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E:\Astronomy Pics Archive\Compendium - ver6\"/>
    </mc:Choice>
  </mc:AlternateContent>
  <xr:revisionPtr revIDLastSave="0" documentId="13_ncr:1_{C7A27169-12B9-441F-B2DC-4D089F75D481}" xr6:coauthVersionLast="47" xr6:coauthVersionMax="47" xr10:uidLastSave="{00000000-0000-0000-0000-000000000000}"/>
  <bookViews>
    <workbookView xWindow="25695" yWindow="0" windowWidth="26010" windowHeight="20985" tabRatio="366" xr2:uid="{00000000-000D-0000-FFFF-FFFF00000000}"/>
  </bookViews>
  <sheets>
    <sheet name="Main" sheetId="1" r:id="rId1"/>
    <sheet name="User Guide" sheetId="3" r:id="rId2"/>
    <sheet name="Type-Subtype-Class" sheetId="6" r:id="rId3"/>
    <sheet name="Definitions" sheetId="7" r:id="rId4"/>
    <sheet name="References" sheetId="8" r:id="rId5"/>
    <sheet name="Hidden Calculations" sheetId="4" state="hidden" r:id="rId6"/>
  </sheets>
  <functionGroups builtInGroupCount="19"/>
  <definedNames>
    <definedName name="_xlnm._FilterDatabase" localSheetId="0" hidden="1">Main!$A$9:$BO$3154</definedName>
    <definedName name="blank">'Hidden Calculations'!$C$42</definedName>
    <definedName name="DecLat">Main!$AJ$3</definedName>
    <definedName name="DecLong">Main!$AJ$4</definedName>
    <definedName name="DST">Main!$G$3</definedName>
    <definedName name="eight">'Hidden Calculations'!$C$19</definedName>
    <definedName name="eighteen">'Hidden Calculations'!$C$29</definedName>
    <definedName name="eleven">'Hidden Calculations'!$C$22</definedName>
    <definedName name="fifteen">'Hidden Calculations'!$C$26</definedName>
    <definedName name="five">'Hidden Calculations'!$C$16</definedName>
    <definedName name="four">'Hidden Calculations'!$C$15</definedName>
    <definedName name="fourteen">'Hidden Calculations'!$C$25</definedName>
    <definedName name="GMTOffset">Main!$G$4</definedName>
    <definedName name="Illum">Main!$O$5</definedName>
    <definedName name="J2000_Adj">Main!$AL$3</definedName>
    <definedName name="J2000_Bas">Main!$AL$4</definedName>
    <definedName name="J2000AdjMoonRise">Main!$AR$3</definedName>
    <definedName name="J2000AdjMoonSet">Main!$AR$4</definedName>
    <definedName name="J2000Bas_MoonRise">Main!$AQ$3</definedName>
    <definedName name="J2000Bas_Moonset">Main!$AQ$4</definedName>
    <definedName name="J2000Base">Main!$AL$4</definedName>
    <definedName name="Midnight">Main!$AP$3</definedName>
    <definedName name="Moon_Age">Main!$O$4</definedName>
    <definedName name="Moon_Rise">Main!$AM$3</definedName>
    <definedName name="Moon_Rise2">Main!$AN$3</definedName>
    <definedName name="Moon_Set">Main!$AM$4</definedName>
    <definedName name="Moon_Set2">Main!$AN$4</definedName>
    <definedName name="MoonAgeDays">'Hidden Calculations'!$A$11:$A$41</definedName>
    <definedName name="MoonDec">Main!$S$5</definedName>
    <definedName name="MoonIllum">'Hidden Calculations'!$D$11:$D$41</definedName>
    <definedName name="MoonPics">INDIRECT('Hidden Calculations'!$H$11)</definedName>
    <definedName name="MoonPics2">INDIRECT('Hidden Calculations'!$H$19)</definedName>
    <definedName name="MoonPics3">INDIRECT('Hidden Calculations'!$H$26)</definedName>
    <definedName name="MoonPics4">INDIRECT('Hidden Calculations'!$H$33)</definedName>
    <definedName name="MoonPics5">INDIRECT('Hidden Calculations'!$H$41)</definedName>
    <definedName name="MoonRA">Main!$Q$5</definedName>
    <definedName name="MoonRiseInc">Main!$AO$3</definedName>
    <definedName name="MoonSetInc">Main!$AO$4</definedName>
    <definedName name="MTRise">Main!$AM$3</definedName>
    <definedName name="MTSet">Main!$AM$4</definedName>
    <definedName name="Nine">'Hidden Calculations'!$C$20</definedName>
    <definedName name="nineteen">'Hidden Calculations'!$C$30</definedName>
    <definedName name="one">'Hidden Calculations'!$C$12</definedName>
    <definedName name="_xlnm.Print_Area" localSheetId="2">'Type-Subtype-Class'!$A$1:$Q$64</definedName>
    <definedName name="seven">'Hidden Calculations'!$C$18</definedName>
    <definedName name="seventeen">'Hidden Calculations'!$C$28</definedName>
    <definedName name="six">'Hidden Calculations'!$C$17</definedName>
    <definedName name="sixteen">'Hidden Calculations'!$C$27</definedName>
    <definedName name="Ten">'Hidden Calculations'!$C$21</definedName>
    <definedName name="thirteen">'Hidden Calculations'!$C$24</definedName>
    <definedName name="thirty">'Hidden Calculations'!$C$41</definedName>
    <definedName name="three">'Hidden Calculations'!$C$14</definedName>
    <definedName name="TIME">Main!$B$3</definedName>
    <definedName name="twelve">'Hidden Calculations'!$C$23</definedName>
    <definedName name="twenty">'Hidden Calculations'!$C$31</definedName>
    <definedName name="twentyeight">'Hidden Calculations'!$C$39</definedName>
    <definedName name="twentyfive">'Hidden Calculations'!$C$36</definedName>
    <definedName name="twentyfour">'Hidden Calculations'!$C$35</definedName>
    <definedName name="twentynine">'Hidden Calculations'!$C$40</definedName>
    <definedName name="twentyone">'Hidden Calculations'!$C$32</definedName>
    <definedName name="twentyseven">'Hidden Calculations'!$C$38</definedName>
    <definedName name="twentysix">'Hidden Calculations'!$C$37</definedName>
    <definedName name="twentythree">'Hidden Calculations'!$C$34</definedName>
    <definedName name="twentytwo">'Hidden Calculations'!$C$33</definedName>
    <definedName name="two">'Hidden Calculations'!$C$13</definedName>
    <definedName name="zero">'Hidden Calculations'!$C$11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1986" i="1" l="1"/>
  <c r="C1986" i="1" s="1"/>
  <c r="O1986" i="1"/>
  <c r="M1986" i="1"/>
  <c r="B1986" i="1"/>
  <c r="BL1518" i="1"/>
  <c r="C1518" i="1" s="1"/>
  <c r="O1518" i="1"/>
  <c r="M1518" i="1"/>
  <c r="B1518" i="1"/>
  <c r="BL1946" i="1" l="1"/>
  <c r="C1946" i="1" s="1"/>
  <c r="O1946" i="1"/>
  <c r="M1946" i="1"/>
  <c r="B1946" i="1"/>
  <c r="BL872" i="1" l="1"/>
  <c r="O872" i="1"/>
  <c r="M872" i="1"/>
  <c r="O818" i="1"/>
  <c r="M818" i="1"/>
  <c r="BL818" i="1"/>
  <c r="C818" i="1" s="1"/>
  <c r="B818" i="1"/>
  <c r="O1218" i="1"/>
  <c r="M1218" i="1"/>
  <c r="BL1218" i="1"/>
  <c r="C1218" i="1" s="1"/>
  <c r="B1218" i="1"/>
  <c r="O1269" i="1"/>
  <c r="M1269" i="1"/>
  <c r="B1269" i="1"/>
  <c r="BL1269" i="1"/>
  <c r="C1269" i="1" s="1"/>
  <c r="O2599" i="1"/>
  <c r="M2599" i="1"/>
  <c r="BL2599" i="1"/>
  <c r="C2599" i="1" s="1"/>
  <c r="B2599" i="1"/>
  <c r="B806" i="1"/>
  <c r="B3142" i="1"/>
  <c r="B1187" i="1"/>
  <c r="O1187" i="1"/>
  <c r="M1187" i="1"/>
  <c r="BL1187" i="1"/>
  <c r="C1187" i="1" s="1"/>
  <c r="BL806" i="1"/>
  <c r="C806" i="1" s="1"/>
  <c r="BL805" i="1"/>
  <c r="BL3142" i="1"/>
  <c r="C3142" i="1" s="1"/>
  <c r="O3142" i="1"/>
  <c r="M3142" i="1"/>
  <c r="O806" i="1"/>
  <c r="M806" i="1"/>
  <c r="BI9" i="1" l="1"/>
  <c r="M880" i="1"/>
  <c r="Z3" i="1" l="1"/>
  <c r="BL3147" i="1"/>
  <c r="C3147" i="1" s="1"/>
  <c r="O3147" i="1"/>
  <c r="M3147" i="1"/>
  <c r="B3147" i="1"/>
  <c r="BL826" i="1"/>
  <c r="C826" i="1" s="1"/>
  <c r="O826" i="1"/>
  <c r="M826" i="1"/>
  <c r="B826" i="1"/>
  <c r="BL2427" i="1"/>
  <c r="C2427" i="1" s="1"/>
  <c r="O2427" i="1"/>
  <c r="M2427" i="1"/>
  <c r="B2427" i="1"/>
  <c r="BL2095" i="1"/>
  <c r="C2095" i="1" s="1"/>
  <c r="O2095" i="1"/>
  <c r="M2095" i="1"/>
  <c r="B2095" i="1"/>
  <c r="BL2062" i="1"/>
  <c r="C2062" i="1" s="1"/>
  <c r="O2062" i="1"/>
  <c r="M2062" i="1"/>
  <c r="B2062" i="1"/>
  <c r="BL2061" i="1"/>
  <c r="C2061" i="1" s="1"/>
  <c r="O2061" i="1"/>
  <c r="M2061" i="1"/>
  <c r="B2061" i="1"/>
  <c r="BL2050" i="1"/>
  <c r="C2050" i="1" s="1"/>
  <c r="O2050" i="1"/>
  <c r="M2050" i="1"/>
  <c r="B2050" i="1"/>
  <c r="BL2034" i="1"/>
  <c r="C2034" i="1" s="1"/>
  <c r="O2034" i="1"/>
  <c r="M2034" i="1"/>
  <c r="B2034" i="1"/>
  <c r="BL2023" i="1"/>
  <c r="C2023" i="1" s="1"/>
  <c r="O2023" i="1"/>
  <c r="M2023" i="1"/>
  <c r="B2023" i="1"/>
  <c r="BL1987" i="1"/>
  <c r="C1987" i="1" s="1"/>
  <c r="O1987" i="1"/>
  <c r="M1987" i="1"/>
  <c r="B1987" i="1"/>
  <c r="BL1970" i="1"/>
  <c r="C1970" i="1" s="1"/>
  <c r="O1970" i="1"/>
  <c r="M1970" i="1"/>
  <c r="B1970" i="1"/>
  <c r="BL1944" i="1"/>
  <c r="C1944" i="1" s="1"/>
  <c r="O1944" i="1"/>
  <c r="M1944" i="1"/>
  <c r="B1944" i="1"/>
  <c r="BL1922" i="1"/>
  <c r="C1922" i="1" s="1"/>
  <c r="O1922" i="1"/>
  <c r="M1922" i="1"/>
  <c r="B1922" i="1"/>
  <c r="BL1863" i="1"/>
  <c r="C1863" i="1" s="1"/>
  <c r="O1863" i="1"/>
  <c r="M1863" i="1"/>
  <c r="B1863" i="1"/>
  <c r="BL1837" i="1"/>
  <c r="C1837" i="1" s="1"/>
  <c r="O1837" i="1"/>
  <c r="M1837" i="1"/>
  <c r="B1837" i="1"/>
  <c r="BL1781" i="1"/>
  <c r="C1781" i="1" s="1"/>
  <c r="O1781" i="1"/>
  <c r="M1781" i="1"/>
  <c r="B1781" i="1"/>
  <c r="BL1771" i="1"/>
  <c r="C1771" i="1" s="1"/>
  <c r="O1771" i="1"/>
  <c r="M1771" i="1"/>
  <c r="B1771" i="1"/>
  <c r="BL1871" i="1"/>
  <c r="C1871" i="1" s="1"/>
  <c r="O1871" i="1"/>
  <c r="M1871" i="1"/>
  <c r="B1871" i="1"/>
  <c r="BL1674" i="1"/>
  <c r="C1674" i="1" s="1"/>
  <c r="O1674" i="1"/>
  <c r="M1674" i="1"/>
  <c r="B1674" i="1"/>
  <c r="BL1755" i="1" l="1"/>
  <c r="C1755" i="1" s="1"/>
  <c r="O1755" i="1"/>
  <c r="M1755" i="1"/>
  <c r="B1755" i="1"/>
  <c r="BL1979" i="1"/>
  <c r="C1979" i="1" s="1"/>
  <c r="O1979" i="1"/>
  <c r="M1979" i="1"/>
  <c r="B1979" i="1"/>
  <c r="BL1724" i="1"/>
  <c r="C1724" i="1" s="1"/>
  <c r="O1724" i="1"/>
  <c r="M1724" i="1"/>
  <c r="B1724" i="1"/>
  <c r="BL1401" i="1"/>
  <c r="C1401" i="1" s="1"/>
  <c r="O1401" i="1"/>
  <c r="M1401" i="1"/>
  <c r="B1401" i="1"/>
  <c r="BL2359" i="1"/>
  <c r="C2359" i="1" s="1"/>
  <c r="O2359" i="1"/>
  <c r="M2359" i="1"/>
  <c r="B2359" i="1"/>
  <c r="BL2282" i="1"/>
  <c r="C2282" i="1" s="1"/>
  <c r="O2282" i="1"/>
  <c r="M2282" i="1"/>
  <c r="B2282" i="1"/>
  <c r="BL2267" i="1"/>
  <c r="C2267" i="1" s="1"/>
  <c r="O2267" i="1"/>
  <c r="M2267" i="1"/>
  <c r="B2267" i="1"/>
  <c r="BL2219" i="1"/>
  <c r="C2219" i="1" s="1"/>
  <c r="O2219" i="1"/>
  <c r="M2219" i="1"/>
  <c r="B2219" i="1"/>
  <c r="BL2184" i="1"/>
  <c r="C2184" i="1" s="1"/>
  <c r="O2184" i="1"/>
  <c r="M2184" i="1"/>
  <c r="B2184" i="1"/>
  <c r="BL1962" i="1"/>
  <c r="C1962" i="1" s="1"/>
  <c r="O1962" i="1"/>
  <c r="M1962" i="1"/>
  <c r="B1962" i="1"/>
  <c r="BL1152" i="1"/>
  <c r="C1152" i="1" s="1"/>
  <c r="O1152" i="1"/>
  <c r="M1152" i="1"/>
  <c r="B1152" i="1"/>
  <c r="BL1854" i="1" l="1"/>
  <c r="C1854" i="1" s="1"/>
  <c r="O1854" i="1"/>
  <c r="M1854" i="1"/>
  <c r="B1854" i="1"/>
  <c r="O2428" i="1" l="1"/>
  <c r="BL2138" i="1" l="1"/>
  <c r="C2138" i="1" s="1"/>
  <c r="O2138" i="1"/>
  <c r="M2138" i="1"/>
  <c r="B2138" i="1"/>
  <c r="BL2380" i="1"/>
  <c r="C2380" i="1" s="1"/>
  <c r="O2380" i="1"/>
  <c r="M2380" i="1"/>
  <c r="B2380" i="1"/>
  <c r="O2058" i="1" l="1"/>
  <c r="BL1530" i="1" l="1"/>
  <c r="C1530" i="1" s="1"/>
  <c r="O1530" i="1"/>
  <c r="M1530" i="1"/>
  <c r="B1530" i="1"/>
  <c r="BL2642" i="1" l="1"/>
  <c r="C2642" i="1" s="1"/>
  <c r="O2642" i="1"/>
  <c r="M2642" i="1"/>
  <c r="BL814" i="1"/>
  <c r="C814" i="1" s="1"/>
  <c r="O814" i="1"/>
  <c r="M814" i="1"/>
  <c r="BL2910" i="1"/>
  <c r="C2910" i="1" s="1"/>
  <c r="O2910" i="1"/>
  <c r="M2910" i="1"/>
  <c r="B2910" i="1"/>
  <c r="B1672" i="1"/>
  <c r="M1672" i="1"/>
  <c r="O1672" i="1"/>
  <c r="BL1672" i="1"/>
  <c r="C1672" i="1" s="1"/>
  <c r="BL1279" i="1"/>
  <c r="C1279" i="1" s="1"/>
  <c r="O1279" i="1"/>
  <c r="M1279" i="1"/>
  <c r="B1279" i="1"/>
  <c r="BL1260" i="1"/>
  <c r="C1260" i="1" s="1"/>
  <c r="O1260" i="1"/>
  <c r="M1260" i="1"/>
  <c r="B1260" i="1"/>
  <c r="BL945" i="1"/>
  <c r="C945" i="1" s="1"/>
  <c r="O945" i="1"/>
  <c r="M945" i="1"/>
  <c r="B945" i="1"/>
  <c r="BL933" i="1"/>
  <c r="C933" i="1" s="1"/>
  <c r="O933" i="1"/>
  <c r="M933" i="1"/>
  <c r="B933" i="1"/>
  <c r="BL926" i="1"/>
  <c r="C926" i="1" s="1"/>
  <c r="O926" i="1"/>
  <c r="M926" i="1"/>
  <c r="B926" i="1"/>
  <c r="BL925" i="1"/>
  <c r="C925" i="1" s="1"/>
  <c r="O925" i="1"/>
  <c r="M925" i="1"/>
  <c r="B925" i="1"/>
  <c r="BL924" i="1"/>
  <c r="C924" i="1" s="1"/>
  <c r="O924" i="1"/>
  <c r="M924" i="1"/>
  <c r="B924" i="1"/>
  <c r="BL912" i="1"/>
  <c r="C912" i="1" s="1"/>
  <c r="O912" i="1"/>
  <c r="M912" i="1"/>
  <c r="B912" i="1"/>
  <c r="BL2919" i="1"/>
  <c r="C2919" i="1" s="1"/>
  <c r="O2919" i="1"/>
  <c r="M2919" i="1"/>
  <c r="B2919" i="1"/>
  <c r="BL10" i="1" l="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C382" i="1" s="1"/>
  <c r="BL383" i="1"/>
  <c r="BL384" i="1"/>
  <c r="BL385" i="1"/>
  <c r="BL386" i="1"/>
  <c r="BL387" i="1"/>
  <c r="BL388" i="1"/>
  <c r="BL389" i="1"/>
  <c r="BL390" i="1"/>
  <c r="BL391" i="1"/>
  <c r="BL392" i="1"/>
  <c r="BL393" i="1"/>
  <c r="BL394" i="1"/>
  <c r="BL395" i="1"/>
  <c r="BL396" i="1"/>
  <c r="BL397" i="1"/>
  <c r="BL398" i="1"/>
  <c r="BL399" i="1"/>
  <c r="BL400" i="1"/>
  <c r="BL401" i="1"/>
  <c r="BL2089" i="1"/>
  <c r="BL402" i="1"/>
  <c r="BL403" i="1"/>
  <c r="BL404" i="1"/>
  <c r="BL405" i="1"/>
  <c r="BL406" i="1"/>
  <c r="BL407" i="1"/>
  <c r="BL408" i="1"/>
  <c r="BL409" i="1"/>
  <c r="BL410" i="1"/>
  <c r="BL411" i="1"/>
  <c r="BL412" i="1"/>
  <c r="BL413" i="1"/>
  <c r="BL414" i="1"/>
  <c r="BL415" i="1"/>
  <c r="BL416" i="1"/>
  <c r="BL417" i="1"/>
  <c r="BL418" i="1"/>
  <c r="BL419" i="1"/>
  <c r="BL420" i="1"/>
  <c r="BL421" i="1"/>
  <c r="BL422" i="1"/>
  <c r="BL423" i="1"/>
  <c r="BL424" i="1"/>
  <c r="BL425" i="1"/>
  <c r="BL426" i="1"/>
  <c r="BL427" i="1"/>
  <c r="BL428" i="1"/>
  <c r="BL429" i="1"/>
  <c r="BL430" i="1"/>
  <c r="BL431" i="1"/>
  <c r="BL432" i="1"/>
  <c r="BL433" i="1"/>
  <c r="BL434" i="1"/>
  <c r="BL435" i="1"/>
  <c r="BL436" i="1"/>
  <c r="BL437" i="1"/>
  <c r="BL438" i="1"/>
  <c r="BL439" i="1"/>
  <c r="BL440" i="1"/>
  <c r="BL441" i="1"/>
  <c r="BL442" i="1"/>
  <c r="BL443" i="1"/>
  <c r="BL444" i="1"/>
  <c r="BL445" i="1"/>
  <c r="BL446" i="1"/>
  <c r="BL447" i="1"/>
  <c r="BL448" i="1"/>
  <c r="BL449" i="1"/>
  <c r="BL450" i="1"/>
  <c r="BL451" i="1"/>
  <c r="BL452" i="1"/>
  <c r="BL453" i="1"/>
  <c r="BL454" i="1"/>
  <c r="BL455" i="1"/>
  <c r="BL456" i="1"/>
  <c r="BL457" i="1"/>
  <c r="BL458" i="1"/>
  <c r="BL459" i="1"/>
  <c r="BL460" i="1"/>
  <c r="BL461" i="1"/>
  <c r="BL462" i="1"/>
  <c r="BL463" i="1"/>
  <c r="BL464" i="1"/>
  <c r="BL465" i="1"/>
  <c r="BL466" i="1"/>
  <c r="BL467" i="1"/>
  <c r="BL468" i="1"/>
  <c r="BL469" i="1"/>
  <c r="BL470" i="1"/>
  <c r="BL471" i="1"/>
  <c r="BL472" i="1"/>
  <c r="BL473" i="1"/>
  <c r="BL474" i="1"/>
  <c r="BL475" i="1"/>
  <c r="BL476" i="1"/>
  <c r="BL477" i="1"/>
  <c r="BL478" i="1"/>
  <c r="BL479" i="1"/>
  <c r="BL480" i="1"/>
  <c r="BL481" i="1"/>
  <c r="BL482" i="1"/>
  <c r="BL483" i="1"/>
  <c r="BL484" i="1"/>
  <c r="BL485" i="1"/>
  <c r="BL486" i="1"/>
  <c r="BL487" i="1"/>
  <c r="BL488" i="1"/>
  <c r="BL489" i="1"/>
  <c r="BL490" i="1"/>
  <c r="BL491" i="1"/>
  <c r="BL492" i="1"/>
  <c r="BL493" i="1"/>
  <c r="BL494" i="1"/>
  <c r="BL495" i="1"/>
  <c r="BL496" i="1"/>
  <c r="BL497" i="1"/>
  <c r="BL498" i="1"/>
  <c r="BL499" i="1"/>
  <c r="BL500" i="1"/>
  <c r="BL501" i="1"/>
  <c r="BL502" i="1"/>
  <c r="BL503" i="1"/>
  <c r="BL504" i="1"/>
  <c r="BL505" i="1"/>
  <c r="BL506" i="1"/>
  <c r="BL507" i="1"/>
  <c r="BL508" i="1"/>
  <c r="BL509" i="1"/>
  <c r="BL510" i="1"/>
  <c r="BL511" i="1"/>
  <c r="BL512" i="1"/>
  <c r="BL513" i="1"/>
  <c r="BL514" i="1"/>
  <c r="BL515" i="1"/>
  <c r="BL516" i="1"/>
  <c r="BL517" i="1"/>
  <c r="BL518" i="1"/>
  <c r="BL519" i="1"/>
  <c r="BL520" i="1"/>
  <c r="BL521" i="1"/>
  <c r="BL522" i="1"/>
  <c r="BL523" i="1"/>
  <c r="BL524" i="1"/>
  <c r="BL525" i="1"/>
  <c r="BL526" i="1"/>
  <c r="BL527" i="1"/>
  <c r="BL528" i="1"/>
  <c r="BL529" i="1"/>
  <c r="BL530" i="1"/>
  <c r="BL531" i="1"/>
  <c r="BL532" i="1"/>
  <c r="BL533" i="1"/>
  <c r="BL534" i="1"/>
  <c r="BL535" i="1"/>
  <c r="BL536" i="1"/>
  <c r="BL537" i="1"/>
  <c r="BL538" i="1"/>
  <c r="BL539" i="1"/>
  <c r="BL540" i="1"/>
  <c r="BL541" i="1"/>
  <c r="BL542" i="1"/>
  <c r="BL543" i="1"/>
  <c r="BL544" i="1"/>
  <c r="BL545" i="1"/>
  <c r="BL546" i="1"/>
  <c r="BL547" i="1"/>
  <c r="BL548" i="1"/>
  <c r="BL549" i="1"/>
  <c r="BL550" i="1"/>
  <c r="BL551" i="1"/>
  <c r="BL552" i="1"/>
  <c r="BL553" i="1"/>
  <c r="BL554" i="1"/>
  <c r="BL555" i="1"/>
  <c r="BL556" i="1"/>
  <c r="BL557" i="1"/>
  <c r="BL558" i="1"/>
  <c r="BL559" i="1"/>
  <c r="BL560" i="1"/>
  <c r="BL561" i="1"/>
  <c r="BL562" i="1"/>
  <c r="BL563" i="1"/>
  <c r="BL564" i="1"/>
  <c r="BL565" i="1"/>
  <c r="BL566" i="1"/>
  <c r="BL567" i="1"/>
  <c r="BL568" i="1"/>
  <c r="BL569" i="1"/>
  <c r="BL570" i="1"/>
  <c r="BL571" i="1"/>
  <c r="BL572" i="1"/>
  <c r="BL573" i="1"/>
  <c r="BL574" i="1"/>
  <c r="BL575" i="1"/>
  <c r="BL576" i="1"/>
  <c r="BL577" i="1"/>
  <c r="BL578" i="1"/>
  <c r="BL579" i="1"/>
  <c r="BL580" i="1"/>
  <c r="BL581" i="1"/>
  <c r="BL582" i="1"/>
  <c r="BL583" i="1"/>
  <c r="BL584" i="1"/>
  <c r="BL585" i="1"/>
  <c r="BL586" i="1"/>
  <c r="BL587" i="1"/>
  <c r="BL588" i="1"/>
  <c r="BL589" i="1"/>
  <c r="BL590" i="1"/>
  <c r="BL591" i="1"/>
  <c r="BL592" i="1"/>
  <c r="BL593" i="1"/>
  <c r="BL594" i="1"/>
  <c r="BL595" i="1"/>
  <c r="BL596" i="1"/>
  <c r="BL597" i="1"/>
  <c r="BL598" i="1"/>
  <c r="BL599" i="1"/>
  <c r="BL600" i="1"/>
  <c r="BL601" i="1"/>
  <c r="BL602" i="1"/>
  <c r="BL603" i="1"/>
  <c r="BL604" i="1"/>
  <c r="BL605" i="1"/>
  <c r="BL606" i="1"/>
  <c r="BL607" i="1"/>
  <c r="BL608" i="1"/>
  <c r="BL609" i="1"/>
  <c r="BL610" i="1"/>
  <c r="BL611" i="1"/>
  <c r="BL612" i="1"/>
  <c r="BL613" i="1"/>
  <c r="BL614" i="1"/>
  <c r="BL615" i="1"/>
  <c r="BL616" i="1"/>
  <c r="BL617" i="1"/>
  <c r="BL618" i="1"/>
  <c r="BL619" i="1"/>
  <c r="BL620" i="1"/>
  <c r="BL621" i="1"/>
  <c r="BL622" i="1"/>
  <c r="BL623" i="1"/>
  <c r="BL624" i="1"/>
  <c r="BL625" i="1"/>
  <c r="BL626" i="1"/>
  <c r="BL627" i="1"/>
  <c r="BL628" i="1"/>
  <c r="BL629" i="1"/>
  <c r="BL630" i="1"/>
  <c r="BL631" i="1"/>
  <c r="BL632" i="1"/>
  <c r="BL633" i="1"/>
  <c r="BL634" i="1"/>
  <c r="BL635" i="1"/>
  <c r="BL636" i="1"/>
  <c r="BL637" i="1"/>
  <c r="BL638" i="1"/>
  <c r="BL639" i="1"/>
  <c r="BL640" i="1"/>
  <c r="BL641" i="1"/>
  <c r="BL642" i="1"/>
  <c r="BL643" i="1"/>
  <c r="BL644" i="1"/>
  <c r="BL645" i="1"/>
  <c r="BL646" i="1"/>
  <c r="BL647" i="1"/>
  <c r="BL648" i="1"/>
  <c r="BL649" i="1"/>
  <c r="BL650" i="1"/>
  <c r="BL651" i="1"/>
  <c r="BL652" i="1"/>
  <c r="BL653" i="1"/>
  <c r="BL654" i="1"/>
  <c r="BL655" i="1"/>
  <c r="BL656" i="1"/>
  <c r="BL657" i="1"/>
  <c r="BL658" i="1"/>
  <c r="BL659" i="1"/>
  <c r="BL660" i="1"/>
  <c r="BL661" i="1"/>
  <c r="BL662" i="1"/>
  <c r="BL663" i="1"/>
  <c r="BL664" i="1"/>
  <c r="BL665" i="1"/>
  <c r="BL666" i="1"/>
  <c r="BL667" i="1"/>
  <c r="BL668" i="1"/>
  <c r="BL669" i="1"/>
  <c r="BL670" i="1"/>
  <c r="BL671" i="1"/>
  <c r="BL672" i="1"/>
  <c r="BL673" i="1"/>
  <c r="BL674" i="1"/>
  <c r="BL675" i="1"/>
  <c r="BL676" i="1"/>
  <c r="BL677" i="1"/>
  <c r="BL678" i="1"/>
  <c r="BL679" i="1"/>
  <c r="BL680" i="1"/>
  <c r="BL681" i="1"/>
  <c r="BL682" i="1"/>
  <c r="BL683" i="1"/>
  <c r="BL684" i="1"/>
  <c r="BL685" i="1"/>
  <c r="BL686" i="1"/>
  <c r="BL687" i="1"/>
  <c r="BL688" i="1"/>
  <c r="BL689" i="1"/>
  <c r="BL690" i="1"/>
  <c r="BL691" i="1"/>
  <c r="BL692" i="1"/>
  <c r="BL693" i="1"/>
  <c r="BL694" i="1"/>
  <c r="BL695" i="1"/>
  <c r="BL696" i="1"/>
  <c r="BL697" i="1"/>
  <c r="BL698" i="1"/>
  <c r="BL699" i="1"/>
  <c r="BL700" i="1"/>
  <c r="BL701" i="1"/>
  <c r="BL702" i="1"/>
  <c r="BL703" i="1"/>
  <c r="BL704" i="1"/>
  <c r="BL705" i="1"/>
  <c r="BL706" i="1"/>
  <c r="BL707" i="1"/>
  <c r="BL708" i="1"/>
  <c r="BL709" i="1"/>
  <c r="BL710" i="1"/>
  <c r="BL711" i="1"/>
  <c r="BL712" i="1"/>
  <c r="BL713" i="1"/>
  <c r="BL714" i="1"/>
  <c r="BL715" i="1"/>
  <c r="BL716" i="1"/>
  <c r="BL717" i="1"/>
  <c r="BL718" i="1"/>
  <c r="BL719" i="1"/>
  <c r="BL720" i="1"/>
  <c r="BL721" i="1"/>
  <c r="BL722" i="1"/>
  <c r="BL723" i="1"/>
  <c r="BL724" i="1"/>
  <c r="BL725" i="1"/>
  <c r="BL726" i="1"/>
  <c r="BL727" i="1"/>
  <c r="BL728" i="1"/>
  <c r="BL729" i="1"/>
  <c r="BL730" i="1"/>
  <c r="BL731" i="1"/>
  <c r="BL732" i="1"/>
  <c r="BL733" i="1"/>
  <c r="BL734" i="1"/>
  <c r="BL735" i="1"/>
  <c r="BL736" i="1"/>
  <c r="BL737" i="1"/>
  <c r="BL738" i="1"/>
  <c r="BL739" i="1"/>
  <c r="BL740" i="1"/>
  <c r="BL741" i="1"/>
  <c r="BL742" i="1"/>
  <c r="BL743" i="1"/>
  <c r="BL744" i="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7" i="1"/>
  <c r="BL809" i="1"/>
  <c r="BL810" i="1"/>
  <c r="BL811" i="1"/>
  <c r="BL812" i="1"/>
  <c r="BL813" i="1"/>
  <c r="BL815" i="1"/>
  <c r="BL816" i="1"/>
  <c r="BL817" i="1"/>
  <c r="BL883" i="1"/>
  <c r="BL820" i="1"/>
  <c r="BL821" i="1"/>
  <c r="BL822" i="1"/>
  <c r="BL823" i="1"/>
  <c r="BL824" i="1"/>
  <c r="BL825" i="1"/>
  <c r="BL827" i="1"/>
  <c r="BL828" i="1"/>
  <c r="BL829" i="1"/>
  <c r="BL830" i="1"/>
  <c r="BL831" i="1"/>
  <c r="BL833" i="1"/>
  <c r="BL834" i="1"/>
  <c r="BL835" i="1"/>
  <c r="BL836" i="1"/>
  <c r="BL837" i="1"/>
  <c r="BL838" i="1"/>
  <c r="BL839" i="1"/>
  <c r="BL840" i="1"/>
  <c r="BL841" i="1"/>
  <c r="BL842" i="1"/>
  <c r="BL843" i="1"/>
  <c r="BL844" i="1"/>
  <c r="C844" i="1" s="1"/>
  <c r="BL845" i="1"/>
  <c r="C845" i="1" s="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3" i="1"/>
  <c r="BL874" i="1"/>
  <c r="BL875" i="1"/>
  <c r="BL876" i="1"/>
  <c r="BL877" i="1"/>
  <c r="BL878" i="1"/>
  <c r="BL879" i="1"/>
  <c r="BL881"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3" i="1"/>
  <c r="BL914" i="1"/>
  <c r="BL915" i="1"/>
  <c r="BL916" i="1"/>
  <c r="BL917" i="1"/>
  <c r="BL918" i="1"/>
  <c r="BL919" i="1"/>
  <c r="BL920" i="1"/>
  <c r="BL921" i="1"/>
  <c r="BL922" i="1"/>
  <c r="BL923" i="1"/>
  <c r="BL927" i="1"/>
  <c r="BL928" i="1"/>
  <c r="BL929" i="1"/>
  <c r="BL930" i="1"/>
  <c r="BL931" i="1"/>
  <c r="BL932" i="1"/>
  <c r="BL934" i="1"/>
  <c r="BL935" i="1"/>
  <c r="BL936" i="1"/>
  <c r="BL937" i="1"/>
  <c r="BL938" i="1"/>
  <c r="BL939" i="1"/>
  <c r="BL940" i="1"/>
  <c r="BL941" i="1"/>
  <c r="BL942" i="1"/>
  <c r="BL2663" i="1"/>
  <c r="BL944"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1079" i="1"/>
  <c r="BL1080" i="1"/>
  <c r="BL1081" i="1"/>
  <c r="BL1082" i="1"/>
  <c r="BL1083" i="1"/>
  <c r="BL1084" i="1"/>
  <c r="BL1085" i="1"/>
  <c r="BL1086" i="1"/>
  <c r="BL1087" i="1"/>
  <c r="BL1088" i="1"/>
  <c r="BL1089" i="1"/>
  <c r="BL1090" i="1"/>
  <c r="BL1091" i="1"/>
  <c r="BL1092" i="1"/>
  <c r="BL1093" i="1"/>
  <c r="BL1094" i="1"/>
  <c r="BL1095" i="1"/>
  <c r="BL1096" i="1"/>
  <c r="BL1097" i="1"/>
  <c r="BL1098" i="1"/>
  <c r="BL1099" i="1"/>
  <c r="C1099" i="1" s="1"/>
  <c r="BL1100" i="1"/>
  <c r="BL1101" i="1"/>
  <c r="BL1102" i="1"/>
  <c r="BL1103" i="1"/>
  <c r="BL1104" i="1"/>
  <c r="BL1105" i="1"/>
  <c r="BL1106" i="1"/>
  <c r="BL1107" i="1"/>
  <c r="BL1108" i="1"/>
  <c r="BL1109" i="1"/>
  <c r="BL1110" i="1"/>
  <c r="BL1111" i="1"/>
  <c r="BL1112" i="1"/>
  <c r="BL1113" i="1"/>
  <c r="BL1114" i="1"/>
  <c r="BL1115" i="1"/>
  <c r="BL1116" i="1"/>
  <c r="BL1117" i="1"/>
  <c r="BL1118" i="1"/>
  <c r="BL1119" i="1"/>
  <c r="BL1120" i="1"/>
  <c r="BL1121" i="1"/>
  <c r="BL1122" i="1"/>
  <c r="BL1123" i="1"/>
  <c r="BL1124" i="1"/>
  <c r="BL1125" i="1"/>
  <c r="BL1126" i="1"/>
  <c r="BL1127" i="1"/>
  <c r="BL1128" i="1"/>
  <c r="BL1129" i="1"/>
  <c r="BL1130" i="1"/>
  <c r="BL1131" i="1"/>
  <c r="BL1132" i="1"/>
  <c r="BL1133" i="1"/>
  <c r="BL1134" i="1"/>
  <c r="BL1135" i="1"/>
  <c r="BL1136" i="1"/>
  <c r="BL1137" i="1"/>
  <c r="BL1138" i="1"/>
  <c r="BL1139" i="1"/>
  <c r="BL1140" i="1"/>
  <c r="BL1141" i="1"/>
  <c r="BL1142" i="1"/>
  <c r="BL1143" i="1"/>
  <c r="BL1144" i="1"/>
  <c r="BL1145" i="1"/>
  <c r="BL1146" i="1"/>
  <c r="BL1147" i="1"/>
  <c r="BL1148" i="1"/>
  <c r="BL1149" i="1"/>
  <c r="BL1150" i="1"/>
  <c r="BL1151" i="1"/>
  <c r="BL1153" i="1"/>
  <c r="BL1154" i="1"/>
  <c r="BL1155" i="1"/>
  <c r="BL1156" i="1"/>
  <c r="BL1157" i="1"/>
  <c r="BL1158" i="1"/>
  <c r="BL1159" i="1"/>
  <c r="BL1160" i="1"/>
  <c r="BL1161" i="1"/>
  <c r="BL1162" i="1"/>
  <c r="BL1163" i="1"/>
  <c r="BL1164" i="1"/>
  <c r="BL1165" i="1"/>
  <c r="BL1166" i="1"/>
  <c r="BL1167" i="1"/>
  <c r="BL1168" i="1"/>
  <c r="BL1169" i="1"/>
  <c r="BL1170" i="1"/>
  <c r="BL1171" i="1"/>
  <c r="BL1172" i="1"/>
  <c r="BL1173" i="1"/>
  <c r="BL1174" i="1"/>
  <c r="BL1175" i="1"/>
  <c r="BL1176" i="1"/>
  <c r="BL1177" i="1"/>
  <c r="BL1178" i="1"/>
  <c r="BL1179" i="1"/>
  <c r="BL1180" i="1"/>
  <c r="BL1181" i="1"/>
  <c r="BL1182" i="1"/>
  <c r="BL1183" i="1"/>
  <c r="BL1184" i="1"/>
  <c r="BL1185" i="1"/>
  <c r="BL1186" i="1"/>
  <c r="BL880" i="1"/>
  <c r="BL1188" i="1"/>
  <c r="BL1189" i="1"/>
  <c r="BL1190" i="1"/>
  <c r="BL1191" i="1"/>
  <c r="BL1192" i="1"/>
  <c r="BL1193" i="1"/>
  <c r="C1193" i="1" s="1"/>
  <c r="BL1194" i="1"/>
  <c r="C1194" i="1" s="1"/>
  <c r="BL1195" i="1"/>
  <c r="C1195" i="1" s="1"/>
  <c r="BL1196" i="1"/>
  <c r="BL1197" i="1"/>
  <c r="BL1198" i="1"/>
  <c r="BL1199" i="1"/>
  <c r="BL1200" i="1"/>
  <c r="BL1201" i="1"/>
  <c r="BL1202" i="1"/>
  <c r="BL1203" i="1"/>
  <c r="BL1204" i="1"/>
  <c r="BL1205" i="1"/>
  <c r="BL1206" i="1"/>
  <c r="BL1207" i="1"/>
  <c r="BL1208" i="1"/>
  <c r="BL1209" i="1"/>
  <c r="BL1210" i="1"/>
  <c r="BL1211" i="1"/>
  <c r="BL1212" i="1"/>
  <c r="BL1213" i="1"/>
  <c r="BL1214" i="1"/>
  <c r="BL1215" i="1"/>
  <c r="BL1216" i="1"/>
  <c r="BL1217" i="1"/>
  <c r="BL808" i="1"/>
  <c r="BL1219" i="1"/>
  <c r="BL1220" i="1"/>
  <c r="BL1221" i="1"/>
  <c r="BL1222" i="1"/>
  <c r="BL1223" i="1"/>
  <c r="BL1224" i="1"/>
  <c r="BL1225" i="1"/>
  <c r="BL1226" i="1"/>
  <c r="BL1227" i="1"/>
  <c r="BL1228" i="1"/>
  <c r="BL1229" i="1"/>
  <c r="BL1230" i="1"/>
  <c r="BL1231" i="1"/>
  <c r="BL1233" i="1"/>
  <c r="BL1234" i="1"/>
  <c r="BL1235" i="1"/>
  <c r="BL1236" i="1"/>
  <c r="BL1237" i="1"/>
  <c r="BL1238" i="1"/>
  <c r="BL1239" i="1"/>
  <c r="BL1240" i="1"/>
  <c r="BL1241" i="1"/>
  <c r="BL1242" i="1"/>
  <c r="BL1243" i="1"/>
  <c r="BL1244" i="1"/>
  <c r="BL1245" i="1"/>
  <c r="BL1246" i="1"/>
  <c r="BL1247" i="1"/>
  <c r="BL1248" i="1"/>
  <c r="BL1249" i="1"/>
  <c r="BL1250" i="1"/>
  <c r="BL1251" i="1"/>
  <c r="BL1252" i="1"/>
  <c r="BL1253" i="1"/>
  <c r="BL1254" i="1"/>
  <c r="BL1255" i="1"/>
  <c r="BL1256" i="1"/>
  <c r="BL1257" i="1"/>
  <c r="BL1258" i="1"/>
  <c r="BL1259" i="1"/>
  <c r="BL1261" i="1"/>
  <c r="BL1262" i="1"/>
  <c r="BL1263" i="1"/>
  <c r="BL1264" i="1"/>
  <c r="BL1265" i="1"/>
  <c r="BL1266" i="1"/>
  <c r="BL1267" i="1"/>
  <c r="BL1268" i="1"/>
  <c r="BL882" i="1"/>
  <c r="BL1270" i="1"/>
  <c r="BL1271" i="1"/>
  <c r="BL1272" i="1"/>
  <c r="BL1273" i="1"/>
  <c r="BL1274" i="1"/>
  <c r="BL1275" i="1"/>
  <c r="BL1276" i="1"/>
  <c r="BL1277" i="1"/>
  <c r="BL1278" i="1"/>
  <c r="BL1280" i="1"/>
  <c r="BL1281" i="1"/>
  <c r="BL1282" i="1"/>
  <c r="BL1283" i="1"/>
  <c r="BL1284" i="1"/>
  <c r="BL1285" i="1"/>
  <c r="BL1286" i="1"/>
  <c r="BL1287" i="1"/>
  <c r="BL1288" i="1"/>
  <c r="BL1289" i="1"/>
  <c r="BL1290" i="1"/>
  <c r="BL1291" i="1"/>
  <c r="BL1292" i="1"/>
  <c r="BL1293" i="1"/>
  <c r="BL1294" i="1"/>
  <c r="BL1295" i="1"/>
  <c r="BL1296" i="1"/>
  <c r="BL1297" i="1"/>
  <c r="BL1298" i="1"/>
  <c r="BL1299" i="1"/>
  <c r="BL1300" i="1"/>
  <c r="BL1301" i="1"/>
  <c r="BL1302" i="1"/>
  <c r="BL1303" i="1"/>
  <c r="BL1304" i="1"/>
  <c r="BL1305" i="1"/>
  <c r="BL1306" i="1"/>
  <c r="BL1307" i="1"/>
  <c r="BL1308" i="1"/>
  <c r="BL1309" i="1"/>
  <c r="BL1310" i="1"/>
  <c r="BL1311" i="1"/>
  <c r="BL1312" i="1"/>
  <c r="BL1313" i="1"/>
  <c r="BL1314" i="1"/>
  <c r="BL1315" i="1"/>
  <c r="BL1316" i="1"/>
  <c r="BL1317" i="1"/>
  <c r="BL1318" i="1"/>
  <c r="BL1319" i="1"/>
  <c r="BL1320" i="1"/>
  <c r="BL1321" i="1"/>
  <c r="BL1322" i="1"/>
  <c r="BL1323" i="1"/>
  <c r="BL1324" i="1"/>
  <c r="BL1325" i="1"/>
  <c r="BL1326" i="1"/>
  <c r="BL1327" i="1"/>
  <c r="BL1328" i="1"/>
  <c r="BL1329" i="1"/>
  <c r="BL1330" i="1"/>
  <c r="BL1331" i="1"/>
  <c r="BL1332" i="1"/>
  <c r="BL1333" i="1"/>
  <c r="BL1334" i="1"/>
  <c r="BL1335" i="1"/>
  <c r="BL1336" i="1"/>
  <c r="BL1337" i="1"/>
  <c r="BL1338" i="1"/>
  <c r="BL1339" i="1"/>
  <c r="BL1340" i="1"/>
  <c r="BL1341" i="1"/>
  <c r="BL1342" i="1"/>
  <c r="BL1343" i="1"/>
  <c r="BL1344" i="1"/>
  <c r="BL1345" i="1"/>
  <c r="BL1346" i="1"/>
  <c r="BL1347" i="1"/>
  <c r="BL1348" i="1"/>
  <c r="BL1349" i="1"/>
  <c r="BL1350" i="1"/>
  <c r="BL1351" i="1"/>
  <c r="BL1352" i="1"/>
  <c r="BL1353" i="1"/>
  <c r="BL1354" i="1"/>
  <c r="BL1355" i="1"/>
  <c r="BL1356" i="1"/>
  <c r="BL1357" i="1"/>
  <c r="BL1358" i="1"/>
  <c r="BL1359" i="1"/>
  <c r="BL1360" i="1"/>
  <c r="BL1361" i="1"/>
  <c r="BL1362" i="1"/>
  <c r="BL1363" i="1"/>
  <c r="BL1364" i="1"/>
  <c r="BL1365" i="1"/>
  <c r="BL1366" i="1"/>
  <c r="BL1367" i="1"/>
  <c r="BL1368" i="1"/>
  <c r="BL1369" i="1"/>
  <c r="BL1370" i="1"/>
  <c r="BL1371" i="1"/>
  <c r="BL1372" i="1"/>
  <c r="BL1373" i="1"/>
  <c r="BL1374" i="1"/>
  <c r="BL1375" i="1"/>
  <c r="BL1376" i="1"/>
  <c r="BL1377" i="1"/>
  <c r="BL1378" i="1"/>
  <c r="BL1379" i="1"/>
  <c r="BL1380" i="1"/>
  <c r="BL1381" i="1"/>
  <c r="BL1382" i="1"/>
  <c r="BL1383" i="1"/>
  <c r="BL1384" i="1"/>
  <c r="BL1385" i="1"/>
  <c r="BL1386" i="1"/>
  <c r="BL1387" i="1"/>
  <c r="BL1388" i="1"/>
  <c r="BL1389" i="1"/>
  <c r="BL1390" i="1"/>
  <c r="BL1391" i="1"/>
  <c r="BL1392" i="1"/>
  <c r="BL1393" i="1"/>
  <c r="BL1394" i="1"/>
  <c r="BL1395" i="1"/>
  <c r="BL1396" i="1"/>
  <c r="BL1397" i="1"/>
  <c r="BL1398" i="1"/>
  <c r="BL1399" i="1"/>
  <c r="BL1400" i="1"/>
  <c r="BL1402" i="1"/>
  <c r="BL1403" i="1"/>
  <c r="BL1404" i="1"/>
  <c r="BL1405" i="1"/>
  <c r="BL1406" i="1"/>
  <c r="BL1407" i="1"/>
  <c r="BL1408" i="1"/>
  <c r="BL1409" i="1"/>
  <c r="BL1410" i="1"/>
  <c r="BL1411" i="1"/>
  <c r="BL1412" i="1"/>
  <c r="BL1413" i="1"/>
  <c r="BL1414" i="1"/>
  <c r="BL1415" i="1"/>
  <c r="BL1416" i="1"/>
  <c r="BL1417" i="1"/>
  <c r="BL1418" i="1"/>
  <c r="BL1419" i="1"/>
  <c r="BL1420" i="1"/>
  <c r="BL1421" i="1"/>
  <c r="BL1422" i="1"/>
  <c r="BL1423" i="1"/>
  <c r="BL1424" i="1"/>
  <c r="BL1425" i="1"/>
  <c r="BL1426" i="1"/>
  <c r="BL1427" i="1"/>
  <c r="BL1428" i="1"/>
  <c r="BL1429" i="1"/>
  <c r="BL1430" i="1"/>
  <c r="BL1431" i="1"/>
  <c r="BL1432" i="1"/>
  <c r="BL1433" i="1"/>
  <c r="BL1434" i="1"/>
  <c r="BL1435" i="1"/>
  <c r="BL1436" i="1"/>
  <c r="BL1437" i="1"/>
  <c r="BL1438" i="1"/>
  <c r="BL1439" i="1"/>
  <c r="BL1440" i="1"/>
  <c r="BL1441" i="1"/>
  <c r="BL1442" i="1"/>
  <c r="BL1443" i="1"/>
  <c r="BL1444" i="1"/>
  <c r="BL1445" i="1"/>
  <c r="BL1446" i="1"/>
  <c r="BL1447" i="1"/>
  <c r="BL1448" i="1"/>
  <c r="BL1449" i="1"/>
  <c r="BL1450" i="1"/>
  <c r="BL1451" i="1"/>
  <c r="BL1452" i="1"/>
  <c r="BL1453" i="1"/>
  <c r="BL1454" i="1"/>
  <c r="BL1455" i="1"/>
  <c r="BL1456" i="1"/>
  <c r="BL1457" i="1"/>
  <c r="BL1458" i="1"/>
  <c r="BL1459" i="1"/>
  <c r="BL1460" i="1"/>
  <c r="BL1461" i="1"/>
  <c r="BL1462" i="1"/>
  <c r="BL1463" i="1"/>
  <c r="BL1464" i="1"/>
  <c r="BL1465" i="1"/>
  <c r="BL1466" i="1"/>
  <c r="BL1467" i="1"/>
  <c r="BL1468" i="1"/>
  <c r="BL1469" i="1"/>
  <c r="BL1470" i="1"/>
  <c r="BL1471" i="1"/>
  <c r="BL1472" i="1"/>
  <c r="BL1473" i="1"/>
  <c r="BL1474" i="1"/>
  <c r="BL1475" i="1"/>
  <c r="BL1476" i="1"/>
  <c r="BL1477" i="1"/>
  <c r="BL1478" i="1"/>
  <c r="BL1480" i="1"/>
  <c r="BL1481" i="1"/>
  <c r="BL1482" i="1"/>
  <c r="BL1483" i="1"/>
  <c r="BL1484" i="1"/>
  <c r="BL1485" i="1"/>
  <c r="BL1486" i="1"/>
  <c r="BL1487" i="1"/>
  <c r="BL1488" i="1"/>
  <c r="BL1489" i="1"/>
  <c r="BL1490" i="1"/>
  <c r="BL1491" i="1"/>
  <c r="BL1493" i="1"/>
  <c r="BL1494" i="1"/>
  <c r="BL1495" i="1"/>
  <c r="BL1496" i="1"/>
  <c r="BL1497" i="1"/>
  <c r="BL1498" i="1"/>
  <c r="BL1500" i="1"/>
  <c r="BL1501" i="1"/>
  <c r="BL1502" i="1"/>
  <c r="BL1503" i="1"/>
  <c r="BL1504" i="1"/>
  <c r="BL1505" i="1"/>
  <c r="BL1506" i="1"/>
  <c r="BL1507" i="1"/>
  <c r="BL1508" i="1"/>
  <c r="BL1509" i="1"/>
  <c r="BL1510" i="1"/>
  <c r="BL1511" i="1"/>
  <c r="BL1512" i="1"/>
  <c r="BL1513" i="1"/>
  <c r="BL1514" i="1"/>
  <c r="BL1515" i="1"/>
  <c r="BL1516" i="1"/>
  <c r="BL1517" i="1"/>
  <c r="BL2983" i="1"/>
  <c r="BL1519" i="1"/>
  <c r="BL1520" i="1"/>
  <c r="BL1521" i="1"/>
  <c r="BL1522" i="1"/>
  <c r="BL1523" i="1"/>
  <c r="BL1524" i="1"/>
  <c r="BL1525" i="1"/>
  <c r="BL1526" i="1"/>
  <c r="BL1527" i="1"/>
  <c r="BL1528" i="1"/>
  <c r="BL1529" i="1"/>
  <c r="BL1531" i="1"/>
  <c r="BL1532" i="1"/>
  <c r="BL1533" i="1"/>
  <c r="BL1534" i="1"/>
  <c r="BL1535" i="1"/>
  <c r="BL1536" i="1"/>
  <c r="BL1537" i="1"/>
  <c r="BL1538" i="1"/>
  <c r="BL1539" i="1"/>
  <c r="BL1540" i="1"/>
  <c r="BL1541" i="1"/>
  <c r="BL1542" i="1"/>
  <c r="BL1543" i="1"/>
  <c r="BL1544" i="1"/>
  <c r="BL1545" i="1"/>
  <c r="BL1546" i="1"/>
  <c r="BL1547" i="1"/>
  <c r="BL1548" i="1"/>
  <c r="BL1549" i="1"/>
  <c r="BL1550" i="1"/>
  <c r="BL1551" i="1"/>
  <c r="BL1552" i="1"/>
  <c r="BL1553" i="1"/>
  <c r="BL1554" i="1"/>
  <c r="BL1555" i="1"/>
  <c r="BL1556" i="1"/>
  <c r="BL1557" i="1"/>
  <c r="BL1558" i="1"/>
  <c r="BL1559" i="1"/>
  <c r="BL1560" i="1"/>
  <c r="BL1561" i="1"/>
  <c r="BL1562" i="1"/>
  <c r="BL1563" i="1"/>
  <c r="BL1564" i="1"/>
  <c r="BL1565" i="1"/>
  <c r="BL1566" i="1"/>
  <c r="BL1567" i="1"/>
  <c r="BL1568" i="1"/>
  <c r="BL1569" i="1"/>
  <c r="BL1570" i="1"/>
  <c r="BL1571" i="1"/>
  <c r="BL1572" i="1"/>
  <c r="BL1573" i="1"/>
  <c r="BL1574" i="1"/>
  <c r="BL1575" i="1"/>
  <c r="BL1576" i="1"/>
  <c r="BL1577" i="1"/>
  <c r="BL1578" i="1"/>
  <c r="BL1579" i="1"/>
  <c r="BL1580" i="1"/>
  <c r="BL1581" i="1"/>
  <c r="BL1582" i="1"/>
  <c r="BL1583" i="1"/>
  <c r="BL1585" i="1"/>
  <c r="BL1584" i="1"/>
  <c r="BL1586" i="1"/>
  <c r="BL1587" i="1"/>
  <c r="BL1588" i="1"/>
  <c r="BL1589" i="1"/>
  <c r="BL1590" i="1"/>
  <c r="BL1591" i="1"/>
  <c r="BL1592" i="1"/>
  <c r="BL1593" i="1"/>
  <c r="BL1594" i="1"/>
  <c r="BL1595" i="1"/>
  <c r="BL1596" i="1"/>
  <c r="BL1597" i="1"/>
  <c r="BL1598" i="1"/>
  <c r="BL1599" i="1"/>
  <c r="BL1600" i="1"/>
  <c r="BL1601" i="1"/>
  <c r="BL1602" i="1"/>
  <c r="BL1603" i="1"/>
  <c r="BL1604" i="1"/>
  <c r="BL1605" i="1"/>
  <c r="BL1606" i="1"/>
  <c r="BL1607" i="1"/>
  <c r="BL1608" i="1"/>
  <c r="BL1609" i="1"/>
  <c r="BL1610" i="1"/>
  <c r="BL1611" i="1"/>
  <c r="BL1612" i="1"/>
  <c r="BL1613" i="1"/>
  <c r="BL1614" i="1"/>
  <c r="BL1615" i="1"/>
  <c r="BL1616" i="1"/>
  <c r="BL1617" i="1"/>
  <c r="BL1618" i="1"/>
  <c r="BL1619" i="1"/>
  <c r="BL1620" i="1"/>
  <c r="BL1621" i="1"/>
  <c r="BL1622" i="1"/>
  <c r="BL1623" i="1"/>
  <c r="BL1624" i="1"/>
  <c r="BL1625" i="1"/>
  <c r="BL1626" i="1"/>
  <c r="BL1627" i="1"/>
  <c r="BL1628" i="1"/>
  <c r="BL1629" i="1"/>
  <c r="BL1630" i="1"/>
  <c r="BL1631" i="1"/>
  <c r="BL1632" i="1"/>
  <c r="BL1633" i="1"/>
  <c r="BL1634" i="1"/>
  <c r="BL1635" i="1"/>
  <c r="BL1636" i="1"/>
  <c r="BL1637" i="1"/>
  <c r="BL1638" i="1"/>
  <c r="BL1639" i="1"/>
  <c r="BL1640" i="1"/>
  <c r="BL1641" i="1"/>
  <c r="BL1642" i="1"/>
  <c r="BL1643" i="1"/>
  <c r="BL1644" i="1"/>
  <c r="BL1645" i="1"/>
  <c r="BL1646" i="1"/>
  <c r="BL1647" i="1"/>
  <c r="BL1648" i="1"/>
  <c r="BL1649" i="1"/>
  <c r="BL1650" i="1"/>
  <c r="BL1651" i="1"/>
  <c r="BL1652" i="1"/>
  <c r="BL1653" i="1"/>
  <c r="BL1654" i="1"/>
  <c r="BL1655" i="1"/>
  <c r="BL1656" i="1"/>
  <c r="BL1657" i="1"/>
  <c r="BL1658" i="1"/>
  <c r="BL1659" i="1"/>
  <c r="BL1660" i="1"/>
  <c r="BL1661" i="1"/>
  <c r="BL1662" i="1"/>
  <c r="BL1663" i="1"/>
  <c r="BL1664" i="1"/>
  <c r="BL1665" i="1"/>
  <c r="BL1666" i="1"/>
  <c r="BL1667" i="1"/>
  <c r="BL1668" i="1"/>
  <c r="BL1669" i="1"/>
  <c r="BL1670" i="1"/>
  <c r="BL1671" i="1"/>
  <c r="BL1673" i="1"/>
  <c r="BL1675" i="1"/>
  <c r="BL1676" i="1"/>
  <c r="BL1677" i="1"/>
  <c r="BL1678" i="1"/>
  <c r="BL1679" i="1"/>
  <c r="BL1680" i="1"/>
  <c r="BL1681" i="1"/>
  <c r="BL1682" i="1"/>
  <c r="BL1683" i="1"/>
  <c r="BL1684" i="1"/>
  <c r="BL1685" i="1"/>
  <c r="BL1686" i="1"/>
  <c r="BL1687" i="1"/>
  <c r="BL1688" i="1"/>
  <c r="BL1689" i="1"/>
  <c r="BL1690" i="1"/>
  <c r="BL1691" i="1"/>
  <c r="BL1692" i="1"/>
  <c r="C1692" i="1" s="1"/>
  <c r="BL1693" i="1"/>
  <c r="BL1694" i="1"/>
  <c r="BL1695" i="1"/>
  <c r="BL1696" i="1"/>
  <c r="BL1697" i="1"/>
  <c r="BL1698" i="1"/>
  <c r="BL1699" i="1"/>
  <c r="BL1700" i="1"/>
  <c r="BL1701" i="1"/>
  <c r="BL1702" i="1"/>
  <c r="BL1703" i="1"/>
  <c r="BL1704" i="1"/>
  <c r="BL1705" i="1"/>
  <c r="BL1706" i="1"/>
  <c r="BL1707" i="1"/>
  <c r="BL1708" i="1"/>
  <c r="BL1709" i="1"/>
  <c r="BL1710" i="1"/>
  <c r="BL1711" i="1"/>
  <c r="BL1712" i="1"/>
  <c r="BL1713" i="1"/>
  <c r="BL1714" i="1"/>
  <c r="BL1715" i="1"/>
  <c r="BL1716" i="1"/>
  <c r="BL1717" i="1"/>
  <c r="BL1718" i="1"/>
  <c r="BL1719" i="1"/>
  <c r="BL1720" i="1"/>
  <c r="BL1721" i="1"/>
  <c r="BL1722" i="1"/>
  <c r="BL1723" i="1"/>
  <c r="BL1725" i="1"/>
  <c r="BL1726" i="1"/>
  <c r="BL1727" i="1"/>
  <c r="BL1728" i="1"/>
  <c r="BL1729" i="1"/>
  <c r="BL1730" i="1"/>
  <c r="BL1731" i="1"/>
  <c r="BL1732" i="1"/>
  <c r="BL1733" i="1"/>
  <c r="BL1734" i="1"/>
  <c r="BL1735" i="1"/>
  <c r="BL1736" i="1"/>
  <c r="BL1737" i="1"/>
  <c r="BL1738" i="1"/>
  <c r="BL1739" i="1"/>
  <c r="BL1740" i="1"/>
  <c r="BL1741" i="1"/>
  <c r="BL1742" i="1"/>
  <c r="BL1743" i="1"/>
  <c r="BL1744" i="1"/>
  <c r="BL1745" i="1"/>
  <c r="BL1746" i="1"/>
  <c r="BL1747" i="1"/>
  <c r="BL1748" i="1"/>
  <c r="BL1749" i="1"/>
  <c r="BL1750" i="1"/>
  <c r="BL1751" i="1"/>
  <c r="BL1752" i="1"/>
  <c r="BL1753" i="1"/>
  <c r="BL1754" i="1"/>
  <c r="BL1756" i="1"/>
  <c r="BL1757" i="1"/>
  <c r="BL1758" i="1"/>
  <c r="BL1759" i="1"/>
  <c r="BL1760" i="1"/>
  <c r="BL1761" i="1"/>
  <c r="BL1762" i="1"/>
  <c r="BL1763" i="1"/>
  <c r="BL1764" i="1"/>
  <c r="BL1765" i="1"/>
  <c r="BL1766" i="1"/>
  <c r="BL1767" i="1"/>
  <c r="BL1768" i="1"/>
  <c r="BL1769" i="1"/>
  <c r="BL1770" i="1"/>
  <c r="BL1772" i="1"/>
  <c r="BL1773" i="1"/>
  <c r="BL1774" i="1"/>
  <c r="BL1775" i="1"/>
  <c r="BL1776" i="1"/>
  <c r="BL1777" i="1"/>
  <c r="BL1778" i="1"/>
  <c r="BL1779" i="1"/>
  <c r="BL1780" i="1"/>
  <c r="BL1782" i="1"/>
  <c r="BL1783" i="1"/>
  <c r="BL1784" i="1"/>
  <c r="BL1785" i="1"/>
  <c r="BL1786" i="1"/>
  <c r="BL1787" i="1"/>
  <c r="BL1788" i="1"/>
  <c r="BL1789" i="1"/>
  <c r="BL1790" i="1"/>
  <c r="BL1791" i="1"/>
  <c r="BL1792" i="1"/>
  <c r="BL1793" i="1"/>
  <c r="BL1794" i="1"/>
  <c r="BL1795" i="1"/>
  <c r="BL1796" i="1"/>
  <c r="BL1797" i="1"/>
  <c r="BL1798" i="1"/>
  <c r="BL1799" i="1"/>
  <c r="BL1800" i="1"/>
  <c r="BL1801" i="1"/>
  <c r="BL1802" i="1"/>
  <c r="BL1803" i="1"/>
  <c r="BL1804" i="1"/>
  <c r="BL1805" i="1"/>
  <c r="BL1806" i="1"/>
  <c r="BL1479" i="1"/>
  <c r="BL1807" i="1"/>
  <c r="BL1808" i="1"/>
  <c r="BL1809" i="1"/>
  <c r="BL1810" i="1"/>
  <c r="BL1811" i="1"/>
  <c r="BL1812" i="1"/>
  <c r="BL1813" i="1"/>
  <c r="BL1814" i="1"/>
  <c r="BL1815" i="1"/>
  <c r="BL1816" i="1"/>
  <c r="BL1817" i="1"/>
  <c r="BL1818" i="1"/>
  <c r="BL1819" i="1"/>
  <c r="BL1820" i="1"/>
  <c r="BL1821" i="1"/>
  <c r="BL1822" i="1"/>
  <c r="BL1823" i="1"/>
  <c r="BL1824" i="1"/>
  <c r="BL1825" i="1"/>
  <c r="BL1826" i="1"/>
  <c r="BL1827" i="1"/>
  <c r="BL1828" i="1"/>
  <c r="BL1829" i="1"/>
  <c r="BL1830" i="1"/>
  <c r="BL1831" i="1"/>
  <c r="BL1832" i="1"/>
  <c r="BL1833" i="1"/>
  <c r="BL1834" i="1"/>
  <c r="BL1835" i="1"/>
  <c r="BL1836" i="1"/>
  <c r="BL1838" i="1"/>
  <c r="BL1839" i="1"/>
  <c r="BL1840" i="1"/>
  <c r="BL1841" i="1"/>
  <c r="BL1842" i="1"/>
  <c r="BL1843" i="1"/>
  <c r="BL1844" i="1"/>
  <c r="BL1845" i="1"/>
  <c r="BL1846" i="1"/>
  <c r="BL1847" i="1"/>
  <c r="BL1848" i="1"/>
  <c r="BL1849" i="1"/>
  <c r="BL1850" i="1"/>
  <c r="BL1851" i="1"/>
  <c r="BL1852" i="1"/>
  <c r="BL1853" i="1"/>
  <c r="BL1855" i="1"/>
  <c r="BL1856" i="1"/>
  <c r="BL1857" i="1"/>
  <c r="BL1858" i="1"/>
  <c r="BL1859" i="1"/>
  <c r="BL1860" i="1"/>
  <c r="BL1861" i="1"/>
  <c r="BL1862" i="1"/>
  <c r="BL1864" i="1"/>
  <c r="BL1865" i="1"/>
  <c r="BL1866" i="1"/>
  <c r="BL1867" i="1"/>
  <c r="BL1868" i="1"/>
  <c r="BL1869" i="1"/>
  <c r="BL1870" i="1"/>
  <c r="BL1872" i="1"/>
  <c r="BL1873" i="1"/>
  <c r="BL1874" i="1"/>
  <c r="BL1875" i="1"/>
  <c r="BL1876" i="1"/>
  <c r="BL1877" i="1"/>
  <c r="BL1878" i="1"/>
  <c r="BL1879" i="1"/>
  <c r="BL1880" i="1"/>
  <c r="BL1881" i="1"/>
  <c r="BL1882" i="1"/>
  <c r="BL1883" i="1"/>
  <c r="BL1884" i="1"/>
  <c r="BL1885" i="1"/>
  <c r="BL1886" i="1"/>
  <c r="BL1887" i="1"/>
  <c r="BL1888" i="1"/>
  <c r="BL1889" i="1"/>
  <c r="BL1890" i="1"/>
  <c r="BL1891" i="1"/>
  <c r="BL1892" i="1"/>
  <c r="BL1893" i="1"/>
  <c r="BL1894" i="1"/>
  <c r="BL1895" i="1"/>
  <c r="BL1896" i="1"/>
  <c r="BL1897" i="1"/>
  <c r="BL1898" i="1"/>
  <c r="BL1899" i="1"/>
  <c r="BL1900" i="1"/>
  <c r="BL1901" i="1"/>
  <c r="BL1902" i="1"/>
  <c r="BL1903" i="1"/>
  <c r="BL1904" i="1"/>
  <c r="BL1492" i="1"/>
  <c r="BL1905" i="1"/>
  <c r="BL1906" i="1"/>
  <c r="BL1907" i="1"/>
  <c r="BL1908" i="1"/>
  <c r="BL1909" i="1"/>
  <c r="BL1910" i="1"/>
  <c r="BL1911" i="1"/>
  <c r="BL1912" i="1"/>
  <c r="BL1913" i="1"/>
  <c r="BL1914" i="1"/>
  <c r="BL1915" i="1"/>
  <c r="BL1916" i="1"/>
  <c r="BL1917" i="1"/>
  <c r="BL1918" i="1"/>
  <c r="BL1919" i="1"/>
  <c r="BL1920" i="1"/>
  <c r="BL1921" i="1"/>
  <c r="BL1923" i="1"/>
  <c r="BL1924" i="1"/>
  <c r="BL1925" i="1"/>
  <c r="BL1926" i="1"/>
  <c r="BL1927" i="1"/>
  <c r="BL1928" i="1"/>
  <c r="BL1929" i="1"/>
  <c r="BL1930" i="1"/>
  <c r="BL1931" i="1"/>
  <c r="BL1932" i="1"/>
  <c r="BL1933" i="1"/>
  <c r="BL1934" i="1"/>
  <c r="BL1935" i="1"/>
  <c r="BL1936" i="1"/>
  <c r="BL1937" i="1"/>
  <c r="BL1938" i="1"/>
  <c r="BL1939" i="1"/>
  <c r="BL1940" i="1"/>
  <c r="BL1941" i="1"/>
  <c r="BL1942" i="1"/>
  <c r="BL1943" i="1"/>
  <c r="BL1945" i="1"/>
  <c r="BL1947" i="1"/>
  <c r="BL1948" i="1"/>
  <c r="BL1949" i="1"/>
  <c r="BL1950" i="1"/>
  <c r="BL1951" i="1"/>
  <c r="BL1952" i="1"/>
  <c r="BL1953" i="1"/>
  <c r="BL1954" i="1"/>
  <c r="BL1955" i="1"/>
  <c r="BL1956" i="1"/>
  <c r="BL1957" i="1"/>
  <c r="BL1958" i="1"/>
  <c r="BL1959" i="1"/>
  <c r="BL1960" i="1"/>
  <c r="BL1961" i="1"/>
  <c r="BL1963" i="1"/>
  <c r="BL1964" i="1"/>
  <c r="BL1965" i="1"/>
  <c r="BL1966" i="1"/>
  <c r="BL1967" i="1"/>
  <c r="BL1968" i="1"/>
  <c r="BL1969" i="1"/>
  <c r="BL1971" i="1"/>
  <c r="BL1972" i="1"/>
  <c r="BL1973" i="1"/>
  <c r="BL1974" i="1"/>
  <c r="BL1975" i="1"/>
  <c r="BL1976" i="1"/>
  <c r="BL1977" i="1"/>
  <c r="BL1978" i="1"/>
  <c r="BL1980" i="1"/>
  <c r="BL1981" i="1"/>
  <c r="BL1982" i="1"/>
  <c r="BL1983" i="1"/>
  <c r="BL1984" i="1"/>
  <c r="BL1985" i="1"/>
  <c r="BL1988" i="1"/>
  <c r="BL1989" i="1"/>
  <c r="BL1990" i="1"/>
  <c r="BL1991" i="1"/>
  <c r="BL1992" i="1"/>
  <c r="BL1993" i="1"/>
  <c r="BL1994" i="1"/>
  <c r="BL1995" i="1"/>
  <c r="BL1996" i="1"/>
  <c r="BL1997" i="1"/>
  <c r="BL1998" i="1"/>
  <c r="BL1999" i="1"/>
  <c r="BL2000" i="1"/>
  <c r="BL2001" i="1"/>
  <c r="BL2002" i="1"/>
  <c r="BL2003" i="1"/>
  <c r="BL2004" i="1"/>
  <c r="BL2005" i="1"/>
  <c r="BL2006" i="1"/>
  <c r="BL2007" i="1"/>
  <c r="BL2008" i="1"/>
  <c r="BL2009" i="1"/>
  <c r="BL2010" i="1"/>
  <c r="BL2011" i="1"/>
  <c r="BL2012" i="1"/>
  <c r="BL2013" i="1"/>
  <c r="BL2014" i="1"/>
  <c r="BL2015" i="1"/>
  <c r="BL2016" i="1"/>
  <c r="BL2017" i="1"/>
  <c r="BL2018" i="1"/>
  <c r="BL2019" i="1"/>
  <c r="BL2020" i="1"/>
  <c r="BL2021" i="1"/>
  <c r="BL2022" i="1"/>
  <c r="BL2024" i="1"/>
  <c r="BL2025" i="1"/>
  <c r="BL2026" i="1"/>
  <c r="BL2027" i="1"/>
  <c r="BL2028" i="1"/>
  <c r="BL2029" i="1"/>
  <c r="BL2030" i="1"/>
  <c r="BL2031" i="1"/>
  <c r="BL2032" i="1"/>
  <c r="BL2033" i="1"/>
  <c r="BL2035" i="1"/>
  <c r="BL2036" i="1"/>
  <c r="BL2037" i="1"/>
  <c r="BL2038" i="1"/>
  <c r="BL2039" i="1"/>
  <c r="BL2040" i="1"/>
  <c r="BL2041" i="1"/>
  <c r="BL2042" i="1"/>
  <c r="BL2043" i="1"/>
  <c r="BL2044" i="1"/>
  <c r="BL2045" i="1"/>
  <c r="BL2046" i="1"/>
  <c r="BL2047" i="1"/>
  <c r="BL2048" i="1"/>
  <c r="BL2049" i="1"/>
  <c r="BL2051" i="1"/>
  <c r="BL2052" i="1"/>
  <c r="BL2053" i="1"/>
  <c r="BL2054" i="1"/>
  <c r="BL2055" i="1"/>
  <c r="BL2056" i="1"/>
  <c r="BL2057" i="1"/>
  <c r="BL2058" i="1"/>
  <c r="BL2059" i="1"/>
  <c r="BL2060" i="1"/>
  <c r="BL2063" i="1"/>
  <c r="BL2064" i="1"/>
  <c r="BL2065" i="1"/>
  <c r="BL2066" i="1"/>
  <c r="BL2067" i="1"/>
  <c r="BL2068" i="1"/>
  <c r="BL2069" i="1"/>
  <c r="BL2070" i="1"/>
  <c r="BL2071" i="1"/>
  <c r="BL2072" i="1"/>
  <c r="BL2073" i="1"/>
  <c r="BL2074" i="1"/>
  <c r="BL2075" i="1"/>
  <c r="BL2076" i="1"/>
  <c r="BL2077" i="1"/>
  <c r="BL1499" i="1"/>
  <c r="BL2078" i="1"/>
  <c r="BL2079" i="1"/>
  <c r="BL2080" i="1"/>
  <c r="BL2081" i="1"/>
  <c r="BL2082" i="1"/>
  <c r="BL2083" i="1"/>
  <c r="BL2084" i="1"/>
  <c r="BL2085" i="1"/>
  <c r="BL2086" i="1"/>
  <c r="BL2087" i="1"/>
  <c r="BL2088" i="1"/>
  <c r="BL2090" i="1"/>
  <c r="BL2091" i="1"/>
  <c r="BL2092" i="1"/>
  <c r="BL2093" i="1"/>
  <c r="BL2094" i="1"/>
  <c r="BL2096" i="1"/>
  <c r="BL2097" i="1"/>
  <c r="BL2098" i="1"/>
  <c r="BL2099" i="1"/>
  <c r="BL2100" i="1"/>
  <c r="BL2101" i="1"/>
  <c r="BL2102" i="1"/>
  <c r="BL2103" i="1"/>
  <c r="BL2104" i="1"/>
  <c r="BL2105" i="1"/>
  <c r="BL2106" i="1"/>
  <c r="BL2107" i="1"/>
  <c r="BL2108" i="1"/>
  <c r="BL2109" i="1"/>
  <c r="BL2110" i="1"/>
  <c r="BL2111" i="1"/>
  <c r="BL2112" i="1"/>
  <c r="BL2113" i="1"/>
  <c r="BL2114" i="1"/>
  <c r="BL2115" i="1"/>
  <c r="BL2116" i="1"/>
  <c r="BL2117" i="1"/>
  <c r="BL2118" i="1"/>
  <c r="BL2119" i="1"/>
  <c r="BL2120" i="1"/>
  <c r="BL2121" i="1"/>
  <c r="BL2122" i="1"/>
  <c r="BL2123" i="1"/>
  <c r="BL2124" i="1"/>
  <c r="BL2125" i="1"/>
  <c r="BL2126" i="1"/>
  <c r="BL2127" i="1"/>
  <c r="BL2128" i="1"/>
  <c r="BL2129" i="1"/>
  <c r="BL2130" i="1"/>
  <c r="BL2131" i="1"/>
  <c r="BL2132" i="1"/>
  <c r="BL2133" i="1"/>
  <c r="BL2134" i="1"/>
  <c r="BL2135" i="1"/>
  <c r="BL2136" i="1"/>
  <c r="BL2137" i="1"/>
  <c r="BL2139" i="1"/>
  <c r="BL2140" i="1"/>
  <c r="BL2141" i="1"/>
  <c r="BL2142" i="1"/>
  <c r="BL2143" i="1"/>
  <c r="BL2144" i="1"/>
  <c r="BL2145" i="1"/>
  <c r="BL2146" i="1"/>
  <c r="BL2147" i="1"/>
  <c r="BL2148" i="1"/>
  <c r="BL2149" i="1"/>
  <c r="BL2150" i="1"/>
  <c r="BL2151" i="1"/>
  <c r="BL2152" i="1"/>
  <c r="BL2153" i="1"/>
  <c r="BL2154" i="1"/>
  <c r="BL2155" i="1"/>
  <c r="BL2156" i="1"/>
  <c r="BL2157" i="1"/>
  <c r="BL2158" i="1"/>
  <c r="BL2159" i="1"/>
  <c r="BL2160" i="1"/>
  <c r="BL2161" i="1"/>
  <c r="BL2162" i="1"/>
  <c r="BL2163" i="1"/>
  <c r="BL2164" i="1"/>
  <c r="BL2165" i="1"/>
  <c r="BL2166" i="1"/>
  <c r="BL2167" i="1"/>
  <c r="BL2168" i="1"/>
  <c r="BL2169" i="1"/>
  <c r="BL2170" i="1"/>
  <c r="BL2171" i="1"/>
  <c r="BL2172" i="1"/>
  <c r="BL2173" i="1"/>
  <c r="BL2174" i="1"/>
  <c r="BL2175" i="1"/>
  <c r="BL2176" i="1"/>
  <c r="BL2177" i="1"/>
  <c r="BL2178" i="1"/>
  <c r="BL2179" i="1"/>
  <c r="BL2180" i="1"/>
  <c r="BL2181" i="1"/>
  <c r="BL2182" i="1"/>
  <c r="BL2183" i="1"/>
  <c r="BL2185" i="1"/>
  <c r="BL2186" i="1"/>
  <c r="BL2187" i="1"/>
  <c r="BL2188" i="1"/>
  <c r="BL2189" i="1"/>
  <c r="BL2190" i="1"/>
  <c r="BL2191" i="1"/>
  <c r="BL2192" i="1"/>
  <c r="BL2193" i="1"/>
  <c r="BL2194" i="1"/>
  <c r="BL2195" i="1"/>
  <c r="BL2196" i="1"/>
  <c r="BL2197" i="1"/>
  <c r="BL2198" i="1"/>
  <c r="BL2199" i="1"/>
  <c r="BL2200" i="1"/>
  <c r="BL2201" i="1"/>
  <c r="BL2202" i="1"/>
  <c r="BL2203" i="1"/>
  <c r="BL2204" i="1"/>
  <c r="BL2205" i="1"/>
  <c r="BL2206" i="1"/>
  <c r="BL2207" i="1"/>
  <c r="BL2208" i="1"/>
  <c r="BL2209" i="1"/>
  <c r="BL2210" i="1"/>
  <c r="BL2211" i="1"/>
  <c r="BL2212" i="1"/>
  <c r="BL2213" i="1"/>
  <c r="BL2214" i="1"/>
  <c r="BL2215" i="1"/>
  <c r="BL2216" i="1"/>
  <c r="BL2217" i="1"/>
  <c r="BL2218" i="1"/>
  <c r="BL2220" i="1"/>
  <c r="BL2221" i="1"/>
  <c r="BL2222" i="1"/>
  <c r="BL2223" i="1"/>
  <c r="BL2224" i="1"/>
  <c r="BL2225" i="1"/>
  <c r="BL2226" i="1"/>
  <c r="BL2227" i="1"/>
  <c r="BL2228" i="1"/>
  <c r="BL2229" i="1"/>
  <c r="BL2230" i="1"/>
  <c r="BL2231" i="1"/>
  <c r="BL2232" i="1"/>
  <c r="BL2233" i="1"/>
  <c r="BL2234" i="1"/>
  <c r="BL2235" i="1"/>
  <c r="BL2236" i="1"/>
  <c r="BL2237" i="1"/>
  <c r="BL2238" i="1"/>
  <c r="BL2239" i="1"/>
  <c r="BL2240" i="1"/>
  <c r="BL2241" i="1"/>
  <c r="BL2242" i="1"/>
  <c r="BL2243" i="1"/>
  <c r="BL2244" i="1"/>
  <c r="BL2245" i="1"/>
  <c r="BL2246" i="1"/>
  <c r="BL2247" i="1"/>
  <c r="BL2248" i="1"/>
  <c r="BL2249" i="1"/>
  <c r="BL2250" i="1"/>
  <c r="BL2251" i="1"/>
  <c r="BL2252" i="1"/>
  <c r="BL2253" i="1"/>
  <c r="BL2254" i="1"/>
  <c r="BL2255" i="1"/>
  <c r="BL2256" i="1"/>
  <c r="BL2257" i="1"/>
  <c r="BL2258" i="1"/>
  <c r="BL2259" i="1"/>
  <c r="BL2260" i="1"/>
  <c r="BL2261" i="1"/>
  <c r="BL2262" i="1"/>
  <c r="BL2263" i="1"/>
  <c r="BL2264" i="1"/>
  <c r="BL2265" i="1"/>
  <c r="BL2266" i="1"/>
  <c r="BL2268" i="1"/>
  <c r="BL2269" i="1"/>
  <c r="BL2270" i="1"/>
  <c r="BL2271" i="1"/>
  <c r="BL2272" i="1"/>
  <c r="BL2273" i="1"/>
  <c r="BL2274" i="1"/>
  <c r="BL2275" i="1"/>
  <c r="BL2276" i="1"/>
  <c r="BL2277" i="1"/>
  <c r="BL2278" i="1"/>
  <c r="BL2279" i="1"/>
  <c r="BL2280" i="1"/>
  <c r="BL2281" i="1"/>
  <c r="BL2283" i="1"/>
  <c r="BL2284" i="1"/>
  <c r="BL2285" i="1"/>
  <c r="BL2286" i="1"/>
  <c r="BL2287" i="1"/>
  <c r="BL2288" i="1"/>
  <c r="BL2289" i="1"/>
  <c r="BL2290" i="1"/>
  <c r="BL2291" i="1"/>
  <c r="BL2292" i="1"/>
  <c r="BL2293" i="1"/>
  <c r="BL2294" i="1"/>
  <c r="BL2295" i="1"/>
  <c r="BL2296" i="1"/>
  <c r="BL2297" i="1"/>
  <c r="BL2298" i="1"/>
  <c r="BL2299" i="1"/>
  <c r="BL2300" i="1"/>
  <c r="BL2301" i="1"/>
  <c r="BL2302" i="1"/>
  <c r="BL2303" i="1"/>
  <c r="BL2304" i="1"/>
  <c r="BL2305" i="1"/>
  <c r="BL2306" i="1"/>
  <c r="BL2307" i="1"/>
  <c r="BL2308" i="1"/>
  <c r="BL2309" i="1"/>
  <c r="BL2310" i="1"/>
  <c r="BL2311" i="1"/>
  <c r="BL2312" i="1"/>
  <c r="C2312" i="1" s="1"/>
  <c r="BL2313" i="1"/>
  <c r="BL2314" i="1"/>
  <c r="BL2315" i="1"/>
  <c r="BL2316" i="1"/>
  <c r="BL2317" i="1"/>
  <c r="BL2318" i="1"/>
  <c r="BL2319" i="1"/>
  <c r="BL2320" i="1"/>
  <c r="BL2321" i="1"/>
  <c r="BL2322" i="1"/>
  <c r="BL2323" i="1"/>
  <c r="BL2324" i="1"/>
  <c r="BL2325" i="1"/>
  <c r="BL2326" i="1"/>
  <c r="BL2327" i="1"/>
  <c r="BL2328" i="1"/>
  <c r="BL2329" i="1"/>
  <c r="BL2330" i="1"/>
  <c r="BL2331" i="1"/>
  <c r="BL2332" i="1"/>
  <c r="BL2333" i="1"/>
  <c r="BL2334" i="1"/>
  <c r="BL2335" i="1"/>
  <c r="BL2336" i="1"/>
  <c r="BL2337" i="1"/>
  <c r="BL2338" i="1"/>
  <c r="BL2339" i="1"/>
  <c r="BL2340" i="1"/>
  <c r="BL2341" i="1"/>
  <c r="BL2342" i="1"/>
  <c r="BL2343" i="1"/>
  <c r="BL2344" i="1"/>
  <c r="BL2345" i="1"/>
  <c r="BL2346" i="1"/>
  <c r="BL2347" i="1"/>
  <c r="BL2348" i="1"/>
  <c r="BL2349" i="1"/>
  <c r="BL2350" i="1"/>
  <c r="BL2351" i="1"/>
  <c r="BL2352" i="1"/>
  <c r="BL2353" i="1"/>
  <c r="BL2354" i="1"/>
  <c r="BL2355" i="1"/>
  <c r="BL2356" i="1"/>
  <c r="BL2357" i="1"/>
  <c r="BL2358" i="1"/>
  <c r="BL2360" i="1"/>
  <c r="BL2361" i="1"/>
  <c r="BL2362" i="1"/>
  <c r="BL2363" i="1"/>
  <c r="BL2364" i="1"/>
  <c r="BL2365" i="1"/>
  <c r="BL2366" i="1"/>
  <c r="BL2367" i="1"/>
  <c r="BL2368" i="1"/>
  <c r="BL2369" i="1"/>
  <c r="BL2370" i="1"/>
  <c r="BL2371" i="1"/>
  <c r="BL2372" i="1"/>
  <c r="BL2373" i="1"/>
  <c r="BL2374" i="1"/>
  <c r="BL2375" i="1"/>
  <c r="BL2376" i="1"/>
  <c r="BL2377" i="1"/>
  <c r="BL2378" i="1"/>
  <c r="BL2379" i="1"/>
  <c r="BL2381" i="1"/>
  <c r="BL2382" i="1"/>
  <c r="BL2383" i="1"/>
  <c r="BL2384" i="1"/>
  <c r="BL2385" i="1"/>
  <c r="BL2386" i="1"/>
  <c r="BL2387" i="1"/>
  <c r="BL2388" i="1"/>
  <c r="BL2389" i="1"/>
  <c r="BL2390" i="1"/>
  <c r="BL2391" i="1"/>
  <c r="BL2392" i="1"/>
  <c r="BL2393" i="1"/>
  <c r="BL2394" i="1"/>
  <c r="BL2395" i="1"/>
  <c r="BL2396" i="1"/>
  <c r="BL2397" i="1"/>
  <c r="BL2398" i="1"/>
  <c r="BL2399" i="1"/>
  <c r="BL2400" i="1"/>
  <c r="BL2401" i="1"/>
  <c r="BL2402" i="1"/>
  <c r="BL2403" i="1"/>
  <c r="BL2404" i="1"/>
  <c r="BL2405" i="1"/>
  <c r="BL2406" i="1"/>
  <c r="BL2407" i="1"/>
  <c r="BL2408" i="1"/>
  <c r="BL2409" i="1"/>
  <c r="BL2410" i="1"/>
  <c r="BL2411" i="1"/>
  <c r="BL2412" i="1"/>
  <c r="BL2413" i="1"/>
  <c r="BL2414" i="1"/>
  <c r="BL2415" i="1"/>
  <c r="BL2416" i="1"/>
  <c r="BL2417" i="1"/>
  <c r="BL2418" i="1"/>
  <c r="BL2419" i="1"/>
  <c r="BL2420" i="1"/>
  <c r="BL2421" i="1"/>
  <c r="BL2422" i="1"/>
  <c r="BL2423" i="1"/>
  <c r="BL2424" i="1"/>
  <c r="BL2425" i="1"/>
  <c r="BL2426" i="1"/>
  <c r="BL2428" i="1"/>
  <c r="BL2429" i="1"/>
  <c r="BL2430" i="1"/>
  <c r="BL2431" i="1"/>
  <c r="BL2432" i="1"/>
  <c r="BL2433" i="1"/>
  <c r="BL2434" i="1"/>
  <c r="BL2435" i="1"/>
  <c r="BL2436" i="1"/>
  <c r="BL2437" i="1"/>
  <c r="BL2438" i="1"/>
  <c r="BL2439" i="1"/>
  <c r="BL2440" i="1"/>
  <c r="BL2441" i="1"/>
  <c r="BL2442" i="1"/>
  <c r="BL2443" i="1"/>
  <c r="BL2444" i="1"/>
  <c r="BL2445" i="1"/>
  <c r="BL2446" i="1"/>
  <c r="BL2447" i="1"/>
  <c r="BL2448" i="1"/>
  <c r="BL2449" i="1"/>
  <c r="BL2450" i="1"/>
  <c r="BL2451" i="1"/>
  <c r="BL2452" i="1"/>
  <c r="BL2617" i="1"/>
  <c r="BL2453" i="1"/>
  <c r="BL2454" i="1"/>
  <c r="BL2455" i="1"/>
  <c r="BL2456" i="1"/>
  <c r="BL2457" i="1"/>
  <c r="BL2458" i="1"/>
  <c r="BL2459" i="1"/>
  <c r="BL2460" i="1"/>
  <c r="BL2461" i="1"/>
  <c r="BL2462" i="1"/>
  <c r="BL2463" i="1"/>
  <c r="BL2464" i="1"/>
  <c r="BL2465" i="1"/>
  <c r="BL2466" i="1"/>
  <c r="BL2467" i="1"/>
  <c r="BL2468" i="1"/>
  <c r="BL2469" i="1"/>
  <c r="BL2470" i="1"/>
  <c r="BL2471" i="1"/>
  <c r="BL2472" i="1"/>
  <c r="BL2473" i="1"/>
  <c r="BL2474" i="1"/>
  <c r="BL2475" i="1"/>
  <c r="BL2476" i="1"/>
  <c r="BL2477" i="1"/>
  <c r="BL2478" i="1"/>
  <c r="BL2479" i="1"/>
  <c r="BL2480" i="1"/>
  <c r="BL2481" i="1"/>
  <c r="BL2482" i="1"/>
  <c r="BL2483" i="1"/>
  <c r="BL2484" i="1"/>
  <c r="BL2485" i="1"/>
  <c r="BL2486" i="1"/>
  <c r="BL2487" i="1"/>
  <c r="BL2488" i="1"/>
  <c r="BL2489" i="1"/>
  <c r="BL2490" i="1"/>
  <c r="BL2491" i="1"/>
  <c r="BL2492" i="1"/>
  <c r="BL2493" i="1"/>
  <c r="BL2494" i="1"/>
  <c r="BL2495" i="1"/>
  <c r="BL2496" i="1"/>
  <c r="BL2497" i="1"/>
  <c r="BL2498" i="1"/>
  <c r="BL2499" i="1"/>
  <c r="BL2500" i="1"/>
  <c r="BL2501" i="1"/>
  <c r="BL2502" i="1"/>
  <c r="BL2503" i="1"/>
  <c r="BL2504" i="1"/>
  <c r="BL2505" i="1"/>
  <c r="BL2506" i="1"/>
  <c r="BL2507" i="1"/>
  <c r="BL2508" i="1"/>
  <c r="BL2509" i="1"/>
  <c r="BL2510" i="1"/>
  <c r="BL2511" i="1"/>
  <c r="BL2512" i="1"/>
  <c r="BL2513" i="1"/>
  <c r="BL2514" i="1"/>
  <c r="BL2515" i="1"/>
  <c r="BL2516" i="1"/>
  <c r="BL2517" i="1"/>
  <c r="BL2518" i="1"/>
  <c r="BL2519" i="1"/>
  <c r="BL2520" i="1"/>
  <c r="BL2521" i="1"/>
  <c r="BL2522" i="1"/>
  <c r="BL2523" i="1"/>
  <c r="BL2524" i="1"/>
  <c r="BL2525" i="1"/>
  <c r="BL2526" i="1"/>
  <c r="BL2527" i="1"/>
  <c r="BL2528" i="1"/>
  <c r="BL2529" i="1"/>
  <c r="BL2530" i="1"/>
  <c r="BL2531" i="1"/>
  <c r="BL2532" i="1"/>
  <c r="BL2533" i="1"/>
  <c r="BL2534" i="1"/>
  <c r="BL2535" i="1"/>
  <c r="BL2536" i="1"/>
  <c r="BL2537" i="1"/>
  <c r="BL2538" i="1"/>
  <c r="BL2539" i="1"/>
  <c r="BL2540" i="1"/>
  <c r="BL2541" i="1"/>
  <c r="BL2542" i="1"/>
  <c r="BL2543" i="1"/>
  <c r="BL2544" i="1"/>
  <c r="BL2545" i="1"/>
  <c r="BL2546" i="1"/>
  <c r="BL2547" i="1"/>
  <c r="BL2548" i="1"/>
  <c r="BL2549" i="1"/>
  <c r="BL2550" i="1"/>
  <c r="BL2551" i="1"/>
  <c r="BL2552" i="1"/>
  <c r="BL2553" i="1"/>
  <c r="BL2554" i="1"/>
  <c r="BL2555" i="1"/>
  <c r="BL2556" i="1"/>
  <c r="BL2557" i="1"/>
  <c r="BL2558" i="1"/>
  <c r="BL2559" i="1"/>
  <c r="BL2560" i="1"/>
  <c r="BL2561" i="1"/>
  <c r="BL2562" i="1"/>
  <c r="BL2563" i="1"/>
  <c r="BL2564" i="1"/>
  <c r="BL2565" i="1"/>
  <c r="BL2566" i="1"/>
  <c r="BL2567" i="1"/>
  <c r="BL2568" i="1"/>
  <c r="BL2569" i="1"/>
  <c r="BL2570" i="1"/>
  <c r="BL2571" i="1"/>
  <c r="BL2572" i="1"/>
  <c r="BL2573" i="1"/>
  <c r="BL2574" i="1"/>
  <c r="BL2575" i="1"/>
  <c r="BL2576" i="1"/>
  <c r="BL2577" i="1"/>
  <c r="BL2578" i="1"/>
  <c r="BL2579" i="1"/>
  <c r="BL2580" i="1"/>
  <c r="BL2581" i="1"/>
  <c r="BL2582" i="1"/>
  <c r="BL2583" i="1"/>
  <c r="BL2584" i="1"/>
  <c r="C2584" i="1" s="1"/>
  <c r="BL2585" i="1"/>
  <c r="BL2586" i="1"/>
  <c r="BL2587" i="1"/>
  <c r="BL2588" i="1"/>
  <c r="BL2589" i="1"/>
  <c r="BL2590" i="1"/>
  <c r="BL2591" i="1"/>
  <c r="BL2592" i="1"/>
  <c r="BL2593" i="1"/>
  <c r="BL2594" i="1"/>
  <c r="BL2595" i="1"/>
  <c r="BL2596" i="1"/>
  <c r="BL2597" i="1"/>
  <c r="BL2598" i="1"/>
  <c r="BL1232" i="1"/>
  <c r="BL2600" i="1"/>
  <c r="BL2601" i="1"/>
  <c r="BL2602" i="1"/>
  <c r="BL2603" i="1"/>
  <c r="BL2604" i="1"/>
  <c r="BL2605" i="1"/>
  <c r="BL2606" i="1"/>
  <c r="BL2607" i="1"/>
  <c r="BL2608" i="1"/>
  <c r="BL2609" i="1"/>
  <c r="BL2610" i="1"/>
  <c r="BL2611" i="1"/>
  <c r="BL2612" i="1"/>
  <c r="BL2613" i="1"/>
  <c r="BL2614" i="1"/>
  <c r="BL2615" i="1"/>
  <c r="BL2616" i="1"/>
  <c r="BL2618" i="1"/>
  <c r="C2618" i="1" s="1"/>
  <c r="BL2619" i="1"/>
  <c r="BL2620" i="1"/>
  <c r="BL2621" i="1"/>
  <c r="BL2622" i="1"/>
  <c r="BL2623" i="1"/>
  <c r="BL2624" i="1"/>
  <c r="BL2625" i="1"/>
  <c r="BL2626" i="1"/>
  <c r="BL2627" i="1"/>
  <c r="BL2628" i="1"/>
  <c r="BL2629" i="1"/>
  <c r="BL2630" i="1"/>
  <c r="BL2631" i="1"/>
  <c r="BL2632" i="1"/>
  <c r="BL2633" i="1"/>
  <c r="BL2634" i="1"/>
  <c r="BL2635" i="1"/>
  <c r="BL2636" i="1"/>
  <c r="BL2637" i="1"/>
  <c r="BL2638" i="1"/>
  <c r="BL2639" i="1"/>
  <c r="BL2640" i="1"/>
  <c r="BL819" i="1"/>
  <c r="BL2641" i="1"/>
  <c r="C2641" i="1" s="1"/>
  <c r="BL2644" i="1"/>
  <c r="BL2645" i="1"/>
  <c r="BL2646" i="1"/>
  <c r="BL2647" i="1"/>
  <c r="BL2648" i="1"/>
  <c r="BL2649" i="1"/>
  <c r="BL2650" i="1"/>
  <c r="BL2651" i="1"/>
  <c r="BL2652" i="1"/>
  <c r="BL2653" i="1"/>
  <c r="BL2654" i="1"/>
  <c r="BL2655" i="1"/>
  <c r="BL2656" i="1"/>
  <c r="BL2657" i="1"/>
  <c r="BL2658" i="1"/>
  <c r="BL2659" i="1"/>
  <c r="BL2660" i="1"/>
  <c r="BL2661" i="1"/>
  <c r="BL2662" i="1"/>
  <c r="BL943" i="1"/>
  <c r="BL2664" i="1"/>
  <c r="BL2665" i="1"/>
  <c r="BL2666" i="1"/>
  <c r="BL2667" i="1"/>
  <c r="BL2668" i="1"/>
  <c r="BL2669" i="1"/>
  <c r="BL2670" i="1"/>
  <c r="BL2671" i="1"/>
  <c r="BL2672" i="1"/>
  <c r="BL2673" i="1"/>
  <c r="BL2674" i="1"/>
  <c r="BL2675" i="1"/>
  <c r="BL2676" i="1"/>
  <c r="BL2677" i="1"/>
  <c r="BL2678" i="1"/>
  <c r="BL2679" i="1"/>
  <c r="BL2680" i="1"/>
  <c r="BL2681" i="1"/>
  <c r="BL2682" i="1"/>
  <c r="BL2683" i="1"/>
  <c r="BL2684" i="1"/>
  <c r="BL2685" i="1"/>
  <c r="BL2686" i="1"/>
  <c r="BL2687" i="1"/>
  <c r="BL2688" i="1"/>
  <c r="BL2689" i="1"/>
  <c r="BL2690" i="1"/>
  <c r="BL2691" i="1"/>
  <c r="BL2692" i="1"/>
  <c r="BL2693" i="1"/>
  <c r="BL2694" i="1"/>
  <c r="BL2695" i="1"/>
  <c r="BL2696" i="1"/>
  <c r="BL2697" i="1"/>
  <c r="BL2698" i="1"/>
  <c r="BL2699" i="1"/>
  <c r="BL2700" i="1"/>
  <c r="BL2701" i="1"/>
  <c r="BL2702" i="1"/>
  <c r="BL2703" i="1"/>
  <c r="BL2704" i="1"/>
  <c r="BL2705" i="1"/>
  <c r="BL2706" i="1"/>
  <c r="BL2707" i="1"/>
  <c r="BL2708" i="1"/>
  <c r="BL2709" i="1"/>
  <c r="BL2710" i="1"/>
  <c r="BL2711" i="1"/>
  <c r="BL2712" i="1"/>
  <c r="BL2713" i="1"/>
  <c r="BL2714" i="1"/>
  <c r="BL2715" i="1"/>
  <c r="BL2716" i="1"/>
  <c r="BL2717" i="1"/>
  <c r="BL2718" i="1"/>
  <c r="BL2719" i="1"/>
  <c r="BL2720" i="1"/>
  <c r="BL2721" i="1"/>
  <c r="BL2722" i="1"/>
  <c r="BL2723" i="1"/>
  <c r="BL2724" i="1"/>
  <c r="BL2725" i="1"/>
  <c r="BL2726" i="1"/>
  <c r="BL2727" i="1"/>
  <c r="BL2728" i="1"/>
  <c r="BL2729" i="1"/>
  <c r="BL2730" i="1"/>
  <c r="BL2731" i="1"/>
  <c r="BL2732" i="1"/>
  <c r="BL2733" i="1"/>
  <c r="BL2734" i="1"/>
  <c r="BL2735" i="1"/>
  <c r="BL2736" i="1"/>
  <c r="BL2737" i="1"/>
  <c r="BL2738" i="1"/>
  <c r="BL2739" i="1"/>
  <c r="BL2740" i="1"/>
  <c r="BL2741" i="1"/>
  <c r="BL2742" i="1"/>
  <c r="BL2743" i="1"/>
  <c r="BL2744" i="1"/>
  <c r="BL2745" i="1"/>
  <c r="BL2746" i="1"/>
  <c r="BL2747" i="1"/>
  <c r="BL2748" i="1"/>
  <c r="BL2749" i="1"/>
  <c r="BL2750" i="1"/>
  <c r="BL2751" i="1"/>
  <c r="BL2752" i="1"/>
  <c r="BL2753" i="1"/>
  <c r="BL2754" i="1"/>
  <c r="BL2755" i="1"/>
  <c r="BL2756" i="1"/>
  <c r="BL2757" i="1"/>
  <c r="BL2758" i="1"/>
  <c r="BL2759" i="1"/>
  <c r="BL2760" i="1"/>
  <c r="BL2761" i="1"/>
  <c r="BL2762" i="1"/>
  <c r="BL2763" i="1"/>
  <c r="BL2764" i="1"/>
  <c r="BL2765" i="1"/>
  <c r="BL2766" i="1"/>
  <c r="BL2767" i="1"/>
  <c r="BL2768" i="1"/>
  <c r="BL2769" i="1"/>
  <c r="BL2770" i="1"/>
  <c r="BL2771" i="1"/>
  <c r="BL2772" i="1"/>
  <c r="BL2773" i="1"/>
  <c r="BL2774" i="1"/>
  <c r="BL2775" i="1"/>
  <c r="BL2776" i="1"/>
  <c r="BL2777" i="1"/>
  <c r="BL2778" i="1"/>
  <c r="BL2779" i="1"/>
  <c r="BL2780" i="1"/>
  <c r="BL2781" i="1"/>
  <c r="BL2782" i="1"/>
  <c r="BL2783" i="1"/>
  <c r="BL2784" i="1"/>
  <c r="BL2785" i="1"/>
  <c r="BL2786" i="1"/>
  <c r="BL2787" i="1"/>
  <c r="BL2788" i="1"/>
  <c r="BL2789" i="1"/>
  <c r="BL2790" i="1"/>
  <c r="BL2791" i="1"/>
  <c r="BL2792" i="1"/>
  <c r="BL2793" i="1"/>
  <c r="BL2794" i="1"/>
  <c r="BL2795" i="1"/>
  <c r="BL2796" i="1"/>
  <c r="BL2797" i="1"/>
  <c r="BL2798" i="1"/>
  <c r="BL2799" i="1"/>
  <c r="BL2800" i="1"/>
  <c r="BL2801" i="1"/>
  <c r="BL2802" i="1"/>
  <c r="BL2803" i="1"/>
  <c r="BL2804" i="1"/>
  <c r="BL2805" i="1"/>
  <c r="BL2806" i="1"/>
  <c r="BL2807" i="1"/>
  <c r="BL2808" i="1"/>
  <c r="BL2809" i="1"/>
  <c r="BL2810" i="1"/>
  <c r="BL2811" i="1"/>
  <c r="BL2812" i="1"/>
  <c r="BL2813" i="1"/>
  <c r="BL2814" i="1"/>
  <c r="BL2815" i="1"/>
  <c r="BL2816" i="1"/>
  <c r="BL2817" i="1"/>
  <c r="BL2818" i="1"/>
  <c r="BL2819" i="1"/>
  <c r="BL2820" i="1"/>
  <c r="BL2821" i="1"/>
  <c r="BL2822" i="1"/>
  <c r="BL2823" i="1"/>
  <c r="BL2824" i="1"/>
  <c r="BL2825" i="1"/>
  <c r="BL2826" i="1"/>
  <c r="BL2827" i="1"/>
  <c r="BL2828" i="1"/>
  <c r="BL2829" i="1"/>
  <c r="BL2830" i="1"/>
  <c r="BL2831" i="1"/>
  <c r="BL2832" i="1"/>
  <c r="BL2833" i="1"/>
  <c r="BL2834" i="1"/>
  <c r="BL2835" i="1"/>
  <c r="BL2836" i="1"/>
  <c r="BL2837" i="1"/>
  <c r="BL2838" i="1"/>
  <c r="BL2839" i="1"/>
  <c r="BL2840" i="1"/>
  <c r="BL2841" i="1"/>
  <c r="BL2842" i="1"/>
  <c r="BL2843" i="1"/>
  <c r="BL2844" i="1"/>
  <c r="BL2845" i="1"/>
  <c r="BL2846" i="1"/>
  <c r="BL2847" i="1"/>
  <c r="BL2848" i="1"/>
  <c r="BL2849" i="1"/>
  <c r="BL2850" i="1"/>
  <c r="BL2851" i="1"/>
  <c r="BL2852" i="1"/>
  <c r="BL2853" i="1"/>
  <c r="BL2854" i="1"/>
  <c r="BL2855" i="1"/>
  <c r="BL2856" i="1"/>
  <c r="BL2857" i="1"/>
  <c r="BL2858" i="1"/>
  <c r="BL2859" i="1"/>
  <c r="BL2860" i="1"/>
  <c r="BL2861" i="1"/>
  <c r="BL2862" i="1"/>
  <c r="BL2863" i="1"/>
  <c r="BL2864" i="1"/>
  <c r="BL2865" i="1"/>
  <c r="BL2866" i="1"/>
  <c r="BL2867" i="1"/>
  <c r="BL2868" i="1"/>
  <c r="BL2869" i="1"/>
  <c r="BL2870" i="1"/>
  <c r="BL2871" i="1"/>
  <c r="BL2872" i="1"/>
  <c r="BL2873" i="1"/>
  <c r="BL2874" i="1"/>
  <c r="BL2875" i="1"/>
  <c r="BL2876" i="1"/>
  <c r="BL2877" i="1"/>
  <c r="BL2878" i="1"/>
  <c r="BL2879" i="1"/>
  <c r="BL2880" i="1"/>
  <c r="BL2881" i="1"/>
  <c r="BL2882" i="1"/>
  <c r="BL2883" i="1"/>
  <c r="BL2884" i="1"/>
  <c r="BL2885" i="1"/>
  <c r="BL2886" i="1"/>
  <c r="BL2887" i="1"/>
  <c r="BL2888" i="1"/>
  <c r="BL2889" i="1"/>
  <c r="BL2890" i="1"/>
  <c r="BL2891" i="1"/>
  <c r="BL2892" i="1"/>
  <c r="BL2893" i="1"/>
  <c r="BL2894" i="1"/>
  <c r="BL2895" i="1"/>
  <c r="BL2896" i="1"/>
  <c r="BL2897" i="1"/>
  <c r="BL2898" i="1"/>
  <c r="BL2899" i="1"/>
  <c r="BL2900" i="1"/>
  <c r="BL2901" i="1"/>
  <c r="BL2902" i="1"/>
  <c r="BL2903" i="1"/>
  <c r="C2903" i="1" s="1"/>
  <c r="BL2904" i="1"/>
  <c r="BL2905" i="1"/>
  <c r="BL2906" i="1"/>
  <c r="BL2907" i="1"/>
  <c r="BL2908" i="1"/>
  <c r="BL2909" i="1"/>
  <c r="C2909" i="1" s="1"/>
  <c r="BL2911" i="1"/>
  <c r="BL2912" i="1"/>
  <c r="BL2913" i="1"/>
  <c r="BL2914" i="1"/>
  <c r="BL2915" i="1"/>
  <c r="BL2916" i="1"/>
  <c r="BL2917" i="1"/>
  <c r="BL2918" i="1"/>
  <c r="BL2920" i="1"/>
  <c r="BL2921" i="1"/>
  <c r="BL2922" i="1"/>
  <c r="BL2923" i="1"/>
  <c r="BL2924" i="1"/>
  <c r="BL2925" i="1"/>
  <c r="BL2926" i="1"/>
  <c r="BL2927" i="1"/>
  <c r="BL2928" i="1"/>
  <c r="BL2929" i="1"/>
  <c r="BL2930" i="1"/>
  <c r="BL2931" i="1"/>
  <c r="BL2932" i="1"/>
  <c r="BL2933" i="1"/>
  <c r="BL2934" i="1"/>
  <c r="BL2935" i="1"/>
  <c r="BL2936" i="1"/>
  <c r="BL2937" i="1"/>
  <c r="BL2938" i="1"/>
  <c r="BL2939" i="1"/>
  <c r="BL2940" i="1"/>
  <c r="BL2941" i="1"/>
  <c r="BL2942" i="1"/>
  <c r="BL2943" i="1"/>
  <c r="BL2944" i="1"/>
  <c r="BL2945" i="1"/>
  <c r="BL2946" i="1"/>
  <c r="BL2947" i="1"/>
  <c r="BL2948" i="1"/>
  <c r="BL2949" i="1"/>
  <c r="BL2950" i="1"/>
  <c r="BL2951" i="1"/>
  <c r="BL2952" i="1"/>
  <c r="BL2953" i="1"/>
  <c r="BL2954" i="1"/>
  <c r="BL2955" i="1"/>
  <c r="BL2956" i="1"/>
  <c r="BL2957" i="1"/>
  <c r="BL2958" i="1"/>
  <c r="BL2959" i="1"/>
  <c r="BL2960" i="1"/>
  <c r="BL2961" i="1"/>
  <c r="BL2962" i="1"/>
  <c r="BL2963" i="1"/>
  <c r="BL2964" i="1"/>
  <c r="BL2965" i="1"/>
  <c r="BL2966" i="1"/>
  <c r="BL2967" i="1"/>
  <c r="BL2968" i="1"/>
  <c r="BL2969" i="1"/>
  <c r="BL2970" i="1"/>
  <c r="BL2971" i="1"/>
  <c r="BL2972" i="1"/>
  <c r="BL2973" i="1"/>
  <c r="BL2974" i="1"/>
  <c r="BL2975" i="1"/>
  <c r="BL2976" i="1"/>
  <c r="BL2977" i="1"/>
  <c r="BL2978" i="1"/>
  <c r="BL2979" i="1"/>
  <c r="BL2980" i="1"/>
  <c r="BL2981" i="1"/>
  <c r="BL2982" i="1"/>
  <c r="BL2984" i="1"/>
  <c r="BL2985" i="1"/>
  <c r="BL2986" i="1"/>
  <c r="BL2987" i="1"/>
  <c r="BL2988" i="1"/>
  <c r="BL2989" i="1"/>
  <c r="BL2990" i="1"/>
  <c r="BL2991" i="1"/>
  <c r="BL2992" i="1"/>
  <c r="BL2993" i="1"/>
  <c r="BL2995" i="1"/>
  <c r="BL2996" i="1"/>
  <c r="BL2997" i="1"/>
  <c r="BL2998" i="1"/>
  <c r="BL2999" i="1"/>
  <c r="BL3000" i="1"/>
  <c r="BL3001" i="1"/>
  <c r="BL3002" i="1"/>
  <c r="BL3003" i="1"/>
  <c r="BL3004" i="1"/>
  <c r="BL3005" i="1"/>
  <c r="BL3006" i="1"/>
  <c r="BL3007" i="1"/>
  <c r="BL3008" i="1"/>
  <c r="BL3009" i="1"/>
  <c r="BL3010" i="1"/>
  <c r="BL3011" i="1"/>
  <c r="BL3012" i="1"/>
  <c r="BL3013" i="1"/>
  <c r="BL3014" i="1"/>
  <c r="BL3015" i="1"/>
  <c r="BL3016" i="1"/>
  <c r="BL3017" i="1"/>
  <c r="BL3018" i="1"/>
  <c r="BL3019" i="1"/>
  <c r="BL3020" i="1"/>
  <c r="BL3021" i="1"/>
  <c r="BL3022" i="1"/>
  <c r="BL3023" i="1"/>
  <c r="BL3024" i="1"/>
  <c r="BL3025" i="1"/>
  <c r="BL3026" i="1"/>
  <c r="BL3027" i="1"/>
  <c r="BL3028" i="1"/>
  <c r="BL3029" i="1"/>
  <c r="BL3030" i="1"/>
  <c r="BL3031" i="1"/>
  <c r="BL3032" i="1"/>
  <c r="BL3033" i="1"/>
  <c r="BL3034" i="1"/>
  <c r="BL3035" i="1"/>
  <c r="BL3036" i="1"/>
  <c r="BL3037" i="1"/>
  <c r="BL3038" i="1"/>
  <c r="BL3039" i="1"/>
  <c r="BL3040" i="1"/>
  <c r="BL3041" i="1"/>
  <c r="BL3042" i="1"/>
  <c r="BL3043" i="1"/>
  <c r="BL3044" i="1"/>
  <c r="BL3045" i="1"/>
  <c r="BL3046" i="1"/>
  <c r="BL3047" i="1"/>
  <c r="BL3048" i="1"/>
  <c r="BL3049" i="1"/>
  <c r="BL3050" i="1"/>
  <c r="BL3051" i="1"/>
  <c r="BL3052" i="1"/>
  <c r="BL3053" i="1"/>
  <c r="BL3054" i="1"/>
  <c r="BL3055" i="1"/>
  <c r="BL3056" i="1"/>
  <c r="BL3057" i="1"/>
  <c r="BL3058" i="1"/>
  <c r="BL3059" i="1"/>
  <c r="BL3060" i="1"/>
  <c r="BL3061" i="1"/>
  <c r="BL3062" i="1"/>
  <c r="BL3063" i="1"/>
  <c r="BL3064" i="1"/>
  <c r="BL3065" i="1"/>
  <c r="BL3066" i="1"/>
  <c r="BL3067" i="1"/>
  <c r="BL3068" i="1"/>
  <c r="BL3069" i="1"/>
  <c r="BL3070" i="1"/>
  <c r="BL3071" i="1"/>
  <c r="BL3072" i="1"/>
  <c r="BL3073" i="1"/>
  <c r="BL3074" i="1"/>
  <c r="BL3075" i="1"/>
  <c r="BL3076" i="1"/>
  <c r="BL3077" i="1"/>
  <c r="BL3078" i="1"/>
  <c r="BL3079" i="1"/>
  <c r="BL3080" i="1"/>
  <c r="BL3081" i="1"/>
  <c r="BL3082" i="1"/>
  <c r="BL3083" i="1"/>
  <c r="BL3084" i="1"/>
  <c r="BL3085" i="1"/>
  <c r="BL3086" i="1"/>
  <c r="BL3087" i="1"/>
  <c r="BL3088" i="1"/>
  <c r="BL3089" i="1"/>
  <c r="BL3090" i="1"/>
  <c r="BL3091" i="1"/>
  <c r="BL3092" i="1"/>
  <c r="BL3093" i="1"/>
  <c r="BL3094" i="1"/>
  <c r="BL3095" i="1"/>
  <c r="BL3096" i="1"/>
  <c r="BL3097" i="1"/>
  <c r="BL3098" i="1"/>
  <c r="BL3099" i="1"/>
  <c r="BL3100" i="1"/>
  <c r="BL3101" i="1"/>
  <c r="BL3102" i="1"/>
  <c r="BL3103" i="1"/>
  <c r="BL3104" i="1"/>
  <c r="BL3105" i="1"/>
  <c r="BL3106" i="1"/>
  <c r="BL3107" i="1"/>
  <c r="BL3108" i="1"/>
  <c r="BL3109" i="1"/>
  <c r="BL3110" i="1"/>
  <c r="BL3111" i="1"/>
  <c r="BL3112" i="1"/>
  <c r="BL3113" i="1"/>
  <c r="BL3114" i="1"/>
  <c r="BL3115" i="1"/>
  <c r="BL3116" i="1"/>
  <c r="BL3117" i="1"/>
  <c r="BL3118" i="1"/>
  <c r="BL3119" i="1"/>
  <c r="BL3120" i="1"/>
  <c r="BL3121" i="1"/>
  <c r="BL3122" i="1"/>
  <c r="BL2994" i="1"/>
  <c r="BL3123" i="1"/>
  <c r="BL3127" i="1"/>
  <c r="BL3124" i="1"/>
  <c r="BL3125" i="1"/>
  <c r="BL3126" i="1"/>
  <c r="BL3128" i="1"/>
  <c r="BL3129" i="1"/>
  <c r="BL3130" i="1"/>
  <c r="BL3131" i="1"/>
  <c r="BL3132" i="1"/>
  <c r="BL3133" i="1"/>
  <c r="BL3134" i="1"/>
  <c r="BL3135" i="1"/>
  <c r="BL3136" i="1"/>
  <c r="BL3137" i="1"/>
  <c r="BL3138" i="1"/>
  <c r="BL3139" i="1"/>
  <c r="BL3140" i="1"/>
  <c r="BL3141" i="1"/>
  <c r="BL832" i="1"/>
  <c r="BL3143" i="1"/>
  <c r="BL3144" i="1"/>
  <c r="BL3145" i="1"/>
  <c r="BL3146" i="1"/>
  <c r="BL3148" i="1"/>
  <c r="BL3149" i="1"/>
  <c r="BL3150" i="1"/>
  <c r="BL3151" i="1"/>
  <c r="BL3152" i="1"/>
  <c r="BL3153" i="1"/>
  <c r="BL3154" i="1"/>
  <c r="BL2643" i="1"/>
  <c r="C1699" i="1" l="1"/>
  <c r="O1699" i="1"/>
  <c r="M1699" i="1"/>
  <c r="B1699" i="1"/>
  <c r="C1688" i="1"/>
  <c r="O1688" i="1"/>
  <c r="M1688" i="1"/>
  <c r="B1688" i="1"/>
  <c r="C1698" i="1"/>
  <c r="O1698" i="1"/>
  <c r="M1698" i="1"/>
  <c r="B1698" i="1"/>
  <c r="C1695" i="1"/>
  <c r="O1695" i="1"/>
  <c r="M1695" i="1"/>
  <c r="B1695" i="1"/>
  <c r="C1685" i="1"/>
  <c r="O1685" i="1"/>
  <c r="M1685" i="1"/>
  <c r="B1685" i="1"/>
  <c r="C1441" i="1"/>
  <c r="O1441" i="1"/>
  <c r="M1441" i="1"/>
  <c r="B1441" i="1"/>
  <c r="C1440" i="1"/>
  <c r="O1440" i="1"/>
  <c r="M1440" i="1"/>
  <c r="B1440" i="1"/>
  <c r="C1438" i="1"/>
  <c r="O1438" i="1"/>
  <c r="M1438" i="1"/>
  <c r="B1438" i="1"/>
  <c r="C1277" i="1"/>
  <c r="O1277" i="1"/>
  <c r="M1277" i="1"/>
  <c r="B1277" i="1"/>
  <c r="C1492" i="1"/>
  <c r="O1492" i="1"/>
  <c r="M1492" i="1"/>
  <c r="B1492" i="1"/>
  <c r="C1499" i="1"/>
  <c r="O1499" i="1"/>
  <c r="M1499" i="1"/>
  <c r="B1499" i="1"/>
  <c r="C1479" i="1"/>
  <c r="O1479" i="1"/>
  <c r="M1479" i="1"/>
  <c r="B1479" i="1"/>
  <c r="C830" i="1"/>
  <c r="O830" i="1"/>
  <c r="M830" i="1"/>
  <c r="B830" i="1"/>
  <c r="C829" i="1"/>
  <c r="O829" i="1"/>
  <c r="M829" i="1"/>
  <c r="B829" i="1"/>
  <c r="C1439" i="1"/>
  <c r="O1439" i="1"/>
  <c r="M1439" i="1"/>
  <c r="B1439" i="1"/>
  <c r="C1437" i="1"/>
  <c r="O1437" i="1"/>
  <c r="M1437" i="1"/>
  <c r="B1437" i="1"/>
  <c r="C2900" i="1"/>
  <c r="O2900" i="1"/>
  <c r="M2900" i="1"/>
  <c r="B2900" i="1"/>
  <c r="M2426" i="1"/>
  <c r="C828" i="1"/>
  <c r="O828" i="1"/>
  <c r="M828" i="1"/>
  <c r="B828" i="1"/>
  <c r="C1774" i="1"/>
  <c r="O1774" i="1"/>
  <c r="M1774" i="1"/>
  <c r="B1774" i="1"/>
  <c r="C1655" i="1"/>
  <c r="O1655" i="1"/>
  <c r="M1655" i="1"/>
  <c r="B1655" i="1"/>
  <c r="C1599" i="1"/>
  <c r="O1599" i="1"/>
  <c r="M1599" i="1"/>
  <c r="B1599" i="1"/>
  <c r="C1435" i="1"/>
  <c r="O1435" i="1"/>
  <c r="M1435" i="1"/>
  <c r="B1435" i="1"/>
  <c r="C1403" i="1"/>
  <c r="O1403" i="1"/>
  <c r="M1403" i="1"/>
  <c r="B1403" i="1"/>
  <c r="C1402" i="1"/>
  <c r="O1402" i="1"/>
  <c r="M1402" i="1"/>
  <c r="B1402" i="1"/>
  <c r="C1991" i="1"/>
  <c r="O1991" i="1"/>
  <c r="M1991" i="1"/>
  <c r="B1991" i="1"/>
  <c r="C2426" i="1"/>
  <c r="O2426" i="1"/>
  <c r="B2426" i="1"/>
  <c r="C2387" i="1"/>
  <c r="O2387" i="1"/>
  <c r="M2387" i="1"/>
  <c r="B2387" i="1"/>
  <c r="C1669" i="1"/>
  <c r="O1669" i="1"/>
  <c r="M1669" i="1"/>
  <c r="B1669" i="1"/>
  <c r="C2476" i="1"/>
  <c r="O2476" i="1"/>
  <c r="M2476" i="1"/>
  <c r="B2476" i="1"/>
  <c r="C2629" i="1"/>
  <c r="O2629" i="1"/>
  <c r="M2629" i="1"/>
  <c r="B2629" i="1"/>
  <c r="C2632" i="1"/>
  <c r="O2632" i="1"/>
  <c r="M2632" i="1"/>
  <c r="B2632" i="1"/>
  <c r="C2628" i="1"/>
  <c r="O2628" i="1"/>
  <c r="M2628" i="1"/>
  <c r="B2628" i="1"/>
  <c r="BA9" i="1"/>
  <c r="C2643" i="1"/>
  <c r="O2643" i="1"/>
  <c r="M2643" i="1"/>
  <c r="B2643" i="1"/>
  <c r="C2202" i="1"/>
  <c r="O2202" i="1"/>
  <c r="M2202" i="1"/>
  <c r="B2202" i="1"/>
  <c r="C2226" i="1"/>
  <c r="O2226" i="1"/>
  <c r="M2226" i="1"/>
  <c r="B2226" i="1"/>
  <c r="C2898" i="1"/>
  <c r="O2898" i="1"/>
  <c r="M2898" i="1"/>
  <c r="B2898" i="1"/>
  <c r="C1920" i="1"/>
  <c r="O1920" i="1"/>
  <c r="M1920" i="1"/>
  <c r="B1920" i="1"/>
  <c r="B1787" i="1"/>
  <c r="M1787" i="1"/>
  <c r="O1787" i="1"/>
  <c r="C1787" i="1"/>
  <c r="C2631" i="1"/>
  <c r="O2631" i="1"/>
  <c r="M2631" i="1"/>
  <c r="B2631" i="1"/>
  <c r="C2630" i="1"/>
  <c r="O2630" i="1"/>
  <c r="M2630" i="1"/>
  <c r="B2630" i="1"/>
  <c r="C1140" i="1"/>
  <c r="O1140" i="1"/>
  <c r="M1140" i="1"/>
  <c r="B1140" i="1"/>
  <c r="C1823" i="1"/>
  <c r="O1823" i="1"/>
  <c r="M1823" i="1"/>
  <c r="B1823" i="1"/>
  <c r="C811" i="1"/>
  <c r="O811" i="1"/>
  <c r="M811" i="1"/>
  <c r="B811" i="1"/>
  <c r="C2149" i="1"/>
  <c r="O2149" i="1"/>
  <c r="M2149" i="1"/>
  <c r="B2149" i="1"/>
  <c r="C2627" i="1"/>
  <c r="O2627" i="1"/>
  <c r="M2627" i="1"/>
  <c r="B2627" i="1"/>
  <c r="C1700" i="1"/>
  <c r="O1700" i="1"/>
  <c r="M1700" i="1"/>
  <c r="B1700" i="1"/>
  <c r="B258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2089"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7" i="1"/>
  <c r="B809" i="1"/>
  <c r="B810" i="1"/>
  <c r="B812" i="1"/>
  <c r="B813" i="1"/>
  <c r="B815" i="1"/>
  <c r="B816" i="1"/>
  <c r="B817" i="1"/>
  <c r="B883" i="1"/>
  <c r="B820" i="1"/>
  <c r="B821" i="1"/>
  <c r="B822" i="1"/>
  <c r="B823" i="1"/>
  <c r="B824" i="1"/>
  <c r="B825" i="1"/>
  <c r="B827" i="1"/>
  <c r="B831" i="1"/>
  <c r="B834" i="1"/>
  <c r="B835" i="1"/>
  <c r="B836" i="1"/>
  <c r="B837" i="1"/>
  <c r="B838" i="1"/>
  <c r="B839" i="1"/>
  <c r="B840" i="1"/>
  <c r="B841" i="1"/>
  <c r="B842" i="1"/>
  <c r="B843" i="1"/>
  <c r="B846" i="1"/>
  <c r="B849" i="1"/>
  <c r="B850" i="1"/>
  <c r="B851" i="1"/>
  <c r="B852" i="1"/>
  <c r="B853" i="1"/>
  <c r="B854" i="1"/>
  <c r="B855" i="1"/>
  <c r="B856" i="1"/>
  <c r="B857" i="1"/>
  <c r="B858" i="1"/>
  <c r="B859" i="1"/>
  <c r="B860" i="1"/>
  <c r="B861" i="1"/>
  <c r="B862" i="1"/>
  <c r="B863" i="1"/>
  <c r="B864" i="1"/>
  <c r="B865" i="1"/>
  <c r="B866" i="1"/>
  <c r="B867" i="1"/>
  <c r="B868" i="1"/>
  <c r="B869" i="1"/>
  <c r="B870" i="1"/>
  <c r="B871" i="1"/>
  <c r="B874" i="1"/>
  <c r="B875" i="1"/>
  <c r="B876" i="1"/>
  <c r="B877" i="1"/>
  <c r="B878" i="1"/>
  <c r="B879" i="1"/>
  <c r="B881"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1866" i="1"/>
  <c r="B909" i="1"/>
  <c r="B1885" i="1"/>
  <c r="B910" i="1"/>
  <c r="B911" i="1"/>
  <c r="B913" i="1"/>
  <c r="B914" i="1"/>
  <c r="B915" i="1"/>
  <c r="B1916" i="1"/>
  <c r="B916" i="1"/>
  <c r="B917" i="1"/>
  <c r="B918" i="1"/>
  <c r="B1155" i="1"/>
  <c r="B919" i="1"/>
  <c r="B920" i="1"/>
  <c r="B921" i="1"/>
  <c r="B922" i="1"/>
  <c r="B923" i="1"/>
  <c r="B2633" i="1"/>
  <c r="B927" i="1"/>
  <c r="B928" i="1"/>
  <c r="B929" i="1"/>
  <c r="B930" i="1"/>
  <c r="B931" i="1"/>
  <c r="B932" i="1"/>
  <c r="B934" i="1"/>
  <c r="B935" i="1"/>
  <c r="B936" i="1"/>
  <c r="B937" i="1"/>
  <c r="B938" i="1"/>
  <c r="B939" i="1"/>
  <c r="B940" i="1"/>
  <c r="B941" i="1"/>
  <c r="B942" i="1"/>
  <c r="B2663" i="1"/>
  <c r="B944"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1" i="1"/>
  <c r="B1142" i="1"/>
  <c r="B1143" i="1"/>
  <c r="B1144" i="1"/>
  <c r="B1145" i="1"/>
  <c r="B1146" i="1"/>
  <c r="B1147" i="1"/>
  <c r="B1148" i="1"/>
  <c r="B1149" i="1"/>
  <c r="B1150" i="1"/>
  <c r="B1151" i="1"/>
  <c r="B1153" i="1"/>
  <c r="B1154"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880" i="1"/>
  <c r="B1188" i="1"/>
  <c r="B1189" i="1"/>
  <c r="B1190" i="1"/>
  <c r="B1191" i="1"/>
  <c r="B1192" i="1"/>
  <c r="B1196" i="1"/>
  <c r="B1197" i="1"/>
  <c r="B1198" i="1"/>
  <c r="B1199" i="1"/>
  <c r="B1200" i="1"/>
  <c r="B1201" i="1"/>
  <c r="B1202" i="1"/>
  <c r="B1203" i="1"/>
  <c r="B1204" i="1"/>
  <c r="B1205" i="1"/>
  <c r="B1206" i="1"/>
  <c r="B1207" i="1"/>
  <c r="B1208" i="1"/>
  <c r="B1209" i="1"/>
  <c r="B1210" i="1"/>
  <c r="B1211" i="1"/>
  <c r="B1212" i="1"/>
  <c r="B1213" i="1"/>
  <c r="B1214" i="1"/>
  <c r="B1215" i="1"/>
  <c r="B1216" i="1"/>
  <c r="B1217" i="1"/>
  <c r="B808" i="1"/>
  <c r="B1219" i="1"/>
  <c r="B1220" i="1"/>
  <c r="B1221" i="1"/>
  <c r="B1222" i="1"/>
  <c r="B1223" i="1"/>
  <c r="B1224" i="1"/>
  <c r="B1225" i="1"/>
  <c r="B1226" i="1"/>
  <c r="B1227" i="1"/>
  <c r="B1228" i="1"/>
  <c r="B1229" i="1"/>
  <c r="B1230" i="1"/>
  <c r="B1231"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1" i="1"/>
  <c r="B1262" i="1"/>
  <c r="B1263" i="1"/>
  <c r="B1264" i="1"/>
  <c r="B1265" i="1"/>
  <c r="B1266" i="1"/>
  <c r="B1267" i="1"/>
  <c r="B1268" i="1"/>
  <c r="B882" i="1"/>
  <c r="B1270" i="1"/>
  <c r="B1271" i="1"/>
  <c r="B1272" i="1"/>
  <c r="B1273" i="1"/>
  <c r="B1274" i="1"/>
  <c r="B1275" i="1"/>
  <c r="B1276" i="1"/>
  <c r="B1278"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6"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80" i="1"/>
  <c r="B1481" i="1"/>
  <c r="B1482" i="1"/>
  <c r="B1483" i="1"/>
  <c r="B1484" i="1"/>
  <c r="B1485" i="1"/>
  <c r="B1486" i="1"/>
  <c r="B1487" i="1"/>
  <c r="B1488" i="1"/>
  <c r="B1489" i="1"/>
  <c r="B1490" i="1"/>
  <c r="B1491" i="1"/>
  <c r="B1493" i="1"/>
  <c r="B1494" i="1"/>
  <c r="B1495" i="1"/>
  <c r="B1496" i="1"/>
  <c r="B1497" i="1"/>
  <c r="B1498" i="1"/>
  <c r="B1500" i="1"/>
  <c r="B1501" i="1"/>
  <c r="B1502" i="1"/>
  <c r="B1503" i="1"/>
  <c r="B1504" i="1"/>
  <c r="B1505" i="1"/>
  <c r="B1506" i="1"/>
  <c r="B1507" i="1"/>
  <c r="B1508" i="1"/>
  <c r="B1509" i="1"/>
  <c r="B1510" i="1"/>
  <c r="B1511" i="1"/>
  <c r="B1512" i="1"/>
  <c r="B1513" i="1"/>
  <c r="B1514" i="1"/>
  <c r="B1515" i="1"/>
  <c r="B1516" i="1"/>
  <c r="B1517" i="1"/>
  <c r="B2983" i="1"/>
  <c r="B1519" i="1"/>
  <c r="B1520" i="1"/>
  <c r="B1521" i="1"/>
  <c r="B1522" i="1"/>
  <c r="B1523" i="1"/>
  <c r="B1524" i="1"/>
  <c r="B1525" i="1"/>
  <c r="B1526" i="1"/>
  <c r="B1527" i="1"/>
  <c r="B1528" i="1"/>
  <c r="B1529"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5" i="1"/>
  <c r="B1584" i="1"/>
  <c r="B1586" i="1"/>
  <c r="B1587" i="1"/>
  <c r="B1588" i="1"/>
  <c r="B1589" i="1"/>
  <c r="B1590" i="1"/>
  <c r="B1591" i="1"/>
  <c r="B1592" i="1"/>
  <c r="B1593" i="1"/>
  <c r="B1594" i="1"/>
  <c r="B1595" i="1"/>
  <c r="B1596" i="1"/>
  <c r="B1597" i="1"/>
  <c r="B1598"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6" i="1"/>
  <c r="B1657" i="1"/>
  <c r="B1658" i="1"/>
  <c r="B1659" i="1"/>
  <c r="B1660" i="1"/>
  <c r="B1661" i="1"/>
  <c r="B1662" i="1"/>
  <c r="B1663" i="1"/>
  <c r="B1664" i="1"/>
  <c r="B1665" i="1"/>
  <c r="B1666" i="1"/>
  <c r="B1667" i="1"/>
  <c r="B1668" i="1"/>
  <c r="B1670" i="1"/>
  <c r="B1671" i="1"/>
  <c r="B1673" i="1"/>
  <c r="B1675" i="1"/>
  <c r="B1676" i="1"/>
  <c r="B1677" i="1"/>
  <c r="B1678" i="1"/>
  <c r="B1679" i="1"/>
  <c r="B1680" i="1"/>
  <c r="B1681" i="1"/>
  <c r="B1682" i="1"/>
  <c r="B1683" i="1"/>
  <c r="B1684" i="1"/>
  <c r="B1686" i="1"/>
  <c r="B1687" i="1"/>
  <c r="B1689" i="1"/>
  <c r="B1690" i="1"/>
  <c r="B1691" i="1"/>
  <c r="B1692" i="1"/>
  <c r="B1693" i="1"/>
  <c r="B1694" i="1"/>
  <c r="B1696" i="1"/>
  <c r="B1697"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6" i="1"/>
  <c r="B1757" i="1"/>
  <c r="B1758" i="1"/>
  <c r="B1759" i="1"/>
  <c r="B1760" i="1"/>
  <c r="B1761" i="1"/>
  <c r="B1762" i="1"/>
  <c r="B1763" i="1"/>
  <c r="B1764" i="1"/>
  <c r="B1765" i="1"/>
  <c r="B1766" i="1"/>
  <c r="B1767" i="1"/>
  <c r="B1768" i="1"/>
  <c r="B1769" i="1"/>
  <c r="B1770" i="1"/>
  <c r="B1772" i="1"/>
  <c r="B1773" i="1"/>
  <c r="B1775" i="1"/>
  <c r="B1776" i="1"/>
  <c r="B1777" i="1"/>
  <c r="B1778" i="1"/>
  <c r="B1779" i="1"/>
  <c r="B1780" i="1"/>
  <c r="B1782" i="1"/>
  <c r="B1783" i="1"/>
  <c r="B1784" i="1"/>
  <c r="B1785" i="1"/>
  <c r="B1786"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4" i="1"/>
  <c r="B1825" i="1"/>
  <c r="B1826" i="1"/>
  <c r="B1827" i="1"/>
  <c r="B1828" i="1"/>
  <c r="B1829" i="1"/>
  <c r="B1830" i="1"/>
  <c r="B1831" i="1"/>
  <c r="B1832" i="1"/>
  <c r="B1833" i="1"/>
  <c r="B1834" i="1"/>
  <c r="B1835" i="1"/>
  <c r="B1836" i="1"/>
  <c r="B1838" i="1"/>
  <c r="B1839" i="1"/>
  <c r="B1840" i="1"/>
  <c r="B1841" i="1"/>
  <c r="B1842" i="1"/>
  <c r="B1843" i="1"/>
  <c r="B1844" i="1"/>
  <c r="B1845" i="1"/>
  <c r="B1846" i="1"/>
  <c r="B1847" i="1"/>
  <c r="B1848" i="1"/>
  <c r="B1849" i="1"/>
  <c r="B1850" i="1"/>
  <c r="B1851" i="1"/>
  <c r="B1852" i="1"/>
  <c r="B1853" i="1"/>
  <c r="B1855" i="1"/>
  <c r="B1856" i="1"/>
  <c r="B1857" i="1"/>
  <c r="B1858" i="1"/>
  <c r="B1859" i="1"/>
  <c r="B1860" i="1"/>
  <c r="B1861" i="1"/>
  <c r="B1862" i="1"/>
  <c r="B1864" i="1"/>
  <c r="B1865" i="1"/>
  <c r="B1867" i="1"/>
  <c r="B1868" i="1"/>
  <c r="B1869" i="1"/>
  <c r="B1870" i="1"/>
  <c r="B1872" i="1"/>
  <c r="B1873" i="1"/>
  <c r="B1874" i="1"/>
  <c r="B1876" i="1"/>
  <c r="B1877" i="1"/>
  <c r="B1878" i="1"/>
  <c r="B1879" i="1"/>
  <c r="B1880" i="1"/>
  <c r="B1881" i="1"/>
  <c r="B1882" i="1"/>
  <c r="B1883" i="1"/>
  <c r="B1884"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7" i="1"/>
  <c r="B1918" i="1"/>
  <c r="B1919" i="1"/>
  <c r="B1921" i="1"/>
  <c r="B1923" i="1"/>
  <c r="B1924" i="1"/>
  <c r="B1925" i="1"/>
  <c r="B1926" i="1"/>
  <c r="B1927" i="1"/>
  <c r="B1928" i="1"/>
  <c r="B1929" i="1"/>
  <c r="B1930" i="1"/>
  <c r="B1931" i="1"/>
  <c r="B1932" i="1"/>
  <c r="B1933" i="1"/>
  <c r="B1934" i="1"/>
  <c r="B1935" i="1"/>
  <c r="B1936" i="1"/>
  <c r="B1937" i="1"/>
  <c r="B1938" i="1"/>
  <c r="B1939" i="1"/>
  <c r="B1940" i="1"/>
  <c r="B1941" i="1"/>
  <c r="B1942" i="1"/>
  <c r="B1943" i="1"/>
  <c r="B1945" i="1"/>
  <c r="B1947" i="1"/>
  <c r="B1948" i="1"/>
  <c r="B1949" i="1"/>
  <c r="B1950" i="1"/>
  <c r="B1951" i="1"/>
  <c r="B1952" i="1"/>
  <c r="B1953" i="1"/>
  <c r="B1954" i="1"/>
  <c r="B1955" i="1"/>
  <c r="B1956" i="1"/>
  <c r="B1957" i="1"/>
  <c r="B1958" i="1"/>
  <c r="B1959" i="1"/>
  <c r="B1960" i="1"/>
  <c r="B1961" i="1"/>
  <c r="B1963" i="1"/>
  <c r="B1964" i="1"/>
  <c r="B1965" i="1"/>
  <c r="B1966" i="1"/>
  <c r="B1967" i="1"/>
  <c r="B1968" i="1"/>
  <c r="B1969" i="1"/>
  <c r="B1971" i="1"/>
  <c r="B1972" i="1"/>
  <c r="B1973" i="1"/>
  <c r="B1974" i="1"/>
  <c r="B1975" i="1"/>
  <c r="B1976" i="1"/>
  <c r="B1977" i="1"/>
  <c r="B1978" i="1"/>
  <c r="B1980" i="1"/>
  <c r="B1981" i="1"/>
  <c r="B1982" i="1"/>
  <c r="B1983" i="1"/>
  <c r="B1984" i="1"/>
  <c r="B1985" i="1"/>
  <c r="B1988" i="1"/>
  <c r="B1989" i="1"/>
  <c r="B1990"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4" i="1"/>
  <c r="B2025" i="1"/>
  <c r="B2026" i="1"/>
  <c r="B2027" i="1"/>
  <c r="B2028" i="1"/>
  <c r="B2029" i="1"/>
  <c r="B2030" i="1"/>
  <c r="B2031" i="1"/>
  <c r="B2032" i="1"/>
  <c r="B2033" i="1"/>
  <c r="B2035" i="1"/>
  <c r="B2036" i="1"/>
  <c r="B2037" i="1"/>
  <c r="B2038" i="1"/>
  <c r="B2039" i="1"/>
  <c r="B2040" i="1"/>
  <c r="B2041" i="1"/>
  <c r="B2042" i="1"/>
  <c r="B2043" i="1"/>
  <c r="B2044" i="1"/>
  <c r="B2045" i="1"/>
  <c r="B2046" i="1"/>
  <c r="B2047" i="1"/>
  <c r="B2048" i="1"/>
  <c r="B2049" i="1"/>
  <c r="B2051" i="1"/>
  <c r="B2052" i="1"/>
  <c r="B2053" i="1"/>
  <c r="B2054" i="1"/>
  <c r="B2055" i="1"/>
  <c r="B2056" i="1"/>
  <c r="B2057" i="1"/>
  <c r="B2058" i="1"/>
  <c r="B2059" i="1"/>
  <c r="B2060"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90" i="1"/>
  <c r="B2091" i="1"/>
  <c r="B2092" i="1"/>
  <c r="B2093" i="1"/>
  <c r="B2094"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9" i="1"/>
  <c r="B2140" i="1"/>
  <c r="B2141" i="1"/>
  <c r="B2142" i="1"/>
  <c r="B2143" i="1"/>
  <c r="B2144" i="1"/>
  <c r="B2145" i="1"/>
  <c r="B2146" i="1"/>
  <c r="B2147" i="1"/>
  <c r="B2148"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5" i="1"/>
  <c r="B2186" i="1"/>
  <c r="B2187" i="1"/>
  <c r="B2188" i="1"/>
  <c r="B2189" i="1"/>
  <c r="B2190" i="1"/>
  <c r="B2191" i="1"/>
  <c r="B2192" i="1"/>
  <c r="B2193" i="1"/>
  <c r="B2194" i="1"/>
  <c r="B2195" i="1"/>
  <c r="B2196" i="1"/>
  <c r="B2197" i="1"/>
  <c r="B2198" i="1"/>
  <c r="B2199" i="1"/>
  <c r="B2200" i="1"/>
  <c r="B2201" i="1"/>
  <c r="B2203" i="1"/>
  <c r="B2204" i="1"/>
  <c r="B2205" i="1"/>
  <c r="B2206" i="1"/>
  <c r="B2207" i="1"/>
  <c r="B2208" i="1"/>
  <c r="B2209" i="1"/>
  <c r="B2210" i="1"/>
  <c r="B2211" i="1"/>
  <c r="B2212" i="1"/>
  <c r="B2213" i="1"/>
  <c r="B2214" i="1"/>
  <c r="B2215" i="1"/>
  <c r="B2216" i="1"/>
  <c r="B2217" i="1"/>
  <c r="B2218" i="1"/>
  <c r="B2220" i="1"/>
  <c r="B2221" i="1"/>
  <c r="B2222" i="1"/>
  <c r="B2223" i="1"/>
  <c r="B2224" i="1"/>
  <c r="B2225" i="1"/>
  <c r="B2227" i="1"/>
  <c r="B2228"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8" i="1"/>
  <c r="B2269" i="1"/>
  <c r="B2270" i="1"/>
  <c r="B2271" i="1"/>
  <c r="B2272" i="1"/>
  <c r="B2273" i="1"/>
  <c r="B2274" i="1"/>
  <c r="B2275" i="1"/>
  <c r="B2276" i="1"/>
  <c r="B2277" i="1"/>
  <c r="B2278" i="1"/>
  <c r="B2279" i="1"/>
  <c r="B2280" i="1"/>
  <c r="B2281"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60" i="1"/>
  <c r="B2361" i="1"/>
  <c r="B2362" i="1"/>
  <c r="B2363" i="1"/>
  <c r="B2364" i="1"/>
  <c r="B2365" i="1"/>
  <c r="B2366" i="1"/>
  <c r="B2367" i="1"/>
  <c r="B2368" i="1"/>
  <c r="B2369" i="1"/>
  <c r="B2370" i="1"/>
  <c r="B2371" i="1"/>
  <c r="B2372" i="1"/>
  <c r="B2373" i="1"/>
  <c r="B2374" i="1"/>
  <c r="B2375" i="1"/>
  <c r="B2376" i="1"/>
  <c r="B2377" i="1"/>
  <c r="B2378" i="1"/>
  <c r="B2379" i="1"/>
  <c r="B2381" i="1"/>
  <c r="B2382" i="1"/>
  <c r="B2383" i="1"/>
  <c r="B2384" i="1"/>
  <c r="B2385" i="1"/>
  <c r="B2386"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6" i="1"/>
  <c r="B2587" i="1"/>
  <c r="B2588" i="1"/>
  <c r="B2589" i="1"/>
  <c r="B2590" i="1"/>
  <c r="B2591" i="1"/>
  <c r="B2592" i="1"/>
  <c r="B2593" i="1"/>
  <c r="B2594" i="1"/>
  <c r="B2595" i="1"/>
  <c r="B2596" i="1"/>
  <c r="B2597" i="1"/>
  <c r="B2598" i="1"/>
  <c r="B1232" i="1"/>
  <c r="B2600" i="1"/>
  <c r="B2601" i="1"/>
  <c r="B2602" i="1"/>
  <c r="B2603" i="1"/>
  <c r="B2604" i="1"/>
  <c r="B2605" i="1"/>
  <c r="B2606" i="1"/>
  <c r="B2607" i="1"/>
  <c r="B2608" i="1"/>
  <c r="B2609" i="1"/>
  <c r="B2610" i="1"/>
  <c r="B2611" i="1"/>
  <c r="B2612" i="1"/>
  <c r="B2613" i="1"/>
  <c r="B2614" i="1"/>
  <c r="B2615" i="1"/>
  <c r="B2616" i="1"/>
  <c r="B2619" i="1"/>
  <c r="B2620" i="1"/>
  <c r="B2621" i="1"/>
  <c r="B2622" i="1"/>
  <c r="B2623" i="1"/>
  <c r="B2624" i="1"/>
  <c r="B2625" i="1"/>
  <c r="B2634" i="1"/>
  <c r="B2635" i="1"/>
  <c r="B2636" i="1"/>
  <c r="B2637" i="1"/>
  <c r="B2638" i="1"/>
  <c r="B2639" i="1"/>
  <c r="B2640" i="1"/>
  <c r="B819" i="1"/>
  <c r="B2644" i="1"/>
  <c r="B2645" i="1"/>
  <c r="B2646" i="1"/>
  <c r="B2647" i="1"/>
  <c r="B2648" i="1"/>
  <c r="B2649" i="1"/>
  <c r="B2650" i="1"/>
  <c r="B2651" i="1"/>
  <c r="B2652" i="1"/>
  <c r="B2653" i="1"/>
  <c r="B2654" i="1"/>
  <c r="B2655" i="1"/>
  <c r="B2656" i="1"/>
  <c r="B2657" i="1"/>
  <c r="B2658" i="1"/>
  <c r="B2659" i="1"/>
  <c r="B2660" i="1"/>
  <c r="B2661" i="1"/>
  <c r="B2662" i="1"/>
  <c r="B94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9" i="1"/>
  <c r="B2901" i="1"/>
  <c r="B2902" i="1"/>
  <c r="B2904" i="1"/>
  <c r="B2905" i="1"/>
  <c r="B2906" i="1"/>
  <c r="B2907" i="1"/>
  <c r="B2908" i="1"/>
  <c r="B2911" i="1"/>
  <c r="B2912" i="1"/>
  <c r="B2913" i="1"/>
  <c r="B2914" i="1"/>
  <c r="B2915" i="1"/>
  <c r="B2916" i="1"/>
  <c r="B2917" i="1"/>
  <c r="B2918"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4" i="1"/>
  <c r="B2985" i="1"/>
  <c r="B2986" i="1"/>
  <c r="B2987" i="1"/>
  <c r="B2988" i="1"/>
  <c r="B2989" i="1"/>
  <c r="B2990" i="1"/>
  <c r="B2991" i="1"/>
  <c r="B2992" i="1"/>
  <c r="B2993"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2994" i="1"/>
  <c r="B3125" i="1"/>
  <c r="B3128" i="1"/>
  <c r="B3129" i="1"/>
  <c r="B3130" i="1"/>
  <c r="B3131" i="1"/>
  <c r="B3132" i="1"/>
  <c r="B3133" i="1"/>
  <c r="B3134" i="1"/>
  <c r="B3135" i="1"/>
  <c r="B3136" i="1"/>
  <c r="B3137" i="1"/>
  <c r="B3138" i="1"/>
  <c r="B3139" i="1"/>
  <c r="B3140" i="1"/>
  <c r="B3141" i="1"/>
  <c r="B832" i="1"/>
  <c r="B3143" i="1"/>
  <c r="B3144" i="1"/>
  <c r="B3145" i="1"/>
  <c r="B3146" i="1"/>
  <c r="B3148" i="1"/>
  <c r="B3149" i="1"/>
  <c r="B3150" i="1"/>
  <c r="B3151" i="1"/>
  <c r="B3152" i="1"/>
  <c r="B3153" i="1"/>
  <c r="B3154" i="1"/>
  <c r="B2626" i="1"/>
  <c r="B847" i="1"/>
  <c r="B833" i="1"/>
  <c r="B1875" i="1"/>
  <c r="B2229" i="1"/>
  <c r="C23" i="1"/>
  <c r="C24" i="1"/>
  <c r="C25" i="1"/>
  <c r="C26" i="1"/>
  <c r="C28" i="1"/>
  <c r="C29" i="1"/>
  <c r="C30" i="1"/>
  <c r="C31" i="1"/>
  <c r="C32" i="1"/>
  <c r="C33" i="1"/>
  <c r="C34" i="1"/>
  <c r="C36" i="1"/>
  <c r="C37" i="1"/>
  <c r="C38" i="1"/>
  <c r="C39" i="1"/>
  <c r="C40" i="1"/>
  <c r="C41" i="1"/>
  <c r="C43" i="1"/>
  <c r="C44" i="1"/>
  <c r="C45" i="1"/>
  <c r="C46" i="1"/>
  <c r="C47" i="1"/>
  <c r="C48" i="1"/>
  <c r="C49" i="1"/>
  <c r="C51" i="1"/>
  <c r="C52" i="1"/>
  <c r="C53" i="1"/>
  <c r="C54" i="1"/>
  <c r="C55" i="1"/>
  <c r="C56" i="1"/>
  <c r="C57" i="1"/>
  <c r="C59" i="1"/>
  <c r="C60" i="1"/>
  <c r="C61" i="1"/>
  <c r="C62" i="1"/>
  <c r="C63" i="1"/>
  <c r="C64" i="1"/>
  <c r="C65" i="1"/>
  <c r="C67" i="1"/>
  <c r="C68" i="1"/>
  <c r="C69" i="1"/>
  <c r="C70" i="1"/>
  <c r="C71" i="1"/>
  <c r="C72" i="1"/>
  <c r="C73" i="1"/>
  <c r="C75" i="1"/>
  <c r="C76" i="1"/>
  <c r="C77" i="1"/>
  <c r="C78" i="1"/>
  <c r="C79" i="1"/>
  <c r="C80" i="1"/>
  <c r="C81" i="1"/>
  <c r="C83" i="1"/>
  <c r="C84" i="1"/>
  <c r="C85" i="1"/>
  <c r="C86" i="1"/>
  <c r="C87" i="1"/>
  <c r="C88" i="1"/>
  <c r="C89" i="1"/>
  <c r="C91" i="1"/>
  <c r="C92" i="1"/>
  <c r="C93" i="1"/>
  <c r="C94" i="1"/>
  <c r="C95" i="1"/>
  <c r="C96" i="1"/>
  <c r="C97" i="1"/>
  <c r="C99" i="1"/>
  <c r="C100" i="1"/>
  <c r="C101" i="1"/>
  <c r="C102" i="1"/>
  <c r="C103" i="1"/>
  <c r="C104" i="1"/>
  <c r="C105" i="1"/>
  <c r="C107" i="1"/>
  <c r="C108" i="1"/>
  <c r="C109" i="1"/>
  <c r="C110" i="1"/>
  <c r="C111" i="1"/>
  <c r="C112" i="1"/>
  <c r="C113" i="1"/>
  <c r="C115" i="1"/>
  <c r="C116" i="1"/>
  <c r="C117" i="1"/>
  <c r="C118" i="1"/>
  <c r="C119" i="1"/>
  <c r="C120" i="1"/>
  <c r="C121" i="1"/>
  <c r="C123" i="1"/>
  <c r="C124" i="1"/>
  <c r="C125" i="1"/>
  <c r="C126" i="1"/>
  <c r="C127" i="1"/>
  <c r="C128" i="1"/>
  <c r="C129" i="1"/>
  <c r="C131" i="1"/>
  <c r="C132" i="1"/>
  <c r="C133" i="1"/>
  <c r="C134" i="1"/>
  <c r="C135" i="1"/>
  <c r="C136" i="1"/>
  <c r="C137" i="1"/>
  <c r="C140" i="1"/>
  <c r="C141" i="1"/>
  <c r="C142" i="1"/>
  <c r="C143" i="1"/>
  <c r="C144" i="1"/>
  <c r="C145" i="1"/>
  <c r="C147" i="1"/>
  <c r="C148" i="1"/>
  <c r="C149" i="1"/>
  <c r="C150" i="1"/>
  <c r="C151" i="1"/>
  <c r="C152" i="1"/>
  <c r="C153" i="1"/>
  <c r="C155" i="1"/>
  <c r="C156" i="1"/>
  <c r="C157" i="1"/>
  <c r="C158" i="1"/>
  <c r="C159" i="1"/>
  <c r="C160" i="1"/>
  <c r="C161" i="1"/>
  <c r="C163" i="1"/>
  <c r="C164" i="1"/>
  <c r="C165" i="1"/>
  <c r="C166" i="1"/>
  <c r="C167" i="1"/>
  <c r="C168" i="1"/>
  <c r="C169" i="1"/>
  <c r="C172" i="1"/>
  <c r="C173" i="1"/>
  <c r="C174" i="1"/>
  <c r="C175" i="1"/>
  <c r="C176" i="1"/>
  <c r="C177" i="1"/>
  <c r="C179" i="1"/>
  <c r="C180" i="1"/>
  <c r="C181" i="1"/>
  <c r="C182" i="1"/>
  <c r="C183" i="1"/>
  <c r="C184" i="1"/>
  <c r="C185" i="1"/>
  <c r="C187" i="1"/>
  <c r="C188" i="1"/>
  <c r="C189" i="1"/>
  <c r="C190" i="1"/>
  <c r="C191" i="1"/>
  <c r="C192" i="1"/>
  <c r="C193" i="1"/>
  <c r="C195" i="1"/>
  <c r="C196" i="1"/>
  <c r="C197" i="1"/>
  <c r="C198" i="1"/>
  <c r="C199" i="1"/>
  <c r="C200" i="1"/>
  <c r="C201" i="1"/>
  <c r="C204" i="1"/>
  <c r="C205" i="1"/>
  <c r="C206" i="1"/>
  <c r="C207" i="1"/>
  <c r="C208" i="1"/>
  <c r="C209" i="1"/>
  <c r="C211" i="1"/>
  <c r="C212" i="1"/>
  <c r="C213" i="1"/>
  <c r="C214" i="1"/>
  <c r="C215" i="1"/>
  <c r="C216" i="1"/>
  <c r="C217" i="1"/>
  <c r="C219" i="1"/>
  <c r="C220" i="1"/>
  <c r="C221" i="1"/>
  <c r="C222" i="1"/>
  <c r="C223" i="1"/>
  <c r="C224" i="1"/>
  <c r="C225" i="1"/>
  <c r="C227" i="1"/>
  <c r="C228" i="1"/>
  <c r="C229" i="1"/>
  <c r="C230" i="1"/>
  <c r="C231" i="1"/>
  <c r="C232" i="1"/>
  <c r="C233" i="1"/>
  <c r="C235" i="1"/>
  <c r="C236" i="1"/>
  <c r="C237" i="1"/>
  <c r="C238" i="1"/>
  <c r="C239" i="1"/>
  <c r="C240" i="1"/>
  <c r="C241" i="1"/>
  <c r="C243" i="1"/>
  <c r="C244" i="1"/>
  <c r="C245" i="1"/>
  <c r="C246" i="1"/>
  <c r="C247" i="1"/>
  <c r="C248" i="1"/>
  <c r="C249" i="1"/>
  <c r="C251" i="1"/>
  <c r="C252" i="1"/>
  <c r="C253" i="1"/>
  <c r="C254" i="1"/>
  <c r="C255" i="1"/>
  <c r="C256" i="1"/>
  <c r="C257" i="1"/>
  <c r="C259" i="1"/>
  <c r="C260" i="1"/>
  <c r="C261" i="1"/>
  <c r="C262" i="1"/>
  <c r="C263" i="1"/>
  <c r="C264" i="1"/>
  <c r="C265" i="1"/>
  <c r="C267" i="1"/>
  <c r="C268" i="1"/>
  <c r="C269" i="1"/>
  <c r="C270" i="1"/>
  <c r="C271" i="1"/>
  <c r="C272" i="1"/>
  <c r="C273" i="1"/>
  <c r="C275" i="1"/>
  <c r="C276" i="1"/>
  <c r="C277" i="1"/>
  <c r="C278" i="1"/>
  <c r="C279" i="1"/>
  <c r="C280" i="1"/>
  <c r="C281" i="1"/>
  <c r="C283" i="1"/>
  <c r="C284" i="1"/>
  <c r="C285" i="1"/>
  <c r="C286" i="1"/>
  <c r="C287" i="1"/>
  <c r="C288" i="1"/>
  <c r="C289" i="1"/>
  <c r="C291" i="1"/>
  <c r="C292" i="1"/>
  <c r="C293" i="1"/>
  <c r="C294" i="1"/>
  <c r="C295" i="1"/>
  <c r="C296" i="1"/>
  <c r="C297" i="1"/>
  <c r="C299" i="1"/>
  <c r="C300" i="1"/>
  <c r="C301" i="1"/>
  <c r="C302" i="1"/>
  <c r="C303" i="1"/>
  <c r="C304" i="1"/>
  <c r="C305" i="1"/>
  <c r="C307" i="1"/>
  <c r="C308" i="1"/>
  <c r="C309" i="1"/>
  <c r="C310" i="1"/>
  <c r="C311" i="1"/>
  <c r="C312" i="1"/>
  <c r="C313" i="1"/>
  <c r="C315" i="1"/>
  <c r="C316" i="1"/>
  <c r="C317" i="1"/>
  <c r="C318" i="1"/>
  <c r="C319" i="1"/>
  <c r="C320" i="1"/>
  <c r="C321" i="1"/>
  <c r="C323" i="1"/>
  <c r="C324" i="1"/>
  <c r="C325" i="1"/>
  <c r="C326" i="1"/>
  <c r="C327" i="1"/>
  <c r="C328" i="1"/>
  <c r="C329" i="1"/>
  <c r="C331" i="1"/>
  <c r="C332" i="1"/>
  <c r="C333" i="1"/>
  <c r="C334" i="1"/>
  <c r="C335" i="1"/>
  <c r="C336" i="1"/>
  <c r="C337" i="1"/>
  <c r="C339" i="1"/>
  <c r="C340" i="1"/>
  <c r="C341" i="1"/>
  <c r="C342" i="1"/>
  <c r="C343" i="1"/>
  <c r="C344" i="1"/>
  <c r="C345" i="1"/>
  <c r="C347" i="1"/>
  <c r="C348" i="1"/>
  <c r="C349" i="1"/>
  <c r="C350" i="1"/>
  <c r="C351" i="1"/>
  <c r="C352" i="1"/>
  <c r="C353" i="1"/>
  <c r="C355" i="1"/>
  <c r="C356" i="1"/>
  <c r="C357" i="1"/>
  <c r="C358" i="1"/>
  <c r="C359" i="1"/>
  <c r="C360" i="1"/>
  <c r="C361" i="1"/>
  <c r="C363" i="1"/>
  <c r="C364" i="1"/>
  <c r="C365" i="1"/>
  <c r="C366" i="1"/>
  <c r="C367" i="1"/>
  <c r="C368" i="1"/>
  <c r="C369" i="1"/>
  <c r="C371" i="1"/>
  <c r="C372" i="1"/>
  <c r="C373" i="1"/>
  <c r="C374" i="1"/>
  <c r="C375" i="1"/>
  <c r="C376" i="1"/>
  <c r="C377" i="1"/>
  <c r="C379" i="1"/>
  <c r="C380" i="1"/>
  <c r="C381" i="1"/>
  <c r="C383" i="1"/>
  <c r="C384" i="1"/>
  <c r="C385" i="1"/>
  <c r="C387" i="1"/>
  <c r="C388" i="1"/>
  <c r="C389" i="1"/>
  <c r="C390" i="1"/>
  <c r="C391" i="1"/>
  <c r="C392" i="1"/>
  <c r="C393" i="1"/>
  <c r="C395" i="1"/>
  <c r="C396" i="1"/>
  <c r="C397" i="1"/>
  <c r="C398" i="1"/>
  <c r="C399" i="1"/>
  <c r="C400" i="1"/>
  <c r="C401" i="1"/>
  <c r="C402" i="1"/>
  <c r="C403" i="1"/>
  <c r="C404" i="1"/>
  <c r="C405" i="1"/>
  <c r="C406" i="1"/>
  <c r="C407" i="1"/>
  <c r="C408" i="1"/>
  <c r="C410" i="1"/>
  <c r="C411" i="1"/>
  <c r="C412" i="1"/>
  <c r="C413" i="1"/>
  <c r="C414" i="1"/>
  <c r="C415" i="1"/>
  <c r="C416" i="1"/>
  <c r="C418" i="1"/>
  <c r="C419" i="1"/>
  <c r="C420" i="1"/>
  <c r="C421" i="1"/>
  <c r="C422" i="1"/>
  <c r="C423" i="1"/>
  <c r="C424" i="1"/>
  <c r="C426" i="1"/>
  <c r="C427" i="1"/>
  <c r="C428" i="1"/>
  <c r="C429" i="1"/>
  <c r="C430" i="1"/>
  <c r="C431" i="1"/>
  <c r="C432" i="1"/>
  <c r="C434" i="1"/>
  <c r="C435" i="1"/>
  <c r="C436" i="1"/>
  <c r="C437" i="1"/>
  <c r="C438" i="1"/>
  <c r="C439" i="1"/>
  <c r="C440" i="1"/>
  <c r="C442" i="1"/>
  <c r="C443" i="1"/>
  <c r="C444" i="1"/>
  <c r="C445" i="1"/>
  <c r="C446" i="1"/>
  <c r="C447" i="1"/>
  <c r="C448" i="1"/>
  <c r="C450" i="1"/>
  <c r="C451" i="1"/>
  <c r="C452" i="1"/>
  <c r="C453" i="1"/>
  <c r="C454" i="1"/>
  <c r="C455" i="1"/>
  <c r="C456" i="1"/>
  <c r="C458" i="1"/>
  <c r="C459" i="1"/>
  <c r="C460" i="1"/>
  <c r="C461" i="1"/>
  <c r="C462" i="1"/>
  <c r="C463" i="1"/>
  <c r="C464" i="1"/>
  <c r="C466" i="1"/>
  <c r="C467" i="1"/>
  <c r="C468" i="1"/>
  <c r="C469" i="1"/>
  <c r="C470" i="1"/>
  <c r="C471" i="1"/>
  <c r="C472" i="1"/>
  <c r="C474" i="1"/>
  <c r="C475" i="1"/>
  <c r="C476" i="1"/>
  <c r="C477" i="1"/>
  <c r="C478" i="1"/>
  <c r="C479" i="1"/>
  <c r="C480" i="1"/>
  <c r="C482" i="1"/>
  <c r="C483" i="1"/>
  <c r="C484" i="1"/>
  <c r="C485" i="1"/>
  <c r="C486" i="1"/>
  <c r="C487" i="1"/>
  <c r="C488" i="1"/>
  <c r="C490" i="1"/>
  <c r="C491" i="1"/>
  <c r="C492" i="1"/>
  <c r="C493" i="1"/>
  <c r="C494" i="1"/>
  <c r="C495" i="1"/>
  <c r="C496" i="1"/>
  <c r="C498" i="1"/>
  <c r="C499" i="1"/>
  <c r="C500" i="1"/>
  <c r="C501" i="1"/>
  <c r="C502" i="1"/>
  <c r="C503" i="1"/>
  <c r="C504" i="1"/>
  <c r="C506" i="1"/>
  <c r="C507" i="1"/>
  <c r="C508" i="1"/>
  <c r="C509" i="1"/>
  <c r="C510" i="1"/>
  <c r="C511" i="1"/>
  <c r="C512" i="1"/>
  <c r="C514" i="1"/>
  <c r="C515" i="1"/>
  <c r="C516" i="1"/>
  <c r="C517" i="1"/>
  <c r="C518" i="1"/>
  <c r="C519" i="1"/>
  <c r="C520" i="1"/>
  <c r="C522" i="1"/>
  <c r="C523" i="1"/>
  <c r="C524" i="1"/>
  <c r="C525" i="1"/>
  <c r="C526" i="1"/>
  <c r="C527" i="1"/>
  <c r="C528" i="1"/>
  <c r="C530" i="1"/>
  <c r="C531" i="1"/>
  <c r="C532" i="1"/>
  <c r="C533" i="1"/>
  <c r="C534" i="1"/>
  <c r="C535" i="1"/>
  <c r="C536" i="1"/>
  <c r="C538" i="1"/>
  <c r="C539" i="1"/>
  <c r="C540" i="1"/>
  <c r="C541" i="1"/>
  <c r="C542" i="1"/>
  <c r="C543" i="1"/>
  <c r="C544" i="1"/>
  <c r="C546" i="1"/>
  <c r="C547" i="1"/>
  <c r="C548" i="1"/>
  <c r="C549" i="1"/>
  <c r="C550" i="1"/>
  <c r="C551" i="1"/>
  <c r="C552" i="1"/>
  <c r="C554" i="1"/>
  <c r="C555" i="1"/>
  <c r="C556" i="1"/>
  <c r="C557" i="1"/>
  <c r="C558" i="1"/>
  <c r="C559" i="1"/>
  <c r="C560" i="1"/>
  <c r="C562" i="1"/>
  <c r="C563" i="1"/>
  <c r="C564" i="1"/>
  <c r="C565" i="1"/>
  <c r="C566" i="1"/>
  <c r="C567" i="1"/>
  <c r="C568" i="1"/>
  <c r="C570" i="1"/>
  <c r="C571" i="1"/>
  <c r="C572" i="1"/>
  <c r="C573" i="1"/>
  <c r="C574" i="1"/>
  <c r="C575" i="1"/>
  <c r="C576" i="1"/>
  <c r="C578" i="1"/>
  <c r="C579" i="1"/>
  <c r="C580" i="1"/>
  <c r="C581" i="1"/>
  <c r="C582" i="1"/>
  <c r="C583" i="1"/>
  <c r="C584" i="1"/>
  <c r="C586" i="1"/>
  <c r="C587" i="1"/>
  <c r="C588" i="1"/>
  <c r="C589" i="1"/>
  <c r="C590" i="1"/>
  <c r="C591" i="1"/>
  <c r="C592" i="1"/>
  <c r="C594" i="1"/>
  <c r="C595" i="1"/>
  <c r="C596" i="1"/>
  <c r="C598" i="1"/>
  <c r="C599" i="1"/>
  <c r="C600" i="1"/>
  <c r="C602" i="1"/>
  <c r="C603" i="1"/>
  <c r="C604" i="1"/>
  <c r="C605" i="1"/>
  <c r="C606" i="1"/>
  <c r="C607" i="1"/>
  <c r="C608" i="1"/>
  <c r="C610" i="1"/>
  <c r="C611" i="1"/>
  <c r="C612" i="1"/>
  <c r="C613" i="1"/>
  <c r="C614" i="1"/>
  <c r="C615" i="1"/>
  <c r="C616" i="1"/>
  <c r="C618" i="1"/>
  <c r="C619" i="1"/>
  <c r="C620" i="1"/>
  <c r="C621" i="1"/>
  <c r="C622" i="1"/>
  <c r="C623" i="1"/>
  <c r="C624" i="1"/>
  <c r="C626" i="1"/>
  <c r="C627" i="1"/>
  <c r="C628" i="1"/>
  <c r="C629" i="1"/>
  <c r="C630" i="1"/>
  <c r="C631" i="1"/>
  <c r="C632" i="1"/>
  <c r="C634" i="1"/>
  <c r="C635" i="1"/>
  <c r="C636" i="1"/>
  <c r="C637" i="1"/>
  <c r="C638" i="1"/>
  <c r="C639" i="1"/>
  <c r="C640" i="1"/>
  <c r="C642" i="1"/>
  <c r="C643" i="1"/>
  <c r="C644" i="1"/>
  <c r="C645" i="1"/>
  <c r="C646" i="1"/>
  <c r="C647" i="1"/>
  <c r="C649" i="1"/>
  <c r="C650" i="1"/>
  <c r="C651" i="1"/>
  <c r="C652" i="1"/>
  <c r="C653" i="1"/>
  <c r="C654" i="1"/>
  <c r="C655" i="1"/>
  <c r="C657" i="1"/>
  <c r="C658" i="1"/>
  <c r="C659" i="1"/>
  <c r="C660" i="1"/>
  <c r="C661" i="1"/>
  <c r="C662" i="1"/>
  <c r="C663" i="1"/>
  <c r="C665" i="1"/>
  <c r="C666" i="1"/>
  <c r="C667" i="1"/>
  <c r="C668" i="1"/>
  <c r="C669" i="1"/>
  <c r="C670" i="1"/>
  <c r="C671" i="1"/>
  <c r="C673" i="1"/>
  <c r="C674" i="1"/>
  <c r="C675" i="1"/>
  <c r="C676" i="1"/>
  <c r="C677" i="1"/>
  <c r="C678" i="1"/>
  <c r="C679" i="1"/>
  <c r="C681" i="1"/>
  <c r="C682" i="1"/>
  <c r="C683" i="1"/>
  <c r="C684" i="1"/>
  <c r="C685" i="1"/>
  <c r="C686" i="1"/>
  <c r="C687" i="1"/>
  <c r="C689" i="1"/>
  <c r="C690" i="1"/>
  <c r="C691" i="1"/>
  <c r="C692" i="1"/>
  <c r="C693" i="1"/>
  <c r="C694" i="1"/>
  <c r="C695" i="1"/>
  <c r="C697" i="1"/>
  <c r="C698" i="1"/>
  <c r="C699" i="1"/>
  <c r="C700" i="1"/>
  <c r="C701" i="1"/>
  <c r="C702" i="1"/>
  <c r="C703" i="1"/>
  <c r="C705" i="1"/>
  <c r="C706" i="1"/>
  <c r="C707" i="1"/>
  <c r="C708" i="1"/>
  <c r="C709" i="1"/>
  <c r="C710" i="1"/>
  <c r="C711" i="1"/>
  <c r="C713" i="1"/>
  <c r="C714" i="1"/>
  <c r="C715" i="1"/>
  <c r="C716" i="1"/>
  <c r="C717" i="1"/>
  <c r="C718" i="1"/>
  <c r="C719" i="1"/>
  <c r="C721" i="1"/>
  <c r="C722" i="1"/>
  <c r="C723" i="1"/>
  <c r="C724" i="1"/>
  <c r="C725" i="1"/>
  <c r="C726" i="1"/>
  <c r="C727" i="1"/>
  <c r="C729" i="1"/>
  <c r="C730" i="1"/>
  <c r="C731" i="1"/>
  <c r="C732" i="1"/>
  <c r="C733" i="1"/>
  <c r="C734" i="1"/>
  <c r="C735" i="1"/>
  <c r="C737" i="1"/>
  <c r="C738" i="1"/>
  <c r="C739" i="1"/>
  <c r="C740" i="1"/>
  <c r="C741" i="1"/>
  <c r="C742" i="1"/>
  <c r="C743" i="1"/>
  <c r="C745" i="1"/>
  <c r="C746" i="1"/>
  <c r="C747" i="1"/>
  <c r="C748" i="1"/>
  <c r="C749" i="1"/>
  <c r="C750" i="1"/>
  <c r="C751" i="1"/>
  <c r="C753" i="1"/>
  <c r="C754" i="1"/>
  <c r="C755" i="1"/>
  <c r="C756" i="1"/>
  <c r="C757" i="1"/>
  <c r="C758" i="1"/>
  <c r="C759" i="1"/>
  <c r="C761" i="1"/>
  <c r="C762" i="1"/>
  <c r="C763" i="1"/>
  <c r="C764" i="1"/>
  <c r="C765" i="1"/>
  <c r="C766" i="1"/>
  <c r="C767" i="1"/>
  <c r="C769" i="1"/>
  <c r="C770" i="1"/>
  <c r="C771" i="1"/>
  <c r="C772" i="1"/>
  <c r="C773" i="1"/>
  <c r="C774" i="1"/>
  <c r="C775" i="1"/>
  <c r="C777" i="1"/>
  <c r="C778" i="1"/>
  <c r="C779" i="1"/>
  <c r="C780" i="1"/>
  <c r="C781" i="1"/>
  <c r="C782" i="1"/>
  <c r="C783" i="1"/>
  <c r="C785" i="1"/>
  <c r="C786" i="1"/>
  <c r="C787" i="1"/>
  <c r="C788" i="1"/>
  <c r="C789" i="1"/>
  <c r="C790" i="1"/>
  <c r="C791" i="1"/>
  <c r="C793" i="1"/>
  <c r="C794" i="1"/>
  <c r="C795" i="1"/>
  <c r="C796" i="1"/>
  <c r="C797" i="1"/>
  <c r="C798" i="1"/>
  <c r="C799" i="1"/>
  <c r="C801" i="1"/>
  <c r="C802" i="1"/>
  <c r="C803" i="1"/>
  <c r="C804" i="1"/>
  <c r="C805" i="1"/>
  <c r="C807" i="1"/>
  <c r="C809" i="1"/>
  <c r="C812" i="1"/>
  <c r="C813" i="1"/>
  <c r="C815" i="1"/>
  <c r="C816" i="1"/>
  <c r="C817" i="1"/>
  <c r="C883" i="1"/>
  <c r="C820" i="1"/>
  <c r="C822" i="1"/>
  <c r="C823" i="1"/>
  <c r="C824" i="1"/>
  <c r="C825" i="1"/>
  <c r="C827" i="1"/>
  <c r="C831" i="1"/>
  <c r="C834" i="1"/>
  <c r="C835" i="1"/>
  <c r="C836" i="1"/>
  <c r="C837" i="1"/>
  <c r="C838" i="1"/>
  <c r="C839" i="1"/>
  <c r="C840" i="1"/>
  <c r="C842" i="1"/>
  <c r="C843" i="1"/>
  <c r="C846" i="1"/>
  <c r="C849" i="1"/>
  <c r="C851" i="1"/>
  <c r="C852" i="1"/>
  <c r="C853" i="1"/>
  <c r="C854" i="1"/>
  <c r="C855" i="1"/>
  <c r="C856" i="1"/>
  <c r="C857" i="1"/>
  <c r="C859" i="1"/>
  <c r="C860" i="1"/>
  <c r="C861" i="1"/>
  <c r="C862" i="1"/>
  <c r="C863" i="1"/>
  <c r="C864" i="1"/>
  <c r="C866" i="1"/>
  <c r="C867" i="1"/>
  <c r="C868" i="1"/>
  <c r="C869" i="1"/>
  <c r="C870" i="1"/>
  <c r="C871" i="1"/>
  <c r="C875" i="1"/>
  <c r="C876" i="1"/>
  <c r="C877" i="1"/>
  <c r="C878" i="1"/>
  <c r="C879" i="1"/>
  <c r="C881" i="1"/>
  <c r="C884" i="1"/>
  <c r="C886" i="1"/>
  <c r="C887" i="1"/>
  <c r="C888" i="1"/>
  <c r="C889" i="1"/>
  <c r="C890" i="1"/>
  <c r="C891" i="1"/>
  <c r="C892" i="1"/>
  <c r="C894" i="1"/>
  <c r="C895" i="1"/>
  <c r="C896" i="1"/>
  <c r="C897" i="1"/>
  <c r="C898" i="1"/>
  <c r="C899" i="1"/>
  <c r="C900" i="1"/>
  <c r="C902" i="1"/>
  <c r="C903" i="1"/>
  <c r="C904" i="1"/>
  <c r="C905" i="1"/>
  <c r="C906" i="1"/>
  <c r="C907" i="1"/>
  <c r="C908" i="1"/>
  <c r="C909" i="1"/>
  <c r="C1885" i="1"/>
  <c r="C910" i="1"/>
  <c r="C911" i="1"/>
  <c r="C913" i="1"/>
  <c r="C914" i="1"/>
  <c r="C915" i="1"/>
  <c r="C1916" i="1"/>
  <c r="C916" i="1"/>
  <c r="C917" i="1"/>
  <c r="C918" i="1"/>
  <c r="C1155" i="1"/>
  <c r="C919" i="1"/>
  <c r="C920" i="1"/>
  <c r="C921" i="1"/>
  <c r="C922" i="1"/>
  <c r="C923" i="1"/>
  <c r="C2633" i="1"/>
  <c r="C927" i="1"/>
  <c r="C928" i="1"/>
  <c r="C929" i="1"/>
  <c r="C930" i="1"/>
  <c r="C931" i="1"/>
  <c r="C932" i="1"/>
  <c r="C934" i="1"/>
  <c r="C935" i="1"/>
  <c r="C936" i="1"/>
  <c r="C937" i="1"/>
  <c r="C938" i="1"/>
  <c r="C939" i="1"/>
  <c r="C940" i="1"/>
  <c r="C941" i="1"/>
  <c r="C942" i="1"/>
  <c r="C2663" i="1"/>
  <c r="C944"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100" i="1"/>
  <c r="C1101" i="1"/>
  <c r="C1102" i="1"/>
  <c r="C1103" i="1"/>
  <c r="C1104" i="1"/>
  <c r="C1105" i="1"/>
  <c r="C1106" i="1"/>
  <c r="C1107" i="1"/>
  <c r="C1108" i="1"/>
  <c r="C1109" i="1"/>
  <c r="C1110" i="1"/>
  <c r="C1111" i="1"/>
  <c r="C1112" i="1"/>
  <c r="C1113"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1" i="1"/>
  <c r="C1142" i="1"/>
  <c r="C1143" i="1"/>
  <c r="C1144" i="1"/>
  <c r="C1145" i="1"/>
  <c r="C1146" i="1"/>
  <c r="C1147" i="1"/>
  <c r="C1148" i="1"/>
  <c r="C1149" i="1"/>
  <c r="C1150" i="1"/>
  <c r="C1151" i="1"/>
  <c r="C1153" i="1"/>
  <c r="C1154"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880" i="1"/>
  <c r="C1188" i="1"/>
  <c r="C1189" i="1"/>
  <c r="C1191" i="1"/>
  <c r="C1192" i="1"/>
  <c r="C1196" i="1"/>
  <c r="C1197" i="1"/>
  <c r="C1198" i="1"/>
  <c r="C1200" i="1"/>
  <c r="C1201" i="1"/>
  <c r="C1202" i="1"/>
  <c r="C1203" i="1"/>
  <c r="C1204" i="1"/>
  <c r="C1205" i="1"/>
  <c r="C1206" i="1"/>
  <c r="C1207" i="1"/>
  <c r="C1208" i="1"/>
  <c r="C1209" i="1"/>
  <c r="C1210" i="1"/>
  <c r="C1211" i="1"/>
  <c r="C1212" i="1"/>
  <c r="C1213" i="1"/>
  <c r="C1215" i="1"/>
  <c r="C1216" i="1"/>
  <c r="C1217" i="1"/>
  <c r="C808" i="1"/>
  <c r="C1219" i="1"/>
  <c r="C1220" i="1"/>
  <c r="C1222" i="1"/>
  <c r="C1223" i="1"/>
  <c r="C1224" i="1"/>
  <c r="C1225" i="1"/>
  <c r="C1226" i="1"/>
  <c r="C1227" i="1"/>
  <c r="C1229" i="1"/>
  <c r="C1230" i="1"/>
  <c r="C1231" i="1"/>
  <c r="C1233" i="1"/>
  <c r="C1234" i="1"/>
  <c r="C1235" i="1"/>
  <c r="C1236" i="1"/>
  <c r="C1238" i="1"/>
  <c r="C1239" i="1"/>
  <c r="C1240" i="1"/>
  <c r="C1241" i="1"/>
  <c r="C1242" i="1"/>
  <c r="C1243" i="1"/>
  <c r="C1244" i="1"/>
  <c r="C1246" i="1"/>
  <c r="C1247" i="1"/>
  <c r="C1248" i="1"/>
  <c r="C1249" i="1"/>
  <c r="C1250" i="1"/>
  <c r="C1251" i="1"/>
  <c r="C1252" i="1"/>
  <c r="C1254" i="1"/>
  <c r="C1255" i="1"/>
  <c r="C1256" i="1"/>
  <c r="C1257" i="1"/>
  <c r="C1258" i="1"/>
  <c r="C1259" i="1"/>
  <c r="C1261" i="1"/>
  <c r="C1263" i="1"/>
  <c r="C1264" i="1"/>
  <c r="C1265" i="1"/>
  <c r="C1266" i="1"/>
  <c r="C1267" i="1"/>
  <c r="C1268" i="1"/>
  <c r="C882" i="1"/>
  <c r="C1271" i="1"/>
  <c r="C1272" i="1"/>
  <c r="C1273" i="1"/>
  <c r="C1274" i="1"/>
  <c r="C1275" i="1"/>
  <c r="C1276" i="1"/>
  <c r="C1280" i="1"/>
  <c r="C1281" i="1"/>
  <c r="C1282" i="1"/>
  <c r="C1283" i="1"/>
  <c r="C1284" i="1"/>
  <c r="C1285" i="1"/>
  <c r="C1286" i="1"/>
  <c r="C1287" i="1"/>
  <c r="C1288" i="1"/>
  <c r="C1289" i="1"/>
  <c r="C1290" i="1"/>
  <c r="C1291" i="1"/>
  <c r="C1292" i="1"/>
  <c r="C1293" i="1"/>
  <c r="C1294" i="1"/>
  <c r="C1296" i="1"/>
  <c r="C1297" i="1"/>
  <c r="C1298" i="1"/>
  <c r="C1299" i="1"/>
  <c r="C1300" i="1"/>
  <c r="C1301" i="1"/>
  <c r="C1302" i="1"/>
  <c r="C1303" i="1"/>
  <c r="C1304" i="1"/>
  <c r="C1305" i="1"/>
  <c r="C1306" i="1"/>
  <c r="C1307" i="1"/>
  <c r="C1308" i="1"/>
  <c r="C1309" i="1"/>
  <c r="C1310" i="1"/>
  <c r="C1312" i="1"/>
  <c r="C1313" i="1"/>
  <c r="C1314" i="1"/>
  <c r="C1315" i="1"/>
  <c r="C1316" i="1"/>
  <c r="C1317" i="1"/>
  <c r="C1318" i="1"/>
  <c r="C1320" i="1"/>
  <c r="C1321" i="1"/>
  <c r="C1322" i="1"/>
  <c r="C1323" i="1"/>
  <c r="C1324" i="1"/>
  <c r="C1325" i="1"/>
  <c r="C1326" i="1"/>
  <c r="C1328" i="1"/>
  <c r="C1329" i="1"/>
  <c r="C1330" i="1"/>
  <c r="C1331" i="1"/>
  <c r="C1332" i="1"/>
  <c r="C1333" i="1"/>
  <c r="C1334" i="1"/>
  <c r="C1336" i="1"/>
  <c r="C1337" i="1"/>
  <c r="C1338" i="1"/>
  <c r="C1339" i="1"/>
  <c r="C1340" i="1"/>
  <c r="C1341" i="1"/>
  <c r="C1342" i="1"/>
  <c r="C1343" i="1"/>
  <c r="C1344" i="1"/>
  <c r="C1345" i="1"/>
  <c r="C1346" i="1"/>
  <c r="C1347" i="1"/>
  <c r="C1348" i="1"/>
  <c r="C1349" i="1"/>
  <c r="C1350" i="1"/>
  <c r="C1352" i="1"/>
  <c r="C1353" i="1"/>
  <c r="C1354" i="1"/>
  <c r="C1355" i="1"/>
  <c r="C1356" i="1"/>
  <c r="C1357" i="1"/>
  <c r="C1358" i="1"/>
  <c r="C1359" i="1"/>
  <c r="C1360" i="1"/>
  <c r="C1361" i="1"/>
  <c r="C1362" i="1"/>
  <c r="C1363" i="1"/>
  <c r="C1364" i="1"/>
  <c r="C1365" i="1"/>
  <c r="C1366" i="1"/>
  <c r="C1368" i="1"/>
  <c r="C1369" i="1"/>
  <c r="C1370" i="1"/>
  <c r="C1371" i="1"/>
  <c r="C1372" i="1"/>
  <c r="C1373" i="1"/>
  <c r="C1374" i="1"/>
  <c r="C1376" i="1"/>
  <c r="C1377" i="1"/>
  <c r="C1378" i="1"/>
  <c r="C1379" i="1"/>
  <c r="C1380" i="1"/>
  <c r="C1381" i="1"/>
  <c r="C1382" i="1"/>
  <c r="C1384" i="1"/>
  <c r="C1385" i="1"/>
  <c r="C1386" i="1"/>
  <c r="C1387" i="1"/>
  <c r="C1388" i="1"/>
  <c r="C1389" i="1"/>
  <c r="C1390" i="1"/>
  <c r="C1392" i="1"/>
  <c r="C1393" i="1"/>
  <c r="C1394" i="1"/>
  <c r="C1395" i="1"/>
  <c r="C1396" i="1"/>
  <c r="C1397" i="1"/>
  <c r="C1398" i="1"/>
  <c r="C1399" i="1"/>
  <c r="C1400" i="1"/>
  <c r="C1404" i="1"/>
  <c r="C1405" i="1"/>
  <c r="C1406" i="1"/>
  <c r="C1407" i="1"/>
  <c r="C1408" i="1"/>
  <c r="C1409" i="1"/>
  <c r="C1410" i="1"/>
  <c r="C1411" i="1"/>
  <c r="C1412" i="1"/>
  <c r="C1413" i="1"/>
  <c r="C1414" i="1"/>
  <c r="C1415" i="1"/>
  <c r="C1417" i="1"/>
  <c r="C1418" i="1"/>
  <c r="C1419" i="1"/>
  <c r="C1420" i="1"/>
  <c r="C1421" i="1"/>
  <c r="C1422" i="1"/>
  <c r="C1423" i="1"/>
  <c r="C1424" i="1"/>
  <c r="C1425" i="1"/>
  <c r="C1426" i="1"/>
  <c r="C1427" i="1"/>
  <c r="C1428" i="1"/>
  <c r="C1429" i="1"/>
  <c r="C1431" i="1"/>
  <c r="C1432" i="1"/>
  <c r="C1433" i="1"/>
  <c r="C1434" i="1"/>
  <c r="C1436" i="1"/>
  <c r="C1442" i="1"/>
  <c r="C1443" i="1"/>
  <c r="C1444" i="1"/>
  <c r="C1445" i="1"/>
  <c r="C1446" i="1"/>
  <c r="C1447" i="1"/>
  <c r="C1448" i="1"/>
  <c r="C1449" i="1"/>
  <c r="C1450" i="1"/>
  <c r="C1451" i="1"/>
  <c r="C1453" i="1"/>
  <c r="C1454" i="1"/>
  <c r="C1455" i="1"/>
  <c r="C1456" i="1"/>
  <c r="C1457" i="1"/>
  <c r="C1458" i="1"/>
  <c r="C1459" i="1"/>
  <c r="C1461" i="1"/>
  <c r="C1462" i="1"/>
  <c r="C1463" i="1"/>
  <c r="C1464" i="1"/>
  <c r="C1465" i="1"/>
  <c r="C1466" i="1"/>
  <c r="C1467" i="1"/>
  <c r="C1468" i="1"/>
  <c r="C1469" i="1"/>
  <c r="C1470" i="1"/>
  <c r="C1471" i="1"/>
  <c r="C1472" i="1"/>
  <c r="C1473" i="1"/>
  <c r="C1474" i="1"/>
  <c r="C1475" i="1"/>
  <c r="C1477" i="1"/>
  <c r="C1478" i="1"/>
  <c r="C1480" i="1"/>
  <c r="C1481" i="1"/>
  <c r="C1482" i="1"/>
  <c r="C1483" i="1"/>
  <c r="C1484" i="1"/>
  <c r="C1486" i="1"/>
  <c r="C1487" i="1"/>
  <c r="C1488" i="1"/>
  <c r="C1489" i="1"/>
  <c r="C1490" i="1"/>
  <c r="C1491" i="1"/>
  <c r="C1493" i="1"/>
  <c r="C1494" i="1"/>
  <c r="C1495" i="1"/>
  <c r="C1496" i="1"/>
  <c r="C1497" i="1"/>
  <c r="C1498" i="1"/>
  <c r="C1500" i="1"/>
  <c r="C1501" i="1"/>
  <c r="C1502" i="1"/>
  <c r="C1504" i="1"/>
  <c r="C1505" i="1"/>
  <c r="C1506" i="1"/>
  <c r="C1507" i="1"/>
  <c r="C1508" i="1"/>
  <c r="C1509" i="1"/>
  <c r="C1510" i="1"/>
  <c r="C1511" i="1"/>
  <c r="C1512" i="1"/>
  <c r="C1513" i="1"/>
  <c r="C1514" i="1"/>
  <c r="C1515" i="1"/>
  <c r="C1516" i="1"/>
  <c r="C1517" i="1"/>
  <c r="C2983" i="1"/>
  <c r="C1519" i="1"/>
  <c r="C1520" i="1"/>
  <c r="C1521" i="1"/>
  <c r="C1522" i="1"/>
  <c r="C1523" i="1"/>
  <c r="C1524" i="1"/>
  <c r="C1525" i="1"/>
  <c r="C1526" i="1"/>
  <c r="C1528" i="1"/>
  <c r="C1529" i="1"/>
  <c r="C1531" i="1"/>
  <c r="C1532" i="1"/>
  <c r="C1533" i="1"/>
  <c r="C1534" i="1"/>
  <c r="C1535" i="1"/>
  <c r="C1536" i="1"/>
  <c r="C1537" i="1"/>
  <c r="C1538" i="1"/>
  <c r="C1539" i="1"/>
  <c r="C1540" i="1"/>
  <c r="C1541" i="1"/>
  <c r="C1542" i="1"/>
  <c r="C1543" i="1"/>
  <c r="C1545" i="1"/>
  <c r="C1546" i="1"/>
  <c r="C1547" i="1"/>
  <c r="C1548" i="1"/>
  <c r="C1549" i="1"/>
  <c r="C1550" i="1"/>
  <c r="C1551" i="1"/>
  <c r="C1552" i="1"/>
  <c r="C1553" i="1"/>
  <c r="C1554" i="1"/>
  <c r="C1555" i="1"/>
  <c r="C1556" i="1"/>
  <c r="C1557" i="1"/>
  <c r="C1558" i="1"/>
  <c r="C1559" i="1"/>
  <c r="C1561" i="1"/>
  <c r="C1562" i="1"/>
  <c r="C1563" i="1"/>
  <c r="C1564" i="1"/>
  <c r="C1565" i="1"/>
  <c r="C1566" i="1"/>
  <c r="C1567" i="1"/>
  <c r="C1568" i="1"/>
  <c r="C1569" i="1"/>
  <c r="C1570" i="1"/>
  <c r="C1571" i="1"/>
  <c r="C1572" i="1"/>
  <c r="C1573" i="1"/>
  <c r="C1574" i="1"/>
  <c r="C1575" i="1"/>
  <c r="C1577" i="1"/>
  <c r="C1578" i="1"/>
  <c r="C1579" i="1"/>
  <c r="C1580" i="1"/>
  <c r="C1581" i="1"/>
  <c r="C1582" i="1"/>
  <c r="C1583" i="1"/>
  <c r="C1584" i="1"/>
  <c r="C1586" i="1"/>
  <c r="C1587" i="1"/>
  <c r="C1588" i="1"/>
  <c r="C1589" i="1"/>
  <c r="C1590" i="1"/>
  <c r="C1592" i="1"/>
  <c r="C1593" i="1"/>
  <c r="C1594" i="1"/>
  <c r="C1595" i="1"/>
  <c r="C1596" i="1"/>
  <c r="C1597" i="1"/>
  <c r="C1598" i="1"/>
  <c r="C1600" i="1"/>
  <c r="C1601" i="1"/>
  <c r="C1602" i="1"/>
  <c r="C1603" i="1"/>
  <c r="C1604" i="1"/>
  <c r="C1605" i="1"/>
  <c r="C1606" i="1"/>
  <c r="C1608" i="1"/>
  <c r="C1609" i="1"/>
  <c r="C1610" i="1"/>
  <c r="C1611" i="1"/>
  <c r="C1612" i="1"/>
  <c r="C1613" i="1"/>
  <c r="C1614" i="1"/>
  <c r="C1616" i="1"/>
  <c r="C1617" i="1"/>
  <c r="C1618" i="1"/>
  <c r="C1619" i="1"/>
  <c r="C1620" i="1"/>
  <c r="C1621" i="1"/>
  <c r="C1622" i="1"/>
  <c r="C1623" i="1"/>
  <c r="C1624" i="1"/>
  <c r="C1625" i="1"/>
  <c r="C1626" i="1"/>
  <c r="C1627" i="1"/>
  <c r="C1628" i="1"/>
  <c r="C1629" i="1"/>
  <c r="C1631" i="1"/>
  <c r="C1632" i="1"/>
  <c r="C1633" i="1"/>
  <c r="C1634" i="1"/>
  <c r="C1635" i="1"/>
  <c r="C1636" i="1"/>
  <c r="C1637" i="1"/>
  <c r="C1639" i="1"/>
  <c r="C1640" i="1"/>
  <c r="C1641" i="1"/>
  <c r="C1642" i="1"/>
  <c r="C1643" i="1"/>
  <c r="C1644" i="1"/>
  <c r="C1646" i="1"/>
  <c r="C1647" i="1"/>
  <c r="C1648" i="1"/>
  <c r="C1649" i="1"/>
  <c r="C1650" i="1"/>
  <c r="C1651" i="1"/>
  <c r="C1652" i="1"/>
  <c r="C1653" i="1"/>
  <c r="C1654" i="1"/>
  <c r="C1656" i="1"/>
  <c r="C1657" i="1"/>
  <c r="C1658" i="1"/>
  <c r="C1659" i="1"/>
  <c r="C1660" i="1"/>
  <c r="C1661" i="1"/>
  <c r="C1662" i="1"/>
  <c r="C1663" i="1"/>
  <c r="C1664" i="1"/>
  <c r="C1665" i="1"/>
  <c r="C1666" i="1"/>
  <c r="C1667" i="1"/>
  <c r="C1668" i="1"/>
  <c r="C1670" i="1"/>
  <c r="C1671" i="1"/>
  <c r="C1673" i="1"/>
  <c r="C1675" i="1"/>
  <c r="C1676" i="1"/>
  <c r="C1677" i="1"/>
  <c r="C1678" i="1"/>
  <c r="C1680" i="1"/>
  <c r="C1681" i="1"/>
  <c r="C1682" i="1"/>
  <c r="C1683" i="1"/>
  <c r="C1684" i="1"/>
  <c r="C1686" i="1"/>
  <c r="C1687" i="1"/>
  <c r="C1690" i="1"/>
  <c r="C1691" i="1"/>
  <c r="C1693" i="1"/>
  <c r="C1694" i="1"/>
  <c r="C1696" i="1"/>
  <c r="C1697" i="1"/>
  <c r="C1701" i="1"/>
  <c r="C1702" i="1"/>
  <c r="C1703" i="1"/>
  <c r="C1704" i="1"/>
  <c r="C1705" i="1"/>
  <c r="C1706" i="1"/>
  <c r="C1707" i="1"/>
  <c r="C1709" i="1"/>
  <c r="C1710" i="1"/>
  <c r="C1711" i="1"/>
  <c r="C1712" i="1"/>
  <c r="C1713" i="1"/>
  <c r="C1714" i="1"/>
  <c r="C1715" i="1"/>
  <c r="C1716" i="1"/>
  <c r="C1717" i="1"/>
  <c r="C1718" i="1"/>
  <c r="C1719" i="1"/>
  <c r="C1720" i="1"/>
  <c r="C1721" i="1"/>
  <c r="C1722" i="1"/>
  <c r="C1723" i="1"/>
  <c r="C1725" i="1"/>
  <c r="C1726" i="1"/>
  <c r="C1727" i="1"/>
  <c r="C1728" i="1"/>
  <c r="C1729" i="1"/>
  <c r="C1730" i="1"/>
  <c r="C1731" i="1"/>
  <c r="C1733" i="1"/>
  <c r="C1734" i="1"/>
  <c r="C1735" i="1"/>
  <c r="C1736" i="1"/>
  <c r="C1737" i="1"/>
  <c r="C1738" i="1"/>
  <c r="C1739" i="1"/>
  <c r="C1740" i="1"/>
  <c r="C1741" i="1"/>
  <c r="C1742" i="1"/>
  <c r="C1743" i="1"/>
  <c r="C1744" i="1"/>
  <c r="C1745" i="1"/>
  <c r="C1746" i="1"/>
  <c r="C1747" i="1"/>
  <c r="C1749" i="1"/>
  <c r="C1750" i="1"/>
  <c r="C1751" i="1"/>
  <c r="C1752" i="1"/>
  <c r="C1753" i="1"/>
  <c r="C1754" i="1"/>
  <c r="C1756" i="1"/>
  <c r="C1757" i="1"/>
  <c r="C1758" i="1"/>
  <c r="C1759" i="1"/>
  <c r="C1760" i="1"/>
  <c r="C1761" i="1"/>
  <c r="C1762" i="1"/>
  <c r="C1763" i="1"/>
  <c r="C1764" i="1"/>
  <c r="C1765" i="1"/>
  <c r="C1766" i="1"/>
  <c r="C1767" i="1"/>
  <c r="C1768" i="1"/>
  <c r="C1769" i="1"/>
  <c r="C1770" i="1"/>
  <c r="C1772" i="1"/>
  <c r="C1773" i="1"/>
  <c r="C1775" i="1"/>
  <c r="C1776" i="1"/>
  <c r="C1777" i="1"/>
  <c r="C1778" i="1"/>
  <c r="C1779" i="1"/>
  <c r="C1780" i="1"/>
  <c r="C1782" i="1"/>
  <c r="C1783" i="1"/>
  <c r="C1784" i="1"/>
  <c r="C1785" i="1"/>
  <c r="C1786" i="1"/>
  <c r="C1788" i="1"/>
  <c r="C1789" i="1"/>
  <c r="C1790" i="1"/>
  <c r="C1791" i="1"/>
  <c r="C1792" i="1"/>
  <c r="C1793" i="1"/>
  <c r="C1794" i="1"/>
  <c r="C1795" i="1"/>
  <c r="C1796" i="1"/>
  <c r="C1797" i="1"/>
  <c r="C1798" i="1"/>
  <c r="C1799" i="1"/>
  <c r="C1800" i="1"/>
  <c r="C1801" i="1"/>
  <c r="C1802" i="1"/>
  <c r="C1803" i="1"/>
  <c r="C1804" i="1"/>
  <c r="C1805" i="1"/>
  <c r="C1806" i="1"/>
  <c r="C1807" i="1"/>
  <c r="C1808" i="1"/>
  <c r="C1809" i="1"/>
  <c r="C1811" i="1"/>
  <c r="C1812" i="1"/>
  <c r="C1813" i="1"/>
  <c r="C1814" i="1"/>
  <c r="C1815" i="1"/>
  <c r="C1816" i="1"/>
  <c r="C1817" i="1"/>
  <c r="C1818" i="1"/>
  <c r="C1819" i="1"/>
  <c r="C1820" i="1"/>
  <c r="C1821" i="1"/>
  <c r="C1822" i="1"/>
  <c r="C1824" i="1"/>
  <c r="C1825" i="1"/>
  <c r="C1826" i="1"/>
  <c r="C1827" i="1"/>
  <c r="C1828" i="1"/>
  <c r="C1829" i="1"/>
  <c r="C1830" i="1"/>
  <c r="C1831" i="1"/>
  <c r="C1832" i="1"/>
  <c r="C1833" i="1"/>
  <c r="C1834" i="1"/>
  <c r="C1835" i="1"/>
  <c r="C1836" i="1"/>
  <c r="C1838" i="1"/>
  <c r="C1839" i="1"/>
  <c r="C1840" i="1"/>
  <c r="C1841" i="1"/>
  <c r="C1842" i="1"/>
  <c r="C1843" i="1"/>
  <c r="C1844" i="1"/>
  <c r="C1845" i="1"/>
  <c r="C1846" i="1"/>
  <c r="C1847" i="1"/>
  <c r="C1848" i="1"/>
  <c r="C1849" i="1"/>
  <c r="C1850" i="1"/>
  <c r="C1851" i="1"/>
  <c r="C1852" i="1"/>
  <c r="C1853" i="1"/>
  <c r="C1855" i="1"/>
  <c r="C1856" i="1"/>
  <c r="C1857" i="1"/>
  <c r="C1858" i="1"/>
  <c r="C1859" i="1"/>
  <c r="C1860" i="1"/>
  <c r="C1861" i="1"/>
  <c r="C1862" i="1"/>
  <c r="C1864" i="1"/>
  <c r="C1865" i="1"/>
  <c r="C1867" i="1"/>
  <c r="C1868" i="1"/>
  <c r="C1869" i="1"/>
  <c r="C1870" i="1"/>
  <c r="C1872" i="1"/>
  <c r="C1873" i="1"/>
  <c r="C1874" i="1"/>
  <c r="C1876" i="1"/>
  <c r="C1877" i="1"/>
  <c r="C1878" i="1"/>
  <c r="C1879" i="1"/>
  <c r="C1880" i="1"/>
  <c r="C1881" i="1"/>
  <c r="C1882" i="1"/>
  <c r="C1883" i="1"/>
  <c r="C1884"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7" i="1"/>
  <c r="C1918" i="1"/>
  <c r="C1919" i="1"/>
  <c r="C1921" i="1"/>
  <c r="C1923" i="1"/>
  <c r="C1924" i="1"/>
  <c r="C1925" i="1"/>
  <c r="C1926" i="1"/>
  <c r="C1927" i="1"/>
  <c r="C1928" i="1"/>
  <c r="C1929" i="1"/>
  <c r="C1930" i="1"/>
  <c r="C1931" i="1"/>
  <c r="C1932" i="1"/>
  <c r="C1933" i="1"/>
  <c r="C1934" i="1"/>
  <c r="C1935" i="1"/>
  <c r="C1936" i="1"/>
  <c r="C1937" i="1"/>
  <c r="C1938" i="1"/>
  <c r="C1939" i="1"/>
  <c r="C1940" i="1"/>
  <c r="C1941" i="1"/>
  <c r="C1942" i="1"/>
  <c r="C1943" i="1"/>
  <c r="C1945" i="1"/>
  <c r="C1947" i="1"/>
  <c r="C1948" i="1"/>
  <c r="C1949" i="1"/>
  <c r="C1950" i="1"/>
  <c r="C1951" i="1"/>
  <c r="C1952" i="1"/>
  <c r="C1953" i="1"/>
  <c r="C1954" i="1"/>
  <c r="C1955" i="1"/>
  <c r="C1956" i="1"/>
  <c r="C1957" i="1"/>
  <c r="C1958" i="1"/>
  <c r="C1959" i="1"/>
  <c r="C1960" i="1"/>
  <c r="C1961" i="1"/>
  <c r="C1963" i="1"/>
  <c r="C1964" i="1"/>
  <c r="C1965" i="1"/>
  <c r="C1966" i="1"/>
  <c r="C1967" i="1"/>
  <c r="C1968" i="1"/>
  <c r="C1969" i="1"/>
  <c r="C1971" i="1"/>
  <c r="C1972" i="1"/>
  <c r="C1973" i="1"/>
  <c r="C1974" i="1"/>
  <c r="C1975" i="1"/>
  <c r="C1976" i="1"/>
  <c r="C1977" i="1"/>
  <c r="C1978" i="1"/>
  <c r="C1980" i="1"/>
  <c r="C1981" i="1"/>
  <c r="C1982" i="1"/>
  <c r="C1983" i="1"/>
  <c r="C1984" i="1"/>
  <c r="C1985" i="1"/>
  <c r="C1988" i="1"/>
  <c r="C1989" i="1"/>
  <c r="C1990" i="1"/>
  <c r="C1992" i="1"/>
  <c r="C1993" i="1"/>
  <c r="C1994" i="1"/>
  <c r="C1995" i="1"/>
  <c r="C1996" i="1"/>
  <c r="C1997" i="1"/>
  <c r="C1998" i="1"/>
  <c r="C1999" i="1"/>
  <c r="C2000" i="1"/>
  <c r="C2001" i="1"/>
  <c r="C2002" i="1"/>
  <c r="C2003" i="1"/>
  <c r="C2004" i="1"/>
  <c r="C2005" i="1"/>
  <c r="C2006" i="1"/>
  <c r="C2007" i="1"/>
  <c r="C2009" i="1"/>
  <c r="C2010" i="1"/>
  <c r="C2011" i="1"/>
  <c r="C2012" i="1"/>
  <c r="C2013" i="1"/>
  <c r="C2014" i="1"/>
  <c r="C2015" i="1"/>
  <c r="C2016" i="1"/>
  <c r="C2017" i="1"/>
  <c r="C2018" i="1"/>
  <c r="C2019" i="1"/>
  <c r="C2020" i="1"/>
  <c r="C2021" i="1"/>
  <c r="C2022" i="1"/>
  <c r="C2024" i="1"/>
  <c r="C2025" i="1"/>
  <c r="C2026" i="1"/>
  <c r="C2027" i="1"/>
  <c r="C2028" i="1"/>
  <c r="C2029" i="1"/>
  <c r="C2030" i="1"/>
  <c r="C2031" i="1"/>
  <c r="C2032" i="1"/>
  <c r="C2033" i="1"/>
  <c r="C2035" i="1"/>
  <c r="C2036" i="1"/>
  <c r="C2037" i="1"/>
  <c r="C2038" i="1"/>
  <c r="C2039" i="1"/>
  <c r="C2040" i="1"/>
  <c r="C2041" i="1"/>
  <c r="C2042" i="1"/>
  <c r="C2043" i="1"/>
  <c r="C2044" i="1"/>
  <c r="C2045" i="1"/>
  <c r="C2046" i="1"/>
  <c r="C2047" i="1"/>
  <c r="C2048" i="1"/>
  <c r="C2049" i="1"/>
  <c r="C2051" i="1"/>
  <c r="C2052" i="1"/>
  <c r="C2053" i="1"/>
  <c r="C2054" i="1"/>
  <c r="C2055" i="1"/>
  <c r="C2056" i="1"/>
  <c r="C2057" i="1"/>
  <c r="C2058" i="1"/>
  <c r="C2059" i="1"/>
  <c r="C2060" i="1"/>
  <c r="C2063" i="1"/>
  <c r="C2064" i="1"/>
  <c r="C2065" i="1"/>
  <c r="C2066" i="1"/>
  <c r="C2067" i="1"/>
  <c r="C2068" i="1"/>
  <c r="C2069" i="1"/>
  <c r="C2070" i="1"/>
  <c r="C2071" i="1"/>
  <c r="C2072" i="1"/>
  <c r="C2073" i="1"/>
  <c r="C2074" i="1"/>
  <c r="C2075" i="1"/>
  <c r="C2076" i="1"/>
  <c r="C2078" i="1"/>
  <c r="C2079" i="1"/>
  <c r="C2080" i="1"/>
  <c r="C2081" i="1"/>
  <c r="C2082" i="1"/>
  <c r="C2083" i="1"/>
  <c r="C2084" i="1"/>
  <c r="C2085" i="1"/>
  <c r="C2086" i="1"/>
  <c r="C2087" i="1"/>
  <c r="C2088" i="1"/>
  <c r="C2090" i="1"/>
  <c r="C2091" i="1"/>
  <c r="C2092" i="1"/>
  <c r="C2093" i="1"/>
  <c r="C2094"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9" i="1"/>
  <c r="C2140" i="1"/>
  <c r="C2141" i="1"/>
  <c r="C2142" i="1"/>
  <c r="C2143" i="1"/>
  <c r="C2144" i="1"/>
  <c r="C2145" i="1"/>
  <c r="C2146" i="1"/>
  <c r="C2147" i="1"/>
  <c r="C2148"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5" i="1"/>
  <c r="C2186" i="1"/>
  <c r="C2187" i="1"/>
  <c r="C2188" i="1"/>
  <c r="C2189" i="1"/>
  <c r="C2190" i="1"/>
  <c r="C2191" i="1"/>
  <c r="C2192" i="1"/>
  <c r="C2193" i="1"/>
  <c r="C2194" i="1"/>
  <c r="C2195" i="1"/>
  <c r="C2196" i="1"/>
  <c r="C2197" i="1"/>
  <c r="C2198" i="1"/>
  <c r="C2199" i="1"/>
  <c r="C2200" i="1"/>
  <c r="C2201" i="1"/>
  <c r="C2203" i="1"/>
  <c r="C2204" i="1"/>
  <c r="C2205" i="1"/>
  <c r="C2206" i="1"/>
  <c r="C2207" i="1"/>
  <c r="C2208" i="1"/>
  <c r="C2209" i="1"/>
  <c r="C2210" i="1"/>
  <c r="C2211" i="1"/>
  <c r="C2212" i="1"/>
  <c r="C2213" i="1"/>
  <c r="C2214" i="1"/>
  <c r="C2215" i="1"/>
  <c r="C2216" i="1"/>
  <c r="C2217" i="1"/>
  <c r="C2218" i="1"/>
  <c r="C2220" i="1"/>
  <c r="C2221" i="1"/>
  <c r="C2222" i="1"/>
  <c r="C2223" i="1"/>
  <c r="C2224" i="1"/>
  <c r="C2225" i="1"/>
  <c r="C2227" i="1"/>
  <c r="C2228"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8" i="1"/>
  <c r="C2269" i="1"/>
  <c r="C2270" i="1"/>
  <c r="C2271" i="1"/>
  <c r="C2272" i="1"/>
  <c r="C2273" i="1"/>
  <c r="C2274" i="1"/>
  <c r="C2275" i="1"/>
  <c r="C2276" i="1"/>
  <c r="C2277" i="1"/>
  <c r="C2278" i="1"/>
  <c r="C2279" i="1"/>
  <c r="C2280" i="1"/>
  <c r="C2281" i="1"/>
  <c r="C2283" i="1"/>
  <c r="C2284" i="1"/>
  <c r="C2285" i="1"/>
  <c r="C2286" i="1"/>
  <c r="C2287" i="1"/>
  <c r="C2288" i="1"/>
  <c r="C2289" i="1"/>
  <c r="C2291" i="1"/>
  <c r="C2292" i="1"/>
  <c r="C2293" i="1"/>
  <c r="C2294" i="1"/>
  <c r="C2295" i="1"/>
  <c r="C2296" i="1"/>
  <c r="C2297" i="1"/>
  <c r="C2298" i="1"/>
  <c r="C2299" i="1"/>
  <c r="C2300" i="1"/>
  <c r="C2301" i="1"/>
  <c r="C2302" i="1"/>
  <c r="C2303" i="1"/>
  <c r="C2304" i="1"/>
  <c r="C2305" i="1"/>
  <c r="C2306" i="1"/>
  <c r="C2307" i="1"/>
  <c r="C2308" i="1"/>
  <c r="C2309" i="1"/>
  <c r="C2310" i="1"/>
  <c r="C2311"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60" i="1"/>
  <c r="C2361" i="1"/>
  <c r="C2362" i="1"/>
  <c r="C2363" i="1"/>
  <c r="C2364" i="1"/>
  <c r="C2365" i="1"/>
  <c r="C2366" i="1"/>
  <c r="C2367" i="1"/>
  <c r="C2368" i="1"/>
  <c r="C2369" i="1"/>
  <c r="C2370" i="1"/>
  <c r="C2371" i="1"/>
  <c r="C2372" i="1"/>
  <c r="C2373" i="1"/>
  <c r="C2374" i="1"/>
  <c r="C2375" i="1"/>
  <c r="C2376" i="1"/>
  <c r="C2377" i="1"/>
  <c r="C2378" i="1"/>
  <c r="C2379" i="1"/>
  <c r="C2381" i="1"/>
  <c r="C2382" i="1"/>
  <c r="C2383" i="1"/>
  <c r="C2384" i="1"/>
  <c r="C2385" i="1"/>
  <c r="C2386"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617"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5" i="1"/>
  <c r="C2586" i="1"/>
  <c r="C2587" i="1"/>
  <c r="C2588" i="1"/>
  <c r="C2589" i="1"/>
  <c r="C2590" i="1"/>
  <c r="C2591" i="1"/>
  <c r="C2592" i="1"/>
  <c r="C2593" i="1"/>
  <c r="C2594" i="1"/>
  <c r="C2595" i="1"/>
  <c r="C2596" i="1"/>
  <c r="C2597" i="1"/>
  <c r="C2598" i="1"/>
  <c r="C1232" i="1"/>
  <c r="C2600" i="1"/>
  <c r="C2601" i="1"/>
  <c r="C2602" i="1"/>
  <c r="C2603" i="1"/>
  <c r="C2604" i="1"/>
  <c r="C2605" i="1"/>
  <c r="C2606" i="1"/>
  <c r="C2607" i="1"/>
  <c r="C2608" i="1"/>
  <c r="C2609" i="1"/>
  <c r="C2610" i="1"/>
  <c r="C2611" i="1"/>
  <c r="C2612" i="1"/>
  <c r="C2613" i="1"/>
  <c r="C2614" i="1"/>
  <c r="C2615" i="1"/>
  <c r="C2616" i="1"/>
  <c r="C2619" i="1"/>
  <c r="C2620" i="1"/>
  <c r="C2621" i="1"/>
  <c r="C2622" i="1"/>
  <c r="C2623" i="1"/>
  <c r="C2624" i="1"/>
  <c r="C2625" i="1"/>
  <c r="C2634" i="1"/>
  <c r="C2635" i="1"/>
  <c r="C2636" i="1"/>
  <c r="C2637" i="1"/>
  <c r="C2638" i="1"/>
  <c r="C2639" i="1"/>
  <c r="C2640" i="1"/>
  <c r="C819" i="1"/>
  <c r="C2644" i="1"/>
  <c r="C2645" i="1"/>
  <c r="C2646" i="1"/>
  <c r="C2647" i="1"/>
  <c r="C2648" i="1"/>
  <c r="C2649" i="1"/>
  <c r="C2650" i="1"/>
  <c r="C2651" i="1"/>
  <c r="C2652" i="1"/>
  <c r="C2653" i="1"/>
  <c r="C2654" i="1"/>
  <c r="C2655" i="1"/>
  <c r="C2656" i="1"/>
  <c r="C2657" i="1"/>
  <c r="C2658" i="1"/>
  <c r="C2659" i="1"/>
  <c r="C2660" i="1"/>
  <c r="C2661" i="1"/>
  <c r="C2662" i="1"/>
  <c r="C94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9" i="1"/>
  <c r="C2901" i="1"/>
  <c r="C2902" i="1"/>
  <c r="C2904" i="1"/>
  <c r="C2905" i="1"/>
  <c r="C2906" i="1"/>
  <c r="C2907" i="1"/>
  <c r="C2908" i="1"/>
  <c r="C2911" i="1"/>
  <c r="C2912" i="1"/>
  <c r="C2913" i="1"/>
  <c r="C2914" i="1"/>
  <c r="C2915" i="1"/>
  <c r="C2916" i="1"/>
  <c r="C2917" i="1"/>
  <c r="C2918"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4" i="1"/>
  <c r="C2985" i="1"/>
  <c r="C2986" i="1"/>
  <c r="C2987" i="1"/>
  <c r="C2988" i="1"/>
  <c r="C2989" i="1"/>
  <c r="C2990" i="1"/>
  <c r="C2991" i="1"/>
  <c r="C2992" i="1"/>
  <c r="C2993"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2994" i="1"/>
  <c r="C3123" i="1"/>
  <c r="C3127" i="1"/>
  <c r="C3124" i="1"/>
  <c r="C3125" i="1"/>
  <c r="C3126" i="1"/>
  <c r="C3128" i="1"/>
  <c r="C3129" i="1"/>
  <c r="C3130" i="1"/>
  <c r="C3131" i="1"/>
  <c r="C3132" i="1"/>
  <c r="C3133" i="1"/>
  <c r="C3134" i="1"/>
  <c r="C3135" i="1"/>
  <c r="C3136" i="1"/>
  <c r="C3137" i="1"/>
  <c r="C3138" i="1"/>
  <c r="C3139" i="1"/>
  <c r="C3140" i="1"/>
  <c r="C3141" i="1"/>
  <c r="C832" i="1"/>
  <c r="C3143" i="1"/>
  <c r="C3144" i="1"/>
  <c r="C3145" i="1"/>
  <c r="C3146" i="1"/>
  <c r="C3148" i="1"/>
  <c r="C3149" i="1"/>
  <c r="C3150" i="1"/>
  <c r="C3151" i="1"/>
  <c r="C3152" i="1"/>
  <c r="C3153" i="1"/>
  <c r="C3154" i="1"/>
  <c r="C2626" i="1"/>
  <c r="C847" i="1"/>
  <c r="C833" i="1"/>
  <c r="C1875" i="1"/>
  <c r="C2229" i="1"/>
  <c r="C27" i="1"/>
  <c r="C35" i="1"/>
  <c r="C42" i="1"/>
  <c r="C50" i="1"/>
  <c r="C58" i="1"/>
  <c r="C66" i="1"/>
  <c r="C74" i="1"/>
  <c r="C82" i="1"/>
  <c r="C90" i="1"/>
  <c r="C98" i="1"/>
  <c r="C106" i="1"/>
  <c r="C114" i="1"/>
  <c r="C122" i="1"/>
  <c r="C130" i="1"/>
  <c r="C138" i="1"/>
  <c r="C139" i="1"/>
  <c r="C146" i="1"/>
  <c r="C154" i="1"/>
  <c r="C162" i="1"/>
  <c r="C170" i="1"/>
  <c r="C171" i="1"/>
  <c r="C178" i="1"/>
  <c r="C186" i="1"/>
  <c r="C194" i="1"/>
  <c r="C202" i="1"/>
  <c r="C203" i="1"/>
  <c r="C210" i="1"/>
  <c r="C218" i="1"/>
  <c r="C226" i="1"/>
  <c r="C234" i="1"/>
  <c r="C242" i="1"/>
  <c r="C250" i="1"/>
  <c r="C258" i="1"/>
  <c r="C266" i="1"/>
  <c r="C274" i="1"/>
  <c r="C282" i="1"/>
  <c r="C290" i="1"/>
  <c r="C298" i="1"/>
  <c r="C306" i="1"/>
  <c r="C314" i="1"/>
  <c r="C322" i="1"/>
  <c r="C330" i="1"/>
  <c r="C338" i="1"/>
  <c r="C346" i="1"/>
  <c r="C354" i="1"/>
  <c r="C362" i="1"/>
  <c r="C370" i="1"/>
  <c r="C378" i="1"/>
  <c r="C386" i="1"/>
  <c r="C394" i="1"/>
  <c r="C2089" i="1"/>
  <c r="C409" i="1"/>
  <c r="C417" i="1"/>
  <c r="C425" i="1"/>
  <c r="C433" i="1"/>
  <c r="C441" i="1"/>
  <c r="C449" i="1"/>
  <c r="C457" i="1"/>
  <c r="C465" i="1"/>
  <c r="C473" i="1"/>
  <c r="C481" i="1"/>
  <c r="C489" i="1"/>
  <c r="C497" i="1"/>
  <c r="C505" i="1"/>
  <c r="C513" i="1"/>
  <c r="C521" i="1"/>
  <c r="C529" i="1"/>
  <c r="C537" i="1"/>
  <c r="C545" i="1"/>
  <c r="C553" i="1"/>
  <c r="C561" i="1"/>
  <c r="C569" i="1"/>
  <c r="C577" i="1"/>
  <c r="C585" i="1"/>
  <c r="C593" i="1"/>
  <c r="C597" i="1"/>
  <c r="C601" i="1"/>
  <c r="C609" i="1"/>
  <c r="C617" i="1"/>
  <c r="C625" i="1"/>
  <c r="C633" i="1"/>
  <c r="C641" i="1"/>
  <c r="C648" i="1"/>
  <c r="C656" i="1"/>
  <c r="C664" i="1"/>
  <c r="C672" i="1"/>
  <c r="C680" i="1"/>
  <c r="C688" i="1"/>
  <c r="C696" i="1"/>
  <c r="C704" i="1"/>
  <c r="C712" i="1"/>
  <c r="C720" i="1"/>
  <c r="C728" i="1"/>
  <c r="C736" i="1"/>
  <c r="C744" i="1"/>
  <c r="C752" i="1"/>
  <c r="C760" i="1"/>
  <c r="C768" i="1"/>
  <c r="C776" i="1"/>
  <c r="C784" i="1"/>
  <c r="C792" i="1"/>
  <c r="C800" i="1"/>
  <c r="C810" i="1"/>
  <c r="C821" i="1"/>
  <c r="C841" i="1"/>
  <c r="C850" i="1"/>
  <c r="C858" i="1"/>
  <c r="C865" i="1"/>
  <c r="C874" i="1"/>
  <c r="C885" i="1"/>
  <c r="C893" i="1"/>
  <c r="C901" i="1"/>
  <c r="C1866" i="1"/>
  <c r="C1114" i="1"/>
  <c r="C1190" i="1"/>
  <c r="C1199" i="1"/>
  <c r="C1214" i="1"/>
  <c r="C1221" i="1"/>
  <c r="C1228" i="1"/>
  <c r="C1237" i="1"/>
  <c r="C1245" i="1"/>
  <c r="C1253" i="1"/>
  <c r="C1262" i="1"/>
  <c r="C1270" i="1"/>
  <c r="C1278" i="1"/>
  <c r="C1295" i="1"/>
  <c r="C1311" i="1"/>
  <c r="C1319" i="1"/>
  <c r="C1327" i="1"/>
  <c r="C1335" i="1"/>
  <c r="C1351" i="1"/>
  <c r="C1367" i="1"/>
  <c r="C1375" i="1"/>
  <c r="C1383" i="1"/>
  <c r="C1391" i="1"/>
  <c r="C1416" i="1"/>
  <c r="C1430" i="1"/>
  <c r="C1452" i="1"/>
  <c r="C1460" i="1"/>
  <c r="C1476" i="1"/>
  <c r="C1485" i="1"/>
  <c r="C1503" i="1"/>
  <c r="C1527" i="1"/>
  <c r="C1544" i="1"/>
  <c r="C1560" i="1"/>
  <c r="C1576" i="1"/>
  <c r="C1585" i="1"/>
  <c r="C1591" i="1"/>
  <c r="C1607" i="1"/>
  <c r="C1615" i="1"/>
  <c r="C1630" i="1"/>
  <c r="C1638" i="1"/>
  <c r="C1645" i="1"/>
  <c r="C1679" i="1"/>
  <c r="C1689" i="1"/>
  <c r="C1708" i="1"/>
  <c r="C1732" i="1"/>
  <c r="C1748" i="1"/>
  <c r="C1810" i="1"/>
  <c r="C2008" i="1"/>
  <c r="C2077" i="1"/>
  <c r="C2290" i="1"/>
  <c r="C10" i="1"/>
  <c r="C11" i="1"/>
  <c r="C12" i="1"/>
  <c r="C13" i="1"/>
  <c r="C14" i="1"/>
  <c r="C15" i="1"/>
  <c r="C16" i="1"/>
  <c r="C17" i="1"/>
  <c r="C18" i="1"/>
  <c r="C19" i="1"/>
  <c r="C20" i="1"/>
  <c r="C21" i="1"/>
  <c r="C22" i="1"/>
  <c r="O1662" i="1" l="1"/>
  <c r="M1662" i="1"/>
  <c r="O947" i="1"/>
  <c r="M947" i="1"/>
  <c r="Z7" i="1" l="1"/>
  <c r="AA7" i="1" s="1"/>
  <c r="AB7" i="1" s="1"/>
  <c r="AC7" i="1" s="1"/>
  <c r="O939" i="1" l="1"/>
  <c r="M939" i="1"/>
  <c r="O938" i="1"/>
  <c r="M938" i="1"/>
  <c r="M217" i="1" l="1"/>
  <c r="O217" i="1"/>
  <c r="M1066" i="1"/>
  <c r="O1066" i="1"/>
  <c r="AL4" i="1" l="1"/>
  <c r="AL3" i="1"/>
  <c r="O2229" i="1" l="1"/>
  <c r="M2229" i="1"/>
  <c r="O1875" i="1"/>
  <c r="M1875" i="1"/>
  <c r="O833" i="1"/>
  <c r="M833" i="1"/>
  <c r="O847" i="1"/>
  <c r="M847" i="1"/>
  <c r="O2626" i="1"/>
  <c r="M2626" i="1"/>
  <c r="O1261" i="1"/>
  <c r="M1261" i="1"/>
  <c r="O2646" i="1"/>
  <c r="M2646" i="1"/>
  <c r="O3125" i="1" l="1"/>
  <c r="M3125" i="1"/>
  <c r="O2148" i="1"/>
  <c r="M2148" i="1"/>
  <c r="O2137" i="1" l="1"/>
  <c r="M2137" i="1"/>
  <c r="O2605" i="1"/>
  <c r="M2605" i="1"/>
  <c r="O1099" i="1"/>
  <c r="M1099" i="1"/>
  <c r="O1199" i="1"/>
  <c r="M1199" i="1"/>
  <c r="O1121" i="1" l="1"/>
  <c r="M1121" i="1"/>
  <c r="O2684" i="1"/>
  <c r="M2684" i="1"/>
  <c r="O2582" i="1" l="1"/>
  <c r="M2582" i="1"/>
  <c r="O2086" i="1"/>
  <c r="M2086" i="1"/>
  <c r="AJ4" i="1"/>
  <c r="AJ3" i="1"/>
  <c r="AB1946" i="1"/>
  <c r="AB1187" i="1"/>
  <c r="BJ1979" i="1"/>
  <c r="BJ2149" i="1"/>
  <c r="AA818" i="1"/>
  <c r="BJ814" i="1"/>
  <c r="AB872" i="1"/>
  <c r="BJ1099" i="1"/>
  <c r="AD1269" i="1"/>
  <c r="BJ1279" i="1"/>
  <c r="BJ1121" i="1"/>
  <c r="BJ1140" i="1"/>
  <c r="BJ1439" i="1"/>
  <c r="BJ1987" i="1"/>
  <c r="Z872" i="1"/>
  <c r="BJ1991" i="1"/>
  <c r="BJ2267" i="1"/>
  <c r="BJ1435" i="1"/>
  <c r="AA1986" i="1"/>
  <c r="BJ1771" i="1"/>
  <c r="AB1218" i="1"/>
  <c r="AA872" i="1"/>
  <c r="BJ1986" i="1"/>
  <c r="AC818" i="1"/>
  <c r="BJ2229" i="1"/>
  <c r="AD1187" i="1"/>
  <c r="AB1269" i="1"/>
  <c r="AA1518" i="1"/>
  <c r="AD1218" i="1"/>
  <c r="BJ1655" i="1"/>
  <c r="BJ1699" i="1"/>
  <c r="BJ2023" i="1"/>
  <c r="BJ829" i="1"/>
  <c r="BJ872" i="1"/>
  <c r="Z3142" i="1"/>
  <c r="BJ826" i="1"/>
  <c r="Z1986" i="1"/>
  <c r="BJ1787" i="1"/>
  <c r="BJ2282" i="1"/>
  <c r="BJ2628" i="1"/>
  <c r="BJ1863" i="1"/>
  <c r="BJ1199" i="1"/>
  <c r="AB818" i="1"/>
  <c r="BJ1871" i="1"/>
  <c r="BJ1755" i="1"/>
  <c r="AC806" i="1"/>
  <c r="BJ1695" i="1"/>
  <c r="BJ2642" i="1"/>
  <c r="BJ2148" i="1"/>
  <c r="BJ2034" i="1"/>
  <c r="BJ1774" i="1"/>
  <c r="BJ811" i="1"/>
  <c r="BJ1261" i="1"/>
  <c r="BJ830" i="1"/>
  <c r="BJ3147" i="1"/>
  <c r="BJ1837" i="1"/>
  <c r="BJ912" i="1"/>
  <c r="BJ1518" i="1"/>
  <c r="Z818" i="1"/>
  <c r="AA1187" i="1"/>
  <c r="BJ2050" i="1"/>
  <c r="BJ1854" i="1"/>
  <c r="BJ1218" i="1"/>
  <c r="BJ2426" i="1"/>
  <c r="BJ1437" i="1"/>
  <c r="BJ1962" i="1"/>
  <c r="BJ1662" i="1"/>
  <c r="BJ2219" i="1"/>
  <c r="BJ1438" i="1"/>
  <c r="BJ806" i="1"/>
  <c r="BJ1066" i="1"/>
  <c r="AA1218" i="1"/>
  <c r="BJ2627" i="1"/>
  <c r="BJ1599" i="1"/>
  <c r="BJ1269" i="1"/>
  <c r="BJ2095" i="1"/>
  <c r="BJ2427" i="1"/>
  <c r="BJ1187" i="1"/>
  <c r="BJ1946" i="1"/>
  <c r="BJ1685" i="1"/>
  <c r="BJ1499" i="1"/>
  <c r="BJ2605" i="1"/>
  <c r="BJ2632" i="1"/>
  <c r="AD3142" i="1"/>
  <c r="BJ2138" i="1"/>
  <c r="AC2599" i="1"/>
  <c r="BJ1277" i="1"/>
  <c r="BJ1441" i="1"/>
  <c r="BJ2646" i="1"/>
  <c r="BJ1688" i="1"/>
  <c r="BJ2630" i="1"/>
  <c r="AB2599" i="1"/>
  <c r="BJ947" i="1"/>
  <c r="BJ2380" i="1"/>
  <c r="AA1946" i="1"/>
  <c r="BJ1492" i="1"/>
  <c r="BJ1260" i="1"/>
  <c r="BJ828" i="1"/>
  <c r="BJ939" i="1"/>
  <c r="AC1218" i="1"/>
  <c r="AC1187" i="1"/>
  <c r="AB1518" i="1"/>
  <c r="AB1986" i="1"/>
  <c r="BJ2061" i="1"/>
  <c r="BJ925" i="1"/>
  <c r="AD1986" i="1"/>
  <c r="BJ1781" i="1"/>
  <c r="BJ2629" i="1"/>
  <c r="AD806" i="1"/>
  <c r="BJ1669" i="1"/>
  <c r="BJ1401" i="1"/>
  <c r="AD1946" i="1"/>
  <c r="AD1518" i="1"/>
  <c r="BJ933" i="1"/>
  <c r="Z1187" i="1"/>
  <c r="BJ847" i="1"/>
  <c r="AA806" i="1"/>
  <c r="Z1218" i="1"/>
  <c r="BJ2631" i="1"/>
  <c r="BJ1724" i="1"/>
  <c r="BJ1440" i="1"/>
  <c r="BJ2226" i="1"/>
  <c r="BJ833" i="1"/>
  <c r="BJ926" i="1"/>
  <c r="Z1946" i="1"/>
  <c r="BJ2643" i="1"/>
  <c r="AC1986" i="1"/>
  <c r="BJ1875" i="1"/>
  <c r="BJ2684" i="1"/>
  <c r="BJ2910" i="1"/>
  <c r="AD2599" i="1"/>
  <c r="BJ1402" i="1"/>
  <c r="AC872" i="1"/>
  <c r="Z1269" i="1"/>
  <c r="BJ2919" i="1"/>
  <c r="BJ2359" i="1"/>
  <c r="BJ1700" i="1"/>
  <c r="BJ2626" i="1"/>
  <c r="BJ1944" i="1"/>
  <c r="BJ1152" i="1"/>
  <c r="BJ2184" i="1"/>
  <c r="AA2599" i="1"/>
  <c r="BJ945" i="1"/>
  <c r="BJ1698" i="1"/>
  <c r="BJ2900" i="1"/>
  <c r="AC3142" i="1"/>
  <c r="AB3142" i="1"/>
  <c r="BJ2898" i="1"/>
  <c r="BJ818" i="1"/>
  <c r="BJ1674" i="1"/>
  <c r="BJ1403" i="1"/>
  <c r="AA3142" i="1"/>
  <c r="Z2599" i="1"/>
  <c r="BJ1922" i="1"/>
  <c r="AC1518" i="1"/>
  <c r="Z806" i="1"/>
  <c r="Z1518" i="1"/>
  <c r="BJ3125" i="1"/>
  <c r="BJ2599" i="1"/>
  <c r="AA1269" i="1"/>
  <c r="AC1946" i="1"/>
  <c r="BJ924" i="1"/>
  <c r="BJ2387" i="1"/>
  <c r="AC1269" i="1"/>
  <c r="BJ1479" i="1"/>
  <c r="BJ1672" i="1"/>
  <c r="BJ1920" i="1"/>
  <c r="BJ2202" i="1"/>
  <c r="BJ217" i="1"/>
  <c r="BJ1823" i="1"/>
  <c r="AB806" i="1"/>
  <c r="BJ1530" i="1"/>
  <c r="BJ3142" i="1"/>
  <c r="BJ2062" i="1"/>
  <c r="AD818" i="1"/>
  <c r="BJ1970" i="1"/>
  <c r="BJ938" i="1"/>
  <c r="AD872" i="1"/>
  <c r="BJ2137" i="1"/>
  <c r="BJ2476" i="1"/>
  <c r="AW4" i="1"/>
  <c r="AF1986" i="1" l="1"/>
  <c r="BM1986" i="1"/>
  <c r="AE1986" i="1"/>
  <c r="BM1518" i="1"/>
  <c r="AF1518" i="1"/>
  <c r="AE1518" i="1"/>
  <c r="BM1946" i="1"/>
  <c r="AF1946" i="1"/>
  <c r="AE1946" i="1"/>
  <c r="BM872" i="1"/>
  <c r="AF872" i="1"/>
  <c r="AE872" i="1"/>
  <c r="BM818" i="1"/>
  <c r="AF818" i="1"/>
  <c r="AE818" i="1"/>
  <c r="BM1218" i="1"/>
  <c r="AF1218" i="1"/>
  <c r="AE1218" i="1"/>
  <c r="BM1269" i="1"/>
  <c r="AF1269" i="1"/>
  <c r="AE1269" i="1"/>
  <c r="BM2599" i="1"/>
  <c r="AF2599" i="1"/>
  <c r="AE2599" i="1"/>
  <c r="BM1187" i="1"/>
  <c r="AF1187" i="1"/>
  <c r="AE1187" i="1"/>
  <c r="BM3142" i="1"/>
  <c r="BM806" i="1"/>
  <c r="AF3142" i="1"/>
  <c r="AE3142" i="1"/>
  <c r="AE806" i="1"/>
  <c r="AF806" i="1"/>
  <c r="AE2684" i="1"/>
  <c r="AE217" i="1"/>
  <c r="AE811" i="1"/>
  <c r="AE828" i="1"/>
  <c r="AE847" i="1"/>
  <c r="AE912" i="1"/>
  <c r="AE829" i="1"/>
  <c r="AE938" i="1"/>
  <c r="AE830" i="1"/>
  <c r="AE939" i="1"/>
  <c r="AE945" i="1"/>
  <c r="AE926" i="1"/>
  <c r="AE814" i="1"/>
  <c r="AE924" i="1"/>
  <c r="AE947" i="1"/>
  <c r="AE1279" i="1"/>
  <c r="AE1439" i="1"/>
  <c r="AE1479" i="1"/>
  <c r="AE833" i="1"/>
  <c r="AE1199" i="1"/>
  <c r="AE1152" i="1"/>
  <c r="AE1438" i="1"/>
  <c r="AE1755" i="1"/>
  <c r="AE1781" i="1"/>
  <c r="AE1837" i="1"/>
  <c r="AE1991" i="1"/>
  <c r="AE2023" i="1"/>
  <c r="AE2095" i="1"/>
  <c r="AE880" i="1"/>
  <c r="AE1066" i="1"/>
  <c r="AE1140" i="1"/>
  <c r="AE1260" i="1"/>
  <c r="AE1440" i="1"/>
  <c r="AE1402" i="1"/>
  <c r="AE1700" i="1"/>
  <c r="AE1922" i="1"/>
  <c r="AE1979" i="1"/>
  <c r="AE2148" i="1"/>
  <c r="AE2359" i="1"/>
  <c r="AE2426" i="1"/>
  <c r="AE2476" i="1"/>
  <c r="AE925" i="1"/>
  <c r="AE826" i="1"/>
  <c r="AE1530" i="1"/>
  <c r="AE1662" i="1"/>
  <c r="AE1672" i="1"/>
  <c r="AE1863" i="1"/>
  <c r="AE1970" i="1"/>
  <c r="AE1401" i="1"/>
  <c r="AE1435" i="1"/>
  <c r="AE1121" i="1"/>
  <c r="AE1403" i="1"/>
  <c r="AE1499" i="1"/>
  <c r="AE1724" i="1"/>
  <c r="AE1962" i="1"/>
  <c r="AE1987" i="1"/>
  <c r="AE2061" i="1"/>
  <c r="AE1099" i="1"/>
  <c r="AE1437" i="1"/>
  <c r="AE1698" i="1"/>
  <c r="AE2137" i="1"/>
  <c r="AE2626" i="1"/>
  <c r="AE2642" i="1"/>
  <c r="AE1669" i="1"/>
  <c r="AE1441" i="1"/>
  <c r="AE1699" i="1"/>
  <c r="AE2138" i="1"/>
  <c r="AE2149" i="1"/>
  <c r="AE2202" i="1"/>
  <c r="AE2387" i="1"/>
  <c r="AE2627" i="1"/>
  <c r="AE2643" i="1"/>
  <c r="AE2900" i="1"/>
  <c r="AE1261" i="1"/>
  <c r="AE1685" i="1"/>
  <c r="AE1771" i="1"/>
  <c r="AE1277" i="1"/>
  <c r="AE1674" i="1"/>
  <c r="AE1688" i="1"/>
  <c r="AE1774" i="1"/>
  <c r="AE1787" i="1"/>
  <c r="AE2380" i="1"/>
  <c r="AE2630" i="1"/>
  <c r="AE2646" i="1"/>
  <c r="AE2919" i="1"/>
  <c r="AE1599" i="1"/>
  <c r="AE2898" i="1"/>
  <c r="AE3147" i="1"/>
  <c r="AE2427" i="1"/>
  <c r="AE2050" i="1"/>
  <c r="AE2910" i="1"/>
  <c r="AE2226" i="1"/>
  <c r="AE2219" i="1"/>
  <c r="AE1920" i="1"/>
  <c r="AE2582" i="1"/>
  <c r="AE1655" i="1"/>
  <c r="AE1695" i="1"/>
  <c r="AE1871" i="1"/>
  <c r="AE2034" i="1"/>
  <c r="AE2282" i="1"/>
  <c r="AE2628" i="1"/>
  <c r="AE933" i="1"/>
  <c r="AE2267" i="1"/>
  <c r="AE2605" i="1"/>
  <c r="AE1492" i="1"/>
  <c r="AE1875" i="1"/>
  <c r="AE2062" i="1"/>
  <c r="AE2086" i="1"/>
  <c r="AE2629" i="1"/>
  <c r="AE3125" i="1"/>
  <c r="AE2631" i="1"/>
  <c r="AE2184" i="1"/>
  <c r="AE2632" i="1"/>
  <c r="AE1854" i="1"/>
  <c r="AE2229" i="1"/>
  <c r="AE1944" i="1"/>
  <c r="AE1823" i="1"/>
  <c r="AF2069" i="1"/>
  <c r="AF2475" i="1"/>
  <c r="AF1771" i="1"/>
  <c r="AF2023" i="1"/>
  <c r="AF2061" i="1"/>
  <c r="AF2427" i="1"/>
  <c r="AF1674" i="1"/>
  <c r="AF2095" i="1"/>
  <c r="AF1781" i="1"/>
  <c r="AF2050" i="1"/>
  <c r="AF826" i="1"/>
  <c r="AF2062" i="1"/>
  <c r="AF1863" i="1"/>
  <c r="AF1871" i="1"/>
  <c r="AF1944" i="1"/>
  <c r="AF1922" i="1"/>
  <c r="AF1987" i="1"/>
  <c r="AF3147" i="1"/>
  <c r="AF2034" i="1"/>
  <c r="AF1837" i="1"/>
  <c r="AF1970" i="1"/>
  <c r="AF1152" i="1"/>
  <c r="AF2282" i="1"/>
  <c r="AF2184" i="1"/>
  <c r="AF1401" i="1"/>
  <c r="AF2267" i="1"/>
  <c r="AF1979" i="1"/>
  <c r="AF2359" i="1"/>
  <c r="AF1724" i="1"/>
  <c r="AF2219" i="1"/>
  <c r="AF1962" i="1"/>
  <c r="AF1755" i="1"/>
  <c r="AF1854" i="1"/>
  <c r="AF2428" i="1"/>
  <c r="AF2138" i="1"/>
  <c r="AF2380" i="1"/>
  <c r="AF2058" i="1"/>
  <c r="AF1530" i="1"/>
  <c r="AF1672" i="1"/>
  <c r="AF924" i="1"/>
  <c r="AF814" i="1"/>
  <c r="AF926" i="1"/>
  <c r="AF912" i="1"/>
  <c r="AF945" i="1"/>
  <c r="AF1260" i="1"/>
  <c r="AF1279" i="1"/>
  <c r="AF933" i="1"/>
  <c r="AF2910" i="1"/>
  <c r="AF2919" i="1"/>
  <c r="AF925" i="1"/>
  <c r="AF2642" i="1"/>
  <c r="AF1700" i="1"/>
  <c r="AF829" i="1"/>
  <c r="AF2898" i="1"/>
  <c r="AF2631" i="1"/>
  <c r="AF1403" i="1"/>
  <c r="AF1499" i="1"/>
  <c r="AF1991" i="1"/>
  <c r="AF2630" i="1"/>
  <c r="AF1479" i="1"/>
  <c r="AF1435" i="1"/>
  <c r="AF2226" i="1"/>
  <c r="AF1774" i="1"/>
  <c r="AF1277" i="1"/>
  <c r="AF2202" i="1"/>
  <c r="AF1492" i="1"/>
  <c r="AF1669" i="1"/>
  <c r="AF1599" i="1"/>
  <c r="AF2632" i="1"/>
  <c r="AF1440" i="1"/>
  <c r="AF830" i="1"/>
  <c r="AF1402" i="1"/>
  <c r="AF1438" i="1"/>
  <c r="AF1787" i="1"/>
  <c r="AF2627" i="1"/>
  <c r="AF2476" i="1"/>
  <c r="AF1685" i="1"/>
  <c r="AF2149" i="1"/>
  <c r="AF1655" i="1"/>
  <c r="AF1441" i="1"/>
  <c r="AF1823" i="1"/>
  <c r="AF1140" i="1"/>
  <c r="AF2387" i="1"/>
  <c r="AF1698" i="1"/>
  <c r="AF811" i="1"/>
  <c r="AF2628" i="1"/>
  <c r="AF1695" i="1"/>
  <c r="AF2426" i="1"/>
  <c r="AF1920" i="1"/>
  <c r="AF2900" i="1"/>
  <c r="AF1699" i="1"/>
  <c r="AF2629" i="1"/>
  <c r="AF1688" i="1"/>
  <c r="AF828" i="1"/>
  <c r="AF2643" i="1"/>
  <c r="AF1439" i="1"/>
  <c r="AF1437" i="1"/>
  <c r="AF947" i="1"/>
  <c r="AF1662" i="1"/>
  <c r="AF938" i="1"/>
  <c r="AF939" i="1"/>
  <c r="AF1066" i="1"/>
  <c r="AF217" i="1"/>
  <c r="AF847" i="1"/>
  <c r="AF833" i="1"/>
  <c r="AF1261" i="1"/>
  <c r="AF1875" i="1"/>
  <c r="AF2646" i="1"/>
  <c r="AF2626" i="1"/>
  <c r="AF2229" i="1"/>
  <c r="AF3125" i="1"/>
  <c r="AF2148" i="1"/>
  <c r="AF1099" i="1"/>
  <c r="AF2605" i="1"/>
  <c r="AF1199" i="1"/>
  <c r="AF2137" i="1"/>
  <c r="AF2684" i="1"/>
  <c r="AF1121" i="1"/>
  <c r="AF2086" i="1"/>
  <c r="AF2582" i="1"/>
  <c r="O2953" i="1"/>
  <c r="AF2953" i="1" s="1"/>
  <c r="M2953" i="1"/>
  <c r="AE2953" i="1" s="1"/>
  <c r="O1541" i="1"/>
  <c r="AF1541" i="1" s="1"/>
  <c r="M1541" i="1"/>
  <c r="AE1541" i="1" s="1"/>
  <c r="O2266" i="1"/>
  <c r="AF2266" i="1" s="1"/>
  <c r="M2266" i="1"/>
  <c r="AE2266" i="1" s="1"/>
  <c r="O880" i="1"/>
  <c r="O2938" i="1"/>
  <c r="AF2938" i="1" s="1"/>
  <c r="M2938" i="1"/>
  <c r="AE2938" i="1" s="1"/>
  <c r="O1803" i="1"/>
  <c r="AF1803" i="1" s="1"/>
  <c r="M1803" i="1"/>
  <c r="AE1803" i="1" s="1"/>
  <c r="O1247" i="1"/>
  <c r="AF1247" i="1" s="1"/>
  <c r="M1247" i="1"/>
  <c r="AE1247" i="1" s="1"/>
  <c r="AO3" i="1"/>
  <c r="AD2646" i="1"/>
  <c r="AD1991" i="1"/>
  <c r="AD2229" i="1"/>
  <c r="AB2023" i="1"/>
  <c r="AD2062" i="1"/>
  <c r="AC1987" i="1"/>
  <c r="AD1152" i="1"/>
  <c r="AD1700" i="1"/>
  <c r="AB2267" i="1"/>
  <c r="AD1987" i="1"/>
  <c r="AC1152" i="1"/>
  <c r="AD1837" i="1"/>
  <c r="AD1674" i="1"/>
  <c r="AA1279" i="1"/>
  <c r="AC1674" i="1"/>
  <c r="AC2034" i="1"/>
  <c r="AA826" i="1"/>
  <c r="AD925" i="1"/>
  <c r="AC1401" i="1"/>
  <c r="AD912" i="1"/>
  <c r="AD1261" i="1"/>
  <c r="AD1662" i="1"/>
  <c r="AD1441" i="1"/>
  <c r="AC1260" i="1"/>
  <c r="AD2631" i="1"/>
  <c r="AD833" i="1"/>
  <c r="AD926" i="1"/>
  <c r="AD1724" i="1"/>
  <c r="AB1152" i="1"/>
  <c r="AD2050" i="1"/>
  <c r="AA2023" i="1"/>
  <c r="Z1755" i="1"/>
  <c r="AA2380" i="1"/>
  <c r="AC2282" i="1"/>
  <c r="AD2202" i="1"/>
  <c r="AA1987" i="1"/>
  <c r="BJ1803" i="1"/>
  <c r="AD2184" i="1"/>
  <c r="Z1672" i="1"/>
  <c r="AA2427" i="1"/>
  <c r="Z2427" i="1"/>
  <c r="AD2628" i="1"/>
  <c r="AB1922" i="1"/>
  <c r="Z2267" i="1"/>
  <c r="Z2910" i="1"/>
  <c r="AD1066" i="1"/>
  <c r="AD2582" i="1"/>
  <c r="AA1674" i="1"/>
  <c r="AD1979" i="1"/>
  <c r="AC1944" i="1"/>
  <c r="AC2023" i="1"/>
  <c r="AD1599" i="1"/>
  <c r="AB1871" i="1"/>
  <c r="Z2023" i="1"/>
  <c r="AD2282" i="1"/>
  <c r="AA1970" i="1"/>
  <c r="Z2219" i="1"/>
  <c r="Z1987" i="1"/>
  <c r="AA1854" i="1"/>
  <c r="AD1920" i="1"/>
  <c r="AD1823" i="1"/>
  <c r="AA2050" i="1"/>
  <c r="Z2184" i="1"/>
  <c r="Z1837" i="1"/>
  <c r="AB1260" i="1"/>
  <c r="AD1755" i="1"/>
  <c r="AB2642" i="1"/>
  <c r="AD2380" i="1"/>
  <c r="AA2138" i="1"/>
  <c r="AD1672" i="1"/>
  <c r="AD2219" i="1"/>
  <c r="AA1979" i="1"/>
  <c r="AD2086" i="1"/>
  <c r="AD947" i="1"/>
  <c r="AD1199" i="1"/>
  <c r="AC2062" i="1"/>
  <c r="AD2149" i="1"/>
  <c r="AA2095" i="1"/>
  <c r="AC1672" i="1"/>
  <c r="Z3147" i="1"/>
  <c r="AB2138" i="1"/>
  <c r="Z1530" i="1"/>
  <c r="AD1854" i="1"/>
  <c r="AC1279" i="1"/>
  <c r="BJ2266" i="1"/>
  <c r="AD814" i="1"/>
  <c r="AC2184" i="1"/>
  <c r="AD1479" i="1"/>
  <c r="BJ2582" i="1"/>
  <c r="Z1674" i="1"/>
  <c r="AC2642" i="1"/>
  <c r="AC1837" i="1"/>
  <c r="AB2095" i="1"/>
  <c r="Z1152" i="1"/>
  <c r="AD1439" i="1"/>
  <c r="AD2138" i="1"/>
  <c r="Z2034" i="1"/>
  <c r="AC1962" i="1"/>
  <c r="AB1837" i="1"/>
  <c r="AA2184" i="1"/>
  <c r="Z2095" i="1"/>
  <c r="BJ880" i="1"/>
  <c r="AC2359" i="1"/>
  <c r="AC2427" i="1"/>
  <c r="AD2267" i="1"/>
  <c r="AD2034" i="1"/>
  <c r="AD1875" i="1"/>
  <c r="AA1530" i="1"/>
  <c r="AB2061" i="1"/>
  <c r="AB2034" i="1"/>
  <c r="AB1944" i="1"/>
  <c r="AD1402" i="1"/>
  <c r="AD1121" i="1"/>
  <c r="AD2476" i="1"/>
  <c r="AB3147" i="1"/>
  <c r="AB1970" i="1"/>
  <c r="BJ2938" i="1"/>
  <c r="AA2062" i="1"/>
  <c r="AC1970" i="1"/>
  <c r="AD1655" i="1"/>
  <c r="AA2061" i="1"/>
  <c r="AB814" i="1"/>
  <c r="AD1140" i="1"/>
  <c r="AB1279" i="1"/>
  <c r="AA814" i="1"/>
  <c r="AB2427" i="1"/>
  <c r="BJ1541" i="1"/>
  <c r="AD830" i="1"/>
  <c r="Z1979" i="1"/>
  <c r="AD2626" i="1"/>
  <c r="AD2627" i="1"/>
  <c r="AC1922" i="1"/>
  <c r="AA2267" i="1"/>
  <c r="AC814" i="1"/>
  <c r="AA1260" i="1"/>
  <c r="Z1771" i="1"/>
  <c r="Z1279" i="1"/>
  <c r="AA1922" i="1"/>
  <c r="AA1401" i="1"/>
  <c r="AD2630" i="1"/>
  <c r="AC2050" i="1"/>
  <c r="Z2359" i="1"/>
  <c r="AD2148" i="1"/>
  <c r="AD2427" i="1"/>
  <c r="AD2137" i="1"/>
  <c r="AC1863" i="1"/>
  <c r="AD1403" i="1"/>
  <c r="AD2605" i="1"/>
  <c r="AD1440" i="1"/>
  <c r="AB1401" i="1"/>
  <c r="Z826" i="1"/>
  <c r="AD1685" i="1"/>
  <c r="AA1672" i="1"/>
  <c r="AC2910" i="1"/>
  <c r="AC2219" i="1"/>
  <c r="AD829" i="1"/>
  <c r="AB1674" i="1"/>
  <c r="AB2184" i="1"/>
  <c r="AA1837" i="1"/>
  <c r="AB1863" i="1"/>
  <c r="Z1944" i="1"/>
  <c r="AD811" i="1"/>
  <c r="BJ2953" i="1"/>
  <c r="AD2226" i="1"/>
  <c r="AA2282" i="1"/>
  <c r="AB2282" i="1"/>
  <c r="AC2138" i="1"/>
  <c r="AC2061" i="1"/>
  <c r="AB1672" i="1"/>
  <c r="AB2910" i="1"/>
  <c r="AD2629" i="1"/>
  <c r="AD1401" i="1"/>
  <c r="AD847" i="1"/>
  <c r="AD217" i="1"/>
  <c r="AB826" i="1"/>
  <c r="AA1962" i="1"/>
  <c r="AD1530" i="1"/>
  <c r="AA2359" i="1"/>
  <c r="AD1871" i="1"/>
  <c r="AC2095" i="1"/>
  <c r="AB1854" i="1"/>
  <c r="AD2643" i="1"/>
  <c r="AD2387" i="1"/>
  <c r="AD1774" i="1"/>
  <c r="AD1970" i="1"/>
  <c r="AD1922" i="1"/>
  <c r="AB1987" i="1"/>
  <c r="AC1871" i="1"/>
  <c r="Z2642" i="1"/>
  <c r="AB2380" i="1"/>
  <c r="Z1871" i="1"/>
  <c r="AD933" i="1"/>
  <c r="Z1922" i="1"/>
  <c r="AC1724" i="1"/>
  <c r="AC3147" i="1"/>
  <c r="AD3147" i="1"/>
  <c r="Z2380" i="1"/>
  <c r="AD1279" i="1"/>
  <c r="AA3147" i="1"/>
  <c r="AD1695" i="1"/>
  <c r="BJ2086" i="1"/>
  <c r="AD1787" i="1"/>
  <c r="AD1438" i="1"/>
  <c r="AA1871" i="1"/>
  <c r="Z2282" i="1"/>
  <c r="AD2061" i="1"/>
  <c r="AD1698" i="1"/>
  <c r="AC1854" i="1"/>
  <c r="Z1863" i="1"/>
  <c r="Z2061" i="1"/>
  <c r="AB1530" i="1"/>
  <c r="AD1277" i="1"/>
  <c r="AC1755" i="1"/>
  <c r="Z1970" i="1"/>
  <c r="AB1979" i="1"/>
  <c r="Z1854" i="1"/>
  <c r="AD1781" i="1"/>
  <c r="AD1771" i="1"/>
  <c r="AB1781" i="1"/>
  <c r="AA8" i="1"/>
  <c r="AD1863" i="1"/>
  <c r="AD1944" i="1"/>
  <c r="Z1962" i="1"/>
  <c r="Z1401" i="1"/>
  <c r="AC1771" i="1"/>
  <c r="AD2910" i="1"/>
  <c r="AA2642" i="1"/>
  <c r="AD924" i="1"/>
  <c r="Z8" i="1"/>
  <c r="AD2642" i="1"/>
  <c r="AA1944" i="1"/>
  <c r="Z1781" i="1"/>
  <c r="AC2380" i="1"/>
  <c r="AD828" i="1"/>
  <c r="AD2684" i="1"/>
  <c r="AA1863" i="1"/>
  <c r="BJ1247" i="1"/>
  <c r="AO4" i="1"/>
  <c r="AD826" i="1"/>
  <c r="Z814" i="1"/>
  <c r="AA1781" i="1"/>
  <c r="AB2219" i="1"/>
  <c r="AC1530" i="1"/>
  <c r="AA1755" i="1"/>
  <c r="AA1771" i="1"/>
  <c r="AD1260" i="1"/>
  <c r="AB8" i="1"/>
  <c r="AD1099" i="1"/>
  <c r="AD1437" i="1"/>
  <c r="AC1781" i="1"/>
  <c r="AA2219" i="1"/>
  <c r="AB1724" i="1"/>
  <c r="Z2050" i="1"/>
  <c r="AB1755" i="1"/>
  <c r="Z1724" i="1"/>
  <c r="AC8" i="1"/>
  <c r="Z1260" i="1"/>
  <c r="AB2062" i="1"/>
  <c r="AC826" i="1"/>
  <c r="AB1962" i="1"/>
  <c r="AB2359" i="1"/>
  <c r="AD1669" i="1"/>
  <c r="AD3125" i="1"/>
  <c r="AB1771" i="1"/>
  <c r="AA1152" i="1"/>
  <c r="Z2062" i="1"/>
  <c r="AA2034" i="1"/>
  <c r="AD1699" i="1"/>
  <c r="Z2138" i="1"/>
  <c r="AC2267" i="1"/>
  <c r="AD2900" i="1"/>
  <c r="AD2023" i="1"/>
  <c r="AB2050" i="1"/>
  <c r="AA2910" i="1"/>
  <c r="AA1724" i="1"/>
  <c r="AC1979" i="1"/>
  <c r="BM2380" i="1" l="1"/>
  <c r="BM1672" i="1"/>
  <c r="BM1781" i="1"/>
  <c r="BM1755" i="1"/>
  <c r="BM1922" i="1"/>
  <c r="BM2062" i="1"/>
  <c r="BM1401" i="1"/>
  <c r="BM2050" i="1"/>
  <c r="BM814" i="1"/>
  <c r="BM1871" i="1"/>
  <c r="BM1152" i="1"/>
  <c r="BM1771" i="1"/>
  <c r="BM2910" i="1"/>
  <c r="BM2219" i="1"/>
  <c r="BM2034" i="1"/>
  <c r="BM2642" i="1"/>
  <c r="BM3147" i="1"/>
  <c r="BM2427" i="1"/>
  <c r="BM1944" i="1"/>
  <c r="BM1863" i="1"/>
  <c r="BM1260" i="1"/>
  <c r="BM1979" i="1"/>
  <c r="BM1674" i="1"/>
  <c r="BM1837" i="1"/>
  <c r="BM2184" i="1"/>
  <c r="BM2138" i="1"/>
  <c r="BM1970" i="1"/>
  <c r="BM2282" i="1"/>
  <c r="BM1530" i="1"/>
  <c r="BM2023" i="1"/>
  <c r="BM826" i="1"/>
  <c r="BM1279" i="1"/>
  <c r="AF880" i="1"/>
  <c r="O469" i="1"/>
  <c r="AF469" i="1" s="1"/>
  <c r="M469" i="1"/>
  <c r="AE469" i="1" s="1"/>
  <c r="O1147" i="1"/>
  <c r="AF1147" i="1" s="1"/>
  <c r="M1147" i="1"/>
  <c r="AE1147" i="1" s="1"/>
  <c r="O2132" i="1"/>
  <c r="AF2132" i="1" s="1"/>
  <c r="M2132" i="1"/>
  <c r="AE2132" i="1" s="1"/>
  <c r="O2260" i="1"/>
  <c r="AF2260" i="1" s="1"/>
  <c r="M2260" i="1"/>
  <c r="AE2260" i="1" s="1"/>
  <c r="O2235" i="1"/>
  <c r="AF2235" i="1" s="1"/>
  <c r="M2235" i="1"/>
  <c r="AE2235" i="1" s="1"/>
  <c r="O1162" i="1"/>
  <c r="AF1162" i="1" s="1"/>
  <c r="M1162" i="1"/>
  <c r="AE1162" i="1" s="1"/>
  <c r="O1232" i="1"/>
  <c r="AF1232" i="1" s="1"/>
  <c r="M1232" i="1"/>
  <c r="AE1232" i="1" s="1"/>
  <c r="AD938" i="1"/>
  <c r="BJ1162" i="1"/>
  <c r="BJ469" i="1"/>
  <c r="AD939" i="1"/>
  <c r="BJ1147" i="1"/>
  <c r="BJ2132" i="1"/>
  <c r="BJ2260" i="1"/>
  <c r="AD2919" i="1"/>
  <c r="BJ2235" i="1"/>
  <c r="BJ1232" i="1"/>
  <c r="BM1987" i="1" l="1"/>
  <c r="BM1724" i="1"/>
  <c r="BM2061" i="1"/>
  <c r="BM2267" i="1"/>
  <c r="O1901" i="1"/>
  <c r="AF1901" i="1" s="1"/>
  <c r="M1901" i="1"/>
  <c r="AE1901" i="1" s="1"/>
  <c r="O884" i="1"/>
  <c r="AF884" i="1" s="1"/>
  <c r="M884" i="1"/>
  <c r="AE884" i="1" s="1"/>
  <c r="AD1688" i="1"/>
  <c r="BJ1901" i="1"/>
  <c r="BJ884" i="1"/>
  <c r="BM1854" i="1" l="1"/>
  <c r="O2947" i="1"/>
  <c r="AF2947" i="1" s="1"/>
  <c r="M2947" i="1"/>
  <c r="AE2947" i="1" s="1"/>
  <c r="O1137" i="1"/>
  <c r="AF1137" i="1" s="1"/>
  <c r="M1137" i="1"/>
  <c r="AE1137" i="1" s="1"/>
  <c r="O1214" i="1"/>
  <c r="AF1214" i="1" s="1"/>
  <c r="M1214" i="1"/>
  <c r="AE1214" i="1" s="1"/>
  <c r="AD1499" i="1"/>
  <c r="BJ1214" i="1"/>
  <c r="BJ1137" i="1"/>
  <c r="AD1962" i="1"/>
  <c r="AD2359" i="1"/>
  <c r="AD1492" i="1"/>
  <c r="BJ2947" i="1"/>
  <c r="BM1962" i="1" l="1"/>
  <c r="BM2359" i="1"/>
  <c r="O1266" i="1"/>
  <c r="AF1266" i="1" s="1"/>
  <c r="M1266" i="1"/>
  <c r="AE1266" i="1" s="1"/>
  <c r="O2620" i="1"/>
  <c r="AF2620" i="1" s="1"/>
  <c r="M2620" i="1"/>
  <c r="AE2620" i="1" s="1"/>
  <c r="O883" i="1"/>
  <c r="AF883" i="1" s="1"/>
  <c r="M883" i="1"/>
  <c r="AE883" i="1" s="1"/>
  <c r="O1252" i="1"/>
  <c r="AF1252" i="1" s="1"/>
  <c r="M1252" i="1"/>
  <c r="AE1252" i="1" s="1"/>
  <c r="O1271" i="1"/>
  <c r="AF1271" i="1" s="1"/>
  <c r="M1271" i="1"/>
  <c r="AE1271" i="1" s="1"/>
  <c r="AD945" i="1"/>
  <c r="BJ883" i="1"/>
  <c r="BJ1252" i="1"/>
  <c r="AD1232" i="1"/>
  <c r="BJ2620" i="1"/>
  <c r="BJ1266" i="1"/>
  <c r="AD2632" i="1"/>
  <c r="AD2095" i="1"/>
  <c r="BJ1271" i="1"/>
  <c r="BM2095" i="1" l="1"/>
  <c r="AD1162" i="1"/>
  <c r="O881" i="1" l="1"/>
  <c r="AF881" i="1" s="1"/>
  <c r="M881" i="1"/>
  <c r="AE881" i="1" s="1"/>
  <c r="O1832" i="1"/>
  <c r="AF1832" i="1" s="1"/>
  <c r="M1832" i="1"/>
  <c r="AE1832" i="1" s="1"/>
  <c r="O1593" i="1"/>
  <c r="AF1593" i="1" s="1"/>
  <c r="M1593" i="1"/>
  <c r="AE1593" i="1" s="1"/>
  <c r="O1246" i="1"/>
  <c r="AF1246" i="1" s="1"/>
  <c r="M1246" i="1"/>
  <c r="AE1246" i="1" s="1"/>
  <c r="O1258" i="1"/>
  <c r="AF1258" i="1" s="1"/>
  <c r="M1258" i="1"/>
  <c r="AE1258" i="1" s="1"/>
  <c r="O1231" i="1"/>
  <c r="AF1231" i="1" s="1"/>
  <c r="M1231" i="1"/>
  <c r="AE1231" i="1" s="1"/>
  <c r="O2902" i="1"/>
  <c r="AF2902" i="1" s="1"/>
  <c r="M2902" i="1"/>
  <c r="AE2902" i="1" s="1"/>
  <c r="O1244" i="1"/>
  <c r="AF1244" i="1" s="1"/>
  <c r="M1244" i="1"/>
  <c r="AE1244" i="1" s="1"/>
  <c r="O1250" i="1"/>
  <c r="AF1250" i="1" s="1"/>
  <c r="M1250" i="1"/>
  <c r="AE1250" i="1" s="1"/>
  <c r="O1248" i="1"/>
  <c r="AF1248" i="1" s="1"/>
  <c r="M1248" i="1"/>
  <c r="AE1248" i="1" s="1"/>
  <c r="O841" i="1"/>
  <c r="AF841" i="1" s="1"/>
  <c r="M841" i="1"/>
  <c r="AE841" i="1" s="1"/>
  <c r="O863" i="1"/>
  <c r="AF863" i="1" s="1"/>
  <c r="M863" i="1"/>
  <c r="AE863" i="1" s="1"/>
  <c r="O873" i="1"/>
  <c r="AF873" i="1" s="1"/>
  <c r="M873" i="1"/>
  <c r="AE873" i="1" s="1"/>
  <c r="O2937" i="1"/>
  <c r="AF2937" i="1" s="1"/>
  <c r="M2937" i="1"/>
  <c r="AE2937" i="1" s="1"/>
  <c r="O2602" i="1"/>
  <c r="AF2602" i="1" s="1"/>
  <c r="M2602" i="1"/>
  <c r="AE2602" i="1" s="1"/>
  <c r="O2147" i="1"/>
  <c r="AF2147" i="1" s="1"/>
  <c r="M2147" i="1"/>
  <c r="AE2147" i="1" s="1"/>
  <c r="O2139" i="1"/>
  <c r="AF2139" i="1" s="1"/>
  <c r="M2139" i="1"/>
  <c r="AE2139" i="1" s="1"/>
  <c r="O2126" i="1"/>
  <c r="AF2126" i="1" s="1"/>
  <c r="M2126" i="1"/>
  <c r="AE2126" i="1" s="1"/>
  <c r="O2121" i="1"/>
  <c r="AF2121" i="1" s="1"/>
  <c r="M2121" i="1"/>
  <c r="AE2121" i="1" s="1"/>
  <c r="O2120" i="1"/>
  <c r="AF2120" i="1" s="1"/>
  <c r="M2120" i="1"/>
  <c r="AE2120" i="1" s="1"/>
  <c r="O2119" i="1"/>
  <c r="AF2119" i="1" s="1"/>
  <c r="M2119" i="1"/>
  <c r="AE2119" i="1" s="1"/>
  <c r="O2056" i="1"/>
  <c r="AF2056" i="1" s="1"/>
  <c r="M2056" i="1"/>
  <c r="AE2056" i="1" s="1"/>
  <c r="O2019" i="1"/>
  <c r="AF2019" i="1" s="1"/>
  <c r="M2019" i="1"/>
  <c r="AE2019" i="1" s="1"/>
  <c r="O1935" i="1"/>
  <c r="AF1935" i="1" s="1"/>
  <c r="M1935" i="1"/>
  <c r="AE1935" i="1" s="1"/>
  <c r="O1924" i="1"/>
  <c r="AF1924" i="1" s="1"/>
  <c r="M1924" i="1"/>
  <c r="AE1924" i="1" s="1"/>
  <c r="O1635" i="1"/>
  <c r="AF1635" i="1" s="1"/>
  <c r="M1635" i="1"/>
  <c r="AE1635" i="1" s="1"/>
  <c r="O1619" i="1"/>
  <c r="AF1619" i="1" s="1"/>
  <c r="M1619" i="1"/>
  <c r="AE1619" i="1" s="1"/>
  <c r="O1604" i="1"/>
  <c r="AF1604" i="1" s="1"/>
  <c r="M1604" i="1"/>
  <c r="AE1604" i="1" s="1"/>
  <c r="O1572" i="1"/>
  <c r="AF1572" i="1" s="1"/>
  <c r="M1572" i="1"/>
  <c r="AE1572" i="1" s="1"/>
  <c r="O2601" i="1"/>
  <c r="AF2601" i="1" s="1"/>
  <c r="M2601" i="1"/>
  <c r="AE2601" i="1" s="1"/>
  <c r="O1434" i="1"/>
  <c r="AF1434" i="1" s="1"/>
  <c r="M1434" i="1"/>
  <c r="AE1434" i="1" s="1"/>
  <c r="O2964" i="1"/>
  <c r="AF2964" i="1" s="1"/>
  <c r="M2964" i="1"/>
  <c r="AE2964" i="1" s="1"/>
  <c r="O2917" i="1"/>
  <c r="AF2917" i="1" s="1"/>
  <c r="M2917" i="1"/>
  <c r="AE2917" i="1" s="1"/>
  <c r="O2916" i="1"/>
  <c r="AF2916" i="1" s="1"/>
  <c r="M2916" i="1"/>
  <c r="AE2916" i="1" s="1"/>
  <c r="O2913" i="1"/>
  <c r="AF2913" i="1" s="1"/>
  <c r="M2913" i="1"/>
  <c r="AE2913" i="1" s="1"/>
  <c r="O2544" i="1"/>
  <c r="AF2544" i="1" s="1"/>
  <c r="M2544" i="1"/>
  <c r="AE2544" i="1" s="1"/>
  <c r="O2527" i="1"/>
  <c r="AF2527" i="1" s="1"/>
  <c r="M2527" i="1"/>
  <c r="AE2527" i="1" s="1"/>
  <c r="O2488" i="1"/>
  <c r="AF2488" i="1" s="1"/>
  <c r="M2488" i="1"/>
  <c r="AE2488" i="1" s="1"/>
  <c r="O2469" i="1"/>
  <c r="AF2469" i="1" s="1"/>
  <c r="M2469" i="1"/>
  <c r="AE2469" i="1" s="1"/>
  <c r="O2412" i="1"/>
  <c r="AF2412" i="1" s="1"/>
  <c r="M2412" i="1"/>
  <c r="AE2412" i="1" s="1"/>
  <c r="O2259" i="1"/>
  <c r="AF2259" i="1" s="1"/>
  <c r="M2259" i="1"/>
  <c r="AE2259" i="1" s="1"/>
  <c r="O2197" i="1"/>
  <c r="AF2197" i="1" s="1"/>
  <c r="M2197" i="1"/>
  <c r="AE2197" i="1" s="1"/>
  <c r="O1660" i="1"/>
  <c r="AF1660" i="1" s="1"/>
  <c r="M1660" i="1"/>
  <c r="AE1660" i="1" s="1"/>
  <c r="O1632" i="1"/>
  <c r="AF1632" i="1" s="1"/>
  <c r="M1632" i="1"/>
  <c r="AE1632" i="1" s="1"/>
  <c r="O1522" i="1"/>
  <c r="AF1522" i="1" s="1"/>
  <c r="M1522" i="1"/>
  <c r="AE1522" i="1" s="1"/>
  <c r="O1480" i="1"/>
  <c r="AF1480" i="1" s="1"/>
  <c r="M1480" i="1"/>
  <c r="AE1480" i="1" s="1"/>
  <c r="O1443" i="1"/>
  <c r="AF1443" i="1" s="1"/>
  <c r="M1443" i="1"/>
  <c r="AE1443" i="1" s="1"/>
  <c r="O1167" i="1"/>
  <c r="AF1167" i="1" s="1"/>
  <c r="M1167" i="1"/>
  <c r="AE1167" i="1" s="1"/>
  <c r="O1103" i="1"/>
  <c r="AF1103" i="1" s="1"/>
  <c r="M1103" i="1"/>
  <c r="AE1103" i="1" s="1"/>
  <c r="O1101" i="1"/>
  <c r="AF1101" i="1" s="1"/>
  <c r="M1101" i="1"/>
  <c r="AE1101" i="1" s="1"/>
  <c r="O1098" i="1"/>
  <c r="AF1098" i="1" s="1"/>
  <c r="M1098" i="1"/>
  <c r="AE1098" i="1" s="1"/>
  <c r="O1069" i="1"/>
  <c r="AF1069" i="1" s="1"/>
  <c r="M1069" i="1"/>
  <c r="AE1069" i="1" s="1"/>
  <c r="O2612" i="1"/>
  <c r="AF2612" i="1" s="1"/>
  <c r="M2612" i="1"/>
  <c r="AE2612" i="1" s="1"/>
  <c r="O2489" i="1"/>
  <c r="AF2489" i="1" s="1"/>
  <c r="M2489" i="1"/>
  <c r="AE2489" i="1" s="1"/>
  <c r="O2434" i="1"/>
  <c r="AF2434" i="1" s="1"/>
  <c r="M2434" i="1"/>
  <c r="AE2434" i="1" s="1"/>
  <c r="O2316" i="1"/>
  <c r="AF2316" i="1" s="1"/>
  <c r="M2316" i="1"/>
  <c r="AE2316" i="1" s="1"/>
  <c r="O2153" i="1"/>
  <c r="AF2153" i="1" s="1"/>
  <c r="M2153" i="1"/>
  <c r="AE2153" i="1" s="1"/>
  <c r="O2015" i="1"/>
  <c r="AF2015" i="1" s="1"/>
  <c r="M2015" i="1"/>
  <c r="AE2015" i="1" s="1"/>
  <c r="O1753" i="1"/>
  <c r="AF1753" i="1" s="1"/>
  <c r="M1753" i="1"/>
  <c r="AE1753" i="1" s="1"/>
  <c r="O1704" i="1"/>
  <c r="AF1704" i="1" s="1"/>
  <c r="M1704" i="1"/>
  <c r="AE1704" i="1" s="1"/>
  <c r="O1621" i="1"/>
  <c r="AF1621" i="1" s="1"/>
  <c r="M1621" i="1"/>
  <c r="AE1621" i="1" s="1"/>
  <c r="O1591" i="1"/>
  <c r="AF1591" i="1" s="1"/>
  <c r="M1591" i="1"/>
  <c r="AE1591" i="1" s="1"/>
  <c r="O1068" i="1"/>
  <c r="AF1068" i="1" s="1"/>
  <c r="M1068" i="1"/>
  <c r="AE1068" i="1" s="1"/>
  <c r="O2965" i="1"/>
  <c r="AF2965" i="1" s="1"/>
  <c r="M2965" i="1"/>
  <c r="AE2965" i="1" s="1"/>
  <c r="O2959" i="1"/>
  <c r="AF2959" i="1" s="1"/>
  <c r="M2959" i="1"/>
  <c r="AE2959" i="1" s="1"/>
  <c r="O2956" i="1"/>
  <c r="AF2956" i="1" s="1"/>
  <c r="M2956" i="1"/>
  <c r="AE2956" i="1" s="1"/>
  <c r="O2531" i="1"/>
  <c r="AF2531" i="1" s="1"/>
  <c r="M2531" i="1"/>
  <c r="AE2531" i="1" s="1"/>
  <c r="O2509" i="1"/>
  <c r="AF2509" i="1" s="1"/>
  <c r="M2509" i="1"/>
  <c r="AE2509" i="1" s="1"/>
  <c r="O2507" i="1"/>
  <c r="AF2507" i="1" s="1"/>
  <c r="M2507" i="1"/>
  <c r="AE2507" i="1" s="1"/>
  <c r="O1634" i="1"/>
  <c r="AF1634" i="1" s="1"/>
  <c r="M1634" i="1"/>
  <c r="AE1634" i="1" s="1"/>
  <c r="O1576" i="1"/>
  <c r="AF1576" i="1" s="1"/>
  <c r="M1576" i="1"/>
  <c r="AE1576" i="1" s="1"/>
  <c r="O1482" i="1"/>
  <c r="AF1482" i="1" s="1"/>
  <c r="M1482" i="1"/>
  <c r="AE1482" i="1" s="1"/>
  <c r="O1080" i="1"/>
  <c r="AF1080" i="1" s="1"/>
  <c r="M1080" i="1"/>
  <c r="AE1080" i="1" s="1"/>
  <c r="O1073" i="1"/>
  <c r="AF1073" i="1" s="1"/>
  <c r="M1073" i="1"/>
  <c r="AE1073" i="1" s="1"/>
  <c r="O1646" i="1"/>
  <c r="AF1646" i="1" s="1"/>
  <c r="M1646" i="1"/>
  <c r="AE1646" i="1" s="1"/>
  <c r="O1119" i="1"/>
  <c r="AF1119" i="1" s="1"/>
  <c r="M1119" i="1"/>
  <c r="AE1119" i="1" s="1"/>
  <c r="O1116" i="1"/>
  <c r="AF1116" i="1" s="1"/>
  <c r="M1116" i="1"/>
  <c r="AE1116" i="1" s="1"/>
  <c r="O2258" i="1"/>
  <c r="AF2258" i="1" s="1"/>
  <c r="M2258" i="1"/>
  <c r="AE2258" i="1" s="1"/>
  <c r="O2606" i="1"/>
  <c r="AF2606" i="1" s="1"/>
  <c r="M2606" i="1"/>
  <c r="AE2606" i="1" s="1"/>
  <c r="O2545" i="1"/>
  <c r="AF2545" i="1" s="1"/>
  <c r="M2545" i="1"/>
  <c r="AE2545" i="1" s="1"/>
  <c r="O2482" i="1"/>
  <c r="AF2482" i="1" s="1"/>
  <c r="M2482" i="1"/>
  <c r="AE2482" i="1" s="1"/>
  <c r="O2334" i="1"/>
  <c r="AF2334" i="1" s="1"/>
  <c r="M2334" i="1"/>
  <c r="AE2334" i="1" s="1"/>
  <c r="O2310" i="1"/>
  <c r="AF2310" i="1" s="1"/>
  <c r="M2310" i="1"/>
  <c r="AE2310" i="1" s="1"/>
  <c r="O2309" i="1"/>
  <c r="AF2309" i="1" s="1"/>
  <c r="M2309" i="1"/>
  <c r="AE2309" i="1" s="1"/>
  <c r="O827" i="1"/>
  <c r="AF827" i="1" s="1"/>
  <c r="M827" i="1"/>
  <c r="AE827" i="1" s="1"/>
  <c r="O2439" i="1"/>
  <c r="AF2439" i="1" s="1"/>
  <c r="M2439" i="1"/>
  <c r="AE2439" i="1" s="1"/>
  <c r="O2607" i="1"/>
  <c r="AF2607" i="1" s="1"/>
  <c r="M2607" i="1"/>
  <c r="AE2607" i="1" s="1"/>
  <c r="O2500" i="1"/>
  <c r="AF2500" i="1" s="1"/>
  <c r="M2500" i="1"/>
  <c r="AE2500" i="1" s="1"/>
  <c r="O2466" i="1"/>
  <c r="AF2466" i="1" s="1"/>
  <c r="M2466" i="1"/>
  <c r="AE2466" i="1" s="1"/>
  <c r="O1949" i="1"/>
  <c r="AF1949" i="1" s="1"/>
  <c r="M1949" i="1"/>
  <c r="AE1949" i="1" s="1"/>
  <c r="O1942" i="1"/>
  <c r="AF1942" i="1" s="1"/>
  <c r="M1942" i="1"/>
  <c r="AE1942" i="1" s="1"/>
  <c r="O1451" i="1"/>
  <c r="AF1451" i="1" s="1"/>
  <c r="M1451" i="1"/>
  <c r="AE1451" i="1" s="1"/>
  <c r="O1448" i="1"/>
  <c r="AF1448" i="1" s="1"/>
  <c r="M1448" i="1"/>
  <c r="AE1448" i="1" s="1"/>
  <c r="O1182" i="1"/>
  <c r="AF1182" i="1" s="1"/>
  <c r="M1182" i="1"/>
  <c r="AE1182" i="1" s="1"/>
  <c r="O1120" i="1"/>
  <c r="AF1120" i="1" s="1"/>
  <c r="M1120" i="1"/>
  <c r="AE1120" i="1" s="1"/>
  <c r="O1160" i="1"/>
  <c r="AF1160" i="1" s="1"/>
  <c r="M1160" i="1"/>
  <c r="AE1160" i="1" s="1"/>
  <c r="O1096" i="1"/>
  <c r="AF1096" i="1" s="1"/>
  <c r="M1096" i="1"/>
  <c r="AE1096" i="1" s="1"/>
  <c r="O2255" i="1"/>
  <c r="AF2255" i="1" s="1"/>
  <c r="M2255" i="1"/>
  <c r="AE2255" i="1" s="1"/>
  <c r="AI9" i="1"/>
  <c r="AJ9" i="1"/>
  <c r="AK9" i="1"/>
  <c r="AL9" i="1"/>
  <c r="AM9" i="1"/>
  <c r="AN9" i="1"/>
  <c r="AO9" i="1"/>
  <c r="AP9" i="1"/>
  <c r="AQ9" i="1"/>
  <c r="AR9" i="1"/>
  <c r="AS9" i="1"/>
  <c r="AT9" i="1"/>
  <c r="AU9" i="1"/>
  <c r="AV9" i="1"/>
  <c r="AW9" i="1"/>
  <c r="AX9" i="1"/>
  <c r="AY9" i="1"/>
  <c r="AZ9" i="1"/>
  <c r="BB9" i="1"/>
  <c r="BC9" i="1"/>
  <c r="BD9" i="1"/>
  <c r="BE9" i="1"/>
  <c r="BF9" i="1"/>
  <c r="BG9" i="1"/>
  <c r="BH9" i="1"/>
  <c r="M1297" i="1"/>
  <c r="AE1297" i="1" s="1"/>
  <c r="O1297" i="1"/>
  <c r="AF1297" i="1" s="1"/>
  <c r="M1089" i="1"/>
  <c r="AE1089" i="1" s="1"/>
  <c r="O1089" i="1"/>
  <c r="AF1089" i="1" s="1"/>
  <c r="M2513" i="1"/>
  <c r="AE2513" i="1" s="1"/>
  <c r="O2513" i="1"/>
  <c r="AF2513" i="1" s="1"/>
  <c r="M365" i="1"/>
  <c r="AE365" i="1" s="1"/>
  <c r="O365" i="1"/>
  <c r="AF365" i="1" s="1"/>
  <c r="M846" i="1"/>
  <c r="AE846" i="1" s="1"/>
  <c r="O846" i="1"/>
  <c r="AF846" i="1" s="1"/>
  <c r="M2892" i="1"/>
  <c r="AE2892" i="1" s="1"/>
  <c r="O2892" i="1"/>
  <c r="AF2892" i="1" s="1"/>
  <c r="M1722" i="1"/>
  <c r="AE1722" i="1" s="1"/>
  <c r="O1722" i="1"/>
  <c r="AF1722" i="1" s="1"/>
  <c r="M1312" i="1"/>
  <c r="AE1312" i="1" s="1"/>
  <c r="O1312" i="1"/>
  <c r="AF1312" i="1" s="1"/>
  <c r="M2430" i="1"/>
  <c r="AE2430" i="1" s="1"/>
  <c r="O2430" i="1"/>
  <c r="AF2430" i="1" s="1"/>
  <c r="M824" i="1"/>
  <c r="AE824" i="1" s="1"/>
  <c r="O824" i="1"/>
  <c r="AF824" i="1" s="1"/>
  <c r="M1758" i="1"/>
  <c r="AE1758" i="1" s="1"/>
  <c r="O1758" i="1"/>
  <c r="AF1758" i="1" s="1"/>
  <c r="M1282" i="1"/>
  <c r="AE1282" i="1" s="1"/>
  <c r="O1282" i="1"/>
  <c r="AF1282" i="1" s="1"/>
  <c r="M879" i="1"/>
  <c r="AE879" i="1" s="1"/>
  <c r="O879" i="1"/>
  <c r="AF879" i="1" s="1"/>
  <c r="M92" i="1"/>
  <c r="AE92" i="1" s="1"/>
  <c r="O92" i="1"/>
  <c r="AF92" i="1" s="1"/>
  <c r="M1332" i="1"/>
  <c r="AE1332" i="1" s="1"/>
  <c r="O1332" i="1"/>
  <c r="AF1332" i="1" s="1"/>
  <c r="M2617" i="1"/>
  <c r="AE2617" i="1" s="1"/>
  <c r="O2617" i="1"/>
  <c r="AF2617" i="1" s="1"/>
  <c r="M1114" i="1"/>
  <c r="AE1114" i="1" s="1"/>
  <c r="O1114" i="1"/>
  <c r="AF1114" i="1" s="1"/>
  <c r="M1326" i="1"/>
  <c r="AE1326" i="1" s="1"/>
  <c r="O1326" i="1"/>
  <c r="AF1326" i="1" s="1"/>
  <c r="M2839" i="1"/>
  <c r="AE2839" i="1" s="1"/>
  <c r="O2839" i="1"/>
  <c r="AF2839" i="1" s="1"/>
  <c r="M1127" i="1"/>
  <c r="AE1127" i="1" s="1"/>
  <c r="O1127" i="1"/>
  <c r="AF1127" i="1" s="1"/>
  <c r="M1746" i="1"/>
  <c r="AE1746" i="1" s="1"/>
  <c r="O1746" i="1"/>
  <c r="AF1746" i="1" s="1"/>
  <c r="M2346" i="1"/>
  <c r="AE2346" i="1" s="1"/>
  <c r="O2346" i="1"/>
  <c r="AF2346" i="1" s="1"/>
  <c r="M1394" i="1"/>
  <c r="AE1394" i="1" s="1"/>
  <c r="O1394" i="1"/>
  <c r="AF1394" i="1" s="1"/>
  <c r="M2555" i="1"/>
  <c r="AE2555" i="1" s="1"/>
  <c r="O2555" i="1"/>
  <c r="AF2555" i="1" s="1"/>
  <c r="M2583" i="1"/>
  <c r="AE2583" i="1" s="1"/>
  <c r="O2583" i="1"/>
  <c r="AF2583" i="1" s="1"/>
  <c r="M2451" i="1"/>
  <c r="AE2451" i="1" s="1"/>
  <c r="O2451" i="1"/>
  <c r="AF2451" i="1" s="1"/>
  <c r="M1301" i="1"/>
  <c r="AE1301" i="1" s="1"/>
  <c r="O1301" i="1"/>
  <c r="AF1301" i="1" s="1"/>
  <c r="M439" i="1"/>
  <c r="AE439" i="1" s="1"/>
  <c r="O439" i="1"/>
  <c r="AF439" i="1" s="1"/>
  <c r="M1308" i="1"/>
  <c r="AE1308" i="1" s="1"/>
  <c r="O1308" i="1"/>
  <c r="AF1308" i="1" s="1"/>
  <c r="M1090" i="1"/>
  <c r="AE1090" i="1" s="1"/>
  <c r="O1090" i="1"/>
  <c r="AF1090" i="1" s="1"/>
  <c r="M1338" i="1"/>
  <c r="AE1338" i="1" s="1"/>
  <c r="O1338" i="1"/>
  <c r="AF1338" i="1" s="1"/>
  <c r="M2303" i="1"/>
  <c r="AE2303" i="1" s="1"/>
  <c r="O2303" i="1"/>
  <c r="AF2303" i="1" s="1"/>
  <c r="M1323" i="1"/>
  <c r="AE1323" i="1" s="1"/>
  <c r="O1323" i="1"/>
  <c r="AF1323" i="1" s="1"/>
  <c r="M1363" i="1"/>
  <c r="AE1363" i="1" s="1"/>
  <c r="O1363" i="1"/>
  <c r="AF1363" i="1" s="1"/>
  <c r="M1178" i="1"/>
  <c r="AE1178" i="1" s="1"/>
  <c r="O1178" i="1"/>
  <c r="AF1178" i="1" s="1"/>
  <c r="M1378" i="1"/>
  <c r="AE1378" i="1" s="1"/>
  <c r="O1378" i="1"/>
  <c r="AF1378" i="1" s="1"/>
  <c r="M2635" i="1"/>
  <c r="AE2635" i="1" s="1"/>
  <c r="O2635" i="1"/>
  <c r="AF2635" i="1" s="1"/>
  <c r="M2298" i="1"/>
  <c r="AE2298" i="1" s="1"/>
  <c r="O2298" i="1"/>
  <c r="AF2298" i="1" s="1"/>
  <c r="M2145" i="1"/>
  <c r="AE2145" i="1" s="1"/>
  <c r="O2145" i="1"/>
  <c r="AF2145" i="1" s="1"/>
  <c r="M1603" i="1"/>
  <c r="AE1603" i="1" s="1"/>
  <c r="O1603" i="1"/>
  <c r="AF1603" i="1" s="1"/>
  <c r="M2144" i="1"/>
  <c r="AE2144" i="1" s="1"/>
  <c r="O2144" i="1"/>
  <c r="AF2144" i="1" s="1"/>
  <c r="M1729" i="1"/>
  <c r="AE1729" i="1" s="1"/>
  <c r="O1729" i="1"/>
  <c r="AF1729" i="1" s="1"/>
  <c r="M394" i="1"/>
  <c r="AE394" i="1" s="1"/>
  <c r="O394" i="1"/>
  <c r="AF394" i="1" s="1"/>
  <c r="M2750" i="1"/>
  <c r="AE2750" i="1" s="1"/>
  <c r="O2750" i="1"/>
  <c r="AF2750" i="1" s="1"/>
  <c r="M211" i="1"/>
  <c r="AE211" i="1" s="1"/>
  <c r="O211" i="1"/>
  <c r="AF211" i="1" s="1"/>
  <c r="M1273" i="1"/>
  <c r="AE1273" i="1" s="1"/>
  <c r="O1273" i="1"/>
  <c r="AF1273" i="1" s="1"/>
  <c r="M1192" i="1"/>
  <c r="AE1192" i="1" s="1"/>
  <c r="O1192" i="1"/>
  <c r="AF1192" i="1" s="1"/>
  <c r="M2525" i="1"/>
  <c r="AE2525" i="1" s="1"/>
  <c r="O2525" i="1"/>
  <c r="AF2525" i="1" s="1"/>
  <c r="M456" i="1"/>
  <c r="AE456" i="1" s="1"/>
  <c r="O456" i="1"/>
  <c r="AF456" i="1" s="1"/>
  <c r="M2457" i="1"/>
  <c r="AE2457" i="1" s="1"/>
  <c r="O2457" i="1"/>
  <c r="AF2457" i="1" s="1"/>
  <c r="M864" i="1"/>
  <c r="AE864" i="1" s="1"/>
  <c r="O864" i="1"/>
  <c r="AF864" i="1" s="1"/>
  <c r="M2281" i="1"/>
  <c r="AE2281" i="1" s="1"/>
  <c r="O2281" i="1"/>
  <c r="AF2281" i="1" s="1"/>
  <c r="M267" i="1"/>
  <c r="AE267" i="1" s="1"/>
  <c r="O267" i="1"/>
  <c r="AF267" i="1" s="1"/>
  <c r="M1357" i="1"/>
  <c r="AE1357" i="1" s="1"/>
  <c r="O1357" i="1"/>
  <c r="AF1357" i="1" s="1"/>
  <c r="M2739" i="1"/>
  <c r="AE2739" i="1" s="1"/>
  <c r="O2739" i="1"/>
  <c r="AF2739" i="1" s="1"/>
  <c r="M1697" i="1"/>
  <c r="AE1697" i="1" s="1"/>
  <c r="O1697" i="1"/>
  <c r="AF1697" i="1" s="1"/>
  <c r="M1645" i="1"/>
  <c r="AE1645" i="1" s="1"/>
  <c r="O1645" i="1"/>
  <c r="AF1645" i="1" s="1"/>
  <c r="M1289" i="1"/>
  <c r="AE1289" i="1" s="1"/>
  <c r="O1289" i="1"/>
  <c r="AF1289" i="1" s="1"/>
  <c r="M1930" i="1"/>
  <c r="AE1930" i="1" s="1"/>
  <c r="O1930" i="1"/>
  <c r="AF1930" i="1" s="1"/>
  <c r="M1129" i="1"/>
  <c r="AE1129" i="1" s="1"/>
  <c r="O1129" i="1"/>
  <c r="AF1129" i="1" s="1"/>
  <c r="M1728" i="1"/>
  <c r="AE1728" i="1" s="1"/>
  <c r="O1728" i="1"/>
  <c r="AF1728" i="1" s="1"/>
  <c r="M1298" i="1"/>
  <c r="AE1298" i="1" s="1"/>
  <c r="O1298" i="1"/>
  <c r="AF1298" i="1" s="1"/>
  <c r="M1294" i="1"/>
  <c r="AE1294" i="1" s="1"/>
  <c r="O1294" i="1"/>
  <c r="AF1294" i="1" s="1"/>
  <c r="M2634" i="1"/>
  <c r="AE2634" i="1" s="1"/>
  <c r="O2634" i="1"/>
  <c r="AF2634" i="1" s="1"/>
  <c r="M436" i="1"/>
  <c r="AE436" i="1" s="1"/>
  <c r="O436" i="1"/>
  <c r="AF436" i="1" s="1"/>
  <c r="M1385" i="1"/>
  <c r="AE1385" i="1" s="1"/>
  <c r="O1385" i="1"/>
  <c r="AF1385" i="1" s="1"/>
  <c r="M1763" i="1"/>
  <c r="AE1763" i="1" s="1"/>
  <c r="O1763" i="1"/>
  <c r="AF1763" i="1" s="1"/>
  <c r="M363" i="1"/>
  <c r="AE363" i="1" s="1"/>
  <c r="O363" i="1"/>
  <c r="AF363" i="1" s="1"/>
  <c r="M2729" i="1"/>
  <c r="AE2729" i="1" s="1"/>
  <c r="O2729" i="1"/>
  <c r="AF2729" i="1" s="1"/>
  <c r="M1241" i="1"/>
  <c r="AE1241" i="1" s="1"/>
  <c r="O1241" i="1"/>
  <c r="AF1241" i="1" s="1"/>
  <c r="M3126" i="1"/>
  <c r="AE3126" i="1" s="1"/>
  <c r="O3126" i="1"/>
  <c r="AF3126" i="1" s="1"/>
  <c r="M1382" i="1"/>
  <c r="AE1382" i="1" s="1"/>
  <c r="O1382" i="1"/>
  <c r="AF1382" i="1" s="1"/>
  <c r="M1063" i="1"/>
  <c r="AE1063" i="1" s="1"/>
  <c r="O1063" i="1"/>
  <c r="AF1063" i="1" s="1"/>
  <c r="M2460" i="1"/>
  <c r="AE2460" i="1" s="1"/>
  <c r="O2460" i="1"/>
  <c r="AF2460" i="1" s="1"/>
  <c r="M1521" i="1"/>
  <c r="AE1521" i="1" s="1"/>
  <c r="O1521" i="1"/>
  <c r="AF1521" i="1" s="1"/>
  <c r="M2462" i="1"/>
  <c r="AE2462" i="1" s="1"/>
  <c r="O2462" i="1"/>
  <c r="AF2462" i="1" s="1"/>
  <c r="M100" i="1"/>
  <c r="AE100" i="1" s="1"/>
  <c r="O100" i="1"/>
  <c r="AF100" i="1" s="1"/>
  <c r="M2315" i="1"/>
  <c r="AE2315" i="1" s="1"/>
  <c r="O2315" i="1"/>
  <c r="AF2315" i="1" s="1"/>
  <c r="M1375" i="1"/>
  <c r="AE1375" i="1" s="1"/>
  <c r="O1375" i="1"/>
  <c r="AF1375" i="1" s="1"/>
  <c r="M3114" i="1"/>
  <c r="AE3114" i="1" s="1"/>
  <c r="O3114" i="1"/>
  <c r="AF3114" i="1" s="1"/>
  <c r="M1081" i="1"/>
  <c r="AE1081" i="1" s="1"/>
  <c r="O1081" i="1"/>
  <c r="AF1081" i="1" s="1"/>
  <c r="M1694" i="1"/>
  <c r="AE1694" i="1" s="1"/>
  <c r="O1694" i="1"/>
  <c r="AF1694" i="1" s="1"/>
  <c r="M1134" i="1"/>
  <c r="AE1134" i="1" s="1"/>
  <c r="O1134" i="1"/>
  <c r="AF1134" i="1" s="1"/>
  <c r="M1082" i="1"/>
  <c r="AE1082" i="1" s="1"/>
  <c r="O1082" i="1"/>
  <c r="AF1082" i="1" s="1"/>
  <c r="M1914" i="1"/>
  <c r="AE1914" i="1" s="1"/>
  <c r="O1914" i="1"/>
  <c r="AF1914" i="1" s="1"/>
  <c r="M1163" i="1"/>
  <c r="AE1163" i="1" s="1"/>
  <c r="O1163" i="1"/>
  <c r="AF1163" i="1" s="1"/>
  <c r="M687" i="1"/>
  <c r="AE687" i="1" s="1"/>
  <c r="O687" i="1"/>
  <c r="AF687" i="1" s="1"/>
  <c r="M1639" i="1"/>
  <c r="AE1639" i="1" s="1"/>
  <c r="O1639" i="1"/>
  <c r="AF1639" i="1" s="1"/>
  <c r="M3005" i="1"/>
  <c r="AE3005" i="1" s="1"/>
  <c r="O3005" i="1"/>
  <c r="AF3005" i="1" s="1"/>
  <c r="M1710" i="1"/>
  <c r="AE1710" i="1" s="1"/>
  <c r="O1710" i="1"/>
  <c r="AF1710" i="1" s="1"/>
  <c r="M1359" i="1"/>
  <c r="AE1359" i="1" s="1"/>
  <c r="O1359" i="1"/>
  <c r="AF1359" i="1" s="1"/>
  <c r="M2580" i="1"/>
  <c r="AE2580" i="1" s="1"/>
  <c r="O2580" i="1"/>
  <c r="AF2580" i="1" s="1"/>
  <c r="M3103" i="1"/>
  <c r="AE3103" i="1" s="1"/>
  <c r="O3103" i="1"/>
  <c r="AF3103" i="1" s="1"/>
  <c r="M390" i="1"/>
  <c r="AE390" i="1" s="1"/>
  <c r="O390" i="1"/>
  <c r="AF390" i="1" s="1"/>
  <c r="M1779" i="1"/>
  <c r="AE1779" i="1" s="1"/>
  <c r="O1779" i="1"/>
  <c r="AF1779" i="1" s="1"/>
  <c r="M2771" i="1"/>
  <c r="AE2771" i="1" s="1"/>
  <c r="O2771" i="1"/>
  <c r="AF2771" i="1" s="1"/>
  <c r="M1362" i="1"/>
  <c r="AE1362" i="1" s="1"/>
  <c r="O1362" i="1"/>
  <c r="AF1362" i="1" s="1"/>
  <c r="M1483" i="1"/>
  <c r="AE1483" i="1" s="1"/>
  <c r="O1483" i="1"/>
  <c r="AF1483" i="1" s="1"/>
  <c r="M2304" i="1"/>
  <c r="AE2304" i="1" s="1"/>
  <c r="O2304" i="1"/>
  <c r="AF2304" i="1" s="1"/>
  <c r="M29" i="1"/>
  <c r="AE29" i="1" s="1"/>
  <c r="O29" i="1"/>
  <c r="AF29" i="1" s="1"/>
  <c r="M10" i="1"/>
  <c r="AE10" i="1" s="1"/>
  <c r="O10" i="1"/>
  <c r="AF10" i="1" s="1"/>
  <c r="M11" i="1"/>
  <c r="AE11" i="1" s="1"/>
  <c r="O11" i="1"/>
  <c r="AF11" i="1" s="1"/>
  <c r="M12" i="1"/>
  <c r="AE12" i="1" s="1"/>
  <c r="O12" i="1"/>
  <c r="AF12" i="1" s="1"/>
  <c r="M13" i="1"/>
  <c r="AE13" i="1" s="1"/>
  <c r="O13" i="1"/>
  <c r="AF13" i="1" s="1"/>
  <c r="M14" i="1"/>
  <c r="AE14" i="1" s="1"/>
  <c r="O14" i="1"/>
  <c r="AF14" i="1" s="1"/>
  <c r="M15" i="1"/>
  <c r="AE15" i="1" s="1"/>
  <c r="O15" i="1"/>
  <c r="AF15" i="1" s="1"/>
  <c r="M16" i="1"/>
  <c r="AE16" i="1" s="1"/>
  <c r="O16" i="1"/>
  <c r="AF16" i="1" s="1"/>
  <c r="M17" i="1"/>
  <c r="AE17" i="1" s="1"/>
  <c r="O17" i="1"/>
  <c r="AF17" i="1" s="1"/>
  <c r="M18" i="1"/>
  <c r="AE18" i="1" s="1"/>
  <c r="O18" i="1"/>
  <c r="AF18" i="1" s="1"/>
  <c r="M19" i="1"/>
  <c r="AE19" i="1" s="1"/>
  <c r="O19" i="1"/>
  <c r="AF19" i="1" s="1"/>
  <c r="M20" i="1"/>
  <c r="AE20" i="1" s="1"/>
  <c r="O20" i="1"/>
  <c r="AF20" i="1" s="1"/>
  <c r="M21" i="1"/>
  <c r="AE21" i="1" s="1"/>
  <c r="O21" i="1"/>
  <c r="AF21" i="1" s="1"/>
  <c r="M22" i="1"/>
  <c r="AE22" i="1" s="1"/>
  <c r="O22" i="1"/>
  <c r="AF22" i="1" s="1"/>
  <c r="M23" i="1"/>
  <c r="AE23" i="1" s="1"/>
  <c r="O23" i="1"/>
  <c r="AF23" i="1" s="1"/>
  <c r="M24" i="1"/>
  <c r="AE24" i="1" s="1"/>
  <c r="O24" i="1"/>
  <c r="AF24" i="1" s="1"/>
  <c r="M25" i="1"/>
  <c r="AE25" i="1" s="1"/>
  <c r="O25" i="1"/>
  <c r="AF25" i="1" s="1"/>
  <c r="M26" i="1"/>
  <c r="AE26" i="1" s="1"/>
  <c r="O26" i="1"/>
  <c r="AF26" i="1" s="1"/>
  <c r="M27" i="1"/>
  <c r="AE27" i="1" s="1"/>
  <c r="O27" i="1"/>
  <c r="AF27" i="1" s="1"/>
  <c r="M28" i="1"/>
  <c r="AE28" i="1" s="1"/>
  <c r="O28" i="1"/>
  <c r="AF28" i="1" s="1"/>
  <c r="M30" i="1"/>
  <c r="AE30" i="1" s="1"/>
  <c r="O30" i="1"/>
  <c r="AF30" i="1" s="1"/>
  <c r="M31" i="1"/>
  <c r="AE31" i="1" s="1"/>
  <c r="O31" i="1"/>
  <c r="AF31" i="1" s="1"/>
  <c r="M32" i="1"/>
  <c r="AE32" i="1" s="1"/>
  <c r="O32" i="1"/>
  <c r="AF32" i="1" s="1"/>
  <c r="M33" i="1"/>
  <c r="AE33" i="1" s="1"/>
  <c r="O33" i="1"/>
  <c r="AF33" i="1" s="1"/>
  <c r="M34" i="1"/>
  <c r="AE34" i="1" s="1"/>
  <c r="O34" i="1"/>
  <c r="AF34" i="1" s="1"/>
  <c r="M35" i="1"/>
  <c r="AE35" i="1" s="1"/>
  <c r="O35" i="1"/>
  <c r="AF35" i="1" s="1"/>
  <c r="M36" i="1"/>
  <c r="AE36" i="1" s="1"/>
  <c r="O36" i="1"/>
  <c r="AF36" i="1" s="1"/>
  <c r="M37" i="1"/>
  <c r="AE37" i="1" s="1"/>
  <c r="O37" i="1"/>
  <c r="AF37" i="1" s="1"/>
  <c r="M38" i="1"/>
  <c r="AE38" i="1" s="1"/>
  <c r="O38" i="1"/>
  <c r="AF38" i="1" s="1"/>
  <c r="M39" i="1"/>
  <c r="AE39" i="1" s="1"/>
  <c r="O39" i="1"/>
  <c r="AF39" i="1" s="1"/>
  <c r="M40" i="1"/>
  <c r="AE40" i="1" s="1"/>
  <c r="O40" i="1"/>
  <c r="AF40" i="1" s="1"/>
  <c r="M41" i="1"/>
  <c r="AE41" i="1" s="1"/>
  <c r="O41" i="1"/>
  <c r="AF41" i="1" s="1"/>
  <c r="M42" i="1"/>
  <c r="AE42" i="1" s="1"/>
  <c r="O42" i="1"/>
  <c r="AF42" i="1" s="1"/>
  <c r="M43" i="1"/>
  <c r="AE43" i="1" s="1"/>
  <c r="O43" i="1"/>
  <c r="AF43" i="1" s="1"/>
  <c r="M44" i="1"/>
  <c r="AE44" i="1" s="1"/>
  <c r="O44" i="1"/>
  <c r="AF44" i="1" s="1"/>
  <c r="M45" i="1"/>
  <c r="AE45" i="1" s="1"/>
  <c r="O45" i="1"/>
  <c r="AF45" i="1" s="1"/>
  <c r="M46" i="1"/>
  <c r="AE46" i="1" s="1"/>
  <c r="O46" i="1"/>
  <c r="AF46" i="1" s="1"/>
  <c r="M47" i="1"/>
  <c r="AE47" i="1" s="1"/>
  <c r="O47" i="1"/>
  <c r="AF47" i="1" s="1"/>
  <c r="M48" i="1"/>
  <c r="AE48" i="1" s="1"/>
  <c r="O48" i="1"/>
  <c r="AF48" i="1" s="1"/>
  <c r="M49" i="1"/>
  <c r="AE49" i="1" s="1"/>
  <c r="O49" i="1"/>
  <c r="AF49" i="1" s="1"/>
  <c r="M50" i="1"/>
  <c r="AE50" i="1" s="1"/>
  <c r="O50" i="1"/>
  <c r="AF50" i="1" s="1"/>
  <c r="M51" i="1"/>
  <c r="AE51" i="1" s="1"/>
  <c r="O51" i="1"/>
  <c r="AF51" i="1" s="1"/>
  <c r="M52" i="1"/>
  <c r="AE52" i="1" s="1"/>
  <c r="O52" i="1"/>
  <c r="AF52" i="1" s="1"/>
  <c r="M53" i="1"/>
  <c r="AE53" i="1" s="1"/>
  <c r="O53" i="1"/>
  <c r="AF53" i="1" s="1"/>
  <c r="M54" i="1"/>
  <c r="AE54" i="1" s="1"/>
  <c r="O54" i="1"/>
  <c r="AF54" i="1" s="1"/>
  <c r="M55" i="1"/>
  <c r="AE55" i="1" s="1"/>
  <c r="O55" i="1"/>
  <c r="AF55" i="1" s="1"/>
  <c r="M56" i="1"/>
  <c r="AE56" i="1" s="1"/>
  <c r="O56" i="1"/>
  <c r="AF56" i="1" s="1"/>
  <c r="M57" i="1"/>
  <c r="AE57" i="1" s="1"/>
  <c r="O57" i="1"/>
  <c r="AF57" i="1" s="1"/>
  <c r="M58" i="1"/>
  <c r="AE58" i="1" s="1"/>
  <c r="O58" i="1"/>
  <c r="AF58" i="1" s="1"/>
  <c r="M59" i="1"/>
  <c r="AE59" i="1" s="1"/>
  <c r="O59" i="1"/>
  <c r="AF59" i="1" s="1"/>
  <c r="M60" i="1"/>
  <c r="AE60" i="1" s="1"/>
  <c r="O60" i="1"/>
  <c r="AF60" i="1" s="1"/>
  <c r="M61" i="1"/>
  <c r="AE61" i="1" s="1"/>
  <c r="O61" i="1"/>
  <c r="AF61" i="1" s="1"/>
  <c r="M62" i="1"/>
  <c r="AE62" i="1" s="1"/>
  <c r="O62" i="1"/>
  <c r="AF62" i="1" s="1"/>
  <c r="M63" i="1"/>
  <c r="AE63" i="1" s="1"/>
  <c r="O63" i="1"/>
  <c r="AF63" i="1" s="1"/>
  <c r="M64" i="1"/>
  <c r="AE64" i="1" s="1"/>
  <c r="O64" i="1"/>
  <c r="AF64" i="1" s="1"/>
  <c r="M65" i="1"/>
  <c r="AE65" i="1" s="1"/>
  <c r="O65" i="1"/>
  <c r="AF65" i="1" s="1"/>
  <c r="M66" i="1"/>
  <c r="AE66" i="1" s="1"/>
  <c r="O66" i="1"/>
  <c r="AF66" i="1" s="1"/>
  <c r="M67" i="1"/>
  <c r="AE67" i="1" s="1"/>
  <c r="O67" i="1"/>
  <c r="AF67" i="1" s="1"/>
  <c r="M68" i="1"/>
  <c r="AE68" i="1" s="1"/>
  <c r="O68" i="1"/>
  <c r="AF68" i="1" s="1"/>
  <c r="M69" i="1"/>
  <c r="AE69" i="1" s="1"/>
  <c r="O69" i="1"/>
  <c r="AF69" i="1" s="1"/>
  <c r="M70" i="1"/>
  <c r="AE70" i="1" s="1"/>
  <c r="O70" i="1"/>
  <c r="AF70" i="1" s="1"/>
  <c r="M71" i="1"/>
  <c r="AE71" i="1" s="1"/>
  <c r="O71" i="1"/>
  <c r="AF71" i="1" s="1"/>
  <c r="M72" i="1"/>
  <c r="AE72" i="1" s="1"/>
  <c r="O72" i="1"/>
  <c r="AF72" i="1" s="1"/>
  <c r="M73" i="1"/>
  <c r="AE73" i="1" s="1"/>
  <c r="O73" i="1"/>
  <c r="AF73" i="1" s="1"/>
  <c r="M74" i="1"/>
  <c r="AE74" i="1" s="1"/>
  <c r="O74" i="1"/>
  <c r="AF74" i="1" s="1"/>
  <c r="M75" i="1"/>
  <c r="AE75" i="1" s="1"/>
  <c r="O75" i="1"/>
  <c r="AF75" i="1" s="1"/>
  <c r="M76" i="1"/>
  <c r="AE76" i="1" s="1"/>
  <c r="O76" i="1"/>
  <c r="AF76" i="1" s="1"/>
  <c r="M77" i="1"/>
  <c r="AE77" i="1" s="1"/>
  <c r="O77" i="1"/>
  <c r="AF77" i="1" s="1"/>
  <c r="M78" i="1"/>
  <c r="AE78" i="1" s="1"/>
  <c r="O78" i="1"/>
  <c r="AF78" i="1" s="1"/>
  <c r="M79" i="1"/>
  <c r="AE79" i="1" s="1"/>
  <c r="O79" i="1"/>
  <c r="AF79" i="1" s="1"/>
  <c r="M80" i="1"/>
  <c r="AE80" i="1" s="1"/>
  <c r="O80" i="1"/>
  <c r="AF80" i="1" s="1"/>
  <c r="M81" i="1"/>
  <c r="AE81" i="1" s="1"/>
  <c r="O81" i="1"/>
  <c r="AF81" i="1" s="1"/>
  <c r="M82" i="1"/>
  <c r="AE82" i="1" s="1"/>
  <c r="O82" i="1"/>
  <c r="AF82" i="1" s="1"/>
  <c r="M83" i="1"/>
  <c r="AE83" i="1" s="1"/>
  <c r="O83" i="1"/>
  <c r="AF83" i="1" s="1"/>
  <c r="M84" i="1"/>
  <c r="AE84" i="1" s="1"/>
  <c r="O84" i="1"/>
  <c r="AF84" i="1" s="1"/>
  <c r="M85" i="1"/>
  <c r="AE85" i="1" s="1"/>
  <c r="O85" i="1"/>
  <c r="AF85" i="1" s="1"/>
  <c r="M86" i="1"/>
  <c r="AE86" i="1" s="1"/>
  <c r="O86" i="1"/>
  <c r="AF86" i="1" s="1"/>
  <c r="M87" i="1"/>
  <c r="AE87" i="1" s="1"/>
  <c r="O87" i="1"/>
  <c r="AF87" i="1" s="1"/>
  <c r="M88" i="1"/>
  <c r="AE88" i="1" s="1"/>
  <c r="O88" i="1"/>
  <c r="AF88" i="1" s="1"/>
  <c r="M89" i="1"/>
  <c r="AE89" i="1" s="1"/>
  <c r="O89" i="1"/>
  <c r="AF89" i="1" s="1"/>
  <c r="M90" i="1"/>
  <c r="AE90" i="1" s="1"/>
  <c r="O90" i="1"/>
  <c r="AF90" i="1" s="1"/>
  <c r="M91" i="1"/>
  <c r="AE91" i="1" s="1"/>
  <c r="O91" i="1"/>
  <c r="AF91" i="1" s="1"/>
  <c r="M93" i="1"/>
  <c r="AE93" i="1" s="1"/>
  <c r="O93" i="1"/>
  <c r="AF93" i="1" s="1"/>
  <c r="M94" i="1"/>
  <c r="AE94" i="1" s="1"/>
  <c r="O94" i="1"/>
  <c r="AF94" i="1" s="1"/>
  <c r="M95" i="1"/>
  <c r="AE95" i="1" s="1"/>
  <c r="O95" i="1"/>
  <c r="AF95" i="1" s="1"/>
  <c r="M96" i="1"/>
  <c r="AE96" i="1" s="1"/>
  <c r="O96" i="1"/>
  <c r="AF96" i="1" s="1"/>
  <c r="M97" i="1"/>
  <c r="AE97" i="1" s="1"/>
  <c r="O97" i="1"/>
  <c r="AF97" i="1" s="1"/>
  <c r="M98" i="1"/>
  <c r="AE98" i="1" s="1"/>
  <c r="O98" i="1"/>
  <c r="AF98" i="1" s="1"/>
  <c r="M99" i="1"/>
  <c r="AE99" i="1" s="1"/>
  <c r="O99" i="1"/>
  <c r="AF99" i="1" s="1"/>
  <c r="M101" i="1"/>
  <c r="AE101" i="1" s="1"/>
  <c r="O101" i="1"/>
  <c r="AF101" i="1" s="1"/>
  <c r="M102" i="1"/>
  <c r="AE102" i="1" s="1"/>
  <c r="O102" i="1"/>
  <c r="AF102" i="1" s="1"/>
  <c r="M103" i="1"/>
  <c r="AE103" i="1" s="1"/>
  <c r="O103" i="1"/>
  <c r="AF103" i="1" s="1"/>
  <c r="M104" i="1"/>
  <c r="AE104" i="1" s="1"/>
  <c r="O104" i="1"/>
  <c r="AF104" i="1" s="1"/>
  <c r="M105" i="1"/>
  <c r="AE105" i="1" s="1"/>
  <c r="O105" i="1"/>
  <c r="AF105" i="1" s="1"/>
  <c r="M106" i="1"/>
  <c r="AE106" i="1" s="1"/>
  <c r="O106" i="1"/>
  <c r="AF106" i="1" s="1"/>
  <c r="M107" i="1"/>
  <c r="AE107" i="1" s="1"/>
  <c r="O107" i="1"/>
  <c r="AF107" i="1" s="1"/>
  <c r="M108" i="1"/>
  <c r="AE108" i="1" s="1"/>
  <c r="O108" i="1"/>
  <c r="AF108" i="1" s="1"/>
  <c r="M109" i="1"/>
  <c r="AE109" i="1" s="1"/>
  <c r="O109" i="1"/>
  <c r="AF109" i="1" s="1"/>
  <c r="M110" i="1"/>
  <c r="AE110" i="1" s="1"/>
  <c r="O110" i="1"/>
  <c r="AF110" i="1" s="1"/>
  <c r="M111" i="1"/>
  <c r="AE111" i="1" s="1"/>
  <c r="O111" i="1"/>
  <c r="AF111" i="1" s="1"/>
  <c r="M112" i="1"/>
  <c r="AE112" i="1" s="1"/>
  <c r="O112" i="1"/>
  <c r="AF112" i="1" s="1"/>
  <c r="M113" i="1"/>
  <c r="AE113" i="1" s="1"/>
  <c r="O113" i="1"/>
  <c r="AF113" i="1" s="1"/>
  <c r="M114" i="1"/>
  <c r="AE114" i="1" s="1"/>
  <c r="O114" i="1"/>
  <c r="AF114" i="1" s="1"/>
  <c r="M115" i="1"/>
  <c r="AE115" i="1" s="1"/>
  <c r="O115" i="1"/>
  <c r="AF115" i="1" s="1"/>
  <c r="M116" i="1"/>
  <c r="AE116" i="1" s="1"/>
  <c r="O116" i="1"/>
  <c r="AF116" i="1" s="1"/>
  <c r="M117" i="1"/>
  <c r="AE117" i="1" s="1"/>
  <c r="O117" i="1"/>
  <c r="AF117" i="1" s="1"/>
  <c r="M118" i="1"/>
  <c r="AE118" i="1" s="1"/>
  <c r="O118" i="1"/>
  <c r="AF118" i="1" s="1"/>
  <c r="M119" i="1"/>
  <c r="AE119" i="1" s="1"/>
  <c r="O119" i="1"/>
  <c r="AF119" i="1" s="1"/>
  <c r="M120" i="1"/>
  <c r="AE120" i="1" s="1"/>
  <c r="O120" i="1"/>
  <c r="AF120" i="1" s="1"/>
  <c r="M121" i="1"/>
  <c r="AE121" i="1" s="1"/>
  <c r="O121" i="1"/>
  <c r="AF121" i="1" s="1"/>
  <c r="M122" i="1"/>
  <c r="AE122" i="1" s="1"/>
  <c r="O122" i="1"/>
  <c r="AF122" i="1" s="1"/>
  <c r="M123" i="1"/>
  <c r="AE123" i="1" s="1"/>
  <c r="O123" i="1"/>
  <c r="AF123" i="1" s="1"/>
  <c r="M124" i="1"/>
  <c r="AE124" i="1" s="1"/>
  <c r="O124" i="1"/>
  <c r="AF124" i="1" s="1"/>
  <c r="M125" i="1"/>
  <c r="AE125" i="1" s="1"/>
  <c r="O125" i="1"/>
  <c r="AF125" i="1" s="1"/>
  <c r="M126" i="1"/>
  <c r="AE126" i="1" s="1"/>
  <c r="O126" i="1"/>
  <c r="AF126" i="1" s="1"/>
  <c r="M127" i="1"/>
  <c r="AE127" i="1" s="1"/>
  <c r="O127" i="1"/>
  <c r="AF127" i="1" s="1"/>
  <c r="M128" i="1"/>
  <c r="AE128" i="1" s="1"/>
  <c r="O128" i="1"/>
  <c r="AF128" i="1" s="1"/>
  <c r="M129" i="1"/>
  <c r="AE129" i="1" s="1"/>
  <c r="O129" i="1"/>
  <c r="AF129" i="1" s="1"/>
  <c r="M130" i="1"/>
  <c r="AE130" i="1" s="1"/>
  <c r="O130" i="1"/>
  <c r="AF130" i="1" s="1"/>
  <c r="M131" i="1"/>
  <c r="AE131" i="1" s="1"/>
  <c r="O131" i="1"/>
  <c r="AF131" i="1" s="1"/>
  <c r="M132" i="1"/>
  <c r="AE132" i="1" s="1"/>
  <c r="O132" i="1"/>
  <c r="AF132" i="1" s="1"/>
  <c r="M133" i="1"/>
  <c r="AE133" i="1" s="1"/>
  <c r="O133" i="1"/>
  <c r="AF133" i="1" s="1"/>
  <c r="M134" i="1"/>
  <c r="AE134" i="1" s="1"/>
  <c r="O134" i="1"/>
  <c r="AF134" i="1" s="1"/>
  <c r="M135" i="1"/>
  <c r="AE135" i="1" s="1"/>
  <c r="O135" i="1"/>
  <c r="AF135" i="1" s="1"/>
  <c r="M136" i="1"/>
  <c r="AE136" i="1" s="1"/>
  <c r="O136" i="1"/>
  <c r="AF136" i="1" s="1"/>
  <c r="M137" i="1"/>
  <c r="AE137" i="1" s="1"/>
  <c r="O137" i="1"/>
  <c r="AF137" i="1" s="1"/>
  <c r="M138" i="1"/>
  <c r="AE138" i="1" s="1"/>
  <c r="O138" i="1"/>
  <c r="AF138" i="1" s="1"/>
  <c r="M139" i="1"/>
  <c r="AE139" i="1" s="1"/>
  <c r="O139" i="1"/>
  <c r="AF139" i="1" s="1"/>
  <c r="M140" i="1"/>
  <c r="AE140" i="1" s="1"/>
  <c r="O140" i="1"/>
  <c r="AF140" i="1" s="1"/>
  <c r="M141" i="1"/>
  <c r="AE141" i="1" s="1"/>
  <c r="O141" i="1"/>
  <c r="AF141" i="1" s="1"/>
  <c r="M142" i="1"/>
  <c r="AE142" i="1" s="1"/>
  <c r="O142" i="1"/>
  <c r="AF142" i="1" s="1"/>
  <c r="M143" i="1"/>
  <c r="AE143" i="1" s="1"/>
  <c r="O143" i="1"/>
  <c r="AF143" i="1" s="1"/>
  <c r="M144" i="1"/>
  <c r="AE144" i="1" s="1"/>
  <c r="O144" i="1"/>
  <c r="AF144" i="1" s="1"/>
  <c r="M145" i="1"/>
  <c r="AE145" i="1" s="1"/>
  <c r="O145" i="1"/>
  <c r="AF145" i="1" s="1"/>
  <c r="M146" i="1"/>
  <c r="AE146" i="1" s="1"/>
  <c r="O146" i="1"/>
  <c r="AF146" i="1" s="1"/>
  <c r="M147" i="1"/>
  <c r="AE147" i="1" s="1"/>
  <c r="O147" i="1"/>
  <c r="AF147" i="1" s="1"/>
  <c r="M148" i="1"/>
  <c r="AE148" i="1" s="1"/>
  <c r="O148" i="1"/>
  <c r="AF148" i="1" s="1"/>
  <c r="M149" i="1"/>
  <c r="AE149" i="1" s="1"/>
  <c r="O149" i="1"/>
  <c r="AF149" i="1" s="1"/>
  <c r="M150" i="1"/>
  <c r="AE150" i="1" s="1"/>
  <c r="O150" i="1"/>
  <c r="AF150" i="1" s="1"/>
  <c r="M151" i="1"/>
  <c r="AE151" i="1" s="1"/>
  <c r="O151" i="1"/>
  <c r="AF151" i="1" s="1"/>
  <c r="M152" i="1"/>
  <c r="AE152" i="1" s="1"/>
  <c r="O152" i="1"/>
  <c r="AF152" i="1" s="1"/>
  <c r="M153" i="1"/>
  <c r="AE153" i="1" s="1"/>
  <c r="O153" i="1"/>
  <c r="AF153" i="1" s="1"/>
  <c r="M154" i="1"/>
  <c r="AE154" i="1" s="1"/>
  <c r="O154" i="1"/>
  <c r="AF154" i="1" s="1"/>
  <c r="M155" i="1"/>
  <c r="AE155" i="1" s="1"/>
  <c r="O155" i="1"/>
  <c r="AF155" i="1" s="1"/>
  <c r="M156" i="1"/>
  <c r="AE156" i="1" s="1"/>
  <c r="O156" i="1"/>
  <c r="AF156" i="1" s="1"/>
  <c r="M157" i="1"/>
  <c r="AE157" i="1" s="1"/>
  <c r="O157" i="1"/>
  <c r="AF157" i="1" s="1"/>
  <c r="M158" i="1"/>
  <c r="AE158" i="1" s="1"/>
  <c r="O158" i="1"/>
  <c r="AF158" i="1" s="1"/>
  <c r="M159" i="1"/>
  <c r="AE159" i="1" s="1"/>
  <c r="O159" i="1"/>
  <c r="AF159" i="1" s="1"/>
  <c r="M160" i="1"/>
  <c r="AE160" i="1" s="1"/>
  <c r="O160" i="1"/>
  <c r="AF160" i="1" s="1"/>
  <c r="M161" i="1"/>
  <c r="AE161" i="1" s="1"/>
  <c r="O161" i="1"/>
  <c r="AF161" i="1" s="1"/>
  <c r="M162" i="1"/>
  <c r="AE162" i="1" s="1"/>
  <c r="O162" i="1"/>
  <c r="AF162" i="1" s="1"/>
  <c r="M163" i="1"/>
  <c r="AE163" i="1" s="1"/>
  <c r="O163" i="1"/>
  <c r="AF163" i="1" s="1"/>
  <c r="M164" i="1"/>
  <c r="AE164" i="1" s="1"/>
  <c r="O164" i="1"/>
  <c r="AF164" i="1" s="1"/>
  <c r="M165" i="1"/>
  <c r="AE165" i="1" s="1"/>
  <c r="O165" i="1"/>
  <c r="AF165" i="1" s="1"/>
  <c r="M166" i="1"/>
  <c r="AE166" i="1" s="1"/>
  <c r="O166" i="1"/>
  <c r="AF166" i="1" s="1"/>
  <c r="M167" i="1"/>
  <c r="AE167" i="1" s="1"/>
  <c r="O167" i="1"/>
  <c r="AF167" i="1" s="1"/>
  <c r="M168" i="1"/>
  <c r="AE168" i="1" s="1"/>
  <c r="O168" i="1"/>
  <c r="AF168" i="1" s="1"/>
  <c r="M169" i="1"/>
  <c r="AE169" i="1" s="1"/>
  <c r="O169" i="1"/>
  <c r="AF169" i="1" s="1"/>
  <c r="M170" i="1"/>
  <c r="AE170" i="1" s="1"/>
  <c r="O170" i="1"/>
  <c r="AF170" i="1" s="1"/>
  <c r="M171" i="1"/>
  <c r="AE171" i="1" s="1"/>
  <c r="O171" i="1"/>
  <c r="AF171" i="1" s="1"/>
  <c r="M172" i="1"/>
  <c r="AE172" i="1" s="1"/>
  <c r="O172" i="1"/>
  <c r="AF172" i="1" s="1"/>
  <c r="M173" i="1"/>
  <c r="AE173" i="1" s="1"/>
  <c r="O173" i="1"/>
  <c r="AF173" i="1" s="1"/>
  <c r="M174" i="1"/>
  <c r="AE174" i="1" s="1"/>
  <c r="O174" i="1"/>
  <c r="AF174" i="1" s="1"/>
  <c r="M175" i="1"/>
  <c r="AE175" i="1" s="1"/>
  <c r="O175" i="1"/>
  <c r="AF175" i="1" s="1"/>
  <c r="M176" i="1"/>
  <c r="AE176" i="1" s="1"/>
  <c r="O176" i="1"/>
  <c r="AF176" i="1" s="1"/>
  <c r="M177" i="1"/>
  <c r="AE177" i="1" s="1"/>
  <c r="O177" i="1"/>
  <c r="AF177" i="1" s="1"/>
  <c r="M178" i="1"/>
  <c r="AE178" i="1" s="1"/>
  <c r="O178" i="1"/>
  <c r="AF178" i="1" s="1"/>
  <c r="M179" i="1"/>
  <c r="AE179" i="1" s="1"/>
  <c r="O179" i="1"/>
  <c r="AF179" i="1" s="1"/>
  <c r="M180" i="1"/>
  <c r="AE180" i="1" s="1"/>
  <c r="O180" i="1"/>
  <c r="AF180" i="1" s="1"/>
  <c r="M181" i="1"/>
  <c r="AE181" i="1" s="1"/>
  <c r="O181" i="1"/>
  <c r="AF181" i="1" s="1"/>
  <c r="M182" i="1"/>
  <c r="AE182" i="1" s="1"/>
  <c r="O182" i="1"/>
  <c r="AF182" i="1" s="1"/>
  <c r="M183" i="1"/>
  <c r="AE183" i="1" s="1"/>
  <c r="O183" i="1"/>
  <c r="AF183" i="1" s="1"/>
  <c r="M184" i="1"/>
  <c r="AE184" i="1" s="1"/>
  <c r="O184" i="1"/>
  <c r="AF184" i="1" s="1"/>
  <c r="M185" i="1"/>
  <c r="AE185" i="1" s="1"/>
  <c r="O185" i="1"/>
  <c r="AF185" i="1" s="1"/>
  <c r="M186" i="1"/>
  <c r="AE186" i="1" s="1"/>
  <c r="O186" i="1"/>
  <c r="AF186" i="1" s="1"/>
  <c r="M187" i="1"/>
  <c r="AE187" i="1" s="1"/>
  <c r="O187" i="1"/>
  <c r="AF187" i="1" s="1"/>
  <c r="M188" i="1"/>
  <c r="AE188" i="1" s="1"/>
  <c r="O188" i="1"/>
  <c r="AF188" i="1" s="1"/>
  <c r="M189" i="1"/>
  <c r="AE189" i="1" s="1"/>
  <c r="O189" i="1"/>
  <c r="AF189" i="1" s="1"/>
  <c r="M190" i="1"/>
  <c r="AE190" i="1" s="1"/>
  <c r="O190" i="1"/>
  <c r="AF190" i="1" s="1"/>
  <c r="M191" i="1"/>
  <c r="AE191" i="1" s="1"/>
  <c r="O191" i="1"/>
  <c r="AF191" i="1" s="1"/>
  <c r="M192" i="1"/>
  <c r="AE192" i="1" s="1"/>
  <c r="O192" i="1"/>
  <c r="AF192" i="1" s="1"/>
  <c r="M193" i="1"/>
  <c r="AE193" i="1" s="1"/>
  <c r="O193" i="1"/>
  <c r="AF193" i="1" s="1"/>
  <c r="M194" i="1"/>
  <c r="AE194" i="1" s="1"/>
  <c r="O194" i="1"/>
  <c r="AF194" i="1" s="1"/>
  <c r="M195" i="1"/>
  <c r="AE195" i="1" s="1"/>
  <c r="O195" i="1"/>
  <c r="AF195" i="1" s="1"/>
  <c r="M196" i="1"/>
  <c r="AE196" i="1" s="1"/>
  <c r="O196" i="1"/>
  <c r="AF196" i="1" s="1"/>
  <c r="M197" i="1"/>
  <c r="AE197" i="1" s="1"/>
  <c r="O197" i="1"/>
  <c r="AF197" i="1" s="1"/>
  <c r="M198" i="1"/>
  <c r="AE198" i="1" s="1"/>
  <c r="O198" i="1"/>
  <c r="AF198" i="1" s="1"/>
  <c r="M199" i="1"/>
  <c r="AE199" i="1" s="1"/>
  <c r="O199" i="1"/>
  <c r="AF199" i="1" s="1"/>
  <c r="M200" i="1"/>
  <c r="AE200" i="1" s="1"/>
  <c r="O200" i="1"/>
  <c r="AF200" i="1" s="1"/>
  <c r="M201" i="1"/>
  <c r="AE201" i="1" s="1"/>
  <c r="O201" i="1"/>
  <c r="AF201" i="1" s="1"/>
  <c r="M202" i="1"/>
  <c r="AE202" i="1" s="1"/>
  <c r="O202" i="1"/>
  <c r="AF202" i="1" s="1"/>
  <c r="M203" i="1"/>
  <c r="AE203" i="1" s="1"/>
  <c r="O203" i="1"/>
  <c r="AF203" i="1" s="1"/>
  <c r="M204" i="1"/>
  <c r="AE204" i="1" s="1"/>
  <c r="O204" i="1"/>
  <c r="AF204" i="1" s="1"/>
  <c r="M205" i="1"/>
  <c r="AE205" i="1" s="1"/>
  <c r="O205" i="1"/>
  <c r="AF205" i="1" s="1"/>
  <c r="M206" i="1"/>
  <c r="AE206" i="1" s="1"/>
  <c r="O206" i="1"/>
  <c r="AF206" i="1" s="1"/>
  <c r="M207" i="1"/>
  <c r="AE207" i="1" s="1"/>
  <c r="O207" i="1"/>
  <c r="AF207" i="1" s="1"/>
  <c r="M208" i="1"/>
  <c r="AE208" i="1" s="1"/>
  <c r="O208" i="1"/>
  <c r="AF208" i="1" s="1"/>
  <c r="M209" i="1"/>
  <c r="AE209" i="1" s="1"/>
  <c r="O209" i="1"/>
  <c r="AF209" i="1" s="1"/>
  <c r="M210" i="1"/>
  <c r="AE210" i="1" s="1"/>
  <c r="O210" i="1"/>
  <c r="AF210" i="1" s="1"/>
  <c r="M212" i="1"/>
  <c r="AE212" i="1" s="1"/>
  <c r="O212" i="1"/>
  <c r="AF212" i="1" s="1"/>
  <c r="M213" i="1"/>
  <c r="AE213" i="1" s="1"/>
  <c r="O213" i="1"/>
  <c r="AF213" i="1" s="1"/>
  <c r="M214" i="1"/>
  <c r="AE214" i="1" s="1"/>
  <c r="O214" i="1"/>
  <c r="AF214" i="1" s="1"/>
  <c r="M215" i="1"/>
  <c r="AE215" i="1" s="1"/>
  <c r="O215" i="1"/>
  <c r="AF215" i="1" s="1"/>
  <c r="M216" i="1"/>
  <c r="AE216" i="1" s="1"/>
  <c r="O216" i="1"/>
  <c r="AF216" i="1" s="1"/>
  <c r="M218" i="1"/>
  <c r="AE218" i="1" s="1"/>
  <c r="O218" i="1"/>
  <c r="AF218" i="1" s="1"/>
  <c r="M219" i="1"/>
  <c r="AE219" i="1" s="1"/>
  <c r="O219" i="1"/>
  <c r="AF219" i="1" s="1"/>
  <c r="M220" i="1"/>
  <c r="AE220" i="1" s="1"/>
  <c r="O220" i="1"/>
  <c r="AF220" i="1" s="1"/>
  <c r="M221" i="1"/>
  <c r="AE221" i="1" s="1"/>
  <c r="O221" i="1"/>
  <c r="AF221" i="1" s="1"/>
  <c r="M222" i="1"/>
  <c r="AE222" i="1" s="1"/>
  <c r="O222" i="1"/>
  <c r="AF222" i="1" s="1"/>
  <c r="M223" i="1"/>
  <c r="AE223" i="1" s="1"/>
  <c r="O223" i="1"/>
  <c r="AF223" i="1" s="1"/>
  <c r="M224" i="1"/>
  <c r="AE224" i="1" s="1"/>
  <c r="O224" i="1"/>
  <c r="AF224" i="1" s="1"/>
  <c r="M225" i="1"/>
  <c r="AE225" i="1" s="1"/>
  <c r="O225" i="1"/>
  <c r="AF225" i="1" s="1"/>
  <c r="M226" i="1"/>
  <c r="AE226" i="1" s="1"/>
  <c r="O226" i="1"/>
  <c r="AF226" i="1" s="1"/>
  <c r="M227" i="1"/>
  <c r="AE227" i="1" s="1"/>
  <c r="O227" i="1"/>
  <c r="AF227" i="1" s="1"/>
  <c r="M228" i="1"/>
  <c r="AE228" i="1" s="1"/>
  <c r="O228" i="1"/>
  <c r="AF228" i="1" s="1"/>
  <c r="M229" i="1"/>
  <c r="AE229" i="1" s="1"/>
  <c r="O229" i="1"/>
  <c r="AF229" i="1" s="1"/>
  <c r="M230" i="1"/>
  <c r="AE230" i="1" s="1"/>
  <c r="O230" i="1"/>
  <c r="AF230" i="1" s="1"/>
  <c r="M231" i="1"/>
  <c r="AE231" i="1" s="1"/>
  <c r="O231" i="1"/>
  <c r="AF231" i="1" s="1"/>
  <c r="M232" i="1"/>
  <c r="AE232" i="1" s="1"/>
  <c r="O232" i="1"/>
  <c r="AF232" i="1" s="1"/>
  <c r="M233" i="1"/>
  <c r="AE233" i="1" s="1"/>
  <c r="O233" i="1"/>
  <c r="AF233" i="1" s="1"/>
  <c r="M234" i="1"/>
  <c r="AE234" i="1" s="1"/>
  <c r="O234" i="1"/>
  <c r="AF234" i="1" s="1"/>
  <c r="M235" i="1"/>
  <c r="AE235" i="1" s="1"/>
  <c r="O235" i="1"/>
  <c r="AF235" i="1" s="1"/>
  <c r="M236" i="1"/>
  <c r="AE236" i="1" s="1"/>
  <c r="O236" i="1"/>
  <c r="AF236" i="1" s="1"/>
  <c r="M237" i="1"/>
  <c r="AE237" i="1" s="1"/>
  <c r="O237" i="1"/>
  <c r="AF237" i="1" s="1"/>
  <c r="M238" i="1"/>
  <c r="AE238" i="1" s="1"/>
  <c r="O238" i="1"/>
  <c r="AF238" i="1" s="1"/>
  <c r="M239" i="1"/>
  <c r="AE239" i="1" s="1"/>
  <c r="O239" i="1"/>
  <c r="AF239" i="1" s="1"/>
  <c r="M240" i="1"/>
  <c r="AE240" i="1" s="1"/>
  <c r="O240" i="1"/>
  <c r="AF240" i="1" s="1"/>
  <c r="M241" i="1"/>
  <c r="AE241" i="1" s="1"/>
  <c r="O241" i="1"/>
  <c r="AF241" i="1" s="1"/>
  <c r="M242" i="1"/>
  <c r="AE242" i="1" s="1"/>
  <c r="O242" i="1"/>
  <c r="AF242" i="1" s="1"/>
  <c r="M243" i="1"/>
  <c r="AE243" i="1" s="1"/>
  <c r="O243" i="1"/>
  <c r="AF243" i="1" s="1"/>
  <c r="M244" i="1"/>
  <c r="AE244" i="1" s="1"/>
  <c r="O244" i="1"/>
  <c r="AF244" i="1" s="1"/>
  <c r="M245" i="1"/>
  <c r="AE245" i="1" s="1"/>
  <c r="O245" i="1"/>
  <c r="AF245" i="1" s="1"/>
  <c r="M246" i="1"/>
  <c r="AE246" i="1" s="1"/>
  <c r="O246" i="1"/>
  <c r="AF246" i="1" s="1"/>
  <c r="M247" i="1"/>
  <c r="AE247" i="1" s="1"/>
  <c r="O247" i="1"/>
  <c r="AF247" i="1" s="1"/>
  <c r="M248" i="1"/>
  <c r="AE248" i="1" s="1"/>
  <c r="O248" i="1"/>
  <c r="AF248" i="1" s="1"/>
  <c r="M249" i="1"/>
  <c r="AE249" i="1" s="1"/>
  <c r="O249" i="1"/>
  <c r="AF249" i="1" s="1"/>
  <c r="M250" i="1"/>
  <c r="AE250" i="1" s="1"/>
  <c r="O250" i="1"/>
  <c r="AF250" i="1" s="1"/>
  <c r="M251" i="1"/>
  <c r="AE251" i="1" s="1"/>
  <c r="O251" i="1"/>
  <c r="AF251" i="1" s="1"/>
  <c r="M252" i="1"/>
  <c r="AE252" i="1" s="1"/>
  <c r="O252" i="1"/>
  <c r="AF252" i="1" s="1"/>
  <c r="M253" i="1"/>
  <c r="AE253" i="1" s="1"/>
  <c r="O253" i="1"/>
  <c r="AF253" i="1" s="1"/>
  <c r="M254" i="1"/>
  <c r="AE254" i="1" s="1"/>
  <c r="O254" i="1"/>
  <c r="AF254" i="1" s="1"/>
  <c r="M255" i="1"/>
  <c r="AE255" i="1" s="1"/>
  <c r="O255" i="1"/>
  <c r="AF255" i="1" s="1"/>
  <c r="M256" i="1"/>
  <c r="AE256" i="1" s="1"/>
  <c r="O256" i="1"/>
  <c r="AF256" i="1" s="1"/>
  <c r="M257" i="1"/>
  <c r="AE257" i="1" s="1"/>
  <c r="O257" i="1"/>
  <c r="AF257" i="1" s="1"/>
  <c r="M258" i="1"/>
  <c r="AE258" i="1" s="1"/>
  <c r="O258" i="1"/>
  <c r="AF258" i="1" s="1"/>
  <c r="M259" i="1"/>
  <c r="AE259" i="1" s="1"/>
  <c r="O259" i="1"/>
  <c r="AF259" i="1" s="1"/>
  <c r="M260" i="1"/>
  <c r="AE260" i="1" s="1"/>
  <c r="O260" i="1"/>
  <c r="AF260" i="1" s="1"/>
  <c r="M261" i="1"/>
  <c r="AE261" i="1" s="1"/>
  <c r="O261" i="1"/>
  <c r="AF261" i="1" s="1"/>
  <c r="M262" i="1"/>
  <c r="AE262" i="1" s="1"/>
  <c r="O262" i="1"/>
  <c r="AF262" i="1" s="1"/>
  <c r="M263" i="1"/>
  <c r="AE263" i="1" s="1"/>
  <c r="O263" i="1"/>
  <c r="AF263" i="1" s="1"/>
  <c r="M264" i="1"/>
  <c r="AE264" i="1" s="1"/>
  <c r="O264" i="1"/>
  <c r="AF264" i="1" s="1"/>
  <c r="M265" i="1"/>
  <c r="AE265" i="1" s="1"/>
  <c r="O265" i="1"/>
  <c r="AF265" i="1" s="1"/>
  <c r="M266" i="1"/>
  <c r="AE266" i="1" s="1"/>
  <c r="O266" i="1"/>
  <c r="AF266" i="1" s="1"/>
  <c r="M268" i="1"/>
  <c r="AE268" i="1" s="1"/>
  <c r="O268" i="1"/>
  <c r="AF268" i="1" s="1"/>
  <c r="M269" i="1"/>
  <c r="AE269" i="1" s="1"/>
  <c r="O269" i="1"/>
  <c r="AF269" i="1" s="1"/>
  <c r="M270" i="1"/>
  <c r="AE270" i="1" s="1"/>
  <c r="O270" i="1"/>
  <c r="AF270" i="1" s="1"/>
  <c r="M271" i="1"/>
  <c r="AE271" i="1" s="1"/>
  <c r="O271" i="1"/>
  <c r="AF271" i="1" s="1"/>
  <c r="M272" i="1"/>
  <c r="AE272" i="1" s="1"/>
  <c r="O272" i="1"/>
  <c r="AF272" i="1" s="1"/>
  <c r="M273" i="1"/>
  <c r="AE273" i="1" s="1"/>
  <c r="O273" i="1"/>
  <c r="AF273" i="1" s="1"/>
  <c r="M274" i="1"/>
  <c r="AE274" i="1" s="1"/>
  <c r="O274" i="1"/>
  <c r="AF274" i="1" s="1"/>
  <c r="M275" i="1"/>
  <c r="AE275" i="1" s="1"/>
  <c r="O275" i="1"/>
  <c r="AF275" i="1" s="1"/>
  <c r="M276" i="1"/>
  <c r="AE276" i="1" s="1"/>
  <c r="O276" i="1"/>
  <c r="AF276" i="1" s="1"/>
  <c r="M277" i="1"/>
  <c r="AE277" i="1" s="1"/>
  <c r="O277" i="1"/>
  <c r="AF277" i="1" s="1"/>
  <c r="M278" i="1"/>
  <c r="AE278" i="1" s="1"/>
  <c r="O278" i="1"/>
  <c r="AF278" i="1" s="1"/>
  <c r="M279" i="1"/>
  <c r="AE279" i="1" s="1"/>
  <c r="O279" i="1"/>
  <c r="AF279" i="1" s="1"/>
  <c r="M280" i="1"/>
  <c r="AE280" i="1" s="1"/>
  <c r="O280" i="1"/>
  <c r="AF280" i="1" s="1"/>
  <c r="M281" i="1"/>
  <c r="AE281" i="1" s="1"/>
  <c r="O281" i="1"/>
  <c r="AF281" i="1" s="1"/>
  <c r="M282" i="1"/>
  <c r="AE282" i="1" s="1"/>
  <c r="O282" i="1"/>
  <c r="AF282" i="1" s="1"/>
  <c r="M283" i="1"/>
  <c r="AE283" i="1" s="1"/>
  <c r="O283" i="1"/>
  <c r="AF283" i="1" s="1"/>
  <c r="M284" i="1"/>
  <c r="AE284" i="1" s="1"/>
  <c r="O284" i="1"/>
  <c r="AF284" i="1" s="1"/>
  <c r="M285" i="1"/>
  <c r="AE285" i="1" s="1"/>
  <c r="O285" i="1"/>
  <c r="AF285" i="1" s="1"/>
  <c r="M286" i="1"/>
  <c r="AE286" i="1" s="1"/>
  <c r="O286" i="1"/>
  <c r="AF286" i="1" s="1"/>
  <c r="M287" i="1"/>
  <c r="AE287" i="1" s="1"/>
  <c r="O287" i="1"/>
  <c r="AF287" i="1" s="1"/>
  <c r="M288" i="1"/>
  <c r="AE288" i="1" s="1"/>
  <c r="O288" i="1"/>
  <c r="AF288" i="1" s="1"/>
  <c r="M289" i="1"/>
  <c r="AE289" i="1" s="1"/>
  <c r="O289" i="1"/>
  <c r="AF289" i="1" s="1"/>
  <c r="M290" i="1"/>
  <c r="AE290" i="1" s="1"/>
  <c r="O290" i="1"/>
  <c r="AF290" i="1" s="1"/>
  <c r="M291" i="1"/>
  <c r="AE291" i="1" s="1"/>
  <c r="O291" i="1"/>
  <c r="AF291" i="1" s="1"/>
  <c r="M292" i="1"/>
  <c r="AE292" i="1" s="1"/>
  <c r="O292" i="1"/>
  <c r="AF292" i="1" s="1"/>
  <c r="M293" i="1"/>
  <c r="AE293" i="1" s="1"/>
  <c r="O293" i="1"/>
  <c r="AF293" i="1" s="1"/>
  <c r="M294" i="1"/>
  <c r="AE294" i="1" s="1"/>
  <c r="O294" i="1"/>
  <c r="AF294" i="1" s="1"/>
  <c r="M295" i="1"/>
  <c r="AE295" i="1" s="1"/>
  <c r="O295" i="1"/>
  <c r="AF295" i="1" s="1"/>
  <c r="M296" i="1"/>
  <c r="AE296" i="1" s="1"/>
  <c r="O296" i="1"/>
  <c r="AF296" i="1" s="1"/>
  <c r="M297" i="1"/>
  <c r="AE297" i="1" s="1"/>
  <c r="O297" i="1"/>
  <c r="AF297" i="1" s="1"/>
  <c r="M298" i="1"/>
  <c r="AE298" i="1" s="1"/>
  <c r="O298" i="1"/>
  <c r="AF298" i="1" s="1"/>
  <c r="M299" i="1"/>
  <c r="AE299" i="1" s="1"/>
  <c r="O299" i="1"/>
  <c r="AF299" i="1" s="1"/>
  <c r="M300" i="1"/>
  <c r="AE300" i="1" s="1"/>
  <c r="O300" i="1"/>
  <c r="AF300" i="1" s="1"/>
  <c r="M301" i="1"/>
  <c r="AE301" i="1" s="1"/>
  <c r="O301" i="1"/>
  <c r="AF301" i="1" s="1"/>
  <c r="M302" i="1"/>
  <c r="AE302" i="1" s="1"/>
  <c r="O302" i="1"/>
  <c r="AF302" i="1" s="1"/>
  <c r="M303" i="1"/>
  <c r="AE303" i="1" s="1"/>
  <c r="O303" i="1"/>
  <c r="AF303" i="1" s="1"/>
  <c r="M304" i="1"/>
  <c r="AE304" i="1" s="1"/>
  <c r="O304" i="1"/>
  <c r="AF304" i="1" s="1"/>
  <c r="M305" i="1"/>
  <c r="AE305" i="1" s="1"/>
  <c r="O305" i="1"/>
  <c r="AF305" i="1" s="1"/>
  <c r="M306" i="1"/>
  <c r="AE306" i="1" s="1"/>
  <c r="O306" i="1"/>
  <c r="AF306" i="1" s="1"/>
  <c r="M307" i="1"/>
  <c r="AE307" i="1" s="1"/>
  <c r="O307" i="1"/>
  <c r="AF307" i="1" s="1"/>
  <c r="M308" i="1"/>
  <c r="AE308" i="1" s="1"/>
  <c r="O308" i="1"/>
  <c r="AF308" i="1" s="1"/>
  <c r="M309" i="1"/>
  <c r="AE309" i="1" s="1"/>
  <c r="O309" i="1"/>
  <c r="AF309" i="1" s="1"/>
  <c r="M310" i="1"/>
  <c r="AE310" i="1" s="1"/>
  <c r="O310" i="1"/>
  <c r="AF310" i="1" s="1"/>
  <c r="M311" i="1"/>
  <c r="AE311" i="1" s="1"/>
  <c r="O311" i="1"/>
  <c r="AF311" i="1" s="1"/>
  <c r="M312" i="1"/>
  <c r="AE312" i="1" s="1"/>
  <c r="O312" i="1"/>
  <c r="AF312" i="1" s="1"/>
  <c r="M313" i="1"/>
  <c r="AE313" i="1" s="1"/>
  <c r="O313" i="1"/>
  <c r="AF313" i="1" s="1"/>
  <c r="M314" i="1"/>
  <c r="AE314" i="1" s="1"/>
  <c r="O314" i="1"/>
  <c r="AF314" i="1" s="1"/>
  <c r="M315" i="1"/>
  <c r="AE315" i="1" s="1"/>
  <c r="O315" i="1"/>
  <c r="AF315" i="1" s="1"/>
  <c r="M316" i="1"/>
  <c r="AE316" i="1" s="1"/>
  <c r="O316" i="1"/>
  <c r="AF316" i="1" s="1"/>
  <c r="M317" i="1"/>
  <c r="AE317" i="1" s="1"/>
  <c r="O317" i="1"/>
  <c r="AF317" i="1" s="1"/>
  <c r="M318" i="1"/>
  <c r="AE318" i="1" s="1"/>
  <c r="O318" i="1"/>
  <c r="AF318" i="1" s="1"/>
  <c r="M319" i="1"/>
  <c r="AE319" i="1" s="1"/>
  <c r="O319" i="1"/>
  <c r="AF319" i="1" s="1"/>
  <c r="M320" i="1"/>
  <c r="AE320" i="1" s="1"/>
  <c r="O320" i="1"/>
  <c r="AF320" i="1" s="1"/>
  <c r="M321" i="1"/>
  <c r="AE321" i="1" s="1"/>
  <c r="O321" i="1"/>
  <c r="AF321" i="1" s="1"/>
  <c r="M322" i="1"/>
  <c r="AE322" i="1" s="1"/>
  <c r="O322" i="1"/>
  <c r="AF322" i="1" s="1"/>
  <c r="M323" i="1"/>
  <c r="AE323" i="1" s="1"/>
  <c r="O323" i="1"/>
  <c r="AF323" i="1" s="1"/>
  <c r="M324" i="1"/>
  <c r="AE324" i="1" s="1"/>
  <c r="O324" i="1"/>
  <c r="AF324" i="1" s="1"/>
  <c r="M325" i="1"/>
  <c r="AE325" i="1" s="1"/>
  <c r="O325" i="1"/>
  <c r="AF325" i="1" s="1"/>
  <c r="M326" i="1"/>
  <c r="AE326" i="1" s="1"/>
  <c r="O326" i="1"/>
  <c r="AF326" i="1" s="1"/>
  <c r="M327" i="1"/>
  <c r="AE327" i="1" s="1"/>
  <c r="O327" i="1"/>
  <c r="AF327" i="1" s="1"/>
  <c r="M328" i="1"/>
  <c r="AE328" i="1" s="1"/>
  <c r="O328" i="1"/>
  <c r="AF328" i="1" s="1"/>
  <c r="M329" i="1"/>
  <c r="AE329" i="1" s="1"/>
  <c r="O329" i="1"/>
  <c r="AF329" i="1" s="1"/>
  <c r="M330" i="1"/>
  <c r="AE330" i="1" s="1"/>
  <c r="O330" i="1"/>
  <c r="AF330" i="1" s="1"/>
  <c r="M331" i="1"/>
  <c r="AE331" i="1" s="1"/>
  <c r="O331" i="1"/>
  <c r="AF331" i="1" s="1"/>
  <c r="M332" i="1"/>
  <c r="AE332" i="1" s="1"/>
  <c r="O332" i="1"/>
  <c r="AF332" i="1" s="1"/>
  <c r="M333" i="1"/>
  <c r="AE333" i="1" s="1"/>
  <c r="O333" i="1"/>
  <c r="AF333" i="1" s="1"/>
  <c r="M334" i="1"/>
  <c r="AE334" i="1" s="1"/>
  <c r="O334" i="1"/>
  <c r="AF334" i="1" s="1"/>
  <c r="M335" i="1"/>
  <c r="AE335" i="1" s="1"/>
  <c r="O335" i="1"/>
  <c r="AF335" i="1" s="1"/>
  <c r="M336" i="1"/>
  <c r="AE336" i="1" s="1"/>
  <c r="O336" i="1"/>
  <c r="AF336" i="1" s="1"/>
  <c r="M337" i="1"/>
  <c r="AE337" i="1" s="1"/>
  <c r="O337" i="1"/>
  <c r="AF337" i="1" s="1"/>
  <c r="M338" i="1"/>
  <c r="AE338" i="1" s="1"/>
  <c r="O338" i="1"/>
  <c r="AF338" i="1" s="1"/>
  <c r="M339" i="1"/>
  <c r="AE339" i="1" s="1"/>
  <c r="O339" i="1"/>
  <c r="AF339" i="1" s="1"/>
  <c r="M340" i="1"/>
  <c r="AE340" i="1" s="1"/>
  <c r="O340" i="1"/>
  <c r="AF340" i="1" s="1"/>
  <c r="M341" i="1"/>
  <c r="AE341" i="1" s="1"/>
  <c r="O341" i="1"/>
  <c r="AF341" i="1" s="1"/>
  <c r="M342" i="1"/>
  <c r="AE342" i="1" s="1"/>
  <c r="O342" i="1"/>
  <c r="AF342" i="1" s="1"/>
  <c r="M343" i="1"/>
  <c r="AE343" i="1" s="1"/>
  <c r="O343" i="1"/>
  <c r="AF343" i="1" s="1"/>
  <c r="M344" i="1"/>
  <c r="AE344" i="1" s="1"/>
  <c r="O344" i="1"/>
  <c r="AF344" i="1" s="1"/>
  <c r="M345" i="1"/>
  <c r="AE345" i="1" s="1"/>
  <c r="O345" i="1"/>
  <c r="AF345" i="1" s="1"/>
  <c r="M346" i="1"/>
  <c r="AE346" i="1" s="1"/>
  <c r="O346" i="1"/>
  <c r="AF346" i="1" s="1"/>
  <c r="M347" i="1"/>
  <c r="AE347" i="1" s="1"/>
  <c r="O347" i="1"/>
  <c r="AF347" i="1" s="1"/>
  <c r="M348" i="1"/>
  <c r="AE348" i="1" s="1"/>
  <c r="O348" i="1"/>
  <c r="AF348" i="1" s="1"/>
  <c r="M349" i="1"/>
  <c r="AE349" i="1" s="1"/>
  <c r="O349" i="1"/>
  <c r="AF349" i="1" s="1"/>
  <c r="M350" i="1"/>
  <c r="AE350" i="1" s="1"/>
  <c r="O350" i="1"/>
  <c r="AF350" i="1" s="1"/>
  <c r="M351" i="1"/>
  <c r="AE351" i="1" s="1"/>
  <c r="O351" i="1"/>
  <c r="AF351" i="1" s="1"/>
  <c r="M352" i="1"/>
  <c r="AE352" i="1" s="1"/>
  <c r="O352" i="1"/>
  <c r="AF352" i="1" s="1"/>
  <c r="M353" i="1"/>
  <c r="AE353" i="1" s="1"/>
  <c r="O353" i="1"/>
  <c r="AF353" i="1" s="1"/>
  <c r="M354" i="1"/>
  <c r="AE354" i="1" s="1"/>
  <c r="O354" i="1"/>
  <c r="AF354" i="1" s="1"/>
  <c r="M355" i="1"/>
  <c r="AE355" i="1" s="1"/>
  <c r="O355" i="1"/>
  <c r="AF355" i="1" s="1"/>
  <c r="M356" i="1"/>
  <c r="AE356" i="1" s="1"/>
  <c r="O356" i="1"/>
  <c r="AF356" i="1" s="1"/>
  <c r="M357" i="1"/>
  <c r="AE357" i="1" s="1"/>
  <c r="O357" i="1"/>
  <c r="AF357" i="1" s="1"/>
  <c r="M358" i="1"/>
  <c r="AE358" i="1" s="1"/>
  <c r="O358" i="1"/>
  <c r="AF358" i="1" s="1"/>
  <c r="M359" i="1"/>
  <c r="AE359" i="1" s="1"/>
  <c r="O359" i="1"/>
  <c r="AF359" i="1" s="1"/>
  <c r="M360" i="1"/>
  <c r="AE360" i="1" s="1"/>
  <c r="O360" i="1"/>
  <c r="AF360" i="1" s="1"/>
  <c r="M361" i="1"/>
  <c r="AE361" i="1" s="1"/>
  <c r="O361" i="1"/>
  <c r="AF361" i="1" s="1"/>
  <c r="M362" i="1"/>
  <c r="AE362" i="1" s="1"/>
  <c r="O362" i="1"/>
  <c r="AF362" i="1" s="1"/>
  <c r="M364" i="1"/>
  <c r="AE364" i="1" s="1"/>
  <c r="O364" i="1"/>
  <c r="AF364" i="1" s="1"/>
  <c r="M366" i="1"/>
  <c r="AE366" i="1" s="1"/>
  <c r="O366" i="1"/>
  <c r="AF366" i="1" s="1"/>
  <c r="M367" i="1"/>
  <c r="AE367" i="1" s="1"/>
  <c r="O367" i="1"/>
  <c r="AF367" i="1" s="1"/>
  <c r="M368" i="1"/>
  <c r="AE368" i="1" s="1"/>
  <c r="O368" i="1"/>
  <c r="AF368" i="1" s="1"/>
  <c r="M369" i="1"/>
  <c r="AE369" i="1" s="1"/>
  <c r="O369" i="1"/>
  <c r="AF369" i="1" s="1"/>
  <c r="M370" i="1"/>
  <c r="AE370" i="1" s="1"/>
  <c r="O370" i="1"/>
  <c r="AF370" i="1" s="1"/>
  <c r="M371" i="1"/>
  <c r="AE371" i="1" s="1"/>
  <c r="O371" i="1"/>
  <c r="AF371" i="1" s="1"/>
  <c r="M372" i="1"/>
  <c r="AE372" i="1" s="1"/>
  <c r="O372" i="1"/>
  <c r="AF372" i="1" s="1"/>
  <c r="M373" i="1"/>
  <c r="AE373" i="1" s="1"/>
  <c r="O373" i="1"/>
  <c r="AF373" i="1" s="1"/>
  <c r="M374" i="1"/>
  <c r="AE374" i="1" s="1"/>
  <c r="O374" i="1"/>
  <c r="AF374" i="1" s="1"/>
  <c r="M375" i="1"/>
  <c r="AE375" i="1" s="1"/>
  <c r="O375" i="1"/>
  <c r="AF375" i="1" s="1"/>
  <c r="M376" i="1"/>
  <c r="AE376" i="1" s="1"/>
  <c r="O376" i="1"/>
  <c r="AF376" i="1" s="1"/>
  <c r="M377" i="1"/>
  <c r="AE377" i="1" s="1"/>
  <c r="O377" i="1"/>
  <c r="AF377" i="1" s="1"/>
  <c r="M378" i="1"/>
  <c r="AE378" i="1" s="1"/>
  <c r="O378" i="1"/>
  <c r="AF378" i="1" s="1"/>
  <c r="M379" i="1"/>
  <c r="AE379" i="1" s="1"/>
  <c r="O379" i="1"/>
  <c r="AF379" i="1" s="1"/>
  <c r="M380" i="1"/>
  <c r="AE380" i="1" s="1"/>
  <c r="O380" i="1"/>
  <c r="AF380" i="1" s="1"/>
  <c r="M381" i="1"/>
  <c r="AE381" i="1" s="1"/>
  <c r="O381" i="1"/>
  <c r="AF381" i="1" s="1"/>
  <c r="M382" i="1"/>
  <c r="AE382" i="1" s="1"/>
  <c r="O382" i="1"/>
  <c r="AF382" i="1" s="1"/>
  <c r="M383" i="1"/>
  <c r="AE383" i="1" s="1"/>
  <c r="O383" i="1"/>
  <c r="AF383" i="1" s="1"/>
  <c r="M384" i="1"/>
  <c r="AE384" i="1" s="1"/>
  <c r="O384" i="1"/>
  <c r="AF384" i="1" s="1"/>
  <c r="M385" i="1"/>
  <c r="AE385" i="1" s="1"/>
  <c r="O385" i="1"/>
  <c r="AF385" i="1" s="1"/>
  <c r="M386" i="1"/>
  <c r="AE386" i="1" s="1"/>
  <c r="O386" i="1"/>
  <c r="AF386" i="1" s="1"/>
  <c r="M387" i="1"/>
  <c r="AE387" i="1" s="1"/>
  <c r="O387" i="1"/>
  <c r="AF387" i="1" s="1"/>
  <c r="M388" i="1"/>
  <c r="AE388" i="1" s="1"/>
  <c r="O388" i="1"/>
  <c r="AF388" i="1" s="1"/>
  <c r="M389" i="1"/>
  <c r="AE389" i="1" s="1"/>
  <c r="O389" i="1"/>
  <c r="AF389" i="1" s="1"/>
  <c r="M391" i="1"/>
  <c r="AE391" i="1" s="1"/>
  <c r="O391" i="1"/>
  <c r="AF391" i="1" s="1"/>
  <c r="M392" i="1"/>
  <c r="AE392" i="1" s="1"/>
  <c r="O392" i="1"/>
  <c r="AF392" i="1" s="1"/>
  <c r="M393" i="1"/>
  <c r="AE393" i="1" s="1"/>
  <c r="O393" i="1"/>
  <c r="AF393" i="1" s="1"/>
  <c r="M395" i="1"/>
  <c r="AE395" i="1" s="1"/>
  <c r="O395" i="1"/>
  <c r="AF395" i="1" s="1"/>
  <c r="M396" i="1"/>
  <c r="AE396" i="1" s="1"/>
  <c r="O396" i="1"/>
  <c r="AF396" i="1" s="1"/>
  <c r="M397" i="1"/>
  <c r="AE397" i="1" s="1"/>
  <c r="O397" i="1"/>
  <c r="AF397" i="1" s="1"/>
  <c r="M398" i="1"/>
  <c r="AE398" i="1" s="1"/>
  <c r="O398" i="1"/>
  <c r="AF398" i="1" s="1"/>
  <c r="M399" i="1"/>
  <c r="AE399" i="1" s="1"/>
  <c r="O399" i="1"/>
  <c r="AF399" i="1" s="1"/>
  <c r="M400" i="1"/>
  <c r="AE400" i="1" s="1"/>
  <c r="O400" i="1"/>
  <c r="AF400" i="1" s="1"/>
  <c r="M401" i="1"/>
  <c r="AE401" i="1" s="1"/>
  <c r="O401" i="1"/>
  <c r="AF401" i="1" s="1"/>
  <c r="M2089" i="1"/>
  <c r="AE2089" i="1" s="1"/>
  <c r="O2089" i="1"/>
  <c r="AF2089" i="1" s="1"/>
  <c r="M402" i="1"/>
  <c r="AE402" i="1" s="1"/>
  <c r="O402" i="1"/>
  <c r="AF402" i="1" s="1"/>
  <c r="M403" i="1"/>
  <c r="AE403" i="1" s="1"/>
  <c r="O403" i="1"/>
  <c r="AF403" i="1" s="1"/>
  <c r="M404" i="1"/>
  <c r="AE404" i="1" s="1"/>
  <c r="O404" i="1"/>
  <c r="AF404" i="1" s="1"/>
  <c r="M405" i="1"/>
  <c r="AE405" i="1" s="1"/>
  <c r="O405" i="1"/>
  <c r="AF405" i="1" s="1"/>
  <c r="M406" i="1"/>
  <c r="AE406" i="1" s="1"/>
  <c r="O406" i="1"/>
  <c r="AF406" i="1" s="1"/>
  <c r="M407" i="1"/>
  <c r="AE407" i="1" s="1"/>
  <c r="O407" i="1"/>
  <c r="AF407" i="1" s="1"/>
  <c r="M408" i="1"/>
  <c r="AE408" i="1" s="1"/>
  <c r="O408" i="1"/>
  <c r="AF408" i="1" s="1"/>
  <c r="M409" i="1"/>
  <c r="AE409" i="1" s="1"/>
  <c r="O409" i="1"/>
  <c r="AF409" i="1" s="1"/>
  <c r="M410" i="1"/>
  <c r="AE410" i="1" s="1"/>
  <c r="O410" i="1"/>
  <c r="AF410" i="1" s="1"/>
  <c r="M411" i="1"/>
  <c r="AE411" i="1" s="1"/>
  <c r="O411" i="1"/>
  <c r="AF411" i="1" s="1"/>
  <c r="M412" i="1"/>
  <c r="AE412" i="1" s="1"/>
  <c r="O412" i="1"/>
  <c r="AF412" i="1" s="1"/>
  <c r="M413" i="1"/>
  <c r="AE413" i="1" s="1"/>
  <c r="O413" i="1"/>
  <c r="AF413" i="1" s="1"/>
  <c r="M414" i="1"/>
  <c r="AE414" i="1" s="1"/>
  <c r="O414" i="1"/>
  <c r="AF414" i="1" s="1"/>
  <c r="M415" i="1"/>
  <c r="AE415" i="1" s="1"/>
  <c r="O415" i="1"/>
  <c r="AF415" i="1" s="1"/>
  <c r="M416" i="1"/>
  <c r="AE416" i="1" s="1"/>
  <c r="O416" i="1"/>
  <c r="AF416" i="1" s="1"/>
  <c r="M417" i="1"/>
  <c r="AE417" i="1" s="1"/>
  <c r="O417" i="1"/>
  <c r="AF417" i="1" s="1"/>
  <c r="M418" i="1"/>
  <c r="AE418" i="1" s="1"/>
  <c r="O418" i="1"/>
  <c r="AF418" i="1" s="1"/>
  <c r="M419" i="1"/>
  <c r="AE419" i="1" s="1"/>
  <c r="O419" i="1"/>
  <c r="AF419" i="1" s="1"/>
  <c r="M420" i="1"/>
  <c r="AE420" i="1" s="1"/>
  <c r="O420" i="1"/>
  <c r="AF420" i="1" s="1"/>
  <c r="M421" i="1"/>
  <c r="AE421" i="1" s="1"/>
  <c r="O421" i="1"/>
  <c r="AF421" i="1" s="1"/>
  <c r="M422" i="1"/>
  <c r="AE422" i="1" s="1"/>
  <c r="O422" i="1"/>
  <c r="AF422" i="1" s="1"/>
  <c r="M423" i="1"/>
  <c r="AE423" i="1" s="1"/>
  <c r="O423" i="1"/>
  <c r="AF423" i="1" s="1"/>
  <c r="M424" i="1"/>
  <c r="AE424" i="1" s="1"/>
  <c r="O424" i="1"/>
  <c r="AF424" i="1" s="1"/>
  <c r="M425" i="1"/>
  <c r="AE425" i="1" s="1"/>
  <c r="O425" i="1"/>
  <c r="AF425" i="1" s="1"/>
  <c r="M426" i="1"/>
  <c r="AE426" i="1" s="1"/>
  <c r="O426" i="1"/>
  <c r="AF426" i="1" s="1"/>
  <c r="M427" i="1"/>
  <c r="AE427" i="1" s="1"/>
  <c r="O427" i="1"/>
  <c r="AF427" i="1" s="1"/>
  <c r="M428" i="1"/>
  <c r="AE428" i="1" s="1"/>
  <c r="O428" i="1"/>
  <c r="AF428" i="1" s="1"/>
  <c r="M429" i="1"/>
  <c r="AE429" i="1" s="1"/>
  <c r="O429" i="1"/>
  <c r="AF429" i="1" s="1"/>
  <c r="M430" i="1"/>
  <c r="AE430" i="1" s="1"/>
  <c r="O430" i="1"/>
  <c r="AF430" i="1" s="1"/>
  <c r="M431" i="1"/>
  <c r="AE431" i="1" s="1"/>
  <c r="O431" i="1"/>
  <c r="AF431" i="1" s="1"/>
  <c r="M432" i="1"/>
  <c r="AE432" i="1" s="1"/>
  <c r="O432" i="1"/>
  <c r="AF432" i="1" s="1"/>
  <c r="M433" i="1"/>
  <c r="AE433" i="1" s="1"/>
  <c r="O433" i="1"/>
  <c r="AF433" i="1" s="1"/>
  <c r="M434" i="1"/>
  <c r="AE434" i="1" s="1"/>
  <c r="O434" i="1"/>
  <c r="AF434" i="1" s="1"/>
  <c r="M435" i="1"/>
  <c r="AE435" i="1" s="1"/>
  <c r="O435" i="1"/>
  <c r="AF435" i="1" s="1"/>
  <c r="M437" i="1"/>
  <c r="AE437" i="1" s="1"/>
  <c r="O437" i="1"/>
  <c r="AF437" i="1" s="1"/>
  <c r="M438" i="1"/>
  <c r="AE438" i="1" s="1"/>
  <c r="O438" i="1"/>
  <c r="AF438" i="1" s="1"/>
  <c r="M440" i="1"/>
  <c r="AE440" i="1" s="1"/>
  <c r="O440" i="1"/>
  <c r="AF440" i="1" s="1"/>
  <c r="M441" i="1"/>
  <c r="AE441" i="1" s="1"/>
  <c r="O441" i="1"/>
  <c r="AF441" i="1" s="1"/>
  <c r="M442" i="1"/>
  <c r="AE442" i="1" s="1"/>
  <c r="O442" i="1"/>
  <c r="AF442" i="1" s="1"/>
  <c r="M443" i="1"/>
  <c r="AE443" i="1" s="1"/>
  <c r="O443" i="1"/>
  <c r="AF443" i="1" s="1"/>
  <c r="M444" i="1"/>
  <c r="AE444" i="1" s="1"/>
  <c r="O444" i="1"/>
  <c r="AF444" i="1" s="1"/>
  <c r="M445" i="1"/>
  <c r="AE445" i="1" s="1"/>
  <c r="O445" i="1"/>
  <c r="AF445" i="1" s="1"/>
  <c r="M446" i="1"/>
  <c r="AE446" i="1" s="1"/>
  <c r="O446" i="1"/>
  <c r="AF446" i="1" s="1"/>
  <c r="M447" i="1"/>
  <c r="AE447" i="1" s="1"/>
  <c r="O447" i="1"/>
  <c r="AF447" i="1" s="1"/>
  <c r="M448" i="1"/>
  <c r="AE448" i="1" s="1"/>
  <c r="O448" i="1"/>
  <c r="AF448" i="1" s="1"/>
  <c r="M449" i="1"/>
  <c r="AE449" i="1" s="1"/>
  <c r="O449" i="1"/>
  <c r="AF449" i="1" s="1"/>
  <c r="M450" i="1"/>
  <c r="AE450" i="1" s="1"/>
  <c r="O450" i="1"/>
  <c r="AF450" i="1" s="1"/>
  <c r="M451" i="1"/>
  <c r="AE451" i="1" s="1"/>
  <c r="O451" i="1"/>
  <c r="AF451" i="1" s="1"/>
  <c r="M452" i="1"/>
  <c r="AE452" i="1" s="1"/>
  <c r="O452" i="1"/>
  <c r="AF452" i="1" s="1"/>
  <c r="M453" i="1"/>
  <c r="AE453" i="1" s="1"/>
  <c r="O453" i="1"/>
  <c r="AF453" i="1" s="1"/>
  <c r="M454" i="1"/>
  <c r="AE454" i="1" s="1"/>
  <c r="O454" i="1"/>
  <c r="AF454" i="1" s="1"/>
  <c r="M455" i="1"/>
  <c r="AE455" i="1" s="1"/>
  <c r="O455" i="1"/>
  <c r="AF455" i="1" s="1"/>
  <c r="M457" i="1"/>
  <c r="AE457" i="1" s="1"/>
  <c r="O457" i="1"/>
  <c r="AF457" i="1" s="1"/>
  <c r="M458" i="1"/>
  <c r="AE458" i="1" s="1"/>
  <c r="O458" i="1"/>
  <c r="AF458" i="1" s="1"/>
  <c r="M459" i="1"/>
  <c r="AE459" i="1" s="1"/>
  <c r="O459" i="1"/>
  <c r="AF459" i="1" s="1"/>
  <c r="M460" i="1"/>
  <c r="AE460" i="1" s="1"/>
  <c r="O460" i="1"/>
  <c r="AF460" i="1" s="1"/>
  <c r="M461" i="1"/>
  <c r="AE461" i="1" s="1"/>
  <c r="O461" i="1"/>
  <c r="AF461" i="1" s="1"/>
  <c r="M462" i="1"/>
  <c r="AE462" i="1" s="1"/>
  <c r="O462" i="1"/>
  <c r="AF462" i="1" s="1"/>
  <c r="M463" i="1"/>
  <c r="AE463" i="1" s="1"/>
  <c r="O463" i="1"/>
  <c r="AF463" i="1" s="1"/>
  <c r="M464" i="1"/>
  <c r="AE464" i="1" s="1"/>
  <c r="O464" i="1"/>
  <c r="AF464" i="1" s="1"/>
  <c r="M465" i="1"/>
  <c r="AE465" i="1" s="1"/>
  <c r="O465" i="1"/>
  <c r="AF465" i="1" s="1"/>
  <c r="M466" i="1"/>
  <c r="AE466" i="1" s="1"/>
  <c r="O466" i="1"/>
  <c r="AF466" i="1" s="1"/>
  <c r="M467" i="1"/>
  <c r="AE467" i="1" s="1"/>
  <c r="O467" i="1"/>
  <c r="AF467" i="1" s="1"/>
  <c r="M468" i="1"/>
  <c r="AE468" i="1" s="1"/>
  <c r="O468" i="1"/>
  <c r="AF468" i="1" s="1"/>
  <c r="M470" i="1"/>
  <c r="AE470" i="1" s="1"/>
  <c r="O470" i="1"/>
  <c r="AF470" i="1" s="1"/>
  <c r="M471" i="1"/>
  <c r="AE471" i="1" s="1"/>
  <c r="O471" i="1"/>
  <c r="AF471" i="1" s="1"/>
  <c r="M472" i="1"/>
  <c r="AE472" i="1" s="1"/>
  <c r="O472" i="1"/>
  <c r="AF472" i="1" s="1"/>
  <c r="M473" i="1"/>
  <c r="AE473" i="1" s="1"/>
  <c r="O473" i="1"/>
  <c r="AF473" i="1" s="1"/>
  <c r="M474" i="1"/>
  <c r="AE474" i="1" s="1"/>
  <c r="O474" i="1"/>
  <c r="AF474" i="1" s="1"/>
  <c r="M475" i="1"/>
  <c r="AE475" i="1" s="1"/>
  <c r="O475" i="1"/>
  <c r="AF475" i="1" s="1"/>
  <c r="M476" i="1"/>
  <c r="AE476" i="1" s="1"/>
  <c r="O476" i="1"/>
  <c r="AF476" i="1" s="1"/>
  <c r="M477" i="1"/>
  <c r="AE477" i="1" s="1"/>
  <c r="O477" i="1"/>
  <c r="AF477" i="1" s="1"/>
  <c r="M478" i="1"/>
  <c r="AE478" i="1" s="1"/>
  <c r="O478" i="1"/>
  <c r="AF478" i="1" s="1"/>
  <c r="M479" i="1"/>
  <c r="AE479" i="1" s="1"/>
  <c r="O479" i="1"/>
  <c r="AF479" i="1" s="1"/>
  <c r="M480" i="1"/>
  <c r="AE480" i="1" s="1"/>
  <c r="O480" i="1"/>
  <c r="AF480" i="1" s="1"/>
  <c r="M481" i="1"/>
  <c r="AE481" i="1" s="1"/>
  <c r="O481" i="1"/>
  <c r="AF481" i="1" s="1"/>
  <c r="M482" i="1"/>
  <c r="AE482" i="1" s="1"/>
  <c r="O482" i="1"/>
  <c r="AF482" i="1" s="1"/>
  <c r="M483" i="1"/>
  <c r="AE483" i="1" s="1"/>
  <c r="O483" i="1"/>
  <c r="AF483" i="1" s="1"/>
  <c r="M484" i="1"/>
  <c r="AE484" i="1" s="1"/>
  <c r="O484" i="1"/>
  <c r="AF484" i="1" s="1"/>
  <c r="M485" i="1"/>
  <c r="AE485" i="1" s="1"/>
  <c r="O485" i="1"/>
  <c r="AF485" i="1" s="1"/>
  <c r="M486" i="1"/>
  <c r="AE486" i="1" s="1"/>
  <c r="O486" i="1"/>
  <c r="AF486" i="1" s="1"/>
  <c r="M487" i="1"/>
  <c r="AE487" i="1" s="1"/>
  <c r="O487" i="1"/>
  <c r="AF487" i="1" s="1"/>
  <c r="M488" i="1"/>
  <c r="AE488" i="1" s="1"/>
  <c r="O488" i="1"/>
  <c r="AF488" i="1" s="1"/>
  <c r="M489" i="1"/>
  <c r="AE489" i="1" s="1"/>
  <c r="O489" i="1"/>
  <c r="AF489" i="1" s="1"/>
  <c r="M490" i="1"/>
  <c r="AE490" i="1" s="1"/>
  <c r="O490" i="1"/>
  <c r="AF490" i="1" s="1"/>
  <c r="M491" i="1"/>
  <c r="AE491" i="1" s="1"/>
  <c r="O491" i="1"/>
  <c r="AF491" i="1" s="1"/>
  <c r="M492" i="1"/>
  <c r="AE492" i="1" s="1"/>
  <c r="O492" i="1"/>
  <c r="AF492" i="1" s="1"/>
  <c r="M493" i="1"/>
  <c r="AE493" i="1" s="1"/>
  <c r="O493" i="1"/>
  <c r="AF493" i="1" s="1"/>
  <c r="M494" i="1"/>
  <c r="AE494" i="1" s="1"/>
  <c r="O494" i="1"/>
  <c r="AF494" i="1" s="1"/>
  <c r="M495" i="1"/>
  <c r="AE495" i="1" s="1"/>
  <c r="O495" i="1"/>
  <c r="AF495" i="1" s="1"/>
  <c r="M496" i="1"/>
  <c r="AE496" i="1" s="1"/>
  <c r="O496" i="1"/>
  <c r="AF496" i="1" s="1"/>
  <c r="M497" i="1"/>
  <c r="AE497" i="1" s="1"/>
  <c r="O497" i="1"/>
  <c r="AF497" i="1" s="1"/>
  <c r="M498" i="1"/>
  <c r="AE498" i="1" s="1"/>
  <c r="O498" i="1"/>
  <c r="AF498" i="1" s="1"/>
  <c r="M499" i="1"/>
  <c r="AE499" i="1" s="1"/>
  <c r="O499" i="1"/>
  <c r="AF499" i="1" s="1"/>
  <c r="M500" i="1"/>
  <c r="AE500" i="1" s="1"/>
  <c r="O500" i="1"/>
  <c r="AF500" i="1" s="1"/>
  <c r="M501" i="1"/>
  <c r="AE501" i="1" s="1"/>
  <c r="O501" i="1"/>
  <c r="AF501" i="1" s="1"/>
  <c r="M502" i="1"/>
  <c r="AE502" i="1" s="1"/>
  <c r="O502" i="1"/>
  <c r="AF502" i="1" s="1"/>
  <c r="M503" i="1"/>
  <c r="AE503" i="1" s="1"/>
  <c r="O503" i="1"/>
  <c r="AF503" i="1" s="1"/>
  <c r="M504" i="1"/>
  <c r="AE504" i="1" s="1"/>
  <c r="O504" i="1"/>
  <c r="AF504" i="1" s="1"/>
  <c r="M505" i="1"/>
  <c r="AE505" i="1" s="1"/>
  <c r="O505" i="1"/>
  <c r="AF505" i="1" s="1"/>
  <c r="M506" i="1"/>
  <c r="AE506" i="1" s="1"/>
  <c r="O506" i="1"/>
  <c r="AF506" i="1" s="1"/>
  <c r="M507" i="1"/>
  <c r="AE507" i="1" s="1"/>
  <c r="O507" i="1"/>
  <c r="AF507" i="1" s="1"/>
  <c r="M508" i="1"/>
  <c r="AE508" i="1" s="1"/>
  <c r="O508" i="1"/>
  <c r="AF508" i="1" s="1"/>
  <c r="M509" i="1"/>
  <c r="AE509" i="1" s="1"/>
  <c r="O509" i="1"/>
  <c r="AF509" i="1" s="1"/>
  <c r="M510" i="1"/>
  <c r="AE510" i="1" s="1"/>
  <c r="O510" i="1"/>
  <c r="AF510" i="1" s="1"/>
  <c r="M511" i="1"/>
  <c r="AE511" i="1" s="1"/>
  <c r="O511" i="1"/>
  <c r="AF511" i="1" s="1"/>
  <c r="M512" i="1"/>
  <c r="AE512" i="1" s="1"/>
  <c r="O512" i="1"/>
  <c r="AF512" i="1" s="1"/>
  <c r="M513" i="1"/>
  <c r="AE513" i="1" s="1"/>
  <c r="O513" i="1"/>
  <c r="AF513" i="1" s="1"/>
  <c r="M514" i="1"/>
  <c r="AE514" i="1" s="1"/>
  <c r="O514" i="1"/>
  <c r="AF514" i="1" s="1"/>
  <c r="M515" i="1"/>
  <c r="AE515" i="1" s="1"/>
  <c r="O515" i="1"/>
  <c r="AF515" i="1" s="1"/>
  <c r="M516" i="1"/>
  <c r="AE516" i="1" s="1"/>
  <c r="O516" i="1"/>
  <c r="AF516" i="1" s="1"/>
  <c r="M517" i="1"/>
  <c r="AE517" i="1" s="1"/>
  <c r="O517" i="1"/>
  <c r="AF517" i="1" s="1"/>
  <c r="M518" i="1"/>
  <c r="AE518" i="1" s="1"/>
  <c r="O518" i="1"/>
  <c r="AF518" i="1" s="1"/>
  <c r="M519" i="1"/>
  <c r="AE519" i="1" s="1"/>
  <c r="O519" i="1"/>
  <c r="AF519" i="1" s="1"/>
  <c r="M520" i="1"/>
  <c r="AE520" i="1" s="1"/>
  <c r="O520" i="1"/>
  <c r="AF520" i="1" s="1"/>
  <c r="M521" i="1"/>
  <c r="AE521" i="1" s="1"/>
  <c r="O521" i="1"/>
  <c r="AF521" i="1" s="1"/>
  <c r="M522" i="1"/>
  <c r="AE522" i="1" s="1"/>
  <c r="O522" i="1"/>
  <c r="AF522" i="1" s="1"/>
  <c r="M523" i="1"/>
  <c r="AE523" i="1" s="1"/>
  <c r="O523" i="1"/>
  <c r="AF523" i="1" s="1"/>
  <c r="M524" i="1"/>
  <c r="AE524" i="1" s="1"/>
  <c r="O524" i="1"/>
  <c r="AF524" i="1" s="1"/>
  <c r="M525" i="1"/>
  <c r="AE525" i="1" s="1"/>
  <c r="O525" i="1"/>
  <c r="AF525" i="1" s="1"/>
  <c r="M526" i="1"/>
  <c r="AE526" i="1" s="1"/>
  <c r="O526" i="1"/>
  <c r="AF526" i="1" s="1"/>
  <c r="M527" i="1"/>
  <c r="AE527" i="1" s="1"/>
  <c r="O527" i="1"/>
  <c r="AF527" i="1" s="1"/>
  <c r="M528" i="1"/>
  <c r="AE528" i="1" s="1"/>
  <c r="O528" i="1"/>
  <c r="AF528" i="1" s="1"/>
  <c r="M529" i="1"/>
  <c r="AE529" i="1" s="1"/>
  <c r="O529" i="1"/>
  <c r="AF529" i="1" s="1"/>
  <c r="M530" i="1"/>
  <c r="AE530" i="1" s="1"/>
  <c r="O530" i="1"/>
  <c r="AF530" i="1" s="1"/>
  <c r="M531" i="1"/>
  <c r="AE531" i="1" s="1"/>
  <c r="O531" i="1"/>
  <c r="AF531" i="1" s="1"/>
  <c r="M532" i="1"/>
  <c r="AE532" i="1" s="1"/>
  <c r="O532" i="1"/>
  <c r="AF532" i="1" s="1"/>
  <c r="M533" i="1"/>
  <c r="AE533" i="1" s="1"/>
  <c r="O533" i="1"/>
  <c r="AF533" i="1" s="1"/>
  <c r="M534" i="1"/>
  <c r="AE534" i="1" s="1"/>
  <c r="O534" i="1"/>
  <c r="AF534" i="1" s="1"/>
  <c r="M535" i="1"/>
  <c r="AE535" i="1" s="1"/>
  <c r="O535" i="1"/>
  <c r="AF535" i="1" s="1"/>
  <c r="M536" i="1"/>
  <c r="AE536" i="1" s="1"/>
  <c r="O536" i="1"/>
  <c r="AF536" i="1" s="1"/>
  <c r="M537" i="1"/>
  <c r="AE537" i="1" s="1"/>
  <c r="O537" i="1"/>
  <c r="AF537" i="1" s="1"/>
  <c r="M538" i="1"/>
  <c r="AE538" i="1" s="1"/>
  <c r="O538" i="1"/>
  <c r="AF538" i="1" s="1"/>
  <c r="M539" i="1"/>
  <c r="AE539" i="1" s="1"/>
  <c r="O539" i="1"/>
  <c r="AF539" i="1" s="1"/>
  <c r="M540" i="1"/>
  <c r="AE540" i="1" s="1"/>
  <c r="O540" i="1"/>
  <c r="AF540" i="1" s="1"/>
  <c r="M541" i="1"/>
  <c r="AE541" i="1" s="1"/>
  <c r="O541" i="1"/>
  <c r="AF541" i="1" s="1"/>
  <c r="M542" i="1"/>
  <c r="AE542" i="1" s="1"/>
  <c r="O542" i="1"/>
  <c r="AF542" i="1" s="1"/>
  <c r="M543" i="1"/>
  <c r="AE543" i="1" s="1"/>
  <c r="O543" i="1"/>
  <c r="AF543" i="1" s="1"/>
  <c r="M544" i="1"/>
  <c r="AE544" i="1" s="1"/>
  <c r="O544" i="1"/>
  <c r="AF544" i="1" s="1"/>
  <c r="M545" i="1"/>
  <c r="AE545" i="1" s="1"/>
  <c r="O545" i="1"/>
  <c r="AF545" i="1" s="1"/>
  <c r="M546" i="1"/>
  <c r="AE546" i="1" s="1"/>
  <c r="O546" i="1"/>
  <c r="AF546" i="1" s="1"/>
  <c r="M547" i="1"/>
  <c r="AE547" i="1" s="1"/>
  <c r="O547" i="1"/>
  <c r="AF547" i="1" s="1"/>
  <c r="M548" i="1"/>
  <c r="AE548" i="1" s="1"/>
  <c r="O548" i="1"/>
  <c r="AF548" i="1" s="1"/>
  <c r="M549" i="1"/>
  <c r="AE549" i="1" s="1"/>
  <c r="O549" i="1"/>
  <c r="AF549" i="1" s="1"/>
  <c r="M550" i="1"/>
  <c r="AE550" i="1" s="1"/>
  <c r="O550" i="1"/>
  <c r="AF550" i="1" s="1"/>
  <c r="M551" i="1"/>
  <c r="AE551" i="1" s="1"/>
  <c r="O551" i="1"/>
  <c r="AF551" i="1" s="1"/>
  <c r="M552" i="1"/>
  <c r="AE552" i="1" s="1"/>
  <c r="O552" i="1"/>
  <c r="AF552" i="1" s="1"/>
  <c r="M553" i="1"/>
  <c r="AE553" i="1" s="1"/>
  <c r="O553" i="1"/>
  <c r="AF553" i="1" s="1"/>
  <c r="M554" i="1"/>
  <c r="AE554" i="1" s="1"/>
  <c r="O554" i="1"/>
  <c r="AF554" i="1" s="1"/>
  <c r="M555" i="1"/>
  <c r="AE555" i="1" s="1"/>
  <c r="O555" i="1"/>
  <c r="AF555" i="1" s="1"/>
  <c r="M556" i="1"/>
  <c r="AE556" i="1" s="1"/>
  <c r="O556" i="1"/>
  <c r="AF556" i="1" s="1"/>
  <c r="M557" i="1"/>
  <c r="AE557" i="1" s="1"/>
  <c r="O557" i="1"/>
  <c r="AF557" i="1" s="1"/>
  <c r="M558" i="1"/>
  <c r="AE558" i="1" s="1"/>
  <c r="O558" i="1"/>
  <c r="AF558" i="1" s="1"/>
  <c r="M559" i="1"/>
  <c r="AE559" i="1" s="1"/>
  <c r="O559" i="1"/>
  <c r="AF559" i="1" s="1"/>
  <c r="M560" i="1"/>
  <c r="AE560" i="1" s="1"/>
  <c r="O560" i="1"/>
  <c r="AF560" i="1" s="1"/>
  <c r="M561" i="1"/>
  <c r="AE561" i="1" s="1"/>
  <c r="O561" i="1"/>
  <c r="AF561" i="1" s="1"/>
  <c r="M562" i="1"/>
  <c r="AE562" i="1" s="1"/>
  <c r="O562" i="1"/>
  <c r="AF562" i="1" s="1"/>
  <c r="M563" i="1"/>
  <c r="AE563" i="1" s="1"/>
  <c r="O563" i="1"/>
  <c r="AF563" i="1" s="1"/>
  <c r="M564" i="1"/>
  <c r="AE564" i="1" s="1"/>
  <c r="O564" i="1"/>
  <c r="AF564" i="1" s="1"/>
  <c r="M565" i="1"/>
  <c r="AE565" i="1" s="1"/>
  <c r="O565" i="1"/>
  <c r="AF565" i="1" s="1"/>
  <c r="M566" i="1"/>
  <c r="AE566" i="1" s="1"/>
  <c r="O566" i="1"/>
  <c r="AF566" i="1" s="1"/>
  <c r="M567" i="1"/>
  <c r="AE567" i="1" s="1"/>
  <c r="O567" i="1"/>
  <c r="AF567" i="1" s="1"/>
  <c r="M568" i="1"/>
  <c r="AE568" i="1" s="1"/>
  <c r="O568" i="1"/>
  <c r="AF568" i="1" s="1"/>
  <c r="M569" i="1"/>
  <c r="AE569" i="1" s="1"/>
  <c r="O569" i="1"/>
  <c r="AF569" i="1" s="1"/>
  <c r="M570" i="1"/>
  <c r="AE570" i="1" s="1"/>
  <c r="O570" i="1"/>
  <c r="AF570" i="1" s="1"/>
  <c r="M571" i="1"/>
  <c r="AE571" i="1" s="1"/>
  <c r="O571" i="1"/>
  <c r="AF571" i="1" s="1"/>
  <c r="M572" i="1"/>
  <c r="AE572" i="1" s="1"/>
  <c r="O572" i="1"/>
  <c r="AF572" i="1" s="1"/>
  <c r="M573" i="1"/>
  <c r="AE573" i="1" s="1"/>
  <c r="O573" i="1"/>
  <c r="AF573" i="1" s="1"/>
  <c r="M574" i="1"/>
  <c r="AE574" i="1" s="1"/>
  <c r="O574" i="1"/>
  <c r="AF574" i="1" s="1"/>
  <c r="M575" i="1"/>
  <c r="AE575" i="1" s="1"/>
  <c r="O575" i="1"/>
  <c r="AF575" i="1" s="1"/>
  <c r="M576" i="1"/>
  <c r="AE576" i="1" s="1"/>
  <c r="O576" i="1"/>
  <c r="AF576" i="1" s="1"/>
  <c r="M577" i="1"/>
  <c r="AE577" i="1" s="1"/>
  <c r="O577" i="1"/>
  <c r="AF577" i="1" s="1"/>
  <c r="M578" i="1"/>
  <c r="AE578" i="1" s="1"/>
  <c r="O578" i="1"/>
  <c r="AF578" i="1" s="1"/>
  <c r="M579" i="1"/>
  <c r="AE579" i="1" s="1"/>
  <c r="O579" i="1"/>
  <c r="AF579" i="1" s="1"/>
  <c r="M580" i="1"/>
  <c r="AE580" i="1" s="1"/>
  <c r="O580" i="1"/>
  <c r="AF580" i="1" s="1"/>
  <c r="M581" i="1"/>
  <c r="AE581" i="1" s="1"/>
  <c r="O581" i="1"/>
  <c r="AF581" i="1" s="1"/>
  <c r="M582" i="1"/>
  <c r="AE582" i="1" s="1"/>
  <c r="O582" i="1"/>
  <c r="AF582" i="1" s="1"/>
  <c r="M583" i="1"/>
  <c r="AE583" i="1" s="1"/>
  <c r="O583" i="1"/>
  <c r="AF583" i="1" s="1"/>
  <c r="M584" i="1"/>
  <c r="AE584" i="1" s="1"/>
  <c r="O584" i="1"/>
  <c r="AF584" i="1" s="1"/>
  <c r="M585" i="1"/>
  <c r="AE585" i="1" s="1"/>
  <c r="O585" i="1"/>
  <c r="AF585" i="1" s="1"/>
  <c r="M586" i="1"/>
  <c r="AE586" i="1" s="1"/>
  <c r="O586" i="1"/>
  <c r="AF586" i="1" s="1"/>
  <c r="M587" i="1"/>
  <c r="AE587" i="1" s="1"/>
  <c r="O587" i="1"/>
  <c r="AF587" i="1" s="1"/>
  <c r="M588" i="1"/>
  <c r="AE588" i="1" s="1"/>
  <c r="O588" i="1"/>
  <c r="AF588" i="1" s="1"/>
  <c r="M589" i="1"/>
  <c r="AE589" i="1" s="1"/>
  <c r="O589" i="1"/>
  <c r="AF589" i="1" s="1"/>
  <c r="M590" i="1"/>
  <c r="AE590" i="1" s="1"/>
  <c r="O590" i="1"/>
  <c r="AF590" i="1" s="1"/>
  <c r="M591" i="1"/>
  <c r="AE591" i="1" s="1"/>
  <c r="O591" i="1"/>
  <c r="AF591" i="1" s="1"/>
  <c r="M592" i="1"/>
  <c r="AE592" i="1" s="1"/>
  <c r="O592" i="1"/>
  <c r="AF592" i="1" s="1"/>
  <c r="M593" i="1"/>
  <c r="AE593" i="1" s="1"/>
  <c r="O593" i="1"/>
  <c r="AF593" i="1" s="1"/>
  <c r="M594" i="1"/>
  <c r="AE594" i="1" s="1"/>
  <c r="O594" i="1"/>
  <c r="AF594" i="1" s="1"/>
  <c r="M595" i="1"/>
  <c r="AE595" i="1" s="1"/>
  <c r="O595" i="1"/>
  <c r="AF595" i="1" s="1"/>
  <c r="M596" i="1"/>
  <c r="AE596" i="1" s="1"/>
  <c r="O596" i="1"/>
  <c r="AF596" i="1" s="1"/>
  <c r="M597" i="1"/>
  <c r="AE597" i="1" s="1"/>
  <c r="O597" i="1"/>
  <c r="AF597" i="1" s="1"/>
  <c r="M598" i="1"/>
  <c r="AE598" i="1" s="1"/>
  <c r="O598" i="1"/>
  <c r="AF598" i="1" s="1"/>
  <c r="M599" i="1"/>
  <c r="AE599" i="1" s="1"/>
  <c r="O599" i="1"/>
  <c r="AF599" i="1" s="1"/>
  <c r="M600" i="1"/>
  <c r="AE600" i="1" s="1"/>
  <c r="O600" i="1"/>
  <c r="AF600" i="1" s="1"/>
  <c r="M601" i="1"/>
  <c r="AE601" i="1" s="1"/>
  <c r="O601" i="1"/>
  <c r="AF601" i="1" s="1"/>
  <c r="M602" i="1"/>
  <c r="AE602" i="1" s="1"/>
  <c r="O602" i="1"/>
  <c r="AF602" i="1" s="1"/>
  <c r="M603" i="1"/>
  <c r="AE603" i="1" s="1"/>
  <c r="O603" i="1"/>
  <c r="AF603" i="1" s="1"/>
  <c r="M604" i="1"/>
  <c r="AE604" i="1" s="1"/>
  <c r="O604" i="1"/>
  <c r="AF604" i="1" s="1"/>
  <c r="M605" i="1"/>
  <c r="AE605" i="1" s="1"/>
  <c r="O605" i="1"/>
  <c r="AF605" i="1" s="1"/>
  <c r="M606" i="1"/>
  <c r="AE606" i="1" s="1"/>
  <c r="O606" i="1"/>
  <c r="AF606" i="1" s="1"/>
  <c r="M607" i="1"/>
  <c r="AE607" i="1" s="1"/>
  <c r="O607" i="1"/>
  <c r="AF607" i="1" s="1"/>
  <c r="M608" i="1"/>
  <c r="AE608" i="1" s="1"/>
  <c r="O608" i="1"/>
  <c r="AF608" i="1" s="1"/>
  <c r="M609" i="1"/>
  <c r="AE609" i="1" s="1"/>
  <c r="O609" i="1"/>
  <c r="AF609" i="1" s="1"/>
  <c r="M610" i="1"/>
  <c r="AE610" i="1" s="1"/>
  <c r="O610" i="1"/>
  <c r="AF610" i="1" s="1"/>
  <c r="M611" i="1"/>
  <c r="AE611" i="1" s="1"/>
  <c r="O611" i="1"/>
  <c r="AF611" i="1" s="1"/>
  <c r="M612" i="1"/>
  <c r="AE612" i="1" s="1"/>
  <c r="O612" i="1"/>
  <c r="AF612" i="1" s="1"/>
  <c r="M613" i="1"/>
  <c r="AE613" i="1" s="1"/>
  <c r="O613" i="1"/>
  <c r="AF613" i="1" s="1"/>
  <c r="M614" i="1"/>
  <c r="AE614" i="1" s="1"/>
  <c r="O614" i="1"/>
  <c r="AF614" i="1" s="1"/>
  <c r="M615" i="1"/>
  <c r="AE615" i="1" s="1"/>
  <c r="O615" i="1"/>
  <c r="AF615" i="1" s="1"/>
  <c r="M616" i="1"/>
  <c r="AE616" i="1" s="1"/>
  <c r="O616" i="1"/>
  <c r="AF616" i="1" s="1"/>
  <c r="M617" i="1"/>
  <c r="AE617" i="1" s="1"/>
  <c r="O617" i="1"/>
  <c r="AF617" i="1" s="1"/>
  <c r="M618" i="1"/>
  <c r="AE618" i="1" s="1"/>
  <c r="O618" i="1"/>
  <c r="AF618" i="1" s="1"/>
  <c r="M619" i="1"/>
  <c r="AE619" i="1" s="1"/>
  <c r="O619" i="1"/>
  <c r="AF619" i="1" s="1"/>
  <c r="M620" i="1"/>
  <c r="AE620" i="1" s="1"/>
  <c r="O620" i="1"/>
  <c r="AF620" i="1" s="1"/>
  <c r="M621" i="1"/>
  <c r="AE621" i="1" s="1"/>
  <c r="O621" i="1"/>
  <c r="AF621" i="1" s="1"/>
  <c r="M622" i="1"/>
  <c r="AE622" i="1" s="1"/>
  <c r="O622" i="1"/>
  <c r="AF622" i="1" s="1"/>
  <c r="M623" i="1"/>
  <c r="AE623" i="1" s="1"/>
  <c r="O623" i="1"/>
  <c r="AF623" i="1" s="1"/>
  <c r="M624" i="1"/>
  <c r="AE624" i="1" s="1"/>
  <c r="O624" i="1"/>
  <c r="AF624" i="1" s="1"/>
  <c r="M625" i="1"/>
  <c r="AE625" i="1" s="1"/>
  <c r="O625" i="1"/>
  <c r="AF625" i="1" s="1"/>
  <c r="M626" i="1"/>
  <c r="AE626" i="1" s="1"/>
  <c r="O626" i="1"/>
  <c r="AF626" i="1" s="1"/>
  <c r="M627" i="1"/>
  <c r="AE627" i="1" s="1"/>
  <c r="O627" i="1"/>
  <c r="AF627" i="1" s="1"/>
  <c r="M628" i="1"/>
  <c r="AE628" i="1" s="1"/>
  <c r="O628" i="1"/>
  <c r="AF628" i="1" s="1"/>
  <c r="M629" i="1"/>
  <c r="AE629" i="1" s="1"/>
  <c r="O629" i="1"/>
  <c r="AF629" i="1" s="1"/>
  <c r="M630" i="1"/>
  <c r="AE630" i="1" s="1"/>
  <c r="O630" i="1"/>
  <c r="AF630" i="1" s="1"/>
  <c r="M631" i="1"/>
  <c r="AE631" i="1" s="1"/>
  <c r="O631" i="1"/>
  <c r="AF631" i="1" s="1"/>
  <c r="M632" i="1"/>
  <c r="AE632" i="1" s="1"/>
  <c r="O632" i="1"/>
  <c r="AF632" i="1" s="1"/>
  <c r="M633" i="1"/>
  <c r="AE633" i="1" s="1"/>
  <c r="O633" i="1"/>
  <c r="AF633" i="1" s="1"/>
  <c r="M634" i="1"/>
  <c r="AE634" i="1" s="1"/>
  <c r="O634" i="1"/>
  <c r="AF634" i="1" s="1"/>
  <c r="M635" i="1"/>
  <c r="AE635" i="1" s="1"/>
  <c r="O635" i="1"/>
  <c r="AF635" i="1" s="1"/>
  <c r="M636" i="1"/>
  <c r="AE636" i="1" s="1"/>
  <c r="O636" i="1"/>
  <c r="AF636" i="1" s="1"/>
  <c r="M637" i="1"/>
  <c r="AE637" i="1" s="1"/>
  <c r="O637" i="1"/>
  <c r="AF637" i="1" s="1"/>
  <c r="M638" i="1"/>
  <c r="AE638" i="1" s="1"/>
  <c r="O638" i="1"/>
  <c r="AF638" i="1" s="1"/>
  <c r="M639" i="1"/>
  <c r="AE639" i="1" s="1"/>
  <c r="O639" i="1"/>
  <c r="AF639" i="1" s="1"/>
  <c r="M640" i="1"/>
  <c r="AE640" i="1" s="1"/>
  <c r="O640" i="1"/>
  <c r="AF640" i="1" s="1"/>
  <c r="M641" i="1"/>
  <c r="AE641" i="1" s="1"/>
  <c r="O641" i="1"/>
  <c r="AF641" i="1" s="1"/>
  <c r="M642" i="1"/>
  <c r="AE642" i="1" s="1"/>
  <c r="O642" i="1"/>
  <c r="AF642" i="1" s="1"/>
  <c r="M643" i="1"/>
  <c r="AE643" i="1" s="1"/>
  <c r="O643" i="1"/>
  <c r="AF643" i="1" s="1"/>
  <c r="M644" i="1"/>
  <c r="AE644" i="1" s="1"/>
  <c r="O644" i="1"/>
  <c r="AF644" i="1" s="1"/>
  <c r="M645" i="1"/>
  <c r="AE645" i="1" s="1"/>
  <c r="O645" i="1"/>
  <c r="AF645" i="1" s="1"/>
  <c r="M646" i="1"/>
  <c r="AE646" i="1" s="1"/>
  <c r="O646" i="1"/>
  <c r="AF646" i="1" s="1"/>
  <c r="M647" i="1"/>
  <c r="AE647" i="1" s="1"/>
  <c r="O647" i="1"/>
  <c r="AF647" i="1" s="1"/>
  <c r="M648" i="1"/>
  <c r="AE648" i="1" s="1"/>
  <c r="O648" i="1"/>
  <c r="AF648" i="1" s="1"/>
  <c r="M649" i="1"/>
  <c r="AE649" i="1" s="1"/>
  <c r="O649" i="1"/>
  <c r="AF649" i="1" s="1"/>
  <c r="M650" i="1"/>
  <c r="AE650" i="1" s="1"/>
  <c r="O650" i="1"/>
  <c r="AF650" i="1" s="1"/>
  <c r="M651" i="1"/>
  <c r="AE651" i="1" s="1"/>
  <c r="O651" i="1"/>
  <c r="AF651" i="1" s="1"/>
  <c r="M652" i="1"/>
  <c r="AE652" i="1" s="1"/>
  <c r="O652" i="1"/>
  <c r="AF652" i="1" s="1"/>
  <c r="M653" i="1"/>
  <c r="AE653" i="1" s="1"/>
  <c r="O653" i="1"/>
  <c r="AF653" i="1" s="1"/>
  <c r="M654" i="1"/>
  <c r="AE654" i="1" s="1"/>
  <c r="O654" i="1"/>
  <c r="AF654" i="1" s="1"/>
  <c r="M655" i="1"/>
  <c r="AE655" i="1" s="1"/>
  <c r="O655" i="1"/>
  <c r="AF655" i="1" s="1"/>
  <c r="M656" i="1"/>
  <c r="AE656" i="1" s="1"/>
  <c r="O656" i="1"/>
  <c r="AF656" i="1" s="1"/>
  <c r="M657" i="1"/>
  <c r="AE657" i="1" s="1"/>
  <c r="O657" i="1"/>
  <c r="AF657" i="1" s="1"/>
  <c r="M658" i="1"/>
  <c r="AE658" i="1" s="1"/>
  <c r="O658" i="1"/>
  <c r="AF658" i="1" s="1"/>
  <c r="M659" i="1"/>
  <c r="AE659" i="1" s="1"/>
  <c r="O659" i="1"/>
  <c r="AF659" i="1" s="1"/>
  <c r="M660" i="1"/>
  <c r="AE660" i="1" s="1"/>
  <c r="O660" i="1"/>
  <c r="AF660" i="1" s="1"/>
  <c r="M661" i="1"/>
  <c r="AE661" i="1" s="1"/>
  <c r="O661" i="1"/>
  <c r="AF661" i="1" s="1"/>
  <c r="M662" i="1"/>
  <c r="AE662" i="1" s="1"/>
  <c r="O662" i="1"/>
  <c r="AF662" i="1" s="1"/>
  <c r="M663" i="1"/>
  <c r="AE663" i="1" s="1"/>
  <c r="O663" i="1"/>
  <c r="AF663" i="1" s="1"/>
  <c r="M664" i="1"/>
  <c r="AE664" i="1" s="1"/>
  <c r="O664" i="1"/>
  <c r="AF664" i="1" s="1"/>
  <c r="M665" i="1"/>
  <c r="AE665" i="1" s="1"/>
  <c r="O665" i="1"/>
  <c r="AF665" i="1" s="1"/>
  <c r="M666" i="1"/>
  <c r="AE666" i="1" s="1"/>
  <c r="O666" i="1"/>
  <c r="AF666" i="1" s="1"/>
  <c r="M667" i="1"/>
  <c r="AE667" i="1" s="1"/>
  <c r="O667" i="1"/>
  <c r="AF667" i="1" s="1"/>
  <c r="M668" i="1"/>
  <c r="AE668" i="1" s="1"/>
  <c r="O668" i="1"/>
  <c r="AF668" i="1" s="1"/>
  <c r="M669" i="1"/>
  <c r="AE669" i="1" s="1"/>
  <c r="O669" i="1"/>
  <c r="AF669" i="1" s="1"/>
  <c r="M670" i="1"/>
  <c r="AE670" i="1" s="1"/>
  <c r="O670" i="1"/>
  <c r="AF670" i="1" s="1"/>
  <c r="M671" i="1"/>
  <c r="AE671" i="1" s="1"/>
  <c r="O671" i="1"/>
  <c r="AF671" i="1" s="1"/>
  <c r="M672" i="1"/>
  <c r="AE672" i="1" s="1"/>
  <c r="O672" i="1"/>
  <c r="AF672" i="1" s="1"/>
  <c r="M673" i="1"/>
  <c r="AE673" i="1" s="1"/>
  <c r="O673" i="1"/>
  <c r="AF673" i="1" s="1"/>
  <c r="M674" i="1"/>
  <c r="AE674" i="1" s="1"/>
  <c r="O674" i="1"/>
  <c r="AF674" i="1" s="1"/>
  <c r="M675" i="1"/>
  <c r="AE675" i="1" s="1"/>
  <c r="O675" i="1"/>
  <c r="AF675" i="1" s="1"/>
  <c r="M676" i="1"/>
  <c r="AE676" i="1" s="1"/>
  <c r="O676" i="1"/>
  <c r="AF676" i="1" s="1"/>
  <c r="M677" i="1"/>
  <c r="AE677" i="1" s="1"/>
  <c r="O677" i="1"/>
  <c r="AF677" i="1" s="1"/>
  <c r="M678" i="1"/>
  <c r="AE678" i="1" s="1"/>
  <c r="O678" i="1"/>
  <c r="AF678" i="1" s="1"/>
  <c r="M679" i="1"/>
  <c r="AE679" i="1" s="1"/>
  <c r="O679" i="1"/>
  <c r="AF679" i="1" s="1"/>
  <c r="M680" i="1"/>
  <c r="AE680" i="1" s="1"/>
  <c r="O680" i="1"/>
  <c r="AF680" i="1" s="1"/>
  <c r="M681" i="1"/>
  <c r="AE681" i="1" s="1"/>
  <c r="O681" i="1"/>
  <c r="AF681" i="1" s="1"/>
  <c r="M682" i="1"/>
  <c r="AE682" i="1" s="1"/>
  <c r="O682" i="1"/>
  <c r="AF682" i="1" s="1"/>
  <c r="M683" i="1"/>
  <c r="AE683" i="1" s="1"/>
  <c r="O683" i="1"/>
  <c r="AF683" i="1" s="1"/>
  <c r="M684" i="1"/>
  <c r="AE684" i="1" s="1"/>
  <c r="O684" i="1"/>
  <c r="AF684" i="1" s="1"/>
  <c r="M685" i="1"/>
  <c r="AE685" i="1" s="1"/>
  <c r="O685" i="1"/>
  <c r="AF685" i="1" s="1"/>
  <c r="M686" i="1"/>
  <c r="AE686" i="1" s="1"/>
  <c r="O686" i="1"/>
  <c r="AF686" i="1" s="1"/>
  <c r="M688" i="1"/>
  <c r="AE688" i="1" s="1"/>
  <c r="O688" i="1"/>
  <c r="AF688" i="1" s="1"/>
  <c r="M689" i="1"/>
  <c r="AE689" i="1" s="1"/>
  <c r="O689" i="1"/>
  <c r="AF689" i="1" s="1"/>
  <c r="M690" i="1"/>
  <c r="AE690" i="1" s="1"/>
  <c r="O690" i="1"/>
  <c r="AF690" i="1" s="1"/>
  <c r="M691" i="1"/>
  <c r="AE691" i="1" s="1"/>
  <c r="O691" i="1"/>
  <c r="AF691" i="1" s="1"/>
  <c r="M692" i="1"/>
  <c r="AE692" i="1" s="1"/>
  <c r="O692" i="1"/>
  <c r="AF692" i="1" s="1"/>
  <c r="M693" i="1"/>
  <c r="AE693" i="1" s="1"/>
  <c r="O693" i="1"/>
  <c r="AF693" i="1" s="1"/>
  <c r="M694" i="1"/>
  <c r="AE694" i="1" s="1"/>
  <c r="O694" i="1"/>
  <c r="AF694" i="1" s="1"/>
  <c r="M695" i="1"/>
  <c r="AE695" i="1" s="1"/>
  <c r="O695" i="1"/>
  <c r="AF695" i="1" s="1"/>
  <c r="M696" i="1"/>
  <c r="AE696" i="1" s="1"/>
  <c r="O696" i="1"/>
  <c r="AF696" i="1" s="1"/>
  <c r="M697" i="1"/>
  <c r="AE697" i="1" s="1"/>
  <c r="O697" i="1"/>
  <c r="AF697" i="1" s="1"/>
  <c r="M698" i="1"/>
  <c r="AE698" i="1" s="1"/>
  <c r="O698" i="1"/>
  <c r="AF698" i="1" s="1"/>
  <c r="M699" i="1"/>
  <c r="AE699" i="1" s="1"/>
  <c r="O699" i="1"/>
  <c r="AF699" i="1" s="1"/>
  <c r="M700" i="1"/>
  <c r="AE700" i="1" s="1"/>
  <c r="O700" i="1"/>
  <c r="AF700" i="1" s="1"/>
  <c r="M701" i="1"/>
  <c r="AE701" i="1" s="1"/>
  <c r="O701" i="1"/>
  <c r="AF701" i="1" s="1"/>
  <c r="M702" i="1"/>
  <c r="AE702" i="1" s="1"/>
  <c r="O702" i="1"/>
  <c r="AF702" i="1" s="1"/>
  <c r="M703" i="1"/>
  <c r="AE703" i="1" s="1"/>
  <c r="O703" i="1"/>
  <c r="AF703" i="1" s="1"/>
  <c r="M704" i="1"/>
  <c r="AE704" i="1" s="1"/>
  <c r="O704" i="1"/>
  <c r="AF704" i="1" s="1"/>
  <c r="M705" i="1"/>
  <c r="AE705" i="1" s="1"/>
  <c r="O705" i="1"/>
  <c r="AF705" i="1" s="1"/>
  <c r="M706" i="1"/>
  <c r="AE706" i="1" s="1"/>
  <c r="O706" i="1"/>
  <c r="AF706" i="1" s="1"/>
  <c r="M707" i="1"/>
  <c r="AE707" i="1" s="1"/>
  <c r="O707" i="1"/>
  <c r="AF707" i="1" s="1"/>
  <c r="M708" i="1"/>
  <c r="AE708" i="1" s="1"/>
  <c r="O708" i="1"/>
  <c r="AF708" i="1" s="1"/>
  <c r="M709" i="1"/>
  <c r="AE709" i="1" s="1"/>
  <c r="O709" i="1"/>
  <c r="AF709" i="1" s="1"/>
  <c r="M710" i="1"/>
  <c r="AE710" i="1" s="1"/>
  <c r="O710" i="1"/>
  <c r="AF710" i="1" s="1"/>
  <c r="M711" i="1"/>
  <c r="AE711" i="1" s="1"/>
  <c r="O711" i="1"/>
  <c r="AF711" i="1" s="1"/>
  <c r="M712" i="1"/>
  <c r="AE712" i="1" s="1"/>
  <c r="O712" i="1"/>
  <c r="AF712" i="1" s="1"/>
  <c r="M713" i="1"/>
  <c r="AE713" i="1" s="1"/>
  <c r="O713" i="1"/>
  <c r="AF713" i="1" s="1"/>
  <c r="M714" i="1"/>
  <c r="AE714" i="1" s="1"/>
  <c r="O714" i="1"/>
  <c r="AF714" i="1" s="1"/>
  <c r="M715" i="1"/>
  <c r="AE715" i="1" s="1"/>
  <c r="O715" i="1"/>
  <c r="AF715" i="1" s="1"/>
  <c r="M716" i="1"/>
  <c r="AE716" i="1" s="1"/>
  <c r="O716" i="1"/>
  <c r="AF716" i="1" s="1"/>
  <c r="M717" i="1"/>
  <c r="AE717" i="1" s="1"/>
  <c r="O717" i="1"/>
  <c r="AF717" i="1" s="1"/>
  <c r="M718" i="1"/>
  <c r="AE718" i="1" s="1"/>
  <c r="O718" i="1"/>
  <c r="AF718" i="1" s="1"/>
  <c r="M719" i="1"/>
  <c r="AE719" i="1" s="1"/>
  <c r="O719" i="1"/>
  <c r="AF719" i="1" s="1"/>
  <c r="M720" i="1"/>
  <c r="AE720" i="1" s="1"/>
  <c r="O720" i="1"/>
  <c r="AF720" i="1" s="1"/>
  <c r="M721" i="1"/>
  <c r="AE721" i="1" s="1"/>
  <c r="O721" i="1"/>
  <c r="AF721" i="1" s="1"/>
  <c r="M722" i="1"/>
  <c r="AE722" i="1" s="1"/>
  <c r="O722" i="1"/>
  <c r="AF722" i="1" s="1"/>
  <c r="M723" i="1"/>
  <c r="AE723" i="1" s="1"/>
  <c r="O723" i="1"/>
  <c r="AF723" i="1" s="1"/>
  <c r="M724" i="1"/>
  <c r="AE724" i="1" s="1"/>
  <c r="O724" i="1"/>
  <c r="AF724" i="1" s="1"/>
  <c r="M725" i="1"/>
  <c r="AE725" i="1" s="1"/>
  <c r="O725" i="1"/>
  <c r="AF725" i="1" s="1"/>
  <c r="M726" i="1"/>
  <c r="AE726" i="1" s="1"/>
  <c r="O726" i="1"/>
  <c r="AF726" i="1" s="1"/>
  <c r="M727" i="1"/>
  <c r="AE727" i="1" s="1"/>
  <c r="O727" i="1"/>
  <c r="AF727" i="1" s="1"/>
  <c r="M728" i="1"/>
  <c r="AE728" i="1" s="1"/>
  <c r="O728" i="1"/>
  <c r="AF728" i="1" s="1"/>
  <c r="M729" i="1"/>
  <c r="AE729" i="1" s="1"/>
  <c r="O729" i="1"/>
  <c r="AF729" i="1" s="1"/>
  <c r="M730" i="1"/>
  <c r="AE730" i="1" s="1"/>
  <c r="O730" i="1"/>
  <c r="AF730" i="1" s="1"/>
  <c r="M731" i="1"/>
  <c r="AE731" i="1" s="1"/>
  <c r="O731" i="1"/>
  <c r="AF731" i="1" s="1"/>
  <c r="M732" i="1"/>
  <c r="AE732" i="1" s="1"/>
  <c r="O732" i="1"/>
  <c r="AF732" i="1" s="1"/>
  <c r="M733" i="1"/>
  <c r="AE733" i="1" s="1"/>
  <c r="O733" i="1"/>
  <c r="AF733" i="1" s="1"/>
  <c r="M734" i="1"/>
  <c r="AE734" i="1" s="1"/>
  <c r="O734" i="1"/>
  <c r="AF734" i="1" s="1"/>
  <c r="M735" i="1"/>
  <c r="AE735" i="1" s="1"/>
  <c r="O735" i="1"/>
  <c r="AF735" i="1" s="1"/>
  <c r="M736" i="1"/>
  <c r="AE736" i="1" s="1"/>
  <c r="O736" i="1"/>
  <c r="AF736" i="1" s="1"/>
  <c r="M737" i="1"/>
  <c r="AE737" i="1" s="1"/>
  <c r="O737" i="1"/>
  <c r="AF737" i="1" s="1"/>
  <c r="M738" i="1"/>
  <c r="AE738" i="1" s="1"/>
  <c r="O738" i="1"/>
  <c r="AF738" i="1" s="1"/>
  <c r="M739" i="1"/>
  <c r="AE739" i="1" s="1"/>
  <c r="O739" i="1"/>
  <c r="AF739" i="1" s="1"/>
  <c r="M740" i="1"/>
  <c r="AE740" i="1" s="1"/>
  <c r="O740" i="1"/>
  <c r="AF740" i="1" s="1"/>
  <c r="M741" i="1"/>
  <c r="AE741" i="1" s="1"/>
  <c r="O741" i="1"/>
  <c r="AF741" i="1" s="1"/>
  <c r="M742" i="1"/>
  <c r="AE742" i="1" s="1"/>
  <c r="O742" i="1"/>
  <c r="AF742" i="1" s="1"/>
  <c r="M743" i="1"/>
  <c r="AE743" i="1" s="1"/>
  <c r="O743" i="1"/>
  <c r="AF743" i="1" s="1"/>
  <c r="M744" i="1"/>
  <c r="AE744" i="1" s="1"/>
  <c r="O744" i="1"/>
  <c r="AF744" i="1" s="1"/>
  <c r="M745" i="1"/>
  <c r="AE745" i="1" s="1"/>
  <c r="O745" i="1"/>
  <c r="AF745" i="1" s="1"/>
  <c r="M746" i="1"/>
  <c r="AE746" i="1" s="1"/>
  <c r="O746" i="1"/>
  <c r="AF746" i="1" s="1"/>
  <c r="M747" i="1"/>
  <c r="AE747" i="1" s="1"/>
  <c r="O747" i="1"/>
  <c r="AF747" i="1" s="1"/>
  <c r="M748" i="1"/>
  <c r="AE748" i="1" s="1"/>
  <c r="O748" i="1"/>
  <c r="AF748" i="1" s="1"/>
  <c r="M749" i="1"/>
  <c r="AE749" i="1" s="1"/>
  <c r="O749" i="1"/>
  <c r="AF749" i="1" s="1"/>
  <c r="M750" i="1"/>
  <c r="AE750" i="1" s="1"/>
  <c r="O750" i="1"/>
  <c r="AF750" i="1" s="1"/>
  <c r="M751" i="1"/>
  <c r="AE751" i="1" s="1"/>
  <c r="O751" i="1"/>
  <c r="AF751" i="1" s="1"/>
  <c r="M752" i="1"/>
  <c r="AE752" i="1" s="1"/>
  <c r="O752" i="1"/>
  <c r="AF752" i="1" s="1"/>
  <c r="M753" i="1"/>
  <c r="AE753" i="1" s="1"/>
  <c r="O753" i="1"/>
  <c r="AF753" i="1" s="1"/>
  <c r="M754" i="1"/>
  <c r="AE754" i="1" s="1"/>
  <c r="O754" i="1"/>
  <c r="AF754" i="1" s="1"/>
  <c r="M755" i="1"/>
  <c r="AE755" i="1" s="1"/>
  <c r="O755" i="1"/>
  <c r="AF755" i="1" s="1"/>
  <c r="M756" i="1"/>
  <c r="AE756" i="1" s="1"/>
  <c r="O756" i="1"/>
  <c r="AF756" i="1" s="1"/>
  <c r="M757" i="1"/>
  <c r="AE757" i="1" s="1"/>
  <c r="O757" i="1"/>
  <c r="AF757" i="1" s="1"/>
  <c r="M758" i="1"/>
  <c r="AE758" i="1" s="1"/>
  <c r="O758" i="1"/>
  <c r="AF758" i="1" s="1"/>
  <c r="M759" i="1"/>
  <c r="AE759" i="1" s="1"/>
  <c r="O759" i="1"/>
  <c r="AF759" i="1" s="1"/>
  <c r="M760" i="1"/>
  <c r="AE760" i="1" s="1"/>
  <c r="O760" i="1"/>
  <c r="AF760" i="1" s="1"/>
  <c r="M761" i="1"/>
  <c r="AE761" i="1" s="1"/>
  <c r="O761" i="1"/>
  <c r="AF761" i="1" s="1"/>
  <c r="M762" i="1"/>
  <c r="AE762" i="1" s="1"/>
  <c r="O762" i="1"/>
  <c r="AF762" i="1" s="1"/>
  <c r="M763" i="1"/>
  <c r="AE763" i="1" s="1"/>
  <c r="O763" i="1"/>
  <c r="AF763" i="1" s="1"/>
  <c r="M764" i="1"/>
  <c r="AE764" i="1" s="1"/>
  <c r="O764" i="1"/>
  <c r="AF764" i="1" s="1"/>
  <c r="M765" i="1"/>
  <c r="AE765" i="1" s="1"/>
  <c r="O765" i="1"/>
  <c r="AF765" i="1" s="1"/>
  <c r="M766" i="1"/>
  <c r="AE766" i="1" s="1"/>
  <c r="O766" i="1"/>
  <c r="AF766" i="1" s="1"/>
  <c r="M767" i="1"/>
  <c r="AE767" i="1" s="1"/>
  <c r="O767" i="1"/>
  <c r="AF767" i="1" s="1"/>
  <c r="M768" i="1"/>
  <c r="AE768" i="1" s="1"/>
  <c r="O768" i="1"/>
  <c r="AF768" i="1" s="1"/>
  <c r="M769" i="1"/>
  <c r="AE769" i="1" s="1"/>
  <c r="O769" i="1"/>
  <c r="AF769" i="1" s="1"/>
  <c r="M770" i="1"/>
  <c r="AE770" i="1" s="1"/>
  <c r="O770" i="1"/>
  <c r="AF770" i="1" s="1"/>
  <c r="M771" i="1"/>
  <c r="AE771" i="1" s="1"/>
  <c r="O771" i="1"/>
  <c r="AF771" i="1" s="1"/>
  <c r="M772" i="1"/>
  <c r="AE772" i="1" s="1"/>
  <c r="O772" i="1"/>
  <c r="AF772" i="1" s="1"/>
  <c r="M773" i="1"/>
  <c r="AE773" i="1" s="1"/>
  <c r="O773" i="1"/>
  <c r="AF773" i="1" s="1"/>
  <c r="M774" i="1"/>
  <c r="AE774" i="1" s="1"/>
  <c r="O774" i="1"/>
  <c r="AF774" i="1" s="1"/>
  <c r="M775" i="1"/>
  <c r="AE775" i="1" s="1"/>
  <c r="O775" i="1"/>
  <c r="AF775" i="1" s="1"/>
  <c r="M776" i="1"/>
  <c r="AE776" i="1" s="1"/>
  <c r="O776" i="1"/>
  <c r="AF776" i="1" s="1"/>
  <c r="M777" i="1"/>
  <c r="AE777" i="1" s="1"/>
  <c r="O777" i="1"/>
  <c r="AF777" i="1" s="1"/>
  <c r="M778" i="1"/>
  <c r="AE778" i="1" s="1"/>
  <c r="O778" i="1"/>
  <c r="AF778" i="1" s="1"/>
  <c r="M779" i="1"/>
  <c r="AE779" i="1" s="1"/>
  <c r="O779" i="1"/>
  <c r="AF779" i="1" s="1"/>
  <c r="M780" i="1"/>
  <c r="AE780" i="1" s="1"/>
  <c r="O780" i="1"/>
  <c r="AF780" i="1" s="1"/>
  <c r="M781" i="1"/>
  <c r="AE781" i="1" s="1"/>
  <c r="O781" i="1"/>
  <c r="AF781" i="1" s="1"/>
  <c r="M782" i="1"/>
  <c r="AE782" i="1" s="1"/>
  <c r="O782" i="1"/>
  <c r="AF782" i="1" s="1"/>
  <c r="M783" i="1"/>
  <c r="AE783" i="1" s="1"/>
  <c r="O783" i="1"/>
  <c r="AF783" i="1" s="1"/>
  <c r="M784" i="1"/>
  <c r="AE784" i="1" s="1"/>
  <c r="O784" i="1"/>
  <c r="AF784" i="1" s="1"/>
  <c r="M785" i="1"/>
  <c r="AE785" i="1" s="1"/>
  <c r="O785" i="1"/>
  <c r="AF785" i="1" s="1"/>
  <c r="M786" i="1"/>
  <c r="AE786" i="1" s="1"/>
  <c r="O786" i="1"/>
  <c r="AF786" i="1" s="1"/>
  <c r="M787" i="1"/>
  <c r="AE787" i="1" s="1"/>
  <c r="O787" i="1"/>
  <c r="AF787" i="1" s="1"/>
  <c r="M788" i="1"/>
  <c r="AE788" i="1" s="1"/>
  <c r="O788" i="1"/>
  <c r="AF788" i="1" s="1"/>
  <c r="M789" i="1"/>
  <c r="AE789" i="1" s="1"/>
  <c r="O789" i="1"/>
  <c r="AF789" i="1" s="1"/>
  <c r="M790" i="1"/>
  <c r="AE790" i="1" s="1"/>
  <c r="O790" i="1"/>
  <c r="AF790" i="1" s="1"/>
  <c r="M791" i="1"/>
  <c r="AE791" i="1" s="1"/>
  <c r="O791" i="1"/>
  <c r="AF791" i="1" s="1"/>
  <c r="M792" i="1"/>
  <c r="AE792" i="1" s="1"/>
  <c r="O792" i="1"/>
  <c r="AF792" i="1" s="1"/>
  <c r="M793" i="1"/>
  <c r="AE793" i="1" s="1"/>
  <c r="O793" i="1"/>
  <c r="AF793" i="1" s="1"/>
  <c r="M794" i="1"/>
  <c r="AE794" i="1" s="1"/>
  <c r="O794" i="1"/>
  <c r="AF794" i="1" s="1"/>
  <c r="M795" i="1"/>
  <c r="AE795" i="1" s="1"/>
  <c r="O795" i="1"/>
  <c r="AF795" i="1" s="1"/>
  <c r="M796" i="1"/>
  <c r="AE796" i="1" s="1"/>
  <c r="O796" i="1"/>
  <c r="AF796" i="1" s="1"/>
  <c r="M797" i="1"/>
  <c r="AE797" i="1" s="1"/>
  <c r="O797" i="1"/>
  <c r="AF797" i="1" s="1"/>
  <c r="M798" i="1"/>
  <c r="AE798" i="1" s="1"/>
  <c r="O798" i="1"/>
  <c r="AF798" i="1" s="1"/>
  <c r="M799" i="1"/>
  <c r="AE799" i="1" s="1"/>
  <c r="O799" i="1"/>
  <c r="AF799" i="1" s="1"/>
  <c r="M800" i="1"/>
  <c r="AE800" i="1" s="1"/>
  <c r="O800" i="1"/>
  <c r="AF800" i="1" s="1"/>
  <c r="M801" i="1"/>
  <c r="AE801" i="1" s="1"/>
  <c r="O801" i="1"/>
  <c r="AF801" i="1" s="1"/>
  <c r="M802" i="1"/>
  <c r="AE802" i="1" s="1"/>
  <c r="O802" i="1"/>
  <c r="AF802" i="1" s="1"/>
  <c r="M803" i="1"/>
  <c r="AE803" i="1" s="1"/>
  <c r="O803" i="1"/>
  <c r="AF803" i="1" s="1"/>
  <c r="M804" i="1"/>
  <c r="AE804" i="1" s="1"/>
  <c r="O804" i="1"/>
  <c r="AF804" i="1" s="1"/>
  <c r="M805" i="1"/>
  <c r="AE805" i="1" s="1"/>
  <c r="O805" i="1"/>
  <c r="AF805" i="1" s="1"/>
  <c r="M807" i="1"/>
  <c r="AE807" i="1" s="1"/>
  <c r="O807" i="1"/>
  <c r="AF807" i="1" s="1"/>
  <c r="M809" i="1"/>
  <c r="AE809" i="1" s="1"/>
  <c r="O809" i="1"/>
  <c r="AF809" i="1" s="1"/>
  <c r="M810" i="1"/>
  <c r="AE810" i="1" s="1"/>
  <c r="O810" i="1"/>
  <c r="AF810" i="1" s="1"/>
  <c r="M812" i="1"/>
  <c r="AE812" i="1" s="1"/>
  <c r="O812" i="1"/>
  <c r="AF812" i="1" s="1"/>
  <c r="M813" i="1"/>
  <c r="AE813" i="1" s="1"/>
  <c r="O813" i="1"/>
  <c r="AF813" i="1" s="1"/>
  <c r="M815" i="1"/>
  <c r="AE815" i="1" s="1"/>
  <c r="O815" i="1"/>
  <c r="AF815" i="1" s="1"/>
  <c r="M816" i="1"/>
  <c r="AE816" i="1" s="1"/>
  <c r="O816" i="1"/>
  <c r="AF816" i="1" s="1"/>
  <c r="M817" i="1"/>
  <c r="AE817" i="1" s="1"/>
  <c r="O817" i="1"/>
  <c r="AF817" i="1" s="1"/>
  <c r="M820" i="1"/>
  <c r="AE820" i="1" s="1"/>
  <c r="O820" i="1"/>
  <c r="AF820" i="1" s="1"/>
  <c r="M821" i="1"/>
  <c r="AE821" i="1" s="1"/>
  <c r="O821" i="1"/>
  <c r="AF821" i="1" s="1"/>
  <c r="M822" i="1"/>
  <c r="AE822" i="1" s="1"/>
  <c r="O822" i="1"/>
  <c r="AF822" i="1" s="1"/>
  <c r="M823" i="1"/>
  <c r="AE823" i="1" s="1"/>
  <c r="O823" i="1"/>
  <c r="AF823" i="1" s="1"/>
  <c r="M825" i="1"/>
  <c r="AE825" i="1" s="1"/>
  <c r="O825" i="1"/>
  <c r="AF825" i="1" s="1"/>
  <c r="M831" i="1"/>
  <c r="AE831" i="1" s="1"/>
  <c r="O831" i="1"/>
  <c r="AF831" i="1" s="1"/>
  <c r="M834" i="1"/>
  <c r="AE834" i="1" s="1"/>
  <c r="O834" i="1"/>
  <c r="AF834" i="1" s="1"/>
  <c r="M835" i="1"/>
  <c r="AE835" i="1" s="1"/>
  <c r="O835" i="1"/>
  <c r="AF835" i="1" s="1"/>
  <c r="M836" i="1"/>
  <c r="AE836" i="1" s="1"/>
  <c r="O836" i="1"/>
  <c r="AF836" i="1" s="1"/>
  <c r="M838" i="1"/>
  <c r="AE838" i="1" s="1"/>
  <c r="O838" i="1"/>
  <c r="AF838" i="1" s="1"/>
  <c r="M839" i="1"/>
  <c r="AE839" i="1" s="1"/>
  <c r="O839" i="1"/>
  <c r="AF839" i="1" s="1"/>
  <c r="M837" i="1"/>
  <c r="AE837" i="1" s="1"/>
  <c r="O837" i="1"/>
  <c r="AF837" i="1" s="1"/>
  <c r="M840" i="1"/>
  <c r="AE840" i="1" s="1"/>
  <c r="O840" i="1"/>
  <c r="AF840" i="1" s="1"/>
  <c r="M842" i="1"/>
  <c r="AE842" i="1" s="1"/>
  <c r="O842" i="1"/>
  <c r="AF842" i="1" s="1"/>
  <c r="M843" i="1"/>
  <c r="AE843" i="1" s="1"/>
  <c r="O843" i="1"/>
  <c r="AF843" i="1" s="1"/>
  <c r="M844" i="1"/>
  <c r="AE844" i="1" s="1"/>
  <c r="O844" i="1"/>
  <c r="AF844" i="1" s="1"/>
  <c r="M845" i="1"/>
  <c r="AE845" i="1" s="1"/>
  <c r="O845" i="1"/>
  <c r="AF845" i="1" s="1"/>
  <c r="M848" i="1"/>
  <c r="AE848" i="1" s="1"/>
  <c r="O848" i="1"/>
  <c r="AF848" i="1" s="1"/>
  <c r="M849" i="1"/>
  <c r="AE849" i="1" s="1"/>
  <c r="O849" i="1"/>
  <c r="AF849" i="1" s="1"/>
  <c r="M850" i="1"/>
  <c r="AE850" i="1" s="1"/>
  <c r="O850" i="1"/>
  <c r="AF850" i="1" s="1"/>
  <c r="M851" i="1"/>
  <c r="AE851" i="1" s="1"/>
  <c r="O851" i="1"/>
  <c r="AF851" i="1" s="1"/>
  <c r="M852" i="1"/>
  <c r="AE852" i="1" s="1"/>
  <c r="O852" i="1"/>
  <c r="AF852" i="1" s="1"/>
  <c r="M853" i="1"/>
  <c r="AE853" i="1" s="1"/>
  <c r="O853" i="1"/>
  <c r="AF853" i="1" s="1"/>
  <c r="M854" i="1"/>
  <c r="AE854" i="1" s="1"/>
  <c r="O854" i="1"/>
  <c r="AF854" i="1" s="1"/>
  <c r="M855" i="1"/>
  <c r="AE855" i="1" s="1"/>
  <c r="O855" i="1"/>
  <c r="AF855" i="1" s="1"/>
  <c r="M856" i="1"/>
  <c r="AE856" i="1" s="1"/>
  <c r="O856" i="1"/>
  <c r="AF856" i="1" s="1"/>
  <c r="M857" i="1"/>
  <c r="AE857" i="1" s="1"/>
  <c r="O857" i="1"/>
  <c r="AF857" i="1" s="1"/>
  <c r="M858" i="1"/>
  <c r="AE858" i="1" s="1"/>
  <c r="O858" i="1"/>
  <c r="AF858" i="1" s="1"/>
  <c r="M859" i="1"/>
  <c r="AE859" i="1" s="1"/>
  <c r="O859" i="1"/>
  <c r="AF859" i="1" s="1"/>
  <c r="M860" i="1"/>
  <c r="AE860" i="1" s="1"/>
  <c r="O860" i="1"/>
  <c r="AF860" i="1" s="1"/>
  <c r="M861" i="1"/>
  <c r="AE861" i="1" s="1"/>
  <c r="O861" i="1"/>
  <c r="AF861" i="1" s="1"/>
  <c r="M862" i="1"/>
  <c r="AE862" i="1" s="1"/>
  <c r="O862" i="1"/>
  <c r="AF862" i="1" s="1"/>
  <c r="M865" i="1"/>
  <c r="AE865" i="1" s="1"/>
  <c r="O865" i="1"/>
  <c r="AF865" i="1" s="1"/>
  <c r="M866" i="1"/>
  <c r="AE866" i="1" s="1"/>
  <c r="O866" i="1"/>
  <c r="AF866" i="1" s="1"/>
  <c r="M867" i="1"/>
  <c r="AE867" i="1" s="1"/>
  <c r="O867" i="1"/>
  <c r="AF867" i="1" s="1"/>
  <c r="M868" i="1"/>
  <c r="AE868" i="1" s="1"/>
  <c r="O868" i="1"/>
  <c r="AF868" i="1" s="1"/>
  <c r="M869" i="1"/>
  <c r="AE869" i="1" s="1"/>
  <c r="O869" i="1"/>
  <c r="AF869" i="1" s="1"/>
  <c r="M870" i="1"/>
  <c r="AE870" i="1" s="1"/>
  <c r="O870" i="1"/>
  <c r="AF870" i="1" s="1"/>
  <c r="M871" i="1"/>
  <c r="AE871" i="1" s="1"/>
  <c r="O871" i="1"/>
  <c r="AF871" i="1" s="1"/>
  <c r="M874" i="1"/>
  <c r="AE874" i="1" s="1"/>
  <c r="O874" i="1"/>
  <c r="AF874" i="1" s="1"/>
  <c r="M875" i="1"/>
  <c r="AE875" i="1" s="1"/>
  <c r="O875" i="1"/>
  <c r="AF875" i="1" s="1"/>
  <c r="M876" i="1"/>
  <c r="AE876" i="1" s="1"/>
  <c r="O876" i="1"/>
  <c r="AF876" i="1" s="1"/>
  <c r="M877" i="1"/>
  <c r="AE877" i="1" s="1"/>
  <c r="O877" i="1"/>
  <c r="AF877" i="1" s="1"/>
  <c r="M878" i="1"/>
  <c r="AE878" i="1" s="1"/>
  <c r="O878" i="1"/>
  <c r="AF878" i="1" s="1"/>
  <c r="M885" i="1"/>
  <c r="AE885" i="1" s="1"/>
  <c r="O885" i="1"/>
  <c r="AF885" i="1" s="1"/>
  <c r="M886" i="1"/>
  <c r="AE886" i="1" s="1"/>
  <c r="O886" i="1"/>
  <c r="AF886" i="1" s="1"/>
  <c r="M887" i="1"/>
  <c r="AE887" i="1" s="1"/>
  <c r="O887" i="1"/>
  <c r="AF887" i="1" s="1"/>
  <c r="M888" i="1"/>
  <c r="AE888" i="1" s="1"/>
  <c r="O888" i="1"/>
  <c r="AF888" i="1" s="1"/>
  <c r="M889" i="1"/>
  <c r="AE889" i="1" s="1"/>
  <c r="O889" i="1"/>
  <c r="AF889" i="1" s="1"/>
  <c r="M890" i="1"/>
  <c r="AE890" i="1" s="1"/>
  <c r="O890" i="1"/>
  <c r="AF890" i="1" s="1"/>
  <c r="M891" i="1"/>
  <c r="AE891" i="1" s="1"/>
  <c r="O891" i="1"/>
  <c r="AF891" i="1" s="1"/>
  <c r="M892" i="1"/>
  <c r="AE892" i="1" s="1"/>
  <c r="O892" i="1"/>
  <c r="AF892" i="1" s="1"/>
  <c r="M893" i="1"/>
  <c r="AE893" i="1" s="1"/>
  <c r="O893" i="1"/>
  <c r="AF893" i="1" s="1"/>
  <c r="M894" i="1"/>
  <c r="AE894" i="1" s="1"/>
  <c r="O894" i="1"/>
  <c r="AF894" i="1" s="1"/>
  <c r="M895" i="1"/>
  <c r="AE895" i="1" s="1"/>
  <c r="O895" i="1"/>
  <c r="AF895" i="1" s="1"/>
  <c r="M896" i="1"/>
  <c r="AE896" i="1" s="1"/>
  <c r="O896" i="1"/>
  <c r="AF896" i="1" s="1"/>
  <c r="M897" i="1"/>
  <c r="AE897" i="1" s="1"/>
  <c r="O897" i="1"/>
  <c r="AF897" i="1" s="1"/>
  <c r="M898" i="1"/>
  <c r="AE898" i="1" s="1"/>
  <c r="O898" i="1"/>
  <c r="AF898" i="1" s="1"/>
  <c r="M899" i="1"/>
  <c r="AE899" i="1" s="1"/>
  <c r="O899" i="1"/>
  <c r="AF899" i="1" s="1"/>
  <c r="M900" i="1"/>
  <c r="AE900" i="1" s="1"/>
  <c r="O900" i="1"/>
  <c r="AF900" i="1" s="1"/>
  <c r="M901" i="1"/>
  <c r="AE901" i="1" s="1"/>
  <c r="O901" i="1"/>
  <c r="AF901" i="1" s="1"/>
  <c r="M902" i="1"/>
  <c r="AE902" i="1" s="1"/>
  <c r="O902" i="1"/>
  <c r="AF902" i="1" s="1"/>
  <c r="M903" i="1"/>
  <c r="AE903" i="1" s="1"/>
  <c r="O903" i="1"/>
  <c r="AF903" i="1" s="1"/>
  <c r="M904" i="1"/>
  <c r="AE904" i="1" s="1"/>
  <c r="O904" i="1"/>
  <c r="AF904" i="1" s="1"/>
  <c r="M905" i="1"/>
  <c r="AE905" i="1" s="1"/>
  <c r="O905" i="1"/>
  <c r="AF905" i="1" s="1"/>
  <c r="M906" i="1"/>
  <c r="AE906" i="1" s="1"/>
  <c r="O906" i="1"/>
  <c r="AF906" i="1" s="1"/>
  <c r="M907" i="1"/>
  <c r="AE907" i="1" s="1"/>
  <c r="O907" i="1"/>
  <c r="AF907" i="1" s="1"/>
  <c r="M908" i="1"/>
  <c r="AE908" i="1" s="1"/>
  <c r="O908" i="1"/>
  <c r="AF908" i="1" s="1"/>
  <c r="M1866" i="1"/>
  <c r="AE1866" i="1" s="1"/>
  <c r="O1866" i="1"/>
  <c r="AF1866" i="1" s="1"/>
  <c r="M909" i="1"/>
  <c r="AE909" i="1" s="1"/>
  <c r="O909" i="1"/>
  <c r="AF909" i="1" s="1"/>
  <c r="M1885" i="1"/>
  <c r="AE1885" i="1" s="1"/>
  <c r="O1885" i="1"/>
  <c r="AF1885" i="1" s="1"/>
  <c r="M910" i="1"/>
  <c r="AE910" i="1" s="1"/>
  <c r="O910" i="1"/>
  <c r="AF910" i="1" s="1"/>
  <c r="M911" i="1"/>
  <c r="AE911" i="1" s="1"/>
  <c r="O911" i="1"/>
  <c r="AF911" i="1" s="1"/>
  <c r="M913" i="1"/>
  <c r="AE913" i="1" s="1"/>
  <c r="O913" i="1"/>
  <c r="AF913" i="1" s="1"/>
  <c r="M914" i="1"/>
  <c r="AE914" i="1" s="1"/>
  <c r="O914" i="1"/>
  <c r="AF914" i="1" s="1"/>
  <c r="M915" i="1"/>
  <c r="AE915" i="1" s="1"/>
  <c r="O915" i="1"/>
  <c r="AF915" i="1" s="1"/>
  <c r="M1916" i="1"/>
  <c r="AE1916" i="1" s="1"/>
  <c r="O1916" i="1"/>
  <c r="AF1916" i="1" s="1"/>
  <c r="M916" i="1"/>
  <c r="AE916" i="1" s="1"/>
  <c r="O916" i="1"/>
  <c r="AF916" i="1" s="1"/>
  <c r="M917" i="1"/>
  <c r="AE917" i="1" s="1"/>
  <c r="O917" i="1"/>
  <c r="AF917" i="1" s="1"/>
  <c r="M918" i="1"/>
  <c r="AE918" i="1" s="1"/>
  <c r="O918" i="1"/>
  <c r="AF918" i="1" s="1"/>
  <c r="M1155" i="1"/>
  <c r="AE1155" i="1" s="1"/>
  <c r="O1155" i="1"/>
  <c r="AF1155" i="1" s="1"/>
  <c r="M919" i="1"/>
  <c r="AE919" i="1" s="1"/>
  <c r="O919" i="1"/>
  <c r="AF919" i="1" s="1"/>
  <c r="M920" i="1"/>
  <c r="AE920" i="1" s="1"/>
  <c r="O920" i="1"/>
  <c r="AF920" i="1" s="1"/>
  <c r="M921" i="1"/>
  <c r="AE921" i="1" s="1"/>
  <c r="O921" i="1"/>
  <c r="AF921" i="1" s="1"/>
  <c r="M922" i="1"/>
  <c r="AE922" i="1" s="1"/>
  <c r="O922" i="1"/>
  <c r="AF922" i="1" s="1"/>
  <c r="M923" i="1"/>
  <c r="AE923" i="1" s="1"/>
  <c r="O923" i="1"/>
  <c r="AF923" i="1" s="1"/>
  <c r="M2633" i="1"/>
  <c r="AE2633" i="1" s="1"/>
  <c r="O2633" i="1"/>
  <c r="AF2633" i="1" s="1"/>
  <c r="M927" i="1"/>
  <c r="AE927" i="1" s="1"/>
  <c r="O927" i="1"/>
  <c r="AF927" i="1" s="1"/>
  <c r="M928" i="1"/>
  <c r="AE928" i="1" s="1"/>
  <c r="O928" i="1"/>
  <c r="AF928" i="1" s="1"/>
  <c r="M929" i="1"/>
  <c r="AE929" i="1" s="1"/>
  <c r="O929" i="1"/>
  <c r="AF929" i="1" s="1"/>
  <c r="M930" i="1"/>
  <c r="AE930" i="1" s="1"/>
  <c r="O930" i="1"/>
  <c r="AF930" i="1" s="1"/>
  <c r="M931" i="1"/>
  <c r="AE931" i="1" s="1"/>
  <c r="O931" i="1"/>
  <c r="AF931" i="1" s="1"/>
  <c r="M932" i="1"/>
  <c r="AE932" i="1" s="1"/>
  <c r="O932" i="1"/>
  <c r="AF932" i="1" s="1"/>
  <c r="M934" i="1"/>
  <c r="AE934" i="1" s="1"/>
  <c r="O934" i="1"/>
  <c r="AF934" i="1" s="1"/>
  <c r="M935" i="1"/>
  <c r="AE935" i="1" s="1"/>
  <c r="O935" i="1"/>
  <c r="AF935" i="1" s="1"/>
  <c r="M936" i="1"/>
  <c r="AE936" i="1" s="1"/>
  <c r="O936" i="1"/>
  <c r="AF936" i="1" s="1"/>
  <c r="M937" i="1"/>
  <c r="AE937" i="1" s="1"/>
  <c r="O937" i="1"/>
  <c r="AF937" i="1" s="1"/>
  <c r="M940" i="1"/>
  <c r="AE940" i="1" s="1"/>
  <c r="O940" i="1"/>
  <c r="AF940" i="1" s="1"/>
  <c r="M941" i="1"/>
  <c r="AE941" i="1" s="1"/>
  <c r="O941" i="1"/>
  <c r="AF941" i="1" s="1"/>
  <c r="M942" i="1"/>
  <c r="AE942" i="1" s="1"/>
  <c r="O942" i="1"/>
  <c r="AF942" i="1" s="1"/>
  <c r="M2663" i="1"/>
  <c r="AE2663" i="1" s="1"/>
  <c r="O2663" i="1"/>
  <c r="AF2663" i="1" s="1"/>
  <c r="M944" i="1"/>
  <c r="AE944" i="1" s="1"/>
  <c r="O944" i="1"/>
  <c r="AF944" i="1" s="1"/>
  <c r="M946" i="1"/>
  <c r="AE946" i="1" s="1"/>
  <c r="O946" i="1"/>
  <c r="AF946" i="1" s="1"/>
  <c r="M948" i="1"/>
  <c r="AE948" i="1" s="1"/>
  <c r="O948" i="1"/>
  <c r="AF948" i="1" s="1"/>
  <c r="M949" i="1"/>
  <c r="AE949" i="1" s="1"/>
  <c r="O949" i="1"/>
  <c r="AF949" i="1" s="1"/>
  <c r="M950" i="1"/>
  <c r="AE950" i="1" s="1"/>
  <c r="O950" i="1"/>
  <c r="AF950" i="1" s="1"/>
  <c r="M951" i="1"/>
  <c r="AE951" i="1" s="1"/>
  <c r="O951" i="1"/>
  <c r="AF951" i="1" s="1"/>
  <c r="M952" i="1"/>
  <c r="AE952" i="1" s="1"/>
  <c r="O952" i="1"/>
  <c r="AF952" i="1" s="1"/>
  <c r="M953" i="1"/>
  <c r="AE953" i="1" s="1"/>
  <c r="O953" i="1"/>
  <c r="AF953" i="1" s="1"/>
  <c r="M954" i="1"/>
  <c r="AE954" i="1" s="1"/>
  <c r="O954" i="1"/>
  <c r="AF954" i="1" s="1"/>
  <c r="M955" i="1"/>
  <c r="AE955" i="1" s="1"/>
  <c r="O955" i="1"/>
  <c r="AF955" i="1" s="1"/>
  <c r="M956" i="1"/>
  <c r="AE956" i="1" s="1"/>
  <c r="O956" i="1"/>
  <c r="AF956" i="1" s="1"/>
  <c r="M957" i="1"/>
  <c r="AE957" i="1" s="1"/>
  <c r="O957" i="1"/>
  <c r="AF957" i="1" s="1"/>
  <c r="M958" i="1"/>
  <c r="AE958" i="1" s="1"/>
  <c r="O958" i="1"/>
  <c r="AF958" i="1" s="1"/>
  <c r="M959" i="1"/>
  <c r="AE959" i="1" s="1"/>
  <c r="O959" i="1"/>
  <c r="AF959" i="1" s="1"/>
  <c r="M960" i="1"/>
  <c r="AE960" i="1" s="1"/>
  <c r="O960" i="1"/>
  <c r="AF960" i="1" s="1"/>
  <c r="M961" i="1"/>
  <c r="AE961" i="1" s="1"/>
  <c r="O961" i="1"/>
  <c r="AF961" i="1" s="1"/>
  <c r="M962" i="1"/>
  <c r="AE962" i="1" s="1"/>
  <c r="O962" i="1"/>
  <c r="AF962" i="1" s="1"/>
  <c r="M963" i="1"/>
  <c r="AE963" i="1" s="1"/>
  <c r="O963" i="1"/>
  <c r="AF963" i="1" s="1"/>
  <c r="M964" i="1"/>
  <c r="AE964" i="1" s="1"/>
  <c r="O964" i="1"/>
  <c r="AF964" i="1" s="1"/>
  <c r="M965" i="1"/>
  <c r="AE965" i="1" s="1"/>
  <c r="O965" i="1"/>
  <c r="AF965" i="1" s="1"/>
  <c r="M966" i="1"/>
  <c r="AE966" i="1" s="1"/>
  <c r="O966" i="1"/>
  <c r="AF966" i="1" s="1"/>
  <c r="M967" i="1"/>
  <c r="AE967" i="1" s="1"/>
  <c r="O967" i="1"/>
  <c r="AF967" i="1" s="1"/>
  <c r="M968" i="1"/>
  <c r="AE968" i="1" s="1"/>
  <c r="O968" i="1"/>
  <c r="AF968" i="1" s="1"/>
  <c r="M969" i="1"/>
  <c r="AE969" i="1" s="1"/>
  <c r="O969" i="1"/>
  <c r="AF969" i="1" s="1"/>
  <c r="M970" i="1"/>
  <c r="AE970" i="1" s="1"/>
  <c r="O970" i="1"/>
  <c r="AF970" i="1" s="1"/>
  <c r="M971" i="1"/>
  <c r="AE971" i="1" s="1"/>
  <c r="O971" i="1"/>
  <c r="AF971" i="1" s="1"/>
  <c r="M972" i="1"/>
  <c r="AE972" i="1" s="1"/>
  <c r="O972" i="1"/>
  <c r="AF972" i="1" s="1"/>
  <c r="M973" i="1"/>
  <c r="AE973" i="1" s="1"/>
  <c r="O973" i="1"/>
  <c r="AF973" i="1" s="1"/>
  <c r="M974" i="1"/>
  <c r="AE974" i="1" s="1"/>
  <c r="O974" i="1"/>
  <c r="AF974" i="1" s="1"/>
  <c r="M975" i="1"/>
  <c r="AE975" i="1" s="1"/>
  <c r="O975" i="1"/>
  <c r="AF975" i="1" s="1"/>
  <c r="M976" i="1"/>
  <c r="AE976" i="1" s="1"/>
  <c r="O976" i="1"/>
  <c r="AF976" i="1" s="1"/>
  <c r="M977" i="1"/>
  <c r="AE977" i="1" s="1"/>
  <c r="O977" i="1"/>
  <c r="AF977" i="1" s="1"/>
  <c r="M978" i="1"/>
  <c r="AE978" i="1" s="1"/>
  <c r="O978" i="1"/>
  <c r="AF978" i="1" s="1"/>
  <c r="M979" i="1"/>
  <c r="AE979" i="1" s="1"/>
  <c r="O979" i="1"/>
  <c r="AF979" i="1" s="1"/>
  <c r="M980" i="1"/>
  <c r="AE980" i="1" s="1"/>
  <c r="O980" i="1"/>
  <c r="AF980" i="1" s="1"/>
  <c r="M981" i="1"/>
  <c r="AE981" i="1" s="1"/>
  <c r="O981" i="1"/>
  <c r="AF981" i="1" s="1"/>
  <c r="M982" i="1"/>
  <c r="AE982" i="1" s="1"/>
  <c r="O982" i="1"/>
  <c r="AF982" i="1" s="1"/>
  <c r="M983" i="1"/>
  <c r="AE983" i="1" s="1"/>
  <c r="O983" i="1"/>
  <c r="AF983" i="1" s="1"/>
  <c r="M984" i="1"/>
  <c r="AE984" i="1" s="1"/>
  <c r="O984" i="1"/>
  <c r="AF984" i="1" s="1"/>
  <c r="M985" i="1"/>
  <c r="AE985" i="1" s="1"/>
  <c r="O985" i="1"/>
  <c r="AF985" i="1" s="1"/>
  <c r="M986" i="1"/>
  <c r="AE986" i="1" s="1"/>
  <c r="O986" i="1"/>
  <c r="AF986" i="1" s="1"/>
  <c r="M987" i="1"/>
  <c r="AE987" i="1" s="1"/>
  <c r="O987" i="1"/>
  <c r="AF987" i="1" s="1"/>
  <c r="M988" i="1"/>
  <c r="AE988" i="1" s="1"/>
  <c r="O988" i="1"/>
  <c r="AF988" i="1" s="1"/>
  <c r="M989" i="1"/>
  <c r="AE989" i="1" s="1"/>
  <c r="O989" i="1"/>
  <c r="AF989" i="1" s="1"/>
  <c r="M990" i="1"/>
  <c r="AE990" i="1" s="1"/>
  <c r="O990" i="1"/>
  <c r="AF990" i="1" s="1"/>
  <c r="M991" i="1"/>
  <c r="AE991" i="1" s="1"/>
  <c r="O991" i="1"/>
  <c r="AF991" i="1" s="1"/>
  <c r="M992" i="1"/>
  <c r="AE992" i="1" s="1"/>
  <c r="O992" i="1"/>
  <c r="AF992" i="1" s="1"/>
  <c r="M993" i="1"/>
  <c r="AE993" i="1" s="1"/>
  <c r="O993" i="1"/>
  <c r="AF993" i="1" s="1"/>
  <c r="M994" i="1"/>
  <c r="AE994" i="1" s="1"/>
  <c r="O994" i="1"/>
  <c r="AF994" i="1" s="1"/>
  <c r="M995" i="1"/>
  <c r="AE995" i="1" s="1"/>
  <c r="O995" i="1"/>
  <c r="AF995" i="1" s="1"/>
  <c r="M996" i="1"/>
  <c r="AE996" i="1" s="1"/>
  <c r="O996" i="1"/>
  <c r="AF996" i="1" s="1"/>
  <c r="M997" i="1"/>
  <c r="AE997" i="1" s="1"/>
  <c r="O997" i="1"/>
  <c r="AF997" i="1" s="1"/>
  <c r="M998" i="1"/>
  <c r="AE998" i="1" s="1"/>
  <c r="O998" i="1"/>
  <c r="AF998" i="1" s="1"/>
  <c r="M999" i="1"/>
  <c r="AE999" i="1" s="1"/>
  <c r="O999" i="1"/>
  <c r="AF999" i="1" s="1"/>
  <c r="M1000" i="1"/>
  <c r="AE1000" i="1" s="1"/>
  <c r="O1000" i="1"/>
  <c r="AF1000" i="1" s="1"/>
  <c r="M1001" i="1"/>
  <c r="AE1001" i="1" s="1"/>
  <c r="O1001" i="1"/>
  <c r="AF1001" i="1" s="1"/>
  <c r="M1002" i="1"/>
  <c r="AE1002" i="1" s="1"/>
  <c r="O1002" i="1"/>
  <c r="AF1002" i="1" s="1"/>
  <c r="M1003" i="1"/>
  <c r="AE1003" i="1" s="1"/>
  <c r="O1003" i="1"/>
  <c r="AF1003" i="1" s="1"/>
  <c r="M1004" i="1"/>
  <c r="AE1004" i="1" s="1"/>
  <c r="O1004" i="1"/>
  <c r="AF1004" i="1" s="1"/>
  <c r="M1005" i="1"/>
  <c r="AE1005" i="1" s="1"/>
  <c r="O1005" i="1"/>
  <c r="AF1005" i="1" s="1"/>
  <c r="M1006" i="1"/>
  <c r="AE1006" i="1" s="1"/>
  <c r="O1006" i="1"/>
  <c r="AF1006" i="1" s="1"/>
  <c r="M1007" i="1"/>
  <c r="AE1007" i="1" s="1"/>
  <c r="O1007" i="1"/>
  <c r="AF1007" i="1" s="1"/>
  <c r="M1008" i="1"/>
  <c r="AE1008" i="1" s="1"/>
  <c r="O1008" i="1"/>
  <c r="AF1008" i="1" s="1"/>
  <c r="M1009" i="1"/>
  <c r="AE1009" i="1" s="1"/>
  <c r="O1009" i="1"/>
  <c r="AF1009" i="1" s="1"/>
  <c r="M1010" i="1"/>
  <c r="AE1010" i="1" s="1"/>
  <c r="O1010" i="1"/>
  <c r="AF1010" i="1" s="1"/>
  <c r="M1011" i="1"/>
  <c r="AE1011" i="1" s="1"/>
  <c r="O1011" i="1"/>
  <c r="AF1011" i="1" s="1"/>
  <c r="M1012" i="1"/>
  <c r="AE1012" i="1" s="1"/>
  <c r="O1012" i="1"/>
  <c r="AF1012" i="1" s="1"/>
  <c r="M1013" i="1"/>
  <c r="AE1013" i="1" s="1"/>
  <c r="O1013" i="1"/>
  <c r="AF1013" i="1" s="1"/>
  <c r="M1014" i="1"/>
  <c r="AE1014" i="1" s="1"/>
  <c r="O1014" i="1"/>
  <c r="AF1014" i="1" s="1"/>
  <c r="M1015" i="1"/>
  <c r="AE1015" i="1" s="1"/>
  <c r="O1015" i="1"/>
  <c r="AF1015" i="1" s="1"/>
  <c r="M1016" i="1"/>
  <c r="AE1016" i="1" s="1"/>
  <c r="O1016" i="1"/>
  <c r="AF1016" i="1" s="1"/>
  <c r="M1017" i="1"/>
  <c r="AE1017" i="1" s="1"/>
  <c r="O1017" i="1"/>
  <c r="AF1017" i="1" s="1"/>
  <c r="M1018" i="1"/>
  <c r="AE1018" i="1" s="1"/>
  <c r="O1018" i="1"/>
  <c r="AF1018" i="1" s="1"/>
  <c r="M1019" i="1"/>
  <c r="AE1019" i="1" s="1"/>
  <c r="O1019" i="1"/>
  <c r="AF1019" i="1" s="1"/>
  <c r="M1020" i="1"/>
  <c r="AE1020" i="1" s="1"/>
  <c r="O1020" i="1"/>
  <c r="AF1020" i="1" s="1"/>
  <c r="M1021" i="1"/>
  <c r="AE1021" i="1" s="1"/>
  <c r="O1021" i="1"/>
  <c r="AF1021" i="1" s="1"/>
  <c r="M1022" i="1"/>
  <c r="AE1022" i="1" s="1"/>
  <c r="O1022" i="1"/>
  <c r="AF1022" i="1" s="1"/>
  <c r="M1023" i="1"/>
  <c r="AE1023" i="1" s="1"/>
  <c r="O1023" i="1"/>
  <c r="AF1023" i="1" s="1"/>
  <c r="M1024" i="1"/>
  <c r="AE1024" i="1" s="1"/>
  <c r="O1024" i="1"/>
  <c r="AF1024" i="1" s="1"/>
  <c r="M1025" i="1"/>
  <c r="AE1025" i="1" s="1"/>
  <c r="O1025" i="1"/>
  <c r="AF1025" i="1" s="1"/>
  <c r="M1026" i="1"/>
  <c r="AE1026" i="1" s="1"/>
  <c r="O1026" i="1"/>
  <c r="AF1026" i="1" s="1"/>
  <c r="M1027" i="1"/>
  <c r="AE1027" i="1" s="1"/>
  <c r="O1027" i="1"/>
  <c r="AF1027" i="1" s="1"/>
  <c r="M1028" i="1"/>
  <c r="AE1028" i="1" s="1"/>
  <c r="O1028" i="1"/>
  <c r="AF1028" i="1" s="1"/>
  <c r="M1029" i="1"/>
  <c r="AE1029" i="1" s="1"/>
  <c r="O1029" i="1"/>
  <c r="AF1029" i="1" s="1"/>
  <c r="M1030" i="1"/>
  <c r="AE1030" i="1" s="1"/>
  <c r="O1030" i="1"/>
  <c r="AF1030" i="1" s="1"/>
  <c r="M1031" i="1"/>
  <c r="AE1031" i="1" s="1"/>
  <c r="O1031" i="1"/>
  <c r="AF1031" i="1" s="1"/>
  <c r="M1032" i="1"/>
  <c r="AE1032" i="1" s="1"/>
  <c r="O1032" i="1"/>
  <c r="AF1032" i="1" s="1"/>
  <c r="M1033" i="1"/>
  <c r="AE1033" i="1" s="1"/>
  <c r="O1033" i="1"/>
  <c r="AF1033" i="1" s="1"/>
  <c r="M1034" i="1"/>
  <c r="AE1034" i="1" s="1"/>
  <c r="O1034" i="1"/>
  <c r="AF1034" i="1" s="1"/>
  <c r="M1035" i="1"/>
  <c r="AE1035" i="1" s="1"/>
  <c r="O1035" i="1"/>
  <c r="AF1035" i="1" s="1"/>
  <c r="M1036" i="1"/>
  <c r="AE1036" i="1" s="1"/>
  <c r="O1036" i="1"/>
  <c r="AF1036" i="1" s="1"/>
  <c r="M1037" i="1"/>
  <c r="AE1037" i="1" s="1"/>
  <c r="O1037" i="1"/>
  <c r="AF1037" i="1" s="1"/>
  <c r="M1038" i="1"/>
  <c r="AE1038" i="1" s="1"/>
  <c r="O1038" i="1"/>
  <c r="AF1038" i="1" s="1"/>
  <c r="M1039" i="1"/>
  <c r="AE1039" i="1" s="1"/>
  <c r="O1039" i="1"/>
  <c r="AF1039" i="1" s="1"/>
  <c r="M1040" i="1"/>
  <c r="AE1040" i="1" s="1"/>
  <c r="O1040" i="1"/>
  <c r="AF1040" i="1" s="1"/>
  <c r="M1041" i="1"/>
  <c r="AE1041" i="1" s="1"/>
  <c r="O1041" i="1"/>
  <c r="AF1041" i="1" s="1"/>
  <c r="M1042" i="1"/>
  <c r="AE1042" i="1" s="1"/>
  <c r="O1042" i="1"/>
  <c r="AF1042" i="1" s="1"/>
  <c r="M1043" i="1"/>
  <c r="AE1043" i="1" s="1"/>
  <c r="O1043" i="1"/>
  <c r="AF1043" i="1" s="1"/>
  <c r="M1045" i="1"/>
  <c r="AE1045" i="1" s="1"/>
  <c r="O1045" i="1"/>
  <c r="AF1045" i="1" s="1"/>
  <c r="M1046" i="1"/>
  <c r="AE1046" i="1" s="1"/>
  <c r="O1046" i="1"/>
  <c r="AF1046" i="1" s="1"/>
  <c r="M1047" i="1"/>
  <c r="AE1047" i="1" s="1"/>
  <c r="O1047" i="1"/>
  <c r="AF1047" i="1" s="1"/>
  <c r="M1048" i="1"/>
  <c r="AE1048" i="1" s="1"/>
  <c r="O1048" i="1"/>
  <c r="AF1048" i="1" s="1"/>
  <c r="M1049" i="1"/>
  <c r="AE1049" i="1" s="1"/>
  <c r="O1049" i="1"/>
  <c r="AF1049" i="1" s="1"/>
  <c r="M1050" i="1"/>
  <c r="AE1050" i="1" s="1"/>
  <c r="O1050" i="1"/>
  <c r="AF1050" i="1" s="1"/>
  <c r="M1051" i="1"/>
  <c r="AE1051" i="1" s="1"/>
  <c r="O1051" i="1"/>
  <c r="AF1051" i="1" s="1"/>
  <c r="M1052" i="1"/>
  <c r="AE1052" i="1" s="1"/>
  <c r="O1052" i="1"/>
  <c r="AF1052" i="1" s="1"/>
  <c r="M1053" i="1"/>
  <c r="AE1053" i="1" s="1"/>
  <c r="O1053" i="1"/>
  <c r="AF1053" i="1" s="1"/>
  <c r="M1054" i="1"/>
  <c r="AE1054" i="1" s="1"/>
  <c r="O1054" i="1"/>
  <c r="AF1054" i="1" s="1"/>
  <c r="M1055" i="1"/>
  <c r="AE1055" i="1" s="1"/>
  <c r="O1055" i="1"/>
  <c r="AF1055" i="1" s="1"/>
  <c r="M1056" i="1"/>
  <c r="AE1056" i="1" s="1"/>
  <c r="O1056" i="1"/>
  <c r="AF1056" i="1" s="1"/>
  <c r="M1057" i="1"/>
  <c r="AE1057" i="1" s="1"/>
  <c r="O1057" i="1"/>
  <c r="AF1057" i="1" s="1"/>
  <c r="M1058" i="1"/>
  <c r="AE1058" i="1" s="1"/>
  <c r="O1058" i="1"/>
  <c r="AF1058" i="1" s="1"/>
  <c r="M1059" i="1"/>
  <c r="AE1059" i="1" s="1"/>
  <c r="O1059" i="1"/>
  <c r="AF1059" i="1" s="1"/>
  <c r="M1060" i="1"/>
  <c r="AE1060" i="1" s="1"/>
  <c r="O1060" i="1"/>
  <c r="AF1060" i="1" s="1"/>
  <c r="M1061" i="1"/>
  <c r="AE1061" i="1" s="1"/>
  <c r="O1061" i="1"/>
  <c r="AF1061" i="1" s="1"/>
  <c r="M1822" i="1"/>
  <c r="AE1822" i="1" s="1"/>
  <c r="O1822" i="1"/>
  <c r="AF1822" i="1" s="1"/>
  <c r="M1062" i="1"/>
  <c r="AE1062" i="1" s="1"/>
  <c r="O1062" i="1"/>
  <c r="AF1062" i="1" s="1"/>
  <c r="M1064" i="1"/>
  <c r="AE1064" i="1" s="1"/>
  <c r="O1064" i="1"/>
  <c r="AF1064" i="1" s="1"/>
  <c r="M1065" i="1"/>
  <c r="AE1065" i="1" s="1"/>
  <c r="O1065" i="1"/>
  <c r="AF1065" i="1" s="1"/>
  <c r="M1067" i="1"/>
  <c r="AE1067" i="1" s="1"/>
  <c r="O1067" i="1"/>
  <c r="AF1067" i="1" s="1"/>
  <c r="M1070" i="1"/>
  <c r="AE1070" i="1" s="1"/>
  <c r="O1070" i="1"/>
  <c r="AF1070" i="1" s="1"/>
  <c r="M1071" i="1"/>
  <c r="AE1071" i="1" s="1"/>
  <c r="O1071" i="1"/>
  <c r="AF1071" i="1" s="1"/>
  <c r="M1072" i="1"/>
  <c r="AE1072" i="1" s="1"/>
  <c r="O1072" i="1"/>
  <c r="AF1072" i="1" s="1"/>
  <c r="M1074" i="1"/>
  <c r="AE1074" i="1" s="1"/>
  <c r="O1074" i="1"/>
  <c r="AF1074" i="1" s="1"/>
  <c r="M1075" i="1"/>
  <c r="AE1075" i="1" s="1"/>
  <c r="O1075" i="1"/>
  <c r="AF1075" i="1" s="1"/>
  <c r="M1076" i="1"/>
  <c r="AE1076" i="1" s="1"/>
  <c r="O1076" i="1"/>
  <c r="AF1076" i="1" s="1"/>
  <c r="M1077" i="1"/>
  <c r="AE1077" i="1" s="1"/>
  <c r="O1077" i="1"/>
  <c r="AF1077" i="1" s="1"/>
  <c r="M1078" i="1"/>
  <c r="AE1078" i="1" s="1"/>
  <c r="O1078" i="1"/>
  <c r="AF1078" i="1" s="1"/>
  <c r="M1079" i="1"/>
  <c r="AE1079" i="1" s="1"/>
  <c r="O1079" i="1"/>
  <c r="AF1079" i="1" s="1"/>
  <c r="M1083" i="1"/>
  <c r="AE1083" i="1" s="1"/>
  <c r="O1083" i="1"/>
  <c r="AF1083" i="1" s="1"/>
  <c r="M1084" i="1"/>
  <c r="AE1084" i="1" s="1"/>
  <c r="O1084" i="1"/>
  <c r="AF1084" i="1" s="1"/>
  <c r="M1085" i="1"/>
  <c r="AE1085" i="1" s="1"/>
  <c r="O1085" i="1"/>
  <c r="AF1085" i="1" s="1"/>
  <c r="M1086" i="1"/>
  <c r="AE1086" i="1" s="1"/>
  <c r="O1086" i="1"/>
  <c r="AF1086" i="1" s="1"/>
  <c r="M1087" i="1"/>
  <c r="AE1087" i="1" s="1"/>
  <c r="O1087" i="1"/>
  <c r="AF1087" i="1" s="1"/>
  <c r="M1088" i="1"/>
  <c r="AE1088" i="1" s="1"/>
  <c r="O1088" i="1"/>
  <c r="AF1088" i="1" s="1"/>
  <c r="M1091" i="1"/>
  <c r="AE1091" i="1" s="1"/>
  <c r="O1091" i="1"/>
  <c r="AF1091" i="1" s="1"/>
  <c r="M1092" i="1"/>
  <c r="AE1092" i="1" s="1"/>
  <c r="O1092" i="1"/>
  <c r="AF1092" i="1" s="1"/>
  <c r="M1093" i="1"/>
  <c r="AE1093" i="1" s="1"/>
  <c r="O1093" i="1"/>
  <c r="AF1093" i="1" s="1"/>
  <c r="M1094" i="1"/>
  <c r="AE1094" i="1" s="1"/>
  <c r="O1094" i="1"/>
  <c r="AF1094" i="1" s="1"/>
  <c r="M1095" i="1"/>
  <c r="AE1095" i="1" s="1"/>
  <c r="O1095" i="1"/>
  <c r="AF1095" i="1" s="1"/>
  <c r="M1097" i="1"/>
  <c r="AE1097" i="1" s="1"/>
  <c r="O1097" i="1"/>
  <c r="AF1097" i="1" s="1"/>
  <c r="M1100" i="1"/>
  <c r="AE1100" i="1" s="1"/>
  <c r="O1100" i="1"/>
  <c r="AF1100" i="1" s="1"/>
  <c r="M1102" i="1"/>
  <c r="AE1102" i="1" s="1"/>
  <c r="O1102" i="1"/>
  <c r="AF1102" i="1" s="1"/>
  <c r="M1104" i="1"/>
  <c r="AE1104" i="1" s="1"/>
  <c r="O1104" i="1"/>
  <c r="AF1104" i="1" s="1"/>
  <c r="M1105" i="1"/>
  <c r="AE1105" i="1" s="1"/>
  <c r="O1105" i="1"/>
  <c r="AF1105" i="1" s="1"/>
  <c r="M1106" i="1"/>
  <c r="AE1106" i="1" s="1"/>
  <c r="O1106" i="1"/>
  <c r="AF1106" i="1" s="1"/>
  <c r="M1107" i="1"/>
  <c r="AE1107" i="1" s="1"/>
  <c r="O1107" i="1"/>
  <c r="AF1107" i="1" s="1"/>
  <c r="M1108" i="1"/>
  <c r="AE1108" i="1" s="1"/>
  <c r="O1108" i="1"/>
  <c r="AF1108" i="1" s="1"/>
  <c r="M1109" i="1"/>
  <c r="AE1109" i="1" s="1"/>
  <c r="O1109" i="1"/>
  <c r="AF1109" i="1" s="1"/>
  <c r="M1110" i="1"/>
  <c r="AE1110" i="1" s="1"/>
  <c r="O1110" i="1"/>
  <c r="AF1110" i="1" s="1"/>
  <c r="M1111" i="1"/>
  <c r="AE1111" i="1" s="1"/>
  <c r="O1111" i="1"/>
  <c r="AF1111" i="1" s="1"/>
  <c r="M1112" i="1"/>
  <c r="AE1112" i="1" s="1"/>
  <c r="O1112" i="1"/>
  <c r="AF1112" i="1" s="1"/>
  <c r="M1113" i="1"/>
  <c r="AE1113" i="1" s="1"/>
  <c r="O1113" i="1"/>
  <c r="AF1113" i="1" s="1"/>
  <c r="M1115" i="1"/>
  <c r="AE1115" i="1" s="1"/>
  <c r="O1115" i="1"/>
  <c r="AF1115" i="1" s="1"/>
  <c r="M1117" i="1"/>
  <c r="AE1117" i="1" s="1"/>
  <c r="O1117" i="1"/>
  <c r="AF1117" i="1" s="1"/>
  <c r="M1118" i="1"/>
  <c r="AE1118" i="1" s="1"/>
  <c r="O1118" i="1"/>
  <c r="AF1118" i="1" s="1"/>
  <c r="M1122" i="1"/>
  <c r="AE1122" i="1" s="1"/>
  <c r="O1122" i="1"/>
  <c r="AF1122" i="1" s="1"/>
  <c r="M1123" i="1"/>
  <c r="AE1123" i="1" s="1"/>
  <c r="O1123" i="1"/>
  <c r="AF1123" i="1" s="1"/>
  <c r="M1124" i="1"/>
  <c r="AE1124" i="1" s="1"/>
  <c r="O1124" i="1"/>
  <c r="AF1124" i="1" s="1"/>
  <c r="M1125" i="1"/>
  <c r="AE1125" i="1" s="1"/>
  <c r="O1125" i="1"/>
  <c r="AF1125" i="1" s="1"/>
  <c r="M1126" i="1"/>
  <c r="AE1126" i="1" s="1"/>
  <c r="O1126" i="1"/>
  <c r="AF1126" i="1" s="1"/>
  <c r="M1128" i="1"/>
  <c r="AE1128" i="1" s="1"/>
  <c r="O1128" i="1"/>
  <c r="AF1128" i="1" s="1"/>
  <c r="M1130" i="1"/>
  <c r="AE1130" i="1" s="1"/>
  <c r="O1130" i="1"/>
  <c r="AF1130" i="1" s="1"/>
  <c r="M1131" i="1"/>
  <c r="AE1131" i="1" s="1"/>
  <c r="O1131" i="1"/>
  <c r="AF1131" i="1" s="1"/>
  <c r="M1132" i="1"/>
  <c r="AE1132" i="1" s="1"/>
  <c r="O1132" i="1"/>
  <c r="AF1132" i="1" s="1"/>
  <c r="M1133" i="1"/>
  <c r="AE1133" i="1" s="1"/>
  <c r="O1133" i="1"/>
  <c r="AF1133" i="1" s="1"/>
  <c r="M1135" i="1"/>
  <c r="AE1135" i="1" s="1"/>
  <c r="O1135" i="1"/>
  <c r="AF1135" i="1" s="1"/>
  <c r="M1136" i="1"/>
  <c r="AE1136" i="1" s="1"/>
  <c r="O1136" i="1"/>
  <c r="AF1136" i="1" s="1"/>
  <c r="M1138" i="1"/>
  <c r="AE1138" i="1" s="1"/>
  <c r="O1138" i="1"/>
  <c r="AF1138" i="1" s="1"/>
  <c r="M1139" i="1"/>
  <c r="AE1139" i="1" s="1"/>
  <c r="O1139" i="1"/>
  <c r="AF1139" i="1" s="1"/>
  <c r="M1141" i="1"/>
  <c r="AE1141" i="1" s="1"/>
  <c r="O1141" i="1"/>
  <c r="AF1141" i="1" s="1"/>
  <c r="M1142" i="1"/>
  <c r="AE1142" i="1" s="1"/>
  <c r="O1142" i="1"/>
  <c r="AF1142" i="1" s="1"/>
  <c r="M1143" i="1"/>
  <c r="AE1143" i="1" s="1"/>
  <c r="O1143" i="1"/>
  <c r="AF1143" i="1" s="1"/>
  <c r="M1144" i="1"/>
  <c r="AE1144" i="1" s="1"/>
  <c r="O1144" i="1"/>
  <c r="AF1144" i="1" s="1"/>
  <c r="M1145" i="1"/>
  <c r="AE1145" i="1" s="1"/>
  <c r="O1145" i="1"/>
  <c r="AF1145" i="1" s="1"/>
  <c r="M1146" i="1"/>
  <c r="AE1146" i="1" s="1"/>
  <c r="O1146" i="1"/>
  <c r="AF1146" i="1" s="1"/>
  <c r="M1148" i="1"/>
  <c r="AE1148" i="1" s="1"/>
  <c r="O1148" i="1"/>
  <c r="AF1148" i="1" s="1"/>
  <c r="M1149" i="1"/>
  <c r="AE1149" i="1" s="1"/>
  <c r="O1149" i="1"/>
  <c r="AF1149" i="1" s="1"/>
  <c r="M1150" i="1"/>
  <c r="AE1150" i="1" s="1"/>
  <c r="O1150" i="1"/>
  <c r="AF1150" i="1" s="1"/>
  <c r="M1151" i="1"/>
  <c r="AE1151" i="1" s="1"/>
  <c r="O1151" i="1"/>
  <c r="AF1151" i="1" s="1"/>
  <c r="M1153" i="1"/>
  <c r="AE1153" i="1" s="1"/>
  <c r="O1153" i="1"/>
  <c r="AF1153" i="1" s="1"/>
  <c r="M1154" i="1"/>
  <c r="AE1154" i="1" s="1"/>
  <c r="O1154" i="1"/>
  <c r="AF1154" i="1" s="1"/>
  <c r="M1156" i="1"/>
  <c r="AE1156" i="1" s="1"/>
  <c r="O1156" i="1"/>
  <c r="AF1156" i="1" s="1"/>
  <c r="M1157" i="1"/>
  <c r="AE1157" i="1" s="1"/>
  <c r="O1157" i="1"/>
  <c r="AF1157" i="1" s="1"/>
  <c r="M1158" i="1"/>
  <c r="AE1158" i="1" s="1"/>
  <c r="O1158" i="1"/>
  <c r="AF1158" i="1" s="1"/>
  <c r="M1159" i="1"/>
  <c r="AE1159" i="1" s="1"/>
  <c r="O1159" i="1"/>
  <c r="AF1159" i="1" s="1"/>
  <c r="M1161" i="1"/>
  <c r="AE1161" i="1" s="1"/>
  <c r="O1161" i="1"/>
  <c r="AF1161" i="1" s="1"/>
  <c r="M1164" i="1"/>
  <c r="AE1164" i="1" s="1"/>
  <c r="O1164" i="1"/>
  <c r="AF1164" i="1" s="1"/>
  <c r="M1165" i="1"/>
  <c r="AE1165" i="1" s="1"/>
  <c r="O1165" i="1"/>
  <c r="AF1165" i="1" s="1"/>
  <c r="M1166" i="1"/>
  <c r="AE1166" i="1" s="1"/>
  <c r="O1166" i="1"/>
  <c r="AF1166" i="1" s="1"/>
  <c r="M1168" i="1"/>
  <c r="AE1168" i="1" s="1"/>
  <c r="O1168" i="1"/>
  <c r="AF1168" i="1" s="1"/>
  <c r="M1169" i="1"/>
  <c r="AE1169" i="1" s="1"/>
  <c r="O1169" i="1"/>
  <c r="AF1169" i="1" s="1"/>
  <c r="M1170" i="1"/>
  <c r="AE1170" i="1" s="1"/>
  <c r="O1170" i="1"/>
  <c r="AF1170" i="1" s="1"/>
  <c r="M1171" i="1"/>
  <c r="AE1171" i="1" s="1"/>
  <c r="O1171" i="1"/>
  <c r="AF1171" i="1" s="1"/>
  <c r="M1172" i="1"/>
  <c r="AE1172" i="1" s="1"/>
  <c r="O1172" i="1"/>
  <c r="AF1172" i="1" s="1"/>
  <c r="M1173" i="1"/>
  <c r="AE1173" i="1" s="1"/>
  <c r="O1173" i="1"/>
  <c r="AF1173" i="1" s="1"/>
  <c r="M1174" i="1"/>
  <c r="AE1174" i="1" s="1"/>
  <c r="O1174" i="1"/>
  <c r="AF1174" i="1" s="1"/>
  <c r="M1175" i="1"/>
  <c r="AE1175" i="1" s="1"/>
  <c r="O1175" i="1"/>
  <c r="AF1175" i="1" s="1"/>
  <c r="M1176" i="1"/>
  <c r="AE1176" i="1" s="1"/>
  <c r="O1176" i="1"/>
  <c r="AF1176" i="1" s="1"/>
  <c r="M1177" i="1"/>
  <c r="AE1177" i="1" s="1"/>
  <c r="O1177" i="1"/>
  <c r="AF1177" i="1" s="1"/>
  <c r="M1179" i="1"/>
  <c r="AE1179" i="1" s="1"/>
  <c r="O1179" i="1"/>
  <c r="AF1179" i="1" s="1"/>
  <c r="M1180" i="1"/>
  <c r="AE1180" i="1" s="1"/>
  <c r="O1180" i="1"/>
  <c r="AF1180" i="1" s="1"/>
  <c r="M1181" i="1"/>
  <c r="AE1181" i="1" s="1"/>
  <c r="O1181" i="1"/>
  <c r="AF1181" i="1" s="1"/>
  <c r="M1183" i="1"/>
  <c r="AE1183" i="1" s="1"/>
  <c r="O1183" i="1"/>
  <c r="AF1183" i="1" s="1"/>
  <c r="M1184" i="1"/>
  <c r="AE1184" i="1" s="1"/>
  <c r="O1184" i="1"/>
  <c r="AF1184" i="1" s="1"/>
  <c r="M1185" i="1"/>
  <c r="AE1185" i="1" s="1"/>
  <c r="O1185" i="1"/>
  <c r="AF1185" i="1" s="1"/>
  <c r="M1186" i="1"/>
  <c r="AE1186" i="1" s="1"/>
  <c r="O1186" i="1"/>
  <c r="AF1186" i="1" s="1"/>
  <c r="M1188" i="1"/>
  <c r="AE1188" i="1" s="1"/>
  <c r="O1188" i="1"/>
  <c r="AF1188" i="1" s="1"/>
  <c r="M1189" i="1"/>
  <c r="AE1189" i="1" s="1"/>
  <c r="O1189" i="1"/>
  <c r="AF1189" i="1" s="1"/>
  <c r="M1190" i="1"/>
  <c r="AE1190" i="1" s="1"/>
  <c r="O1190" i="1"/>
  <c r="AF1190" i="1" s="1"/>
  <c r="M1191" i="1"/>
  <c r="AE1191" i="1" s="1"/>
  <c r="O1191" i="1"/>
  <c r="AF1191" i="1" s="1"/>
  <c r="M1193" i="1"/>
  <c r="AE1193" i="1" s="1"/>
  <c r="O1193" i="1"/>
  <c r="AF1193" i="1" s="1"/>
  <c r="M1194" i="1"/>
  <c r="AE1194" i="1" s="1"/>
  <c r="O1194" i="1"/>
  <c r="AF1194" i="1" s="1"/>
  <c r="M1195" i="1"/>
  <c r="AE1195" i="1" s="1"/>
  <c r="O1195" i="1"/>
  <c r="AF1195" i="1" s="1"/>
  <c r="M1228" i="1"/>
  <c r="AE1228" i="1" s="1"/>
  <c r="O1228" i="1"/>
  <c r="AF1228" i="1" s="1"/>
  <c r="M1196" i="1"/>
  <c r="AE1196" i="1" s="1"/>
  <c r="O1196" i="1"/>
  <c r="AF1196" i="1" s="1"/>
  <c r="M1197" i="1"/>
  <c r="AE1197" i="1" s="1"/>
  <c r="O1197" i="1"/>
  <c r="AF1197" i="1" s="1"/>
  <c r="M1198" i="1"/>
  <c r="AE1198" i="1" s="1"/>
  <c r="O1198" i="1"/>
  <c r="AF1198" i="1" s="1"/>
  <c r="M1200" i="1"/>
  <c r="AE1200" i="1" s="1"/>
  <c r="O1200" i="1"/>
  <c r="AF1200" i="1" s="1"/>
  <c r="M1201" i="1"/>
  <c r="AE1201" i="1" s="1"/>
  <c r="O1201" i="1"/>
  <c r="AF1201" i="1" s="1"/>
  <c r="M1202" i="1"/>
  <c r="AE1202" i="1" s="1"/>
  <c r="O1202" i="1"/>
  <c r="AF1202" i="1" s="1"/>
  <c r="M1203" i="1"/>
  <c r="AE1203" i="1" s="1"/>
  <c r="O1203" i="1"/>
  <c r="AF1203" i="1" s="1"/>
  <c r="M1204" i="1"/>
  <c r="AE1204" i="1" s="1"/>
  <c r="O1204" i="1"/>
  <c r="AF1204" i="1" s="1"/>
  <c r="M1205" i="1"/>
  <c r="AE1205" i="1" s="1"/>
  <c r="O1205" i="1"/>
  <c r="AF1205" i="1" s="1"/>
  <c r="M1206" i="1"/>
  <c r="AE1206" i="1" s="1"/>
  <c r="O1206" i="1"/>
  <c r="AF1206" i="1" s="1"/>
  <c r="M1207" i="1"/>
  <c r="AE1207" i="1" s="1"/>
  <c r="O1207" i="1"/>
  <c r="AF1207" i="1" s="1"/>
  <c r="M1208" i="1"/>
  <c r="AE1208" i="1" s="1"/>
  <c r="O1208" i="1"/>
  <c r="AF1208" i="1" s="1"/>
  <c r="M1209" i="1"/>
  <c r="AE1209" i="1" s="1"/>
  <c r="O1209" i="1"/>
  <c r="AF1209" i="1" s="1"/>
  <c r="M1210" i="1"/>
  <c r="AE1210" i="1" s="1"/>
  <c r="O1210" i="1"/>
  <c r="AF1210" i="1" s="1"/>
  <c r="M1211" i="1"/>
  <c r="AE1211" i="1" s="1"/>
  <c r="O1211" i="1"/>
  <c r="AF1211" i="1" s="1"/>
  <c r="M1212" i="1"/>
  <c r="AE1212" i="1" s="1"/>
  <c r="O1212" i="1"/>
  <c r="AF1212" i="1" s="1"/>
  <c r="M1213" i="1"/>
  <c r="AE1213" i="1" s="1"/>
  <c r="O1213" i="1"/>
  <c r="AF1213" i="1" s="1"/>
  <c r="M1215" i="1"/>
  <c r="AE1215" i="1" s="1"/>
  <c r="O1215" i="1"/>
  <c r="AF1215" i="1" s="1"/>
  <c r="M1216" i="1"/>
  <c r="AE1216" i="1" s="1"/>
  <c r="O1216" i="1"/>
  <c r="AF1216" i="1" s="1"/>
  <c r="M1217" i="1"/>
  <c r="AE1217" i="1" s="1"/>
  <c r="O1217" i="1"/>
  <c r="AF1217" i="1" s="1"/>
  <c r="M808" i="1"/>
  <c r="AE808" i="1" s="1"/>
  <c r="O808" i="1"/>
  <c r="AF808" i="1" s="1"/>
  <c r="M1219" i="1"/>
  <c r="AE1219" i="1" s="1"/>
  <c r="O1219" i="1"/>
  <c r="AF1219" i="1" s="1"/>
  <c r="M1220" i="1"/>
  <c r="AE1220" i="1" s="1"/>
  <c r="O1220" i="1"/>
  <c r="AF1220" i="1" s="1"/>
  <c r="M1221" i="1"/>
  <c r="AE1221" i="1" s="1"/>
  <c r="O1221" i="1"/>
  <c r="AF1221" i="1" s="1"/>
  <c r="M1222" i="1"/>
  <c r="AE1222" i="1" s="1"/>
  <c r="O1222" i="1"/>
  <c r="AF1222" i="1" s="1"/>
  <c r="M1223" i="1"/>
  <c r="AE1223" i="1" s="1"/>
  <c r="O1223" i="1"/>
  <c r="AF1223" i="1" s="1"/>
  <c r="M1224" i="1"/>
  <c r="AE1224" i="1" s="1"/>
  <c r="O1224" i="1"/>
  <c r="AF1224" i="1" s="1"/>
  <c r="M1225" i="1"/>
  <c r="AE1225" i="1" s="1"/>
  <c r="O1225" i="1"/>
  <c r="AF1225" i="1" s="1"/>
  <c r="M1226" i="1"/>
  <c r="AE1226" i="1" s="1"/>
  <c r="O1226" i="1"/>
  <c r="AF1226" i="1" s="1"/>
  <c r="M1227" i="1"/>
  <c r="AE1227" i="1" s="1"/>
  <c r="O1227" i="1"/>
  <c r="AF1227" i="1" s="1"/>
  <c r="M1229" i="1"/>
  <c r="AE1229" i="1" s="1"/>
  <c r="O1229" i="1"/>
  <c r="AF1229" i="1" s="1"/>
  <c r="M1230" i="1"/>
  <c r="AE1230" i="1" s="1"/>
  <c r="O1230" i="1"/>
  <c r="AF1230" i="1" s="1"/>
  <c r="M1233" i="1"/>
  <c r="AE1233" i="1" s="1"/>
  <c r="O1233" i="1"/>
  <c r="AF1233" i="1" s="1"/>
  <c r="M1234" i="1"/>
  <c r="AE1234" i="1" s="1"/>
  <c r="O1234" i="1"/>
  <c r="AF1234" i="1" s="1"/>
  <c r="M1235" i="1"/>
  <c r="AE1235" i="1" s="1"/>
  <c r="O1235" i="1"/>
  <c r="AF1235" i="1" s="1"/>
  <c r="M1236" i="1"/>
  <c r="AE1236" i="1" s="1"/>
  <c r="O1236" i="1"/>
  <c r="AF1236" i="1" s="1"/>
  <c r="M1237" i="1"/>
  <c r="AE1237" i="1" s="1"/>
  <c r="O1237" i="1"/>
  <c r="AF1237" i="1" s="1"/>
  <c r="M1238" i="1"/>
  <c r="AE1238" i="1" s="1"/>
  <c r="O1238" i="1"/>
  <c r="AF1238" i="1" s="1"/>
  <c r="M1239" i="1"/>
  <c r="AE1239" i="1" s="1"/>
  <c r="O1239" i="1"/>
  <c r="AF1239" i="1" s="1"/>
  <c r="M1240" i="1"/>
  <c r="AE1240" i="1" s="1"/>
  <c r="O1240" i="1"/>
  <c r="AF1240" i="1" s="1"/>
  <c r="M1242" i="1"/>
  <c r="AE1242" i="1" s="1"/>
  <c r="O1242" i="1"/>
  <c r="AF1242" i="1" s="1"/>
  <c r="M1243" i="1"/>
  <c r="AE1243" i="1" s="1"/>
  <c r="O1243" i="1"/>
  <c r="AF1243" i="1" s="1"/>
  <c r="M1245" i="1"/>
  <c r="AE1245" i="1" s="1"/>
  <c r="O1245" i="1"/>
  <c r="AF1245" i="1" s="1"/>
  <c r="M1249" i="1"/>
  <c r="AE1249" i="1" s="1"/>
  <c r="O1249" i="1"/>
  <c r="AF1249" i="1" s="1"/>
  <c r="M1251" i="1"/>
  <c r="AE1251" i="1" s="1"/>
  <c r="O1251" i="1"/>
  <c r="AF1251" i="1" s="1"/>
  <c r="M1253" i="1"/>
  <c r="AE1253" i="1" s="1"/>
  <c r="O1253" i="1"/>
  <c r="AF1253" i="1" s="1"/>
  <c r="M1254" i="1"/>
  <c r="AE1254" i="1" s="1"/>
  <c r="O1254" i="1"/>
  <c r="AF1254" i="1" s="1"/>
  <c r="M1255" i="1"/>
  <c r="AE1255" i="1" s="1"/>
  <c r="O1255" i="1"/>
  <c r="AF1255" i="1" s="1"/>
  <c r="M1256" i="1"/>
  <c r="AE1256" i="1" s="1"/>
  <c r="O1256" i="1"/>
  <c r="AF1256" i="1" s="1"/>
  <c r="M1257" i="1"/>
  <c r="AE1257" i="1" s="1"/>
  <c r="O1257" i="1"/>
  <c r="AF1257" i="1" s="1"/>
  <c r="M1259" i="1"/>
  <c r="AE1259" i="1" s="1"/>
  <c r="O1259" i="1"/>
  <c r="AF1259" i="1" s="1"/>
  <c r="M1262" i="1"/>
  <c r="AE1262" i="1" s="1"/>
  <c r="O1262" i="1"/>
  <c r="AF1262" i="1" s="1"/>
  <c r="M1263" i="1"/>
  <c r="AE1263" i="1" s="1"/>
  <c r="O1263" i="1"/>
  <c r="AF1263" i="1" s="1"/>
  <c r="M1264" i="1"/>
  <c r="AE1264" i="1" s="1"/>
  <c r="O1264" i="1"/>
  <c r="AF1264" i="1" s="1"/>
  <c r="M1265" i="1"/>
  <c r="AE1265" i="1" s="1"/>
  <c r="O1265" i="1"/>
  <c r="AF1265" i="1" s="1"/>
  <c r="M1267" i="1"/>
  <c r="AE1267" i="1" s="1"/>
  <c r="O1267" i="1"/>
  <c r="AF1267" i="1" s="1"/>
  <c r="M1268" i="1"/>
  <c r="AE1268" i="1" s="1"/>
  <c r="O1268" i="1"/>
  <c r="AF1268" i="1" s="1"/>
  <c r="M882" i="1"/>
  <c r="AE882" i="1" s="1"/>
  <c r="O882" i="1"/>
  <c r="AF882" i="1" s="1"/>
  <c r="M1270" i="1"/>
  <c r="AE1270" i="1" s="1"/>
  <c r="O1270" i="1"/>
  <c r="AF1270" i="1" s="1"/>
  <c r="M1272" i="1"/>
  <c r="AE1272" i="1" s="1"/>
  <c r="O1272" i="1"/>
  <c r="AF1272" i="1" s="1"/>
  <c r="M2594" i="1"/>
  <c r="AE2594" i="1" s="1"/>
  <c r="O2594" i="1"/>
  <c r="AF2594" i="1" s="1"/>
  <c r="M2603" i="1"/>
  <c r="AE2603" i="1" s="1"/>
  <c r="O2603" i="1"/>
  <c r="AF2603" i="1" s="1"/>
  <c r="M2610" i="1"/>
  <c r="AE2610" i="1" s="1"/>
  <c r="O2610" i="1"/>
  <c r="AF2610" i="1" s="1"/>
  <c r="M2611" i="1"/>
  <c r="AE2611" i="1" s="1"/>
  <c r="O2611" i="1"/>
  <c r="AF2611" i="1" s="1"/>
  <c r="M2613" i="1"/>
  <c r="AE2613" i="1" s="1"/>
  <c r="O2613" i="1"/>
  <c r="AF2613" i="1" s="1"/>
  <c r="M2614" i="1"/>
  <c r="AE2614" i="1" s="1"/>
  <c r="O2614" i="1"/>
  <c r="AF2614" i="1" s="1"/>
  <c r="M2615" i="1"/>
  <c r="AE2615" i="1" s="1"/>
  <c r="O2615" i="1"/>
  <c r="AF2615" i="1" s="1"/>
  <c r="M1274" i="1"/>
  <c r="AE1274" i="1" s="1"/>
  <c r="O1274" i="1"/>
  <c r="AF1274" i="1" s="1"/>
  <c r="M1275" i="1"/>
  <c r="AE1275" i="1" s="1"/>
  <c r="O1275" i="1"/>
  <c r="AF1275" i="1" s="1"/>
  <c r="M1276" i="1"/>
  <c r="AE1276" i="1" s="1"/>
  <c r="O1276" i="1"/>
  <c r="AF1276" i="1" s="1"/>
  <c r="M1278" i="1"/>
  <c r="AE1278" i="1" s="1"/>
  <c r="O1278" i="1"/>
  <c r="AF1278" i="1" s="1"/>
  <c r="M1280" i="1"/>
  <c r="AE1280" i="1" s="1"/>
  <c r="O1280" i="1"/>
  <c r="AF1280" i="1" s="1"/>
  <c r="M1281" i="1"/>
  <c r="AE1281" i="1" s="1"/>
  <c r="O1281" i="1"/>
  <c r="AF1281" i="1" s="1"/>
  <c r="M1283" i="1"/>
  <c r="AE1283" i="1" s="1"/>
  <c r="O1283" i="1"/>
  <c r="AF1283" i="1" s="1"/>
  <c r="M1284" i="1"/>
  <c r="AE1284" i="1" s="1"/>
  <c r="O1284" i="1"/>
  <c r="AF1284" i="1" s="1"/>
  <c r="M1285" i="1"/>
  <c r="AE1285" i="1" s="1"/>
  <c r="O1285" i="1"/>
  <c r="AF1285" i="1" s="1"/>
  <c r="M1286" i="1"/>
  <c r="AE1286" i="1" s="1"/>
  <c r="O1286" i="1"/>
  <c r="AF1286" i="1" s="1"/>
  <c r="M1287" i="1"/>
  <c r="AE1287" i="1" s="1"/>
  <c r="O1287" i="1"/>
  <c r="AF1287" i="1" s="1"/>
  <c r="M1288" i="1"/>
  <c r="AE1288" i="1" s="1"/>
  <c r="O1288" i="1"/>
  <c r="AF1288" i="1" s="1"/>
  <c r="M1290" i="1"/>
  <c r="AE1290" i="1" s="1"/>
  <c r="O1290" i="1"/>
  <c r="AF1290" i="1" s="1"/>
  <c r="M1291" i="1"/>
  <c r="AE1291" i="1" s="1"/>
  <c r="O1291" i="1"/>
  <c r="AF1291" i="1" s="1"/>
  <c r="M1292" i="1"/>
  <c r="AE1292" i="1" s="1"/>
  <c r="O1292" i="1"/>
  <c r="AF1292" i="1" s="1"/>
  <c r="M1293" i="1"/>
  <c r="AE1293" i="1" s="1"/>
  <c r="O1293" i="1"/>
  <c r="AF1293" i="1" s="1"/>
  <c r="M1295" i="1"/>
  <c r="AE1295" i="1" s="1"/>
  <c r="O1295" i="1"/>
  <c r="AF1295" i="1" s="1"/>
  <c r="M1296" i="1"/>
  <c r="AE1296" i="1" s="1"/>
  <c r="O1296" i="1"/>
  <c r="AF1296" i="1" s="1"/>
  <c r="M1299" i="1"/>
  <c r="AE1299" i="1" s="1"/>
  <c r="O1299" i="1"/>
  <c r="AF1299" i="1" s="1"/>
  <c r="M1300" i="1"/>
  <c r="AE1300" i="1" s="1"/>
  <c r="O1300" i="1"/>
  <c r="AF1300" i="1" s="1"/>
  <c r="M1302" i="1"/>
  <c r="AE1302" i="1" s="1"/>
  <c r="O1302" i="1"/>
  <c r="AF1302" i="1" s="1"/>
  <c r="M1303" i="1"/>
  <c r="AE1303" i="1" s="1"/>
  <c r="O1303" i="1"/>
  <c r="AF1303" i="1" s="1"/>
  <c r="M1304" i="1"/>
  <c r="AE1304" i="1" s="1"/>
  <c r="O1304" i="1"/>
  <c r="AF1304" i="1" s="1"/>
  <c r="M1305" i="1"/>
  <c r="AE1305" i="1" s="1"/>
  <c r="O1305" i="1"/>
  <c r="AF1305" i="1" s="1"/>
  <c r="M1306" i="1"/>
  <c r="AE1306" i="1" s="1"/>
  <c r="O1306" i="1"/>
  <c r="AF1306" i="1" s="1"/>
  <c r="M1307" i="1"/>
  <c r="AE1307" i="1" s="1"/>
  <c r="O1307" i="1"/>
  <c r="AF1307" i="1" s="1"/>
  <c r="M1309" i="1"/>
  <c r="AE1309" i="1" s="1"/>
  <c r="O1309" i="1"/>
  <c r="AF1309" i="1" s="1"/>
  <c r="M1310" i="1"/>
  <c r="AE1310" i="1" s="1"/>
  <c r="O1310" i="1"/>
  <c r="AF1310" i="1" s="1"/>
  <c r="M1311" i="1"/>
  <c r="AE1311" i="1" s="1"/>
  <c r="O1311" i="1"/>
  <c r="AF1311" i="1" s="1"/>
  <c r="M1313" i="1"/>
  <c r="AE1313" i="1" s="1"/>
  <c r="O1313" i="1"/>
  <c r="AF1313" i="1" s="1"/>
  <c r="M1314" i="1"/>
  <c r="AE1314" i="1" s="1"/>
  <c r="O1314" i="1"/>
  <c r="AF1314" i="1" s="1"/>
  <c r="M1315" i="1"/>
  <c r="AE1315" i="1" s="1"/>
  <c r="O1315" i="1"/>
  <c r="AF1315" i="1" s="1"/>
  <c r="M1316" i="1"/>
  <c r="AE1316" i="1" s="1"/>
  <c r="O1316" i="1"/>
  <c r="AF1316" i="1" s="1"/>
  <c r="M1317" i="1"/>
  <c r="AE1317" i="1" s="1"/>
  <c r="O1317" i="1"/>
  <c r="AF1317" i="1" s="1"/>
  <c r="M1318" i="1"/>
  <c r="AE1318" i="1" s="1"/>
  <c r="O1318" i="1"/>
  <c r="AF1318" i="1" s="1"/>
  <c r="M1319" i="1"/>
  <c r="AE1319" i="1" s="1"/>
  <c r="O1319" i="1"/>
  <c r="AF1319" i="1" s="1"/>
  <c r="M1320" i="1"/>
  <c r="AE1320" i="1" s="1"/>
  <c r="O1320" i="1"/>
  <c r="AF1320" i="1" s="1"/>
  <c r="M1321" i="1"/>
  <c r="AE1321" i="1" s="1"/>
  <c r="O1321" i="1"/>
  <c r="AF1321" i="1" s="1"/>
  <c r="M1322" i="1"/>
  <c r="AE1322" i="1" s="1"/>
  <c r="O1322" i="1"/>
  <c r="AF1322" i="1" s="1"/>
  <c r="M1324" i="1"/>
  <c r="AE1324" i="1" s="1"/>
  <c r="O1324" i="1"/>
  <c r="AF1324" i="1" s="1"/>
  <c r="M1325" i="1"/>
  <c r="AE1325" i="1" s="1"/>
  <c r="O1325" i="1"/>
  <c r="AF1325" i="1" s="1"/>
  <c r="M1327" i="1"/>
  <c r="AE1327" i="1" s="1"/>
  <c r="O1327" i="1"/>
  <c r="AF1327" i="1" s="1"/>
  <c r="M1328" i="1"/>
  <c r="AE1328" i="1" s="1"/>
  <c r="O1328" i="1"/>
  <c r="AF1328" i="1" s="1"/>
  <c r="M1329" i="1"/>
  <c r="AE1329" i="1" s="1"/>
  <c r="O1329" i="1"/>
  <c r="AF1329" i="1" s="1"/>
  <c r="M1330" i="1"/>
  <c r="AE1330" i="1" s="1"/>
  <c r="O1330" i="1"/>
  <c r="AF1330" i="1" s="1"/>
  <c r="M1331" i="1"/>
  <c r="AE1331" i="1" s="1"/>
  <c r="O1331" i="1"/>
  <c r="AF1331" i="1" s="1"/>
  <c r="M1333" i="1"/>
  <c r="AE1333" i="1" s="1"/>
  <c r="O1333" i="1"/>
  <c r="AF1333" i="1" s="1"/>
  <c r="M1334" i="1"/>
  <c r="AE1334" i="1" s="1"/>
  <c r="O1334" i="1"/>
  <c r="AF1334" i="1" s="1"/>
  <c r="M1335" i="1"/>
  <c r="AE1335" i="1" s="1"/>
  <c r="O1335" i="1"/>
  <c r="AF1335" i="1" s="1"/>
  <c r="M1336" i="1"/>
  <c r="AE1336" i="1" s="1"/>
  <c r="O1336" i="1"/>
  <c r="AF1336" i="1" s="1"/>
  <c r="M1337" i="1"/>
  <c r="AE1337" i="1" s="1"/>
  <c r="O1337" i="1"/>
  <c r="AF1337" i="1" s="1"/>
  <c r="M1339" i="1"/>
  <c r="AE1339" i="1" s="1"/>
  <c r="O1339" i="1"/>
  <c r="AF1339" i="1" s="1"/>
  <c r="M1340" i="1"/>
  <c r="AE1340" i="1" s="1"/>
  <c r="O1340" i="1"/>
  <c r="AF1340" i="1" s="1"/>
  <c r="M1341" i="1"/>
  <c r="AE1341" i="1" s="1"/>
  <c r="O1341" i="1"/>
  <c r="AF1341" i="1" s="1"/>
  <c r="M1342" i="1"/>
  <c r="AE1342" i="1" s="1"/>
  <c r="O1342" i="1"/>
  <c r="AF1342" i="1" s="1"/>
  <c r="M1343" i="1"/>
  <c r="AE1343" i="1" s="1"/>
  <c r="O1343" i="1"/>
  <c r="AF1343" i="1" s="1"/>
  <c r="M1344" i="1"/>
  <c r="AE1344" i="1" s="1"/>
  <c r="O1344" i="1"/>
  <c r="AF1344" i="1" s="1"/>
  <c r="M1345" i="1"/>
  <c r="AE1345" i="1" s="1"/>
  <c r="O1345" i="1"/>
  <c r="AF1345" i="1" s="1"/>
  <c r="M1346" i="1"/>
  <c r="AE1346" i="1" s="1"/>
  <c r="O1346" i="1"/>
  <c r="AF1346" i="1" s="1"/>
  <c r="M1347" i="1"/>
  <c r="AE1347" i="1" s="1"/>
  <c r="O1347" i="1"/>
  <c r="AF1347" i="1" s="1"/>
  <c r="M1348" i="1"/>
  <c r="AE1348" i="1" s="1"/>
  <c r="O1348" i="1"/>
  <c r="AF1348" i="1" s="1"/>
  <c r="M1349" i="1"/>
  <c r="AE1349" i="1" s="1"/>
  <c r="O1349" i="1"/>
  <c r="AF1349" i="1" s="1"/>
  <c r="M1350" i="1"/>
  <c r="AE1350" i="1" s="1"/>
  <c r="O1350" i="1"/>
  <c r="AF1350" i="1" s="1"/>
  <c r="M1351" i="1"/>
  <c r="AE1351" i="1" s="1"/>
  <c r="O1351" i="1"/>
  <c r="AF1351" i="1" s="1"/>
  <c r="M1352" i="1"/>
  <c r="AE1352" i="1" s="1"/>
  <c r="O1352" i="1"/>
  <c r="AF1352" i="1" s="1"/>
  <c r="M1353" i="1"/>
  <c r="AE1353" i="1" s="1"/>
  <c r="O1353" i="1"/>
  <c r="AF1353" i="1" s="1"/>
  <c r="M1354" i="1"/>
  <c r="AE1354" i="1" s="1"/>
  <c r="O1354" i="1"/>
  <c r="AF1354" i="1" s="1"/>
  <c r="M1355" i="1"/>
  <c r="AE1355" i="1" s="1"/>
  <c r="O1355" i="1"/>
  <c r="AF1355" i="1" s="1"/>
  <c r="M1356" i="1"/>
  <c r="AE1356" i="1" s="1"/>
  <c r="O1356" i="1"/>
  <c r="AF1356" i="1" s="1"/>
  <c r="M1358" i="1"/>
  <c r="AE1358" i="1" s="1"/>
  <c r="O1358" i="1"/>
  <c r="AF1358" i="1" s="1"/>
  <c r="M1360" i="1"/>
  <c r="AE1360" i="1" s="1"/>
  <c r="O1360" i="1"/>
  <c r="AF1360" i="1" s="1"/>
  <c r="M1361" i="1"/>
  <c r="AE1361" i="1" s="1"/>
  <c r="O1361" i="1"/>
  <c r="AF1361" i="1" s="1"/>
  <c r="M1364" i="1"/>
  <c r="AE1364" i="1" s="1"/>
  <c r="O1364" i="1"/>
  <c r="AF1364" i="1" s="1"/>
  <c r="M1365" i="1"/>
  <c r="AE1365" i="1" s="1"/>
  <c r="O1365" i="1"/>
  <c r="AF1365" i="1" s="1"/>
  <c r="M1366" i="1"/>
  <c r="AE1366" i="1" s="1"/>
  <c r="O1366" i="1"/>
  <c r="AF1366" i="1" s="1"/>
  <c r="M1367" i="1"/>
  <c r="AE1367" i="1" s="1"/>
  <c r="O1367" i="1"/>
  <c r="AF1367" i="1" s="1"/>
  <c r="M1368" i="1"/>
  <c r="AE1368" i="1" s="1"/>
  <c r="O1368" i="1"/>
  <c r="AF1368" i="1" s="1"/>
  <c r="M1369" i="1"/>
  <c r="AE1369" i="1" s="1"/>
  <c r="O1369" i="1"/>
  <c r="AF1369" i="1" s="1"/>
  <c r="M1370" i="1"/>
  <c r="AE1370" i="1" s="1"/>
  <c r="O1370" i="1"/>
  <c r="AF1370" i="1" s="1"/>
  <c r="M1371" i="1"/>
  <c r="AE1371" i="1" s="1"/>
  <c r="O1371" i="1"/>
  <c r="AF1371" i="1" s="1"/>
  <c r="M1372" i="1"/>
  <c r="AE1372" i="1" s="1"/>
  <c r="O1372" i="1"/>
  <c r="AF1372" i="1" s="1"/>
  <c r="M1373" i="1"/>
  <c r="AE1373" i="1" s="1"/>
  <c r="O1373" i="1"/>
  <c r="AF1373" i="1" s="1"/>
  <c r="M1374" i="1"/>
  <c r="AE1374" i="1" s="1"/>
  <c r="O1374" i="1"/>
  <c r="AF1374" i="1" s="1"/>
  <c r="M1376" i="1"/>
  <c r="AE1376" i="1" s="1"/>
  <c r="O1376" i="1"/>
  <c r="AF1376" i="1" s="1"/>
  <c r="M1377" i="1"/>
  <c r="AE1377" i="1" s="1"/>
  <c r="O1377" i="1"/>
  <c r="AF1377" i="1" s="1"/>
  <c r="M1379" i="1"/>
  <c r="AE1379" i="1" s="1"/>
  <c r="O1379" i="1"/>
  <c r="AF1379" i="1" s="1"/>
  <c r="M1380" i="1"/>
  <c r="AE1380" i="1" s="1"/>
  <c r="O1380" i="1"/>
  <c r="AF1380" i="1" s="1"/>
  <c r="M1381" i="1"/>
  <c r="AE1381" i="1" s="1"/>
  <c r="O1381" i="1"/>
  <c r="AF1381" i="1" s="1"/>
  <c r="M1383" i="1"/>
  <c r="AE1383" i="1" s="1"/>
  <c r="O1383" i="1"/>
  <c r="AF1383" i="1" s="1"/>
  <c r="M1384" i="1"/>
  <c r="AE1384" i="1" s="1"/>
  <c r="O1384" i="1"/>
  <c r="AF1384" i="1" s="1"/>
  <c r="M1386" i="1"/>
  <c r="AE1386" i="1" s="1"/>
  <c r="O1386" i="1"/>
  <c r="AF1386" i="1" s="1"/>
  <c r="M1387" i="1"/>
  <c r="AE1387" i="1" s="1"/>
  <c r="O1387" i="1"/>
  <c r="AF1387" i="1" s="1"/>
  <c r="M1388" i="1"/>
  <c r="AE1388" i="1" s="1"/>
  <c r="O1388" i="1"/>
  <c r="AF1388" i="1" s="1"/>
  <c r="M1389" i="1"/>
  <c r="AE1389" i="1" s="1"/>
  <c r="O1389" i="1"/>
  <c r="AF1389" i="1" s="1"/>
  <c r="M1390" i="1"/>
  <c r="AE1390" i="1" s="1"/>
  <c r="O1390" i="1"/>
  <c r="AF1390" i="1" s="1"/>
  <c r="M1391" i="1"/>
  <c r="AE1391" i="1" s="1"/>
  <c r="O1391" i="1"/>
  <c r="AF1391" i="1" s="1"/>
  <c r="M1392" i="1"/>
  <c r="AE1392" i="1" s="1"/>
  <c r="O1392" i="1"/>
  <c r="AF1392" i="1" s="1"/>
  <c r="M1393" i="1"/>
  <c r="AE1393" i="1" s="1"/>
  <c r="O1393" i="1"/>
  <c r="AF1393" i="1" s="1"/>
  <c r="M1395" i="1"/>
  <c r="AE1395" i="1" s="1"/>
  <c r="O1395" i="1"/>
  <c r="AF1395" i="1" s="1"/>
  <c r="M1396" i="1"/>
  <c r="AE1396" i="1" s="1"/>
  <c r="O1396" i="1"/>
  <c r="AF1396" i="1" s="1"/>
  <c r="M1397" i="1"/>
  <c r="AE1397" i="1" s="1"/>
  <c r="O1397" i="1"/>
  <c r="AF1397" i="1" s="1"/>
  <c r="M1398" i="1"/>
  <c r="AE1398" i="1" s="1"/>
  <c r="O1398" i="1"/>
  <c r="AF1398" i="1" s="1"/>
  <c r="M1399" i="1"/>
  <c r="AE1399" i="1" s="1"/>
  <c r="O1399" i="1"/>
  <c r="AF1399" i="1" s="1"/>
  <c r="M1400" i="1"/>
  <c r="AE1400" i="1" s="1"/>
  <c r="O1400" i="1"/>
  <c r="AF1400" i="1" s="1"/>
  <c r="M1404" i="1"/>
  <c r="AE1404" i="1" s="1"/>
  <c r="O1404" i="1"/>
  <c r="AF1404" i="1" s="1"/>
  <c r="M1405" i="1"/>
  <c r="AE1405" i="1" s="1"/>
  <c r="O1405" i="1"/>
  <c r="AF1405" i="1" s="1"/>
  <c r="M1406" i="1"/>
  <c r="AE1406" i="1" s="1"/>
  <c r="O1406" i="1"/>
  <c r="AF1406" i="1" s="1"/>
  <c r="M1407" i="1"/>
  <c r="AE1407" i="1" s="1"/>
  <c r="O1407" i="1"/>
  <c r="AF1407" i="1" s="1"/>
  <c r="M1408" i="1"/>
  <c r="AE1408" i="1" s="1"/>
  <c r="O1408" i="1"/>
  <c r="AF1408" i="1" s="1"/>
  <c r="M1409" i="1"/>
  <c r="AE1409" i="1" s="1"/>
  <c r="O1409" i="1"/>
  <c r="AF1409" i="1" s="1"/>
  <c r="M1410" i="1"/>
  <c r="AE1410" i="1" s="1"/>
  <c r="O1410" i="1"/>
  <c r="AF1410" i="1" s="1"/>
  <c r="M1411" i="1"/>
  <c r="AE1411" i="1" s="1"/>
  <c r="O1411" i="1"/>
  <c r="AF1411" i="1" s="1"/>
  <c r="M1412" i="1"/>
  <c r="AE1412" i="1" s="1"/>
  <c r="O1412" i="1"/>
  <c r="AF1412" i="1" s="1"/>
  <c r="M1413" i="1"/>
  <c r="AE1413" i="1" s="1"/>
  <c r="O1413" i="1"/>
  <c r="AF1413" i="1" s="1"/>
  <c r="M1414" i="1"/>
  <c r="AE1414" i="1" s="1"/>
  <c r="O1414" i="1"/>
  <c r="AF1414" i="1" s="1"/>
  <c r="M1415" i="1"/>
  <c r="AE1415" i="1" s="1"/>
  <c r="O1415" i="1"/>
  <c r="AF1415" i="1" s="1"/>
  <c r="M1416" i="1"/>
  <c r="AE1416" i="1" s="1"/>
  <c r="O1416" i="1"/>
  <c r="AF1416" i="1" s="1"/>
  <c r="M1417" i="1"/>
  <c r="AE1417" i="1" s="1"/>
  <c r="O1417" i="1"/>
  <c r="AF1417" i="1" s="1"/>
  <c r="M1418" i="1"/>
  <c r="AE1418" i="1" s="1"/>
  <c r="O1418" i="1"/>
  <c r="AF1418" i="1" s="1"/>
  <c r="M1419" i="1"/>
  <c r="AE1419" i="1" s="1"/>
  <c r="O1419" i="1"/>
  <c r="AF1419" i="1" s="1"/>
  <c r="M1420" i="1"/>
  <c r="AE1420" i="1" s="1"/>
  <c r="O1420" i="1"/>
  <c r="AF1420" i="1" s="1"/>
  <c r="M1421" i="1"/>
  <c r="AE1421" i="1" s="1"/>
  <c r="O1421" i="1"/>
  <c r="AF1421" i="1" s="1"/>
  <c r="M1422" i="1"/>
  <c r="AE1422" i="1" s="1"/>
  <c r="O1422" i="1"/>
  <c r="AF1422" i="1" s="1"/>
  <c r="M1423" i="1"/>
  <c r="AE1423" i="1" s="1"/>
  <c r="O1423" i="1"/>
  <c r="AF1423" i="1" s="1"/>
  <c r="M1424" i="1"/>
  <c r="AE1424" i="1" s="1"/>
  <c r="O1424" i="1"/>
  <c r="AF1424" i="1" s="1"/>
  <c r="M1425" i="1"/>
  <c r="AE1425" i="1" s="1"/>
  <c r="O1425" i="1"/>
  <c r="AF1425" i="1" s="1"/>
  <c r="M1426" i="1"/>
  <c r="AE1426" i="1" s="1"/>
  <c r="O1426" i="1"/>
  <c r="AF1426" i="1" s="1"/>
  <c r="M1427" i="1"/>
  <c r="AE1427" i="1" s="1"/>
  <c r="O1427" i="1"/>
  <c r="AF1427" i="1" s="1"/>
  <c r="M1428" i="1"/>
  <c r="AE1428" i="1" s="1"/>
  <c r="O1428" i="1"/>
  <c r="AF1428" i="1" s="1"/>
  <c r="M1429" i="1"/>
  <c r="AE1429" i="1" s="1"/>
  <c r="O1429" i="1"/>
  <c r="AF1429" i="1" s="1"/>
  <c r="M1430" i="1"/>
  <c r="AE1430" i="1" s="1"/>
  <c r="O1430" i="1"/>
  <c r="AF1430" i="1" s="1"/>
  <c r="M1431" i="1"/>
  <c r="AE1431" i="1" s="1"/>
  <c r="O1431" i="1"/>
  <c r="AF1431" i="1" s="1"/>
  <c r="M1432" i="1"/>
  <c r="AE1432" i="1" s="1"/>
  <c r="O1432" i="1"/>
  <c r="AF1432" i="1" s="1"/>
  <c r="M1433" i="1"/>
  <c r="AE1433" i="1" s="1"/>
  <c r="O1433" i="1"/>
  <c r="AF1433" i="1" s="1"/>
  <c r="M1436" i="1"/>
  <c r="AE1436" i="1" s="1"/>
  <c r="O1436" i="1"/>
  <c r="AF1436" i="1" s="1"/>
  <c r="M1442" i="1"/>
  <c r="AE1442" i="1" s="1"/>
  <c r="O1442" i="1"/>
  <c r="AF1442" i="1" s="1"/>
  <c r="M1444" i="1"/>
  <c r="AE1444" i="1" s="1"/>
  <c r="O1444" i="1"/>
  <c r="AF1444" i="1" s="1"/>
  <c r="M1445" i="1"/>
  <c r="AE1445" i="1" s="1"/>
  <c r="O1445" i="1"/>
  <c r="AF1445" i="1" s="1"/>
  <c r="M1446" i="1"/>
  <c r="AE1446" i="1" s="1"/>
  <c r="O1446" i="1"/>
  <c r="AF1446" i="1" s="1"/>
  <c r="M1447" i="1"/>
  <c r="AE1447" i="1" s="1"/>
  <c r="O1447" i="1"/>
  <c r="AF1447" i="1" s="1"/>
  <c r="M1449" i="1"/>
  <c r="AE1449" i="1" s="1"/>
  <c r="O1449" i="1"/>
  <c r="AF1449" i="1" s="1"/>
  <c r="M1450" i="1"/>
  <c r="AE1450" i="1" s="1"/>
  <c r="O1450" i="1"/>
  <c r="AF1450" i="1" s="1"/>
  <c r="M1452" i="1"/>
  <c r="AE1452" i="1" s="1"/>
  <c r="O1452" i="1"/>
  <c r="AF1452" i="1" s="1"/>
  <c r="M1453" i="1"/>
  <c r="AE1453" i="1" s="1"/>
  <c r="O1453" i="1"/>
  <c r="AF1453" i="1" s="1"/>
  <c r="M1454" i="1"/>
  <c r="AE1454" i="1" s="1"/>
  <c r="O1454" i="1"/>
  <c r="AF1454" i="1" s="1"/>
  <c r="M1455" i="1"/>
  <c r="AE1455" i="1" s="1"/>
  <c r="O1455" i="1"/>
  <c r="AF1455" i="1" s="1"/>
  <c r="M1456" i="1"/>
  <c r="AE1456" i="1" s="1"/>
  <c r="O1456" i="1"/>
  <c r="AF1456" i="1" s="1"/>
  <c r="M1457" i="1"/>
  <c r="AE1457" i="1" s="1"/>
  <c r="O1457" i="1"/>
  <c r="AF1457" i="1" s="1"/>
  <c r="M1458" i="1"/>
  <c r="AE1458" i="1" s="1"/>
  <c r="O1458" i="1"/>
  <c r="AF1458" i="1" s="1"/>
  <c r="M1459" i="1"/>
  <c r="AE1459" i="1" s="1"/>
  <c r="O1459" i="1"/>
  <c r="AF1459" i="1" s="1"/>
  <c r="M1460" i="1"/>
  <c r="AE1460" i="1" s="1"/>
  <c r="O1460" i="1"/>
  <c r="AF1460" i="1" s="1"/>
  <c r="M1461" i="1"/>
  <c r="AE1461" i="1" s="1"/>
  <c r="O1461" i="1"/>
  <c r="AF1461" i="1" s="1"/>
  <c r="M1462" i="1"/>
  <c r="AE1462" i="1" s="1"/>
  <c r="O1462" i="1"/>
  <c r="AF1462" i="1" s="1"/>
  <c r="M1463" i="1"/>
  <c r="AE1463" i="1" s="1"/>
  <c r="O1463" i="1"/>
  <c r="AF1463" i="1" s="1"/>
  <c r="M1464" i="1"/>
  <c r="AE1464" i="1" s="1"/>
  <c r="O1464" i="1"/>
  <c r="AF1464" i="1" s="1"/>
  <c r="M1465" i="1"/>
  <c r="AE1465" i="1" s="1"/>
  <c r="O1465" i="1"/>
  <c r="AF1465" i="1" s="1"/>
  <c r="M1466" i="1"/>
  <c r="AE1466" i="1" s="1"/>
  <c r="O1466" i="1"/>
  <c r="AF1466" i="1" s="1"/>
  <c r="M1467" i="1"/>
  <c r="AE1467" i="1" s="1"/>
  <c r="O1467" i="1"/>
  <c r="AF1467" i="1" s="1"/>
  <c r="M1468" i="1"/>
  <c r="AE1468" i="1" s="1"/>
  <c r="O1468" i="1"/>
  <c r="AF1468" i="1" s="1"/>
  <c r="M1469" i="1"/>
  <c r="AE1469" i="1" s="1"/>
  <c r="O1469" i="1"/>
  <c r="AF1469" i="1" s="1"/>
  <c r="M1470" i="1"/>
  <c r="AE1470" i="1" s="1"/>
  <c r="O1470" i="1"/>
  <c r="AF1470" i="1" s="1"/>
  <c r="M1471" i="1"/>
  <c r="AE1471" i="1" s="1"/>
  <c r="O1471" i="1"/>
  <c r="AF1471" i="1" s="1"/>
  <c r="M1472" i="1"/>
  <c r="AE1472" i="1" s="1"/>
  <c r="O1472" i="1"/>
  <c r="AF1472" i="1" s="1"/>
  <c r="M1473" i="1"/>
  <c r="AE1473" i="1" s="1"/>
  <c r="O1473" i="1"/>
  <c r="AF1473" i="1" s="1"/>
  <c r="M1474" i="1"/>
  <c r="AE1474" i="1" s="1"/>
  <c r="O1474" i="1"/>
  <c r="AF1474" i="1" s="1"/>
  <c r="M1475" i="1"/>
  <c r="AE1475" i="1" s="1"/>
  <c r="O1475" i="1"/>
  <c r="AF1475" i="1" s="1"/>
  <c r="M1476" i="1"/>
  <c r="AE1476" i="1" s="1"/>
  <c r="O1476" i="1"/>
  <c r="AF1476" i="1" s="1"/>
  <c r="M1477" i="1"/>
  <c r="AE1477" i="1" s="1"/>
  <c r="O1477" i="1"/>
  <c r="AF1477" i="1" s="1"/>
  <c r="M1478" i="1"/>
  <c r="AE1478" i="1" s="1"/>
  <c r="O1478" i="1"/>
  <c r="AF1478" i="1" s="1"/>
  <c r="M1481" i="1"/>
  <c r="AE1481" i="1" s="1"/>
  <c r="O1481" i="1"/>
  <c r="AF1481" i="1" s="1"/>
  <c r="M1484" i="1"/>
  <c r="AE1484" i="1" s="1"/>
  <c r="O1484" i="1"/>
  <c r="AF1484" i="1" s="1"/>
  <c r="M1485" i="1"/>
  <c r="AE1485" i="1" s="1"/>
  <c r="O1485" i="1"/>
  <c r="AF1485" i="1" s="1"/>
  <c r="M1486" i="1"/>
  <c r="AE1486" i="1" s="1"/>
  <c r="O1486" i="1"/>
  <c r="AF1486" i="1" s="1"/>
  <c r="M1487" i="1"/>
  <c r="AE1487" i="1" s="1"/>
  <c r="O1487" i="1"/>
  <c r="AF1487" i="1" s="1"/>
  <c r="M1488" i="1"/>
  <c r="AE1488" i="1" s="1"/>
  <c r="O1488" i="1"/>
  <c r="AF1488" i="1" s="1"/>
  <c r="M1489" i="1"/>
  <c r="AE1489" i="1" s="1"/>
  <c r="O1489" i="1"/>
  <c r="AF1489" i="1" s="1"/>
  <c r="M1490" i="1"/>
  <c r="AE1490" i="1" s="1"/>
  <c r="O1490" i="1"/>
  <c r="AF1490" i="1" s="1"/>
  <c r="M1491" i="1"/>
  <c r="AE1491" i="1" s="1"/>
  <c r="O1491" i="1"/>
  <c r="AF1491" i="1" s="1"/>
  <c r="M1493" i="1"/>
  <c r="AE1493" i="1" s="1"/>
  <c r="O1493" i="1"/>
  <c r="AF1493" i="1" s="1"/>
  <c r="M1494" i="1"/>
  <c r="AE1494" i="1" s="1"/>
  <c r="O1494" i="1"/>
  <c r="AF1494" i="1" s="1"/>
  <c r="M1495" i="1"/>
  <c r="AE1495" i="1" s="1"/>
  <c r="O1495" i="1"/>
  <c r="AF1495" i="1" s="1"/>
  <c r="M1496" i="1"/>
  <c r="AE1496" i="1" s="1"/>
  <c r="O1496" i="1"/>
  <c r="AF1496" i="1" s="1"/>
  <c r="M1497" i="1"/>
  <c r="AE1497" i="1" s="1"/>
  <c r="O1497" i="1"/>
  <c r="AF1497" i="1" s="1"/>
  <c r="M1498" i="1"/>
  <c r="AE1498" i="1" s="1"/>
  <c r="O1498" i="1"/>
  <c r="AF1498" i="1" s="1"/>
  <c r="M1500" i="1"/>
  <c r="AE1500" i="1" s="1"/>
  <c r="O1500" i="1"/>
  <c r="AF1500" i="1" s="1"/>
  <c r="M1501" i="1"/>
  <c r="AE1501" i="1" s="1"/>
  <c r="O1501" i="1"/>
  <c r="AF1501" i="1" s="1"/>
  <c r="M1502" i="1"/>
  <c r="AE1502" i="1" s="1"/>
  <c r="O1502" i="1"/>
  <c r="AF1502" i="1" s="1"/>
  <c r="M1503" i="1"/>
  <c r="AE1503" i="1" s="1"/>
  <c r="O1503" i="1"/>
  <c r="AF1503" i="1" s="1"/>
  <c r="M1504" i="1"/>
  <c r="AE1504" i="1" s="1"/>
  <c r="O1504" i="1"/>
  <c r="AF1504" i="1" s="1"/>
  <c r="M1505" i="1"/>
  <c r="AE1505" i="1" s="1"/>
  <c r="O1505" i="1"/>
  <c r="AF1505" i="1" s="1"/>
  <c r="M1506" i="1"/>
  <c r="AE1506" i="1" s="1"/>
  <c r="O1506" i="1"/>
  <c r="AF1506" i="1" s="1"/>
  <c r="M1507" i="1"/>
  <c r="AE1507" i="1" s="1"/>
  <c r="O1507" i="1"/>
  <c r="AF1507" i="1" s="1"/>
  <c r="M1508" i="1"/>
  <c r="AE1508" i="1" s="1"/>
  <c r="O1508" i="1"/>
  <c r="AF1508" i="1" s="1"/>
  <c r="M1509" i="1"/>
  <c r="AE1509" i="1" s="1"/>
  <c r="O1509" i="1"/>
  <c r="AF1509" i="1" s="1"/>
  <c r="M1510" i="1"/>
  <c r="AE1510" i="1" s="1"/>
  <c r="O1510" i="1"/>
  <c r="AF1510" i="1" s="1"/>
  <c r="M1511" i="1"/>
  <c r="AE1511" i="1" s="1"/>
  <c r="O1511" i="1"/>
  <c r="AF1511" i="1" s="1"/>
  <c r="M1512" i="1"/>
  <c r="AE1512" i="1" s="1"/>
  <c r="O1512" i="1"/>
  <c r="AF1512" i="1" s="1"/>
  <c r="M1513" i="1"/>
  <c r="AE1513" i="1" s="1"/>
  <c r="O1513" i="1"/>
  <c r="AF1513" i="1" s="1"/>
  <c r="M1514" i="1"/>
  <c r="AE1514" i="1" s="1"/>
  <c r="O1514" i="1"/>
  <c r="AF1514" i="1" s="1"/>
  <c r="M1515" i="1"/>
  <c r="AE1515" i="1" s="1"/>
  <c r="O1515" i="1"/>
  <c r="AF1515" i="1" s="1"/>
  <c r="M1516" i="1"/>
  <c r="AE1516" i="1" s="1"/>
  <c r="O1516" i="1"/>
  <c r="AF1516" i="1" s="1"/>
  <c r="M1517" i="1"/>
  <c r="AE1517" i="1" s="1"/>
  <c r="O1517" i="1"/>
  <c r="AF1517" i="1" s="1"/>
  <c r="M2983" i="1"/>
  <c r="AE2983" i="1" s="1"/>
  <c r="O2983" i="1"/>
  <c r="AF2983" i="1" s="1"/>
  <c r="M1519" i="1"/>
  <c r="AE1519" i="1" s="1"/>
  <c r="O1519" i="1"/>
  <c r="AF1519" i="1" s="1"/>
  <c r="M1520" i="1"/>
  <c r="AE1520" i="1" s="1"/>
  <c r="O1520" i="1"/>
  <c r="AF1520" i="1" s="1"/>
  <c r="M1523" i="1"/>
  <c r="AE1523" i="1" s="1"/>
  <c r="O1523" i="1"/>
  <c r="AF1523" i="1" s="1"/>
  <c r="M1524" i="1"/>
  <c r="AE1524" i="1" s="1"/>
  <c r="O1524" i="1"/>
  <c r="AF1524" i="1" s="1"/>
  <c r="M1525" i="1"/>
  <c r="AE1525" i="1" s="1"/>
  <c r="O1525" i="1"/>
  <c r="AF1525" i="1" s="1"/>
  <c r="M1526" i="1"/>
  <c r="AE1526" i="1" s="1"/>
  <c r="O1526" i="1"/>
  <c r="AF1526" i="1" s="1"/>
  <c r="M1527" i="1"/>
  <c r="AE1527" i="1" s="1"/>
  <c r="O1527" i="1"/>
  <c r="AF1527" i="1" s="1"/>
  <c r="M1528" i="1"/>
  <c r="AE1528" i="1" s="1"/>
  <c r="O1528" i="1"/>
  <c r="AF1528" i="1" s="1"/>
  <c r="M1529" i="1"/>
  <c r="AE1529" i="1" s="1"/>
  <c r="O1529" i="1"/>
  <c r="AF1529" i="1" s="1"/>
  <c r="M1531" i="1"/>
  <c r="AE1531" i="1" s="1"/>
  <c r="O1531" i="1"/>
  <c r="AF1531" i="1" s="1"/>
  <c r="M1532" i="1"/>
  <c r="AE1532" i="1" s="1"/>
  <c r="O1532" i="1"/>
  <c r="AF1532" i="1" s="1"/>
  <c r="M1533" i="1"/>
  <c r="AE1533" i="1" s="1"/>
  <c r="O1533" i="1"/>
  <c r="AF1533" i="1" s="1"/>
  <c r="M1534" i="1"/>
  <c r="AE1534" i="1" s="1"/>
  <c r="O1534" i="1"/>
  <c r="AF1534" i="1" s="1"/>
  <c r="M1535" i="1"/>
  <c r="AE1535" i="1" s="1"/>
  <c r="O1535" i="1"/>
  <c r="AF1535" i="1" s="1"/>
  <c r="M1536" i="1"/>
  <c r="AE1536" i="1" s="1"/>
  <c r="O1536" i="1"/>
  <c r="AF1536" i="1" s="1"/>
  <c r="M1537" i="1"/>
  <c r="AE1537" i="1" s="1"/>
  <c r="O1537" i="1"/>
  <c r="AF1537" i="1" s="1"/>
  <c r="M1538" i="1"/>
  <c r="AE1538" i="1" s="1"/>
  <c r="O1538" i="1"/>
  <c r="AF1538" i="1" s="1"/>
  <c r="M1539" i="1"/>
  <c r="AE1539" i="1" s="1"/>
  <c r="O1539" i="1"/>
  <c r="AF1539" i="1" s="1"/>
  <c r="M1540" i="1"/>
  <c r="AE1540" i="1" s="1"/>
  <c r="O1540" i="1"/>
  <c r="AF1540" i="1" s="1"/>
  <c r="M1542" i="1"/>
  <c r="AE1542" i="1" s="1"/>
  <c r="O1542" i="1"/>
  <c r="AF1542" i="1" s="1"/>
  <c r="M1543" i="1"/>
  <c r="AE1543" i="1" s="1"/>
  <c r="O1543" i="1"/>
  <c r="AF1543" i="1" s="1"/>
  <c r="M1544" i="1"/>
  <c r="AE1544" i="1" s="1"/>
  <c r="O1544" i="1"/>
  <c r="AF1544" i="1" s="1"/>
  <c r="M1545" i="1"/>
  <c r="AE1545" i="1" s="1"/>
  <c r="O1545" i="1"/>
  <c r="AF1545" i="1" s="1"/>
  <c r="M1546" i="1"/>
  <c r="AE1546" i="1" s="1"/>
  <c r="O1546" i="1"/>
  <c r="AF1546" i="1" s="1"/>
  <c r="M1547" i="1"/>
  <c r="AE1547" i="1" s="1"/>
  <c r="O1547" i="1"/>
  <c r="AF1547" i="1" s="1"/>
  <c r="M1549" i="1"/>
  <c r="AE1549" i="1" s="1"/>
  <c r="O1549" i="1"/>
  <c r="AF1549" i="1" s="1"/>
  <c r="M1550" i="1"/>
  <c r="AE1550" i="1" s="1"/>
  <c r="O1550" i="1"/>
  <c r="AF1550" i="1" s="1"/>
  <c r="M1551" i="1"/>
  <c r="AE1551" i="1" s="1"/>
  <c r="O1551" i="1"/>
  <c r="AF1551" i="1" s="1"/>
  <c r="M1552" i="1"/>
  <c r="AE1552" i="1" s="1"/>
  <c r="O1552" i="1"/>
  <c r="AF1552" i="1" s="1"/>
  <c r="M1553" i="1"/>
  <c r="AE1553" i="1" s="1"/>
  <c r="O1553" i="1"/>
  <c r="AF1553" i="1" s="1"/>
  <c r="M1554" i="1"/>
  <c r="AE1554" i="1" s="1"/>
  <c r="O1554" i="1"/>
  <c r="AF1554" i="1" s="1"/>
  <c r="M1555" i="1"/>
  <c r="AE1555" i="1" s="1"/>
  <c r="O1555" i="1"/>
  <c r="AF1555" i="1" s="1"/>
  <c r="M1556" i="1"/>
  <c r="AE1556" i="1" s="1"/>
  <c r="O1556" i="1"/>
  <c r="AF1556" i="1" s="1"/>
  <c r="M1557" i="1"/>
  <c r="AE1557" i="1" s="1"/>
  <c r="O1557" i="1"/>
  <c r="AF1557" i="1" s="1"/>
  <c r="M1558" i="1"/>
  <c r="AE1558" i="1" s="1"/>
  <c r="O1558" i="1"/>
  <c r="AF1558" i="1" s="1"/>
  <c r="M1559" i="1"/>
  <c r="AE1559" i="1" s="1"/>
  <c r="O1559" i="1"/>
  <c r="AF1559" i="1" s="1"/>
  <c r="M1560" i="1"/>
  <c r="AE1560" i="1" s="1"/>
  <c r="O1560" i="1"/>
  <c r="AF1560" i="1" s="1"/>
  <c r="M1561" i="1"/>
  <c r="AE1561" i="1" s="1"/>
  <c r="O1561" i="1"/>
  <c r="AF1561" i="1" s="1"/>
  <c r="M1562" i="1"/>
  <c r="AE1562" i="1" s="1"/>
  <c r="O1562" i="1"/>
  <c r="AF1562" i="1" s="1"/>
  <c r="M1563" i="1"/>
  <c r="AE1563" i="1" s="1"/>
  <c r="O1563" i="1"/>
  <c r="AF1563" i="1" s="1"/>
  <c r="M1564" i="1"/>
  <c r="AE1564" i="1" s="1"/>
  <c r="O1564" i="1"/>
  <c r="AF1564" i="1" s="1"/>
  <c r="M1565" i="1"/>
  <c r="AE1565" i="1" s="1"/>
  <c r="O1565" i="1"/>
  <c r="AF1565" i="1" s="1"/>
  <c r="M1566" i="1"/>
  <c r="AE1566" i="1" s="1"/>
  <c r="O1566" i="1"/>
  <c r="AF1566" i="1" s="1"/>
  <c r="M1567" i="1"/>
  <c r="AE1567" i="1" s="1"/>
  <c r="O1567" i="1"/>
  <c r="AF1567" i="1" s="1"/>
  <c r="M1568" i="1"/>
  <c r="AE1568" i="1" s="1"/>
  <c r="O1568" i="1"/>
  <c r="AF1568" i="1" s="1"/>
  <c r="M1569" i="1"/>
  <c r="AE1569" i="1" s="1"/>
  <c r="O1569" i="1"/>
  <c r="AF1569" i="1" s="1"/>
  <c r="M1570" i="1"/>
  <c r="AE1570" i="1" s="1"/>
  <c r="O1570" i="1"/>
  <c r="AF1570" i="1" s="1"/>
  <c r="M1571" i="1"/>
  <c r="AE1571" i="1" s="1"/>
  <c r="O1571" i="1"/>
  <c r="AF1571" i="1" s="1"/>
  <c r="M1573" i="1"/>
  <c r="AE1573" i="1" s="1"/>
  <c r="O1573" i="1"/>
  <c r="AF1573" i="1" s="1"/>
  <c r="M1574" i="1"/>
  <c r="AE1574" i="1" s="1"/>
  <c r="O1574" i="1"/>
  <c r="AF1574" i="1" s="1"/>
  <c r="M1575" i="1"/>
  <c r="AE1575" i="1" s="1"/>
  <c r="O1575" i="1"/>
  <c r="AF1575" i="1" s="1"/>
  <c r="M1577" i="1"/>
  <c r="AE1577" i="1" s="1"/>
  <c r="O1577" i="1"/>
  <c r="AF1577" i="1" s="1"/>
  <c r="M1578" i="1"/>
  <c r="AE1578" i="1" s="1"/>
  <c r="O1578" i="1"/>
  <c r="AF1578" i="1" s="1"/>
  <c r="M1579" i="1"/>
  <c r="AE1579" i="1" s="1"/>
  <c r="O1579" i="1"/>
  <c r="AF1579" i="1" s="1"/>
  <c r="M1580" i="1"/>
  <c r="AE1580" i="1" s="1"/>
  <c r="O1580" i="1"/>
  <c r="AF1580" i="1" s="1"/>
  <c r="M1581" i="1"/>
  <c r="AE1581" i="1" s="1"/>
  <c r="O1581" i="1"/>
  <c r="AF1581" i="1" s="1"/>
  <c r="M1582" i="1"/>
  <c r="AE1582" i="1" s="1"/>
  <c r="O1582" i="1"/>
  <c r="AF1582" i="1" s="1"/>
  <c r="M1583" i="1"/>
  <c r="AE1583" i="1" s="1"/>
  <c r="O1583" i="1"/>
  <c r="AF1583" i="1" s="1"/>
  <c r="M1585" i="1"/>
  <c r="AE1585" i="1" s="1"/>
  <c r="O1585" i="1"/>
  <c r="AF1585" i="1" s="1"/>
  <c r="M1584" i="1"/>
  <c r="AE1584" i="1" s="1"/>
  <c r="O1584" i="1"/>
  <c r="AF1584" i="1" s="1"/>
  <c r="M1586" i="1"/>
  <c r="AE1586" i="1" s="1"/>
  <c r="O1586" i="1"/>
  <c r="AF1586" i="1" s="1"/>
  <c r="M1587" i="1"/>
  <c r="AE1587" i="1" s="1"/>
  <c r="O1587" i="1"/>
  <c r="AF1587" i="1" s="1"/>
  <c r="M1588" i="1"/>
  <c r="AE1588" i="1" s="1"/>
  <c r="O1588" i="1"/>
  <c r="AF1588" i="1" s="1"/>
  <c r="M1589" i="1"/>
  <c r="AE1589" i="1" s="1"/>
  <c r="O1589" i="1"/>
  <c r="AF1589" i="1" s="1"/>
  <c r="M1590" i="1"/>
  <c r="AE1590" i="1" s="1"/>
  <c r="O1590" i="1"/>
  <c r="AF1590" i="1" s="1"/>
  <c r="M1592" i="1"/>
  <c r="AE1592" i="1" s="1"/>
  <c r="O1592" i="1"/>
  <c r="AF1592" i="1" s="1"/>
  <c r="M1594" i="1"/>
  <c r="AE1594" i="1" s="1"/>
  <c r="O1594" i="1"/>
  <c r="AF1594" i="1" s="1"/>
  <c r="M1595" i="1"/>
  <c r="AE1595" i="1" s="1"/>
  <c r="O1595" i="1"/>
  <c r="AF1595" i="1" s="1"/>
  <c r="M1596" i="1"/>
  <c r="AE1596" i="1" s="1"/>
  <c r="O1596" i="1"/>
  <c r="AF1596" i="1" s="1"/>
  <c r="M1597" i="1"/>
  <c r="AE1597" i="1" s="1"/>
  <c r="O1597" i="1"/>
  <c r="AF1597" i="1" s="1"/>
  <c r="M1598" i="1"/>
  <c r="AE1598" i="1" s="1"/>
  <c r="O1598" i="1"/>
  <c r="AF1598" i="1" s="1"/>
  <c r="M1600" i="1"/>
  <c r="AE1600" i="1" s="1"/>
  <c r="O1600" i="1"/>
  <c r="AF1600" i="1" s="1"/>
  <c r="M1601" i="1"/>
  <c r="AE1601" i="1" s="1"/>
  <c r="O1601" i="1"/>
  <c r="AF1601" i="1" s="1"/>
  <c r="M1602" i="1"/>
  <c r="AE1602" i="1" s="1"/>
  <c r="O1602" i="1"/>
  <c r="AF1602" i="1" s="1"/>
  <c r="M1605" i="1"/>
  <c r="AE1605" i="1" s="1"/>
  <c r="O1605" i="1"/>
  <c r="AF1605" i="1" s="1"/>
  <c r="M1607" i="1"/>
  <c r="AE1607" i="1" s="1"/>
  <c r="O1607" i="1"/>
  <c r="AF1607" i="1" s="1"/>
  <c r="M1608" i="1"/>
  <c r="AE1608" i="1" s="1"/>
  <c r="O1608" i="1"/>
  <c r="AF1608" i="1" s="1"/>
  <c r="M1606" i="1"/>
  <c r="AE1606" i="1" s="1"/>
  <c r="O1606" i="1"/>
  <c r="AF1606" i="1" s="1"/>
  <c r="M1609" i="1"/>
  <c r="AE1609" i="1" s="1"/>
  <c r="O1609" i="1"/>
  <c r="AF1609" i="1" s="1"/>
  <c r="M1610" i="1"/>
  <c r="AE1610" i="1" s="1"/>
  <c r="O1610" i="1"/>
  <c r="AF1610" i="1" s="1"/>
  <c r="M1611" i="1"/>
  <c r="AE1611" i="1" s="1"/>
  <c r="O1611" i="1"/>
  <c r="AF1611" i="1" s="1"/>
  <c r="M1612" i="1"/>
  <c r="AE1612" i="1" s="1"/>
  <c r="O1612" i="1"/>
  <c r="AF1612" i="1" s="1"/>
  <c r="M1613" i="1"/>
  <c r="AE1613" i="1" s="1"/>
  <c r="O1613" i="1"/>
  <c r="AF1613" i="1" s="1"/>
  <c r="M1614" i="1"/>
  <c r="AE1614" i="1" s="1"/>
  <c r="O1614" i="1"/>
  <c r="AF1614" i="1" s="1"/>
  <c r="M1615" i="1"/>
  <c r="AE1615" i="1" s="1"/>
  <c r="O1615" i="1"/>
  <c r="AF1615" i="1" s="1"/>
  <c r="M1616" i="1"/>
  <c r="AE1616" i="1" s="1"/>
  <c r="O1616" i="1"/>
  <c r="AF1616" i="1" s="1"/>
  <c r="M1617" i="1"/>
  <c r="AE1617" i="1" s="1"/>
  <c r="O1617" i="1"/>
  <c r="AF1617" i="1" s="1"/>
  <c r="M1618" i="1"/>
  <c r="AE1618" i="1" s="1"/>
  <c r="O1618" i="1"/>
  <c r="AF1618" i="1" s="1"/>
  <c r="M1620" i="1"/>
  <c r="AE1620" i="1" s="1"/>
  <c r="O1620" i="1"/>
  <c r="AF1620" i="1" s="1"/>
  <c r="M1622" i="1"/>
  <c r="AE1622" i="1" s="1"/>
  <c r="O1622" i="1"/>
  <c r="AF1622" i="1" s="1"/>
  <c r="M1623" i="1"/>
  <c r="AE1623" i="1" s="1"/>
  <c r="O1623" i="1"/>
  <c r="AF1623" i="1" s="1"/>
  <c r="M1624" i="1"/>
  <c r="AE1624" i="1" s="1"/>
  <c r="O1624" i="1"/>
  <c r="AF1624" i="1" s="1"/>
  <c r="M1625" i="1"/>
  <c r="AE1625" i="1" s="1"/>
  <c r="O1625" i="1"/>
  <c r="AF1625" i="1" s="1"/>
  <c r="M1626" i="1"/>
  <c r="AE1626" i="1" s="1"/>
  <c r="O1626" i="1"/>
  <c r="AF1626" i="1" s="1"/>
  <c r="M1627" i="1"/>
  <c r="AE1627" i="1" s="1"/>
  <c r="O1627" i="1"/>
  <c r="AF1627" i="1" s="1"/>
  <c r="M1628" i="1"/>
  <c r="AE1628" i="1" s="1"/>
  <c r="O1628" i="1"/>
  <c r="AF1628" i="1" s="1"/>
  <c r="M1629" i="1"/>
  <c r="AE1629" i="1" s="1"/>
  <c r="O1629" i="1"/>
  <c r="AF1629" i="1" s="1"/>
  <c r="M1630" i="1"/>
  <c r="AE1630" i="1" s="1"/>
  <c r="O1630" i="1"/>
  <c r="AF1630" i="1" s="1"/>
  <c r="M1631" i="1"/>
  <c r="AE1631" i="1" s="1"/>
  <c r="O1631" i="1"/>
  <c r="AF1631" i="1" s="1"/>
  <c r="M1633" i="1"/>
  <c r="AE1633" i="1" s="1"/>
  <c r="O1633" i="1"/>
  <c r="AF1633" i="1" s="1"/>
  <c r="M1636" i="1"/>
  <c r="AE1636" i="1" s="1"/>
  <c r="O1636" i="1"/>
  <c r="AF1636" i="1" s="1"/>
  <c r="M1637" i="1"/>
  <c r="AE1637" i="1" s="1"/>
  <c r="O1637" i="1"/>
  <c r="AF1637" i="1" s="1"/>
  <c r="M1638" i="1"/>
  <c r="AE1638" i="1" s="1"/>
  <c r="O1638" i="1"/>
  <c r="AF1638" i="1" s="1"/>
  <c r="M1640" i="1"/>
  <c r="AE1640" i="1" s="1"/>
  <c r="O1640" i="1"/>
  <c r="AF1640" i="1" s="1"/>
  <c r="M1641" i="1"/>
  <c r="AE1641" i="1" s="1"/>
  <c r="O1641" i="1"/>
  <c r="AF1641" i="1" s="1"/>
  <c r="M1642" i="1"/>
  <c r="AE1642" i="1" s="1"/>
  <c r="O1642" i="1"/>
  <c r="AF1642" i="1" s="1"/>
  <c r="M1643" i="1"/>
  <c r="AE1643" i="1" s="1"/>
  <c r="O1643" i="1"/>
  <c r="AF1643" i="1" s="1"/>
  <c r="M1644" i="1"/>
  <c r="AE1644" i="1" s="1"/>
  <c r="O1644" i="1"/>
  <c r="AF1644" i="1" s="1"/>
  <c r="M1647" i="1"/>
  <c r="AE1647" i="1" s="1"/>
  <c r="O1647" i="1"/>
  <c r="AF1647" i="1" s="1"/>
  <c r="M1648" i="1"/>
  <c r="AE1648" i="1" s="1"/>
  <c r="O1648" i="1"/>
  <c r="AF1648" i="1" s="1"/>
  <c r="M1649" i="1"/>
  <c r="AE1649" i="1" s="1"/>
  <c r="O1649" i="1"/>
  <c r="AF1649" i="1" s="1"/>
  <c r="M1650" i="1"/>
  <c r="AE1650" i="1" s="1"/>
  <c r="O1650" i="1"/>
  <c r="AF1650" i="1" s="1"/>
  <c r="M1651" i="1"/>
  <c r="AE1651" i="1" s="1"/>
  <c r="O1651" i="1"/>
  <c r="AF1651" i="1" s="1"/>
  <c r="M1652" i="1"/>
  <c r="AE1652" i="1" s="1"/>
  <c r="O1652" i="1"/>
  <c r="AF1652" i="1" s="1"/>
  <c r="M1653" i="1"/>
  <c r="AE1653" i="1" s="1"/>
  <c r="O1653" i="1"/>
  <c r="AF1653" i="1" s="1"/>
  <c r="M1654" i="1"/>
  <c r="AE1654" i="1" s="1"/>
  <c r="O1654" i="1"/>
  <c r="AF1654" i="1" s="1"/>
  <c r="M1656" i="1"/>
  <c r="AE1656" i="1" s="1"/>
  <c r="O1656" i="1"/>
  <c r="AF1656" i="1" s="1"/>
  <c r="M1657" i="1"/>
  <c r="AE1657" i="1" s="1"/>
  <c r="O1657" i="1"/>
  <c r="AF1657" i="1" s="1"/>
  <c r="M1658" i="1"/>
  <c r="AE1658" i="1" s="1"/>
  <c r="O1658" i="1"/>
  <c r="AF1658" i="1" s="1"/>
  <c r="M1659" i="1"/>
  <c r="AE1659" i="1" s="1"/>
  <c r="O1659" i="1"/>
  <c r="AF1659" i="1" s="1"/>
  <c r="M1661" i="1"/>
  <c r="AE1661" i="1" s="1"/>
  <c r="O1661" i="1"/>
  <c r="AF1661" i="1" s="1"/>
  <c r="M1663" i="1"/>
  <c r="AE1663" i="1" s="1"/>
  <c r="O1663" i="1"/>
  <c r="AF1663" i="1" s="1"/>
  <c r="M1664" i="1"/>
  <c r="AE1664" i="1" s="1"/>
  <c r="O1664" i="1"/>
  <c r="AF1664" i="1" s="1"/>
  <c r="M1665" i="1"/>
  <c r="AE1665" i="1" s="1"/>
  <c r="O1665" i="1"/>
  <c r="AF1665" i="1" s="1"/>
  <c r="M1666" i="1"/>
  <c r="AE1666" i="1" s="1"/>
  <c r="O1666" i="1"/>
  <c r="AF1666" i="1" s="1"/>
  <c r="M1667" i="1"/>
  <c r="AE1667" i="1" s="1"/>
  <c r="O1667" i="1"/>
  <c r="AF1667" i="1" s="1"/>
  <c r="M1668" i="1"/>
  <c r="AE1668" i="1" s="1"/>
  <c r="O1668" i="1"/>
  <c r="AF1668" i="1" s="1"/>
  <c r="M1670" i="1"/>
  <c r="AE1670" i="1" s="1"/>
  <c r="O1670" i="1"/>
  <c r="AF1670" i="1" s="1"/>
  <c r="M1671" i="1"/>
  <c r="AE1671" i="1" s="1"/>
  <c r="O1671" i="1"/>
  <c r="AF1671" i="1" s="1"/>
  <c r="M1673" i="1"/>
  <c r="AE1673" i="1" s="1"/>
  <c r="O1673" i="1"/>
  <c r="AF1673" i="1" s="1"/>
  <c r="M1675" i="1"/>
  <c r="AE1675" i="1" s="1"/>
  <c r="O1675" i="1"/>
  <c r="AF1675" i="1" s="1"/>
  <c r="M1676" i="1"/>
  <c r="AE1676" i="1" s="1"/>
  <c r="O1676" i="1"/>
  <c r="AF1676" i="1" s="1"/>
  <c r="M1677" i="1"/>
  <c r="AE1677" i="1" s="1"/>
  <c r="O1677" i="1"/>
  <c r="AF1677" i="1" s="1"/>
  <c r="M1678" i="1"/>
  <c r="AE1678" i="1" s="1"/>
  <c r="O1678" i="1"/>
  <c r="AF1678" i="1" s="1"/>
  <c r="M1679" i="1"/>
  <c r="AE1679" i="1" s="1"/>
  <c r="O1679" i="1"/>
  <c r="AF1679" i="1" s="1"/>
  <c r="M1680" i="1"/>
  <c r="AE1680" i="1" s="1"/>
  <c r="O1680" i="1"/>
  <c r="AF1680" i="1" s="1"/>
  <c r="M1681" i="1"/>
  <c r="AE1681" i="1" s="1"/>
  <c r="O1681" i="1"/>
  <c r="AF1681" i="1" s="1"/>
  <c r="M1682" i="1"/>
  <c r="AE1682" i="1" s="1"/>
  <c r="O1682" i="1"/>
  <c r="AF1682" i="1" s="1"/>
  <c r="M1683" i="1"/>
  <c r="AE1683" i="1" s="1"/>
  <c r="O1683" i="1"/>
  <c r="AF1683" i="1" s="1"/>
  <c r="M1684" i="1"/>
  <c r="AE1684" i="1" s="1"/>
  <c r="O1684" i="1"/>
  <c r="AF1684" i="1" s="1"/>
  <c r="M1686" i="1"/>
  <c r="AE1686" i="1" s="1"/>
  <c r="O1686" i="1"/>
  <c r="AF1686" i="1" s="1"/>
  <c r="M1687" i="1"/>
  <c r="AE1687" i="1" s="1"/>
  <c r="O1687" i="1"/>
  <c r="AF1687" i="1" s="1"/>
  <c r="M1689" i="1"/>
  <c r="AE1689" i="1" s="1"/>
  <c r="O1689" i="1"/>
  <c r="AF1689" i="1" s="1"/>
  <c r="M1690" i="1"/>
  <c r="AE1690" i="1" s="1"/>
  <c r="O1690" i="1"/>
  <c r="AF1690" i="1" s="1"/>
  <c r="M1691" i="1"/>
  <c r="AE1691" i="1" s="1"/>
  <c r="O1691" i="1"/>
  <c r="AF1691" i="1" s="1"/>
  <c r="M1692" i="1"/>
  <c r="AE1692" i="1" s="1"/>
  <c r="O1692" i="1"/>
  <c r="AF1692" i="1" s="1"/>
  <c r="M1693" i="1"/>
  <c r="AE1693" i="1" s="1"/>
  <c r="O1693" i="1"/>
  <c r="AF1693" i="1" s="1"/>
  <c r="M1696" i="1"/>
  <c r="AE1696" i="1" s="1"/>
  <c r="O1696" i="1"/>
  <c r="AF1696" i="1" s="1"/>
  <c r="M1701" i="1"/>
  <c r="AE1701" i="1" s="1"/>
  <c r="O1701" i="1"/>
  <c r="AF1701" i="1" s="1"/>
  <c r="M1702" i="1"/>
  <c r="AE1702" i="1" s="1"/>
  <c r="O1702" i="1"/>
  <c r="AF1702" i="1" s="1"/>
  <c r="M1703" i="1"/>
  <c r="AE1703" i="1" s="1"/>
  <c r="O1703" i="1"/>
  <c r="AF1703" i="1" s="1"/>
  <c r="M1705" i="1"/>
  <c r="AE1705" i="1" s="1"/>
  <c r="O1705" i="1"/>
  <c r="AF1705" i="1" s="1"/>
  <c r="M1706" i="1"/>
  <c r="AE1706" i="1" s="1"/>
  <c r="O1706" i="1"/>
  <c r="AF1706" i="1" s="1"/>
  <c r="M1707" i="1"/>
  <c r="AE1707" i="1" s="1"/>
  <c r="O1707" i="1"/>
  <c r="AF1707" i="1" s="1"/>
  <c r="M1708" i="1"/>
  <c r="AE1708" i="1" s="1"/>
  <c r="O1708" i="1"/>
  <c r="AF1708" i="1" s="1"/>
  <c r="M1709" i="1"/>
  <c r="AE1709" i="1" s="1"/>
  <c r="O1709" i="1"/>
  <c r="AF1709" i="1" s="1"/>
  <c r="M1711" i="1"/>
  <c r="AE1711" i="1" s="1"/>
  <c r="O1711" i="1"/>
  <c r="AF1711" i="1" s="1"/>
  <c r="M1712" i="1"/>
  <c r="AE1712" i="1" s="1"/>
  <c r="O1712" i="1"/>
  <c r="AF1712" i="1" s="1"/>
  <c r="M1713" i="1"/>
  <c r="AE1713" i="1" s="1"/>
  <c r="O1713" i="1"/>
  <c r="AF1713" i="1" s="1"/>
  <c r="M1714" i="1"/>
  <c r="AE1714" i="1" s="1"/>
  <c r="O1714" i="1"/>
  <c r="AF1714" i="1" s="1"/>
  <c r="M1715" i="1"/>
  <c r="AE1715" i="1" s="1"/>
  <c r="O1715" i="1"/>
  <c r="AF1715" i="1" s="1"/>
  <c r="M1716" i="1"/>
  <c r="AE1716" i="1" s="1"/>
  <c r="O1716" i="1"/>
  <c r="AF1716" i="1" s="1"/>
  <c r="M1717" i="1"/>
  <c r="AE1717" i="1" s="1"/>
  <c r="O1717" i="1"/>
  <c r="AF1717" i="1" s="1"/>
  <c r="M1718" i="1"/>
  <c r="AE1718" i="1" s="1"/>
  <c r="O1718" i="1"/>
  <c r="AF1718" i="1" s="1"/>
  <c r="M1719" i="1"/>
  <c r="AE1719" i="1" s="1"/>
  <c r="O1719" i="1"/>
  <c r="AF1719" i="1" s="1"/>
  <c r="M1720" i="1"/>
  <c r="AE1720" i="1" s="1"/>
  <c r="O1720" i="1"/>
  <c r="AF1720" i="1" s="1"/>
  <c r="M1721" i="1"/>
  <c r="AE1721" i="1" s="1"/>
  <c r="O1721" i="1"/>
  <c r="AF1721" i="1" s="1"/>
  <c r="M1723" i="1"/>
  <c r="AE1723" i="1" s="1"/>
  <c r="O1723" i="1"/>
  <c r="AF1723" i="1" s="1"/>
  <c r="M1725" i="1"/>
  <c r="AE1725" i="1" s="1"/>
  <c r="O1725" i="1"/>
  <c r="AF1725" i="1" s="1"/>
  <c r="M1726" i="1"/>
  <c r="AE1726" i="1" s="1"/>
  <c r="O1726" i="1"/>
  <c r="AF1726" i="1" s="1"/>
  <c r="M1727" i="1"/>
  <c r="AE1727" i="1" s="1"/>
  <c r="O1727" i="1"/>
  <c r="AF1727" i="1" s="1"/>
  <c r="M1730" i="1"/>
  <c r="AE1730" i="1" s="1"/>
  <c r="O1730" i="1"/>
  <c r="AF1730" i="1" s="1"/>
  <c r="M1731" i="1"/>
  <c r="AE1731" i="1" s="1"/>
  <c r="O1731" i="1"/>
  <c r="AF1731" i="1" s="1"/>
  <c r="M1732" i="1"/>
  <c r="AE1732" i="1" s="1"/>
  <c r="O1732" i="1"/>
  <c r="AF1732" i="1" s="1"/>
  <c r="M1733" i="1"/>
  <c r="AE1733" i="1" s="1"/>
  <c r="O1733" i="1"/>
  <c r="AF1733" i="1" s="1"/>
  <c r="M1734" i="1"/>
  <c r="AE1734" i="1" s="1"/>
  <c r="O1734" i="1"/>
  <c r="AF1734" i="1" s="1"/>
  <c r="M1735" i="1"/>
  <c r="AE1735" i="1" s="1"/>
  <c r="O1735" i="1"/>
  <c r="AF1735" i="1" s="1"/>
  <c r="M1736" i="1"/>
  <c r="AE1736" i="1" s="1"/>
  <c r="O1736" i="1"/>
  <c r="AF1736" i="1" s="1"/>
  <c r="M1737" i="1"/>
  <c r="AE1737" i="1" s="1"/>
  <c r="O1737" i="1"/>
  <c r="AF1737" i="1" s="1"/>
  <c r="M1738" i="1"/>
  <c r="AE1738" i="1" s="1"/>
  <c r="O1738" i="1"/>
  <c r="AF1738" i="1" s="1"/>
  <c r="M1739" i="1"/>
  <c r="AE1739" i="1" s="1"/>
  <c r="O1739" i="1"/>
  <c r="AF1739" i="1" s="1"/>
  <c r="M1740" i="1"/>
  <c r="AE1740" i="1" s="1"/>
  <c r="O1740" i="1"/>
  <c r="AF1740" i="1" s="1"/>
  <c r="M1741" i="1"/>
  <c r="AE1741" i="1" s="1"/>
  <c r="O1741" i="1"/>
  <c r="AF1741" i="1" s="1"/>
  <c r="M1742" i="1"/>
  <c r="AE1742" i="1" s="1"/>
  <c r="O1742" i="1"/>
  <c r="AF1742" i="1" s="1"/>
  <c r="M1743" i="1"/>
  <c r="AE1743" i="1" s="1"/>
  <c r="O1743" i="1"/>
  <c r="AF1743" i="1" s="1"/>
  <c r="M1744" i="1"/>
  <c r="AE1744" i="1" s="1"/>
  <c r="O1744" i="1"/>
  <c r="AF1744" i="1" s="1"/>
  <c r="M1745" i="1"/>
  <c r="AE1745" i="1" s="1"/>
  <c r="O1745" i="1"/>
  <c r="AF1745" i="1" s="1"/>
  <c r="M1747" i="1"/>
  <c r="AE1747" i="1" s="1"/>
  <c r="O1747" i="1"/>
  <c r="AF1747" i="1" s="1"/>
  <c r="M1748" i="1"/>
  <c r="AE1748" i="1" s="1"/>
  <c r="O1748" i="1"/>
  <c r="AF1748" i="1" s="1"/>
  <c r="M1749" i="1"/>
  <c r="AE1749" i="1" s="1"/>
  <c r="O1749" i="1"/>
  <c r="AF1749" i="1" s="1"/>
  <c r="M1750" i="1"/>
  <c r="AE1750" i="1" s="1"/>
  <c r="O1750" i="1"/>
  <c r="AF1750" i="1" s="1"/>
  <c r="M1751" i="1"/>
  <c r="AE1751" i="1" s="1"/>
  <c r="O1751" i="1"/>
  <c r="AF1751" i="1" s="1"/>
  <c r="M1752" i="1"/>
  <c r="AE1752" i="1" s="1"/>
  <c r="O1752" i="1"/>
  <c r="AF1752" i="1" s="1"/>
  <c r="M1754" i="1"/>
  <c r="AE1754" i="1" s="1"/>
  <c r="O1754" i="1"/>
  <c r="AF1754" i="1" s="1"/>
  <c r="M1756" i="1"/>
  <c r="AE1756" i="1" s="1"/>
  <c r="O1756" i="1"/>
  <c r="AF1756" i="1" s="1"/>
  <c r="M1757" i="1"/>
  <c r="AE1757" i="1" s="1"/>
  <c r="O1757" i="1"/>
  <c r="AF1757" i="1" s="1"/>
  <c r="M1759" i="1"/>
  <c r="AE1759" i="1" s="1"/>
  <c r="O1759" i="1"/>
  <c r="AF1759" i="1" s="1"/>
  <c r="M1760" i="1"/>
  <c r="AE1760" i="1" s="1"/>
  <c r="O1760" i="1"/>
  <c r="AF1760" i="1" s="1"/>
  <c r="M1761" i="1"/>
  <c r="AE1761" i="1" s="1"/>
  <c r="O1761" i="1"/>
  <c r="AF1761" i="1" s="1"/>
  <c r="M1762" i="1"/>
  <c r="AE1762" i="1" s="1"/>
  <c r="O1762" i="1"/>
  <c r="AF1762" i="1" s="1"/>
  <c r="M1764" i="1"/>
  <c r="AE1764" i="1" s="1"/>
  <c r="O1764" i="1"/>
  <c r="AF1764" i="1" s="1"/>
  <c r="M1765" i="1"/>
  <c r="AE1765" i="1" s="1"/>
  <c r="O1765" i="1"/>
  <c r="AF1765" i="1" s="1"/>
  <c r="M1766" i="1"/>
  <c r="AE1766" i="1" s="1"/>
  <c r="O1766" i="1"/>
  <c r="AF1766" i="1" s="1"/>
  <c r="M1767" i="1"/>
  <c r="AE1767" i="1" s="1"/>
  <c r="O1767" i="1"/>
  <c r="AF1767" i="1" s="1"/>
  <c r="M1768" i="1"/>
  <c r="AE1768" i="1" s="1"/>
  <c r="O1768" i="1"/>
  <c r="AF1768" i="1" s="1"/>
  <c r="M1769" i="1"/>
  <c r="AE1769" i="1" s="1"/>
  <c r="O1769" i="1"/>
  <c r="AF1769" i="1" s="1"/>
  <c r="M1770" i="1"/>
  <c r="AE1770" i="1" s="1"/>
  <c r="O1770" i="1"/>
  <c r="AF1770" i="1" s="1"/>
  <c r="M1772" i="1"/>
  <c r="AE1772" i="1" s="1"/>
  <c r="O1772" i="1"/>
  <c r="AF1772" i="1" s="1"/>
  <c r="M1773" i="1"/>
  <c r="AE1773" i="1" s="1"/>
  <c r="O1773" i="1"/>
  <c r="AF1773" i="1" s="1"/>
  <c r="M1775" i="1"/>
  <c r="AE1775" i="1" s="1"/>
  <c r="O1775" i="1"/>
  <c r="AF1775" i="1" s="1"/>
  <c r="M1776" i="1"/>
  <c r="AE1776" i="1" s="1"/>
  <c r="O1776" i="1"/>
  <c r="AF1776" i="1" s="1"/>
  <c r="M1777" i="1"/>
  <c r="AE1777" i="1" s="1"/>
  <c r="O1777" i="1"/>
  <c r="AF1777" i="1" s="1"/>
  <c r="M1778" i="1"/>
  <c r="AE1778" i="1" s="1"/>
  <c r="O1778" i="1"/>
  <c r="AF1778" i="1" s="1"/>
  <c r="M1780" i="1"/>
  <c r="AE1780" i="1" s="1"/>
  <c r="O1780" i="1"/>
  <c r="AF1780" i="1" s="1"/>
  <c r="M1782" i="1"/>
  <c r="AE1782" i="1" s="1"/>
  <c r="O1782" i="1"/>
  <c r="AF1782" i="1" s="1"/>
  <c r="M1783" i="1"/>
  <c r="AE1783" i="1" s="1"/>
  <c r="O1783" i="1"/>
  <c r="AF1783" i="1" s="1"/>
  <c r="M1784" i="1"/>
  <c r="AE1784" i="1" s="1"/>
  <c r="O1784" i="1"/>
  <c r="AF1784" i="1" s="1"/>
  <c r="M1785" i="1"/>
  <c r="AE1785" i="1" s="1"/>
  <c r="O1785" i="1"/>
  <c r="AF1785" i="1" s="1"/>
  <c r="M1786" i="1"/>
  <c r="AE1786" i="1" s="1"/>
  <c r="O1786" i="1"/>
  <c r="AF1786" i="1" s="1"/>
  <c r="M1788" i="1"/>
  <c r="AE1788" i="1" s="1"/>
  <c r="O1788" i="1"/>
  <c r="AF1788" i="1" s="1"/>
  <c r="M1789" i="1"/>
  <c r="AE1789" i="1" s="1"/>
  <c r="O1789" i="1"/>
  <c r="AF1789" i="1" s="1"/>
  <c r="M1790" i="1"/>
  <c r="AE1790" i="1" s="1"/>
  <c r="O1790" i="1"/>
  <c r="AF1790" i="1" s="1"/>
  <c r="M1791" i="1"/>
  <c r="AE1791" i="1" s="1"/>
  <c r="O1791" i="1"/>
  <c r="AF1791" i="1" s="1"/>
  <c r="M1792" i="1"/>
  <c r="AE1792" i="1" s="1"/>
  <c r="O1792" i="1"/>
  <c r="AF1792" i="1" s="1"/>
  <c r="M1793" i="1"/>
  <c r="AE1793" i="1" s="1"/>
  <c r="O1793" i="1"/>
  <c r="AF1793" i="1" s="1"/>
  <c r="M1794" i="1"/>
  <c r="AE1794" i="1" s="1"/>
  <c r="O1794" i="1"/>
  <c r="AF1794" i="1" s="1"/>
  <c r="M1795" i="1"/>
  <c r="AE1795" i="1" s="1"/>
  <c r="O1795" i="1"/>
  <c r="AF1795" i="1" s="1"/>
  <c r="M1796" i="1"/>
  <c r="AE1796" i="1" s="1"/>
  <c r="O1796" i="1"/>
  <c r="AF1796" i="1" s="1"/>
  <c r="M1797" i="1"/>
  <c r="AE1797" i="1" s="1"/>
  <c r="O1797" i="1"/>
  <c r="AF1797" i="1" s="1"/>
  <c r="M1798" i="1"/>
  <c r="AE1798" i="1" s="1"/>
  <c r="O1798" i="1"/>
  <c r="AF1798" i="1" s="1"/>
  <c r="M1799" i="1"/>
  <c r="AE1799" i="1" s="1"/>
  <c r="O1799" i="1"/>
  <c r="AF1799" i="1" s="1"/>
  <c r="M1800" i="1"/>
  <c r="AE1800" i="1" s="1"/>
  <c r="O1800" i="1"/>
  <c r="AF1800" i="1" s="1"/>
  <c r="M1801" i="1"/>
  <c r="AE1801" i="1" s="1"/>
  <c r="O1801" i="1"/>
  <c r="AF1801" i="1" s="1"/>
  <c r="M1802" i="1"/>
  <c r="AE1802" i="1" s="1"/>
  <c r="O1802" i="1"/>
  <c r="AF1802" i="1" s="1"/>
  <c r="M1804" i="1"/>
  <c r="AE1804" i="1" s="1"/>
  <c r="O1804" i="1"/>
  <c r="AF1804" i="1" s="1"/>
  <c r="M1805" i="1"/>
  <c r="AE1805" i="1" s="1"/>
  <c r="O1805" i="1"/>
  <c r="AF1805" i="1" s="1"/>
  <c r="M1806" i="1"/>
  <c r="AE1806" i="1" s="1"/>
  <c r="O1806" i="1"/>
  <c r="AF1806" i="1" s="1"/>
  <c r="M1807" i="1"/>
  <c r="AE1807" i="1" s="1"/>
  <c r="O1807" i="1"/>
  <c r="AF1807" i="1" s="1"/>
  <c r="M1808" i="1"/>
  <c r="AE1808" i="1" s="1"/>
  <c r="O1808" i="1"/>
  <c r="AF1808" i="1" s="1"/>
  <c r="M1809" i="1"/>
  <c r="AE1809" i="1" s="1"/>
  <c r="O1809" i="1"/>
  <c r="AF1809" i="1" s="1"/>
  <c r="M1810" i="1"/>
  <c r="AE1810" i="1" s="1"/>
  <c r="O1810" i="1"/>
  <c r="AF1810" i="1" s="1"/>
  <c r="M1811" i="1"/>
  <c r="AE1811" i="1" s="1"/>
  <c r="O1811" i="1"/>
  <c r="AF1811" i="1" s="1"/>
  <c r="M1812" i="1"/>
  <c r="AE1812" i="1" s="1"/>
  <c r="O1812" i="1"/>
  <c r="AF1812" i="1" s="1"/>
  <c r="M1813" i="1"/>
  <c r="AE1813" i="1" s="1"/>
  <c r="O1813" i="1"/>
  <c r="AF1813" i="1" s="1"/>
  <c r="M1814" i="1"/>
  <c r="AE1814" i="1" s="1"/>
  <c r="O1814" i="1"/>
  <c r="AF1814" i="1" s="1"/>
  <c r="M1815" i="1"/>
  <c r="AE1815" i="1" s="1"/>
  <c r="O1815" i="1"/>
  <c r="AF1815" i="1" s="1"/>
  <c r="M1816" i="1"/>
  <c r="AE1816" i="1" s="1"/>
  <c r="O1816" i="1"/>
  <c r="AF1816" i="1" s="1"/>
  <c r="M1817" i="1"/>
  <c r="AE1817" i="1" s="1"/>
  <c r="O1817" i="1"/>
  <c r="AF1817" i="1" s="1"/>
  <c r="M1818" i="1"/>
  <c r="AE1818" i="1" s="1"/>
  <c r="O1818" i="1"/>
  <c r="AF1818" i="1" s="1"/>
  <c r="M1819" i="1"/>
  <c r="AE1819" i="1" s="1"/>
  <c r="O1819" i="1"/>
  <c r="AF1819" i="1" s="1"/>
  <c r="M1820" i="1"/>
  <c r="AE1820" i="1" s="1"/>
  <c r="O1820" i="1"/>
  <c r="AF1820" i="1" s="1"/>
  <c r="M1821" i="1"/>
  <c r="AE1821" i="1" s="1"/>
  <c r="O1821" i="1"/>
  <c r="AF1821" i="1" s="1"/>
  <c r="M1824" i="1"/>
  <c r="AE1824" i="1" s="1"/>
  <c r="O1824" i="1"/>
  <c r="AF1824" i="1" s="1"/>
  <c r="M1825" i="1"/>
  <c r="AE1825" i="1" s="1"/>
  <c r="O1825" i="1"/>
  <c r="AF1825" i="1" s="1"/>
  <c r="M1826" i="1"/>
  <c r="AE1826" i="1" s="1"/>
  <c r="O1826" i="1"/>
  <c r="AF1826" i="1" s="1"/>
  <c r="M1827" i="1"/>
  <c r="AE1827" i="1" s="1"/>
  <c r="O1827" i="1"/>
  <c r="AF1827" i="1" s="1"/>
  <c r="M1828" i="1"/>
  <c r="AE1828" i="1" s="1"/>
  <c r="O1828" i="1"/>
  <c r="AF1828" i="1" s="1"/>
  <c r="M1829" i="1"/>
  <c r="AE1829" i="1" s="1"/>
  <c r="O1829" i="1"/>
  <c r="AF1829" i="1" s="1"/>
  <c r="M1830" i="1"/>
  <c r="AE1830" i="1" s="1"/>
  <c r="O1830" i="1"/>
  <c r="AF1830" i="1" s="1"/>
  <c r="M1831" i="1"/>
  <c r="AE1831" i="1" s="1"/>
  <c r="O1831" i="1"/>
  <c r="AF1831" i="1" s="1"/>
  <c r="M1833" i="1"/>
  <c r="AE1833" i="1" s="1"/>
  <c r="O1833" i="1"/>
  <c r="AF1833" i="1" s="1"/>
  <c r="M1834" i="1"/>
  <c r="AE1834" i="1" s="1"/>
  <c r="O1834" i="1"/>
  <c r="AF1834" i="1" s="1"/>
  <c r="M1835" i="1"/>
  <c r="AE1835" i="1" s="1"/>
  <c r="O1835" i="1"/>
  <c r="AF1835" i="1" s="1"/>
  <c r="M1836" i="1"/>
  <c r="AE1836" i="1" s="1"/>
  <c r="O1836" i="1"/>
  <c r="AF1836" i="1" s="1"/>
  <c r="M1838" i="1"/>
  <c r="AE1838" i="1" s="1"/>
  <c r="O1838" i="1"/>
  <c r="AF1838" i="1" s="1"/>
  <c r="M1839" i="1"/>
  <c r="AE1839" i="1" s="1"/>
  <c r="O1839" i="1"/>
  <c r="AF1839" i="1" s="1"/>
  <c r="M1840" i="1"/>
  <c r="AE1840" i="1" s="1"/>
  <c r="O1840" i="1"/>
  <c r="AF1840" i="1" s="1"/>
  <c r="M1841" i="1"/>
  <c r="AE1841" i="1" s="1"/>
  <c r="O1841" i="1"/>
  <c r="AF1841" i="1" s="1"/>
  <c r="M1842" i="1"/>
  <c r="AE1842" i="1" s="1"/>
  <c r="O1842" i="1"/>
  <c r="AF1842" i="1" s="1"/>
  <c r="M1843" i="1"/>
  <c r="AE1843" i="1" s="1"/>
  <c r="O1843" i="1"/>
  <c r="AF1843" i="1" s="1"/>
  <c r="M1844" i="1"/>
  <c r="AE1844" i="1" s="1"/>
  <c r="O1844" i="1"/>
  <c r="AF1844" i="1" s="1"/>
  <c r="M1845" i="1"/>
  <c r="AE1845" i="1" s="1"/>
  <c r="O1845" i="1"/>
  <c r="AF1845" i="1" s="1"/>
  <c r="M1846" i="1"/>
  <c r="AE1846" i="1" s="1"/>
  <c r="O1846" i="1"/>
  <c r="AF1846" i="1" s="1"/>
  <c r="M1847" i="1"/>
  <c r="AE1847" i="1" s="1"/>
  <c r="O1847" i="1"/>
  <c r="AF1847" i="1" s="1"/>
  <c r="M1848" i="1"/>
  <c r="AE1848" i="1" s="1"/>
  <c r="O1848" i="1"/>
  <c r="AF1848" i="1" s="1"/>
  <c r="M1849" i="1"/>
  <c r="AE1849" i="1" s="1"/>
  <c r="O1849" i="1"/>
  <c r="AF1849" i="1" s="1"/>
  <c r="M1850" i="1"/>
  <c r="AE1850" i="1" s="1"/>
  <c r="O1850" i="1"/>
  <c r="AF1850" i="1" s="1"/>
  <c r="M1851" i="1"/>
  <c r="AE1851" i="1" s="1"/>
  <c r="O1851" i="1"/>
  <c r="AF1851" i="1" s="1"/>
  <c r="M1852" i="1"/>
  <c r="AE1852" i="1" s="1"/>
  <c r="O1852" i="1"/>
  <c r="AF1852" i="1" s="1"/>
  <c r="M1853" i="1"/>
  <c r="AE1853" i="1" s="1"/>
  <c r="O1853" i="1"/>
  <c r="AF1853" i="1" s="1"/>
  <c r="M1855" i="1"/>
  <c r="AE1855" i="1" s="1"/>
  <c r="O1855" i="1"/>
  <c r="AF1855" i="1" s="1"/>
  <c r="M1856" i="1"/>
  <c r="AE1856" i="1" s="1"/>
  <c r="O1856" i="1"/>
  <c r="AF1856" i="1" s="1"/>
  <c r="M1857" i="1"/>
  <c r="AE1857" i="1" s="1"/>
  <c r="O1857" i="1"/>
  <c r="AF1857" i="1" s="1"/>
  <c r="M1858" i="1"/>
  <c r="AE1858" i="1" s="1"/>
  <c r="O1858" i="1"/>
  <c r="AF1858" i="1" s="1"/>
  <c r="M1859" i="1"/>
  <c r="AE1859" i="1" s="1"/>
  <c r="O1859" i="1"/>
  <c r="AF1859" i="1" s="1"/>
  <c r="M1860" i="1"/>
  <c r="AE1860" i="1" s="1"/>
  <c r="O1860" i="1"/>
  <c r="AF1860" i="1" s="1"/>
  <c r="M1861" i="1"/>
  <c r="AE1861" i="1" s="1"/>
  <c r="O1861" i="1"/>
  <c r="AF1861" i="1" s="1"/>
  <c r="M1862" i="1"/>
  <c r="AE1862" i="1" s="1"/>
  <c r="O1862" i="1"/>
  <c r="AF1862" i="1" s="1"/>
  <c r="M1864" i="1"/>
  <c r="AE1864" i="1" s="1"/>
  <c r="O1864" i="1"/>
  <c r="AF1864" i="1" s="1"/>
  <c r="M1865" i="1"/>
  <c r="AE1865" i="1" s="1"/>
  <c r="O1865" i="1"/>
  <c r="AF1865" i="1" s="1"/>
  <c r="M1867" i="1"/>
  <c r="AE1867" i="1" s="1"/>
  <c r="O1867" i="1"/>
  <c r="AF1867" i="1" s="1"/>
  <c r="M1868" i="1"/>
  <c r="AE1868" i="1" s="1"/>
  <c r="O1868" i="1"/>
  <c r="AF1868" i="1" s="1"/>
  <c r="M1869" i="1"/>
  <c r="AE1869" i="1" s="1"/>
  <c r="O1869" i="1"/>
  <c r="AF1869" i="1" s="1"/>
  <c r="M1870" i="1"/>
  <c r="AE1870" i="1" s="1"/>
  <c r="O1870" i="1"/>
  <c r="AF1870" i="1" s="1"/>
  <c r="M1872" i="1"/>
  <c r="AE1872" i="1" s="1"/>
  <c r="O1872" i="1"/>
  <c r="AF1872" i="1" s="1"/>
  <c r="M1873" i="1"/>
  <c r="AE1873" i="1" s="1"/>
  <c r="O1873" i="1"/>
  <c r="AF1873" i="1" s="1"/>
  <c r="M1874" i="1"/>
  <c r="AE1874" i="1" s="1"/>
  <c r="O1874" i="1"/>
  <c r="AF1874" i="1" s="1"/>
  <c r="M1876" i="1"/>
  <c r="AE1876" i="1" s="1"/>
  <c r="O1876" i="1"/>
  <c r="AF1876" i="1" s="1"/>
  <c r="M1877" i="1"/>
  <c r="AE1877" i="1" s="1"/>
  <c r="O1877" i="1"/>
  <c r="AF1877" i="1" s="1"/>
  <c r="M1878" i="1"/>
  <c r="AE1878" i="1" s="1"/>
  <c r="O1878" i="1"/>
  <c r="AF1878" i="1" s="1"/>
  <c r="M1879" i="1"/>
  <c r="AE1879" i="1" s="1"/>
  <c r="O1879" i="1"/>
  <c r="AF1879" i="1" s="1"/>
  <c r="M1880" i="1"/>
  <c r="AE1880" i="1" s="1"/>
  <c r="O1880" i="1"/>
  <c r="AF1880" i="1" s="1"/>
  <c r="M1881" i="1"/>
  <c r="AE1881" i="1" s="1"/>
  <c r="O1881" i="1"/>
  <c r="AF1881" i="1" s="1"/>
  <c r="M1882" i="1"/>
  <c r="AE1882" i="1" s="1"/>
  <c r="O1882" i="1"/>
  <c r="AF1882" i="1" s="1"/>
  <c r="M1883" i="1"/>
  <c r="AE1883" i="1" s="1"/>
  <c r="O1883" i="1"/>
  <c r="AF1883" i="1" s="1"/>
  <c r="M1884" i="1"/>
  <c r="AE1884" i="1" s="1"/>
  <c r="O1884" i="1"/>
  <c r="AF1884" i="1" s="1"/>
  <c r="M1886" i="1"/>
  <c r="AE1886" i="1" s="1"/>
  <c r="O1886" i="1"/>
  <c r="AF1886" i="1" s="1"/>
  <c r="M1887" i="1"/>
  <c r="AE1887" i="1" s="1"/>
  <c r="O1887" i="1"/>
  <c r="AF1887" i="1" s="1"/>
  <c r="M1888" i="1"/>
  <c r="AE1888" i="1" s="1"/>
  <c r="O1888" i="1"/>
  <c r="AF1888" i="1" s="1"/>
  <c r="M1889" i="1"/>
  <c r="AE1889" i="1" s="1"/>
  <c r="O1889" i="1"/>
  <c r="AF1889" i="1" s="1"/>
  <c r="M1890" i="1"/>
  <c r="AE1890" i="1" s="1"/>
  <c r="O1890" i="1"/>
  <c r="AF1890" i="1" s="1"/>
  <c r="M1891" i="1"/>
  <c r="AE1891" i="1" s="1"/>
  <c r="O1891" i="1"/>
  <c r="AF1891" i="1" s="1"/>
  <c r="M1892" i="1"/>
  <c r="AE1892" i="1" s="1"/>
  <c r="O1892" i="1"/>
  <c r="AF1892" i="1" s="1"/>
  <c r="M1893" i="1"/>
  <c r="AE1893" i="1" s="1"/>
  <c r="O1893" i="1"/>
  <c r="AF1893" i="1" s="1"/>
  <c r="M1894" i="1"/>
  <c r="AE1894" i="1" s="1"/>
  <c r="O1894" i="1"/>
  <c r="AF1894" i="1" s="1"/>
  <c r="M1895" i="1"/>
  <c r="AE1895" i="1" s="1"/>
  <c r="O1895" i="1"/>
  <c r="AF1895" i="1" s="1"/>
  <c r="M1896" i="1"/>
  <c r="AE1896" i="1" s="1"/>
  <c r="O1896" i="1"/>
  <c r="AF1896" i="1" s="1"/>
  <c r="M1897" i="1"/>
  <c r="AE1897" i="1" s="1"/>
  <c r="O1897" i="1"/>
  <c r="AF1897" i="1" s="1"/>
  <c r="M1898" i="1"/>
  <c r="AE1898" i="1" s="1"/>
  <c r="O1898" i="1"/>
  <c r="AF1898" i="1" s="1"/>
  <c r="M1899" i="1"/>
  <c r="AE1899" i="1" s="1"/>
  <c r="O1899" i="1"/>
  <c r="AF1899" i="1" s="1"/>
  <c r="M1900" i="1"/>
  <c r="AE1900" i="1" s="1"/>
  <c r="O1900" i="1"/>
  <c r="AF1900" i="1" s="1"/>
  <c r="M1902" i="1"/>
  <c r="AE1902" i="1" s="1"/>
  <c r="O1902" i="1"/>
  <c r="AF1902" i="1" s="1"/>
  <c r="M1903" i="1"/>
  <c r="AE1903" i="1" s="1"/>
  <c r="O1903" i="1"/>
  <c r="AF1903" i="1" s="1"/>
  <c r="M1904" i="1"/>
  <c r="AE1904" i="1" s="1"/>
  <c r="O1904" i="1"/>
  <c r="AF1904" i="1" s="1"/>
  <c r="M1905" i="1"/>
  <c r="AE1905" i="1" s="1"/>
  <c r="O1905" i="1"/>
  <c r="AF1905" i="1" s="1"/>
  <c r="M1906" i="1"/>
  <c r="AE1906" i="1" s="1"/>
  <c r="O1906" i="1"/>
  <c r="AF1906" i="1" s="1"/>
  <c r="M1907" i="1"/>
  <c r="AE1907" i="1" s="1"/>
  <c r="O1907" i="1"/>
  <c r="AF1907" i="1" s="1"/>
  <c r="M1908" i="1"/>
  <c r="AE1908" i="1" s="1"/>
  <c r="O1908" i="1"/>
  <c r="AF1908" i="1" s="1"/>
  <c r="M1909" i="1"/>
  <c r="AE1909" i="1" s="1"/>
  <c r="O1909" i="1"/>
  <c r="AF1909" i="1" s="1"/>
  <c r="M1910" i="1"/>
  <c r="AE1910" i="1" s="1"/>
  <c r="O1910" i="1"/>
  <c r="AF1910" i="1" s="1"/>
  <c r="M1911" i="1"/>
  <c r="AE1911" i="1" s="1"/>
  <c r="O1911" i="1"/>
  <c r="AF1911" i="1" s="1"/>
  <c r="M1912" i="1"/>
  <c r="AE1912" i="1" s="1"/>
  <c r="O1912" i="1"/>
  <c r="AF1912" i="1" s="1"/>
  <c r="M1913" i="1"/>
  <c r="AE1913" i="1" s="1"/>
  <c r="O1913" i="1"/>
  <c r="AF1913" i="1" s="1"/>
  <c r="M1915" i="1"/>
  <c r="AE1915" i="1" s="1"/>
  <c r="O1915" i="1"/>
  <c r="AF1915" i="1" s="1"/>
  <c r="M1917" i="1"/>
  <c r="AE1917" i="1" s="1"/>
  <c r="O1917" i="1"/>
  <c r="AF1917" i="1" s="1"/>
  <c r="M1918" i="1"/>
  <c r="AE1918" i="1" s="1"/>
  <c r="O1918" i="1"/>
  <c r="AF1918" i="1" s="1"/>
  <c r="M1919" i="1"/>
  <c r="AE1919" i="1" s="1"/>
  <c r="O1919" i="1"/>
  <c r="AF1919" i="1" s="1"/>
  <c r="M1921" i="1"/>
  <c r="AE1921" i="1" s="1"/>
  <c r="O1921" i="1"/>
  <c r="AF1921" i="1" s="1"/>
  <c r="M1923" i="1"/>
  <c r="AE1923" i="1" s="1"/>
  <c r="O1923" i="1"/>
  <c r="AF1923" i="1" s="1"/>
  <c r="M1925" i="1"/>
  <c r="AE1925" i="1" s="1"/>
  <c r="O1925" i="1"/>
  <c r="AF1925" i="1" s="1"/>
  <c r="M1926" i="1"/>
  <c r="AE1926" i="1" s="1"/>
  <c r="O1926" i="1"/>
  <c r="AF1926" i="1" s="1"/>
  <c r="M1927" i="1"/>
  <c r="AE1927" i="1" s="1"/>
  <c r="O1927" i="1"/>
  <c r="AF1927" i="1" s="1"/>
  <c r="M1928" i="1"/>
  <c r="AE1928" i="1" s="1"/>
  <c r="O1928" i="1"/>
  <c r="AF1928" i="1" s="1"/>
  <c r="M1929" i="1"/>
  <c r="AE1929" i="1" s="1"/>
  <c r="O1929" i="1"/>
  <c r="AF1929" i="1" s="1"/>
  <c r="M1931" i="1"/>
  <c r="AE1931" i="1" s="1"/>
  <c r="O1931" i="1"/>
  <c r="AF1931" i="1" s="1"/>
  <c r="M1932" i="1"/>
  <c r="AE1932" i="1" s="1"/>
  <c r="O1932" i="1"/>
  <c r="AF1932" i="1" s="1"/>
  <c r="M1933" i="1"/>
  <c r="AE1933" i="1" s="1"/>
  <c r="O1933" i="1"/>
  <c r="AF1933" i="1" s="1"/>
  <c r="M1934" i="1"/>
  <c r="AE1934" i="1" s="1"/>
  <c r="O1934" i="1"/>
  <c r="AF1934" i="1" s="1"/>
  <c r="M1936" i="1"/>
  <c r="AE1936" i="1" s="1"/>
  <c r="O1936" i="1"/>
  <c r="AF1936" i="1" s="1"/>
  <c r="M1937" i="1"/>
  <c r="AE1937" i="1" s="1"/>
  <c r="O1937" i="1"/>
  <c r="AF1937" i="1" s="1"/>
  <c r="M1938" i="1"/>
  <c r="AE1938" i="1" s="1"/>
  <c r="O1938" i="1"/>
  <c r="AF1938" i="1" s="1"/>
  <c r="M1939" i="1"/>
  <c r="AE1939" i="1" s="1"/>
  <c r="O1939" i="1"/>
  <c r="AF1939" i="1" s="1"/>
  <c r="M1940" i="1"/>
  <c r="AE1940" i="1" s="1"/>
  <c r="O1940" i="1"/>
  <c r="AF1940" i="1" s="1"/>
  <c r="M1941" i="1"/>
  <c r="AE1941" i="1" s="1"/>
  <c r="O1941" i="1"/>
  <c r="AF1941" i="1" s="1"/>
  <c r="M1943" i="1"/>
  <c r="AE1943" i="1" s="1"/>
  <c r="O1943" i="1"/>
  <c r="AF1943" i="1" s="1"/>
  <c r="M1945" i="1"/>
  <c r="AE1945" i="1" s="1"/>
  <c r="O1945" i="1"/>
  <c r="AF1945" i="1" s="1"/>
  <c r="M1947" i="1"/>
  <c r="AE1947" i="1" s="1"/>
  <c r="O1947" i="1"/>
  <c r="AF1947" i="1" s="1"/>
  <c r="M1948" i="1"/>
  <c r="AE1948" i="1" s="1"/>
  <c r="O1948" i="1"/>
  <c r="AF1948" i="1" s="1"/>
  <c r="M1950" i="1"/>
  <c r="AE1950" i="1" s="1"/>
  <c r="O1950" i="1"/>
  <c r="AF1950" i="1" s="1"/>
  <c r="M1951" i="1"/>
  <c r="AE1951" i="1" s="1"/>
  <c r="O1951" i="1"/>
  <c r="AF1951" i="1" s="1"/>
  <c r="M1952" i="1"/>
  <c r="AE1952" i="1" s="1"/>
  <c r="O1952" i="1"/>
  <c r="AF1952" i="1" s="1"/>
  <c r="M1953" i="1"/>
  <c r="AE1953" i="1" s="1"/>
  <c r="O1953" i="1"/>
  <c r="AF1953" i="1" s="1"/>
  <c r="M1954" i="1"/>
  <c r="AE1954" i="1" s="1"/>
  <c r="O1954" i="1"/>
  <c r="AF1954" i="1" s="1"/>
  <c r="M1955" i="1"/>
  <c r="AE1955" i="1" s="1"/>
  <c r="O1955" i="1"/>
  <c r="AF1955" i="1" s="1"/>
  <c r="M1956" i="1"/>
  <c r="AE1956" i="1" s="1"/>
  <c r="O1956" i="1"/>
  <c r="AF1956" i="1" s="1"/>
  <c r="M1957" i="1"/>
  <c r="AE1957" i="1" s="1"/>
  <c r="O1957" i="1"/>
  <c r="AF1957" i="1" s="1"/>
  <c r="M1958" i="1"/>
  <c r="AE1958" i="1" s="1"/>
  <c r="O1958" i="1"/>
  <c r="AF1958" i="1" s="1"/>
  <c r="M1959" i="1"/>
  <c r="AE1959" i="1" s="1"/>
  <c r="O1959" i="1"/>
  <c r="AF1959" i="1" s="1"/>
  <c r="M1960" i="1"/>
  <c r="AE1960" i="1" s="1"/>
  <c r="O1960" i="1"/>
  <c r="AF1960" i="1" s="1"/>
  <c r="M1961" i="1"/>
  <c r="AE1961" i="1" s="1"/>
  <c r="O1961" i="1"/>
  <c r="AF1961" i="1" s="1"/>
  <c r="M1963" i="1"/>
  <c r="AE1963" i="1" s="1"/>
  <c r="O1963" i="1"/>
  <c r="AF1963" i="1" s="1"/>
  <c r="M1964" i="1"/>
  <c r="AE1964" i="1" s="1"/>
  <c r="O1964" i="1"/>
  <c r="AF1964" i="1" s="1"/>
  <c r="M1965" i="1"/>
  <c r="AE1965" i="1" s="1"/>
  <c r="O1965" i="1"/>
  <c r="AF1965" i="1" s="1"/>
  <c r="M1966" i="1"/>
  <c r="AE1966" i="1" s="1"/>
  <c r="O1966" i="1"/>
  <c r="AF1966" i="1" s="1"/>
  <c r="M1967" i="1"/>
  <c r="AE1967" i="1" s="1"/>
  <c r="O1967" i="1"/>
  <c r="AF1967" i="1" s="1"/>
  <c r="M1968" i="1"/>
  <c r="AE1968" i="1" s="1"/>
  <c r="O1968" i="1"/>
  <c r="AF1968" i="1" s="1"/>
  <c r="M1969" i="1"/>
  <c r="AE1969" i="1" s="1"/>
  <c r="O1969" i="1"/>
  <c r="AF1969" i="1" s="1"/>
  <c r="M1971" i="1"/>
  <c r="AE1971" i="1" s="1"/>
  <c r="O1971" i="1"/>
  <c r="AF1971" i="1" s="1"/>
  <c r="M1972" i="1"/>
  <c r="AE1972" i="1" s="1"/>
  <c r="O1972" i="1"/>
  <c r="AF1972" i="1" s="1"/>
  <c r="M1973" i="1"/>
  <c r="AE1973" i="1" s="1"/>
  <c r="O1973" i="1"/>
  <c r="AF1973" i="1" s="1"/>
  <c r="M1974" i="1"/>
  <c r="AE1974" i="1" s="1"/>
  <c r="O1974" i="1"/>
  <c r="AF1974" i="1" s="1"/>
  <c r="M1975" i="1"/>
  <c r="AE1975" i="1" s="1"/>
  <c r="O1975" i="1"/>
  <c r="AF1975" i="1" s="1"/>
  <c r="M1976" i="1"/>
  <c r="AE1976" i="1" s="1"/>
  <c r="O1976" i="1"/>
  <c r="AF1976" i="1" s="1"/>
  <c r="M1977" i="1"/>
  <c r="AE1977" i="1" s="1"/>
  <c r="O1977" i="1"/>
  <c r="AF1977" i="1" s="1"/>
  <c r="M1978" i="1"/>
  <c r="AE1978" i="1" s="1"/>
  <c r="O1978" i="1"/>
  <c r="AF1978" i="1" s="1"/>
  <c r="M1980" i="1"/>
  <c r="AE1980" i="1" s="1"/>
  <c r="O1980" i="1"/>
  <c r="AF1980" i="1" s="1"/>
  <c r="M1981" i="1"/>
  <c r="AE1981" i="1" s="1"/>
  <c r="O1981" i="1"/>
  <c r="AF1981" i="1" s="1"/>
  <c r="M1982" i="1"/>
  <c r="AE1982" i="1" s="1"/>
  <c r="O1982" i="1"/>
  <c r="AF1982" i="1" s="1"/>
  <c r="M1983" i="1"/>
  <c r="AE1983" i="1" s="1"/>
  <c r="O1983" i="1"/>
  <c r="AF1983" i="1" s="1"/>
  <c r="M1984" i="1"/>
  <c r="AE1984" i="1" s="1"/>
  <c r="O1984" i="1"/>
  <c r="AF1984" i="1" s="1"/>
  <c r="M1985" i="1"/>
  <c r="AE1985" i="1" s="1"/>
  <c r="O1985" i="1"/>
  <c r="AF1985" i="1" s="1"/>
  <c r="M1988" i="1"/>
  <c r="AE1988" i="1" s="1"/>
  <c r="O1988" i="1"/>
  <c r="AF1988" i="1" s="1"/>
  <c r="M1989" i="1"/>
  <c r="AE1989" i="1" s="1"/>
  <c r="O1989" i="1"/>
  <c r="AF1989" i="1" s="1"/>
  <c r="M1990" i="1"/>
  <c r="AE1990" i="1" s="1"/>
  <c r="O1990" i="1"/>
  <c r="AF1990" i="1" s="1"/>
  <c r="M1992" i="1"/>
  <c r="AE1992" i="1" s="1"/>
  <c r="O1992" i="1"/>
  <c r="AF1992" i="1" s="1"/>
  <c r="M1993" i="1"/>
  <c r="AE1993" i="1" s="1"/>
  <c r="O1993" i="1"/>
  <c r="AF1993" i="1" s="1"/>
  <c r="M1994" i="1"/>
  <c r="AE1994" i="1" s="1"/>
  <c r="O1994" i="1"/>
  <c r="AF1994" i="1" s="1"/>
  <c r="M1995" i="1"/>
  <c r="AE1995" i="1" s="1"/>
  <c r="O1995" i="1"/>
  <c r="AF1995" i="1" s="1"/>
  <c r="M1996" i="1"/>
  <c r="AE1996" i="1" s="1"/>
  <c r="O1996" i="1"/>
  <c r="AF1996" i="1" s="1"/>
  <c r="M1997" i="1"/>
  <c r="AE1997" i="1" s="1"/>
  <c r="O1997" i="1"/>
  <c r="AF1997" i="1" s="1"/>
  <c r="M1998" i="1"/>
  <c r="AE1998" i="1" s="1"/>
  <c r="O1998" i="1"/>
  <c r="AF1998" i="1" s="1"/>
  <c r="M1999" i="1"/>
  <c r="AE1999" i="1" s="1"/>
  <c r="O1999" i="1"/>
  <c r="AF1999" i="1" s="1"/>
  <c r="M2000" i="1"/>
  <c r="AE2000" i="1" s="1"/>
  <c r="O2000" i="1"/>
  <c r="AF2000" i="1" s="1"/>
  <c r="M2001" i="1"/>
  <c r="AE2001" i="1" s="1"/>
  <c r="O2001" i="1"/>
  <c r="AF2001" i="1" s="1"/>
  <c r="M2002" i="1"/>
  <c r="AE2002" i="1" s="1"/>
  <c r="O2002" i="1"/>
  <c r="AF2002" i="1" s="1"/>
  <c r="M2003" i="1"/>
  <c r="AE2003" i="1" s="1"/>
  <c r="O2003" i="1"/>
  <c r="AF2003" i="1" s="1"/>
  <c r="M2004" i="1"/>
  <c r="AE2004" i="1" s="1"/>
  <c r="O2004" i="1"/>
  <c r="AF2004" i="1" s="1"/>
  <c r="M2005" i="1"/>
  <c r="AE2005" i="1" s="1"/>
  <c r="O2005" i="1"/>
  <c r="AF2005" i="1" s="1"/>
  <c r="M2006" i="1"/>
  <c r="AE2006" i="1" s="1"/>
  <c r="O2006" i="1"/>
  <c r="AF2006" i="1" s="1"/>
  <c r="M2007" i="1"/>
  <c r="AE2007" i="1" s="1"/>
  <c r="O2007" i="1"/>
  <c r="AF2007" i="1" s="1"/>
  <c r="M2008" i="1"/>
  <c r="AE2008" i="1" s="1"/>
  <c r="O2008" i="1"/>
  <c r="AF2008" i="1" s="1"/>
  <c r="M2009" i="1"/>
  <c r="AE2009" i="1" s="1"/>
  <c r="O2009" i="1"/>
  <c r="AF2009" i="1" s="1"/>
  <c r="M2010" i="1"/>
  <c r="AE2010" i="1" s="1"/>
  <c r="O2010" i="1"/>
  <c r="AF2010" i="1" s="1"/>
  <c r="M2011" i="1"/>
  <c r="AE2011" i="1" s="1"/>
  <c r="O2011" i="1"/>
  <c r="AF2011" i="1" s="1"/>
  <c r="M2012" i="1"/>
  <c r="AE2012" i="1" s="1"/>
  <c r="O2012" i="1"/>
  <c r="AF2012" i="1" s="1"/>
  <c r="M2013" i="1"/>
  <c r="AE2013" i="1" s="1"/>
  <c r="O2013" i="1"/>
  <c r="AF2013" i="1" s="1"/>
  <c r="M2014" i="1"/>
  <c r="AE2014" i="1" s="1"/>
  <c r="O2014" i="1"/>
  <c r="AF2014" i="1" s="1"/>
  <c r="M2016" i="1"/>
  <c r="AE2016" i="1" s="1"/>
  <c r="O2016" i="1"/>
  <c r="AF2016" i="1" s="1"/>
  <c r="M2017" i="1"/>
  <c r="AE2017" i="1" s="1"/>
  <c r="O2017" i="1"/>
  <c r="AF2017" i="1" s="1"/>
  <c r="M2018" i="1"/>
  <c r="AE2018" i="1" s="1"/>
  <c r="O2018" i="1"/>
  <c r="AF2018" i="1" s="1"/>
  <c r="M2020" i="1"/>
  <c r="AE2020" i="1" s="1"/>
  <c r="O2020" i="1"/>
  <c r="AF2020" i="1" s="1"/>
  <c r="M2021" i="1"/>
  <c r="AE2021" i="1" s="1"/>
  <c r="O2021" i="1"/>
  <c r="AF2021" i="1" s="1"/>
  <c r="M2022" i="1"/>
  <c r="AE2022" i="1" s="1"/>
  <c r="O2022" i="1"/>
  <c r="AF2022" i="1" s="1"/>
  <c r="M2024" i="1"/>
  <c r="AE2024" i="1" s="1"/>
  <c r="O2024" i="1"/>
  <c r="AF2024" i="1" s="1"/>
  <c r="M2025" i="1"/>
  <c r="AE2025" i="1" s="1"/>
  <c r="O2025" i="1"/>
  <c r="AF2025" i="1" s="1"/>
  <c r="M2026" i="1"/>
  <c r="AE2026" i="1" s="1"/>
  <c r="O2026" i="1"/>
  <c r="AF2026" i="1" s="1"/>
  <c r="M2027" i="1"/>
  <c r="AE2027" i="1" s="1"/>
  <c r="O2027" i="1"/>
  <c r="AF2027" i="1" s="1"/>
  <c r="M2028" i="1"/>
  <c r="AE2028" i="1" s="1"/>
  <c r="O2028" i="1"/>
  <c r="AF2028" i="1" s="1"/>
  <c r="M2029" i="1"/>
  <c r="AE2029" i="1" s="1"/>
  <c r="O2029" i="1"/>
  <c r="AF2029" i="1" s="1"/>
  <c r="M2030" i="1"/>
  <c r="AE2030" i="1" s="1"/>
  <c r="O2030" i="1"/>
  <c r="AF2030" i="1" s="1"/>
  <c r="M2031" i="1"/>
  <c r="AE2031" i="1" s="1"/>
  <c r="O2031" i="1"/>
  <c r="AF2031" i="1" s="1"/>
  <c r="M2032" i="1"/>
  <c r="AE2032" i="1" s="1"/>
  <c r="O2032" i="1"/>
  <c r="AF2032" i="1" s="1"/>
  <c r="M2033" i="1"/>
  <c r="AE2033" i="1" s="1"/>
  <c r="O2033" i="1"/>
  <c r="AF2033" i="1" s="1"/>
  <c r="M2035" i="1"/>
  <c r="AE2035" i="1" s="1"/>
  <c r="O2035" i="1"/>
  <c r="AF2035" i="1" s="1"/>
  <c r="M2036" i="1"/>
  <c r="AE2036" i="1" s="1"/>
  <c r="O2036" i="1"/>
  <c r="AF2036" i="1" s="1"/>
  <c r="M2037" i="1"/>
  <c r="AE2037" i="1" s="1"/>
  <c r="O2037" i="1"/>
  <c r="AF2037" i="1" s="1"/>
  <c r="M2038" i="1"/>
  <c r="AE2038" i="1" s="1"/>
  <c r="O2038" i="1"/>
  <c r="AF2038" i="1" s="1"/>
  <c r="M2039" i="1"/>
  <c r="AE2039" i="1" s="1"/>
  <c r="O2039" i="1"/>
  <c r="AF2039" i="1" s="1"/>
  <c r="M2040" i="1"/>
  <c r="AE2040" i="1" s="1"/>
  <c r="O2040" i="1"/>
  <c r="AF2040" i="1" s="1"/>
  <c r="M2041" i="1"/>
  <c r="AE2041" i="1" s="1"/>
  <c r="O2041" i="1"/>
  <c r="AF2041" i="1" s="1"/>
  <c r="M2042" i="1"/>
  <c r="AE2042" i="1" s="1"/>
  <c r="O2042" i="1"/>
  <c r="AF2042" i="1" s="1"/>
  <c r="M2043" i="1"/>
  <c r="AE2043" i="1" s="1"/>
  <c r="O2043" i="1"/>
  <c r="AF2043" i="1" s="1"/>
  <c r="M2044" i="1"/>
  <c r="AE2044" i="1" s="1"/>
  <c r="O2044" i="1"/>
  <c r="AF2044" i="1" s="1"/>
  <c r="M2045" i="1"/>
  <c r="AE2045" i="1" s="1"/>
  <c r="O2045" i="1"/>
  <c r="AF2045" i="1" s="1"/>
  <c r="M2046" i="1"/>
  <c r="AE2046" i="1" s="1"/>
  <c r="O2046" i="1"/>
  <c r="AF2046" i="1" s="1"/>
  <c r="M2047" i="1"/>
  <c r="AE2047" i="1" s="1"/>
  <c r="O2047" i="1"/>
  <c r="AF2047" i="1" s="1"/>
  <c r="M2048" i="1"/>
  <c r="AE2048" i="1" s="1"/>
  <c r="O2048" i="1"/>
  <c r="AF2048" i="1" s="1"/>
  <c r="M2049" i="1"/>
  <c r="AE2049" i="1" s="1"/>
  <c r="O2049" i="1"/>
  <c r="AF2049" i="1" s="1"/>
  <c r="M2051" i="1"/>
  <c r="AE2051" i="1" s="1"/>
  <c r="O2051" i="1"/>
  <c r="AF2051" i="1" s="1"/>
  <c r="M2052" i="1"/>
  <c r="AE2052" i="1" s="1"/>
  <c r="O2052" i="1"/>
  <c r="AF2052" i="1" s="1"/>
  <c r="M2053" i="1"/>
  <c r="AE2053" i="1" s="1"/>
  <c r="O2053" i="1"/>
  <c r="AF2053" i="1" s="1"/>
  <c r="M2054" i="1"/>
  <c r="AE2054" i="1" s="1"/>
  <c r="O2054" i="1"/>
  <c r="AF2054" i="1" s="1"/>
  <c r="M2055" i="1"/>
  <c r="AE2055" i="1" s="1"/>
  <c r="O2055" i="1"/>
  <c r="AF2055" i="1" s="1"/>
  <c r="M2057" i="1"/>
  <c r="AE2057" i="1" s="1"/>
  <c r="O2057" i="1"/>
  <c r="AF2057" i="1" s="1"/>
  <c r="M2058" i="1"/>
  <c r="AE2058" i="1" s="1"/>
  <c r="M2059" i="1"/>
  <c r="AE2059" i="1" s="1"/>
  <c r="O2059" i="1"/>
  <c r="AF2059" i="1" s="1"/>
  <c r="M2060" i="1"/>
  <c r="AE2060" i="1" s="1"/>
  <c r="O2060" i="1"/>
  <c r="AF2060" i="1" s="1"/>
  <c r="M2063" i="1"/>
  <c r="AE2063" i="1" s="1"/>
  <c r="O2063" i="1"/>
  <c r="AF2063" i="1" s="1"/>
  <c r="M2064" i="1"/>
  <c r="AE2064" i="1" s="1"/>
  <c r="O2064" i="1"/>
  <c r="AF2064" i="1" s="1"/>
  <c r="M2065" i="1"/>
  <c r="AE2065" i="1" s="1"/>
  <c r="O2065" i="1"/>
  <c r="AF2065" i="1" s="1"/>
  <c r="M2066" i="1"/>
  <c r="AE2066" i="1" s="1"/>
  <c r="O2066" i="1"/>
  <c r="AF2066" i="1" s="1"/>
  <c r="M2067" i="1"/>
  <c r="AE2067" i="1" s="1"/>
  <c r="O2067" i="1"/>
  <c r="AF2067" i="1" s="1"/>
  <c r="M2068" i="1"/>
  <c r="AE2068" i="1" s="1"/>
  <c r="O2068" i="1"/>
  <c r="AF2068" i="1" s="1"/>
  <c r="M2069" i="1"/>
  <c r="AE2069" i="1" s="1"/>
  <c r="M2070" i="1"/>
  <c r="AE2070" i="1" s="1"/>
  <c r="O2070" i="1"/>
  <c r="AF2070" i="1" s="1"/>
  <c r="M2071" i="1"/>
  <c r="AE2071" i="1" s="1"/>
  <c r="O2071" i="1"/>
  <c r="AF2071" i="1" s="1"/>
  <c r="M2072" i="1"/>
  <c r="AE2072" i="1" s="1"/>
  <c r="O2072" i="1"/>
  <c r="AF2072" i="1" s="1"/>
  <c r="M2073" i="1"/>
  <c r="AE2073" i="1" s="1"/>
  <c r="O2073" i="1"/>
  <c r="AF2073" i="1" s="1"/>
  <c r="M2074" i="1"/>
  <c r="AE2074" i="1" s="1"/>
  <c r="O2074" i="1"/>
  <c r="AF2074" i="1" s="1"/>
  <c r="M2075" i="1"/>
  <c r="AE2075" i="1" s="1"/>
  <c r="O2075" i="1"/>
  <c r="AF2075" i="1" s="1"/>
  <c r="M2076" i="1"/>
  <c r="AE2076" i="1" s="1"/>
  <c r="O2076" i="1"/>
  <c r="AF2076" i="1" s="1"/>
  <c r="M2077" i="1"/>
  <c r="AE2077" i="1" s="1"/>
  <c r="O2077" i="1"/>
  <c r="AF2077" i="1" s="1"/>
  <c r="M2078" i="1"/>
  <c r="AE2078" i="1" s="1"/>
  <c r="O2078" i="1"/>
  <c r="AF2078" i="1" s="1"/>
  <c r="M2079" i="1"/>
  <c r="AE2079" i="1" s="1"/>
  <c r="O2079" i="1"/>
  <c r="AF2079" i="1" s="1"/>
  <c r="M2080" i="1"/>
  <c r="AE2080" i="1" s="1"/>
  <c r="O2080" i="1"/>
  <c r="AF2080" i="1" s="1"/>
  <c r="M2081" i="1"/>
  <c r="AE2081" i="1" s="1"/>
  <c r="O2081" i="1"/>
  <c r="AF2081" i="1" s="1"/>
  <c r="M2082" i="1"/>
  <c r="AE2082" i="1" s="1"/>
  <c r="O2082" i="1"/>
  <c r="AF2082" i="1" s="1"/>
  <c r="M2083" i="1"/>
  <c r="AE2083" i="1" s="1"/>
  <c r="O2083" i="1"/>
  <c r="AF2083" i="1" s="1"/>
  <c r="M2084" i="1"/>
  <c r="AE2084" i="1" s="1"/>
  <c r="O2084" i="1"/>
  <c r="AF2084" i="1" s="1"/>
  <c r="M2085" i="1"/>
  <c r="AE2085" i="1" s="1"/>
  <c r="O2085" i="1"/>
  <c r="AF2085" i="1" s="1"/>
  <c r="M2087" i="1"/>
  <c r="AE2087" i="1" s="1"/>
  <c r="O2087" i="1"/>
  <c r="AF2087" i="1" s="1"/>
  <c r="M2088" i="1"/>
  <c r="AE2088" i="1" s="1"/>
  <c r="O2088" i="1"/>
  <c r="AF2088" i="1" s="1"/>
  <c r="M2090" i="1"/>
  <c r="AE2090" i="1" s="1"/>
  <c r="O2090" i="1"/>
  <c r="AF2090" i="1" s="1"/>
  <c r="M2091" i="1"/>
  <c r="AE2091" i="1" s="1"/>
  <c r="O2091" i="1"/>
  <c r="AF2091" i="1" s="1"/>
  <c r="M2092" i="1"/>
  <c r="AE2092" i="1" s="1"/>
  <c r="O2092" i="1"/>
  <c r="AF2092" i="1" s="1"/>
  <c r="M2093" i="1"/>
  <c r="AE2093" i="1" s="1"/>
  <c r="O2093" i="1"/>
  <c r="AF2093" i="1" s="1"/>
  <c r="M2094" i="1"/>
  <c r="AE2094" i="1" s="1"/>
  <c r="O2094" i="1"/>
  <c r="AF2094" i="1" s="1"/>
  <c r="M2096" i="1"/>
  <c r="AE2096" i="1" s="1"/>
  <c r="O2096" i="1"/>
  <c r="AF2096" i="1" s="1"/>
  <c r="M2097" i="1"/>
  <c r="AE2097" i="1" s="1"/>
  <c r="O2097" i="1"/>
  <c r="AF2097" i="1" s="1"/>
  <c r="M2098" i="1"/>
  <c r="AE2098" i="1" s="1"/>
  <c r="O2098" i="1"/>
  <c r="AF2098" i="1" s="1"/>
  <c r="M2099" i="1"/>
  <c r="AE2099" i="1" s="1"/>
  <c r="O2099" i="1"/>
  <c r="AF2099" i="1" s="1"/>
  <c r="M2100" i="1"/>
  <c r="AE2100" i="1" s="1"/>
  <c r="O2100" i="1"/>
  <c r="AF2100" i="1" s="1"/>
  <c r="M2101" i="1"/>
  <c r="AE2101" i="1" s="1"/>
  <c r="O2101" i="1"/>
  <c r="AF2101" i="1" s="1"/>
  <c r="M2102" i="1"/>
  <c r="AE2102" i="1" s="1"/>
  <c r="O2102" i="1"/>
  <c r="AF2102" i="1" s="1"/>
  <c r="M2103" i="1"/>
  <c r="AE2103" i="1" s="1"/>
  <c r="O2103" i="1"/>
  <c r="AF2103" i="1" s="1"/>
  <c r="M2104" i="1"/>
  <c r="AE2104" i="1" s="1"/>
  <c r="O2104" i="1"/>
  <c r="AF2104" i="1" s="1"/>
  <c r="M2105" i="1"/>
  <c r="AE2105" i="1" s="1"/>
  <c r="O2105" i="1"/>
  <c r="AF2105" i="1" s="1"/>
  <c r="M2106" i="1"/>
  <c r="AE2106" i="1" s="1"/>
  <c r="O2106" i="1"/>
  <c r="AF2106" i="1" s="1"/>
  <c r="M2107" i="1"/>
  <c r="AE2107" i="1" s="1"/>
  <c r="O2107" i="1"/>
  <c r="AF2107" i="1" s="1"/>
  <c r="M2108" i="1"/>
  <c r="AE2108" i="1" s="1"/>
  <c r="O2108" i="1"/>
  <c r="AF2108" i="1" s="1"/>
  <c r="M2109" i="1"/>
  <c r="AE2109" i="1" s="1"/>
  <c r="O2109" i="1"/>
  <c r="AF2109" i="1" s="1"/>
  <c r="M2110" i="1"/>
  <c r="AE2110" i="1" s="1"/>
  <c r="O2110" i="1"/>
  <c r="AF2110" i="1" s="1"/>
  <c r="M2111" i="1"/>
  <c r="AE2111" i="1" s="1"/>
  <c r="O2111" i="1"/>
  <c r="AF2111" i="1" s="1"/>
  <c r="M2112" i="1"/>
  <c r="AE2112" i="1" s="1"/>
  <c r="O2112" i="1"/>
  <c r="AF2112" i="1" s="1"/>
  <c r="M2113" i="1"/>
  <c r="AE2113" i="1" s="1"/>
  <c r="O2113" i="1"/>
  <c r="AF2113" i="1" s="1"/>
  <c r="M2114" i="1"/>
  <c r="AE2114" i="1" s="1"/>
  <c r="O2114" i="1"/>
  <c r="AF2114" i="1" s="1"/>
  <c r="M2115" i="1"/>
  <c r="AE2115" i="1" s="1"/>
  <c r="O2115" i="1"/>
  <c r="AF2115" i="1" s="1"/>
  <c r="M2116" i="1"/>
  <c r="AE2116" i="1" s="1"/>
  <c r="O2116" i="1"/>
  <c r="AF2116" i="1" s="1"/>
  <c r="M2117" i="1"/>
  <c r="AE2117" i="1" s="1"/>
  <c r="O2117" i="1"/>
  <c r="AF2117" i="1" s="1"/>
  <c r="M2118" i="1"/>
  <c r="AE2118" i="1" s="1"/>
  <c r="O2118" i="1"/>
  <c r="AF2118" i="1" s="1"/>
  <c r="M2122" i="1"/>
  <c r="AE2122" i="1" s="1"/>
  <c r="O2122" i="1"/>
  <c r="AF2122" i="1" s="1"/>
  <c r="M2123" i="1"/>
  <c r="AE2123" i="1" s="1"/>
  <c r="O2123" i="1"/>
  <c r="AF2123" i="1" s="1"/>
  <c r="M2124" i="1"/>
  <c r="AE2124" i="1" s="1"/>
  <c r="O2124" i="1"/>
  <c r="AF2124" i="1" s="1"/>
  <c r="M2125" i="1"/>
  <c r="AE2125" i="1" s="1"/>
  <c r="O2125" i="1"/>
  <c r="AF2125" i="1" s="1"/>
  <c r="M2127" i="1"/>
  <c r="AE2127" i="1" s="1"/>
  <c r="O2127" i="1"/>
  <c r="AF2127" i="1" s="1"/>
  <c r="M2128" i="1"/>
  <c r="AE2128" i="1" s="1"/>
  <c r="O2128" i="1"/>
  <c r="AF2128" i="1" s="1"/>
  <c r="M2129" i="1"/>
  <c r="AE2129" i="1" s="1"/>
  <c r="O2129" i="1"/>
  <c r="AF2129" i="1" s="1"/>
  <c r="M2130" i="1"/>
  <c r="AE2130" i="1" s="1"/>
  <c r="O2130" i="1"/>
  <c r="AF2130" i="1" s="1"/>
  <c r="M2131" i="1"/>
  <c r="AE2131" i="1" s="1"/>
  <c r="O2131" i="1"/>
  <c r="AF2131" i="1" s="1"/>
  <c r="M2133" i="1"/>
  <c r="AE2133" i="1" s="1"/>
  <c r="O2133" i="1"/>
  <c r="AF2133" i="1" s="1"/>
  <c r="M2134" i="1"/>
  <c r="AE2134" i="1" s="1"/>
  <c r="O2134" i="1"/>
  <c r="AF2134" i="1" s="1"/>
  <c r="M2135" i="1"/>
  <c r="AE2135" i="1" s="1"/>
  <c r="O2135" i="1"/>
  <c r="AF2135" i="1" s="1"/>
  <c r="M2136" i="1"/>
  <c r="AE2136" i="1" s="1"/>
  <c r="O2136" i="1"/>
  <c r="AF2136" i="1" s="1"/>
  <c r="M2140" i="1"/>
  <c r="AE2140" i="1" s="1"/>
  <c r="O2140" i="1"/>
  <c r="AF2140" i="1" s="1"/>
  <c r="M2141" i="1"/>
  <c r="AE2141" i="1" s="1"/>
  <c r="O2141" i="1"/>
  <c r="AF2141" i="1" s="1"/>
  <c r="M2142" i="1"/>
  <c r="AE2142" i="1" s="1"/>
  <c r="O2142" i="1"/>
  <c r="AF2142" i="1" s="1"/>
  <c r="M2143" i="1"/>
  <c r="AE2143" i="1" s="1"/>
  <c r="O2143" i="1"/>
  <c r="AF2143" i="1" s="1"/>
  <c r="M2146" i="1"/>
  <c r="AE2146" i="1" s="1"/>
  <c r="O2146" i="1"/>
  <c r="AF2146" i="1" s="1"/>
  <c r="M2150" i="1"/>
  <c r="AE2150" i="1" s="1"/>
  <c r="O2150" i="1"/>
  <c r="AF2150" i="1" s="1"/>
  <c r="M2151" i="1"/>
  <c r="AE2151" i="1" s="1"/>
  <c r="O2151" i="1"/>
  <c r="AF2151" i="1" s="1"/>
  <c r="M2152" i="1"/>
  <c r="AE2152" i="1" s="1"/>
  <c r="O2152" i="1"/>
  <c r="AF2152" i="1" s="1"/>
  <c r="M2154" i="1"/>
  <c r="AE2154" i="1" s="1"/>
  <c r="O2154" i="1"/>
  <c r="AF2154" i="1" s="1"/>
  <c r="M2155" i="1"/>
  <c r="AE2155" i="1" s="1"/>
  <c r="O2155" i="1"/>
  <c r="AF2155" i="1" s="1"/>
  <c r="M2156" i="1"/>
  <c r="AE2156" i="1" s="1"/>
  <c r="O2156" i="1"/>
  <c r="AF2156" i="1" s="1"/>
  <c r="M2157" i="1"/>
  <c r="AE2157" i="1" s="1"/>
  <c r="O2157" i="1"/>
  <c r="AF2157" i="1" s="1"/>
  <c r="M2158" i="1"/>
  <c r="AE2158" i="1" s="1"/>
  <c r="O2158" i="1"/>
  <c r="AF2158" i="1" s="1"/>
  <c r="M2159" i="1"/>
  <c r="AE2159" i="1" s="1"/>
  <c r="O2159" i="1"/>
  <c r="AF2159" i="1" s="1"/>
  <c r="M2160" i="1"/>
  <c r="AE2160" i="1" s="1"/>
  <c r="O2160" i="1"/>
  <c r="AF2160" i="1" s="1"/>
  <c r="M2161" i="1"/>
  <c r="AE2161" i="1" s="1"/>
  <c r="O2161" i="1"/>
  <c r="AF2161" i="1" s="1"/>
  <c r="M2162" i="1"/>
  <c r="AE2162" i="1" s="1"/>
  <c r="O2162" i="1"/>
  <c r="AF2162" i="1" s="1"/>
  <c r="M2163" i="1"/>
  <c r="AE2163" i="1" s="1"/>
  <c r="O2163" i="1"/>
  <c r="AF2163" i="1" s="1"/>
  <c r="M2164" i="1"/>
  <c r="AE2164" i="1" s="1"/>
  <c r="O2164" i="1"/>
  <c r="AF2164" i="1" s="1"/>
  <c r="M2165" i="1"/>
  <c r="AE2165" i="1" s="1"/>
  <c r="O2165" i="1"/>
  <c r="AF2165" i="1" s="1"/>
  <c r="M2166" i="1"/>
  <c r="AE2166" i="1" s="1"/>
  <c r="O2166" i="1"/>
  <c r="AF2166" i="1" s="1"/>
  <c r="M2167" i="1"/>
  <c r="AE2167" i="1" s="1"/>
  <c r="O2167" i="1"/>
  <c r="AF2167" i="1" s="1"/>
  <c r="M2168" i="1"/>
  <c r="AE2168" i="1" s="1"/>
  <c r="O2168" i="1"/>
  <c r="AF2168" i="1" s="1"/>
  <c r="M2169" i="1"/>
  <c r="AE2169" i="1" s="1"/>
  <c r="O2169" i="1"/>
  <c r="AF2169" i="1" s="1"/>
  <c r="M2170" i="1"/>
  <c r="AE2170" i="1" s="1"/>
  <c r="O2170" i="1"/>
  <c r="AF2170" i="1" s="1"/>
  <c r="M2171" i="1"/>
  <c r="AE2171" i="1" s="1"/>
  <c r="O2171" i="1"/>
  <c r="AF2171" i="1" s="1"/>
  <c r="M2172" i="1"/>
  <c r="AE2172" i="1" s="1"/>
  <c r="O2172" i="1"/>
  <c r="AF2172" i="1" s="1"/>
  <c r="M2173" i="1"/>
  <c r="AE2173" i="1" s="1"/>
  <c r="O2173" i="1"/>
  <c r="AF2173" i="1" s="1"/>
  <c r="M2174" i="1"/>
  <c r="AE2174" i="1" s="1"/>
  <c r="O2174" i="1"/>
  <c r="AF2174" i="1" s="1"/>
  <c r="M2175" i="1"/>
  <c r="AE2175" i="1" s="1"/>
  <c r="O2175" i="1"/>
  <c r="AF2175" i="1" s="1"/>
  <c r="M2176" i="1"/>
  <c r="AE2176" i="1" s="1"/>
  <c r="O2176" i="1"/>
  <c r="AF2176" i="1" s="1"/>
  <c r="M2177" i="1"/>
  <c r="AE2177" i="1" s="1"/>
  <c r="O2177" i="1"/>
  <c r="AF2177" i="1" s="1"/>
  <c r="M2178" i="1"/>
  <c r="AE2178" i="1" s="1"/>
  <c r="O2178" i="1"/>
  <c r="AF2178" i="1" s="1"/>
  <c r="M2179" i="1"/>
  <c r="AE2179" i="1" s="1"/>
  <c r="O2179" i="1"/>
  <c r="AF2179" i="1" s="1"/>
  <c r="M2180" i="1"/>
  <c r="AE2180" i="1" s="1"/>
  <c r="O2180" i="1"/>
  <c r="AF2180" i="1" s="1"/>
  <c r="M2181" i="1"/>
  <c r="AE2181" i="1" s="1"/>
  <c r="O2181" i="1"/>
  <c r="AF2181" i="1" s="1"/>
  <c r="M2182" i="1"/>
  <c r="AE2182" i="1" s="1"/>
  <c r="O2182" i="1"/>
  <c r="AF2182" i="1" s="1"/>
  <c r="M2183" i="1"/>
  <c r="AE2183" i="1" s="1"/>
  <c r="O2183" i="1"/>
  <c r="AF2183" i="1" s="1"/>
  <c r="M2185" i="1"/>
  <c r="AE2185" i="1" s="1"/>
  <c r="O2185" i="1"/>
  <c r="AF2185" i="1" s="1"/>
  <c r="M2186" i="1"/>
  <c r="AE2186" i="1" s="1"/>
  <c r="O2186" i="1"/>
  <c r="AF2186" i="1" s="1"/>
  <c r="M2187" i="1"/>
  <c r="AE2187" i="1" s="1"/>
  <c r="O2187" i="1"/>
  <c r="AF2187" i="1" s="1"/>
  <c r="M2188" i="1"/>
  <c r="AE2188" i="1" s="1"/>
  <c r="O2188" i="1"/>
  <c r="AF2188" i="1" s="1"/>
  <c r="M2189" i="1"/>
  <c r="AE2189" i="1" s="1"/>
  <c r="O2189" i="1"/>
  <c r="AF2189" i="1" s="1"/>
  <c r="M2190" i="1"/>
  <c r="AE2190" i="1" s="1"/>
  <c r="O2190" i="1"/>
  <c r="AF2190" i="1" s="1"/>
  <c r="M2191" i="1"/>
  <c r="AE2191" i="1" s="1"/>
  <c r="O2191" i="1"/>
  <c r="AF2191" i="1" s="1"/>
  <c r="M2192" i="1"/>
  <c r="AE2192" i="1" s="1"/>
  <c r="O2192" i="1"/>
  <c r="AF2192" i="1" s="1"/>
  <c r="M2193" i="1"/>
  <c r="AE2193" i="1" s="1"/>
  <c r="O2193" i="1"/>
  <c r="AF2193" i="1" s="1"/>
  <c r="M2194" i="1"/>
  <c r="AE2194" i="1" s="1"/>
  <c r="O2194" i="1"/>
  <c r="AF2194" i="1" s="1"/>
  <c r="M2195" i="1"/>
  <c r="AE2195" i="1" s="1"/>
  <c r="O2195" i="1"/>
  <c r="AF2195" i="1" s="1"/>
  <c r="M2196" i="1"/>
  <c r="AE2196" i="1" s="1"/>
  <c r="O2196" i="1"/>
  <c r="AF2196" i="1" s="1"/>
  <c r="M2198" i="1"/>
  <c r="AE2198" i="1" s="1"/>
  <c r="O2198" i="1"/>
  <c r="AF2198" i="1" s="1"/>
  <c r="M2199" i="1"/>
  <c r="AE2199" i="1" s="1"/>
  <c r="O2199" i="1"/>
  <c r="AF2199" i="1" s="1"/>
  <c r="M2200" i="1"/>
  <c r="AE2200" i="1" s="1"/>
  <c r="O2200" i="1"/>
  <c r="AF2200" i="1" s="1"/>
  <c r="M2201" i="1"/>
  <c r="AE2201" i="1" s="1"/>
  <c r="O2201" i="1"/>
  <c r="AF2201" i="1" s="1"/>
  <c r="M2203" i="1"/>
  <c r="AE2203" i="1" s="1"/>
  <c r="O2203" i="1"/>
  <c r="AF2203" i="1" s="1"/>
  <c r="M2204" i="1"/>
  <c r="AE2204" i="1" s="1"/>
  <c r="O2204" i="1"/>
  <c r="AF2204" i="1" s="1"/>
  <c r="M2205" i="1"/>
  <c r="AE2205" i="1" s="1"/>
  <c r="O2205" i="1"/>
  <c r="AF2205" i="1" s="1"/>
  <c r="M2206" i="1"/>
  <c r="AE2206" i="1" s="1"/>
  <c r="O2206" i="1"/>
  <c r="AF2206" i="1" s="1"/>
  <c r="M2207" i="1"/>
  <c r="AE2207" i="1" s="1"/>
  <c r="O2207" i="1"/>
  <c r="AF2207" i="1" s="1"/>
  <c r="M2208" i="1"/>
  <c r="AE2208" i="1" s="1"/>
  <c r="O2208" i="1"/>
  <c r="AF2208" i="1" s="1"/>
  <c r="M2209" i="1"/>
  <c r="AE2209" i="1" s="1"/>
  <c r="O2209" i="1"/>
  <c r="AF2209" i="1" s="1"/>
  <c r="M2210" i="1"/>
  <c r="AE2210" i="1" s="1"/>
  <c r="O2210" i="1"/>
  <c r="AF2210" i="1" s="1"/>
  <c r="M2211" i="1"/>
  <c r="AE2211" i="1" s="1"/>
  <c r="O2211" i="1"/>
  <c r="AF2211" i="1" s="1"/>
  <c r="M2212" i="1"/>
  <c r="AE2212" i="1" s="1"/>
  <c r="O2212" i="1"/>
  <c r="AF2212" i="1" s="1"/>
  <c r="M2213" i="1"/>
  <c r="AE2213" i="1" s="1"/>
  <c r="O2213" i="1"/>
  <c r="AF2213" i="1" s="1"/>
  <c r="M2214" i="1"/>
  <c r="AE2214" i="1" s="1"/>
  <c r="O2214" i="1"/>
  <c r="AF2214" i="1" s="1"/>
  <c r="M2215" i="1"/>
  <c r="AE2215" i="1" s="1"/>
  <c r="O2215" i="1"/>
  <c r="AF2215" i="1" s="1"/>
  <c r="M2216" i="1"/>
  <c r="AE2216" i="1" s="1"/>
  <c r="O2216" i="1"/>
  <c r="AF2216" i="1" s="1"/>
  <c r="M2217" i="1"/>
  <c r="AE2217" i="1" s="1"/>
  <c r="O2217" i="1"/>
  <c r="AF2217" i="1" s="1"/>
  <c r="M2218" i="1"/>
  <c r="AE2218" i="1" s="1"/>
  <c r="O2218" i="1"/>
  <c r="AF2218" i="1" s="1"/>
  <c r="M2220" i="1"/>
  <c r="AE2220" i="1" s="1"/>
  <c r="O2220" i="1"/>
  <c r="AF2220" i="1" s="1"/>
  <c r="M2221" i="1"/>
  <c r="AE2221" i="1" s="1"/>
  <c r="O2221" i="1"/>
  <c r="AF2221" i="1" s="1"/>
  <c r="M2222" i="1"/>
  <c r="AE2222" i="1" s="1"/>
  <c r="O2222" i="1"/>
  <c r="AF2222" i="1" s="1"/>
  <c r="M2223" i="1"/>
  <c r="AE2223" i="1" s="1"/>
  <c r="O2223" i="1"/>
  <c r="AF2223" i="1" s="1"/>
  <c r="M2224" i="1"/>
  <c r="AE2224" i="1" s="1"/>
  <c r="O2224" i="1"/>
  <c r="AF2224" i="1" s="1"/>
  <c r="M2225" i="1"/>
  <c r="AE2225" i="1" s="1"/>
  <c r="O2225" i="1"/>
  <c r="AF2225" i="1" s="1"/>
  <c r="M2227" i="1"/>
  <c r="AE2227" i="1" s="1"/>
  <c r="O2227" i="1"/>
  <c r="AF2227" i="1" s="1"/>
  <c r="M2228" i="1"/>
  <c r="AE2228" i="1" s="1"/>
  <c r="O2228" i="1"/>
  <c r="AF2228" i="1" s="1"/>
  <c r="M2230" i="1"/>
  <c r="AE2230" i="1" s="1"/>
  <c r="O2230" i="1"/>
  <c r="AF2230" i="1" s="1"/>
  <c r="M2231" i="1"/>
  <c r="AE2231" i="1" s="1"/>
  <c r="O2231" i="1"/>
  <c r="AF2231" i="1" s="1"/>
  <c r="M2232" i="1"/>
  <c r="AE2232" i="1" s="1"/>
  <c r="O2232" i="1"/>
  <c r="AF2232" i="1" s="1"/>
  <c r="M2233" i="1"/>
  <c r="AE2233" i="1" s="1"/>
  <c r="O2233" i="1"/>
  <c r="AF2233" i="1" s="1"/>
  <c r="M2234" i="1"/>
  <c r="AE2234" i="1" s="1"/>
  <c r="O2234" i="1"/>
  <c r="AF2234" i="1" s="1"/>
  <c r="M2236" i="1"/>
  <c r="AE2236" i="1" s="1"/>
  <c r="O2236" i="1"/>
  <c r="AF2236" i="1" s="1"/>
  <c r="M2237" i="1"/>
  <c r="AE2237" i="1" s="1"/>
  <c r="O2237" i="1"/>
  <c r="AF2237" i="1" s="1"/>
  <c r="M2238" i="1"/>
  <c r="AE2238" i="1" s="1"/>
  <c r="O2238" i="1"/>
  <c r="AF2238" i="1" s="1"/>
  <c r="M2239" i="1"/>
  <c r="AE2239" i="1" s="1"/>
  <c r="O2239" i="1"/>
  <c r="AF2239" i="1" s="1"/>
  <c r="M2240" i="1"/>
  <c r="AE2240" i="1" s="1"/>
  <c r="O2240" i="1"/>
  <c r="AF2240" i="1" s="1"/>
  <c r="M2241" i="1"/>
  <c r="AE2241" i="1" s="1"/>
  <c r="O2241" i="1"/>
  <c r="AF2241" i="1" s="1"/>
  <c r="M2242" i="1"/>
  <c r="AE2242" i="1" s="1"/>
  <c r="O2242" i="1"/>
  <c r="AF2242" i="1" s="1"/>
  <c r="M2243" i="1"/>
  <c r="AE2243" i="1" s="1"/>
  <c r="O2243" i="1"/>
  <c r="AF2243" i="1" s="1"/>
  <c r="M2244" i="1"/>
  <c r="AE2244" i="1" s="1"/>
  <c r="O2244" i="1"/>
  <c r="AF2244" i="1" s="1"/>
  <c r="M2245" i="1"/>
  <c r="AE2245" i="1" s="1"/>
  <c r="O2245" i="1"/>
  <c r="AF2245" i="1" s="1"/>
  <c r="M2246" i="1"/>
  <c r="AE2246" i="1" s="1"/>
  <c r="O2246" i="1"/>
  <c r="AF2246" i="1" s="1"/>
  <c r="M2247" i="1"/>
  <c r="AE2247" i="1" s="1"/>
  <c r="O2247" i="1"/>
  <c r="AF2247" i="1" s="1"/>
  <c r="M2248" i="1"/>
  <c r="AE2248" i="1" s="1"/>
  <c r="O2248" i="1"/>
  <c r="AF2248" i="1" s="1"/>
  <c r="M2249" i="1"/>
  <c r="AE2249" i="1" s="1"/>
  <c r="O2249" i="1"/>
  <c r="AF2249" i="1" s="1"/>
  <c r="M2250" i="1"/>
  <c r="AE2250" i="1" s="1"/>
  <c r="O2250" i="1"/>
  <c r="AF2250" i="1" s="1"/>
  <c r="M2251" i="1"/>
  <c r="AE2251" i="1" s="1"/>
  <c r="O2251" i="1"/>
  <c r="AF2251" i="1" s="1"/>
  <c r="M2252" i="1"/>
  <c r="AE2252" i="1" s="1"/>
  <c r="O2252" i="1"/>
  <c r="AF2252" i="1" s="1"/>
  <c r="M2253" i="1"/>
  <c r="AE2253" i="1" s="1"/>
  <c r="O2253" i="1"/>
  <c r="AF2253" i="1" s="1"/>
  <c r="M2254" i="1"/>
  <c r="AE2254" i="1" s="1"/>
  <c r="O2254" i="1"/>
  <c r="AF2254" i="1" s="1"/>
  <c r="M2256" i="1"/>
  <c r="AE2256" i="1" s="1"/>
  <c r="O2256" i="1"/>
  <c r="AF2256" i="1" s="1"/>
  <c r="M2257" i="1"/>
  <c r="AE2257" i="1" s="1"/>
  <c r="O2257" i="1"/>
  <c r="AF2257" i="1" s="1"/>
  <c r="M2261" i="1"/>
  <c r="AE2261" i="1" s="1"/>
  <c r="O2261" i="1"/>
  <c r="AF2261" i="1" s="1"/>
  <c r="M2262" i="1"/>
  <c r="AE2262" i="1" s="1"/>
  <c r="O2262" i="1"/>
  <c r="AF2262" i="1" s="1"/>
  <c r="M2263" i="1"/>
  <c r="AE2263" i="1" s="1"/>
  <c r="O2263" i="1"/>
  <c r="AF2263" i="1" s="1"/>
  <c r="M2264" i="1"/>
  <c r="AE2264" i="1" s="1"/>
  <c r="O2264" i="1"/>
  <c r="AF2264" i="1" s="1"/>
  <c r="M2265" i="1"/>
  <c r="AE2265" i="1" s="1"/>
  <c r="O2265" i="1"/>
  <c r="AF2265" i="1" s="1"/>
  <c r="M2268" i="1"/>
  <c r="AE2268" i="1" s="1"/>
  <c r="O2268" i="1"/>
  <c r="AF2268" i="1" s="1"/>
  <c r="M2269" i="1"/>
  <c r="AE2269" i="1" s="1"/>
  <c r="O2269" i="1"/>
  <c r="AF2269" i="1" s="1"/>
  <c r="M2270" i="1"/>
  <c r="AE2270" i="1" s="1"/>
  <c r="O2270" i="1"/>
  <c r="AF2270" i="1" s="1"/>
  <c r="M2271" i="1"/>
  <c r="AE2271" i="1" s="1"/>
  <c r="O2271" i="1"/>
  <c r="AF2271" i="1" s="1"/>
  <c r="M2272" i="1"/>
  <c r="AE2272" i="1" s="1"/>
  <c r="O2272" i="1"/>
  <c r="AF2272" i="1" s="1"/>
  <c r="M2273" i="1"/>
  <c r="AE2273" i="1" s="1"/>
  <c r="O2273" i="1"/>
  <c r="AF2273" i="1" s="1"/>
  <c r="M2274" i="1"/>
  <c r="AE2274" i="1" s="1"/>
  <c r="O2274" i="1"/>
  <c r="AF2274" i="1" s="1"/>
  <c r="M2275" i="1"/>
  <c r="AE2275" i="1" s="1"/>
  <c r="O2275" i="1"/>
  <c r="AF2275" i="1" s="1"/>
  <c r="M2276" i="1"/>
  <c r="AE2276" i="1" s="1"/>
  <c r="O2276" i="1"/>
  <c r="AF2276" i="1" s="1"/>
  <c r="M2277" i="1"/>
  <c r="AE2277" i="1" s="1"/>
  <c r="O2277" i="1"/>
  <c r="AF2277" i="1" s="1"/>
  <c r="M2278" i="1"/>
  <c r="AE2278" i="1" s="1"/>
  <c r="O2278" i="1"/>
  <c r="AF2278" i="1" s="1"/>
  <c r="M2279" i="1"/>
  <c r="AE2279" i="1" s="1"/>
  <c r="O2279" i="1"/>
  <c r="AF2279" i="1" s="1"/>
  <c r="M2280" i="1"/>
  <c r="AE2280" i="1" s="1"/>
  <c r="O2280" i="1"/>
  <c r="AF2280" i="1" s="1"/>
  <c r="M2283" i="1"/>
  <c r="AE2283" i="1" s="1"/>
  <c r="O2283" i="1"/>
  <c r="AF2283" i="1" s="1"/>
  <c r="M2284" i="1"/>
  <c r="AE2284" i="1" s="1"/>
  <c r="O2284" i="1"/>
  <c r="AF2284" i="1" s="1"/>
  <c r="M2285" i="1"/>
  <c r="AE2285" i="1" s="1"/>
  <c r="O2285" i="1"/>
  <c r="AF2285" i="1" s="1"/>
  <c r="M2286" i="1"/>
  <c r="AE2286" i="1" s="1"/>
  <c r="O2286" i="1"/>
  <c r="AF2286" i="1" s="1"/>
  <c r="M2287" i="1"/>
  <c r="AE2287" i="1" s="1"/>
  <c r="O2287" i="1"/>
  <c r="AF2287" i="1" s="1"/>
  <c r="M2288" i="1"/>
  <c r="AE2288" i="1" s="1"/>
  <c r="O2288" i="1"/>
  <c r="AF2288" i="1" s="1"/>
  <c r="M2289" i="1"/>
  <c r="AE2289" i="1" s="1"/>
  <c r="O2289" i="1"/>
  <c r="AF2289" i="1" s="1"/>
  <c r="M2290" i="1"/>
  <c r="AE2290" i="1" s="1"/>
  <c r="O2290" i="1"/>
  <c r="AF2290" i="1" s="1"/>
  <c r="M2291" i="1"/>
  <c r="AE2291" i="1" s="1"/>
  <c r="O2291" i="1"/>
  <c r="AF2291" i="1" s="1"/>
  <c r="M2292" i="1"/>
  <c r="AE2292" i="1" s="1"/>
  <c r="O2292" i="1"/>
  <c r="AF2292" i="1" s="1"/>
  <c r="M2293" i="1"/>
  <c r="AE2293" i="1" s="1"/>
  <c r="O2293" i="1"/>
  <c r="AF2293" i="1" s="1"/>
  <c r="M2294" i="1"/>
  <c r="AE2294" i="1" s="1"/>
  <c r="O2294" i="1"/>
  <c r="AF2294" i="1" s="1"/>
  <c r="M2295" i="1"/>
  <c r="AE2295" i="1" s="1"/>
  <c r="O2295" i="1"/>
  <c r="AF2295" i="1" s="1"/>
  <c r="M2296" i="1"/>
  <c r="AE2296" i="1" s="1"/>
  <c r="O2296" i="1"/>
  <c r="AF2296" i="1" s="1"/>
  <c r="M2297" i="1"/>
  <c r="AE2297" i="1" s="1"/>
  <c r="O2297" i="1"/>
  <c r="AF2297" i="1" s="1"/>
  <c r="M2299" i="1"/>
  <c r="AE2299" i="1" s="1"/>
  <c r="O2299" i="1"/>
  <c r="AF2299" i="1" s="1"/>
  <c r="M2300" i="1"/>
  <c r="AE2300" i="1" s="1"/>
  <c r="O2300" i="1"/>
  <c r="AF2300" i="1" s="1"/>
  <c r="M2301" i="1"/>
  <c r="AE2301" i="1" s="1"/>
  <c r="O2301" i="1"/>
  <c r="AF2301" i="1" s="1"/>
  <c r="M2302" i="1"/>
  <c r="AE2302" i="1" s="1"/>
  <c r="O2302" i="1"/>
  <c r="AF2302" i="1" s="1"/>
  <c r="M2305" i="1"/>
  <c r="AE2305" i="1" s="1"/>
  <c r="O2305" i="1"/>
  <c r="AF2305" i="1" s="1"/>
  <c r="M2306" i="1"/>
  <c r="AE2306" i="1" s="1"/>
  <c r="O2306" i="1"/>
  <c r="AF2306" i="1" s="1"/>
  <c r="M2307" i="1"/>
  <c r="AE2307" i="1" s="1"/>
  <c r="O2307" i="1"/>
  <c r="AF2307" i="1" s="1"/>
  <c r="M2308" i="1"/>
  <c r="AE2308" i="1" s="1"/>
  <c r="O2308" i="1"/>
  <c r="AF2308" i="1" s="1"/>
  <c r="M2311" i="1"/>
  <c r="AE2311" i="1" s="1"/>
  <c r="O2311" i="1"/>
  <c r="AF2311" i="1" s="1"/>
  <c r="M2312" i="1"/>
  <c r="AE2312" i="1" s="1"/>
  <c r="O2312" i="1"/>
  <c r="AF2312" i="1" s="1"/>
  <c r="M2313" i="1"/>
  <c r="AE2313" i="1" s="1"/>
  <c r="O2313" i="1"/>
  <c r="AF2313" i="1" s="1"/>
  <c r="M2314" i="1"/>
  <c r="AE2314" i="1" s="1"/>
  <c r="O2314" i="1"/>
  <c r="AF2314" i="1" s="1"/>
  <c r="M2317" i="1"/>
  <c r="AE2317" i="1" s="1"/>
  <c r="O2317" i="1"/>
  <c r="AF2317" i="1" s="1"/>
  <c r="M2318" i="1"/>
  <c r="AE2318" i="1" s="1"/>
  <c r="O2318" i="1"/>
  <c r="AF2318" i="1" s="1"/>
  <c r="M2319" i="1"/>
  <c r="AE2319" i="1" s="1"/>
  <c r="O2319" i="1"/>
  <c r="AF2319" i="1" s="1"/>
  <c r="M2320" i="1"/>
  <c r="AE2320" i="1" s="1"/>
  <c r="O2320" i="1"/>
  <c r="AF2320" i="1" s="1"/>
  <c r="M2321" i="1"/>
  <c r="AE2321" i="1" s="1"/>
  <c r="O2321" i="1"/>
  <c r="AF2321" i="1" s="1"/>
  <c r="M2322" i="1"/>
  <c r="AE2322" i="1" s="1"/>
  <c r="O2322" i="1"/>
  <c r="AF2322" i="1" s="1"/>
  <c r="M2323" i="1"/>
  <c r="AE2323" i="1" s="1"/>
  <c r="O2323" i="1"/>
  <c r="AF2323" i="1" s="1"/>
  <c r="M2324" i="1"/>
  <c r="AE2324" i="1" s="1"/>
  <c r="O2324" i="1"/>
  <c r="AF2324" i="1" s="1"/>
  <c r="M2325" i="1"/>
  <c r="AE2325" i="1" s="1"/>
  <c r="O2325" i="1"/>
  <c r="AF2325" i="1" s="1"/>
  <c r="M2326" i="1"/>
  <c r="AE2326" i="1" s="1"/>
  <c r="O2326" i="1"/>
  <c r="AF2326" i="1" s="1"/>
  <c r="M2327" i="1"/>
  <c r="AE2327" i="1" s="1"/>
  <c r="O2327" i="1"/>
  <c r="AF2327" i="1" s="1"/>
  <c r="M2328" i="1"/>
  <c r="AE2328" i="1" s="1"/>
  <c r="O2328" i="1"/>
  <c r="AF2328" i="1" s="1"/>
  <c r="M2329" i="1"/>
  <c r="AE2329" i="1" s="1"/>
  <c r="O2329" i="1"/>
  <c r="AF2329" i="1" s="1"/>
  <c r="M2330" i="1"/>
  <c r="AE2330" i="1" s="1"/>
  <c r="O2330" i="1"/>
  <c r="AF2330" i="1" s="1"/>
  <c r="M2331" i="1"/>
  <c r="AE2331" i="1" s="1"/>
  <c r="O2331" i="1"/>
  <c r="AF2331" i="1" s="1"/>
  <c r="M2332" i="1"/>
  <c r="AE2332" i="1" s="1"/>
  <c r="O2332" i="1"/>
  <c r="AF2332" i="1" s="1"/>
  <c r="M2333" i="1"/>
  <c r="AE2333" i="1" s="1"/>
  <c r="O2333" i="1"/>
  <c r="AF2333" i="1" s="1"/>
  <c r="M2335" i="1"/>
  <c r="AE2335" i="1" s="1"/>
  <c r="O2335" i="1"/>
  <c r="AF2335" i="1" s="1"/>
  <c r="M2336" i="1"/>
  <c r="AE2336" i="1" s="1"/>
  <c r="O2336" i="1"/>
  <c r="AF2336" i="1" s="1"/>
  <c r="M2337" i="1"/>
  <c r="AE2337" i="1" s="1"/>
  <c r="O2337" i="1"/>
  <c r="AF2337" i="1" s="1"/>
  <c r="M2338" i="1"/>
  <c r="AE2338" i="1" s="1"/>
  <c r="O2338" i="1"/>
  <c r="AF2338" i="1" s="1"/>
  <c r="M2339" i="1"/>
  <c r="AE2339" i="1" s="1"/>
  <c r="O2339" i="1"/>
  <c r="AF2339" i="1" s="1"/>
  <c r="M2340" i="1"/>
  <c r="AE2340" i="1" s="1"/>
  <c r="O2340" i="1"/>
  <c r="AF2340" i="1" s="1"/>
  <c r="M2341" i="1"/>
  <c r="AE2341" i="1" s="1"/>
  <c r="O2341" i="1"/>
  <c r="AF2341" i="1" s="1"/>
  <c r="M2342" i="1"/>
  <c r="AE2342" i="1" s="1"/>
  <c r="O2342" i="1"/>
  <c r="AF2342" i="1" s="1"/>
  <c r="M2343" i="1"/>
  <c r="AE2343" i="1" s="1"/>
  <c r="O2343" i="1"/>
  <c r="AF2343" i="1" s="1"/>
  <c r="M2344" i="1"/>
  <c r="AE2344" i="1" s="1"/>
  <c r="O2344" i="1"/>
  <c r="AF2344" i="1" s="1"/>
  <c r="M2345" i="1"/>
  <c r="AE2345" i="1" s="1"/>
  <c r="O2345" i="1"/>
  <c r="AF2345" i="1" s="1"/>
  <c r="M2347" i="1"/>
  <c r="AE2347" i="1" s="1"/>
  <c r="O2347" i="1"/>
  <c r="AF2347" i="1" s="1"/>
  <c r="M2348" i="1"/>
  <c r="AE2348" i="1" s="1"/>
  <c r="O2348" i="1"/>
  <c r="AF2348" i="1" s="1"/>
  <c r="M2349" i="1"/>
  <c r="AE2349" i="1" s="1"/>
  <c r="O2349" i="1"/>
  <c r="AF2349" i="1" s="1"/>
  <c r="M2350" i="1"/>
  <c r="AE2350" i="1" s="1"/>
  <c r="O2350" i="1"/>
  <c r="AF2350" i="1" s="1"/>
  <c r="M2351" i="1"/>
  <c r="AE2351" i="1" s="1"/>
  <c r="O2351" i="1"/>
  <c r="AF2351" i="1" s="1"/>
  <c r="M2352" i="1"/>
  <c r="AE2352" i="1" s="1"/>
  <c r="O2352" i="1"/>
  <c r="AF2352" i="1" s="1"/>
  <c r="M2353" i="1"/>
  <c r="AE2353" i="1" s="1"/>
  <c r="O2353" i="1"/>
  <c r="AF2353" i="1" s="1"/>
  <c r="M2354" i="1"/>
  <c r="AE2354" i="1" s="1"/>
  <c r="O2354" i="1"/>
  <c r="AF2354" i="1" s="1"/>
  <c r="M2355" i="1"/>
  <c r="AE2355" i="1" s="1"/>
  <c r="O2355" i="1"/>
  <c r="AF2355" i="1" s="1"/>
  <c r="M2356" i="1"/>
  <c r="AE2356" i="1" s="1"/>
  <c r="O2356" i="1"/>
  <c r="AF2356" i="1" s="1"/>
  <c r="M2357" i="1"/>
  <c r="AE2357" i="1" s="1"/>
  <c r="O2357" i="1"/>
  <c r="AF2357" i="1" s="1"/>
  <c r="M2358" i="1"/>
  <c r="AE2358" i="1" s="1"/>
  <c r="O2358" i="1"/>
  <c r="AF2358" i="1" s="1"/>
  <c r="M2360" i="1"/>
  <c r="AE2360" i="1" s="1"/>
  <c r="O2360" i="1"/>
  <c r="AF2360" i="1" s="1"/>
  <c r="M2361" i="1"/>
  <c r="AE2361" i="1" s="1"/>
  <c r="O2361" i="1"/>
  <c r="AF2361" i="1" s="1"/>
  <c r="M2362" i="1"/>
  <c r="AE2362" i="1" s="1"/>
  <c r="O2362" i="1"/>
  <c r="AF2362" i="1" s="1"/>
  <c r="M2363" i="1"/>
  <c r="AE2363" i="1" s="1"/>
  <c r="O2363" i="1"/>
  <c r="AF2363" i="1" s="1"/>
  <c r="M2364" i="1"/>
  <c r="AE2364" i="1" s="1"/>
  <c r="O2364" i="1"/>
  <c r="AF2364" i="1" s="1"/>
  <c r="M2365" i="1"/>
  <c r="AE2365" i="1" s="1"/>
  <c r="O2365" i="1"/>
  <c r="AF2365" i="1" s="1"/>
  <c r="M2366" i="1"/>
  <c r="AE2366" i="1" s="1"/>
  <c r="O2366" i="1"/>
  <c r="AF2366" i="1" s="1"/>
  <c r="M2367" i="1"/>
  <c r="AE2367" i="1" s="1"/>
  <c r="O2367" i="1"/>
  <c r="AF2367" i="1" s="1"/>
  <c r="M2368" i="1"/>
  <c r="AE2368" i="1" s="1"/>
  <c r="O2368" i="1"/>
  <c r="AF2368" i="1" s="1"/>
  <c r="M2369" i="1"/>
  <c r="AE2369" i="1" s="1"/>
  <c r="O2369" i="1"/>
  <c r="AF2369" i="1" s="1"/>
  <c r="M2370" i="1"/>
  <c r="AE2370" i="1" s="1"/>
  <c r="O2370" i="1"/>
  <c r="AF2370" i="1" s="1"/>
  <c r="M2371" i="1"/>
  <c r="AE2371" i="1" s="1"/>
  <c r="O2371" i="1"/>
  <c r="AF2371" i="1" s="1"/>
  <c r="M2372" i="1"/>
  <c r="AE2372" i="1" s="1"/>
  <c r="O2372" i="1"/>
  <c r="AF2372" i="1" s="1"/>
  <c r="M2373" i="1"/>
  <c r="AE2373" i="1" s="1"/>
  <c r="O2373" i="1"/>
  <c r="AF2373" i="1" s="1"/>
  <c r="M2374" i="1"/>
  <c r="AE2374" i="1" s="1"/>
  <c r="O2374" i="1"/>
  <c r="AF2374" i="1" s="1"/>
  <c r="M2375" i="1"/>
  <c r="AE2375" i="1" s="1"/>
  <c r="O2375" i="1"/>
  <c r="AF2375" i="1" s="1"/>
  <c r="M2376" i="1"/>
  <c r="AE2376" i="1" s="1"/>
  <c r="O2376" i="1"/>
  <c r="AF2376" i="1" s="1"/>
  <c r="M2377" i="1"/>
  <c r="AE2377" i="1" s="1"/>
  <c r="O2377" i="1"/>
  <c r="AF2377" i="1" s="1"/>
  <c r="M2378" i="1"/>
  <c r="AE2378" i="1" s="1"/>
  <c r="O2378" i="1"/>
  <c r="AF2378" i="1" s="1"/>
  <c r="M2379" i="1"/>
  <c r="AE2379" i="1" s="1"/>
  <c r="O2379" i="1"/>
  <c r="AF2379" i="1" s="1"/>
  <c r="M2381" i="1"/>
  <c r="AE2381" i="1" s="1"/>
  <c r="O2381" i="1"/>
  <c r="AF2381" i="1" s="1"/>
  <c r="M2382" i="1"/>
  <c r="AE2382" i="1" s="1"/>
  <c r="O2382" i="1"/>
  <c r="AF2382" i="1" s="1"/>
  <c r="M2383" i="1"/>
  <c r="AE2383" i="1" s="1"/>
  <c r="O2383" i="1"/>
  <c r="AF2383" i="1" s="1"/>
  <c r="M2384" i="1"/>
  <c r="AE2384" i="1" s="1"/>
  <c r="O2384" i="1"/>
  <c r="AF2384" i="1" s="1"/>
  <c r="M2385" i="1"/>
  <c r="AE2385" i="1" s="1"/>
  <c r="O2385" i="1"/>
  <c r="AF2385" i="1" s="1"/>
  <c r="M2386" i="1"/>
  <c r="AE2386" i="1" s="1"/>
  <c r="O2386" i="1"/>
  <c r="AF2386" i="1" s="1"/>
  <c r="M2388" i="1"/>
  <c r="AE2388" i="1" s="1"/>
  <c r="O2388" i="1"/>
  <c r="AF2388" i="1" s="1"/>
  <c r="M2389" i="1"/>
  <c r="AE2389" i="1" s="1"/>
  <c r="O2389" i="1"/>
  <c r="AF2389" i="1" s="1"/>
  <c r="M2390" i="1"/>
  <c r="AE2390" i="1" s="1"/>
  <c r="O2390" i="1"/>
  <c r="AF2390" i="1" s="1"/>
  <c r="M2391" i="1"/>
  <c r="AE2391" i="1" s="1"/>
  <c r="O2391" i="1"/>
  <c r="AF2391" i="1" s="1"/>
  <c r="M2392" i="1"/>
  <c r="AE2392" i="1" s="1"/>
  <c r="O2392" i="1"/>
  <c r="AF2392" i="1" s="1"/>
  <c r="M2393" i="1"/>
  <c r="AE2393" i="1" s="1"/>
  <c r="O2393" i="1"/>
  <c r="AF2393" i="1" s="1"/>
  <c r="M2394" i="1"/>
  <c r="AE2394" i="1" s="1"/>
  <c r="O2394" i="1"/>
  <c r="AF2394" i="1" s="1"/>
  <c r="M2395" i="1"/>
  <c r="AE2395" i="1" s="1"/>
  <c r="O2395" i="1"/>
  <c r="AF2395" i="1" s="1"/>
  <c r="M2396" i="1"/>
  <c r="AE2396" i="1" s="1"/>
  <c r="O2396" i="1"/>
  <c r="AF2396" i="1" s="1"/>
  <c r="M2397" i="1"/>
  <c r="AE2397" i="1" s="1"/>
  <c r="O2397" i="1"/>
  <c r="AF2397" i="1" s="1"/>
  <c r="M2398" i="1"/>
  <c r="AE2398" i="1" s="1"/>
  <c r="O2398" i="1"/>
  <c r="AF2398" i="1" s="1"/>
  <c r="M2399" i="1"/>
  <c r="AE2399" i="1" s="1"/>
  <c r="O2399" i="1"/>
  <c r="AF2399" i="1" s="1"/>
  <c r="M2400" i="1"/>
  <c r="AE2400" i="1" s="1"/>
  <c r="O2400" i="1"/>
  <c r="AF2400" i="1" s="1"/>
  <c r="M2401" i="1"/>
  <c r="AE2401" i="1" s="1"/>
  <c r="O2401" i="1"/>
  <c r="AF2401" i="1" s="1"/>
  <c r="M2402" i="1"/>
  <c r="AE2402" i="1" s="1"/>
  <c r="O2402" i="1"/>
  <c r="AF2402" i="1" s="1"/>
  <c r="M2403" i="1"/>
  <c r="AE2403" i="1" s="1"/>
  <c r="O2403" i="1"/>
  <c r="AF2403" i="1" s="1"/>
  <c r="M2404" i="1"/>
  <c r="AE2404" i="1" s="1"/>
  <c r="O2404" i="1"/>
  <c r="AF2404" i="1" s="1"/>
  <c r="M2405" i="1"/>
  <c r="AE2405" i="1" s="1"/>
  <c r="O2405" i="1"/>
  <c r="AF2405" i="1" s="1"/>
  <c r="M2406" i="1"/>
  <c r="AE2406" i="1" s="1"/>
  <c r="O2406" i="1"/>
  <c r="AF2406" i="1" s="1"/>
  <c r="M2407" i="1"/>
  <c r="AE2407" i="1" s="1"/>
  <c r="O2407" i="1"/>
  <c r="AF2407" i="1" s="1"/>
  <c r="M2408" i="1"/>
  <c r="AE2408" i="1" s="1"/>
  <c r="O2408" i="1"/>
  <c r="AF2408" i="1" s="1"/>
  <c r="M2409" i="1"/>
  <c r="AE2409" i="1" s="1"/>
  <c r="O2409" i="1"/>
  <c r="AF2409" i="1" s="1"/>
  <c r="M2410" i="1"/>
  <c r="AE2410" i="1" s="1"/>
  <c r="O2410" i="1"/>
  <c r="AF2410" i="1" s="1"/>
  <c r="M2411" i="1"/>
  <c r="AE2411" i="1" s="1"/>
  <c r="O2411" i="1"/>
  <c r="AF2411" i="1" s="1"/>
  <c r="M2413" i="1"/>
  <c r="AE2413" i="1" s="1"/>
  <c r="O2413" i="1"/>
  <c r="AF2413" i="1" s="1"/>
  <c r="M2414" i="1"/>
  <c r="AE2414" i="1" s="1"/>
  <c r="O2414" i="1"/>
  <c r="AF2414" i="1" s="1"/>
  <c r="M2415" i="1"/>
  <c r="AE2415" i="1" s="1"/>
  <c r="O2415" i="1"/>
  <c r="AF2415" i="1" s="1"/>
  <c r="M2416" i="1"/>
  <c r="AE2416" i="1" s="1"/>
  <c r="O2416" i="1"/>
  <c r="AF2416" i="1" s="1"/>
  <c r="M2417" i="1"/>
  <c r="AE2417" i="1" s="1"/>
  <c r="O2417" i="1"/>
  <c r="AF2417" i="1" s="1"/>
  <c r="M2418" i="1"/>
  <c r="AE2418" i="1" s="1"/>
  <c r="O2418" i="1"/>
  <c r="AF2418" i="1" s="1"/>
  <c r="M2419" i="1"/>
  <c r="AE2419" i="1" s="1"/>
  <c r="O2419" i="1"/>
  <c r="AF2419" i="1" s="1"/>
  <c r="M2420" i="1"/>
  <c r="AE2420" i="1" s="1"/>
  <c r="O2420" i="1"/>
  <c r="AF2420" i="1" s="1"/>
  <c r="M2421" i="1"/>
  <c r="AE2421" i="1" s="1"/>
  <c r="O2421" i="1"/>
  <c r="AF2421" i="1" s="1"/>
  <c r="M2422" i="1"/>
  <c r="AE2422" i="1" s="1"/>
  <c r="O2422" i="1"/>
  <c r="AF2422" i="1" s="1"/>
  <c r="M2423" i="1"/>
  <c r="AE2423" i="1" s="1"/>
  <c r="O2423" i="1"/>
  <c r="AF2423" i="1" s="1"/>
  <c r="M2424" i="1"/>
  <c r="AE2424" i="1" s="1"/>
  <c r="O2424" i="1"/>
  <c r="AF2424" i="1" s="1"/>
  <c r="M2425" i="1"/>
  <c r="AE2425" i="1" s="1"/>
  <c r="O2425" i="1"/>
  <c r="AF2425" i="1" s="1"/>
  <c r="M2428" i="1"/>
  <c r="AE2428" i="1" s="1"/>
  <c r="M2429" i="1"/>
  <c r="AE2429" i="1" s="1"/>
  <c r="O2429" i="1"/>
  <c r="AF2429" i="1" s="1"/>
  <c r="M2431" i="1"/>
  <c r="AE2431" i="1" s="1"/>
  <c r="O2431" i="1"/>
  <c r="AF2431" i="1" s="1"/>
  <c r="M2432" i="1"/>
  <c r="AE2432" i="1" s="1"/>
  <c r="O2432" i="1"/>
  <c r="AF2432" i="1" s="1"/>
  <c r="M2433" i="1"/>
  <c r="AE2433" i="1" s="1"/>
  <c r="O2433" i="1"/>
  <c r="AF2433" i="1" s="1"/>
  <c r="M2435" i="1"/>
  <c r="AE2435" i="1" s="1"/>
  <c r="O2435" i="1"/>
  <c r="AF2435" i="1" s="1"/>
  <c r="M2436" i="1"/>
  <c r="AE2436" i="1" s="1"/>
  <c r="O2436" i="1"/>
  <c r="AF2436" i="1" s="1"/>
  <c r="M2437" i="1"/>
  <c r="AE2437" i="1" s="1"/>
  <c r="O2437" i="1"/>
  <c r="AF2437" i="1" s="1"/>
  <c r="M2438" i="1"/>
  <c r="AE2438" i="1" s="1"/>
  <c r="O2438" i="1"/>
  <c r="AF2438" i="1" s="1"/>
  <c r="M2440" i="1"/>
  <c r="AE2440" i="1" s="1"/>
  <c r="O2440" i="1"/>
  <c r="AF2440" i="1" s="1"/>
  <c r="M2441" i="1"/>
  <c r="AE2441" i="1" s="1"/>
  <c r="O2441" i="1"/>
  <c r="AF2441" i="1" s="1"/>
  <c r="M2442" i="1"/>
  <c r="AE2442" i="1" s="1"/>
  <c r="O2442" i="1"/>
  <c r="AF2442" i="1" s="1"/>
  <c r="M2443" i="1"/>
  <c r="AE2443" i="1" s="1"/>
  <c r="O2443" i="1"/>
  <c r="AF2443" i="1" s="1"/>
  <c r="M2444" i="1"/>
  <c r="AE2444" i="1" s="1"/>
  <c r="O2444" i="1"/>
  <c r="AF2444" i="1" s="1"/>
  <c r="M2445" i="1"/>
  <c r="AE2445" i="1" s="1"/>
  <c r="O2445" i="1"/>
  <c r="AF2445" i="1" s="1"/>
  <c r="M2446" i="1"/>
  <c r="AE2446" i="1" s="1"/>
  <c r="O2446" i="1"/>
  <c r="AF2446" i="1" s="1"/>
  <c r="M2447" i="1"/>
  <c r="AE2447" i="1" s="1"/>
  <c r="O2447" i="1"/>
  <c r="AF2447" i="1" s="1"/>
  <c r="M2448" i="1"/>
  <c r="AE2448" i="1" s="1"/>
  <c r="O2448" i="1"/>
  <c r="AF2448" i="1" s="1"/>
  <c r="M2449" i="1"/>
  <c r="AE2449" i="1" s="1"/>
  <c r="O2449" i="1"/>
  <c r="AF2449" i="1" s="1"/>
  <c r="M2450" i="1"/>
  <c r="AE2450" i="1" s="1"/>
  <c r="O2450" i="1"/>
  <c r="AF2450" i="1" s="1"/>
  <c r="M2452" i="1"/>
  <c r="AE2452" i="1" s="1"/>
  <c r="O2452" i="1"/>
  <c r="AF2452" i="1" s="1"/>
  <c r="M2453" i="1"/>
  <c r="AE2453" i="1" s="1"/>
  <c r="O2453" i="1"/>
  <c r="AF2453" i="1" s="1"/>
  <c r="M2454" i="1"/>
  <c r="AE2454" i="1" s="1"/>
  <c r="O2454" i="1"/>
  <c r="AF2454" i="1" s="1"/>
  <c r="M2455" i="1"/>
  <c r="AE2455" i="1" s="1"/>
  <c r="O2455" i="1"/>
  <c r="AF2455" i="1" s="1"/>
  <c r="M2456" i="1"/>
  <c r="AE2456" i="1" s="1"/>
  <c r="O2456" i="1"/>
  <c r="AF2456" i="1" s="1"/>
  <c r="M2458" i="1"/>
  <c r="AE2458" i="1" s="1"/>
  <c r="O2458" i="1"/>
  <c r="AF2458" i="1" s="1"/>
  <c r="M2459" i="1"/>
  <c r="AE2459" i="1" s="1"/>
  <c r="O2459" i="1"/>
  <c r="AF2459" i="1" s="1"/>
  <c r="M2461" i="1"/>
  <c r="AE2461" i="1" s="1"/>
  <c r="O2461" i="1"/>
  <c r="AF2461" i="1" s="1"/>
  <c r="M2463" i="1"/>
  <c r="AE2463" i="1" s="1"/>
  <c r="O2463" i="1"/>
  <c r="AF2463" i="1" s="1"/>
  <c r="M2464" i="1"/>
  <c r="AE2464" i="1" s="1"/>
  <c r="O2464" i="1"/>
  <c r="AF2464" i="1" s="1"/>
  <c r="M2465" i="1"/>
  <c r="AE2465" i="1" s="1"/>
  <c r="O2465" i="1"/>
  <c r="AF2465" i="1" s="1"/>
  <c r="M2467" i="1"/>
  <c r="AE2467" i="1" s="1"/>
  <c r="O2467" i="1"/>
  <c r="AF2467" i="1" s="1"/>
  <c r="M2468" i="1"/>
  <c r="AE2468" i="1" s="1"/>
  <c r="O2468" i="1"/>
  <c r="AF2468" i="1" s="1"/>
  <c r="M2470" i="1"/>
  <c r="AE2470" i="1" s="1"/>
  <c r="O2470" i="1"/>
  <c r="AF2470" i="1" s="1"/>
  <c r="M2471" i="1"/>
  <c r="AE2471" i="1" s="1"/>
  <c r="O2471" i="1"/>
  <c r="AF2471" i="1" s="1"/>
  <c r="M2472" i="1"/>
  <c r="AE2472" i="1" s="1"/>
  <c r="O2472" i="1"/>
  <c r="AF2472" i="1" s="1"/>
  <c r="M2473" i="1"/>
  <c r="AE2473" i="1" s="1"/>
  <c r="O2473" i="1"/>
  <c r="AF2473" i="1" s="1"/>
  <c r="M2474" i="1"/>
  <c r="AE2474" i="1" s="1"/>
  <c r="O2474" i="1"/>
  <c r="AF2474" i="1" s="1"/>
  <c r="M2475" i="1"/>
  <c r="AE2475" i="1" s="1"/>
  <c r="M2477" i="1"/>
  <c r="AE2477" i="1" s="1"/>
  <c r="O2477" i="1"/>
  <c r="AF2477" i="1" s="1"/>
  <c r="M2478" i="1"/>
  <c r="AE2478" i="1" s="1"/>
  <c r="O2478" i="1"/>
  <c r="AF2478" i="1" s="1"/>
  <c r="M2479" i="1"/>
  <c r="AE2479" i="1" s="1"/>
  <c r="O2479" i="1"/>
  <c r="AF2479" i="1" s="1"/>
  <c r="M2480" i="1"/>
  <c r="AE2480" i="1" s="1"/>
  <c r="O2480" i="1"/>
  <c r="AF2480" i="1" s="1"/>
  <c r="M2481" i="1"/>
  <c r="AE2481" i="1" s="1"/>
  <c r="O2481" i="1"/>
  <c r="AF2481" i="1" s="1"/>
  <c r="M2483" i="1"/>
  <c r="AE2483" i="1" s="1"/>
  <c r="O2483" i="1"/>
  <c r="AF2483" i="1" s="1"/>
  <c r="M2484" i="1"/>
  <c r="AE2484" i="1" s="1"/>
  <c r="O2484" i="1"/>
  <c r="AF2484" i="1" s="1"/>
  <c r="M2485" i="1"/>
  <c r="AE2485" i="1" s="1"/>
  <c r="O2485" i="1"/>
  <c r="AF2485" i="1" s="1"/>
  <c r="M2486" i="1"/>
  <c r="AE2486" i="1" s="1"/>
  <c r="O2486" i="1"/>
  <c r="AF2486" i="1" s="1"/>
  <c r="M2487" i="1"/>
  <c r="AE2487" i="1" s="1"/>
  <c r="O2487" i="1"/>
  <c r="AF2487" i="1" s="1"/>
  <c r="M2490" i="1"/>
  <c r="AE2490" i="1" s="1"/>
  <c r="O2490" i="1"/>
  <c r="AF2490" i="1" s="1"/>
  <c r="M2491" i="1"/>
  <c r="AE2491" i="1" s="1"/>
  <c r="O2491" i="1"/>
  <c r="AF2491" i="1" s="1"/>
  <c r="M2492" i="1"/>
  <c r="AE2492" i="1" s="1"/>
  <c r="O2492" i="1"/>
  <c r="AF2492" i="1" s="1"/>
  <c r="M2493" i="1"/>
  <c r="AE2493" i="1" s="1"/>
  <c r="O2493" i="1"/>
  <c r="AF2493" i="1" s="1"/>
  <c r="M2494" i="1"/>
  <c r="AE2494" i="1" s="1"/>
  <c r="O2494" i="1"/>
  <c r="AF2494" i="1" s="1"/>
  <c r="M2495" i="1"/>
  <c r="AE2495" i="1" s="1"/>
  <c r="O2495" i="1"/>
  <c r="AF2495" i="1" s="1"/>
  <c r="M2496" i="1"/>
  <c r="AE2496" i="1" s="1"/>
  <c r="O2496" i="1"/>
  <c r="AF2496" i="1" s="1"/>
  <c r="M2497" i="1"/>
  <c r="AE2497" i="1" s="1"/>
  <c r="O2497" i="1"/>
  <c r="AF2497" i="1" s="1"/>
  <c r="M2498" i="1"/>
  <c r="AE2498" i="1" s="1"/>
  <c r="O2498" i="1"/>
  <c r="AF2498" i="1" s="1"/>
  <c r="M2499" i="1"/>
  <c r="AE2499" i="1" s="1"/>
  <c r="O2499" i="1"/>
  <c r="AF2499" i="1" s="1"/>
  <c r="M2501" i="1"/>
  <c r="AE2501" i="1" s="1"/>
  <c r="O2501" i="1"/>
  <c r="AF2501" i="1" s="1"/>
  <c r="M2502" i="1"/>
  <c r="AE2502" i="1" s="1"/>
  <c r="O2502" i="1"/>
  <c r="AF2502" i="1" s="1"/>
  <c r="M2503" i="1"/>
  <c r="AE2503" i="1" s="1"/>
  <c r="O2503" i="1"/>
  <c r="AF2503" i="1" s="1"/>
  <c r="M2504" i="1"/>
  <c r="AE2504" i="1" s="1"/>
  <c r="O2504" i="1"/>
  <c r="AF2504" i="1" s="1"/>
  <c r="M2505" i="1"/>
  <c r="AE2505" i="1" s="1"/>
  <c r="O2505" i="1"/>
  <c r="AF2505" i="1" s="1"/>
  <c r="M2506" i="1"/>
  <c r="AE2506" i="1" s="1"/>
  <c r="O2506" i="1"/>
  <c r="AF2506" i="1" s="1"/>
  <c r="M2508" i="1"/>
  <c r="AE2508" i="1" s="1"/>
  <c r="O2508" i="1"/>
  <c r="AF2508" i="1" s="1"/>
  <c r="M2510" i="1"/>
  <c r="AE2510" i="1" s="1"/>
  <c r="O2510" i="1"/>
  <c r="AF2510" i="1" s="1"/>
  <c r="M2511" i="1"/>
  <c r="AE2511" i="1" s="1"/>
  <c r="O2511" i="1"/>
  <c r="AF2511" i="1" s="1"/>
  <c r="M2512" i="1"/>
  <c r="AE2512" i="1" s="1"/>
  <c r="O2512" i="1"/>
  <c r="AF2512" i="1" s="1"/>
  <c r="M2514" i="1"/>
  <c r="AE2514" i="1" s="1"/>
  <c r="O2514" i="1"/>
  <c r="AF2514" i="1" s="1"/>
  <c r="M2515" i="1"/>
  <c r="AE2515" i="1" s="1"/>
  <c r="O2515" i="1"/>
  <c r="AF2515" i="1" s="1"/>
  <c r="M2516" i="1"/>
  <c r="AE2516" i="1" s="1"/>
  <c r="O2516" i="1"/>
  <c r="AF2516" i="1" s="1"/>
  <c r="M2517" i="1"/>
  <c r="AE2517" i="1" s="1"/>
  <c r="O2517" i="1"/>
  <c r="AF2517" i="1" s="1"/>
  <c r="M2518" i="1"/>
  <c r="AE2518" i="1" s="1"/>
  <c r="O2518" i="1"/>
  <c r="AF2518" i="1" s="1"/>
  <c r="M2519" i="1"/>
  <c r="AE2519" i="1" s="1"/>
  <c r="O2519" i="1"/>
  <c r="AF2519" i="1" s="1"/>
  <c r="M2520" i="1"/>
  <c r="AE2520" i="1" s="1"/>
  <c r="O2520" i="1"/>
  <c r="AF2520" i="1" s="1"/>
  <c r="M2521" i="1"/>
  <c r="AE2521" i="1" s="1"/>
  <c r="O2521" i="1"/>
  <c r="AF2521" i="1" s="1"/>
  <c r="M2522" i="1"/>
  <c r="AE2522" i="1" s="1"/>
  <c r="O2522" i="1"/>
  <c r="AF2522" i="1" s="1"/>
  <c r="M2523" i="1"/>
  <c r="AE2523" i="1" s="1"/>
  <c r="O2523" i="1"/>
  <c r="AF2523" i="1" s="1"/>
  <c r="M2524" i="1"/>
  <c r="AE2524" i="1" s="1"/>
  <c r="O2524" i="1"/>
  <c r="AF2524" i="1" s="1"/>
  <c r="M2526" i="1"/>
  <c r="AE2526" i="1" s="1"/>
  <c r="O2526" i="1"/>
  <c r="AF2526" i="1" s="1"/>
  <c r="M2528" i="1"/>
  <c r="AE2528" i="1" s="1"/>
  <c r="O2528" i="1"/>
  <c r="AF2528" i="1" s="1"/>
  <c r="M2529" i="1"/>
  <c r="AE2529" i="1" s="1"/>
  <c r="O2529" i="1"/>
  <c r="AF2529" i="1" s="1"/>
  <c r="M2530" i="1"/>
  <c r="AE2530" i="1" s="1"/>
  <c r="O2530" i="1"/>
  <c r="AF2530" i="1" s="1"/>
  <c r="M2532" i="1"/>
  <c r="AE2532" i="1" s="1"/>
  <c r="O2532" i="1"/>
  <c r="AF2532" i="1" s="1"/>
  <c r="M2533" i="1"/>
  <c r="AE2533" i="1" s="1"/>
  <c r="O2533" i="1"/>
  <c r="AF2533" i="1" s="1"/>
  <c r="M2534" i="1"/>
  <c r="AE2534" i="1" s="1"/>
  <c r="O2534" i="1"/>
  <c r="AF2534" i="1" s="1"/>
  <c r="M2535" i="1"/>
  <c r="AE2535" i="1" s="1"/>
  <c r="O2535" i="1"/>
  <c r="AF2535" i="1" s="1"/>
  <c r="M2536" i="1"/>
  <c r="AE2536" i="1" s="1"/>
  <c r="O2536" i="1"/>
  <c r="AF2536" i="1" s="1"/>
  <c r="M2537" i="1"/>
  <c r="AE2537" i="1" s="1"/>
  <c r="O2537" i="1"/>
  <c r="AF2537" i="1" s="1"/>
  <c r="M2538" i="1"/>
  <c r="AE2538" i="1" s="1"/>
  <c r="O2538" i="1"/>
  <c r="AF2538" i="1" s="1"/>
  <c r="M2539" i="1"/>
  <c r="AE2539" i="1" s="1"/>
  <c r="O2539" i="1"/>
  <c r="AF2539" i="1" s="1"/>
  <c r="M2540" i="1"/>
  <c r="AE2540" i="1" s="1"/>
  <c r="O2540" i="1"/>
  <c r="AF2540" i="1" s="1"/>
  <c r="M2541" i="1"/>
  <c r="AE2541" i="1" s="1"/>
  <c r="O2541" i="1"/>
  <c r="AF2541" i="1" s="1"/>
  <c r="M2542" i="1"/>
  <c r="AE2542" i="1" s="1"/>
  <c r="O2542" i="1"/>
  <c r="AF2542" i="1" s="1"/>
  <c r="M2543" i="1"/>
  <c r="AE2543" i="1" s="1"/>
  <c r="O2543" i="1"/>
  <c r="AF2543" i="1" s="1"/>
  <c r="M2546" i="1"/>
  <c r="AE2546" i="1" s="1"/>
  <c r="O2546" i="1"/>
  <c r="AF2546" i="1" s="1"/>
  <c r="M2547" i="1"/>
  <c r="AE2547" i="1" s="1"/>
  <c r="O2547" i="1"/>
  <c r="AF2547" i="1" s="1"/>
  <c r="M2548" i="1"/>
  <c r="AE2548" i="1" s="1"/>
  <c r="O2548" i="1"/>
  <c r="AF2548" i="1" s="1"/>
  <c r="M2549" i="1"/>
  <c r="AE2549" i="1" s="1"/>
  <c r="O2549" i="1"/>
  <c r="AF2549" i="1" s="1"/>
  <c r="M2550" i="1"/>
  <c r="AE2550" i="1" s="1"/>
  <c r="O2550" i="1"/>
  <c r="AF2550" i="1" s="1"/>
  <c r="M2551" i="1"/>
  <c r="AE2551" i="1" s="1"/>
  <c r="O2551" i="1"/>
  <c r="AF2551" i="1" s="1"/>
  <c r="M2552" i="1"/>
  <c r="AE2552" i="1" s="1"/>
  <c r="O2552" i="1"/>
  <c r="AF2552" i="1" s="1"/>
  <c r="M2553" i="1"/>
  <c r="AE2553" i="1" s="1"/>
  <c r="O2553" i="1"/>
  <c r="AF2553" i="1" s="1"/>
  <c r="M2554" i="1"/>
  <c r="AE2554" i="1" s="1"/>
  <c r="O2554" i="1"/>
  <c r="AF2554" i="1" s="1"/>
  <c r="M2556" i="1"/>
  <c r="AE2556" i="1" s="1"/>
  <c r="O2556" i="1"/>
  <c r="AF2556" i="1" s="1"/>
  <c r="M2557" i="1"/>
  <c r="AE2557" i="1" s="1"/>
  <c r="O2557" i="1"/>
  <c r="AF2557" i="1" s="1"/>
  <c r="M2558" i="1"/>
  <c r="AE2558" i="1" s="1"/>
  <c r="O2558" i="1"/>
  <c r="AF2558" i="1" s="1"/>
  <c r="M2559" i="1"/>
  <c r="AE2559" i="1" s="1"/>
  <c r="O2559" i="1"/>
  <c r="AF2559" i="1" s="1"/>
  <c r="M2560" i="1"/>
  <c r="AE2560" i="1" s="1"/>
  <c r="O2560" i="1"/>
  <c r="AF2560" i="1" s="1"/>
  <c r="M2561" i="1"/>
  <c r="AE2561" i="1" s="1"/>
  <c r="O2561" i="1"/>
  <c r="AF2561" i="1" s="1"/>
  <c r="M2562" i="1"/>
  <c r="AE2562" i="1" s="1"/>
  <c r="O2562" i="1"/>
  <c r="AF2562" i="1" s="1"/>
  <c r="M2563" i="1"/>
  <c r="AE2563" i="1" s="1"/>
  <c r="O2563" i="1"/>
  <c r="AF2563" i="1" s="1"/>
  <c r="M2564" i="1"/>
  <c r="AE2564" i="1" s="1"/>
  <c r="O2564" i="1"/>
  <c r="AF2564" i="1" s="1"/>
  <c r="M2565" i="1"/>
  <c r="AE2565" i="1" s="1"/>
  <c r="O2565" i="1"/>
  <c r="AF2565" i="1" s="1"/>
  <c r="M2566" i="1"/>
  <c r="AE2566" i="1" s="1"/>
  <c r="O2566" i="1"/>
  <c r="AF2566" i="1" s="1"/>
  <c r="M2567" i="1"/>
  <c r="AE2567" i="1" s="1"/>
  <c r="O2567" i="1"/>
  <c r="AF2567" i="1" s="1"/>
  <c r="M2568" i="1"/>
  <c r="AE2568" i="1" s="1"/>
  <c r="O2568" i="1"/>
  <c r="AF2568" i="1" s="1"/>
  <c r="M2569" i="1"/>
  <c r="AE2569" i="1" s="1"/>
  <c r="O2569" i="1"/>
  <c r="AF2569" i="1" s="1"/>
  <c r="M2570" i="1"/>
  <c r="AE2570" i="1" s="1"/>
  <c r="O2570" i="1"/>
  <c r="AF2570" i="1" s="1"/>
  <c r="M2571" i="1"/>
  <c r="AE2571" i="1" s="1"/>
  <c r="O2571" i="1"/>
  <c r="AF2571" i="1" s="1"/>
  <c r="M2572" i="1"/>
  <c r="AE2572" i="1" s="1"/>
  <c r="O2572" i="1"/>
  <c r="AF2572" i="1" s="1"/>
  <c r="M2573" i="1"/>
  <c r="AE2573" i="1" s="1"/>
  <c r="O2573" i="1"/>
  <c r="AF2573" i="1" s="1"/>
  <c r="M2574" i="1"/>
  <c r="AE2574" i="1" s="1"/>
  <c r="O2574" i="1"/>
  <c r="AF2574" i="1" s="1"/>
  <c r="M2575" i="1"/>
  <c r="AE2575" i="1" s="1"/>
  <c r="O2575" i="1"/>
  <c r="AF2575" i="1" s="1"/>
  <c r="M2576" i="1"/>
  <c r="AE2576" i="1" s="1"/>
  <c r="O2576" i="1"/>
  <c r="AF2576" i="1" s="1"/>
  <c r="M2577" i="1"/>
  <c r="AE2577" i="1" s="1"/>
  <c r="O2577" i="1"/>
  <c r="AF2577" i="1" s="1"/>
  <c r="M2578" i="1"/>
  <c r="AE2578" i="1" s="1"/>
  <c r="O2578" i="1"/>
  <c r="AF2578" i="1" s="1"/>
  <c r="M2579" i="1"/>
  <c r="AE2579" i="1" s="1"/>
  <c r="O2579" i="1"/>
  <c r="AF2579" i="1" s="1"/>
  <c r="M1548" i="1"/>
  <c r="AE1548" i="1" s="1"/>
  <c r="O1548" i="1"/>
  <c r="AF1548" i="1" s="1"/>
  <c r="M2581" i="1"/>
  <c r="AE2581" i="1" s="1"/>
  <c r="O2581" i="1"/>
  <c r="AF2581" i="1" s="1"/>
  <c r="M2584" i="1"/>
  <c r="AE2584" i="1" s="1"/>
  <c r="O2584" i="1"/>
  <c r="AF2584" i="1" s="1"/>
  <c r="M2585" i="1"/>
  <c r="AE2585" i="1" s="1"/>
  <c r="O2585" i="1"/>
  <c r="AF2585" i="1" s="1"/>
  <c r="M2586" i="1"/>
  <c r="AE2586" i="1" s="1"/>
  <c r="O2586" i="1"/>
  <c r="AF2586" i="1" s="1"/>
  <c r="M2587" i="1"/>
  <c r="AE2587" i="1" s="1"/>
  <c r="O2587" i="1"/>
  <c r="AF2587" i="1" s="1"/>
  <c r="M2588" i="1"/>
  <c r="AE2588" i="1" s="1"/>
  <c r="O2588" i="1"/>
  <c r="AF2588" i="1" s="1"/>
  <c r="M2589" i="1"/>
  <c r="AE2589" i="1" s="1"/>
  <c r="O2589" i="1"/>
  <c r="AF2589" i="1" s="1"/>
  <c r="M2590" i="1"/>
  <c r="AE2590" i="1" s="1"/>
  <c r="O2590" i="1"/>
  <c r="AF2590" i="1" s="1"/>
  <c r="M2591" i="1"/>
  <c r="AE2591" i="1" s="1"/>
  <c r="O2591" i="1"/>
  <c r="AF2591" i="1" s="1"/>
  <c r="M2592" i="1"/>
  <c r="AE2592" i="1" s="1"/>
  <c r="O2592" i="1"/>
  <c r="AF2592" i="1" s="1"/>
  <c r="M2593" i="1"/>
  <c r="AE2593" i="1" s="1"/>
  <c r="O2593" i="1"/>
  <c r="AF2593" i="1" s="1"/>
  <c r="M2595" i="1"/>
  <c r="AE2595" i="1" s="1"/>
  <c r="O2595" i="1"/>
  <c r="AF2595" i="1" s="1"/>
  <c r="M2596" i="1"/>
  <c r="AE2596" i="1" s="1"/>
  <c r="O2596" i="1"/>
  <c r="AF2596" i="1" s="1"/>
  <c r="M2597" i="1"/>
  <c r="AE2597" i="1" s="1"/>
  <c r="O2597" i="1"/>
  <c r="AF2597" i="1" s="1"/>
  <c r="M2598" i="1"/>
  <c r="AE2598" i="1" s="1"/>
  <c r="O2598" i="1"/>
  <c r="AF2598" i="1" s="1"/>
  <c r="M2600" i="1"/>
  <c r="AE2600" i="1" s="1"/>
  <c r="O2600" i="1"/>
  <c r="AF2600" i="1" s="1"/>
  <c r="M2604" i="1"/>
  <c r="AE2604" i="1" s="1"/>
  <c r="O2604" i="1"/>
  <c r="AF2604" i="1" s="1"/>
  <c r="M2608" i="1"/>
  <c r="AE2608" i="1" s="1"/>
  <c r="O2608" i="1"/>
  <c r="AF2608" i="1" s="1"/>
  <c r="M2609" i="1"/>
  <c r="AE2609" i="1" s="1"/>
  <c r="O2609" i="1"/>
  <c r="AF2609" i="1" s="1"/>
  <c r="M2616" i="1"/>
  <c r="AE2616" i="1" s="1"/>
  <c r="O2616" i="1"/>
  <c r="AF2616" i="1" s="1"/>
  <c r="M2618" i="1"/>
  <c r="AE2618" i="1" s="1"/>
  <c r="O2618" i="1"/>
  <c r="AF2618" i="1" s="1"/>
  <c r="M2619" i="1"/>
  <c r="AE2619" i="1" s="1"/>
  <c r="O2619" i="1"/>
  <c r="AF2619" i="1" s="1"/>
  <c r="M2621" i="1"/>
  <c r="AE2621" i="1" s="1"/>
  <c r="O2621" i="1"/>
  <c r="AF2621" i="1" s="1"/>
  <c r="M2622" i="1"/>
  <c r="AE2622" i="1" s="1"/>
  <c r="O2622" i="1"/>
  <c r="AF2622" i="1" s="1"/>
  <c r="M2623" i="1"/>
  <c r="AE2623" i="1" s="1"/>
  <c r="O2623" i="1"/>
  <c r="AF2623" i="1" s="1"/>
  <c r="M2624" i="1"/>
  <c r="AE2624" i="1" s="1"/>
  <c r="O2624" i="1"/>
  <c r="AF2624" i="1" s="1"/>
  <c r="M2625" i="1"/>
  <c r="AE2625" i="1" s="1"/>
  <c r="O2625" i="1"/>
  <c r="AF2625" i="1" s="1"/>
  <c r="M2636" i="1"/>
  <c r="AE2636" i="1" s="1"/>
  <c r="O2636" i="1"/>
  <c r="AF2636" i="1" s="1"/>
  <c r="M2637" i="1"/>
  <c r="AE2637" i="1" s="1"/>
  <c r="O2637" i="1"/>
  <c r="AF2637" i="1" s="1"/>
  <c r="M2638" i="1"/>
  <c r="AE2638" i="1" s="1"/>
  <c r="O2638" i="1"/>
  <c r="AF2638" i="1" s="1"/>
  <c r="M2639" i="1"/>
  <c r="AE2639" i="1" s="1"/>
  <c r="O2639" i="1"/>
  <c r="AF2639" i="1" s="1"/>
  <c r="M2640" i="1"/>
  <c r="AE2640" i="1" s="1"/>
  <c r="O2640" i="1"/>
  <c r="AF2640" i="1" s="1"/>
  <c r="M819" i="1"/>
  <c r="AE819" i="1" s="1"/>
  <c r="O819" i="1"/>
  <c r="AF819" i="1" s="1"/>
  <c r="M2641" i="1"/>
  <c r="AE2641" i="1" s="1"/>
  <c r="O2641" i="1"/>
  <c r="AF2641" i="1" s="1"/>
  <c r="M1044" i="1"/>
  <c r="AE1044" i="1" s="1"/>
  <c r="O1044" i="1"/>
  <c r="AF1044" i="1" s="1"/>
  <c r="M2644" i="1"/>
  <c r="AE2644" i="1" s="1"/>
  <c r="O2644" i="1"/>
  <c r="AF2644" i="1" s="1"/>
  <c r="M2645" i="1"/>
  <c r="AE2645" i="1" s="1"/>
  <c r="O2645" i="1"/>
  <c r="AF2645" i="1" s="1"/>
  <c r="M2647" i="1"/>
  <c r="AE2647" i="1" s="1"/>
  <c r="O2647" i="1"/>
  <c r="AF2647" i="1" s="1"/>
  <c r="M2648" i="1"/>
  <c r="AE2648" i="1" s="1"/>
  <c r="O2648" i="1"/>
  <c r="AF2648" i="1" s="1"/>
  <c r="M2649" i="1"/>
  <c r="AE2649" i="1" s="1"/>
  <c r="O2649" i="1"/>
  <c r="AF2649" i="1" s="1"/>
  <c r="M2650" i="1"/>
  <c r="AE2650" i="1" s="1"/>
  <c r="O2650" i="1"/>
  <c r="AF2650" i="1" s="1"/>
  <c r="M2651" i="1"/>
  <c r="AE2651" i="1" s="1"/>
  <c r="O2651" i="1"/>
  <c r="AF2651" i="1" s="1"/>
  <c r="M2652" i="1"/>
  <c r="AE2652" i="1" s="1"/>
  <c r="O2652" i="1"/>
  <c r="AF2652" i="1" s="1"/>
  <c r="M2653" i="1"/>
  <c r="AE2653" i="1" s="1"/>
  <c r="O2653" i="1"/>
  <c r="AF2653" i="1" s="1"/>
  <c r="M2654" i="1"/>
  <c r="AE2654" i="1" s="1"/>
  <c r="O2654" i="1"/>
  <c r="AF2654" i="1" s="1"/>
  <c r="M2655" i="1"/>
  <c r="AE2655" i="1" s="1"/>
  <c r="O2655" i="1"/>
  <c r="AF2655" i="1" s="1"/>
  <c r="M2656" i="1"/>
  <c r="AE2656" i="1" s="1"/>
  <c r="O2656" i="1"/>
  <c r="AF2656" i="1" s="1"/>
  <c r="M2657" i="1"/>
  <c r="AE2657" i="1" s="1"/>
  <c r="O2657" i="1"/>
  <c r="AF2657" i="1" s="1"/>
  <c r="M2658" i="1"/>
  <c r="AE2658" i="1" s="1"/>
  <c r="O2658" i="1"/>
  <c r="AF2658" i="1" s="1"/>
  <c r="M2659" i="1"/>
  <c r="AE2659" i="1" s="1"/>
  <c r="O2659" i="1"/>
  <c r="AF2659" i="1" s="1"/>
  <c r="M2660" i="1"/>
  <c r="AE2660" i="1" s="1"/>
  <c r="O2660" i="1"/>
  <c r="AF2660" i="1" s="1"/>
  <c r="M2661" i="1"/>
  <c r="AE2661" i="1" s="1"/>
  <c r="O2661" i="1"/>
  <c r="AF2661" i="1" s="1"/>
  <c r="M2662" i="1"/>
  <c r="AE2662" i="1" s="1"/>
  <c r="O2662" i="1"/>
  <c r="AF2662" i="1" s="1"/>
  <c r="M943" i="1"/>
  <c r="AE943" i="1" s="1"/>
  <c r="O943" i="1"/>
  <c r="AF943" i="1" s="1"/>
  <c r="M2664" i="1"/>
  <c r="AE2664" i="1" s="1"/>
  <c r="O2664" i="1"/>
  <c r="AF2664" i="1" s="1"/>
  <c r="M2665" i="1"/>
  <c r="AE2665" i="1" s="1"/>
  <c r="O2665" i="1"/>
  <c r="AF2665" i="1" s="1"/>
  <c r="M2666" i="1"/>
  <c r="AE2666" i="1" s="1"/>
  <c r="O2666" i="1"/>
  <c r="AF2666" i="1" s="1"/>
  <c r="M2667" i="1"/>
  <c r="AE2667" i="1" s="1"/>
  <c r="O2667" i="1"/>
  <c r="AF2667" i="1" s="1"/>
  <c r="M2668" i="1"/>
  <c r="AE2668" i="1" s="1"/>
  <c r="O2668" i="1"/>
  <c r="AF2668" i="1" s="1"/>
  <c r="M2669" i="1"/>
  <c r="AE2669" i="1" s="1"/>
  <c r="O2669" i="1"/>
  <c r="AF2669" i="1" s="1"/>
  <c r="M2670" i="1"/>
  <c r="AE2670" i="1" s="1"/>
  <c r="O2670" i="1"/>
  <c r="AF2670" i="1" s="1"/>
  <c r="M2671" i="1"/>
  <c r="AE2671" i="1" s="1"/>
  <c r="O2671" i="1"/>
  <c r="AF2671" i="1" s="1"/>
  <c r="M2672" i="1"/>
  <c r="AE2672" i="1" s="1"/>
  <c r="O2672" i="1"/>
  <c r="AF2672" i="1" s="1"/>
  <c r="M2673" i="1"/>
  <c r="AE2673" i="1" s="1"/>
  <c r="O2673" i="1"/>
  <c r="AF2673" i="1" s="1"/>
  <c r="M2674" i="1"/>
  <c r="AE2674" i="1" s="1"/>
  <c r="O2674" i="1"/>
  <c r="AF2674" i="1" s="1"/>
  <c r="M2675" i="1"/>
  <c r="AE2675" i="1" s="1"/>
  <c r="O2675" i="1"/>
  <c r="AF2675" i="1" s="1"/>
  <c r="M2676" i="1"/>
  <c r="AE2676" i="1" s="1"/>
  <c r="O2676" i="1"/>
  <c r="AF2676" i="1" s="1"/>
  <c r="M2677" i="1"/>
  <c r="AE2677" i="1" s="1"/>
  <c r="O2677" i="1"/>
  <c r="AF2677" i="1" s="1"/>
  <c r="M2678" i="1"/>
  <c r="AE2678" i="1" s="1"/>
  <c r="O2678" i="1"/>
  <c r="AF2678" i="1" s="1"/>
  <c r="M2679" i="1"/>
  <c r="AE2679" i="1" s="1"/>
  <c r="O2679" i="1"/>
  <c r="AF2679" i="1" s="1"/>
  <c r="M2680" i="1"/>
  <c r="AE2680" i="1" s="1"/>
  <c r="O2680" i="1"/>
  <c r="AF2680" i="1" s="1"/>
  <c r="M2681" i="1"/>
  <c r="AE2681" i="1" s="1"/>
  <c r="O2681" i="1"/>
  <c r="AF2681" i="1" s="1"/>
  <c r="M2682" i="1"/>
  <c r="AE2682" i="1" s="1"/>
  <c r="O2682" i="1"/>
  <c r="AF2682" i="1" s="1"/>
  <c r="M2683" i="1"/>
  <c r="AE2683" i="1" s="1"/>
  <c r="O2683" i="1"/>
  <c r="AF2683" i="1" s="1"/>
  <c r="M2685" i="1"/>
  <c r="AE2685" i="1" s="1"/>
  <c r="O2685" i="1"/>
  <c r="AF2685" i="1" s="1"/>
  <c r="M2686" i="1"/>
  <c r="AE2686" i="1" s="1"/>
  <c r="O2686" i="1"/>
  <c r="AF2686" i="1" s="1"/>
  <c r="M2687" i="1"/>
  <c r="AE2687" i="1" s="1"/>
  <c r="O2687" i="1"/>
  <c r="AF2687" i="1" s="1"/>
  <c r="M2688" i="1"/>
  <c r="AE2688" i="1" s="1"/>
  <c r="O2688" i="1"/>
  <c r="AF2688" i="1" s="1"/>
  <c r="M2689" i="1"/>
  <c r="AE2689" i="1" s="1"/>
  <c r="O2689" i="1"/>
  <c r="AF2689" i="1" s="1"/>
  <c r="M2690" i="1"/>
  <c r="AE2690" i="1" s="1"/>
  <c r="O2690" i="1"/>
  <c r="AF2690" i="1" s="1"/>
  <c r="M2691" i="1"/>
  <c r="AE2691" i="1" s="1"/>
  <c r="O2691" i="1"/>
  <c r="AF2691" i="1" s="1"/>
  <c r="M2692" i="1"/>
  <c r="AE2692" i="1" s="1"/>
  <c r="O2692" i="1"/>
  <c r="AF2692" i="1" s="1"/>
  <c r="M2693" i="1"/>
  <c r="AE2693" i="1" s="1"/>
  <c r="O2693" i="1"/>
  <c r="AF2693" i="1" s="1"/>
  <c r="M2694" i="1"/>
  <c r="AE2694" i="1" s="1"/>
  <c r="O2694" i="1"/>
  <c r="AF2694" i="1" s="1"/>
  <c r="M2695" i="1"/>
  <c r="AE2695" i="1" s="1"/>
  <c r="O2695" i="1"/>
  <c r="AF2695" i="1" s="1"/>
  <c r="M2696" i="1"/>
  <c r="AE2696" i="1" s="1"/>
  <c r="O2696" i="1"/>
  <c r="AF2696" i="1" s="1"/>
  <c r="M2697" i="1"/>
  <c r="AE2697" i="1" s="1"/>
  <c r="O2697" i="1"/>
  <c r="AF2697" i="1" s="1"/>
  <c r="M2698" i="1"/>
  <c r="AE2698" i="1" s="1"/>
  <c r="O2698" i="1"/>
  <c r="AF2698" i="1" s="1"/>
  <c r="M2699" i="1"/>
  <c r="AE2699" i="1" s="1"/>
  <c r="O2699" i="1"/>
  <c r="AF2699" i="1" s="1"/>
  <c r="M2700" i="1"/>
  <c r="AE2700" i="1" s="1"/>
  <c r="O2700" i="1"/>
  <c r="AF2700" i="1" s="1"/>
  <c r="M2701" i="1"/>
  <c r="AE2701" i="1" s="1"/>
  <c r="O2701" i="1"/>
  <c r="AF2701" i="1" s="1"/>
  <c r="M2702" i="1"/>
  <c r="AE2702" i="1" s="1"/>
  <c r="O2702" i="1"/>
  <c r="AF2702" i="1" s="1"/>
  <c r="M2703" i="1"/>
  <c r="AE2703" i="1" s="1"/>
  <c r="O2703" i="1"/>
  <c r="AF2703" i="1" s="1"/>
  <c r="M2704" i="1"/>
  <c r="AE2704" i="1" s="1"/>
  <c r="O2704" i="1"/>
  <c r="AF2704" i="1" s="1"/>
  <c r="M2705" i="1"/>
  <c r="AE2705" i="1" s="1"/>
  <c r="O2705" i="1"/>
  <c r="AF2705" i="1" s="1"/>
  <c r="M2706" i="1"/>
  <c r="AE2706" i="1" s="1"/>
  <c r="O2706" i="1"/>
  <c r="AF2706" i="1" s="1"/>
  <c r="M2707" i="1"/>
  <c r="AE2707" i="1" s="1"/>
  <c r="O2707" i="1"/>
  <c r="AF2707" i="1" s="1"/>
  <c r="M2708" i="1"/>
  <c r="AE2708" i="1" s="1"/>
  <c r="O2708" i="1"/>
  <c r="AF2708" i="1" s="1"/>
  <c r="M2709" i="1"/>
  <c r="AE2709" i="1" s="1"/>
  <c r="O2709" i="1"/>
  <c r="AF2709" i="1" s="1"/>
  <c r="M2710" i="1"/>
  <c r="AE2710" i="1" s="1"/>
  <c r="O2710" i="1"/>
  <c r="AF2710" i="1" s="1"/>
  <c r="M2711" i="1"/>
  <c r="AE2711" i="1" s="1"/>
  <c r="O2711" i="1"/>
  <c r="AF2711" i="1" s="1"/>
  <c r="M2712" i="1"/>
  <c r="AE2712" i="1" s="1"/>
  <c r="O2712" i="1"/>
  <c r="AF2712" i="1" s="1"/>
  <c r="M2713" i="1"/>
  <c r="AE2713" i="1" s="1"/>
  <c r="O2713" i="1"/>
  <c r="AF2713" i="1" s="1"/>
  <c r="M2714" i="1"/>
  <c r="AE2714" i="1" s="1"/>
  <c r="O2714" i="1"/>
  <c r="AF2714" i="1" s="1"/>
  <c r="M2715" i="1"/>
  <c r="AE2715" i="1" s="1"/>
  <c r="O2715" i="1"/>
  <c r="AF2715" i="1" s="1"/>
  <c r="M2716" i="1"/>
  <c r="AE2716" i="1" s="1"/>
  <c r="O2716" i="1"/>
  <c r="AF2716" i="1" s="1"/>
  <c r="M2717" i="1"/>
  <c r="AE2717" i="1" s="1"/>
  <c r="O2717" i="1"/>
  <c r="AF2717" i="1" s="1"/>
  <c r="M2718" i="1"/>
  <c r="AE2718" i="1" s="1"/>
  <c r="O2718" i="1"/>
  <c r="AF2718" i="1" s="1"/>
  <c r="M2719" i="1"/>
  <c r="AE2719" i="1" s="1"/>
  <c r="O2719" i="1"/>
  <c r="AF2719" i="1" s="1"/>
  <c r="M2720" i="1"/>
  <c r="AE2720" i="1" s="1"/>
  <c r="O2720" i="1"/>
  <c r="AF2720" i="1" s="1"/>
  <c r="M2721" i="1"/>
  <c r="AE2721" i="1" s="1"/>
  <c r="O2721" i="1"/>
  <c r="AF2721" i="1" s="1"/>
  <c r="M2722" i="1"/>
  <c r="AE2722" i="1" s="1"/>
  <c r="O2722" i="1"/>
  <c r="AF2722" i="1" s="1"/>
  <c r="M2723" i="1"/>
  <c r="AE2723" i="1" s="1"/>
  <c r="O2723" i="1"/>
  <c r="AF2723" i="1" s="1"/>
  <c r="M2724" i="1"/>
  <c r="AE2724" i="1" s="1"/>
  <c r="O2724" i="1"/>
  <c r="AF2724" i="1" s="1"/>
  <c r="M2725" i="1"/>
  <c r="AE2725" i="1" s="1"/>
  <c r="O2725" i="1"/>
  <c r="AF2725" i="1" s="1"/>
  <c r="M2726" i="1"/>
  <c r="AE2726" i="1" s="1"/>
  <c r="O2726" i="1"/>
  <c r="AF2726" i="1" s="1"/>
  <c r="M2727" i="1"/>
  <c r="AE2727" i="1" s="1"/>
  <c r="O2727" i="1"/>
  <c r="AF2727" i="1" s="1"/>
  <c r="M2728" i="1"/>
  <c r="AE2728" i="1" s="1"/>
  <c r="O2728" i="1"/>
  <c r="AF2728" i="1" s="1"/>
  <c r="M2730" i="1"/>
  <c r="AE2730" i="1" s="1"/>
  <c r="O2730" i="1"/>
  <c r="AF2730" i="1" s="1"/>
  <c r="M2731" i="1"/>
  <c r="AE2731" i="1" s="1"/>
  <c r="O2731" i="1"/>
  <c r="AF2731" i="1" s="1"/>
  <c r="M2732" i="1"/>
  <c r="AE2732" i="1" s="1"/>
  <c r="O2732" i="1"/>
  <c r="AF2732" i="1" s="1"/>
  <c r="M2733" i="1"/>
  <c r="AE2733" i="1" s="1"/>
  <c r="O2733" i="1"/>
  <c r="AF2733" i="1" s="1"/>
  <c r="M2734" i="1"/>
  <c r="AE2734" i="1" s="1"/>
  <c r="O2734" i="1"/>
  <c r="AF2734" i="1" s="1"/>
  <c r="M2735" i="1"/>
  <c r="AE2735" i="1" s="1"/>
  <c r="O2735" i="1"/>
  <c r="AF2735" i="1" s="1"/>
  <c r="M2736" i="1"/>
  <c r="AE2736" i="1" s="1"/>
  <c r="O2736" i="1"/>
  <c r="AF2736" i="1" s="1"/>
  <c r="M2737" i="1"/>
  <c r="AE2737" i="1" s="1"/>
  <c r="O2737" i="1"/>
  <c r="AF2737" i="1" s="1"/>
  <c r="M2738" i="1"/>
  <c r="AE2738" i="1" s="1"/>
  <c r="O2738" i="1"/>
  <c r="AF2738" i="1" s="1"/>
  <c r="M2740" i="1"/>
  <c r="AE2740" i="1" s="1"/>
  <c r="O2740" i="1"/>
  <c r="AF2740" i="1" s="1"/>
  <c r="M2741" i="1"/>
  <c r="AE2741" i="1" s="1"/>
  <c r="O2741" i="1"/>
  <c r="AF2741" i="1" s="1"/>
  <c r="M2742" i="1"/>
  <c r="AE2742" i="1" s="1"/>
  <c r="O2742" i="1"/>
  <c r="AF2742" i="1" s="1"/>
  <c r="M2743" i="1"/>
  <c r="AE2743" i="1" s="1"/>
  <c r="O2743" i="1"/>
  <c r="AF2743" i="1" s="1"/>
  <c r="M2744" i="1"/>
  <c r="AE2744" i="1" s="1"/>
  <c r="O2744" i="1"/>
  <c r="AF2744" i="1" s="1"/>
  <c r="M2745" i="1"/>
  <c r="AE2745" i="1" s="1"/>
  <c r="O2745" i="1"/>
  <c r="AF2745" i="1" s="1"/>
  <c r="M2746" i="1"/>
  <c r="AE2746" i="1" s="1"/>
  <c r="O2746" i="1"/>
  <c r="AF2746" i="1" s="1"/>
  <c r="M2747" i="1"/>
  <c r="AE2747" i="1" s="1"/>
  <c r="O2747" i="1"/>
  <c r="AF2747" i="1" s="1"/>
  <c r="M2748" i="1"/>
  <c r="AE2748" i="1" s="1"/>
  <c r="O2748" i="1"/>
  <c r="AF2748" i="1" s="1"/>
  <c r="M2749" i="1"/>
  <c r="AE2749" i="1" s="1"/>
  <c r="O2749" i="1"/>
  <c r="AF2749" i="1" s="1"/>
  <c r="M2751" i="1"/>
  <c r="AE2751" i="1" s="1"/>
  <c r="O2751" i="1"/>
  <c r="AF2751" i="1" s="1"/>
  <c r="M2752" i="1"/>
  <c r="AE2752" i="1" s="1"/>
  <c r="O2752" i="1"/>
  <c r="AF2752" i="1" s="1"/>
  <c r="M2753" i="1"/>
  <c r="AE2753" i="1" s="1"/>
  <c r="O2753" i="1"/>
  <c r="AF2753" i="1" s="1"/>
  <c r="M2754" i="1"/>
  <c r="AE2754" i="1" s="1"/>
  <c r="O2754" i="1"/>
  <c r="AF2754" i="1" s="1"/>
  <c r="M2755" i="1"/>
  <c r="AE2755" i="1" s="1"/>
  <c r="O2755" i="1"/>
  <c r="AF2755" i="1" s="1"/>
  <c r="M2756" i="1"/>
  <c r="AE2756" i="1" s="1"/>
  <c r="O2756" i="1"/>
  <c r="AF2756" i="1" s="1"/>
  <c r="M2757" i="1"/>
  <c r="AE2757" i="1" s="1"/>
  <c r="O2757" i="1"/>
  <c r="AF2757" i="1" s="1"/>
  <c r="M2758" i="1"/>
  <c r="AE2758" i="1" s="1"/>
  <c r="O2758" i="1"/>
  <c r="AF2758" i="1" s="1"/>
  <c r="M2759" i="1"/>
  <c r="AE2759" i="1" s="1"/>
  <c r="O2759" i="1"/>
  <c r="AF2759" i="1" s="1"/>
  <c r="M2760" i="1"/>
  <c r="AE2760" i="1" s="1"/>
  <c r="O2760" i="1"/>
  <c r="AF2760" i="1" s="1"/>
  <c r="M2761" i="1"/>
  <c r="AE2761" i="1" s="1"/>
  <c r="O2761" i="1"/>
  <c r="AF2761" i="1" s="1"/>
  <c r="M2762" i="1"/>
  <c r="AE2762" i="1" s="1"/>
  <c r="O2762" i="1"/>
  <c r="AF2762" i="1" s="1"/>
  <c r="M2763" i="1"/>
  <c r="AE2763" i="1" s="1"/>
  <c r="O2763" i="1"/>
  <c r="AF2763" i="1" s="1"/>
  <c r="M2764" i="1"/>
  <c r="AE2764" i="1" s="1"/>
  <c r="O2764" i="1"/>
  <c r="AF2764" i="1" s="1"/>
  <c r="M2765" i="1"/>
  <c r="AE2765" i="1" s="1"/>
  <c r="O2765" i="1"/>
  <c r="AF2765" i="1" s="1"/>
  <c r="M2766" i="1"/>
  <c r="AE2766" i="1" s="1"/>
  <c r="O2766" i="1"/>
  <c r="AF2766" i="1" s="1"/>
  <c r="M2767" i="1"/>
  <c r="AE2767" i="1" s="1"/>
  <c r="O2767" i="1"/>
  <c r="AF2767" i="1" s="1"/>
  <c r="M2768" i="1"/>
  <c r="AE2768" i="1" s="1"/>
  <c r="O2768" i="1"/>
  <c r="AF2768" i="1" s="1"/>
  <c r="M2769" i="1"/>
  <c r="AE2769" i="1" s="1"/>
  <c r="O2769" i="1"/>
  <c r="AF2769" i="1" s="1"/>
  <c r="M2770" i="1"/>
  <c r="AE2770" i="1" s="1"/>
  <c r="O2770" i="1"/>
  <c r="AF2770" i="1" s="1"/>
  <c r="M2772" i="1"/>
  <c r="AE2772" i="1" s="1"/>
  <c r="O2772" i="1"/>
  <c r="AF2772" i="1" s="1"/>
  <c r="M2773" i="1"/>
  <c r="AE2773" i="1" s="1"/>
  <c r="O2773" i="1"/>
  <c r="AF2773" i="1" s="1"/>
  <c r="M2774" i="1"/>
  <c r="AE2774" i="1" s="1"/>
  <c r="O2774" i="1"/>
  <c r="AF2774" i="1" s="1"/>
  <c r="M2775" i="1"/>
  <c r="AE2775" i="1" s="1"/>
  <c r="O2775" i="1"/>
  <c r="AF2775" i="1" s="1"/>
  <c r="M2776" i="1"/>
  <c r="AE2776" i="1" s="1"/>
  <c r="O2776" i="1"/>
  <c r="AF2776" i="1" s="1"/>
  <c r="M2777" i="1"/>
  <c r="AE2777" i="1" s="1"/>
  <c r="O2777" i="1"/>
  <c r="AF2777" i="1" s="1"/>
  <c r="M2778" i="1"/>
  <c r="AE2778" i="1" s="1"/>
  <c r="O2778" i="1"/>
  <c r="AF2778" i="1" s="1"/>
  <c r="M2779" i="1"/>
  <c r="AE2779" i="1" s="1"/>
  <c r="O2779" i="1"/>
  <c r="AF2779" i="1" s="1"/>
  <c r="M2780" i="1"/>
  <c r="AE2780" i="1" s="1"/>
  <c r="O2780" i="1"/>
  <c r="AF2780" i="1" s="1"/>
  <c r="M2781" i="1"/>
  <c r="AE2781" i="1" s="1"/>
  <c r="O2781" i="1"/>
  <c r="AF2781" i="1" s="1"/>
  <c r="M2782" i="1"/>
  <c r="AE2782" i="1" s="1"/>
  <c r="O2782" i="1"/>
  <c r="AF2782" i="1" s="1"/>
  <c r="M2783" i="1"/>
  <c r="AE2783" i="1" s="1"/>
  <c r="O2783" i="1"/>
  <c r="AF2783" i="1" s="1"/>
  <c r="M2784" i="1"/>
  <c r="AE2784" i="1" s="1"/>
  <c r="O2784" i="1"/>
  <c r="AF2784" i="1" s="1"/>
  <c r="M2785" i="1"/>
  <c r="AE2785" i="1" s="1"/>
  <c r="O2785" i="1"/>
  <c r="AF2785" i="1" s="1"/>
  <c r="M2786" i="1"/>
  <c r="AE2786" i="1" s="1"/>
  <c r="O2786" i="1"/>
  <c r="AF2786" i="1" s="1"/>
  <c r="M2787" i="1"/>
  <c r="AE2787" i="1" s="1"/>
  <c r="O2787" i="1"/>
  <c r="AF2787" i="1" s="1"/>
  <c r="M2788" i="1"/>
  <c r="AE2788" i="1" s="1"/>
  <c r="O2788" i="1"/>
  <c r="AF2788" i="1" s="1"/>
  <c r="M2789" i="1"/>
  <c r="AE2789" i="1" s="1"/>
  <c r="O2789" i="1"/>
  <c r="AF2789" i="1" s="1"/>
  <c r="M2790" i="1"/>
  <c r="AE2790" i="1" s="1"/>
  <c r="O2790" i="1"/>
  <c r="AF2790" i="1" s="1"/>
  <c r="M2791" i="1"/>
  <c r="AE2791" i="1" s="1"/>
  <c r="O2791" i="1"/>
  <c r="AF2791" i="1" s="1"/>
  <c r="M2792" i="1"/>
  <c r="AE2792" i="1" s="1"/>
  <c r="O2792" i="1"/>
  <c r="AF2792" i="1" s="1"/>
  <c r="M2793" i="1"/>
  <c r="AE2793" i="1" s="1"/>
  <c r="O2793" i="1"/>
  <c r="AF2793" i="1" s="1"/>
  <c r="M2794" i="1"/>
  <c r="AE2794" i="1" s="1"/>
  <c r="O2794" i="1"/>
  <c r="AF2794" i="1" s="1"/>
  <c r="M2795" i="1"/>
  <c r="AE2795" i="1" s="1"/>
  <c r="O2795" i="1"/>
  <c r="AF2795" i="1" s="1"/>
  <c r="M2796" i="1"/>
  <c r="AE2796" i="1" s="1"/>
  <c r="O2796" i="1"/>
  <c r="AF2796" i="1" s="1"/>
  <c r="M2797" i="1"/>
  <c r="AE2797" i="1" s="1"/>
  <c r="O2797" i="1"/>
  <c r="AF2797" i="1" s="1"/>
  <c r="M2798" i="1"/>
  <c r="AE2798" i="1" s="1"/>
  <c r="O2798" i="1"/>
  <c r="AF2798" i="1" s="1"/>
  <c r="M2799" i="1"/>
  <c r="AE2799" i="1" s="1"/>
  <c r="O2799" i="1"/>
  <c r="AF2799" i="1" s="1"/>
  <c r="M2800" i="1"/>
  <c r="AE2800" i="1" s="1"/>
  <c r="O2800" i="1"/>
  <c r="AF2800" i="1" s="1"/>
  <c r="M2801" i="1"/>
  <c r="AE2801" i="1" s="1"/>
  <c r="O2801" i="1"/>
  <c r="AF2801" i="1" s="1"/>
  <c r="M2802" i="1"/>
  <c r="AE2802" i="1" s="1"/>
  <c r="O2802" i="1"/>
  <c r="AF2802" i="1" s="1"/>
  <c r="M2803" i="1"/>
  <c r="AE2803" i="1" s="1"/>
  <c r="O2803" i="1"/>
  <c r="AF2803" i="1" s="1"/>
  <c r="M2804" i="1"/>
  <c r="AE2804" i="1" s="1"/>
  <c r="O2804" i="1"/>
  <c r="AF2804" i="1" s="1"/>
  <c r="M2805" i="1"/>
  <c r="AE2805" i="1" s="1"/>
  <c r="O2805" i="1"/>
  <c r="AF2805" i="1" s="1"/>
  <c r="M2806" i="1"/>
  <c r="AE2806" i="1" s="1"/>
  <c r="O2806" i="1"/>
  <c r="AF2806" i="1" s="1"/>
  <c r="M2807" i="1"/>
  <c r="AE2807" i="1" s="1"/>
  <c r="O2807" i="1"/>
  <c r="AF2807" i="1" s="1"/>
  <c r="M2808" i="1"/>
  <c r="AE2808" i="1" s="1"/>
  <c r="O2808" i="1"/>
  <c r="AF2808" i="1" s="1"/>
  <c r="M2809" i="1"/>
  <c r="AE2809" i="1" s="1"/>
  <c r="O2809" i="1"/>
  <c r="AF2809" i="1" s="1"/>
  <c r="M2810" i="1"/>
  <c r="AE2810" i="1" s="1"/>
  <c r="O2810" i="1"/>
  <c r="AF2810" i="1" s="1"/>
  <c r="M2811" i="1"/>
  <c r="AE2811" i="1" s="1"/>
  <c r="O2811" i="1"/>
  <c r="AF2811" i="1" s="1"/>
  <c r="M2812" i="1"/>
  <c r="AE2812" i="1" s="1"/>
  <c r="O2812" i="1"/>
  <c r="AF2812" i="1" s="1"/>
  <c r="M2813" i="1"/>
  <c r="AE2813" i="1" s="1"/>
  <c r="O2813" i="1"/>
  <c r="AF2813" i="1" s="1"/>
  <c r="M2814" i="1"/>
  <c r="AE2814" i="1" s="1"/>
  <c r="O2814" i="1"/>
  <c r="AF2814" i="1" s="1"/>
  <c r="M2815" i="1"/>
  <c r="AE2815" i="1" s="1"/>
  <c r="O2815" i="1"/>
  <c r="AF2815" i="1" s="1"/>
  <c r="M2816" i="1"/>
  <c r="AE2816" i="1" s="1"/>
  <c r="O2816" i="1"/>
  <c r="AF2816" i="1" s="1"/>
  <c r="M2817" i="1"/>
  <c r="AE2817" i="1" s="1"/>
  <c r="O2817" i="1"/>
  <c r="AF2817" i="1" s="1"/>
  <c r="M2818" i="1"/>
  <c r="AE2818" i="1" s="1"/>
  <c r="O2818" i="1"/>
  <c r="AF2818" i="1" s="1"/>
  <c r="M2819" i="1"/>
  <c r="AE2819" i="1" s="1"/>
  <c r="O2819" i="1"/>
  <c r="AF2819" i="1" s="1"/>
  <c r="M2820" i="1"/>
  <c r="AE2820" i="1" s="1"/>
  <c r="O2820" i="1"/>
  <c r="AF2820" i="1" s="1"/>
  <c r="M2821" i="1"/>
  <c r="AE2821" i="1" s="1"/>
  <c r="O2821" i="1"/>
  <c r="AF2821" i="1" s="1"/>
  <c r="M2822" i="1"/>
  <c r="AE2822" i="1" s="1"/>
  <c r="O2822" i="1"/>
  <c r="AF2822" i="1" s="1"/>
  <c r="M2823" i="1"/>
  <c r="AE2823" i="1" s="1"/>
  <c r="O2823" i="1"/>
  <c r="AF2823" i="1" s="1"/>
  <c r="M2824" i="1"/>
  <c r="AE2824" i="1" s="1"/>
  <c r="O2824" i="1"/>
  <c r="AF2824" i="1" s="1"/>
  <c r="M2825" i="1"/>
  <c r="AE2825" i="1" s="1"/>
  <c r="O2825" i="1"/>
  <c r="AF2825" i="1" s="1"/>
  <c r="M2826" i="1"/>
  <c r="AE2826" i="1" s="1"/>
  <c r="O2826" i="1"/>
  <c r="AF2826" i="1" s="1"/>
  <c r="M2827" i="1"/>
  <c r="AE2827" i="1" s="1"/>
  <c r="O2827" i="1"/>
  <c r="AF2827" i="1" s="1"/>
  <c r="M2828" i="1"/>
  <c r="AE2828" i="1" s="1"/>
  <c r="O2828" i="1"/>
  <c r="AF2828" i="1" s="1"/>
  <c r="M2829" i="1"/>
  <c r="AE2829" i="1" s="1"/>
  <c r="O2829" i="1"/>
  <c r="AF2829" i="1" s="1"/>
  <c r="M2830" i="1"/>
  <c r="AE2830" i="1" s="1"/>
  <c r="O2830" i="1"/>
  <c r="AF2830" i="1" s="1"/>
  <c r="M2831" i="1"/>
  <c r="AE2831" i="1" s="1"/>
  <c r="O2831" i="1"/>
  <c r="AF2831" i="1" s="1"/>
  <c r="M2832" i="1"/>
  <c r="AE2832" i="1" s="1"/>
  <c r="O2832" i="1"/>
  <c r="AF2832" i="1" s="1"/>
  <c r="M2833" i="1"/>
  <c r="AE2833" i="1" s="1"/>
  <c r="O2833" i="1"/>
  <c r="AF2833" i="1" s="1"/>
  <c r="M2834" i="1"/>
  <c r="AE2834" i="1" s="1"/>
  <c r="O2834" i="1"/>
  <c r="AF2834" i="1" s="1"/>
  <c r="M2835" i="1"/>
  <c r="AE2835" i="1" s="1"/>
  <c r="O2835" i="1"/>
  <c r="AF2835" i="1" s="1"/>
  <c r="M2836" i="1"/>
  <c r="AE2836" i="1" s="1"/>
  <c r="O2836" i="1"/>
  <c r="AF2836" i="1" s="1"/>
  <c r="M2837" i="1"/>
  <c r="AE2837" i="1" s="1"/>
  <c r="O2837" i="1"/>
  <c r="AF2837" i="1" s="1"/>
  <c r="M2838" i="1"/>
  <c r="AE2838" i="1" s="1"/>
  <c r="O2838" i="1"/>
  <c r="AF2838" i="1" s="1"/>
  <c r="M2840" i="1"/>
  <c r="AE2840" i="1" s="1"/>
  <c r="O2840" i="1"/>
  <c r="AF2840" i="1" s="1"/>
  <c r="M2841" i="1"/>
  <c r="AE2841" i="1" s="1"/>
  <c r="O2841" i="1"/>
  <c r="AF2841" i="1" s="1"/>
  <c r="M2842" i="1"/>
  <c r="AE2842" i="1" s="1"/>
  <c r="O2842" i="1"/>
  <c r="AF2842" i="1" s="1"/>
  <c r="M2843" i="1"/>
  <c r="AE2843" i="1" s="1"/>
  <c r="O2843" i="1"/>
  <c r="AF2843" i="1" s="1"/>
  <c r="M2844" i="1"/>
  <c r="AE2844" i="1" s="1"/>
  <c r="O2844" i="1"/>
  <c r="AF2844" i="1" s="1"/>
  <c r="M2845" i="1"/>
  <c r="AE2845" i="1" s="1"/>
  <c r="O2845" i="1"/>
  <c r="AF2845" i="1" s="1"/>
  <c r="M2846" i="1"/>
  <c r="AE2846" i="1" s="1"/>
  <c r="O2846" i="1"/>
  <c r="AF2846" i="1" s="1"/>
  <c r="M2847" i="1"/>
  <c r="AE2847" i="1" s="1"/>
  <c r="O2847" i="1"/>
  <c r="AF2847" i="1" s="1"/>
  <c r="M2848" i="1"/>
  <c r="AE2848" i="1" s="1"/>
  <c r="O2848" i="1"/>
  <c r="AF2848" i="1" s="1"/>
  <c r="M2849" i="1"/>
  <c r="AE2849" i="1" s="1"/>
  <c r="O2849" i="1"/>
  <c r="AF2849" i="1" s="1"/>
  <c r="M2850" i="1"/>
  <c r="AE2850" i="1" s="1"/>
  <c r="O2850" i="1"/>
  <c r="AF2850" i="1" s="1"/>
  <c r="M2851" i="1"/>
  <c r="AE2851" i="1" s="1"/>
  <c r="O2851" i="1"/>
  <c r="AF2851" i="1" s="1"/>
  <c r="M2852" i="1"/>
  <c r="AE2852" i="1" s="1"/>
  <c r="O2852" i="1"/>
  <c r="AF2852" i="1" s="1"/>
  <c r="M2853" i="1"/>
  <c r="AE2853" i="1" s="1"/>
  <c r="O2853" i="1"/>
  <c r="AF2853" i="1" s="1"/>
  <c r="M2854" i="1"/>
  <c r="AE2854" i="1" s="1"/>
  <c r="O2854" i="1"/>
  <c r="AF2854" i="1" s="1"/>
  <c r="M2855" i="1"/>
  <c r="AE2855" i="1" s="1"/>
  <c r="O2855" i="1"/>
  <c r="AF2855" i="1" s="1"/>
  <c r="M2856" i="1"/>
  <c r="AE2856" i="1" s="1"/>
  <c r="O2856" i="1"/>
  <c r="AF2856" i="1" s="1"/>
  <c r="M2857" i="1"/>
  <c r="AE2857" i="1" s="1"/>
  <c r="O2857" i="1"/>
  <c r="AF2857" i="1" s="1"/>
  <c r="M2858" i="1"/>
  <c r="AE2858" i="1" s="1"/>
  <c r="O2858" i="1"/>
  <c r="AF2858" i="1" s="1"/>
  <c r="M2859" i="1"/>
  <c r="AE2859" i="1" s="1"/>
  <c r="O2859" i="1"/>
  <c r="AF2859" i="1" s="1"/>
  <c r="M2860" i="1"/>
  <c r="AE2860" i="1" s="1"/>
  <c r="O2860" i="1"/>
  <c r="AF2860" i="1" s="1"/>
  <c r="M2861" i="1"/>
  <c r="AE2861" i="1" s="1"/>
  <c r="O2861" i="1"/>
  <c r="AF2861" i="1" s="1"/>
  <c r="M2862" i="1"/>
  <c r="AE2862" i="1" s="1"/>
  <c r="O2862" i="1"/>
  <c r="AF2862" i="1" s="1"/>
  <c r="M2863" i="1"/>
  <c r="AE2863" i="1" s="1"/>
  <c r="O2863" i="1"/>
  <c r="AF2863" i="1" s="1"/>
  <c r="M2864" i="1"/>
  <c r="AE2864" i="1" s="1"/>
  <c r="O2864" i="1"/>
  <c r="AF2864" i="1" s="1"/>
  <c r="M2865" i="1"/>
  <c r="AE2865" i="1" s="1"/>
  <c r="O2865" i="1"/>
  <c r="AF2865" i="1" s="1"/>
  <c r="M2866" i="1"/>
  <c r="AE2866" i="1" s="1"/>
  <c r="O2866" i="1"/>
  <c r="AF2866" i="1" s="1"/>
  <c r="M2867" i="1"/>
  <c r="AE2867" i="1" s="1"/>
  <c r="O2867" i="1"/>
  <c r="AF2867" i="1" s="1"/>
  <c r="M2868" i="1"/>
  <c r="AE2868" i="1" s="1"/>
  <c r="O2868" i="1"/>
  <c r="AF2868" i="1" s="1"/>
  <c r="M2869" i="1"/>
  <c r="AE2869" i="1" s="1"/>
  <c r="O2869" i="1"/>
  <c r="AF2869" i="1" s="1"/>
  <c r="M2870" i="1"/>
  <c r="AE2870" i="1" s="1"/>
  <c r="O2870" i="1"/>
  <c r="AF2870" i="1" s="1"/>
  <c r="M2871" i="1"/>
  <c r="AE2871" i="1" s="1"/>
  <c r="O2871" i="1"/>
  <c r="AF2871" i="1" s="1"/>
  <c r="M2872" i="1"/>
  <c r="AE2872" i="1" s="1"/>
  <c r="O2872" i="1"/>
  <c r="AF2872" i="1" s="1"/>
  <c r="M2873" i="1"/>
  <c r="AE2873" i="1" s="1"/>
  <c r="O2873" i="1"/>
  <c r="AF2873" i="1" s="1"/>
  <c r="M2874" i="1"/>
  <c r="AE2874" i="1" s="1"/>
  <c r="O2874" i="1"/>
  <c r="AF2874" i="1" s="1"/>
  <c r="M2875" i="1"/>
  <c r="AE2875" i="1" s="1"/>
  <c r="O2875" i="1"/>
  <c r="AF2875" i="1" s="1"/>
  <c r="M2876" i="1"/>
  <c r="AE2876" i="1" s="1"/>
  <c r="O2876" i="1"/>
  <c r="AF2876" i="1" s="1"/>
  <c r="M2877" i="1"/>
  <c r="AE2877" i="1" s="1"/>
  <c r="O2877" i="1"/>
  <c r="AF2877" i="1" s="1"/>
  <c r="M2878" i="1"/>
  <c r="AE2878" i="1" s="1"/>
  <c r="O2878" i="1"/>
  <c r="AF2878" i="1" s="1"/>
  <c r="M2879" i="1"/>
  <c r="AE2879" i="1" s="1"/>
  <c r="O2879" i="1"/>
  <c r="AF2879" i="1" s="1"/>
  <c r="M2880" i="1"/>
  <c r="AE2880" i="1" s="1"/>
  <c r="O2880" i="1"/>
  <c r="AF2880" i="1" s="1"/>
  <c r="M2881" i="1"/>
  <c r="AE2881" i="1" s="1"/>
  <c r="O2881" i="1"/>
  <c r="AF2881" i="1" s="1"/>
  <c r="M2882" i="1"/>
  <c r="AE2882" i="1" s="1"/>
  <c r="O2882" i="1"/>
  <c r="AF2882" i="1" s="1"/>
  <c r="M2883" i="1"/>
  <c r="AE2883" i="1" s="1"/>
  <c r="O2883" i="1"/>
  <c r="AF2883" i="1" s="1"/>
  <c r="M2884" i="1"/>
  <c r="AE2884" i="1" s="1"/>
  <c r="O2884" i="1"/>
  <c r="AF2884" i="1" s="1"/>
  <c r="M2885" i="1"/>
  <c r="AE2885" i="1" s="1"/>
  <c r="O2885" i="1"/>
  <c r="AF2885" i="1" s="1"/>
  <c r="M2886" i="1"/>
  <c r="AE2886" i="1" s="1"/>
  <c r="O2886" i="1"/>
  <c r="AF2886" i="1" s="1"/>
  <c r="M2887" i="1"/>
  <c r="AE2887" i="1" s="1"/>
  <c r="O2887" i="1"/>
  <c r="AF2887" i="1" s="1"/>
  <c r="M2888" i="1"/>
  <c r="AE2888" i="1" s="1"/>
  <c r="O2888" i="1"/>
  <c r="AF2888" i="1" s="1"/>
  <c r="M2889" i="1"/>
  <c r="AE2889" i="1" s="1"/>
  <c r="O2889" i="1"/>
  <c r="AF2889" i="1" s="1"/>
  <c r="M2890" i="1"/>
  <c r="AE2890" i="1" s="1"/>
  <c r="O2890" i="1"/>
  <c r="AF2890" i="1" s="1"/>
  <c r="M2891" i="1"/>
  <c r="AE2891" i="1" s="1"/>
  <c r="O2891" i="1"/>
  <c r="AF2891" i="1" s="1"/>
  <c r="M2893" i="1"/>
  <c r="AE2893" i="1" s="1"/>
  <c r="O2893" i="1"/>
  <c r="AF2893" i="1" s="1"/>
  <c r="M2894" i="1"/>
  <c r="AE2894" i="1" s="1"/>
  <c r="O2894" i="1"/>
  <c r="AF2894" i="1" s="1"/>
  <c r="M2895" i="1"/>
  <c r="AE2895" i="1" s="1"/>
  <c r="O2895" i="1"/>
  <c r="AF2895" i="1" s="1"/>
  <c r="M2896" i="1"/>
  <c r="AE2896" i="1" s="1"/>
  <c r="O2896" i="1"/>
  <c r="AF2896" i="1" s="1"/>
  <c r="M2897" i="1"/>
  <c r="AE2897" i="1" s="1"/>
  <c r="O2897" i="1"/>
  <c r="AF2897" i="1" s="1"/>
  <c r="M2899" i="1"/>
  <c r="AE2899" i="1" s="1"/>
  <c r="O2899" i="1"/>
  <c r="AF2899" i="1" s="1"/>
  <c r="M2901" i="1"/>
  <c r="AE2901" i="1" s="1"/>
  <c r="O2901" i="1"/>
  <c r="AF2901" i="1" s="1"/>
  <c r="M2903" i="1"/>
  <c r="AE2903" i="1" s="1"/>
  <c r="O2903" i="1"/>
  <c r="AF2903" i="1" s="1"/>
  <c r="M2904" i="1"/>
  <c r="AE2904" i="1" s="1"/>
  <c r="O2904" i="1"/>
  <c r="AF2904" i="1" s="1"/>
  <c r="M2905" i="1"/>
  <c r="AE2905" i="1" s="1"/>
  <c r="O2905" i="1"/>
  <c r="AF2905" i="1" s="1"/>
  <c r="M2906" i="1"/>
  <c r="AE2906" i="1" s="1"/>
  <c r="O2906" i="1"/>
  <c r="AF2906" i="1" s="1"/>
  <c r="M2907" i="1"/>
  <c r="AE2907" i="1" s="1"/>
  <c r="O2907" i="1"/>
  <c r="AF2907" i="1" s="1"/>
  <c r="M2908" i="1"/>
  <c r="AE2908" i="1" s="1"/>
  <c r="O2908" i="1"/>
  <c r="AF2908" i="1" s="1"/>
  <c r="M2909" i="1"/>
  <c r="AE2909" i="1" s="1"/>
  <c r="O2909" i="1"/>
  <c r="AF2909" i="1" s="1"/>
  <c r="M2911" i="1"/>
  <c r="AE2911" i="1" s="1"/>
  <c r="O2911" i="1"/>
  <c r="AF2911" i="1" s="1"/>
  <c r="M2912" i="1"/>
  <c r="AE2912" i="1" s="1"/>
  <c r="O2912" i="1"/>
  <c r="AF2912" i="1" s="1"/>
  <c r="M2914" i="1"/>
  <c r="AE2914" i="1" s="1"/>
  <c r="O2914" i="1"/>
  <c r="AF2914" i="1" s="1"/>
  <c r="M2915" i="1"/>
  <c r="AE2915" i="1" s="1"/>
  <c r="O2915" i="1"/>
  <c r="AF2915" i="1" s="1"/>
  <c r="M2918" i="1"/>
  <c r="AE2918" i="1" s="1"/>
  <c r="O2918" i="1"/>
  <c r="AF2918" i="1" s="1"/>
  <c r="M2920" i="1"/>
  <c r="AE2920" i="1" s="1"/>
  <c r="O2920" i="1"/>
  <c r="AF2920" i="1" s="1"/>
  <c r="M2921" i="1"/>
  <c r="AE2921" i="1" s="1"/>
  <c r="O2921" i="1"/>
  <c r="AF2921" i="1" s="1"/>
  <c r="M2922" i="1"/>
  <c r="AE2922" i="1" s="1"/>
  <c r="O2922" i="1"/>
  <c r="AF2922" i="1" s="1"/>
  <c r="M2923" i="1"/>
  <c r="AE2923" i="1" s="1"/>
  <c r="O2923" i="1"/>
  <c r="AF2923" i="1" s="1"/>
  <c r="M2924" i="1"/>
  <c r="AE2924" i="1" s="1"/>
  <c r="O2924" i="1"/>
  <c r="AF2924" i="1" s="1"/>
  <c r="M2925" i="1"/>
  <c r="AE2925" i="1" s="1"/>
  <c r="O2925" i="1"/>
  <c r="AF2925" i="1" s="1"/>
  <c r="M2926" i="1"/>
  <c r="AE2926" i="1" s="1"/>
  <c r="O2926" i="1"/>
  <c r="AF2926" i="1" s="1"/>
  <c r="M2927" i="1"/>
  <c r="AE2927" i="1" s="1"/>
  <c r="O2927" i="1"/>
  <c r="AF2927" i="1" s="1"/>
  <c r="M2928" i="1"/>
  <c r="AE2928" i="1" s="1"/>
  <c r="O2928" i="1"/>
  <c r="AF2928" i="1" s="1"/>
  <c r="M2929" i="1"/>
  <c r="AE2929" i="1" s="1"/>
  <c r="O2929" i="1"/>
  <c r="AF2929" i="1" s="1"/>
  <c r="M2930" i="1"/>
  <c r="AE2930" i="1" s="1"/>
  <c r="O2930" i="1"/>
  <c r="AF2930" i="1" s="1"/>
  <c r="M2931" i="1"/>
  <c r="AE2931" i="1" s="1"/>
  <c r="O2931" i="1"/>
  <c r="AF2931" i="1" s="1"/>
  <c r="M2932" i="1"/>
  <c r="AE2932" i="1" s="1"/>
  <c r="O2932" i="1"/>
  <c r="AF2932" i="1" s="1"/>
  <c r="M2933" i="1"/>
  <c r="AE2933" i="1" s="1"/>
  <c r="O2933" i="1"/>
  <c r="AF2933" i="1" s="1"/>
  <c r="M2934" i="1"/>
  <c r="AE2934" i="1" s="1"/>
  <c r="O2934" i="1"/>
  <c r="AF2934" i="1" s="1"/>
  <c r="M2935" i="1"/>
  <c r="AE2935" i="1" s="1"/>
  <c r="O2935" i="1"/>
  <c r="AF2935" i="1" s="1"/>
  <c r="M2936" i="1"/>
  <c r="AE2936" i="1" s="1"/>
  <c r="O2936" i="1"/>
  <c r="AF2936" i="1" s="1"/>
  <c r="M2939" i="1"/>
  <c r="AE2939" i="1" s="1"/>
  <c r="O2939" i="1"/>
  <c r="AF2939" i="1" s="1"/>
  <c r="M2940" i="1"/>
  <c r="AE2940" i="1" s="1"/>
  <c r="O2940" i="1"/>
  <c r="AF2940" i="1" s="1"/>
  <c r="M2941" i="1"/>
  <c r="AE2941" i="1" s="1"/>
  <c r="O2941" i="1"/>
  <c r="AF2941" i="1" s="1"/>
  <c r="M2942" i="1"/>
  <c r="AE2942" i="1" s="1"/>
  <c r="O2942" i="1"/>
  <c r="AF2942" i="1" s="1"/>
  <c r="M2943" i="1"/>
  <c r="AE2943" i="1" s="1"/>
  <c r="O2943" i="1"/>
  <c r="AF2943" i="1" s="1"/>
  <c r="M2944" i="1"/>
  <c r="AE2944" i="1" s="1"/>
  <c r="O2944" i="1"/>
  <c r="AF2944" i="1" s="1"/>
  <c r="M2945" i="1"/>
  <c r="AE2945" i="1" s="1"/>
  <c r="O2945" i="1"/>
  <c r="AF2945" i="1" s="1"/>
  <c r="M2946" i="1"/>
  <c r="AE2946" i="1" s="1"/>
  <c r="O2946" i="1"/>
  <c r="AF2946" i="1" s="1"/>
  <c r="M2948" i="1"/>
  <c r="AE2948" i="1" s="1"/>
  <c r="O2948" i="1"/>
  <c r="AF2948" i="1" s="1"/>
  <c r="M2949" i="1"/>
  <c r="AE2949" i="1" s="1"/>
  <c r="O2949" i="1"/>
  <c r="AF2949" i="1" s="1"/>
  <c r="M2950" i="1"/>
  <c r="AE2950" i="1" s="1"/>
  <c r="O2950" i="1"/>
  <c r="AF2950" i="1" s="1"/>
  <c r="M2951" i="1"/>
  <c r="AE2951" i="1" s="1"/>
  <c r="O2951" i="1"/>
  <c r="AF2951" i="1" s="1"/>
  <c r="M2952" i="1"/>
  <c r="AE2952" i="1" s="1"/>
  <c r="O2952" i="1"/>
  <c r="AF2952" i="1" s="1"/>
  <c r="M2954" i="1"/>
  <c r="AE2954" i="1" s="1"/>
  <c r="O2954" i="1"/>
  <c r="AF2954" i="1" s="1"/>
  <c r="M2955" i="1"/>
  <c r="AE2955" i="1" s="1"/>
  <c r="O2955" i="1"/>
  <c r="AF2955" i="1" s="1"/>
  <c r="M2957" i="1"/>
  <c r="AE2957" i="1" s="1"/>
  <c r="O2957" i="1"/>
  <c r="AF2957" i="1" s="1"/>
  <c r="M2958" i="1"/>
  <c r="AE2958" i="1" s="1"/>
  <c r="O2958" i="1"/>
  <c r="AF2958" i="1" s="1"/>
  <c r="M2960" i="1"/>
  <c r="AE2960" i="1" s="1"/>
  <c r="O2960" i="1"/>
  <c r="AF2960" i="1" s="1"/>
  <c r="M2961" i="1"/>
  <c r="AE2961" i="1" s="1"/>
  <c r="O2961" i="1"/>
  <c r="AF2961" i="1" s="1"/>
  <c r="M2962" i="1"/>
  <c r="AE2962" i="1" s="1"/>
  <c r="O2962" i="1"/>
  <c r="AF2962" i="1" s="1"/>
  <c r="M2963" i="1"/>
  <c r="AE2963" i="1" s="1"/>
  <c r="O2963" i="1"/>
  <c r="AF2963" i="1" s="1"/>
  <c r="M2966" i="1"/>
  <c r="AE2966" i="1" s="1"/>
  <c r="O2966" i="1"/>
  <c r="AF2966" i="1" s="1"/>
  <c r="M2967" i="1"/>
  <c r="AE2967" i="1" s="1"/>
  <c r="O2967" i="1"/>
  <c r="AF2967" i="1" s="1"/>
  <c r="M2968" i="1"/>
  <c r="AE2968" i="1" s="1"/>
  <c r="O2968" i="1"/>
  <c r="AF2968" i="1" s="1"/>
  <c r="M2969" i="1"/>
  <c r="AE2969" i="1" s="1"/>
  <c r="O2969" i="1"/>
  <c r="AF2969" i="1" s="1"/>
  <c r="M2970" i="1"/>
  <c r="AE2970" i="1" s="1"/>
  <c r="O2970" i="1"/>
  <c r="AF2970" i="1" s="1"/>
  <c r="M2971" i="1"/>
  <c r="AE2971" i="1" s="1"/>
  <c r="O2971" i="1"/>
  <c r="AF2971" i="1" s="1"/>
  <c r="M2972" i="1"/>
  <c r="AE2972" i="1" s="1"/>
  <c r="O2972" i="1"/>
  <c r="AF2972" i="1" s="1"/>
  <c r="M2973" i="1"/>
  <c r="AE2973" i="1" s="1"/>
  <c r="O2973" i="1"/>
  <c r="AF2973" i="1" s="1"/>
  <c r="M2974" i="1"/>
  <c r="AE2974" i="1" s="1"/>
  <c r="O2974" i="1"/>
  <c r="AF2974" i="1" s="1"/>
  <c r="M2975" i="1"/>
  <c r="AE2975" i="1" s="1"/>
  <c r="O2975" i="1"/>
  <c r="AF2975" i="1" s="1"/>
  <c r="M2976" i="1"/>
  <c r="AE2976" i="1" s="1"/>
  <c r="O2976" i="1"/>
  <c r="AF2976" i="1" s="1"/>
  <c r="M2977" i="1"/>
  <c r="AE2977" i="1" s="1"/>
  <c r="O2977" i="1"/>
  <c r="AF2977" i="1" s="1"/>
  <c r="M2978" i="1"/>
  <c r="AE2978" i="1" s="1"/>
  <c r="O2978" i="1"/>
  <c r="AF2978" i="1" s="1"/>
  <c r="M2979" i="1"/>
  <c r="AE2979" i="1" s="1"/>
  <c r="O2979" i="1"/>
  <c r="AF2979" i="1" s="1"/>
  <c r="M2980" i="1"/>
  <c r="AE2980" i="1" s="1"/>
  <c r="O2980" i="1"/>
  <c r="AF2980" i="1" s="1"/>
  <c r="M2981" i="1"/>
  <c r="AE2981" i="1" s="1"/>
  <c r="O2981" i="1"/>
  <c r="AF2981" i="1" s="1"/>
  <c r="M2982" i="1"/>
  <c r="AE2982" i="1" s="1"/>
  <c r="O2982" i="1"/>
  <c r="AF2982" i="1" s="1"/>
  <c r="M2984" i="1"/>
  <c r="AE2984" i="1" s="1"/>
  <c r="O2984" i="1"/>
  <c r="AF2984" i="1" s="1"/>
  <c r="M2985" i="1"/>
  <c r="AE2985" i="1" s="1"/>
  <c r="O2985" i="1"/>
  <c r="AF2985" i="1" s="1"/>
  <c r="M2986" i="1"/>
  <c r="AE2986" i="1" s="1"/>
  <c r="O2986" i="1"/>
  <c r="AF2986" i="1" s="1"/>
  <c r="M2987" i="1"/>
  <c r="AE2987" i="1" s="1"/>
  <c r="O2987" i="1"/>
  <c r="AF2987" i="1" s="1"/>
  <c r="M2988" i="1"/>
  <c r="AE2988" i="1" s="1"/>
  <c r="O2988" i="1"/>
  <c r="AF2988" i="1" s="1"/>
  <c r="M2989" i="1"/>
  <c r="AE2989" i="1" s="1"/>
  <c r="O2989" i="1"/>
  <c r="AF2989" i="1" s="1"/>
  <c r="M2990" i="1"/>
  <c r="AE2990" i="1" s="1"/>
  <c r="O2990" i="1"/>
  <c r="AF2990" i="1" s="1"/>
  <c r="M2991" i="1"/>
  <c r="AE2991" i="1" s="1"/>
  <c r="O2991" i="1"/>
  <c r="AF2991" i="1" s="1"/>
  <c r="M2992" i="1"/>
  <c r="AE2992" i="1" s="1"/>
  <c r="O2992" i="1"/>
  <c r="AF2992" i="1" s="1"/>
  <c r="M2993" i="1"/>
  <c r="AE2993" i="1" s="1"/>
  <c r="O2993" i="1"/>
  <c r="AF2993" i="1" s="1"/>
  <c r="M2995" i="1"/>
  <c r="AE2995" i="1" s="1"/>
  <c r="O2995" i="1"/>
  <c r="AF2995" i="1" s="1"/>
  <c r="M2996" i="1"/>
  <c r="AE2996" i="1" s="1"/>
  <c r="O2996" i="1"/>
  <c r="AF2996" i="1" s="1"/>
  <c r="M2997" i="1"/>
  <c r="AE2997" i="1" s="1"/>
  <c r="O2997" i="1"/>
  <c r="AF2997" i="1" s="1"/>
  <c r="M2998" i="1"/>
  <c r="AE2998" i="1" s="1"/>
  <c r="O2998" i="1"/>
  <c r="AF2998" i="1" s="1"/>
  <c r="M2999" i="1"/>
  <c r="AE2999" i="1" s="1"/>
  <c r="O2999" i="1"/>
  <c r="AF2999" i="1" s="1"/>
  <c r="M3000" i="1"/>
  <c r="AE3000" i="1" s="1"/>
  <c r="O3000" i="1"/>
  <c r="AF3000" i="1" s="1"/>
  <c r="M3001" i="1"/>
  <c r="AE3001" i="1" s="1"/>
  <c r="O3001" i="1"/>
  <c r="AF3001" i="1" s="1"/>
  <c r="M3002" i="1"/>
  <c r="AE3002" i="1" s="1"/>
  <c r="O3002" i="1"/>
  <c r="AF3002" i="1" s="1"/>
  <c r="M3003" i="1"/>
  <c r="AE3003" i="1" s="1"/>
  <c r="O3003" i="1"/>
  <c r="AF3003" i="1" s="1"/>
  <c r="M3004" i="1"/>
  <c r="AE3004" i="1" s="1"/>
  <c r="O3004" i="1"/>
  <c r="AF3004" i="1" s="1"/>
  <c r="M3006" i="1"/>
  <c r="AE3006" i="1" s="1"/>
  <c r="O3006" i="1"/>
  <c r="AF3006" i="1" s="1"/>
  <c r="M3007" i="1"/>
  <c r="AE3007" i="1" s="1"/>
  <c r="O3007" i="1"/>
  <c r="AF3007" i="1" s="1"/>
  <c r="M3008" i="1"/>
  <c r="AE3008" i="1" s="1"/>
  <c r="O3008" i="1"/>
  <c r="AF3008" i="1" s="1"/>
  <c r="M3009" i="1"/>
  <c r="AE3009" i="1" s="1"/>
  <c r="O3009" i="1"/>
  <c r="AF3009" i="1" s="1"/>
  <c r="M3010" i="1"/>
  <c r="AE3010" i="1" s="1"/>
  <c r="O3010" i="1"/>
  <c r="AF3010" i="1" s="1"/>
  <c r="M3011" i="1"/>
  <c r="AE3011" i="1" s="1"/>
  <c r="O3011" i="1"/>
  <c r="AF3011" i="1" s="1"/>
  <c r="M3012" i="1"/>
  <c r="AE3012" i="1" s="1"/>
  <c r="O3012" i="1"/>
  <c r="AF3012" i="1" s="1"/>
  <c r="M3013" i="1"/>
  <c r="AE3013" i="1" s="1"/>
  <c r="O3013" i="1"/>
  <c r="AF3013" i="1" s="1"/>
  <c r="M3014" i="1"/>
  <c r="AE3014" i="1" s="1"/>
  <c r="O3014" i="1"/>
  <c r="AF3014" i="1" s="1"/>
  <c r="M3015" i="1"/>
  <c r="AE3015" i="1" s="1"/>
  <c r="O3015" i="1"/>
  <c r="AF3015" i="1" s="1"/>
  <c r="M3016" i="1"/>
  <c r="AE3016" i="1" s="1"/>
  <c r="O3016" i="1"/>
  <c r="AF3016" i="1" s="1"/>
  <c r="M3017" i="1"/>
  <c r="AE3017" i="1" s="1"/>
  <c r="O3017" i="1"/>
  <c r="AF3017" i="1" s="1"/>
  <c r="M3018" i="1"/>
  <c r="AE3018" i="1" s="1"/>
  <c r="O3018" i="1"/>
  <c r="AF3018" i="1" s="1"/>
  <c r="M3019" i="1"/>
  <c r="AE3019" i="1" s="1"/>
  <c r="O3019" i="1"/>
  <c r="AF3019" i="1" s="1"/>
  <c r="M3020" i="1"/>
  <c r="AE3020" i="1" s="1"/>
  <c r="O3020" i="1"/>
  <c r="AF3020" i="1" s="1"/>
  <c r="M3021" i="1"/>
  <c r="AE3021" i="1" s="1"/>
  <c r="O3021" i="1"/>
  <c r="AF3021" i="1" s="1"/>
  <c r="M3022" i="1"/>
  <c r="AE3022" i="1" s="1"/>
  <c r="O3022" i="1"/>
  <c r="AF3022" i="1" s="1"/>
  <c r="M3023" i="1"/>
  <c r="AE3023" i="1" s="1"/>
  <c r="O3023" i="1"/>
  <c r="AF3023" i="1" s="1"/>
  <c r="M3024" i="1"/>
  <c r="AE3024" i="1" s="1"/>
  <c r="O3024" i="1"/>
  <c r="AF3024" i="1" s="1"/>
  <c r="M3025" i="1"/>
  <c r="AE3025" i="1" s="1"/>
  <c r="O3025" i="1"/>
  <c r="AF3025" i="1" s="1"/>
  <c r="M3026" i="1"/>
  <c r="AE3026" i="1" s="1"/>
  <c r="O3026" i="1"/>
  <c r="AF3026" i="1" s="1"/>
  <c r="M3027" i="1"/>
  <c r="AE3027" i="1" s="1"/>
  <c r="O3027" i="1"/>
  <c r="AF3027" i="1" s="1"/>
  <c r="M3028" i="1"/>
  <c r="AE3028" i="1" s="1"/>
  <c r="O3028" i="1"/>
  <c r="AF3028" i="1" s="1"/>
  <c r="M3029" i="1"/>
  <c r="AE3029" i="1" s="1"/>
  <c r="O3029" i="1"/>
  <c r="AF3029" i="1" s="1"/>
  <c r="M3030" i="1"/>
  <c r="AE3030" i="1" s="1"/>
  <c r="O3030" i="1"/>
  <c r="AF3030" i="1" s="1"/>
  <c r="M3031" i="1"/>
  <c r="AE3031" i="1" s="1"/>
  <c r="O3031" i="1"/>
  <c r="AF3031" i="1" s="1"/>
  <c r="M3032" i="1"/>
  <c r="AE3032" i="1" s="1"/>
  <c r="O3032" i="1"/>
  <c r="AF3032" i="1" s="1"/>
  <c r="M3033" i="1"/>
  <c r="AE3033" i="1" s="1"/>
  <c r="O3033" i="1"/>
  <c r="AF3033" i="1" s="1"/>
  <c r="M3034" i="1"/>
  <c r="AE3034" i="1" s="1"/>
  <c r="O3034" i="1"/>
  <c r="AF3034" i="1" s="1"/>
  <c r="M3035" i="1"/>
  <c r="AE3035" i="1" s="1"/>
  <c r="O3035" i="1"/>
  <c r="AF3035" i="1" s="1"/>
  <c r="M3036" i="1"/>
  <c r="AE3036" i="1" s="1"/>
  <c r="O3036" i="1"/>
  <c r="AF3036" i="1" s="1"/>
  <c r="M3037" i="1"/>
  <c r="AE3037" i="1" s="1"/>
  <c r="O3037" i="1"/>
  <c r="AF3037" i="1" s="1"/>
  <c r="M3038" i="1"/>
  <c r="AE3038" i="1" s="1"/>
  <c r="O3038" i="1"/>
  <c r="AF3038" i="1" s="1"/>
  <c r="M3039" i="1"/>
  <c r="AE3039" i="1" s="1"/>
  <c r="O3039" i="1"/>
  <c r="AF3039" i="1" s="1"/>
  <c r="M3040" i="1"/>
  <c r="AE3040" i="1" s="1"/>
  <c r="O3040" i="1"/>
  <c r="AF3040" i="1" s="1"/>
  <c r="M3041" i="1"/>
  <c r="AE3041" i="1" s="1"/>
  <c r="O3041" i="1"/>
  <c r="AF3041" i="1" s="1"/>
  <c r="M3042" i="1"/>
  <c r="AE3042" i="1" s="1"/>
  <c r="O3042" i="1"/>
  <c r="AF3042" i="1" s="1"/>
  <c r="M3043" i="1"/>
  <c r="AE3043" i="1" s="1"/>
  <c r="O3043" i="1"/>
  <c r="AF3043" i="1" s="1"/>
  <c r="M3044" i="1"/>
  <c r="AE3044" i="1" s="1"/>
  <c r="O3044" i="1"/>
  <c r="AF3044" i="1" s="1"/>
  <c r="M3045" i="1"/>
  <c r="AE3045" i="1" s="1"/>
  <c r="O3045" i="1"/>
  <c r="AF3045" i="1" s="1"/>
  <c r="M3046" i="1"/>
  <c r="AE3046" i="1" s="1"/>
  <c r="O3046" i="1"/>
  <c r="AF3046" i="1" s="1"/>
  <c r="M3047" i="1"/>
  <c r="AE3047" i="1" s="1"/>
  <c r="O3047" i="1"/>
  <c r="AF3047" i="1" s="1"/>
  <c r="M3048" i="1"/>
  <c r="AE3048" i="1" s="1"/>
  <c r="O3048" i="1"/>
  <c r="AF3048" i="1" s="1"/>
  <c r="M3049" i="1"/>
  <c r="AE3049" i="1" s="1"/>
  <c r="O3049" i="1"/>
  <c r="AF3049" i="1" s="1"/>
  <c r="M3050" i="1"/>
  <c r="AE3050" i="1" s="1"/>
  <c r="O3050" i="1"/>
  <c r="AF3050" i="1" s="1"/>
  <c r="M3051" i="1"/>
  <c r="AE3051" i="1" s="1"/>
  <c r="O3051" i="1"/>
  <c r="AF3051" i="1" s="1"/>
  <c r="M3052" i="1"/>
  <c r="AE3052" i="1" s="1"/>
  <c r="O3052" i="1"/>
  <c r="AF3052" i="1" s="1"/>
  <c r="M3053" i="1"/>
  <c r="AE3053" i="1" s="1"/>
  <c r="O3053" i="1"/>
  <c r="AF3053" i="1" s="1"/>
  <c r="M3054" i="1"/>
  <c r="AE3054" i="1" s="1"/>
  <c r="O3054" i="1"/>
  <c r="AF3054" i="1" s="1"/>
  <c r="M3055" i="1"/>
  <c r="AE3055" i="1" s="1"/>
  <c r="O3055" i="1"/>
  <c r="AF3055" i="1" s="1"/>
  <c r="M3056" i="1"/>
  <c r="AE3056" i="1" s="1"/>
  <c r="O3056" i="1"/>
  <c r="AF3056" i="1" s="1"/>
  <c r="M3057" i="1"/>
  <c r="AE3057" i="1" s="1"/>
  <c r="O3057" i="1"/>
  <c r="AF3057" i="1" s="1"/>
  <c r="M3058" i="1"/>
  <c r="AE3058" i="1" s="1"/>
  <c r="O3058" i="1"/>
  <c r="AF3058" i="1" s="1"/>
  <c r="M3059" i="1"/>
  <c r="AE3059" i="1" s="1"/>
  <c r="O3059" i="1"/>
  <c r="AF3059" i="1" s="1"/>
  <c r="M3060" i="1"/>
  <c r="AE3060" i="1" s="1"/>
  <c r="O3060" i="1"/>
  <c r="AF3060" i="1" s="1"/>
  <c r="M3061" i="1"/>
  <c r="AE3061" i="1" s="1"/>
  <c r="O3061" i="1"/>
  <c r="AF3061" i="1" s="1"/>
  <c r="M3062" i="1"/>
  <c r="AE3062" i="1" s="1"/>
  <c r="O3062" i="1"/>
  <c r="AF3062" i="1" s="1"/>
  <c r="M3063" i="1"/>
  <c r="AE3063" i="1" s="1"/>
  <c r="O3063" i="1"/>
  <c r="AF3063" i="1" s="1"/>
  <c r="M3064" i="1"/>
  <c r="AE3064" i="1" s="1"/>
  <c r="O3064" i="1"/>
  <c r="AF3064" i="1" s="1"/>
  <c r="M3065" i="1"/>
  <c r="AE3065" i="1" s="1"/>
  <c r="O3065" i="1"/>
  <c r="AF3065" i="1" s="1"/>
  <c r="M3066" i="1"/>
  <c r="AE3066" i="1" s="1"/>
  <c r="O3066" i="1"/>
  <c r="AF3066" i="1" s="1"/>
  <c r="M3067" i="1"/>
  <c r="AE3067" i="1" s="1"/>
  <c r="O3067" i="1"/>
  <c r="AF3067" i="1" s="1"/>
  <c r="M3068" i="1"/>
  <c r="AE3068" i="1" s="1"/>
  <c r="O3068" i="1"/>
  <c r="AF3068" i="1" s="1"/>
  <c r="M3069" i="1"/>
  <c r="AE3069" i="1" s="1"/>
  <c r="O3069" i="1"/>
  <c r="AF3069" i="1" s="1"/>
  <c r="M3070" i="1"/>
  <c r="AE3070" i="1" s="1"/>
  <c r="O3070" i="1"/>
  <c r="AF3070" i="1" s="1"/>
  <c r="M3071" i="1"/>
  <c r="AE3071" i="1" s="1"/>
  <c r="O3071" i="1"/>
  <c r="AF3071" i="1" s="1"/>
  <c r="M3072" i="1"/>
  <c r="AE3072" i="1" s="1"/>
  <c r="O3072" i="1"/>
  <c r="AF3072" i="1" s="1"/>
  <c r="M3073" i="1"/>
  <c r="AE3073" i="1" s="1"/>
  <c r="O3073" i="1"/>
  <c r="AF3073" i="1" s="1"/>
  <c r="M3074" i="1"/>
  <c r="AE3074" i="1" s="1"/>
  <c r="O3074" i="1"/>
  <c r="AF3074" i="1" s="1"/>
  <c r="M3075" i="1"/>
  <c r="AE3075" i="1" s="1"/>
  <c r="O3075" i="1"/>
  <c r="AF3075" i="1" s="1"/>
  <c r="M3076" i="1"/>
  <c r="AE3076" i="1" s="1"/>
  <c r="O3076" i="1"/>
  <c r="AF3076" i="1" s="1"/>
  <c r="M3077" i="1"/>
  <c r="AE3077" i="1" s="1"/>
  <c r="O3077" i="1"/>
  <c r="AF3077" i="1" s="1"/>
  <c r="M3078" i="1"/>
  <c r="AE3078" i="1" s="1"/>
  <c r="O3078" i="1"/>
  <c r="AF3078" i="1" s="1"/>
  <c r="M3079" i="1"/>
  <c r="AE3079" i="1" s="1"/>
  <c r="O3079" i="1"/>
  <c r="AF3079" i="1" s="1"/>
  <c r="M3080" i="1"/>
  <c r="AE3080" i="1" s="1"/>
  <c r="O3080" i="1"/>
  <c r="AF3080" i="1" s="1"/>
  <c r="M3081" i="1"/>
  <c r="AE3081" i="1" s="1"/>
  <c r="O3081" i="1"/>
  <c r="AF3081" i="1" s="1"/>
  <c r="M3082" i="1"/>
  <c r="AE3082" i="1" s="1"/>
  <c r="O3082" i="1"/>
  <c r="AF3082" i="1" s="1"/>
  <c r="M3083" i="1"/>
  <c r="AE3083" i="1" s="1"/>
  <c r="O3083" i="1"/>
  <c r="AF3083" i="1" s="1"/>
  <c r="M3084" i="1"/>
  <c r="AE3084" i="1" s="1"/>
  <c r="O3084" i="1"/>
  <c r="AF3084" i="1" s="1"/>
  <c r="M3085" i="1"/>
  <c r="AE3085" i="1" s="1"/>
  <c r="O3085" i="1"/>
  <c r="AF3085" i="1" s="1"/>
  <c r="M3086" i="1"/>
  <c r="AE3086" i="1" s="1"/>
  <c r="O3086" i="1"/>
  <c r="AF3086" i="1" s="1"/>
  <c r="M3087" i="1"/>
  <c r="AE3087" i="1" s="1"/>
  <c r="O3087" i="1"/>
  <c r="AF3087" i="1" s="1"/>
  <c r="M3088" i="1"/>
  <c r="AE3088" i="1" s="1"/>
  <c r="O3088" i="1"/>
  <c r="AF3088" i="1" s="1"/>
  <c r="M3089" i="1"/>
  <c r="AE3089" i="1" s="1"/>
  <c r="O3089" i="1"/>
  <c r="AF3089" i="1" s="1"/>
  <c r="M3090" i="1"/>
  <c r="AE3090" i="1" s="1"/>
  <c r="O3090" i="1"/>
  <c r="AF3090" i="1" s="1"/>
  <c r="M3091" i="1"/>
  <c r="AE3091" i="1" s="1"/>
  <c r="O3091" i="1"/>
  <c r="AF3091" i="1" s="1"/>
  <c r="M3092" i="1"/>
  <c r="AE3092" i="1" s="1"/>
  <c r="O3092" i="1"/>
  <c r="AF3092" i="1" s="1"/>
  <c r="M3093" i="1"/>
  <c r="AE3093" i="1" s="1"/>
  <c r="O3093" i="1"/>
  <c r="AF3093" i="1" s="1"/>
  <c r="M3094" i="1"/>
  <c r="AE3094" i="1" s="1"/>
  <c r="O3094" i="1"/>
  <c r="AF3094" i="1" s="1"/>
  <c r="M3095" i="1"/>
  <c r="AE3095" i="1" s="1"/>
  <c r="O3095" i="1"/>
  <c r="AF3095" i="1" s="1"/>
  <c r="M3096" i="1"/>
  <c r="AE3096" i="1" s="1"/>
  <c r="O3096" i="1"/>
  <c r="AF3096" i="1" s="1"/>
  <c r="M3097" i="1"/>
  <c r="AE3097" i="1" s="1"/>
  <c r="O3097" i="1"/>
  <c r="AF3097" i="1" s="1"/>
  <c r="M3098" i="1"/>
  <c r="AE3098" i="1" s="1"/>
  <c r="O3098" i="1"/>
  <c r="AF3098" i="1" s="1"/>
  <c r="M3099" i="1"/>
  <c r="AE3099" i="1" s="1"/>
  <c r="O3099" i="1"/>
  <c r="AF3099" i="1" s="1"/>
  <c r="M3100" i="1"/>
  <c r="AE3100" i="1" s="1"/>
  <c r="O3100" i="1"/>
  <c r="AF3100" i="1" s="1"/>
  <c r="M3101" i="1"/>
  <c r="AE3101" i="1" s="1"/>
  <c r="O3101" i="1"/>
  <c r="AF3101" i="1" s="1"/>
  <c r="M3102" i="1"/>
  <c r="AE3102" i="1" s="1"/>
  <c r="O3102" i="1"/>
  <c r="AF3102" i="1" s="1"/>
  <c r="M3104" i="1"/>
  <c r="AE3104" i="1" s="1"/>
  <c r="O3104" i="1"/>
  <c r="AF3104" i="1" s="1"/>
  <c r="M3105" i="1"/>
  <c r="AE3105" i="1" s="1"/>
  <c r="O3105" i="1"/>
  <c r="AF3105" i="1" s="1"/>
  <c r="M3106" i="1"/>
  <c r="AE3106" i="1" s="1"/>
  <c r="O3106" i="1"/>
  <c r="AF3106" i="1" s="1"/>
  <c r="M3107" i="1"/>
  <c r="AE3107" i="1" s="1"/>
  <c r="O3107" i="1"/>
  <c r="AF3107" i="1" s="1"/>
  <c r="M3108" i="1"/>
  <c r="AE3108" i="1" s="1"/>
  <c r="O3108" i="1"/>
  <c r="AF3108" i="1" s="1"/>
  <c r="M3109" i="1"/>
  <c r="AE3109" i="1" s="1"/>
  <c r="O3109" i="1"/>
  <c r="AF3109" i="1" s="1"/>
  <c r="M3110" i="1"/>
  <c r="AE3110" i="1" s="1"/>
  <c r="O3110" i="1"/>
  <c r="AF3110" i="1" s="1"/>
  <c r="M3111" i="1"/>
  <c r="AE3111" i="1" s="1"/>
  <c r="O3111" i="1"/>
  <c r="AF3111" i="1" s="1"/>
  <c r="M3112" i="1"/>
  <c r="AE3112" i="1" s="1"/>
  <c r="O3112" i="1"/>
  <c r="AF3112" i="1" s="1"/>
  <c r="M3113" i="1"/>
  <c r="AE3113" i="1" s="1"/>
  <c r="O3113" i="1"/>
  <c r="AF3113" i="1" s="1"/>
  <c r="M3115" i="1"/>
  <c r="AE3115" i="1" s="1"/>
  <c r="O3115" i="1"/>
  <c r="AF3115" i="1" s="1"/>
  <c r="M3116" i="1"/>
  <c r="AE3116" i="1" s="1"/>
  <c r="O3116" i="1"/>
  <c r="AF3116" i="1" s="1"/>
  <c r="M3117" i="1"/>
  <c r="AE3117" i="1" s="1"/>
  <c r="O3117" i="1"/>
  <c r="AF3117" i="1" s="1"/>
  <c r="M3118" i="1"/>
  <c r="AE3118" i="1" s="1"/>
  <c r="O3118" i="1"/>
  <c r="AF3118" i="1" s="1"/>
  <c r="M3119" i="1"/>
  <c r="AE3119" i="1" s="1"/>
  <c r="O3119" i="1"/>
  <c r="AF3119" i="1" s="1"/>
  <c r="M3120" i="1"/>
  <c r="AE3120" i="1" s="1"/>
  <c r="O3120" i="1"/>
  <c r="AF3120" i="1" s="1"/>
  <c r="M3121" i="1"/>
  <c r="AE3121" i="1" s="1"/>
  <c r="O3121" i="1"/>
  <c r="AF3121" i="1" s="1"/>
  <c r="M3122" i="1"/>
  <c r="AE3122" i="1" s="1"/>
  <c r="O3122" i="1"/>
  <c r="AF3122" i="1" s="1"/>
  <c r="M2994" i="1"/>
  <c r="AE2994" i="1" s="1"/>
  <c r="O2994" i="1"/>
  <c r="AF2994" i="1" s="1"/>
  <c r="M3123" i="1"/>
  <c r="AE3123" i="1" s="1"/>
  <c r="O3123" i="1"/>
  <c r="AF3123" i="1" s="1"/>
  <c r="M3127" i="1"/>
  <c r="AE3127" i="1" s="1"/>
  <c r="O3127" i="1"/>
  <c r="AF3127" i="1" s="1"/>
  <c r="M3124" i="1"/>
  <c r="AE3124" i="1" s="1"/>
  <c r="O3124" i="1"/>
  <c r="AF3124" i="1" s="1"/>
  <c r="M3128" i="1"/>
  <c r="AE3128" i="1" s="1"/>
  <c r="O3128" i="1"/>
  <c r="AF3128" i="1" s="1"/>
  <c r="M3129" i="1"/>
  <c r="AE3129" i="1" s="1"/>
  <c r="O3129" i="1"/>
  <c r="AF3129" i="1" s="1"/>
  <c r="M3130" i="1"/>
  <c r="AE3130" i="1" s="1"/>
  <c r="O3130" i="1"/>
  <c r="AF3130" i="1" s="1"/>
  <c r="M3131" i="1"/>
  <c r="AE3131" i="1" s="1"/>
  <c r="O3131" i="1"/>
  <c r="AF3131" i="1" s="1"/>
  <c r="M3132" i="1"/>
  <c r="AE3132" i="1" s="1"/>
  <c r="O3132" i="1"/>
  <c r="AF3132" i="1" s="1"/>
  <c r="M3133" i="1"/>
  <c r="AE3133" i="1" s="1"/>
  <c r="O3133" i="1"/>
  <c r="AF3133" i="1" s="1"/>
  <c r="M3134" i="1"/>
  <c r="AE3134" i="1" s="1"/>
  <c r="O3134" i="1"/>
  <c r="AF3134" i="1" s="1"/>
  <c r="M3135" i="1"/>
  <c r="AE3135" i="1" s="1"/>
  <c r="O3135" i="1"/>
  <c r="AF3135" i="1" s="1"/>
  <c r="M3136" i="1"/>
  <c r="AE3136" i="1" s="1"/>
  <c r="O3136" i="1"/>
  <c r="AF3136" i="1" s="1"/>
  <c r="M3137" i="1"/>
  <c r="AE3137" i="1" s="1"/>
  <c r="O3137" i="1"/>
  <c r="AF3137" i="1" s="1"/>
  <c r="M3138" i="1"/>
  <c r="AE3138" i="1" s="1"/>
  <c r="O3138" i="1"/>
  <c r="AF3138" i="1" s="1"/>
  <c r="M3139" i="1"/>
  <c r="AE3139" i="1" s="1"/>
  <c r="O3139" i="1"/>
  <c r="AF3139" i="1" s="1"/>
  <c r="M3140" i="1"/>
  <c r="AE3140" i="1" s="1"/>
  <c r="O3140" i="1"/>
  <c r="AF3140" i="1" s="1"/>
  <c r="M3141" i="1"/>
  <c r="AE3141" i="1" s="1"/>
  <c r="O3141" i="1"/>
  <c r="AF3141" i="1" s="1"/>
  <c r="M832" i="1"/>
  <c r="AE832" i="1" s="1"/>
  <c r="O832" i="1"/>
  <c r="AF832" i="1" s="1"/>
  <c r="M3143" i="1"/>
  <c r="AE3143" i="1" s="1"/>
  <c r="O3143" i="1"/>
  <c r="AF3143" i="1" s="1"/>
  <c r="M3144" i="1"/>
  <c r="AE3144" i="1" s="1"/>
  <c r="O3144" i="1"/>
  <c r="AF3144" i="1" s="1"/>
  <c r="M3145" i="1"/>
  <c r="AE3145" i="1" s="1"/>
  <c r="O3145" i="1"/>
  <c r="AF3145" i="1" s="1"/>
  <c r="M3146" i="1"/>
  <c r="AE3146" i="1" s="1"/>
  <c r="O3146" i="1"/>
  <c r="AF3146" i="1" s="1"/>
  <c r="M3148" i="1"/>
  <c r="AE3148" i="1" s="1"/>
  <c r="O3148" i="1"/>
  <c r="AF3148" i="1" s="1"/>
  <c r="M3149" i="1"/>
  <c r="AE3149" i="1" s="1"/>
  <c r="O3149" i="1"/>
  <c r="AF3149" i="1" s="1"/>
  <c r="M3150" i="1"/>
  <c r="AE3150" i="1" s="1"/>
  <c r="O3150" i="1"/>
  <c r="AF3150" i="1" s="1"/>
  <c r="M3151" i="1"/>
  <c r="AE3151" i="1" s="1"/>
  <c r="O3151" i="1"/>
  <c r="AF3151" i="1" s="1"/>
  <c r="M3152" i="1"/>
  <c r="AE3152" i="1" s="1"/>
  <c r="O3152" i="1"/>
  <c r="AF3152" i="1" s="1"/>
  <c r="M3153" i="1"/>
  <c r="AE3153" i="1" s="1"/>
  <c r="O3153" i="1"/>
  <c r="AF3153" i="1" s="1"/>
  <c r="M3154" i="1"/>
  <c r="AE3154" i="1" s="1"/>
  <c r="O3154" i="1"/>
  <c r="AF3154" i="1" s="1"/>
  <c r="AD2426" i="1"/>
  <c r="AD2235" i="1"/>
  <c r="AD2266" i="1"/>
  <c r="AD2938" i="1"/>
  <c r="AD1901" i="1"/>
  <c r="AD1435" i="1"/>
  <c r="AD1147" i="1"/>
  <c r="AD2898" i="1"/>
  <c r="AD2260" i="1"/>
  <c r="AD1803" i="1"/>
  <c r="AD1247" i="1"/>
  <c r="AD2132" i="1"/>
  <c r="AP3" i="1" l="1"/>
  <c r="AR3" i="1" l="1"/>
  <c r="AR4" i="1"/>
  <c r="AQ3" i="1"/>
  <c r="AQ4" i="1"/>
  <c r="BM2132" i="1" l="1"/>
  <c r="BM1232" i="1"/>
  <c r="BM2919" i="1"/>
  <c r="BM2582" i="1"/>
  <c r="BM2646" i="1"/>
  <c r="BM1147" i="1"/>
  <c r="BM1669" i="1"/>
  <c r="BM2235" i="1"/>
  <c r="BM1699" i="1"/>
  <c r="BM1099" i="1"/>
  <c r="BM1261" i="1"/>
  <c r="BM811" i="1"/>
  <c r="BM1803" i="1"/>
  <c r="BM2626" i="1"/>
  <c r="BM1162" i="1"/>
  <c r="BM1247" i="1"/>
  <c r="BM945" i="1"/>
  <c r="BM2631" i="1"/>
  <c r="BM1599" i="1"/>
  <c r="BM1787" i="1"/>
  <c r="BM1901" i="1"/>
  <c r="BM847" i="1"/>
  <c r="BM2643" i="1"/>
  <c r="BM829" i="1"/>
  <c r="BM828" i="1"/>
  <c r="BM2898" i="1"/>
  <c r="BM3125" i="1"/>
  <c r="BM924" i="1"/>
  <c r="BM933" i="1"/>
  <c r="BM2629" i="1"/>
  <c r="BM1662" i="1"/>
  <c r="BM1140" i="1"/>
  <c r="BM2426" i="1"/>
  <c r="BM1066" i="1"/>
  <c r="BM2938" i="1"/>
  <c r="BM1700" i="1"/>
  <c r="BM2627" i="1"/>
  <c r="BM1435" i="1"/>
  <c r="BM1479" i="1"/>
  <c r="BM1774" i="1"/>
  <c r="BM2387" i="1"/>
  <c r="BM2630" i="1"/>
  <c r="BM947" i="1"/>
  <c r="BM1685" i="1"/>
  <c r="BM1277" i="1"/>
  <c r="BM912" i="1"/>
  <c r="BM939" i="1"/>
  <c r="BM1438" i="1"/>
  <c r="BM1437" i="1"/>
  <c r="BM2086" i="1"/>
  <c r="BM830" i="1"/>
  <c r="BM2149" i="1"/>
  <c r="BM1823" i="1"/>
  <c r="BM1199" i="1"/>
  <c r="BM2148" i="1"/>
  <c r="BM2900" i="1"/>
  <c r="BM1695" i="1"/>
  <c r="BM1875" i="1"/>
  <c r="BM2260" i="1"/>
  <c r="BM217" i="1"/>
  <c r="BM2229" i="1"/>
  <c r="BM833" i="1"/>
  <c r="BM1403" i="1"/>
  <c r="BM2202" i="1"/>
  <c r="BM1402" i="1"/>
  <c r="BM2266" i="1"/>
  <c r="BM2632" i="1"/>
  <c r="BM1991" i="1"/>
  <c r="BM1441" i="1"/>
  <c r="BM1439" i="1"/>
  <c r="BM925" i="1"/>
  <c r="BM2226" i="1"/>
  <c r="BM1920" i="1"/>
  <c r="BM2605" i="1"/>
  <c r="BM2476" i="1"/>
  <c r="BM1440" i="1"/>
  <c r="BM1698" i="1"/>
  <c r="BM1499" i="1"/>
  <c r="BM2628" i="1"/>
  <c r="BM1121" i="1"/>
  <c r="BM2684" i="1"/>
  <c r="BM1688" i="1"/>
  <c r="BM926" i="1"/>
  <c r="BM1655" i="1"/>
  <c r="BM2137" i="1"/>
  <c r="BM938" i="1"/>
  <c r="BM1492" i="1"/>
  <c r="M5" i="1"/>
  <c r="M2" i="1"/>
  <c r="O4" i="1"/>
  <c r="AM4" i="1"/>
  <c r="M3" i="1"/>
  <c r="M4" i="1"/>
  <c r="AN3" i="1"/>
  <c r="AM3" i="1"/>
  <c r="AN4" i="1"/>
  <c r="Q5" i="1"/>
  <c r="S5" i="1"/>
  <c r="O2" i="1" l="1"/>
  <c r="O3" i="1"/>
  <c r="O5" i="1"/>
  <c r="H11" i="4"/>
  <c r="H41" i="4"/>
  <c r="H33" i="4"/>
  <c r="H26" i="4"/>
  <c r="H19" i="4"/>
  <c r="AG806" i="1"/>
  <c r="AG1946" i="1"/>
  <c r="AG1187" i="1"/>
  <c r="AG872" i="1"/>
  <c r="AG1986" i="1"/>
  <c r="AG1518" i="1"/>
  <c r="AH1986" i="1" l="1"/>
  <c r="AH1946" i="1"/>
  <c r="AH1518" i="1"/>
  <c r="AH872" i="1"/>
  <c r="AH1187" i="1"/>
  <c r="AH806" i="1"/>
  <c r="AG2599" i="1"/>
  <c r="AG1218" i="1"/>
  <c r="AG1269" i="1"/>
  <c r="AG818" i="1"/>
  <c r="AB2188" i="1"/>
  <c r="AG3142" i="1"/>
  <c r="AB1830" i="1"/>
  <c r="AH3142" i="1" l="1"/>
  <c r="AH2599" i="1"/>
  <c r="AH818" i="1"/>
  <c r="AH1218" i="1"/>
  <c r="AH1269" i="1"/>
  <c r="AD2498" i="1" l="1"/>
  <c r="AB1389" i="1"/>
  <c r="AG2277" i="1"/>
  <c r="AC948" i="1"/>
  <c r="AB222" i="1"/>
  <c r="Z2579" i="1"/>
  <c r="AA2385" i="1"/>
  <c r="AC2041" i="1"/>
  <c r="AC623" i="1"/>
  <c r="AD3040" i="1"/>
  <c r="AG1010" i="1"/>
  <c r="AG1126" i="1"/>
  <c r="AB2908" i="1"/>
  <c r="AB2516" i="1"/>
  <c r="Z2549" i="1"/>
  <c r="AB62" i="1"/>
  <c r="AC1606" i="1"/>
  <c r="AB2098" i="1"/>
  <c r="AD270" i="1"/>
  <c r="AG836" i="1"/>
  <c r="BJ1554" i="1"/>
  <c r="AC3144" i="1"/>
  <c r="Z1668" i="1"/>
  <c r="BJ867" i="1"/>
  <c r="AD3003" i="1"/>
  <c r="Z2558" i="1"/>
  <c r="AA2969" i="1"/>
  <c r="AD1133" i="1"/>
  <c r="AC1911" i="1"/>
  <c r="AB2965" i="1"/>
  <c r="AD242" i="1"/>
  <c r="AD237" i="1"/>
  <c r="AB1989" i="1"/>
  <c r="AB1497" i="1"/>
  <c r="AG978" i="1"/>
  <c r="AC2625" i="1"/>
  <c r="AG1645" i="1"/>
  <c r="AG280" i="1"/>
  <c r="Z1122" i="1"/>
  <c r="AB2711" i="1"/>
  <c r="AD874" i="1"/>
  <c r="Z2142" i="1"/>
  <c r="BJ1589" i="1"/>
  <c r="AB1394" i="1"/>
  <c r="AA1625" i="1"/>
  <c r="AA255" i="1"/>
  <c r="AB871" i="1"/>
  <c r="Z1887" i="1"/>
  <c r="AG1340" i="1"/>
  <c r="Z1418" i="1"/>
  <c r="AD511" i="1"/>
  <c r="AG92" i="1"/>
  <c r="AA3152" i="1"/>
  <c r="AD2199" i="1"/>
  <c r="AA2526" i="1"/>
  <c r="BJ3036" i="1"/>
  <c r="AC2600" i="1"/>
  <c r="AG1758" i="1"/>
  <c r="AC382" i="1"/>
  <c r="BJ1306" i="1"/>
  <c r="AA340" i="1"/>
  <c r="BJ1408" i="1"/>
  <c r="AA3141" i="1"/>
  <c r="Z855" i="1"/>
  <c r="AC1952" i="1"/>
  <c r="AA1034" i="1"/>
  <c r="AA1598" i="1"/>
  <c r="AG2828" i="1"/>
  <c r="AD1983" i="1"/>
  <c r="AA1077" i="1"/>
  <c r="AD1868" i="1"/>
  <c r="Z972" i="1"/>
  <c r="AB866" i="1"/>
  <c r="AA1707" i="1"/>
  <c r="AG1250" i="1"/>
  <c r="AC69" i="1"/>
  <c r="BJ490" i="1"/>
  <c r="AB571" i="1"/>
  <c r="AD2027" i="1"/>
  <c r="BJ3002" i="1"/>
  <c r="AD851" i="1"/>
  <c r="AA2805" i="1"/>
  <c r="AC2321" i="1"/>
  <c r="AA1740" i="1"/>
  <c r="BJ1436" i="1"/>
  <c r="AA2180" i="1"/>
  <c r="Z92" i="1"/>
  <c r="AD2177" i="1"/>
  <c r="AA188" i="1"/>
  <c r="AB2122" i="1"/>
  <c r="AC318" i="1"/>
  <c r="AC597" i="1"/>
  <c r="AD3104" i="1"/>
  <c r="Z404" i="1"/>
  <c r="AD492" i="1"/>
  <c r="AB1064" i="1"/>
  <c r="BJ2766" i="1"/>
  <c r="AD2890" i="1"/>
  <c r="Z566" i="1"/>
  <c r="AA1850" i="1"/>
  <c r="AB1008" i="1"/>
  <c r="BJ1938" i="1"/>
  <c r="AC2511" i="1"/>
  <c r="AD534" i="1"/>
  <c r="Z2500" i="1"/>
  <c r="AA887" i="1"/>
  <c r="BJ2774" i="1"/>
  <c r="BJ2946" i="1"/>
  <c r="AD324" i="1"/>
  <c r="AC2635" i="1"/>
  <c r="AD91" i="1"/>
  <c r="AC773" i="1"/>
  <c r="AB398" i="1"/>
  <c r="AA880" i="1"/>
  <c r="AD3143" i="1"/>
  <c r="BJ1351" i="1"/>
  <c r="AB2558" i="1"/>
  <c r="AG2646" i="1"/>
  <c r="AA2727" i="1"/>
  <c r="AC1880" i="1"/>
  <c r="AD134" i="1"/>
  <c r="AC1989" i="1"/>
  <c r="AA1045" i="1"/>
  <c r="BJ2828" i="1"/>
  <c r="AD427" i="1"/>
  <c r="AD2814" i="1"/>
  <c r="AB1082" i="1"/>
  <c r="AA1380" i="1"/>
  <c r="AB91" i="1"/>
  <c r="AC1177" i="1"/>
  <c r="AG1751" i="1"/>
  <c r="AG3011" i="1"/>
  <c r="AB1889" i="1"/>
  <c r="AB896" i="1"/>
  <c r="Z1988" i="1"/>
  <c r="Z2060" i="1"/>
  <c r="AG1205" i="1"/>
  <c r="AG581" i="1"/>
  <c r="AG563" i="1"/>
  <c r="AD3006" i="1"/>
  <c r="AB2349" i="1"/>
  <c r="AG11" i="1"/>
  <c r="AG1684" i="1"/>
  <c r="AA1835" i="1"/>
  <c r="Z3050" i="1"/>
  <c r="AD1558" i="1"/>
  <c r="Z2852" i="1"/>
  <c r="AD3077" i="1"/>
  <c r="Z2204" i="1"/>
  <c r="AD2858" i="1"/>
  <c r="BJ84" i="1"/>
  <c r="Z3053" i="1"/>
  <c r="AD234" i="1"/>
  <c r="Z465" i="1"/>
  <c r="AD2434" i="1"/>
  <c r="AB1480" i="1"/>
  <c r="AB2666" i="1"/>
  <c r="AC2073" i="1"/>
  <c r="Z700" i="1"/>
  <c r="AC2301" i="1"/>
  <c r="BJ2745" i="1"/>
  <c r="AD954" i="1"/>
  <c r="BJ655" i="1"/>
  <c r="AD326" i="1"/>
  <c r="AG2667" i="1"/>
  <c r="AG1819" i="1"/>
  <c r="AB1111" i="1"/>
  <c r="AB1637" i="1"/>
  <c r="BJ517" i="1"/>
  <c r="AG2517" i="1"/>
  <c r="AD2653" i="1"/>
  <c r="Z2484" i="1"/>
  <c r="AG798" i="1"/>
  <c r="AC2580" i="1"/>
  <c r="Z2688" i="1"/>
  <c r="AG1365" i="1"/>
  <c r="Z1044" i="1"/>
  <c r="AA47" i="1"/>
  <c r="Z2999" i="1"/>
  <c r="AA628" i="1"/>
  <c r="AG1300" i="1"/>
  <c r="BJ2535" i="1"/>
  <c r="AD2526" i="1"/>
  <c r="AA1912" i="1"/>
  <c r="AB1934" i="1"/>
  <c r="BJ922" i="1"/>
  <c r="AA671" i="1"/>
  <c r="BJ452" i="1"/>
  <c r="BJ696" i="1"/>
  <c r="Z88" i="1"/>
  <c r="AB3023" i="1"/>
  <c r="BJ2234" i="1"/>
  <c r="Z1263" i="1"/>
  <c r="AD122" i="1"/>
  <c r="AD1729" i="1"/>
  <c r="AD462" i="1"/>
  <c r="AG2333" i="1"/>
  <c r="Z466" i="1"/>
  <c r="Z715" i="1"/>
  <c r="BJ1400" i="1"/>
  <c r="BJ2537" i="1"/>
  <c r="Z1570" i="1"/>
  <c r="AC1256" i="1"/>
  <c r="AC2274" i="1"/>
  <c r="AA3153" i="1"/>
  <c r="Z1745" i="1"/>
  <c r="BJ1957" i="1"/>
  <c r="AA1999" i="1"/>
  <c r="AC1791" i="1"/>
  <c r="AA665" i="1"/>
  <c r="AB2827" i="1"/>
  <c r="AA1333" i="1"/>
  <c r="AA2909" i="1"/>
  <c r="BJ1241" i="1"/>
  <c r="AD2425" i="1"/>
  <c r="AB1905" i="1"/>
  <c r="AG1761" i="1"/>
  <c r="AD1285" i="1"/>
  <c r="AG307" i="1"/>
  <c r="Z2578" i="1"/>
  <c r="AG350" i="1"/>
  <c r="BJ2508" i="1"/>
  <c r="AA1080" i="1"/>
  <c r="BJ1055" i="1"/>
  <c r="AB1021" i="1"/>
  <c r="AG2891" i="1"/>
  <c r="AA2262" i="1"/>
  <c r="Z606" i="1"/>
  <c r="AC269" i="1"/>
  <c r="Z2989" i="1"/>
  <c r="BJ823" i="1"/>
  <c r="AC2258" i="1"/>
  <c r="Z704" i="1"/>
  <c r="AA1735" i="1"/>
  <c r="AB964" i="1"/>
  <c r="AA1141" i="1"/>
  <c r="AB2275" i="1"/>
  <c r="BJ2857" i="1"/>
  <c r="BJ1114" i="1"/>
  <c r="AA1784" i="1"/>
  <c r="AB615" i="1"/>
  <c r="AD98" i="1"/>
  <c r="AB857" i="1"/>
  <c r="AA2959" i="1"/>
  <c r="AB555" i="1"/>
  <c r="AB1912" i="1"/>
  <c r="AD2255" i="1"/>
  <c r="AC1113" i="1"/>
  <c r="BJ2319" i="1"/>
  <c r="Z3065" i="1"/>
  <c r="AB2058" i="1"/>
  <c r="AC992" i="1"/>
  <c r="AD1262" i="1"/>
  <c r="AG943" i="1"/>
  <c r="AC436" i="1"/>
  <c r="AA2988" i="1"/>
  <c r="BJ591" i="1"/>
  <c r="Z1965" i="1"/>
  <c r="AC94" i="1"/>
  <c r="AC112" i="1"/>
  <c r="AD2254" i="1"/>
  <c r="AG2934" i="1"/>
  <c r="Z3143" i="1"/>
  <c r="AC251" i="1"/>
  <c r="BJ2563" i="1"/>
  <c r="AA1489" i="1"/>
  <c r="AD1382" i="1"/>
  <c r="AA3052" i="1"/>
  <c r="AC392" i="1"/>
  <c r="AD1766" i="1"/>
  <c r="AG452" i="1"/>
  <c r="BJ1583" i="1"/>
  <c r="AA2332" i="1"/>
  <c r="AG2245" i="1"/>
  <c r="AC3029" i="1"/>
  <c r="BJ1274" i="1"/>
  <c r="Z1782" i="1"/>
  <c r="Z1897" i="1"/>
  <c r="AA2242" i="1"/>
  <c r="AA1213" i="1"/>
  <c r="BJ10" i="1"/>
  <c r="AA428" i="1"/>
  <c r="BJ11" i="1"/>
  <c r="AB16" i="1"/>
  <c r="AB416" i="1"/>
  <c r="AG2588" i="1"/>
  <c r="BJ1484" i="1"/>
  <c r="AD1721" i="1"/>
  <c r="AB467" i="1"/>
  <c r="AB51" i="1"/>
  <c r="Z2734" i="1"/>
  <c r="AG1293" i="1"/>
  <c r="Z2586" i="1"/>
  <c r="AG1832" i="1"/>
  <c r="Z874" i="1"/>
  <c r="AC2436" i="1"/>
  <c r="Z2038" i="1"/>
  <c r="AG1809" i="1"/>
  <c r="AA1262" i="1"/>
  <c r="AD311" i="1"/>
  <c r="AC1284" i="1"/>
  <c r="Z2613" i="1"/>
  <c r="Z2962" i="1"/>
  <c r="Z1183" i="1"/>
  <c r="AC559" i="1"/>
  <c r="AA2398" i="1"/>
  <c r="AD2170" i="1"/>
  <c r="AA3103" i="1"/>
  <c r="AA2836" i="1"/>
  <c r="BJ133" i="1"/>
  <c r="AB2795" i="1"/>
  <c r="AA2353" i="1"/>
  <c r="BJ1955" i="1"/>
  <c r="AB2756" i="1"/>
  <c r="AC208" i="1"/>
  <c r="AA539" i="1"/>
  <c r="AA104" i="1"/>
  <c r="Z319" i="1"/>
  <c r="AD499" i="1"/>
  <c r="AA1911" i="1"/>
  <c r="AG1105" i="1"/>
  <c r="AB2477" i="1"/>
  <c r="Z1804" i="1"/>
  <c r="AG539" i="1"/>
  <c r="AB39" i="1"/>
  <c r="AC1663" i="1"/>
  <c r="BJ1117" i="1"/>
  <c r="AB920" i="1"/>
  <c r="AB343" i="1"/>
  <c r="AC341" i="1"/>
  <c r="BJ2518" i="1"/>
  <c r="AD2141" i="1"/>
  <c r="Z2501" i="1"/>
  <c r="AB610" i="1"/>
  <c r="AG641" i="1"/>
  <c r="AB2715" i="1"/>
  <c r="AC1851" i="1"/>
  <c r="BJ1128" i="1"/>
  <c r="BJ2197" i="1"/>
  <c r="Z1141" i="1"/>
  <c r="AA1344" i="1"/>
  <c r="BJ2957" i="1"/>
  <c r="AC2647" i="1"/>
  <c r="AD1047" i="1"/>
  <c r="Z2682" i="1"/>
  <c r="AG130" i="1"/>
  <c r="Z993" i="1"/>
  <c r="Z2545" i="1"/>
  <c r="AD928" i="1"/>
  <c r="AB2492" i="1"/>
  <c r="AG2151" i="1"/>
  <c r="AC2423" i="1"/>
  <c r="AG1892" i="1"/>
  <c r="AA3129" i="1"/>
  <c r="AA2198" i="1"/>
  <c r="AC22" i="1"/>
  <c r="BJ436" i="1"/>
  <c r="AG2742" i="1"/>
  <c r="AA1830" i="1"/>
  <c r="AD977" i="1"/>
  <c r="AB267" i="1"/>
  <c r="BJ262" i="1"/>
  <c r="BJ1943" i="1"/>
  <c r="AG2625" i="1"/>
  <c r="Z1298" i="1"/>
  <c r="BJ2799" i="1"/>
  <c r="AG2886" i="1"/>
  <c r="AD2315" i="1"/>
  <c r="AG2279" i="1"/>
  <c r="BJ307" i="1"/>
  <c r="AB589" i="1"/>
  <c r="AA2580" i="1"/>
  <c r="AB1097" i="1"/>
  <c r="AB1502" i="1"/>
  <c r="AC2557" i="1"/>
  <c r="AG1868" i="1"/>
  <c r="AC1411" i="1"/>
  <c r="AG2108" i="1"/>
  <c r="AD2941" i="1"/>
  <c r="BJ153" i="1"/>
  <c r="AB997" i="1"/>
  <c r="AC2038" i="1"/>
  <c r="BJ1809" i="1"/>
  <c r="BJ245" i="1"/>
  <c r="AA1531" i="1"/>
  <c r="BJ1602" i="1"/>
  <c r="AD250" i="1"/>
  <c r="Z1099" i="1"/>
  <c r="AB1035" i="1"/>
  <c r="AC2951" i="1"/>
  <c r="AB379" i="1"/>
  <c r="AD1060" i="1"/>
  <c r="AC3022" i="1"/>
  <c r="AC2926" i="1"/>
  <c r="AB875" i="1"/>
  <c r="AG2008" i="1"/>
  <c r="AG2143" i="1"/>
  <c r="AG490" i="1"/>
  <c r="Z603" i="1"/>
  <c r="AD67" i="1"/>
  <c r="AC1185" i="1"/>
  <c r="AB328" i="1"/>
  <c r="AG1183" i="1"/>
  <c r="AA843" i="1"/>
  <c r="AG1157" i="1"/>
  <c r="AA1687" i="1"/>
  <c r="AC260" i="1"/>
  <c r="Z2189" i="1"/>
  <c r="AC1141" i="1"/>
  <c r="AD537" i="1"/>
  <c r="AG1494" i="1"/>
  <c r="BJ611" i="1"/>
  <c r="AG3054" i="1"/>
  <c r="AC2980" i="1"/>
  <c r="BJ1658" i="1"/>
  <c r="AD2882" i="1"/>
  <c r="AG897" i="1"/>
  <c r="AG2685" i="1"/>
  <c r="Z3112" i="1"/>
  <c r="AC1030" i="1"/>
  <c r="Z2425" i="1"/>
  <c r="BJ897" i="1"/>
  <c r="Z2328" i="1"/>
  <c r="AA1543" i="1"/>
  <c r="AB1658" i="1"/>
  <c r="AA995" i="1"/>
  <c r="AB249" i="1"/>
  <c r="BJ2494" i="1"/>
  <c r="AG1958" i="1"/>
  <c r="AD1397" i="1"/>
  <c r="AD1743" i="1"/>
  <c r="AC2940" i="1"/>
  <c r="AA52" i="1"/>
  <c r="Z28" i="1"/>
  <c r="AD480" i="1"/>
  <c r="AB3136" i="1"/>
  <c r="Z2322" i="1"/>
  <c r="AD2787" i="1"/>
  <c r="AD1589" i="1"/>
  <c r="AG796" i="1"/>
  <c r="AD1410" i="1"/>
  <c r="AG3004" i="1"/>
  <c r="BJ1004" i="1"/>
  <c r="AG2488" i="1"/>
  <c r="Z1051" i="1"/>
  <c r="AG2698" i="1"/>
  <c r="AA2027" i="1"/>
  <c r="AB1016" i="1"/>
  <c r="AB1550" i="1"/>
  <c r="AB618" i="1"/>
  <c r="AD297" i="1"/>
  <c r="AC917" i="1"/>
  <c r="AB742" i="1"/>
  <c r="AA683" i="1"/>
  <c r="AG1165" i="1"/>
  <c r="AG3112" i="1"/>
  <c r="AC2754" i="1"/>
  <c r="AC162" i="1"/>
  <c r="BJ488" i="1"/>
  <c r="AA1207" i="1"/>
  <c r="BJ1407" i="1"/>
  <c r="AB477" i="1"/>
  <c r="AD474" i="1"/>
  <c r="AD1480" i="1"/>
  <c r="AG1825" i="1"/>
  <c r="AD77" i="1"/>
  <c r="BJ2780" i="1"/>
  <c r="AB2597" i="1"/>
  <c r="AD2174" i="1"/>
  <c r="BJ2322" i="1"/>
  <c r="AA2641" i="1"/>
  <c r="AD1578" i="1"/>
  <c r="AB1368" i="1"/>
  <c r="BJ2277" i="1"/>
  <c r="AA484" i="1"/>
  <c r="Z2264" i="1"/>
  <c r="Z1315" i="1"/>
  <c r="Z2966" i="1"/>
  <c r="Z487" i="1"/>
  <c r="Z1740" i="1"/>
  <c r="BJ790" i="1"/>
  <c r="BJ3006" i="1"/>
  <c r="BJ1012" i="1"/>
  <c r="BJ1458" i="1"/>
  <c r="AC2374" i="1"/>
  <c r="AB1142" i="1"/>
  <c r="AB3104" i="1"/>
  <c r="Z1455" i="1"/>
  <c r="AA2454" i="1"/>
  <c r="AB2230" i="1"/>
  <c r="Z845" i="1"/>
  <c r="AA107" i="1"/>
  <c r="AG2084" i="1"/>
  <c r="BJ175" i="1"/>
  <c r="AA2491" i="1"/>
  <c r="AB3132" i="1"/>
  <c r="AB1426" i="1"/>
  <c r="AB1918" i="1"/>
  <c r="AD1952" i="1"/>
  <c r="AC1822" i="1"/>
  <c r="Z2813" i="1"/>
  <c r="AC323" i="1"/>
  <c r="AA1977" i="1"/>
  <c r="AC1658" i="1"/>
  <c r="AC1467" i="1"/>
  <c r="AA2547" i="1"/>
  <c r="AD652" i="1"/>
  <c r="AC2866" i="1"/>
  <c r="AB708" i="1"/>
  <c r="AA2296" i="1"/>
  <c r="BJ1074" i="1"/>
  <c r="AG3144" i="1"/>
  <c r="BJ1451" i="1"/>
  <c r="AC2694" i="1"/>
  <c r="AB1883" i="1"/>
  <c r="AC1119" i="1"/>
  <c r="AA1232" i="1"/>
  <c r="Z402" i="1"/>
  <c r="AC952" i="1"/>
  <c r="AB185" i="1"/>
  <c r="AD1677" i="1"/>
  <c r="AG2344" i="1"/>
  <c r="AB2090" i="1"/>
  <c r="AG2308" i="1"/>
  <c r="AB3001" i="1"/>
  <c r="AB934" i="1"/>
  <c r="AD3078" i="1"/>
  <c r="Z596" i="1"/>
  <c r="Z942" i="1"/>
  <c r="AC697" i="1"/>
  <c r="AG391" i="1"/>
  <c r="AD24" i="1"/>
  <c r="AA2391" i="1"/>
  <c r="AD143" i="1"/>
  <c r="AC1749" i="1"/>
  <c r="AG360" i="1"/>
  <c r="BJ376" i="1"/>
  <c r="AD519" i="1"/>
  <c r="AD2397" i="1"/>
  <c r="AC1925" i="1"/>
  <c r="AD2325" i="1"/>
  <c r="AG229" i="1"/>
  <c r="AD2929" i="1"/>
  <c r="AG1732" i="1"/>
  <c r="AC905" i="1"/>
  <c r="AC2388" i="1"/>
  <c r="AA2653" i="1"/>
  <c r="AB956" i="1"/>
  <c r="AB1348" i="1"/>
  <c r="AA571" i="1"/>
  <c r="BJ1898" i="1"/>
  <c r="AG3074" i="1"/>
  <c r="BJ2432" i="1"/>
  <c r="AD1416" i="1"/>
  <c r="BJ1563" i="1"/>
  <c r="Z2270" i="1"/>
  <c r="Z862" i="1"/>
  <c r="AG1234" i="1"/>
  <c r="AB807" i="1"/>
  <c r="AD2463" i="1"/>
  <c r="Z908" i="1"/>
  <c r="BJ2647" i="1"/>
  <c r="AC604" i="1"/>
  <c r="AD2171" i="1"/>
  <c r="BJ743" i="1"/>
  <c r="AA241" i="1"/>
  <c r="AG140" i="1"/>
  <c r="BJ1663" i="1"/>
  <c r="AC1122" i="1"/>
  <c r="AA2565" i="1"/>
  <c r="AG891" i="1"/>
  <c r="AB2134" i="1"/>
  <c r="Z2461" i="1"/>
  <c r="BJ2159" i="1"/>
  <c r="AB1428" i="1"/>
  <c r="AG2890" i="1"/>
  <c r="BJ1382" i="1"/>
  <c r="BJ2587" i="1"/>
  <c r="AD85" i="1"/>
  <c r="BJ1757" i="1"/>
  <c r="AC2685" i="1"/>
  <c r="AG2578" i="1"/>
  <c r="AC1892" i="1"/>
  <c r="AB431" i="1"/>
  <c r="AD2163" i="1"/>
  <c r="AA1143" i="1"/>
  <c r="AD2091" i="1"/>
  <c r="AG2424" i="1"/>
  <c r="BJ263" i="1"/>
  <c r="BJ295" i="1"/>
  <c r="AG177" i="1"/>
  <c r="AG902" i="1"/>
  <c r="AD1123" i="1"/>
  <c r="AA1632" i="1"/>
  <c r="AG1755" i="1"/>
  <c r="BJ2988" i="1"/>
  <c r="AC183" i="1"/>
  <c r="AA2589" i="1"/>
  <c r="AG3051" i="1"/>
  <c r="AA2628" i="1"/>
  <c r="BJ2856" i="1"/>
  <c r="Z988" i="1"/>
  <c r="AG2558" i="1"/>
  <c r="AC2501" i="1"/>
  <c r="AC1404" i="1"/>
  <c r="AB2485" i="1"/>
  <c r="AB1543" i="1"/>
  <c r="AC66" i="1"/>
  <c r="BJ783" i="1"/>
  <c r="AD2127" i="1"/>
  <c r="Z10" i="1"/>
  <c r="Z1803" i="1"/>
  <c r="AC1753" i="1"/>
  <c r="AD2649" i="1"/>
  <c r="AD3007" i="1"/>
  <c r="AD2126" i="1"/>
  <c r="AB1633" i="1"/>
  <c r="AD653" i="1"/>
  <c r="BJ1641" i="1"/>
  <c r="Z1576" i="1"/>
  <c r="AG586" i="1"/>
  <c r="AB3131" i="1"/>
  <c r="BJ519" i="1"/>
  <c r="AD1882" i="1"/>
  <c r="AD88" i="1"/>
  <c r="AB3066" i="1"/>
  <c r="AD1295" i="1"/>
  <c r="BJ1796" i="1"/>
  <c r="BJ152" i="1"/>
  <c r="AG2822" i="1"/>
  <c r="AA2352" i="1"/>
  <c r="AG587" i="1"/>
  <c r="AC2241" i="1"/>
  <c r="BJ1327" i="1"/>
  <c r="AG2460" i="1"/>
  <c r="BJ2886" i="1"/>
  <c r="AC942" i="1"/>
  <c r="AD1664" i="1"/>
  <c r="AC2936" i="1"/>
  <c r="AC1026" i="1"/>
  <c r="AG610" i="1"/>
  <c r="AB104" i="1"/>
  <c r="BJ2239" i="1"/>
  <c r="Z1730" i="1"/>
  <c r="BJ2655" i="1"/>
  <c r="BJ2922" i="1"/>
  <c r="AB904" i="1"/>
  <c r="AC1621" i="1"/>
  <c r="Z1951" i="1"/>
  <c r="BJ983" i="1"/>
  <c r="AA1240" i="1"/>
  <c r="BJ1157" i="1"/>
  <c r="AD633" i="1"/>
  <c r="AA2982" i="1"/>
  <c r="AB2510" i="1"/>
  <c r="AG1069" i="1"/>
  <c r="AG2154" i="1"/>
  <c r="AD552" i="1"/>
  <c r="Z266" i="1"/>
  <c r="AC2731" i="1"/>
  <c r="Z753" i="1"/>
  <c r="AB156" i="1"/>
  <c r="BJ1516" i="1"/>
  <c r="AA1815" i="1"/>
  <c r="AC417" i="1"/>
  <c r="AG3146" i="1"/>
  <c r="AC770" i="1"/>
  <c r="AD376" i="1"/>
  <c r="AC705" i="1"/>
  <c r="Z515" i="1"/>
  <c r="BJ1798" i="1"/>
  <c r="BJ2956" i="1"/>
  <c r="Z3027" i="1"/>
  <c r="Z695" i="1"/>
  <c r="BJ1105" i="1"/>
  <c r="AD1620" i="1"/>
  <c r="Z589" i="1"/>
  <c r="AC435" i="1"/>
  <c r="BJ2779" i="1"/>
  <c r="AB2459" i="1"/>
  <c r="AA2186" i="1"/>
  <c r="AD2927" i="1"/>
  <c r="AG2917" i="1"/>
  <c r="AA2674" i="1"/>
  <c r="AA1303" i="1"/>
  <c r="AA1406" i="1"/>
  <c r="BJ118" i="1"/>
  <c r="AC1802" i="1"/>
  <c r="AG1509" i="1"/>
  <c r="AA836" i="1"/>
  <c r="AC2663" i="1"/>
  <c r="AG1749" i="1"/>
  <c r="AB1923" i="1"/>
  <c r="AC2996" i="1"/>
  <c r="AC1808" i="1"/>
  <c r="AA2347" i="1"/>
  <c r="Z1861" i="1"/>
  <c r="AG1460" i="1"/>
  <c r="AG2093" i="1"/>
  <c r="AG1296" i="1"/>
  <c r="AG155" i="1"/>
  <c r="BJ563" i="1"/>
  <c r="Z1644" i="1"/>
  <c r="AC1983" i="1"/>
  <c r="BJ1357" i="1"/>
  <c r="AG938" i="1"/>
  <c r="AD524" i="1"/>
  <c r="BJ86" i="1"/>
  <c r="AG2782" i="1"/>
  <c r="AG565" i="1"/>
  <c r="AA975" i="1"/>
  <c r="AA451" i="1"/>
  <c r="AG1738" i="1"/>
  <c r="BJ1667" i="1"/>
  <c r="AC1936" i="1"/>
  <c r="AD2365" i="1"/>
  <c r="BJ3139" i="1"/>
  <c r="BJ531" i="1"/>
  <c r="AD2006" i="1"/>
  <c r="BJ3078" i="1"/>
  <c r="AA326" i="1"/>
  <c r="AG1465" i="1"/>
  <c r="AG1657" i="1"/>
  <c r="AB1936" i="1"/>
  <c r="AC555" i="1"/>
  <c r="AC1033" i="1"/>
  <c r="AD1828" i="1"/>
  <c r="AA1861" i="1"/>
  <c r="AD1407" i="1"/>
  <c r="BJ302" i="1"/>
  <c r="BJ1122" i="1"/>
  <c r="AC505" i="1"/>
  <c r="Z931" i="1"/>
  <c r="Z3032" i="1"/>
  <c r="AC1190" i="1"/>
  <c r="AG3032" i="1"/>
  <c r="AG3060" i="1"/>
  <c r="AC603" i="1"/>
  <c r="AD2610" i="1"/>
  <c r="AC2104" i="1"/>
  <c r="AB2476" i="1"/>
  <c r="AA767" i="1"/>
  <c r="Z982" i="1"/>
  <c r="AD1164" i="1"/>
  <c r="BJ1513" i="1"/>
  <c r="AB2804" i="1"/>
  <c r="BJ2036" i="1"/>
  <c r="Z1024" i="1"/>
  <c r="Z1750" i="1"/>
  <c r="AB567" i="1"/>
  <c r="AB2035" i="1"/>
  <c r="AB1563" i="1"/>
  <c r="AC1058" i="1"/>
  <c r="Z184" i="1"/>
  <c r="AB617" i="1"/>
  <c r="BJ13" i="1"/>
  <c r="AB370" i="1"/>
  <c r="BJ713" i="1"/>
  <c r="BJ2421" i="1"/>
  <c r="AA2067" i="1"/>
  <c r="AG2236" i="1"/>
  <c r="AG1865" i="1"/>
  <c r="AA566" i="1"/>
  <c r="AB1841" i="1"/>
  <c r="AD711" i="1"/>
  <c r="AC1126" i="1"/>
  <c r="Z1496" i="1"/>
  <c r="AB519" i="1"/>
  <c r="AG1810" i="1"/>
  <c r="AD1374" i="1"/>
  <c r="AB37" i="1"/>
  <c r="AG865" i="1"/>
  <c r="AC1552" i="1"/>
  <c r="AC1757" i="1"/>
  <c r="AA387" i="1"/>
  <c r="Z2561" i="1"/>
  <c r="AA2132" i="1"/>
  <c r="Z2893" i="1"/>
  <c r="BJ3019" i="1"/>
  <c r="AB2781" i="1"/>
  <c r="AD2687" i="1"/>
  <c r="BJ111" i="1"/>
  <c r="AB1057" i="1"/>
  <c r="BJ1111" i="1"/>
  <c r="AB802" i="1"/>
  <c r="AD2735" i="1"/>
  <c r="AA3075" i="1"/>
  <c r="AA1221" i="1"/>
  <c r="AB1437" i="1"/>
  <c r="AA1099" i="1"/>
  <c r="AG544" i="1"/>
  <c r="BJ2127" i="1"/>
  <c r="BJ919" i="1"/>
  <c r="AB2570" i="1"/>
  <c r="Z2907" i="1"/>
  <c r="AG2074" i="1"/>
  <c r="AG2716" i="1"/>
  <c r="AA2183" i="1"/>
  <c r="AA2440" i="1"/>
  <c r="AC420" i="1"/>
  <c r="Z802" i="1"/>
  <c r="AC2895" i="1"/>
  <c r="BJ994" i="1"/>
  <c r="BJ270" i="1"/>
  <c r="Z1899" i="1"/>
  <c r="BJ946" i="1"/>
  <c r="AD1736" i="1"/>
  <c r="AA2950" i="1"/>
  <c r="AC1308" i="1"/>
  <c r="AD1566" i="1"/>
  <c r="AG1733" i="1"/>
  <c r="AD1276" i="1"/>
  <c r="AD195" i="1"/>
  <c r="AB1492" i="1"/>
  <c r="Z142" i="1"/>
  <c r="AD1773" i="1"/>
  <c r="BJ207" i="1"/>
  <c r="AC1515" i="1"/>
  <c r="AA1757" i="1"/>
  <c r="AB943" i="1"/>
  <c r="AG557" i="1"/>
  <c r="BJ716" i="1"/>
  <c r="AG401" i="1"/>
  <c r="AG1242" i="1"/>
  <c r="AD2270" i="1"/>
  <c r="AC663" i="1"/>
  <c r="BJ752" i="1"/>
  <c r="Z3108" i="1"/>
  <c r="AD2424" i="1"/>
  <c r="AA1320" i="1"/>
  <c r="AB2369" i="1"/>
  <c r="AA144" i="1"/>
  <c r="AG2573" i="1"/>
  <c r="Z2644" i="1"/>
  <c r="AB1459" i="1"/>
  <c r="AC2994" i="1"/>
  <c r="AG782" i="1"/>
  <c r="AD384" i="1"/>
  <c r="AC2801" i="1"/>
  <c r="AC739" i="1"/>
  <c r="AC568" i="1"/>
  <c r="AA2796" i="1"/>
  <c r="AA606" i="1"/>
  <c r="AD503" i="1"/>
  <c r="AA1555" i="1"/>
  <c r="AD1421" i="1"/>
  <c r="AA217" i="1"/>
  <c r="AC1336" i="1"/>
  <c r="AA1567" i="1"/>
  <c r="BJ1106" i="1"/>
  <c r="Z2524" i="1"/>
  <c r="AG2608" i="1"/>
  <c r="BJ1336" i="1"/>
  <c r="AG2644" i="1"/>
  <c r="AA1564" i="1"/>
  <c r="AB2967" i="1"/>
  <c r="BJ347" i="1"/>
  <c r="BJ2042" i="1"/>
  <c r="AB1729" i="1"/>
  <c r="AD2560" i="1"/>
  <c r="AG2821" i="1"/>
  <c r="AG1539" i="1"/>
  <c r="AC1901" i="1"/>
  <c r="AA1297" i="1"/>
  <c r="AG1928" i="1"/>
  <c r="AB1681" i="1"/>
  <c r="AB917" i="1"/>
  <c r="AD2635" i="1"/>
  <c r="AG1030" i="1"/>
  <c r="AC584" i="1"/>
  <c r="AC2602" i="1"/>
  <c r="AD704" i="1"/>
  <c r="AC1761" i="1"/>
  <c r="AA598" i="1"/>
  <c r="AD2811" i="1"/>
  <c r="AC2995" i="1"/>
  <c r="AG1735" i="1"/>
  <c r="AA420" i="1"/>
  <c r="Z1796" i="1"/>
  <c r="Z2215" i="1"/>
  <c r="Z1144" i="1"/>
  <c r="AB2388" i="1"/>
  <c r="BJ2439" i="1"/>
  <c r="BJ2958" i="1"/>
  <c r="AC1414" i="1"/>
  <c r="BJ936" i="1"/>
  <c r="Z1479" i="1"/>
  <c r="AB1258" i="1"/>
  <c r="AC1175" i="1"/>
  <c r="AD2125" i="1"/>
  <c r="AD1575" i="1"/>
  <c r="Z446" i="1"/>
  <c r="AD2800" i="1"/>
  <c r="BJ2814" i="1"/>
  <c r="AA2368" i="1"/>
  <c r="AA2939" i="1"/>
  <c r="AB352" i="1"/>
  <c r="AG2201" i="1"/>
  <c r="AB1145" i="1"/>
  <c r="AG1124" i="1"/>
  <c r="AC1908" i="1"/>
  <c r="BJ1123" i="1"/>
  <c r="BJ2020" i="1"/>
  <c r="AB754" i="1"/>
  <c r="AA1216" i="1"/>
  <c r="AA2764" i="1"/>
  <c r="AB3076" i="1"/>
  <c r="AC2897" i="1"/>
  <c r="Z1025" i="1"/>
  <c r="AG1874" i="1"/>
  <c r="AB221" i="1"/>
  <c r="AC2890" i="1"/>
  <c r="AD26" i="1"/>
  <c r="AC2833" i="1"/>
  <c r="AD2948" i="1"/>
  <c r="AD2497" i="1"/>
  <c r="AB1235" i="1"/>
  <c r="AA1424" i="1"/>
  <c r="AC1075" i="1"/>
  <c r="AD2393" i="1"/>
  <c r="BJ2245" i="1"/>
  <c r="BJ1448" i="1"/>
  <c r="BJ1381" i="1"/>
  <c r="AC1607" i="1"/>
  <c r="BJ2222" i="1"/>
  <c r="AA1546" i="1"/>
  <c r="AC196" i="1"/>
  <c r="BJ1158" i="1"/>
  <c r="AG1562" i="1"/>
  <c r="AC33" i="1"/>
  <c r="AB1994" i="1"/>
  <c r="AA2757" i="1"/>
  <c r="Z422" i="1"/>
  <c r="AD1391" i="1"/>
  <c r="AB47" i="1"/>
  <c r="AB2813" i="1"/>
  <c r="AD271" i="1"/>
  <c r="Z740" i="1"/>
  <c r="AA2297" i="1"/>
  <c r="AG876" i="1"/>
  <c r="BJ2099" i="1"/>
  <c r="AB1707" i="1"/>
  <c r="AB2547" i="1"/>
  <c r="AA2162" i="1"/>
  <c r="Z60" i="1"/>
  <c r="AA3023" i="1"/>
  <c r="BJ1331" i="1"/>
  <c r="AG3005" i="1"/>
  <c r="AG1891" i="1"/>
  <c r="Z1256" i="1"/>
  <c r="Z1918" i="1"/>
  <c r="AA2287" i="1"/>
  <c r="AC137" i="1"/>
  <c r="AB1851" i="1"/>
  <c r="AD1516" i="1"/>
  <c r="AA390" i="1"/>
  <c r="AD479" i="1"/>
  <c r="AB641" i="1"/>
  <c r="AB2799" i="1"/>
  <c r="AD2670" i="1"/>
  <c r="AB940" i="1"/>
  <c r="BJ800" i="1"/>
  <c r="AA410" i="1"/>
  <c r="Z135" i="1"/>
  <c r="AD441" i="1"/>
  <c r="AB2816" i="1"/>
  <c r="BJ2485" i="1"/>
  <c r="AG999" i="1"/>
  <c r="AB373" i="1"/>
  <c r="AC1705" i="1"/>
  <c r="AG3012" i="1"/>
  <c r="BJ1070" i="1"/>
  <c r="AB1788" i="1"/>
  <c r="AB1807" i="1"/>
  <c r="AC2935" i="1"/>
  <c r="Z569" i="1"/>
  <c r="AC1251" i="1"/>
  <c r="Z424" i="1"/>
  <c r="AB2233" i="1"/>
  <c r="BJ553" i="1"/>
  <c r="AB1919" i="1"/>
  <c r="AA1370" i="1"/>
  <c r="AD740" i="1"/>
  <c r="AD769" i="1"/>
  <c r="Z2167" i="1"/>
  <c r="AB1425" i="1"/>
  <c r="BJ709" i="1"/>
  <c r="Z2843" i="1"/>
  <c r="Z2064" i="1"/>
  <c r="BJ493" i="1"/>
  <c r="AD1960" i="1"/>
  <c r="Z797" i="1"/>
  <c r="AC446" i="1"/>
  <c r="AG2914" i="1"/>
  <c r="AG3114" i="1"/>
  <c r="AD2778" i="1"/>
  <c r="Z1531" i="1"/>
  <c r="AB2272" i="1"/>
  <c r="AA1649" i="1"/>
  <c r="BJ1911" i="1"/>
  <c r="AD1954" i="1"/>
  <c r="AB632" i="1"/>
  <c r="Z714" i="1"/>
  <c r="BJ1861" i="1"/>
  <c r="AG517" i="1"/>
  <c r="BJ1741" i="1"/>
  <c r="AD96" i="1"/>
  <c r="BJ3015" i="1"/>
  <c r="AB2640" i="1"/>
  <c r="AC1006" i="1"/>
  <c r="BJ1681" i="1"/>
  <c r="AC274" i="1"/>
  <c r="AA2543" i="1"/>
  <c r="AD2204" i="1"/>
  <c r="AC1472" i="1"/>
  <c r="AG1441" i="1"/>
  <c r="AG457" i="1"/>
  <c r="BJ2459" i="1"/>
  <c r="Z645" i="1"/>
  <c r="AC1065" i="1"/>
  <c r="AD2181" i="1"/>
  <c r="AD2758" i="1"/>
  <c r="BJ2209" i="1"/>
  <c r="Z2824" i="1"/>
  <c r="AD1491" i="1"/>
  <c r="Z2315" i="1"/>
  <c r="AC494" i="1"/>
  <c r="AD1284" i="1"/>
  <c r="BJ2804" i="1"/>
  <c r="AG844" i="1"/>
  <c r="AD2976" i="1"/>
  <c r="BJ435" i="1"/>
  <c r="AC593" i="1"/>
  <c r="AC546" i="1"/>
  <c r="AD773" i="1"/>
  <c r="AA3036" i="1"/>
  <c r="AA659" i="1"/>
  <c r="AA1067" i="1"/>
  <c r="Z2760" i="1"/>
  <c r="BJ2873" i="1"/>
  <c r="AA3041" i="1"/>
  <c r="Z2232" i="1"/>
  <c r="AC1838" i="1"/>
  <c r="AA805" i="1"/>
  <c r="AD2236" i="1"/>
  <c r="BJ991" i="1"/>
  <c r="AC2144" i="1"/>
  <c r="AA2568" i="1"/>
  <c r="AD1450" i="1"/>
  <c r="AG2408" i="1"/>
  <c r="AC928" i="1"/>
  <c r="AB1317" i="1"/>
  <c r="BJ2317" i="1"/>
  <c r="AB960" i="1"/>
  <c r="AG1358" i="1"/>
  <c r="BJ165" i="1"/>
  <c r="AG3006" i="1"/>
  <c r="Z2004" i="1"/>
  <c r="Z1924" i="1"/>
  <c r="AA425" i="1"/>
  <c r="AA2013" i="1"/>
  <c r="BJ97" i="1"/>
  <c r="AD1569" i="1"/>
  <c r="Z861" i="1"/>
  <c r="AG1426" i="1"/>
  <c r="AC3078" i="1"/>
  <c r="AC2499" i="1"/>
  <c r="AG1062" i="1"/>
  <c r="AB1135" i="1"/>
  <c r="BJ2665" i="1"/>
  <c r="AC2495" i="1"/>
  <c r="AC1739" i="1"/>
  <c r="Z1569" i="1"/>
  <c r="AC1015" i="1"/>
  <c r="Z1115" i="1"/>
  <c r="AB2428" i="1"/>
  <c r="AA597" i="1"/>
  <c r="AG1596" i="1"/>
  <c r="AB3108" i="1"/>
  <c r="BJ2007" i="1"/>
  <c r="AA2925" i="1"/>
  <c r="AB2655" i="1"/>
  <c r="AB1320" i="1"/>
  <c r="AA3133" i="1"/>
  <c r="AG258" i="1"/>
  <c r="BJ1142" i="1"/>
  <c r="AG2629" i="1"/>
  <c r="Z1330" i="1"/>
  <c r="AD1912" i="1"/>
  <c r="AB1511" i="1"/>
  <c r="AD2658" i="1"/>
  <c r="AG2781" i="1"/>
  <c r="AA895" i="1"/>
  <c r="AG1690" i="1"/>
  <c r="AD2313" i="1"/>
  <c r="BJ940" i="1"/>
  <c r="AB979" i="1"/>
  <c r="AG2106" i="1"/>
  <c r="AB1582" i="1"/>
  <c r="Z2626" i="1"/>
  <c r="AG383" i="1"/>
  <c r="BJ500" i="1"/>
  <c r="AA1737" i="1"/>
  <c r="AC2577" i="1"/>
  <c r="AB2246" i="1"/>
  <c r="AC423" i="1"/>
  <c r="AC2106" i="1"/>
  <c r="Z1325" i="1"/>
  <c r="AG1963" i="1"/>
  <c r="AB2776" i="1"/>
  <c r="Z713" i="1"/>
  <c r="AD1916" i="1"/>
  <c r="AD2134" i="1"/>
  <c r="AC2826" i="1"/>
  <c r="AC2489" i="1"/>
  <c r="AC1290" i="1"/>
  <c r="BJ1880" i="1"/>
  <c r="AB970" i="1"/>
  <c r="AG2818" i="1"/>
  <c r="AC2126" i="1"/>
  <c r="BJ675" i="1"/>
  <c r="AA1594" i="1"/>
  <c r="BJ2158" i="1"/>
  <c r="Z2077" i="1"/>
  <c r="AB2783" i="1"/>
  <c r="BJ1375" i="1"/>
  <c r="AC2030" i="1"/>
  <c r="AC1418" i="1"/>
  <c r="AC3066" i="1"/>
  <c r="AA1688" i="1"/>
  <c r="AG3027" i="1"/>
  <c r="AD359" i="1"/>
  <c r="BJ2759" i="1"/>
  <c r="AC549" i="1"/>
  <c r="AB1329" i="1"/>
  <c r="BJ1614" i="1"/>
  <c r="AD766" i="1"/>
  <c r="AA3009" i="1"/>
  <c r="BJ1536" i="1"/>
  <c r="AD1642" i="1"/>
  <c r="AG1838" i="1"/>
  <c r="AG2418" i="1"/>
  <c r="AC1760" i="1"/>
  <c r="AD2192" i="1"/>
  <c r="AG1612" i="1"/>
  <c r="Z1342" i="1"/>
  <c r="BJ2107" i="1"/>
  <c r="BJ861" i="1"/>
  <c r="AC1108" i="1"/>
  <c r="AC3139" i="1"/>
  <c r="BJ1731" i="1"/>
  <c r="AA1048" i="1"/>
  <c r="Z800" i="1"/>
  <c r="AG1359" i="1"/>
  <c r="AB3011" i="1"/>
  <c r="BJ1071" i="1"/>
  <c r="AD2793" i="1"/>
  <c r="BJ597" i="1"/>
  <c r="AG2852" i="1"/>
  <c r="AA1226" i="1"/>
  <c r="AC2248" i="1"/>
  <c r="BJ1646" i="1"/>
  <c r="AC977" i="1"/>
  <c r="AA623" i="1"/>
  <c r="AB2553" i="1"/>
  <c r="BJ3083" i="1"/>
  <c r="AB2172" i="1"/>
  <c r="AD2585" i="1"/>
  <c r="AD458" i="1"/>
  <c r="BJ1956" i="1"/>
  <c r="AA3059" i="1"/>
  <c r="AA2007" i="1"/>
  <c r="AA616" i="1"/>
  <c r="AG1594" i="1"/>
  <c r="AB913" i="1"/>
  <c r="AB1037" i="1"/>
  <c r="BJ1515" i="1"/>
  <c r="BJ3096" i="1"/>
  <c r="AD1503" i="1"/>
  <c r="AG2486" i="1"/>
  <c r="BJ1600" i="1"/>
  <c r="AG3111" i="1"/>
  <c r="AB1120" i="1"/>
  <c r="AA457" i="1"/>
  <c r="AD2190" i="1"/>
  <c r="Z1825" i="1"/>
  <c r="AB2163" i="1"/>
  <c r="AB1155" i="1"/>
  <c r="AB3118" i="1"/>
  <c r="AB2180" i="1"/>
  <c r="AB2315" i="1"/>
  <c r="AC2158" i="1"/>
  <c r="BJ3040" i="1"/>
  <c r="AG762" i="1"/>
  <c r="AG2500" i="1"/>
  <c r="BJ1205" i="1"/>
  <c r="AG1757" i="1"/>
  <c r="Z2819" i="1"/>
  <c r="AA15" i="1"/>
  <c r="AD1300" i="1"/>
  <c r="AD663" i="1"/>
  <c r="AG2883" i="1"/>
  <c r="BJ138" i="1"/>
  <c r="BJ1999" i="1"/>
  <c r="Z327" i="1"/>
  <c r="BJ799" i="1"/>
  <c r="AC237" i="1"/>
  <c r="AG592" i="1"/>
  <c r="AG558" i="1"/>
  <c r="BJ2358" i="1"/>
  <c r="Z2053" i="1"/>
  <c r="AA1713" i="1"/>
  <c r="BJ1864" i="1"/>
  <c r="AG1380" i="1"/>
  <c r="AB400" i="1"/>
  <c r="AG1900" i="1"/>
  <c r="BJ2720" i="1"/>
  <c r="BJ2765" i="1"/>
  <c r="AD1472" i="1"/>
  <c r="AA563" i="1"/>
  <c r="Z2132" i="1"/>
  <c r="AG3117" i="1"/>
  <c r="AG1506" i="1"/>
  <c r="Z1272" i="1"/>
  <c r="AC330" i="1"/>
  <c r="BJ892" i="1"/>
  <c r="AD541" i="1"/>
  <c r="AG151" i="1"/>
  <c r="AB1414" i="1"/>
  <c r="AB817" i="1"/>
  <c r="BJ1222" i="1"/>
  <c r="Z3011" i="1"/>
  <c r="Z2519" i="1"/>
  <c r="AA1721" i="1"/>
  <c r="AA2560" i="1"/>
  <c r="BJ1197" i="1"/>
  <c r="AC2919" i="1"/>
  <c r="Z2574" i="1"/>
  <c r="AG1792" i="1"/>
  <c r="AB3006" i="1"/>
  <c r="AC1823" i="1"/>
  <c r="BJ1836" i="1"/>
  <c r="AB166" i="1"/>
  <c r="AB1150" i="1"/>
  <c r="AA170" i="1"/>
  <c r="AC488" i="1"/>
  <c r="AB2131" i="1"/>
  <c r="AD2165" i="1"/>
  <c r="AG2927" i="1"/>
  <c r="AA1275" i="1"/>
  <c r="AG746" i="1"/>
  <c r="BJ501" i="1"/>
  <c r="AA2721" i="1"/>
  <c r="Z40" i="1"/>
  <c r="Z2873" i="1"/>
  <c r="AG1266" i="1"/>
  <c r="AA1664" i="1"/>
  <c r="AA977" i="1"/>
  <c r="AA2137" i="1"/>
  <c r="AD2996" i="1"/>
  <c r="AC1475" i="1"/>
  <c r="AG1795" i="1"/>
  <c r="Z1888" i="1"/>
  <c r="AD911" i="1"/>
  <c r="AA2806" i="1"/>
  <c r="AB2999" i="1"/>
  <c r="AG287" i="1"/>
  <c r="AB2675" i="1"/>
  <c r="AA2971" i="1"/>
  <c r="AD470" i="1"/>
  <c r="AC1942" i="1"/>
  <c r="BJ600" i="1"/>
  <c r="AA2189" i="1"/>
  <c r="AG1880" i="1"/>
  <c r="BJ285" i="1"/>
  <c r="AA882" i="1"/>
  <c r="AG500" i="1"/>
  <c r="AG2642" i="1"/>
  <c r="AG726" i="1"/>
  <c r="AG103" i="1"/>
  <c r="Z1500" i="1"/>
  <c r="AB1708" i="1"/>
  <c r="AA232" i="1"/>
  <c r="AC798" i="1"/>
  <c r="AC2823" i="1"/>
  <c r="AB723" i="1"/>
  <c r="AB3124" i="1"/>
  <c r="AA1012" i="1"/>
  <c r="Z2372" i="1"/>
  <c r="Z36" i="1"/>
  <c r="AD2865" i="1"/>
  <c r="AB1911" i="1"/>
  <c r="AA1906" i="1"/>
  <c r="AG739" i="1"/>
  <c r="AA781" i="1"/>
  <c r="AC1063" i="1"/>
  <c r="AC121" i="1"/>
  <c r="AC1718" i="1"/>
  <c r="Z261" i="1"/>
  <c r="AA868" i="1"/>
  <c r="Z323" i="1"/>
  <c r="AD1082" i="1"/>
  <c r="AB797" i="1"/>
  <c r="Z718" i="1"/>
  <c r="AG817" i="1"/>
  <c r="AB470" i="1"/>
  <c r="AC2134" i="1"/>
  <c r="AB97" i="1"/>
  <c r="Z2767" i="1"/>
  <c r="BJ624" i="1"/>
  <c r="BJ355" i="1"/>
  <c r="Z3031" i="1"/>
  <c r="BJ1506" i="1"/>
  <c r="Z762" i="1"/>
  <c r="AC493" i="1"/>
  <c r="AG2220" i="1"/>
  <c r="Z101" i="1"/>
  <c r="AA3087" i="1"/>
  <c r="AG1284" i="1"/>
  <c r="BJ2133" i="1"/>
  <c r="AD1436" i="1"/>
  <c r="AC2608" i="1"/>
  <c r="AC2122" i="1"/>
  <c r="AA1118" i="1"/>
  <c r="AC2471" i="1"/>
  <c r="BJ1478" i="1"/>
  <c r="AC1694" i="1"/>
  <c r="AA967" i="1"/>
  <c r="AB1594" i="1"/>
  <c r="Z164" i="1"/>
  <c r="AB236" i="1"/>
  <c r="AA1502" i="1"/>
  <c r="BJ1773" i="1"/>
  <c r="AA2300" i="1"/>
  <c r="AG1140" i="1"/>
  <c r="AD2159" i="1"/>
  <c r="BJ277" i="1"/>
  <c r="AG1881" i="1"/>
  <c r="AG662" i="1"/>
  <c r="AG65" i="1"/>
  <c r="AG1191" i="1"/>
  <c r="Z356" i="1"/>
  <c r="BJ26" i="1"/>
  <c r="AG3062" i="1"/>
  <c r="Z563" i="1"/>
  <c r="AB1538" i="1"/>
  <c r="AC2991" i="1"/>
  <c r="AD296" i="1"/>
  <c r="BJ1427" i="1"/>
  <c r="AG1488" i="1"/>
  <c r="AD834" i="1"/>
  <c r="AD2274" i="1"/>
  <c r="AA1951" i="1"/>
  <c r="AC2716" i="1"/>
  <c r="Z3150" i="1"/>
  <c r="AA2621" i="1"/>
  <c r="AA1265" i="1"/>
  <c r="AA955" i="1"/>
  <c r="AB2987" i="1"/>
  <c r="AD1320" i="1"/>
  <c r="BJ1850" i="1"/>
  <c r="AD486" i="1"/>
  <c r="AG66" i="1"/>
  <c r="AC2565" i="1"/>
  <c r="AD1571" i="1"/>
  <c r="BJ2939" i="1"/>
  <c r="AD1008" i="1"/>
  <c r="AB1513" i="1"/>
  <c r="AC509" i="1"/>
  <c r="AB645" i="1"/>
  <c r="BJ1364" i="1"/>
  <c r="AC1117" i="1"/>
  <c r="Z485" i="1"/>
  <c r="BJ1802" i="1"/>
  <c r="Z555" i="1"/>
  <c r="AA764" i="1"/>
  <c r="AC2585" i="1"/>
  <c r="AG2394" i="1"/>
  <c r="AA3012" i="1"/>
  <c r="Z244" i="1"/>
  <c r="AB1621" i="1"/>
  <c r="AG710" i="1"/>
  <c r="AD665" i="1"/>
  <c r="AG1705" i="1"/>
  <c r="BJ349" i="1"/>
  <c r="AB1055" i="1"/>
  <c r="AC2111" i="1"/>
  <c r="AB1504" i="1"/>
  <c r="AD739" i="1"/>
  <c r="BJ1293" i="1"/>
  <c r="AA1419" i="1"/>
  <c r="AG971" i="1"/>
  <c r="AC2397" i="1"/>
  <c r="AG1046" i="1"/>
  <c r="BJ3020" i="1"/>
  <c r="AA155" i="1"/>
  <c r="AB657" i="1"/>
  <c r="BJ1511" i="1"/>
  <c r="AD861" i="1"/>
  <c r="AA1145" i="1"/>
  <c r="AC2973" i="1"/>
  <c r="AC1696" i="1"/>
  <c r="BJ3005" i="1"/>
  <c r="BJ102" i="1"/>
  <c r="AA1159" i="1"/>
  <c r="AD732" i="1"/>
  <c r="Z2103" i="1"/>
  <c r="AD1876" i="1"/>
  <c r="Z2190" i="1"/>
  <c r="Z1783" i="1"/>
  <c r="BJ1767" i="1"/>
  <c r="BJ995" i="1"/>
  <c r="AD69" i="1"/>
  <c r="AG2329" i="1"/>
  <c r="AA466" i="1"/>
  <c r="BJ2076" i="1"/>
  <c r="AD2763" i="1"/>
  <c r="AD966" i="1"/>
  <c r="Z1497" i="1"/>
  <c r="AC292" i="1"/>
  <c r="AA934" i="1"/>
  <c r="BJ1475" i="1"/>
  <c r="BJ593" i="1"/>
  <c r="AC576" i="1"/>
  <c r="AC2906" i="1"/>
  <c r="AD782" i="1"/>
  <c r="BJ1409" i="1"/>
  <c r="AG2417" i="1"/>
  <c r="AC2294" i="1"/>
  <c r="AD2650" i="1"/>
  <c r="Z218" i="1"/>
  <c r="AB3128" i="1"/>
  <c r="AB2407" i="1"/>
  <c r="AB31" i="1"/>
  <c r="AG1200" i="1"/>
  <c r="BJ2458" i="1"/>
  <c r="AD1761" i="1"/>
  <c r="AG481" i="1"/>
  <c r="AC2987" i="1"/>
  <c r="AA702" i="1"/>
  <c r="BJ1996" i="1"/>
  <c r="BJ455" i="1"/>
  <c r="AA1994" i="1"/>
  <c r="AD2533" i="1"/>
  <c r="BJ1226" i="1"/>
  <c r="Z903" i="1"/>
  <c r="BJ2155" i="1"/>
  <c r="AB2278" i="1"/>
  <c r="AB2969" i="1"/>
  <c r="AC367" i="1"/>
  <c r="BJ596" i="1"/>
  <c r="AD2414" i="1"/>
  <c r="AB1697" i="1"/>
  <c r="Z1463" i="1"/>
  <c r="Z83" i="1"/>
  <c r="Z2136" i="1"/>
  <c r="AD83" i="1"/>
  <c r="AD109" i="1"/>
  <c r="AA1915" i="1"/>
  <c r="Z1741" i="1"/>
  <c r="AA1505" i="1"/>
  <c r="AD1909" i="1"/>
  <c r="AG294" i="1"/>
  <c r="BJ1692" i="1"/>
  <c r="AG2913" i="1"/>
  <c r="Z2406" i="1"/>
  <c r="AG311" i="1"/>
  <c r="AB2784" i="1"/>
  <c r="Z1636" i="1"/>
  <c r="BJ951" i="1"/>
  <c r="AC2381" i="1"/>
  <c r="AG2306" i="1"/>
  <c r="AC2597" i="1"/>
  <c r="Z2151" i="1"/>
  <c r="AD244" i="1"/>
  <c r="AB2057" i="1"/>
  <c r="AB2746" i="1"/>
  <c r="AG395" i="1"/>
  <c r="AB2118" i="1"/>
  <c r="AD251" i="1"/>
  <c r="AD2590" i="1"/>
  <c r="BJ1846" i="1"/>
  <c r="BJ1604" i="1"/>
  <c r="AD2702" i="1"/>
  <c r="AC577" i="1"/>
  <c r="AC620" i="1"/>
  <c r="AA3051" i="1"/>
  <c r="AG2903" i="1"/>
  <c r="AA397" i="1"/>
  <c r="AG2035" i="1"/>
  <c r="AA2766" i="1"/>
  <c r="AD1423" i="1"/>
  <c r="AA2688" i="1"/>
  <c r="AB2324" i="1"/>
  <c r="AG668" i="1"/>
  <c r="AB2656" i="1"/>
  <c r="Z1217" i="1"/>
  <c r="AG1282" i="1"/>
  <c r="Z1492" i="1"/>
  <c r="AB1002" i="1"/>
  <c r="Z522" i="1"/>
  <c r="AD177" i="1"/>
  <c r="AA1372" i="1"/>
  <c r="AD542" i="1"/>
  <c r="BJ322" i="1"/>
  <c r="AC1865" i="1"/>
  <c r="AD2188" i="1"/>
  <c r="Z1561" i="1"/>
  <c r="AC2579" i="1"/>
  <c r="AD2472" i="1"/>
  <c r="Z3047" i="1"/>
  <c r="AB147" i="1"/>
  <c r="AD1396" i="1"/>
  <c r="AG1786" i="1"/>
  <c r="AG1172" i="1"/>
  <c r="AG1049" i="1"/>
  <c r="AG377" i="1"/>
  <c r="AD1430" i="1"/>
  <c r="AG3015" i="1"/>
  <c r="AB1015" i="1"/>
  <c r="AG496" i="1"/>
  <c r="AG1210" i="1"/>
  <c r="AD1165" i="1"/>
  <c r="AA1201" i="1"/>
  <c r="BJ2744" i="1"/>
  <c r="AB1116" i="1"/>
  <c r="Z2733" i="1"/>
  <c r="AG1324" i="1"/>
  <c r="AA743" i="1"/>
  <c r="AC1535" i="1"/>
  <c r="Z1424" i="1"/>
  <c r="AC2697" i="1"/>
  <c r="AB2300" i="1"/>
  <c r="Z94" i="1"/>
  <c r="Z803" i="1"/>
  <c r="AB2022" i="1"/>
  <c r="AD2110" i="1"/>
  <c r="BJ2797" i="1"/>
  <c r="AB1086" i="1"/>
  <c r="BJ58" i="1"/>
  <c r="AG649" i="1"/>
  <c r="AG1952" i="1"/>
  <c r="AD2324" i="1"/>
  <c r="AD59" i="1"/>
  <c r="Z1532" i="1"/>
  <c r="AG3082" i="1"/>
  <c r="AG2544" i="1"/>
  <c r="Z1884" i="1"/>
  <c r="AB1515" i="1"/>
  <c r="BJ2325" i="1"/>
  <c r="Z174" i="1"/>
  <c r="AD2992" i="1"/>
  <c r="AB1051" i="1"/>
  <c r="AB485" i="1"/>
  <c r="AC3115" i="1"/>
  <c r="AC3106" i="1"/>
  <c r="AA1287" i="1"/>
  <c r="AA1643" i="1"/>
  <c r="AC1381" i="1"/>
  <c r="AD2442" i="1"/>
  <c r="AC1424" i="1"/>
  <c r="AG1385" i="1"/>
  <c r="AD950" i="1"/>
  <c r="Z618" i="1"/>
  <c r="AC2139" i="1"/>
  <c r="AG643" i="1"/>
  <c r="BJ274" i="1"/>
  <c r="AB777" i="1"/>
  <c r="BJ305" i="1"/>
  <c r="AA799" i="1"/>
  <c r="AG2032" i="1"/>
  <c r="AB211" i="1"/>
  <c r="Z948" i="1"/>
  <c r="BJ2549" i="1"/>
  <c r="AC2963" i="1"/>
  <c r="AA1868" i="1"/>
  <c r="AG2376" i="1"/>
  <c r="AG338" i="1"/>
  <c r="Z1689" i="1"/>
  <c r="AC539" i="1"/>
  <c r="Z2415" i="1"/>
  <c r="AG406" i="1"/>
  <c r="BJ2407" i="1"/>
  <c r="AA187" i="1"/>
  <c r="AD2736" i="1"/>
  <c r="AC1100" i="1"/>
  <c r="Z2832" i="1"/>
  <c r="AC2109" i="1"/>
  <c r="AA402" i="1"/>
  <c r="AD2767" i="1"/>
  <c r="Z249" i="1"/>
  <c r="AG53" i="1"/>
  <c r="BJ1747" i="1"/>
  <c r="Z1014" i="1"/>
  <c r="AC2971" i="1"/>
  <c r="AB637" i="1"/>
  <c r="AG2366" i="1"/>
  <c r="AA2193" i="1"/>
  <c r="AC1479" i="1"/>
  <c r="AA1681" i="1"/>
  <c r="AC2349" i="1"/>
  <c r="AA602" i="1"/>
  <c r="AD2433" i="1"/>
  <c r="AB1200" i="1"/>
  <c r="Z1673" i="1"/>
  <c r="BJ666" i="1"/>
  <c r="AC2589" i="1"/>
  <c r="AA2801" i="1"/>
  <c r="AB1835" i="1"/>
  <c r="AA3108" i="1"/>
  <c r="AA689" i="1"/>
  <c r="Z1199" i="1"/>
  <c r="Z1528" i="1"/>
  <c r="AC2437" i="1"/>
  <c r="BJ468" i="1"/>
  <c r="AD3053" i="1"/>
  <c r="AD1786" i="1"/>
  <c r="AD628" i="1"/>
  <c r="AC812" i="1"/>
  <c r="Z1622" i="1"/>
  <c r="AC1598" i="1"/>
  <c r="AA3088" i="1"/>
  <c r="AB1313" i="1"/>
  <c r="AG570" i="1"/>
  <c r="AG801" i="1"/>
  <c r="AA861" i="1"/>
  <c r="BJ1878" i="1"/>
  <c r="AA1989" i="1"/>
  <c r="AG1036" i="1"/>
  <c r="AB719" i="1"/>
  <c r="Z2992" i="1"/>
  <c r="AB1067" i="1"/>
  <c r="AB2054" i="1"/>
  <c r="BJ2977" i="1"/>
  <c r="AG601" i="1"/>
  <c r="AC727" i="1"/>
  <c r="Z224" i="1"/>
  <c r="AA1487" i="1"/>
  <c r="AG1168" i="1"/>
  <c r="Z2467" i="1"/>
  <c r="AC2594" i="1"/>
  <c r="AD1821" i="1"/>
  <c r="AA808" i="1"/>
  <c r="AD468" i="1"/>
  <c r="AB868" i="1"/>
  <c r="AB2708" i="1"/>
  <c r="AB1253" i="1"/>
  <c r="AG129" i="1"/>
  <c r="AD785" i="1"/>
  <c r="BJ1671" i="1"/>
  <c r="AC1742" i="1"/>
  <c r="AB1118" i="1"/>
  <c r="AD528" i="1"/>
  <c r="AD2504" i="1"/>
  <c r="AB231" i="1"/>
  <c r="AG562" i="1"/>
  <c r="AC1399" i="1"/>
  <c r="AC631" i="1"/>
  <c r="Z344" i="1"/>
  <c r="AB568" i="1"/>
  <c r="BJ3044" i="1"/>
  <c r="AA1974" i="1"/>
  <c r="AG159" i="1"/>
  <c r="AC2968" i="1"/>
  <c r="Z242" i="1"/>
  <c r="BJ2892" i="1"/>
  <c r="Z1553" i="1"/>
  <c r="AA2838" i="1"/>
  <c r="Z2925" i="1"/>
  <c r="AA2579" i="1"/>
  <c r="Z976" i="1"/>
  <c r="BJ2731" i="1"/>
  <c r="AC1647" i="1"/>
  <c r="AC976" i="1"/>
  <c r="AC256" i="1"/>
  <c r="AG3041" i="1"/>
  <c r="AB151" i="1"/>
  <c r="AC2236" i="1"/>
  <c r="Z2352" i="1"/>
  <c r="AD1845" i="1"/>
  <c r="BJ930" i="1"/>
  <c r="BJ271" i="1"/>
  <c r="AD3044" i="1"/>
  <c r="AC1176" i="1"/>
  <c r="BJ171" i="1"/>
  <c r="AA553" i="1"/>
  <c r="AB63" i="1"/>
  <c r="Z1400" i="1"/>
  <c r="AD2931" i="1"/>
  <c r="AA3128" i="1"/>
  <c r="BJ1417" i="1"/>
  <c r="AB77" i="1"/>
  <c r="AG1831" i="1"/>
  <c r="Z2375" i="1"/>
  <c r="AA237" i="1"/>
  <c r="AA787" i="1"/>
  <c r="AB1052" i="1"/>
  <c r="AA36" i="1"/>
  <c r="BJ1869" i="1"/>
  <c r="Z2476" i="1"/>
  <c r="BJ491" i="1"/>
  <c r="AA1063" i="1"/>
  <c r="AD3126" i="1"/>
  <c r="AB2287" i="1"/>
  <c r="AA2472" i="1"/>
  <c r="AG232" i="1"/>
  <c r="AG600" i="1"/>
  <c r="AA239" i="1"/>
  <c r="AD3027" i="1"/>
  <c r="AD2350" i="1"/>
  <c r="AB2404" i="1"/>
  <c r="AA2221" i="1"/>
  <c r="BJ2705" i="1"/>
  <c r="AD1079" i="1"/>
  <c r="AA1888" i="1"/>
  <c r="AD1732" i="1"/>
  <c r="AA1517" i="1"/>
  <c r="BJ430" i="1"/>
  <c r="Z1666" i="1"/>
  <c r="AC1992" i="1"/>
  <c r="AB411" i="1"/>
  <c r="Z1456" i="1"/>
  <c r="AC886" i="1"/>
  <c r="AG382" i="1"/>
  <c r="AA2833" i="1"/>
  <c r="AD64" i="1"/>
  <c r="AA3047" i="1"/>
  <c r="AB2883" i="1"/>
  <c r="AA1617" i="1"/>
  <c r="AD2377" i="1"/>
  <c r="AD2371" i="1"/>
  <c r="AG2940" i="1"/>
  <c r="AA1211" i="1"/>
  <c r="AG2612" i="1"/>
  <c r="AB966" i="1"/>
  <c r="AB111" i="1"/>
  <c r="AB2612" i="1"/>
  <c r="AD887" i="1"/>
  <c r="AD1596" i="1"/>
  <c r="AA519" i="1"/>
  <c r="BJ3070" i="1"/>
  <c r="AG2063" i="1"/>
  <c r="Z2474" i="1"/>
  <c r="Z578" i="1"/>
  <c r="AD1319" i="1"/>
  <c r="AA225" i="1"/>
  <c r="Z540" i="1"/>
  <c r="AA2251" i="1"/>
  <c r="Z2416" i="1"/>
  <c r="AG1759" i="1"/>
  <c r="AC2712" i="1"/>
  <c r="AG2569" i="1"/>
  <c r="BJ1961" i="1"/>
  <c r="BJ1849" i="1"/>
  <c r="BJ2052" i="1"/>
  <c r="Z727" i="1"/>
  <c r="AA517" i="1"/>
  <c r="AA2073" i="1"/>
  <c r="AB1330" i="1"/>
  <c r="AG289" i="1"/>
  <c r="BJ1346" i="1"/>
  <c r="BJ1180" i="1"/>
  <c r="AD2708" i="1"/>
  <c r="AB2993" i="1"/>
  <c r="AD1085" i="1"/>
  <c r="BJ2748" i="1"/>
  <c r="AB85" i="1"/>
  <c r="AG278" i="1"/>
  <c r="AG3134" i="1"/>
  <c r="AG2304" i="1"/>
  <c r="AB60" i="1"/>
  <c r="BJ1379" i="1"/>
  <c r="AD1380" i="1"/>
  <c r="AA1823" i="1"/>
  <c r="AG389" i="1"/>
  <c r="BJ166" i="1"/>
  <c r="AB2143" i="1"/>
  <c r="AB2489" i="1"/>
  <c r="Z2750" i="1"/>
  <c r="AB1669" i="1"/>
  <c r="AD381" i="1"/>
  <c r="AG1796" i="1"/>
  <c r="AG2970" i="1"/>
  <c r="AC437" i="1"/>
  <c r="AA2554" i="1"/>
  <c r="Z2453" i="1"/>
  <c r="AB606" i="1"/>
  <c r="BJ2903" i="1"/>
  <c r="AB1898" i="1"/>
  <c r="AD2824" i="1"/>
  <c r="AG2049" i="1"/>
  <c r="AC391" i="1"/>
  <c r="AB2214" i="1"/>
  <c r="AD2064" i="1"/>
  <c r="Z599" i="1"/>
  <c r="AD574" i="1"/>
  <c r="AC1988" i="1"/>
  <c r="AC156" i="1"/>
  <c r="AC616" i="1"/>
  <c r="AB2909" i="1"/>
  <c r="Z2861" i="1"/>
  <c r="AC2896" i="1"/>
  <c r="AC1107" i="1"/>
  <c r="AB254" i="1"/>
  <c r="AD1900" i="1"/>
  <c r="AA1887" i="1"/>
  <c r="AG2382" i="1"/>
  <c r="AC531" i="1"/>
  <c r="BJ2334" i="1"/>
  <c r="Z924" i="1"/>
  <c r="Z2106" i="1"/>
  <c r="AA474" i="1"/>
  <c r="Z2207" i="1"/>
  <c r="AG2440" i="1"/>
  <c r="AC1667" i="1"/>
  <c r="AD1927" i="1"/>
  <c r="Z263" i="1"/>
  <c r="AB1634" i="1"/>
  <c r="AG2661" i="1"/>
  <c r="AA1490" i="1"/>
  <c r="Z1265" i="1"/>
  <c r="AC2449" i="1"/>
  <c r="AA374" i="1"/>
  <c r="AD873" i="1"/>
  <c r="AG31" i="1"/>
  <c r="AB620" i="1"/>
  <c r="AA1484" i="1"/>
  <c r="AC61" i="1"/>
  <c r="AC3021" i="1"/>
  <c r="AG3003" i="1"/>
  <c r="AG2273" i="1"/>
  <c r="AC1239" i="1"/>
  <c r="AC581" i="1"/>
  <c r="AC745" i="1"/>
  <c r="AD2201" i="1"/>
  <c r="AD1646" i="1"/>
  <c r="AG109" i="1"/>
  <c r="AG1262" i="1"/>
  <c r="BJ2471" i="1"/>
  <c r="AD2719" i="1"/>
  <c r="AG1897" i="1"/>
  <c r="AD1590" i="1"/>
  <c r="AA932" i="1"/>
  <c r="AG2678" i="1"/>
  <c r="AB2687" i="1"/>
  <c r="AC1522" i="1"/>
  <c r="AB2368" i="1"/>
  <c r="AD2053" i="1"/>
  <c r="BJ3063" i="1"/>
  <c r="AC2725" i="1"/>
  <c r="AB2074" i="1"/>
  <c r="AG2978" i="1"/>
  <c r="BJ756" i="1"/>
  <c r="BJ2027" i="1"/>
  <c r="AD1692" i="1"/>
  <c r="AD1745" i="1"/>
  <c r="BJ1753" i="1"/>
  <c r="AA782" i="1"/>
  <c r="Z607" i="1"/>
  <c r="BJ2008" i="1"/>
  <c r="AA157" i="1"/>
  <c r="AG2779" i="1"/>
  <c r="AA2181" i="1"/>
  <c r="AD3059" i="1"/>
  <c r="BJ2231" i="1"/>
  <c r="AD2054" i="1"/>
  <c r="BJ1709" i="1"/>
  <c r="BJ2049" i="1"/>
  <c r="AD870" i="1"/>
  <c r="AB526" i="1"/>
  <c r="AC1600" i="1"/>
  <c r="AC2907" i="1"/>
  <c r="AD2057" i="1"/>
  <c r="AD1815" i="1"/>
  <c r="AD2124" i="1"/>
  <c r="AG3042" i="1"/>
  <c r="BJ911" i="1"/>
  <c r="BJ1489" i="1"/>
  <c r="AA852" i="1"/>
  <c r="Z491" i="1"/>
  <c r="AD693" i="1"/>
  <c r="BJ1206" i="1"/>
  <c r="AC2622" i="1"/>
  <c r="AB911" i="1"/>
  <c r="BJ2001" i="1"/>
  <c r="BJ560" i="1"/>
  <c r="AD2396" i="1"/>
  <c r="AB1861" i="1"/>
  <c r="AA137" i="1"/>
  <c r="AG1260" i="1"/>
  <c r="AA1266" i="1"/>
  <c r="Z2634" i="1"/>
  <c r="BJ240" i="1"/>
  <c r="AA1168" i="1"/>
  <c r="AB2577" i="1"/>
  <c r="AB446" i="1"/>
  <c r="AA1806" i="1"/>
  <c r="AG1685" i="1"/>
  <c r="AG947" i="1"/>
  <c r="AG725" i="1"/>
  <c r="AA1767" i="1"/>
  <c r="BJ194" i="1"/>
  <c r="Z433" i="1"/>
  <c r="AG1383" i="1"/>
  <c r="Z162" i="1"/>
  <c r="AB335" i="1"/>
  <c r="AB388" i="1"/>
  <c r="AB2365" i="1"/>
  <c r="AG428" i="1"/>
  <c r="AG3122" i="1"/>
  <c r="AC1616" i="1"/>
  <c r="BJ103" i="1"/>
  <c r="AB1762" i="1"/>
  <c r="AC607" i="1"/>
  <c r="AC2953" i="1"/>
  <c r="AA1557" i="1"/>
  <c r="AD2261" i="1"/>
  <c r="AB3116" i="1"/>
  <c r="AA1381" i="1"/>
  <c r="Z2797" i="1"/>
  <c r="AA2155" i="1"/>
  <c r="BJ1263" i="1"/>
  <c r="Z2336" i="1"/>
  <c r="AG1299" i="1"/>
  <c r="AB2111" i="1"/>
  <c r="BJ2091" i="1"/>
  <c r="BJ2753" i="1"/>
  <c r="AG2219" i="1"/>
  <c r="AB2921" i="1"/>
  <c r="AD934" i="1"/>
  <c r="AG2389" i="1"/>
  <c r="AB2774" i="1"/>
  <c r="AB501" i="1"/>
  <c r="AC1527" i="1"/>
  <c r="AC2789" i="1"/>
  <c r="AD1801" i="1"/>
  <c r="AB3070" i="1"/>
  <c r="AD1541" i="1"/>
  <c r="AB1182" i="1"/>
  <c r="AC2943" i="1"/>
  <c r="AD1168" i="1"/>
  <c r="AC63" i="1"/>
  <c r="AA243" i="1"/>
  <c r="AA2663" i="1"/>
  <c r="AD902" i="1"/>
  <c r="AG2073" i="1"/>
  <c r="AD14" i="1"/>
  <c r="AC2695" i="1"/>
  <c r="AD2483" i="1"/>
  <c r="Z2884" i="1"/>
  <c r="AB2981" i="1"/>
  <c r="BJ2859" i="1"/>
  <c r="AC1813" i="1"/>
  <c r="BJ2294" i="1"/>
  <c r="Z1430" i="1"/>
  <c r="Z1271" i="1"/>
  <c r="AA1296" i="1"/>
  <c r="AB276" i="1"/>
  <c r="AG1781" i="1"/>
  <c r="AB1575" i="1"/>
  <c r="AD1711" i="1"/>
  <c r="BJ2262" i="1"/>
  <c r="Z310" i="1"/>
  <c r="AC1738" i="1"/>
  <c r="AD2709" i="1"/>
  <c r="AB3121" i="1"/>
  <c r="AG375" i="1"/>
  <c r="AG296" i="1"/>
  <c r="Z2502" i="1"/>
  <c r="AB2425" i="1"/>
  <c r="AG421" i="1"/>
  <c r="AD1453" i="1"/>
  <c r="AC1087" i="1"/>
  <c r="AG2580" i="1"/>
  <c r="AC1315" i="1"/>
  <c r="AG2011" i="1"/>
  <c r="AC487" i="1"/>
  <c r="AD3106" i="1"/>
  <c r="AA364" i="1"/>
  <c r="AC2132" i="1"/>
  <c r="Z851" i="1"/>
  <c r="AG1382" i="1"/>
  <c r="BJ1185" i="1"/>
  <c r="AG3107" i="1"/>
  <c r="BJ1470" i="1"/>
  <c r="AB2112" i="1"/>
  <c r="Z1621" i="1"/>
  <c r="AG961" i="1"/>
  <c r="BJ549" i="1"/>
  <c r="Z116" i="1"/>
  <c r="AD2679" i="1"/>
  <c r="AA1822" i="1"/>
  <c r="AA192" i="1"/>
  <c r="AA1291" i="1"/>
  <c r="AD2841" i="1"/>
  <c r="AA1621" i="1"/>
  <c r="BJ161" i="1"/>
  <c r="AA1134" i="1"/>
  <c r="AA151" i="1"/>
  <c r="AC2643" i="1"/>
  <c r="AC2377" i="1"/>
  <c r="AD985" i="1"/>
  <c r="AB647" i="1"/>
  <c r="AA1404" i="1"/>
  <c r="Z1309" i="1"/>
  <c r="AA17" i="1"/>
  <c r="Z785" i="1"/>
  <c r="AG2058" i="1"/>
  <c r="AD2430" i="1"/>
  <c r="AD1263" i="1"/>
  <c r="AB1467" i="1"/>
  <c r="AD501" i="1"/>
  <c r="AC1727" i="1"/>
  <c r="AA149" i="1"/>
  <c r="AD2748" i="1"/>
  <c r="Z3048" i="1"/>
  <c r="BJ101" i="1"/>
  <c r="AA2555" i="1"/>
  <c r="AG1188" i="1"/>
  <c r="AD2835" i="1"/>
  <c r="Z1580" i="1"/>
  <c r="BJ372" i="1"/>
  <c r="AA1927" i="1"/>
  <c r="AB813" i="1"/>
  <c r="Z136" i="1"/>
  <c r="AA496" i="1"/>
  <c r="AD1710" i="1"/>
  <c r="AB2340" i="1"/>
  <c r="AB2496" i="1"/>
  <c r="AA886" i="1"/>
  <c r="AD1067" i="1"/>
  <c r="Z2672" i="1"/>
  <c r="Z2444" i="1"/>
  <c r="AB1767" i="1"/>
  <c r="AD3107" i="1"/>
  <c r="AD232" i="1"/>
  <c r="Z703" i="1"/>
  <c r="Z53" i="1"/>
  <c r="AC2189" i="1"/>
  <c r="AG636" i="1"/>
  <c r="BJ1965" i="1"/>
  <c r="AG2256" i="1"/>
  <c r="AD2071" i="1"/>
  <c r="AB1460" i="1"/>
  <c r="Z2507" i="1"/>
  <c r="AC24" i="1"/>
  <c r="AG1602" i="1"/>
  <c r="AD2250" i="1"/>
  <c r="BJ667" i="1"/>
  <c r="BJ622" i="1"/>
  <c r="AG1387" i="1"/>
  <c r="AG3148" i="1"/>
  <c r="AC2470" i="1"/>
  <c r="AA677" i="1"/>
  <c r="BJ395" i="1"/>
  <c r="AG1301" i="1"/>
  <c r="AA2903" i="1"/>
  <c r="AG996" i="1"/>
  <c r="Z1700" i="1"/>
  <c r="AB2608" i="1"/>
  <c r="BJ2893" i="1"/>
  <c r="AB923" i="1"/>
  <c r="Z2758" i="1"/>
  <c r="AG1082" i="1"/>
  <c r="AA2466" i="1"/>
  <c r="AA422" i="1"/>
  <c r="Z1040" i="1"/>
  <c r="BJ3084" i="1"/>
  <c r="Z451" i="1"/>
  <c r="BJ1207" i="1"/>
  <c r="AA3018" i="1"/>
  <c r="AG1392" i="1"/>
  <c r="BJ815" i="1"/>
  <c r="AA3049" i="1"/>
  <c r="AG443" i="1"/>
  <c r="AC1509" i="1"/>
  <c r="AC637" i="1"/>
  <c r="Z881" i="1"/>
  <c r="AG1093" i="1"/>
  <c r="AD2215" i="1"/>
  <c r="AD1564" i="1"/>
  <c r="AA635" i="1"/>
  <c r="AD472" i="1"/>
  <c r="BJ381" i="1"/>
  <c r="AC71" i="1"/>
  <c r="AC1469" i="1"/>
  <c r="AD432" i="1"/>
  <c r="AC633" i="1"/>
  <c r="BJ3104" i="1"/>
  <c r="Z980" i="1"/>
  <c r="AD1750" i="1"/>
  <c r="Z1111" i="1"/>
  <c r="AC1202" i="1"/>
  <c r="AD2774" i="1"/>
  <c r="AD52" i="1"/>
  <c r="AC2486" i="1"/>
  <c r="AD1467" i="1"/>
  <c r="AG941" i="1"/>
  <c r="BJ1588" i="1"/>
  <c r="AD1534" i="1"/>
  <c r="AD2288" i="1"/>
  <c r="AA3138" i="1"/>
  <c r="AB905" i="1"/>
  <c r="AA1348" i="1"/>
  <c r="AB619" i="1"/>
  <c r="AG2353" i="1"/>
  <c r="BJ1017" i="1"/>
  <c r="AD2087" i="1"/>
  <c r="AB2472" i="1"/>
  <c r="AC2490" i="1"/>
  <c r="AC201" i="1"/>
  <c r="BJ665" i="1"/>
  <c r="AG2346" i="1"/>
  <c r="AA173" i="1"/>
  <c r="AD1560" i="1"/>
  <c r="AA1183" i="1"/>
  <c r="Z367" i="1"/>
  <c r="AC236" i="1"/>
  <c r="AB2139" i="1"/>
  <c r="AC157" i="1"/>
  <c r="AC484" i="1"/>
  <c r="AD2553" i="1"/>
  <c r="AC2621" i="1"/>
  <c r="Z48" i="1"/>
  <c r="AC383" i="1"/>
  <c r="AB1442" i="1"/>
  <c r="AB2680" i="1"/>
  <c r="AB2902" i="1"/>
  <c r="AC2513" i="1"/>
  <c r="AB949" i="1"/>
  <c r="AC1409" i="1"/>
  <c r="AB2805" i="1"/>
  <c r="AC213" i="1"/>
  <c r="AC2516" i="1"/>
  <c r="AD3026" i="1"/>
  <c r="Z2394" i="1"/>
  <c r="AA1842" i="1"/>
  <c r="AD2152" i="1"/>
  <c r="Z823" i="1"/>
  <c r="AA2165" i="1"/>
  <c r="Z1727" i="1"/>
  <c r="AC1702" i="1"/>
  <c r="AG1442" i="1"/>
  <c r="AA1130" i="1"/>
  <c r="AA1607" i="1"/>
  <c r="BJ114" i="1"/>
  <c r="AC1196" i="1"/>
  <c r="Z1242" i="1"/>
  <c r="AG420" i="1"/>
  <c r="Z2124" i="1"/>
  <c r="AG1727" i="1"/>
  <c r="BJ1714" i="1"/>
  <c r="AG2939" i="1"/>
  <c r="Z1043" i="1"/>
  <c r="AG1980" i="1"/>
  <c r="BJ2289" i="1"/>
  <c r="AG2814" i="1"/>
  <c r="AB1469" i="1"/>
  <c r="AB762" i="1"/>
  <c r="Z2836" i="1"/>
  <c r="AA558" i="1"/>
  <c r="BJ2190" i="1"/>
  <c r="Z1469" i="1"/>
  <c r="BJ638" i="1"/>
  <c r="AA2691" i="1"/>
  <c r="Z961" i="1"/>
  <c r="AC1002" i="1"/>
  <c r="AB535" i="1"/>
  <c r="AA1926" i="1"/>
  <c r="AG2734" i="1"/>
  <c r="BJ3154" i="1"/>
  <c r="AC1079" i="1"/>
  <c r="Z1335" i="1"/>
  <c r="AB2145" i="1"/>
  <c r="AG1270" i="1"/>
  <c r="AD1179" i="1"/>
  <c r="AG706" i="1"/>
  <c r="AD332" i="1"/>
  <c r="AD16" i="1"/>
  <c r="AA421" i="1"/>
  <c r="AC430" i="1"/>
  <c r="AC2819" i="1"/>
  <c r="AA2861" i="1"/>
  <c r="BJ1505" i="1"/>
  <c r="BJ1212" i="1"/>
  <c r="AA2254" i="1"/>
  <c r="AG1744" i="1"/>
  <c r="AC2915" i="1"/>
  <c r="AG206" i="1"/>
  <c r="AD1805" i="1"/>
  <c r="BJ2979" i="1"/>
  <c r="Z2534" i="1"/>
  <c r="AB1473" i="1"/>
  <c r="AC99" i="1"/>
  <c r="AG2388" i="1"/>
  <c r="AD1141" i="1"/>
  <c r="AG1519" i="1"/>
  <c r="Z2725" i="1"/>
  <c r="AB2087" i="1"/>
  <c r="AC1972" i="1"/>
  <c r="AA2051" i="1"/>
  <c r="BJ301" i="1"/>
  <c r="AC3136" i="1"/>
  <c r="AC499" i="1"/>
  <c r="AB601" i="1"/>
  <c r="AD1270" i="1"/>
  <c r="Z1392" i="1"/>
  <c r="Z1393" i="1"/>
  <c r="AB75" i="1"/>
  <c r="BJ1209" i="1"/>
  <c r="AG770" i="1"/>
  <c r="AB2055" i="1"/>
  <c r="AG1389" i="1"/>
  <c r="AD2031" i="1"/>
  <c r="AC1423" i="1"/>
  <c r="AA1440" i="1"/>
  <c r="AG900" i="1"/>
  <c r="AB2159" i="1"/>
  <c r="AA377" i="1"/>
  <c r="AD431" i="1"/>
  <c r="AC1604" i="1"/>
  <c r="AG2199" i="1"/>
  <c r="AG2990" i="1"/>
  <c r="AC1756" i="1"/>
  <c r="BJ1788" i="1"/>
  <c r="BJ1531" i="1"/>
  <c r="BJ1200" i="1"/>
  <c r="BJ1737" i="1"/>
  <c r="AC139" i="1"/>
  <c r="AC1516" i="1"/>
  <c r="AG3057" i="1"/>
  <c r="AA562" i="1"/>
  <c r="AD3105" i="1"/>
  <c r="AA2665" i="1"/>
  <c r="AB2638" i="1"/>
  <c r="Z677" i="1"/>
  <c r="Z921" i="1"/>
  <c r="AA1314" i="1"/>
  <c r="BJ417" i="1"/>
  <c r="AA2214" i="1"/>
  <c r="AA2328" i="1"/>
  <c r="Z702" i="1"/>
  <c r="AG478" i="1"/>
  <c r="AB2797" i="1"/>
  <c r="BJ209" i="1"/>
  <c r="AB2955" i="1"/>
  <c r="AG694" i="1"/>
  <c r="AD2361" i="1"/>
  <c r="AA323" i="1"/>
  <c r="AC711" i="1"/>
  <c r="AG2312" i="1"/>
  <c r="AD2435" i="1"/>
  <c r="AB939" i="1"/>
  <c r="BJ1916" i="1"/>
  <c r="AD256" i="1"/>
  <c r="AB1583" i="1"/>
  <c r="AD2405" i="1"/>
  <c r="BJ1376" i="1"/>
  <c r="AC1817" i="1"/>
  <c r="AG2495" i="1"/>
  <c r="AB2899" i="1"/>
  <c r="AG3097" i="1"/>
  <c r="AD3141" i="1"/>
  <c r="AG967" i="1"/>
  <c r="AC2613" i="1"/>
  <c r="AA1612" i="1"/>
  <c r="Z1935" i="1"/>
  <c r="AB247" i="1"/>
  <c r="AB800" i="1"/>
  <c r="BJ2541" i="1"/>
  <c r="AD2253" i="1"/>
  <c r="AA2614" i="1"/>
  <c r="Z1262" i="1"/>
  <c r="AC563" i="1"/>
  <c r="AD1348" i="1"/>
  <c r="AA1650" i="1"/>
  <c r="AD1345" i="1"/>
  <c r="AB2080" i="1"/>
  <c r="Z1158" i="1"/>
  <c r="AC1622" i="1"/>
  <c r="Z144" i="1"/>
  <c r="AG1843" i="1"/>
  <c r="AD2268" i="1"/>
  <c r="AB2195" i="1"/>
  <c r="AB2240" i="1"/>
  <c r="AB133" i="1"/>
  <c r="AC2361" i="1"/>
  <c r="AC2794" i="1"/>
  <c r="AA329" i="1"/>
  <c r="AC1234" i="1"/>
  <c r="AG3150" i="1"/>
  <c r="AB1375" i="1"/>
  <c r="AD371" i="1"/>
  <c r="AG698" i="1"/>
  <c r="AG1412" i="1"/>
  <c r="AB980" i="1"/>
  <c r="AC1184" i="1"/>
  <c r="AD2557" i="1"/>
  <c r="AG614" i="1"/>
  <c r="BJ2764" i="1"/>
  <c r="Z1596" i="1"/>
  <c r="BJ617" i="1"/>
  <c r="AC2331" i="1"/>
  <c r="Z2787" i="1"/>
  <c r="BJ96" i="1"/>
  <c r="AB1568" i="1"/>
  <c r="AA2680" i="1"/>
  <c r="BJ2968" i="1"/>
  <c r="AD2839" i="1"/>
  <c r="AC613" i="1"/>
  <c r="AG1535" i="1"/>
  <c r="AG2275" i="1"/>
  <c r="AC1579" i="1"/>
  <c r="AG355" i="1"/>
  <c r="AA321" i="1"/>
  <c r="BJ1384" i="1"/>
  <c r="Z1432" i="1"/>
  <c r="AC971" i="1"/>
  <c r="BJ2361" i="1"/>
  <c r="BJ1231" i="1"/>
  <c r="BJ1569" i="1"/>
  <c r="Z316" i="1"/>
  <c r="BJ628" i="1"/>
  <c r="Z2724" i="1"/>
  <c r="AG987" i="1"/>
  <c r="AD1956" i="1"/>
  <c r="AD630" i="1"/>
  <c r="AB1822" i="1"/>
  <c r="BJ2522" i="1"/>
  <c r="Z1358" i="1"/>
  <c r="AB2542" i="1"/>
  <c r="AB839" i="1"/>
  <c r="AD2852" i="1"/>
  <c r="AC1736" i="1"/>
  <c r="AB2011" i="1"/>
  <c r="AB2013" i="1"/>
  <c r="AA1898" i="1"/>
  <c r="AD2928" i="1"/>
  <c r="AB1027" i="1"/>
  <c r="AC407" i="1"/>
  <c r="AB68" i="1"/>
  <c r="AA1680" i="1"/>
  <c r="AC2334" i="1"/>
  <c r="AG148" i="1"/>
  <c r="BJ448" i="1"/>
  <c r="AA791" i="1"/>
  <c r="AB244" i="1"/>
  <c r="AD2625" i="1"/>
  <c r="AA413" i="1"/>
  <c r="AA3111" i="1"/>
  <c r="AB1403" i="1"/>
  <c r="AG365" i="1"/>
  <c r="AB2659" i="1"/>
  <c r="AG759" i="1"/>
  <c r="Z1426" i="1"/>
  <c r="AG227" i="1"/>
  <c r="AG1376" i="1"/>
  <c r="AB1408" i="1"/>
  <c r="AB671" i="1"/>
  <c r="AD49" i="1"/>
  <c r="AG1689" i="1"/>
  <c r="AB304" i="1"/>
  <c r="AG1400" i="1"/>
  <c r="AB176" i="1"/>
  <c r="AC2461" i="1"/>
  <c r="AD1214" i="1"/>
  <c r="Z1768" i="1"/>
  <c r="AA3054" i="1"/>
  <c r="AD1231" i="1"/>
  <c r="AA2963" i="1"/>
  <c r="AB540" i="1"/>
  <c r="Z2757" i="1"/>
  <c r="AG2048" i="1"/>
  <c r="Z1996" i="1"/>
  <c r="BJ1909" i="1"/>
  <c r="AG736" i="1"/>
  <c r="Z1445" i="1"/>
  <c r="BJ1645" i="1"/>
  <c r="AD1333" i="1"/>
  <c r="AA2448" i="1"/>
  <c r="AD1299" i="1"/>
  <c r="BJ1210" i="1"/>
  <c r="Z650" i="1"/>
  <c r="AG740" i="1"/>
  <c r="AG1035" i="1"/>
  <c r="AG1537" i="1"/>
  <c r="AA1107" i="1"/>
  <c r="AA1611" i="1"/>
  <c r="BJ1934" i="1"/>
  <c r="AB1144" i="1"/>
  <c r="AB106" i="1"/>
  <c r="AD597" i="1"/>
  <c r="Z892" i="1"/>
  <c r="AA2612" i="1"/>
  <c r="AC428" i="1"/>
  <c r="AB1608" i="1"/>
  <c r="AG435" i="1"/>
  <c r="BJ898" i="1"/>
  <c r="AA297" i="1"/>
  <c r="AG2680" i="1"/>
  <c r="BJ2247" i="1"/>
  <c r="AC2137" i="1"/>
  <c r="Z2748" i="1"/>
  <c r="AD2861" i="1"/>
  <c r="AG2475" i="1"/>
  <c r="AC2783" i="1"/>
  <c r="Z992" i="1"/>
  <c r="AB1421" i="1"/>
  <c r="AC621" i="1"/>
  <c r="AG446" i="1"/>
  <c r="AB518" i="1"/>
  <c r="AA349" i="1"/>
  <c r="AB2796" i="1"/>
  <c r="BJ2305" i="1"/>
  <c r="AD2084" i="1"/>
  <c r="Z2667" i="1"/>
  <c r="AD792" i="1"/>
  <c r="BJ3051" i="1"/>
  <c r="AB1785" i="1"/>
  <c r="Z1317" i="1"/>
  <c r="AC340" i="1"/>
  <c r="AB642" i="1"/>
  <c r="AG1401" i="1"/>
  <c r="AG1730" i="1"/>
  <c r="BJ1297" i="1"/>
  <c r="AG207" i="1"/>
  <c r="AB1110" i="1"/>
  <c r="Z640" i="1"/>
  <c r="AA2329" i="1"/>
  <c r="AB941" i="1"/>
  <c r="AA2494" i="1"/>
  <c r="BJ336" i="1"/>
  <c r="AB188" i="1"/>
  <c r="AB664" i="1"/>
  <c r="AG293" i="1"/>
  <c r="AD1048" i="1"/>
  <c r="AA1782" i="1"/>
  <c r="AD301" i="1"/>
  <c r="AC2278" i="1"/>
  <c r="Z363" i="1"/>
  <c r="AB584" i="1"/>
  <c r="AG824" i="1"/>
  <c r="AC3033" i="1"/>
  <c r="Z628" i="1"/>
  <c r="AB2286" i="1"/>
  <c r="BJ474" i="1"/>
  <c r="AC1397" i="1"/>
  <c r="Z577" i="1"/>
  <c r="AC1354" i="1"/>
  <c r="AG2375" i="1"/>
  <c r="AC2235" i="1"/>
  <c r="AB542" i="1"/>
  <c r="AB714" i="1"/>
  <c r="AA998" i="1"/>
  <c r="AC3011" i="1"/>
  <c r="AB2461" i="1"/>
  <c r="BJ384" i="1"/>
  <c r="AG72" i="1"/>
  <c r="AA572" i="1"/>
  <c r="AD1524" i="1"/>
  <c r="Z157" i="1"/>
  <c r="AG808" i="1"/>
  <c r="AA34" i="1"/>
  <c r="AG186" i="1"/>
  <c r="AB2072" i="1"/>
  <c r="AC2988" i="1"/>
  <c r="BJ499" i="1"/>
  <c r="BJ1618" i="1"/>
  <c r="AG1476" i="1"/>
  <c r="AG1907" i="1"/>
  <c r="AC1481" i="1"/>
  <c r="BJ616" i="1"/>
  <c r="AC225" i="1"/>
  <c r="AB339" i="1"/>
  <c r="AG2158" i="1"/>
  <c r="Z1813" i="1"/>
  <c r="AB559" i="1"/>
  <c r="AG3044" i="1"/>
  <c r="BJ3094" i="1"/>
  <c r="AG1947" i="1"/>
  <c r="Z1544" i="1"/>
  <c r="Z2835" i="1"/>
  <c r="BJ722" i="1"/>
  <c r="AC1677" i="1"/>
  <c r="AC1471" i="1"/>
  <c r="AG1306" i="1"/>
  <c r="AC2056" i="1"/>
  <c r="AB415" i="1"/>
  <c r="AC149" i="1"/>
  <c r="AB1391" i="1"/>
  <c r="AG3132" i="1"/>
  <c r="AB541" i="1"/>
  <c r="AB397" i="1"/>
  <c r="AD1265" i="1"/>
  <c r="BJ1449" i="1"/>
  <c r="AB2178" i="1"/>
  <c r="AA1129" i="1"/>
  <c r="AC1155" i="1"/>
  <c r="AG150" i="1"/>
  <c r="AD1376" i="1"/>
  <c r="AD3095" i="1"/>
  <c r="AC1589" i="1"/>
  <c r="AB2336" i="1"/>
  <c r="AG2832" i="1"/>
  <c r="BJ1689" i="1"/>
  <c r="AC2545" i="1"/>
  <c r="BJ1031" i="1"/>
  <c r="AG757" i="1"/>
  <c r="AA952" i="1"/>
  <c r="AB1750" i="1"/>
  <c r="BJ1317" i="1"/>
  <c r="AA408" i="1"/>
  <c r="AD216" i="1"/>
  <c r="BJ2682" i="1"/>
  <c r="AD95" i="1"/>
  <c r="AB2939" i="1"/>
  <c r="Z385" i="1"/>
  <c r="AC2344" i="1"/>
  <c r="AD2041" i="1"/>
  <c r="AG708" i="1"/>
  <c r="AC2075" i="1"/>
  <c r="AA2394" i="1"/>
  <c r="Z2930" i="1"/>
  <c r="AB2465" i="1"/>
  <c r="AA862" i="1"/>
  <c r="AC1949" i="1"/>
  <c r="Z541" i="1"/>
  <c r="AA2243" i="1"/>
  <c r="AD2875" i="1"/>
  <c r="AD816" i="1"/>
  <c r="Z2564" i="1"/>
  <c r="AC491" i="1"/>
  <c r="BJ1573" i="1"/>
  <c r="AD116" i="1"/>
  <c r="AG2163" i="1"/>
  <c r="AA845" i="1"/>
  <c r="AG2169" i="1"/>
  <c r="AC634" i="1"/>
  <c r="AD399" i="1"/>
  <c r="AC100" i="1"/>
  <c r="AA957" i="1"/>
  <c r="AA2322" i="1"/>
  <c r="AA753" i="1"/>
  <c r="Z674" i="1"/>
  <c r="AG1469" i="1"/>
  <c r="AG2465" i="1"/>
  <c r="AG2261" i="1"/>
  <c r="AD865" i="1"/>
  <c r="Z3017" i="1"/>
  <c r="AA1705" i="1"/>
  <c r="BJ2383" i="1"/>
  <c r="AB2319" i="1"/>
  <c r="AD2503" i="1"/>
  <c r="AA1924" i="1"/>
  <c r="AB445" i="1"/>
  <c r="BJ1288" i="1"/>
  <c r="AA3116" i="1"/>
  <c r="AA1356" i="1"/>
  <c r="AB1485" i="1"/>
  <c r="Z1577" i="1"/>
  <c r="AC1244" i="1"/>
  <c r="AB2398" i="1"/>
  <c r="AC2242" i="1"/>
  <c r="AB1950" i="1"/>
  <c r="Z1851" i="1"/>
  <c r="Z726" i="1"/>
  <c r="AA1147" i="1"/>
  <c r="AD238" i="1"/>
  <c r="AC955" i="1"/>
  <c r="AB2736" i="1"/>
  <c r="AD1018" i="1"/>
  <c r="BJ663" i="1"/>
  <c r="AC1217" i="1"/>
  <c r="AG1197" i="1"/>
  <c r="AB978" i="1"/>
  <c r="BJ201" i="1"/>
  <c r="AB1332" i="1"/>
  <c r="Z1525" i="1"/>
  <c r="AG1521" i="1"/>
  <c r="AG1195" i="1"/>
  <c r="AG963" i="1"/>
  <c r="AB681" i="1"/>
  <c r="AC622" i="1"/>
  <c r="AB2379" i="1"/>
  <c r="AD1573" i="1"/>
  <c r="AA3031" i="1"/>
  <c r="AG958" i="1"/>
  <c r="AD2707" i="1"/>
  <c r="AG1067" i="1"/>
  <c r="BJ1766" i="1"/>
  <c r="BJ724" i="1"/>
  <c r="Z2435" i="1"/>
  <c r="AD1935" i="1"/>
  <c r="AD646" i="1"/>
  <c r="AA1534" i="1"/>
  <c r="AG2493" i="1"/>
  <c r="AA931" i="1"/>
  <c r="AG1327" i="1"/>
  <c r="AG400" i="1"/>
  <c r="Z1942" i="1"/>
  <c r="BJ398" i="1"/>
  <c r="AD2588" i="1"/>
  <c r="AB2208" i="1"/>
  <c r="AB547" i="1"/>
  <c r="Z843" i="1"/>
  <c r="Z637" i="1"/>
  <c r="AC567" i="1"/>
  <c r="BJ562" i="1"/>
  <c r="AG2543" i="1"/>
  <c r="AA1228" i="1"/>
  <c r="AD1297" i="1"/>
  <c r="BJ22" i="1"/>
  <c r="AC2323" i="1"/>
  <c r="BJ985" i="1"/>
  <c r="AB495" i="1"/>
  <c r="AC2415" i="1"/>
  <c r="AB2943" i="1"/>
  <c r="Z2603" i="1"/>
  <c r="AA416" i="1"/>
  <c r="Z1346" i="1"/>
  <c r="AG1564" i="1"/>
  <c r="Z1590" i="1"/>
  <c r="AG1740" i="1"/>
  <c r="BJ1155" i="1"/>
  <c r="AA1031" i="1"/>
  <c r="BJ2167" i="1"/>
  <c r="AC2527" i="1"/>
  <c r="AD1271" i="1"/>
  <c r="AG825" i="1"/>
  <c r="Z1616" i="1"/>
  <c r="AD1959" i="1"/>
  <c r="AA2373" i="1"/>
  <c r="AG1808" i="1"/>
  <c r="AC2174" i="1"/>
  <c r="AB1727" i="1"/>
  <c r="AG1592" i="1"/>
  <c r="AA1656" i="1"/>
  <c r="AB2117" i="1"/>
  <c r="Z2146" i="1"/>
  <c r="AA1486" i="1"/>
  <c r="Z1291" i="1"/>
  <c r="AA72" i="1"/>
  <c r="AB36" i="1"/>
  <c r="Z751" i="1"/>
  <c r="AA899" i="1"/>
  <c r="Z1214" i="1"/>
  <c r="Z1748" i="1"/>
  <c r="AC395" i="1"/>
  <c r="AA2444" i="1"/>
  <c r="AG2043" i="1"/>
  <c r="AA2451" i="1"/>
  <c r="AC1797" i="1"/>
  <c r="AD2681" i="1"/>
  <c r="BJ2360" i="1"/>
  <c r="AG2561" i="1"/>
  <c r="AB575" i="1"/>
  <c r="AG1221" i="1"/>
  <c r="BJ2375" i="1"/>
  <c r="AB1219" i="1"/>
  <c r="Z340" i="1"/>
  <c r="AB2182" i="1"/>
  <c r="BJ2425" i="1"/>
  <c r="Z188" i="1"/>
  <c r="AD2228" i="1"/>
  <c r="AG869" i="1"/>
  <c r="BJ2788" i="1"/>
  <c r="AD885" i="1"/>
  <c r="Z2899" i="1"/>
  <c r="AG2402" i="1"/>
  <c r="Z2203" i="1"/>
  <c r="AC111" i="1"/>
  <c r="BJ1593" i="1"/>
  <c r="AG2542" i="1"/>
  <c r="AG1258" i="1"/>
  <c r="AD1984" i="1"/>
  <c r="AB1508" i="1"/>
  <c r="AD1937" i="1"/>
  <c r="AA2288" i="1"/>
  <c r="AD179" i="1"/>
  <c r="AC2628" i="1"/>
  <c r="BJ94" i="1"/>
  <c r="AB1468" i="1"/>
  <c r="Z150" i="1"/>
  <c r="AG2797" i="1"/>
  <c r="AG1622" i="1"/>
  <c r="BJ2373" i="1"/>
  <c r="AG1589" i="1"/>
  <c r="AC1340" i="1"/>
  <c r="AD2513" i="1"/>
  <c r="AC2574" i="1"/>
  <c r="AG3096" i="1"/>
  <c r="AB2856" i="1"/>
  <c r="AC838" i="1"/>
  <c r="AD1092" i="1"/>
  <c r="AG178" i="1"/>
  <c r="AB1481" i="1"/>
  <c r="Z1875" i="1"/>
  <c r="AD504" i="1"/>
  <c r="AB959" i="1"/>
  <c r="AC2008" i="1"/>
  <c r="AA1002" i="1"/>
  <c r="Z2358" i="1"/>
  <c r="AB2507" i="1"/>
  <c r="Z74" i="1"/>
  <c r="AB1541" i="1"/>
  <c r="BJ356" i="1"/>
  <c r="Z624" i="1"/>
  <c r="AD2534" i="1"/>
  <c r="AD3108" i="1"/>
  <c r="AB2990" i="1"/>
  <c r="BJ2144" i="1"/>
  <c r="AB292" i="1"/>
  <c r="BJ1647" i="1"/>
  <c r="AC49" i="1"/>
  <c r="AG1640" i="1"/>
  <c r="Z1585" i="1"/>
  <c r="BJ3061" i="1"/>
  <c r="AC915" i="1"/>
  <c r="AB1806" i="1"/>
  <c r="Z2195" i="1"/>
  <c r="AD586" i="1"/>
  <c r="Z1896" i="1"/>
  <c r="AC3118" i="1"/>
  <c r="BJ242" i="1"/>
  <c r="AA91" i="1"/>
  <c r="AC882" i="1"/>
  <c r="AC117" i="1"/>
  <c r="AD1928" i="1"/>
  <c r="AC2221" i="1"/>
  <c r="AD1340" i="1"/>
  <c r="AG1942" i="1"/>
  <c r="AD62" i="1"/>
  <c r="BJ1990" i="1"/>
  <c r="AB2817" i="1"/>
  <c r="AC3103" i="1"/>
  <c r="AG1768" i="1"/>
  <c r="AC2538" i="1"/>
  <c r="BJ1891" i="1"/>
  <c r="AC2812" i="1"/>
  <c r="AA480" i="1"/>
  <c r="AA2474" i="1"/>
  <c r="AD2339" i="1"/>
  <c r="BJ276" i="1"/>
  <c r="AA2456" i="1"/>
  <c r="AA1229" i="1"/>
  <c r="AD1938" i="1"/>
  <c r="AC673" i="1"/>
  <c r="BJ2755" i="1"/>
  <c r="AB2572" i="1"/>
  <c r="AG2133" i="1"/>
  <c r="AA2403" i="1"/>
  <c r="AA14" i="1"/>
  <c r="AC1207" i="1"/>
  <c r="AG1688" i="1"/>
  <c r="AB365" i="1"/>
  <c r="AA2462" i="1"/>
  <c r="AA620" i="1"/>
  <c r="AG1088" i="1"/>
  <c r="AA1195" i="1"/>
  <c r="Z939" i="1"/>
  <c r="Z2191" i="1"/>
  <c r="BJ647" i="1"/>
  <c r="AG1536" i="1"/>
  <c r="AB1991" i="1"/>
  <c r="AA908" i="1"/>
  <c r="Z1180" i="1"/>
  <c r="AC1376" i="1"/>
  <c r="BJ1130" i="1"/>
  <c r="AG1420" i="1"/>
  <c r="AG2386" i="1"/>
  <c r="Z1629" i="1"/>
  <c r="AA3062" i="1"/>
  <c r="AC364" i="1"/>
  <c r="Z3078" i="1"/>
  <c r="Z2186" i="1"/>
  <c r="AA2388" i="1"/>
  <c r="BJ996" i="1"/>
  <c r="AB456" i="1"/>
  <c r="AA2827" i="1"/>
  <c r="AG882" i="1"/>
  <c r="AC2400" i="1"/>
  <c r="AG2104" i="1"/>
  <c r="AB2209" i="1"/>
  <c r="AB1910" i="1"/>
  <c r="BJ2506" i="1"/>
  <c r="BJ2024" i="1"/>
  <c r="AA2190" i="1"/>
  <c r="Z1121" i="1"/>
  <c r="BJ1816" i="1"/>
  <c r="AA13" i="1"/>
  <c r="AC2019" i="1"/>
  <c r="AD435" i="1"/>
  <c r="AC418" i="1"/>
  <c r="AC2077" i="1"/>
  <c r="Z1550" i="1"/>
  <c r="AC3090" i="1"/>
  <c r="Z1101" i="1"/>
  <c r="Z254" i="1"/>
  <c r="AC3010" i="1"/>
  <c r="AG1914" i="1"/>
  <c r="AC2401" i="1"/>
  <c r="BJ2567" i="1"/>
  <c r="AB2596" i="1"/>
  <c r="Z2934" i="1"/>
  <c r="AA1921" i="1"/>
  <c r="AD525" i="1"/>
  <c r="AC1686" i="1"/>
  <c r="AC1392" i="1"/>
  <c r="AB17" i="1"/>
  <c r="AC2688" i="1"/>
  <c r="Z1470" i="1"/>
  <c r="AB3117" i="1"/>
  <c r="AC1634" i="1"/>
  <c r="BJ2741" i="1"/>
  <c r="BJ404" i="1"/>
  <c r="AA2376" i="1"/>
  <c r="AD1663" i="1"/>
  <c r="AC2222" i="1"/>
  <c r="AC230" i="1"/>
  <c r="BJ860" i="1"/>
  <c r="AD2475" i="1"/>
  <c r="BJ1807" i="1"/>
  <c r="AC1960" i="1"/>
  <c r="AD2232" i="1"/>
  <c r="AD490" i="1"/>
  <c r="AC524" i="1"/>
  <c r="AG1856" i="1"/>
  <c r="Z1388" i="1"/>
  <c r="AG2562" i="1"/>
  <c r="BJ3085" i="1"/>
  <c r="AB311" i="1"/>
  <c r="AB1765" i="1"/>
  <c r="AA355" i="1"/>
  <c r="AB1445" i="1"/>
  <c r="BJ1978" i="1"/>
  <c r="AB1960" i="1"/>
  <c r="AG1328" i="1"/>
  <c r="AD1804" i="1"/>
  <c r="Z1963" i="1"/>
  <c r="AA166" i="1"/>
  <c r="AB2503" i="1"/>
  <c r="AD2439" i="1"/>
  <c r="AB924" i="1"/>
  <c r="AG2317" i="1"/>
  <c r="AC2092" i="1"/>
  <c r="AD2801" i="1"/>
  <c r="AA2812" i="1"/>
  <c r="AA2904" i="1"/>
  <c r="AD3080" i="1"/>
  <c r="Z1021" i="1"/>
  <c r="AA2744" i="1"/>
  <c r="BJ2964" i="1"/>
  <c r="AD477" i="1"/>
  <c r="AD2338" i="1"/>
  <c r="AA678" i="1"/>
  <c r="Z1716" i="1"/>
  <c r="AB1058" i="1"/>
  <c r="AB1628" i="1"/>
  <c r="AA127" i="1"/>
  <c r="AA2731" i="1"/>
  <c r="AG112" i="1"/>
  <c r="BJ3076" i="1"/>
  <c r="Z1893" i="1"/>
  <c r="AB1224" i="1"/>
  <c r="Z1415" i="1"/>
  <c r="AG2013" i="1"/>
  <c r="AC1171" i="1"/>
  <c r="BJ53" i="1"/>
  <c r="AA759" i="1"/>
  <c r="AA2974" i="1"/>
  <c r="AD673" i="1"/>
  <c r="AB96" i="1"/>
  <c r="BJ674" i="1"/>
  <c r="AG357" i="1"/>
  <c r="AD2200" i="1"/>
  <c r="AG1298" i="1"/>
  <c r="AC1327" i="1"/>
  <c r="AB122" i="1"/>
  <c r="AB2442" i="1"/>
  <c r="AA544" i="1"/>
  <c r="Z1318" i="1"/>
  <c r="Z732" i="1"/>
  <c r="AG877" i="1"/>
  <c r="BJ3113" i="1"/>
  <c r="AD31" i="1"/>
  <c r="Z591" i="1"/>
  <c r="Z1244" i="1"/>
  <c r="AA3100" i="1"/>
  <c r="AC2408" i="1"/>
  <c r="Z2539" i="1"/>
  <c r="Z114" i="1"/>
  <c r="Z968" i="1"/>
  <c r="AA345" i="1"/>
  <c r="AC2060" i="1"/>
  <c r="AB1603" i="1"/>
  <c r="AA267" i="1"/>
  <c r="AA941" i="1"/>
  <c r="AB2241" i="1"/>
  <c r="AC1820" i="1"/>
  <c r="AB2218" i="1"/>
  <c r="Z2170" i="1"/>
  <c r="AC1118" i="1"/>
  <c r="AA963" i="1"/>
  <c r="AA119" i="1"/>
  <c r="BJ2555" i="1"/>
  <c r="AB1653" i="1"/>
  <c r="AC248" i="1"/>
  <c r="Z2414" i="1"/>
  <c r="AA3136" i="1"/>
  <c r="BJ2218" i="1"/>
  <c r="AD556" i="1"/>
  <c r="AD667" i="1"/>
  <c r="AG50" i="1"/>
  <c r="AC2710" i="1"/>
  <c r="AC2691" i="1"/>
  <c r="AB1832" i="1"/>
  <c r="AG1070" i="1"/>
  <c r="AB1036" i="1"/>
  <c r="AA2149" i="1"/>
  <c r="Z1085" i="1"/>
  <c r="AD144" i="1"/>
  <c r="AG410" i="1"/>
  <c r="AC2800" i="1"/>
  <c r="AB912" i="1"/>
  <c r="AD774" i="1"/>
  <c r="BJ1474" i="1"/>
  <c r="AC2810" i="1"/>
  <c r="AA2019" i="1"/>
  <c r="AB2060" i="1"/>
  <c r="AG1227" i="1"/>
  <c r="AA1354" i="1"/>
  <c r="AA1305" i="1"/>
  <c r="AA1540" i="1"/>
  <c r="AD2416" i="1"/>
  <c r="AD857" i="1"/>
  <c r="AB2475" i="1"/>
  <c r="AG2631" i="1"/>
  <c r="BJ1856" i="1"/>
  <c r="AB983" i="1"/>
  <c r="AA1095" i="1"/>
  <c r="BJ312" i="1"/>
  <c r="Z835" i="1"/>
  <c r="AC729" i="1"/>
  <c r="AC1302" i="1"/>
  <c r="AD112" i="1"/>
  <c r="AG1778" i="1"/>
  <c r="BJ545" i="1"/>
  <c r="AC319" i="1"/>
  <c r="AA2151" i="1"/>
  <c r="BJ1482" i="1"/>
  <c r="AA1809" i="1"/>
  <c r="AC1787" i="1"/>
  <c r="AD210" i="1"/>
  <c r="AG1960" i="1"/>
  <c r="AD776" i="1"/>
  <c r="AB1963" i="1"/>
  <c r="AB1800" i="1"/>
  <c r="AB3021" i="1"/>
  <c r="AD2714" i="1"/>
  <c r="AC1577" i="1"/>
  <c r="AC1231" i="1"/>
  <c r="AD1802" i="1"/>
  <c r="AC889" i="1"/>
  <c r="AG2288" i="1"/>
  <c r="AA2627" i="1"/>
  <c r="AB636" i="1"/>
  <c r="AD1059" i="1"/>
  <c r="AB1935" i="1"/>
  <c r="AA2860" i="1"/>
  <c r="BJ2472" i="1"/>
  <c r="Z833" i="1"/>
  <c r="BJ2864" i="1"/>
  <c r="AC2903" i="1"/>
  <c r="AB2032" i="1"/>
  <c r="BJ1476" i="1"/>
  <c r="AB1014" i="1"/>
  <c r="AB2972" i="1"/>
  <c r="AG751" i="1"/>
  <c r="BJ1995" i="1"/>
  <c r="BJ2624" i="1"/>
  <c r="AD2547" i="1"/>
  <c r="AA2194" i="1"/>
  <c r="AB232" i="1"/>
  <c r="AG1774" i="1"/>
  <c r="AB1019" i="1"/>
  <c r="AG2904" i="1"/>
  <c r="BJ1491" i="1"/>
  <c r="BJ2225" i="1"/>
  <c r="AD894" i="1"/>
  <c r="AB1238" i="1"/>
  <c r="AA1040" i="1"/>
  <c r="AB2397" i="1"/>
  <c r="AG417" i="1"/>
  <c r="Z1093" i="1"/>
  <c r="AD2812" i="1"/>
  <c r="AD999" i="1"/>
  <c r="BJ1759" i="1"/>
  <c r="BJ1666" i="1"/>
  <c r="AA2912" i="1"/>
  <c r="BJ2840" i="1"/>
  <c r="AC2407" i="1"/>
  <c r="AD2398" i="1"/>
  <c r="Z597" i="1"/>
  <c r="AA560" i="1"/>
  <c r="BJ2694" i="1"/>
  <c r="AD1210" i="1"/>
  <c r="AA1636" i="1"/>
  <c r="AA2129" i="1"/>
  <c r="AC1139" i="1"/>
  <c r="Z2584" i="1"/>
  <c r="AD1748" i="1"/>
  <c r="AC489" i="1"/>
  <c r="AB1655" i="1"/>
  <c r="AD1275" i="1"/>
  <c r="AG973" i="1"/>
  <c r="AC1719" i="1"/>
  <c r="AC41" i="1"/>
  <c r="AG1707" i="1"/>
  <c r="BJ1994" i="1"/>
  <c r="AA1547" i="1"/>
  <c r="AD2998" i="1"/>
  <c r="AC1640" i="1"/>
  <c r="Z2065" i="1"/>
  <c r="Z2858" i="1"/>
  <c r="AG3104" i="1"/>
  <c r="AA2958" i="1"/>
  <c r="AG2159" i="1"/>
  <c r="AG1771" i="1"/>
  <c r="AG858" i="1"/>
  <c r="BJ2521" i="1"/>
  <c r="AC980" i="1"/>
  <c r="BJ1183" i="1"/>
  <c r="BJ124" i="1"/>
  <c r="AC249" i="1"/>
  <c r="AC471" i="1"/>
  <c r="AB2432" i="1"/>
  <c r="AG775" i="1"/>
  <c r="BJ1223" i="1"/>
  <c r="AD236" i="1"/>
  <c r="Z1926" i="1"/>
  <c r="Z2360" i="1"/>
  <c r="AC2817" i="1"/>
  <c r="AC2959" i="1"/>
  <c r="BJ1014" i="1"/>
  <c r="AD413" i="1"/>
  <c r="AD2298" i="1"/>
  <c r="AD2561" i="1"/>
  <c r="Z2877" i="1"/>
  <c r="BJ977" i="1"/>
  <c r="AG157" i="1"/>
  <c r="AC2101" i="1"/>
  <c r="BJ2410" i="1"/>
  <c r="AD2179" i="1"/>
  <c r="AD1003" i="1"/>
  <c r="BJ900" i="1"/>
  <c r="AG2269" i="1"/>
  <c r="Z2198" i="1"/>
  <c r="AA1814" i="1"/>
  <c r="AA1536" i="1"/>
  <c r="AG2094" i="1"/>
  <c r="AB1545" i="1"/>
  <c r="AA310" i="1"/>
  <c r="AG1991" i="1"/>
  <c r="AG1272" i="1"/>
  <c r="AC586" i="1"/>
  <c r="Z2503" i="1"/>
  <c r="AA2804" i="1"/>
  <c r="BJ49" i="1"/>
  <c r="AA2397" i="1"/>
  <c r="BJ1811" i="1"/>
  <c r="AG1075" i="1"/>
  <c r="AB2344" i="1"/>
  <c r="Z1443" i="1"/>
  <c r="AA1192" i="1"/>
  <c r="AD1686" i="1"/>
  <c r="AB500" i="1"/>
  <c r="BJ1257" i="1"/>
  <c r="AA2855" i="1"/>
  <c r="AB2301" i="1"/>
  <c r="AC877" i="1"/>
  <c r="AD1230" i="1"/>
  <c r="AA744" i="1"/>
  <c r="Z2441" i="1"/>
  <c r="AC1363" i="1"/>
  <c r="AC3044" i="1"/>
  <c r="Z2123" i="1"/>
  <c r="BJ1045" i="1"/>
  <c r="AG2518" i="1"/>
  <c r="AA2630" i="1"/>
  <c r="AC542" i="1"/>
  <c r="AC1420" i="1"/>
  <c r="AA1679" i="1"/>
  <c r="BJ2183" i="1"/>
  <c r="AB2125" i="1"/>
  <c r="AG2943" i="1"/>
  <c r="AA540" i="1"/>
  <c r="AG748" i="1"/>
  <c r="AA2990" i="1"/>
  <c r="AB117" i="1"/>
  <c r="Z1413" i="1"/>
  <c r="AD2943" i="1"/>
  <c r="AA1256" i="1"/>
  <c r="Z1294" i="1"/>
  <c r="AG1648" i="1"/>
  <c r="AG3019" i="1"/>
  <c r="AG3131" i="1"/>
  <c r="AA1070" i="1"/>
  <c r="AD1842" i="1"/>
  <c r="AC1597" i="1"/>
  <c r="Z1956" i="1"/>
  <c r="Z2434" i="1"/>
  <c r="BJ2721" i="1"/>
  <c r="AG10" i="1"/>
  <c r="AA124" i="1"/>
  <c r="Z2841" i="1"/>
  <c r="AA1828" i="1"/>
  <c r="BJ185" i="1"/>
  <c r="AA1829" i="1"/>
  <c r="AB496" i="1"/>
  <c r="AC2650" i="1"/>
  <c r="AB2482" i="1"/>
  <c r="AD2004" i="1"/>
  <c r="Z1142" i="1"/>
  <c r="AB855" i="1"/>
  <c r="AB2750" i="1"/>
  <c r="BJ988" i="1"/>
  <c r="BJ841" i="1"/>
  <c r="AD1318" i="1"/>
  <c r="Z1164" i="1"/>
  <c r="AA2626" i="1"/>
  <c r="BJ2726" i="1"/>
  <c r="AC2894" i="1"/>
  <c r="AA190" i="1"/>
  <c r="AB2069" i="1"/>
  <c r="Z834" i="1"/>
  <c r="AA2842" i="1"/>
  <c r="AB2454" i="1"/>
  <c r="AD1520" i="1"/>
  <c r="Z452" i="1"/>
  <c r="AG105" i="1"/>
  <c r="AB3000" i="1"/>
  <c r="AA1993" i="1"/>
  <c r="BJ362" i="1"/>
  <c r="Z3114" i="1"/>
  <c r="AD3133" i="1"/>
  <c r="BJ601" i="1"/>
  <c r="AA417" i="1"/>
  <c r="BJ2685" i="1"/>
  <c r="AG1220" i="1"/>
  <c r="AA2439" i="1"/>
  <c r="AB778" i="1"/>
  <c r="AC2406" i="1"/>
  <c r="AA935" i="1"/>
  <c r="Z2263" i="1"/>
  <c r="AC1573" i="1"/>
  <c r="AB820" i="1"/>
  <c r="AB1252" i="1"/>
  <c r="AA1950" i="1"/>
  <c r="BJ2344" i="1"/>
  <c r="Z2604" i="1"/>
  <c r="AB281" i="1"/>
  <c r="AG1706" i="1"/>
  <c r="Z73" i="1"/>
  <c r="BJ1581" i="1"/>
  <c r="Z2577" i="1"/>
  <c r="BJ1025" i="1"/>
  <c r="BJ2028" i="1"/>
  <c r="AA210" i="1"/>
  <c r="AG2468" i="1"/>
  <c r="AC1635" i="1"/>
  <c r="AD2494" i="1"/>
  <c r="AB1248" i="1"/>
  <c r="Z2067" i="1"/>
  <c r="BJ1526" i="1"/>
  <c r="AD2977" i="1"/>
  <c r="AC2711" i="1"/>
  <c r="AB2525" i="1"/>
  <c r="BJ2311" i="1"/>
  <c r="AC1492" i="1"/>
  <c r="AG651" i="1"/>
  <c r="AD393" i="1"/>
  <c r="AG1130" i="1"/>
  <c r="AG2708" i="1"/>
  <c r="AC1608" i="1"/>
  <c r="BJ2280" i="1"/>
  <c r="AC2762" i="1"/>
  <c r="BJ2990" i="1"/>
  <c r="AD1264" i="1"/>
  <c r="AG1921" i="1"/>
  <c r="AG1268" i="1"/>
  <c r="AB2995" i="1"/>
  <c r="AG664" i="1"/>
  <c r="AG442" i="1"/>
  <c r="AD2024" i="1"/>
  <c r="AB1879" i="1"/>
  <c r="AC2396" i="1"/>
  <c r="AA2947" i="1"/>
  <c r="AA1064" i="1"/>
  <c r="AG2807" i="1"/>
  <c r="BJ975" i="1"/>
  <c r="AA2765" i="1"/>
  <c r="AG908" i="1"/>
  <c r="Z1559" i="1"/>
  <c r="BJ2997" i="1"/>
  <c r="AD445" i="1"/>
  <c r="AB1850" i="1"/>
  <c r="AC2598" i="1"/>
  <c r="AB1457" i="1"/>
  <c r="AB836" i="1"/>
  <c r="AA2647" i="1"/>
  <c r="AC840" i="1"/>
  <c r="BJ688" i="1"/>
  <c r="AB1523" i="1"/>
  <c r="BJ2070" i="1"/>
  <c r="Z3057" i="1"/>
  <c r="AD1429" i="1"/>
  <c r="AB1161" i="1"/>
  <c r="Z3133" i="1"/>
  <c r="AD287" i="1"/>
  <c r="AB2691" i="1"/>
  <c r="AB382" i="1"/>
  <c r="AD2335" i="1"/>
  <c r="AB1301" i="1"/>
  <c r="Z2741" i="1"/>
  <c r="Z437" i="1"/>
  <c r="BJ2329" i="1"/>
  <c r="BJ2339" i="1"/>
  <c r="BJ213" i="1"/>
  <c r="Z3117" i="1"/>
  <c r="AG1520" i="1"/>
  <c r="AB1001" i="1"/>
  <c r="AG228" i="1"/>
  <c r="AD406" i="1"/>
  <c r="AG2160" i="1"/>
  <c r="AA1001" i="1"/>
  <c r="BJ1030" i="1"/>
  <c r="Z221" i="1"/>
  <c r="BJ2259" i="1"/>
  <c r="Z293" i="1"/>
  <c r="Z253" i="1"/>
  <c r="AB2447" i="1"/>
  <c r="Z799" i="1"/>
  <c r="AD40" i="1"/>
  <c r="Z212" i="1"/>
  <c r="BJ2681" i="1"/>
  <c r="AD560" i="1"/>
  <c r="AD2056" i="1"/>
  <c r="AC1162" i="1"/>
  <c r="BJ306" i="1"/>
  <c r="AB822" i="1"/>
  <c r="AG269" i="1"/>
  <c r="AC2133" i="1"/>
  <c r="AC2200" i="1"/>
  <c r="Z659" i="1"/>
  <c r="AG1398" i="1"/>
  <c r="AC1523" i="1"/>
  <c r="AB764" i="1"/>
  <c r="AC2805" i="1"/>
  <c r="AG3119" i="1"/>
  <c r="AG889" i="1"/>
  <c r="AC1591" i="1"/>
  <c r="AD1172" i="1"/>
  <c r="Z1985" i="1"/>
  <c r="Z1573" i="1"/>
  <c r="AB1839" i="1"/>
  <c r="AD28" i="1"/>
  <c r="BJ1282" i="1"/>
  <c r="AB3016" i="1"/>
  <c r="AD1049" i="1"/>
  <c r="AD1203" i="1"/>
  <c r="AD457" i="1"/>
  <c r="AG3152" i="1"/>
  <c r="AA3044" i="1"/>
  <c r="AC404" i="1"/>
  <c r="Z2596" i="1"/>
  <c r="AB1872" i="1"/>
  <c r="Z496" i="1"/>
  <c r="AG2663" i="1"/>
  <c r="AA1602" i="1"/>
  <c r="Z1929" i="1"/>
  <c r="Z2253" i="1"/>
  <c r="Z1705" i="1"/>
  <c r="AG1290" i="1"/>
  <c r="AB1175" i="1"/>
  <c r="AC1868" i="1"/>
  <c r="AC1554" i="1"/>
  <c r="AD1443" i="1"/>
  <c r="AG2065" i="1"/>
  <c r="AB2573" i="1"/>
  <c r="AA2302" i="1"/>
  <c r="Z2990" i="1"/>
  <c r="AG2968" i="1"/>
  <c r="AC154" i="1"/>
  <c r="AC1080" i="1"/>
  <c r="BJ1951" i="1"/>
  <c r="AA3061" i="1"/>
  <c r="AB1417" i="1"/>
  <c r="BJ3009" i="1"/>
  <c r="Z1109" i="1"/>
  <c r="Z426" i="1"/>
  <c r="AG2481" i="1"/>
  <c r="AD1449" i="1"/>
  <c r="AG966" i="1"/>
  <c r="Z1286" i="1"/>
  <c r="Z1738" i="1"/>
  <c r="AA357" i="1"/>
  <c r="AD2751" i="1"/>
  <c r="AG912" i="1"/>
  <c r="AC3145" i="1"/>
  <c r="AB2317" i="1"/>
  <c r="BJ2703" i="1"/>
  <c r="AA1376" i="1"/>
  <c r="BJ2100" i="1"/>
  <c r="AB2166" i="1"/>
  <c r="AA2556" i="1"/>
  <c r="AC2947" i="1"/>
  <c r="BJ2281" i="1"/>
  <c r="AD140" i="1"/>
  <c r="AC946" i="1"/>
  <c r="Z2605" i="1"/>
  <c r="BJ3086" i="1"/>
  <c r="AD909" i="1"/>
  <c r="AA893" i="1"/>
  <c r="AC2156" i="1"/>
  <c r="BJ197" i="1"/>
  <c r="Z1930" i="1"/>
  <c r="Z1822" i="1"/>
  <c r="AA309" i="1"/>
  <c r="AD1726" i="1"/>
  <c r="AC2990" i="1"/>
  <c r="Z445" i="1"/>
  <c r="AB101" i="1"/>
  <c r="AA1283" i="1"/>
  <c r="AG314" i="1"/>
  <c r="AG1225" i="1"/>
  <c r="AD1455" i="1"/>
  <c r="AA2849" i="1"/>
  <c r="AB2191" i="1"/>
  <c r="BJ584" i="1"/>
  <c r="AG2253" i="1"/>
  <c r="AC1941" i="1"/>
  <c r="AC2465" i="1"/>
  <c r="AC1454" i="1"/>
  <c r="Z3062" i="1"/>
  <c r="AD2291" i="1"/>
  <c r="BJ2675" i="1"/>
  <c r="BJ772" i="1"/>
  <c r="AB1284" i="1"/>
  <c r="BJ198" i="1"/>
  <c r="AG2606" i="1"/>
  <c r="AC966" i="1"/>
  <c r="AG1109" i="1"/>
  <c r="Z2495" i="1"/>
  <c r="AG2186" i="1"/>
  <c r="AD1784" i="1"/>
  <c r="AB1665" i="1"/>
  <c r="AC399" i="1"/>
  <c r="AD2144" i="1"/>
  <c r="AC781" i="1"/>
  <c r="BJ2806" i="1"/>
  <c r="Z2188" i="1"/>
  <c r="AB2326" i="1"/>
  <c r="Z1631" i="1"/>
  <c r="AC3100" i="1"/>
  <c r="BJ2363" i="1"/>
  <c r="AB2806" i="1"/>
  <c r="AC2721" i="1"/>
  <c r="AC1965" i="1"/>
  <c r="AD2830" i="1"/>
  <c r="AD2129" i="1"/>
  <c r="BJ2290" i="1"/>
  <c r="AG1040" i="1"/>
  <c r="AD1539" i="1"/>
  <c r="AG1343" i="1"/>
  <c r="AG998" i="1"/>
  <c r="AD2820" i="1"/>
  <c r="AA1235" i="1"/>
  <c r="AB358" i="1"/>
  <c r="AD678" i="1"/>
  <c r="AC1368" i="1"/>
  <c r="Z2482" i="1"/>
  <c r="AD1612" i="1"/>
  <c r="AD836" i="1"/>
  <c r="AC2094" i="1"/>
  <c r="AG192" i="1"/>
  <c r="AG2829" i="1"/>
  <c r="AD449" i="1"/>
  <c r="AA3010" i="1"/>
  <c r="AG2841" i="1"/>
  <c r="AD696" i="1"/>
  <c r="Z1220" i="1"/>
  <c r="AC794" i="1"/>
  <c r="AG1106" i="1"/>
  <c r="BJ3122" i="1"/>
  <c r="AA1317" i="1"/>
  <c r="AA3126" i="1"/>
  <c r="AA1206" i="1"/>
  <c r="BJ2539" i="1"/>
  <c r="AD2067" i="1"/>
  <c r="Z909" i="1"/>
  <c r="AB1741" i="1"/>
  <c r="AD37" i="1"/>
  <c r="AD906" i="1"/>
  <c r="AA2133" i="1"/>
  <c r="AG203" i="1"/>
  <c r="AA1493" i="1"/>
  <c r="AD2183" i="1"/>
  <c r="AD2879" i="1"/>
  <c r="BJ121" i="1"/>
  <c r="AD585" i="1"/>
  <c r="AD2366" i="1"/>
  <c r="AB3045" i="1"/>
  <c r="Z2448" i="1"/>
  <c r="AA2983" i="1"/>
  <c r="Z2241" i="1"/>
  <c r="AD1108" i="1"/>
  <c r="Z2058" i="1"/>
  <c r="AD2611" i="1"/>
  <c r="AG513" i="1"/>
  <c r="AG2984" i="1"/>
  <c r="AG864" i="1"/>
  <c r="BJ1156" i="1"/>
  <c r="AG2242" i="1"/>
  <c r="Z689" i="1"/>
  <c r="AA2700" i="1"/>
  <c r="AA454" i="1"/>
  <c r="AC1503" i="1"/>
  <c r="BJ2041" i="1"/>
  <c r="Z2036" i="1"/>
  <c r="Z484" i="1"/>
  <c r="AB383" i="1"/>
  <c r="AC2652" i="1"/>
  <c r="Z2014" i="1"/>
  <c r="AA485" i="1"/>
  <c r="BJ893" i="1"/>
  <c r="AG747" i="1"/>
  <c r="AC412" i="1"/>
  <c r="AC2454" i="1"/>
  <c r="AD306" i="1"/>
  <c r="AB2392" i="1"/>
  <c r="AC1262" i="1"/>
  <c r="AB828" i="1"/>
  <c r="AD2467" i="1"/>
  <c r="BJ1443" i="1"/>
  <c r="AC2925" i="1"/>
  <c r="AC1061" i="1"/>
  <c r="AG1152" i="1"/>
  <c r="AB2334" i="1"/>
  <c r="AC1681" i="1"/>
  <c r="AA588" i="1"/>
  <c r="Z1499" i="1"/>
  <c r="AG402" i="1"/>
  <c r="BJ1826" i="1"/>
  <c r="BJ1421" i="1"/>
  <c r="Z1312" i="1"/>
  <c r="AG1660" i="1"/>
  <c r="AA1311" i="1"/>
  <c r="AA1776" i="1"/>
  <c r="AA3125" i="1"/>
  <c r="AD855" i="1"/>
  <c r="AA1172" i="1"/>
  <c r="BJ2257" i="1"/>
  <c r="AG3130" i="1"/>
  <c r="Z2880" i="1"/>
  <c r="BJ1967" i="1"/>
  <c r="AC2482" i="1"/>
  <c r="AC956" i="1"/>
  <c r="Z2703" i="1"/>
  <c r="Z1542" i="1"/>
  <c r="Z414" i="1"/>
  <c r="AB1786" i="1"/>
  <c r="Z1715" i="1"/>
  <c r="AC3045" i="1"/>
  <c r="Z2714" i="1"/>
  <c r="BJ1860" i="1"/>
  <c r="AG2895" i="1"/>
  <c r="AC474" i="1"/>
  <c r="AG2197" i="1"/>
  <c r="AA1005" i="1"/>
  <c r="Z2533" i="1"/>
  <c r="AC724" i="1"/>
  <c r="BJ243" i="1"/>
  <c r="AG197" i="1"/>
  <c r="BJ3073" i="1"/>
  <c r="AA360" i="1"/>
  <c r="Z489" i="1"/>
  <c r="BJ805" i="1"/>
  <c r="AD1910" i="1"/>
  <c r="BJ16" i="1"/>
  <c r="AD2685" i="1"/>
  <c r="AA2926" i="1"/>
  <c r="AD2237" i="1"/>
  <c r="BJ2402" i="1"/>
  <c r="AD476" i="1"/>
  <c r="Z3037" i="1"/>
  <c r="BJ3004" i="1"/>
  <c r="AC1031" i="1"/>
  <c r="Z2133" i="1"/>
  <c r="Z2783" i="1"/>
  <c r="AA2299" i="1"/>
  <c r="BJ862" i="1"/>
  <c r="AA305" i="1"/>
  <c r="AA143" i="1"/>
  <c r="BJ629" i="1"/>
  <c r="AD778" i="1"/>
  <c r="AD2287" i="1"/>
  <c r="Z1947" i="1"/>
  <c r="AA656" i="1"/>
  <c r="AA1689" i="1"/>
  <c r="AD603" i="1"/>
  <c r="AG1721" i="1"/>
  <c r="AD668" i="1"/>
  <c r="AC1770" i="1"/>
  <c r="BJ1208" i="1"/>
  <c r="AB2835" i="1"/>
  <c r="AG234" i="1"/>
  <c r="Z3097" i="1"/>
  <c r="BJ2303" i="1"/>
  <c r="AG809" i="1"/>
  <c r="AB2549" i="1"/>
  <c r="Z1133" i="1"/>
  <c r="Z1409" i="1"/>
  <c r="Z2179" i="1"/>
  <c r="AG3016" i="1"/>
  <c r="AG1470" i="1"/>
  <c r="AG2337" i="1"/>
  <c r="Z1123" i="1"/>
  <c r="Z626" i="1"/>
  <c r="AG3098" i="1"/>
  <c r="Z1600" i="1"/>
  <c r="AC2962" i="1"/>
  <c r="AC1499" i="1"/>
  <c r="AA2717" i="1"/>
  <c r="AA1485" i="1"/>
  <c r="AD2286" i="1"/>
  <c r="AB1336" i="1"/>
  <c r="AC1348" i="1"/>
  <c r="AB162" i="1"/>
  <c r="AB1955" i="1"/>
  <c r="Z2931" i="1"/>
  <c r="BJ1974" i="1"/>
  <c r="AB128" i="1"/>
  <c r="AC1188" i="1"/>
  <c r="BJ1756" i="1"/>
  <c r="Z2154" i="1"/>
  <c r="AC1895" i="1"/>
  <c r="BJ2246" i="1"/>
  <c r="AD92" i="1"/>
  <c r="AG925" i="1"/>
  <c r="AC12" i="1"/>
  <c r="BJ1078" i="1"/>
  <c r="Z1397" i="1"/>
  <c r="AD2903" i="1"/>
  <c r="AD2281" i="1"/>
  <c r="AD2524" i="1"/>
  <c r="AB853" i="1"/>
  <c r="AA2952" i="1"/>
  <c r="AD3122" i="1"/>
  <c r="AG786" i="1"/>
  <c r="AA1449" i="1"/>
  <c r="AG325" i="1"/>
  <c r="AD170" i="1"/>
  <c r="AD1071" i="1"/>
  <c r="Z819" i="1"/>
  <c r="AA2646" i="1"/>
  <c r="AA776" i="1"/>
  <c r="AB1298" i="1"/>
  <c r="Z2276" i="1"/>
  <c r="AG1714" i="1"/>
  <c r="AB2867" i="1"/>
  <c r="AC312" i="1"/>
  <c r="Z1261" i="1"/>
  <c r="AD1089" i="1"/>
  <c r="AD1994" i="1"/>
  <c r="AD230" i="1"/>
  <c r="Z2567" i="1"/>
  <c r="AG834" i="1"/>
  <c r="Z1375" i="1"/>
  <c r="AG1204" i="1"/>
  <c r="AC193" i="1"/>
  <c r="BJ2216" i="1"/>
  <c r="AD1844" i="1"/>
  <c r="AG1979" i="1"/>
  <c r="AC313" i="1"/>
  <c r="AC843" i="1"/>
  <c r="BJ1242" i="1"/>
  <c r="Z1475" i="1"/>
  <c r="Z2134" i="1"/>
  <c r="AB2906" i="1"/>
  <c r="BJ2037" i="1"/>
  <c r="Z899" i="1"/>
  <c r="BJ1896" i="1"/>
  <c r="AG2030" i="1"/>
  <c r="AC960" i="1"/>
  <c r="AA2654" i="1"/>
  <c r="AD622" i="1"/>
  <c r="Z1836" i="1"/>
  <c r="AA627" i="1"/>
  <c r="Z1601" i="1"/>
  <c r="AG1497" i="1"/>
  <c r="Z2130" i="1"/>
  <c r="AB727" i="1"/>
  <c r="AA2683" i="1"/>
  <c r="Z576" i="1"/>
  <c r="AA132" i="1"/>
  <c r="AD1355" i="1"/>
  <c r="BJ268" i="1"/>
  <c r="AA48" i="1"/>
  <c r="Z2010" i="1"/>
  <c r="AC733" i="1"/>
  <c r="AD743" i="1"/>
  <c r="BJ680" i="1"/>
  <c r="AD1305" i="1"/>
  <c r="AG1663" i="1"/>
  <c r="BJ1248" i="1"/>
  <c r="Z698" i="1"/>
  <c r="AG2855" i="1"/>
  <c r="Z2968" i="1"/>
  <c r="BJ78" i="1"/>
  <c r="AG1027" i="1"/>
  <c r="AA2793" i="1"/>
  <c r="BJ942" i="1"/>
  <c r="BJ1683" i="1"/>
  <c r="AC2646" i="1"/>
  <c r="AA838" i="1"/>
  <c r="BJ393" i="1"/>
  <c r="Z1997" i="1"/>
  <c r="BJ1490" i="1"/>
  <c r="AC1568" i="1"/>
  <c r="AA63" i="1"/>
  <c r="AG1393" i="1"/>
  <c r="AD502" i="1"/>
  <c r="AB407" i="1"/>
  <c r="Z506" i="1"/>
  <c r="AD2271" i="1"/>
  <c r="BJ23" i="1"/>
  <c r="AD1412" i="1"/>
  <c r="Z91" i="1"/>
  <c r="AC64" i="1"/>
  <c r="AD1228" i="1"/>
  <c r="AC379" i="1"/>
  <c r="AG1829" i="1"/>
  <c r="AB968" i="1"/>
  <c r="AB779" i="1"/>
  <c r="BJ85" i="1"/>
  <c r="AD1282" i="1"/>
  <c r="Z1925" i="1"/>
  <c r="BJ2996" i="1"/>
  <c r="BJ75" i="1"/>
  <c r="AC1040" i="1"/>
  <c r="AA1100" i="1"/>
  <c r="AC2161" i="1"/>
  <c r="Z535" i="1"/>
  <c r="BJ63" i="1"/>
  <c r="BJ2762" i="1"/>
  <c r="AC530" i="1"/>
  <c r="Z2025" i="1"/>
  <c r="AC218" i="1"/>
  <c r="AA525" i="1"/>
  <c r="AG2805" i="1"/>
  <c r="AA2321" i="1"/>
  <c r="AD1709" i="1"/>
  <c r="Z371" i="1"/>
  <c r="AC2373" i="1"/>
  <c r="AB994" i="1"/>
  <c r="Z1581" i="1"/>
  <c r="AG2952" i="1"/>
  <c r="AC1846" i="1"/>
  <c r="AD2883" i="1"/>
  <c r="AG3123" i="1"/>
  <c r="AA186" i="1"/>
  <c r="Z536" i="1"/>
  <c r="AA1584" i="1"/>
  <c r="AC787" i="1"/>
  <c r="AD1044" i="1"/>
  <c r="AB3056" i="1"/>
  <c r="AA1954" i="1"/>
  <c r="AG364" i="1"/>
  <c r="AG260" i="1"/>
  <c r="BJ1230" i="1"/>
  <c r="AA2567" i="1"/>
  <c r="Z567" i="1"/>
  <c r="AB2229" i="1"/>
  <c r="AB2618" i="1"/>
  <c r="AC1226" i="1"/>
  <c r="AD2191" i="1"/>
  <c r="AC1961" i="1"/>
  <c r="AA680" i="1"/>
  <c r="BJ279" i="1"/>
  <c r="AA819" i="1"/>
  <c r="Z1417" i="1"/>
  <c r="AG2351" i="1"/>
  <c r="BJ834" i="1"/>
  <c r="AA338" i="1"/>
  <c r="AD3149" i="1"/>
  <c r="AB2262" i="1"/>
  <c r="AB843" i="1"/>
  <c r="BJ1323" i="1"/>
  <c r="AB71" i="1"/>
  <c r="AC873" i="1"/>
  <c r="AC2036" i="1"/>
  <c r="BJ3136" i="1"/>
  <c r="AG1108" i="1"/>
  <c r="AA3148" i="1"/>
  <c r="AC1570" i="1"/>
  <c r="AG2195" i="1"/>
  <c r="AC1413" i="1"/>
  <c r="AB1173" i="1"/>
  <c r="AA722" i="1"/>
  <c r="AA2055" i="1"/>
  <c r="AA985" i="1"/>
  <c r="AG843" i="1"/>
  <c r="AB2907" i="1"/>
  <c r="Z1904" i="1"/>
  <c r="AC2243" i="1"/>
  <c r="Z531" i="1"/>
  <c r="Z1786" i="1"/>
  <c r="AD3028" i="1"/>
  <c r="AG2085" i="1"/>
  <c r="AA2681" i="1"/>
  <c r="AD3087" i="1"/>
  <c r="AG222" i="1"/>
  <c r="AC3146" i="1"/>
  <c r="AB1827" i="1"/>
  <c r="AC62" i="1"/>
  <c r="AC1407" i="1"/>
  <c r="BJ65" i="1"/>
  <c r="Z471" i="1"/>
  <c r="AB1524" i="1"/>
  <c r="AB1662" i="1"/>
  <c r="BJ1353" i="1"/>
  <c r="AB1999" i="1"/>
  <c r="AG2872" i="1"/>
  <c r="AB2367" i="1"/>
  <c r="AB2716" i="1"/>
  <c r="AB469" i="1"/>
  <c r="BJ3059" i="1"/>
  <c r="AG1078" i="1"/>
  <c r="BJ2168" i="1"/>
  <c r="AD2354" i="1"/>
  <c r="AD2789" i="1"/>
  <c r="BJ844" i="1"/>
  <c r="AB1670" i="1"/>
  <c r="AG2744" i="1"/>
  <c r="AG2076" i="1"/>
  <c r="AD167" i="1"/>
  <c r="Z622" i="1"/>
  <c r="Z2233" i="1"/>
  <c r="Z901" i="1"/>
  <c r="AD2901" i="1"/>
  <c r="Z822" i="1"/>
  <c r="AB44" i="1"/>
  <c r="AC1940" i="1"/>
  <c r="Z2576" i="1"/>
  <c r="AC1644" i="1"/>
  <c r="Z3127" i="1"/>
  <c r="Z2251" i="1"/>
  <c r="BJ944" i="1"/>
  <c r="AA2617" i="1"/>
  <c r="BJ2908" i="1"/>
  <c r="Z399" i="1"/>
  <c r="AC642" i="1"/>
  <c r="AG3128" i="1"/>
  <c r="AB237" i="1"/>
  <c r="Z1408" i="1"/>
  <c r="AB2168" i="1"/>
  <c r="Z2109" i="1"/>
  <c r="AA2139" i="1"/>
  <c r="BJ2279" i="1"/>
  <c r="AC1835" i="1"/>
  <c r="AB438" i="1"/>
  <c r="AD2696" i="1"/>
  <c r="Z1241" i="1"/>
  <c r="AA2233" i="1"/>
  <c r="AC608" i="1"/>
  <c r="AG3002" i="1"/>
  <c r="BJ1072" i="1"/>
  <c r="Z1909" i="1"/>
  <c r="AG1643" i="1"/>
  <c r="AC2376" i="1"/>
  <c r="AD989" i="1"/>
  <c r="Z1972" i="1"/>
  <c r="AA2561" i="1"/>
  <c r="BJ33" i="1"/>
  <c r="AG918" i="1"/>
  <c r="Z2459" i="1"/>
  <c r="Z2319" i="1"/>
  <c r="Z2726" i="1"/>
  <c r="BJ2805" i="1"/>
  <c r="Z1917" i="1"/>
  <c r="BJ172" i="1"/>
  <c r="Z2098" i="1"/>
  <c r="BJ2517" i="1"/>
  <c r="AG2428" i="1"/>
  <c r="AG905" i="1"/>
  <c r="BJ1596" i="1"/>
  <c r="AA81" i="1"/>
  <c r="AC605" i="1"/>
  <c r="AG1132" i="1"/>
  <c r="AD1930" i="1"/>
  <c r="BJ2511" i="1"/>
  <c r="AA871" i="1"/>
  <c r="AC884" i="1"/>
  <c r="AB1170" i="1"/>
  <c r="BJ2206" i="1"/>
  <c r="Z2803" i="1"/>
  <c r="AA2854" i="1"/>
  <c r="Z716" i="1"/>
  <c r="AD2455" i="1"/>
  <c r="AB2686" i="1"/>
  <c r="AB1675" i="1"/>
  <c r="AB2793" i="1"/>
  <c r="BJ205" i="1"/>
  <c r="BJ774" i="1"/>
  <c r="AG2626" i="1"/>
  <c r="AA1976" i="1"/>
  <c r="BJ894" i="1"/>
  <c r="AG1304" i="1"/>
  <c r="BJ2550" i="1"/>
  <c r="AC687" i="1"/>
  <c r="AD2780" i="1"/>
  <c r="AD2169" i="1"/>
  <c r="BJ239" i="1"/>
  <c r="AC317" i="1"/>
  <c r="AC3084" i="1"/>
  <c r="Z416" i="1"/>
  <c r="AG2648" i="1"/>
  <c r="AA1765" i="1"/>
  <c r="AG2714" i="1"/>
  <c r="AB563" i="1"/>
  <c r="AG842" i="1"/>
  <c r="Z2496" i="1"/>
  <c r="BJ1276" i="1"/>
  <c r="Z2013" i="1"/>
  <c r="AC561" i="1"/>
  <c r="AG2132" i="1"/>
  <c r="BJ148" i="1"/>
  <c r="AB1324" i="1"/>
  <c r="AG2969" i="1"/>
  <c r="AB2066" i="1"/>
  <c r="Z2788" i="1"/>
  <c r="AB73" i="1"/>
  <c r="Z1809" i="1"/>
  <c r="AG2563" i="1"/>
  <c r="Z1688" i="1"/>
  <c r="AC895" i="1"/>
  <c r="AB427" i="1"/>
  <c r="AD2904" i="1"/>
  <c r="Z616" i="1"/>
  <c r="Z1080" i="1"/>
  <c r="AG79" i="1"/>
  <c r="AB2083" i="1"/>
  <c r="AG1428" i="1"/>
  <c r="AG3153" i="1"/>
  <c r="AD184" i="1"/>
  <c r="AB1220" i="1"/>
  <c r="AA2201" i="1"/>
  <c r="Z406" i="1"/>
  <c r="BJ905" i="1"/>
  <c r="AA594" i="1"/>
  <c r="BJ2707" i="1"/>
  <c r="Z876" i="1"/>
  <c r="AG2647" i="1"/>
  <c r="Z3106" i="1"/>
  <c r="AA973" i="1"/>
  <c r="BJ3038" i="1"/>
  <c r="AC1913" i="1"/>
  <c r="AB2222" i="1"/>
  <c r="Z1047" i="1"/>
  <c r="AG13" i="1"/>
  <c r="BJ2850" i="1"/>
  <c r="Z1999" i="1"/>
  <c r="AC1810" i="1"/>
  <c r="AB1706" i="1"/>
  <c r="AA1267" i="1"/>
  <c r="BJ145" i="1"/>
  <c r="AC2483" i="1"/>
  <c r="AC48" i="1"/>
  <c r="AA1995" i="1"/>
  <c r="AC2328" i="1"/>
  <c r="AG2737" i="1"/>
  <c r="AA1330" i="1"/>
  <c r="AA2888" i="1"/>
  <c r="AA1908" i="1"/>
  <c r="BJ2837" i="1"/>
  <c r="AG83" i="1"/>
  <c r="AA1173" i="1"/>
  <c r="Z1065" i="1"/>
  <c r="BJ1984" i="1"/>
  <c r="AD205" i="1"/>
  <c r="AG477" i="1"/>
  <c r="BJ1740" i="1"/>
  <c r="AC666" i="1"/>
  <c r="AB2664" i="1"/>
  <c r="AA2915" i="1"/>
  <c r="AA1581" i="1"/>
  <c r="AG67" i="1"/>
  <c r="AG735" i="1"/>
  <c r="AD794" i="1"/>
  <c r="BJ1866" i="1"/>
  <c r="AA2856" i="1"/>
  <c r="AC54" i="1"/>
  <c r="BJ989" i="1"/>
  <c r="AD1852" i="1"/>
  <c r="AA1777" i="1"/>
  <c r="AC1877" i="1"/>
  <c r="AD340" i="1"/>
  <c r="AG1840" i="1"/>
  <c r="AD304" i="1"/>
  <c r="AC2766" i="1"/>
  <c r="BJ424" i="1"/>
  <c r="Z1300" i="1"/>
  <c r="AA1470" i="1"/>
  <c r="AA2715" i="1"/>
  <c r="AC2867" i="1"/>
  <c r="AB2194" i="1"/>
  <c r="AA2320" i="1"/>
  <c r="AA1185" i="1"/>
  <c r="AA1268" i="1"/>
  <c r="AG1531" i="1"/>
  <c r="AA1369" i="1"/>
  <c r="AG2260" i="1"/>
  <c r="AC914" i="1"/>
  <c r="AG1574" i="1"/>
  <c r="AC2208" i="1"/>
  <c r="BJ1960" i="1"/>
  <c r="AA2927" i="1"/>
  <c r="AA2656" i="1"/>
  <c r="BJ2980" i="1"/>
  <c r="AA2028" i="1"/>
  <c r="BJ2813" i="1"/>
  <c r="AC965" i="1"/>
  <c r="AD2808" i="1"/>
  <c r="AG300" i="1"/>
  <c r="AD2391" i="1"/>
  <c r="AA2480" i="1"/>
  <c r="AB854" i="1"/>
  <c r="AG2033" i="1"/>
  <c r="AG2218" i="1"/>
  <c r="AD1521" i="1"/>
  <c r="AB86" i="1"/>
  <c r="AC189" i="1"/>
  <c r="AG451" i="1"/>
  <c r="AD2515" i="1"/>
  <c r="BJ968" i="1"/>
  <c r="AA2471" i="1"/>
  <c r="AA2508" i="1"/>
  <c r="BJ1196" i="1"/>
  <c r="AB165" i="1"/>
  <c r="BJ1793" i="1"/>
  <c r="Z2304" i="1"/>
  <c r="AA1083" i="1"/>
  <c r="AC1277" i="1"/>
  <c r="AC1939" i="1"/>
  <c r="AD1105" i="1"/>
  <c r="AC2669" i="1"/>
  <c r="AD2768" i="1"/>
  <c r="AA996" i="1"/>
  <c r="AC1995" i="1"/>
  <c r="AG1817" i="1"/>
  <c r="AB291" i="1"/>
  <c r="AD294" i="1"/>
  <c r="AD428" i="1"/>
  <c r="BJ119" i="1"/>
  <c r="AD252" i="1"/>
  <c r="AB3005" i="1"/>
  <c r="BJ2083" i="1"/>
  <c r="AG71" i="1"/>
  <c r="AC601" i="1"/>
  <c r="AD777" i="1"/>
  <c r="BJ965" i="1"/>
  <c r="AD1897" i="1"/>
  <c r="Z813" i="1"/>
  <c r="AC3093" i="1"/>
  <c r="AC1451" i="1"/>
  <c r="Z86" i="1"/>
  <c r="AC2747" i="1"/>
  <c r="AD2015" i="1"/>
  <c r="BJ558" i="1"/>
  <c r="BJ2455" i="1"/>
  <c r="AC1691" i="1"/>
  <c r="AG1122" i="1"/>
  <c r="AC3016" i="1"/>
  <c r="AG2398" i="1"/>
  <c r="Z228" i="1"/>
  <c r="AG1682" i="1"/>
  <c r="AB2641" i="1"/>
  <c r="AC2364" i="1"/>
  <c r="Z2217" i="1"/>
  <c r="AA2069" i="1"/>
  <c r="AB1663" i="1"/>
  <c r="BJ2971" i="1"/>
  <c r="BJ326" i="1"/>
  <c r="Z1660" i="1"/>
  <c r="AB1623" i="1"/>
  <c r="AC805" i="1"/>
  <c r="AC3104" i="1"/>
  <c r="AD864" i="1"/>
  <c r="AC3061" i="1"/>
  <c r="BJ2173" i="1"/>
  <c r="AG2731" i="1"/>
  <c r="Z889" i="1"/>
  <c r="BJ931" i="1"/>
  <c r="AB2250" i="1"/>
  <c r="AB2800" i="1"/>
  <c r="AB295" i="1"/>
  <c r="AB2391" i="1"/>
  <c r="AG2882" i="1"/>
  <c r="AA2889" i="1"/>
  <c r="AC2880" i="1"/>
  <c r="Z602" i="1"/>
  <c r="Z883" i="1"/>
  <c r="AC1089" i="1"/>
  <c r="Z1867" i="1"/>
  <c r="AG3088" i="1"/>
  <c r="AA1243" i="1"/>
  <c r="AB1319" i="1"/>
  <c r="AD3124" i="1"/>
  <c r="AD1879" i="1"/>
  <c r="AB1115" i="1"/>
  <c r="BJ227" i="1"/>
  <c r="AG1571" i="1"/>
  <c r="AG2597" i="1"/>
  <c r="AG2150" i="1"/>
  <c r="AC216" i="1"/>
  <c r="AD1243" i="1"/>
  <c r="Z1357" i="1"/>
  <c r="Z594" i="1"/>
  <c r="AD148" i="1"/>
  <c r="Z1264" i="1"/>
  <c r="AG1257" i="1"/>
  <c r="BJ2689" i="1"/>
  <c r="AG2361" i="1"/>
  <c r="AD2466" i="1"/>
  <c r="Z313" i="1"/>
  <c r="Z2651" i="1"/>
  <c r="AD935" i="1"/>
  <c r="AA1759" i="1"/>
  <c r="AA2447" i="1"/>
  <c r="AD2401" i="1"/>
  <c r="BJ2233" i="1"/>
  <c r="Z3034" i="1"/>
  <c r="AA2070" i="1"/>
  <c r="Z322" i="1"/>
  <c r="AA2488" i="1"/>
  <c r="AD2480" i="1"/>
  <c r="AB3098" i="1"/>
  <c r="BJ2174" i="1"/>
  <c r="AB1112" i="1"/>
  <c r="AA1576" i="1"/>
  <c r="AG1558" i="1"/>
  <c r="AD1538" i="1"/>
  <c r="BJ3023" i="1"/>
  <c r="Z758" i="1"/>
  <c r="BJ2985" i="1"/>
  <c r="AC3095" i="1"/>
  <c r="AG2846" i="1"/>
  <c r="AB1714" i="1"/>
  <c r="AG1824" i="1"/>
  <c r="Z2174" i="1"/>
  <c r="AD1914" i="1"/>
  <c r="AD1929" i="1"/>
  <c r="AB684" i="1"/>
  <c r="AC143" i="1"/>
  <c r="AG2207" i="1"/>
  <c r="BJ3080" i="1"/>
  <c r="AG645" i="1"/>
  <c r="AC1199" i="1"/>
  <c r="AA1006" i="1"/>
  <c r="AC1074" i="1"/>
  <c r="AB2930" i="1"/>
  <c r="AG1816" i="1"/>
  <c r="AB28" i="1"/>
  <c r="AG2632" i="1"/>
  <c r="Z1227" i="1"/>
  <c r="AB172" i="1"/>
  <c r="AB1133" i="1"/>
  <c r="AB1444" i="1"/>
  <c r="AD147" i="1"/>
  <c r="BJ599" i="1"/>
  <c r="AA3114" i="1"/>
  <c r="AC241" i="1"/>
  <c r="AD2837" i="1"/>
  <c r="AC2097" i="1"/>
  <c r="AB1564" i="1"/>
  <c r="AG940" i="1"/>
  <c r="BJ1118" i="1"/>
  <c r="AD755" i="1"/>
  <c r="AB20" i="1"/>
  <c r="AA2059" i="1"/>
  <c r="AA1423" i="1"/>
  <c r="AD2949" i="1"/>
  <c r="AC2414" i="1"/>
  <c r="BJ2548" i="1"/>
  <c r="BJ139" i="1"/>
  <c r="AC2096" i="1"/>
  <c r="BJ557" i="1"/>
  <c r="AA911" i="1"/>
  <c r="AD469" i="1"/>
  <c r="AA2623" i="1"/>
  <c r="AD47" i="1"/>
  <c r="AD2816" i="1"/>
  <c r="AG851" i="1"/>
  <c r="AB1297" i="1"/>
  <c r="Z1831" i="1"/>
  <c r="Z2520" i="1"/>
  <c r="AG274" i="1"/>
  <c r="AG2401" i="1"/>
  <c r="AA445" i="1"/>
  <c r="AD1192" i="1"/>
  <c r="Z2314" i="1"/>
  <c r="AC197" i="1"/>
  <c r="AG2793" i="1"/>
  <c r="BJ2475" i="1"/>
  <c r="BJ726" i="1"/>
  <c r="BJ693" i="1"/>
  <c r="AB2474" i="1"/>
  <c r="AG1319" i="1"/>
  <c r="BJ451" i="1"/>
  <c r="AD2683" i="1"/>
  <c r="AC2720" i="1"/>
  <c r="AG1938" i="1"/>
  <c r="AG1370" i="1"/>
  <c r="AG2323" i="1"/>
  <c r="AC646" i="1"/>
  <c r="AC1459" i="1"/>
  <c r="AB492" i="1"/>
  <c r="AD2020" i="1"/>
  <c r="AC359" i="1"/>
  <c r="AB137" i="1"/>
  <c r="AB314" i="1"/>
  <c r="AA475" i="1"/>
  <c r="AA757" i="1"/>
  <c r="AA1523" i="1"/>
  <c r="AB656" i="1"/>
  <c r="AC2757" i="1"/>
  <c r="BJ2160" i="1"/>
  <c r="BJ3129" i="1"/>
  <c r="AA22" i="1"/>
  <c r="AC234" i="1"/>
  <c r="AC481" i="1"/>
  <c r="AD3043" i="1"/>
  <c r="AD2690" i="1"/>
  <c r="AA176" i="1"/>
  <c r="AB655" i="1"/>
  <c r="AA1942" i="1"/>
  <c r="AG201" i="1"/>
  <c r="BJ1028" i="1"/>
  <c r="AB2754" i="1"/>
  <c r="Z2472" i="1"/>
  <c r="AG696" i="1"/>
  <c r="AG2854" i="1"/>
  <c r="AG2789" i="1"/>
  <c r="Z747" i="1"/>
  <c r="Z1538" i="1"/>
  <c r="AB1823" i="1"/>
  <c r="AG2512" i="1"/>
  <c r="AA1816" i="1"/>
  <c r="BJ2634" i="1"/>
  <c r="AA920" i="1"/>
  <c r="AA1457" i="1"/>
  <c r="AC1646" i="1"/>
  <c r="AC1678" i="1"/>
  <c r="Z2042" i="1"/>
  <c r="BJ1887" i="1"/>
  <c r="AG1662" i="1"/>
  <c r="Z2917" i="1"/>
  <c r="AG871" i="1"/>
  <c r="Z128" i="1"/>
  <c r="Z1773" i="1"/>
  <c r="AC2193" i="1"/>
  <c r="BJ1619" i="1"/>
  <c r="AD2755" i="1"/>
  <c r="AD2213" i="1"/>
  <c r="Z893" i="1"/>
  <c r="AC2326" i="1"/>
  <c r="AD2297" i="1"/>
  <c r="AB1501" i="1"/>
  <c r="BJ2921" i="1"/>
  <c r="BJ359" i="1"/>
  <c r="Z52" i="1"/>
  <c r="BJ1373" i="1"/>
  <c r="AC454" i="1"/>
  <c r="AA3095" i="1"/>
  <c r="AB1996" i="1"/>
  <c r="AC1339" i="1"/>
  <c r="AB418" i="1"/>
  <c r="AD2724" i="1"/>
  <c r="AD606" i="1"/>
  <c r="AD1377" i="1"/>
  <c r="AC967" i="1"/>
  <c r="AC2665" i="1"/>
  <c r="AC957" i="1"/>
  <c r="AB3046" i="1"/>
  <c r="AA254" i="1"/>
  <c r="AA125" i="1"/>
  <c r="AA958" i="1"/>
  <c r="AG2443" i="1"/>
  <c r="Z1983" i="1"/>
  <c r="AD1136" i="1"/>
  <c r="BJ90" i="1"/>
  <c r="AG2215" i="1"/>
  <c r="AA2247" i="1"/>
  <c r="AG2809" i="1"/>
  <c r="AB973" i="1"/>
  <c r="AA1336" i="1"/>
  <c r="AC2869" i="1"/>
  <c r="AA2954" i="1"/>
  <c r="AG2209" i="1"/>
  <c r="AG3095" i="1"/>
  <c r="AA2041" i="1"/>
  <c r="AC1440" i="1"/>
  <c r="AG141" i="1"/>
  <c r="AC1293" i="1"/>
  <c r="BJ158" i="1"/>
  <c r="Z2074" i="1"/>
  <c r="AB2894" i="1"/>
  <c r="AC2058" i="1"/>
  <c r="AB1034" i="1"/>
  <c r="AB224" i="1"/>
  <c r="Z617" i="1"/>
  <c r="AD1904" i="1"/>
  <c r="AG2574" i="1"/>
  <c r="AC2378" i="1"/>
  <c r="AB1796" i="1"/>
  <c r="AA2841" i="1"/>
  <c r="BJ461" i="1"/>
  <c r="AA533" i="1"/>
  <c r="AD2654" i="1"/>
  <c r="Z887" i="1"/>
  <c r="AG2183" i="1"/>
  <c r="AG2582" i="1"/>
  <c r="Z1799" i="1"/>
  <c r="AG1827" i="1"/>
  <c r="AD1921" i="1"/>
  <c r="AA1459" i="1"/>
  <c r="AA250" i="1"/>
  <c r="BJ529" i="1"/>
  <c r="Z1032" i="1"/>
  <c r="AA569" i="1"/>
  <c r="AC3009" i="1"/>
  <c r="AA447" i="1"/>
  <c r="AA87" i="1"/>
  <c r="AD1344" i="1"/>
  <c r="Z1131" i="1"/>
  <c r="AB489" i="1"/>
  <c r="AB2353" i="1"/>
  <c r="AC3152" i="1"/>
  <c r="AG2482" i="1"/>
  <c r="AB2261" i="1"/>
  <c r="AA2761" i="1"/>
  <c r="AC1654" i="1"/>
  <c r="Z2347" i="1"/>
  <c r="AA848" i="1"/>
  <c r="AC1478" i="1"/>
  <c r="Z2373" i="1"/>
  <c r="AC2105" i="1"/>
  <c r="AG2864" i="1"/>
  <c r="AG1199" i="1"/>
  <c r="AD1753" i="1"/>
  <c r="BJ2778" i="1"/>
  <c r="AC1036" i="1"/>
  <c r="AD1118" i="1"/>
  <c r="BJ3108" i="1"/>
  <c r="AC2614" i="1"/>
  <c r="AB223" i="1"/>
  <c r="AG2710" i="1"/>
  <c r="BJ1844" i="1"/>
  <c r="AG2758" i="1"/>
  <c r="AB2911" i="1"/>
  <c r="BJ1852" i="1"/>
  <c r="AD2258" i="1"/>
  <c r="Z644" i="1"/>
  <c r="AB1006" i="1"/>
  <c r="AA1304" i="1"/>
  <c r="AB1980" i="1"/>
  <c r="AD1508" i="1"/>
  <c r="AG915" i="1"/>
  <c r="AA1429" i="1"/>
  <c r="AC1362" i="1"/>
  <c r="AG884" i="1"/>
  <c r="AG2335" i="1"/>
  <c r="AB2623" i="1"/>
  <c r="AD348" i="1"/>
  <c r="AA909" i="1"/>
  <c r="AG501" i="1"/>
  <c r="AC2671" i="1"/>
  <c r="Z1461" i="1"/>
  <c r="AG1499" i="1"/>
  <c r="AD2311" i="1"/>
  <c r="AC1138" i="1"/>
  <c r="BJ1520" i="1"/>
  <c r="Z736" i="1"/>
  <c r="AB2757" i="1"/>
  <c r="AC2387" i="1"/>
  <c r="AD3021" i="1"/>
  <c r="BJ382" i="1"/>
  <c r="AA3021" i="1"/>
  <c r="Z2854" i="1"/>
  <c r="AD1288" i="1"/>
  <c r="AG528" i="1"/>
  <c r="AG204" i="1"/>
  <c r="AD55" i="1"/>
  <c r="AA1422" i="1"/>
  <c r="AD1858" i="1"/>
  <c r="AA2099" i="1"/>
  <c r="AC207" i="1"/>
  <c r="AG2296" i="1"/>
  <c r="Z2470" i="1"/>
  <c r="AB2238" i="1"/>
  <c r="AA668" i="1"/>
  <c r="BJ470" i="1"/>
  <c r="BJ1389" i="1"/>
  <c r="AG1798" i="1"/>
  <c r="Z1439" i="1"/>
  <c r="BJ607" i="1"/>
  <c r="Z884" i="1"/>
  <c r="BJ1352" i="1"/>
  <c r="BJ2775" i="1"/>
  <c r="Z1650" i="1"/>
  <c r="Z443" i="1"/>
  <c r="Z532" i="1"/>
  <c r="AC2760" i="1"/>
  <c r="BJ2917" i="1"/>
  <c r="BJ2952" i="1"/>
  <c r="Z1744" i="1"/>
  <c r="AG1896" i="1"/>
  <c r="AB2016" i="1"/>
  <c r="AA3019" i="1"/>
  <c r="AB2772" i="1"/>
  <c r="AB1952" i="1"/>
  <c r="AA1789" i="1"/>
  <c r="AD222" i="1"/>
  <c r="AC1311" i="1"/>
  <c r="AC2531" i="1"/>
  <c r="AC2846" i="1"/>
  <c r="AB3040" i="1"/>
  <c r="AD570" i="1"/>
  <c r="BJ1043" i="1"/>
  <c r="BJ1132" i="1"/>
  <c r="BJ2135" i="1"/>
  <c r="BJ648" i="1"/>
  <c r="AC2923" i="1"/>
  <c r="AG1173" i="1"/>
  <c r="AC2177" i="1"/>
  <c r="AB1065" i="1"/>
  <c r="BJ2823" i="1"/>
  <c r="AC1712" i="1"/>
  <c r="AA23" i="1"/>
  <c r="AA800" i="1"/>
  <c r="AD713" i="1"/>
  <c r="AC2433" i="1"/>
  <c r="AB936" i="1"/>
  <c r="BJ2324" i="1"/>
  <c r="Z1419" i="1"/>
  <c r="Z152" i="1"/>
  <c r="Z1234" i="1"/>
  <c r="AA2241" i="1"/>
  <c r="AA1169" i="1"/>
  <c r="AD2437" i="1"/>
  <c r="Z2228" i="1"/>
  <c r="AC2675" i="1"/>
  <c r="AC2849" i="1"/>
  <c r="AB402" i="1"/>
  <c r="Z2489" i="1"/>
  <c r="AG2192" i="1"/>
  <c r="AD1460" i="1"/>
  <c r="AD290" i="1"/>
  <c r="AB1068" i="1"/>
  <c r="AC465" i="1"/>
  <c r="AB634" i="1"/>
  <c r="AA65" i="1"/>
  <c r="AB1751" i="1"/>
  <c r="BJ1460" i="1"/>
  <c r="BJ1020" i="1"/>
  <c r="BJ684" i="1"/>
  <c r="AD2651" i="1"/>
  <c r="AG2552" i="1"/>
  <c r="AC299" i="1"/>
  <c r="AA2239" i="1"/>
  <c r="AB95" i="1"/>
  <c r="AG826" i="1"/>
  <c r="Z2089" i="1"/>
  <c r="AD1713" i="1"/>
  <c r="AB2514" i="1"/>
  <c r="Z2645" i="1"/>
  <c r="AC478" i="1"/>
  <c r="BJ572" i="1"/>
  <c r="AC72" i="1"/>
  <c r="AG212" i="1"/>
  <c r="BJ1579" i="1"/>
  <c r="AD723" i="1"/>
  <c r="AB3027" i="1"/>
  <c r="AA2657" i="1"/>
  <c r="AD1163" i="1"/>
  <c r="AB2718" i="1"/>
  <c r="AB841" i="1"/>
  <c r="AC2304" i="1"/>
  <c r="AB1795" i="1"/>
  <c r="AD680" i="1"/>
  <c r="AD1016" i="1"/>
  <c r="AB1447" i="1"/>
  <c r="AG2322" i="1"/>
  <c r="Z953" i="1"/>
  <c r="Z1324" i="1"/>
  <c r="AG805" i="1"/>
  <c r="AA2582" i="1"/>
  <c r="Z1895" i="1"/>
  <c r="AB1526" i="1"/>
  <c r="AC302" i="1"/>
  <c r="AB1256" i="1"/>
  <c r="AB182" i="1"/>
  <c r="AD1125" i="1"/>
  <c r="AD862" i="1"/>
  <c r="AA2977" i="1"/>
  <c r="AG1890" i="1"/>
  <c r="AD2001" i="1"/>
  <c r="AA2940" i="1"/>
  <c r="AG1912" i="1"/>
  <c r="AA3094" i="1"/>
  <c r="AB2936" i="1"/>
  <c r="AA713" i="1"/>
  <c r="AG1702" i="1"/>
  <c r="AA1126" i="1"/>
  <c r="AA972" i="1"/>
  <c r="AC2844" i="1"/>
  <c r="AB2220" i="1"/>
  <c r="AG2756" i="1"/>
  <c r="AA3039" i="1"/>
  <c r="AB2339" i="1"/>
  <c r="AA1568" i="1"/>
  <c r="AC606" i="1"/>
  <c r="AD1622" i="1"/>
  <c r="AB88" i="1"/>
  <c r="AD621" i="1"/>
  <c r="AB1381" i="1"/>
  <c r="BJ2269" i="1"/>
  <c r="AD56" i="1"/>
  <c r="AB2289" i="1"/>
  <c r="AG529" i="1"/>
  <c r="AD1158" i="1"/>
  <c r="Z926" i="1"/>
  <c r="AG240" i="1"/>
  <c r="Z2866" i="1"/>
  <c r="AD2645" i="1"/>
  <c r="AC1017" i="1"/>
  <c r="AC2175" i="1"/>
  <c r="BJ2307" i="1"/>
  <c r="AD1892" i="1"/>
  <c r="AA3064" i="1"/>
  <c r="AA2606" i="1"/>
  <c r="AG471" i="1"/>
  <c r="BJ2493" i="1"/>
  <c r="AG19" i="1"/>
  <c r="BJ2323" i="1"/>
  <c r="BJ43" i="1"/>
  <c r="BJ2777" i="1"/>
  <c r="AC2680" i="1"/>
  <c r="BJ2692" i="1"/>
  <c r="AD190" i="1"/>
  <c r="AC761" i="1"/>
  <c r="AG1850" i="1"/>
  <c r="AD1148" i="1"/>
  <c r="AC847" i="1"/>
  <c r="AA1507" i="1"/>
  <c r="AA885" i="1"/>
  <c r="AC1329" i="1"/>
  <c r="AG919" i="1"/>
  <c r="Z1717" i="1"/>
  <c r="AD1461" i="1"/>
  <c r="AA1332" i="1"/>
  <c r="AA1386" i="1"/>
  <c r="AG804" i="1"/>
  <c r="AA2900" i="1"/>
  <c r="AB3148" i="1"/>
  <c r="BJ1777" i="1"/>
  <c r="AA2704" i="1"/>
  <c r="AB468" i="1"/>
  <c r="AB2323" i="1"/>
  <c r="AB2584" i="1"/>
  <c r="AG2995" i="1"/>
  <c r="BJ768" i="1"/>
  <c r="BJ1184" i="1"/>
  <c r="AD2130" i="1"/>
  <c r="AB454" i="1"/>
  <c r="BJ2742" i="1"/>
  <c r="Z1617" i="1"/>
  <c r="AD1418" i="1"/>
  <c r="AA20" i="1"/>
  <c r="AG2794" i="1"/>
  <c r="AD209" i="1"/>
  <c r="AC1840" i="1"/>
  <c r="AB562" i="1"/>
  <c r="AG89" i="1"/>
  <c r="AB2084" i="1"/>
  <c r="AD68" i="1"/>
  <c r="Z1894" i="1"/>
  <c r="AC3124" i="1"/>
  <c r="AG2265" i="1"/>
  <c r="AA2281" i="1"/>
  <c r="AB371" i="1"/>
  <c r="Z2100" i="1"/>
  <c r="BJ77" i="1"/>
  <c r="AB591" i="1"/>
  <c r="Z2834" i="1"/>
  <c r="Z3135" i="1"/>
  <c r="Z71" i="1"/>
  <c r="AG273" i="1"/>
  <c r="AD1100" i="1"/>
  <c r="AD309" i="1"/>
  <c r="AA2018" i="1"/>
  <c r="AA2976" i="1"/>
  <c r="AG2590" i="1"/>
  <c r="AA404" i="1"/>
  <c r="AD2438" i="1"/>
  <c r="BJ89" i="1"/>
  <c r="AA1520" i="1"/>
  <c r="Z233" i="1"/>
  <c r="AC212" i="1"/>
  <c r="AD1399" i="1"/>
  <c r="AB1131" i="1"/>
  <c r="Z534" i="1"/>
  <c r="AD907" i="1"/>
  <c r="AG1349" i="1"/>
  <c r="AD3132" i="1"/>
  <c r="AD915" i="1"/>
  <c r="AC2283" i="1"/>
  <c r="BJ2500" i="1"/>
  <c r="AB1666" i="1"/>
  <c r="AA642" i="1"/>
  <c r="AA1441" i="1"/>
  <c r="AG1395" i="1"/>
  <c r="AC293" i="1"/>
  <c r="AB119" i="1"/>
  <c r="Z1991" i="1"/>
  <c r="AC2355" i="1"/>
  <c r="BJ2812" i="1"/>
  <c r="AD1671" i="1"/>
  <c r="Z2291" i="1"/>
  <c r="Z694" i="1"/>
  <c r="BJ1354" i="1"/>
  <c r="AA2513" i="1"/>
  <c r="AD1999" i="1"/>
  <c r="AC2707" i="1"/>
  <c r="BJ775" i="1"/>
  <c r="BJ1648" i="1"/>
  <c r="BJ1109" i="1"/>
  <c r="Z375" i="1"/>
  <c r="AB1286" i="1"/>
  <c r="AG2206" i="1"/>
  <c r="AG2668" i="1"/>
  <c r="Z801" i="1"/>
  <c r="BJ683" i="1"/>
  <c r="AC1085" i="1"/>
  <c r="BJ522" i="1"/>
  <c r="AA2879" i="1"/>
  <c r="AB627" i="1"/>
  <c r="BJ2116" i="1"/>
  <c r="AC223" i="1"/>
  <c r="AD878" i="1"/>
  <c r="AB14" i="1"/>
  <c r="AG1611" i="1"/>
  <c r="AA1403" i="1"/>
  <c r="Z1394" i="1"/>
  <c r="BJ1176" i="1"/>
  <c r="AC1387" i="1"/>
  <c r="Z2735" i="1"/>
  <c r="BJ2117" i="1"/>
  <c r="AD970" i="1"/>
  <c r="AA3027" i="1"/>
  <c r="BJ2253" i="1"/>
  <c r="AA1420" i="1"/>
  <c r="AD2999" i="1"/>
  <c r="AG199" i="1"/>
  <c r="AC2828" i="1"/>
  <c r="AB2144" i="1"/>
  <c r="AD3113" i="1"/>
  <c r="BJ1178" i="1"/>
  <c r="AA891" i="1"/>
  <c r="AB539" i="1"/>
  <c r="Z902" i="1"/>
  <c r="AB517" i="1"/>
  <c r="AG327" i="1"/>
  <c r="AD1624" i="1"/>
  <c r="BJ3054" i="1"/>
  <c r="BJ2894" i="1"/>
  <c r="Z2097" i="1"/>
  <c r="Z2455" i="1"/>
  <c r="AG1354" i="1"/>
  <c r="BJ3017" i="1"/>
  <c r="Z1642" i="1"/>
  <c r="BJ1100" i="1"/>
  <c r="BJ1673" i="1"/>
  <c r="AC776" i="1"/>
  <c r="Z1015" i="1"/>
  <c r="AG1837" i="1"/>
  <c r="Z2601" i="1"/>
  <c r="BJ920" i="1"/>
  <c r="AG96" i="1"/>
  <c r="AB2922" i="1"/>
  <c r="AA1322" i="1"/>
  <c r="AD2073" i="1"/>
  <c r="BJ603" i="1"/>
  <c r="AD1793" i="1"/>
  <c r="AG1769" i="1"/>
  <c r="BJ822" i="1"/>
  <c r="Z231" i="1"/>
  <c r="Z243" i="1"/>
  <c r="AC922" i="1"/>
  <c r="AG2144" i="1"/>
  <c r="AD1157" i="1"/>
  <c r="AG371" i="1"/>
  <c r="AC2336" i="1"/>
  <c r="AB576" i="1"/>
  <c r="Z986" i="1"/>
  <c r="AB2976" i="1"/>
  <c r="AC2382" i="1"/>
  <c r="Z2059" i="1"/>
  <c r="AC1790" i="1"/>
  <c r="AD2412" i="1"/>
  <c r="AG2300" i="1"/>
  <c r="AA2082" i="1"/>
  <c r="AG2305" i="1"/>
  <c r="AA3048" i="1"/>
  <c r="AD1735" i="1"/>
  <c r="AC1994" i="1"/>
  <c r="AB2752" i="1"/>
  <c r="AG929" i="1"/>
  <c r="AC2872" i="1"/>
  <c r="Z3123" i="1"/>
  <c r="AB1216" i="1"/>
  <c r="BJ446" i="1"/>
  <c r="Z682" i="1"/>
  <c r="AG1092" i="1"/>
  <c r="BJ1885" i="1"/>
  <c r="Z2152" i="1"/>
  <c r="AA66" i="1"/>
  <c r="AD699" i="1"/>
  <c r="BJ364" i="1"/>
  <c r="AC659" i="1"/>
  <c r="AG2096" i="1"/>
  <c r="AG160" i="1"/>
  <c r="AC1852" i="1"/>
  <c r="AG550" i="1"/>
  <c r="AC870" i="1"/>
  <c r="Z2868" i="1"/>
  <c r="AD2982" i="1"/>
  <c r="AD515" i="1"/>
  <c r="AA2769" i="1"/>
  <c r="AC2272" i="1"/>
  <c r="Z264" i="1"/>
  <c r="Z3002" i="1"/>
  <c r="AB2733" i="1"/>
  <c r="AD2464" i="1"/>
  <c r="BJ794" i="1"/>
  <c r="AC1999" i="1"/>
  <c r="AG2624" i="1"/>
  <c r="AA634" i="1"/>
  <c r="BJ2321" i="1"/>
  <c r="AA1808" i="1"/>
  <c r="AA1451" i="1"/>
  <c r="AG2457" i="1"/>
  <c r="Z1221" i="1"/>
  <c r="Z915" i="1"/>
  <c r="BJ1722" i="1"/>
  <c r="BJ1870" i="1"/>
  <c r="AG1148" i="1"/>
  <c r="AA918" i="1"/>
  <c r="AA1475" i="1"/>
  <c r="BJ757" i="1"/>
  <c r="AD1504" i="1"/>
  <c r="BJ1576" i="1"/>
  <c r="AA1119" i="1"/>
  <c r="Z1414" i="1"/>
  <c r="BJ3049" i="1"/>
  <c r="Z1211" i="1"/>
  <c r="AA2216" i="1"/>
  <c r="AA1194" i="1"/>
  <c r="AB847" i="1"/>
  <c r="BJ1785" i="1"/>
  <c r="AA912" i="1"/>
  <c r="AD963" i="1"/>
  <c r="AB2375" i="1"/>
  <c r="AC1405" i="1"/>
  <c r="BJ3105" i="1"/>
  <c r="Z757" i="1"/>
  <c r="BJ2905" i="1"/>
  <c r="AC647" i="1"/>
  <c r="AD1031" i="1"/>
  <c r="AB2320" i="1"/>
  <c r="Z270" i="1"/>
  <c r="AC785" i="1"/>
  <c r="AD36" i="1"/>
  <c r="Z67" i="1"/>
  <c r="Z1921" i="1"/>
  <c r="AC2916" i="1"/>
  <c r="AG277" i="1"/>
  <c r="AC116" i="1"/>
  <c r="AB1246" i="1"/>
  <c r="BJ325" i="1"/>
  <c r="AC2975" i="1"/>
  <c r="AG1073" i="1"/>
  <c r="AC2673" i="1"/>
  <c r="AA1248" i="1"/>
  <c r="AD1156" i="1"/>
  <c r="AD1253" i="1"/>
  <c r="AG2379" i="1"/>
  <c r="AC203" i="1"/>
  <c r="AG768" i="1"/>
  <c r="AG2022" i="1"/>
  <c r="AD2860" i="1"/>
  <c r="AG1583" i="1"/>
  <c r="AB1805" i="1"/>
  <c r="Z3066" i="1"/>
  <c r="AB1702" i="1"/>
  <c r="AG366" i="1"/>
  <c r="BJ235" i="1"/>
  <c r="BJ1220" i="1"/>
  <c r="AB2944" i="1"/>
  <c r="AG1661" i="1"/>
  <c r="AA424" i="1"/>
  <c r="AB1450" i="1"/>
  <c r="BJ2701" i="1"/>
  <c r="AA1219" i="1"/>
  <c r="AB2231" i="1"/>
  <c r="AA1295" i="1"/>
  <c r="BJ671" i="1"/>
  <c r="Z794" i="1"/>
  <c r="AB2690" i="1"/>
  <c r="AD2636" i="1"/>
  <c r="AD2453" i="1"/>
  <c r="AC257" i="1"/>
  <c r="AG1644" i="1"/>
  <c r="AG2474" i="1"/>
  <c r="AB3031" i="1"/>
  <c r="AB1121" i="1"/>
  <c r="Z3132" i="1"/>
  <c r="AG2774" i="1"/>
  <c r="AC402" i="1"/>
  <c r="BJ2196" i="1"/>
  <c r="BJ725" i="1"/>
  <c r="AG3059" i="1"/>
  <c r="BJ2106" i="1"/>
  <c r="AA2609" i="1"/>
  <c r="AB116" i="1"/>
  <c r="AC2233" i="1"/>
  <c r="AA2445" i="1"/>
  <c r="AC254" i="1"/>
  <c r="Z1663" i="1"/>
  <c r="Z2815" i="1"/>
  <c r="AD2952" i="1"/>
  <c r="AG1416" i="1"/>
  <c r="AC2822" i="1"/>
  <c r="AD1625" i="1"/>
  <c r="AD292" i="1"/>
  <c r="AD21" i="1"/>
  <c r="AD1936" i="1"/>
  <c r="AC1643" i="1"/>
  <c r="Z1362" i="1"/>
  <c r="AG2877" i="1"/>
  <c r="AG358" i="1"/>
  <c r="AD2575" i="1"/>
  <c r="AA211" i="1"/>
  <c r="AA1920" i="1"/>
  <c r="BJ2581" i="1"/>
  <c r="AC1496" i="1"/>
  <c r="BJ685" i="1"/>
  <c r="AC2535" i="1"/>
  <c r="AG343" i="1"/>
  <c r="Z649" i="1"/>
  <c r="AG462" i="1"/>
  <c r="AB1640" i="1"/>
  <c r="AA1053" i="1"/>
  <c r="AB49" i="1"/>
  <c r="AA521" i="1"/>
  <c r="AG2384" i="1"/>
  <c r="AB2306" i="1"/>
  <c r="AG753" i="1"/>
  <c r="BJ1821" i="1"/>
  <c r="AG1687" i="1"/>
  <c r="Z2845" i="1"/>
  <c r="BJ2575" i="1"/>
  <c r="Z832" i="1"/>
  <c r="Z3125" i="1"/>
  <c r="AA2726" i="1"/>
  <c r="AG2237" i="1"/>
  <c r="BJ2298" i="1"/>
  <c r="AG2182" i="1"/>
  <c r="BJ1325" i="1"/>
  <c r="Z2820" i="1"/>
  <c r="AB832" i="1"/>
  <c r="AG890" i="1"/>
  <c r="AB2081" i="1"/>
  <c r="AC2089" i="1"/>
  <c r="AC596" i="1"/>
  <c r="AB1195" i="1"/>
  <c r="AB2012" i="1"/>
  <c r="BJ292" i="1"/>
  <c r="BJ1882" i="1"/>
  <c r="AG176" i="1"/>
  <c r="AG2010" i="1"/>
  <c r="BJ804" i="1"/>
  <c r="AA1300" i="1"/>
  <c r="Z296" i="1"/>
  <c r="AG1390" i="1"/>
  <c r="AD1226" i="1"/>
  <c r="AC2237" i="1"/>
  <c r="BJ887" i="1"/>
  <c r="AA1249" i="1"/>
  <c r="AC913" i="1"/>
  <c r="AG1440" i="1"/>
  <c r="AG1849" i="1"/>
  <c r="AG803" i="1"/>
  <c r="AC152" i="1"/>
  <c r="Z2305" i="1"/>
  <c r="AG200" i="1"/>
  <c r="Z1027" i="1"/>
  <c r="AB782" i="1"/>
  <c r="AG2804" i="1"/>
  <c r="AB1566" i="1"/>
  <c r="AG2016" i="1"/>
  <c r="BJ1423" i="1"/>
  <c r="AB546" i="1"/>
  <c r="Z1882" i="1"/>
  <c r="BJ2839" i="1"/>
  <c r="AB815" i="1"/>
  <c r="BJ403" i="1"/>
  <c r="Z199" i="1"/>
  <c r="AG2184" i="1"/>
  <c r="BJ2468" i="1"/>
  <c r="BJ2553" i="1"/>
  <c r="Z1712" i="1"/>
  <c r="AD2450" i="1"/>
  <c r="BJ167" i="1"/>
  <c r="AG2139" i="1"/>
  <c r="AC145" i="1"/>
  <c r="Z1508" i="1"/>
  <c r="AB2521" i="1"/>
  <c r="AD29" i="1"/>
  <c r="BJ2320" i="1"/>
  <c r="AD2337" i="1"/>
  <c r="AG2463" i="1"/>
  <c r="AB1240" i="1"/>
  <c r="AD1785" i="1"/>
  <c r="AA831" i="1"/>
  <c r="AG1399" i="1"/>
  <c r="AB919" i="1"/>
  <c r="AC199" i="1"/>
  <c r="BJ1558" i="1"/>
  <c r="BJ502" i="1"/>
  <c r="AG2321" i="1"/>
  <c r="Z1841" i="1"/>
  <c r="AA2429" i="1"/>
  <c r="BJ1405" i="1"/>
  <c r="AD1981" i="1"/>
  <c r="AB1818" i="1"/>
  <c r="Z3131" i="1"/>
  <c r="AD1389" i="1"/>
  <c r="AG3063" i="1"/>
  <c r="AD616" i="1"/>
  <c r="AA2218" i="1"/>
  <c r="BJ477" i="1"/>
  <c r="AG1338" i="1"/>
  <c r="AB2107" i="1"/>
  <c r="AB2538" i="1"/>
  <c r="BJ2405" i="1"/>
  <c r="AD2460" i="1"/>
  <c r="AC718" i="1"/>
  <c r="AC1856" i="1"/>
  <c r="AC1182" i="1"/>
  <c r="AC700" i="1"/>
  <c r="AG1566" i="1"/>
  <c r="AA1615" i="1"/>
  <c r="AG1723" i="1"/>
  <c r="AG1576" i="1"/>
  <c r="AB294" i="1"/>
  <c r="AC1926" i="1"/>
  <c r="Z3041" i="1"/>
  <c r="AC2412" i="1"/>
  <c r="AA2275" i="1"/>
  <c r="BJ317" i="1"/>
  <c r="AG2060" i="1"/>
  <c r="BJ2670" i="1"/>
  <c r="AC458" i="1"/>
  <c r="AG323" i="1"/>
  <c r="AD969" i="1"/>
  <c r="AB1293" i="1"/>
  <c r="Z1306" i="1"/>
  <c r="Z2678" i="1"/>
  <c r="AG3033" i="1"/>
  <c r="AA118" i="1"/>
  <c r="AA1244" i="1"/>
  <c r="AD2777" i="1"/>
  <c r="BJ1422" i="1"/>
  <c r="AA1181" i="1"/>
  <c r="BJ2362" i="1"/>
  <c r="AD2454" i="1"/>
  <c r="BJ747" i="1"/>
  <c r="AB1339" i="1"/>
  <c r="Z564" i="1"/>
  <c r="BJ789" i="1"/>
  <c r="AA1895" i="1"/>
  <c r="AG353" i="1"/>
  <c r="AG2702" i="1"/>
  <c r="AD614" i="1"/>
  <c r="BJ1867" i="1"/>
  <c r="BJ1289" i="1"/>
  <c r="AC174" i="1"/>
  <c r="AB524" i="1"/>
  <c r="AC2955" i="1"/>
  <c r="AC462" i="1"/>
  <c r="AB531" i="1"/>
  <c r="Z1973" i="1"/>
  <c r="AB199" i="1"/>
  <c r="AA1158" i="1"/>
  <c r="AD3014" i="1"/>
  <c r="AC2560" i="1"/>
  <c r="AG974" i="1"/>
  <c r="AC2746" i="1"/>
  <c r="BJ257" i="1"/>
  <c r="AA1949" i="1"/>
  <c r="AD658" i="1"/>
  <c r="Z68" i="1"/>
  <c r="AD215" i="1"/>
  <c r="AB2260" i="1"/>
  <c r="AD2546" i="1"/>
  <c r="AA2545" i="1"/>
  <c r="AA1208" i="1"/>
  <c r="AA1847" i="1"/>
  <c r="BJ232" i="1"/>
  <c r="AB2202" i="1"/>
  <c r="AA1998" i="1"/>
  <c r="AB2356" i="1"/>
  <c r="AG134" i="1"/>
  <c r="AD1342" i="1"/>
  <c r="BJ875" i="1"/>
  <c r="AA102" i="1"/>
  <c r="AG3080" i="1"/>
  <c r="AC1804" i="1"/>
  <c r="AD2326" i="1"/>
  <c r="Z1912" i="1"/>
  <c r="AD2098" i="1"/>
  <c r="AA1624" i="1"/>
  <c r="AB1917" i="1"/>
  <c r="AA1431" i="1"/>
  <c r="AC2785" i="1"/>
  <c r="AC595" i="1"/>
  <c r="AD2383" i="1"/>
  <c r="AC857" i="1"/>
  <c r="BJ1598" i="1"/>
  <c r="Z1583" i="1"/>
  <c r="AC719" i="1"/>
  <c r="AB700" i="1"/>
  <c r="AD2567" i="1"/>
  <c r="Z885" i="1"/>
  <c r="BJ2696" i="1"/>
  <c r="AA2521" i="1"/>
  <c r="BJ1233" i="1"/>
  <c r="AA755" i="1"/>
  <c r="BJ2446" i="1"/>
  <c r="BJ1143" i="1"/>
  <c r="AC2076" i="1"/>
  <c r="AG1726" i="1"/>
  <c r="AB1532" i="1"/>
  <c r="AC2586" i="1"/>
  <c r="AB143" i="1"/>
  <c r="BJ2457" i="1"/>
  <c r="AD2312" i="1"/>
  <c r="AD1872" i="1"/>
  <c r="BJ2589" i="1"/>
  <c r="Z621" i="1"/>
  <c r="BJ1768" i="1"/>
  <c r="AC511" i="1"/>
  <c r="AD2182" i="1"/>
  <c r="Z1337" i="1"/>
  <c r="AA742" i="1"/>
  <c r="AG214" i="1"/>
  <c r="Z354" i="1"/>
  <c r="AG85" i="1"/>
  <c r="AA471" i="1"/>
  <c r="Z1282" i="1"/>
  <c r="AA2512" i="1"/>
  <c r="AD1411" i="1"/>
  <c r="AA1958" i="1"/>
  <c r="BJ3074" i="1"/>
  <c r="AD2540" i="1"/>
  <c r="AC261" i="1"/>
  <c r="Z670" i="1"/>
  <c r="AD1951" i="1"/>
  <c r="AB2140" i="1"/>
  <c r="AB3110" i="1"/>
  <c r="AD979" i="1"/>
  <c r="AD1090" i="1"/>
  <c r="AC1477" i="1"/>
  <c r="AC2653" i="1"/>
  <c r="AB2660" i="1"/>
  <c r="AD548" i="1"/>
  <c r="AC1111" i="1"/>
  <c r="AD397" i="1"/>
  <c r="AG491" i="1"/>
  <c r="BJ2389" i="1"/>
  <c r="AA1947" i="1"/>
  <c r="AG2381" i="1"/>
  <c r="BJ2084" i="1"/>
  <c r="AD2947" i="1"/>
  <c r="AC1473" i="1"/>
  <c r="AA2477" i="1"/>
  <c r="Z1491" i="1"/>
  <c r="AG2406" i="1"/>
  <c r="AA834" i="1"/>
  <c r="AG507" i="1"/>
  <c r="BJ568" i="1"/>
  <c r="AD1011" i="1"/>
  <c r="AA263" i="1"/>
  <c r="AB141" i="1"/>
  <c r="AG1867" i="1"/>
  <c r="Z2681" i="1"/>
  <c r="AC2136" i="1"/>
  <c r="AC2306" i="1"/>
  <c r="AA2846" i="1"/>
  <c r="AA969" i="1"/>
  <c r="AB2094" i="1"/>
  <c r="AG1043" i="1"/>
  <c r="AG2775" i="1"/>
  <c r="AD1659" i="1"/>
  <c r="AD1040" i="1"/>
  <c r="Z111" i="1"/>
  <c r="AA691" i="1"/>
  <c r="AA1805" i="1"/>
  <c r="AB1932" i="1"/>
  <c r="AC177" i="1"/>
  <c r="AG1505" i="1"/>
  <c r="AB1046" i="1"/>
  <c r="AC701" i="1"/>
  <c r="AG3010" i="1"/>
  <c r="AB2893" i="1"/>
  <c r="Z2859" i="1"/>
  <c r="AC1178" i="1"/>
  <c r="AD3114" i="1"/>
  <c r="BJ2016" i="1"/>
  <c r="Z672" i="1"/>
  <c r="AG545" i="1"/>
  <c r="AD168" i="1"/>
  <c r="BJ1396" i="1"/>
  <c r="BJ2706" i="1"/>
  <c r="AG2315" i="1"/>
  <c r="AC1258" i="1"/>
  <c r="Z2663" i="1"/>
  <c r="Z3061" i="1"/>
  <c r="BJ1551" i="1"/>
  <c r="Z2679" i="1"/>
  <c r="AB2627" i="1"/>
  <c r="AC125" i="1"/>
  <c r="AB1657" i="1"/>
  <c r="AD853" i="1"/>
  <c r="AD2946" i="1"/>
  <c r="AD1241" i="1"/>
  <c r="AD199" i="1"/>
  <c r="AA2085" i="1"/>
  <c r="AG2791" i="1"/>
  <c r="AC2838" i="1"/>
  <c r="AB284" i="1"/>
  <c r="AB694" i="1"/>
  <c r="AC123" i="1"/>
  <c r="AG1064" i="1"/>
  <c r="AC2944" i="1"/>
  <c r="Z51" i="1"/>
  <c r="AD2198" i="1"/>
  <c r="BJ473" i="1"/>
  <c r="AC510" i="1"/>
  <c r="AA2458" i="1"/>
  <c r="AG2813" i="1"/>
  <c r="AD1633" i="1"/>
  <c r="BJ832" i="1"/>
  <c r="Z2695" i="1"/>
  <c r="AC334" i="1"/>
  <c r="AG1812" i="1"/>
  <c r="Z2111" i="1"/>
  <c r="Z2898" i="1"/>
  <c r="AB245" i="1"/>
  <c r="AB702" i="1"/>
  <c r="AD1379" i="1"/>
  <c r="AA1438" i="1"/>
  <c r="AG2549" i="1"/>
  <c r="AC2847" i="1"/>
  <c r="AA924" i="1"/>
  <c r="AG2295" i="1"/>
  <c r="AC2164" i="1"/>
  <c r="AG143" i="1"/>
  <c r="AD113" i="1"/>
  <c r="AA1264" i="1"/>
  <c r="AD146" i="1"/>
  <c r="AC2166" i="1"/>
  <c r="Z2201" i="1"/>
  <c r="AC81" i="1"/>
  <c r="AB1247" i="1"/>
  <c r="AD758" i="1"/>
  <c r="Z25" i="1"/>
  <c r="AG40" i="1"/>
  <c r="AC2563" i="1"/>
  <c r="Z2541" i="1"/>
  <c r="AG1437" i="1"/>
  <c r="AC1519" i="1"/>
  <c r="AC1885" i="1"/>
  <c r="AB3082" i="1"/>
  <c r="AA570" i="1"/>
  <c r="AG692" i="1"/>
  <c r="BJ1190" i="1"/>
  <c r="BJ955" i="1"/>
  <c r="AB2722" i="1"/>
  <c r="BJ1254" i="1"/>
  <c r="AG1048" i="1"/>
  <c r="AG373" i="1"/>
  <c r="AB1011" i="1"/>
  <c r="AD2990" i="1"/>
  <c r="AA1559" i="1"/>
  <c r="Z2445" i="1"/>
  <c r="BJ1676" i="1"/>
  <c r="Z2538" i="1"/>
  <c r="BJ1001" i="1"/>
  <c r="AC2626" i="1"/>
  <c r="BJ1791" i="1"/>
  <c r="Z2770" i="1"/>
  <c r="Z2891" i="1"/>
  <c r="Z1780" i="1"/>
  <c r="AB858" i="1"/>
  <c r="AD2558" i="1"/>
  <c r="AA1516" i="1"/>
  <c r="BJ2398" i="1"/>
  <c r="AG1094" i="1"/>
  <c r="BJ610" i="1"/>
  <c r="Z1344" i="1"/>
  <c r="AG1443" i="1"/>
  <c r="AB474" i="1"/>
  <c r="BJ2204" i="1"/>
  <c r="AD960" i="1"/>
  <c r="BJ3079" i="1"/>
  <c r="Z2948" i="1"/>
  <c r="AB890" i="1"/>
  <c r="AG548" i="1"/>
  <c r="AG1099" i="1"/>
  <c r="AC1951" i="1"/>
  <c r="AD2844" i="1"/>
  <c r="AG3091" i="1"/>
  <c r="AB2426" i="1"/>
  <c r="AA638" i="1"/>
  <c r="BJ1294" i="1"/>
  <c r="AB2759" i="1"/>
  <c r="BJ808" i="1"/>
  <c r="AB933" i="1"/>
  <c r="BJ2915" i="1"/>
  <c r="AB2814" i="1"/>
  <c r="AB2097" i="1"/>
  <c r="AD799" i="1"/>
  <c r="Z3111" i="1"/>
  <c r="AA2901" i="1"/>
  <c r="AD605" i="1"/>
  <c r="AA1571" i="1"/>
  <c r="AC1638" i="1"/>
  <c r="AC1948" i="1"/>
  <c r="AB2155" i="1"/>
  <c r="Z2649" i="1"/>
  <c r="AC912" i="1"/>
  <c r="AC1588" i="1"/>
  <c r="AA982" i="1"/>
  <c r="AA1984" i="1"/>
  <c r="AA849" i="1"/>
  <c r="BJ1918" i="1"/>
  <c r="AC1650" i="1"/>
  <c r="Z1958" i="1"/>
  <c r="Z2559" i="1"/>
  <c r="BJ2089" i="1"/>
  <c r="BJ450" i="1"/>
  <c r="BJ2677" i="1"/>
  <c r="AA1709" i="1"/>
  <c r="AA276" i="1"/>
  <c r="BJ1902" i="1"/>
  <c r="AG2137" i="1"/>
  <c r="AC1054" i="1"/>
  <c r="AC2632" i="1"/>
  <c r="AA2131" i="1"/>
  <c r="AB321" i="1"/>
  <c r="BJ1365" i="1"/>
  <c r="AC124" i="1"/>
  <c r="AC1964" i="1"/>
  <c r="AD832" i="1"/>
  <c r="AB2671" i="1"/>
  <c r="AG855" i="1"/>
  <c r="AA1746" i="1"/>
  <c r="AD1884" i="1"/>
  <c r="Z1138" i="1"/>
  <c r="AG2745" i="1"/>
  <c r="AA3083" i="1"/>
  <c r="AC1347" i="1"/>
  <c r="AA2737" i="1"/>
  <c r="AA1668" i="1"/>
  <c r="AD2293" i="1"/>
  <c r="Z1307" i="1"/>
  <c r="BJ1367" i="1"/>
  <c r="BJ741" i="1"/>
  <c r="AB2734" i="1"/>
  <c r="BJ1148" i="1"/>
  <c r="AD2157" i="1"/>
  <c r="Z2437" i="1"/>
  <c r="AG1410" i="1"/>
  <c r="AA2345" i="1"/>
  <c r="AB2649" i="1"/>
  <c r="BJ2423" i="1"/>
  <c r="Z1076" i="1"/>
  <c r="AB2789" i="1"/>
  <c r="AD1420" i="1"/>
  <c r="AB3035" i="1"/>
  <c r="BJ2453" i="1"/>
  <c r="AD2986" i="1"/>
  <c r="AC2286" i="1"/>
  <c r="AA438" i="1"/>
  <c r="BJ60" i="1"/>
  <c r="AA650" i="1"/>
  <c r="AD1985" i="1"/>
  <c r="AC2300" i="1"/>
  <c r="AG1047" i="1"/>
  <c r="Z615" i="1"/>
  <c r="AC1708" i="1"/>
  <c r="AG90" i="1"/>
  <c r="Z2798" i="1"/>
  <c r="AB2029" i="1"/>
  <c r="AD2417" i="1"/>
  <c r="AA111" i="1"/>
  <c r="AD2244" i="1"/>
  <c r="AD694" i="1"/>
  <c r="BJ341" i="1"/>
  <c r="AA657" i="1"/>
  <c r="AB3036" i="1"/>
  <c r="Z355" i="1"/>
  <c r="AA2666" i="1"/>
  <c r="AG1573" i="1"/>
  <c r="AA1131" i="1"/>
  <c r="AD2320" i="1"/>
  <c r="AA3068" i="1"/>
  <c r="AB160" i="1"/>
  <c r="AA1818" i="1"/>
  <c r="AD2032" i="1"/>
  <c r="BJ2450" i="1"/>
  <c r="AB1316" i="1"/>
  <c r="AG1517" i="1"/>
  <c r="BJ1679" i="1"/>
  <c r="AB2363" i="1"/>
  <c r="AC940" i="1"/>
  <c r="Z1586" i="1"/>
  <c r="Z1526" i="1"/>
  <c r="AD598" i="1"/>
  <c r="AB130" i="1"/>
  <c r="BJ1693" i="1"/>
  <c r="AD748" i="1"/>
  <c r="AB553" i="1"/>
  <c r="AA679" i="1"/>
  <c r="AD169" i="1"/>
  <c r="AG3049" i="1"/>
  <c r="AG3136" i="1"/>
  <c r="BJ2130" i="1"/>
  <c r="AC771" i="1"/>
  <c r="AA246" i="1"/>
  <c r="AB2780" i="1"/>
  <c r="BJ3018" i="1"/>
  <c r="AC2392" i="1"/>
  <c r="BJ2606" i="1"/>
  <c r="AB356" i="1"/>
  <c r="AA2060" i="1"/>
  <c r="AA1157" i="1"/>
  <c r="Z663" i="1"/>
  <c r="BJ1635" i="1"/>
  <c r="AA2537" i="1"/>
  <c r="AB2753" i="1"/>
  <c r="BJ2440" i="1"/>
  <c r="BJ309" i="1"/>
  <c r="AC2277" i="1"/>
  <c r="Z1898" i="1"/>
  <c r="AA922" i="1"/>
  <c r="AD1523" i="1"/>
  <c r="Z2693" i="1"/>
  <c r="AA2887" i="1"/>
  <c r="AD327" i="1"/>
  <c r="Z1058" i="1"/>
  <c r="AD2508" i="1"/>
  <c r="AC800" i="1"/>
  <c r="AB3144" i="1"/>
  <c r="BJ2688" i="1"/>
  <c r="BJ1764" i="1"/>
  <c r="AG1681" i="1"/>
  <c r="AD642" i="1"/>
  <c r="BJ1358" i="1"/>
  <c r="AD555" i="1"/>
  <c r="AA1978" i="1"/>
  <c r="BJ692" i="1"/>
  <c r="Z1126" i="1"/>
  <c r="AG2125" i="1"/>
  <c r="AD227" i="1"/>
  <c r="AG2531" i="1"/>
  <c r="Z760" i="1"/>
  <c r="AD1352" i="1"/>
  <c r="Z2420" i="1"/>
  <c r="AC1906" i="1"/>
  <c r="BJ2513" i="1"/>
  <c r="BJ1216" i="1"/>
  <c r="Z1171" i="1"/>
  <c r="AD1552" i="1"/>
  <c r="AA2005" i="1"/>
  <c r="Z417" i="1"/>
  <c r="BJ2596" i="1"/>
  <c r="AA2017" i="1"/>
  <c r="AA2544" i="1"/>
  <c r="AC1131" i="1"/>
  <c r="Z1092" i="1"/>
  <c r="AD2579" i="1"/>
  <c r="AD1385" i="1"/>
  <c r="AG2178" i="1"/>
  <c r="AG1513" i="1"/>
  <c r="AB1736" i="1"/>
  <c r="Z1582" i="1"/>
  <c r="AG1131" i="1"/>
  <c r="AA494" i="1"/>
  <c r="AG1784" i="1"/>
  <c r="AA807" i="1"/>
  <c r="AG2436" i="1"/>
  <c r="Z1257" i="1"/>
  <c r="Z2283" i="1"/>
  <c r="AG1747" i="1"/>
  <c r="BJ3052" i="1"/>
  <c r="AA1610" i="1"/>
  <c r="AD649" i="1"/>
  <c r="BJ410" i="1"/>
  <c r="AB3071" i="1"/>
  <c r="AD1825" i="1"/>
  <c r="AB3106" i="1"/>
  <c r="AD1478" i="1"/>
  <c r="AB2033" i="1"/>
  <c r="BJ414" i="1"/>
  <c r="AB230" i="1"/>
  <c r="Z141" i="1"/>
  <c r="AD754" i="1"/>
  <c r="AA2260" i="1"/>
  <c r="AG3149" i="1"/>
  <c r="AD1902" i="1"/>
  <c r="AG1746" i="1"/>
  <c r="BJ1917" i="1"/>
  <c r="Z847" i="1"/>
  <c r="AB1539" i="1"/>
  <c r="AD1273" i="1"/>
  <c r="AG1113" i="1"/>
  <c r="AC786" i="1"/>
  <c r="AG991" i="1"/>
  <c r="AD1368" i="1"/>
  <c r="AB2248" i="1"/>
  <c r="Z2705" i="1"/>
  <c r="AB1694" i="1"/>
  <c r="AC1935" i="1"/>
  <c r="BJ644" i="1"/>
  <c r="AA1084" i="1"/>
  <c r="AG2223" i="1"/>
  <c r="AG317" i="1"/>
  <c r="AG532" i="1"/>
  <c r="BJ2272" i="1"/>
  <c r="AB1828" i="1"/>
  <c r="AG3079" i="1"/>
  <c r="AD687" i="1"/>
  <c r="AA1869" i="1"/>
  <c r="AC1377" i="1"/>
  <c r="AD465" i="1"/>
  <c r="BJ2845" i="1"/>
  <c r="AB1341" i="1"/>
  <c r="Z1891" i="1"/>
  <c r="AC2966" i="1"/>
  <c r="AB1772" i="1"/>
  <c r="Z1885" i="1"/>
  <c r="AB2506" i="1"/>
  <c r="AB603" i="1"/>
  <c r="AA219" i="1"/>
  <c r="BJ1108" i="1"/>
  <c r="Z2041" i="1"/>
  <c r="AA234" i="1"/>
  <c r="AD2730" i="1"/>
  <c r="AA1435" i="1"/>
  <c r="AA2993" i="1"/>
  <c r="AC2827" i="1"/>
  <c r="Z134" i="1"/>
  <c r="BJ2011" i="1"/>
  <c r="AA3034" i="1"/>
  <c r="AG612" i="1"/>
  <c r="AA788" i="1"/>
  <c r="AD128" i="1"/>
  <c r="AG583" i="1"/>
  <c r="Z2101" i="1"/>
  <c r="AG2997" i="1"/>
  <c r="BJ2790" i="1"/>
  <c r="AG2052" i="1"/>
  <c r="AD3058" i="1"/>
  <c r="AD2905" i="1"/>
  <c r="AG2870" i="1"/>
  <c r="Z492" i="1"/>
  <c r="AC2858" i="1"/>
  <c r="Z1136" i="1"/>
  <c r="AB2429" i="1"/>
  <c r="AD1880" i="1"/>
  <c r="AG1799" i="1"/>
  <c r="BJ2901" i="1"/>
  <c r="AG874" i="1"/>
  <c r="Z2867" i="1"/>
  <c r="Z2162" i="1"/>
  <c r="Z2317" i="1"/>
  <c r="AG829" i="1"/>
  <c r="AB2386" i="1"/>
  <c r="AD1409" i="1"/>
  <c r="AA2000" i="1"/>
  <c r="AG1083" i="1"/>
  <c r="AB1678" i="1"/>
  <c r="AC1232" i="1"/>
  <c r="AB867" i="1"/>
  <c r="AB109" i="1"/>
  <c r="AC1330" i="1"/>
  <c r="AB2673" i="1"/>
  <c r="BJ2409" i="1"/>
  <c r="AC676" i="1"/>
  <c r="AD584" i="1"/>
  <c r="Z1494" i="1"/>
  <c r="AD747" i="1"/>
  <c r="AG1983" i="1"/>
  <c r="Z2403" i="1"/>
  <c r="AA2505" i="1"/>
  <c r="AB1975" i="1"/>
  <c r="AD2667" i="1"/>
  <c r="AD1248" i="1"/>
  <c r="BJ1461" i="1"/>
  <c r="Z1185" i="1"/>
  <c r="AA1454" i="1"/>
  <c r="AA174" i="1"/>
  <c r="Z1778" i="1"/>
  <c r="Z572" i="1"/>
  <c r="AC906" i="1"/>
  <c r="AD1859" i="1"/>
  <c r="Z1420" i="1"/>
  <c r="AD2158" i="1"/>
  <c r="Z2027" i="1"/>
  <c r="Z1339" i="1"/>
  <c r="AA617" i="1"/>
  <c r="AA1115" i="1"/>
  <c r="Z203" i="1"/>
  <c r="Z3010" i="1"/>
  <c r="AA2177" i="1"/>
  <c r="Z236" i="1"/>
  <c r="AC2908" i="1"/>
  <c r="AB783" i="1"/>
  <c r="AB613" i="1"/>
  <c r="BJ1087" i="1"/>
  <c r="AC1704" i="1"/>
  <c r="Z3091" i="1"/>
  <c r="Z676" i="1"/>
  <c r="BJ869" i="1"/>
  <c r="Z407" i="1"/>
  <c r="AA1804" i="1"/>
  <c r="AA2144" i="1"/>
  <c r="AB2453" i="1"/>
  <c r="AA2443" i="1"/>
  <c r="AB1290" i="1"/>
  <c r="AA153" i="1"/>
  <c r="BJ1085" i="1"/>
  <c r="AG180" i="1"/>
  <c r="Z2477" i="1"/>
  <c r="AA1316" i="1"/>
  <c r="AG2292" i="1"/>
  <c r="AG1101" i="1"/>
  <c r="AB2935" i="1"/>
  <c r="AG2670" i="1"/>
  <c r="AA1955" i="1"/>
  <c r="BJ214" i="1"/>
  <c r="AB849" i="1"/>
  <c r="AB168" i="1"/>
  <c r="AG1119" i="1"/>
  <c r="AA954" i="1"/>
  <c r="AA328" i="1"/>
  <c r="AD1701" i="1"/>
  <c r="AA978" i="1"/>
  <c r="AC2352" i="1"/>
  <c r="Z2119" i="1"/>
  <c r="BJ909" i="1"/>
  <c r="AD50" i="1"/>
  <c r="Z2116" i="1"/>
  <c r="AD569" i="1"/>
  <c r="AD258" i="1"/>
  <c r="AC2455" i="1"/>
  <c r="Z996" i="1"/>
  <c r="Z3129" i="1"/>
  <c r="AB2338" i="1"/>
  <c r="AD992" i="1"/>
  <c r="Z878" i="1"/>
  <c r="AG193" i="1"/>
  <c r="AG245" i="1"/>
  <c r="Z1835" i="1"/>
  <c r="AB1199" i="1"/>
  <c r="AC1764" i="1"/>
  <c r="AC3015" i="1"/>
  <c r="AD1481" i="1"/>
  <c r="AC1882" i="1"/>
  <c r="AB662" i="1"/>
  <c r="AC398" i="1"/>
  <c r="AD1054" i="1"/>
  <c r="AA26" i="1"/>
  <c r="BJ2021" i="1"/>
  <c r="AD2105" i="1"/>
  <c r="AA936" i="1"/>
  <c r="AA394" i="1"/>
  <c r="AG164" i="1"/>
  <c r="AC2118" i="1"/>
  <c r="BJ3056" i="1"/>
  <c r="AB1387" i="1"/>
  <c r="AG543" i="1"/>
  <c r="AA1081" i="1"/>
  <c r="AC3087" i="1"/>
  <c r="AG3064" i="1"/>
  <c r="Z1746" i="1"/>
  <c r="BJ2157" i="1"/>
  <c r="AC2181" i="1"/>
  <c r="Z1116" i="1"/>
  <c r="Z1145" i="1"/>
  <c r="AC939" i="1"/>
  <c r="BJ83" i="1"/>
  <c r="AD671" i="1"/>
  <c r="AC2861" i="1"/>
  <c r="Z1697" i="1"/>
  <c r="AG680" i="1"/>
  <c r="Z1459" i="1"/>
  <c r="AB289" i="1"/>
  <c r="AC779" i="1"/>
  <c r="AA2746" i="1"/>
  <c r="BJ2896" i="1"/>
  <c r="AG1291" i="1"/>
  <c r="AB1878" i="1"/>
  <c r="AB2771" i="1"/>
  <c r="AD123" i="1"/>
  <c r="AC657" i="1"/>
  <c r="AC2307" i="1"/>
  <c r="AG1736" i="1"/>
  <c r="AA2902" i="1"/>
  <c r="AB2662" i="1"/>
  <c r="AD369" i="1"/>
  <c r="AD2342" i="1"/>
  <c r="BJ18" i="1"/>
  <c r="Z2008" i="1"/>
  <c r="BJ2492" i="1"/>
  <c r="BJ2610" i="1"/>
  <c r="AA1363" i="1"/>
  <c r="AD1846" i="1"/>
  <c r="AA813" i="1"/>
  <c r="AC2042" i="1"/>
  <c r="AB2502" i="1"/>
  <c r="AA1578" i="1"/>
  <c r="BJ1710" i="1"/>
  <c r="AC827" i="1"/>
  <c r="AG2786" i="1"/>
  <c r="AG1102" i="1"/>
  <c r="AG802" i="1"/>
  <c r="Z928" i="1"/>
  <c r="AC2102" i="1"/>
  <c r="BJ853" i="1"/>
  <c r="AG2298" i="1"/>
  <c r="AB1927" i="1"/>
  <c r="AD1400" i="1"/>
  <c r="BJ3048" i="1"/>
  <c r="BJ2621" i="1"/>
  <c r="Z2153" i="1"/>
  <c r="Z3130" i="1"/>
  <c r="Z858" i="1"/>
  <c r="AA1482" i="1"/>
  <c r="AC1466" i="1"/>
  <c r="AD1058" i="1"/>
  <c r="BJ2347" i="1"/>
  <c r="AA3015" i="1"/>
  <c r="AD2693" i="1"/>
  <c r="BJ1868" i="1"/>
  <c r="AB1489" i="1"/>
  <c r="AD363" i="1"/>
  <c r="BJ1817" i="1"/>
  <c r="AB1488" i="1"/>
  <c r="AD2404" i="1"/>
  <c r="AD1178" i="1"/>
  <c r="AC2141" i="1"/>
  <c r="AG2017" i="1"/>
  <c r="AA3004" i="1"/>
  <c r="AD1223" i="1"/>
  <c r="AG2977" i="1"/>
  <c r="AA2401" i="1"/>
  <c r="AB1060" i="1"/>
  <c r="AD2353" i="1"/>
  <c r="AB2931" i="1"/>
  <c r="AG2112" i="1"/>
  <c r="Z1008" i="1"/>
  <c r="AB1645" i="1"/>
  <c r="AB730" i="1"/>
  <c r="Z3015" i="1"/>
  <c r="AA2739" i="1"/>
  <c r="AC2206" i="1"/>
  <c r="AA575" i="1"/>
  <c r="AG522" i="1"/>
  <c r="BJ2212" i="1"/>
  <c r="Z2334" i="1"/>
  <c r="AC385" i="1"/>
  <c r="BJ2263" i="1"/>
  <c r="AB2723" i="1"/>
  <c r="AB2462" i="1"/>
  <c r="AC2738" i="1"/>
  <c r="AC1268" i="1"/>
  <c r="AD2097" i="1"/>
  <c r="AC2045" i="1"/>
  <c r="AB2120" i="1"/>
  <c r="AG1302" i="1"/>
  <c r="AA42" i="1"/>
  <c r="AG20" i="1"/>
  <c r="AC1203" i="1"/>
  <c r="AB2705" i="1"/>
  <c r="AB789" i="1"/>
  <c r="Z900" i="1"/>
  <c r="AC2581" i="1"/>
  <c r="BJ2278" i="1"/>
  <c r="Z2746" i="1"/>
  <c r="BJ1502" i="1"/>
  <c r="AA1739" i="1"/>
  <c r="AB2481" i="1"/>
  <c r="AC1158" i="1"/>
  <c r="AA2762" i="1"/>
  <c r="BJ1103" i="1"/>
  <c r="BJ104" i="1"/>
  <c r="AA530" i="1"/>
  <c r="AB1698" i="1"/>
  <c r="BJ2112" i="1"/>
  <c r="AG2270" i="1"/>
  <c r="AD2734" i="1"/>
  <c r="AD619" i="1"/>
  <c r="AA1799" i="1"/>
  <c r="AC3082" i="1"/>
  <c r="AD1963" i="1"/>
  <c r="AA1768" i="1"/>
  <c r="Z124" i="1"/>
  <c r="AC2676" i="1"/>
  <c r="AD2884" i="1"/>
  <c r="AB1382" i="1"/>
  <c r="AB1454" i="1"/>
  <c r="AC434" i="1"/>
  <c r="Z43" i="1"/>
  <c r="BJ550" i="1"/>
  <c r="AC507" i="1"/>
  <c r="AB1222" i="1"/>
  <c r="AD786" i="1"/>
  <c r="AA854" i="1"/>
  <c r="Z1994" i="1"/>
  <c r="AC101" i="1"/>
  <c r="Z1646" i="1"/>
  <c r="AG1502" i="1"/>
  <c r="AG2957" i="1"/>
  <c r="AG1811" i="1"/>
  <c r="AB359" i="1"/>
  <c r="AA2596" i="1"/>
  <c r="AG2568" i="1"/>
  <c r="Z586" i="1"/>
  <c r="Z776" i="1"/>
  <c r="BJ580" i="1"/>
  <c r="AD181" i="1"/>
  <c r="BJ2529" i="1"/>
  <c r="BJ3109" i="1"/>
  <c r="AC276" i="1"/>
  <c r="Z2039" i="1"/>
  <c r="AA2366" i="1"/>
  <c r="Z1381" i="1"/>
  <c r="AD1810" i="1"/>
  <c r="BJ704" i="1"/>
  <c r="AG1739" i="1"/>
  <c r="BJ964" i="1"/>
  <c r="AD539" i="1"/>
  <c r="Z2922" i="1"/>
  <c r="AC290" i="1"/>
  <c r="AA2794" i="1"/>
  <c r="AD914" i="1"/>
  <c r="AB3107" i="1"/>
  <c r="AG1071" i="1"/>
  <c r="AG2020" i="1"/>
  <c r="AB240" i="1"/>
  <c r="AC2876" i="1"/>
  <c r="BJ1948" i="1"/>
  <c r="BJ2526" i="1"/>
  <c r="AA738" i="1"/>
  <c r="BJ854" i="1"/>
  <c r="AD2090" i="1"/>
  <c r="BJ190" i="1"/>
  <c r="AG1664" i="1"/>
  <c r="AD281" i="1"/>
  <c r="BJ2865" i="1"/>
  <c r="AB1493" i="1"/>
  <c r="BJ891" i="1"/>
  <c r="AC1551" i="1"/>
  <c r="AD1618" i="1"/>
  <c r="Z1801" i="1"/>
  <c r="AC1154" i="1"/>
  <c r="AC686" i="1"/>
  <c r="AB1845" i="1"/>
  <c r="BJ907" i="1"/>
  <c r="BJ2690" i="1"/>
  <c r="AB827" i="1"/>
  <c r="AD1634" i="1"/>
  <c r="BJ2406" i="1"/>
  <c r="AB2217" i="1"/>
  <c r="AD2051" i="1"/>
  <c r="AB1463" i="1"/>
  <c r="AD2459" i="1"/>
  <c r="AA265" i="1"/>
  <c r="Z2181" i="1"/>
  <c r="AA652" i="1"/>
  <c r="BJ149" i="1"/>
  <c r="Z2718" i="1"/>
  <c r="AB2420" i="1"/>
  <c r="Z2631" i="1"/>
  <c r="Z1202" i="1"/>
  <c r="AD158" i="1"/>
  <c r="BJ1442" i="1"/>
  <c r="AG1333" i="1"/>
  <c r="Z2397" i="1"/>
  <c r="AG2461" i="1"/>
  <c r="AA2098" i="1"/>
  <c r="BJ1002" i="1"/>
  <c r="AC1463" i="1"/>
  <c r="AC3114" i="1"/>
  <c r="AG1956" i="1"/>
  <c r="AG2585" i="1"/>
  <c r="AC2590" i="1"/>
  <c r="AC1161" i="1"/>
  <c r="AG1553" i="1"/>
  <c r="AD273" i="1"/>
  <c r="AA472" i="1"/>
  <c r="AG1889" i="1"/>
  <c r="AG1127" i="1"/>
  <c r="BJ1524" i="1"/>
  <c r="BJ700" i="1"/>
  <c r="Z1981" i="1"/>
  <c r="AG2976" i="1"/>
  <c r="Z204" i="1"/>
  <c r="AD1656" i="1"/>
  <c r="AC1783" i="1"/>
  <c r="AB1194" i="1"/>
  <c r="AC2537" i="1"/>
  <c r="Z837" i="1"/>
  <c r="AC231" i="1"/>
  <c r="AG937" i="1"/>
  <c r="AG1898" i="1"/>
  <c r="AG1523" i="1"/>
  <c r="BJ1733" i="1"/>
  <c r="AB3050" i="1"/>
  <c r="AA1575" i="1"/>
  <c r="AD1286" i="1"/>
  <c r="BJ1859" i="1"/>
  <c r="AD2214" i="1"/>
  <c r="AG2191" i="1"/>
  <c r="BJ2801" i="1"/>
  <c r="AB2589" i="1"/>
  <c r="AA73" i="1"/>
  <c r="BJ2785" i="1"/>
  <c r="AB1314" i="1"/>
  <c r="AC651" i="1"/>
  <c r="AD521" i="1"/>
  <c r="AB1581" i="1"/>
  <c r="Z2498" i="1"/>
  <c r="AC3108" i="1"/>
  <c r="BJ71" i="1"/>
  <c r="BJ1899" i="1"/>
  <c r="Z667" i="1"/>
  <c r="AB3151" i="1"/>
  <c r="AB722" i="1"/>
  <c r="AC1125" i="1"/>
  <c r="AC824" i="1"/>
  <c r="AA765" i="1"/>
  <c r="AG326" i="1"/>
  <c r="AC3073" i="1"/>
  <c r="BJ797" i="1"/>
  <c r="AB2663" i="1"/>
  <c r="AG1115" i="1"/>
  <c r="BJ2013" i="1"/>
  <c r="BJ340" i="1"/>
  <c r="AB251" i="1"/>
  <c r="AC2568" i="1"/>
  <c r="AD1489" i="1"/>
  <c r="AA2420" i="1"/>
  <c r="Z523" i="1"/>
  <c r="AD765" i="1"/>
  <c r="AG1278" i="1"/>
  <c r="AC632" i="1"/>
  <c r="AG2862" i="1"/>
  <c r="AB1943" i="1"/>
  <c r="AG1241" i="1"/>
  <c r="AD3051" i="1"/>
  <c r="AC343" i="1"/>
  <c r="AG2820" i="1"/>
  <c r="AD1042" i="1"/>
  <c r="AG2316" i="1"/>
  <c r="AD2809" i="1"/>
  <c r="AD600" i="1"/>
  <c r="Z1246" i="1"/>
  <c r="AC2234" i="1"/>
  <c r="AD2753" i="1"/>
  <c r="BJ1193" i="1"/>
  <c r="AA1104" i="1"/>
  <c r="AA510" i="1"/>
  <c r="Z1543" i="1"/>
  <c r="Z1365" i="1"/>
  <c r="AG608" i="1"/>
  <c r="AA1541" i="1"/>
  <c r="AC2204" i="1"/>
  <c r="AC1870" i="1"/>
  <c r="AG2783" i="1"/>
  <c r="AC3101" i="1"/>
  <c r="AB2001" i="1"/>
  <c r="AD373" i="1"/>
  <c r="Z3126" i="1"/>
  <c r="AG552" i="1"/>
  <c r="AD779" i="1"/>
  <c r="BJ856" i="1"/>
  <c r="AC326" i="1"/>
  <c r="AA3026" i="1"/>
  <c r="AB2513" i="1"/>
  <c r="AC2593" i="1"/>
  <c r="AA1654" i="1"/>
  <c r="BJ1412" i="1"/>
  <c r="AD3150" i="1"/>
  <c r="BJ1527" i="1"/>
  <c r="AG1378" i="1"/>
  <c r="AB1172" i="1"/>
  <c r="AA1601" i="1"/>
  <c r="AC2878" i="1"/>
  <c r="AB2897" i="1"/>
  <c r="AC1123" i="1"/>
  <c r="AC2064" i="1"/>
  <c r="BJ370" i="1"/>
  <c r="AD1353" i="1"/>
  <c r="AB1390" i="1"/>
  <c r="AB2487" i="1"/>
  <c r="AB2294" i="1"/>
  <c r="AA2271" i="1"/>
  <c r="BJ112" i="1"/>
  <c r="AA796" i="1"/>
  <c r="AB1902" i="1"/>
  <c r="AB1992" i="1"/>
  <c r="Z1584" i="1"/>
  <c r="Z512" i="1"/>
  <c r="AA376" i="1"/>
  <c r="AA1595" i="1"/>
  <c r="AG1321" i="1"/>
  <c r="AD557" i="1"/>
  <c r="Z1383" i="1"/>
  <c r="AD3120" i="1"/>
  <c r="AG120" i="1"/>
  <c r="AB549" i="1"/>
  <c r="AC796" i="1"/>
  <c r="AC565" i="1"/>
  <c r="AC2774" i="1"/>
  <c r="AD2537" i="1"/>
  <c r="AB2770" i="1"/>
  <c r="Z573" i="1"/>
  <c r="Z1641" i="1"/>
  <c r="Z2192" i="1"/>
  <c r="Z2949" i="1"/>
  <c r="AD305" i="1"/>
  <c r="BJ2392" i="1"/>
  <c r="AA2210" i="1"/>
  <c r="BJ2510" i="1"/>
  <c r="Z969" i="1"/>
  <c r="AA907" i="1"/>
  <c r="AC2818" i="1"/>
  <c r="AA2481" i="1"/>
  <c r="AG1888" i="1"/>
  <c r="AA121" i="1"/>
  <c r="BJ1738" i="1"/>
  <c r="AB401" i="1"/>
  <c r="AC1614" i="1"/>
  <c r="AA961" i="1"/>
  <c r="AD3015" i="1"/>
  <c r="AD1915" i="1"/>
  <c r="AG2456" i="1"/>
  <c r="AB713" i="1"/>
  <c r="AG656" i="1"/>
  <c r="AB2402" i="1"/>
  <c r="AC3088" i="1"/>
  <c r="AA2364" i="1"/>
  <c r="AA260" i="1"/>
  <c r="Z1815" i="1"/>
  <c r="AA1945" i="1"/>
  <c r="BJ2536" i="1"/>
  <c r="BJ1308" i="1"/>
  <c r="AD165" i="1"/>
  <c r="AA988" i="1"/>
  <c r="AG1936" i="1"/>
  <c r="Z211" i="1"/>
  <c r="AG163" i="1"/>
  <c r="Z1645" i="1"/>
  <c r="AD2252" i="1"/>
  <c r="AG810" i="1"/>
  <c r="AC495" i="1"/>
  <c r="AA1573" i="1"/>
  <c r="AA942" i="1"/>
  <c r="AB1004" i="1"/>
  <c r="AB2843" i="1"/>
  <c r="AG1854" i="1"/>
  <c r="Z2177" i="1"/>
  <c r="BJ31" i="1"/>
  <c r="AG2610" i="1"/>
  <c r="AA2767" i="1"/>
  <c r="AC1468" i="1"/>
  <c r="AG2014" i="1"/>
  <c r="AA2076" i="1"/>
  <c r="BJ286" i="1"/>
  <c r="Z886" i="1"/>
  <c r="Z2641" i="1"/>
  <c r="BJ2954" i="1"/>
  <c r="AA393" i="1"/>
  <c r="BJ3103" i="1"/>
  <c r="Z246" i="1"/>
  <c r="AA1338" i="1"/>
  <c r="AD2283" i="1"/>
  <c r="AG2362" i="1"/>
  <c r="AA2672" i="1"/>
  <c r="Z109" i="1"/>
  <c r="AA1123" i="1"/>
  <c r="AD419" i="1"/>
  <c r="AA532" i="1"/>
  <c r="AG2307" i="1"/>
  <c r="AA1494" i="1"/>
  <c r="AA1427" i="1"/>
  <c r="BJ1050" i="1"/>
  <c r="AA817" i="1"/>
  <c r="Z2812" i="1"/>
  <c r="AA1412" i="1"/>
  <c r="AC3077" i="1"/>
  <c r="AD1657" i="1"/>
  <c r="BJ812" i="1"/>
  <c r="Z680" i="1"/>
  <c r="BJ2691" i="1"/>
  <c r="AD2374" i="1"/>
  <c r="BJ1893" i="1"/>
  <c r="AG1423" i="1"/>
  <c r="Z2125" i="1"/>
  <c r="AD706" i="1"/>
  <c r="AG1004" i="1"/>
  <c r="AG376" i="1"/>
  <c r="BJ2572" i="1"/>
  <c r="Z2982" i="1"/>
  <c r="Z1529" i="1"/>
  <c r="AC155" i="1"/>
  <c r="AD2726" i="1"/>
  <c r="Z2747" i="1"/>
  <c r="AA841" i="1"/>
  <c r="AA1788" i="1"/>
  <c r="BJ1966" i="1"/>
  <c r="AC2660" i="1"/>
  <c r="AG2933" i="1"/>
  <c r="AC862" i="1"/>
  <c r="AD2449" i="1"/>
  <c r="AG1166" i="1"/>
  <c r="AG412" i="1"/>
  <c r="Z386" i="1"/>
  <c r="AD1660" i="1"/>
  <c r="BJ1471" i="1"/>
  <c r="BJ3007" i="1"/>
  <c r="AC2825" i="1"/>
  <c r="AG2623" i="1"/>
  <c r="AB1654" i="1"/>
  <c r="AB753" i="1"/>
  <c r="Z23" i="1"/>
  <c r="AG1193" i="1"/>
  <c r="Z2947" i="1"/>
  <c r="AA1389" i="1"/>
  <c r="Z844" i="1"/>
  <c r="BJ604" i="1"/>
  <c r="Z1574" i="1"/>
  <c r="AD2358" i="1"/>
  <c r="AB2396" i="1"/>
  <c r="AA1560" i="1"/>
  <c r="Z1821" i="1"/>
  <c r="AD2038" i="1"/>
  <c r="AG2799" i="1"/>
  <c r="Z1450" i="1"/>
  <c r="AB2531" i="1"/>
  <c r="Z2049" i="1"/>
  <c r="AD312" i="1"/>
  <c r="AG387" i="1"/>
  <c r="BJ1095" i="1"/>
  <c r="BJ2586" i="1"/>
  <c r="Z1911" i="1"/>
  <c r="AA476" i="1"/>
  <c r="AC2914" i="1"/>
  <c r="AA214" i="1"/>
  <c r="BJ2489" i="1"/>
  <c r="Z1053" i="1"/>
  <c r="AG2369" i="1"/>
  <c r="AA822" i="1"/>
  <c r="AB33" i="1"/>
  <c r="AD733" i="1"/>
  <c r="AD389" i="1"/>
  <c r="AA618" i="1"/>
  <c r="AG564" i="1"/>
  <c r="AD854" i="1"/>
  <c r="Z2547" i="1"/>
  <c r="AA112" i="1"/>
  <c r="AG1711" i="1"/>
  <c r="AA2705" i="1"/>
  <c r="BJ1394" i="1"/>
  <c r="AC1426" i="1"/>
  <c r="AA1445" i="1"/>
  <c r="AG1485" i="1"/>
  <c r="Z1515" i="1"/>
  <c r="AC2171" i="1"/>
  <c r="Z132" i="1"/>
  <c r="AB198" i="1"/>
  <c r="Z821" i="1"/>
  <c r="AC1540" i="1"/>
  <c r="AG106" i="1"/>
  <c r="AG2024" i="1"/>
  <c r="AA2848" i="1"/>
  <c r="AA605" i="1"/>
  <c r="BJ1800" i="1"/>
  <c r="AD1398" i="1"/>
  <c r="AG1926" i="1"/>
  <c r="Z973" i="1"/>
  <c r="AD1893" i="1"/>
  <c r="Z641" i="1"/>
  <c r="AC1855" i="1"/>
  <c r="AA536" i="1"/>
  <c r="AB676" i="1"/>
  <c r="AC1981" i="1"/>
  <c r="AG267" i="1"/>
  <c r="AA737" i="1"/>
  <c r="BJ1553" i="1"/>
  <c r="BJ1225" i="1"/>
  <c r="AD385" i="1"/>
  <c r="AD703" i="1"/>
  <c r="AC1662" i="1"/>
  <c r="AD2415" i="1"/>
  <c r="AG1452" i="1"/>
  <c r="Z1077" i="1"/>
  <c r="AA1074" i="1"/>
  <c r="AB1516" i="1"/>
  <c r="AC1717" i="1"/>
  <c r="AD212" i="1"/>
  <c r="Z2981" i="1"/>
  <c r="AC2521" i="1"/>
  <c r="AA2016" i="1"/>
  <c r="BJ1612" i="1"/>
  <c r="AA95" i="1"/>
  <c r="AB1557" i="1"/>
  <c r="AG1627" i="1"/>
  <c r="AA556" i="1"/>
  <c r="BJ2296" i="1"/>
  <c r="BJ2146" i="1"/>
  <c r="AD1019" i="1"/>
  <c r="AA2222" i="1"/>
  <c r="AG1794" i="1"/>
  <c r="AB2986" i="1"/>
  <c r="Z1694" i="1"/>
  <c r="AA1272" i="1"/>
  <c r="AB1815" i="1"/>
  <c r="AG2748" i="1"/>
  <c r="AB1556" i="1"/>
  <c r="AD1813" i="1"/>
  <c r="AD1134" i="1"/>
  <c r="AG1362" i="1"/>
  <c r="Z3055" i="1"/>
  <c r="AA41" i="1"/>
  <c r="AC876" i="1"/>
  <c r="BJ1303" i="1"/>
  <c r="BJ453" i="1"/>
  <c r="AG1202" i="1"/>
  <c r="AG854" i="1"/>
  <c r="Z2401" i="1"/>
  <c r="AB150" i="1"/>
  <c r="AG2639" i="1"/>
  <c r="BJ758" i="1"/>
  <c r="BJ1652" i="1"/>
  <c r="AG2111" i="1"/>
  <c r="BJ1059" i="1"/>
  <c r="AG654" i="1"/>
  <c r="BJ2038" i="1"/>
  <c r="BJ2578" i="1"/>
  <c r="AB675" i="1"/>
  <c r="AC298" i="1"/>
  <c r="Z3042" i="1"/>
  <c r="AG1283" i="1"/>
  <c r="AG407" i="1"/>
  <c r="BJ1824" i="1"/>
  <c r="Z1743" i="1"/>
  <c r="AC1792" i="1"/>
  <c r="AG648" i="1"/>
  <c r="BJ422" i="1"/>
  <c r="AC2638" i="1"/>
  <c r="AG2684" i="1"/>
  <c r="AA222" i="1"/>
  <c r="AD488" i="1"/>
  <c r="AD1511" i="1"/>
  <c r="Z3028" i="1"/>
  <c r="AB2091" i="1"/>
  <c r="AD2422" i="1"/>
  <c r="AG685" i="1"/>
  <c r="AB2430" i="1"/>
  <c r="AA261" i="1"/>
  <c r="AC1352" i="1"/>
  <c r="AG1971" i="1"/>
  <c r="AC45" i="1"/>
  <c r="Z259" i="1"/>
  <c r="AB3080" i="1"/>
  <c r="AG975" i="1"/>
  <c r="BJ1340" i="1"/>
  <c r="AG577" i="1"/>
  <c r="AD410" i="1"/>
  <c r="Z2699" i="1"/>
  <c r="AC823" i="1"/>
  <c r="AD2665" i="1"/>
  <c r="AB1988" i="1"/>
  <c r="AB2636" i="1"/>
  <c r="Z864" i="1"/>
  <c r="AB78" i="1"/>
  <c r="AD997" i="1"/>
  <c r="AC1225" i="1"/>
  <c r="AA2933" i="1"/>
  <c r="AB2039" i="1"/>
  <c r="AB1077" i="1"/>
  <c r="BJ2371" i="1"/>
  <c r="AG1491" i="1"/>
  <c r="AA2166" i="1"/>
  <c r="AD2340" i="1"/>
  <c r="AB2460" i="1"/>
  <c r="AA3112" i="1"/>
  <c r="AB110" i="1"/>
  <c r="AG429" i="1"/>
  <c r="AG989" i="1"/>
  <c r="AA2810" i="1"/>
  <c r="AG1653" i="1"/>
  <c r="Z1992" i="1"/>
  <c r="AG73" i="1"/>
  <c r="AB2735" i="1"/>
  <c r="AD2578" i="1"/>
  <c r="Z1268" i="1"/>
  <c r="AG1060" i="1"/>
  <c r="AA2054" i="1"/>
  <c r="BJ827" i="1"/>
  <c r="AD1131" i="1"/>
  <c r="AB1466" i="1"/>
  <c r="AG2494" i="1"/>
  <c r="BJ1977" i="1"/>
  <c r="BJ310" i="1"/>
  <c r="AB538" i="1"/>
  <c r="Z103" i="1"/>
  <c r="AA697" i="1"/>
  <c r="AC3007" i="1"/>
  <c r="AG622" i="1"/>
  <c r="Z1993" i="1"/>
  <c r="AG1860" i="1"/>
  <c r="Z2908" i="1"/>
  <c r="AB1477" i="1"/>
  <c r="BJ2208" i="1"/>
  <c r="AA59" i="1"/>
  <c r="AB94" i="1"/>
  <c r="BJ1258" i="1"/>
  <c r="Z2528" i="1"/>
  <c r="AC2569" i="1"/>
  <c r="AA3030" i="1"/>
  <c r="AG1368" i="1"/>
  <c r="AA270" i="1"/>
  <c r="BJ367" i="1"/>
  <c r="AA2787" i="1"/>
  <c r="AC557" i="1"/>
  <c r="AB1108" i="1"/>
  <c r="BJ2354" i="1"/>
  <c r="BJ1510" i="1"/>
  <c r="AG2226" i="1"/>
  <c r="AC2804" i="1"/>
  <c r="AG723" i="1"/>
  <c r="AB2620" i="1"/>
  <c r="BJ1936" i="1"/>
  <c r="AD2026" i="1"/>
  <c r="AD1544" i="1"/>
  <c r="Z2366" i="1"/>
  <c r="AA1132" i="1"/>
  <c r="BJ1015" i="1"/>
  <c r="AA427" i="1"/>
  <c r="Z3107" i="1"/>
  <c r="Z1237" i="1"/>
  <c r="BJ3106" i="1"/>
  <c r="AB2838" i="1"/>
  <c r="BJ1316" i="1"/>
  <c r="Z2630" i="1"/>
  <c r="AD1004" i="1"/>
  <c r="AB1178" i="1"/>
  <c r="Z1248" i="1"/>
  <c r="BJ319" i="1"/>
  <c r="AA1525" i="1"/>
  <c r="AA2511" i="1"/>
  <c r="AG2703" i="1"/>
  <c r="AC1728" i="1"/>
  <c r="AC852" i="1"/>
  <c r="BJ2713" i="1"/>
  <c r="AC2902" i="1"/>
  <c r="Z2145" i="1"/>
  <c r="AC252" i="1"/>
  <c r="AG118" i="1"/>
  <c r="Z1132" i="1"/>
  <c r="AD1870" i="1"/>
  <c r="AG2175" i="1"/>
  <c r="AD1797" i="1"/>
  <c r="AA1726" i="1"/>
  <c r="AC652" i="1"/>
  <c r="Z468" i="1"/>
  <c r="AA1855" i="1"/>
  <c r="AB1631" i="1"/>
  <c r="AG1219" i="1"/>
  <c r="Z875" i="1"/>
  <c r="AG848" i="1"/>
  <c r="AD2092" i="1"/>
  <c r="AA2941" i="1"/>
  <c r="BJ2699" i="1"/>
  <c r="AB958" i="1"/>
  <c r="BJ1559" i="1"/>
  <c r="BJ634" i="1"/>
  <c r="BJ2588" i="1"/>
  <c r="AB900" i="1"/>
  <c r="AC2217" i="1"/>
  <c r="AD2069" i="1"/>
  <c r="BJ2128" i="1"/>
  <c r="AG384" i="1"/>
  <c r="AD1579" i="1"/>
  <c r="AD2920" i="1"/>
  <c r="AA951" i="1"/>
  <c r="AC1458" i="1"/>
  <c r="AD1967" i="1"/>
  <c r="Z2035" i="1"/>
  <c r="AB2592" i="1"/>
  <c r="AB1410" i="1"/>
  <c r="Z1533" i="1"/>
  <c r="AC2781" i="1"/>
  <c r="AG2614" i="1"/>
  <c r="AA1810" i="1"/>
  <c r="AG2404" i="1"/>
  <c r="BJ3066" i="1"/>
  <c r="AA576" i="1"/>
  <c r="AG2439" i="1"/>
  <c r="AG527" i="1"/>
  <c r="AG1649" i="1"/>
  <c r="AD349" i="1"/>
  <c r="AC1425" i="1"/>
  <c r="AB888" i="1"/>
  <c r="BJ587" i="1"/>
  <c r="BJ1249" i="1"/>
  <c r="AD1073" i="1"/>
  <c r="AC1194" i="1"/>
  <c r="AG850" i="1"/>
  <c r="AD573" i="1"/>
  <c r="Z55" i="1"/>
  <c r="AC2519" i="1"/>
  <c r="AC2225" i="1"/>
  <c r="AG1318" i="1"/>
  <c r="AB598" i="1"/>
  <c r="AB944" i="1"/>
  <c r="BJ2729" i="1"/>
  <c r="AB3092" i="1"/>
  <c r="Z2269" i="1"/>
  <c r="AD695" i="1"/>
  <c r="BJ1548" i="1"/>
  <c r="AA1378" i="1"/>
  <c r="AA2832" i="1"/>
  <c r="Z2720" i="1"/>
  <c r="AD3032" i="1"/>
  <c r="Z1441" i="1"/>
  <c r="AD2669" i="1"/>
  <c r="AD1635" i="1"/>
  <c r="Z2926" i="1"/>
  <c r="BJ1684" i="1"/>
  <c r="BJ2308" i="1"/>
  <c r="BJ489" i="1"/>
  <c r="Z1633" i="1"/>
  <c r="AG2840" i="1"/>
  <c r="AB901" i="1"/>
  <c r="AB2798" i="1"/>
  <c r="Z2261" i="1"/>
  <c r="AA1286" i="1"/>
  <c r="BJ2709" i="1"/>
  <c r="AD2019" i="1"/>
  <c r="AC1661" i="1"/>
  <c r="Z419" i="1"/>
  <c r="Z519" i="1"/>
  <c r="BJ927" i="1"/>
  <c r="AB355" i="1"/>
  <c r="Z1588" i="1"/>
  <c r="AC1334" i="1"/>
  <c r="AG2662" i="1"/>
  <c r="AB829" i="1"/>
  <c r="AA2786" i="1"/>
  <c r="AC2203" i="1"/>
  <c r="AD1307" i="1"/>
  <c r="AD905" i="1"/>
  <c r="AB246" i="1"/>
  <c r="AG1240" i="1"/>
  <c r="AD15" i="1"/>
  <c r="AB582" i="1"/>
  <c r="AC1891" i="1"/>
  <c r="BJ2625" i="1"/>
  <c r="AB2615" i="1"/>
  <c r="BJ807" i="1"/>
  <c r="AG1903" i="1"/>
  <c r="AA1846" i="1"/>
  <c r="AA567" i="1"/>
  <c r="AC3025" i="1"/>
  <c r="BJ2356" i="1"/>
  <c r="BJ2969" i="1"/>
  <c r="BJ353" i="1"/>
  <c r="AA298" i="1"/>
  <c r="AC278" i="1"/>
  <c r="AC1465" i="1"/>
  <c r="AB621" i="1"/>
  <c r="AB691" i="1"/>
  <c r="AD107" i="1"/>
  <c r="AD418" i="1"/>
  <c r="AG1149" i="1"/>
  <c r="BJ770" i="1"/>
  <c r="AC2025" i="1"/>
  <c r="Z1919" i="1"/>
  <c r="AC2986" i="1"/>
  <c r="AG115" i="1"/>
  <c r="AB1528" i="1"/>
  <c r="BJ986" i="1"/>
  <c r="AB1396" i="1"/>
  <c r="AB2446" i="1"/>
  <c r="AB180" i="1"/>
  <c r="AC266" i="1"/>
  <c r="Z728" i="1"/>
  <c r="Z198" i="1"/>
  <c r="Z3068" i="1"/>
  <c r="AB1873" i="1"/>
  <c r="AD921" i="1"/>
  <c r="AB529" i="1"/>
  <c r="AB740" i="1"/>
  <c r="AB545" i="1"/>
  <c r="AA372" i="1"/>
  <c r="BJ2962" i="1"/>
  <c r="BJ1704" i="1"/>
  <c r="Z209" i="1"/>
  <c r="AA795" i="1"/>
  <c r="AA644" i="1"/>
  <c r="AB1756" i="1"/>
  <c r="AG418" i="1"/>
  <c r="AG1137" i="1"/>
  <c r="AA1932" i="1"/>
  <c r="Z2178" i="1"/>
  <c r="BJ626" i="1"/>
  <c r="AG1697" i="1"/>
  <c r="BJ2853" i="1"/>
  <c r="AG1911" i="1"/>
  <c r="AB425" i="1"/>
  <c r="AD1926" i="1"/>
  <c r="AB1612" i="1"/>
  <c r="AG827" i="1"/>
  <c r="AD2518" i="1"/>
  <c r="AA968" i="1"/>
  <c r="Z2881" i="1"/>
  <c r="AB2829" i="1"/>
  <c r="AA499" i="1"/>
  <c r="Z2842" i="1"/>
  <c r="AD1834" i="1"/>
  <c r="AB3054" i="1"/>
  <c r="AD268" i="1"/>
  <c r="Z2364" i="1"/>
  <c r="Z2399" i="1"/>
  <c r="Z348" i="1"/>
  <c r="AA2955" i="1"/>
  <c r="BJ2124" i="1"/>
  <c r="AD2975" i="1"/>
  <c r="AB2742" i="1"/>
  <c r="AG243" i="1"/>
  <c r="BJ1318" i="1"/>
  <c r="AD2155" i="1"/>
  <c r="Z2782" i="1"/>
  <c r="Z2994" i="1"/>
  <c r="AD1831" i="1"/>
  <c r="AG2844" i="1"/>
  <c r="AA709" i="1"/>
  <c r="AG2374" i="1"/>
  <c r="Z1820" i="1"/>
  <c r="AC2837" i="1"/>
  <c r="AB41" i="1"/>
  <c r="BJ2346" i="1"/>
  <c r="AB937" i="1"/>
  <c r="AD3145" i="1"/>
  <c r="AG2726" i="1"/>
  <c r="BJ304" i="1"/>
  <c r="AA716" i="1"/>
  <c r="BJ210" i="1"/>
  <c r="AG1959" i="1"/>
  <c r="AD978" i="1"/>
  <c r="Z2939" i="1"/>
  <c r="AD2016" i="1"/>
  <c r="AD42" i="1"/>
  <c r="AD2741" i="1"/>
  <c r="Z1610" i="1"/>
  <c r="AD2516" i="1"/>
  <c r="Z3090" i="1"/>
  <c r="AA2228" i="1"/>
  <c r="AG1263" i="1"/>
  <c r="AD1053" i="1"/>
  <c r="AB2484" i="1"/>
  <c r="AB2361" i="1"/>
  <c r="Z1072" i="1"/>
  <c r="Z1866" i="1"/>
  <c r="BJ1053" i="1"/>
  <c r="BJ2945" i="1"/>
  <c r="AD1256" i="1"/>
  <c r="AA1313" i="1"/>
  <c r="BJ2924" i="1"/>
  <c r="Z2379" i="1"/>
  <c r="AC2834" i="1"/>
  <c r="AB3017" i="1"/>
  <c r="AB1422" i="1"/>
  <c r="AD881" i="1"/>
  <c r="AD2187" i="1"/>
  <c r="AC1888" i="1"/>
  <c r="AC1902" i="1"/>
  <c r="Z2671" i="1"/>
  <c r="AC3058" i="1"/>
  <c r="AB1684" i="1"/>
  <c r="AA2577" i="1"/>
  <c r="AG1902" i="1"/>
  <c r="BJ2834" i="1"/>
  <c r="AG152" i="1"/>
  <c r="AD1614" i="1"/>
  <c r="AA1015" i="1"/>
  <c r="Z1655" i="1"/>
  <c r="AA1261" i="1"/>
  <c r="AB715" i="1"/>
  <c r="Z295" i="1"/>
  <c r="AG2473" i="1"/>
  <c r="AC2904" i="1"/>
  <c r="AA1710" i="1"/>
  <c r="Z89" i="1"/>
  <c r="AA2984" i="1"/>
  <c r="Z1908" i="1"/>
  <c r="AA437" i="1"/>
  <c r="AA1072" i="1"/>
  <c r="AG1923" i="1"/>
  <c r="Z1498" i="1"/>
  <c r="AC534" i="1"/>
  <c r="AD2849" i="1"/>
  <c r="AD1375" i="1"/>
  <c r="AB1202" i="1"/>
  <c r="AB652" i="1"/>
  <c r="AC2085" i="1"/>
  <c r="AB910" i="1"/>
  <c r="AA1122" i="1"/>
  <c r="AD2554" i="1"/>
  <c r="BJ2504" i="1"/>
  <c r="AB153" i="1"/>
  <c r="AB1360" i="1"/>
  <c r="AC1746" i="1"/>
  <c r="AD2233" i="1"/>
  <c r="AB631" i="1"/>
  <c r="AG560" i="1"/>
  <c r="AD1840" i="1"/>
  <c r="AC2719" i="1"/>
  <c r="AB1221" i="1"/>
  <c r="AC1281" i="1"/>
  <c r="AA2048" i="1"/>
  <c r="AC1500" i="1"/>
  <c r="AD2133" i="1"/>
  <c r="AG2705" i="1"/>
  <c r="AB2381" i="1"/>
  <c r="AA625" i="1"/>
  <c r="AB278" i="1"/>
  <c r="AG266" i="1"/>
  <c r="AB2763" i="1"/>
  <c r="AA2595" i="1"/>
  <c r="BJ978" i="1"/>
  <c r="BJ1575" i="1"/>
  <c r="BJ1910" i="1"/>
  <c r="AB2938" i="1"/>
  <c r="AG609" i="1"/>
  <c r="Z2063" i="1"/>
  <c r="AG2470" i="1"/>
  <c r="AC1884" i="1"/>
  <c r="AC2863" i="1"/>
  <c r="AB1804" i="1"/>
  <c r="AD1473" i="1"/>
  <c r="AG60" i="1"/>
  <c r="AC938" i="1"/>
  <c r="Z2648" i="1"/>
  <c r="AA3132" i="1"/>
  <c r="AG2637" i="1"/>
  <c r="BJ2318" i="1"/>
  <c r="BJ2488" i="1"/>
  <c r="Z764" i="1"/>
  <c r="AG374" i="1"/>
  <c r="AB2719" i="1"/>
  <c r="AA240" i="1"/>
  <c r="AC2770" i="1"/>
  <c r="AA2387" i="1"/>
  <c r="Z1563" i="1"/>
  <c r="AA1273" i="1"/>
  <c r="AB2824" i="1"/>
  <c r="Z1950" i="1"/>
  <c r="AA1148" i="1"/>
  <c r="Z890" i="1"/>
  <c r="AG468" i="1"/>
  <c r="AC1751" i="1"/>
  <c r="AB1974" i="1"/>
  <c r="BJ2414" i="1"/>
  <c r="AG1274" i="1"/>
  <c r="AA1068" i="1"/>
  <c r="BJ3071" i="1"/>
  <c r="AC941" i="1"/>
  <c r="BJ1068" i="1"/>
  <c r="AC1019" i="1"/>
  <c r="BJ2370" i="1"/>
  <c r="BJ249" i="1"/>
  <c r="AA794" i="1"/>
  <c r="AD186" i="1"/>
  <c r="AB2311" i="1"/>
  <c r="AG2301" i="1"/>
  <c r="Z26" i="1"/>
  <c r="AA583" i="1"/>
  <c r="BJ2876" i="1"/>
  <c r="AB2830" i="1"/>
  <c r="BJ1591" i="1"/>
  <c r="AA2730" i="1"/>
  <c r="AA522" i="1"/>
  <c r="AG1635" i="1"/>
  <c r="AD2378" i="1"/>
  <c r="AC52" i="1"/>
  <c r="AA3135" i="1"/>
  <c r="AB1042" i="1"/>
  <c r="AB1322" i="1"/>
  <c r="AC3065" i="1"/>
  <c r="Z1083" i="1"/>
  <c r="AG1341" i="1"/>
  <c r="Z262" i="1"/>
  <c r="AC502" i="1"/>
  <c r="AC932" i="1"/>
  <c r="AA2839" i="1"/>
  <c r="AD437" i="1"/>
  <c r="AG1110" i="1"/>
  <c r="AD807" i="1"/>
  <c r="BJ1620" i="1"/>
  <c r="AD2766" i="1"/>
  <c r="AD3089" i="1"/>
  <c r="AB1053" i="1"/>
  <c r="BJ1113" i="1"/>
  <c r="BJ850" i="1"/>
  <c r="AG2061" i="1"/>
  <c r="Z2761" i="1"/>
  <c r="AD804" i="1"/>
  <c r="AB310" i="1"/>
  <c r="Z1761" i="1"/>
  <c r="AD2772" i="1"/>
  <c r="AG1628" i="1"/>
  <c r="AD1949" i="1"/>
  <c r="Z2355" i="1"/>
  <c r="BJ1082" i="1"/>
  <c r="AC389" i="1"/>
  <c r="AD1115" i="1"/>
  <c r="AG733" i="1"/>
  <c r="AG2572" i="1"/>
  <c r="Z2588" i="1"/>
  <c r="AG3045" i="1"/>
  <c r="AB1101" i="1"/>
  <c r="AD760" i="1"/>
  <c r="AG3089" i="1"/>
  <c r="AA777" i="1"/>
  <c r="AC891" i="1"/>
  <c r="Z964" i="1"/>
  <c r="AB2878" i="1"/>
  <c r="AG1725" i="1"/>
  <c r="AD97" i="1"/>
  <c r="AB2992" i="1"/>
  <c r="AA435" i="1"/>
  <c r="Z873" i="1"/>
  <c r="AG1367" i="1"/>
  <c r="AC1850" i="1"/>
  <c r="Z2639" i="1"/>
  <c r="Z139" i="1"/>
  <c r="Z1737" i="1"/>
  <c r="AA2121" i="1"/>
  <c r="Z2882" i="1"/>
  <c r="BJ2875" i="1"/>
  <c r="AG251" i="1"/>
  <c r="AC1024" i="1"/>
  <c r="AD657" i="1"/>
  <c r="AB2020" i="1"/>
  <c r="AA928" i="1"/>
  <c r="BJ494" i="1"/>
  <c r="AD2703" i="1"/>
  <c r="BJ1429" i="1"/>
  <c r="AA1428" i="1"/>
  <c r="AG1941" i="1"/>
  <c r="AC1873" i="1"/>
  <c r="AG2669" i="1"/>
  <c r="AC2917" i="1"/>
  <c r="AD1613" i="1"/>
  <c r="AB2920" i="1"/>
  <c r="AC2279" i="1"/>
  <c r="Z408" i="1"/>
  <c r="AA2877" i="1"/>
  <c r="BJ1466" i="1"/>
  <c r="AC1768" i="1"/>
  <c r="AA19" i="1"/>
  <c r="AA3134" i="1"/>
  <c r="AB881" i="1"/>
  <c r="AA1843" i="1"/>
  <c r="AA277" i="1"/>
  <c r="AC1632" i="1"/>
  <c r="AA1803" i="1"/>
  <c r="BJ131" i="1"/>
  <c r="AA2578" i="1"/>
  <c r="AA1691" i="1"/>
  <c r="AG2422" i="1"/>
  <c r="AD1737" i="1"/>
  <c r="AA1281" i="1"/>
  <c r="Z675" i="1"/>
  <c r="AG1303" i="1"/>
  <c r="AC2765" i="1"/>
  <c r="AC888" i="1"/>
  <c r="AA2346" i="1"/>
  <c r="AC1254" i="1"/>
  <c r="AA354" i="1"/>
  <c r="AG794" i="1"/>
  <c r="BJ472" i="1"/>
  <c r="AG1659" i="1"/>
  <c r="Z2957" i="1"/>
  <c r="AC2290" i="1"/>
  <c r="BJ786" i="1"/>
  <c r="Z2349" i="1"/>
  <c r="AB927" i="1"/>
  <c r="BJ1814" i="1"/>
  <c r="AD1555" i="1"/>
  <c r="BJ2523" i="1"/>
  <c r="AD63" i="1"/>
  <c r="AC1147" i="1"/>
  <c r="AA317" i="1"/>
  <c r="AD629" i="1"/>
  <c r="AG2141" i="1"/>
  <c r="AB2205" i="1"/>
  <c r="AB1206" i="1"/>
  <c r="AA1566" i="1"/>
  <c r="AC1914" i="1"/>
  <c r="BJ1628" i="1"/>
  <c r="AC1826" i="1"/>
  <c r="BJ678" i="1"/>
  <c r="AC611" i="1"/>
  <c r="Z711" i="1"/>
  <c r="AB421" i="1"/>
  <c r="AD691" i="1"/>
  <c r="AG1208" i="1"/>
  <c r="Z1728" i="1"/>
  <c r="BJ1060" i="1"/>
  <c r="AC513" i="1"/>
  <c r="AB1683" i="1"/>
  <c r="AG1163" i="1"/>
  <c r="BJ1175" i="1"/>
  <c r="AB648" i="1"/>
  <c r="AG1766" i="1"/>
  <c r="AC1453" i="1"/>
  <c r="AC2875" i="1"/>
  <c r="Z1978" i="1"/>
  <c r="AB2051" i="1"/>
  <c r="AD1918" i="1"/>
  <c r="AA1894" i="1"/>
  <c r="BJ2080" i="1"/>
  <c r="AA1058" i="1"/>
  <c r="AC2562" i="1"/>
  <c r="AB1558" i="1"/>
  <c r="AG1444" i="1"/>
  <c r="BJ182" i="1"/>
  <c r="Z685" i="1"/>
  <c r="BJ2746" i="1"/>
  <c r="AC32" i="1"/>
  <c r="BJ1280" i="1"/>
  <c r="AA2523" i="1"/>
  <c r="AD2827" i="1"/>
  <c r="BJ1300" i="1"/>
  <c r="BJ258" i="1"/>
  <c r="AC77" i="1"/>
  <c r="AA1170" i="1"/>
  <c r="AC1198" i="1"/>
  <c r="AG2958" i="1"/>
  <c r="AD1593" i="1"/>
  <c r="BJ2297" i="1"/>
  <c r="BJ2254" i="1"/>
  <c r="AB2443" i="1"/>
  <c r="AC1630" i="1"/>
  <c r="AG1112" i="1"/>
  <c r="AD2146" i="1"/>
  <c r="AA1387" i="1"/>
  <c r="AB1274" i="1"/>
  <c r="AC2648" i="1"/>
  <c r="AG833" i="1"/>
  <c r="AG2034" i="1"/>
  <c r="AC2761" i="1"/>
  <c r="AG2842" i="1"/>
  <c r="AB80" i="1"/>
  <c r="AA2072" i="1"/>
  <c r="AG1777" i="1"/>
  <c r="Z303" i="1"/>
  <c r="Z510" i="1"/>
  <c r="AC1038" i="1"/>
  <c r="AG541" i="1"/>
  <c r="AC1044" i="1"/>
  <c r="AA2479" i="1"/>
  <c r="Z377" i="1"/>
  <c r="AB10" i="1"/>
  <c r="Z1877" i="1"/>
  <c r="Z1316" i="1"/>
  <c r="AC1174" i="1"/>
  <c r="AB2978" i="1"/>
  <c r="AC2735" i="1"/>
  <c r="Z1226" i="1"/>
  <c r="AD1193" i="1"/>
  <c r="BJ2940" i="1"/>
  <c r="AC636" i="1"/>
  <c r="AD3055" i="1"/>
  <c r="Z842" i="1"/>
  <c r="BJ2860" i="1"/>
  <c r="BJ299" i="1"/>
  <c r="AC1398" i="1"/>
  <c r="AB2393" i="1"/>
  <c r="BJ475" i="1"/>
  <c r="BJ1609" i="1"/>
  <c r="AA215" i="1"/>
  <c r="BJ2669" i="1"/>
  <c r="AG2210" i="1"/>
  <c r="AG1176" i="1"/>
  <c r="AD2044" i="1"/>
  <c r="AG1223" i="1"/>
  <c r="AG2377" i="1"/>
  <c r="AC2103" i="1"/>
  <c r="AA293" i="1"/>
  <c r="AG1666" i="1"/>
  <c r="Z2827" i="1"/>
  <c r="Z2655" i="1"/>
  <c r="AC859" i="1"/>
  <c r="BJ654" i="1"/>
  <c r="AD2951" i="1"/>
  <c r="AC2541" i="1"/>
  <c r="BJ1385" i="1"/>
  <c r="AC141" i="1"/>
  <c r="AB869" i="1"/>
  <c r="Z805" i="1"/>
  <c r="AB2437" i="1"/>
  <c r="Z3116" i="1"/>
  <c r="BJ2003" i="1"/>
  <c r="Z1384" i="1"/>
  <c r="AG1789" i="1"/>
  <c r="AA1477" i="1"/>
  <c r="AA1693" i="1"/>
  <c r="AD879" i="1"/>
  <c r="AG952" i="1"/>
  <c r="BJ1134" i="1"/>
  <c r="AC2476" i="1"/>
  <c r="BJ2243" i="1"/>
  <c r="AA1840" i="1"/>
  <c r="AC1391" i="1"/>
  <c r="AG369" i="1"/>
  <c r="AD1447" i="1"/>
  <c r="AC594" i="1"/>
  <c r="AC271" i="1"/>
  <c r="BJ2090" i="1"/>
  <c r="AG674" i="1"/>
  <c r="AC845" i="1"/>
  <c r="BJ143" i="1"/>
  <c r="AG1259" i="1"/>
  <c r="AC627" i="1"/>
  <c r="AB2104" i="1"/>
  <c r="BJ3039" i="1"/>
  <c r="AD2742" i="1"/>
  <c r="AD1321" i="1"/>
  <c r="AG2762" i="1"/>
  <c r="BJ1265" i="1"/>
  <c r="AC3039" i="1"/>
  <c r="AG2867" i="1"/>
  <c r="AC452" i="1"/>
  <c r="BJ697" i="1"/>
  <c r="BJ1550" i="1"/>
  <c r="Z2633" i="1"/>
  <c r="AG441" i="1"/>
  <c r="AA953" i="1"/>
  <c r="AB2357" i="1"/>
  <c r="BJ1445" i="1"/>
  <c r="AG1939" i="1"/>
  <c r="AC2911" i="1"/>
  <c r="AA2852" i="1"/>
  <c r="Z815" i="1"/>
  <c r="BJ1926" i="1"/>
  <c r="AC2170" i="1"/>
  <c r="AB2524" i="1"/>
  <c r="AA1328" i="1"/>
  <c r="Z1602" i="1"/>
  <c r="AC1593" i="1"/>
  <c r="AC2715" i="1"/>
  <c r="AB2785" i="1"/>
  <c r="AA624" i="1"/>
  <c r="Z1701" i="1"/>
  <c r="BJ2147" i="1"/>
  <c r="AA3079" i="1"/>
  <c r="AG742" i="1"/>
  <c r="Z590" i="1"/>
  <c r="BJ750" i="1"/>
  <c r="AC1733" i="1"/>
  <c r="Z2814" i="1"/>
  <c r="AC1505" i="1"/>
  <c r="AA2593" i="1"/>
  <c r="BJ649" i="1"/>
  <c r="AB3146" i="1"/>
  <c r="AC146" i="1"/>
  <c r="Z917" i="1"/>
  <c r="AD2473" i="1"/>
  <c r="AA147" i="1"/>
  <c r="BJ1084" i="1"/>
  <c r="AA366" i="1"/>
  <c r="AG2290" i="1"/>
  <c r="AC1041" i="1"/>
  <c r="AA2086" i="1"/>
  <c r="AC901" i="1"/>
  <c r="AD648" i="1"/>
  <c r="AD1670" i="1"/>
  <c r="Z652" i="1"/>
  <c r="AG607" i="1"/>
  <c r="AB1585" i="1"/>
  <c r="AD892" i="1"/>
  <c r="Z1446" i="1"/>
  <c r="Z2523" i="1"/>
  <c r="Z2289" i="1"/>
  <c r="AB2791" i="1"/>
  <c r="AD2934" i="1"/>
  <c r="AB2668" i="1"/>
  <c r="AB623" i="1"/>
  <c r="AA2520" i="1"/>
  <c r="AG2005" i="1"/>
  <c r="BJ514" i="1"/>
  <c r="AG2282" i="1"/>
  <c r="AC1668" i="1"/>
  <c r="AC2854" i="1"/>
  <c r="AC1555" i="1"/>
  <c r="AB1834" i="1"/>
  <c r="BJ885" i="1"/>
  <c r="AC1432" i="1"/>
  <c r="AD2441" i="1"/>
  <c r="Z1933" i="1"/>
  <c r="AC306" i="1"/>
  <c r="Z2965" i="1"/>
  <c r="AC1599" i="1"/>
  <c r="AB2661" i="1"/>
  <c r="AG146" i="1"/>
  <c r="AG2630" i="1"/>
  <c r="AB3008" i="1"/>
  <c r="AC2536" i="1"/>
  <c r="BJ2161" i="1"/>
  <c r="Z688" i="1"/>
  <c r="BJ3091" i="1"/>
  <c r="BJ1096" i="1"/>
  <c r="AD3118" i="1"/>
  <c r="AG2548" i="1"/>
  <c r="AA2660" i="1"/>
  <c r="BJ2377" i="1"/>
  <c r="AG3007" i="1"/>
  <c r="AA131" i="1"/>
  <c r="BJ162" i="1"/>
  <c r="AC74" i="1"/>
  <c r="BJ2238" i="1"/>
  <c r="BJ2223" i="1"/>
  <c r="AC421" i="1"/>
  <c r="AG988" i="1"/>
  <c r="Z97" i="1"/>
  <c r="AG1844" i="1"/>
  <c r="AG3028" i="1"/>
  <c r="AC2009" i="1"/>
  <c r="Z2953" i="1"/>
  <c r="AD1890" i="1"/>
  <c r="AB2557" i="1"/>
  <c r="Z2485" i="1"/>
  <c r="AA2135" i="1"/>
  <c r="AA538" i="1"/>
  <c r="AC1016" i="1"/>
  <c r="AA746" i="1"/>
  <c r="AB2053" i="1"/>
  <c r="AG2900" i="1"/>
  <c r="AG2777" i="1"/>
  <c r="AA415" i="1"/>
  <c r="Z110" i="1"/>
  <c r="AB774" i="1"/>
  <c r="AB214" i="1"/>
  <c r="AG2545" i="1"/>
  <c r="BJ707" i="1"/>
  <c r="Z1554" i="1"/>
  <c r="AC1007" i="1"/>
  <c r="AD1215" i="1"/>
  <c r="AA259" i="1"/>
  <c r="AD1691" i="1"/>
  <c r="AC547" i="1"/>
  <c r="AC2165" i="1"/>
  <c r="AD3075" i="1"/>
  <c r="Z2816" i="1"/>
  <c r="BJ289" i="1"/>
  <c r="BJ1705" i="1"/>
  <c r="BJ3082" i="1"/>
  <c r="Z251" i="1"/>
  <c r="AD1014" i="1"/>
  <c r="AA114" i="1"/>
  <c r="BJ2368" i="1"/>
  <c r="AC809" i="1"/>
  <c r="AC950" i="1"/>
  <c r="AD2470" i="1"/>
  <c r="AD618" i="1"/>
  <c r="BJ691" i="1"/>
  <c r="BJ418" i="1"/>
  <c r="BJ1086" i="1"/>
  <c r="AG2146" i="1"/>
  <c r="AC545" i="1"/>
  <c r="AB13" i="1"/>
  <c r="BJ2963" i="1"/>
  <c r="AA1712" i="1"/>
  <c r="AA10" i="1"/>
  <c r="AD2715" i="1"/>
  <c r="Z2885" i="1"/>
  <c r="Z605" i="1"/>
  <c r="AB1430" i="1"/>
  <c r="AB2494" i="1"/>
  <c r="AB1062" i="1"/>
  <c r="AD2081" i="1"/>
  <c r="AA2157" i="1"/>
  <c r="AC441" i="1"/>
  <c r="AC2905" i="1"/>
  <c r="Z2865" i="1"/>
  <c r="Z1338" i="1"/>
  <c r="AA509" i="1"/>
  <c r="AB428" i="1"/>
  <c r="AA2934" i="1"/>
  <c r="BJ2866" i="1"/>
  <c r="Z946" i="1"/>
  <c r="AG743" i="1"/>
  <c r="AC1679" i="1"/>
  <c r="AA965" i="1"/>
  <c r="BJ2285" i="1"/>
  <c r="AB502" i="1"/>
  <c r="Z951" i="1"/>
  <c r="Z781" i="1"/>
  <c r="AC1286" i="1"/>
  <c r="AA2460" i="1"/>
  <c r="BJ1543" i="1"/>
  <c r="AG2370" i="1"/>
  <c r="AA2372" i="1"/>
  <c r="Z2131" i="1"/>
  <c r="BJ802" i="1"/>
  <c r="AA1867" i="1"/>
  <c r="AD2760" i="1"/>
  <c r="AG1086" i="1"/>
  <c r="AC851" i="1"/>
  <c r="BJ2033" i="1"/>
  <c r="AC1446" i="1"/>
  <c r="AA1613" i="1"/>
  <c r="AB2654" i="1"/>
  <c r="AA2548" i="1"/>
  <c r="AC1700" i="1"/>
  <c r="Z1233" i="1"/>
  <c r="AG2167" i="1"/>
  <c r="AA2618" i="1"/>
  <c r="Z482" i="1"/>
  <c r="AG2325" i="1"/>
  <c r="AB285" i="1"/>
  <c r="AG2228" i="1"/>
  <c r="BJ2353" i="1"/>
  <c r="BJ1165" i="1"/>
  <c r="AA195" i="1"/>
  <c r="BJ3012" i="1"/>
  <c r="BJ1549" i="1"/>
  <c r="Z421" i="1"/>
  <c r="AA2586" i="1"/>
  <c r="BJ1980" i="1"/>
  <c r="AC92" i="1"/>
  <c r="AC1169" i="1"/>
  <c r="AC1779" i="1"/>
  <c r="AB638" i="1"/>
  <c r="Z29" i="1"/>
  <c r="BJ427" i="1"/>
  <c r="BJ744" i="1"/>
  <c r="AB1776" i="1"/>
  <c r="AA2367" i="1"/>
  <c r="BJ2815" i="1"/>
  <c r="BJ1717" i="1"/>
  <c r="BJ1804" i="1"/>
  <c r="AD2486" i="1"/>
  <c r="AC2509" i="1"/>
  <c r="AB988" i="1"/>
  <c r="AC2145" i="1"/>
  <c r="Z1146" i="1"/>
  <c r="BJ2200" i="1"/>
  <c r="AA1665" i="1"/>
  <c r="AB1522" i="1"/>
  <c r="Z1031" i="1"/>
  <c r="AG408" i="1"/>
  <c r="AA1965" i="1"/>
  <c r="Z831" i="1"/>
  <c r="Z2107" i="1"/>
  <c r="AA2178" i="1"/>
  <c r="BJ2622" i="1"/>
  <c r="Z58" i="1"/>
  <c r="AA68" i="1"/>
  <c r="AG3026" i="1"/>
  <c r="AB280" i="1"/>
  <c r="BJ1538" i="1"/>
  <c r="AB1723" i="1"/>
  <c r="AD2756" i="1"/>
  <c r="BJ1668" i="1"/>
  <c r="AB2483" i="1"/>
  <c r="AD1017" i="1"/>
  <c r="AC849" i="1"/>
  <c r="AC2417" i="1"/>
  <c r="AA858" i="1"/>
  <c r="AD559" i="1"/>
  <c r="Z372" i="1"/>
  <c r="AD1592" i="1"/>
  <c r="AG440" i="1"/>
  <c r="AG1033" i="1"/>
  <c r="AC2478" i="1"/>
  <c r="Z328" i="1"/>
  <c r="AG2633" i="1"/>
  <c r="AG1472" i="1"/>
  <c r="AA2355" i="1"/>
  <c r="AB1855" i="1"/>
  <c r="AA403" i="1"/>
  <c r="AC2201" i="1"/>
  <c r="AD2451" i="1"/>
  <c r="AA2310" i="1"/>
  <c r="AG561" i="1"/>
  <c r="AA2293" i="1"/>
  <c r="AG102" i="1"/>
  <c r="AC2997" i="1"/>
  <c r="AG100" i="1"/>
  <c r="BJ2048" i="1"/>
  <c r="AC1388" i="1"/>
  <c r="BJ2108" i="1"/>
  <c r="Z388" i="1"/>
  <c r="AA3076" i="1"/>
  <c r="AD2602" i="1"/>
  <c r="AA666" i="1"/>
  <c r="AC907" i="1"/>
  <c r="BJ1840" i="1"/>
  <c r="Z33" i="1"/>
  <c r="AG761" i="1"/>
  <c r="BJ2576" i="1"/>
  <c r="AA1476" i="1"/>
  <c r="AD1119" i="1"/>
  <c r="AB1865" i="1"/>
  <c r="BJ1749" i="1"/>
  <c r="AB2725" i="1"/>
  <c r="AC2086" i="1"/>
  <c r="AD3041" i="1"/>
  <c r="AA1747" i="1"/>
  <c r="BJ440" i="1"/>
  <c r="AA2301" i="1"/>
  <c r="Z1954" i="1"/>
  <c r="BJ254" i="1"/>
  <c r="BJ2005" i="1"/>
  <c r="BJ2717" i="1"/>
  <c r="Z1167" i="1"/>
  <c r="AB1263" i="1"/>
  <c r="BJ2474" i="1"/>
  <c r="AB1517" i="1"/>
  <c r="AD2586" i="1"/>
  <c r="AA396" i="1"/>
  <c r="AC2871" i="1"/>
  <c r="Z2569" i="1"/>
  <c r="AD2079" i="1"/>
  <c r="AA55" i="1"/>
  <c r="Z2938" i="1"/>
  <c r="AG2328" i="1"/>
  <c r="AD1950" i="1"/>
  <c r="Z1006" i="1"/>
  <c r="AB2325" i="1"/>
  <c r="AA2044" i="1"/>
  <c r="AB1567" i="1"/>
  <c r="Z2129" i="1"/>
  <c r="Z494" i="1"/>
  <c r="AG2909" i="1"/>
  <c r="BJ1633" i="1"/>
  <c r="AA1671" i="1"/>
  <c r="AB1536" i="1"/>
  <c r="AC2033" i="1"/>
  <c r="AA1270" i="1"/>
  <c r="BJ1023" i="1"/>
  <c r="BJ2447" i="1"/>
  <c r="BJ1256" i="1"/>
  <c r="AD1175" i="1"/>
  <c r="AB1204" i="1"/>
  <c r="BJ1876" i="1"/>
  <c r="AB761" i="1"/>
  <c r="AA1200" i="1"/>
  <c r="AC1415" i="1"/>
  <c r="AB2448" i="1"/>
  <c r="BJ524" i="1"/>
  <c r="AG2413" i="1"/>
  <c r="AB2290" i="1"/>
  <c r="BJ3003" i="1"/>
  <c r="Z2825" i="1"/>
  <c r="AC1734" i="1"/>
  <c r="AB3033" i="1"/>
  <c r="AD2273" i="1"/>
  <c r="Z1281" i="1"/>
  <c r="Z234" i="1"/>
  <c r="AD943" i="1"/>
  <c r="AG2087" i="1"/>
  <c r="Z1105" i="1"/>
  <c r="AB2858" i="1"/>
  <c r="Z1363" i="1"/>
  <c r="Z706" i="1"/>
  <c r="AG553" i="1"/>
  <c r="AA1787" i="1"/>
  <c r="AC2117" i="1"/>
  <c r="AB2650" i="1"/>
  <c r="AA3120" i="1"/>
  <c r="AG2567" i="1"/>
  <c r="AD2331" i="1"/>
  <c r="AB1929" i="1"/>
  <c r="AD2821" i="1"/>
  <c r="AC1959" i="1"/>
  <c r="AC1298" i="1"/>
  <c r="AB298" i="1"/>
  <c r="AC1201" i="1"/>
  <c r="AA2576" i="1"/>
  <c r="AD2744" i="1"/>
  <c r="AG465" i="1"/>
  <c r="Z2594" i="1"/>
  <c r="AG458" i="1"/>
  <c r="BJ838" i="1"/>
  <c r="AD352" i="1"/>
  <c r="AG123" i="1"/>
  <c r="AD2845" i="1"/>
  <c r="AC195" i="1"/>
  <c r="AC2723" i="1"/>
  <c r="Z1864" i="1"/>
  <c r="AG2431" i="1"/>
  <c r="AC400" i="1"/>
  <c r="BJ1304" i="1"/>
  <c r="AG2873" i="1"/>
  <c r="BJ2059" i="1"/>
  <c r="AA2081" i="1"/>
  <c r="AA363" i="1"/>
  <c r="Z395" i="1"/>
  <c r="AB2729" i="1"/>
  <c r="BJ1874" i="1"/>
  <c r="AA3025" i="1"/>
  <c r="AD2013" i="1"/>
  <c r="AA507" i="1"/>
  <c r="AB2419" i="1"/>
  <c r="Z440" i="1"/>
  <c r="BJ1169" i="1"/>
  <c r="BJ3055" i="1"/>
  <c r="AD1533" i="1"/>
  <c r="AD2264" i="1"/>
  <c r="AG2056" i="1"/>
  <c r="Z3152" i="1"/>
  <c r="AC232" i="1"/>
  <c r="AC704" i="1"/>
  <c r="AD1188" i="1"/>
  <c r="Z2566" i="1"/>
  <c r="AD1330" i="1"/>
  <c r="AB190" i="1"/>
  <c r="AA2424" i="1"/>
  <c r="AC1027" i="1"/>
  <c r="AC2293" i="1"/>
  <c r="AG1061" i="1"/>
  <c r="AD684" i="1"/>
  <c r="AC3043" i="1"/>
  <c r="AA2229" i="1"/>
  <c r="Z1328" i="1"/>
  <c r="Z441" i="1"/>
  <c r="AB2175" i="1"/>
  <c r="Z1490" i="1"/>
  <c r="AC1009" i="1"/>
  <c r="AD2122" i="1"/>
  <c r="AD2531" i="1"/>
  <c r="AG1317" i="1"/>
  <c r="AA704" i="1"/>
  <c r="AD1076" i="1"/>
  <c r="AG356" i="1"/>
  <c r="AB2581" i="1"/>
  <c r="AD1050" i="1"/>
  <c r="AG2902" i="1"/>
  <c r="AB3013" i="1"/>
  <c r="AG2403" i="1"/>
  <c r="AA2038" i="1"/>
  <c r="AC1775" i="1"/>
  <c r="AC2188" i="1"/>
  <c r="Z1763" i="1"/>
  <c r="AG2713" i="1"/>
  <c r="AG790" i="1"/>
  <c r="Z827" i="1"/>
  <c r="AB2412" i="1"/>
  <c r="BJ2702" i="1"/>
  <c r="Z2998" i="1"/>
  <c r="AA2570" i="1"/>
  <c r="Z1729" i="1"/>
  <c r="AB2873" i="1"/>
  <c r="AB419" i="1"/>
  <c r="Z2335" i="1"/>
  <c r="Z1487" i="1"/>
  <c r="BJ2727" i="1"/>
  <c r="AA3145" i="1"/>
  <c r="AC964" i="1"/>
  <c r="AC498" i="1"/>
  <c r="AB2544" i="1"/>
  <c r="Z194" i="1"/>
  <c r="AD1005" i="1"/>
  <c r="AB217" i="1"/>
  <c r="AC114" i="1"/>
  <c r="AC588" i="1"/>
  <c r="AC1394" i="1"/>
  <c r="AD43" i="1"/>
  <c r="AD2608" i="1"/>
  <c r="AG1164" i="1"/>
  <c r="AB812" i="1"/>
  <c r="AG954" i="1"/>
  <c r="AC438" i="1"/>
  <c r="AD1181" i="1"/>
  <c r="BJ170" i="1"/>
  <c r="AC2683" i="1"/>
  <c r="AA693" i="1"/>
  <c r="AG772" i="1"/>
  <c r="AD1779" i="1"/>
  <c r="Z324" i="1"/>
  <c r="AC2098" i="1"/>
  <c r="AD948" i="1"/>
  <c r="BJ2994" i="1"/>
  <c r="AA2425" i="1"/>
  <c r="AC221" i="1"/>
  <c r="Z119" i="1"/>
  <c r="AB1089" i="1"/>
  <c r="BJ2261" i="1"/>
  <c r="Z749" i="1"/>
  <c r="BJ957" i="1"/>
  <c r="AD2479" i="1"/>
  <c r="AG820" i="1"/>
  <c r="AD686" i="1"/>
  <c r="AA473" i="1"/>
  <c r="AB1569" i="1"/>
  <c r="AB69" i="1"/>
  <c r="AC2708" i="1"/>
  <c r="BJ1998" i="1"/>
  <c r="AA1319" i="1"/>
  <c r="Z2775" i="1"/>
  <c r="AC937" i="1"/>
  <c r="AB2600" i="1"/>
  <c r="AB766" i="1"/>
  <c r="Z232" i="1"/>
  <c r="AA1948" i="1"/>
  <c r="BJ1138" i="1"/>
  <c r="AA379" i="1"/>
  <c r="BJ2787" i="1"/>
  <c r="Z1510" i="1"/>
  <c r="AA1856" i="1"/>
  <c r="AB436" i="1"/>
  <c r="AA443" i="1"/>
  <c r="AC3131" i="1"/>
  <c r="BJ2166" i="1"/>
  <c r="Z2640" i="1"/>
  <c r="AA966" i="1"/>
  <c r="AD260" i="1"/>
  <c r="AB452" i="1"/>
  <c r="AD1338" i="1"/>
  <c r="AG230" i="1"/>
  <c r="AG2769" i="1"/>
  <c r="AD841" i="1"/>
  <c r="AB921" i="1"/>
  <c r="AA2771" i="1"/>
  <c r="AA986" i="1"/>
  <c r="AG2509" i="1"/>
  <c r="AC978" i="1"/>
  <c r="AC19" i="1"/>
  <c r="AC1422" i="1"/>
  <c r="Z1848" i="1"/>
  <c r="BJ2501" i="1"/>
  <c r="AD2940" i="1"/>
  <c r="AB1780" i="1"/>
  <c r="AC635" i="1"/>
  <c r="AB1639" i="1"/>
  <c r="AD2984" i="1"/>
  <c r="AB124" i="1"/>
  <c r="AA1683" i="1"/>
  <c r="AA1820" i="1"/>
  <c r="AB317" i="1"/>
  <c r="AG2172" i="1"/>
  <c r="AB134" i="1"/>
  <c r="AC1224" i="1"/>
  <c r="AD1783" i="1"/>
  <c r="AG1572" i="1"/>
  <c r="Z423" i="1"/>
  <c r="AA1065" i="1"/>
  <c r="Z1087" i="1"/>
  <c r="Z237" i="1"/>
  <c r="AG2577" i="1"/>
  <c r="AG2294" i="1"/>
  <c r="AB3111" i="1"/>
  <c r="AB3057" i="1"/>
  <c r="AA1941" i="1"/>
  <c r="Z665" i="1"/>
  <c r="BJ479" i="1"/>
  <c r="BJ1284" i="1"/>
  <c r="AA2546" i="1"/>
  <c r="AC2273" i="1"/>
  <c r="Z1354" i="1"/>
  <c r="AD757" i="1"/>
  <c r="AA1310" i="1"/>
  <c r="AA2476" i="1"/>
  <c r="Z2386" i="1"/>
  <c r="AD76" i="1"/>
  <c r="AC609" i="1"/>
  <c r="AC2311" i="1"/>
  <c r="Z1953" i="1"/>
  <c r="AD1945" i="1"/>
  <c r="AC2367" i="1"/>
  <c r="AG334" i="1"/>
  <c r="AB805" i="1"/>
  <c r="BJ2932" i="1"/>
  <c r="AA2964" i="1"/>
  <c r="Z250" i="1"/>
  <c r="AG713" i="1"/>
  <c r="AB3029" i="1"/>
  <c r="AB2422" i="1"/>
  <c r="AB406" i="1"/>
  <c r="AC2028" i="1"/>
  <c r="AA2126" i="1"/>
  <c r="Z2231" i="1"/>
  <c r="AA1831" i="1"/>
  <c r="AB1179" i="1"/>
  <c r="BJ1865" i="1"/>
  <c r="Z530" i="1"/>
  <c r="AC1092" i="1"/>
  <c r="AB564" i="1"/>
  <c r="BJ1194" i="1"/>
  <c r="AD1369" i="1"/>
  <c r="AD2840" i="1"/>
  <c r="Z1678" i="1"/>
  <c r="BJ298" i="1"/>
  <c r="AB135" i="1"/>
  <c r="AB3126" i="1"/>
  <c r="BJ378" i="1"/>
  <c r="AG683" i="1"/>
  <c r="AA2415" i="1"/>
  <c r="Z256" i="1"/>
  <c r="AD1811" i="1"/>
  <c r="AA1463" i="1"/>
  <c r="AG944" i="1"/>
  <c r="Z1179" i="1"/>
  <c r="AG99" i="1"/>
  <c r="AC1272" i="1"/>
  <c r="BJ2592" i="1"/>
  <c r="AA809" i="1"/>
  <c r="AC2631" i="1"/>
  <c r="AD546" i="1"/>
  <c r="AA2351" i="1"/>
  <c r="AC2664" i="1"/>
  <c r="BJ1636" i="1"/>
  <c r="BJ788" i="1"/>
  <c r="AC2347" i="1"/>
  <c r="AB43" i="1"/>
  <c r="AD644" i="1"/>
  <c r="AB884" i="1"/>
  <c r="BJ1131" i="1"/>
  <c r="BJ525" i="1"/>
  <c r="AD341" i="1"/>
  <c r="AC372" i="1"/>
  <c r="AB772" i="1"/>
  <c r="AG2088" i="1"/>
  <c r="AC29" i="1"/>
  <c r="Z1975" i="1"/>
  <c r="AD505" i="1"/>
  <c r="AC102" i="1"/>
  <c r="AG993" i="1"/>
  <c r="AG485" i="1"/>
  <c r="AC1121" i="1"/>
  <c r="AG1886" i="1"/>
  <c r="AC2864" i="1"/>
  <c r="AC1993" i="1"/>
  <c r="AG2502" i="1"/>
  <c r="AB922" i="1"/>
  <c r="Z2658" i="1"/>
  <c r="AD2850" i="1"/>
  <c r="AD1023" i="1"/>
  <c r="BJ1533" i="1"/>
  <c r="Z2610" i="1"/>
  <c r="AC1431" i="1"/>
  <c r="AD1873" i="1"/>
  <c r="AC2005" i="1"/>
  <c r="AB269" i="1"/>
  <c r="Z2607" i="1"/>
  <c r="AB2601" i="1"/>
  <c r="AD2924" i="1"/>
  <c r="AA172" i="1"/>
  <c r="AC768" i="1"/>
  <c r="AA181" i="1"/>
  <c r="AA910" i="1"/>
  <c r="Z1386" i="1"/>
  <c r="BJ1718" i="1"/>
  <c r="AD2678" i="1"/>
  <c r="AB2539" i="1"/>
  <c r="AD2633" i="1"/>
  <c r="AG969" i="1"/>
  <c r="AB2857" i="1"/>
  <c r="BJ1463" i="1"/>
  <c r="AD2390" i="1"/>
  <c r="AC807" i="1"/>
  <c r="BJ1711" i="1"/>
  <c r="AG2935" i="1"/>
  <c r="AB850" i="1"/>
  <c r="AB2595" i="1"/>
  <c r="AC411" i="1"/>
  <c r="AA205" i="1"/>
  <c r="AG1658" i="1"/>
  <c r="AC874" i="1"/>
  <c r="AC934" i="1"/>
  <c r="AB2308" i="1"/>
  <c r="AA1501" i="1"/>
  <c r="Z2826" i="1"/>
  <c r="AD741" i="1"/>
  <c r="BJ2878" i="1"/>
  <c r="AC626" i="1"/>
  <c r="Z500" i="1"/>
  <c r="AB2085" i="1"/>
  <c r="Z1568" i="1"/>
  <c r="BJ1687" i="1"/>
  <c r="AC896" i="1"/>
  <c r="AA2124" i="1"/>
  <c r="AB2706" i="1"/>
  <c r="Z866" i="1"/>
  <c r="AC763" i="1"/>
  <c r="AD1208" i="1"/>
  <c r="Z804" i="1"/>
  <c r="AA168" i="1"/>
  <c r="AA2968" i="1"/>
  <c r="AA105" i="1"/>
  <c r="AA1703" i="1"/>
  <c r="AC2063" i="1"/>
  <c r="AG349" i="1"/>
  <c r="Z1163" i="1"/>
  <c r="Z2301" i="1"/>
  <c r="AD2770" i="1"/>
  <c r="AA139" i="1"/>
  <c r="AA701" i="1"/>
  <c r="BJ1847" i="1"/>
  <c r="AA2107" i="1"/>
  <c r="AC788" i="1"/>
  <c r="AA353" i="1"/>
  <c r="AB202" i="1"/>
  <c r="AD2385" i="1"/>
  <c r="AC578" i="1"/>
  <c r="AG119" i="1"/>
  <c r="AC878" i="1"/>
  <c r="BJ366" i="1"/>
  <c r="Z57" i="1"/>
  <c r="Z1352" i="1"/>
  <c r="AG2153" i="1"/>
  <c r="AG765" i="1"/>
  <c r="BJ2941" i="1"/>
  <c r="AG2271" i="1"/>
  <c r="AG534" i="1"/>
  <c r="Z220" i="1"/>
  <c r="AG2434" i="1"/>
  <c r="AD2247" i="1"/>
  <c r="Z2200" i="1"/>
  <c r="AC2068" i="1"/>
  <c r="AA803" i="1"/>
  <c r="AD1057" i="1"/>
  <c r="Z2048" i="1"/>
  <c r="AA2785" i="1"/>
  <c r="AG2741" i="1"/>
  <c r="AA1210" i="1"/>
  <c r="BJ1784" i="1"/>
  <c r="BJ428" i="1"/>
  <c r="AB2302" i="1"/>
  <c r="Z1671" i="1"/>
  <c r="AG2519" i="1"/>
  <c r="Z1638" i="1"/>
  <c r="AG1053" i="1"/>
  <c r="AD193" i="1"/>
  <c r="BJ438" i="1"/>
  <c r="AG2787" i="1"/>
  <c r="AC178" i="1"/>
  <c r="AB2522" i="1"/>
  <c r="AD967" i="1"/>
  <c r="AG380" i="1"/>
  <c r="AA2639" i="1"/>
  <c r="AG2318" i="1"/>
  <c r="AB1885" i="1"/>
  <c r="Z3154" i="1"/>
  <c r="BJ1054" i="1"/>
  <c r="AB2025" i="1"/>
  <c r="AC869" i="1"/>
  <c r="AD2897" i="1"/>
  <c r="AD1222" i="1"/>
  <c r="AB1323" i="1"/>
  <c r="AG2145" i="1"/>
  <c r="AC1249" i="1"/>
  <c r="Z1097" i="1"/>
  <c r="Z1522" i="1"/>
  <c r="AG837" i="1"/>
  <c r="AA660" i="1"/>
  <c r="AA3037" i="1"/>
  <c r="AG1295" i="1"/>
  <c r="AG282" i="1"/>
  <c r="AG1951" i="1"/>
  <c r="AB2236" i="1"/>
  <c r="AB3026" i="1"/>
  <c r="AB1233" i="1"/>
  <c r="AG335" i="1"/>
  <c r="AG1822" i="1"/>
  <c r="Z1301" i="1"/>
  <c r="Z189" i="1"/>
  <c r="AB1335" i="1"/>
  <c r="AB1423" i="1"/>
  <c r="AG673" i="1"/>
  <c r="BJ2819" i="1"/>
  <c r="AC419" i="1"/>
  <c r="AA1009" i="1"/>
  <c r="AC1160" i="1"/>
  <c r="AB1921" i="1"/>
  <c r="BJ651" i="1"/>
  <c r="AA1762" i="1"/>
  <c r="AB948" i="1"/>
  <c r="AG2114" i="1"/>
  <c r="AC424" i="1"/>
  <c r="AC21" i="1"/>
  <c r="AA1952" i="1"/>
  <c r="AA2631" i="1"/>
  <c r="AB915" i="1"/>
  <c r="Z3071" i="1"/>
  <c r="AD1676" i="1"/>
  <c r="AA1460" i="1"/>
  <c r="AA2250" i="1"/>
  <c r="AC200" i="1"/>
  <c r="AA2960" i="1"/>
  <c r="Z2906" i="1"/>
  <c r="Z275" i="1"/>
  <c r="AB1350" i="1"/>
  <c r="BJ157" i="1"/>
  <c r="BJ2460" i="1"/>
  <c r="Z1371" i="1"/>
  <c r="AB811" i="1"/>
  <c r="BJ206" i="1"/>
  <c r="AA203" i="1"/>
  <c r="AC1101" i="1"/>
  <c r="AB2167" i="1"/>
  <c r="BJ564" i="1"/>
  <c r="AD23" i="1"/>
  <c r="AG1146" i="1"/>
  <c r="AB2617" i="1"/>
  <c r="AA2684" i="1"/>
  <c r="AD259" i="1"/>
  <c r="AD1627" i="1"/>
  <c r="AG2996" i="1"/>
  <c r="Z130" i="1"/>
  <c r="Z1914" i="1"/>
  <c r="AB830" i="1"/>
  <c r="AA2736" i="1"/>
  <c r="AB107" i="1"/>
  <c r="AA1481" i="1"/>
  <c r="AG2801" i="1"/>
  <c r="BJ530" i="1"/>
  <c r="BJ1076" i="1"/>
  <c r="AD1527" i="1"/>
  <c r="AB1435" i="1"/>
  <c r="AG2557" i="1"/>
  <c r="AA2592" i="1"/>
  <c r="AD2674" i="1"/>
  <c r="Z907" i="1"/>
  <c r="AC519" i="1"/>
  <c r="AC2083" i="1"/>
  <c r="AB140" i="1"/>
  <c r="AB187" i="1"/>
  <c r="AA2884" i="1"/>
  <c r="AA1179" i="1"/>
  <c r="AD868" i="1"/>
  <c r="Z2009" i="1"/>
  <c r="AG2249" i="1"/>
  <c r="AA1180" i="1"/>
  <c r="AB1649" i="1"/>
  <c r="AD1968" i="1"/>
  <c r="AB1959" i="1"/>
  <c r="AG566" i="1"/>
  <c r="AD632" i="1"/>
  <c r="AA860" i="1"/>
  <c r="AC715" i="1"/>
  <c r="AC1230" i="1"/>
  <c r="AC2899" i="1"/>
  <c r="AA248" i="1"/>
  <c r="AD1454" i="1"/>
  <c r="AD3148" i="1"/>
  <c r="AD2596" i="1"/>
  <c r="Z2054" i="1"/>
  <c r="BJ1795" i="1"/>
  <c r="BJ278" i="1"/>
  <c r="AB2676" i="1"/>
  <c r="AD1221" i="1"/>
  <c r="AC1512" i="1"/>
  <c r="AD367" i="1"/>
  <c r="AG2628" i="1"/>
  <c r="BJ1301" i="1"/>
  <c r="AD278" i="1"/>
  <c r="BJ1719" i="1"/>
  <c r="AA46" i="1"/>
  <c r="AG1763" i="1"/>
  <c r="AB2128" i="1"/>
  <c r="AG2354" i="1"/>
  <c r="AC764" i="1"/>
  <c r="AG712" i="1"/>
  <c r="Z2668" i="1"/>
  <c r="Z488" i="1"/>
  <c r="AD1101" i="1"/>
  <c r="AB2669" i="1"/>
  <c r="AA785" i="1"/>
  <c r="BJ1562" i="1"/>
  <c r="AG2839" i="1"/>
  <c r="AC1205" i="1"/>
  <c r="Z47" i="1"/>
  <c r="AA2550" i="1"/>
  <c r="AC1546" i="1"/>
  <c r="AD426" i="1"/>
  <c r="AA1055" i="1"/>
  <c r="AA2432" i="1"/>
  <c r="Z475" i="1"/>
  <c r="Z507" i="1"/>
  <c r="AA2147" i="1"/>
  <c r="AG2239" i="1"/>
  <c r="AG1698" i="1"/>
  <c r="AG2689" i="1"/>
  <c r="AD763" i="1"/>
  <c r="AB2374" i="1"/>
  <c r="AD513" i="1"/>
  <c r="AC2004" i="1"/>
  <c r="BJ492" i="1"/>
  <c r="AC1064" i="1"/>
  <c r="Z77" i="1"/>
  <c r="BJ2394" i="1"/>
  <c r="AD254" i="1"/>
  <c r="AC2543" i="1"/>
  <c r="AA772" i="1"/>
  <c r="BJ3081" i="1"/>
  <c r="AA640" i="1"/>
  <c r="AA2237" i="1"/>
  <c r="AD3048" i="1"/>
  <c r="Z1258" i="1"/>
  <c r="AD1630" i="1"/>
  <c r="Z2710" i="1"/>
  <c r="AG1212" i="1"/>
  <c r="Z300" i="1"/>
  <c r="AC1489" i="1"/>
  <c r="AB155" i="1"/>
  <c r="BJ670" i="1"/>
  <c r="AB1478" i="1"/>
  <c r="BJ2352" i="1"/>
  <c r="AA970" i="1"/>
  <c r="AB1470" i="1"/>
  <c r="AB3112" i="1"/>
  <c r="BJ1929" i="1"/>
  <c r="Z2707" i="1"/>
  <c r="AC1510" i="1"/>
  <c r="AG933" i="1"/>
  <c r="AB466" i="1"/>
  <c r="AG1875" i="1"/>
  <c r="AD1883" i="1"/>
  <c r="Z635" i="1"/>
  <c r="AG392" i="1"/>
  <c r="AG425" i="1"/>
  <c r="AD1585" i="1"/>
  <c r="Z2494" i="1"/>
  <c r="AA1506" i="1"/>
  <c r="AC1969" i="1"/>
  <c r="AD1474" i="1"/>
  <c r="AG1609" i="1"/>
  <c r="BJ602" i="1"/>
  <c r="AC858" i="1"/>
  <c r="AA1026" i="1"/>
  <c r="Z789" i="1"/>
  <c r="Z2779" i="1"/>
  <c r="AC2692" i="1"/>
  <c r="AA2723" i="1"/>
  <c r="Z1623" i="1"/>
  <c r="AA3013" i="1"/>
  <c r="AD904" i="1"/>
  <c r="AB796" i="1"/>
  <c r="AB630" i="1"/>
  <c r="Z393" i="1"/>
  <c r="AA654" i="1"/>
  <c r="AB195" i="1"/>
  <c r="BJ2335" i="1"/>
  <c r="Z2339" i="1"/>
  <c r="AG2564" i="1"/>
  <c r="Z1207" i="1"/>
  <c r="BJ2723" i="1"/>
  <c r="AB1388" i="1"/>
  <c r="AA236" i="1"/>
  <c r="BJ332" i="1"/>
  <c r="AB2314" i="1"/>
  <c r="AC1657" i="1"/>
  <c r="AC2292" i="1"/>
  <c r="Z2332" i="1"/>
  <c r="AG1216" i="1"/>
  <c r="AC1578" i="1"/>
  <c r="AB204" i="1"/>
  <c r="AB878" i="1"/>
  <c r="AG2247" i="1"/>
  <c r="BJ1388" i="1"/>
  <c r="Z2592" i="1"/>
  <c r="Z722" i="1"/>
  <c r="AA1848" i="1"/>
  <c r="AB2283" i="1"/>
  <c r="BJ767" i="1"/>
  <c r="AB324" i="1"/>
  <c r="AC2978" i="1"/>
  <c r="AB24" i="1"/>
  <c r="AG2291" i="1"/>
  <c r="AC2398" i="1"/>
  <c r="AA658" i="1"/>
  <c r="AC387" i="1"/>
  <c r="AD2878" i="1"/>
  <c r="Z1555" i="1"/>
  <c r="AD370" i="1"/>
  <c r="BJ2228" i="1"/>
  <c r="AG977" i="1"/>
  <c r="AG161" i="1"/>
  <c r="AC2850" i="1"/>
  <c r="AA1662" i="1"/>
  <c r="AB654" i="1"/>
  <c r="BJ1982" i="1"/>
  <c r="AG1433" i="1"/>
  <c r="BJ2056" i="1"/>
  <c r="AA724" i="1"/>
  <c r="Z999" i="1"/>
  <c r="AG1169" i="1"/>
  <c r="AB2674" i="1"/>
  <c r="BJ1268" i="1"/>
  <c r="Z2197" i="1"/>
  <c r="AC820" i="1"/>
  <c r="BJ439" i="1"/>
  <c r="AG340" i="1"/>
  <c r="AD852" i="1"/>
  <c r="Z2552" i="1"/>
  <c r="AC1485" i="1"/>
  <c r="AB770" i="1"/>
  <c r="AA289" i="1"/>
  <c r="BJ2315" i="1"/>
  <c r="Z2810" i="1"/>
  <c r="Z1819" i="1"/>
  <c r="BJ2119" i="1"/>
  <c r="AC159" i="1"/>
  <c r="AG1478" i="1"/>
  <c r="AC2460" i="1"/>
  <c r="AB1534" i="1"/>
  <c r="AA763" i="1"/>
  <c r="AA301" i="1"/>
  <c r="AG939" i="1"/>
  <c r="AB129" i="1"/>
  <c r="AB2156" i="1"/>
  <c r="AG1292" i="1"/>
  <c r="AB2213" i="1"/>
  <c r="AC321" i="1"/>
  <c r="Z768" i="1"/>
  <c r="Z767" i="1"/>
  <c r="AA2083" i="1"/>
  <c r="AG2850" i="1"/>
  <c r="AD1996" i="1"/>
  <c r="AD1998" i="1"/>
  <c r="Z376" i="1"/>
  <c r="AC2040" i="1"/>
  <c r="AB1843" i="1"/>
  <c r="AA2676" i="1"/>
  <c r="BJ3118" i="1"/>
  <c r="AG242" i="1"/>
  <c r="Z42" i="1"/>
  <c r="AA1558" i="1"/>
  <c r="AD2314" i="1"/>
  <c r="AG1289" i="1"/>
  <c r="AB1799" i="1"/>
  <c r="AC1360" i="1"/>
  <c r="AA307" i="1"/>
  <c r="AD2278" i="1"/>
  <c r="BJ2547" i="1"/>
  <c r="AD1777" i="1"/>
  <c r="BJ2782" i="1"/>
  <c r="AG625" i="1"/>
  <c r="Z1465" i="1"/>
  <c r="AG711" i="1"/>
  <c r="AG24" i="1"/>
  <c r="AB1059" i="1"/>
  <c r="AD2580" i="1"/>
  <c r="Z1134" i="1"/>
  <c r="AA278" i="1"/>
  <c r="AB2803" i="1"/>
  <c r="AA1667" i="1"/>
  <c r="AA2633" i="1"/>
  <c r="AA1657" i="1"/>
  <c r="AA1069" i="1"/>
  <c r="AG184" i="1"/>
  <c r="AA1719" i="1"/>
  <c r="AG484" i="1"/>
  <c r="AC3128" i="1"/>
  <c r="AG715" i="1"/>
  <c r="AC778" i="1"/>
  <c r="AD523" i="1"/>
  <c r="AG2007" i="1"/>
  <c r="Z2537" i="1"/>
  <c r="AG2050" i="1"/>
  <c r="AC2035" i="1"/>
  <c r="AA467" i="1"/>
  <c r="AB2421" i="1"/>
  <c r="AA1812" i="1"/>
  <c r="BJ751" i="1"/>
  <c r="AA653" i="1"/>
  <c r="AC243" i="1"/>
  <c r="AB622" i="1"/>
  <c r="AA1839" i="1"/>
  <c r="AD422" i="1"/>
  <c r="BJ1905" i="1"/>
  <c r="Z2284" i="1"/>
  <c r="AC2154" i="1"/>
  <c r="AA2053" i="1"/>
  <c r="AB2834" i="1"/>
  <c r="AG1767" i="1"/>
  <c r="Z298" i="1"/>
  <c r="Z464" i="1"/>
  <c r="AD1822" i="1"/>
  <c r="AG2583" i="1"/>
  <c r="AD2175" i="1"/>
  <c r="Z870" i="1"/>
  <c r="AB2927" i="1"/>
  <c r="AD18" i="1"/>
  <c r="AC2379" i="1"/>
  <c r="Z571" i="1"/>
  <c r="AB731" i="1"/>
  <c r="AC2508" i="1"/>
  <c r="Z229" i="1"/>
  <c r="BJ1287" i="1"/>
  <c r="AG305" i="1"/>
  <c r="AC2892" i="1"/>
  <c r="AA1864" i="1"/>
  <c r="AC864" i="1"/>
  <c r="AC532" i="1"/>
  <c r="Z2743" i="1"/>
  <c r="AB1073" i="1"/>
  <c r="AA488" i="1"/>
  <c r="AC2798" i="1"/>
  <c r="Z721" i="1"/>
  <c r="AA1785" i="1"/>
  <c r="AD867" i="1"/>
  <c r="AB1626" i="1"/>
  <c r="BJ2396" i="1"/>
  <c r="BJ1723" i="1"/>
  <c r="AA917" i="1"/>
  <c r="AD2500" i="1"/>
  <c r="AB514" i="1"/>
  <c r="AB2712" i="1"/>
  <c r="BJ1048" i="1"/>
  <c r="Z1090" i="1"/>
  <c r="AC1068" i="1"/>
  <c r="AA1938" i="1"/>
  <c r="BJ1906" i="1"/>
  <c r="BJ1594" i="1"/>
  <c r="BJ536" i="1"/>
  <c r="Z299" i="1"/>
  <c r="AG1326" i="1"/>
  <c r="AD1697" i="1"/>
  <c r="BJ2926" i="1"/>
  <c r="AA1876" i="1"/>
  <c r="Z191" i="1"/>
  <c r="AA2640" i="1"/>
  <c r="AD2344" i="1"/>
  <c r="AA857" i="1"/>
  <c r="AC2448" i="1"/>
  <c r="AG2086" i="1"/>
  <c r="AG631" i="1"/>
  <c r="Z131" i="1"/>
  <c r="AA974" i="1"/>
  <c r="AD1143" i="1"/>
  <c r="AC738" i="1"/>
  <c r="AG1215" i="1"/>
  <c r="BJ2808" i="1"/>
  <c r="BJ1872" i="1"/>
  <c r="AA2371" i="1"/>
  <c r="AG2735" i="1"/>
  <c r="AB1901" i="1"/>
  <c r="AB443" i="1"/>
  <c r="AC973" i="1"/>
  <c r="BJ1125" i="1"/>
  <c r="AC349" i="1"/>
  <c r="AA2598" i="1"/>
  <c r="BJ1046" i="1"/>
  <c r="AG1964" i="1"/>
  <c r="BJ1855" i="1"/>
  <c r="AA2742" i="1"/>
  <c r="Z415" i="1"/>
  <c r="AB1664" i="1"/>
  <c r="AB1685" i="1"/>
  <c r="BJ1363" i="1"/>
  <c r="BJ1678" i="1"/>
  <c r="BJ1161" i="1"/>
  <c r="AC416" i="1"/>
  <c r="AG2688" i="1"/>
  <c r="AB2932" i="1"/>
  <c r="AC684" i="1"/>
  <c r="AA1720" i="1"/>
  <c r="AA3029" i="1"/>
  <c r="Z389" i="1"/>
  <c r="AG1625" i="1"/>
  <c r="AG3126" i="1"/>
  <c r="AA2892" i="1"/>
  <c r="AG1143" i="1"/>
  <c r="BJ538" i="1"/>
  <c r="AD3144" i="1"/>
  <c r="BJ2598" i="1"/>
  <c r="Z840" i="1"/>
  <c r="AC238" i="1"/>
  <c r="BJ73" i="1"/>
  <c r="Z2391" i="1"/>
  <c r="AC582" i="1"/>
  <c r="Z2087" i="1"/>
  <c r="AG1605" i="1"/>
  <c r="AG121" i="1"/>
  <c r="AA456" i="1"/>
  <c r="Z1334" i="1"/>
  <c r="BJ773" i="1"/>
  <c r="BJ1481" i="1"/>
  <c r="Z913" i="1"/>
  <c r="AG259" i="1"/>
  <c r="AB2563" i="1"/>
  <c r="AB2189" i="1"/>
  <c r="BJ961" i="1"/>
  <c r="BJ287" i="1"/>
  <c r="AA61" i="1"/>
  <c r="AC1575" i="1"/>
  <c r="AC1242" i="1"/>
  <c r="AA2112" i="1"/>
  <c r="AA1931" i="1"/>
  <c r="AC2046" i="1"/>
  <c r="AD530" i="1"/>
  <c r="AC2703" i="1"/>
  <c r="AA1446" i="1"/>
  <c r="AB771" i="1"/>
  <c r="AG702" i="1"/>
  <c r="AG2932" i="1"/>
  <c r="Z2811" i="1"/>
  <c r="BJ415" i="1"/>
  <c r="AG617" i="1"/>
  <c r="AC1390" i="1"/>
  <c r="AD2362" i="1"/>
  <c r="AA949" i="1"/>
  <c r="AA3131" i="1"/>
  <c r="BJ12" i="1"/>
  <c r="BJ2242" i="1"/>
  <c r="AA2419" i="1"/>
  <c r="AG1377" i="1"/>
  <c r="Z69" i="1"/>
  <c r="AG1386" i="1"/>
  <c r="AB1215" i="1"/>
  <c r="AG1104" i="1"/>
  <c r="AA224" i="1"/>
  <c r="AC2205" i="1"/>
  <c r="AC1831" i="1"/>
  <c r="Z2439" i="1"/>
  <c r="BJ1452" i="1"/>
  <c r="AB3094" i="1"/>
  <c r="Z2157" i="1"/>
  <c r="AG2054" i="1"/>
  <c r="AC262" i="1"/>
  <c r="AA3063" i="1"/>
  <c r="Z791" i="1"/>
  <c r="AD3008" i="1"/>
  <c r="AG1206" i="1"/>
  <c r="AG2423" i="1"/>
  <c r="AB368" i="1"/>
  <c r="BJ3134" i="1"/>
  <c r="AD1795" i="1"/>
  <c r="Z2730" i="1"/>
  <c r="AB115" i="1"/>
  <c r="AA2722" i="1"/>
  <c r="AC1069" i="1"/>
  <c r="AG659" i="1"/>
  <c r="AG2180" i="1"/>
  <c r="BJ1721" i="1"/>
  <c r="AC899" i="1"/>
  <c r="AG2314" i="1"/>
  <c r="AG1949" i="1"/>
  <c r="AB1625" i="1"/>
  <c r="BJ1091" i="1"/>
  <c r="AA1023" i="1"/>
  <c r="BJ1329" i="1"/>
  <c r="Z679" i="1"/>
  <c r="Z568" i="1"/>
  <c r="AC1115" i="1"/>
  <c r="AA1324" i="1"/>
  <c r="AB2187" i="1"/>
  <c r="AB953" i="1"/>
  <c r="AB1700" i="1"/>
  <c r="AB2512" i="1"/>
  <c r="Z2817" i="1"/>
  <c r="AD2048" i="1"/>
  <c r="Z1605" i="1"/>
  <c r="AB678" i="1"/>
  <c r="Z181" i="1"/>
  <c r="BJ2580" i="1"/>
  <c r="Z2110" i="1"/>
  <c r="AB2224" i="1"/>
  <c r="AG3024" i="1"/>
  <c r="BJ1735" i="1"/>
  <c r="AB1580" i="1"/>
  <c r="AA145" i="1"/>
  <c r="AC342" i="1"/>
  <c r="AC726" i="1"/>
  <c r="AA879" i="1"/>
  <c r="AC2190" i="1"/>
  <c r="AC1149" i="1"/>
  <c r="AC3120" i="1"/>
  <c r="AD533" i="1"/>
  <c r="BJ1780" i="1"/>
  <c r="BJ2972" i="1"/>
  <c r="AG2214" i="1"/>
  <c r="AG1238" i="1"/>
  <c r="AG168" i="1"/>
  <c r="Z3039" i="1"/>
  <c r="BJ1056" i="1"/>
  <c r="AA1411" i="1"/>
  <c r="BJ1732" i="1"/>
  <c r="AC109" i="1"/>
  <c r="BJ1036" i="1"/>
  <c r="AD593" i="1"/>
  <c r="AA1616" i="1"/>
  <c r="AC2302" i="1"/>
  <c r="AG1229" i="1"/>
  <c r="BJ1067" i="1"/>
  <c r="AA1285" i="1"/>
  <c r="AA1432" i="1"/>
  <c r="AD13" i="1"/>
  <c r="BJ2509" i="1"/>
  <c r="AC2933" i="1"/>
  <c r="AD576" i="1"/>
  <c r="AB510" i="1"/>
  <c r="AC18" i="1"/>
  <c r="AG1182" i="1"/>
  <c r="AC2776" i="1"/>
  <c r="AG1151" i="1"/>
  <c r="Z1847" i="1"/>
  <c r="AG1013" i="1"/>
  <c r="AC2684" i="1"/>
  <c r="AB2989" i="1"/>
  <c r="AG2342" i="1"/>
  <c r="AC285" i="1"/>
  <c r="AC3048" i="1"/>
  <c r="AG1185" i="1"/>
  <c r="AB1973" i="1"/>
  <c r="AC2057" i="1"/>
  <c r="BJ516" i="1"/>
  <c r="AB1244" i="1"/>
  <c r="AB1022" i="1"/>
  <c r="Z146" i="1"/>
  <c r="BJ2401" i="1"/>
  <c r="AA1718" i="1"/>
  <c r="AC1729" i="1"/>
  <c r="AB528" i="1"/>
  <c r="Z2946" i="1"/>
  <c r="BJ2757" i="1"/>
  <c r="Z574" i="1"/>
  <c r="AD1083" i="1"/>
  <c r="Z99" i="1"/>
  <c r="AG2079" i="1"/>
  <c r="AD192" i="1"/>
  <c r="AD1809" i="1"/>
  <c r="AA2118" i="1"/>
  <c r="AA2916" i="1"/>
  <c r="BJ1889" i="1"/>
  <c r="AB55" i="1"/>
  <c r="AG1728" i="1"/>
  <c r="AG2863" i="1"/>
  <c r="AB2634" i="1"/>
  <c r="AD3076" i="1"/>
  <c r="AA200" i="1"/>
  <c r="AA2087" i="1"/>
  <c r="AB3090" i="1"/>
  <c r="BJ2949" i="1"/>
  <c r="AC1862" i="1"/>
  <c r="AA3017" i="1"/>
  <c r="AA1096" i="1"/>
  <c r="AB2345" i="1"/>
  <c r="Z477" i="1"/>
  <c r="AB1869" i="1"/>
  <c r="Z1770" i="1"/>
  <c r="Z1200" i="1"/>
  <c r="AG1379" i="1"/>
  <c r="AC2790" i="1"/>
  <c r="BJ1834" i="1"/>
  <c r="AB2870" i="1"/>
  <c r="Z2921" i="1"/>
  <c r="AA218" i="1"/>
  <c r="AD1346" i="1"/>
  <c r="Z2260" i="1"/>
  <c r="AB22" i="1"/>
  <c r="AD745" i="1"/>
  <c r="Z3140" i="1"/>
  <c r="AD1328" i="1"/>
  <c r="AB113" i="1"/>
  <c r="AD610" i="1"/>
  <c r="AG1031" i="1"/>
  <c r="AD1961" i="1"/>
  <c r="BJ710" i="1"/>
  <c r="AC43" i="1"/>
  <c r="AG488" i="1"/>
  <c r="BJ858" i="1"/>
  <c r="AG182" i="1"/>
  <c r="Z1607" i="1"/>
  <c r="AD1850" i="1"/>
  <c r="Z1057" i="1"/>
  <c r="BJ1372" i="1"/>
  <c r="AD387" i="1"/>
  <c r="AC2705" i="1"/>
  <c r="AC2399" i="1"/>
  <c r="Z623" i="1"/>
  <c r="BJ1664" i="1"/>
  <c r="AA69" i="1"/>
  <c r="AG1532" i="1"/>
  <c r="AA3119" i="1"/>
  <c r="AC1109" i="1"/>
  <c r="BJ2010" i="1"/>
  <c r="AA2269" i="1"/>
  <c r="AD444" i="1"/>
  <c r="AG2025" i="1"/>
  <c r="AC2939" i="1"/>
  <c r="BJ54" i="1"/>
  <c r="AC525" i="1"/>
  <c r="AB2383" i="1"/>
  <c r="AB1840" i="1"/>
  <c r="AC583" i="1"/>
  <c r="AD1924" i="1"/>
  <c r="AG2492" i="1"/>
  <c r="AC667" i="1"/>
  <c r="BJ950" i="1"/>
  <c r="AA2209" i="1"/>
  <c r="AA2158" i="1"/>
  <c r="AC2354" i="1"/>
  <c r="AB2210" i="1"/>
  <c r="AD1899" i="1"/>
  <c r="AC1449" i="1"/>
  <c r="BJ2884" i="1"/>
  <c r="AG2232" i="1"/>
  <c r="AC2173" i="1"/>
  <c r="AG304" i="1"/>
  <c r="AB1076" i="1"/>
  <c r="AG1585" i="1"/>
  <c r="AB2064" i="1"/>
  <c r="AD255" i="1"/>
  <c r="AD2160" i="1"/>
  <c r="Z2491" i="1"/>
  <c r="AG372" i="1"/>
  <c r="AA1699" i="1"/>
  <c r="AA3105" i="1"/>
  <c r="AC987" i="1"/>
  <c r="Z207" i="1"/>
  <c r="AD2003" i="1"/>
  <c r="Z1587" i="1"/>
  <c r="AA503" i="1"/>
  <c r="BJ1063" i="1"/>
  <c r="AC3034" i="1"/>
  <c r="AB2991" i="1"/>
  <c r="AG2506" i="1"/>
  <c r="AB1966" i="1"/>
  <c r="AB2519" i="1"/>
  <c r="Z1060" i="1"/>
  <c r="AD263" i="1"/>
  <c r="AG27" i="1"/>
  <c r="AG602" i="1"/>
  <c r="AD207" i="1"/>
  <c r="BJ1042" i="1"/>
  <c r="Z2517" i="1"/>
  <c r="Z1453" i="1"/>
  <c r="AB2491" i="1"/>
  <c r="AC2229" i="1"/>
  <c r="Z1670" i="1"/>
  <c r="AD1514" i="1"/>
  <c r="AC2232" i="1"/>
  <c r="AD1022" i="1"/>
  <c r="AC1774" i="1"/>
  <c r="BJ2081" i="1"/>
  <c r="AG1477" i="1"/>
  <c r="Z2426" i="1"/>
  <c r="AA2357" i="1"/>
  <c r="BJ2350" i="1"/>
  <c r="Z1850" i="1"/>
  <c r="AA1563" i="1"/>
  <c r="AG1384" i="1"/>
  <c r="AB752" i="1"/>
  <c r="BJ35" i="1"/>
  <c r="BJ1677" i="1"/>
  <c r="AG1405" i="1"/>
  <c r="AD2382" i="1"/>
  <c r="BJ2152" i="1"/>
  <c r="Z1719" i="1"/>
  <c r="Z2739" i="1"/>
  <c r="AG2258" i="1"/>
  <c r="AD226" i="1"/>
  <c r="AA950" i="1"/>
  <c r="AB763" i="1"/>
  <c r="BJ386" i="1"/>
  <c r="AD770" i="1"/>
  <c r="AB1688" i="1"/>
  <c r="AB1915" i="1"/>
  <c r="AA2527" i="1"/>
  <c r="AG2302" i="1"/>
  <c r="BJ2098" i="1"/>
  <c r="AB2534" i="1"/>
  <c r="BJ958" i="1"/>
  <c r="BJ29" i="1"/>
  <c r="AA789" i="1"/>
  <c r="AB92" i="1"/>
  <c r="BJ1370" i="1"/>
  <c r="AC822" i="1"/>
  <c r="Z2589" i="1"/>
  <c r="AB781" i="1"/>
  <c r="AB389" i="1"/>
  <c r="AB72" i="1"/>
  <c r="BJ1021" i="1"/>
  <c r="AD498" i="1"/>
  <c r="AB894" i="1"/>
  <c r="AD288" i="1"/>
  <c r="AD890" i="1"/>
  <c r="BJ1637" i="1"/>
  <c r="AG2476" i="1"/>
  <c r="AB2171" i="1"/>
  <c r="Z734" i="1"/>
  <c r="AB2760" i="1"/>
  <c r="Z359" i="1"/>
  <c r="BJ3030" i="1"/>
  <c r="Z1679" i="1"/>
  <c r="Z3085" i="1"/>
  <c r="AA1276" i="1"/>
  <c r="AB2697" i="1"/>
  <c r="AD2186" i="1"/>
  <c r="AB2488" i="1"/>
  <c r="Z1976" i="1"/>
  <c r="Z1162" i="1"/>
  <c r="AA1234" i="1"/>
  <c r="AD285" i="1"/>
  <c r="AG1814" i="1"/>
  <c r="AD2769" i="1"/>
  <c r="AA548" i="1"/>
  <c r="BJ2244" i="1"/>
  <c r="AB1798" i="1"/>
  <c r="AB1671" i="1"/>
  <c r="AA283" i="1"/>
  <c r="AB1535" i="1"/>
  <c r="AC756" i="1"/>
  <c r="BJ866" i="1"/>
  <c r="AC2353" i="1"/>
  <c r="AG473" i="1"/>
  <c r="AC374" i="1"/>
  <c r="BJ2065" i="1"/>
  <c r="BJ2930" i="1"/>
  <c r="AC2787" i="1"/>
  <c r="AC1243" i="1"/>
  <c r="AA1396" i="1"/>
  <c r="AB1075" i="1"/>
  <c r="AD1109" i="1"/>
  <c r="Z2308" i="1"/>
  <c r="AG1361" i="1"/>
  <c r="AB1094" i="1"/>
  <c r="Z2691" i="1"/>
  <c r="Z2709" i="1"/>
  <c r="AG658" i="1"/>
  <c r="BJ2613" i="1"/>
  <c r="AB3041" i="1"/>
  <c r="Z977" i="1"/>
  <c r="AG1450" i="1"/>
  <c r="AC2335" i="1"/>
  <c r="Z352" i="1"/>
  <c r="Z2323" i="1"/>
  <c r="AB447" i="1"/>
  <c r="AG2134" i="1"/>
  <c r="AG2222" i="1"/>
  <c r="AA3084" i="1"/>
  <c r="AD1462" i="1"/>
  <c r="AA2876" i="1"/>
  <c r="AC755" i="1"/>
  <c r="Z2911" i="1"/>
  <c r="AG479" i="1"/>
  <c r="AA136" i="1"/>
  <c r="AB3073" i="1"/>
  <c r="AA1294" i="1"/>
  <c r="AG362" i="1"/>
  <c r="AD2978" i="1"/>
  <c r="AG2898" i="1"/>
  <c r="AG3009" i="1"/>
  <c r="AD2021" i="1"/>
  <c r="BJ578" i="1"/>
  <c r="AC1261" i="1"/>
  <c r="AD1036" i="1"/>
  <c r="AA2211" i="1"/>
  <c r="BJ56" i="1"/>
  <c r="AG1414" i="1"/>
  <c r="AD1886" i="1"/>
  <c r="AC819" i="1"/>
  <c r="AD2493" i="1"/>
  <c r="BJ1525" i="1"/>
  <c r="AB2176" i="1"/>
  <c r="BJ2784" i="1"/>
  <c r="AC475" i="1"/>
  <c r="Z2712" i="1"/>
  <c r="AD2790" i="1"/>
  <c r="BJ389" i="1"/>
  <c r="Z941" i="1"/>
  <c r="AD1649" i="1"/>
  <c r="AG620" i="1"/>
  <c r="AB2541" i="1"/>
  <c r="AC1653" i="1"/>
  <c r="AG295" i="1"/>
  <c r="Z1170" i="1"/>
  <c r="AC2255" i="1"/>
  <c r="Z2738" i="1"/>
  <c r="AA2591" i="1"/>
  <c r="AD1798" i="1"/>
  <c r="Z1364" i="1"/>
  <c r="AB803" i="1"/>
  <c r="AG2611" i="1"/>
  <c r="AC2456" i="1"/>
  <c r="AA1278" i="1"/>
  <c r="AB1012" i="1"/>
  <c r="AC328" i="1"/>
  <c r="AC2007" i="1"/>
  <c r="Z741" i="1"/>
  <c r="BJ1883" i="1"/>
  <c r="Z115" i="1"/>
  <c r="BJ2270" i="1"/>
  <c r="AA2068" i="1"/>
  <c r="AA39" i="1"/>
  <c r="BJ2309" i="1"/>
  <c r="BJ195" i="1"/>
  <c r="Z350" i="1"/>
  <c r="AD2750" i="1"/>
  <c r="AC211" i="1"/>
  <c r="AB1331" i="1"/>
  <c r="AA3082" i="1"/>
  <c r="AA242" i="1"/>
  <c r="Z2290" i="1"/>
  <c r="AD308" i="1"/>
  <c r="AD1849" i="1"/>
  <c r="AD1666" i="1"/>
  <c r="AD554" i="1"/>
  <c r="AC3094" i="1"/>
  <c r="AG2739" i="1"/>
  <c r="AG2980" i="1"/>
  <c r="AC2730" i="1"/>
  <c r="AC1291" i="1"/>
  <c r="AG687" i="1"/>
  <c r="AB2828" i="1"/>
  <c r="Z2765" i="1"/>
  <c r="Z2043" i="1"/>
  <c r="AC1008" i="1"/>
  <c r="AB2449" i="1"/>
  <c r="AA844" i="1"/>
  <c r="AC2003" i="1"/>
  <c r="AD2662" i="1"/>
  <c r="AB2619" i="1"/>
  <c r="AG125" i="1"/>
  <c r="AG1042" i="1"/>
  <c r="AB2998" i="1"/>
  <c r="AC628" i="1"/>
  <c r="BJ350" i="1"/>
  <c r="Z930" i="1"/>
  <c r="AC2160" i="1"/>
  <c r="AA1193" i="1"/>
  <c r="AG2042" i="1"/>
  <c r="BJ2554" i="1"/>
  <c r="AG167" i="1"/>
  <c r="AB2732" i="1"/>
  <c r="Z2903" i="1"/>
  <c r="AA2370" i="1"/>
  <c r="AA2882" i="1"/>
  <c r="AG2901" i="1"/>
  <c r="AA2507" i="1"/>
  <c r="BJ419" i="1"/>
  <c r="AD1029" i="1"/>
  <c r="AG2097" i="1"/>
  <c r="AG823" i="1"/>
  <c r="AG2966" i="1"/>
  <c r="BJ1578" i="1"/>
  <c r="AC1212" i="1"/>
  <c r="Z1160" i="1"/>
  <c r="Z1343" i="1"/>
  <c r="AD65" i="1"/>
  <c r="AC1872" i="1"/>
  <c r="Z2687" i="1"/>
  <c r="BJ3145" i="1"/>
  <c r="AB315" i="1"/>
  <c r="BJ1039" i="1"/>
  <c r="AD656" i="1"/>
  <c r="AB2603" i="1"/>
  <c r="Z2393" i="1"/>
  <c r="AA1901" i="1"/>
  <c r="AD1013" i="1"/>
  <c r="AD481" i="1"/>
  <c r="BJ252" i="1"/>
  <c r="AG2264" i="1"/>
  <c r="BJ2006" i="1"/>
  <c r="AG1139" i="1"/>
  <c r="AC653" i="1"/>
  <c r="Z1150" i="1"/>
  <c r="AA692" i="1"/>
  <c r="AB212" i="1"/>
  <c r="AB971" i="1"/>
  <c r="BJ1942" i="1"/>
  <c r="AA2707" i="1"/>
  <c r="Z396" i="1"/>
  <c r="AB2587" i="1"/>
  <c r="AD2408" i="1"/>
  <c r="Z2653" i="1"/>
  <c r="Z2732" i="1"/>
  <c r="AD2615" i="1"/>
  <c r="AB628" i="1"/>
  <c r="AG992" i="1"/>
  <c r="AC444" i="1"/>
  <c r="AA1191" i="1"/>
  <c r="AA201" i="1"/>
  <c r="Z3035" i="1"/>
  <c r="AC2530" i="1"/>
  <c r="AB2929" i="1"/>
  <c r="AD262" i="1"/>
  <c r="AA2943" i="1"/>
  <c r="AB1074" i="1"/>
  <c r="AG1486" i="1"/>
  <c r="BJ2424" i="1"/>
  <c r="AA2991" i="1"/>
  <c r="AA1686" i="1"/>
  <c r="AG1581" i="1"/>
  <c r="AA1098" i="1"/>
  <c r="Z1548" i="1"/>
  <c r="AD2458" i="1"/>
  <c r="BJ2516" i="1"/>
  <c r="AD965" i="1"/>
  <c r="AG3135" i="1"/>
  <c r="AD342" i="1"/>
  <c r="Z1239" i="1"/>
  <c r="AB476" i="1"/>
  <c r="BJ2984" i="1"/>
  <c r="AA1891" i="1"/>
  <c r="AC1669" i="1"/>
  <c r="Z3020" i="1"/>
  <c r="AG1944" i="1"/>
  <c r="AA773" i="1"/>
  <c r="AG1641" i="1"/>
  <c r="AA2732" i="1"/>
  <c r="AG1699" i="1"/>
  <c r="AD2065" i="1"/>
  <c r="AB2056" i="1"/>
  <c r="AA1592" i="1"/>
  <c r="Z2356" i="1"/>
  <c r="AC1816" i="1"/>
  <c r="Z952" i="1"/>
  <c r="BJ1033" i="1"/>
  <c r="AB2667" i="1"/>
  <c r="AD321" i="1"/>
  <c r="AA2122" i="1"/>
  <c r="AG2999" i="1"/>
  <c r="AB1499" i="1"/>
  <c r="AC2484" i="1"/>
  <c r="AD1547" i="1"/>
  <c r="AD1758" i="1"/>
  <c r="AD2012" i="1"/>
  <c r="AC356" i="1"/>
  <c r="AC3154" i="1"/>
  <c r="AB2566" i="1"/>
  <c r="BJ687" i="1"/>
  <c r="AA694" i="1"/>
  <c r="AG3018" i="1"/>
  <c r="AC2777" i="1"/>
  <c r="AG2464" i="1"/>
  <c r="AC790" i="1"/>
  <c r="Z2002" i="1"/>
  <c r="AC2977" i="1"/>
  <c r="AG518" i="1"/>
  <c r="AD1064" i="1"/>
  <c r="AG2946" i="1"/>
  <c r="AG2469" i="1"/>
  <c r="AD789" i="1"/>
  <c r="AA1488" i="1"/>
  <c r="AD526" i="1"/>
  <c r="BJ52" i="1"/>
  <c r="AG2082" i="1"/>
  <c r="AB38" i="1"/>
  <c r="AC88" i="1"/>
  <c r="AA541" i="1"/>
  <c r="BJ3011" i="1"/>
  <c r="BJ2885" i="1"/>
  <c r="AD1128" i="1"/>
  <c r="AB1413" i="1"/>
  <c r="AC228" i="1"/>
  <c r="AC2548" i="1"/>
  <c r="AA1859" i="1"/>
  <c r="AA288" i="1"/>
  <c r="Z2140" i="1"/>
  <c r="AD1628" i="1"/>
  <c r="Z2978" i="1"/>
  <c r="AA2170" i="1"/>
  <c r="AB899" i="1"/>
  <c r="BJ2408" i="1"/>
  <c r="BJ1006" i="1"/>
  <c r="AA1853" i="1"/>
  <c r="AA1752" i="1"/>
  <c r="AD735" i="1"/>
  <c r="BJ1229" i="1"/>
  <c r="AD3009" i="1"/>
  <c r="AG388" i="1"/>
  <c r="AG1654" i="1"/>
  <c r="AG2986" i="1"/>
  <c r="AA590" i="1"/>
  <c r="AD1716" i="1"/>
  <c r="Z2971" i="1"/>
  <c r="AB808" i="1"/>
  <c r="AB376" i="1"/>
  <c r="AG1233" i="1"/>
  <c r="AB1210" i="1"/>
  <c r="BJ126" i="1"/>
  <c r="AC2556" i="1"/>
  <c r="Z1333" i="1"/>
  <c r="BJ1399" i="1"/>
  <c r="AC1656" i="1"/>
  <c r="AB90" i="1"/>
  <c r="AA3122" i="1"/>
  <c r="AB3120" i="1"/>
  <c r="AD2369" i="1"/>
  <c r="AD3074" i="1"/>
  <c r="AC3126" i="1"/>
  <c r="AA506" i="1"/>
  <c r="BJ2211" i="1"/>
  <c r="AB1831" i="1"/>
  <c r="Z2652" i="1"/>
  <c r="AB408" i="1"/>
  <c r="AA1041" i="1"/>
  <c r="AG2293" i="1"/>
  <c r="AG3085" i="1"/>
  <c r="AB320" i="1"/>
  <c r="Z2024" i="1"/>
  <c r="AB2468" i="1"/>
  <c r="BJ2714" i="1"/>
  <c r="AB1411" i="1"/>
  <c r="BJ2180" i="1"/>
  <c r="BJ2220" i="1"/>
  <c r="AD897" i="1"/>
  <c r="AG1864" i="1"/>
  <c r="AD2639" i="1"/>
  <c r="AD650" i="1"/>
  <c r="AB3055" i="1"/>
  <c r="Z1634" i="1"/>
  <c r="AB2384" i="1"/>
  <c r="AA2881" i="1"/>
  <c r="AB2113" i="1"/>
  <c r="AD2765" i="1"/>
  <c r="AB2551" i="1"/>
  <c r="AD51" i="1"/>
  <c r="AG2171" i="1"/>
  <c r="Z1341" i="1"/>
  <c r="AA1205" i="1"/>
  <c r="Z1038" i="1"/>
  <c r="AC86" i="1"/>
  <c r="AA1367" i="1"/>
  <c r="AD1414" i="1"/>
  <c r="AB58" i="1"/>
  <c r="AA336" i="1"/>
  <c r="AA1992" i="1"/>
  <c r="AG1177" i="1"/>
  <c r="AB2702" i="1"/>
  <c r="AB2026" i="1"/>
  <c r="Z307" i="1"/>
  <c r="BJ1552" i="1"/>
  <c r="Z3082" i="1"/>
  <c r="BJ733" i="1"/>
  <c r="AG62" i="1"/>
  <c r="AD1444" i="1"/>
  <c r="AC1267" i="1"/>
  <c r="AA1018" i="1"/>
  <c r="AG236" i="1"/>
  <c r="BJ3031" i="1"/>
  <c r="Z1376" i="1"/>
  <c r="AG2929" i="1"/>
  <c r="AD2804" i="1"/>
  <c r="AC1307" i="1"/>
  <c r="AA2236" i="1"/>
  <c r="AB1848" i="1"/>
  <c r="AB1025" i="1"/>
  <c r="AB312" i="1"/>
  <c r="AD1727" i="1"/>
  <c r="AA1618" i="1"/>
  <c r="AB2008" i="1"/>
  <c r="AB242" i="1"/>
  <c r="AG2724" i="1"/>
  <c r="BJ2314" i="1"/>
  <c r="AB859" i="1"/>
  <c r="AD1062" i="1"/>
  <c r="Z1320" i="1"/>
  <c r="AB2571" i="1"/>
  <c r="AA1054" i="1"/>
  <c r="Z3149" i="1"/>
  <c r="AG475" i="1"/>
  <c r="AA552" i="1"/>
  <c r="AB2400" i="1"/>
  <c r="AC1697" i="1"/>
  <c r="AC1183" i="1"/>
  <c r="AA603" i="1"/>
  <c r="AC1508" i="1"/>
  <c r="Z283" i="1"/>
  <c r="BJ2760" i="1"/>
  <c r="AC3072" i="1"/>
  <c r="BJ1540" i="1"/>
  <c r="AG582" i="1"/>
  <c r="AA1400" i="1"/>
  <c r="BJ837" i="1"/>
  <c r="AC527" i="1"/>
  <c r="AG1604" i="1"/>
  <c r="BJ331" i="1"/>
  <c r="AB330" i="1"/>
  <c r="AG3094" i="1"/>
  <c r="AA1569" i="1"/>
  <c r="AD2717" i="1"/>
  <c r="AB597" i="1"/>
  <c r="AB1712" i="1"/>
  <c r="AA148" i="1"/>
  <c r="AD1028" i="1"/>
  <c r="AC2820" i="1"/>
  <c r="AC2012" i="1"/>
  <c r="AG697" i="1"/>
  <c r="AC119" i="1"/>
  <c r="AA1231" i="1"/>
  <c r="AA739" i="1"/>
  <c r="AC3070" i="1"/>
  <c r="AB2792" i="1"/>
  <c r="AG2937" i="1"/>
  <c r="AA3072" i="1"/>
  <c r="Z2337" i="1"/>
  <c r="AB174" i="1"/>
  <c r="AB670" i="1"/>
  <c r="Z167" i="1"/>
  <c r="AD631" i="1"/>
  <c r="AA2678" i="1"/>
  <c r="AA740" i="1"/>
  <c r="AC181" i="1"/>
  <c r="BJ1019" i="1"/>
  <c r="AB711" i="1"/>
  <c r="AC1703" i="1"/>
  <c r="Z642" i="1"/>
  <c r="AD1477" i="1"/>
  <c r="AA2348" i="1"/>
  <c r="BJ509" i="1"/>
  <c r="AA2780" i="1"/>
  <c r="BJ79" i="1"/>
  <c r="AD2116" i="1"/>
  <c r="Z710" i="1"/>
  <c r="AC3012" i="1"/>
  <c r="AA1934" i="1"/>
  <c r="AG1507" i="1"/>
  <c r="AC2295" i="1"/>
  <c r="AC1452" i="1"/>
  <c r="AA2608" i="1"/>
  <c r="AG2896" i="1"/>
  <c r="AA1783" i="1"/>
  <c r="BJ244" i="1"/>
  <c r="AC1046" i="1"/>
  <c r="AA557" i="1"/>
  <c r="AC3057" i="1"/>
  <c r="AC3001" i="1"/>
  <c r="Z970" i="1"/>
  <c r="AD1553" i="1"/>
  <c r="BJ967" i="1"/>
  <c r="AG1678" i="1"/>
  <c r="AB2891" i="1"/>
  <c r="AG2268" i="1"/>
  <c r="AG3109" i="1"/>
  <c r="AC1541" i="1"/>
  <c r="AD666" i="1"/>
  <c r="AD2692" i="1"/>
  <c r="AB2769" i="1"/>
  <c r="AB1735" i="1"/>
  <c r="AA1087" i="1"/>
  <c r="Z2362" i="1"/>
  <c r="BJ2791" i="1"/>
  <c r="AC486" i="1"/>
  <c r="AC1157" i="1"/>
  <c r="AA707" i="1"/>
  <c r="Z173" i="1"/>
  <c r="AD434" i="1"/>
  <c r="BJ2201" i="1"/>
  <c r="Z2800" i="1"/>
  <c r="AC2921" i="1"/>
  <c r="AD1990" i="1"/>
  <c r="AG1713" i="1"/>
  <c r="AA2252" i="1"/>
  <c r="AC1494" i="1"/>
  <c r="AC469" i="1"/>
  <c r="BJ2145" i="1"/>
  <c r="AB3053" i="1"/>
  <c r="AD2810" i="1"/>
  <c r="AA875" i="1"/>
  <c r="AD1597" i="1"/>
  <c r="AD118" i="1"/>
  <c r="AG149" i="1"/>
  <c r="AG2677" i="1"/>
  <c r="AA299" i="1"/>
  <c r="Z2768" i="1"/>
  <c r="BJ3042" i="1"/>
  <c r="AB1964" i="1"/>
  <c r="AD2055" i="1"/>
  <c r="AG1323" i="1"/>
  <c r="AB1787" i="1"/>
  <c r="AA1714" i="1"/>
  <c r="AB992" i="1"/>
  <c r="Z1255" i="1"/>
  <c r="AD3030" i="1"/>
  <c r="BJ2333" i="1"/>
  <c r="AA2470" i="1"/>
  <c r="AA2830" i="1"/>
  <c r="Z2331" i="1"/>
  <c r="AD3140" i="1"/>
  <c r="AC222" i="1"/>
  <c r="AD1997" i="1"/>
  <c r="AB1587" i="1"/>
  <c r="AA1589" i="1"/>
  <c r="AG955" i="1"/>
  <c r="AB138" i="1"/>
  <c r="Z3058" i="1"/>
  <c r="AC1270" i="1"/>
  <c r="AG2526" i="1"/>
  <c r="AB405" i="1"/>
  <c r="AA1606" i="1"/>
  <c r="BJ1119" i="1"/>
  <c r="AB661" i="1"/>
  <c r="AD2522" i="1"/>
  <c r="BJ288" i="1"/>
  <c r="BJ2240" i="1"/>
  <c r="BJ1339" i="1"/>
  <c r="AC1848" i="1"/>
  <c r="AA2509" i="1"/>
  <c r="AG169" i="1"/>
  <c r="AG1793" i="1"/>
  <c r="AC784" i="1"/>
  <c r="BJ3029" i="1"/>
  <c r="AG2725" i="1"/>
  <c r="AG1998" i="1"/>
  <c r="AB1933" i="1"/>
  <c r="AA2686" i="1"/>
  <c r="AG1696" i="1"/>
  <c r="BJ1650" i="1"/>
  <c r="AA2728" i="1"/>
  <c r="AG1522" i="1"/>
  <c r="Z61" i="1"/>
  <c r="AB834" i="1"/>
  <c r="BJ2374" i="1"/>
  <c r="AC1759" i="1"/>
  <c r="BJ1625" i="1"/>
  <c r="AD1314" i="1"/>
  <c r="AD235" i="1"/>
  <c r="AC373" i="1"/>
  <c r="AD2075" i="1"/>
  <c r="Z2316" i="1"/>
  <c r="BJ1349" i="1"/>
  <c r="Z871" i="1"/>
  <c r="AD2577" i="1"/>
  <c r="BJ1924" i="1"/>
  <c r="AB2982" i="1"/>
  <c r="Z1556" i="1"/>
  <c r="AC1973" i="1"/>
  <c r="AC1346" i="1"/>
  <c r="AA2897" i="1"/>
  <c r="AB2030" i="1"/>
  <c r="AD1973" i="1"/>
  <c r="AB1289" i="1"/>
  <c r="AG1501" i="1"/>
  <c r="AB750" i="1"/>
  <c r="AA477" i="1"/>
  <c r="AD1604" i="1"/>
  <c r="AB435" i="1"/>
  <c r="Z1483" i="1"/>
  <c r="AD316" i="1"/>
  <c r="Z1552" i="1"/>
  <c r="AA2232" i="1"/>
  <c r="AB301" i="1"/>
  <c r="BJ67" i="1"/>
  <c r="AC1433" i="1"/>
  <c r="Z338" i="1"/>
  <c r="AA3006" i="1"/>
  <c r="BJ2054" i="1"/>
  <c r="AB272" i="1"/>
  <c r="BJ1314" i="1"/>
  <c r="Z1198" i="1"/>
  <c r="AC2649" i="1"/>
  <c r="BJ2916" i="1"/>
  <c r="Z156" i="1"/>
  <c r="AG1457" i="1"/>
  <c r="AD508" i="1"/>
  <c r="BJ1615" i="1"/>
  <c r="AG1818" i="1"/>
  <c r="AB1763" i="1"/>
  <c r="Z1250" i="1"/>
  <c r="Z1355" i="1"/>
  <c r="AB2406" i="1"/>
  <c r="BJ484" i="1"/>
  <c r="AB1801" i="1"/>
  <c r="AA2265" i="1"/>
  <c r="AG1447" i="1"/>
  <c r="AB2049" i="1"/>
  <c r="AC2473" i="1"/>
  <c r="Z172" i="1"/>
  <c r="AG1859" i="1"/>
  <c r="AD918" i="1"/>
  <c r="BJ115" i="1"/>
  <c r="Z133" i="1"/>
  <c r="AD1515" i="1"/>
  <c r="AG1011" i="1"/>
  <c r="Z84" i="1"/>
  <c r="Z2040" i="1"/>
  <c r="AD149" i="1"/>
  <c r="AC3092" i="1"/>
  <c r="Z2892" i="1"/>
  <c r="Z214" i="1"/>
  <c r="AC79" i="1"/>
  <c r="AG2148" i="1"/>
  <c r="Z257" i="1"/>
  <c r="AA335" i="1"/>
  <c r="AC2458" i="1"/>
  <c r="BJ1181" i="1"/>
  <c r="BJ20" i="1"/>
  <c r="AA2987" i="1"/>
  <c r="Z190" i="1"/>
  <c r="AA1199" i="1"/>
  <c r="AB2148" i="1"/>
  <c r="AD1807" i="1"/>
  <c r="AC176" i="1"/>
  <c r="AD1637" i="1"/>
  <c r="AC1924" i="1"/>
  <c r="AD396" i="1"/>
  <c r="BJ960" i="1"/>
  <c r="BJ1141" i="1"/>
  <c r="AD1457" i="1"/>
  <c r="Z2160" i="1"/>
  <c r="AG1547" i="1"/>
  <c r="Z3056" i="1"/>
  <c r="BJ2722" i="1"/>
  <c r="AG2535" i="1"/>
  <c r="AD1636" i="1"/>
  <c r="AG3121" i="1"/>
  <c r="Z2128" i="1"/>
  <c r="AC1889" i="1"/>
  <c r="AC1389" i="1"/>
  <c r="AB1792" i="1"/>
  <c r="Z539" i="1"/>
  <c r="AA2174" i="1"/>
  <c r="Z936" i="1"/>
  <c r="AA1455" i="1"/>
  <c r="AA341" i="1"/>
  <c r="AC717" i="1"/>
  <c r="AD131" i="1"/>
  <c r="AB34" i="1"/>
  <c r="AA2404" i="1"/>
  <c r="Z2056" i="1"/>
  <c r="AD589" i="1"/>
  <c r="AC1343" i="1"/>
  <c r="AD670" i="1"/>
  <c r="AD771" i="1"/>
  <c r="Z1140" i="1"/>
  <c r="BJ1413" i="1"/>
  <c r="AC1857" i="1"/>
  <c r="AC996" i="1"/>
  <c r="BJ817" i="1"/>
  <c r="AD1069" i="1"/>
  <c r="AG2045" i="1"/>
  <c r="AD2799" i="1"/>
  <c r="AD895" i="1"/>
  <c r="BJ487" i="1"/>
  <c r="AA2173" i="1"/>
  <c r="AC82" i="1"/>
  <c r="AD2739" i="1"/>
  <c r="AC1497" i="1"/>
  <c r="AG454" i="1"/>
  <c r="AG1511" i="1"/>
  <c r="AG3013" i="1"/>
  <c r="AB2565" i="1"/>
  <c r="AD595" i="1"/>
  <c r="AG2131" i="1"/>
  <c r="AA411" i="1"/>
  <c r="AA1550" i="1"/>
  <c r="AB2123" i="1"/>
  <c r="AD200" i="1"/>
  <c r="AA1113" i="1"/>
  <c r="AC1436" i="1"/>
  <c r="Z1667" i="1"/>
  <c r="AC1227" i="1"/>
  <c r="AG2697" i="1"/>
  <c r="AC2128" i="1"/>
  <c r="AG145" i="1"/>
  <c r="AC1396" i="1"/>
  <c r="AA904" i="1"/>
  <c r="Z2419" i="1"/>
  <c r="AC656" i="1"/>
  <c r="AA1627" i="1"/>
  <c r="AC1827" i="1"/>
  <c r="AC2384" i="1"/>
  <c r="AC759" i="1"/>
  <c r="Z373" i="1"/>
  <c r="AD388" i="1"/>
  <c r="BJ1172" i="1"/>
  <c r="AB1296" i="1"/>
  <c r="AC2588" i="1"/>
  <c r="AA2150" i="1"/>
  <c r="Z2993" i="1"/>
  <c r="AD392" i="1"/>
  <c r="AC37" i="1"/>
  <c r="Z830" i="1"/>
  <c r="AA1004" i="1"/>
  <c r="AC3089" i="1"/>
  <c r="AG1500" i="1"/>
  <c r="AG1016" i="1"/>
  <c r="BJ2486" i="1"/>
  <c r="AG2859" i="1"/>
  <c r="AB103" i="1"/>
  <c r="AG1990" i="1"/>
  <c r="BJ904" i="1"/>
  <c r="AA1919" i="1"/>
  <c r="Z707" i="1"/>
  <c r="AB1643" i="1"/>
  <c r="Z154" i="1"/>
  <c r="Z2529" i="1"/>
  <c r="AG2123" i="1"/>
  <c r="AG1835" i="1"/>
  <c r="AD3130" i="1"/>
  <c r="AG2026" i="1"/>
  <c r="AC1732" i="1"/>
  <c r="AD2894" i="1"/>
  <c r="AB1268" i="1"/>
  <c r="AA873" i="1"/>
  <c r="AA1685" i="1"/>
  <c r="Z2754" i="1"/>
  <c r="Z2242" i="1"/>
  <c r="AG2263" i="1"/>
  <c r="Z37" i="1"/>
  <c r="Z1293" i="1"/>
  <c r="BJ2341" i="1"/>
  <c r="Z1662" i="1"/>
  <c r="Z2860" i="1"/>
  <c r="AB2749" i="1"/>
  <c r="BJ308" i="1"/>
  <c r="AB504" i="1"/>
  <c r="AA714" i="1"/>
  <c r="AG1397" i="1"/>
  <c r="AD416" i="1"/>
  <c r="AG1704" i="1"/>
  <c r="Z2274" i="1"/>
  <c r="AB2004" i="1"/>
  <c r="AG1402" i="1"/>
  <c r="AB2846" i="1"/>
  <c r="AB967" i="1"/>
  <c r="AC2517" i="1"/>
  <c r="AC1132" i="1"/>
  <c r="Z517" i="1"/>
  <c r="AA448" i="1"/>
  <c r="BJ2704" i="1"/>
  <c r="AB1113" i="1"/>
  <c r="AG1028" i="1"/>
  <c r="AB686" i="1"/>
  <c r="AC1238" i="1"/>
  <c r="AD2529" i="1"/>
  <c r="BJ1534" i="1"/>
  <c r="AB984" i="1"/>
  <c r="Z472" i="1"/>
  <c r="AD2749" i="1"/>
  <c r="AG322" i="1"/>
  <c r="Z2744" i="1"/>
  <c r="AA894" i="1"/>
  <c r="Z1615" i="1"/>
  <c r="AG1556" i="1"/>
  <c r="AC2967" i="1"/>
  <c r="AD188" i="1"/>
  <c r="AB2731" i="1"/>
  <c r="AG2696" i="1"/>
  <c r="AC617" i="1"/>
  <c r="AC3063" i="1"/>
  <c r="AG3061" i="1"/>
  <c r="AA1634" i="1"/>
  <c r="BJ2058" i="1"/>
  <c r="Z610" i="1"/>
  <c r="Z3008" i="1"/>
  <c r="AB178" i="1"/>
  <c r="BJ191" i="1"/>
  <c r="AD72" i="1"/>
  <c r="AA53" i="1"/>
  <c r="BJ1586" i="1"/>
  <c r="AC2178" i="1"/>
  <c r="AC134" i="1"/>
  <c r="AC277" i="1"/>
  <c r="AA1696" i="1"/>
  <c r="AC3017" i="1"/>
  <c r="AC2957" i="1"/>
  <c r="AD1615" i="1"/>
  <c r="Z2708" i="1"/>
  <c r="AB2433" i="1"/>
  <c r="AG1020" i="1"/>
  <c r="AB1990" i="1"/>
  <c r="AG1639" i="1"/>
  <c r="AC2149" i="1"/>
  <c r="AA189" i="1"/>
  <c r="AA1120" i="1"/>
  <c r="Z2256" i="1"/>
  <c r="AA1940" i="1"/>
  <c r="AB1784" i="1"/>
  <c r="Z175" i="1"/>
  <c r="AB2971" i="1"/>
  <c r="AG2203" i="1"/>
  <c r="AD1303" i="1"/>
  <c r="AB2859" i="1"/>
  <c r="AA423" i="1"/>
  <c r="BJ231" i="1"/>
  <c r="Z1223" i="1"/>
  <c r="Z219" i="1"/>
  <c r="AA324" i="1"/>
  <c r="AA1556" i="1"/>
  <c r="Z1752" i="1"/>
  <c r="AA362" i="1"/>
  <c r="Z22" i="1"/>
  <c r="AC828" i="1"/>
  <c r="AB484" i="1"/>
  <c r="AC1977" i="1"/>
  <c r="BJ2376" i="1"/>
  <c r="AD1242" i="1"/>
  <c r="AD293" i="1"/>
  <c r="BJ3095" i="1"/>
  <c r="AA1337" i="1"/>
  <c r="AC2308" i="1"/>
  <c r="AG2643" i="1"/>
  <c r="AC1602" i="1"/>
  <c r="BJ2810" i="1"/>
  <c r="AC1758" i="1"/>
  <c r="AC1776" i="1"/>
  <c r="AC2316" i="1"/>
  <c r="AA2734" i="1"/>
  <c r="BJ1659" i="1"/>
  <c r="AG1038" i="1"/>
  <c r="AD2697" i="1"/>
  <c r="AG299" i="1"/>
  <c r="AA859" i="1"/>
  <c r="AG434" i="1"/>
  <c r="AB2630" i="1"/>
  <c r="AA1416" i="1"/>
  <c r="AD2329" i="1"/>
  <c r="AB2681" i="1"/>
  <c r="Z3095" i="1"/>
  <c r="AC2120" i="1"/>
  <c r="AG1999" i="1"/>
  <c r="Z64" i="1"/>
  <c r="Z1710" i="1"/>
  <c r="AC1887" i="1"/>
  <c r="AD1895" i="1"/>
  <c r="Z247" i="1"/>
  <c r="Z759" i="1"/>
  <c r="AD2249" i="1"/>
  <c r="AC887" i="1"/>
  <c r="BJ1135" i="1"/>
  <c r="AG1154" i="1"/>
  <c r="AD3112" i="1"/>
  <c r="Z145" i="1"/>
  <c r="AG1430" i="1"/>
  <c r="AC1549" i="1"/>
  <c r="AA1519" i="1"/>
  <c r="AA244" i="1"/>
  <c r="AD1782" i="1"/>
  <c r="Z351" i="1"/>
  <c r="AB1282" i="1"/>
  <c r="Z2543" i="1"/>
  <c r="AG2363" i="1"/>
  <c r="AC2739" i="1"/>
  <c r="AG2926" i="1"/>
  <c r="AG2953" i="1"/>
  <c r="AB2464" i="1"/>
  <c r="AC483" i="1"/>
  <c r="BJ1888" i="1"/>
  <c r="AB48" i="1"/>
  <c r="AC2048" i="1"/>
  <c r="BJ2752" i="1"/>
  <c r="AA633" i="1"/>
  <c r="BJ1368" i="1"/>
  <c r="AG158" i="1"/>
  <c r="AB2624" i="1"/>
  <c r="AG1479" i="1"/>
  <c r="AC2487" i="1"/>
  <c r="AA1325" i="1"/>
  <c r="AG1052" i="1"/>
  <c r="BJ328" i="1"/>
  <c r="BJ540" i="1"/>
  <c r="AA1865" i="1"/>
  <c r="AG2538" i="1"/>
  <c r="Z2150" i="1"/>
  <c r="AB2473" i="1"/>
  <c r="AG2861" i="1"/>
  <c r="AA314" i="1"/>
  <c r="AG1770" i="1"/>
  <c r="AA2692" i="1"/>
  <c r="AD1142" i="1"/>
  <c r="AA1028" i="1"/>
  <c r="AC831" i="1"/>
  <c r="AG2107" i="1"/>
  <c r="AD798" i="1"/>
  <c r="AC2610" i="1"/>
  <c r="BJ2531" i="1"/>
  <c r="AB40" i="1"/>
  <c r="AG707" i="1"/>
  <c r="AA3102" i="1"/>
  <c r="AG397" i="1"/>
  <c r="Z3102" i="1"/>
  <c r="BJ2422" i="1"/>
  <c r="AG2113" i="1"/>
  <c r="AC2570" i="1"/>
  <c r="Z766" i="1"/>
  <c r="AB3134" i="1"/>
  <c r="AD482" i="1"/>
  <c r="AA2696" i="1"/>
  <c r="AD102" i="1"/>
  <c r="AB2295" i="1"/>
  <c r="BJ914" i="1"/>
  <c r="AA684" i="1"/>
  <c r="AG2018" i="1"/>
  <c r="BJ2604" i="1"/>
  <c r="AD1000" i="1"/>
  <c r="AC2829" i="1"/>
  <c r="AA2553" i="1"/>
  <c r="AC2032" i="1"/>
  <c r="AB2045" i="1"/>
  <c r="AA1151" i="1"/>
  <c r="AC2260" i="1"/>
  <c r="AC954" i="1"/>
  <c r="AC1513" i="1"/>
  <c r="AB392" i="1"/>
  <c r="Z1380" i="1"/>
  <c r="AA629" i="1"/>
  <c r="AG1279" i="1"/>
  <c r="AD1362" i="1"/>
  <c r="AC2659" i="1"/>
  <c r="AC1611" i="1"/>
  <c r="Z2173" i="1"/>
  <c r="AC506" i="1"/>
  <c r="AD581" i="1"/>
  <c r="AB1601" i="1"/>
  <c r="Z790" i="1"/>
  <c r="AA2697" i="1"/>
  <c r="Z1832" i="1"/>
  <c r="AD1587" i="1"/>
  <c r="AA2710" i="1"/>
  <c r="AD2078" i="1"/>
  <c r="Z3094" i="1"/>
  <c r="AA77" i="1"/>
  <c r="AA559" i="1"/>
  <c r="BJ2608" i="1"/>
  <c r="AD330" i="1"/>
  <c r="AD2489" i="1"/>
  <c r="AG2743" i="1"/>
  <c r="BJ650" i="1"/>
  <c r="AB1176" i="1"/>
  <c r="BJ1726" i="1"/>
  <c r="AD2477" i="1"/>
  <c r="AG1339" i="1"/>
  <c r="AD1235" i="1"/>
  <c r="AC2017" i="1"/>
  <c r="Z314" i="1"/>
  <c r="AB2444" i="1"/>
  <c r="AG2601" i="1"/>
  <c r="AD345" i="1"/>
  <c r="AC451" i="1"/>
  <c r="Z478" i="1"/>
  <c r="AA1046" i="1"/>
  <c r="AG2812" i="1"/>
  <c r="AG1252" i="1"/>
  <c r="Z2473" i="1"/>
  <c r="AA945" i="1"/>
  <c r="AB1616" i="1"/>
  <c r="AC144" i="1"/>
  <c r="AA2760" i="1"/>
  <c r="BJ1566" i="1"/>
  <c r="BJ1694" i="1"/>
  <c r="AD2058" i="1"/>
  <c r="AC3013" i="1"/>
  <c r="BJ2273" i="1"/>
  <c r="Z1598" i="1"/>
  <c r="AD344" i="1"/>
  <c r="AG2138" i="1"/>
  <c r="AB2529" i="1"/>
  <c r="AA2407" i="1"/>
  <c r="AG709" i="1"/>
  <c r="Z3087" i="1"/>
  <c r="AG315" i="1"/>
  <c r="AG1281" i="1"/>
  <c r="Z3081" i="1"/>
  <c r="AG2420" i="1"/>
  <c r="AB2962" i="1"/>
  <c r="AD1607" i="1"/>
  <c r="AB2818" i="1"/>
  <c r="AC1223" i="1"/>
  <c r="Z2246" i="1"/>
  <c r="Z2354" i="1"/>
  <c r="AG2766" i="1"/>
  <c r="Z561" i="1"/>
  <c r="Z27" i="1"/>
  <c r="AD856" i="1"/>
  <c r="AC3133" i="1"/>
  <c r="AA1292" i="1"/>
  <c r="AG2405" i="1"/>
  <c r="AB995" i="1"/>
  <c r="AD3024" i="1"/>
  <c r="Z746" i="1"/>
  <c r="AD884" i="1"/>
  <c r="BJ2207" i="1"/>
  <c r="AB2709" i="1"/>
  <c r="BJ2590" i="1"/>
  <c r="AA1821" i="1"/>
  <c r="AD2802" i="1"/>
  <c r="AA2712" i="1"/>
  <c r="AG1806" i="1"/>
  <c r="AG1211" i="1"/>
  <c r="BJ294" i="1"/>
  <c r="AC909" i="1"/>
  <c r="AC1300" i="1"/>
  <c r="AD189" i="1"/>
  <c r="AD1559" i="1"/>
  <c r="AA1852" i="1"/>
  <c r="AB53" i="1"/>
  <c r="AB644" i="1"/>
  <c r="AG1943" i="1"/>
  <c r="AB825" i="1"/>
  <c r="AD2846" i="1"/>
  <c r="AD2718" i="1"/>
  <c r="AA1024" i="1"/>
  <c r="BJ801" i="1"/>
  <c r="AC3075" i="1"/>
  <c r="Z2320" i="1"/>
  <c r="AB1529" i="1"/>
  <c r="AG605" i="1"/>
  <c r="AC1367" i="1"/>
  <c r="AC2314" i="1"/>
  <c r="AA2374" i="1"/>
  <c r="AG2155" i="1"/>
  <c r="AA984" i="1"/>
  <c r="AD2502" i="1"/>
  <c r="Z222" i="1"/>
  <c r="Z138" i="1"/>
  <c r="AG419" i="1"/>
  <c r="Z1878" i="1"/>
  <c r="AB2438" i="1"/>
  <c r="BJ91" i="1"/>
  <c r="AC1569" i="1"/>
  <c r="Z888" i="1"/>
  <c r="AC175" i="1"/>
  <c r="AA2811" i="1"/>
  <c r="AG3075" i="1"/>
  <c r="AD3049" i="1"/>
  <c r="AD2743" i="1"/>
  <c r="Z294" i="1"/>
  <c r="AD2917" i="1"/>
  <c r="BJ462" i="1"/>
  <c r="AG1716" i="1"/>
  <c r="AA1290" i="1"/>
  <c r="AC1060" i="1"/>
  <c r="AA2831" i="1"/>
  <c r="AA2318" i="1"/>
  <c r="AG1255" i="1"/>
  <c r="Z1005" i="1"/>
  <c r="BJ2449" i="1"/>
  <c r="AG2602" i="1"/>
  <c r="AC1843" i="1"/>
  <c r="Z70" i="1"/>
  <c r="AA202" i="1"/>
  <c r="BJ2925" i="1"/>
  <c r="AA1421" i="1"/>
  <c r="Z2665" i="1"/>
  <c r="AC2938" i="1"/>
  <c r="AA369" i="1"/>
  <c r="AA2116" i="1"/>
  <c r="Z63" i="1"/>
  <c r="AB1079" i="1"/>
  <c r="AG98" i="1"/>
  <c r="AB565" i="1"/>
  <c r="AG515" i="1"/>
  <c r="BJ2345" i="1"/>
  <c r="AB1190" i="1"/>
  <c r="BJ1568" i="1"/>
  <c r="AC1548" i="1"/>
  <c r="AB1149" i="1"/>
  <c r="AC1285" i="1"/>
  <c r="AB2394" i="1"/>
  <c r="AG514" i="1"/>
  <c r="BJ348" i="1"/>
  <c r="AA2363" i="1"/>
  <c r="Z2785" i="1"/>
  <c r="AB2956" i="1"/>
  <c r="AA2330" i="1"/>
  <c r="Z1883" i="1"/>
  <c r="Z2327" i="1"/>
  <c r="AB152" i="1"/>
  <c r="AD1334" i="1"/>
  <c r="AG1118" i="1"/>
  <c r="AG2768" i="1"/>
  <c r="Z217" i="1"/>
  <c r="AD959" i="1"/>
  <c r="AA919" i="1"/>
  <c r="AA60" i="1"/>
  <c r="Z378" i="1"/>
  <c r="AA1553" i="1"/>
  <c r="AC817" i="1"/>
  <c r="AB1728" i="1"/>
  <c r="AD433" i="1"/>
  <c r="AG1145" i="1"/>
  <c r="AC468" i="1"/>
  <c r="BJ1728" i="1"/>
  <c r="AC1216" i="1"/>
  <c r="AC1135" i="1"/>
  <c r="AA1190" i="1"/>
  <c r="Z2313" i="1"/>
  <c r="AG700" i="1"/>
  <c r="Z1995" i="1"/>
  <c r="AA2487" i="1"/>
  <c r="AA586" i="1"/>
  <c r="AB1942" i="1"/>
  <c r="AG49" i="1"/>
  <c r="BJ321" i="1"/>
  <c r="AA1202" i="1"/>
  <c r="Z79" i="1"/>
  <c r="AB296" i="1"/>
  <c r="AD1254" i="1"/>
  <c r="AC3055" i="1"/>
  <c r="AD459" i="1"/>
  <c r="AC1066" i="1"/>
  <c r="AG1976" i="1"/>
  <c r="BJ1386" i="1"/>
  <c r="Z3080" i="1"/>
  <c r="AA282" i="1"/>
  <c r="AA1565" i="1"/>
  <c r="AD990" i="1"/>
  <c r="AA1492" i="1"/>
  <c r="AG1034" i="1"/>
  <c r="Z435" i="1"/>
  <c r="BJ380" i="1"/>
  <c r="AG3065" i="1"/>
  <c r="AG255" i="1"/>
  <c r="AG237" i="1"/>
  <c r="AB3049" i="1"/>
  <c r="AC3122" i="1"/>
  <c r="AG556" i="1"/>
  <c r="AB189" i="1"/>
  <c r="AC267" i="1"/>
  <c r="BJ1779" i="1"/>
  <c r="AG2924" i="1"/>
  <c r="BJ2029" i="1"/>
  <c r="Z1759" i="1"/>
  <c r="AA1236" i="1"/>
  <c r="AB2235" i="1"/>
  <c r="AG812" i="1"/>
  <c r="AB2952" i="1"/>
  <c r="AB2701" i="1"/>
  <c r="AB2105" i="1"/>
  <c r="AA547" i="1"/>
  <c r="AD1706" i="1"/>
  <c r="AG591" i="1"/>
  <c r="Z2879" i="1"/>
  <c r="BJ1682" i="1"/>
  <c r="Z2621" i="1"/>
  <c r="AC1448" i="1"/>
  <c r="AC2110" i="1"/>
  <c r="AA401" i="1"/>
  <c r="AB2130" i="1"/>
  <c r="AA2335" i="1"/>
  <c r="AG928" i="1"/>
  <c r="AG3113" i="1"/>
  <c r="AG1348" i="1"/>
  <c r="AD1197" i="1"/>
  <c r="AA2426" i="1"/>
  <c r="AB551" i="1"/>
  <c r="BJ2803" i="1"/>
  <c r="AB725" i="1"/>
  <c r="AD183" i="1"/>
  <c r="AB2695" i="1"/>
  <c r="AD1647" i="1"/>
  <c r="BJ459" i="1"/>
  <c r="AA1036" i="1"/>
  <c r="AC2071" i="1"/>
  <c r="BJ218" i="1"/>
  <c r="AA1655" i="1"/>
  <c r="AC1963" i="1"/>
  <c r="AC1322" i="1"/>
  <c r="AB2276" i="1"/>
  <c r="AG58" i="1"/>
  <c r="AG1961" i="1"/>
  <c r="AC3111" i="1"/>
  <c r="Z1042" i="1"/>
  <c r="AA235" i="1"/>
  <c r="Z1084" i="1"/>
  <c r="AC683" i="1"/>
  <c r="AG1504" i="1"/>
  <c r="AA870" i="1"/>
  <c r="AD2848" i="1"/>
  <c r="AB488" i="1"/>
  <c r="Z168" i="1"/>
  <c r="AC640" i="1"/>
  <c r="Z2619" i="1"/>
  <c r="AA486" i="1"/>
  <c r="Z1155" i="1"/>
  <c r="AG1032" i="1"/>
  <c r="BJ2004" i="1"/>
  <c r="AG2581" i="1"/>
  <c r="AC447" i="1"/>
  <c r="AG367" i="1"/>
  <c r="AG306" i="1"/>
  <c r="BJ180" i="1"/>
  <c r="AG187" i="1"/>
  <c r="AB2298" i="1"/>
  <c r="AC918" i="1"/>
  <c r="AD1174" i="1"/>
  <c r="AB2973" i="1"/>
  <c r="AA2891" i="1"/>
  <c r="Z335" i="1"/>
  <c r="AG2985" i="1"/>
  <c r="AA1417" i="1"/>
  <c r="AG1312" i="1"/>
  <c r="AB1148" i="1"/>
  <c r="AD3100" i="1"/>
  <c r="AA2517" i="1"/>
  <c r="BJ2617" i="1"/>
  <c r="AA67" i="1"/>
  <c r="AD2153" i="1"/>
  <c r="AD1740" i="1"/>
  <c r="AD2039" i="1"/>
  <c r="AB2853" i="1"/>
  <c r="AC865" i="1"/>
  <c r="AB2977" i="1"/>
  <c r="BJ2974" i="1"/>
  <c r="AG839" i="1"/>
  <c r="BJ2115" i="1"/>
  <c r="BJ311" i="1"/>
  <c r="AD2471" i="1"/>
  <c r="Z849" i="1"/>
  <c r="AA2966" i="1"/>
  <c r="AC457" i="1"/>
  <c r="BJ1622" i="1"/>
  <c r="AG1329" i="1"/>
  <c r="AD1112" i="1"/>
  <c r="AC526" i="1"/>
  <c r="AB602" i="1"/>
  <c r="AA1797" i="1"/>
  <c r="AA1738" i="1"/>
  <c r="AB2152" i="1"/>
  <c r="AC275" i="1"/>
  <c r="Z1189" i="1"/>
  <c r="Z959" i="1"/>
  <c r="AD1482" i="1"/>
  <c r="BJ506" i="1"/>
  <c r="AD2618" i="1"/>
  <c r="AC1610" i="1"/>
  <c r="Z860" i="1"/>
  <c r="BJ1005" i="1"/>
  <c r="BJ80" i="1"/>
  <c r="BJ1634" i="1"/>
  <c r="AG526" i="1"/>
  <c r="BJ979" i="1"/>
  <c r="Z176" i="1"/>
  <c r="AD137" i="1"/>
  <c r="AD1363" i="1"/>
  <c r="AG781" i="1"/>
  <c r="AG142" i="1"/>
  <c r="AB2606" i="1"/>
  <c r="Z1932" i="1"/>
  <c r="AD1570" i="1"/>
  <c r="Z1589" i="1"/>
  <c r="AB3072" i="1"/>
  <c r="AB266" i="1"/>
  <c r="AG1933" i="1"/>
  <c r="AA495" i="1"/>
  <c r="AC2087" i="1"/>
  <c r="AB2436" i="1"/>
  <c r="Z106" i="1"/>
  <c r="AC2928" i="1"/>
  <c r="BJ2528" i="1"/>
  <c r="AD1796" i="1"/>
  <c r="AB1376" i="1"/>
  <c r="AB499" i="1"/>
  <c r="AG780" i="1"/>
  <c r="AC432" i="1"/>
  <c r="AA2459" i="1"/>
  <c r="AD803" i="1"/>
  <c r="Z2647" i="1"/>
  <c r="AD1855" i="1"/>
  <c r="AD430" i="1"/>
  <c r="AD3034" i="1"/>
  <c r="AA976" i="1"/>
  <c r="AC1680" i="1"/>
  <c r="AG16" i="1"/>
  <c r="AD1974" i="1"/>
  <c r="BJ1154" i="1"/>
  <c r="AD1212" i="1"/>
  <c r="BJ2545" i="1"/>
  <c r="Z2591" i="1"/>
  <c r="AC2288" i="1"/>
  <c r="BJ1322" i="1"/>
  <c r="AB755" i="1"/>
  <c r="AG1325" i="1"/>
  <c r="AA135" i="1"/>
  <c r="AB990" i="1"/>
  <c r="AA555" i="1"/>
  <c r="AB1223" i="1"/>
  <c r="AC2540" i="1"/>
  <c r="AC1112" i="1"/>
  <c r="AG87" i="1"/>
  <c r="AG2634" i="1"/>
  <c r="BJ2732" i="1"/>
  <c r="Z632" i="1"/>
  <c r="AA3124" i="1"/>
  <c r="AG2796" i="1"/>
  <c r="AG46" i="1"/>
  <c r="AC1800" i="1"/>
  <c r="AD2009" i="1"/>
  <c r="AC614" i="1"/>
  <c r="AD1061" i="1"/>
  <c r="AB2598" i="1"/>
  <c r="AG279" i="1"/>
  <c r="AB1456" i="1"/>
  <c r="AB3152" i="1"/>
  <c r="AD1877" i="1"/>
  <c r="Z2037" i="1"/>
  <c r="AA1817" i="1"/>
  <c r="AG590" i="1"/>
  <c r="AD929" i="1"/>
  <c r="AA2079" i="1"/>
  <c r="Z1421" i="1"/>
  <c r="AG714" i="1"/>
  <c r="AG1940" i="1"/>
  <c r="AD1490" i="1"/>
  <c r="Z2185" i="1"/>
  <c r="AD1302" i="1"/>
  <c r="AG1575" i="1"/>
  <c r="Z920" i="1"/>
  <c r="AG124" i="1"/>
  <c r="AD1485" i="1"/>
  <c r="BJ3088" i="1"/>
  <c r="AB689" i="1"/>
  <c r="AC1754" i="1"/>
  <c r="BJ565" i="1"/>
  <c r="AB1826" i="1"/>
  <c r="BJ454" i="1"/>
  <c r="BJ941" i="1"/>
  <c r="Z2711" i="1"/>
  <c r="AC1338" i="1"/>
  <c r="AG2776" i="1"/>
  <c r="AB952" i="1"/>
  <c r="BJ219" i="1"/>
  <c r="AB2559" i="1"/>
  <c r="AD2307" i="1"/>
  <c r="AB2265" i="1"/>
  <c r="AB2831" i="1"/>
  <c r="AC2129" i="1"/>
  <c r="AG1381" i="1"/>
  <c r="AA385" i="1"/>
  <c r="BJ2565" i="1"/>
  <c r="BJ1191" i="1"/>
  <c r="AG2392" i="1"/>
  <c r="BJ1517" i="1"/>
  <c r="AD1159" i="1"/>
  <c r="Z1957" i="1"/>
  <c r="AD383" i="1"/>
  <c r="BJ791" i="1"/>
  <c r="AD1451" i="1"/>
  <c r="AD676" i="1"/>
  <c r="Z2229" i="1"/>
  <c r="AB325" i="1"/>
  <c r="AB2898" i="1"/>
  <c r="AB776" i="1"/>
  <c r="AD1315" i="1"/>
  <c r="AB258" i="1"/>
  <c r="Z1012" i="1"/>
  <c r="AC801" i="1"/>
  <c r="AD1009" i="1"/>
  <c r="AC974" i="1"/>
  <c r="AG1375" i="1"/>
  <c r="Z1923" i="1"/>
  <c r="AC3032" i="1"/>
  <c r="AD2617" i="1"/>
  <c r="AD380" i="1"/>
  <c r="AD753" i="1"/>
  <c r="AD1932" i="1"/>
  <c r="AC104" i="1"/>
  <c r="Z1104" i="1"/>
  <c r="Z2676" i="1"/>
  <c r="AC479" i="1"/>
  <c r="AG1498" i="1"/>
  <c r="AC1028" i="1"/>
  <c r="AA2650" i="1"/>
  <c r="AD2173" i="1"/>
  <c r="AA269" i="1"/>
  <c r="AB2505" i="1"/>
  <c r="AC835" i="1"/>
  <c r="Z179" i="1"/>
  <c r="AA156" i="1"/>
  <c r="AA1318" i="1"/>
  <c r="AG1364" i="1"/>
  <c r="AC1192" i="1"/>
  <c r="Z560" i="1"/>
  <c r="AB1611" i="1"/>
  <c r="AD1038" i="1"/>
  <c r="Z2928" i="1"/>
  <c r="AG426" i="1"/>
  <c r="AB987" i="1"/>
  <c r="Z2983" i="1"/>
  <c r="Z2807" i="1"/>
  <c r="AB209" i="1"/>
  <c r="AD336" i="1"/>
  <c r="AA199" i="1"/>
  <c r="AC3024" i="1"/>
  <c r="AB2975" i="1"/>
  <c r="AB3135" i="1"/>
  <c r="AB2227" i="1"/>
  <c r="AD889" i="1"/>
  <c r="AD239" i="1"/>
  <c r="AB2043" i="1"/>
  <c r="AD964" i="1"/>
  <c r="Z658" i="1"/>
  <c r="AC2611" i="1"/>
  <c r="AC127" i="1"/>
  <c r="AC2093" i="1"/>
  <c r="AD1594" i="1"/>
  <c r="BJ343" i="1"/>
  <c r="AB2966" i="1"/>
  <c r="Z3023" i="1"/>
  <c r="AB2536" i="1"/>
  <c r="AA392" i="1"/>
  <c r="Z1035" i="1"/>
  <c r="AC1341" i="1"/>
  <c r="AB1409" i="1"/>
  <c r="BJ2978" i="1"/>
  <c r="AG2770" i="1"/>
  <c r="AG1987" i="1"/>
  <c r="BJ1418" i="1"/>
  <c r="AG2110" i="1"/>
  <c r="AG2347" i="1"/>
  <c r="AB3149" i="1"/>
  <c r="AG1360" i="1"/>
  <c r="BJ504" i="1"/>
  <c r="AB3043" i="1"/>
  <c r="AG2773" i="1"/>
  <c r="AB735" i="1"/>
  <c r="AB986" i="1"/>
  <c r="AD932" i="1"/>
  <c r="AG1626" i="1"/>
  <c r="AC57" i="1"/>
  <c r="AC1299" i="1"/>
  <c r="AA465" i="1"/>
  <c r="Z2245" i="1"/>
  <c r="BJ2134" i="1"/>
  <c r="Z662" i="1"/>
  <c r="AA888" i="1"/>
  <c r="AB749" i="1"/>
  <c r="AB3018" i="1"/>
  <c r="AA1491" i="1"/>
  <c r="Z1961" i="1"/>
  <c r="AC3018" i="1"/>
  <c r="AB716" i="1"/>
  <c r="AC1665" i="1"/>
  <c r="BJ2568" i="1"/>
  <c r="AD571" i="1"/>
  <c r="BJ2796" i="1"/>
  <c r="Z1916" i="1"/>
  <c r="AC1605" i="1"/>
  <c r="AG1787" i="1"/>
  <c r="AA2298" i="1"/>
  <c r="AD891" i="1"/>
  <c r="BJ1498" i="1"/>
  <c r="AB259" i="1"/>
  <c r="AC710" i="1"/>
  <c r="BJ2998" i="1"/>
  <c r="AC1476" i="1"/>
  <c r="AD2601" i="1"/>
  <c r="Z96" i="1"/>
  <c r="AG1724" i="1"/>
  <c r="AG830" i="1"/>
  <c r="AA1727" i="1"/>
  <c r="AD2563" i="1"/>
  <c r="Z2021" i="1"/>
  <c r="AA2776" i="1"/>
  <c r="AB1347" i="1"/>
  <c r="AD2794" i="1"/>
  <c r="BJ120" i="1"/>
  <c r="Z625" i="1"/>
  <c r="AG3106" i="1"/>
  <c r="AB2527" i="1"/>
  <c r="Z1818" i="1"/>
  <c r="AB2409" i="1"/>
  <c r="BJ2051" i="1"/>
  <c r="AD2912" i="1"/>
  <c r="AA2662" i="1"/>
  <c r="AB2332" i="1"/>
  <c r="AA1447" i="1"/>
  <c r="Z2277" i="1"/>
  <c r="AD2798" i="1"/>
  <c r="AB413" i="1"/>
  <c r="Z1681" i="1"/>
  <c r="AD3131" i="1"/>
  <c r="AG995" i="1"/>
  <c r="AA320" i="1"/>
  <c r="Z503" i="1"/>
  <c r="AG2836" i="1"/>
  <c r="BJ738" i="1"/>
  <c r="AC1627" i="1"/>
  <c r="AC1241" i="1"/>
  <c r="AA1795" i="1"/>
  <c r="AG2753" i="1"/>
  <c r="AB643" i="1"/>
  <c r="AA1620" i="1"/>
  <c r="AG2893" i="1"/>
  <c r="AG1753" i="1"/>
  <c r="AG1468" i="1"/>
  <c r="Z467" i="1"/>
  <c r="BJ432" i="1"/>
  <c r="AC2658" i="1"/>
  <c r="AB1711" i="1"/>
  <c r="AC1265" i="1"/>
  <c r="AC2350" i="1"/>
  <c r="AC3060" i="1"/>
  <c r="AA1306" i="1"/>
  <c r="Z1206" i="1"/>
  <c r="Z2442" i="1"/>
  <c r="AC2067" i="1"/>
  <c r="BJ2366" i="1"/>
  <c r="AD1234" i="1"/>
  <c r="AC1148" i="1"/>
  <c r="AA2259" i="1"/>
  <c r="AA1390" i="1"/>
  <c r="Z127" i="1"/>
  <c r="BJ1851" i="1"/>
  <c r="Z1372" i="1"/>
  <c r="AA2718" i="1"/>
  <c r="AA771" i="1"/>
  <c r="AB2328" i="1"/>
  <c r="AG2357" i="1"/>
  <c r="AD1417" i="1"/>
  <c r="AC1590" i="1"/>
  <c r="AG1647" i="1"/>
  <c r="AA2714" i="1"/>
  <c r="AG3031" i="1"/>
  <c r="BJ2758" i="1"/>
  <c r="AB2942" i="1"/>
  <c r="AG1097" i="1"/>
  <c r="Z3146" i="1"/>
  <c r="AG1672" i="1"/>
  <c r="AC265" i="1"/>
  <c r="Z2068" i="1"/>
  <c r="BJ2666" i="1"/>
  <c r="BJ2022" i="1"/>
  <c r="BJ2935" i="1"/>
  <c r="AB2203" i="1"/>
  <c r="AA2413" i="1"/>
  <c r="AG741" i="1"/>
  <c r="AB2741" i="1"/>
  <c r="AA1458" i="1"/>
  <c r="Z2935" i="1"/>
  <c r="AD1958" i="1"/>
  <c r="AD2857" i="1"/>
  <c r="AC2901" i="1"/>
  <c r="AD2691" i="1"/>
  <c r="AB3088" i="1"/>
  <c r="Z2307" i="1"/>
  <c r="AD1211" i="1"/>
  <c r="Z458" i="1"/>
  <c r="AA2256" i="1"/>
  <c r="Z1071" i="1"/>
  <c r="AA1047" i="1"/>
  <c r="AC3150" i="1"/>
  <c r="AG1993" i="1"/>
  <c r="BJ406" i="1"/>
  <c r="AB229" i="1"/>
  <c r="AD1341" i="1"/>
  <c r="AD2100" i="1"/>
  <c r="BJ1332" i="1"/>
  <c r="AC3062" i="1"/>
  <c r="AD1583" i="1"/>
  <c r="AA1315" i="1"/>
  <c r="AA1504" i="1"/>
  <c r="Z431" i="1"/>
  <c r="BJ272" i="1"/>
  <c r="AC2368" i="1"/>
  <c r="AG223" i="1"/>
  <c r="AD1183" i="1"/>
  <c r="AD1857" i="1"/>
  <c r="AD1731" i="1"/>
  <c r="Z954" i="1"/>
  <c r="BJ1952" i="1"/>
  <c r="Z438" i="1"/>
  <c r="BJ682" i="1"/>
  <c r="AD1384" i="1"/>
  <c r="AD2847" i="1"/>
  <c r="AC466" i="1"/>
  <c r="AD1722" i="1"/>
  <c r="AC811" i="1"/>
  <c r="AC2493" i="1"/>
  <c r="AA40" i="1"/>
  <c r="AC797" i="1"/>
  <c r="AG2707" i="1"/>
  <c r="AD710" i="1"/>
  <c r="BJ21" i="1"/>
  <c r="AB1328" i="1"/>
  <c r="AC2147" i="1"/>
  <c r="AD3038" i="1"/>
  <c r="AC2533" i="1"/>
  <c r="BJ1411" i="1"/>
  <c r="AA2154" i="1"/>
  <c r="AA296" i="1"/>
  <c r="Z2234" i="1"/>
  <c r="AD2637" i="1"/>
  <c r="BJ809" i="1"/>
  <c r="AC1309" i="1"/>
  <c r="AB1537" i="1"/>
  <c r="Z2081" i="1"/>
  <c r="AA1722" i="1"/>
  <c r="AD45" i="1"/>
  <c r="Z151" i="1"/>
  <c r="AA2169" i="1"/>
  <c r="AG2747" i="1"/>
  <c r="AC1752" i="1"/>
  <c r="AG1642" i="1"/>
  <c r="AD487" i="1"/>
  <c r="AC2729" i="1"/>
  <c r="AG1407" i="1"/>
  <c r="AC2655" i="1"/>
  <c r="BJ1189" i="1"/>
  <c r="AD2851" i="1"/>
  <c r="Z516" i="1"/>
  <c r="Z287" i="1"/>
  <c r="AC1879" i="1"/>
  <c r="AB2501" i="1"/>
  <c r="AB2895" i="1"/>
  <c r="AC1529" i="1"/>
  <c r="AB12" i="1"/>
  <c r="BJ1746" i="1"/>
  <c r="AD1510" i="1"/>
  <c r="AA489" i="1"/>
  <c r="AC3083" i="1"/>
  <c r="AD958" i="1"/>
  <c r="AC2520" i="1"/>
  <c r="BJ229" i="1"/>
  <c r="BJ620" i="1"/>
  <c r="AC171" i="1"/>
  <c r="AB2249" i="1"/>
  <c r="AD2484" i="1"/>
  <c r="BJ1291" i="1"/>
  <c r="AB1171" i="1"/>
  <c r="AA3127" i="1"/>
  <c r="AB1949" i="1"/>
  <c r="AG270" i="1"/>
  <c r="AG2057" i="1"/>
  <c r="Z2905" i="1"/>
  <c r="AG678" i="1"/>
  <c r="AA2449" i="1"/>
  <c r="AD2042" i="1"/>
  <c r="AC799" i="1"/>
  <c r="AC1900" i="1"/>
  <c r="Z1034" i="1"/>
  <c r="AD456" i="1"/>
  <c r="AD2008" i="1"/>
  <c r="AB412" i="1"/>
  <c r="Z583" i="1"/>
  <c r="AD1629" i="1"/>
  <c r="AG1162" i="1"/>
  <c r="BJ2312" i="1"/>
  <c r="BJ3140" i="1"/>
  <c r="BJ1144" i="1"/>
  <c r="AC1778" i="1"/>
  <c r="AC885" i="1"/>
  <c r="AD2521" i="1"/>
  <c r="AA1996" i="1"/>
  <c r="Z717" i="1"/>
  <c r="AD3079" i="1"/>
  <c r="AA947" i="1"/>
  <c r="AD527" i="1"/>
  <c r="BJ66" i="1"/>
  <c r="AB3015" i="1"/>
  <c r="Z258" i="1"/>
  <c r="AD2423" i="1"/>
  <c r="Z2112" i="1"/>
  <c r="Z2070" i="1"/>
  <c r="AD2581" i="1"/>
  <c r="BJ1136" i="1"/>
  <c r="AG913" i="1"/>
  <c r="BJ759" i="1"/>
  <c r="AB1167" i="1"/>
  <c r="Z1235" i="1"/>
  <c r="AD888" i="1"/>
  <c r="AG2967" i="1"/>
  <c r="BJ1653" i="1"/>
  <c r="Z291" i="1"/>
  <c r="AG2750" i="1"/>
  <c r="Z501" i="1"/>
  <c r="AD2109" i="1"/>
  <c r="Z550" i="1"/>
  <c r="AA2160" i="1"/>
  <c r="AA163" i="1"/>
  <c r="AA2127" i="1"/>
  <c r="AG2341" i="1"/>
  <c r="AD2536" i="1"/>
  <c r="BJ2164" i="1"/>
  <c r="AA2103" i="1"/>
  <c r="AG250" i="1"/>
  <c r="Z434" i="1"/>
  <c r="AC1372" i="1"/>
  <c r="Z309" i="1"/>
  <c r="AA2389" i="1"/>
  <c r="AB2215" i="1"/>
  <c r="Z1571" i="1"/>
  <c r="AC638" i="1"/>
  <c r="AB1267" i="1"/>
  <c r="AG1039" i="1"/>
  <c r="Z1252" i="1"/>
  <c r="BJ423" i="1"/>
  <c r="AC2816" i="1"/>
  <c r="AB2855" i="1"/>
  <c r="BJ574" i="1"/>
  <c r="BJ699" i="1"/>
  <c r="AG224" i="1"/>
  <c r="AD2829" i="1"/>
  <c r="AA1196" i="1"/>
  <c r="BJ990" i="1"/>
  <c r="Z3076" i="1"/>
  <c r="AG2069" i="1"/>
  <c r="Z1425" i="1"/>
  <c r="AD1166" i="1"/>
  <c r="AG1597" i="1"/>
  <c r="AG691" i="1"/>
  <c r="BJ1716" i="1"/>
  <c r="AG2824" i="1"/>
  <c r="AB1177" i="1"/>
  <c r="BJ2431" i="1"/>
  <c r="AD1826" i="1"/>
  <c r="AD1309" i="1"/>
  <c r="AC1359" i="1"/>
  <c r="AB2880" i="1"/>
  <c r="AD737" i="1"/>
  <c r="AB2543" i="1"/>
  <c r="AB66" i="1"/>
  <c r="BJ871" i="1"/>
  <c r="BJ3110" i="1"/>
  <c r="AG2835" i="1"/>
  <c r="AA2021" i="1"/>
  <c r="BJ1450" i="1"/>
  <c r="AB1306" i="1"/>
  <c r="AC482" i="1"/>
  <c r="AG640" i="1"/>
  <c r="BJ595" i="1"/>
  <c r="AG2368" i="1"/>
  <c r="BJ37" i="1"/>
  <c r="AB1789" i="1"/>
  <c r="AG2972" i="1"/>
  <c r="AG107" i="1"/>
  <c r="AC512" i="1"/>
  <c r="AG793" i="1"/>
  <c r="AC129" i="1"/>
  <c r="BJ606" i="1"/>
  <c r="AD1037" i="1"/>
  <c r="Z2771" i="1"/>
  <c r="AB403" i="1"/>
  <c r="AB2024" i="1"/>
  <c r="Z1442" i="1"/>
  <c r="Z2044" i="1"/>
  <c r="AA2924" i="1"/>
  <c r="AA816" i="1"/>
  <c r="AD1650" i="1"/>
  <c r="AD2461" i="1"/>
  <c r="AC406" i="1"/>
  <c r="AC2567" i="1"/>
  <c r="AB2740" i="1"/>
  <c r="AC1289" i="1"/>
  <c r="Z1078" i="1"/>
  <c r="AD984" i="1"/>
  <c r="BJ2881" i="1"/>
  <c r="AD1601" i="1"/>
  <c r="Z2094" i="1"/>
  <c r="AA504" i="1"/>
  <c r="AB498" i="1"/>
  <c r="AG2826" i="1"/>
  <c r="Z2357" i="1"/>
  <c r="AB2747" i="1"/>
  <c r="AA1583" i="1"/>
  <c r="AG3073" i="1"/>
  <c r="Z1675" i="1"/>
  <c r="AC1811" i="1"/>
  <c r="AB1752" i="1"/>
  <c r="AG1170" i="1"/>
  <c r="AG1895" i="1"/>
  <c r="AB3038" i="1"/>
  <c r="BJ2660" i="1"/>
  <c r="BJ2221" i="1"/>
  <c r="AB1361" i="1"/>
  <c r="BJ1832" i="1"/>
  <c r="AA1793" i="1"/>
  <c r="AA774" i="1"/>
  <c r="AD561" i="1"/>
  <c r="AC501" i="1"/>
  <c r="AA867" i="1"/>
  <c r="AA373" i="1"/>
  <c r="BJ1607" i="1"/>
  <c r="AA1967" i="1"/>
  <c r="AA2542" i="1"/>
  <c r="AC1091" i="1"/>
  <c r="BJ2756" i="1"/>
  <c r="AA3154" i="1"/>
  <c r="AA1881" i="1"/>
  <c r="AA856" i="1"/>
  <c r="AD1582" i="1"/>
  <c r="AA1604" i="1"/>
  <c r="AD1339" i="1"/>
  <c r="AB1802" i="1"/>
  <c r="Z2210" i="1"/>
  <c r="AA1904" i="1"/>
  <c r="AG1344" i="1"/>
  <c r="Z1974" i="1"/>
  <c r="AD717" i="1"/>
  <c r="Z2226" i="1"/>
  <c r="AC963" i="1"/>
  <c r="AD1137" i="1"/>
  <c r="AG1957" i="1"/>
  <c r="Z552" i="1"/>
  <c r="AC1053" i="1"/>
  <c r="AD1322" i="1"/>
  <c r="Z2728" i="1"/>
  <c r="AC188" i="1"/>
  <c r="Z2512" i="1"/>
  <c r="Z739" i="1"/>
  <c r="BJ482" i="1"/>
  <c r="AC473" i="1"/>
  <c r="AC1250" i="1"/>
  <c r="AD2991" i="1"/>
  <c r="AD314" i="1"/>
  <c r="AA2673" i="1"/>
  <c r="AD783" i="1"/>
  <c r="BJ1387" i="1"/>
  <c r="AG342" i="1"/>
  <c r="BJ2798" i="1"/>
  <c r="AD2965" i="1"/>
  <c r="Z2745" i="1"/>
  <c r="AG2981" i="1"/>
  <c r="BJ2237" i="1"/>
  <c r="AD1730" i="1"/>
  <c r="AC2112" i="1"/>
  <c r="AB1299" i="1"/>
  <c r="AC1263" i="1"/>
  <c r="Z673" i="1"/>
  <c r="AD1316" i="1"/>
  <c r="AG1357" i="1"/>
  <c r="AG1632" i="1"/>
  <c r="AC396" i="1"/>
  <c r="AA2932" i="1"/>
  <c r="AG2162" i="1"/>
  <c r="BJ142" i="1"/>
  <c r="AB1192" i="1"/>
  <c r="Z696" i="1"/>
  <c r="Z2031" i="1"/>
  <c r="AG2177" i="1"/>
  <c r="AG2462" i="1"/>
  <c r="AD2989" i="1"/>
  <c r="Z2488" i="1"/>
  <c r="Z2088" i="1"/>
  <c r="AD957" i="1"/>
  <c r="AA1433" i="1"/>
  <c r="AC2275" i="1"/>
  <c r="AD351" i="1"/>
  <c r="Z1276" i="1"/>
  <c r="AC1366" i="1"/>
  <c r="AG1245" i="1"/>
  <c r="AG2483" i="1"/>
  <c r="AC791" i="1"/>
  <c r="AA779" i="1"/>
  <c r="AB2802" i="1"/>
  <c r="AC98" i="1"/>
  <c r="AB273" i="1"/>
  <c r="AB2440" i="1"/>
  <c r="AA1329" i="1"/>
  <c r="BJ1649" i="1"/>
  <c r="BJ821" i="1"/>
  <c r="AA292" i="1"/>
  <c r="BJ233" i="1"/>
  <c r="BJ1806" i="1"/>
  <c r="AA2825" i="1"/>
  <c r="AA1600" i="1"/>
  <c r="Z2701" i="1"/>
  <c r="AG2070" i="1"/>
  <c r="AD1129" i="1"/>
  <c r="Z2851" i="1"/>
  <c r="AD908" i="1"/>
  <c r="AB1458" i="1"/>
  <c r="AG2908" i="1"/>
  <c r="AD2664" i="1"/>
  <c r="AG2250" i="1"/>
  <c r="AA2499" i="1"/>
  <c r="AA1308" i="1"/>
  <c r="Z2381" i="1"/>
  <c r="AA720" i="1"/>
  <c r="AB1241" i="1"/>
  <c r="AG2878" i="1"/>
  <c r="BJ2188" i="1"/>
  <c r="AD602" i="1"/>
  <c r="BJ1310" i="1"/>
  <c r="AA1991" i="1"/>
  <c r="AC2457" i="1"/>
  <c r="AA1562" i="1"/>
  <c r="AD3097" i="1"/>
  <c r="AD2967" i="1"/>
  <c r="AC1883" i="1"/>
  <c r="AD38" i="1"/>
  <c r="AD1586" i="1"/>
  <c r="Z2582" i="1"/>
  <c r="Z2759" i="1"/>
  <c r="AA1321" i="1"/>
  <c r="BJ2645" i="1"/>
  <c r="AA98" i="1"/>
  <c r="AB1212" i="1"/>
  <c r="AA1774" i="1"/>
  <c r="AC2475" i="1"/>
  <c r="AA2948" i="1"/>
  <c r="AC1898" i="1"/>
  <c r="AD2448" i="1"/>
  <c r="AA3007" i="1"/>
  <c r="AA2636" i="1"/>
  <c r="AG84" i="1"/>
  <c r="AG1481" i="1"/>
  <c r="AD688" i="1"/>
  <c r="BJ32" i="1"/>
  <c r="AD1971" i="1"/>
  <c r="AA534" i="1"/>
  <c r="AC316" i="1"/>
  <c r="AD2488" i="1"/>
  <c r="AC1332" i="1"/>
  <c r="AC665" i="1"/>
  <c r="AB3105" i="1"/>
  <c r="AC2609" i="1"/>
  <c r="Z2895" i="1"/>
  <c r="AA2643" i="1"/>
  <c r="AA699" i="1"/>
  <c r="AD2584" i="1"/>
  <c r="BJ2793" i="1"/>
  <c r="Z2585" i="1"/>
  <c r="AC2317" i="1"/>
  <c r="AD727" i="1"/>
  <c r="BJ76" i="1"/>
  <c r="BJ25" i="1"/>
  <c r="Z129" i="1"/>
  <c r="BJ2743" i="1"/>
  <c r="Z2285" i="1"/>
  <c r="AC1096" i="1"/>
  <c r="BJ1426" i="1"/>
  <c r="AB191" i="1"/>
  <c r="AB1770" i="1"/>
  <c r="AA1066" i="1"/>
  <c r="AA256" i="1"/>
  <c r="AG2931" i="1"/>
  <c r="AG994" i="1"/>
  <c r="AC1056" i="1"/>
  <c r="AB1629" i="1"/>
  <c r="AD805" i="1"/>
  <c r="Z528" i="1"/>
  <c r="AC2502" i="1"/>
  <c r="AC17" i="1"/>
  <c r="AD3010" i="1"/>
  <c r="AC1583" i="1"/>
  <c r="BJ2693" i="1"/>
  <c r="BJ1848" i="1"/>
  <c r="AG191" i="1"/>
  <c r="AG754" i="1"/>
  <c r="BJ980" i="1"/>
  <c r="AC1369" i="1"/>
  <c r="BJ2284" i="1"/>
  <c r="AD2746" i="1"/>
  <c r="AG2727" i="1"/>
  <c r="AD1496" i="1"/>
  <c r="BJ556" i="1"/>
  <c r="Z587" i="1"/>
  <c r="AC970" i="1"/>
  <c r="AC600" i="1"/>
  <c r="AA688" i="1"/>
  <c r="AB18" i="1"/>
  <c r="BJ1546" i="1"/>
  <c r="Z1232" i="1"/>
  <c r="BJ765" i="1"/>
  <c r="AC80" i="1"/>
  <c r="AA1582" i="1"/>
  <c r="AG2945" i="1"/>
  <c r="AD1738" i="1"/>
  <c r="AB695" i="1"/>
  <c r="AD206" i="1"/>
  <c r="Z1295" i="1"/>
  <c r="AD1749" i="1"/>
  <c r="AG2023" i="1"/>
  <c r="AA2738" i="1"/>
  <c r="AD2659" i="1"/>
  <c r="AD2351" i="1"/>
  <c r="AC2330" i="1"/>
  <c r="AC707" i="1"/>
  <c r="AD1537" i="1"/>
  <c r="AD2499" i="1"/>
  <c r="Z2082" i="1"/>
  <c r="AG1841" i="1"/>
  <c r="AC55" i="1"/>
  <c r="AC390" i="1"/>
  <c r="AA2245" i="1"/>
  <c r="AB696" i="1"/>
  <c r="AA898" i="1"/>
  <c r="AB3084" i="1"/>
  <c r="AD1602" i="1"/>
  <c r="BJ266" i="1"/>
  <c r="BJ1410" i="1"/>
  <c r="AD1588" i="1"/>
  <c r="Z3018" i="1"/>
  <c r="AA2025" i="1"/>
  <c r="Z1010" i="1"/>
  <c r="Z1810" i="1"/>
  <c r="AG361" i="1"/>
  <c r="AA725" i="1"/>
  <c r="AG630" i="1"/>
  <c r="BJ476" i="1"/>
  <c r="AB1069" i="1"/>
  <c r="AA687" i="1"/>
  <c r="AD1540" i="1"/>
  <c r="AC2239" i="1"/>
  <c r="BJ2438" i="1"/>
  <c r="AB81" i="1"/>
  <c r="AA3074" i="1"/>
  <c r="AG1954" i="1"/>
  <c r="Z2479" i="1"/>
  <c r="AG379" i="1"/>
  <c r="Z2755" i="1"/>
  <c r="AA1050" i="1"/>
  <c r="AA2074" i="1"/>
  <c r="AB1572" i="1"/>
  <c r="AA3024" i="1"/>
  <c r="Z2032" i="1"/>
  <c r="Z984" i="1"/>
  <c r="AB556" i="1"/>
  <c r="BJ2635" i="1"/>
  <c r="AD2348" i="1"/>
  <c r="BJ2047" i="1"/>
  <c r="AB2169" i="1"/>
  <c r="AG2876" i="1"/>
  <c r="AD2076" i="1"/>
  <c r="AD1424" i="1"/>
  <c r="AB1971" i="1"/>
  <c r="BJ984" i="1"/>
  <c r="BJ2733" i="1"/>
  <c r="AB1710" i="1"/>
  <c r="AC2121" i="1"/>
  <c r="AD20" i="1"/>
  <c r="AC2015" i="1"/>
  <c r="AC2808" i="1"/>
  <c r="AB2413" i="1"/>
  <c r="Z733" i="1"/>
  <c r="AB23" i="1"/>
  <c r="AB1761" i="1"/>
  <c r="AD1925" i="1"/>
  <c r="Z2602" i="1"/>
  <c r="Z1900" i="1"/>
  <c r="AG2556" i="1"/>
  <c r="Z829" i="1"/>
  <c r="AD1347" i="1"/>
  <c r="AG77" i="1"/>
  <c r="AC1288" i="1"/>
  <c r="Z2959" i="1"/>
  <c r="BJ2855" i="1"/>
  <c r="AD2005" i="1"/>
  <c r="BJ1120" i="1"/>
  <c r="AB1624" i="1"/>
  <c r="BJ425" i="1"/>
  <c r="BJ1496" i="1"/>
  <c r="AA2361" i="1"/>
  <c r="AB393" i="1"/>
  <c r="AB2318" i="1"/>
  <c r="AC1361" i="1"/>
  <c r="Z2951" i="1"/>
  <c r="AB1595" i="1"/>
  <c r="AA999" i="1"/>
  <c r="AD2040" i="1"/>
  <c r="AG1909" i="1"/>
  <c r="AB1434" i="1"/>
  <c r="AC288" i="1"/>
  <c r="AC2196" i="1"/>
  <c r="Z2163" i="1"/>
  <c r="AG2053" i="1"/>
  <c r="BJ2372" i="1"/>
  <c r="BJ2338" i="1"/>
  <c r="Z1204" i="1"/>
  <c r="AB2333" i="1"/>
  <c r="BJ2009" i="1"/>
  <c r="AA2919" i="1"/>
  <c r="Z1020" i="1"/>
  <c r="AB2439" i="1"/>
  <c r="Z1506" i="1"/>
  <c r="AD1145" i="1"/>
  <c r="AC1637" i="1"/>
  <c r="AB1164" i="1"/>
  <c r="AD2189" i="1"/>
  <c r="AA378" i="1"/>
  <c r="BJ3146" i="1"/>
  <c r="AB2890" i="1"/>
  <c r="Z1682" i="1"/>
  <c r="AG2324" i="1"/>
  <c r="BJ456" i="1"/>
  <c r="AB2495" i="1"/>
  <c r="AA2102" i="1"/>
  <c r="AA793" i="1"/>
  <c r="AC731" i="1"/>
  <c r="AG945" i="1"/>
  <c r="AG776" i="1"/>
  <c r="Z2214" i="1"/>
  <c r="AC2604" i="1"/>
  <c r="AB611" i="1"/>
  <c r="Z3072" i="1"/>
  <c r="Z3092" i="1"/>
  <c r="AA3091" i="1"/>
  <c r="AG1314" i="1"/>
  <c r="BJ1391" i="1"/>
  <c r="Z1285" i="1"/>
  <c r="BJ2465" i="1"/>
  <c r="AB1054" i="1"/>
  <c r="AD1563" i="1"/>
  <c r="AA141" i="1"/>
  <c r="AC1447" i="1"/>
  <c r="BJ1064" i="1"/>
  <c r="Z213" i="1"/>
  <c r="AB573" i="1"/>
  <c r="AG1012" i="1"/>
  <c r="AC2678" i="1"/>
  <c r="BJ2944" i="1"/>
  <c r="AB326" i="1"/>
  <c r="BJ1939" i="1"/>
  <c r="AG1155" i="1"/>
  <c r="AD136" i="1"/>
  <c r="AA2694" i="1"/>
  <c r="AB1438" i="1"/>
  <c r="Z2288" i="1"/>
  <c r="AG1496" i="1"/>
  <c r="AC832" i="1"/>
  <c r="Z2148" i="1"/>
  <c r="AC2485" i="1"/>
  <c r="AB503" i="1"/>
  <c r="BJ2275" i="1"/>
  <c r="BJ2993" i="1"/>
  <c r="AB349" i="1"/>
  <c r="AD1719" i="1"/>
  <c r="AB724" i="1"/>
  <c r="AG2695" i="1"/>
  <c r="AD3060" i="1"/>
  <c r="AD138" i="1"/>
  <c r="AC2918" i="1"/>
  <c r="AG470" i="1"/>
  <c r="AD543" i="1"/>
  <c r="BJ1302" i="1"/>
  <c r="AD347" i="1"/>
  <c r="Z692" i="1"/>
  <c r="AA62" i="1"/>
  <c r="AA778" i="1"/>
  <c r="AG329" i="1"/>
  <c r="BJ478" i="1"/>
  <c r="AD953" i="1"/>
  <c r="AA2295" i="1"/>
  <c r="AB1656" i="1"/>
  <c r="BJ852" i="1"/>
  <c r="AA1524" i="1"/>
  <c r="AB1446" i="1"/>
  <c r="AA1538" i="1"/>
  <c r="AB2954" i="1"/>
  <c r="AC2732" i="1"/>
  <c r="AA302" i="1"/>
  <c r="AD2549" i="1"/>
  <c r="AA1368" i="1"/>
  <c r="AA1670" i="1"/>
  <c r="AD2886" i="1"/>
  <c r="AC3140" i="1"/>
  <c r="AD1488" i="1"/>
  <c r="BJ870" i="1"/>
  <c r="AC1498" i="1"/>
  <c r="AD2207" i="1"/>
  <c r="AG218" i="1"/>
  <c r="AC1910" i="1"/>
  <c r="AC2748" i="1"/>
  <c r="AA1874" i="1"/>
  <c r="Z2450" i="1"/>
  <c r="AD175" i="1"/>
  <c r="AC2216" i="1"/>
  <c r="AC1631" i="1"/>
  <c r="AD2682" i="1"/>
  <c r="AC1296" i="1"/>
  <c r="AG2816" i="1"/>
  <c r="AB2263" i="1"/>
  <c r="AB666" i="1"/>
  <c r="AB2583" i="1"/>
  <c r="Z2480" i="1"/>
  <c r="AG3127" i="1"/>
  <c r="AC1687" i="1"/>
  <c r="AC365" i="1"/>
  <c r="BJ1670" i="1"/>
  <c r="Z2632" i="1"/>
  <c r="AG2520" i="1"/>
  <c r="AC1521" i="1"/>
  <c r="AD87" i="1"/>
  <c r="AB1354" i="1"/>
  <c r="AD1619" i="1"/>
  <c r="AB2940" i="1"/>
  <c r="AG2527" i="1"/>
  <c r="AC1358" i="1"/>
  <c r="Z1062" i="1"/>
  <c r="AG467" i="1"/>
  <c r="AA2463" i="1"/>
  <c r="Z2970" i="1"/>
  <c r="AB1748" i="1"/>
  <c r="AC315" i="1"/>
  <c r="BJ1395" i="1"/>
  <c r="AA1090" i="1"/>
  <c r="AD725" i="1"/>
  <c r="AD617" i="1"/>
  <c r="AD3018" i="1"/>
  <c r="BJ3143" i="1"/>
  <c r="BJ1881" i="1"/>
  <c r="AA2997" i="1"/>
  <c r="AB3145" i="1"/>
  <c r="AG540" i="1"/>
  <c r="AG1710" i="1"/>
  <c r="AA2278" i="1"/>
  <c r="AB52" i="1"/>
  <c r="AG3056" i="1"/>
  <c r="Z671" i="1"/>
  <c r="AA76" i="1"/>
  <c r="AA213" i="1"/>
  <c r="AD590" i="1"/>
  <c r="AB1853" i="1"/>
  <c r="Z2548" i="1"/>
  <c r="AG624" i="1"/>
  <c r="AB1574" i="1"/>
  <c r="BJ2271" i="1"/>
  <c r="AA2588" i="1"/>
  <c r="AB2270" i="1"/>
  <c r="AG1294" i="1"/>
  <c r="BJ586" i="1"/>
  <c r="AC553" i="1"/>
  <c r="AB2984" i="1"/>
  <c r="AA2220" i="1"/>
  <c r="AA2917" i="1"/>
  <c r="BJ1133" i="1"/>
  <c r="AC1445" i="1"/>
  <c r="Z1637" i="1"/>
  <c r="Z1454" i="1"/>
  <c r="AG482" i="1"/>
  <c r="BJ2327" i="1"/>
  <c r="AC73" i="1"/>
  <c r="BJ1390" i="1"/>
  <c r="Z971" i="1"/>
  <c r="AG1821" i="1"/>
  <c r="AD1576" i="1"/>
  <c r="AB121" i="1"/>
  <c r="AD3151" i="1"/>
  <c r="BJ316" i="1"/>
  <c r="Z593" i="1"/>
  <c r="AB2296" i="1"/>
  <c r="AC590" i="1"/>
  <c r="AA284" i="1"/>
  <c r="BJ766" i="1"/>
  <c r="Z2864" i="1"/>
  <c r="BJ2712" i="1"/>
  <c r="AB255" i="1"/>
  <c r="AD1025" i="1"/>
  <c r="AC331" i="1"/>
  <c r="BJ876" i="1"/>
  <c r="BJ721" i="1"/>
  <c r="Z2515" i="1"/>
  <c r="BJ1632" i="1"/>
  <c r="AA1480" i="1"/>
  <c r="AA1631" i="1"/>
  <c r="AC935" i="1"/>
  <c r="AG1007" i="1"/>
  <c r="AA1309" i="1"/>
  <c r="AA2559" i="1"/>
  <c r="AD2343" i="1"/>
  <c r="BJ199" i="1"/>
  <c r="AG436" i="1"/>
  <c r="Z2608" i="1"/>
  <c r="AB574" i="1"/>
  <c r="Z2143" i="1"/>
  <c r="BJ2286" i="1"/>
  <c r="BJ2890" i="1"/>
  <c r="Z1184" i="1"/>
  <c r="Z2295" i="1"/>
  <c r="AB463" i="1"/>
  <c r="BJ1818" i="1"/>
  <c r="AB2778" i="1"/>
  <c r="BJ2960" i="1"/>
  <c r="AG1244" i="1"/>
  <c r="AG959" i="1"/>
  <c r="BJ3130" i="1"/>
  <c r="AB1956" i="1"/>
  <c r="Z3024" i="1"/>
  <c r="AD2591" i="1"/>
  <c r="AA2294" i="1"/>
  <c r="AA1277" i="1"/>
  <c r="AA2886" i="1"/>
  <c r="AB1615" i="1"/>
  <c r="BJ1959" i="1"/>
  <c r="AC118" i="1"/>
  <c r="AD1498" i="1"/>
  <c r="AD2911" i="1"/>
  <c r="AB35" i="1"/>
  <c r="AG904" i="1"/>
  <c r="AC1490" i="1"/>
  <c r="AA2349" i="1"/>
  <c r="AD32" i="1"/>
  <c r="AA812" i="1"/>
  <c r="AD572" i="1"/>
  <c r="AB2327" i="1"/>
  <c r="AD358" i="1"/>
  <c r="AD705" i="1"/>
  <c r="AC1460" i="1"/>
  <c r="AD3011" i="1"/>
  <c r="AA133" i="1"/>
  <c r="BJ1571" i="1"/>
  <c r="BJ903" i="1"/>
  <c r="AG1133" i="1"/>
  <c r="AD2389" i="1"/>
  <c r="BJ2507" i="1"/>
  <c r="AB2389" i="1"/>
  <c r="BJ2615" i="1"/>
  <c r="AG689" i="1"/>
  <c r="AB2633" i="1"/>
  <c r="AA3144" i="1"/>
  <c r="AD788" i="1"/>
  <c r="AB2370" i="1"/>
  <c r="AC2795" i="1"/>
  <c r="AC2592" i="1"/>
  <c r="AA2566" i="1"/>
  <c r="AG2942" i="1"/>
  <c r="AG1587" i="1"/>
  <c r="Z2429" i="1"/>
  <c r="AD162" i="1"/>
  <c r="BJ1011" i="1"/>
  <c r="AC108" i="1"/>
  <c r="AC1532" i="1"/>
  <c r="AD1434" i="1"/>
  <c r="AB357" i="1"/>
  <c r="AG136" i="1"/>
  <c r="BJ2125" i="1"/>
  <c r="Z1086" i="1"/>
  <c r="AG2991" i="1"/>
  <c r="AB2360" i="1"/>
  <c r="BJ1495" i="1"/>
  <c r="AB1833" i="1"/>
  <c r="AA2552" i="1"/>
  <c r="AA2092" i="1"/>
  <c r="AG439" i="1"/>
  <c r="AA2393" i="1"/>
  <c r="BJ3151" i="1"/>
  <c r="AA2937" i="1"/>
  <c r="AB1083" i="1"/>
  <c r="AC741" i="1"/>
  <c r="AC497" i="1"/>
  <c r="AG2672" i="1"/>
  <c r="AG1141" i="1"/>
  <c r="Z200" i="1"/>
  <c r="Z2020" i="1"/>
  <c r="Z3115" i="1"/>
  <c r="AG832" i="1"/>
  <c r="BJ2177" i="1"/>
  <c r="AD1906" i="1"/>
  <c r="AC1163" i="1"/>
  <c r="BJ1877" i="1"/>
  <c r="AG153" i="1"/>
  <c r="AC2985" i="1"/>
  <c r="AG25" i="1"/>
  <c r="AD714" i="1"/>
  <c r="BJ1239" i="1"/>
  <c r="AB250" i="1"/>
  <c r="AC3037" i="1"/>
  <c r="AC689" i="1"/>
  <c r="AG2560" i="1"/>
  <c r="AC2641" i="1"/>
  <c r="BJ70" i="1"/>
  <c r="AB1370" i="1"/>
  <c r="BJ2172" i="1"/>
  <c r="AA802" i="1"/>
  <c r="AC854" i="1"/>
  <c r="Z2115" i="1"/>
  <c r="BJ329" i="1"/>
  <c r="BJ723" i="1"/>
  <c r="AB2478" i="1"/>
  <c r="AG1005" i="1"/>
  <c r="AC1772" i="1"/>
  <c r="AA2867" i="1"/>
  <c r="BJ2415" i="1"/>
  <c r="AG2619" i="1"/>
  <c r="BJ1529" i="1"/>
  <c r="AG1388" i="1"/>
  <c r="AG1782" i="1"/>
  <c r="AA281" i="1"/>
  <c r="AA434" i="1"/>
  <c r="AB2082" i="1"/>
  <c r="AG2189" i="1"/>
  <c r="AA514" i="1"/>
  <c r="AA2465" i="1"/>
  <c r="AB961" i="1"/>
  <c r="AC361" i="1"/>
  <c r="AD415" i="1"/>
  <c r="Z1176" i="1"/>
  <c r="Z546" i="1"/>
  <c r="AC1278" i="1"/>
  <c r="AB197" i="1"/>
  <c r="Z2424" i="1"/>
  <c r="AB809" i="1"/>
  <c r="BJ576" i="1"/>
  <c r="AC1839" i="1"/>
  <c r="AB1503" i="1"/>
  <c r="AG2719" i="1"/>
  <c r="BJ1264" i="1"/>
  <c r="AC3143" i="1"/>
  <c r="AC148" i="1"/>
  <c r="BJ1227" i="1"/>
  <c r="AD3017" i="1"/>
  <c r="AC713" i="1"/>
  <c r="AA1725" i="1"/>
  <c r="AA2501" i="1"/>
  <c r="Z850" i="1"/>
  <c r="AA88" i="1"/>
  <c r="AC28" i="1"/>
  <c r="AG647" i="1"/>
  <c r="AG738" i="1"/>
  <c r="Z2916" i="1"/>
  <c r="AG921" i="1"/>
  <c r="Z1749" i="1"/>
  <c r="AD157" i="1"/>
  <c r="AB2486" i="1"/>
  <c r="BJ2858" i="1"/>
  <c r="AA2661" i="1"/>
  <c r="AC538" i="1"/>
  <c r="BJ641" i="1"/>
  <c r="AC685" i="1"/>
  <c r="AG771" i="1"/>
  <c r="AA1418" i="1"/>
  <c r="Z118" i="1"/>
  <c r="AD1201" i="1"/>
  <c r="AD1204" i="1"/>
  <c r="BJ2600" i="1"/>
  <c r="Z235" i="1"/>
  <c r="BJ1468" i="1"/>
  <c r="AD1191" i="1"/>
  <c r="AA1035" i="1"/>
  <c r="AC1130" i="1"/>
  <c r="AA2536" i="1"/>
  <c r="Z1374" i="1"/>
  <c r="AA2711" i="1"/>
  <c r="AC1097" i="1"/>
  <c r="AD2195" i="1"/>
  <c r="AA946" i="1"/>
  <c r="AG910" i="1"/>
  <c r="AA1677" i="1"/>
  <c r="AG1847" i="1"/>
  <c r="AD178" i="1"/>
  <c r="AC720" i="1"/>
  <c r="AC688" i="1"/>
  <c r="AC551" i="1"/>
  <c r="BJ401" i="1"/>
  <c r="AG1524" i="1"/>
  <c r="AA1000" i="1"/>
  <c r="AB309" i="1"/>
  <c r="AA2972" i="1"/>
  <c r="AC2727" i="1"/>
  <c r="AG3053" i="1"/>
  <c r="AD1714" i="1"/>
  <c r="BJ1992" i="1"/>
  <c r="AD132" i="1"/>
  <c r="AD2862" i="1"/>
  <c r="BJ1532" i="1"/>
  <c r="AA2995" i="1"/>
  <c r="BJ150" i="1"/>
  <c r="AD2704" i="1"/>
  <c r="AC2976" i="1"/>
  <c r="BJ2783" i="1"/>
  <c r="Z21" i="1"/>
  <c r="AB1635" i="1"/>
  <c r="BJ2657" i="1"/>
  <c r="BJ2672" i="1"/>
  <c r="AG1965" i="1"/>
  <c r="BJ1356" i="1"/>
  <c r="AB2355" i="1"/>
  <c r="AB126" i="1"/>
  <c r="AA1614" i="1"/>
  <c r="AA1331" i="1"/>
  <c r="Z429" i="1"/>
  <c r="AB2000" i="1"/>
  <c r="Z2378" i="1"/>
  <c r="AD2227" i="1"/>
  <c r="AC1649" i="1"/>
  <c r="AA2304" i="1"/>
  <c r="AG113" i="1"/>
  <c r="Z1711" i="1"/>
  <c r="AC2956" i="1"/>
  <c r="AB2027" i="1"/>
  <c r="AC533" i="1"/>
  <c r="AB743" i="1"/>
  <c r="AB2358" i="1"/>
  <c r="AC3036" i="1"/>
  <c r="AA1663" i="1"/>
  <c r="AB1105" i="1"/>
  <c r="AC194" i="1"/>
  <c r="AG1615" i="1"/>
  <c r="AC1443" i="1"/>
  <c r="AG598" i="1"/>
  <c r="Z2390" i="1"/>
  <c r="Z183" i="1"/>
  <c r="AA375" i="1"/>
  <c r="AG235" i="1"/>
  <c r="AG2547" i="1"/>
  <c r="AG445" i="1"/>
  <c r="Z1452" i="1"/>
  <c r="AC1765" i="1"/>
  <c r="Z825" i="1"/>
  <c r="AG247" i="1"/>
  <c r="AA1016" i="1"/>
  <c r="AA1452" i="1"/>
  <c r="AD2300" i="1"/>
  <c r="AG1526" i="1"/>
  <c r="AC1072" i="1"/>
  <c r="BJ566" i="1"/>
  <c r="AA582" i="1"/>
  <c r="Z304" i="1"/>
  <c r="BJ230" i="1"/>
  <c r="AG1369" i="1"/>
  <c r="AC136" i="1"/>
  <c r="AD2356" i="1"/>
  <c r="BJ2255" i="1"/>
  <c r="AC1927" i="1"/>
  <c r="AB557" i="1"/>
  <c r="AD1507" i="1"/>
  <c r="AB2303" i="1"/>
  <c r="BJ1211" i="1"/>
  <c r="BJ541" i="1"/>
  <c r="AG3116" i="1"/>
  <c r="AG179" i="1"/>
  <c r="Z2165" i="1"/>
  <c r="AC714" i="1"/>
  <c r="Z2428" i="1"/>
  <c r="AC3081" i="1"/>
  <c r="AB1897" i="1"/>
  <c r="Z2680" i="1"/>
  <c r="AB2331" i="1"/>
  <c r="AD1896" i="1"/>
  <c r="AG1226" i="1"/>
  <c r="AD2017" i="1"/>
  <c r="BJ1008" i="1"/>
  <c r="AC1495" i="1"/>
  <c r="AB433" i="1"/>
  <c r="AA492" i="1"/>
  <c r="AD1135" i="1"/>
  <c r="AA1254" i="1"/>
  <c r="AA1983" i="1"/>
  <c r="AC2525" i="1"/>
  <c r="AC772" i="1"/>
  <c r="AC1967" i="1"/>
  <c r="AA380" i="1"/>
  <c r="AG1051" i="1"/>
  <c r="Z585" i="1"/>
  <c r="Z368" i="1"/>
  <c r="BJ1163" i="1"/>
  <c r="AB590" i="1"/>
  <c r="AD975" i="1"/>
  <c r="Z514" i="1"/>
  <c r="AD962" i="1"/>
  <c r="AA2109" i="1"/>
  <c r="AA1086" i="1"/>
  <c r="AC540" i="1"/>
  <c r="AD1600" i="1"/>
  <c r="AA1533" i="1"/>
  <c r="Z1434" i="1"/>
  <c r="AA1242" i="1"/>
  <c r="AA2280" i="1"/>
  <c r="AC105" i="1"/>
  <c r="AD1838" i="1"/>
  <c r="AC1847" i="1"/>
  <c r="AA3033" i="1"/>
  <c r="BJ2252" i="1"/>
  <c r="AA1778" i="1"/>
  <c r="AC580" i="1"/>
  <c r="BJ1278" i="1"/>
  <c r="AC337" i="1"/>
  <c r="AB658" i="1"/>
  <c r="AD1812" i="1"/>
  <c r="AA2759" i="1"/>
  <c r="AG1224" i="1"/>
  <c r="Z2557" i="1"/>
  <c r="AD2870" i="1"/>
  <c r="AD1117" i="1"/>
  <c r="Z1161" i="1"/>
  <c r="AC682" i="1"/>
  <c r="AG878" i="1"/>
  <c r="BJ416" i="1"/>
  <c r="AG749" i="1"/>
  <c r="AD485" i="1"/>
  <c r="BJ2026" i="1"/>
  <c r="AA2682" i="1"/>
  <c r="BJ2129" i="1"/>
  <c r="AD2899" i="1"/>
  <c r="BJ1024" i="1"/>
  <c r="Z2625" i="1"/>
  <c r="Z2847" i="1"/>
  <c r="AG463" i="1"/>
  <c r="AA524" i="1"/>
  <c r="AG1823" i="1"/>
  <c r="AG455" i="1"/>
  <c r="BJ437" i="1"/>
  <c r="AB1638" i="1"/>
  <c r="AC304" i="1"/>
  <c r="AG2525" i="1"/>
  <c r="Z2913" i="1"/>
  <c r="AG256" i="1"/>
  <c r="AB2161" i="1"/>
  <c r="AD2881" i="1"/>
  <c r="Z2033" i="1"/>
  <c r="AB2586" i="1"/>
  <c r="AB1405" i="1"/>
  <c r="AD1209" i="1"/>
  <c r="AD139" i="1"/>
  <c r="AB2790" i="1"/>
  <c r="BJ2470" i="1"/>
  <c r="BJ863" i="1"/>
  <c r="Z1289" i="1"/>
  <c r="Z1464" i="1"/>
  <c r="AG1715" i="1"/>
  <c r="AD375" i="1"/>
  <c r="AA1352" i="1"/>
  <c r="AA2483" i="1"/>
  <c r="AG2448" i="1"/>
  <c r="AC2026" i="1"/>
  <c r="AD674" i="1"/>
  <c r="AD2509" i="1"/>
  <c r="AA960" i="1"/>
  <c r="AD944" i="1"/>
  <c r="BJ1360" i="1"/>
  <c r="AC2885" i="1"/>
  <c r="AB2700" i="1"/>
  <c r="AB2499" i="1"/>
  <c r="AG2617" i="1"/>
  <c r="AB558" i="1"/>
  <c r="Z13" i="1"/>
  <c r="AA1094" i="1"/>
  <c r="AG2514" i="1"/>
  <c r="Z1627" i="1"/>
  <c r="AA577" i="1"/>
  <c r="AA1135" i="1"/>
  <c r="AD2066" i="1"/>
  <c r="BJ1414" i="1"/>
  <c r="Z820" i="1"/>
  <c r="AB1744" i="1"/>
  <c r="AA313" i="1"/>
  <c r="AG1451" i="1"/>
  <c r="BJ2452" i="1"/>
  <c r="Z1686" i="1"/>
  <c r="AB2548" i="1"/>
  <c r="AG3137" i="1"/>
  <c r="AC2249" i="1"/>
  <c r="Z1788" i="1"/>
  <c r="AB561" i="1"/>
  <c r="AD1138" i="1"/>
  <c r="AA1860" i="1"/>
  <c r="BJ2843" i="1"/>
  <c r="AB2493" i="1"/>
  <c r="BJ615" i="1"/>
  <c r="AB1651" i="1"/>
  <c r="AD896" i="1"/>
  <c r="AG2603" i="1"/>
  <c r="AA2338" i="1"/>
  <c r="Z1154" i="1"/>
  <c r="AG1277" i="1"/>
  <c r="AA1222" i="1"/>
  <c r="BJ1061" i="1"/>
  <c r="AC1550" i="1"/>
  <c r="AG840" i="1"/>
  <c r="AC624" i="1"/>
  <c r="Z2222" i="1"/>
  <c r="Z2102" i="1"/>
  <c r="AB3085" i="1"/>
  <c r="Z2324" i="1"/>
  <c r="AC983" i="1"/>
  <c r="Z1718" i="1"/>
  <c r="AB1487" i="1"/>
  <c r="AA2975" i="1"/>
  <c r="AG909" i="1"/>
  <c r="AG1471" i="1"/>
  <c r="AC3123" i="1"/>
  <c r="AC110" i="1"/>
  <c r="Z895" i="1"/>
  <c r="Z2883" i="1"/>
  <c r="Z1368" i="1"/>
  <c r="AD229" i="1"/>
  <c r="Z2684" i="1"/>
  <c r="AB2621" i="1"/>
  <c r="AA1091" i="1"/>
  <c r="AA1591" i="1"/>
  <c r="AB491" i="1"/>
  <c r="Z527" i="1"/>
  <c r="AB1749" i="1"/>
  <c r="AC2299" i="1"/>
  <c r="BJ3102" i="1"/>
  <c r="AC229" i="1"/>
  <c r="AG2311" i="1"/>
  <c r="BJ2411" i="1"/>
  <c r="AG2755" i="1"/>
  <c r="AA1302" i="1"/>
  <c r="AC2070" i="1"/>
  <c r="AD1532" i="1"/>
  <c r="AA1857" i="1"/>
  <c r="AD1349" i="1"/>
  <c r="BJ1624" i="1"/>
  <c r="Z1095" i="1"/>
  <c r="AG1413" i="1"/>
  <c r="AD2716" i="1"/>
  <c r="AC529" i="1"/>
  <c r="BJ2264" i="1"/>
  <c r="AB3079" i="1"/>
  <c r="AC2983" i="1"/>
  <c r="AD1120" i="1"/>
  <c r="AG1366" i="1"/>
  <c r="AB3138" i="1"/>
  <c r="AC1140" i="1"/>
  <c r="AA99" i="1"/>
  <c r="AD343" i="1"/>
  <c r="AC2645" i="1"/>
  <c r="AA518" i="1"/>
  <c r="AB2350" i="1"/>
  <c r="AG117" i="1"/>
  <c r="AB1326" i="1"/>
  <c r="BJ1434" i="1"/>
  <c r="AA2400" i="1"/>
  <c r="AD2923" i="1"/>
  <c r="AG755" i="1"/>
  <c r="AG546" i="1"/>
  <c r="AB1123" i="1"/>
  <c r="BJ2331" i="1"/>
  <c r="Z1238" i="1"/>
  <c r="AG1150" i="1"/>
  <c r="Z2340" i="1"/>
  <c r="AG2723" i="1"/>
  <c r="AA2284" i="1"/>
  <c r="AB600" i="1"/>
  <c r="AB2366" i="1"/>
  <c r="AG2297" i="1"/>
  <c r="AC1990" i="1"/>
  <c r="BJ2088" i="1"/>
  <c r="AA2789" i="1"/>
  <c r="AC1836" i="1"/>
  <c r="AB2254" i="1"/>
  <c r="AB2077" i="1"/>
  <c r="AG1932" i="1"/>
  <c r="AD243" i="1"/>
  <c r="AC3014" i="1"/>
  <c r="AB981" i="1"/>
  <c r="Z2045" i="1"/>
  <c r="AC2856" i="1"/>
  <c r="AD2285" i="1"/>
  <c r="AC1246" i="1"/>
  <c r="AC1692" i="1"/>
  <c r="AC283" i="1"/>
  <c r="AC2052" i="1"/>
  <c r="BJ2959" i="1"/>
  <c r="AB2639" i="1"/>
  <c r="AD2815" i="1"/>
  <c r="BJ2781" i="1"/>
  <c r="AA470" i="1"/>
  <c r="AG2395" i="1"/>
  <c r="AG345" i="1"/>
  <c r="AG318" i="1"/>
  <c r="Z2072" i="1"/>
  <c r="BJ2466" i="1"/>
  <c r="AD2519" i="1"/>
  <c r="AA2277" i="1"/>
  <c r="Z2789" i="1"/>
  <c r="Z332" i="1"/>
  <c r="BJ874" i="1"/>
  <c r="AB1232" i="1"/>
  <c r="AD2128" i="1"/>
  <c r="Z1311" i="1"/>
  <c r="AB2881" i="1"/>
  <c r="AD1258" i="1"/>
  <c r="AG2652" i="1"/>
  <c r="AD1546" i="1"/>
  <c r="AB1548" i="1"/>
  <c r="AC702" i="1"/>
  <c r="AA1061" i="1"/>
  <c r="Z1336" i="1"/>
  <c r="BJ2230" i="1"/>
  <c r="AD1431" i="1"/>
  <c r="BJ3046" i="1"/>
  <c r="BJ2205" i="1"/>
  <c r="BJ1819" i="1"/>
  <c r="Z990" i="1"/>
  <c r="Z1940" i="1"/>
  <c r="AA209" i="1"/>
  <c r="AB2923" i="1"/>
  <c r="AA384" i="1"/>
  <c r="AA2817" i="1"/>
  <c r="Z687" i="1"/>
  <c r="AD2059" i="1"/>
  <c r="AD596" i="1"/>
  <c r="AG244" i="1"/>
  <c r="AC3132" i="1"/>
  <c r="AA1465" i="1"/>
  <c r="AA756" i="1"/>
  <c r="AG2009" i="1"/>
  <c r="Z66" i="1"/>
  <c r="AD1272" i="1"/>
  <c r="AG1068" i="1"/>
  <c r="AG752" i="1"/>
  <c r="Z1190" i="1"/>
  <c r="AB303" i="1"/>
  <c r="AC1794" i="1"/>
  <c r="Z305" i="1"/>
  <c r="AG39" i="1"/>
  <c r="AB347" i="1"/>
  <c r="AD1294" i="1"/>
  <c r="BJ2015" i="1"/>
  <c r="AA645" i="1"/>
  <c r="AD1126" i="1"/>
  <c r="AA811" i="1"/>
  <c r="AA2573" i="1"/>
  <c r="AG3110" i="1"/>
  <c r="Z520" i="1"/>
  <c r="BJ2175" i="1"/>
  <c r="AA1748" i="1"/>
  <c r="Z2616" i="1"/>
  <c r="AC1482" i="1"/>
  <c r="Z841" i="1"/>
  <c r="AD1703" i="1"/>
  <c r="AA1585" i="1"/>
  <c r="AC808" i="1"/>
  <c r="AD588" i="1"/>
  <c r="AB1030" i="1"/>
  <c r="BJ68" i="1"/>
  <c r="BJ1587" i="1"/>
  <c r="AC2337" i="1"/>
  <c r="AD2118" i="1"/>
  <c r="AA2171" i="1"/>
  <c r="AB685" i="1"/>
  <c r="BJ1467" i="1"/>
  <c r="AD185" i="1"/>
  <c r="AB305" i="1"/>
  <c r="AG703" i="1"/>
  <c r="Z2700" i="1"/>
  <c r="BJ2825" i="1"/>
  <c r="AA1082" i="1"/>
  <c r="AA2042" i="1"/>
  <c r="AA1619" i="1"/>
  <c r="AA450" i="1"/>
  <c r="AA221" i="1"/>
  <c r="AG1973" i="1"/>
  <c r="AC2841" i="1"/>
  <c r="AC2341" i="1"/>
  <c r="AB30" i="1"/>
  <c r="AD159" i="1"/>
  <c r="Z2158" i="1"/>
  <c r="AB2037" i="1"/>
  <c r="AA1071" i="1"/>
  <c r="AG1431" i="1"/>
  <c r="AG2255" i="1"/>
  <c r="AA2949" i="1"/>
  <c r="AA196" i="1"/>
  <c r="Z2367" i="1"/>
  <c r="AA3040" i="1"/>
  <c r="AA2058" i="1"/>
  <c r="Z2409" i="1"/>
  <c r="AG257" i="1"/>
  <c r="AB640" i="1"/>
  <c r="Z1236" i="1"/>
  <c r="AC1219" i="1"/>
  <c r="AA1025" i="1"/>
  <c r="AD1561" i="1"/>
  <c r="AA734" i="1"/>
  <c r="Z2458" i="1"/>
  <c r="AA1257" i="1"/>
  <c r="AA1645" i="1"/>
  <c r="Z2927" i="1"/>
  <c r="AC2143" i="1"/>
  <c r="AC429" i="1"/>
  <c r="BJ2154" i="1"/>
  <c r="AB1554" i="1"/>
  <c r="AD2705" i="1"/>
  <c r="AB2868" i="1"/>
  <c r="BJ2120" i="1"/>
  <c r="BJ1845" i="1"/>
  <c r="Z260" i="1"/>
  <c r="AC2553" i="1"/>
  <c r="AA1786" i="1"/>
  <c r="AB1180" i="1"/>
  <c r="BJ55" i="1"/>
  <c r="AG2038" i="1"/>
  <c r="AB1856" i="1"/>
  <c r="AG2738" i="1"/>
  <c r="Z1630" i="1"/>
  <c r="AA2575" i="1"/>
  <c r="Z2005" i="1"/>
  <c r="AD697" i="1"/>
  <c r="AD547" i="1"/>
  <c r="AB1377" i="1"/>
  <c r="AG2780" i="1"/>
  <c r="Z2740" i="1"/>
  <c r="AD1584" i="1"/>
  <c r="AC172" i="1"/>
  <c r="BJ689" i="1"/>
  <c r="AD2918" i="1"/>
  <c r="Z1389" i="1"/>
  <c r="AA2080" i="1"/>
  <c r="AG2173" i="1"/>
  <c r="AD790" i="1"/>
  <c r="AC2496" i="1"/>
  <c r="AC1652" i="1"/>
  <c r="AD1992" i="1"/>
  <c r="AG1634" i="1"/>
  <c r="AG190" i="1"/>
  <c r="Z2066" i="1"/>
  <c r="Z1687" i="1"/>
  <c r="AA332" i="1"/>
  <c r="AG1018" i="1"/>
  <c r="AG2915" i="1"/>
  <c r="BJ2652" i="1"/>
  <c r="BJ1245" i="1"/>
  <c r="BJ865" i="1"/>
  <c r="BJ2772" i="1"/>
  <c r="AB954" i="1"/>
  <c r="BJ1504" i="1"/>
  <c r="AC27" i="1"/>
  <c r="Z1747" i="1"/>
  <c r="AG1623" i="1"/>
  <c r="BJ3121" i="1"/>
  <c r="Z2194" i="1"/>
  <c r="AB1088" i="1"/>
  <c r="BJ3116" i="1"/>
  <c r="BJ441" i="1"/>
  <c r="AD2246" i="1"/>
  <c r="BJ273" i="1"/>
  <c r="AG1429" i="1"/>
  <c r="AG1927" i="1"/>
  <c r="Z330" i="1"/>
  <c r="BJ2603" i="1"/>
  <c r="AC2310" i="1"/>
  <c r="BJ1928" i="1"/>
  <c r="Z975" i="1"/>
  <c r="BJ1455" i="1"/>
  <c r="AB2232" i="1"/>
  <c r="AA2763" i="1"/>
  <c r="AA1532" i="1"/>
  <c r="AG3070" i="1"/>
  <c r="AG1080" i="1"/>
  <c r="AC2419" i="1"/>
  <c r="AB1020" i="1"/>
  <c r="AD1631" i="1"/>
  <c r="BJ879" i="1"/>
  <c r="BJ1822" i="1"/>
  <c r="BJ3068" i="1"/>
  <c r="BJ910" i="1"/>
  <c r="AG652" i="1"/>
  <c r="Z2862" i="1"/>
  <c r="AD2922" i="1"/>
  <c r="AC2404" i="1"/>
  <c r="Z1862" i="1"/>
  <c r="AD930" i="1"/>
  <c r="AA395" i="1"/>
  <c r="AC2182" i="1"/>
  <c r="BJ1839" i="1"/>
  <c r="AA1988" i="1"/>
  <c r="AA896" i="1"/>
  <c r="AB2154" i="1"/>
  <c r="AB1418" i="1"/>
  <c r="AG1779" i="1"/>
  <c r="AD89" i="1"/>
  <c r="AB2651" i="1"/>
  <c r="AA1288" i="1"/>
  <c r="BJ2384" i="1"/>
  <c r="AA3073" i="1"/>
  <c r="AG2751" i="1"/>
  <c r="AD2539" i="1"/>
  <c r="AB3075" i="1"/>
  <c r="AD2289" i="1"/>
  <c r="BJ2479" i="1"/>
  <c r="AB89" i="1"/>
  <c r="AC569" i="1"/>
  <c r="AG1394" i="1"/>
  <c r="AD1889" i="1"/>
  <c r="AC161" i="1"/>
  <c r="Z2568" i="1"/>
  <c r="AD669" i="1"/>
  <c r="AB2411" i="1"/>
  <c r="AB2038" i="1"/>
  <c r="AC572" i="1"/>
  <c r="AB1119" i="1"/>
  <c r="AG2343" i="1"/>
  <c r="AA1866" i="1"/>
  <c r="AD1509" i="1"/>
  <c r="Z3119" i="1"/>
  <c r="AD550" i="1"/>
  <c r="AC431" i="1"/>
  <c r="Z490" i="1"/>
  <c r="AG766" i="1"/>
  <c r="AD101" i="1"/>
  <c r="AB1599" i="1"/>
  <c r="AG47" i="1"/>
  <c r="AB167" i="1"/>
  <c r="AD845" i="1"/>
  <c r="AA406" i="1"/>
  <c r="BJ407" i="1"/>
  <c r="AC1211" i="1"/>
  <c r="AC2624" i="1"/>
  <c r="AG1427" i="1"/>
  <c r="AG1057" i="1"/>
  <c r="AC2934" i="1"/>
  <c r="AB2316" i="1"/>
  <c r="AB2174" i="1"/>
  <c r="AG2036" i="1"/>
  <c r="AB306" i="1"/>
  <c r="AG1708" i="1"/>
  <c r="AC3110" i="1"/>
  <c r="Z857" i="1"/>
  <c r="AA3038" i="1"/>
  <c r="AC215" i="1"/>
  <c r="AD54" i="1"/>
  <c r="AD875" i="1"/>
  <c r="AB3097" i="1"/>
  <c r="AD883" i="1"/>
  <c r="BJ645" i="1"/>
  <c r="AB2616" i="1"/>
  <c r="AA1153" i="1"/>
  <c r="AC1099" i="1"/>
  <c r="AG3099" i="1"/>
  <c r="BJ637" i="1"/>
  <c r="AA729" i="1"/>
  <c r="Z15" i="1"/>
  <c r="AG1161" i="1"/>
  <c r="AA601" i="1"/>
  <c r="AG2003" i="1"/>
  <c r="AA1529" i="1"/>
  <c r="AC1595" i="1"/>
  <c r="AC1612" i="1"/>
  <c r="BJ1584" i="1"/>
  <c r="AA2813" i="1"/>
  <c r="Z784" i="1"/>
  <c r="AG416" i="1"/>
  <c r="AA223" i="1"/>
  <c r="Z225" i="1"/>
  <c r="AD1643" i="1"/>
  <c r="Z158" i="1"/>
  <c r="BJ2313" i="1"/>
  <c r="AG2528" i="1"/>
  <c r="AD1190" i="1"/>
  <c r="BJ1228" i="1"/>
  <c r="AA2039" i="1"/>
  <c r="Z575" i="1"/>
  <c r="AA1259" i="1"/>
  <c r="Z960" i="1"/>
  <c r="AC698" i="1"/>
  <c r="AC989" i="1"/>
  <c r="Z2716" i="1"/>
  <c r="AB253" i="1"/>
  <c r="BJ1494" i="1"/>
  <c r="Z1112" i="1"/>
  <c r="BJ3131" i="1"/>
  <c r="AB882" i="1"/>
  <c r="Z1037" i="1"/>
  <c r="AA2001" i="1"/>
  <c r="AD563" i="1"/>
  <c r="AG623" i="1"/>
  <c r="AB2579" i="1"/>
  <c r="AB690" i="1"/>
  <c r="Z1507" i="1"/>
  <c r="AD1463" i="1"/>
  <c r="Z366" i="1"/>
  <c r="AB3109" i="1"/>
  <c r="AD196" i="1"/>
  <c r="AB1816" i="1"/>
  <c r="AB787" i="1"/>
  <c r="AA1917" i="1"/>
  <c r="AA1032" i="1"/>
  <c r="Z461" i="1"/>
  <c r="AA636" i="1"/>
  <c r="AA2562" i="1"/>
  <c r="Z1665" i="1"/>
  <c r="AG2550" i="1"/>
  <c r="BJ2867" i="1"/>
  <c r="AG621" i="1"/>
  <c r="AA319" i="1"/>
  <c r="AD2936" i="1"/>
  <c r="AD57" i="1"/>
  <c r="AG2352" i="1"/>
  <c r="AD1772" i="1"/>
  <c r="BJ2544" i="1"/>
  <c r="AG1686" i="1"/>
  <c r="AC728" i="1"/>
  <c r="AG2546" i="1"/>
  <c r="AC339" i="1"/>
  <c r="AB773" i="1"/>
  <c r="Z1216" i="1"/>
  <c r="AB2414" i="1"/>
  <c r="AA1545" i="1"/>
  <c r="AA356" i="1"/>
  <c r="AA921" i="1"/>
  <c r="AC1039" i="1"/>
  <c r="AG1569" i="1"/>
  <c r="Z2235" i="1"/>
  <c r="AD2321" i="1"/>
  <c r="AD1146" i="1"/>
  <c r="BJ2848" i="1"/>
  <c r="AG542" i="1"/>
  <c r="BJ1539" i="1"/>
  <c r="AC2696" i="1"/>
  <c r="BJ1547" i="1"/>
  <c r="AA347" i="1"/>
  <c r="AA2503" i="1"/>
  <c r="AA2989" i="1"/>
  <c r="AC2231" i="1"/>
  <c r="AD1206" i="1"/>
  <c r="Z1704" i="1"/>
  <c r="AD2530" i="1"/>
  <c r="AG2345" i="1"/>
  <c r="AG857" i="1"/>
  <c r="AG2819" i="1"/>
  <c r="AD500" i="1"/>
  <c r="AG1120" i="1"/>
  <c r="Z1560" i="1"/>
  <c r="BJ1334" i="1"/>
  <c r="Z604" i="1"/>
  <c r="AA2402" i="1"/>
  <c r="Z1846" i="1"/>
  <c r="Z483" i="1"/>
  <c r="AD79" i="1"/>
  <c r="Z904" i="1"/>
  <c r="AA3109" i="1"/>
  <c r="AG1846" i="1"/>
  <c r="AA300" i="1"/>
  <c r="Z2943" i="1"/>
  <c r="BJ1736" i="1"/>
  <c r="AG1785" i="1"/>
  <c r="AC460" i="1"/>
  <c r="AC2324" i="1"/>
  <c r="AC892" i="1"/>
  <c r="AC2271" i="1"/>
  <c r="BJ2310" i="1"/>
  <c r="AD1153" i="1"/>
  <c r="AA229" i="1"/>
  <c r="AD1550" i="1"/>
  <c r="BJ906" i="1"/>
  <c r="Z2857" i="1"/>
  <c r="AA2283" i="1"/>
  <c r="AC736" i="1"/>
  <c r="AA2268" i="1"/>
  <c r="AG521" i="1"/>
  <c r="Z2636" i="1"/>
  <c r="AB1892" i="1"/>
  <c r="AA883" i="1"/>
  <c r="AA24" i="1"/>
  <c r="AD518" i="1"/>
  <c r="Z810" i="1"/>
  <c r="AD1993" i="1"/>
  <c r="AG2551" i="1"/>
  <c r="Z35" i="1"/>
  <c r="AA2350" i="1"/>
  <c r="AD802" i="1"/>
  <c r="AA449" i="1"/>
  <c r="Z2923" i="1"/>
  <c r="AC1695" i="1"/>
  <c r="AB145" i="1"/>
  <c r="BJ2695" i="1"/>
  <c r="Z2182" i="1"/>
  <c r="AD401" i="1"/>
  <c r="AG956" i="1"/>
  <c r="AG922" i="1"/>
  <c r="Z3052" i="1"/>
  <c r="AC920" i="1"/>
  <c r="AG1305" i="1"/>
  <c r="AD2854" i="1"/>
  <c r="AC415" i="1"/>
  <c r="AC1025" i="1"/>
  <c r="AA745" i="1"/>
  <c r="AD796" i="1"/>
  <c r="AG2185" i="1"/>
  <c r="AD2680" i="1"/>
  <c r="AB1066" i="1"/>
  <c r="BJ763" i="1"/>
  <c r="AC1737" i="1"/>
  <c r="AB2234" i="1"/>
  <c r="BJ845" i="1"/>
  <c r="AC1172" i="1"/>
  <c r="AB1570" i="1"/>
  <c r="AB2744" i="1"/>
  <c r="AB2748" i="1"/>
  <c r="AA2920" i="1"/>
  <c r="Z897" i="1"/>
  <c r="AC1582" i="1"/>
  <c r="AA1365" i="1"/>
  <c r="AG1508" i="1"/>
  <c r="AA943" i="1"/>
  <c r="AD3134" i="1"/>
  <c r="AG3120" i="1"/>
  <c r="Z557" i="1"/>
  <c r="Z2303" i="1"/>
  <c r="BJ1691" i="1"/>
  <c r="BJ2817" i="1"/>
  <c r="AC921" i="1"/>
  <c r="AB354" i="1"/>
  <c r="Z2396" i="1"/>
  <c r="AD86" i="1"/>
  <c r="AA1371" i="1"/>
  <c r="AA115" i="1"/>
  <c r="AB938" i="1"/>
  <c r="AB2445" i="1"/>
  <c r="AG2838" i="1"/>
  <c r="Z1519" i="1"/>
  <c r="AC3153" i="1"/>
  <c r="AA1140" i="1"/>
  <c r="AA405" i="1"/>
  <c r="Z609" i="1"/>
  <c r="AG2654" i="1"/>
  <c r="AC190" i="1"/>
  <c r="AB1257" i="1"/>
  <c r="AA1515" i="1"/>
  <c r="AD898" i="1"/>
  <c r="AD2142" i="1"/>
  <c r="AG2591" i="1"/>
  <c r="BJ1469" i="1"/>
  <c r="AC2941" i="1"/>
  <c r="Z3013" i="1"/>
  <c r="AA1456" i="1"/>
  <c r="AA382" i="1"/>
  <c r="AG1371" i="1"/>
  <c r="AC2152" i="1"/>
  <c r="AB426" i="1"/>
  <c r="AD3029" i="1"/>
  <c r="AB286" i="1"/>
  <c r="AD2468" i="1"/>
  <c r="AC599" i="1"/>
  <c r="Z392" i="1"/>
  <c r="AC297" i="1"/>
  <c r="AD2728" i="1"/>
  <c r="AG1729" i="1"/>
  <c r="AA1975" i="1"/>
  <c r="AB472" i="1"/>
  <c r="AC445" i="1"/>
  <c r="BJ2445" i="1"/>
  <c r="AC1996" i="1"/>
  <c r="BJ1601" i="1"/>
  <c r="AD1645" i="1"/>
  <c r="AA1750" i="1"/>
  <c r="AG450" i="1"/>
  <c r="AB483" i="1"/>
  <c r="AC1221" i="1"/>
  <c r="BJ1424" i="1"/>
  <c r="AC1257" i="1"/>
  <c r="BJ1139" i="1"/>
  <c r="AG2715" i="1"/>
  <c r="AD800" i="1"/>
  <c r="AB3081" i="1"/>
  <c r="BJ608" i="1"/>
  <c r="AB481" i="1"/>
  <c r="AA207" i="1"/>
  <c r="AC3076" i="1"/>
  <c r="AB282" i="1"/>
  <c r="BJ1058" i="1"/>
  <c r="AG792" i="1"/>
  <c r="AA412" i="1"/>
  <c r="BJ2928" i="1"/>
  <c r="AB1406" i="1"/>
  <c r="AG3046" i="1"/>
  <c r="BJ313" i="1"/>
  <c r="AA2751" i="1"/>
  <c r="AA2788" i="1"/>
  <c r="AD592" i="1"/>
  <c r="Z811" i="1"/>
  <c r="AA1176" i="1"/>
  <c r="Z125" i="1"/>
  <c r="AG2444" i="1"/>
  <c r="BJ1465" i="1"/>
  <c r="AC366" i="1"/>
  <c r="AG972" i="1"/>
  <c r="BJ2579" i="1"/>
  <c r="AB1285" i="1"/>
  <c r="AC242" i="1"/>
  <c r="AA2052" i="1"/>
  <c r="AC744" i="1"/>
  <c r="AB2926" i="1"/>
  <c r="BJ2435" i="1"/>
  <c r="AC2099" i="1"/>
  <c r="BJ1776" i="1"/>
  <c r="AD2352" i="1"/>
  <c r="AG2359" i="1"/>
  <c r="AG1820" i="1"/>
  <c r="AC1642" i="1"/>
  <c r="AA273" i="1"/>
  <c r="AC774" i="1"/>
  <c r="Z394" i="1"/>
  <c r="AD3042" i="1"/>
  <c r="Z1410" i="1"/>
  <c r="AA1289" i="1"/>
  <c r="BJ720" i="1"/>
  <c r="AG597" i="1"/>
  <c r="AG1557" i="1"/>
  <c r="AB338" i="1"/>
  <c r="AD1878" i="1"/>
  <c r="AB1032" i="1"/>
  <c r="AG758" i="1"/>
  <c r="AG3072" i="1"/>
  <c r="AA2622" i="1"/>
  <c r="AD2832" i="1"/>
  <c r="AA2101" i="1"/>
  <c r="AB2629" i="1"/>
  <c r="Z2497" i="1"/>
  <c r="AB1483" i="1"/>
  <c r="AG183" i="1"/>
  <c r="AA1690" i="1"/>
  <c r="AC377" i="1"/>
  <c r="AA2286" i="1"/>
  <c r="AD700" i="1"/>
  <c r="Z2773" i="1"/>
  <c r="AB587" i="1"/>
  <c r="AD1415" i="1"/>
  <c r="BJ544" i="1"/>
  <c r="AG492" i="1"/>
  <c r="AD1343" i="1"/>
  <c r="AD3069" i="1"/>
  <c r="Z2606" i="1"/>
  <c r="Z1322" i="1"/>
  <c r="AC107" i="1"/>
  <c r="AG333" i="1"/>
  <c r="AD391" i="1"/>
  <c r="AB1283" i="1"/>
  <c r="Z1045" i="1"/>
  <c r="AB1071" i="1"/>
  <c r="AC1048" i="1"/>
  <c r="AD1725" i="1"/>
  <c r="AB1359" i="1"/>
  <c r="AG1772" i="1"/>
  <c r="AC1805" i="1"/>
  <c r="Z1702" i="1"/>
  <c r="AB2580" i="1"/>
  <c r="AD2663" i="1"/>
  <c r="Z11" i="1"/>
  <c r="AC1726" i="1"/>
  <c r="AC654" i="1"/>
  <c r="AD274" i="1"/>
  <c r="AB2767" i="1"/>
  <c r="AC2297" i="1"/>
  <c r="AD211" i="1"/>
  <c r="AC1559" i="1"/>
  <c r="AA2753" i="1"/>
  <c r="AD1292" i="1"/>
  <c r="BJ748" i="1"/>
  <c r="AD810" i="1"/>
  <c r="AG1171" i="1"/>
  <c r="BJ2386" i="1"/>
  <c r="Z967" i="1"/>
  <c r="AD424" i="1"/>
  <c r="AG312" i="1"/>
  <c r="AB332" i="1"/>
  <c r="AC1565" i="1"/>
  <c r="AC370" i="1"/>
  <c r="AB679" i="1"/>
  <c r="Z1886" i="1"/>
  <c r="AG411" i="1"/>
  <c r="AC85" i="1"/>
  <c r="AC1137" i="1"/>
  <c r="Z1990" i="1"/>
  <c r="Z2007" i="1"/>
  <c r="BJ1630" i="1"/>
  <c r="AA2885" i="1"/>
  <c r="AB757" i="1"/>
  <c r="AD2713" i="1"/>
  <c r="AC2714" i="1"/>
  <c r="AA391" i="1"/>
  <c r="AD408" i="1"/>
  <c r="AG788" i="1"/>
  <c r="AG330" i="1"/>
  <c r="AB2280" i="1"/>
  <c r="AC994" i="1"/>
  <c r="BJ660" i="1"/>
  <c r="AB1321" i="1"/>
  <c r="AD2935" i="1"/>
  <c r="BJ2215" i="1"/>
  <c r="AG1974" i="1"/>
  <c r="AC2698" i="1"/>
  <c r="AA2029" i="1"/>
  <c r="AC2365" i="1"/>
  <c r="Z943" i="1"/>
  <c r="Z925" i="1"/>
  <c r="AC1933" i="1"/>
  <c r="AA1247" i="1"/>
  <c r="AD473" i="1"/>
  <c r="AC1337" i="1"/>
  <c r="AB1622" i="1"/>
  <c r="AA370" i="1"/>
  <c r="AG139" i="1"/>
  <c r="AD2306" i="1"/>
  <c r="AC1214" i="1"/>
  <c r="BJ2073" i="1"/>
  <c r="Z2795" i="1"/>
  <c r="AG880" i="1"/>
  <c r="AD2597" i="1"/>
  <c r="AB131" i="1"/>
  <c r="AA501" i="1"/>
  <c r="BJ2343" i="1"/>
  <c r="BJ1044" i="1"/>
  <c r="AC151" i="1"/>
  <c r="BJ2847" i="1"/>
  <c r="AD2360" i="1"/>
  <c r="Z1009" i="1"/>
  <c r="AD2960" i="1"/>
  <c r="AD455" i="1"/>
  <c r="AC2960" i="1"/>
  <c r="AB2040" i="1"/>
  <c r="Z210" i="1"/>
  <c r="AG2442" i="1"/>
  <c r="AA1044" i="1"/>
  <c r="Z2752" i="1"/>
  <c r="AB889" i="1"/>
  <c r="AB1031" i="1"/>
  <c r="BJ1032" i="1"/>
  <c r="AB864" i="1"/>
  <c r="AC2218" i="1"/>
  <c r="AG1955" i="1"/>
  <c r="Z1619" i="1"/>
  <c r="Z341" i="1"/>
  <c r="AB609" i="1"/>
  <c r="BJ1983" i="1"/>
  <c r="AG571" i="1"/>
  <c r="Z553" i="1"/>
  <c r="AA980" i="1"/>
  <c r="AC1984" i="1"/>
  <c r="AA1980" i="1"/>
  <c r="BJ46" i="1"/>
  <c r="AG2447" i="1"/>
  <c r="AC1763" i="1"/>
  <c r="AG845" i="1"/>
  <c r="BJ74" i="1"/>
  <c r="AG2202" i="1"/>
  <c r="AG595" i="1"/>
  <c r="AC1747" i="1"/>
  <c r="AG1190" i="1"/>
  <c r="Z752" i="1"/>
  <c r="BJ383" i="1"/>
  <c r="AD1955" i="1"/>
  <c r="AC591" i="1"/>
  <c r="AA1186" i="1"/>
  <c r="AC984" i="1"/>
  <c r="AD2796" i="1"/>
  <c r="AC2443" i="1"/>
  <c r="AC442" i="1"/>
  <c r="AB1514" i="1"/>
  <c r="AG2905" i="1"/>
  <c r="AD2429" i="1"/>
  <c r="BJ2274" i="1"/>
  <c r="AD382" i="1"/>
  <c r="AC1544" i="1"/>
  <c r="AD2487" i="1"/>
  <c r="AB1739" i="1"/>
  <c r="AC357" i="1"/>
  <c r="Z2447" i="1"/>
  <c r="AB1385" i="1"/>
  <c r="AG669" i="1"/>
  <c r="AD1681" i="1"/>
  <c r="AA786" i="1"/>
  <c r="AB336" i="1"/>
  <c r="AA948" i="1"/>
  <c r="Z2022" i="1"/>
  <c r="AB125" i="1"/>
  <c r="AA333" i="1"/>
  <c r="AC1273" i="1"/>
  <c r="AD394" i="1"/>
  <c r="AB3095" i="1"/>
  <c r="AA2872" i="1"/>
  <c r="AG1918" i="1"/>
  <c r="BJ2560" i="1"/>
  <c r="BJ220" i="1"/>
  <c r="AB790" i="1"/>
  <c r="AC153" i="1"/>
  <c r="AB177" i="1"/>
  <c r="AB651" i="1"/>
  <c r="BJ122" i="1"/>
  <c r="AB1104" i="1"/>
  <c r="AG290" i="1"/>
  <c r="AD2606" i="1"/>
  <c r="AA612" i="1"/>
  <c r="AB1476" i="1"/>
  <c r="BJ2527" i="1"/>
  <c r="Z2433" i="1"/>
  <c r="AD1626" i="1"/>
  <c r="AC1978" i="1"/>
  <c r="AG2194" i="1"/>
  <c r="BJ203" i="1"/>
  <c r="AB2160" i="1"/>
  <c r="AB2273" i="1"/>
  <c r="AG2888" i="1"/>
  <c r="AD1103" i="1"/>
  <c r="AD379" i="1"/>
  <c r="Z1830" i="1"/>
  <c r="AG2485" i="1"/>
  <c r="AD1565" i="1"/>
  <c r="AA1572" i="1"/>
  <c r="AC14" i="1"/>
  <c r="AG2021" i="1"/>
  <c r="AA1109" i="1"/>
  <c r="AD2208" i="1"/>
  <c r="AD951" i="1"/>
  <c r="AD275" i="1"/>
  <c r="BJ2412" i="1"/>
  <c r="AA1858" i="1"/>
  <c r="AC2245" i="1"/>
  <c r="AA351" i="1"/>
  <c r="AC1213" i="1"/>
  <c r="AA2046" i="1"/>
  <c r="Z1228" i="1"/>
  <c r="AB159" i="1"/>
  <c r="AC2268" i="1"/>
  <c r="Z1578" i="1"/>
  <c r="AG2044" i="1"/>
  <c r="Z2202" i="1"/>
  <c r="AA264" i="1"/>
  <c r="BJ2187" i="1"/>
  <c r="AB1738" i="1"/>
  <c r="AB1725" i="1"/>
  <c r="AB2979" i="1"/>
  <c r="AA798" i="1"/>
  <c r="AB2699" i="1"/>
  <c r="AA1472" i="1"/>
  <c r="AD1574" i="1"/>
  <c r="BJ1969" i="1"/>
  <c r="AC2882" i="1"/>
  <c r="AA1089" i="1"/>
  <c r="AD117" i="1"/>
  <c r="AB931" i="1"/>
  <c r="AC2420" i="1"/>
  <c r="Z1789" i="1"/>
  <c r="Z947" i="1"/>
  <c r="Z159" i="1"/>
  <c r="AA1745" i="1"/>
  <c r="AB1420" i="1"/>
  <c r="AC1997" i="1"/>
  <c r="BJ330" i="1"/>
  <c r="AB200" i="1"/>
  <c r="AG2198" i="1"/>
  <c r="Z2492" i="1"/>
  <c r="AA3078" i="1"/>
  <c r="BJ1083" i="1"/>
  <c r="AC1706" i="1"/>
  <c r="BJ2833" i="1"/>
  <c r="AD2036" i="1"/>
  <c r="AC2999" i="1"/>
  <c r="AB2670" i="1"/>
  <c r="AC2016" i="1"/>
  <c r="AB1277" i="1"/>
  <c r="AB1717" i="1"/>
  <c r="AD2856" i="1"/>
  <c r="Z1427" i="1"/>
  <c r="AC2309" i="1"/>
  <c r="BJ1555" i="1"/>
  <c r="AG3001" i="1"/>
  <c r="BJ2750" i="1"/>
  <c r="AG2843" i="1"/>
  <c r="BJ27" i="1"/>
  <c r="AB1998" i="1"/>
  <c r="AD1911" i="1"/>
  <c r="Z691" i="1"/>
  <c r="BJ2546" i="1"/>
  <c r="AD1867" i="1"/>
  <c r="AD60" i="1"/>
  <c r="Z2791" i="1"/>
  <c r="AC327" i="1"/>
  <c r="BJ2573" i="1"/>
  <c r="AB2882" i="1"/>
  <c r="AG1975" i="1"/>
  <c r="Z613" i="1"/>
  <c r="AD2660" i="1"/>
  <c r="AC2391" i="1"/>
  <c r="AD2481" i="1"/>
  <c r="AD2245" i="1"/>
  <c r="AG1922" i="1"/>
  <c r="AG1192" i="1"/>
  <c r="AB3122" i="1"/>
  <c r="AD436" i="1"/>
  <c r="AD1816" i="1"/>
  <c r="AG1180" i="1"/>
  <c r="BJ2045" i="1"/>
  <c r="BJ1431" i="1"/>
  <c r="AB2153" i="1"/>
  <c r="AG433" i="1"/>
  <c r="AG1694" i="1"/>
  <c r="BJ1830" i="1"/>
  <c r="BJ1642" i="1"/>
  <c r="Z197" i="1"/>
  <c r="AA1350" i="1"/>
  <c r="AA2078" i="1"/>
  <c r="AG88" i="1"/>
  <c r="AB2279" i="1"/>
  <c r="BJ236" i="1"/>
  <c r="AD2280" i="1"/>
  <c r="AD1894" i="1"/>
  <c r="AD2014" i="1"/>
  <c r="Z1648" i="1"/>
  <c r="AA1756" i="1"/>
  <c r="BJ374" i="1"/>
  <c r="Z1004" i="1"/>
  <c r="AC990" i="1"/>
  <c r="AB592" i="1"/>
  <c r="AA1973" i="1"/>
  <c r="AG2760" i="1"/>
  <c r="BJ777" i="1"/>
  <c r="AA128" i="1"/>
  <c r="Z3145" i="1"/>
  <c r="AG1600" i="1"/>
  <c r="AA1511" i="1"/>
  <c r="AC84" i="1"/>
  <c r="Z2176" i="1"/>
  <c r="AA827" i="1"/>
  <c r="AD1200" i="1"/>
  <c r="AC1457" i="1"/>
  <c r="AA1339" i="1"/>
  <c r="AC2924" i="1"/>
  <c r="AA1929" i="1"/>
  <c r="Z1853" i="1"/>
  <c r="AB1211" i="1"/>
  <c r="AD395" i="1"/>
  <c r="BJ496" i="1"/>
  <c r="AG628" i="1"/>
  <c r="AG2415" i="1"/>
  <c r="AC2887" i="1"/>
  <c r="BJ656" i="1"/>
  <c r="BJ2250" i="1"/>
  <c r="AA2461" i="1"/>
  <c r="AB377" i="1"/>
  <c r="AC1323" i="1"/>
  <c r="AA609" i="1"/>
  <c r="Z748" i="1"/>
  <c r="AB213" i="1"/>
  <c r="AD1577" i="1"/>
  <c r="AB2665" i="1"/>
  <c r="AB1908" i="1"/>
  <c r="BJ50" i="1"/>
  <c r="AA990" i="1"/>
  <c r="AG3069" i="1"/>
  <c r="Z2306" i="1"/>
  <c r="AC2851" i="1"/>
  <c r="Z2580" i="1"/>
  <c r="Z276" i="1"/>
  <c r="AC571" i="1"/>
  <c r="AA2306" i="1"/>
  <c r="BJ1947" i="1"/>
  <c r="AD2795" i="1"/>
  <c r="AB84" i="1"/>
  <c r="AG194" i="1"/>
  <c r="AB2957" i="1"/>
  <c r="AD1255" i="1"/>
  <c r="AC381" i="1"/>
  <c r="Z584" i="1"/>
  <c r="AA766" i="1"/>
  <c r="AA1198" i="1"/>
  <c r="Z24" i="1"/>
  <c r="AB1398" i="1"/>
  <c r="BJ1972" i="1"/>
  <c r="AA93" i="1"/>
  <c r="BJ188" i="1"/>
  <c r="Z1438" i="1"/>
  <c r="Z1713" i="1"/>
  <c r="AD2492" i="1"/>
  <c r="AD1658" i="1"/>
  <c r="AG2918" i="1"/>
  <c r="AA455" i="1"/>
  <c r="Z2311" i="1"/>
  <c r="Z3040" i="1"/>
  <c r="BJ1272" i="1"/>
  <c r="AB1070" i="1"/>
  <c r="AA3002" i="1"/>
  <c r="AD2269" i="1"/>
  <c r="AB1981" i="1"/>
  <c r="Z2611" i="1"/>
  <c r="AC2506" i="1"/>
  <c r="AD738" i="1"/>
  <c r="Z1094" i="1"/>
  <c r="AC1921" i="1"/>
  <c r="AC2153" i="1"/>
  <c r="AA2360" i="1"/>
  <c r="AC1920" i="1"/>
  <c r="BJ1828" i="1"/>
  <c r="AG2658" i="1"/>
  <c r="AG1514" i="1"/>
  <c r="BJ3000" i="1"/>
  <c r="AG773" i="1"/>
  <c r="BJ895" i="1"/>
  <c r="AD1595" i="1"/>
  <c r="AA3032" i="1"/>
  <c r="AG2115" i="1"/>
  <c r="AC737" i="1"/>
  <c r="AC732" i="1"/>
  <c r="AD1074" i="1"/>
  <c r="AC186" i="1"/>
  <c r="AA1413" i="1"/>
  <c r="AD1354" i="1"/>
  <c r="AG2407" i="1"/>
  <c r="BJ1680" i="1"/>
  <c r="AG2127" i="1"/>
  <c r="AD1874" i="1"/>
  <c r="BJ695" i="1"/>
  <c r="AD718" i="1"/>
  <c r="Z1736" i="1"/>
  <c r="AG1671" i="1"/>
  <c r="AA1471" i="1"/>
  <c r="AC1342" i="1"/>
  <c r="AG2109" i="1"/>
  <c r="BJ181" i="1"/>
  <c r="AG2992" i="1"/>
  <c r="BJ1311" i="1"/>
  <c r="AG2358" i="1"/>
  <c r="AB3037" i="1"/>
  <c r="AD578" i="1"/>
  <c r="AA430" i="1"/>
  <c r="AB1191" i="1"/>
  <c r="AC868" i="1"/>
  <c r="AB1114" i="1"/>
  <c r="AC2246" i="1"/>
  <c r="AG1815" i="1"/>
  <c r="AG2825" i="1"/>
  <c r="AB252" i="1"/>
  <c r="AA1717" i="1"/>
  <c r="BJ3028" i="1"/>
  <c r="AC1821" i="1"/>
  <c r="AA706" i="1"/>
  <c r="BJ186" i="1"/>
  <c r="Z2526" i="1"/>
  <c r="AA2698" i="1"/>
  <c r="AA2706" i="1"/>
  <c r="AB299" i="1"/>
  <c r="AB490" i="1"/>
  <c r="Z1779" i="1"/>
  <c r="AA220" i="1"/>
  <c r="AB2825" i="1"/>
  <c r="AC1055" i="1"/>
  <c r="AB262" i="1"/>
  <c r="AD910" i="1"/>
  <c r="BJ2650" i="1"/>
  <c r="AD3039" i="1"/>
  <c r="AG2728" i="1"/>
  <c r="AA1702" i="1"/>
  <c r="AB455" i="1"/>
  <c r="AC2054" i="1"/>
  <c r="AA929" i="1"/>
  <c r="Z318" i="1"/>
  <c r="BJ333" i="1"/>
  <c r="BJ1243" i="1"/>
  <c r="Z2422" i="1"/>
  <c r="BJ2141" i="1"/>
  <c r="AA2106" i="1"/>
  <c r="BJ1937" i="1"/>
  <c r="AB1134" i="1"/>
  <c r="AC1707" i="1"/>
  <c r="AD566" i="1"/>
  <c r="AD425" i="1"/>
  <c r="AB1906" i="1"/>
  <c r="AC2450" i="1"/>
  <c r="Z994" i="1"/>
  <c r="Z2297" i="1"/>
  <c r="AA646" i="1"/>
  <c r="AG1845" i="1"/>
  <c r="BJ408" i="1"/>
  <c r="BJ2525" i="1"/>
  <c r="Z2848" i="1"/>
  <c r="BJ2019" i="1"/>
  <c r="Z3054" i="1"/>
  <c r="AA1500" i="1"/>
  <c r="AC253" i="1"/>
  <c r="AD2400" i="1"/>
  <c r="AD1557" i="1"/>
  <c r="Z334" i="1"/>
  <c r="AC1486" i="1"/>
  <c r="Z1096" i="1"/>
  <c r="AA2418" i="1"/>
  <c r="BJ1940" i="1"/>
  <c r="AD1026" i="1"/>
  <c r="AG2595" i="1"/>
  <c r="AC233" i="1"/>
  <c r="AG233" i="1"/>
  <c r="AB1984" i="1"/>
  <c r="AC2244" i="1"/>
  <c r="AA663" i="1"/>
  <c r="AB2704" i="1"/>
  <c r="AD1903" i="1"/>
  <c r="Z2259" i="1"/>
  <c r="AD1617" i="1"/>
  <c r="Z817" i="1"/>
  <c r="AB3034" i="1"/>
  <c r="AC2775" i="1"/>
  <c r="AD80" i="1"/>
  <c r="Z170" i="1"/>
  <c r="Z2901" i="1"/>
  <c r="AA1299" i="1"/>
  <c r="AC721" i="1"/>
  <c r="AB42" i="1"/>
  <c r="AD1554" i="1"/>
  <c r="AD1465" i="1"/>
  <c r="AD744" i="1"/>
  <c r="AG2188" i="1"/>
  <c r="AG2090" i="1"/>
  <c r="AA768" i="1"/>
  <c r="Z1396" i="1"/>
  <c r="AB2183" i="1"/>
  <c r="BJ1151" i="1"/>
  <c r="AG838" i="1"/>
  <c r="AA2179" i="1"/>
  <c r="AA877" i="1"/>
  <c r="AD3086" i="1"/>
  <c r="AB2915" i="1"/>
  <c r="AG821" i="1"/>
  <c r="Z906" i="1"/>
  <c r="BJ282" i="1"/>
  <c r="AB1415" i="1"/>
  <c r="AG21" i="1"/>
  <c r="AC2813" i="1"/>
  <c r="AB870" i="1"/>
  <c r="AB2842" i="1"/>
  <c r="AB1893" i="1"/>
  <c r="AD716" i="1"/>
  <c r="AA1282" i="1"/>
  <c r="Z1135" i="1"/>
  <c r="Z3088" i="1"/>
  <c r="BJ2203" i="1"/>
  <c r="Z1503" i="1"/>
  <c r="AC2051" i="1"/>
  <c r="AA2047" i="1"/>
  <c r="AG3145" i="1"/>
  <c r="AB1369" i="1"/>
  <c r="AD1027" i="1"/>
  <c r="BJ1428" i="1"/>
  <c r="Z1683" i="1"/>
  <c r="AC1915" i="1"/>
  <c r="Z2624" i="1"/>
  <c r="Z1172" i="1"/>
  <c r="AC2370" i="1"/>
  <c r="AD2710" i="1"/>
  <c r="AA1450" i="1"/>
  <c r="AC2339" i="1"/>
  <c r="AD2316" i="1"/>
  <c r="AA346" i="1"/>
  <c r="AD2640" i="1"/>
  <c r="AB2762" i="1"/>
  <c r="AD707" i="1"/>
  <c r="AB1773" i="1"/>
  <c r="AA853" i="1"/>
  <c r="AA2502" i="1"/>
  <c r="Z2141" i="1"/>
  <c r="AG14" i="1"/>
  <c r="AA2823" i="1"/>
  <c r="AC3008" i="1"/>
  <c r="AB1745" i="1"/>
  <c r="AB1344" i="1"/>
  <c r="AC1357" i="1"/>
  <c r="AD1351" i="1"/>
  <c r="Z2954" i="1"/>
  <c r="BJ2097" i="1"/>
  <c r="AC106" i="1"/>
  <c r="AA2873" i="1"/>
  <c r="BJ810" i="1"/>
  <c r="BJ159" i="1"/>
  <c r="AC1780" i="1"/>
  <c r="BJ354" i="1"/>
  <c r="AD2915" i="1"/>
  <c r="AB2089" i="1"/>
  <c r="AA1238" i="1"/>
  <c r="AD467" i="1"/>
  <c r="AC403" i="1"/>
  <c r="AB2876" i="1"/>
  <c r="AG535" i="1"/>
  <c r="AC2724" i="1"/>
  <c r="AA2781" i="1"/>
  <c r="AA169" i="1"/>
  <c r="BJ2739" i="1"/>
  <c r="AD516" i="1"/>
  <c r="AD636" i="1"/>
  <c r="AA1155" i="1"/>
  <c r="AB2854" i="1"/>
  <c r="BJ2951" i="1"/>
  <c r="BJ253" i="1"/>
  <c r="AG52" i="1"/>
  <c r="AG138" i="1"/>
  <c r="AG523" i="1"/>
  <c r="AA1658" i="1"/>
  <c r="AD71" i="1"/>
  <c r="AG1330" i="1"/>
  <c r="AB1667" i="1"/>
  <c r="AC344" i="1"/>
  <c r="BJ764" i="1"/>
  <c r="AC837" i="1"/>
  <c r="AD145" i="1"/>
  <c r="AB1364" i="1"/>
  <c r="AB409" i="1"/>
  <c r="AD2740" i="1"/>
  <c r="Z2227" i="1"/>
  <c r="AD728" i="1"/>
  <c r="AA1706" i="1"/>
  <c r="AD1768" i="1"/>
  <c r="BJ1512" i="1"/>
  <c r="AD1808" i="1"/>
  <c r="AB1125" i="1"/>
  <c r="BJ507" i="1"/>
  <c r="AA1078" i="1"/>
  <c r="BJ2906" i="1"/>
  <c r="AD1832" i="1"/>
  <c r="AA2607" i="1"/>
  <c r="BJ323" i="1"/>
  <c r="BJ39" i="1"/>
  <c r="Z1460" i="1"/>
  <c r="AA993" i="1"/>
  <c r="AB665" i="1"/>
  <c r="Z1405" i="1"/>
  <c r="AC2053" i="1"/>
  <c r="AB1926" i="1"/>
  <c r="AC1294" i="1"/>
  <c r="BJ2678" i="1"/>
  <c r="BJ82" i="1"/>
  <c r="Z2084" i="1"/>
  <c r="AD1224" i="1"/>
  <c r="AA45" i="1"/>
  <c r="AC1562" i="1"/>
  <c r="AA2816" i="1"/>
  <c r="AG316" i="1"/>
  <c r="AC353" i="1"/>
  <c r="Z513" i="1"/>
  <c r="BJ1921" i="1"/>
  <c r="AC1312" i="1"/>
  <c r="Z1313" i="1"/>
  <c r="AA639" i="1"/>
  <c r="AG403" i="1"/>
  <c r="AA1862" i="1"/>
  <c r="AG3037" i="1"/>
  <c r="Z2996" i="1"/>
  <c r="AG339" i="1"/>
  <c r="AA2828" i="1"/>
  <c r="AA1425" i="1"/>
  <c r="AG1550" i="1"/>
  <c r="Z684" i="1"/>
  <c r="AC2127" i="1"/>
  <c r="AD1033" i="1"/>
  <c r="BJ1432" i="1"/>
  <c r="BJ1841" i="1"/>
  <c r="AB2126" i="1"/>
  <c r="AC1537" i="1"/>
  <c r="AD1381" i="1"/>
  <c r="AC677" i="1"/>
  <c r="BJ1761" i="1"/>
  <c r="AG1802" i="1"/>
  <c r="Z3033" i="1"/>
  <c r="Z2977" i="1"/>
  <c r="AD1947" i="1"/>
  <c r="AD1542" i="1"/>
  <c r="AC1641" i="1"/>
  <c r="BJ3107" i="1"/>
  <c r="BJ1065" i="1"/>
  <c r="BJ2419" i="1"/>
  <c r="AC346" i="1"/>
  <c r="AD2942" i="1"/>
  <c r="AD3070" i="1"/>
  <c r="AB2540" i="1"/>
  <c r="AB577" i="1"/>
  <c r="AG2718" i="1"/>
  <c r="BJ1592" i="1"/>
  <c r="AD247" i="1"/>
  <c r="AA1347" i="1"/>
  <c r="BJ3119" i="1"/>
  <c r="AD404" i="1"/>
  <c r="BJ976" i="1"/>
  <c r="AG1720" i="1"/>
  <c r="AA2923" i="1"/>
  <c r="AD3103" i="1"/>
  <c r="AA38" i="1"/>
  <c r="AD1184" i="1"/>
  <c r="AG856" i="1"/>
  <c r="BJ2103" i="1"/>
  <c r="Z1797" i="1"/>
  <c r="AG764" i="1"/>
  <c r="Z2967" i="1"/>
  <c r="BJ2031" i="1"/>
  <c r="AB1156" i="1"/>
  <c r="AD221" i="1"/>
  <c r="AB2086" i="1"/>
  <c r="AD2162" i="1"/>
  <c r="Z274" i="1"/>
  <c r="AC2428" i="1"/>
  <c r="AD1091" i="1"/>
  <c r="AD1306" i="1"/>
  <c r="AD1799" i="1"/>
  <c r="AD3110" i="1"/>
  <c r="AG2575" i="1"/>
  <c r="AG1579" i="1"/>
  <c r="AD286" i="1"/>
  <c r="Z705" i="1"/>
  <c r="Z1173" i="1"/>
  <c r="AA2829" i="1"/>
  <c r="AA2399" i="1"/>
  <c r="AG2982" i="1"/>
  <c r="Z301" i="1"/>
  <c r="AA2130" i="1"/>
  <c r="BJ2150" i="1"/>
  <c r="AG1153" i="1"/>
  <c r="AD111" i="1"/>
  <c r="AA1640" i="1"/>
  <c r="AB746" i="1"/>
  <c r="AG2656" i="1"/>
  <c r="AG2433" i="1"/>
  <c r="AA308" i="1"/>
  <c r="AA1972" i="1"/>
  <c r="AA184" i="1"/>
  <c r="AB2385" i="1"/>
  <c r="Z1348" i="1"/>
  <c r="AD719" i="1"/>
  <c r="Z2091" i="1"/>
  <c r="AC3085" i="1"/>
  <c r="AB2917" i="1"/>
  <c r="Z608" i="1"/>
  <c r="BJ1903" i="1"/>
  <c r="AD1021" i="1"/>
  <c r="AA592" i="1"/>
  <c r="AB27" i="1"/>
  <c r="AD3005" i="1"/>
  <c r="Z1128" i="1"/>
  <c r="AC2637" i="1"/>
  <c r="BJ1217" i="1"/>
  <c r="AA295" i="1"/>
  <c r="AB1146" i="1"/>
  <c r="AB1609" i="1"/>
  <c r="AB1451" i="1"/>
  <c r="BJ2794" i="1"/>
  <c r="AD2688" i="1"/>
  <c r="AD154" i="1"/>
  <c r="AD972" i="1"/>
  <c r="AD2570" i="1"/>
  <c r="AB533" i="1"/>
  <c r="AB3064" i="1"/>
  <c r="Z958" i="1"/>
  <c r="AC2468" i="1"/>
  <c r="Z729" i="1"/>
  <c r="AA604" i="1"/>
  <c r="AD2761" i="1"/>
  <c r="AD1332" i="1"/>
  <c r="AD2143" i="1"/>
  <c r="AG1570" i="1"/>
  <c r="AC2674" i="1"/>
  <c r="Z1240" i="1"/>
  <c r="AD1751" i="1"/>
  <c r="AD1501" i="1"/>
  <c r="BJ1843" i="1"/>
  <c r="Z1910" i="1"/>
  <c r="AB2849" i="1"/>
  <c r="AB950" i="1"/>
  <c r="AC1326" i="1"/>
  <c r="AA316" i="1"/>
  <c r="AC2793" i="1"/>
  <c r="AD1632" i="1"/>
  <c r="AD558" i="1"/>
  <c r="AD2896" i="1"/>
  <c r="AC2868" i="1"/>
  <c r="BJ728" i="1"/>
  <c r="AD2620" i="1"/>
  <c r="Z1028" i="1"/>
  <c r="AG924" i="1"/>
  <c r="AB1496" i="1"/>
  <c r="AA837" i="1"/>
  <c r="AB1682" i="1"/>
  <c r="AC661" i="1"/>
  <c r="AG1409" i="1"/>
  <c r="AB148" i="1"/>
  <c r="AA1985" i="1"/>
  <c r="AA2756" i="1"/>
  <c r="AB59" i="1"/>
  <c r="AC268" i="1"/>
  <c r="AA1800" i="1"/>
  <c r="AD1548" i="1"/>
  <c r="AB2983" i="1"/>
  <c r="AG2416" i="1"/>
  <c r="AG1363" i="1"/>
  <c r="Z1931" i="1"/>
  <c r="Z400" i="1"/>
  <c r="AD315" i="1"/>
  <c r="AG724" i="1"/>
  <c r="Z1829" i="1"/>
  <c r="AC2832" i="1"/>
  <c r="AB2861" i="1"/>
  <c r="AA1362" i="1"/>
  <c r="AB795" i="1"/>
  <c r="AB784" i="1"/>
  <c r="AB699" i="1"/>
  <c r="AB748" i="1"/>
  <c r="AC120" i="1"/>
  <c r="AA1162" i="1"/>
  <c r="AG964" i="1"/>
  <c r="AG2660" i="1"/>
  <c r="AD2029" i="1"/>
  <c r="AG1446" i="1"/>
  <c r="AG3100" i="1"/>
  <c r="AD1483" i="1"/>
  <c r="AG2233" i="1"/>
  <c r="AC360" i="1"/>
  <c r="AB369" i="1"/>
  <c r="AC2024" i="1"/>
  <c r="Z600" i="1"/>
  <c r="Z533" i="1"/>
  <c r="AC433" i="1"/>
  <c r="BJ1483" i="1"/>
  <c r="AG2299" i="1"/>
  <c r="BJ2328" i="1"/>
  <c r="AB1023" i="1"/>
  <c r="AD1051" i="1"/>
  <c r="AG968" i="1"/>
  <c r="AD1325" i="1"/>
  <c r="AG2973" i="1"/>
  <c r="AG1718" i="1"/>
  <c r="AD1359" i="1"/>
  <c r="Z2055" i="1"/>
  <c r="AD84" i="1"/>
  <c r="BJ1925" i="1"/>
  <c r="AC3042" i="1"/>
  <c r="Z910" i="1"/>
  <c r="AC2285" i="1"/>
  <c r="AG2367" i="1"/>
  <c r="AA1042" i="1"/>
  <c r="AA585" i="1"/>
  <c r="AD2294" i="1"/>
  <c r="AB2679" i="1"/>
  <c r="AD2876" i="1"/>
  <c r="AD1250" i="1"/>
  <c r="Z288" i="1"/>
  <c r="AA2365" i="1"/>
  <c r="AG819" i="1"/>
  <c r="AD1132" i="1"/>
  <c r="AD2456" i="1"/>
  <c r="BJ228" i="1"/>
  <c r="AD2364" i="1"/>
  <c r="AC2780" i="1"/>
  <c r="AC3099" i="1"/>
  <c r="Z1266" i="1"/>
  <c r="AD1827" i="1"/>
  <c r="AG313" i="1"/>
  <c r="AB1085" i="1"/>
  <c r="BJ135" i="1"/>
  <c r="Z1652" i="1"/>
  <c r="AC2749" i="1"/>
  <c r="AA769" i="1"/>
  <c r="AD2114" i="1"/>
  <c r="Z1793" i="1"/>
  <c r="AG2598" i="1"/>
  <c r="AC2759" i="1"/>
  <c r="AB2146" i="1"/>
  <c r="BJ2060" i="1"/>
  <c r="AA2603" i="1"/>
  <c r="BJ1094" i="1"/>
  <c r="Z1082" i="1"/>
  <c r="AB2075" i="1"/>
  <c r="Z391" i="1"/>
  <c r="BJ3041" i="1"/>
  <c r="BJ1198" i="1"/>
  <c r="AC762" i="1"/>
  <c r="AA1551" i="1"/>
  <c r="AG1464" i="1"/>
  <c r="AD988" i="1"/>
  <c r="Z405" i="1"/>
  <c r="Z2849" i="1"/>
  <c r="AG1231" i="1"/>
  <c r="AG1209" i="1"/>
  <c r="AG1058" i="1"/>
  <c r="AD1551" i="1"/>
  <c r="AA2667" i="1"/>
  <c r="AB1593" i="1"/>
  <c r="AB1325" i="1"/>
  <c r="AB554" i="1"/>
  <c r="Z2430" i="1"/>
  <c r="AB1542" i="1"/>
  <c r="AD1266" i="1"/>
  <c r="AA84" i="1"/>
  <c r="AD995" i="1"/>
  <c r="AC615" i="1"/>
  <c r="Z769" i="1"/>
  <c r="Z1764" i="1"/>
  <c r="AC2055" i="1"/>
  <c r="Z3059" i="1"/>
  <c r="Z1174" i="1"/>
  <c r="AD940" i="1"/>
  <c r="BJ561" i="1"/>
  <c r="Z2278" i="1"/>
  <c r="Z2904" i="1"/>
  <c r="AG784" i="1"/>
  <c r="Z2598" i="1"/>
  <c r="AG2764" i="1"/>
  <c r="BJ1080" i="1"/>
  <c r="AA1744" i="1"/>
  <c r="Z1488" i="1"/>
  <c r="AA2524" i="1"/>
  <c r="Z1915" i="1"/>
  <c r="AA2386" i="1"/>
  <c r="AG487" i="1"/>
  <c r="BJ2032" i="1"/>
  <c r="AA2442" i="1"/>
  <c r="AC1240" i="1"/>
  <c r="BJ711" i="1"/>
  <c r="AB2028" i="1"/>
  <c r="BJ2078" i="1"/>
  <c r="AA1659" i="1"/>
  <c r="Z877" i="1"/>
  <c r="AG2103" i="1"/>
  <c r="AB2960" i="1"/>
  <c r="BJ2711" i="1"/>
  <c r="AG122" i="1"/>
  <c r="Z1539" i="1"/>
  <c r="AC3023" i="1"/>
  <c r="AB1479" i="1"/>
  <c r="AC1533" i="1"/>
  <c r="BJ701" i="1"/>
  <c r="Z2646" i="1"/>
  <c r="AD3084" i="1"/>
  <c r="Z1512" i="1"/>
  <c r="AD2119" i="1"/>
  <c r="BJ2514" i="1"/>
  <c r="AA2416" i="1"/>
  <c r="BJ30" i="1"/>
  <c r="AA352" i="1"/>
  <c r="AA1225" i="1"/>
  <c r="BJ1790" i="1"/>
  <c r="AD2088" i="1"/>
  <c r="AB1779" i="1"/>
  <c r="Z202" i="1"/>
  <c r="AD1734" i="1"/>
  <c r="AB54" i="1"/>
  <c r="AC2207" i="1"/>
  <c r="AG1984" i="1"/>
  <c r="AC2634" i="1"/>
  <c r="AC1945" i="1"/>
  <c r="Z2972" i="1"/>
  <c r="AB2515" i="1"/>
  <c r="AD986" i="1"/>
  <c r="AB1904" i="1"/>
  <c r="AD1252" i="1"/>
  <c r="AG2467" i="1"/>
  <c r="AB2127" i="1"/>
  <c r="AD3116" i="1"/>
  <c r="AG2414" i="1"/>
  <c r="BJ2000" i="1"/>
  <c r="AB734" i="1"/>
  <c r="AD1476" i="1"/>
  <c r="AG1863" i="1"/>
  <c r="AD2887" i="1"/>
  <c r="AG1882" i="1"/>
  <c r="BJ1326" i="1"/>
  <c r="AG1800" i="1"/>
  <c r="AD126" i="1"/>
  <c r="BJ589" i="1"/>
  <c r="AG3067" i="1"/>
  <c r="AC2764" i="1"/>
  <c r="AC3041" i="1"/>
  <c r="AA2475" i="1"/>
  <c r="Z2622" i="1"/>
  <c r="AC40" i="1"/>
  <c r="AA2285" i="1"/>
  <c r="AB2073" i="1"/>
  <c r="AB1627" i="1"/>
  <c r="AG248" i="1"/>
  <c r="AD2074" i="1"/>
  <c r="AB1018" i="1"/>
  <c r="AB361" i="1"/>
  <c r="AG1598" i="1"/>
  <c r="AB1790" i="1"/>
  <c r="BJ337" i="1"/>
  <c r="AG3034" i="1"/>
  <c r="AB1304" i="1"/>
  <c r="AD1448" i="1"/>
  <c r="AA2798" i="1"/>
  <c r="AA1923" i="1"/>
  <c r="AC1929" i="1"/>
  <c r="AA1049" i="1"/>
  <c r="BJ2934" i="1"/>
  <c r="Z2413" i="1"/>
  <c r="Z2565" i="1"/>
  <c r="AA1968" i="1"/>
  <c r="Z1572" i="1"/>
  <c r="AB364" i="1"/>
  <c r="AG1449" i="1"/>
  <c r="AB996" i="1"/>
  <c r="BJ445" i="1"/>
  <c r="AG166" i="1"/>
  <c r="AB1365" i="1"/>
  <c r="AG633" i="1"/>
  <c r="AC2100" i="1"/>
  <c r="BJ1812" i="1"/>
  <c r="AD405" i="1"/>
  <c r="AD637" i="1"/>
  <c r="Z2729" i="1"/>
  <c r="AC1601" i="1"/>
  <c r="AB2141" i="1"/>
  <c r="Z1654" i="1"/>
  <c r="AB1404" i="1"/>
  <c r="AD2968" i="1"/>
  <c r="Z2786" i="1"/>
  <c r="AC2605" i="1"/>
  <c r="BJ742" i="1"/>
  <c r="AD3046" i="1"/>
  <c r="AG1356" i="1"/>
  <c r="AG2930" i="1"/>
  <c r="BJ1237" i="1"/>
  <c r="AD483" i="1"/>
  <c r="AA1723" i="1"/>
  <c r="AG727" i="1"/>
  <c r="BJ1707" i="1"/>
  <c r="AD2712" i="1"/>
  <c r="BJ2499" i="1"/>
  <c r="Z2697" i="1"/>
  <c r="AB2245" i="1"/>
  <c r="BJ1706" i="1"/>
  <c r="Z2047" i="1"/>
  <c r="AC629" i="1"/>
  <c r="BJ618" i="1"/>
  <c r="Z1188" i="1"/>
  <c r="AG1411" i="1"/>
  <c r="AA150" i="1"/>
  <c r="AB2631" i="1"/>
  <c r="AG422" i="1"/>
  <c r="AA718" i="1"/>
  <c r="Z1274" i="1"/>
  <c r="Z1938" i="1"/>
  <c r="AC1129" i="1"/>
  <c r="AG2241" i="1"/>
  <c r="BJ2198" i="1"/>
  <c r="AC2224" i="1"/>
  <c r="AC3004" i="1"/>
  <c r="Z1067" i="1"/>
  <c r="AC1082" i="1"/>
  <c r="Z2995" i="1"/>
  <c r="AC449" i="1"/>
  <c r="AD2392" i="1"/>
  <c r="AC2518" i="1"/>
  <c r="AA418" i="1"/>
  <c r="BJ1081" i="1"/>
  <c r="Z148" i="1"/>
  <c r="AG2938" i="1"/>
  <c r="AC754" i="1"/>
  <c r="AG1138" i="1"/>
  <c r="Z1692" i="1"/>
  <c r="AC2681" i="1"/>
  <c r="AB697" i="1"/>
  <c r="Z755" i="1"/>
  <c r="AC1841" i="1"/>
  <c r="AA1138" i="1"/>
  <c r="AB82" i="1"/>
  <c r="AC1193" i="1"/>
  <c r="Z1734" i="1"/>
  <c r="AG1315" i="1"/>
  <c r="AC703" i="1"/>
  <c r="AB516" i="1"/>
  <c r="AC2195" i="1"/>
  <c r="AB2036" i="1"/>
  <c r="Z2615" i="1"/>
  <c r="BJ1312" i="1"/>
  <c r="BJ635" i="1"/>
  <c r="AB1033" i="1"/>
  <c r="AD2689" i="1"/>
  <c r="AD1718" i="1"/>
  <c r="AC752" i="1"/>
  <c r="AC2262" i="1"/>
  <c r="AB1333" i="1"/>
  <c r="AA175" i="1"/>
  <c r="AC1799" i="1"/>
  <c r="AA446" i="1"/>
  <c r="AG404" i="1"/>
  <c r="AD82" i="1"/>
  <c r="AA1535" i="1"/>
  <c r="BJ1355" i="1"/>
  <c r="AD1267" i="1"/>
  <c r="AD105" i="1"/>
  <c r="BJ1595" i="1"/>
  <c r="Z2973" i="1"/>
  <c r="Z2690" i="1"/>
  <c r="AC1832" i="1"/>
  <c r="AC2573" i="1"/>
  <c r="AB316" i="1"/>
  <c r="AG549" i="1"/>
  <c r="BJ843" i="1"/>
  <c r="AG637" i="1"/>
  <c r="BJ495" i="1"/>
  <c r="AD2063" i="1"/>
  <c r="Z284" i="1"/>
  <c r="AG2040" i="1"/>
  <c r="AA56" i="1"/>
  <c r="AA1704" i="1"/>
  <c r="AC1133" i="1"/>
  <c r="Z1698" i="1"/>
  <c r="BJ2679" i="1"/>
  <c r="AC880" i="1"/>
  <c r="AC2187" i="1"/>
  <c r="AA2417" i="1"/>
  <c r="AC1297" i="1"/>
  <c r="AB2170" i="1"/>
  <c r="AC191" i="1"/>
  <c r="AB2093" i="1"/>
  <c r="AC244" i="1"/>
  <c r="AD2731" i="1"/>
  <c r="AG3147" i="1"/>
  <c r="AC463" i="1"/>
  <c r="Z1889" i="1"/>
  <c r="AG744" i="1"/>
  <c r="AG2912" i="1"/>
  <c r="AA1851" i="1"/>
  <c r="AB2713" i="1"/>
  <c r="AD108" i="1"/>
  <c r="Z308" i="1"/>
  <c r="BJ2769" i="1"/>
  <c r="BJ2287" i="1"/>
  <c r="BJ1932" i="1"/>
  <c r="AD775" i="1"/>
  <c r="Z2829" i="1"/>
  <c r="AD931" i="1"/>
  <c r="AG447" i="1"/>
  <c r="AC1502" i="1"/>
  <c r="AG2477" i="1"/>
  <c r="BJ1026" i="1"/>
  <c r="AA371" i="1"/>
  <c r="BJ320" i="1"/>
  <c r="AA2967" i="1"/>
  <c r="Z2029" i="1"/>
  <c r="AB1565" i="1"/>
  <c r="AG3083" i="1"/>
  <c r="BJ365" i="1"/>
  <c r="AA2012" i="1"/>
  <c r="AC456" i="1"/>
  <c r="AD2745" i="1"/>
  <c r="AG1482" i="1"/>
  <c r="AC2954" i="1"/>
  <c r="Z2431" i="1"/>
  <c r="BJ1975" i="1"/>
  <c r="AD1778" i="1"/>
  <c r="AC1671" i="1"/>
  <c r="AG1207" i="1"/>
  <c r="AG569" i="1"/>
  <c r="BJ899" i="1"/>
  <c r="AD692" i="1"/>
  <c r="Z2118" i="1"/>
  <c r="Z3137" i="1"/>
  <c r="AA247" i="1"/>
  <c r="BJ2288" i="1"/>
  <c r="AB2648" i="1"/>
  <c r="Z731" i="1"/>
  <c r="AB2903" i="1"/>
  <c r="AC164" i="1"/>
  <c r="AC2281" i="1"/>
  <c r="Z1251" i="1"/>
  <c r="AB2823" i="1"/>
  <c r="Z3093" i="1"/>
  <c r="AG1937" i="1"/>
  <c r="AC2214" i="1"/>
  <c r="AB1512" i="1"/>
  <c r="AB297" i="1"/>
  <c r="BJ136" i="1"/>
  <c r="Z54" i="1"/>
  <c r="AG2471" i="1"/>
  <c r="BJ1425" i="1"/>
  <c r="AG795" i="1"/>
  <c r="Z2984" i="1"/>
  <c r="BJ2668" i="1"/>
  <c r="BJ2611" i="1"/>
  <c r="Z19" i="1"/>
  <c r="AA2822" i="1"/>
  <c r="AC769" i="1"/>
  <c r="AG2834" i="1"/>
  <c r="AB1849" i="1"/>
  <c r="AA498" i="1"/>
  <c r="AG2095" i="1"/>
  <c r="Z1106" i="1"/>
  <c r="AC2571" i="1"/>
  <c r="AC2488" i="1"/>
  <c r="AA1237" i="1"/>
  <c r="AA2774" i="1"/>
  <c r="AG907" i="1"/>
  <c r="AD1856" i="1"/>
  <c r="AB1731" i="1"/>
  <c r="AC16" i="1"/>
  <c r="Z3128" i="1"/>
  <c r="BJ2498" i="1"/>
  <c r="AD1469" i="1"/>
  <c r="Z779" i="1"/>
  <c r="AA2944" i="1"/>
  <c r="AA3110" i="1"/>
  <c r="Z2991" i="1"/>
  <c r="AG1489" i="1"/>
  <c r="Z1903" i="1"/>
  <c r="AD2346" i="1"/>
  <c r="AC2877" i="1"/>
  <c r="AC3053" i="1"/>
  <c r="AD1063" i="1"/>
  <c r="AG1484" i="1"/>
  <c r="AG1492" i="1"/>
  <c r="BJ1188" i="1"/>
  <c r="AD2966" i="1"/>
  <c r="AG108" i="1"/>
  <c r="AB2901" i="1"/>
  <c r="AC2043" i="1"/>
  <c r="AB2777" i="1"/>
  <c r="Z1845" i="1"/>
  <c r="AA1637" i="1"/>
  <c r="AB2002" i="1"/>
  <c r="Z1971" i="1"/>
  <c r="Z1219" i="1"/>
  <c r="BJ1160" i="1"/>
  <c r="AB2811" i="1"/>
  <c r="Z2774" i="1"/>
  <c r="AA531" i="1"/>
  <c r="AB2096" i="1"/>
  <c r="AD277" i="1"/>
  <c r="AA2695" i="1"/>
  <c r="Z1611" i="1"/>
  <c r="AA3056" i="1"/>
  <c r="AB840" i="1"/>
  <c r="AB1553" i="1"/>
  <c r="AG1621" i="1"/>
  <c r="AC47" i="1"/>
  <c r="AC1274" i="1"/>
  <c r="AG1189" i="1"/>
  <c r="AA1779" i="1"/>
  <c r="AA2492" i="1"/>
  <c r="Z2161" i="1"/>
  <c r="AG93" i="1"/>
  <c r="AD1326" i="1"/>
  <c r="AG1232" i="1"/>
  <c r="AA2632" i="1"/>
  <c r="BJ1052" i="1"/>
  <c r="AD635" i="1"/>
  <c r="AA400" i="1"/>
  <c r="AC492" i="1"/>
  <c r="AB2833" i="1"/>
  <c r="Z1390" i="1"/>
  <c r="AA2824" i="1"/>
  <c r="AB2887" i="1"/>
  <c r="BJ399" i="1"/>
  <c r="AB1953" i="1"/>
  <c r="BJ2114" i="1"/>
  <c r="AA1214" i="1"/>
  <c r="BJ1259" i="1"/>
  <c r="AD2357" i="1"/>
  <c r="AG1750" i="1"/>
  <c r="BJ2299" i="1"/>
  <c r="AG45" i="1"/>
  <c r="AG2704" i="1"/>
  <c r="BJ2874" i="1"/>
  <c r="AD2131" i="1"/>
  <c r="AC333" i="1"/>
  <c r="BJ2502" i="1"/>
  <c r="AA2035" i="1"/>
  <c r="AB1500" i="1"/>
  <c r="BJ1627" i="1"/>
  <c r="BJ1092" i="1"/>
  <c r="AB1311" i="1"/>
  <c r="AD2444" i="1"/>
  <c r="BJ632" i="1"/>
  <c r="AD2070" i="1"/>
  <c r="BJ714" i="1"/>
  <c r="BJ28" i="1"/>
  <c r="BJ918" i="1"/>
  <c r="AG114" i="1"/>
  <c r="AG101" i="1"/>
  <c r="BJ548" i="1"/>
  <c r="AD1151" i="1"/>
  <c r="AG2865" i="1"/>
  <c r="AC1907" i="1"/>
  <c r="BJ2835" i="1"/>
  <c r="AB1560" i="1"/>
  <c r="AC2728" i="1"/>
  <c r="Z3007" i="1"/>
  <c r="AG898" i="1"/>
  <c r="AA2863" i="1"/>
  <c r="AC2889" i="1"/>
  <c r="AD1317" i="1"/>
  <c r="AD496" i="1"/>
  <c r="AG2712" i="1"/>
  <c r="BJ503" i="1"/>
  <c r="BJ1631" i="1"/>
  <c r="AG1873" i="1"/>
  <c r="AA339" i="1"/>
  <c r="AD129" i="1"/>
  <c r="AA2563" i="1"/>
  <c r="AD2776" i="1"/>
  <c r="AD722" i="1"/>
  <c r="Z636" i="1"/>
  <c r="Z1647" i="1"/>
  <c r="AC303" i="1"/>
  <c r="BJ3128" i="1"/>
  <c r="AG2142" i="1"/>
  <c r="AC1252" i="1"/>
  <c r="BJ2792" i="1"/>
  <c r="AD821" i="1"/>
  <c r="AD2407" i="1"/>
  <c r="Z869" i="1"/>
  <c r="AA992" i="1"/>
  <c r="AB449" i="1"/>
  <c r="AG2919" i="1"/>
  <c r="BJ93" i="1"/>
  <c r="AG1111" i="1"/>
  <c r="Z1069" i="1"/>
  <c r="BJ241" i="1"/>
  <c r="AG1214" i="1"/>
  <c r="AB1668" i="1"/>
  <c r="AA613" i="1"/>
  <c r="AG38" i="1"/>
  <c r="Z1656" i="1"/>
  <c r="AG225" i="1"/>
  <c r="AB1895" i="1"/>
  <c r="Z1857" i="1"/>
  <c r="AC1283" i="1"/>
  <c r="AD448" i="1"/>
  <c r="AC2713" i="1"/>
  <c r="AB74" i="1"/>
  <c r="AA1334" i="1"/>
  <c r="Z346" i="1"/>
  <c r="BJ1359" i="1"/>
  <c r="AB1983" i="1"/>
  <c r="Z245" i="1"/>
  <c r="AA162" i="1"/>
  <c r="AG464" i="1"/>
  <c r="AC2629" i="1"/>
  <c r="BJ1574" i="1"/>
  <c r="Z1785" i="1"/>
  <c r="BJ3069" i="1"/>
  <c r="AA25" i="1"/>
  <c r="AD2974" i="1"/>
  <c r="AD2711" i="1"/>
  <c r="AC2492" i="1"/>
  <c r="AA2235" i="1"/>
  <c r="AB1764" i="1"/>
  <c r="Z1795" i="1"/>
  <c r="AB947" i="1"/>
  <c r="AB1225" i="1"/>
  <c r="AC1204" i="1"/>
  <c r="BJ1088" i="1"/>
  <c r="AB1896" i="1"/>
  <c r="AB2216" i="1"/>
  <c r="Z880" i="1"/>
  <c r="AC2949" i="1"/>
  <c r="AB11" i="1"/>
  <c r="Z1477" i="1"/>
  <c r="AA1133" i="1"/>
  <c r="AD2868" i="1"/>
  <c r="Z588" i="1"/>
  <c r="Z285" i="1"/>
  <c r="Z894" i="1"/>
  <c r="AC1624" i="1"/>
  <c r="Z3141" i="1"/>
  <c r="BJ515" i="1"/>
  <c r="AA1384" i="1"/>
  <c r="AD1689" i="1"/>
  <c r="AA2026" i="1"/>
  <c r="AG584" i="1"/>
  <c r="AB32" i="1"/>
  <c r="AA3090" i="1"/>
  <c r="AC1834" i="1"/>
  <c r="AA193" i="1"/>
  <c r="AG672" i="1"/>
  <c r="AA2571" i="1"/>
  <c r="AD203" i="1"/>
  <c r="AB1300" i="1"/>
  <c r="BJ677" i="1"/>
  <c r="AC15" i="1"/>
  <c r="Z1404" i="1"/>
  <c r="AA1462" i="1"/>
  <c r="AG2231" i="1"/>
  <c r="AD3127" i="1"/>
  <c r="Z1653" i="1"/>
  <c r="AC2375" i="1"/>
  <c r="BJ88" i="1"/>
  <c r="AD514" i="1"/>
  <c r="AG1175" i="1"/>
  <c r="AA64" i="1"/>
  <c r="AB520" i="1"/>
  <c r="Z657" i="1"/>
  <c r="AC270" i="1"/>
  <c r="Z2796" i="1"/>
  <c r="BJ1654" i="1"/>
  <c r="AC1744" i="1"/>
  <c r="Z1482" i="1"/>
  <c r="BJ128" i="1"/>
  <c r="AA1383" i="1"/>
  <c r="BJ1853" i="1"/>
  <c r="AG44" i="1"/>
  <c r="AD1329" i="1"/>
  <c r="BJ411" i="1"/>
  <c r="AB2904" i="1"/>
  <c r="AA2914" i="1"/>
  <c r="AC2815" i="1"/>
  <c r="Z495" i="1"/>
  <c r="AD446" i="1"/>
  <c r="AD2980" i="1"/>
  <c r="AA2865" i="1"/>
  <c r="Z565" i="1"/>
  <c r="Z2120" i="1"/>
  <c r="AA2935" i="1"/>
  <c r="Z3016" i="1"/>
  <c r="AA101" i="1"/>
  <c r="Z2302" i="1"/>
  <c r="AC2689" i="1"/>
  <c r="AC1685" i="1"/>
  <c r="AA2344" i="1"/>
  <c r="AD368" i="1"/>
  <c r="AA1794" i="1"/>
  <c r="AG1527" i="1"/>
  <c r="Z1980" i="1"/>
  <c r="AA2585" i="1"/>
  <c r="AD2225" i="1"/>
  <c r="AC1825" i="1"/>
  <c r="Z3122" i="1"/>
  <c r="BJ248" i="1"/>
  <c r="AA2384" i="1"/>
  <c r="AD1081" i="1"/>
  <c r="AB712" i="1"/>
  <c r="AD2238" i="1"/>
  <c r="Z1540" i="1"/>
  <c r="AB1976" i="1"/>
  <c r="AD1519" i="1"/>
  <c r="AD1387" i="1"/>
  <c r="AC2779" i="1"/>
  <c r="Z2719" i="1"/>
  <c r="Z2310" i="1"/>
  <c r="AC2909" i="1"/>
  <c r="Z2874" i="1"/>
  <c r="AA649" i="1"/>
  <c r="AA2535" i="1"/>
  <c r="AD759" i="1"/>
  <c r="AB56" i="1"/>
  <c r="AA1651" i="1"/>
  <c r="AA1301" i="1"/>
  <c r="AB1909" i="1"/>
  <c r="AB1307" i="1"/>
  <c r="Z2525" i="1"/>
  <c r="AD2648" i="1"/>
  <c r="AB507" i="1"/>
  <c r="AC1493" i="1"/>
  <c r="AB1357" i="1"/>
  <c r="AG2117" i="1"/>
  <c r="BJ2454" i="1"/>
  <c r="AA3150" i="1"/>
  <c r="AG875" i="1"/>
  <c r="AC893" i="1"/>
  <c r="BJ3093" i="1"/>
  <c r="AG799" i="1"/>
  <c r="AC3020" i="1"/>
  <c r="AB2688" i="1"/>
  <c r="BJ196" i="1"/>
  <c r="Z1777" i="1"/>
  <c r="BJ1037" i="1"/>
  <c r="AG3102" i="1"/>
  <c r="BJ1829" i="1"/>
  <c r="AD2123" i="1"/>
  <c r="Z526" i="1"/>
  <c r="AG2252" i="1"/>
  <c r="BJ2391" i="1"/>
  <c r="AD1096" i="1"/>
  <c r="AD2302" i="1"/>
  <c r="BJ787" i="1"/>
  <c r="Z1385" i="1"/>
  <c r="AD3067" i="1"/>
  <c r="AA1361" i="1"/>
  <c r="Z1001" i="1"/>
  <c r="Z2493" i="1"/>
  <c r="AA2289" i="1"/>
  <c r="BJ1493" i="1"/>
  <c r="AC1480" i="1"/>
  <c r="AD478" i="1"/>
  <c r="AC2668" i="1"/>
  <c r="AA3143" i="1"/>
  <c r="AC1419" i="1"/>
  <c r="AD372" i="1"/>
  <c r="AD2843" i="1"/>
  <c r="Z2505" i="1"/>
  <c r="BJ2181" i="1"/>
  <c r="Z1403" i="1"/>
  <c r="BJ1912" i="1"/>
  <c r="BJ2162" i="1"/>
  <c r="AB1000" i="1"/>
  <c r="Z2117" i="1"/>
  <c r="Z2206" i="1"/>
  <c r="AG957" i="1"/>
  <c r="AB2766" i="1"/>
  <c r="AA762" i="1"/>
  <c r="AA3106" i="1"/>
  <c r="AD2328" i="1"/>
  <c r="AG2754" i="1"/>
  <c r="AC67" i="1"/>
  <c r="Z538" i="1"/>
  <c r="AD280" i="1"/>
  <c r="AG291" i="1"/>
  <c r="Z1901" i="1"/>
  <c r="AG927" i="1"/>
  <c r="AC2480" i="1"/>
  <c r="AA1108" i="1"/>
  <c r="AG1836" i="1"/>
  <c r="AC897" i="1"/>
  <c r="BJ1545" i="1"/>
  <c r="BJ1958" i="1"/>
  <c r="BJ769" i="1"/>
  <c r="AA315" i="1"/>
  <c r="AA1479" i="1"/>
  <c r="AG1037" i="1"/>
  <c r="AD2525" i="1"/>
  <c r="AC2792" i="1"/>
  <c r="AG613" i="1"/>
  <c r="BJ2179" i="1"/>
  <c r="AG1391" i="1"/>
  <c r="Z2897" i="1"/>
  <c r="BJ1703" i="1"/>
  <c r="BJ2697" i="1"/>
  <c r="Z1278" i="1"/>
  <c r="AB1273" i="1"/>
  <c r="AA1527" i="1"/>
  <c r="AB862" i="1"/>
  <c r="AB99" i="1"/>
  <c r="AG2378" i="1"/>
  <c r="AG1310" i="1"/>
  <c r="AC2383" i="1"/>
  <c r="AA549" i="1"/>
  <c r="AG2246" i="1"/>
  <c r="AD2604" i="1"/>
  <c r="AB824" i="1"/>
  <c r="AG1542" i="1"/>
  <c r="AG2446" i="1"/>
  <c r="AA334" i="1"/>
  <c r="Z226" i="1"/>
  <c r="AA840" i="1"/>
  <c r="AD2045" i="1"/>
  <c r="AB318" i="1"/>
  <c r="AB2963" i="1"/>
  <c r="AC1715" i="1"/>
  <c r="BJ998" i="1"/>
  <c r="AA2777" i="1"/>
  <c r="AD2147" i="1"/>
  <c r="BJ992" i="1"/>
  <c r="AD484" i="1"/>
  <c r="AC1380" i="1"/>
  <c r="AC25" i="1"/>
  <c r="AC1690" i="1"/>
  <c r="Z1068" i="1"/>
  <c r="Z978" i="1"/>
  <c r="AG262" i="1"/>
  <c r="AG104" i="1"/>
  <c r="AC3107" i="1"/>
  <c r="AB1353" i="1"/>
  <c r="Z2531" i="1"/>
  <c r="AD2395" i="1"/>
  <c r="AC2212" i="1"/>
  <c r="AA1879" i="1"/>
  <c r="AA2784" i="1"/>
  <c r="Z401" i="1"/>
  <c r="AD2332" i="1"/>
  <c r="AC3005" i="1"/>
  <c r="AB837" i="1"/>
  <c r="AA730" i="1"/>
  <c r="AD1102" i="1"/>
  <c r="Z317" i="1"/>
  <c r="AB1939" i="1"/>
  <c r="Z1175" i="1"/>
  <c r="AD2292" i="1"/>
  <c r="AD1364" i="1"/>
  <c r="AD3012" i="1"/>
  <c r="AG271" i="1"/>
  <c r="BJ1267" i="1"/>
  <c r="AD2555" i="1"/>
  <c r="AA1385" i="1"/>
  <c r="AB2626" i="1"/>
  <c r="AB257" i="1"/>
  <c r="Z321" i="1"/>
  <c r="AA1461" i="1"/>
  <c r="AD2985" i="1"/>
  <c r="AC2549" i="1"/>
  <c r="AC472" i="1"/>
  <c r="BJ2724" i="1"/>
  <c r="AG767" i="1"/>
  <c r="AB2698" i="1"/>
  <c r="AB448" i="1"/>
  <c r="AB2959" i="1"/>
  <c r="AB3083" i="1"/>
  <c r="AG679" i="1"/>
  <c r="AA2754" i="1"/>
  <c r="AA1258" i="1"/>
  <c r="AA460" i="1"/>
  <c r="AB1899" i="1"/>
  <c r="BJ2092" i="1"/>
  <c r="AG1077" i="1"/>
  <c r="Z1557" i="1"/>
  <c r="BJ208" i="1"/>
  <c r="AG2387" i="1"/>
  <c r="AC2512" i="1"/>
  <c r="AB639" i="1"/>
  <c r="AA874" i="1"/>
  <c r="BJ2467" i="1"/>
  <c r="BJ2736" i="1"/>
  <c r="AB1436" i="1"/>
  <c r="AD1298" i="1"/>
  <c r="AB1166" i="1"/>
  <c r="AG2772" i="1"/>
  <c r="AB883" i="1"/>
  <c r="BJ737" i="1"/>
  <c r="Z108" i="1"/>
  <c r="AA535" i="1"/>
  <c r="AG519" i="1"/>
  <c r="AC910" i="1"/>
  <c r="AA1899" i="1"/>
  <c r="AA1497" i="1"/>
  <c r="AB3042" i="1"/>
  <c r="AG1276" i="1"/>
  <c r="AD155" i="1"/>
  <c r="AA2724" i="1"/>
  <c r="Z2593" i="1"/>
  <c r="AC3113" i="1"/>
  <c r="Z436" i="1"/>
  <c r="Z2912" i="1"/>
  <c r="AB1160" i="1"/>
  <c r="Z664" i="1"/>
  <c r="AG2480" i="1"/>
  <c r="AG3090" i="1"/>
  <c r="AC2848" i="1"/>
  <c r="AD1989" i="1"/>
  <c r="AB2764" i="1"/>
  <c r="AA1274" i="1"/>
  <c r="AB1349" i="1"/>
  <c r="Z442" i="1"/>
  <c r="AG1756" i="1"/>
  <c r="AC2932" i="1"/>
  <c r="AA511" i="1"/>
  <c r="Z1212" i="1"/>
  <c r="AD780" i="1"/>
  <c r="Z278" i="1"/>
  <c r="BJ676" i="1"/>
  <c r="BJ1613" i="1"/>
  <c r="AC1980" i="1"/>
  <c r="AA1751" i="1"/>
  <c r="AA2572" i="1"/>
  <c r="AD843" i="1"/>
  <c r="AD174" i="1"/>
  <c r="AB2109" i="1"/>
  <c r="AG942" i="1"/>
  <c r="AD142" i="1"/>
  <c r="AC2575" i="1"/>
  <c r="AA2185" i="1"/>
  <c r="AB2594" i="1"/>
  <c r="AG2313" i="1"/>
  <c r="AA1474" i="1"/>
  <c r="BJ2096" i="1"/>
  <c r="AG1076" i="1"/>
  <c r="BJ2491" i="1"/>
  <c r="AC1237" i="1"/>
  <c r="Z1181" i="1"/>
  <c r="AD1426" i="1"/>
  <c r="AA1030" i="1"/>
  <c r="Z2417" i="1"/>
  <c r="BJ1472" i="1"/>
  <c r="AA595" i="1"/>
  <c r="AD3065" i="1"/>
  <c r="AD2661" i="1"/>
  <c r="AA2317" i="1"/>
  <c r="BJ2809" i="1"/>
  <c r="AG393" i="1"/>
  <c r="AD2971" i="1"/>
  <c r="Z1088" i="1"/>
  <c r="Z1684" i="1"/>
  <c r="AG2330" i="1"/>
  <c r="AC1830" i="1"/>
  <c r="AA463" i="1"/>
  <c r="AB2871" i="1"/>
  <c r="AC2733" i="1"/>
  <c r="AA1807" i="1"/>
  <c r="BJ732" i="1"/>
  <c r="Z460" i="1"/>
  <c r="AG2503" i="1"/>
  <c r="AG1858" i="1"/>
  <c r="AG1160" i="1"/>
  <c r="AD442" i="1"/>
  <c r="AD1641" i="1"/>
  <c r="AD601" i="1"/>
  <c r="AB460" i="1"/>
  <c r="BJ335" i="1"/>
  <c r="AC639" i="1"/>
  <c r="AD2668" i="1"/>
  <c r="AC2786" i="1"/>
  <c r="AA662" i="1"/>
  <c r="Z995" i="1"/>
  <c r="Z1197" i="1"/>
  <c r="AG2833" i="1"/>
  <c r="AG409" i="1"/>
  <c r="AB2707" i="1"/>
  <c r="BJ577" i="1"/>
  <c r="AG1563" i="1"/>
  <c r="Z2405" i="1"/>
  <c r="AD1313" i="1"/>
  <c r="Z1859" i="1"/>
  <c r="Z2166" i="1"/>
  <c r="AG2165" i="1"/>
  <c r="AC2049" i="1"/>
  <c r="AB3087" i="1"/>
  <c r="AC1930" i="1"/>
  <c r="AA1971" i="1"/>
  <c r="AG1985" i="1"/>
  <c r="BJ2195" i="1"/>
  <c r="AG2894" i="1"/>
  <c r="AG2676" i="1"/>
  <c r="AG1100" i="1"/>
  <c r="AC1013" i="1"/>
  <c r="AG3139" i="1"/>
  <c r="AG2693" i="1"/>
  <c r="AC258" i="1"/>
  <c r="AC1153" i="1"/>
  <c r="AC1484" i="1"/>
  <c r="Z1790" i="1"/>
  <c r="BJ2074" i="1"/>
  <c r="AC2745" i="1"/>
  <c r="AC1564" i="1"/>
  <c r="AD715" i="1"/>
  <c r="AA444" i="1"/>
  <c r="Z1695" i="1"/>
  <c r="AB1471" i="1"/>
  <c r="BJ2800" i="1"/>
  <c r="AG2827" i="1"/>
  <c r="AA1117" i="1"/>
  <c r="AA2792" i="1"/>
  <c r="AG3029" i="1"/>
  <c r="AD1194" i="1"/>
  <c r="AG2124" i="1"/>
  <c r="AA1019" i="1"/>
  <c r="AC2345" i="1"/>
  <c r="AG1617" i="1"/>
  <c r="AB2575" i="1"/>
  <c r="Z1292" i="1"/>
  <c r="AG2565" i="1"/>
  <c r="AG1703" i="1"/>
  <c r="BJ1657" i="1"/>
  <c r="AG303" i="1"/>
  <c r="AA2199" i="1"/>
  <c r="AB3014" i="1"/>
  <c r="AD173" i="1"/>
  <c r="Z3000" i="1"/>
  <c r="AD3025" i="1"/>
  <c r="Z239" i="1"/>
  <c r="BJ2725" i="1"/>
  <c r="AC1088" i="1"/>
  <c r="AG23" i="1"/>
  <c r="AG629" i="1"/>
  <c r="BJ2087" i="1"/>
  <c r="AD93" i="1"/>
  <c r="AC1618" i="1"/>
  <c r="AD998" i="1"/>
  <c r="AC3040" i="1"/>
  <c r="AC1842" i="1"/>
  <c r="AB2005" i="1"/>
  <c r="AA1981" i="1"/>
  <c r="AA2003" i="1"/>
  <c r="AG1972" i="1"/>
  <c r="AC1353" i="1"/>
  <c r="AA3099" i="1"/>
  <c r="AC936" i="1"/>
  <c r="AD438" i="1"/>
  <c r="BJ3127" i="1"/>
  <c r="BJ798" i="1"/>
  <c r="Z2318" i="1"/>
  <c r="BJ1010" i="1"/>
  <c r="BJ554" i="1"/>
  <c r="AC376" i="1"/>
  <c r="AB2405" i="1"/>
  <c r="AA389" i="1"/>
  <c r="BJ2983" i="1"/>
  <c r="AA2922" i="1"/>
  <c r="AD2209" i="1"/>
  <c r="AB2469" i="1"/>
  <c r="AD2725" i="1"/>
  <c r="AG2869" i="1"/>
  <c r="AD1259" i="1"/>
  <c r="Z2490" i="1"/>
  <c r="AB1521" i="1"/>
  <c r="Z1774" i="1"/>
  <c r="AC59" i="1"/>
  <c r="AG456" i="1"/>
  <c r="BJ2420" i="1"/>
  <c r="AA889" i="1"/>
  <c r="BJ2923" i="1"/>
  <c r="AB1186" i="1"/>
  <c r="AB25" i="1"/>
  <c r="Z2657" i="1"/>
  <c r="AG331" i="1"/>
  <c r="AC209" i="1"/>
  <c r="BJ908" i="1"/>
  <c r="AD529" i="1"/>
  <c r="AC1421" i="1"/>
  <c r="AD493" i="1"/>
  <c r="Z2975" i="1"/>
  <c r="AG2847" i="1"/>
  <c r="AA2134" i="1"/>
  <c r="AD3129" i="1"/>
  <c r="AB1203" i="1"/>
  <c r="AB1338" i="1"/>
  <c r="AA2858" i="1"/>
  <c r="AA2395" i="1"/>
  <c r="AC2755" i="1"/>
  <c r="BJ2186" i="1"/>
  <c r="AB2745" i="1"/>
  <c r="AD30" i="1"/>
  <c r="AD634" i="1"/>
  <c r="BJ2987" i="1"/>
  <c r="AA1731" i="1"/>
  <c r="BJ3144" i="1"/>
  <c r="AG2815" i="1"/>
  <c r="AA2597" i="1"/>
  <c r="AG531" i="1"/>
  <c r="AA2164" i="1"/>
  <c r="BJ44" i="1"/>
  <c r="AD712" i="1"/>
  <c r="AG1548" i="1"/>
  <c r="AG1655" i="1"/>
  <c r="AD1665" i="1"/>
  <c r="AB1718" i="1"/>
  <c r="AA2315" i="1"/>
  <c r="Z1319" i="1"/>
  <c r="Z554" i="1"/>
  <c r="AB2826" i="1"/>
  <c r="BJ1093" i="1"/>
  <c r="AC89" i="1"/>
  <c r="AG2479" i="1"/>
  <c r="AA2100" i="1"/>
  <c r="AG980" i="1"/>
  <c r="Z1733" i="1"/>
  <c r="BJ1101" i="1"/>
  <c r="BJ98" i="1"/>
  <c r="AA1925" i="1"/>
  <c r="AD1144" i="1"/>
  <c r="AB2456" i="1"/>
  <c r="Z3079" i="1"/>
  <c r="AG34" i="1"/>
  <c r="Z2769" i="1"/>
  <c r="AD2623" i="1"/>
  <c r="Z782" i="1"/>
  <c r="AB2373" i="1"/>
  <c r="AB1109" i="1"/>
  <c r="Z2451" i="1"/>
  <c r="AC514" i="1"/>
  <c r="AC1275" i="1"/>
  <c r="AA1780" i="1"/>
  <c r="Z2149" i="1"/>
  <c r="BJ2738" i="1"/>
  <c r="AA386" i="1"/>
  <c r="AD450" i="1"/>
  <c r="AC1259" i="1"/>
  <c r="AG3087" i="1"/>
  <c r="AB1509" i="1"/>
  <c r="Z2863" i="1"/>
  <c r="AG547" i="1"/>
  <c r="AC1333" i="1"/>
  <c r="AC861" i="1"/>
  <c r="BJ1485" i="1"/>
  <c r="AC842" i="1"/>
  <c r="AG2243" i="1"/>
  <c r="AA2670" i="1"/>
  <c r="AC1356" i="1"/>
  <c r="AB629" i="1"/>
  <c r="Z2656" i="1"/>
  <c r="BJ431" i="1"/>
  <c r="AA1792" i="1"/>
  <c r="AD3056" i="1"/>
  <c r="AC1881" i="1"/>
  <c r="AD2822" i="1"/>
  <c r="AD3136" i="1"/>
  <c r="BJ2807" i="1"/>
  <c r="AA3035" i="1"/>
  <c r="AG1582" i="1"/>
  <c r="AA2065" i="1"/>
  <c r="AB1540" i="1"/>
  <c r="BJ935" i="1"/>
  <c r="AD2926" i="1"/>
  <c r="AA58" i="1"/>
  <c r="AC1385" i="1"/>
  <c r="Z1806" i="1"/>
  <c r="AB1797" i="1"/>
  <c r="AA1570" i="1"/>
  <c r="AB225" i="1"/>
  <c r="BJ1290" i="1"/>
  <c r="BJ1638" i="1"/>
  <c r="AA1394" i="1"/>
  <c r="AA1641" i="1"/>
  <c r="Z2093" i="1"/>
  <c r="AC669" i="1"/>
  <c r="AG2851" i="1"/>
  <c r="Z2909" i="1"/>
  <c r="AB1158" i="1"/>
  <c r="AG2080" i="1"/>
  <c r="AA502" i="1"/>
  <c r="AC1292" i="1"/>
  <c r="AD3154" i="1"/>
  <c r="Z1103" i="1"/>
  <c r="AC2006" i="1"/>
  <c r="AG2149" i="1"/>
  <c r="AD1370" i="1"/>
  <c r="AA750" i="1"/>
  <c r="AG2130" i="1"/>
  <c r="BJ238" i="1"/>
  <c r="BJ1842" i="1"/>
  <c r="Z780" i="1"/>
  <c r="AC792" i="1"/>
  <c r="AC217" i="1"/>
  <c r="AD620" i="1"/>
  <c r="AA2862" i="1"/>
  <c r="AD2172" i="1"/>
  <c r="Z1998" i="1"/>
  <c r="AB548" i="1"/>
  <c r="AD3072" i="1"/>
  <c r="AD1107" i="1"/>
  <c r="BJ2829" i="1"/>
  <c r="BJ1708" i="1"/>
  <c r="AB263" i="1"/>
  <c r="AA1442" i="1"/>
  <c r="AD1216" i="1"/>
  <c r="Z78" i="1"/>
  <c r="AA228" i="1"/>
  <c r="AG1453" i="1"/>
  <c r="AD522" i="1"/>
  <c r="AB1860" i="1"/>
  <c r="AB2933" i="1"/>
  <c r="AB139" i="1"/>
  <c r="Z1593" i="1"/>
  <c r="Z2997" i="1"/>
  <c r="AD2166" i="1"/>
  <c r="AC2261" i="1"/>
  <c r="AB2351" i="1"/>
  <c r="Z486" i="1"/>
  <c r="AC1051" i="1"/>
  <c r="Z1471" i="1"/>
  <c r="AD3128" i="1"/>
  <c r="AB2059" i="1"/>
  <c r="AD2939" i="1"/>
  <c r="Z1466" i="1"/>
  <c r="BJ727" i="1"/>
  <c r="AB2403" i="1"/>
  <c r="AG1776" i="1"/>
  <c r="AB993" i="1"/>
  <c r="Z241" i="1"/>
  <c r="AC1052" i="1"/>
  <c r="AG1337" i="1"/>
  <c r="Z2247" i="1"/>
  <c r="BJ2841" i="1"/>
  <c r="Z3004" i="1"/>
  <c r="AD1291" i="1"/>
  <c r="AG2664" i="1"/>
  <c r="AG1480" i="1"/>
  <c r="AC2964" i="1"/>
  <c r="AG1320" i="1"/>
  <c r="Z1277" i="1"/>
  <c r="Z3136" i="1"/>
  <c r="AB45" i="1"/>
  <c r="AG1616" i="1"/>
  <c r="AD1493" i="1"/>
  <c r="AC1818" i="1"/>
  <c r="AG536" i="1"/>
  <c r="AA82" i="1"/>
  <c r="AG2699" i="1"/>
  <c r="AB649" i="1"/>
  <c r="AB271" i="1"/>
  <c r="AB2137" i="1"/>
  <c r="AC1191" i="1"/>
  <c r="AG1222" i="1"/>
  <c r="AG285" i="1"/>
  <c r="AD1464" i="1"/>
  <c r="AB1693" i="1"/>
  <c r="AG1546" i="1"/>
  <c r="AB588" i="1"/>
  <c r="AD660" i="1"/>
  <c r="AD414" i="1"/>
  <c r="AB1208" i="1"/>
  <c r="AB759" i="1"/>
  <c r="AC1919" i="1"/>
  <c r="AC890" i="1"/>
  <c r="AC2227" i="1"/>
  <c r="AC2859" i="1"/>
  <c r="BJ877" i="1"/>
  <c r="Z2799" i="1"/>
  <c r="AA2234" i="1"/>
  <c r="Z2875" i="1"/>
  <c r="Z1564" i="1"/>
  <c r="Z2870" i="1"/>
  <c r="Z2175" i="1"/>
  <c r="AA832" i="1"/>
  <c r="AD272" i="1"/>
  <c r="AG2885" i="1"/>
  <c r="AD2018" i="1"/>
  <c r="Z643" i="1"/>
  <c r="AC2369" i="1"/>
  <c r="AA268" i="1"/>
  <c r="AA1743" i="1"/>
  <c r="AC2753" i="1"/>
  <c r="AC516" i="1"/>
  <c r="AD2411" i="1"/>
  <c r="AB1310" i="1"/>
  <c r="AG2922" i="1"/>
  <c r="AC2441" i="1"/>
  <c r="AD729" i="1"/>
  <c r="AB2457" i="1"/>
  <c r="AG2962" i="1"/>
  <c r="AD2950" i="1"/>
  <c r="BJ48" i="1"/>
  <c r="AA1056" i="1"/>
  <c r="AA542" i="1"/>
  <c r="BJ95" i="1"/>
  <c r="BJ609" i="1"/>
  <c r="AB2809" i="1"/>
  <c r="AD1035" i="1"/>
  <c r="AB1692" i="1"/>
  <c r="AC2690" i="1"/>
  <c r="AA2362" i="1"/>
  <c r="AA1711" i="1"/>
  <c r="AB861" i="1"/>
  <c r="BJ2169" i="1"/>
  <c r="AC2552" i="1"/>
  <c r="AB2968" i="1"/>
  <c r="AA1741" i="1"/>
  <c r="AG2505" i="1"/>
  <c r="AC310" i="1"/>
  <c r="BJ291" i="1"/>
  <c r="AG1679" i="1"/>
  <c r="AC2550" i="1"/>
  <c r="AB2244" i="1"/>
  <c r="BJ457" i="1"/>
  <c r="BJ1186" i="1"/>
  <c r="AG1459" i="1"/>
  <c r="AC2803" i="1"/>
  <c r="AC2270" i="1"/>
  <c r="AD2049" i="1"/>
  <c r="AG1424" i="1"/>
  <c r="AA1599" i="1"/>
  <c r="AD1304" i="1"/>
  <c r="AA1220" i="1"/>
  <c r="Z479" i="1"/>
  <c r="AC2410" i="1"/>
  <c r="AG881" i="1"/>
  <c r="AG1251" i="1"/>
  <c r="Z281" i="1"/>
  <c r="BJ1295" i="1"/>
  <c r="Z983" i="1"/>
  <c r="AB2017" i="1"/>
  <c r="AC375" i="1"/>
  <c r="Z1303" i="1"/>
  <c r="AG1887" i="1"/>
  <c r="AB2914" i="1"/>
  <c r="AD1591" i="1"/>
  <c r="AC521" i="1"/>
  <c r="AC35" i="1"/>
  <c r="AC2425" i="1"/>
  <c r="AG574" i="1"/>
  <c r="AC3068" i="1"/>
  <c r="AA2906" i="1"/>
  <c r="AD2046" i="1"/>
  <c r="Z2555" i="1"/>
  <c r="AD356" i="1"/>
  <c r="Z1147" i="1"/>
  <c r="AG1717" i="1"/>
  <c r="AG2559" i="1"/>
  <c r="AA2104" i="1"/>
  <c r="AD2363" i="1"/>
  <c r="AA2533" i="1"/>
  <c r="Z1989" i="1"/>
  <c r="AD2902" i="1"/>
  <c r="AD1030" i="1"/>
  <c r="AG3108" i="1"/>
  <c r="BJ2861" i="1"/>
  <c r="AC1365" i="1"/>
  <c r="AB738" i="1"/>
  <c r="AD825" i="1"/>
  <c r="Z1969" i="1"/>
  <c r="AC1572" i="1"/>
  <c r="AA432" i="1"/>
  <c r="BJ2965" i="1"/>
  <c r="Z2462" i="1"/>
  <c r="AC2704" i="1"/>
  <c r="AA3011" i="1"/>
  <c r="AC2797" i="1"/>
  <c r="AB494" i="1"/>
  <c r="AG29" i="1"/>
  <c r="AD2925" i="1"/>
  <c r="AA1880" i="1"/>
  <c r="BJ1328" i="1"/>
  <c r="AB1205" i="1"/>
  <c r="Z1448" i="1"/>
  <c r="AA505" i="1"/>
  <c r="AC2912" i="1"/>
  <c r="AD1170" i="1"/>
  <c r="AD1484" i="1"/>
  <c r="AD1760" i="1"/>
  <c r="AB1138" i="1"/>
  <c r="AC2472" i="1"/>
  <c r="AC1931" i="1"/>
  <c r="AG588" i="1"/>
  <c r="AG2785" i="1"/>
  <c r="AB2255" i="1"/>
  <c r="AG1135" i="1"/>
  <c r="AA915" i="1"/>
  <c r="AB1965" i="1"/>
  <c r="AB2591" i="1"/>
  <c r="AG324" i="1"/>
  <c r="AB672" i="1"/>
  <c r="AA129" i="1"/>
  <c r="AD1661" i="1"/>
  <c r="AC813" i="1"/>
  <c r="AG261" i="1"/>
  <c r="AB279" i="1"/>
  <c r="AG2331" i="1"/>
  <c r="AB218" i="1"/>
  <c r="AA2093" i="1"/>
  <c r="AD1675" i="1"/>
  <c r="AG195" i="1"/>
  <c r="Z1066" i="1"/>
  <c r="AB2820" i="1"/>
  <c r="AD2614" i="1"/>
  <c r="AA1271" i="1"/>
  <c r="AD2217" i="1"/>
  <c r="AG800" i="1"/>
  <c r="Z374" i="1"/>
  <c r="AD1939" i="1"/>
  <c r="Z2346" i="1"/>
  <c r="AG1775" i="1"/>
  <c r="Z325" i="1"/>
  <c r="AG1023" i="1"/>
  <c r="AD2838" i="1"/>
  <c r="AG1487" i="1"/>
  <c r="BJ795" i="1"/>
  <c r="AA2791" i="1"/>
  <c r="AB2110" i="1"/>
  <c r="AG110" i="1"/>
  <c r="Z2046" i="1"/>
  <c r="AG1899" i="1"/>
  <c r="AG1448" i="1"/>
  <c r="AG210" i="1"/>
  <c r="AD994" i="1"/>
  <c r="Z2583" i="1"/>
  <c r="Z3098" i="1"/>
  <c r="AB1380" i="1"/>
  <c r="BJ2436" i="1"/>
  <c r="AA747" i="1"/>
  <c r="BJ2556" i="1"/>
  <c r="AC1462" i="1"/>
  <c r="Z3070" i="1"/>
  <c r="AB394" i="1"/>
  <c r="AC1086" i="1"/>
  <c r="Z1153" i="1"/>
  <c r="BJ901" i="1"/>
  <c r="Z631" i="1"/>
  <c r="BJ1660" i="1"/>
  <c r="AA2658" i="1"/>
  <c r="AB2149" i="1"/>
  <c r="BJ2559" i="1"/>
  <c r="BJ339" i="1"/>
  <c r="Z370" i="1"/>
  <c r="AC2741" i="1"/>
  <c r="AG1074" i="1"/>
  <c r="AC2157" i="1"/>
  <c r="AG238" i="1"/>
  <c r="AB1217" i="1"/>
  <c r="AG2771" i="1"/>
  <c r="AA74" i="1"/>
  <c r="AC1670" i="1"/>
  <c r="AB1465" i="1"/>
  <c r="AG2409" i="1"/>
  <c r="AG301" i="1"/>
  <c r="AG1925" i="1"/>
  <c r="AC1488" i="1"/>
  <c r="AA733" i="1"/>
  <c r="AC142" i="1"/>
  <c r="AC422" i="1"/>
  <c r="AB823" i="1"/>
  <c r="AB977" i="1"/>
  <c r="AB2892" i="1"/>
  <c r="Z1567" i="1"/>
  <c r="AD291" i="1"/>
  <c r="AD133" i="1"/>
  <c r="AC1102" i="1"/>
  <c r="AD507" i="1"/>
  <c r="BJ1102" i="1"/>
  <c r="AC1833" i="1"/>
  <c r="Z1721" i="1"/>
  <c r="Z979" i="1"/>
  <c r="AC1666" i="1"/>
  <c r="AA1010" i="1"/>
  <c r="Z2244" i="1"/>
  <c r="AG2960" i="1"/>
  <c r="AA997" i="1"/>
  <c r="Z793" i="1"/>
  <c r="AD553" i="1"/>
  <c r="AD121" i="1"/>
  <c r="Z2540" i="1"/>
  <c r="Z1545" i="1"/>
  <c r="AG1404" i="1"/>
  <c r="BJ729" i="1"/>
  <c r="AA275" i="1"/>
  <c r="AA1057" i="1"/>
  <c r="BJ2982" i="1"/>
  <c r="AB1386" i="1"/>
  <c r="AB525" i="1"/>
  <c r="AD1173" i="1"/>
  <c r="AG3035" i="1"/>
  <c r="Z681" i="1"/>
  <c r="AC675" i="1"/>
  <c r="AB744" i="1"/>
  <c r="AC3096" i="1"/>
  <c r="AA367" i="1"/>
  <c r="AA1466" i="1"/>
  <c r="AD971" i="1"/>
  <c r="AB2632" i="1"/>
  <c r="AA1189" i="1"/>
  <c r="AG2455" i="1"/>
  <c r="AG2348" i="1"/>
  <c r="Z651" i="1"/>
  <c r="AA593" i="1"/>
  <c r="AG688" i="1"/>
  <c r="AC585" i="1"/>
  <c r="AC2740" i="1"/>
  <c r="AD443" i="1"/>
  <c r="BJ2464" i="1"/>
  <c r="AC1684" i="1"/>
  <c r="AC602" i="1"/>
  <c r="BJ1192" i="1"/>
  <c r="AA3085" i="1"/>
  <c r="AB432" i="1"/>
  <c r="BJ463" i="1"/>
  <c r="AG774" i="1"/>
  <c r="BJ300" i="1"/>
  <c r="AA1171" i="1"/>
  <c r="BJ1398" i="1"/>
  <c r="Z1649" i="1"/>
  <c r="AD2909" i="1"/>
  <c r="AD638" i="1"/>
  <c r="AC2616" i="1"/>
  <c r="AC1750" i="1"/>
  <c r="Z3083" i="1"/>
  <c r="AD1919" i="1"/>
  <c r="AA2807" i="1"/>
  <c r="AA1629" i="1"/>
  <c r="AD338" i="1"/>
  <c r="AG663" i="1"/>
  <c r="AG2437" i="1"/>
  <c r="AD1361" i="1"/>
  <c r="AD839" i="1"/>
  <c r="AA1154" i="1"/>
  <c r="AC65" i="1"/>
  <c r="AD2783" i="1"/>
  <c r="AG508" i="1"/>
  <c r="BJ2995" i="1"/>
  <c r="AA2965" i="1"/>
  <c r="AG2230" i="1"/>
  <c r="Z2075" i="1"/>
  <c r="AC1442" i="1"/>
  <c r="AA3028" i="1"/>
  <c r="AG1355" i="1"/>
  <c r="Z933" i="1"/>
  <c r="AA2246" i="1"/>
  <c r="AA2383" i="1"/>
  <c r="AC1557" i="1"/>
  <c r="AA1623" i="1"/>
  <c r="AC1037" i="1"/>
  <c r="AC1698" i="1"/>
  <c r="AG3038" i="1"/>
  <c r="AD3002" i="1"/>
  <c r="AD1757" i="1"/>
  <c r="AG1853" i="1"/>
  <c r="BJ388" i="1"/>
  <c r="BJ1623" i="1"/>
  <c r="AA607" i="1"/>
  <c r="AD39" i="1"/>
  <c r="BJ3101" i="1"/>
  <c r="AG1213" i="1"/>
  <c r="AD1694" i="1"/>
  <c r="AD2025" i="1"/>
  <c r="AA2907" i="1"/>
  <c r="AC2809" i="1"/>
  <c r="AB183" i="1"/>
  <c r="AA1526" i="1"/>
  <c r="AG1905" i="1"/>
  <c r="AC1798" i="1"/>
  <c r="Z2230" i="1"/>
  <c r="AD2156" i="1"/>
  <c r="BJ2661" i="1"/>
  <c r="BJ1815" i="1"/>
  <c r="AB1136" i="1"/>
  <c r="Z2237" i="1"/>
  <c r="AG2802" i="1"/>
  <c r="AA2182" i="1"/>
  <c r="BJ2648" i="1"/>
  <c r="AG36" i="1"/>
  <c r="AC3137" i="1"/>
  <c r="AA1716" i="1"/>
  <c r="AD2505" i="1"/>
  <c r="AG2445" i="1"/>
  <c r="AB2862" i="1"/>
  <c r="AC1912" i="1"/>
  <c r="AB1618" i="1"/>
  <c r="AB1754" i="1"/>
  <c r="Z1378" i="1"/>
  <c r="AG2303" i="1"/>
  <c r="AA3123" i="1"/>
  <c r="Z559" i="1"/>
  <c r="AB493" i="1"/>
  <c r="AA452" i="1"/>
  <c r="AC329" i="1"/>
  <c r="AG3084" i="1"/>
  <c r="AG2592" i="1"/>
  <c r="AG593" i="1"/>
  <c r="AD3096" i="1"/>
  <c r="AG54" i="1"/>
  <c r="AG198" i="1"/>
  <c r="AB1559" i="1"/>
  <c r="AD307" i="1"/>
  <c r="AG2429" i="1"/>
  <c r="AA2795" i="1"/>
  <c r="BJ839" i="1"/>
  <c r="AA3001" i="1"/>
  <c r="AB1562" i="1"/>
  <c r="AB1174" i="1"/>
  <c r="BJ2776" i="1"/>
  <c r="BJ1177" i="1"/>
  <c r="AA835" i="1"/>
  <c r="Z2914" i="1"/>
  <c r="AC180" i="1"/>
  <c r="Z1296" i="1"/>
  <c r="AG1525" i="1"/>
  <c r="Z1606" i="1"/>
  <c r="AB2864" i="1"/>
  <c r="Z474" i="1"/>
  <c r="AB1165" i="1"/>
  <c r="AD1762" i="1"/>
  <c r="BJ712" i="1"/>
  <c r="AA2942" i="1"/>
  <c r="AC1010" i="1"/>
  <c r="AC1029" i="1"/>
  <c r="AA2040" i="1"/>
  <c r="BJ1234" i="1"/>
  <c r="AB144" i="1"/>
  <c r="BJ3033" i="1"/>
  <c r="AA2379" i="1"/>
  <c r="AB1372" i="1"/>
  <c r="AG2511" i="1"/>
  <c r="Z3049" i="1"/>
  <c r="AC1165" i="1"/>
  <c r="AC522" i="1"/>
  <c r="AG815" i="1"/>
  <c r="AD2833" i="1"/>
  <c r="AA728" i="1"/>
  <c r="AD1281" i="1"/>
  <c r="BJ803" i="1"/>
  <c r="AG2974" i="1"/>
  <c r="AD1581" i="1"/>
  <c r="AB1239" i="1"/>
  <c r="Z2374" i="1"/>
  <c r="AB480" i="1"/>
  <c r="AC1282" i="1"/>
  <c r="BJ387" i="1"/>
  <c r="BJ2123" i="1"/>
  <c r="Z143" i="1"/>
  <c r="AG64" i="1"/>
  <c r="Z2468" i="1"/>
  <c r="AA134" i="1"/>
  <c r="Z1016" i="1"/>
  <c r="AA2775" i="1"/>
  <c r="Z1784" i="1"/>
  <c r="Z3113" i="1"/>
  <c r="AB1954" i="1"/>
  <c r="AB792" i="1"/>
  <c r="AB170" i="1"/>
  <c r="AC2197" i="1"/>
  <c r="AG1788" i="1"/>
  <c r="Z938" i="1"/>
  <c r="AD299" i="1"/>
  <c r="AC1349" i="1"/>
  <c r="AD1806" i="1"/>
  <c r="AA2231" i="1"/>
  <c r="AA71" i="1"/>
  <c r="BJ2340" i="1"/>
  <c r="BJ785" i="1"/>
  <c r="Z3030" i="1"/>
  <c r="AA1513" i="1"/>
  <c r="AC2402" i="1"/>
  <c r="AB2614" i="1"/>
  <c r="AA2111" i="1"/>
  <c r="AA197" i="1"/>
  <c r="Z1332" i="1"/>
  <c r="AG1072" i="1"/>
  <c r="AA2847" i="1"/>
  <c r="AB175" i="1"/>
  <c r="Z1117" i="1"/>
  <c r="AA2868" i="1"/>
  <c r="BJ2918" i="1"/>
  <c r="AG1462" i="1"/>
  <c r="AC1553" i="1"/>
  <c r="AD295" i="1"/>
  <c r="AC2756" i="1"/>
  <c r="Z647" i="1"/>
  <c r="AG2099" i="1"/>
  <c r="AG1128" i="1"/>
  <c r="BJ1739" i="1"/>
  <c r="AG2706" i="1"/>
  <c r="AG319" i="1"/>
  <c r="AD2230" i="1"/>
  <c r="AG1406" i="1"/>
  <c r="AG2046" i="1"/>
  <c r="AB1126" i="1"/>
  <c r="AA2414" i="1"/>
  <c r="Z1119" i="1"/>
  <c r="AB1352" i="1"/>
  <c r="AB2423" i="1"/>
  <c r="AB1907" i="1"/>
  <c r="AG97" i="1"/>
  <c r="AA1374" i="1"/>
  <c r="AA823" i="1"/>
  <c r="AD2077" i="1"/>
  <c r="AD2446" i="1"/>
  <c r="AA1227" i="1"/>
  <c r="AC2672" i="1"/>
  <c r="AD1833" i="1"/>
  <c r="AC2879" i="1"/>
  <c r="Z339" i="1"/>
  <c r="AB801" i="1"/>
  <c r="AG730" i="1"/>
  <c r="BJ1993" i="1"/>
  <c r="BJ2355" i="1"/>
  <c r="AC305" i="1"/>
  <c r="AG2227" i="1"/>
  <c r="AG2730" i="1"/>
  <c r="AC282" i="1"/>
  <c r="AG2881" i="1"/>
  <c r="Z916" i="1"/>
  <c r="AC518" i="1"/>
  <c r="BJ134" i="1"/>
  <c r="AC3080" i="1"/>
  <c r="AB928" i="1"/>
  <c r="AB909" i="1"/>
  <c r="AC2131" i="1"/>
  <c r="AG2650" i="1"/>
  <c r="Z545" i="1"/>
  <c r="Z1628" i="1"/>
  <c r="AA154" i="1"/>
  <c r="AB1791" i="1"/>
  <c r="AG363" i="1"/>
  <c r="AA1593" i="1"/>
  <c r="AA30" i="1"/>
  <c r="AA2043" i="1"/>
  <c r="AB1870" i="1"/>
  <c r="AA2381" i="1"/>
  <c r="BJ1221" i="1"/>
  <c r="AA2153" i="1"/>
  <c r="Z1130" i="1"/>
  <c r="AA630" i="1"/>
  <c r="AD812" i="1"/>
  <c r="AC480" i="1"/>
  <c r="AG2221" i="1"/>
  <c r="Z620" i="1"/>
  <c r="AB914" i="1"/>
  <c r="AC825" i="1"/>
  <c r="AD1207" i="1"/>
  <c r="AG2616" i="1"/>
  <c r="AB1250" i="1"/>
  <c r="BJ269" i="1"/>
  <c r="AD2866" i="1"/>
  <c r="BJ749" i="1"/>
  <c r="Z2351" i="1"/>
  <c r="AB1484" i="1"/>
  <c r="AB227" i="1"/>
  <c r="AA1834" i="1"/>
  <c r="AG415" i="1"/>
  <c r="BJ1933" i="1"/>
  <c r="AC500" i="1"/>
  <c r="AG1929" i="1"/>
  <c r="AB729" i="1"/>
  <c r="AD850" i="1"/>
  <c r="Z1347" i="1"/>
  <c r="AC2515" i="1"/>
  <c r="AD2672" i="1"/>
  <c r="AC246" i="1"/>
  <c r="AA1364" i="1"/>
  <c r="AA1414" i="1"/>
  <c r="AB1842" i="1"/>
  <c r="AB2347" i="1"/>
  <c r="AG2092" i="1"/>
  <c r="AD350" i="1"/>
  <c r="BJ771" i="1"/>
  <c r="AC924" i="1"/>
  <c r="BJ2482" i="1"/>
  <c r="AC2500" i="1"/>
  <c r="AD3035" i="1"/>
  <c r="AA696" i="1"/>
  <c r="AB1078" i="1"/>
  <c r="AC2409" i="1"/>
  <c r="AD3020" i="1"/>
  <c r="AD1456" i="1"/>
  <c r="AC2389" i="1"/>
  <c r="Z2105" i="1"/>
  <c r="Z90" i="1"/>
  <c r="AG1950" i="1"/>
  <c r="AC821" i="1"/>
  <c r="AA1263" i="1"/>
  <c r="BJ1397" i="1"/>
  <c r="AC554" i="1"/>
  <c r="AG3118" i="1"/>
  <c r="Z537" i="1"/>
  <c r="AB1647" i="1"/>
  <c r="AC2606" i="1"/>
  <c r="BJ3099" i="1"/>
  <c r="AB2162" i="1"/>
  <c r="AB1318" i="1"/>
  <c r="AC1735" i="1"/>
  <c r="Z1720" i="1"/>
  <c r="AG1673" i="1"/>
  <c r="AB2840" i="1"/>
  <c r="BJ2126" i="1"/>
  <c r="BJ1763" i="1"/>
  <c r="AB422" i="1"/>
  <c r="BJ2503" i="1"/>
  <c r="AG611" i="1"/>
  <c r="AC1725" i="1"/>
  <c r="AD849" i="1"/>
  <c r="AG3105" i="1"/>
  <c r="Z2513" i="1"/>
  <c r="AG3047" i="1"/>
  <c r="AG2923" i="1"/>
  <c r="AB2996" i="1"/>
  <c r="AG1434" i="1"/>
  <c r="AD1653" i="1"/>
  <c r="AC34" i="1"/>
  <c r="AB1091" i="1"/>
  <c r="AG3093" i="1"/>
  <c r="Z1349" i="1"/>
  <c r="Z1367" i="1"/>
  <c r="Z2345" i="1"/>
  <c r="BJ342" i="1"/>
  <c r="AB1844" i="1"/>
  <c r="AB1747" i="1"/>
  <c r="AD1237" i="1"/>
  <c r="Z816" i="1"/>
  <c r="AD3000" i="1"/>
  <c r="AD1239" i="1"/>
  <c r="BJ212" i="1"/>
  <c r="AA1878" i="1"/>
  <c r="Z2532" i="1"/>
  <c r="AA1076" i="1"/>
  <c r="AB1900" i="1"/>
  <c r="AC1073" i="1"/>
  <c r="AD1819" i="1"/>
  <c r="AA933" i="1"/>
  <c r="AD1155" i="1"/>
  <c r="AG265" i="1"/>
  <c r="AB775" i="1"/>
  <c r="AD1445" i="1"/>
  <c r="AB1432" i="1"/>
  <c r="BJ664" i="1"/>
  <c r="AC1400" i="1"/>
  <c r="AB2006" i="1"/>
  <c r="AA2024" i="1"/>
  <c r="AB142" i="1"/>
  <c r="BJ2851" i="1"/>
  <c r="Z205" i="1"/>
  <c r="AG2066" i="1"/>
  <c r="Z2776" i="1"/>
  <c r="AA1375" i="1"/>
  <c r="BJ390" i="1"/>
  <c r="AA2088" i="1"/>
  <c r="AA286" i="1"/>
  <c r="AB2689" i="1"/>
  <c r="AA2227" i="1"/>
  <c r="AC1567" i="1"/>
  <c r="AG396" i="1"/>
  <c r="AB453" i="1"/>
  <c r="AB1577" i="1"/>
  <c r="AA1139" i="1"/>
  <c r="BJ202" i="1"/>
  <c r="AA306" i="1"/>
  <c r="Z1493" i="1"/>
  <c r="AD141" i="1"/>
  <c r="Z1516" i="1"/>
  <c r="AB1013" i="1"/>
  <c r="AB193" i="1"/>
  <c r="AB1231" i="1"/>
  <c r="AB851" i="1"/>
  <c r="AD1350" i="1"/>
  <c r="AD2624" i="1"/>
  <c r="AC1371" i="1"/>
  <c r="AD2535" i="1"/>
  <c r="AG1910" i="1"/>
  <c r="AC1173" i="1"/>
  <c r="AA2422" i="1"/>
  <c r="AC1722" i="1"/>
  <c r="AD2347" i="1"/>
  <c r="Z1224" i="1"/>
  <c r="BJ99" i="1"/>
  <c r="AB1857" i="1"/>
  <c r="AB3067" i="1"/>
  <c r="AA1561" i="1"/>
  <c r="Z1968" i="1"/>
  <c r="Z2793" i="1"/>
  <c r="BJ782" i="1"/>
  <c r="BJ896" i="1"/>
  <c r="AB604" i="1"/>
  <c r="AB1124" i="1"/>
  <c r="AC413" i="1"/>
  <c r="AG2609" i="1"/>
  <c r="AA1845" i="1"/>
  <c r="AB1605" i="1"/>
  <c r="AD1792" i="1"/>
  <c r="AC286" i="1"/>
  <c r="AB2312" i="1"/>
  <c r="AA2504" i="1"/>
  <c r="AD198" i="1"/>
  <c r="Z2961" i="1"/>
  <c r="AD1198" i="1"/>
  <c r="AG2168" i="1"/>
  <c r="AD1395" i="1"/>
  <c r="Z2239" i="1"/>
  <c r="AC1524" i="1"/>
  <c r="AB1383" i="1"/>
  <c r="Z337" i="1"/>
  <c r="AG28" i="1"/>
  <c r="AB739" i="1"/>
  <c r="AC680" i="1"/>
  <c r="BJ640" i="1"/>
  <c r="AA2096" i="1"/>
  <c r="AB3133" i="1"/>
  <c r="AA1609" i="1"/>
  <c r="AC2836" i="1"/>
  <c r="AA1029" i="1"/>
  <c r="AG1435" i="1"/>
  <c r="AD41" i="1"/>
  <c r="AG174" i="1"/>
  <c r="AB2018" i="1"/>
  <c r="AC655" i="1"/>
  <c r="AC2091" i="1"/>
  <c r="AC42" i="1"/>
  <c r="AD2552" i="1"/>
  <c r="AG165" i="1"/>
  <c r="AB1573" i="1"/>
  <c r="AD3146" i="1"/>
  <c r="AC1849" i="1"/>
  <c r="AG505" i="1"/>
  <c r="AB794" i="1"/>
  <c r="AC2319" i="1"/>
  <c r="AG2430" i="1"/>
  <c r="AG216" i="1"/>
  <c r="AG619" i="1"/>
  <c r="AA165" i="1"/>
  <c r="AG671" i="1"/>
  <c r="AC2151" i="1"/>
  <c r="AB1416" i="1"/>
  <c r="AG841" i="1"/>
  <c r="AD1702" i="1"/>
  <c r="AC1576" i="1"/>
  <c r="AB1028" i="1"/>
  <c r="Z227" i="1"/>
  <c r="AG127" i="1"/>
  <c r="AA18" i="1"/>
  <c r="AD402" i="1"/>
  <c r="BJ1973" i="1"/>
  <c r="AB718" i="1"/>
  <c r="AA1539" i="1"/>
  <c r="BJ2889" i="1"/>
  <c r="AA251" i="1"/>
  <c r="Z991" i="1"/>
  <c r="Z787" i="1"/>
  <c r="AD403" i="1"/>
  <c r="AB2578" i="1"/>
  <c r="AD2781" i="1"/>
  <c r="Z1535" i="1"/>
  <c r="Z2838" i="1"/>
  <c r="BJ1611" i="1"/>
  <c r="Z505" i="1"/>
  <c r="BJ2802" i="1"/>
  <c r="AG1493" i="1"/>
  <c r="Z1003" i="1"/>
  <c r="Z1690" i="1"/>
  <c r="AA1298" i="1"/>
  <c r="AB1721" i="1"/>
  <c r="AC1248" i="1"/>
  <c r="AB1498" i="1"/>
  <c r="AB387" i="1"/>
  <c r="AG997" i="1"/>
  <c r="AD3050" i="1"/>
  <c r="BJ391" i="1"/>
  <c r="BJ255" i="1"/>
  <c r="Z1614" i="1"/>
  <c r="AC1789" i="1"/>
  <c r="BJ2933" i="1"/>
  <c r="Z1708" i="1"/>
  <c r="Z2958" i="1"/>
  <c r="AG1614" i="1"/>
  <c r="AG949" i="1"/>
  <c r="Z1215" i="1"/>
  <c r="Z2805" i="1"/>
  <c r="Z2553" i="1"/>
  <c r="AG2539" i="1"/>
  <c r="AG716" i="1"/>
  <c r="AA2951" i="1"/>
  <c r="AG3040" i="1"/>
  <c r="AA303" i="1"/>
  <c r="AB751" i="1"/>
  <c r="AB586" i="1"/>
  <c r="BJ2899" i="1"/>
  <c r="AC1128" i="1"/>
  <c r="AD2906" i="1"/>
  <c r="AC1619" i="1"/>
  <c r="AC1386" i="1"/>
  <c r="AC1043" i="1"/>
  <c r="AD724" i="1"/>
  <c r="AA1415" i="1"/>
  <c r="AD2176" i="1"/>
  <c r="AB848" i="1"/>
  <c r="AB1607" i="1"/>
  <c r="AB226" i="1"/>
  <c r="Z2536" i="1"/>
  <c r="AB1087" i="1"/>
  <c r="BJ116" i="1"/>
  <c r="AD1953" i="1"/>
  <c r="Z463" i="1"/>
  <c r="BJ2530" i="1"/>
  <c r="BJ174" i="1"/>
  <c r="AA1509" i="1"/>
  <c r="AD795" i="1"/>
  <c r="BJ1629" i="1"/>
  <c r="AA1902" i="1"/>
  <c r="AC350" i="1"/>
  <c r="AA1875" i="1"/>
  <c r="Z126" i="1"/>
  <c r="AB1026" i="1"/>
  <c r="AB2807" i="1"/>
  <c r="AB2362" i="1"/>
  <c r="BJ2191" i="1"/>
  <c r="AA1749" i="1"/>
  <c r="AB1753" i="1"/>
  <c r="AG423" i="1"/>
  <c r="AB1676" i="1"/>
  <c r="AD261" i="1"/>
  <c r="AD1744" i="1"/>
  <c r="BJ1219" i="1"/>
  <c r="BJ2077" i="1"/>
  <c r="AD3045" i="1"/>
  <c r="AG2823" i="1"/>
  <c r="BJ344" i="1"/>
  <c r="AG512" i="1"/>
  <c r="AD1095" i="1"/>
  <c r="AA311" i="1"/>
  <c r="AA2645" i="1"/>
  <c r="BJ653" i="1"/>
  <c r="AD827" i="1"/>
  <c r="Z1064" i="1"/>
  <c r="AD2506" i="1"/>
  <c r="BJ952" i="1"/>
  <c r="BJ2113" i="1"/>
  <c r="AG480" i="1"/>
  <c r="Z1881" i="1"/>
  <c r="AD2379" i="1"/>
  <c r="AD708" i="1"/>
  <c r="AB646" i="1"/>
  <c r="AB3154" i="1"/>
  <c r="AA1587" i="1"/>
  <c r="AB2003" i="1"/>
  <c r="AA1903" i="1"/>
  <c r="AA1521" i="1"/>
  <c r="AG1669" i="1"/>
  <c r="AG573" i="1"/>
  <c r="BJ2737" i="1"/>
  <c r="AB1551" i="1"/>
  <c r="AB2271" i="1"/>
  <c r="AA3070" i="1"/>
  <c r="BJ2816" i="1"/>
  <c r="AC927" i="1"/>
  <c r="BJ3037" i="1"/>
  <c r="AC2115" i="1"/>
  <c r="AG321" i="1"/>
  <c r="AD1728" i="1"/>
  <c r="AG351" i="1"/>
  <c r="BJ1149" i="1"/>
  <c r="Z891" i="1"/>
  <c r="BJ2754" i="1"/>
  <c r="AG887" i="1"/>
  <c r="BJ1963" i="1"/>
  <c r="AA783" i="1"/>
  <c r="AC198" i="1"/>
  <c r="AD44" i="1"/>
  <c r="AG2534" i="1"/>
  <c r="AA621" i="1"/>
  <c r="AA2303" i="1"/>
  <c r="AB2225" i="1"/>
  <c r="AG76" i="1"/>
  <c r="AB1007" i="1"/>
  <c r="Z333" i="1"/>
  <c r="AC1393" i="1"/>
  <c r="AA287" i="1"/>
  <c r="Z2257" i="1"/>
  <c r="AB741" i="1"/>
  <c r="AA565" i="1"/>
  <c r="AD863" i="1"/>
  <c r="BJ1892" i="1"/>
  <c r="AB2508" i="1"/>
  <c r="BJ1342" i="1"/>
  <c r="AB2100" i="1"/>
  <c r="Z3029" i="1"/>
  <c r="Z107" i="1"/>
  <c r="AG690" i="1"/>
  <c r="Z754" i="1"/>
  <c r="AC3074" i="1"/>
  <c r="AA637" i="1"/>
  <c r="AA1043" i="1"/>
  <c r="BJ173" i="1"/>
  <c r="AC2037" i="1"/>
  <c r="AB2703" i="1"/>
  <c r="AG3151" i="1"/>
  <c r="AC1613" i="1"/>
  <c r="AD626" i="1"/>
  <c r="AG2224" i="1"/>
  <c r="AA580" i="1"/>
  <c r="AD2791" i="1"/>
  <c r="Z944" i="1"/>
  <c r="AG2027" i="1"/>
  <c r="AD565" i="1"/>
  <c r="AA1698" i="1"/>
  <c r="AB1913" i="1"/>
  <c r="Z1612" i="1"/>
  <c r="AD2234" i="1"/>
  <c r="AG2284" i="1"/>
  <c r="AB768" i="1"/>
  <c r="BJ1062" i="1"/>
  <c r="AD3064" i="1"/>
  <c r="AC1116" i="1"/>
  <c r="BJ2463" i="1"/>
  <c r="AA1360" i="1"/>
  <c r="BJ949" i="1"/>
  <c r="AB340" i="1"/>
  <c r="AD1746" i="1"/>
  <c r="Z223" i="1"/>
  <c r="AC135" i="1"/>
  <c r="AG1147" i="1"/>
  <c r="AD318" i="1"/>
  <c r="AD2107" i="1"/>
  <c r="AB3028" i="1"/>
  <c r="AD1568" i="1"/>
  <c r="Z614" i="1"/>
  <c r="AG1982" i="1"/>
  <c r="AC459" i="1"/>
  <c r="AA820" i="1"/>
  <c r="AD246" i="1"/>
  <c r="Z686" i="1"/>
  <c r="AA804" i="1"/>
  <c r="AA78" i="1"/>
  <c r="AC517" i="1"/>
  <c r="AC1664" i="1"/>
  <c r="BJ1167" i="1"/>
  <c r="AB2860" i="1"/>
  <c r="Z1840" i="1"/>
  <c r="AC2250" i="1"/>
  <c r="BJ123" i="1"/>
  <c r="AD2011" i="1"/>
  <c r="AG1235" i="1"/>
  <c r="AA1209" i="1"/>
  <c r="AB3069" i="1"/>
  <c r="AA2693" i="1"/>
  <c r="AD453" i="1"/>
  <c r="AC1295" i="1"/>
  <c r="AD2983" i="1"/>
  <c r="AG1764" i="1"/>
  <c r="AC1730" i="1"/>
  <c r="AC1408" i="1"/>
  <c r="AA1448" i="1"/>
  <c r="Z2638" i="1"/>
  <c r="Z2164" i="1"/>
  <c r="AD1824" i="1"/>
  <c r="AG2487" i="1"/>
  <c r="AA185" i="1"/>
  <c r="AD1093" i="1"/>
  <c r="AC841" i="1"/>
  <c r="BJ1420" i="1"/>
  <c r="Z397" i="1"/>
  <c r="Z1186" i="1"/>
  <c r="AD2355" i="1"/>
  <c r="AA2120" i="1"/>
  <c r="AC1897" i="1"/>
  <c r="BJ1174" i="1"/>
  <c r="AA1819" i="1"/>
  <c r="AA2616" i="1"/>
  <c r="BJ2140" i="1"/>
  <c r="AD319" i="1"/>
  <c r="Z1876" i="1"/>
  <c r="AC1206" i="1"/>
  <c r="AC2385" i="1"/>
  <c r="AA2713" i="1"/>
  <c r="Z3077" i="1"/>
  <c r="Z1827" i="1"/>
  <c r="AC2693" i="1"/>
  <c r="AA508" i="1"/>
  <c r="BJ1296" i="1"/>
  <c r="AC699" i="1"/>
  <c r="AA2772" i="1"/>
  <c r="Z230" i="1"/>
  <c r="AD1428" i="1"/>
  <c r="AG1421" i="1"/>
  <c r="AA1957" i="1"/>
  <c r="BJ1034" i="1"/>
  <c r="AB300" i="1"/>
  <c r="AD2786" i="1"/>
  <c r="AA1961" i="1"/>
  <c r="Z2078" i="1"/>
  <c r="AA49" i="1"/>
  <c r="Z796" i="1"/>
  <c r="AC3098" i="1"/>
  <c r="AC1114" i="1"/>
  <c r="AB756" i="1"/>
  <c r="Z1769" i="1"/>
  <c r="AA1652" i="1"/>
  <c r="AC1144" i="1"/>
  <c r="AA1443" i="1"/>
  <c r="AG2948" i="1"/>
  <c r="AD1836" i="1"/>
  <c r="AC354" i="1"/>
  <c r="AC1011" i="1"/>
  <c r="AG983" i="1"/>
  <c r="Z2436" i="1"/>
  <c r="AG1372" i="1"/>
  <c r="Z2412" i="1"/>
  <c r="AD429" i="1"/>
  <c r="AB1650" i="1"/>
  <c r="AA1549" i="1"/>
  <c r="AC1828" i="1"/>
  <c r="AD2754" i="1"/>
  <c r="AD1623" i="1"/>
  <c r="AA3014" i="1"/>
  <c r="AG1287" i="1"/>
  <c r="AA1734" i="1"/>
  <c r="Z3109" i="1"/>
  <c r="AC2840" i="1"/>
  <c r="BJ753" i="1"/>
  <c r="AB570" i="1"/>
  <c r="AG337" i="1"/>
  <c r="AD661" i="1"/>
  <c r="Z2902" i="1"/>
  <c r="AD2583" i="1"/>
  <c r="AG1243" i="1"/>
  <c r="AD1365" i="1"/>
  <c r="AA2905" i="1"/>
  <c r="AB136" i="1"/>
  <c r="AD2386" i="1"/>
  <c r="AC746" i="1"/>
  <c r="AD2304" i="1"/>
  <c r="AA2311" i="1"/>
  <c r="Z280" i="1"/>
  <c r="AG2941" i="1"/>
  <c r="BJ409" i="1"/>
  <c r="AA2998" i="1"/>
  <c r="Z1486" i="1"/>
  <c r="AB1617" i="1"/>
  <c r="AD471" i="1"/>
  <c r="BJ1561" i="1"/>
  <c r="Z2988" i="1"/>
  <c r="BJ1590" i="1"/>
  <c r="BJ2381" i="1"/>
  <c r="AA358" i="1"/>
  <c r="BJ878" i="1"/>
  <c r="AC1507" i="1"/>
  <c r="AA57" i="1"/>
  <c r="Z46" i="1"/>
  <c r="AB108" i="1"/>
  <c r="AG2257" i="1"/>
  <c r="AG2212" i="1"/>
  <c r="BJ2912" i="1"/>
  <c r="BJ3115" i="1"/>
  <c r="AB906" i="1"/>
  <c r="BJ646" i="1"/>
  <c r="BJ1347" i="1"/>
  <c r="AD2569" i="1"/>
  <c r="AB390" i="1"/>
  <c r="AD94" i="1"/>
  <c r="Z2333" i="1"/>
  <c r="AB1090" i="1"/>
  <c r="AC322" i="1"/>
  <c r="AG1342" i="1"/>
  <c r="AC1954" i="1"/>
  <c r="BJ1124" i="1"/>
  <c r="AA1877" i="1"/>
  <c r="AB2884" i="1"/>
  <c r="AA3053" i="1"/>
  <c r="AA2747" i="1"/>
  <c r="AC393" i="1"/>
  <c r="AD2060" i="1"/>
  <c r="AC1812" i="1"/>
  <c r="Z297" i="1"/>
  <c r="AG931" i="1"/>
  <c r="AB1967" i="1"/>
  <c r="AB2941" i="1"/>
  <c r="AD1388" i="1"/>
  <c r="Z2299" i="1"/>
  <c r="AA1732" i="1"/>
  <c r="AC1714" i="1"/>
  <c r="AA2143" i="1"/>
  <c r="AC575" i="1"/>
  <c r="AD1077" i="1"/>
  <c r="AD817" i="1"/>
  <c r="Z1125" i="1"/>
  <c r="Z95" i="1"/>
  <c r="AA512" i="1"/>
  <c r="AG1554" i="1"/>
  <c r="AC3049" i="1"/>
  <c r="AD1977" i="1"/>
  <c r="AB1709" i="1"/>
  <c r="BJ778" i="1"/>
  <c r="AG1273" i="1"/>
  <c r="BJ1519" i="1"/>
  <c r="BJ824" i="1"/>
  <c r="AC693" i="1"/>
  <c r="AC839" i="1"/>
  <c r="AA940" i="1"/>
  <c r="BJ1079" i="1"/>
  <c r="AG1236" i="1"/>
  <c r="AG879" i="1"/>
  <c r="BJ280" i="1"/>
  <c r="AC850" i="1"/>
  <c r="AD2043" i="1"/>
  <c r="AG2478" i="1"/>
  <c r="AD1690" i="1"/>
  <c r="AA1883" i="1"/>
  <c r="AB439" i="1"/>
  <c r="Z2950" i="1"/>
  <c r="AG2998" i="1"/>
  <c r="AC1556" i="1"/>
  <c r="BJ264" i="1"/>
  <c r="AA2090" i="1"/>
  <c r="Z2781" i="1"/>
  <c r="AG2166" i="1"/>
  <c r="AD1110" i="1"/>
  <c r="AA884" i="1"/>
  <c r="AG116" i="1"/>
  <c r="Z770" i="1"/>
  <c r="Z112" i="1"/>
  <c r="AD2243" i="1"/>
  <c r="AG2709" i="1"/>
  <c r="BJ2870" i="1"/>
  <c r="AD172" i="1"/>
  <c r="AA2733" i="1"/>
  <c r="AC2791" i="1"/>
  <c r="AG466" i="1"/>
  <c r="BJ613" i="1"/>
  <c r="AD2117" i="1"/>
  <c r="BJ3141" i="1"/>
  <c r="AA554" i="1"/>
  <c r="AA1801" i="1"/>
  <c r="AA70" i="1"/>
  <c r="AG3066" i="1"/>
  <c r="AD1087" i="1"/>
  <c r="AG2874" i="1"/>
  <c r="AD3098" i="1"/>
  <c r="AC122" i="1"/>
  <c r="Z2487" i="1"/>
  <c r="AD11" i="1"/>
  <c r="AB523" i="1"/>
  <c r="AD2930" i="1"/>
  <c r="Z2751" i="1"/>
  <c r="AB1106" i="1"/>
  <c r="AC1543" i="1"/>
  <c r="AD709" i="1"/>
  <c r="AC816" i="1"/>
  <c r="Z1852" i="1"/>
  <c r="Z1382" i="1"/>
  <c r="BJ2012" i="1"/>
  <c r="AA2613" i="1"/>
  <c r="Z678" i="1"/>
  <c r="AB2554" i="1"/>
  <c r="AB1356" i="1"/>
  <c r="AA479" i="1"/>
  <c r="BJ686" i="1"/>
  <c r="BJ1337" i="1"/>
  <c r="Z2818" i="1"/>
  <c r="AG2289" i="1"/>
  <c r="Z1735" i="1"/>
  <c r="AA1909" i="1"/>
  <c r="AB680" i="1"/>
  <c r="Z2460" i="1"/>
  <c r="BJ3060" i="1"/>
  <c r="BJ735" i="1"/>
  <c r="AB2652" i="1"/>
  <c r="AA1730" i="1"/>
  <c r="BJ1801" i="1"/>
  <c r="AB3119" i="1"/>
  <c r="Z2224" i="1"/>
  <c r="Z1551" i="1"/>
  <c r="AA2853" i="1"/>
  <c r="AD2587" i="1"/>
  <c r="AG1050" i="1"/>
  <c r="AD2290" i="1"/>
  <c r="Z1523" i="1"/>
  <c r="AC2566" i="1"/>
  <c r="AA32" i="1"/>
  <c r="AB1793" i="1"/>
  <c r="Z2321" i="1"/>
  <c r="BJ2063" i="1"/>
  <c r="AC263" i="1"/>
  <c r="AD1043" i="1"/>
  <c r="Z3051" i="1"/>
  <c r="AG1968" i="1"/>
  <c r="BJ2497" i="1"/>
  <c r="AA1586" i="1"/>
  <c r="AC3002" i="1"/>
  <c r="AA2192" i="1"/>
  <c r="AB1646" i="1"/>
  <c r="AC1693" i="1"/>
  <c r="AA3069" i="1"/>
  <c r="AA526" i="1"/>
  <c r="AA710" i="1"/>
  <c r="AB2912" i="1"/>
  <c r="AD1244" i="1"/>
  <c r="AG682" i="1"/>
  <c r="AA2412" i="1"/>
  <c r="AG1742" i="1"/>
  <c r="AG2208" i="1"/>
  <c r="AD1459" i="1"/>
  <c r="AB1084" i="1"/>
  <c r="Z1843" i="1"/>
  <c r="AC1517" i="1"/>
  <c r="AG175" i="1"/>
  <c r="AD1278" i="1"/>
  <c r="AA825" i="1"/>
  <c r="AB1704" i="1"/>
  <c r="AG1044" i="1"/>
  <c r="Z1287" i="1"/>
  <c r="AA75" i="1"/>
  <c r="AG2425" i="1"/>
  <c r="Z80" i="1"/>
  <c r="AB2212" i="1"/>
  <c r="AC2363" i="1"/>
  <c r="BJ3138" i="1"/>
  <c r="Z2218" i="1"/>
  <c r="AA2844" i="1"/>
  <c r="AD689" i="1"/>
  <c r="AA1824" i="1"/>
  <c r="AG276" i="1"/>
  <c r="AB2041" i="1"/>
  <c r="BJ2749" i="1"/>
  <c r="AD2103" i="1"/>
  <c r="AG1807" i="1"/>
  <c r="AD2336" i="1"/>
  <c r="AD1169" i="1"/>
  <c r="AC2265" i="1"/>
  <c r="AA731" i="1"/>
  <c r="AC866" i="1"/>
  <c r="BJ873" i="1"/>
  <c r="AG1586" i="1"/>
  <c r="AC1903" i="1"/>
  <c r="AA2602" i="1"/>
  <c r="AC2551" i="1"/>
  <c r="AD1393" i="1"/>
  <c r="AD2180" i="1"/>
  <c r="BJ2302" i="1"/>
  <c r="BJ2121" i="1"/>
  <c r="AD2221" i="1"/>
  <c r="AB205" i="1"/>
  <c r="BJ2658" i="1"/>
  <c r="AG2641" i="1"/>
  <c r="AC630" i="1"/>
  <c r="BJ2593" i="1"/>
  <c r="AB2779" i="1"/>
  <c r="AB1024" i="1"/>
  <c r="AB1740" i="1"/>
  <c r="AB2415" i="1"/>
  <c r="AG1332" i="1"/>
  <c r="AA529" i="1"/>
  <c r="Z3003" i="1"/>
  <c r="AB846" i="1"/>
  <c r="AB1531" i="1"/>
  <c r="AC380" i="1"/>
  <c r="AG215" i="1"/>
  <c r="Z2986" i="1"/>
  <c r="AA2331" i="1"/>
  <c r="Z2985" i="1"/>
  <c r="AC2452" i="1"/>
  <c r="AD409" i="1"/>
  <c r="BJ1729" i="1"/>
  <c r="BJ928" i="1"/>
  <c r="AD2242" i="1"/>
  <c r="AG2961" i="1"/>
  <c r="AG341" i="1"/>
  <c r="AB3141" i="1"/>
  <c r="AB605" i="1"/>
  <c r="AC2946" i="1"/>
  <c r="BJ3137" i="1"/>
  <c r="AD1225" i="1"/>
  <c r="AG2274" i="1"/>
  <c r="AD2888" i="1"/>
  <c r="BJ1542" i="1"/>
  <c r="AG1861" i="1"/>
  <c r="AB745" i="1"/>
  <c r="Z271" i="1"/>
  <c r="Z1858" i="1"/>
  <c r="AC504" i="1"/>
  <c r="AA2819" i="1"/>
  <c r="AA790" i="1"/>
  <c r="AB2015" i="1"/>
  <c r="AG1142" i="1"/>
  <c r="AG852" i="1"/>
  <c r="AB302" i="1"/>
  <c r="Z1373" i="1"/>
  <c r="BJ297" i="1"/>
  <c r="Z940" i="1"/>
  <c r="Z1775" i="1"/>
  <c r="AD1976" i="1"/>
  <c r="AC1716" i="1"/>
  <c r="BJ1833" i="1"/>
  <c r="AB219" i="1"/>
  <c r="BJ1715" i="1"/>
  <c r="AA1177" i="1"/>
  <c r="AD2677" i="1"/>
  <c r="Z1253" i="1"/>
  <c r="AD3062" i="1"/>
  <c r="AB3068" i="1"/>
  <c r="AG2504" i="1"/>
  <c r="AA855" i="1"/>
  <c r="AG1002" i="1"/>
  <c r="AA1102" i="1"/>
  <c r="AA2702" i="1"/>
  <c r="AD2310" i="1"/>
  <c r="AD2836" i="1"/>
  <c r="AC1345" i="1"/>
  <c r="BJ1179" i="1"/>
  <c r="Z934" i="1"/>
  <c r="AC959" i="1"/>
  <c r="AA1215" i="1"/>
  <c r="BJ2276" i="1"/>
  <c r="AB1836" i="1"/>
  <c r="Z3022" i="1"/>
  <c r="AC2965" i="1"/>
  <c r="AG638" i="1"/>
  <c r="AA2994" i="1"/>
  <c r="Z504" i="1"/>
  <c r="AA632" i="1"/>
  <c r="AB534" i="1"/>
  <c r="Z384" i="1"/>
  <c r="AG894" i="1"/>
  <c r="AD2323" i="1"/>
  <c r="Z3121" i="1"/>
  <c r="BJ1577" i="1"/>
  <c r="AG2701" i="1"/>
  <c r="AA1149" i="1"/>
  <c r="AG1608" i="1"/>
  <c r="AD1122" i="1"/>
  <c r="AB2019" i="1"/>
  <c r="AD2136" i="1"/>
  <c r="BJ2441" i="1"/>
  <c r="Z879" i="1"/>
  <c r="Z2273" i="1"/>
  <c r="AC3125" i="1"/>
  <c r="AB1472" i="1"/>
  <c r="AG892" i="1"/>
  <c r="AB1039" i="1"/>
  <c r="BJ719" i="1"/>
  <c r="AC1651" i="1"/>
  <c r="Z1872" i="1"/>
  <c r="AC1364" i="1"/>
  <c r="AC1195" i="1"/>
  <c r="AC2348" i="1"/>
  <c r="BJ2842" i="1"/>
  <c r="AB2637" i="1"/>
  <c r="AG722" i="1"/>
  <c r="AB1687" i="1"/>
  <c r="AB1151" i="1"/>
  <c r="AA1715" i="1"/>
  <c r="AD2721" i="1"/>
  <c r="AG2524" i="1"/>
  <c r="AB239" i="1"/>
  <c r="BJ2170" i="1"/>
  <c r="AG472" i="1"/>
  <c r="AG2089" i="1"/>
  <c r="AG1253" i="1"/>
  <c r="AD742" i="1"/>
  <c r="Z476" i="1"/>
  <c r="BJ106" i="1"/>
  <c r="AA711" i="1"/>
  <c r="AC1648" i="1"/>
  <c r="AG3154" i="1"/>
  <c r="AD677" i="1"/>
  <c r="AA1758" i="1"/>
  <c r="BJ105" i="1"/>
  <c r="BJ3067" i="1"/>
  <c r="AD1045" i="1"/>
  <c r="AA54" i="1"/>
  <c r="AG476" i="1"/>
  <c r="AD1978" i="1"/>
  <c r="Z1059" i="1"/>
  <c r="AG1813" i="1"/>
  <c r="BJ1027" i="1"/>
  <c r="BJ2094" i="1"/>
  <c r="AG2694" i="1"/>
  <c r="AD2616" i="1"/>
  <c r="AC1558" i="1"/>
  <c r="Z525" i="1"/>
  <c r="AC259" i="1"/>
  <c r="AC1050" i="1"/>
  <c r="AG551" i="1"/>
  <c r="BJ1262" i="1"/>
  <c r="AA2478" i="1"/>
  <c r="AA106" i="1"/>
  <c r="AD594" i="1"/>
  <c r="BJ1195" i="1"/>
  <c r="AA2604" i="1"/>
  <c r="AC1319" i="1"/>
  <c r="AB313" i="1"/>
  <c r="AC1603" i="1"/>
  <c r="AD75" i="1"/>
  <c r="AD197" i="1"/>
  <c r="AG2432" i="1"/>
  <c r="Z1194" i="1"/>
  <c r="AB2330" i="1"/>
  <c r="AA1079" i="1"/>
  <c r="Z2330" i="1"/>
  <c r="AD1717" i="1"/>
  <c r="AC708" i="1"/>
  <c r="AB1188" i="1"/>
  <c r="AC562" i="1"/>
  <c r="BJ2902" i="1"/>
  <c r="AC169" i="1"/>
  <c r="AA3098" i="1"/>
  <c r="AC765" i="1"/>
  <c r="AC1235" i="1"/>
  <c r="AA2152" i="1"/>
  <c r="AB2552" i="1"/>
  <c r="Z2006" i="1"/>
  <c r="Z361" i="1"/>
  <c r="AD220" i="1"/>
  <c r="AG2784" i="1"/>
  <c r="BJ1362" i="1"/>
  <c r="AG1692" i="1"/>
  <c r="AA600" i="1"/>
  <c r="BJ932" i="1"/>
  <c r="AC476" i="1"/>
  <c r="AB2243" i="1"/>
  <c r="AC2584" i="1"/>
  <c r="AD2542" i="1"/>
  <c r="AC443" i="1"/>
  <c r="AD300" i="1"/>
  <c r="BJ2515" i="1"/>
  <c r="AA850" i="1"/>
  <c r="Z1928" i="1"/>
  <c r="AC1005" i="1"/>
  <c r="AC1146" i="1"/>
  <c r="AD253" i="1"/>
  <c r="AA1092" i="1"/>
  <c r="AG172" i="1"/>
  <c r="BJ2484" i="1"/>
  <c r="BJ2574" i="1"/>
  <c r="AB1129" i="1"/>
  <c r="AC668" i="1"/>
  <c r="AA2928" i="1"/>
  <c r="AD2932" i="1"/>
  <c r="AC1801" i="1"/>
  <c r="BJ1203" i="1"/>
  <c r="AD1522" i="1"/>
  <c r="Z1856" i="1"/>
  <c r="AD2151" i="1"/>
  <c r="AA2045" i="1"/>
  <c r="AG170" i="1"/>
  <c r="AD3092" i="1"/>
  <c r="AD2367" i="1"/>
  <c r="AD1358" i="1"/>
  <c r="AB1648" i="1"/>
  <c r="BJ718" i="1"/>
  <c r="AA2896" i="1"/>
  <c r="AA2587" i="1"/>
  <c r="AA2497" i="1"/>
  <c r="BJ2602" i="1"/>
  <c r="AB1264" i="1"/>
  <c r="BJ2570" i="1"/>
  <c r="AD1964" i="1"/>
  <c r="AA833" i="1"/>
  <c r="AG3092" i="1"/>
  <c r="AD1236" i="1"/>
  <c r="AA1239" i="1"/>
  <c r="AC335" i="1"/>
  <c r="BJ915" i="1"/>
  <c r="Z311" i="1"/>
  <c r="AC2211" i="1"/>
  <c r="AC2343" i="1"/>
  <c r="AB149" i="1"/>
  <c r="Z2979" i="1"/>
  <c r="AB1355" i="1"/>
  <c r="AG2254" i="1"/>
  <c r="AD2874" i="1"/>
  <c r="BJ246" i="1"/>
  <c r="BJ3133" i="1"/>
  <c r="AC2066" i="1"/>
  <c r="BJ2192" i="1"/>
  <c r="AA667" i="1"/>
  <c r="AC3130" i="1"/>
  <c r="AC2989" i="1"/>
  <c r="AC3097" i="1"/>
  <c r="BJ1307" i="1"/>
  <c r="AB1424" i="1"/>
  <c r="AC1998" i="1"/>
  <c r="BJ2268" i="1"/>
  <c r="AD2921" i="1"/>
  <c r="AG2083" i="1"/>
  <c r="AD1408" i="1"/>
  <c r="AC87" i="1"/>
  <c r="BJ1115" i="1"/>
  <c r="BJ532" i="1"/>
  <c r="AB2530" i="1"/>
  <c r="AA2911" i="1"/>
  <c r="Z2766" i="1"/>
  <c r="AA708" i="1"/>
  <c r="AD1934" i="1"/>
  <c r="AA2890" i="1"/>
  <c r="AG2240" i="1"/>
  <c r="BJ426" i="1"/>
  <c r="BJ1750" i="1"/>
  <c r="AB2434" i="1"/>
  <c r="AB57" i="1"/>
  <c r="Z2521" i="1"/>
  <c r="AB2504" i="1"/>
  <c r="Z2802" i="1"/>
  <c r="AG1352" i="1"/>
  <c r="BJ3001" i="1"/>
  <c r="AA1892" i="1"/>
  <c r="AC2256" i="1"/>
  <c r="AB1100" i="1"/>
  <c r="AB2251" i="1"/>
  <c r="AG3023" i="1"/>
  <c r="AA2840" i="1"/>
  <c r="AD182" i="1"/>
  <c r="AC782" i="1"/>
  <c r="Z2840" i="1"/>
  <c r="Z854" i="1"/>
  <c r="Z2266" i="1"/>
  <c r="AC11" i="1"/>
  <c r="AG1804" i="1"/>
  <c r="AB1474" i="1"/>
  <c r="BJ132" i="1"/>
  <c r="AB1494" i="1"/>
  <c r="BJ2929" i="1"/>
  <c r="BJ358" i="1"/>
  <c r="AC1083" i="1"/>
  <c r="AB929" i="1"/>
  <c r="BJ200" i="1"/>
  <c r="BJ2822" i="1"/>
  <c r="AC1435" i="1"/>
  <c r="AG3068" i="1"/>
  <c r="AB1652" i="1"/>
  <c r="AC2677" i="1"/>
  <c r="AA89" i="1"/>
  <c r="AA2869" i="1"/>
  <c r="AA705" i="1"/>
  <c r="Z1290" i="1"/>
  <c r="AB459" i="1"/>
  <c r="AC351" i="1"/>
  <c r="BJ1775" i="1"/>
  <c r="AC2150" i="1"/>
  <c r="AA1013" i="1"/>
  <c r="AA1826" i="1"/>
  <c r="Z639" i="1"/>
  <c r="AA231" i="1"/>
  <c r="AB580" i="1"/>
  <c r="AG576" i="1"/>
  <c r="Z2637" i="1"/>
  <c r="AG783" i="1"/>
  <c r="AB2157" i="1"/>
  <c r="AG1842" i="1"/>
  <c r="Z1196" i="1"/>
  <c r="AC1379" i="1"/>
  <c r="AC2366" i="1"/>
  <c r="Z1156" i="1"/>
  <c r="AG398" i="1"/>
  <c r="Z2742" i="1"/>
  <c r="Z2418" i="1"/>
  <c r="AA1106" i="1"/>
  <c r="Z580" i="1"/>
  <c r="AC848" i="1"/>
  <c r="AA462" i="1"/>
  <c r="Z178" i="1"/>
  <c r="Z2370" i="1"/>
  <c r="Z2556" i="1"/>
  <c r="Z2511" i="1"/>
  <c r="AA2913" i="1"/>
  <c r="AB1547" i="1"/>
  <c r="BJ334" i="1"/>
  <c r="Z428" i="1"/>
  <c r="AA2333" i="1"/>
  <c r="Z1143" i="1"/>
  <c r="Z1927" i="1"/>
  <c r="Z1108" i="1"/>
  <c r="BJ2291" i="1"/>
  <c r="BJ1453" i="1"/>
  <c r="AB1169" i="1"/>
  <c r="AG1638" i="1"/>
  <c r="AB2528" i="1"/>
  <c r="AC2807" i="1"/>
  <c r="AD2953" i="1"/>
  <c r="AC2657" i="1"/>
  <c r="AD1684" i="1"/>
  <c r="AD398" i="1"/>
  <c r="BJ225" i="1"/>
  <c r="AC2993" i="1"/>
  <c r="BJ2583" i="1"/>
  <c r="AB816" i="1"/>
  <c r="BJ706" i="1"/>
  <c r="AC3135" i="1"/>
  <c r="AC1375" i="1"/>
  <c r="Z1661" i="1"/>
  <c r="BJ1324" i="1"/>
  <c r="AA2213" i="1"/>
  <c r="BJ3008" i="1"/>
  <c r="AG990" i="1"/>
  <c r="AD2007" i="1"/>
  <c r="AC179" i="1"/>
  <c r="Z2506" i="1"/>
  <c r="AG1636" i="1"/>
  <c r="AD1372" i="1"/>
  <c r="BJ2330" i="1"/>
  <c r="Z2147" i="1"/>
  <c r="Z2443" i="1"/>
  <c r="AC2442" i="1"/>
  <c r="AB2079" i="1"/>
  <c r="Z2896" i="1"/>
  <c r="AB3065" i="1"/>
  <c r="AA2203" i="1"/>
  <c r="AG1675" i="1"/>
  <c r="AD1161" i="1"/>
  <c r="AC1796" i="1"/>
  <c r="BJ3027" i="1"/>
  <c r="AB838" i="1"/>
  <c r="AC3079" i="1"/>
  <c r="Z683" i="1"/>
  <c r="AD10" i="1"/>
  <c r="Z611" i="1"/>
  <c r="Z331" i="1"/>
  <c r="BJ2046" i="1"/>
  <c r="AB353" i="1"/>
  <c r="AC166" i="1"/>
  <c r="AD2613" i="1"/>
  <c r="AD1336" i="1"/>
  <c r="BJ2849" i="1"/>
  <c r="AC2667" i="1"/>
  <c r="AC425" i="1"/>
  <c r="AC1456" i="1"/>
  <c r="BJ284" i="1"/>
  <c r="AG2140" i="1"/>
  <c r="AC829" i="1"/>
  <c r="Z2955" i="1"/>
  <c r="AD981" i="1"/>
  <c r="AG2993" i="1"/>
  <c r="Z2929" i="1"/>
  <c r="AB616" i="1"/>
  <c r="AD3031" i="1"/>
  <c r="AD698" i="1"/>
  <c r="AG2135" i="1"/>
  <c r="AG59" i="1"/>
  <c r="AB1294" i="1"/>
  <c r="Z1802" i="1"/>
  <c r="AD1360" i="1"/>
  <c r="BJ2821" i="1"/>
  <c r="BJ972" i="1"/>
  <c r="AD655" i="1"/>
  <c r="Z2780" i="1"/>
  <c r="AC3151" i="1"/>
  <c r="AB527" i="1"/>
  <c r="AD681" i="1"/>
  <c r="AB2678" i="1"/>
  <c r="AG1373" i="1"/>
  <c r="AG962" i="1"/>
  <c r="Z427" i="1"/>
  <c r="AA2522" i="1"/>
  <c r="AC1156" i="1"/>
  <c r="AB3044" i="1"/>
  <c r="Z2026" i="1"/>
  <c r="AB2564" i="1"/>
  <c r="AG226" i="1"/>
  <c r="Z2563" i="1"/>
  <c r="Z1873" i="1"/>
  <c r="AG2400" i="1"/>
  <c r="AC560" i="1"/>
  <c r="AA1969" i="1"/>
  <c r="AG2397" i="1"/>
  <c r="AD937" i="1"/>
  <c r="BJ2390" i="1"/>
  <c r="AB334" i="1"/>
  <c r="AD2831" i="1"/>
  <c r="AA1588" i="1"/>
  <c r="AB2071" i="1"/>
  <c r="AA1833" i="1"/>
  <c r="BJ3075" i="1"/>
  <c r="Z3046" i="1"/>
  <c r="AG1445" i="1"/>
  <c r="AD1150" i="1"/>
  <c r="AC1585" i="1"/>
  <c r="AB2257" i="1"/>
  <c r="AB2342" i="1"/>
  <c r="AA2064" i="1"/>
  <c r="BJ267" i="1"/>
  <c r="AB908" i="1"/>
  <c r="AB1588" i="1"/>
  <c r="Z2508" i="1"/>
  <c r="AA2423" i="1"/>
  <c r="AG2587" i="1"/>
  <c r="AC1853" i="1"/>
  <c r="Z2853" i="1"/>
  <c r="BJ2597" i="1"/>
  <c r="AD2619" i="1"/>
  <c r="AD2954" i="1"/>
  <c r="AG1335" i="1"/>
  <c r="AG1408" i="1"/>
  <c r="Z1231" i="1"/>
  <c r="AA2880" i="1"/>
  <c r="AD1245" i="1"/>
  <c r="AG1516" i="1"/>
  <c r="Z272" i="1"/>
  <c r="BJ1457" i="1"/>
  <c r="Z1765" i="1"/>
  <c r="AD1843" i="1"/>
  <c r="BJ2193" i="1"/>
  <c r="AG2336" i="1"/>
  <c r="AA2145" i="1"/>
  <c r="AB3020" i="1"/>
  <c r="AA2433" i="1"/>
  <c r="AA1483" i="1"/>
  <c r="AD3073" i="1"/>
  <c r="AA3115" i="1"/>
  <c r="AD2828" i="1"/>
  <c r="AG2077" i="1"/>
  <c r="AC1434" i="1"/>
  <c r="AA2671" i="1"/>
  <c r="AB2758" i="1"/>
  <c r="AB932" i="1"/>
  <c r="BJ2118" i="1"/>
  <c r="AD2842" i="1"/>
  <c r="AB384" i="1"/>
  <c r="AD2047" i="1"/>
  <c r="Z1107" i="1"/>
  <c r="AB2390" i="1"/>
  <c r="Z2252" i="1"/>
  <c r="AA497" i="1"/>
  <c r="AB2309" i="1"/>
  <c r="BJ92" i="1"/>
  <c r="BJ2616" i="1"/>
  <c r="AD2239" i="1"/>
  <c r="AG642" i="1"/>
  <c r="AD2440" i="1"/>
  <c r="AC573" i="1"/>
  <c r="AG2501" i="1"/>
  <c r="AA1893" i="1"/>
  <c r="AA2549" i="1"/>
  <c r="AD1268" i="1"/>
  <c r="AA426" i="1"/>
  <c r="BJ2664" i="1"/>
  <c r="AA2452" i="1"/>
  <c r="AC394" i="1"/>
  <c r="AB2761" i="1"/>
  <c r="BJ2637" i="1"/>
  <c r="AC943" i="1"/>
  <c r="BJ1240" i="1"/>
  <c r="Z1048" i="1"/>
  <c r="AB2947" i="1"/>
  <c r="AB3089" i="1"/>
  <c r="AD2211" i="1"/>
  <c r="AB1139" i="1"/>
  <c r="AC894" i="1"/>
  <c r="AB2284" i="1"/>
  <c r="AB1366" i="1"/>
  <c r="AB2821" i="1"/>
  <c r="AA2325" i="1"/>
  <c r="AB845" i="1"/>
  <c r="AB1982" i="1"/>
  <c r="BJ2999" i="1"/>
  <c r="AC284" i="1"/>
  <c r="AD17" i="1"/>
  <c r="AB201" i="1"/>
  <c r="AD1494" i="1"/>
  <c r="BJ2043" i="1"/>
  <c r="AD2877" i="1"/>
  <c r="BJ2122" i="1"/>
  <c r="AD2112" i="1"/>
  <c r="BJ14" i="1"/>
  <c r="Z93" i="1"/>
  <c r="AC206" i="1"/>
  <c r="AD2272" i="1"/>
  <c r="AC3059" i="1"/>
  <c r="Z1437" i="1"/>
  <c r="AA2651" i="1"/>
  <c r="AC1000" i="1"/>
  <c r="AC2505" i="1"/>
  <c r="AC1022" i="1"/>
  <c r="AC2636" i="1"/>
  <c r="AD844" i="1"/>
  <c r="AA159" i="1"/>
  <c r="AB1029" i="1"/>
  <c r="AB1552" i="1"/>
  <c r="Z3075" i="1"/>
  <c r="AG920" i="1"/>
  <c r="AG1167" i="1"/>
  <c r="AC783" i="1"/>
  <c r="AB216" i="1"/>
  <c r="AB2185" i="1"/>
  <c r="AC53" i="1"/>
  <c r="AG1087" i="1"/>
  <c r="BJ1116" i="1"/>
  <c r="BJ1523" i="1"/>
  <c r="BJ1150" i="1"/>
  <c r="AG2673" i="1"/>
  <c r="AA2188" i="1"/>
  <c r="AC1301" i="1"/>
  <c r="BJ81" i="1"/>
  <c r="BJ2067" i="1"/>
  <c r="Z255" i="1"/>
  <c r="AG979" i="1"/>
  <c r="AC1629" i="1"/>
  <c r="Z1823" i="1"/>
  <c r="AG2059" i="1"/>
  <c r="BJ59" i="1"/>
  <c r="AD160" i="1"/>
  <c r="BJ539" i="1"/>
  <c r="AA1728" i="1"/>
  <c r="Z329" i="1"/>
  <c r="AB2382" i="1"/>
  <c r="Z2469" i="1"/>
  <c r="AB1969" i="1"/>
  <c r="AB1951" i="1"/>
  <c r="Z2856" i="1"/>
  <c r="AA2428" i="1"/>
  <c r="AG1456" i="1"/>
  <c r="AA3022" i="1"/>
  <c r="AD2823" i="1"/>
  <c r="AA520" i="1"/>
  <c r="AD1931" i="1"/>
  <c r="BJ1522" i="1"/>
  <c r="AD2961" i="1"/>
  <c r="AA1182" i="1"/>
  <c r="BJ2429" i="1"/>
  <c r="AA285" i="1"/>
  <c r="AG719" i="1"/>
  <c r="AC863" i="1"/>
  <c r="AB2768" i="1"/>
  <c r="AG2041" i="1"/>
  <c r="AA2406" i="1"/>
  <c r="BJ100" i="1"/>
  <c r="AA1085" i="1"/>
  <c r="AC2162" i="1"/>
  <c r="BJ2248" i="1"/>
  <c r="AC247" i="1"/>
  <c r="AG2722" i="1"/>
  <c r="AD1654" i="1"/>
  <c r="AB1820" i="1"/>
  <c r="Z2784" i="1"/>
  <c r="AB1641" i="1"/>
  <c r="AA361" i="1"/>
  <c r="BJ1215" i="1"/>
  <c r="AB1867" i="1"/>
  <c r="AD1078" i="1"/>
  <c r="Z1462" i="1"/>
  <c r="AB1813" i="1"/>
  <c r="AB1393" i="1"/>
  <c r="AD568" i="1"/>
  <c r="AC1563" i="1"/>
  <c r="AB1351" i="1"/>
  <c r="AG2732" i="1"/>
  <c r="Z2560" i="1"/>
  <c r="AD2447" i="1"/>
  <c r="Z1011" i="1"/>
  <c r="AG1988" i="1"/>
  <c r="AC1985" i="1"/>
  <c r="AC1045" i="1"/>
  <c r="AC1438" i="1"/>
  <c r="AG1567" i="1"/>
  <c r="Z1061" i="1"/>
  <c r="AC281" i="1"/>
  <c r="AC2467" i="1"/>
  <c r="AD1605" i="1"/>
  <c r="AA1638" i="1"/>
  <c r="BJ45" i="1"/>
  <c r="AB709" i="1"/>
  <c r="AG1555" i="1"/>
  <c r="AB2532" i="1"/>
  <c r="BJ1361" i="1"/>
  <c r="AG1159" i="1"/>
  <c r="AD587" i="1"/>
  <c r="AB2239" i="1"/>
  <c r="AG386" i="1"/>
  <c r="AC1383" i="1"/>
  <c r="Z2894" i="1"/>
  <c r="AD176" i="1"/>
  <c r="AG1096" i="1"/>
  <c r="AA821" i="1"/>
  <c r="AG1017" i="1"/>
  <c r="AD1769" i="1"/>
  <c r="AG639" i="1"/>
  <c r="AD2428" i="1"/>
  <c r="AB1961" i="1"/>
  <c r="AB736" i="1"/>
  <c r="AG1081" i="1"/>
  <c r="AC235" i="1"/>
  <c r="BJ1235" i="1"/>
  <c r="AB333" i="1"/>
  <c r="AC1382" i="1"/>
  <c r="Z498" i="1"/>
  <c r="AC2011" i="1"/>
  <c r="AA21" i="1"/>
  <c r="AB1384" i="1"/>
  <c r="AB270" i="1"/>
  <c r="Z1075" i="1"/>
  <c r="AG2711" i="1"/>
  <c r="AC1159" i="1"/>
  <c r="AG1876" i="1"/>
  <c r="AA622" i="1"/>
  <c r="Z163" i="1"/>
  <c r="AC1875" i="1"/>
  <c r="AA337" i="1"/>
  <c r="AA3146" i="1"/>
  <c r="AG320" i="1"/>
  <c r="AG1676" i="1"/>
  <c r="AG568" i="1"/>
  <c r="BJ2619" i="1"/>
  <c r="AA1351" i="1"/>
  <c r="AG2067" i="1"/>
  <c r="AD1707" i="1"/>
  <c r="AC2185" i="1"/>
  <c r="AD2792" i="1"/>
  <c r="AA2659" i="1"/>
  <c r="BJ2653" i="1"/>
  <c r="AB2569" i="1"/>
  <c r="AC388" i="1"/>
  <c r="AG657" i="1"/>
  <c r="Z508" i="1"/>
  <c r="AD1116" i="1"/>
  <c r="AD3094" i="1"/>
  <c r="AD882" i="1"/>
  <c r="AA2255" i="1"/>
  <c r="Z2976" i="1"/>
  <c r="BJ570" i="1"/>
  <c r="Z2003" i="1"/>
  <c r="AA461" i="1"/>
  <c r="BJ923" i="1"/>
  <c r="AA2128" i="1"/>
  <c r="AG427" i="1"/>
  <c r="Z1467" i="1"/>
  <c r="AG1992" i="1"/>
  <c r="AA3000" i="1"/>
  <c r="Z2932" i="1"/>
  <c r="AA1353" i="1"/>
  <c r="AB2980" i="1"/>
  <c r="AC2576" i="1"/>
  <c r="AG2015" i="1"/>
  <c r="AG55" i="1"/>
  <c r="AG2788" i="1"/>
  <c r="AG1631" i="1"/>
  <c r="BJ41" i="1"/>
  <c r="Z2694" i="1"/>
  <c r="AG1024" i="1"/>
  <c r="AB2121" i="1"/>
  <c r="AD1195" i="1"/>
  <c r="AA1673" i="1"/>
  <c r="AG2910" i="1"/>
  <c r="BJ776" i="1"/>
  <c r="AC1542" i="1"/>
  <c r="AD2419" i="1"/>
  <c r="AD1741" i="1"/>
  <c r="Z286" i="1"/>
  <c r="Z2692" i="1"/>
  <c r="BJ730" i="1"/>
  <c r="AD1186" i="1"/>
  <c r="AA2506" i="1"/>
  <c r="AC1310" i="1"/>
  <c r="AC944" i="1"/>
  <c r="AC2811" i="1"/>
  <c r="AC1814" i="1"/>
  <c r="AD1747" i="1"/>
  <c r="AA2498" i="1"/>
  <c r="Z17" i="1"/>
  <c r="BJ2895" i="1"/>
  <c r="AA130" i="1"/>
  <c r="AD1572" i="1"/>
  <c r="AG2196" i="1"/>
  <c r="AA578" i="1"/>
  <c r="AD2556" i="1"/>
  <c r="Z2139" i="1"/>
  <c r="AG1246" i="1"/>
  <c r="AC1504" i="1"/>
  <c r="AD1913" i="1"/>
  <c r="AG2845" i="1"/>
  <c r="AD1098" i="1"/>
  <c r="AC3127" i="1"/>
  <c r="AD489" i="1"/>
  <c r="AB2088" i="1"/>
  <c r="AA2187" i="1"/>
  <c r="AD866" i="1"/>
  <c r="BJ934" i="1"/>
  <c r="AB891" i="1"/>
  <c r="AG579" i="1"/>
  <c r="AB1259" i="1"/>
  <c r="AG2600" i="1"/>
  <c r="Z147" i="1"/>
  <c r="AB1519" i="1"/>
  <c r="AA1160" i="1"/>
  <c r="AB2424" i="1"/>
  <c r="BJ1201" i="1"/>
  <c r="AA1011" i="1"/>
  <c r="AB880" i="1"/>
  <c r="BJ3053" i="1"/>
  <c r="BJ551" i="1"/>
  <c r="AG173" i="1"/>
  <c r="AD2694" i="1"/>
  <c r="AB451" i="1"/>
  <c r="AD1814" i="1"/>
  <c r="AB2204" i="1"/>
  <c r="Z2243" i="1"/>
  <c r="BJ1827" i="1"/>
  <c r="AA2815" i="1"/>
  <c r="AG378" i="1"/>
  <c r="AD1549" i="1"/>
  <c r="AD2913" i="1"/>
  <c r="BJ314" i="1"/>
  <c r="AG2281" i="1"/>
  <c r="AA325" i="1"/>
  <c r="AD808" i="1"/>
  <c r="AA1648" i="1"/>
  <c r="BJ1907" i="1"/>
  <c r="AD2330" i="1"/>
  <c r="AG618" i="1"/>
  <c r="AG2808" i="1"/>
  <c r="AG670" i="1"/>
  <c r="AC2788" i="1"/>
  <c r="AB1995" i="1"/>
  <c r="AC1520" i="1"/>
  <c r="AA971" i="1"/>
  <c r="AG2098" i="1"/>
  <c r="Z1547" i="1"/>
  <c r="AB663" i="1"/>
  <c r="Z49" i="1"/>
  <c r="AC1974" i="1"/>
  <c r="AA1312" i="1"/>
  <c r="AB2925" i="1"/>
  <c r="AB1875" i="1"/>
  <c r="AC440" i="1"/>
  <c r="AG494" i="1"/>
  <c r="AC332" i="1"/>
  <c r="AA1342" i="1"/>
  <c r="AG460" i="1"/>
  <c r="AG873" i="1"/>
  <c r="Z1967" i="1"/>
  <c r="Z1844" i="1"/>
  <c r="AA2337" i="1"/>
  <c r="AA2624" i="1"/>
  <c r="AB3059" i="1"/>
  <c r="AG525" i="1"/>
  <c r="AD1301" i="1"/>
  <c r="AB1213" i="1"/>
  <c r="Z1304" i="1"/>
  <c r="BJ2913" i="1"/>
  <c r="AB2341" i="1"/>
  <c r="AB2387" i="1"/>
  <c r="AA322" i="1"/>
  <c r="AD955" i="1"/>
  <c r="Z524" i="1"/>
  <c r="AD1908" i="1"/>
  <c r="AG32" i="1"/>
  <c r="AA2583" i="1"/>
  <c r="AA1144" i="1"/>
  <c r="AD323" i="1"/>
  <c r="AD2729" i="1"/>
  <c r="AD3111" i="1"/>
  <c r="AA956" i="1"/>
  <c r="BJ24" i="1"/>
  <c r="BJ2981" i="1"/>
  <c r="AG498" i="1"/>
  <c r="AC138" i="1"/>
  <c r="AG1590" i="1"/>
  <c r="AC2251" i="1"/>
  <c r="AB2863" i="1"/>
  <c r="AC3149" i="1"/>
  <c r="AA1760" i="1"/>
  <c r="AC2587" i="1"/>
  <c r="AD2375" i="1"/>
  <c r="AD152" i="1"/>
  <c r="Z3006" i="1"/>
  <c r="AB1346" i="1"/>
  <c r="AA1128" i="1"/>
  <c r="BJ290" i="1"/>
  <c r="BJ183" i="1"/>
  <c r="AG347" i="1"/>
  <c r="AG2200" i="1"/>
  <c r="AB329" i="1"/>
  <c r="AA2063" i="1"/>
  <c r="AA453" i="1"/>
  <c r="AC2014" i="1"/>
  <c r="AA1124" i="1"/>
  <c r="AA2957" i="1"/>
  <c r="Z697" i="1"/>
  <c r="Z1725" i="1"/>
  <c r="AA900" i="1"/>
  <c r="AB635" i="1"/>
  <c r="AC103" i="1"/>
  <c r="AB1143" i="1"/>
  <c r="AD791" i="1"/>
  <c r="AB1527" i="1"/>
  <c r="AD1742" i="1"/>
  <c r="BJ2395" i="1"/>
  <c r="BJ2989" i="1"/>
  <c r="AD1720" i="1"/>
  <c r="AG2740" i="1"/>
  <c r="AG2419" i="1"/>
  <c r="AA1675" i="1"/>
  <c r="AG616" i="1"/>
  <c r="AA2528" i="1"/>
  <c r="AG1001" i="1"/>
  <c r="AB687" i="1"/>
  <c r="BJ1808" i="1"/>
  <c r="BJ3013" i="1"/>
  <c r="AG2540" i="1"/>
  <c r="BJ1338" i="1"/>
  <c r="AA1397" i="1"/>
  <c r="AG537" i="1"/>
  <c r="BJ3014" i="1"/>
  <c r="AA1188" i="1"/>
  <c r="BJ1782" i="1"/>
  <c r="AG1438" i="1"/>
  <c r="BJ2364" i="1"/>
  <c r="AB1130" i="1"/>
  <c r="AC250" i="1"/>
  <c r="BJ1950" i="1"/>
  <c r="AB2953" i="1"/>
  <c r="AB2354" i="1"/>
  <c r="AB374" i="1"/>
  <c r="AA2223" i="1"/>
  <c r="AA2930" i="1"/>
  <c r="AA2305" i="1"/>
  <c r="AA2709" i="1"/>
  <c r="AC2706" i="1"/>
  <c r="AC2884" i="1"/>
  <c r="AC2403" i="1"/>
  <c r="Z1920" i="1"/>
  <c r="AB2611" i="1"/>
  <c r="AC192" i="1"/>
  <c r="AD1638" i="1"/>
  <c r="AB1234" i="1"/>
  <c r="AC1626" i="1"/>
  <c r="AC2303" i="1"/>
  <c r="AB2919" i="1"/>
  <c r="BJ360" i="1"/>
  <c r="AD1308" i="1"/>
  <c r="AA2629" i="1"/>
  <c r="AD575" i="1"/>
  <c r="BJ793" i="1"/>
  <c r="Z2452" i="1"/>
  <c r="AB566" i="1"/>
  <c r="AB265" i="1"/>
  <c r="AG732" i="1"/>
  <c r="AA1669" i="1"/>
  <c r="AD331" i="1"/>
  <c r="Z2535" i="1"/>
  <c r="AD2655" i="1"/>
  <c r="AC2981" i="1"/>
  <c r="AB1864" i="1"/>
  <c r="Z1359" i="1"/>
  <c r="BJ2824" i="1"/>
  <c r="AG2179" i="1"/>
  <c r="AA903" i="1"/>
  <c r="Z1495" i="1"/>
  <c r="AD1982" i="1"/>
  <c r="AA1398" i="1"/>
  <c r="Z2792" i="1"/>
  <c r="AD1966" i="1"/>
  <c r="AB261" i="1"/>
  <c r="AG860" i="1"/>
  <c r="Z2888" i="1"/>
  <c r="AG1607" i="1"/>
  <c r="AC1304" i="1"/>
  <c r="AC1844" i="1"/>
  <c r="AC664" i="1"/>
  <c r="AG268" i="1"/>
  <c r="AC2390" i="1"/>
  <c r="AB434" i="1"/>
  <c r="AD2603" i="1"/>
  <c r="AA117" i="1"/>
  <c r="AC923" i="1"/>
  <c r="AG632" i="1"/>
  <c r="AA2979" i="1"/>
  <c r="AB581" i="1"/>
  <c r="AA829" i="1"/>
  <c r="BJ42" i="1"/>
  <c r="AD2022" i="1"/>
  <c r="BJ1371" i="1"/>
  <c r="AA1733" i="1"/>
  <c r="AC1720" i="1"/>
  <c r="BJ2072" i="1"/>
  <c r="Z72" i="1"/>
  <c r="AA2531" i="1"/>
  <c r="AB1096" i="1"/>
  <c r="Z750" i="1"/>
  <c r="BJ1369" i="1"/>
  <c r="AB2009" i="1"/>
  <c r="BJ3089" i="1"/>
  <c r="AB3002" i="1"/>
  <c r="AA43" i="1"/>
  <c r="AC1103" i="1"/>
  <c r="AC2583" i="1"/>
  <c r="BJ2316" i="1"/>
  <c r="AG483" i="1"/>
  <c r="AC1923" i="1"/>
  <c r="AB2099" i="1"/>
  <c r="BJ1858" i="1"/>
  <c r="AC2814" i="1"/>
  <c r="AB2852" i="1"/>
  <c r="AD2652" i="1"/>
  <c r="AD1791" i="1"/>
  <c r="AD2895" i="1"/>
  <c r="AA754" i="1"/>
  <c r="AD683" i="1"/>
  <c r="Z2660" i="1"/>
  <c r="AA1775" i="1"/>
  <c r="AB2724" i="1"/>
  <c r="AG2064" i="1"/>
  <c r="AC986" i="1"/>
  <c r="Z165" i="1"/>
  <c r="AB2348" i="1"/>
  <c r="Z2423" i="1"/>
  <c r="Z1757" i="1"/>
  <c r="AG2170" i="1"/>
  <c r="AB3129" i="1"/>
  <c r="AG2427" i="1"/>
  <c r="AB2253" i="1"/>
  <c r="Z3074" i="1"/>
  <c r="AD2566" i="1"/>
  <c r="BJ2911" i="1"/>
  <c r="AB3099" i="1"/>
  <c r="AC1806" i="1"/>
  <c r="AA2625" i="1"/>
  <c r="AA2962" i="1"/>
  <c r="AB2106" i="1"/>
  <c r="AA194" i="1"/>
  <c r="AG859" i="1"/>
  <c r="BJ1606" i="1"/>
  <c r="AA1910" i="1"/>
  <c r="Z725" i="1"/>
  <c r="BJ1069" i="1"/>
  <c r="AA1770" i="1"/>
  <c r="AC2074" i="1"/>
  <c r="AC2772" i="1"/>
  <c r="Z2940" i="1"/>
  <c r="Z2530" i="1"/>
  <c r="AG2831" i="1"/>
  <c r="AD1177" i="1"/>
  <c r="AC2186" i="1"/>
  <c r="AC1166" i="1"/>
  <c r="AD3138" i="1"/>
  <c r="AG1599" i="1"/>
  <c r="BJ1797" i="1"/>
  <c r="AB2207" i="1"/>
  <c r="Z2464" i="1"/>
  <c r="AD720" i="1"/>
  <c r="AB2737" i="1"/>
  <c r="Z1643" i="1"/>
  <c r="BJ107" i="1"/>
  <c r="AA2196" i="1"/>
  <c r="BJ2585" i="1"/>
  <c r="AA2266" i="1"/>
  <c r="Z634" i="1"/>
  <c r="AA226" i="1"/>
  <c r="AA1512" i="1"/>
  <c r="AB2653" i="1"/>
  <c r="BJ1935" i="1"/>
  <c r="Z795" i="1"/>
  <c r="Z290" i="1"/>
  <c r="AD876" i="1"/>
  <c r="AA2455" i="1"/>
  <c r="BJ659" i="1"/>
  <c r="AC133" i="1"/>
  <c r="BJ2461" i="1"/>
  <c r="AC2411" i="1"/>
  <c r="BJ2404" i="1"/>
  <c r="AB513" i="1"/>
  <c r="AA2468" i="1"/>
  <c r="AG1346" i="1"/>
  <c r="AB1507" i="1"/>
  <c r="BJ2434" i="1"/>
  <c r="AG1709" i="1"/>
  <c r="BJ781" i="1"/>
  <c r="AG432" i="1"/>
  <c r="AC2806" i="1"/>
  <c r="AB1278" i="1"/>
  <c r="AB1877" i="1"/>
  <c r="AC2709" i="1"/>
  <c r="AA1075" i="1"/>
  <c r="AG2373" i="1"/>
  <c r="BJ420" i="1"/>
  <c r="AC2002" i="1"/>
  <c r="AB423" i="1"/>
  <c r="Z646" i="1"/>
  <c r="AC1673" i="1"/>
  <c r="Z2341" i="1"/>
  <c r="AC2447" i="1"/>
  <c r="AC694" i="1"/>
  <c r="AB1056" i="1"/>
  <c r="Z2404" i="1"/>
  <c r="AB2201" i="1"/>
  <c r="BJ1406" i="1"/>
  <c r="AB2165" i="1"/>
  <c r="Z1722" i="1"/>
  <c r="AB1153" i="1"/>
  <c r="AA1467" i="1"/>
  <c r="BJ237" i="1"/>
  <c r="AG1670" i="1"/>
  <c r="Z898" i="1"/>
  <c r="AG2187" i="1"/>
  <c r="AD579" i="1"/>
  <c r="AD2206" i="1"/>
  <c r="AG2720" i="1"/>
  <c r="Z1984" i="1"/>
  <c r="AG2356" i="1"/>
  <c r="AA2874" i="1"/>
  <c r="BJ177" i="1"/>
  <c r="Z2171" i="1"/>
  <c r="AC1953" i="1"/>
  <c r="AG2666" i="1"/>
  <c r="AG2533" i="1"/>
  <c r="AA1033" i="1"/>
  <c r="Z859" i="1"/>
  <c r="AA152" i="1"/>
  <c r="AD1373" i="1"/>
  <c r="AA2530" i="1"/>
  <c r="Z413" i="1"/>
  <c r="AD81" i="1"/>
  <c r="AG2286" i="1"/>
  <c r="AB1814" i="1"/>
  <c r="AD420" i="1"/>
  <c r="AD2722" i="1"/>
  <c r="AD2491" i="1"/>
  <c r="AB215" i="1"/>
  <c r="AC2618" i="1"/>
  <c r="AC1904" i="1"/>
  <c r="BJ2770" i="1"/>
  <c r="AG2810" i="1"/>
  <c r="AC1809" i="1"/>
  <c r="AA2835" i="1"/>
  <c r="AC2180" i="1"/>
  <c r="AC1081" i="1"/>
  <c r="AC598" i="1"/>
  <c r="AA31" i="1"/>
  <c r="AG1745" i="1"/>
  <c r="Z1314" i="1"/>
  <c r="AB1777" i="1"/>
  <c r="AG655" i="1"/>
  <c r="AA830" i="1"/>
  <c r="AB83" i="1"/>
  <c r="AG1425" i="1"/>
  <c r="Z364" i="1"/>
  <c r="AB2192" i="1"/>
  <c r="AC1623" i="1"/>
  <c r="AG1651" i="1"/>
  <c r="AC1645" i="1"/>
  <c r="BJ3016" i="1"/>
  <c r="Z353" i="1"/>
  <c r="AD2544" i="1"/>
  <c r="AA1246" i="1"/>
  <c r="AC2123" i="1"/>
  <c r="BJ533" i="1"/>
  <c r="AD337" i="1"/>
  <c r="AC39" i="1"/>
  <c r="AA1503" i="1"/>
  <c r="AC1095" i="1"/>
  <c r="Z997" i="1"/>
  <c r="AB93" i="1"/>
  <c r="AD1111" i="1"/>
  <c r="AA1933" i="1"/>
  <c r="AA2316" i="1"/>
  <c r="AB3096" i="1"/>
  <c r="AC1538" i="1"/>
  <c r="AD2523" i="1"/>
  <c r="BJ481" i="1"/>
  <c r="AG729" i="1"/>
  <c r="AB1809" i="1"/>
  <c r="AD1739" i="1"/>
  <c r="AA1468" i="1"/>
  <c r="BJ3077" i="1"/>
  <c r="AB1107" i="1"/>
  <c r="AC1609" i="1"/>
  <c r="Z2731" i="1"/>
  <c r="AG1055" i="1"/>
  <c r="BJ3153" i="1"/>
  <c r="BJ2542" i="1"/>
  <c r="AB2031" i="1"/>
  <c r="AC1628" i="1"/>
  <c r="AC1829" i="1"/>
  <c r="AC2432" i="1"/>
  <c r="AB974" i="1"/>
  <c r="AD119" i="1"/>
  <c r="AC3134" i="1"/>
  <c r="AG2174" i="1"/>
  <c r="AC1539" i="1"/>
  <c r="AC2179" i="1"/>
  <c r="AD346" i="1"/>
  <c r="AG2620" i="1"/>
  <c r="Z2643" i="1"/>
  <c r="BJ187" i="1"/>
  <c r="AD2595" i="1"/>
  <c r="AB682" i="1"/>
  <c r="BJ831" i="1"/>
  <c r="BJ2336" i="1"/>
  <c r="AB572" i="1"/>
  <c r="Z2369" i="1"/>
  <c r="Z20" i="1"/>
  <c r="AB2928" i="1"/>
  <c r="AD1608" i="1"/>
  <c r="AG1054" i="1"/>
  <c r="AA16" i="1"/>
  <c r="AC3141" i="1"/>
  <c r="AB1632" i="1"/>
  <c r="AD2168" i="1"/>
  <c r="AD2797" i="1"/>
  <c r="AC2240" i="1"/>
  <c r="AB1038" i="1"/>
  <c r="AB1705" i="1"/>
  <c r="AB288" i="1"/>
  <c r="AB2129" i="1"/>
  <c r="AC2298" i="1"/>
  <c r="AA2248" i="1"/>
  <c r="BJ151" i="1"/>
  <c r="AC1491" i="1"/>
  <c r="BJ916" i="1"/>
  <c r="Z140" i="1"/>
  <c r="Z922" i="1"/>
  <c r="AA206" i="1"/>
  <c r="Z185" i="1"/>
  <c r="Z1709" i="1"/>
  <c r="AA3101" i="1"/>
  <c r="Z1387" i="1"/>
  <c r="AA989" i="1"/>
  <c r="Z1595" i="1"/>
  <c r="AD2299" i="1"/>
  <c r="AG135" i="1"/>
  <c r="AC1545" i="1"/>
  <c r="AB2787" i="1"/>
  <c r="AB1305" i="1"/>
  <c r="AC1506" i="1"/>
  <c r="AG1894" i="1"/>
  <c r="AC767" i="1"/>
  <c r="AA1889" i="1"/>
  <c r="BJ2417" i="1"/>
  <c r="AG1797" i="1"/>
  <c r="AC369" i="1"/>
  <c r="Z2872" i="1"/>
  <c r="AB2520" i="1"/>
  <c r="BJ2659" i="1"/>
  <c r="AG650" i="1"/>
  <c r="AG2887" i="1"/>
  <c r="AA343" i="1"/>
  <c r="AD70" i="1"/>
  <c r="AA2450" i="1"/>
  <c r="AG1862" i="1"/>
  <c r="AA2225" i="1"/>
  <c r="AB579" i="1"/>
  <c r="AG984" i="1"/>
  <c r="AA937" i="1"/>
  <c r="AD400" i="1"/>
  <c r="BJ510" i="1"/>
  <c r="AA2319" i="1"/>
  <c r="BJ377" i="1"/>
  <c r="BJ1521" i="1"/>
  <c r="Z1178" i="1"/>
  <c r="AD1249" i="1"/>
  <c r="AC2998" i="1"/>
  <c r="AD2485" i="1"/>
  <c r="AC1566" i="1"/>
  <c r="BJ857" i="1"/>
  <c r="AA350" i="1"/>
  <c r="AG750" i="1"/>
  <c r="AG1869" i="1"/>
  <c r="AC904" i="1"/>
  <c r="AA2859" i="1"/>
  <c r="AA2518" i="1"/>
  <c r="Z1411" i="1"/>
  <c r="Z449" i="1"/>
  <c r="AC2172" i="1"/>
  <c r="Z1703" i="1"/>
  <c r="AA2033" i="1"/>
  <c r="AA2514" i="1"/>
  <c r="Z2392" i="1"/>
  <c r="AB228" i="1"/>
  <c r="AB925" i="1"/>
  <c r="AG1855" i="1"/>
  <c r="Z155" i="1"/>
  <c r="AB2132" i="1"/>
  <c r="AG572" i="1"/>
  <c r="Z1913" i="1"/>
  <c r="AB2562" i="1"/>
  <c r="AA3089" i="1"/>
  <c r="BJ2018" i="1"/>
  <c r="AA2244" i="1"/>
  <c r="BJ1820" i="1"/>
  <c r="AB1968" i="1"/>
  <c r="BJ57" i="1"/>
  <c r="AC1982" i="1"/>
  <c r="Z812" i="1"/>
  <c r="AA2437" i="1"/>
  <c r="AA2156" i="1"/>
  <c r="AA3005" i="1"/>
  <c r="AB1689" i="1"/>
  <c r="AC1209" i="1"/>
  <c r="AD2892" i="1"/>
  <c r="AB2888" i="1"/>
  <c r="Z2221" i="1"/>
  <c r="AB2196" i="1"/>
  <c r="AD1733" i="1"/>
  <c r="AG745" i="1"/>
  <c r="AC1071" i="1"/>
  <c r="AG1089" i="1"/>
  <c r="AD2600" i="1"/>
  <c r="AB1630" i="1"/>
  <c r="AC1893" i="1"/>
  <c r="AC1145" i="1"/>
  <c r="AG162" i="1"/>
  <c r="AG26" i="1"/>
  <c r="AB1455" i="1"/>
  <c r="Z911" i="1"/>
  <c r="Z1007" i="1"/>
  <c r="BJ2826" i="1"/>
  <c r="AB903" i="1"/>
  <c r="Z358" i="1"/>
  <c r="AG275" i="1"/>
  <c r="AB473" i="1"/>
  <c r="AG2746" i="1"/>
  <c r="Z1982" i="1"/>
  <c r="Z2475" i="1"/>
  <c r="AC528" i="1"/>
  <c r="AD1486" i="1"/>
  <c r="AA3092" i="1"/>
  <c r="BJ466" i="1"/>
  <c r="AB578" i="1"/>
  <c r="AG635" i="1"/>
  <c r="BJ351" i="1"/>
  <c r="Z1937" i="1"/>
  <c r="AA682" i="1"/>
  <c r="AG814" i="1"/>
  <c r="AD736" i="1"/>
  <c r="AG1624" i="1"/>
  <c r="AD2634" i="1"/>
  <c r="AC1410" i="1"/>
  <c r="AB1555" i="1"/>
  <c r="AA2230" i="1"/>
  <c r="AG1313" i="1"/>
  <c r="AB322" i="1"/>
  <c r="AG935" i="1"/>
  <c r="AC2238" i="1"/>
  <c r="AA792" i="1"/>
  <c r="AA1628" i="1"/>
  <c r="Z2350" i="1"/>
  <c r="AG504" i="1"/>
  <c r="AD46" i="1"/>
  <c r="AG634" i="1"/>
  <c r="AG981" i="1"/>
  <c r="Z1225" i="1"/>
  <c r="AA610" i="1"/>
  <c r="AB2101" i="1"/>
  <c r="AB3051" i="1"/>
  <c r="AA1608" i="1"/>
  <c r="AA842" i="1"/>
  <c r="AB1102" i="1"/>
  <c r="AD2933" i="1"/>
  <c r="AG1178" i="1"/>
  <c r="AD2863" i="1"/>
  <c r="AC485" i="1"/>
  <c r="AG2683" i="1"/>
  <c r="BJ2538" i="1"/>
  <c r="Z3019" i="1"/>
  <c r="AG205" i="1"/>
  <c r="Z1310" i="1"/>
  <c r="AB2526" i="1"/>
  <c r="AA1574" i="1"/>
  <c r="BJ2085" i="1"/>
  <c r="AG2674" i="1"/>
  <c r="AC1916" i="1"/>
  <c r="AB3012" i="1"/>
  <c r="Z2279" i="1"/>
  <c r="AC1168" i="1"/>
  <c r="Z963" i="1"/>
  <c r="AB3058" i="1"/>
  <c r="AB1578" i="1"/>
  <c r="BJ3032" i="1"/>
  <c r="AG2659" i="1"/>
  <c r="AA3107" i="1"/>
  <c r="AA441" i="1"/>
  <c r="Z2187" i="1"/>
  <c r="AB2114" i="1"/>
  <c r="AD3071" i="1"/>
  <c r="AA274" i="1"/>
  <c r="AG1833" i="1"/>
  <c r="AC1094" i="1"/>
  <c r="BJ2734" i="1"/>
  <c r="AC933" i="1"/>
  <c r="AD2859" i="1"/>
  <c r="AD1124" i="1"/>
  <c r="AA1323" i="1"/>
  <c r="AA180" i="1"/>
  <c r="AA2396" i="1"/>
  <c r="AG2618" i="1"/>
  <c r="AB277" i="1"/>
  <c r="AC1233" i="1"/>
  <c r="AC2284" i="1"/>
  <c r="AC294" i="1"/>
  <c r="Z1249" i="1"/>
  <c r="AA1542" i="1"/>
  <c r="Z2737" i="1"/>
  <c r="Z2756" i="1"/>
  <c r="AG2866" i="1"/>
  <c r="AD125" i="1"/>
  <c r="AC1441" i="1"/>
  <c r="AG2205" i="1"/>
  <c r="Z509" i="1"/>
  <c r="Z2466" i="1"/>
  <c r="AG252" i="1"/>
  <c r="AA1388" i="1"/>
  <c r="AC2687" i="1"/>
  <c r="AC2312" i="1"/>
  <c r="AA2032" i="1"/>
  <c r="Z786" i="1"/>
  <c r="AC2612" i="1"/>
  <c r="BJ2654" i="1"/>
  <c r="AB1924" i="1"/>
  <c r="AC2192" i="1"/>
  <c r="AB3003" i="1"/>
  <c r="Z2092" i="1"/>
  <c r="Z2258" i="1"/>
  <c r="Z724" i="1"/>
  <c r="AD682" i="1"/>
  <c r="BJ140" i="1"/>
  <c r="AD2193" i="1"/>
  <c r="AA761" i="1"/>
  <c r="BJ160" i="1"/>
  <c r="AB2410" i="1"/>
  <c r="AA2634" i="1"/>
  <c r="AG1633" i="1"/>
  <c r="Z454" i="1"/>
  <c r="AB26" i="1"/>
  <c r="AA2354" i="1"/>
  <c r="AC958" i="1"/>
  <c r="Z2806" i="1"/>
  <c r="AB3115" i="1"/>
  <c r="AD2139" i="1"/>
  <c r="AD2372" i="1"/>
  <c r="AC1127" i="1"/>
  <c r="AG332" i="1"/>
  <c r="AG756" i="1"/>
  <c r="Z2794" i="1"/>
  <c r="Z2696" i="1"/>
  <c r="AC535" i="1"/>
  <c r="BJ1904" i="1"/>
  <c r="AB1716" i="1"/>
  <c r="BJ2649" i="1"/>
  <c r="AD1274" i="1"/>
  <c r="AA715" i="1"/>
  <c r="AC3035" i="1"/>
  <c r="AB2297" i="1"/>
  <c r="Z1762" i="1"/>
  <c r="BJ47" i="1"/>
  <c r="AA2377" i="1"/>
  <c r="AC2961" i="1"/>
  <c r="AC2744" i="1"/>
  <c r="AA3097" i="1"/>
  <c r="Z1074" i="1"/>
  <c r="AC982" i="1"/>
  <c r="BJ1126" i="1"/>
  <c r="Z1890" i="1"/>
  <c r="AA2851" i="1"/>
  <c r="AB543" i="1"/>
  <c r="AD1995" i="1"/>
  <c r="Z1767" i="1"/>
  <c r="AC1084" i="1"/>
  <c r="Z2019" i="1"/>
  <c r="AC345" i="1"/>
  <c r="BJ1758" i="1"/>
  <c r="AB2657" i="1"/>
  <c r="Z661" i="1"/>
  <c r="BJ882" i="1"/>
  <c r="Z2869" i="1"/>
  <c r="AA2845" i="1"/>
  <c r="AA568" i="1"/>
  <c r="AB1930" i="1"/>
  <c r="AD1425" i="1"/>
  <c r="AC1514" i="1"/>
  <c r="AB3061" i="1"/>
  <c r="AC401" i="1"/>
  <c r="AB360" i="1"/>
  <c r="AC1150" i="1"/>
  <c r="AG144" i="1"/>
  <c r="AA717" i="1"/>
  <c r="AD961" i="1"/>
  <c r="AA1051" i="1"/>
  <c r="AB2116" i="1"/>
  <c r="AG128" i="1"/>
  <c r="AA1203" i="1"/>
  <c r="AC1318" i="1"/>
  <c r="Z648" i="1"/>
  <c r="AC2913" i="1"/>
  <c r="AA914" i="1"/>
  <c r="AD1468" i="1"/>
  <c r="AG1700" i="1"/>
  <c r="AC414" i="1"/>
  <c r="BJ2093" i="1"/>
  <c r="AB1080" i="1"/>
  <c r="AD1405" i="1"/>
  <c r="AG2452" i="1"/>
  <c r="AA574" i="1"/>
  <c r="BJ2153" i="1"/>
  <c r="AC97" i="1"/>
  <c r="AB1098" i="1"/>
  <c r="AC2013" i="1"/>
  <c r="AA2699" i="1"/>
  <c r="Z2090" i="1"/>
  <c r="Z2673" i="1"/>
  <c r="AD1644" i="1"/>
  <c r="AC2079" i="1"/>
  <c r="BJ585" i="1"/>
  <c r="AC1018" i="1"/>
  <c r="AD2318" i="1"/>
  <c r="AA2986" i="1"/>
  <c r="Z2600" i="1"/>
  <c r="BJ3021" i="1"/>
  <c r="AA3118" i="1"/>
  <c r="AC1429" i="1"/>
  <c r="Z2772" i="1"/>
  <c r="AA37" i="1"/>
  <c r="AA599" i="1"/>
  <c r="Z3064" i="1"/>
  <c r="BJ2718" i="1"/>
  <c r="AC3003" i="1"/>
  <c r="AA1936" i="1"/>
  <c r="AB1184" i="1"/>
  <c r="BJ1446" i="1"/>
  <c r="AC1741" i="1"/>
  <c r="AG1530" i="1"/>
  <c r="AC979" i="1"/>
  <c r="AG1417" i="1"/>
  <c r="Z3148" i="1"/>
  <c r="BJ736" i="1"/>
  <c r="Z763" i="1"/>
  <c r="Z2108" i="1"/>
  <c r="AA2605" i="1"/>
  <c r="AG2749" i="1"/>
  <c r="AC1592" i="1"/>
  <c r="AG1515" i="1"/>
  <c r="AC1777" i="1"/>
  <c r="AC2090" i="1"/>
  <c r="Z1036" i="1"/>
  <c r="BJ1696" i="1"/>
  <c r="BJ357" i="1"/>
  <c r="Z1124" i="1"/>
  <c r="AG2806" i="1"/>
  <c r="AB2431" i="1"/>
  <c r="AC1032" i="1"/>
  <c r="AG777" i="1"/>
  <c r="AG448" i="1"/>
  <c r="AD2775" i="1"/>
  <c r="Z1906" i="1"/>
  <c r="AB1254" i="1"/>
  <c r="Z737" i="1"/>
  <c r="AB1726" i="1"/>
  <c r="AA2200" i="1"/>
  <c r="AD822" i="1"/>
  <c r="AB3022" i="1"/>
  <c r="Z2542" i="1"/>
  <c r="AA1959" i="1"/>
  <c r="AD3085" i="1"/>
  <c r="AC2413" i="1"/>
  <c r="AD2368" i="1"/>
  <c r="AC648" i="1"/>
  <c r="AG2496" i="1"/>
  <c r="AA2600" i="1"/>
  <c r="AB1093" i="1"/>
  <c r="AB46" i="1"/>
  <c r="AB1533" i="1"/>
  <c r="AD1413" i="1"/>
  <c r="BJ917" i="1"/>
  <c r="Z2833" i="1"/>
  <c r="AB2509" i="1"/>
  <c r="AC68" i="1"/>
  <c r="Z896" i="1"/>
  <c r="AG520" i="1"/>
  <c r="AG813" i="1"/>
  <c r="AA179" i="1"/>
  <c r="Z1811" i="1"/>
  <c r="BJ1204" i="1"/>
  <c r="AB105" i="1"/>
  <c r="AG495" i="1"/>
  <c r="AA719" i="1"/>
  <c r="BJ2663" i="1"/>
  <c r="AB287" i="1"/>
  <c r="AB19" i="1"/>
  <c r="AG302" i="1"/>
  <c r="AG2729" i="1"/>
  <c r="BJ1734" i="1"/>
  <c r="BJ1968" i="1"/>
  <c r="AG308" i="1"/>
  <c r="AD2981" i="1"/>
  <c r="AB3114" i="1"/>
  <c r="Z1579" i="1"/>
  <c r="AC2108" i="1"/>
  <c r="AC2750" i="1"/>
  <c r="AC467" i="1"/>
  <c r="AD2773" i="1"/>
  <c r="AD2512" i="1"/>
  <c r="BJ669" i="1"/>
  <c r="AC2627" i="1"/>
  <c r="AD1696" i="1"/>
  <c r="AC1403" i="1"/>
  <c r="BJ261" i="1"/>
  <c r="BJ2991" i="1"/>
  <c r="AC2929" i="1"/>
  <c r="AG693" i="1"/>
  <c r="AD1251" i="1"/>
  <c r="AC2082" i="1"/>
  <c r="AB2063" i="1"/>
  <c r="AB1449" i="1"/>
  <c r="AA2290" i="1"/>
  <c r="AB769" i="1"/>
  <c r="AD2568" i="1"/>
  <c r="AB3019" i="1"/>
  <c r="BJ224" i="1"/>
  <c r="AD1213" i="1"/>
  <c r="AA675" i="1"/>
  <c r="BJ859" i="1"/>
  <c r="BJ2057" i="1"/>
  <c r="AB2226" i="1"/>
  <c r="Z1812" i="1"/>
  <c r="Z2028" i="1"/>
  <c r="AG2435" i="1"/>
  <c r="AA1886" i="1"/>
  <c r="AA2893" i="1"/>
  <c r="AA2405" i="1"/>
  <c r="AG2653" i="1"/>
  <c r="AA2341" i="1"/>
  <c r="Z962" i="1"/>
  <c r="BJ630" i="1"/>
  <c r="AA516" i="1"/>
  <c r="AB975" i="1"/>
  <c r="AD2511" i="1"/>
  <c r="AD1923" i="1"/>
  <c r="Z744" i="1"/>
  <c r="AG530" i="1"/>
  <c r="BJ3124" i="1"/>
  <c r="AD1130" i="1"/>
  <c r="AC2700" i="1"/>
  <c r="AA1697" i="1"/>
  <c r="AG1059" i="1"/>
  <c r="AA290" i="1"/>
  <c r="AC2113" i="1"/>
  <c r="BJ368" i="1"/>
  <c r="AD612" i="1"/>
  <c r="Z362" i="1"/>
  <c r="AA123" i="1"/>
  <c r="BJ1171" i="1"/>
  <c r="BJ1789" i="1"/>
  <c r="AD1885" i="1"/>
  <c r="Z2704" i="1"/>
  <c r="AG2593" i="1"/>
  <c r="AC2958" i="1"/>
  <c r="BJ2292" i="1"/>
  <c r="AA1408" i="1"/>
  <c r="AB1945" i="1"/>
  <c r="AG2955" i="1"/>
  <c r="AG2671" i="1"/>
  <c r="AB243" i="1"/>
  <c r="AA2105" i="1"/>
  <c r="AB1461" i="1"/>
  <c r="AB1371" i="1"/>
  <c r="AG17" i="1"/>
  <c r="AC2021" i="1"/>
  <c r="BJ888" i="1"/>
  <c r="AA2110" i="1"/>
  <c r="BJ2495" i="1"/>
  <c r="AC2572" i="1"/>
  <c r="AG82" i="1"/>
  <c r="AB440" i="1"/>
  <c r="AC1208" i="1"/>
  <c r="AG2857" i="1"/>
  <c r="Z403" i="1"/>
  <c r="BJ2909" i="1"/>
  <c r="AG1872" i="1"/>
  <c r="AG43" i="1"/>
  <c r="AC1660" i="1"/>
  <c r="BJ1730" i="1"/>
  <c r="Z1524" i="1"/>
  <c r="AG1461" i="1"/>
  <c r="Z3089" i="1"/>
  <c r="AD1182" i="1"/>
  <c r="BJ2698" i="1"/>
  <c r="BJ999" i="1"/>
  <c r="BJ569" i="1"/>
  <c r="BJ2639" i="1"/>
  <c r="AA545" i="1"/>
  <c r="AA2749" i="1"/>
  <c r="AG2956" i="1"/>
  <c r="AB3125" i="1"/>
  <c r="Z1081" i="1"/>
  <c r="AB1852" i="1"/>
  <c r="AB2937" i="1"/>
  <c r="Z2172" i="1"/>
  <c r="AD577" i="1"/>
  <c r="AD721" i="1"/>
  <c r="Z481" i="1"/>
  <c r="AA581" i="1"/>
  <c r="BJ2283" i="1"/>
  <c r="AG2285" i="1"/>
  <c r="AA2421" i="1"/>
  <c r="AD1505" i="1"/>
  <c r="AD257" i="1"/>
  <c r="AB2190" i="1"/>
  <c r="BJ681" i="1"/>
  <c r="BJ275" i="1"/>
  <c r="AB3101" i="1"/>
  <c r="AB2672" i="1"/>
  <c r="Z2225" i="1"/>
  <c r="AB1821" i="1"/>
  <c r="AB337" i="1"/>
  <c r="AB721" i="1"/>
  <c r="Z302" i="1"/>
  <c r="AA721" i="1"/>
  <c r="AD2543" i="1"/>
  <c r="AG2899" i="1"/>
  <c r="AG911" i="1"/>
  <c r="Z380" i="1"/>
  <c r="Z1329" i="1"/>
  <c r="BJ1503" i="1"/>
  <c r="BJ2831" i="1"/>
  <c r="AB2900" i="1"/>
  <c r="AC307" i="1"/>
  <c r="AD3082" i="1"/>
  <c r="BJ2830" i="1"/>
  <c r="AG154" i="1"/>
  <c r="AB625" i="1"/>
  <c r="AD2937" i="1"/>
  <c r="AG2947" i="1"/>
  <c r="AC2287" i="1"/>
  <c r="AA2022" i="1"/>
  <c r="AA2782" i="1"/>
  <c r="BJ1159" i="1"/>
  <c r="Z2463" i="1"/>
  <c r="BJ2638" i="1"/>
  <c r="AG461" i="1"/>
  <c r="AC1784" i="1"/>
  <c r="AA198" i="1"/>
  <c r="Z2011" i="1"/>
  <c r="Z2844" i="1"/>
  <c r="AB2285" i="1"/>
  <c r="BJ1250" i="1"/>
  <c r="Z2635" i="1"/>
  <c r="Z1326" i="1"/>
  <c r="AB2755" i="1"/>
  <c r="AB1399" i="1"/>
  <c r="AB2304" i="1"/>
  <c r="AC2874" i="1"/>
  <c r="AB991" i="1"/>
  <c r="AG438" i="1"/>
  <c r="Z1000" i="1"/>
  <c r="Z439" i="1"/>
  <c r="AB1334" i="1"/>
  <c r="Z1699" i="1"/>
  <c r="AC1305" i="1"/>
  <c r="AB1095" i="1"/>
  <c r="AD1367" i="1"/>
  <c r="AC1858" i="1"/>
  <c r="AA752" i="1"/>
  <c r="AA1165" i="1"/>
  <c r="AC2927" i="1"/>
  <c r="AG1436" i="1"/>
  <c r="AC128" i="1"/>
  <c r="AG2853" i="1"/>
  <c r="AA138" i="1"/>
  <c r="AA2136" i="1"/>
  <c r="Z121" i="1"/>
  <c r="AD1907" i="1"/>
  <c r="AD3101" i="1"/>
  <c r="AG868" i="1"/>
  <c r="BJ1884" i="1"/>
  <c r="AD361" i="1"/>
  <c r="AC2782" i="1"/>
  <c r="AB726" i="1"/>
  <c r="AA2703" i="1"/>
  <c r="AC2459" i="1"/>
  <c r="AC2591" i="1"/>
  <c r="BJ840" i="1"/>
  <c r="AC2438" i="1"/>
  <c r="Z592" i="1"/>
  <c r="AC2522" i="1"/>
  <c r="AB860" i="1"/>
  <c r="BJ2973" i="1"/>
  <c r="AC1351" i="1"/>
  <c r="AG2936" i="1"/>
  <c r="AD2164" i="1"/>
  <c r="Z2764" i="1"/>
  <c r="AD2445" i="1"/>
  <c r="Z945" i="1"/>
  <c r="AD1246" i="1"/>
  <c r="AB1271" i="1"/>
  <c r="AG2421" i="1"/>
  <c r="AC3102" i="1"/>
  <c r="AB102" i="1"/>
  <c r="AG2181" i="1"/>
  <c r="Z411" i="1"/>
  <c r="BJ1029" i="1"/>
  <c r="AA1357" i="1"/>
  <c r="AC477" i="1"/>
  <c r="AA2878" i="1"/>
  <c r="AC2444" i="1"/>
  <c r="AD2303" i="1"/>
  <c r="AA3077" i="1"/>
  <c r="AB1734" i="1"/>
  <c r="BJ746" i="1"/>
  <c r="AG2522" i="1"/>
  <c r="AC165" i="1"/>
  <c r="AA1399" i="1"/>
  <c r="AD840" i="1"/>
  <c r="Z1177" i="1"/>
  <c r="AD877" i="1"/>
  <c r="AB2693" i="1"/>
  <c r="AC2870" i="1"/>
  <c r="AB2850" i="1"/>
  <c r="BJ881" i="1"/>
  <c r="AB2602" i="1"/>
  <c r="AD22" i="1"/>
  <c r="AB515" i="1"/>
  <c r="AC1180" i="1"/>
  <c r="AD2345" i="1"/>
  <c r="AC1164" i="1"/>
  <c r="AD1525" i="1"/>
  <c r="Z450" i="1"/>
  <c r="AB50" i="1"/>
  <c r="AA2084" i="1"/>
  <c r="AD2284" i="1"/>
  <c r="AA1464" i="1"/>
  <c r="BJ221" i="1"/>
  <c r="AD2550" i="1"/>
  <c r="AB976" i="1"/>
  <c r="AG1877" i="1"/>
  <c r="AD187" i="1"/>
  <c r="BJ2716" i="1"/>
  <c r="AA2125" i="1"/>
  <c r="AG778" i="1"/>
  <c r="AG2019" i="1"/>
  <c r="BJ1251" i="1"/>
  <c r="AB1140" i="1"/>
  <c r="BJ1097" i="1"/>
  <c r="AA591" i="1"/>
  <c r="AB1620" i="1"/>
  <c r="AD2959" i="1"/>
  <c r="AC1450" i="1"/>
  <c r="AB2905" i="1"/>
  <c r="AC3116" i="1"/>
  <c r="AG2792" i="1"/>
  <c r="AD751" i="1"/>
  <c r="AA1849" i="1"/>
  <c r="AG2078" i="1"/>
  <c r="AA1885" i="1"/>
  <c r="Z2620" i="1"/>
  <c r="AB1997" i="1"/>
  <c r="AB732" i="1"/>
  <c r="BJ762" i="1"/>
  <c r="AD702" i="1"/>
  <c r="AB2997" i="1"/>
  <c r="AG2262" i="1"/>
  <c r="Z1879" i="1"/>
  <c r="AA279" i="1"/>
  <c r="BJ369" i="1"/>
  <c r="AD2784" i="1"/>
  <c r="AA2089" i="1"/>
  <c r="BJ222" i="1"/>
  <c r="BJ2258" i="1"/>
  <c r="AB1242" i="1"/>
  <c r="AD2403" i="1"/>
  <c r="AB799" i="1"/>
  <c r="Z2924" i="1"/>
  <c r="AB1295" i="1"/>
  <c r="AB475" i="1"/>
  <c r="AA1473" i="1"/>
  <c r="AC220" i="1"/>
  <c r="AD2033" i="1"/>
  <c r="AB873" i="1"/>
  <c r="AC1021" i="1"/>
  <c r="AD752" i="1"/>
  <c r="BJ1580" i="1"/>
  <c r="AG923" i="1"/>
  <c r="AG2717" i="1"/>
  <c r="AG2971" i="1"/>
  <c r="AG220" i="1"/>
  <c r="AD2955" i="1"/>
  <c r="AB935" i="1"/>
  <c r="AA2307" i="1"/>
  <c r="AG3058" i="1"/>
  <c r="AG559" i="1"/>
  <c r="AD2782" i="1"/>
  <c r="AD106" i="1"/>
  <c r="AA1692" i="1"/>
  <c r="AG721" i="1"/>
  <c r="AA2635" i="1"/>
  <c r="AD3099" i="1"/>
  <c r="BJ633" i="1"/>
  <c r="AA2489" i="1"/>
  <c r="AB351" i="1"/>
  <c r="AB885" i="1"/>
  <c r="Z31" i="1"/>
  <c r="AD2958" i="1"/>
  <c r="AG399" i="1"/>
  <c r="AA2973" i="1"/>
  <c r="AA1766" i="1"/>
  <c r="AB2869" i="1"/>
  <c r="AC1793" i="1"/>
  <c r="BJ2534" i="1"/>
  <c r="AD831" i="1"/>
  <c r="AG2491" i="1"/>
  <c r="AB3009" i="1"/>
  <c r="AA902" i="1"/>
  <c r="Z2287" i="1"/>
  <c r="AA2238" i="1"/>
  <c r="AG2950" i="1"/>
  <c r="BJ2068" i="1"/>
  <c r="AA2279" i="1"/>
  <c r="BJ2735" i="1"/>
  <c r="AB798" i="1"/>
  <c r="BJ178" i="1"/>
  <c r="AC173" i="1"/>
  <c r="AA876" i="1"/>
  <c r="AC38" i="1"/>
  <c r="AB381" i="1"/>
  <c r="AD2764" i="1"/>
  <c r="AA1175" i="1"/>
  <c r="AA987" i="1"/>
  <c r="AD466" i="1"/>
  <c r="Z1345" i="1"/>
  <c r="Z627" i="1"/>
  <c r="AG1474" i="1"/>
  <c r="AG1396" i="1"/>
  <c r="AC1253" i="1"/>
  <c r="Z1079" i="1"/>
  <c r="BJ573" i="1"/>
  <c r="AB874" i="1"/>
  <c r="AA2224" i="1"/>
  <c r="AA2719" i="1"/>
  <c r="AD2771" i="1"/>
  <c r="BJ2591" i="1"/>
  <c r="AB1236" i="1"/>
  <c r="AG1552" i="1"/>
  <c r="AC2430" i="1"/>
  <c r="Z1658" i="1"/>
  <c r="Z1808" i="1"/>
  <c r="AD640" i="1"/>
  <c r="AC78" i="1"/>
  <c r="AG2101" i="1"/>
  <c r="BJ2382" i="1"/>
  <c r="AD1794" i="1"/>
  <c r="AA230" i="1"/>
  <c r="AC1276" i="1"/>
  <c r="AC1236" i="1"/>
  <c r="AC1525" i="1"/>
  <c r="AC187" i="1"/>
  <c r="AA1307" i="1"/>
  <c r="BJ1343" i="1"/>
  <c r="AD2167" i="1"/>
  <c r="AB2450" i="1"/>
  <c r="AB486" i="1"/>
  <c r="BJ215" i="1"/>
  <c r="Z2449" i="1"/>
  <c r="AD302" i="1"/>
  <c r="AB1596" i="1"/>
  <c r="AA1340" i="1"/>
  <c r="AB1829" i="1"/>
  <c r="AA2071" i="1"/>
  <c r="AC722" i="1"/>
  <c r="AA35" i="1"/>
  <c r="AC1062" i="1"/>
  <c r="BJ2178" i="1"/>
  <c r="AG886" i="1"/>
  <c r="AB2455" i="1"/>
  <c r="Z166" i="1"/>
  <c r="Z18" i="1"/>
  <c r="AB1868" i="1"/>
  <c r="AC1526" i="1"/>
  <c r="BJ592" i="1"/>
  <c r="AA1928" i="1"/>
  <c r="AG867" i="1"/>
  <c r="AA2356" i="1"/>
  <c r="AC803" i="1"/>
  <c r="AD322" i="1"/>
  <c r="BJ943" i="1"/>
  <c r="AA493" i="1"/>
  <c r="AD1651" i="1"/>
  <c r="Z387" i="1"/>
  <c r="BJ3150" i="1"/>
  <c r="AB701" i="1"/>
  <c r="Z1936" i="1"/>
  <c r="AD613" i="1"/>
  <c r="AG2266" i="1"/>
  <c r="AC810" i="1"/>
  <c r="AG1311" i="1"/>
  <c r="AA331" i="1"/>
  <c r="AB785" i="1"/>
  <c r="AC397" i="1"/>
  <c r="AC1320" i="1"/>
  <c r="AB2237" i="1"/>
  <c r="AA2270" i="1"/>
  <c r="AD1800" i="1"/>
  <c r="AB942" i="1"/>
  <c r="AD3123" i="1"/>
  <c r="BJ2490" i="1"/>
  <c r="AA890" i="1"/>
  <c r="AB2822" i="1"/>
  <c r="AC1264" i="1"/>
  <c r="AB946" i="1"/>
  <c r="AB1985" i="1"/>
  <c r="AG2529" i="1"/>
  <c r="Z2609" i="1"/>
  <c r="AC3117" i="1"/>
  <c r="AB1419" i="1"/>
  <c r="AG1595" i="1"/>
  <c r="AD386" i="1"/>
  <c r="AD2080" i="1"/>
  <c r="AB391" i="1"/>
  <c r="AD1041" i="1"/>
  <c r="Z2778" i="1"/>
  <c r="AD269" i="1"/>
  <c r="AC2639" i="1"/>
  <c r="AA851" i="1"/>
  <c r="BJ1350" i="1"/>
  <c r="AG1336" i="1"/>
  <c r="Z1511" i="1"/>
  <c r="Z45" i="1"/>
  <c r="AD942" i="1"/>
  <c r="AB887" i="1"/>
  <c r="Z1934" i="1"/>
  <c r="AB444" i="1"/>
  <c r="AA3058" i="1"/>
  <c r="AC650" i="1"/>
  <c r="AB612" i="1"/>
  <c r="AC757" i="1"/>
  <c r="AG1805" i="1"/>
  <c r="AC1581" i="1"/>
  <c r="AA122" i="1"/>
  <c r="BJ2397" i="1"/>
  <c r="AA2336" i="1"/>
  <c r="Z2689" i="1"/>
  <c r="AG1316" i="1"/>
  <c r="AC325" i="1"/>
  <c r="AG2332" i="1"/>
  <c r="Z455" i="1"/>
  <c r="AA1832" i="1"/>
  <c r="Z3036" i="1"/>
  <c r="AB2533" i="1"/>
  <c r="BJ2217" i="1"/>
  <c r="AC470" i="1"/>
  <c r="AA1896" i="1"/>
  <c r="BJ130" i="1"/>
  <c r="AG424" i="1"/>
  <c r="Z579" i="1"/>
  <c r="AB1345" i="1"/>
  <c r="AC2831" i="1"/>
  <c r="AB1602" i="1"/>
  <c r="AC2972" i="1"/>
  <c r="AD1817" i="1"/>
  <c r="Z2886" i="1"/>
  <c r="AC2726" i="1"/>
  <c r="Z1182" i="1"/>
  <c r="AD283" i="1"/>
  <c r="AB2985" i="1"/>
  <c r="AG22" i="1"/>
  <c r="AB852" i="1"/>
  <c r="AD1668" i="1"/>
  <c r="AC2332" i="1"/>
  <c r="AD1775" i="1"/>
  <c r="AC2656" i="1"/>
  <c r="AD607" i="1"/>
  <c r="AB1402" i="1"/>
  <c r="BJ2558" i="1"/>
  <c r="AG2136" i="1"/>
  <c r="AB3052" i="1"/>
  <c r="AC672" i="1"/>
  <c r="Z448" i="1"/>
  <c r="Z2661" i="1"/>
  <c r="AD279" i="1"/>
  <c r="AG2621" i="1"/>
  <c r="Z149" i="1"/>
  <c r="AC2010" i="1"/>
  <c r="AC962" i="1"/>
  <c r="AA1251" i="1"/>
  <c r="AG2385" i="1"/>
  <c r="AB1309" i="1"/>
  <c r="BJ1473" i="1"/>
  <c r="BJ2904" i="1"/>
  <c r="AA1426" i="1"/>
  <c r="AA419" i="1"/>
  <c r="AB1228" i="1"/>
  <c r="AD2465" i="1"/>
  <c r="BJ141" i="1"/>
  <c r="AA1811" i="1"/>
  <c r="BJ3065" i="1"/>
  <c r="AC2072" i="1"/>
  <c r="AC2329" i="1"/>
  <c r="AC1636" i="1"/>
  <c r="AA2679" i="1"/>
  <c r="AD2594" i="1"/>
  <c r="AD784" i="1"/>
  <c r="Z1433" i="1"/>
  <c r="BJ2136" i="1"/>
  <c r="AG1473" i="1"/>
  <c r="AD35" i="1"/>
  <c r="AC2865" i="1"/>
  <c r="AA784" i="1"/>
  <c r="AA3140" i="1"/>
  <c r="BJ1514" i="1"/>
  <c r="AA2324" i="1"/>
  <c r="BJ1572" i="1"/>
  <c r="Z252" i="1"/>
  <c r="Z1484" i="1"/>
  <c r="AD1323" i="1"/>
  <c r="AD1545" i="1"/>
  <c r="BJ631" i="1"/>
  <c r="AG511" i="1"/>
  <c r="Z2300" i="1"/>
  <c r="AD2194" i="1"/>
  <c r="BJ2609" i="1"/>
  <c r="AA2574" i="1"/>
  <c r="AG1103" i="1"/>
  <c r="AD1196" i="1"/>
  <c r="AA2163" i="1"/>
  <c r="AB112" i="1"/>
  <c r="Z102" i="1"/>
  <c r="AD1723" i="1"/>
  <c r="AD166" i="1"/>
  <c r="AG171" i="1"/>
  <c r="BJ3043" i="1"/>
  <c r="BJ2986" i="1"/>
  <c r="AC574" i="1"/>
  <c r="Z2144" i="1"/>
  <c r="BJ3098" i="1"/>
  <c r="Z1651" i="1"/>
  <c r="AG1116" i="1"/>
  <c r="AG2576" i="1"/>
  <c r="AD820" i="1"/>
  <c r="BJ3025" i="1"/>
  <c r="AA727" i="1"/>
  <c r="AD540" i="1"/>
  <c r="AD460" i="1"/>
  <c r="AG2516" i="1"/>
  <c r="AC2742" i="1"/>
  <c r="AB2576" i="1"/>
  <c r="AA2999" i="1"/>
  <c r="AD549" i="1"/>
  <c r="AG2615" i="1"/>
  <c r="AA459" i="1"/>
  <c r="Z1481" i="1"/>
  <c r="BJ1040" i="1"/>
  <c r="BJ1038" i="1"/>
  <c r="AA1163" i="1"/>
  <c r="AA478" i="1"/>
  <c r="AG241" i="1"/>
  <c r="AC2325" i="1"/>
  <c r="AD1104" i="1"/>
  <c r="AD2068" i="1"/>
  <c r="BJ265" i="1"/>
  <c r="AD161" i="1"/>
  <c r="AD993" i="1"/>
  <c r="AC2898" i="1"/>
  <c r="AD2564" i="1"/>
  <c r="BJ2236" i="1"/>
  <c r="AB1696" i="1"/>
  <c r="AB1185" i="1"/>
  <c r="AC1170" i="1"/>
  <c r="AB804" i="1"/>
  <c r="Z1391" i="1"/>
  <c r="AD768" i="1"/>
  <c r="BJ2349" i="1"/>
  <c r="AD2973" i="1"/>
  <c r="AA1039" i="1"/>
  <c r="AC2510" i="1"/>
  <c r="AG1966" i="1"/>
  <c r="Z2238" i="1"/>
  <c r="BJ855" i="1"/>
  <c r="AD463" i="1"/>
  <c r="AD2701" i="1"/>
  <c r="AB2550" i="1"/>
  <c r="BJ2644" i="1"/>
  <c r="BJ164" i="1"/>
  <c r="Z1056" i="1"/>
  <c r="AB522" i="1"/>
  <c r="AB594" i="1"/>
  <c r="AG292" i="1"/>
  <c r="BJ813" i="1"/>
  <c r="BJ2795" i="1"/>
  <c r="AD3088" i="1"/>
  <c r="AG430" i="1"/>
  <c r="AA487" i="1"/>
  <c r="AG3078" i="1"/>
  <c r="AG2450" i="1"/>
  <c r="Z201" i="1"/>
  <c r="AG2657" i="1"/>
  <c r="AA2097" i="1"/>
  <c r="AC1807" i="1"/>
  <c r="AB2258" i="1"/>
  <c r="BJ2456" i="1"/>
  <c r="BJ2399" i="1"/>
  <c r="AG917" i="1"/>
  <c r="AC2202" i="1"/>
  <c r="AB2918" i="1"/>
  <c r="AG2761" i="1"/>
  <c r="Z2016" i="1"/>
  <c r="BJ1838" i="1"/>
  <c r="AC1314" i="1"/>
  <c r="BJ1564" i="1"/>
  <c r="Z2294" i="1"/>
  <c r="AB1757" i="1"/>
  <c r="Z542" i="1"/>
  <c r="AG885" i="1"/>
  <c r="AC240" i="1"/>
  <c r="AA2620" i="1"/>
  <c r="AB424" i="1"/>
  <c r="AB323" i="1"/>
  <c r="Z269" i="1"/>
  <c r="AD1621" i="1"/>
  <c r="AB1226" i="1"/>
  <c r="Z629" i="1"/>
  <c r="AB2441" i="1"/>
  <c r="BJ2601" i="1"/>
  <c r="BJ1393" i="1"/>
  <c r="AD761" i="1"/>
  <c r="AC2544" i="1"/>
  <c r="Z1280" i="1"/>
  <c r="AG1970" i="1"/>
  <c r="AA1769" i="1"/>
  <c r="AB965" i="1"/>
  <c r="BJ87" i="1"/>
  <c r="AG2954" i="1"/>
  <c r="Z708" i="1"/>
  <c r="AC2736" i="1"/>
  <c r="AG589" i="1"/>
  <c r="AD1167" i="1"/>
  <c r="BJ375" i="1"/>
  <c r="Z2080" i="1"/>
  <c r="Z836" i="1"/>
  <c r="BJ2111" i="1"/>
  <c r="AD2853" i="1"/>
  <c r="AD623" i="1"/>
  <c r="AG916" i="1"/>
  <c r="Z462" i="1"/>
  <c r="BJ2143" i="1"/>
  <c r="AG1790" i="1"/>
  <c r="AG1826" i="1"/>
  <c r="AD2972" i="1"/>
  <c r="AG2638" i="1"/>
  <c r="AG2211" i="1"/>
  <c r="Z1558" i="1"/>
  <c r="BJ2562" i="1"/>
  <c r="AD1487" i="1"/>
  <c r="AA2115" i="1"/>
  <c r="AC1683" i="1"/>
  <c r="AG2161" i="1"/>
  <c r="AC999" i="1"/>
  <c r="BJ1725" i="1"/>
  <c r="AA2539" i="1"/>
  <c r="AA1605" i="1"/>
  <c r="AD2733" i="1"/>
  <c r="AC75" i="1"/>
  <c r="BJ449" i="1"/>
  <c r="AD2388" i="1"/>
  <c r="Z1575" i="1"/>
  <c r="AG449" i="1"/>
  <c r="Z2400" i="1"/>
  <c r="Z1259" i="1"/>
  <c r="BJ982" i="1"/>
  <c r="AC1886" i="1"/>
  <c r="AD2082" i="1"/>
  <c r="AB2181" i="1"/>
  <c r="AD3054" i="1"/>
  <c r="AD2788" i="1"/>
  <c r="AA2895" i="1"/>
  <c r="AG1613" i="1"/>
  <c r="BJ1500" i="1"/>
  <c r="AB1209" i="1"/>
  <c r="Z1299" i="1"/>
  <c r="Z1714" i="1"/>
  <c r="AD1536" i="1"/>
  <c r="Z882" i="1"/>
  <c r="AA905" i="1"/>
  <c r="AB1838" i="1"/>
  <c r="AG2120" i="1"/>
  <c r="Z653" i="1"/>
  <c r="AA865" i="1"/>
  <c r="AD439" i="1"/>
  <c r="AC1905" i="1"/>
  <c r="AB1490" i="1"/>
  <c r="AG1063" i="1"/>
  <c r="AA2652" i="1"/>
  <c r="AG2156" i="1"/>
  <c r="AC743" i="1"/>
  <c r="AD2872" i="1"/>
  <c r="AG2594" i="1"/>
  <c r="BJ1794" i="1"/>
  <c r="AD2010" i="1"/>
  <c r="Z2571" i="1"/>
  <c r="BJ518" i="1"/>
  <c r="AC2116" i="1"/>
  <c r="AB1440" i="1"/>
  <c r="AA797" i="1"/>
  <c r="Z1677" i="1"/>
  <c r="BJ1285" i="1"/>
  <c r="AA1164" i="1"/>
  <c r="AD2469" i="1"/>
  <c r="Z347" i="1"/>
  <c r="AC678" i="1"/>
  <c r="AC558" i="1"/>
  <c r="AD2656" i="1"/>
  <c r="AA741" i="1"/>
  <c r="AD2231" i="1"/>
  <c r="BJ1945" i="1"/>
  <c r="AC2529" i="1"/>
  <c r="AB2561" i="1"/>
  <c r="AG1584" i="1"/>
  <c r="Z998" i="1"/>
  <c r="AC2130" i="1"/>
  <c r="AA33" i="1"/>
  <c r="AG2515" i="1"/>
  <c r="AC2213" i="1"/>
  <c r="AG2521" i="1"/>
  <c r="AG1893" i="1"/>
  <c r="AD1756" i="1"/>
  <c r="BJ1000" i="1"/>
  <c r="AB395" i="1"/>
  <c r="BJ3132" i="1"/>
  <c r="AB1337" i="1"/>
  <c r="Z2220" i="1"/>
  <c r="AA2142" i="1"/>
  <c r="AG1935" i="1"/>
  <c r="AB2682" i="1"/>
  <c r="Z1591" i="1"/>
  <c r="AB1041" i="1"/>
  <c r="Z1902" i="1"/>
  <c r="AD3037" i="1"/>
  <c r="AA1913" i="1"/>
  <c r="AD180" i="1"/>
  <c r="AG1475" i="1"/>
  <c r="Z2933" i="1"/>
  <c r="AC747" i="1"/>
  <c r="AC1487" i="1"/>
  <c r="AG3030" i="1"/>
  <c r="AG2975" i="1"/>
  <c r="AB674" i="1"/>
  <c r="AB1043" i="1"/>
  <c r="AB1660" i="1"/>
  <c r="BJ38" i="1"/>
  <c r="AB1925" i="1"/>
  <c r="BJ2403" i="1"/>
  <c r="AA2611" i="1"/>
  <c r="AB1931" i="1"/>
  <c r="AD2037" i="1"/>
  <c r="Z1880" i="1"/>
  <c r="BJ2937" i="1"/>
  <c r="AC2194" i="1"/>
  <c r="AA1773" i="1"/>
  <c r="AG1668" i="1"/>
  <c r="AC1867" i="1"/>
  <c r="AA2685" i="1"/>
  <c r="AA866" i="1"/>
  <c r="Z1023" i="1"/>
  <c r="AD976" i="1"/>
  <c r="AB2078" i="1"/>
  <c r="AA1966" i="1"/>
  <c r="AC789" i="1"/>
  <c r="Z989" i="1"/>
  <c r="Z383" i="1"/>
  <c r="Z469" i="1"/>
  <c r="BJ3064" i="1"/>
  <c r="Z2823" i="1"/>
  <c r="AG2994" i="1"/>
  <c r="AA1146" i="1"/>
  <c r="AD378" i="1"/>
  <c r="AC1709" i="1"/>
  <c r="AB1546" i="1"/>
  <c r="AC1547" i="1"/>
  <c r="AC1676" i="1"/>
  <c r="AC2607" i="1"/>
  <c r="AD1002" i="1"/>
  <c r="AG681" i="1"/>
  <c r="AB1245" i="1"/>
  <c r="AA1639" i="1"/>
  <c r="AD2101" i="1"/>
  <c r="BJ523" i="1"/>
  <c r="AD2514" i="1"/>
  <c r="AC453" i="1"/>
  <c r="AB3039" i="1"/>
  <c r="AA2778" i="1"/>
  <c r="AG2800" i="1"/>
  <c r="AC643" i="1"/>
  <c r="AC1743" i="1"/>
  <c r="AD1866" i="1"/>
  <c r="AB184" i="1"/>
  <c r="BJ1742" i="1"/>
  <c r="Z1305" i="1"/>
  <c r="Z1222" i="1"/>
  <c r="AC30" i="1"/>
  <c r="AA670" i="1"/>
  <c r="AC2296" i="1"/>
  <c r="AD772" i="1"/>
  <c r="AD2807" i="1"/>
  <c r="AC1439" i="1"/>
  <c r="Z420" i="1"/>
  <c r="BJ598" i="1"/>
  <c r="AA2431" i="1"/>
  <c r="AB2848" i="1"/>
  <c r="BJ1319" i="1"/>
  <c r="AB1291" i="1"/>
  <c r="AD756" i="1"/>
  <c r="Z2483" i="1"/>
  <c r="AD267" i="1"/>
  <c r="AB1448" i="1"/>
  <c r="BJ2768" i="1"/>
  <c r="AD1933" i="1"/>
  <c r="AC1625" i="1"/>
  <c r="Z50" i="1"/>
  <c r="BJ623" i="1"/>
  <c r="AD3052" i="1"/>
  <c r="AB471" i="1"/>
  <c r="Z1191" i="1"/>
  <c r="Z444" i="1"/>
  <c r="BJ1954" i="1"/>
  <c r="Z743" i="1"/>
  <c r="Z1476" i="1"/>
  <c r="AB396" i="1"/>
  <c r="Z1273" i="1"/>
  <c r="AC1181" i="1"/>
  <c r="AD846" i="1"/>
  <c r="AA1393" i="1"/>
  <c r="AB2173" i="1"/>
  <c r="AA2735" i="1"/>
  <c r="BJ2641" i="1"/>
  <c r="AD823" i="1"/>
  <c r="AB1198" i="1"/>
  <c r="AC1245" i="1"/>
  <c r="AB2343" i="1"/>
  <c r="AG181" i="1"/>
  <c r="AC2595" i="1"/>
  <c r="Z1892" i="1"/>
  <c r="BJ2879" i="1"/>
  <c r="AG760" i="1"/>
  <c r="BJ868" i="1"/>
  <c r="AD858" i="1"/>
  <c r="AD412" i="1"/>
  <c r="AB530" i="1"/>
  <c r="AA1392" i="1"/>
  <c r="BJ2428" i="1"/>
  <c r="AG1915" i="1"/>
  <c r="AB1378" i="1"/>
  <c r="BJ755" i="1"/>
  <c r="AC289" i="1"/>
  <c r="AA3067" i="1"/>
  <c r="AB786" i="1"/>
  <c r="AG3103" i="1"/>
  <c r="AG370" i="1"/>
  <c r="AG684" i="1"/>
  <c r="AD3152" i="1"/>
  <c r="AD2520" i="1"/>
  <c r="AB2951" i="1"/>
  <c r="AG3076" i="1"/>
  <c r="Z1635" i="1"/>
  <c r="AC287" i="1"/>
  <c r="AA140" i="1"/>
  <c r="AA2921" i="1"/>
  <c r="Z1691" i="1"/>
  <c r="AD202" i="1"/>
  <c r="AB1040" i="1"/>
  <c r="AD1331" i="1"/>
  <c r="AD608" i="1"/>
  <c r="AB3153" i="1"/>
  <c r="AG2055" i="1"/>
  <c r="BJ2786" i="1"/>
  <c r="Z2575" i="1"/>
  <c r="AB1072" i="1"/>
  <c r="BJ2907" i="1"/>
  <c r="Z1618" i="1"/>
  <c r="Z1474" i="1"/>
  <c r="AC2886" i="1"/>
  <c r="BJ661" i="1"/>
  <c r="AC147" i="1"/>
  <c r="Z868" i="1"/>
  <c r="AC279" i="1"/>
  <c r="AA801" i="1"/>
  <c r="AD1667" i="1"/>
  <c r="AD224" i="1"/>
  <c r="AG893" i="1"/>
  <c r="AG156" i="1"/>
  <c r="BJ324" i="1"/>
  <c r="AA1230" i="1"/>
  <c r="BJ3126" i="1"/>
  <c r="AB1977" i="1"/>
  <c r="AC2640" i="1"/>
  <c r="AD1841" i="1"/>
  <c r="AA2490" i="1"/>
  <c r="Z2952" i="1"/>
  <c r="AG976" i="1"/>
  <c r="AB1196" i="1"/>
  <c r="AC410" i="1"/>
  <c r="AC2948" i="1"/>
  <c r="AC2119" i="1"/>
  <c r="AG2665" i="1"/>
  <c r="AB1141" i="1"/>
  <c r="AC723" i="1"/>
  <c r="AB1491" i="1"/>
  <c r="Z950" i="1"/>
  <c r="AG2607" i="1"/>
  <c r="AC753" i="1"/>
  <c r="Z1772" i="1"/>
  <c r="AC2474" i="1"/>
  <c r="AD241" i="1"/>
  <c r="AG2028" i="1"/>
  <c r="AB1452" i="1"/>
  <c r="AC3027" i="1"/>
  <c r="Z14" i="1"/>
  <c r="AB120" i="1"/>
  <c r="AA1661" i="1"/>
  <c r="AB1510" i="1"/>
  <c r="AG2119" i="1"/>
  <c r="Z2650" i="1"/>
  <c r="AD1687" i="1"/>
  <c r="AD2399" i="1"/>
  <c r="AG2466" i="1"/>
  <c r="AB1928" i="1"/>
  <c r="BJ705" i="1"/>
  <c r="Z3104" i="1"/>
  <c r="AD1010" i="1"/>
  <c r="Z2654" i="1"/>
  <c r="AG2310" i="1"/>
  <c r="Z2298" i="1"/>
  <c r="AA703" i="1"/>
  <c r="AB2377" i="1"/>
  <c r="Z1472" i="1"/>
  <c r="AB2950" i="1"/>
  <c r="AB2281" i="1"/>
  <c r="AC660" i="1"/>
  <c r="AD240" i="1"/>
  <c r="AC1430" i="1"/>
  <c r="BJ464" i="1"/>
  <c r="AD2592" i="1"/>
  <c r="AA2748" i="1"/>
  <c r="BJ2469" i="1"/>
  <c r="BJ2300" i="1"/>
  <c r="BJ1238" i="1"/>
  <c r="AA584" i="1"/>
  <c r="AB2658" i="1"/>
  <c r="AD2322" i="1"/>
  <c r="AA587" i="1"/>
  <c r="AD2641" i="1"/>
  <c r="AA1008" i="1"/>
  <c r="Z1706" i="1"/>
  <c r="AB865" i="1"/>
  <c r="AA1827" i="1"/>
  <c r="AG896" i="1"/>
  <c r="AB2812" i="1"/>
  <c r="AC1571" i="1"/>
  <c r="AA2708" i="1"/>
  <c r="AB2567" i="1"/>
  <c r="Z2199" i="1"/>
  <c r="Z1245" i="1"/>
  <c r="AC1023" i="1"/>
  <c r="Z544" i="1"/>
  <c r="AG221" i="1"/>
  <c r="BJ2868" i="1"/>
  <c r="AG835" i="1"/>
  <c r="AA2326" i="1"/>
  <c r="AB2964" i="1"/>
  <c r="BJ1941" i="1"/>
  <c r="AB1197" i="1"/>
  <c r="AB930" i="1"/>
  <c r="AG763" i="1"/>
  <c r="AA964" i="1"/>
  <c r="AG75" i="1"/>
  <c r="AG2965" i="1"/>
  <c r="AC2431" i="1"/>
  <c r="AC903" i="1"/>
  <c r="AD3001" i="1"/>
  <c r="AB1958" i="1"/>
  <c r="AG2605" i="1"/>
  <c r="AA2208" i="1"/>
  <c r="Z1308" i="1"/>
  <c r="AC126" i="1"/>
  <c r="AB1486" i="1"/>
  <c r="AD2418" i="1"/>
  <c r="AD452" i="1"/>
  <c r="AB2875" i="1"/>
  <c r="AC1975" i="1"/>
  <c r="AA1245" i="1"/>
  <c r="AC2617" i="1"/>
  <c r="AC2830" i="1"/>
  <c r="AC1561" i="1"/>
  <c r="AD2072" i="1"/>
  <c r="AA85" i="1"/>
  <c r="AD2752" i="1"/>
  <c r="AC543" i="1"/>
  <c r="AB1275" i="1"/>
  <c r="BJ973" i="1"/>
  <c r="Z912" i="1"/>
  <c r="AD2676" i="1"/>
  <c r="Z2597" i="1"/>
  <c r="Z701" i="1"/>
  <c r="AG1801" i="1"/>
  <c r="AD2574" i="1"/>
  <c r="Z1018" i="1"/>
  <c r="Z248" i="1"/>
  <c r="BJ2189" i="1"/>
  <c r="Z1398" i="1"/>
  <c r="AG2234" i="1"/>
  <c r="AA1241" i="1"/>
  <c r="AA1088" i="1"/>
  <c r="AA2875" i="1"/>
  <c r="AA2519" i="1"/>
  <c r="BJ3120" i="1"/>
  <c r="AG2380" i="1"/>
  <c r="BJ480" i="1"/>
  <c r="AD1957" i="1"/>
  <c r="BJ2241" i="1"/>
  <c r="AB2916" i="1"/>
  <c r="AD61" i="1"/>
  <c r="AD2096" i="1"/>
  <c r="AB1183" i="1"/>
  <c r="AB497" i="1"/>
  <c r="AA1359" i="1"/>
  <c r="Z1091" i="1"/>
  <c r="AB1759" i="1"/>
  <c r="AA2800" i="1"/>
  <c r="AG33" i="1"/>
  <c r="AD809" i="1"/>
  <c r="AG2102" i="1"/>
  <c r="AC2630" i="1"/>
  <c r="AB2788" i="1"/>
  <c r="BJ1900" i="1"/>
  <c r="Z1379" i="1"/>
  <c r="BJ113" i="1"/>
  <c r="BJ2035" i="1"/>
  <c r="AG68" i="1"/>
  <c r="AD583" i="1"/>
  <c r="AG1913" i="1"/>
  <c r="Z62" i="1"/>
  <c r="AA994" i="1"/>
  <c r="Z1964" i="1"/>
  <c r="AD2381" i="1"/>
  <c r="AG2868" i="1"/>
  <c r="Z798" i="1"/>
  <c r="Z598" i="1"/>
  <c r="AG930" i="1"/>
  <c r="AD2963" i="1"/>
  <c r="BJ552" i="1"/>
  <c r="AC1428" i="1"/>
  <c r="AA690" i="1"/>
  <c r="AC1991" i="1"/>
  <c r="AA736" i="1"/>
  <c r="AA1223" i="1"/>
  <c r="AC2215" i="1"/>
  <c r="AD2880" i="1"/>
  <c r="AG94" i="1"/>
  <c r="Z1632" i="1"/>
  <c r="AG1618" i="1"/>
  <c r="AC1247" i="1"/>
  <c r="Z2326" i="1"/>
  <c r="BJ2079" i="1"/>
  <c r="AB902" i="1"/>
  <c r="AD3153" i="1"/>
  <c r="AC641" i="1"/>
  <c r="AB429" i="1"/>
  <c r="AC2702" i="1"/>
  <c r="AG1693" i="1"/>
  <c r="AC758" i="1"/>
  <c r="Z601" i="1"/>
  <c r="BJ1098" i="1"/>
  <c r="Z1114" i="1"/>
  <c r="AC2701" i="1"/>
  <c r="AG1967" i="1"/>
  <c r="BJ1246" i="1"/>
  <c r="AB1379" i="1"/>
  <c r="BJ2256" i="1"/>
  <c r="AA212" i="1"/>
  <c r="BJ373" i="1"/>
  <c r="AD171" i="1"/>
  <c r="AC3050" i="1"/>
  <c r="AG444" i="1"/>
  <c r="AA2594" i="1"/>
  <c r="AD1609" i="1"/>
  <c r="AB450" i="1"/>
  <c r="AD750" i="1"/>
  <c r="BJ2551" i="1"/>
  <c r="AC2559" i="1"/>
  <c r="AC985" i="1"/>
  <c r="AB669" i="1"/>
  <c r="AD1917" i="1"/>
  <c r="AB2193" i="1"/>
  <c r="AC2982" i="1"/>
  <c r="Z1406" i="1"/>
  <c r="Z2275" i="1"/>
  <c r="AC2768" i="1"/>
  <c r="AD364" i="1"/>
  <c r="AC2930" i="1"/>
  <c r="AB1189" i="1"/>
  <c r="BJ2075" i="1"/>
  <c r="Z518" i="1"/>
  <c r="AD1154" i="1"/>
  <c r="AD2944" i="1"/>
  <c r="Z582" i="1"/>
  <c r="AA3055" i="1"/>
  <c r="AB2211" i="1"/>
  <c r="Z2371" i="1"/>
  <c r="BJ1894" i="1"/>
  <c r="AD2333" i="1"/>
  <c r="AB693" i="1"/>
  <c r="AA2172" i="1"/>
  <c r="AG1237" i="1"/>
  <c r="BJ1639" i="1"/>
  <c r="AC1966" i="1"/>
  <c r="AB1050" i="1"/>
  <c r="BJ2708" i="1"/>
  <c r="AD1404" i="1"/>
  <c r="Z315" i="1"/>
  <c r="BJ2543" i="1"/>
  <c r="AD1820" i="1"/>
  <c r="BJ1886" i="1"/>
  <c r="BJ2451" i="1"/>
  <c r="AC1384" i="1"/>
  <c r="AC362" i="1"/>
  <c r="AB331" i="1"/>
  <c r="AD2275" i="1"/>
  <c r="AC1950" i="1"/>
  <c r="AG2507" i="1"/>
  <c r="AG1619" i="1"/>
  <c r="BJ559" i="1"/>
  <c r="AB2839" i="1"/>
  <c r="AG3081" i="1"/>
  <c r="AG126" i="1"/>
  <c r="BJ2199" i="1"/>
  <c r="Z666" i="1"/>
  <c r="AD2987" i="1"/>
  <c r="AC2491" i="1"/>
  <c r="Z2706" i="1"/>
  <c r="AA1112" i="1"/>
  <c r="AC2799" i="1"/>
  <c r="AG1003" i="1"/>
  <c r="AD1233" i="1"/>
  <c r="AB2395" i="1"/>
  <c r="AA2008" i="1"/>
  <c r="AG1712" i="1"/>
  <c r="AB2065" i="1"/>
  <c r="AB918" i="1"/>
  <c r="AC2044" i="1"/>
  <c r="AD2279" i="1"/>
  <c r="AC1633" i="1"/>
  <c r="AB1903" i="1"/>
  <c r="AD1106" i="1"/>
  <c r="AA2313" i="1"/>
  <c r="AB3140" i="1"/>
  <c r="AG1917" i="1"/>
  <c r="BJ2687" i="1"/>
  <c r="BJ2357" i="1"/>
  <c r="AC2752" i="1"/>
  <c r="AG209" i="1"/>
  <c r="BJ155" i="1"/>
  <c r="Z2465" i="1"/>
  <c r="BJ639" i="1"/>
  <c r="BJ34" i="1"/>
  <c r="AA2323" i="1"/>
  <c r="AA2291" i="1"/>
  <c r="Z730" i="1"/>
  <c r="AG1528" i="1"/>
  <c r="AG2988" i="1"/>
  <c r="AD2970" i="1"/>
  <c r="BJ1112" i="1"/>
  <c r="AG903" i="1"/>
  <c r="Z3134" i="1"/>
  <c r="BJ129" i="1"/>
  <c r="BJ594" i="1"/>
  <c r="AC2481" i="1"/>
  <c r="AD2817" i="1"/>
  <c r="AA359" i="1"/>
  <c r="AB348" i="1"/>
  <c r="AA2515" i="1"/>
  <c r="AG2272" i="1"/>
  <c r="AC972" i="1"/>
  <c r="AD1220" i="1"/>
  <c r="BJ1374" i="1"/>
  <c r="AC1210" i="1"/>
  <c r="Z2969" i="1"/>
  <c r="Z82" i="1"/>
  <c r="AC541" i="1"/>
  <c r="AD2598" i="1"/>
  <c r="AA1495" i="1"/>
  <c r="AA1646" i="1"/>
  <c r="AG1931" i="1"/>
  <c r="Z1814" i="1"/>
  <c r="AG2759" i="1"/>
  <c r="BJ966" i="1"/>
  <c r="AC2318" i="1"/>
  <c r="AD2803" i="1"/>
  <c r="AD1680" i="1"/>
  <c r="AA1660" i="1"/>
  <c r="AA2056" i="1"/>
  <c r="AB560" i="1"/>
  <c r="AB114" i="1"/>
  <c r="Z1505" i="1"/>
  <c r="AC692" i="1"/>
  <c r="Z2510" i="1"/>
  <c r="AG2204" i="1"/>
  <c r="Z1205" i="1"/>
  <c r="Z985" i="1"/>
  <c r="AD2406" i="1"/>
  <c r="Z1504" i="1"/>
  <c r="AG883" i="1"/>
  <c r="AD2706" i="1"/>
  <c r="AC2824" i="1"/>
  <c r="BJ2110" i="1"/>
  <c r="Z1213" i="1"/>
  <c r="AB2832" i="1"/>
  <c r="AB1327" i="1"/>
  <c r="AG405" i="1"/>
  <c r="AB98" i="1"/>
  <c r="BJ1077" i="1"/>
  <c r="BJ2064" i="1"/>
  <c r="BJ2920" i="1"/>
  <c r="AC2346" i="1"/>
  <c r="BJ2771" i="1"/>
  <c r="AB234" i="1"/>
  <c r="Z1603" i="1"/>
  <c r="AD1652" i="1"/>
  <c r="AD1366" i="1"/>
  <c r="AD762" i="1"/>
  <c r="AD3091" i="1"/>
  <c r="AB3102" i="1"/>
  <c r="AA3086" i="1"/>
  <c r="BJ226" i="1"/>
  <c r="Z2723" i="1"/>
  <c r="AD303" i="1"/>
  <c r="AC1303" i="1"/>
  <c r="AG888" i="1"/>
  <c r="BJ1255" i="1"/>
  <c r="Z1148" i="1"/>
  <c r="AC1918" i="1"/>
  <c r="AG1254" i="1"/>
  <c r="BJ2462" i="1"/>
  <c r="AA673" i="1"/>
  <c r="BJ3148" i="1"/>
  <c r="AC10" i="1"/>
  <c r="AC2767" i="1"/>
  <c r="AA280" i="1"/>
  <c r="AD1969" i="1"/>
  <c r="AA109" i="1"/>
  <c r="BJ40" i="1"/>
  <c r="AG2267" i="1"/>
  <c r="AA2340" i="1"/>
  <c r="BJ1107" i="1"/>
  <c r="AG95" i="1"/>
  <c r="Z160" i="1"/>
  <c r="AB951" i="1"/>
  <c r="AD2052" i="1"/>
  <c r="AG3043" i="1"/>
  <c r="AG2319" i="1"/>
  <c r="Z2960" i="1"/>
  <c r="BJ1927" i="1"/>
  <c r="AG2555" i="1"/>
  <c r="AG2499" i="1"/>
  <c r="BJ1321" i="1"/>
  <c r="AB3078" i="1"/>
  <c r="AD3135" i="1"/>
  <c r="AA2750" i="1"/>
  <c r="BJ1603" i="1"/>
  <c r="AD2720" i="1"/>
  <c r="AG2848" i="1"/>
  <c r="AD1535" i="1"/>
  <c r="BJ987" i="1"/>
  <c r="AA1101" i="1"/>
  <c r="Z1055" i="1"/>
  <c r="AD464" i="1"/>
  <c r="AG1904" i="1"/>
  <c r="AD2093" i="1"/>
  <c r="AD214" i="1"/>
  <c r="AG2126" i="1"/>
  <c r="Z2698" i="1"/>
  <c r="AB366" i="1"/>
  <c r="Z558" i="1"/>
  <c r="AC26" i="1"/>
  <c r="Z1659" i="1"/>
  <c r="AC619" i="1"/>
  <c r="BJ2948" i="1"/>
  <c r="BJ1835" i="1"/>
  <c r="Z2387" i="1"/>
  <c r="AA2740" i="1"/>
  <c r="AD1075" i="1"/>
  <c r="AC2357" i="1"/>
  <c r="AD2301" i="1"/>
  <c r="Z2057" i="1"/>
  <c r="BJ2651" i="1"/>
  <c r="AG2541" i="1"/>
  <c r="AC2555" i="1"/>
  <c r="AG348" i="1"/>
  <c r="AA409" i="1"/>
  <c r="BJ2017" i="1"/>
  <c r="BJ2662" i="1"/>
  <c r="Z2086" i="1"/>
  <c r="Z1798" i="1"/>
  <c r="Z2249" i="1"/>
  <c r="AD298" i="1"/>
  <c r="AA938" i="1"/>
  <c r="AG906" i="1"/>
  <c r="AG489" i="1"/>
  <c r="AG211" i="1"/>
  <c r="Z3139" i="1"/>
  <c r="Z2850" i="1"/>
  <c r="AA1825" i="1"/>
  <c r="AC1271" i="1"/>
  <c r="AB2685" i="1"/>
  <c r="BJ2102" i="1"/>
  <c r="AD2727" i="1"/>
  <c r="AA631" i="1"/>
  <c r="BJ1110" i="1"/>
  <c r="AC1004" i="1"/>
  <c r="AG585" i="1"/>
  <c r="AD893" i="1"/>
  <c r="AG2763" i="1"/>
  <c r="BJ1971" i="1"/>
  <c r="Z919" i="1"/>
  <c r="AB1579" i="1"/>
  <c r="Z2248" i="1"/>
  <c r="AG737" i="1"/>
  <c r="AC1958" i="1"/>
  <c r="AB2677" i="1"/>
  <c r="AD551" i="1"/>
  <c r="AA2263" i="1"/>
  <c r="AD1056" i="1"/>
  <c r="Z2262" i="1"/>
  <c r="AA2343" i="1"/>
  <c r="BJ251" i="1"/>
  <c r="BJ1173" i="1"/>
  <c r="AD2666" i="1"/>
  <c r="Z2846" i="1"/>
  <c r="AA1349" i="1"/>
  <c r="Z2223" i="1"/>
  <c r="AG264" i="1"/>
  <c r="AD2384" i="1"/>
  <c r="Z432" i="1"/>
  <c r="Z630" i="1"/>
  <c r="AC2167" i="1"/>
  <c r="AG524" i="1"/>
  <c r="AD2573" i="1"/>
  <c r="BJ2557" i="1"/>
  <c r="AG1129" i="1"/>
  <c r="BJ2838" i="1"/>
  <c r="AC1200" i="1"/>
  <c r="AB344" i="1"/>
  <c r="Z2956" i="1"/>
  <c r="Z2127" i="1"/>
  <c r="AC168" i="1"/>
  <c r="AD2410" i="1"/>
  <c r="AD1940" i="1"/>
  <c r="AA2821" i="1"/>
  <c r="AA3104" i="1"/>
  <c r="Z2446" i="1"/>
  <c r="AD2914" i="1"/>
  <c r="AC2596" i="1"/>
  <c r="Z1842" i="1"/>
  <c r="AB1441" i="1"/>
  <c r="AD423" i="1"/>
  <c r="Z3009" i="1"/>
  <c r="AB1937" i="1"/>
  <c r="AG2830" i="1"/>
  <c r="AG1551" i="1"/>
  <c r="AA1346" i="1"/>
  <c r="Z1517" i="1"/>
  <c r="AA2390" i="1"/>
  <c r="AD1495" i="1"/>
  <c r="Z1351" i="1"/>
  <c r="AD1788" i="1"/>
  <c r="AC2763" i="1"/>
  <c r="AA927" i="1"/>
  <c r="AD764" i="1"/>
  <c r="AB1122" i="1"/>
  <c r="AG1783" i="1"/>
  <c r="BJ1035" i="1"/>
  <c r="Z775" i="1"/>
  <c r="AG1174" i="1"/>
  <c r="AG2811" i="1"/>
  <c r="AA1111" i="1"/>
  <c r="Z2255" i="1"/>
  <c r="AG74" i="1"/>
  <c r="AA1694" i="1"/>
  <c r="AD2111" i="1"/>
  <c r="AG2251" i="1"/>
  <c r="Z1070" i="1"/>
  <c r="AG61" i="1"/>
  <c r="AC1070" i="1"/>
  <c r="AA2978" i="1"/>
  <c r="AB1433" i="1"/>
  <c r="BJ3117" i="1"/>
  <c r="AG606" i="1"/>
  <c r="AA2871" i="1"/>
  <c r="AC1928" i="1"/>
  <c r="AA751" i="1"/>
  <c r="AB1890" i="1"/>
  <c r="Z3084" i="1"/>
  <c r="BJ953" i="1"/>
  <c r="AA2834" i="1"/>
  <c r="AD917" i="1"/>
  <c r="AC3112" i="1"/>
  <c r="AG2334" i="1"/>
  <c r="AA2378" i="1"/>
  <c r="AA1653" i="1"/>
  <c r="AA1105" i="1"/>
  <c r="AD317" i="1"/>
  <c r="AC227" i="1"/>
  <c r="AD1327" i="1"/>
  <c r="AA388" i="1"/>
  <c r="AD1942" i="1"/>
  <c r="BJ2992" i="1"/>
  <c r="Z1270" i="1"/>
  <c r="BJ460" i="1"/>
  <c r="AD672" i="1"/>
  <c r="AG2498" i="1"/>
  <c r="AC2603" i="1"/>
  <c r="AD3019" i="1"/>
  <c r="Z38" i="1"/>
  <c r="AA828" i="1"/>
  <c r="AA1003" i="1"/>
  <c r="AB2885" i="1"/>
  <c r="AG1297" i="1"/>
  <c r="Z595" i="1"/>
  <c r="AB1103" i="1"/>
  <c r="AD339" i="1"/>
  <c r="AG2287" i="1"/>
  <c r="AA1137" i="1"/>
  <c r="AA735" i="1"/>
  <c r="AD509" i="1"/>
  <c r="AA249" i="1"/>
  <c r="AC2619" i="1"/>
  <c r="AB821" i="1"/>
  <c r="AD3016" i="1"/>
  <c r="AA464" i="1"/>
  <c r="AA318" i="1"/>
  <c r="BJ345" i="1"/>
  <c r="BJ2519" i="1"/>
  <c r="BJ1089" i="1"/>
  <c r="AA2249" i="1"/>
  <c r="AA664" i="1"/>
  <c r="AC730" i="1"/>
  <c r="AA2119" i="1"/>
  <c r="BJ3149" i="1"/>
  <c r="AB509" i="1"/>
  <c r="AA2434" i="1"/>
  <c r="AG1883" i="1"/>
  <c r="AG1079" i="1"/>
  <c r="AA2037" i="1"/>
  <c r="AB2837" i="1"/>
  <c r="Z1323" i="1"/>
  <c r="AD2607" i="1"/>
  <c r="Z1210" i="1"/>
  <c r="Z3001" i="1"/>
  <c r="AB2466" i="1"/>
  <c r="AD1052" i="1"/>
  <c r="AD1283" i="1"/>
  <c r="AG1275" i="1"/>
  <c r="AC695" i="1"/>
  <c r="Z105" i="1"/>
  <c r="Z927" i="1"/>
  <c r="AD2277" i="1"/>
  <c r="AD685" i="1"/>
  <c r="AC2027" i="1"/>
  <c r="AD2205" i="1"/>
  <c r="AD2528" i="1"/>
  <c r="AA2808" i="1"/>
  <c r="AG2570" i="1"/>
  <c r="BJ72" i="1"/>
  <c r="AA2175" i="1"/>
  <c r="AB982" i="1"/>
  <c r="AC2446" i="1"/>
  <c r="AD679" i="1"/>
  <c r="AA2648" i="1"/>
  <c r="BJ2477" i="1"/>
  <c r="AD609" i="1"/>
  <c r="AA2493" i="1"/>
  <c r="Z497" i="1"/>
  <c r="BJ974" i="1"/>
  <c r="BJ443" i="1"/>
  <c r="BJ147" i="1"/>
  <c r="BJ2480" i="1"/>
  <c r="BJ588" i="1"/>
  <c r="AG1601" i="1"/>
  <c r="AB2743" i="1"/>
  <c r="AD2212" i="1"/>
  <c r="BJ163" i="1"/>
  <c r="Z1151" i="1"/>
  <c r="AG1041" i="1"/>
  <c r="AD731" i="1"/>
  <c r="BJ1404" i="1"/>
  <c r="BJ385" i="1"/>
  <c r="AB831" i="1"/>
  <c r="Z1960" i="1"/>
  <c r="Z2018" i="1"/>
  <c r="AA1633" i="1"/>
  <c r="AG2916" i="1"/>
  <c r="Z2889" i="1"/>
  <c r="BJ2437" i="1"/>
  <c r="AG185" i="1"/>
  <c r="AG2721" i="1"/>
  <c r="Z2821" i="1"/>
  <c r="AC1956" i="1"/>
  <c r="AG2944" i="1"/>
  <c r="AC461" i="1"/>
  <c r="Z2551" i="1"/>
  <c r="Z2478" i="1"/>
  <c r="Z914" i="1"/>
  <c r="Z2629" i="1"/>
  <c r="Z2987" i="1"/>
  <c r="AG385" i="1"/>
  <c r="AC760" i="1"/>
  <c r="AD1312" i="1"/>
  <c r="BJ1799" i="1"/>
  <c r="AC2022" i="1"/>
  <c r="BJ1145" i="1"/>
  <c r="Z306" i="1"/>
  <c r="AA2146" i="1"/>
  <c r="AG2596" i="1"/>
  <c r="AD73" i="1"/>
  <c r="AG1851" i="1"/>
  <c r="AC804" i="1"/>
  <c r="AD2759" i="1"/>
  <c r="AA608" i="1"/>
  <c r="AD604" i="1"/>
  <c r="AG2635" i="1"/>
  <c r="AC363" i="1"/>
  <c r="AD1610" i="1"/>
  <c r="Z2389" i="1"/>
  <c r="AD664" i="1"/>
  <c r="Z1139" i="1"/>
  <c r="Z1751" i="1"/>
  <c r="AG2921" i="1"/>
  <c r="AA233" i="1"/>
  <c r="BJ485" i="1"/>
  <c r="Z44" i="1"/>
  <c r="AG1919" i="1"/>
  <c r="BJ1608" i="1"/>
  <c r="Z1549" i="1"/>
  <c r="BJ2719" i="1"/>
  <c r="Z1594" i="1"/>
  <c r="AB274" i="1"/>
  <c r="AD2452" i="1"/>
  <c r="AD3109" i="1"/>
  <c r="AC1325" i="1"/>
  <c r="AD2864" i="1"/>
  <c r="AD842" i="1"/>
  <c r="AA726" i="1"/>
  <c r="AB386" i="1"/>
  <c r="AD1529" i="1"/>
  <c r="AC1773" i="1"/>
  <c r="AB2052" i="1"/>
  <c r="AB2068" i="1"/>
  <c r="Z1669" i="1"/>
  <c r="AG37" i="1"/>
  <c r="AG1248" i="1"/>
  <c r="AD2826" i="1"/>
  <c r="Z98" i="1"/>
  <c r="AG2586" i="1"/>
  <c r="Z182" i="1"/>
  <c r="AC625" i="1"/>
  <c r="BJ2351" i="1"/>
  <c r="Z2516" i="1"/>
  <c r="AC1511" i="1"/>
  <c r="AG57" i="1"/>
  <c r="AG2884" i="1"/>
  <c r="AA469" i="1"/>
  <c r="BJ1748" i="1"/>
  <c r="AD819" i="1"/>
  <c r="AC777" i="1"/>
  <c r="AB2721" i="1"/>
  <c r="Z2890" i="1"/>
  <c r="AG2235" i="1"/>
  <c r="AG1691" i="1"/>
  <c r="Z2212" i="1"/>
  <c r="AD1513" i="1"/>
  <c r="AD3137" i="1"/>
  <c r="BJ293" i="1"/>
  <c r="AG822" i="1"/>
  <c r="AB2186" i="1"/>
  <c r="Z2268" i="1"/>
  <c r="AG2798" i="1"/>
  <c r="BJ1477" i="1"/>
  <c r="AG1538" i="1"/>
  <c r="AB1280" i="1"/>
  <c r="AA2257" i="1"/>
  <c r="BJ2595" i="1"/>
  <c r="Z2749" i="1"/>
  <c r="AD1032" i="1"/>
  <c r="AC735" i="1"/>
  <c r="BJ1377" i="1"/>
  <c r="Z2440" i="1"/>
  <c r="AC1894" i="1"/>
  <c r="BJ1270" i="1"/>
  <c r="AC300" i="1"/>
  <c r="AC2338" i="1"/>
  <c r="AG1353" i="1"/>
  <c r="AA2980" i="1"/>
  <c r="Z2329" i="1"/>
  <c r="AB2851" i="1"/>
  <c r="AA674" i="1"/>
  <c r="AG2513" i="1"/>
  <c r="AG1019" i="1"/>
  <c r="AG1996" i="1"/>
  <c r="AC3051" i="1"/>
  <c r="AC1228" i="1"/>
  <c r="AD124" i="1"/>
  <c r="AB1947" i="1"/>
  <c r="AG239" i="1"/>
  <c r="BJ465" i="1"/>
  <c r="AC2853" i="1"/>
  <c r="AD2135" i="1"/>
  <c r="AG1920" i="1"/>
  <c r="AD1606" i="1"/>
  <c r="BJ621" i="1"/>
  <c r="AG3025" i="1"/>
  <c r="AB1168" i="1"/>
  <c r="AG509" i="1"/>
  <c r="AG3055" i="1"/>
  <c r="AC1528" i="1"/>
  <c r="Z1608" i="1"/>
  <c r="AB2841" i="1"/>
  <c r="Z1054" i="1"/>
  <c r="AB1308" i="1"/>
  <c r="AB2730" i="1"/>
  <c r="Z1776" i="1"/>
  <c r="BJ2337" i="1"/>
  <c r="Z2236" i="1"/>
  <c r="AB2115" i="1"/>
  <c r="AD1673" i="1"/>
  <c r="AD2532" i="1"/>
  <c r="Z137" i="1"/>
  <c r="AB2765" i="1"/>
  <c r="BJ846" i="1"/>
  <c r="AC1077" i="1"/>
  <c r="AD1180" i="1"/>
  <c r="BJ413" i="1"/>
  <c r="AC2142" i="1"/>
  <c r="AC455" i="1"/>
  <c r="AD2108" i="1"/>
  <c r="Z2338" i="1"/>
  <c r="AG675" i="1"/>
  <c r="BJ216" i="1"/>
  <c r="BJ1537" i="1"/>
  <c r="AA3060" i="1"/>
  <c r="AA2197" i="1"/>
  <c r="AA1217" i="1"/>
  <c r="AD886" i="1"/>
  <c r="AB1887" i="1"/>
  <c r="Z1869" i="1"/>
  <c r="AB2694" i="1"/>
  <c r="AC1280" i="1"/>
  <c r="AD1611" i="1"/>
  <c r="AB633" i="1"/>
  <c r="AC2416" i="1"/>
  <c r="BJ1661" i="1"/>
  <c r="AG1994" i="1"/>
  <c r="AC2360" i="1"/>
  <c r="Z654" i="1"/>
  <c r="BJ1075" i="1"/>
  <c r="BJ1890" i="1"/>
  <c r="BJ937" i="1"/>
  <c r="AB907" i="1"/>
  <c r="AC1059" i="1"/>
  <c r="AC1317" i="1"/>
  <c r="AA1870" i="1"/>
  <c r="BJ318" i="1"/>
  <c r="Z1849" i="1"/>
  <c r="AD848" i="1"/>
  <c r="AD2085" i="1"/>
  <c r="AD801" i="1"/>
  <c r="AG2000" i="1"/>
  <c r="AA2441" i="1"/>
  <c r="BJ913" i="1"/>
  <c r="AA12" i="1"/>
  <c r="AB2865" i="1"/>
  <c r="BJ3034" i="1"/>
  <c r="AA1798" i="1"/>
  <c r="Z1597" i="1"/>
  <c r="AB537" i="1"/>
  <c r="AG2733" i="1"/>
  <c r="AB1482" i="1"/>
  <c r="BJ2139" i="1"/>
  <c r="AB1525" i="1"/>
  <c r="AG1866" i="1"/>
  <c r="AC644" i="1"/>
  <c r="AC1767" i="1"/>
  <c r="AB2408" i="1"/>
  <c r="BJ421" i="1"/>
  <c r="Z277" i="1"/>
  <c r="AG2451" i="1"/>
  <c r="AG2100" i="1"/>
  <c r="BJ1665" i="1"/>
  <c r="Z12" i="1"/>
  <c r="AD973" i="1"/>
  <c r="AG1309" i="1"/>
  <c r="BJ612" i="1"/>
  <c r="AA1142" i="1"/>
  <c r="Z638" i="1"/>
  <c r="AC2001" i="1"/>
  <c r="AG2553" i="1"/>
  <c r="AD58" i="1"/>
  <c r="BJ673" i="1"/>
  <c r="AA551" i="1"/>
  <c r="AA2569" i="1"/>
  <c r="AC618" i="1"/>
  <c r="AA2049" i="1"/>
  <c r="AG2248" i="1"/>
  <c r="AB1255" i="1"/>
  <c r="AA327" i="1"/>
  <c r="BJ1253" i="1"/>
  <c r="AD2115" i="1"/>
  <c r="AG1286" i="1"/>
  <c r="AC2734" i="1"/>
  <c r="BJ2715" i="1"/>
  <c r="AB969" i="1"/>
  <c r="AD1070" i="1"/>
  <c r="Z2627" i="1"/>
  <c r="AB346" i="1"/>
  <c r="BJ1981" i="1"/>
  <c r="AG86" i="1"/>
  <c r="AA1022" i="1"/>
  <c r="AC515" i="1"/>
  <c r="AD2779" i="1"/>
  <c r="AB1048" i="1"/>
  <c r="AA1335" i="1"/>
  <c r="AA83" i="1"/>
  <c r="AD920" i="1"/>
  <c r="AG615" i="1"/>
  <c r="AB1940" i="1"/>
  <c r="AG213" i="1"/>
  <c r="BJ1813" i="1"/>
  <c r="AG1203" i="1"/>
  <c r="BJ2931" i="1"/>
  <c r="Z2343" i="1"/>
  <c r="Z2383" i="1"/>
  <c r="AG2283" i="1"/>
  <c r="AG951" i="1"/>
  <c r="Z2753" i="1"/>
  <c r="AC1909" i="1"/>
  <c r="BJ498" i="1"/>
  <c r="AA1890" i="1"/>
  <c r="Z2122" i="1"/>
  <c r="Z2001" i="1"/>
  <c r="Z192" i="1"/>
  <c r="AG1196" i="1"/>
  <c r="AG3115" i="1"/>
  <c r="BJ315" i="1"/>
  <c r="AB1288" i="1"/>
  <c r="AA723" i="1"/>
  <c r="AA113" i="1"/>
  <c r="AD2251" i="1"/>
  <c r="AA2850" i="1"/>
  <c r="AB3004" i="1"/>
  <c r="AD2257" i="1"/>
  <c r="AB2775" i="1"/>
  <c r="Z1874" i="1"/>
  <c r="AG849" i="1"/>
  <c r="AC2220" i="1"/>
  <c r="AG2655" i="1"/>
  <c r="BJ2862" i="1"/>
  <c r="AB342" i="1"/>
  <c r="Z3101" i="1"/>
  <c r="AB2836" i="1"/>
  <c r="Z1566" i="1"/>
  <c r="AG1680" i="1"/>
  <c r="AA2758" i="1"/>
  <c r="Z1267" i="1"/>
  <c r="AC2802" i="1"/>
  <c r="BJ3087" i="1"/>
  <c r="AC2395" i="1"/>
  <c r="AB2067" i="1"/>
  <c r="AG352" i="1"/>
  <c r="AG3039" i="1"/>
  <c r="AA712" i="1"/>
  <c r="AA2649" i="1"/>
  <c r="AC408" i="1"/>
  <c r="BJ442" i="1"/>
  <c r="AG946" i="1"/>
  <c r="AC589" i="1"/>
  <c r="BJ283" i="1"/>
  <c r="BJ2914" i="1"/>
  <c r="AD233" i="1"/>
  <c r="Z2831" i="1"/>
  <c r="AA2677" i="1"/>
  <c r="AC224" i="1"/>
  <c r="Z1939" i="1"/>
  <c r="Z267" i="1"/>
  <c r="AG368" i="1"/>
  <c r="AC2230" i="1"/>
  <c r="AA2410" i="1"/>
  <c r="BJ1170" i="1"/>
  <c r="AD2813" i="1"/>
  <c r="AG1588" i="1"/>
  <c r="AD264" i="1"/>
  <c r="AA2931" i="1"/>
  <c r="AC2183" i="1"/>
  <c r="AA51" i="1"/>
  <c r="AC1639" i="1"/>
  <c r="BJ3112" i="1"/>
  <c r="AD2248" i="1"/>
  <c r="AD310" i="1"/>
  <c r="AG1186" i="1"/>
  <c r="AB1464" i="1"/>
  <c r="BJ1626" i="1"/>
  <c r="AB1045" i="1"/>
  <c r="AC712" i="1"/>
  <c r="AC2276" i="1"/>
  <c r="AD1039" i="1"/>
  <c r="AG1652" i="1"/>
  <c r="AA2961" i="1"/>
  <c r="AA2117" i="1"/>
  <c r="BJ2505" i="1"/>
  <c r="AC1947" i="1"/>
  <c r="BJ2710" i="1"/>
  <c r="AB2644" i="1"/>
  <c r="AA1382" i="1"/>
  <c r="AA1796" i="1"/>
  <c r="AB2794" i="1"/>
  <c r="AG3048" i="1"/>
  <c r="AD1034" i="1"/>
  <c r="AG2949" i="1"/>
  <c r="BJ1643" i="1"/>
  <c r="BJ1022" i="1"/>
  <c r="Z1943" i="1"/>
  <c r="Z655" i="1"/>
  <c r="AG2681" i="1"/>
  <c r="AA2123" i="1"/>
  <c r="Z1676" i="1"/>
  <c r="AB532" i="1"/>
  <c r="AA399" i="1"/>
  <c r="Z240" i="1"/>
  <c r="AC1659" i="1"/>
  <c r="AG2765" i="1"/>
  <c r="AG2118" i="1"/>
  <c r="AG2489" i="1"/>
  <c r="AB2545" i="1"/>
  <c r="BJ657" i="1"/>
  <c r="BJ643" i="1"/>
  <c r="AD2622" i="1"/>
  <c r="AG2849" i="1"/>
  <c r="AA1252" i="1"/>
  <c r="BJ168" i="1"/>
  <c r="AB2228" i="1"/>
  <c r="AG1760" i="1"/>
  <c r="AB1270" i="1"/>
  <c r="AB863" i="1"/>
  <c r="Z2079" i="1"/>
  <c r="AB2329" i="1"/>
  <c r="BJ361" i="1"/>
  <c r="AC2445" i="1"/>
  <c r="AG665" i="1"/>
  <c r="AB1303" i="1"/>
  <c r="Z2614" i="1"/>
  <c r="Z1521" i="1"/>
  <c r="AD2222" i="1"/>
  <c r="AD1765" i="1"/>
  <c r="AB1758" i="1"/>
  <c r="BJ526" i="1"/>
  <c r="AG644" i="1"/>
  <c r="AA983" i="1"/>
  <c r="AC1701" i="1"/>
  <c r="AC158" i="1"/>
  <c r="AB350" i="1"/>
  <c r="Z1693" i="1"/>
  <c r="AG30" i="1"/>
  <c r="AC93" i="1"/>
  <c r="AD266" i="1"/>
  <c r="BJ2897" i="1"/>
  <c r="AB308" i="1"/>
  <c r="AD1770" i="1"/>
  <c r="AB264" i="1"/>
  <c r="Z1029" i="1"/>
  <c r="AB15" i="1"/>
  <c r="AA2204" i="1"/>
  <c r="AC1470" i="1"/>
  <c r="AG948" i="1"/>
  <c r="AA2015" i="1"/>
  <c r="AB1049" i="1"/>
  <c r="Z3110" i="1"/>
  <c r="AA1844" i="1"/>
  <c r="AB2518" i="1"/>
  <c r="AD1149" i="1"/>
  <c r="AC1350" i="1"/>
  <c r="AB2994" i="1"/>
  <c r="AC1412" i="1"/>
  <c r="AA2485" i="1"/>
  <c r="AD2893" i="1"/>
  <c r="Z1159" i="1"/>
  <c r="BJ2326" i="1"/>
  <c r="AG1953" i="1"/>
  <c r="AB319" i="1"/>
  <c r="Z2554" i="1"/>
  <c r="AD223" i="1"/>
  <c r="AB2924" i="1"/>
  <c r="AC1136" i="1"/>
  <c r="Z1049" i="1"/>
  <c r="AB1691" i="1"/>
  <c r="AA2114" i="1"/>
  <c r="AD1084" i="1"/>
  <c r="Z846" i="1"/>
  <c r="AC1574" i="1"/>
  <c r="AC1220" i="1"/>
  <c r="AA2036" i="1"/>
  <c r="Z1489" i="1"/>
  <c r="AB2070" i="1"/>
  <c r="AD313" i="1"/>
  <c r="AC1617" i="1"/>
  <c r="AD2000" i="1"/>
  <c r="BJ969" i="1"/>
  <c r="BJ537" i="1"/>
  <c r="AB2313" i="1"/>
  <c r="AG1722" i="1"/>
  <c r="AD2218" i="1"/>
  <c r="AC997" i="1"/>
  <c r="AC1461" i="1"/>
  <c r="AD90" i="1"/>
  <c r="Z1468" i="1"/>
  <c r="AA1626" i="1"/>
  <c r="AG3138" i="1"/>
  <c r="BJ963" i="1"/>
  <c r="AB268" i="1"/>
  <c r="AG728" i="1"/>
  <c r="AD2376" i="1"/>
  <c r="AG965" i="1"/>
  <c r="AC311" i="1"/>
  <c r="AG2458" i="1"/>
  <c r="AA1742" i="1"/>
  <c r="AD787" i="1"/>
  <c r="Z2590" i="1"/>
  <c r="AB2417" i="1"/>
  <c r="AC2463" i="1"/>
  <c r="AC1020" i="1"/>
  <c r="AD1598" i="1"/>
  <c r="AC2047" i="1"/>
  <c r="AC95" i="1"/>
  <c r="AC60" i="1"/>
  <c r="AD194" i="1"/>
  <c r="Z3060" i="1"/>
  <c r="AA2392" i="1"/>
  <c r="AB2467" i="1"/>
  <c r="BJ2379" i="1"/>
  <c r="Z1288" i="1"/>
  <c r="AB2590" i="1"/>
  <c r="Z690" i="1"/>
  <c r="AA1510" i="1"/>
  <c r="BJ627" i="1"/>
  <c r="AB1412" i="1"/>
  <c r="AC2860" i="1"/>
  <c r="Z2432" i="1"/>
  <c r="AC2254" i="1"/>
  <c r="Z1833" i="1"/>
  <c r="AC1896" i="1"/>
  <c r="AA878" i="1"/>
  <c r="AC2526" i="1"/>
  <c r="AA2436" i="1"/>
  <c r="Z113" i="1"/>
  <c r="AG718" i="1"/>
  <c r="AC815" i="1"/>
  <c r="AC1501" i="1"/>
  <c r="AB985" i="1"/>
  <c r="AC2466" i="1"/>
  <c r="AB1886" i="1"/>
  <c r="AG3101" i="1"/>
  <c r="AC860" i="1"/>
  <c r="AB2610" i="1"/>
  <c r="Z56" i="1"/>
  <c r="AC2796" i="1"/>
  <c r="AB2199" i="1"/>
  <c r="Z2573" i="1"/>
  <c r="AA253" i="1"/>
  <c r="AA2864" i="1"/>
  <c r="Z2581" i="1"/>
  <c r="AD130" i="1"/>
  <c r="AG1762" i="1"/>
  <c r="AB2537" i="1"/>
  <c r="BJ2293" i="1"/>
  <c r="AA1622" i="1"/>
  <c r="AA79" i="1"/>
  <c r="AB2416" i="1"/>
  <c r="AD1943" i="1"/>
  <c r="AG2640" i="1"/>
  <c r="AC1943" i="1"/>
  <c r="Z1399" i="1"/>
  <c r="BJ1459" i="1"/>
  <c r="AC384" i="1"/>
  <c r="AC1782" i="1"/>
  <c r="AD1287" i="1"/>
  <c r="AG217" i="1"/>
  <c r="AD1829" i="1"/>
  <c r="AD2120" i="1"/>
  <c r="AB1847" i="1"/>
  <c r="AG1156" i="1"/>
  <c r="Z2368" i="1"/>
  <c r="Z656" i="1"/>
  <c r="AB1642" i="1"/>
  <c r="AC2528" i="1"/>
  <c r="AG932" i="1"/>
  <c r="AC855" i="1"/>
  <c r="Z2211" i="1"/>
  <c r="Z2522" i="1"/>
  <c r="AA2619" i="1"/>
  <c r="AD2806" i="1"/>
  <c r="Z1624" i="1"/>
  <c r="AB3074" i="1"/>
  <c r="Z2398" i="1"/>
  <c r="AC830" i="1"/>
  <c r="AC348" i="1"/>
  <c r="AC2322" i="1"/>
  <c r="AD2867" i="1"/>
  <c r="AG2897" i="1"/>
  <c r="AG2682" i="1"/>
  <c r="AD2474" i="1"/>
  <c r="AB791" i="1"/>
  <c r="AG1490" i="1"/>
  <c r="AA1439" i="1"/>
  <c r="Z2504" i="1"/>
  <c r="AG56" i="1"/>
  <c r="BJ1508" i="1"/>
  <c r="AG2006" i="1"/>
  <c r="AG2383" i="1"/>
  <c r="AG48" i="1"/>
  <c r="AA2435" i="1"/>
  <c r="AD1887" i="1"/>
  <c r="AD923" i="1"/>
  <c r="AB1462" i="1"/>
  <c r="AC1560" i="1"/>
  <c r="AA2918" i="1"/>
  <c r="BJ2002" i="1"/>
  <c r="AB1392" i="1"/>
  <c r="AD1072" i="1"/>
  <c r="AG188" i="1"/>
  <c r="AD1603" i="1"/>
  <c r="AD1708" i="1"/>
  <c r="AG2803" i="1"/>
  <c r="AA864" i="1"/>
  <c r="Z2572" i="1"/>
  <c r="AD1378" i="1"/>
  <c r="AA431" i="1"/>
  <c r="AB2819" i="1"/>
  <c r="AB2277" i="1"/>
  <c r="AB345" i="1"/>
  <c r="AG2364" i="1"/>
  <c r="AA2308" i="1"/>
  <c r="AC968" i="1"/>
  <c r="Z117" i="1"/>
  <c r="AC272" i="1"/>
  <c r="AD1752" i="1"/>
  <c r="AC23" i="1"/>
  <c r="BJ993" i="1"/>
  <c r="BJ1976" i="1"/>
  <c r="AA440" i="1"/>
  <c r="BJ1380" i="1"/>
  <c r="AG3021" i="1"/>
  <c r="AA414" i="1"/>
  <c r="BJ581" i="1"/>
  <c r="AG1741" i="1"/>
  <c r="AG2391" i="1"/>
  <c r="Z2887" i="1"/>
  <c r="AG960" i="1"/>
  <c r="AC1864" i="1"/>
  <c r="AC2018" i="1"/>
  <c r="BJ1616" i="1"/>
  <c r="BJ1009" i="1"/>
  <c r="AC2198" i="1"/>
  <c r="AC56" i="1"/>
  <c r="AD1830" i="1"/>
  <c r="AA2655" i="1"/>
  <c r="AA2438" i="1"/>
  <c r="AA2601" i="1"/>
  <c r="Z1193" i="1"/>
  <c r="AG147" i="1"/>
  <c r="AB2269" i="1"/>
  <c r="AD983" i="1"/>
  <c r="BJ1335" i="1"/>
  <c r="BJ708" i="1"/>
  <c r="AD1891" i="1"/>
  <c r="AD1371" i="1"/>
  <c r="AG2216" i="1"/>
  <c r="BJ2789" i="1"/>
  <c r="BJ429" i="1"/>
  <c r="AC2266" i="1"/>
  <c r="Z1395" i="1"/>
  <c r="AB123" i="1"/>
  <c r="AD2240" i="1"/>
  <c r="AA3121" i="1"/>
  <c r="AD1639" i="1"/>
  <c r="BJ2767" i="1"/>
  <c r="AC748" i="1"/>
  <c r="Z2126" i="1"/>
  <c r="AA846" i="1"/>
  <c r="AG1000" i="1"/>
  <c r="Z2717" i="1"/>
  <c r="AB1957" i="1"/>
  <c r="BJ2863" i="1"/>
  <c r="AD454" i="1"/>
  <c r="AD2576" i="1"/>
  <c r="AB457" i="1"/>
  <c r="AB1661" i="1"/>
  <c r="AD355" i="1"/>
  <c r="BJ2385" i="1"/>
  <c r="AB2151" i="1"/>
  <c r="AB2376" i="1"/>
  <c r="AB2458" i="1"/>
  <c r="AG1467" i="1"/>
  <c r="Z1431" i="1"/>
  <c r="Z206" i="1"/>
  <c r="BJ1770" i="1"/>
  <c r="Z2402" i="1"/>
  <c r="AC378" i="1"/>
  <c r="AA513" i="1"/>
  <c r="AA1402" i="1"/>
  <c r="AD2106" i="1"/>
  <c r="Z336" i="1"/>
  <c r="BJ605" i="1"/>
  <c r="AD1311" i="1"/>
  <c r="AA2745" i="1"/>
  <c r="AG731" i="1"/>
  <c r="AC709" i="1"/>
  <c r="AC320" i="1"/>
  <c r="AB2500" i="1"/>
  <c r="AC2503" i="1"/>
  <c r="AB1859" i="1"/>
  <c r="AA1407" i="1"/>
  <c r="AB2124" i="1"/>
  <c r="Z1680" i="1"/>
  <c r="Z848" i="1"/>
  <c r="Z1723" i="1"/>
  <c r="BJ1913" i="1"/>
  <c r="AC1971" i="1"/>
  <c r="AC58" i="1"/>
  <c r="BJ281" i="1"/>
  <c r="BJ582" i="1"/>
  <c r="AB608" i="1"/>
  <c r="AD956" i="1"/>
  <c r="AC2507" i="1"/>
  <c r="AC908" i="1"/>
  <c r="Z1478" i="1"/>
  <c r="BJ2942" i="1"/>
  <c r="AA368" i="1"/>
  <c r="Z1100" i="1"/>
  <c r="AD767" i="1"/>
  <c r="BJ2955" i="1"/>
  <c r="AA1791" i="1"/>
  <c r="Z1731" i="1"/>
  <c r="AG297" i="1"/>
  <c r="AG3133" i="1"/>
  <c r="AD447" i="1"/>
  <c r="Z3105" i="1"/>
  <c r="AG2979" i="1"/>
  <c r="BJ835" i="1"/>
  <c r="AB1207" i="1"/>
  <c r="AC3105" i="1"/>
  <c r="AA27" i="1"/>
  <c r="AD265" i="1"/>
  <c r="AA1073" i="1"/>
  <c r="AA1341" i="1"/>
  <c r="AA2486" i="1"/>
  <c r="AC1444" i="1"/>
  <c r="AB1938" i="1"/>
  <c r="AG253" i="1"/>
  <c r="AC1874" i="1"/>
  <c r="Z345" i="1"/>
  <c r="AB2896" i="1"/>
  <c r="AD1240" i="1"/>
  <c r="AC1090" i="1"/>
  <c r="AC1105" i="1"/>
  <c r="AC1001" i="1"/>
  <c r="AA158" i="1"/>
  <c r="Z1604" i="1"/>
  <c r="AB194" i="1"/>
  <c r="AC1427" i="1"/>
  <c r="AG2858" i="1"/>
  <c r="AA2725" i="1"/>
  <c r="BJ542" i="1"/>
  <c r="BJ396" i="1"/>
  <c r="Z2677" i="1"/>
  <c r="Z937" i="1"/>
  <c r="AG831" i="1"/>
  <c r="AA2773" i="1"/>
  <c r="AC1731" i="1"/>
  <c r="BJ1919" i="1"/>
  <c r="Z2920" i="1"/>
  <c r="AG336" i="1"/>
  <c r="AD1562" i="1"/>
  <c r="AD564" i="1"/>
  <c r="BJ1018" i="1"/>
  <c r="AC998" i="1"/>
  <c r="Z186" i="1"/>
  <c r="AB2607" i="1"/>
  <c r="AB1916" i="1"/>
  <c r="AB2683" i="1"/>
  <c r="AD219" i="1"/>
  <c r="AC96" i="1"/>
  <c r="Z2456" i="1"/>
  <c r="AA2495" i="1"/>
  <c r="AD1869" i="1"/>
  <c r="AB2252" i="1"/>
  <c r="Z1033" i="1"/>
  <c r="AG953" i="1"/>
  <c r="AB2588" i="1"/>
  <c r="AC780" i="1"/>
  <c r="Z2509" i="1"/>
  <c r="AG1677" i="1"/>
  <c r="AG2365" i="1"/>
  <c r="AG1637" i="1"/>
  <c r="BJ2700" i="1"/>
  <c r="BJ2109" i="1"/>
  <c r="AA1577" i="1"/>
  <c r="BJ2214" i="1"/>
  <c r="AA1678" i="1"/>
  <c r="AC2717" i="1"/>
  <c r="AD2373" i="1"/>
  <c r="AD1427" i="1"/>
  <c r="BJ2365" i="1"/>
  <c r="AG1565" i="1"/>
  <c r="AD815" i="1"/>
  <c r="AG2047" i="1"/>
  <c r="AD2673" i="1"/>
  <c r="AB1237" i="1"/>
  <c r="Z1457" i="1"/>
  <c r="AA2936" i="1"/>
  <c r="AC2873" i="1"/>
  <c r="BJ2533" i="1"/>
  <c r="AC696" i="1"/>
  <c r="Z2286" i="1"/>
  <c r="AB3130" i="1"/>
  <c r="AD2964" i="1"/>
  <c r="BJ2671" i="1"/>
  <c r="AC2114" i="1"/>
  <c r="Z2763" i="1"/>
  <c r="AA3057" i="1"/>
  <c r="Z1509" i="1"/>
  <c r="AG1125" i="1"/>
  <c r="AC1331" i="1"/>
  <c r="Z2363" i="1"/>
  <c r="Z2828" i="1"/>
  <c r="AG899" i="1"/>
  <c r="AG970" i="1"/>
  <c r="AA1434" i="1"/>
  <c r="Z1828" i="1"/>
  <c r="Z1905" i="1"/>
  <c r="AA2687" i="1"/>
  <c r="BJ512" i="1"/>
  <c r="AG686" i="1"/>
  <c r="AB1099" i="1"/>
  <c r="AB1825" i="1"/>
  <c r="Z1361" i="1"/>
  <c r="AC523" i="1"/>
  <c r="AB2158" i="1"/>
  <c r="AC1740" i="1"/>
  <c r="Z2964" i="1"/>
  <c r="AA1052" i="1"/>
  <c r="AG2928" i="1"/>
  <c r="AB1713" i="1"/>
  <c r="Z918" i="1"/>
  <c r="AC1012" i="1"/>
  <c r="AA1355" i="1"/>
  <c r="AG1752" i="1"/>
  <c r="AG2128" i="1"/>
  <c r="AC2269" i="1"/>
  <c r="BJ2623" i="1"/>
  <c r="AB2206" i="1"/>
  <c r="AB2435" i="1"/>
  <c r="AG2510" i="1"/>
  <c r="AD532" i="1"/>
  <c r="Z2052" i="1"/>
  <c r="AG2959" i="1"/>
  <c r="AA647" i="1"/>
  <c r="Z398" i="1"/>
  <c r="AC2440" i="1"/>
  <c r="AD517" i="1"/>
  <c r="AG1629" i="1"/>
  <c r="AG2081" i="1"/>
  <c r="AC3071" i="1"/>
  <c r="AC993" i="1"/>
  <c r="AC255" i="1"/>
  <c r="BJ1744" i="1"/>
  <c r="Z456" i="1"/>
  <c r="AD1865" i="1"/>
  <c r="AC76" i="1"/>
  <c r="AB363" i="1"/>
  <c r="AA2264" i="1"/>
  <c r="AB1302" i="1"/>
  <c r="AB2844" i="1"/>
  <c r="Z1707" i="1"/>
  <c r="Z581" i="1"/>
  <c r="AB963" i="1"/>
  <c r="BJ51" i="1"/>
  <c r="AB173" i="1"/>
  <c r="AA1255" i="1"/>
  <c r="AA2790" i="1"/>
  <c r="BJ1057" i="1"/>
  <c r="AC13" i="1"/>
  <c r="BJ962" i="1"/>
  <c r="AD1678" i="1"/>
  <c r="AA2009" i="1"/>
  <c r="AA641" i="1"/>
  <c r="AB1695" i="1"/>
  <c r="AD2409" i="1"/>
  <c r="Z1201" i="1"/>
  <c r="AC3054" i="1"/>
  <c r="Z551" i="1"/>
  <c r="AA925" i="1"/>
  <c r="AA3117" i="1"/>
  <c r="AA1027" i="1"/>
  <c r="Z65" i="1"/>
  <c r="Z1865" i="1"/>
  <c r="AC1878" i="1"/>
  <c r="AC2842" i="1"/>
  <c r="AC2259" i="1"/>
  <c r="BJ2751" i="1"/>
  <c r="BJ371" i="1"/>
  <c r="BJ2975" i="1"/>
  <c r="Z2915" i="1"/>
  <c r="AG1454" i="1"/>
  <c r="AG3140" i="1"/>
  <c r="AB506" i="1"/>
  <c r="BJ69" i="1"/>
  <c r="AA1437" i="1"/>
  <c r="AG2229" i="1"/>
  <c r="BJ734" i="1"/>
  <c r="AG2037" i="1"/>
  <c r="BJ1570" i="1"/>
  <c r="AD675" i="1"/>
  <c r="AB607" i="1"/>
  <c r="Z693" i="1"/>
  <c r="AC658" i="1"/>
  <c r="AA2532" i="1"/>
  <c r="AB2346" i="1"/>
  <c r="AD1556" i="1"/>
  <c r="AG1280" i="1"/>
  <c r="Z382" i="1"/>
  <c r="BJ2301" i="1"/>
  <c r="AG2068" i="1"/>
  <c r="AD536" i="1"/>
  <c r="Z745" i="1"/>
  <c r="BJ521" i="1"/>
  <c r="AB2738" i="1"/>
  <c r="AC742" i="1"/>
  <c r="AB1690" i="1"/>
  <c r="AD2102" i="1"/>
  <c r="AD1862" i="1"/>
  <c r="AD3061" i="1"/>
  <c r="AG926" i="1"/>
  <c r="BJ1857" i="1"/>
  <c r="Z1626" i="1"/>
  <c r="Z1118" i="1"/>
  <c r="BJ146" i="1"/>
  <c r="AA3071" i="1"/>
  <c r="AB1044" i="1"/>
  <c r="Z1013" i="1"/>
  <c r="AB2133" i="1"/>
  <c r="AA257" i="1"/>
  <c r="AA1695" i="1"/>
  <c r="AA262" i="1"/>
  <c r="AC834" i="1"/>
  <c r="AC2462" i="1"/>
  <c r="AB2310" i="1"/>
  <c r="AA1964" i="1"/>
  <c r="AB1613" i="1"/>
  <c r="BJ234" i="1"/>
  <c r="AB192" i="1"/>
  <c r="Z2686" i="1"/>
  <c r="AG3000" i="1"/>
  <c r="AD115" i="1"/>
  <c r="BJ2069" i="1"/>
  <c r="AD2997" i="1"/>
  <c r="AD2431" i="1"/>
  <c r="AC1860" i="1"/>
  <c r="AB65" i="1"/>
  <c r="AB660" i="1"/>
  <c r="AG1630" i="1"/>
  <c r="AB926" i="1"/>
  <c r="Z2183" i="1"/>
  <c r="AB2946" i="1"/>
  <c r="Z2407" i="1"/>
  <c r="AC1594" i="1"/>
  <c r="AD1502" i="1"/>
  <c r="AA1436" i="1"/>
  <c r="AD2891" i="1"/>
  <c r="Z1955" i="1"/>
  <c r="Z1366" i="1"/>
  <c r="AG63" i="1"/>
  <c r="BJ1897" i="1"/>
  <c r="AA2011" i="1"/>
  <c r="AD289" i="1"/>
  <c r="AA537" i="1"/>
  <c r="AB1812" i="1"/>
  <c r="AA2408" i="1"/>
  <c r="AC91" i="1"/>
  <c r="AD1528" i="1"/>
  <c r="AD1229" i="1"/>
  <c r="AD2538" i="1"/>
  <c r="Z3138" i="1"/>
  <c r="AC3138" i="1"/>
  <c r="AG2554" i="1"/>
  <c r="AD1471" i="1"/>
  <c r="AA1212" i="1"/>
  <c r="AB1619" i="1"/>
  <c r="AG1529" i="1"/>
  <c r="BJ1772" i="1"/>
  <c r="AG1066" i="1"/>
  <c r="AG1674" i="1"/>
  <c r="BJ1509" i="1"/>
  <c r="AD2565" i="1"/>
  <c r="AC645" i="1"/>
  <c r="AA3046" i="1"/>
  <c r="AA468" i="1"/>
  <c r="AD2421" i="1"/>
  <c r="BJ2888" i="1"/>
  <c r="AG1264" i="1"/>
  <c r="Z1030" i="1"/>
  <c r="AA1156" i="1"/>
  <c r="AB544" i="1"/>
  <c r="AA979" i="1"/>
  <c r="AD1419" i="1"/>
  <c r="Z1254" i="1"/>
  <c r="Z2713" i="1"/>
  <c r="AA160" i="1"/>
  <c r="AG1945" i="1"/>
  <c r="Z2871" i="1"/>
  <c r="AD213" i="1"/>
  <c r="AB2452" i="1"/>
  <c r="AB893" i="1"/>
  <c r="AA2261" i="1"/>
  <c r="Z193" i="1"/>
  <c r="AC1580" i="1"/>
  <c r="AC981" i="1"/>
  <c r="AC2839" i="1"/>
  <c r="AD2885" i="1"/>
  <c r="AC931" i="1"/>
  <c r="AA1914" i="1"/>
  <c r="AC2291" i="1"/>
  <c r="AC2479" i="1"/>
  <c r="AC2107" i="1"/>
  <c r="AD3066" i="1"/>
  <c r="BJ1610" i="1"/>
  <c r="BJ1895" i="1"/>
  <c r="AG3022" i="1"/>
  <c r="AG2062" i="1"/>
  <c r="AA383" i="1"/>
  <c r="AG2051" i="1"/>
  <c r="AD1433" i="1"/>
  <c r="BJ1752" i="1"/>
  <c r="BJ125" i="1"/>
  <c r="Z2385" i="1"/>
  <c r="Z2837" i="1"/>
  <c r="AD103" i="1"/>
  <c r="AG2675" i="1"/>
  <c r="AC1313" i="1"/>
  <c r="AG2860" i="1"/>
  <c r="AC1937" i="1"/>
  <c r="AC2883" i="1"/>
  <c r="AB67" i="1"/>
  <c r="Z32" i="1"/>
  <c r="BJ1805" i="1"/>
  <c r="BJ400" i="1"/>
  <c r="Z1565" i="1"/>
  <c r="BJ1488" i="1"/>
  <c r="Z1283" i="1"/>
  <c r="AA1790" i="1"/>
  <c r="Z2438" i="1"/>
  <c r="AA869" i="1"/>
  <c r="AB1811" i="1"/>
  <c r="BJ672" i="1"/>
  <c r="AD3090" i="1"/>
  <c r="AB2845" i="1"/>
  <c r="AB2647" i="1"/>
  <c r="AC1014" i="1"/>
  <c r="AD1324" i="1"/>
  <c r="AA676" i="1"/>
  <c r="AA2755" i="1"/>
  <c r="Z1247" i="1"/>
  <c r="AC2069" i="1"/>
  <c r="AG2951" i="1"/>
  <c r="AG661" i="1"/>
  <c r="BJ2761" i="1"/>
  <c r="AD2957" i="1"/>
  <c r="BJ62" i="1"/>
  <c r="Z268" i="1"/>
  <c r="AA1498" i="1"/>
  <c r="AB1604" i="1"/>
  <c r="BJ17" i="1"/>
  <c r="AD1616" i="1"/>
  <c r="AA2276" i="1"/>
  <c r="AD2482" i="1"/>
  <c r="AC2342" i="1"/>
  <c r="AB717" i="1"/>
  <c r="BJ2584" i="1"/>
  <c r="BJ890" i="1"/>
  <c r="AA238" i="1"/>
  <c r="Z3120" i="1"/>
  <c r="AD325" i="1"/>
  <c r="Z177" i="1"/>
  <c r="AD1290" i="1"/>
  <c r="AG1540" i="1"/>
  <c r="BJ2820" i="1"/>
  <c r="Z1527" i="1"/>
  <c r="AA698" i="1"/>
  <c r="BJ1419" i="1"/>
  <c r="AB1340" i="1"/>
  <c r="BJ1621" i="1"/>
  <c r="AB2613" i="1"/>
  <c r="Z273" i="1"/>
  <c r="Z923" i="1"/>
  <c r="AB3024" i="1"/>
  <c r="BJ405" i="1"/>
  <c r="AB1003" i="1"/>
  <c r="Z2669" i="1"/>
  <c r="BJ2607" i="1"/>
  <c r="BJ2564" i="1"/>
  <c r="AD916" i="1"/>
  <c r="AA2002" i="1"/>
  <c r="AA3093" i="1"/>
  <c r="AA2482" i="1"/>
  <c r="AD440" i="1"/>
  <c r="AD2150" i="1"/>
  <c r="AB3113" i="1"/>
  <c r="AB720" i="1"/>
  <c r="AD2402" i="1"/>
  <c r="AG1568" i="1"/>
  <c r="Z1966" i="1"/>
  <c r="AA897" i="1"/>
  <c r="AD3057" i="1"/>
  <c r="AB3063" i="1"/>
  <c r="AC734" i="1"/>
  <c r="AG653" i="1"/>
  <c r="AG2983" i="1"/>
  <c r="AC1483" i="1"/>
  <c r="AG2925" i="1"/>
  <c r="AD859" i="1"/>
  <c r="AA1103" i="1"/>
  <c r="Z208" i="1"/>
  <c r="AG1322" i="1"/>
  <c r="BJ402" i="1"/>
  <c r="AC140" i="1"/>
  <c r="AC245" i="1"/>
  <c r="AA2985" i="1"/>
  <c r="AG2536" i="1"/>
  <c r="AB1443" i="1"/>
  <c r="BJ2673" i="1"/>
  <c r="Z2808" i="1"/>
  <c r="Z1019" i="1"/>
  <c r="AG2589" i="1"/>
  <c r="Z2071" i="1"/>
  <c r="AA760" i="1"/>
  <c r="AA2453" i="1"/>
  <c r="Z1834" i="1"/>
  <c r="Z2365" i="1"/>
  <c r="Z410" i="1"/>
  <c r="AA1409" i="1"/>
  <c r="AB710" i="1"/>
  <c r="Z1203" i="1"/>
  <c r="BJ3152" i="1"/>
  <c r="AA1997" i="1"/>
  <c r="Z430" i="1"/>
  <c r="AC50" i="1"/>
  <c r="AA1937" i="1"/>
  <c r="Z956" i="1"/>
  <c r="BJ2156" i="1"/>
  <c r="AA3096" i="1"/>
  <c r="AA1097" i="1"/>
  <c r="Z905" i="1"/>
  <c r="AC2081" i="1"/>
  <c r="Z807" i="1"/>
  <c r="AD2671" i="1"/>
  <c r="AG1695" i="1"/>
  <c r="AC1287" i="1"/>
  <c r="AD2907" i="1"/>
  <c r="AG1334" i="1"/>
  <c r="AG1117" i="1"/>
  <c r="AG2530" i="1"/>
  <c r="AB2810" i="1"/>
  <c r="AA2720" i="1"/>
  <c r="AA490" i="1"/>
  <c r="BJ110" i="1"/>
  <c r="AD2675" i="1"/>
  <c r="AC1034" i="1"/>
  <c r="BJ2342" i="1"/>
  <c r="AC690" i="1"/>
  <c r="AB583" i="1"/>
  <c r="AB2498" i="1"/>
  <c r="Z2353" i="1"/>
  <c r="AD2589" i="1"/>
  <c r="AD2737" i="1"/>
  <c r="AB1782" i="1"/>
  <c r="AA655" i="1"/>
  <c r="AD27" i="1"/>
  <c r="Z279" i="1"/>
  <c r="AD1980" i="1"/>
  <c r="AD2224" i="1"/>
  <c r="AG453" i="1"/>
  <c r="AB1315" i="1"/>
  <c r="AG866" i="1"/>
  <c r="AG1056" i="1"/>
  <c r="AB1590" i="1"/>
  <c r="BJ2872" i="1"/>
  <c r="AC871" i="1"/>
  <c r="BJ997" i="1"/>
  <c r="AG1458" i="1"/>
  <c r="AB1193" i="1"/>
  <c r="AB1132" i="1"/>
  <c r="AB2773" i="1"/>
  <c r="AC3069" i="1"/>
  <c r="BJ3114" i="1"/>
  <c r="AC3000" i="1"/>
  <c r="BJ1480" i="1"/>
  <c r="AG1463" i="1"/>
  <c r="AD282" i="1"/>
  <c r="AG1981" i="1"/>
  <c r="AA90" i="1"/>
  <c r="BJ2577" i="1"/>
  <c r="AG132" i="1"/>
  <c r="BJ2594" i="1"/>
  <c r="AA550" i="1"/>
  <c r="BJ849" i="1"/>
  <c r="Z1952" i="1"/>
  <c r="AA732" i="1"/>
  <c r="Z1169" i="1"/>
  <c r="AD2757" i="1"/>
  <c r="Z2595" i="1"/>
  <c r="BJ2332" i="1"/>
  <c r="AC2862" i="1"/>
  <c r="AD114" i="1"/>
  <c r="AA2729" i="1"/>
  <c r="Z3014" i="1"/>
  <c r="Z2727" i="1"/>
  <c r="AB2815" i="1"/>
  <c r="AA2581" i="1"/>
  <c r="Z761" i="1"/>
  <c r="AA1918" i="1"/>
  <c r="Z3103" i="1"/>
  <c r="AC2845" i="1"/>
  <c r="BJ2444" i="1"/>
  <c r="AB1017" i="1"/>
  <c r="BJ779" i="1"/>
  <c r="AD1851" i="1"/>
  <c r="Z292" i="1"/>
  <c r="AG705" i="1"/>
  <c r="BJ2571" i="1"/>
  <c r="AB1061" i="1"/>
  <c r="Z1794" i="1"/>
  <c r="AB1561" i="1"/>
  <c r="AA2809" i="1"/>
  <c r="AB2717" i="1"/>
  <c r="AB2322" i="1"/>
  <c r="Z778" i="1"/>
  <c r="AB1147" i="1"/>
  <c r="AA3081" i="1"/>
  <c r="AA2752" i="1"/>
  <c r="BJ2877" i="1"/>
  <c r="AC1869" i="1"/>
  <c r="AA1736" i="1"/>
  <c r="AB760" i="1"/>
  <c r="BJ2232" i="1"/>
  <c r="AD838" i="1"/>
  <c r="AA2538" i="1"/>
  <c r="AG1665" i="1"/>
  <c r="AD2099" i="1"/>
  <c r="Z2514" i="1"/>
  <c r="AD2028" i="1"/>
  <c r="AG2105" i="1"/>
  <c r="AG2613" i="1"/>
  <c r="AD3139" i="1"/>
  <c r="AB2247" i="1"/>
  <c r="AC2554" i="1"/>
  <c r="AD2145" i="1"/>
  <c r="AC1035" i="1"/>
  <c r="AA1982" i="1"/>
  <c r="Z2623" i="1"/>
  <c r="Z180" i="1"/>
  <c r="AB2739" i="1"/>
  <c r="BJ2943" i="1"/>
  <c r="AA1405" i="1"/>
  <c r="AG1098" i="1"/>
  <c r="AC2371" i="1"/>
  <c r="AA1579" i="1"/>
  <c r="AD451" i="1"/>
  <c r="BJ2636" i="1"/>
  <c r="Z2168" i="1"/>
  <c r="AG390" i="1"/>
  <c r="AG811" i="1"/>
  <c r="AB2801" i="1"/>
  <c r="AA881" i="1"/>
  <c r="AC355" i="1"/>
  <c r="AB876" i="1"/>
  <c r="Z493" i="1"/>
  <c r="Z1664" i="1"/>
  <c r="AG2360" i="1"/>
  <c r="AG1123" i="1"/>
  <c r="BJ2443" i="1"/>
  <c r="AG1432" i="1"/>
  <c r="AA2091" i="1"/>
  <c r="AA2253" i="1"/>
  <c r="AC3046" i="1"/>
  <c r="AA839" i="1"/>
  <c r="Z30" i="1"/>
  <c r="AA2802" i="1"/>
  <c r="AA482" i="1"/>
  <c r="AB2646" i="1"/>
  <c r="AD1406" i="1"/>
  <c r="AA1682" i="1"/>
  <c r="Z2974" i="1"/>
  <c r="AA1224" i="1"/>
  <c r="AC1110" i="1"/>
  <c r="AC2743" i="1"/>
  <c r="AD3036" i="1"/>
  <c r="AD1975" i="1"/>
  <c r="BJ1073" i="1"/>
  <c r="BJ117" i="1"/>
  <c r="AC1934" i="1"/>
  <c r="AA491" i="1"/>
  <c r="AC1197" i="1"/>
  <c r="BJ1305" i="1"/>
  <c r="BJ2418" i="1"/>
  <c r="AC2532" i="1"/>
  <c r="AG1021" i="1"/>
  <c r="AG1620" i="1"/>
  <c r="AG2129" i="1"/>
  <c r="AB1358" i="1"/>
  <c r="AC674" i="1"/>
  <c r="AG328" i="1"/>
  <c r="BJ1090" i="1"/>
  <c r="AD982" i="1"/>
  <c r="AA1093" i="1"/>
  <c r="AC1049" i="1"/>
  <c r="AC496" i="1"/>
  <c r="AB220" i="1"/>
  <c r="AA458" i="1"/>
  <c r="AG1544" i="1"/>
  <c r="AG2278" i="1"/>
  <c r="BJ679" i="1"/>
  <c r="BJ169" i="1"/>
  <c r="Z1353" i="1"/>
  <c r="AA2191" i="1"/>
  <c r="AC1335" i="1"/>
  <c r="AG2029" i="1"/>
  <c r="AB479" i="1"/>
  <c r="AG2889" i="1"/>
  <c r="BJ303" i="1"/>
  <c r="AA3050" i="1"/>
  <c r="AB698" i="1"/>
  <c r="AB1862" i="1"/>
  <c r="BJ1862" i="1"/>
  <c r="AD2276" i="1"/>
  <c r="Z499" i="1"/>
  <c r="Z521" i="1"/>
  <c r="BJ1585" i="1"/>
  <c r="AC450" i="1"/>
  <c r="AD2478" i="1"/>
  <c r="Z1502" i="1"/>
  <c r="AG627" i="1"/>
  <c r="AA94" i="1"/>
  <c r="AD276" i="1"/>
  <c r="AD974" i="1"/>
  <c r="Z742" i="1"/>
  <c r="Z1407" i="1"/>
  <c r="Z2250" i="1"/>
  <c r="AA436" i="1"/>
  <c r="AD1898" i="1"/>
  <c r="AG2147" i="1"/>
  <c r="AA1729" i="1"/>
  <c r="AC3086" i="1"/>
  <c r="AD1693" i="1"/>
  <c r="AG2004" i="1"/>
  <c r="AG1606" i="1"/>
  <c r="BJ397" i="1"/>
  <c r="AC2253" i="1"/>
  <c r="AG1878" i="1"/>
  <c r="AB2200" i="1"/>
  <c r="AG701" i="1"/>
  <c r="AC2435" i="1"/>
  <c r="AC2252" i="1"/>
  <c r="AB293" i="1"/>
  <c r="AG2906" i="1"/>
  <c r="BJ1341" i="1"/>
  <c r="AD900" i="1"/>
  <c r="AC3047" i="1"/>
  <c r="AD357" i="1"/>
  <c r="AA2770" i="1"/>
  <c r="BJ2066" i="1"/>
  <c r="AG704" i="1"/>
  <c r="Z1639" i="1"/>
  <c r="BJ1153" i="1"/>
  <c r="AB1229" i="1"/>
  <c r="AA589" i="1"/>
  <c r="Z1360" i="1"/>
  <c r="Z453" i="1"/>
  <c r="AB999" i="1"/>
  <c r="BJ1129" i="1"/>
  <c r="AC552" i="1"/>
  <c r="AD627" i="1"/>
  <c r="AD936" i="1"/>
  <c r="AB2696" i="1"/>
  <c r="BJ2871" i="1"/>
  <c r="BJ3045" i="1"/>
  <c r="BJ1985" i="1"/>
  <c r="AD245" i="1"/>
  <c r="BJ1701" i="1"/>
  <c r="AB2378" i="1"/>
  <c r="Z1541" i="1"/>
  <c r="AA271" i="1"/>
  <c r="AB3060" i="1"/>
  <c r="AB203" i="1"/>
  <c r="AB667" i="1"/>
  <c r="AC1721" i="1"/>
  <c r="Z2104" i="1"/>
  <c r="Z2083" i="1"/>
  <c r="AA770" i="1"/>
  <c r="AA2496" i="1"/>
  <c r="AD1754" i="1"/>
  <c r="AB1137" i="1"/>
  <c r="AC2333" i="1"/>
  <c r="AC1416" i="1"/>
  <c r="AG2584" i="1"/>
  <c r="AD567" i="1"/>
  <c r="AA2899" i="1"/>
  <c r="AD417" i="1"/>
  <c r="AC537" i="1"/>
  <c r="BJ1345" i="1"/>
  <c r="AA2644" i="1"/>
  <c r="AB650" i="1"/>
  <c r="AB2604" i="1"/>
  <c r="AC925" i="1"/>
  <c r="AA1150" i="1"/>
  <c r="AA2148" i="1"/>
  <c r="AG1015" i="1"/>
  <c r="AB1920" i="1"/>
  <c r="AD2341" i="1"/>
  <c r="AG1345" i="1"/>
  <c r="AB1644" i="1"/>
  <c r="BJ19" i="1"/>
  <c r="AD2113" i="1"/>
  <c r="AD624" i="1"/>
  <c r="Z3005" i="1"/>
  <c r="AG263" i="1"/>
  <c r="AA330" i="1"/>
  <c r="AB767" i="1"/>
  <c r="Z1444" i="1"/>
  <c r="BJ2176" i="1"/>
  <c r="AC2168" i="1"/>
  <c r="AD320" i="1"/>
  <c r="AG2687" i="1"/>
  <c r="AB1993" i="1"/>
  <c r="AC2494" i="1"/>
  <c r="AG1879" i="1"/>
  <c r="BJ2055" i="1"/>
  <c r="AG1962" i="1"/>
  <c r="AD1296" i="1"/>
  <c r="AC426" i="1"/>
  <c r="AA527" i="1"/>
  <c r="AB3032" i="1"/>
  <c r="AG2449" i="1"/>
  <c r="Z2216" i="1"/>
  <c r="AB2622" i="1"/>
  <c r="AA2551" i="1"/>
  <c r="AB2307" i="1"/>
  <c r="AA11" i="1"/>
  <c r="AD2908" i="1"/>
  <c r="BJ1146" i="1"/>
  <c r="AB1475" i="1"/>
  <c r="BJ1556" i="1"/>
  <c r="Z2271" i="1"/>
  <c r="Z3118" i="1"/>
  <c r="AB512" i="1"/>
  <c r="AC309" i="1"/>
  <c r="AA1059" i="1"/>
  <c r="AA1754" i="1"/>
  <c r="AD421" i="1"/>
  <c r="Z1229" i="1"/>
  <c r="AA2529" i="1"/>
  <c r="AG2157" i="1"/>
  <c r="AD1512" i="1"/>
  <c r="AC1938" i="1"/>
  <c r="AG413" i="1"/>
  <c r="AA780" i="1"/>
  <c r="AC2464" i="1"/>
  <c r="BJ2348" i="1"/>
  <c r="AC833" i="1"/>
  <c r="AB626" i="1"/>
  <c r="AA2031" i="1"/>
  <c r="Z2265" i="1"/>
  <c r="AD334" i="1"/>
  <c r="AB2479" i="1"/>
  <c r="AD2121" i="1"/>
  <c r="Z2281" i="1"/>
  <c r="AG310" i="1"/>
  <c r="AD1458" i="1"/>
  <c r="BJ625" i="1"/>
  <c r="AB2877" i="1"/>
  <c r="AC750" i="1"/>
  <c r="AB2535" i="1"/>
  <c r="AD1383" i="1"/>
  <c r="AG2031" i="1"/>
  <c r="AC1899" i="1"/>
  <c r="AD2700" i="1"/>
  <c r="AB362" i="1"/>
  <c r="BJ1582" i="1"/>
  <c r="BJ2393" i="1"/>
  <c r="AD34" i="1"/>
  <c r="Z1423" i="1"/>
  <c r="AA100" i="1"/>
  <c r="AD1683" i="1"/>
  <c r="BJ2667" i="1"/>
  <c r="AC1373" i="1"/>
  <c r="AA1963" i="1"/>
  <c r="AB1866" i="1"/>
  <c r="AC1917" i="1"/>
  <c r="AG2795" i="1"/>
  <c r="AB1882" i="1"/>
  <c r="AC371" i="1"/>
  <c r="BJ3092" i="1"/>
  <c r="Z570" i="1"/>
  <c r="AD390" i="1"/>
  <c r="Z547" i="1"/>
  <c r="AB2625" i="1"/>
  <c r="BJ956" i="1"/>
  <c r="AB2293" i="1"/>
  <c r="AG1748" i="1"/>
  <c r="AC2769" i="1"/>
  <c r="BJ1923" i="1"/>
  <c r="AD228" i="1"/>
  <c r="BJ2740" i="1"/>
  <c r="AC2504" i="1"/>
  <c r="BJ3010" i="1"/>
  <c r="AA1647" i="1"/>
  <c r="AG1285" i="1"/>
  <c r="AG2091" i="1"/>
  <c r="AG503" i="1"/>
  <c r="AC2199" i="1"/>
  <c r="AB1081" i="1"/>
  <c r="AA2077" i="1"/>
  <c r="AG2604" i="1"/>
  <c r="BJ583" i="1"/>
  <c r="AG1667" i="1"/>
  <c r="AC219" i="1"/>
  <c r="AG1350" i="1"/>
  <c r="AA1528" i="1"/>
  <c r="AC520" i="1"/>
  <c r="AB3123" i="1"/>
  <c r="AG1466" i="1"/>
  <c r="Z2296" i="1"/>
  <c r="AB706" i="1"/>
  <c r="AA272" i="1"/>
  <c r="AD3068" i="1"/>
  <c r="Z425" i="1"/>
  <c r="Z809" i="1"/>
  <c r="BJ109" i="1"/>
  <c r="AC2891" i="1"/>
  <c r="AA1873" i="1"/>
  <c r="AB380" i="1"/>
  <c r="AD1189" i="1"/>
  <c r="AB164" i="1"/>
  <c r="AA2369" i="1"/>
  <c r="AC681" i="1"/>
  <c r="BJ1383" i="1"/>
  <c r="AD1432" i="1"/>
  <c r="BJ2747" i="1"/>
  <c r="AC2855" i="1"/>
  <c r="AD1861" i="1"/>
  <c r="AA398" i="1"/>
  <c r="AD690" i="1"/>
  <c r="BJ780" i="1"/>
  <c r="AC503" i="1"/>
  <c r="AD659" i="1"/>
  <c r="AC751" i="1"/>
  <c r="Z1113" i="1"/>
  <c r="AA1060" i="1"/>
  <c r="AG1656" i="1"/>
  <c r="Z2348" i="1"/>
  <c r="AB1598" i="1"/>
  <c r="AA1326" i="1"/>
  <c r="Z1017" i="1"/>
  <c r="AG497" i="1"/>
  <c r="BJ2966" i="1"/>
  <c r="AD53" i="1"/>
  <c r="Z2721" i="1"/>
  <c r="AD919" i="1"/>
  <c r="AD871" i="1"/>
  <c r="BJ745" i="1"/>
  <c r="BJ1997" i="1"/>
  <c r="AB2720" i="1"/>
  <c r="AB728" i="1"/>
  <c r="Z171" i="1"/>
  <c r="Z357" i="1"/>
  <c r="AD1888" i="1"/>
  <c r="AG1930" i="1"/>
  <c r="AB367" i="1"/>
  <c r="Z2499" i="1"/>
  <c r="BJ1016" i="1"/>
  <c r="Z2155" i="1"/>
  <c r="Z379" i="1"/>
  <c r="AD2035" i="1"/>
  <c r="AC2078" i="1"/>
  <c r="AD1818" i="1"/>
  <c r="AA2358" i="1"/>
  <c r="AB1571" i="1"/>
  <c r="BJ543" i="1"/>
  <c r="BJ2763" i="1"/>
  <c r="Z2666" i="1"/>
  <c r="AA252" i="1"/>
  <c r="AD2308" i="1"/>
  <c r="Z2715" i="1"/>
  <c r="AG1683" i="1"/>
  <c r="AG2276" i="1"/>
  <c r="Z548" i="1"/>
  <c r="AC2984" i="1"/>
  <c r="AB1400" i="1"/>
  <c r="AB569" i="1"/>
  <c r="AD1972" i="1"/>
  <c r="AA892" i="1"/>
  <c r="AG828" i="1"/>
  <c r="AA2826" i="1"/>
  <c r="Z1787" i="1"/>
  <c r="Z2918" i="1"/>
  <c r="Z2073" i="1"/>
  <c r="AB835" i="1"/>
  <c r="AG787" i="1"/>
  <c r="AG2340" i="1"/>
  <c r="AC2722" i="1"/>
  <c r="Z2344" i="1"/>
  <c r="BJ1727" i="1"/>
  <c r="AD1238" i="1"/>
  <c r="Z856" i="1"/>
  <c r="AB2150" i="1"/>
  <c r="AA923" i="1"/>
  <c r="Z1537" i="1"/>
  <c r="AC2084" i="1"/>
  <c r="AB1506" i="1"/>
  <c r="Z2570" i="1"/>
  <c r="Z981" i="1"/>
  <c r="AB2242" i="1"/>
  <c r="AA2006" i="1"/>
  <c r="AA515" i="1"/>
  <c r="AA29" i="1"/>
  <c r="AA1166" i="1"/>
  <c r="BJ3090" i="1"/>
  <c r="AG578" i="1"/>
  <c r="BJ851" i="1"/>
  <c r="AD927" i="1"/>
  <c r="BJ1690" i="1"/>
  <c r="AA2312" i="1"/>
  <c r="AG1418" i="1"/>
  <c r="AB1157" i="1"/>
  <c r="AC508" i="1"/>
  <c r="AD374" i="1"/>
  <c r="AB595" i="1"/>
  <c r="BJ2185" i="1"/>
  <c r="AG2459" i="1"/>
  <c r="AD701" i="1"/>
  <c r="AD591" i="1"/>
  <c r="Z1120" i="1"/>
  <c r="AA2814" i="1"/>
  <c r="AB2198" i="1"/>
  <c r="Z2612" i="1"/>
  <c r="BJ1299" i="1"/>
  <c r="AA2484" i="1"/>
  <c r="AC1406" i="1"/>
  <c r="BJ3072" i="1"/>
  <c r="AD1764" i="1"/>
  <c r="AA227" i="1"/>
  <c r="BJ2676" i="1"/>
  <c r="AA2946" i="1"/>
  <c r="AG1577" i="1"/>
  <c r="AA1836" i="1"/>
  <c r="Z2809" i="1"/>
  <c r="Z2486" i="1"/>
  <c r="BJ3022" i="1"/>
  <c r="AA1127" i="1"/>
  <c r="AB550" i="1"/>
  <c r="AD151" i="1"/>
  <c r="Z2030" i="1"/>
  <c r="AC204" i="1"/>
  <c r="AG1830" i="1"/>
  <c r="AA1916" i="1"/>
  <c r="AC2320" i="1"/>
  <c r="AD2825" i="1"/>
  <c r="AC795" i="1"/>
  <c r="AC1866" i="1"/>
  <c r="AD66" i="1"/>
  <c r="AC2945" i="1"/>
  <c r="AG936" i="1"/>
  <c r="AA2866" i="1"/>
  <c r="BJ948" i="1"/>
  <c r="AB2372" i="1"/>
  <c r="AC2372" i="1"/>
  <c r="AB898" i="1"/>
  <c r="AC2305" i="1"/>
  <c r="BJ1213" i="1"/>
  <c r="Z955" i="1"/>
  <c r="Z2481" i="1"/>
  <c r="AG1158" i="1"/>
  <c r="AC1745" i="1"/>
  <c r="AD1185" i="1"/>
  <c r="AD225" i="1"/>
  <c r="AC1710" i="1"/>
  <c r="AA2908" i="1"/>
  <c r="Z2942" i="1"/>
  <c r="AA1763" i="1"/>
  <c r="AG81" i="1"/>
  <c r="Z2159" i="1"/>
  <c r="Z1137" i="1"/>
  <c r="AD3119" i="1"/>
  <c r="AG3052" i="1"/>
  <c r="AC2000" i="1"/>
  <c r="BJ1697" i="1"/>
  <c r="AG2410" i="1"/>
  <c r="AC1688" i="1"/>
  <c r="AB461" i="1"/>
  <c r="AD1767" i="1"/>
  <c r="AC988" i="1"/>
  <c r="AD1500" i="1"/>
  <c r="AG2920" i="1"/>
  <c r="AB3127" i="1"/>
  <c r="AC1534" i="1"/>
  <c r="AA2217" i="1"/>
  <c r="Z169" i="1"/>
  <c r="AD2413" i="1"/>
  <c r="AB521" i="1"/>
  <c r="AG2778" i="1"/>
  <c r="AA1293" i="1"/>
  <c r="AB1597" i="1"/>
  <c r="AD2969" i="1"/>
  <c r="AD625" i="1"/>
  <c r="AC2893" i="1"/>
  <c r="AB1586" i="1"/>
  <c r="AD2621" i="1"/>
  <c r="AD506" i="1"/>
  <c r="BJ223" i="1"/>
  <c r="AB3062" i="1"/>
  <c r="AC2263" i="1"/>
  <c r="Z3044" i="1"/>
  <c r="AD580" i="1"/>
  <c r="AB1768" i="1"/>
  <c r="AA429" i="1"/>
  <c r="AB146" i="1"/>
  <c r="AD3013" i="1"/>
  <c r="AC2424" i="1"/>
  <c r="AD333" i="1"/>
  <c r="Z2527" i="1"/>
  <c r="AC427" i="1"/>
  <c r="AC2620" i="1"/>
  <c r="AD1881" i="1"/>
  <c r="AC2340" i="1"/>
  <c r="AD2545" i="1"/>
  <c r="AC1795" i="1"/>
  <c r="AB196" i="1"/>
  <c r="Z1941" i="1"/>
  <c r="BJ1713" i="1"/>
  <c r="AA1882" i="1"/>
  <c r="AB1722" i="1"/>
  <c r="BJ2487" i="1"/>
  <c r="AB3025" i="1"/>
  <c r="AB64" i="1"/>
  <c r="AC439" i="1"/>
  <c r="AB2490" i="1"/>
  <c r="AB1880" i="1"/>
  <c r="Z282" i="1"/>
  <c r="Z2411" i="1"/>
  <c r="AA177" i="1"/>
  <c r="AD531" i="1"/>
  <c r="AC1306" i="1"/>
  <c r="AA546" i="1"/>
  <c r="AC70" i="1"/>
  <c r="BJ2142" i="1"/>
  <c r="AB1978" i="1"/>
  <c r="AB1737" i="1"/>
  <c r="AC347" i="1"/>
  <c r="AC875" i="1"/>
  <c r="BJ1415" i="1"/>
  <c r="AC2662" i="1"/>
  <c r="AD1422" i="1"/>
  <c r="AC1620" i="1"/>
  <c r="BJ137" i="1"/>
  <c r="BJ2265" i="1"/>
  <c r="AB275" i="1"/>
  <c r="BJ259" i="1"/>
  <c r="AC2881" i="1"/>
  <c r="BJ1013" i="1"/>
  <c r="AC2434" i="1"/>
  <c r="AD510" i="1"/>
  <c r="AG486" i="1"/>
  <c r="AC2080" i="1"/>
  <c r="Z2342" i="1"/>
  <c r="AC548" i="1"/>
  <c r="BJ2151" i="1"/>
  <c r="AD3102" i="1"/>
  <c r="BJ434" i="1"/>
  <c r="AB653" i="1"/>
  <c r="BJ3035" i="1"/>
  <c r="AB1701" i="1"/>
  <c r="AC902" i="1"/>
  <c r="AG914" i="1"/>
  <c r="AD1759" i="1"/>
  <c r="AB2593" i="1"/>
  <c r="AB2352" i="1"/>
  <c r="AD2873" i="1"/>
  <c r="BJ1444" i="1"/>
  <c r="AB998" i="1"/>
  <c r="Z2544" i="1"/>
  <c r="AB758" i="1"/>
  <c r="AD1965" i="1"/>
  <c r="AA2464" i="1"/>
  <c r="AD1310" i="1"/>
  <c r="AA2590" i="1"/>
  <c r="Z1327" i="1"/>
  <c r="AB2102" i="1"/>
  <c r="AD1526" i="1"/>
  <c r="AC1093" i="1"/>
  <c r="AC1464" i="1"/>
  <c r="AB877" i="1"/>
  <c r="AB511" i="1"/>
  <c r="AA681" i="1"/>
  <c r="Z2254" i="1"/>
  <c r="AC1076" i="1"/>
  <c r="AG2837" i="1"/>
  <c r="AD2295" i="1"/>
  <c r="AB2643" i="1"/>
  <c r="AB2046" i="1"/>
  <c r="AC2088" i="1"/>
  <c r="AC36" i="1"/>
  <c r="BJ1873" i="1"/>
  <c r="AB430" i="1"/>
  <c r="Z1026" i="1"/>
  <c r="AG18" i="1"/>
  <c r="AC1675" i="1"/>
  <c r="AD1007" i="1"/>
  <c r="AG3017" i="1"/>
  <c r="AC324" i="1"/>
  <c r="AC3019" i="1"/>
  <c r="Z123" i="1"/>
  <c r="BJ260" i="1"/>
  <c r="AC1047" i="1"/>
  <c r="AB2288" i="1"/>
  <c r="AB2014" i="1"/>
  <c r="AG2372" i="1"/>
  <c r="AB3150" i="1"/>
  <c r="AB2523" i="1"/>
  <c r="AC2226" i="1"/>
  <c r="AB3103" i="1"/>
  <c r="AG1265" i="1"/>
  <c r="AD2993" i="1"/>
  <c r="AA1630" i="1"/>
  <c r="BJ2473" i="1"/>
  <c r="AD2819" i="1"/>
  <c r="AB260" i="1"/>
  <c r="AG1510" i="1"/>
  <c r="BJ796" i="1"/>
  <c r="AC802" i="1"/>
  <c r="AA1496" i="1"/>
  <c r="AG3008" i="1"/>
  <c r="BJ2478" i="1"/>
  <c r="AD2490" i="1"/>
  <c r="AC953" i="1"/>
  <c r="AD354" i="1"/>
  <c r="AG2071" i="1"/>
  <c r="AB972" i="1"/>
  <c r="AA2870" i="1"/>
  <c r="AC210" i="1"/>
  <c r="AC2159" i="1"/>
  <c r="AG1978" i="1"/>
  <c r="AC182" i="1"/>
  <c r="AC3006" i="1"/>
  <c r="AB945" i="1"/>
  <c r="AB1894" i="1"/>
  <c r="Z2085" i="1"/>
  <c r="Z1826" i="1"/>
  <c r="AC2523" i="1"/>
  <c r="AG1580" i="1"/>
  <c r="AC3109" i="1"/>
  <c r="Z196" i="1"/>
  <c r="BJ970" i="1"/>
  <c r="AD1580" i="1"/>
  <c r="Z867" i="1"/>
  <c r="AA116" i="1"/>
  <c r="AG2472" i="1"/>
  <c r="AA2334" i="1"/>
  <c r="AD1046" i="1"/>
  <c r="AG2757" i="1"/>
  <c r="AC1615" i="1"/>
  <c r="AA2108" i="1"/>
  <c r="AD3121" i="1"/>
  <c r="AD1789" i="1"/>
  <c r="Z1868" i="1"/>
  <c r="AD1080" i="1"/>
  <c r="AG599" i="1"/>
  <c r="AC919" i="1"/>
  <c r="Z2076" i="1"/>
  <c r="Z1766" i="1"/>
  <c r="BJ2970" i="1"/>
  <c r="AC1713" i="1"/>
  <c r="AB171" i="1"/>
  <c r="AG1803" i="1"/>
  <c r="AA80" i="1"/>
  <c r="BJ346" i="1"/>
  <c r="BJ338" i="1"/>
  <c r="AG2454" i="1"/>
  <c r="Z1165" i="1"/>
  <c r="AD2517" i="1"/>
  <c r="AG2508" i="1"/>
  <c r="Z1536" i="1"/>
  <c r="AG1134" i="1"/>
  <c r="AB161" i="1"/>
  <c r="AD611" i="1"/>
  <c r="BJ703" i="1"/>
  <c r="Z1302" i="1"/>
  <c r="AG2752" i="1"/>
  <c r="AG785" i="1"/>
  <c r="AB1614" i="1"/>
  <c r="AG2355" i="1"/>
  <c r="AB2874" i="1"/>
  <c r="AA615" i="1"/>
  <c r="AB1431" i="1"/>
  <c r="Z2587" i="1"/>
  <c r="AD231" i="1"/>
  <c r="AA991" i="1"/>
  <c r="AC2857" i="1"/>
  <c r="Z824" i="1"/>
  <c r="AB2782" i="1"/>
  <c r="AA110" i="1"/>
  <c r="AA2215" i="1"/>
  <c r="AG769" i="1"/>
  <c r="AA1956" i="1"/>
  <c r="AD2593" i="1"/>
  <c r="Z1416" i="1"/>
  <c r="AB2223" i="1"/>
  <c r="AG1934" i="1"/>
  <c r="AB668" i="1"/>
  <c r="AD208" i="1"/>
  <c r="AG1495" i="1"/>
  <c r="AB1374" i="1"/>
  <c r="AG853" i="1"/>
  <c r="AA2615" i="1"/>
  <c r="AA939" i="1"/>
  <c r="AA167" i="1"/>
  <c r="BJ1656" i="1"/>
  <c r="AA442" i="1"/>
  <c r="AC740" i="1"/>
  <c r="AG493" i="1"/>
  <c r="BJ1464" i="1"/>
  <c r="AB1881" i="1"/>
  <c r="BJ954" i="1"/>
  <c r="AG1650" i="1"/>
  <c r="Z1243" i="1"/>
  <c r="Z3073" i="1"/>
  <c r="AD2327" i="1"/>
  <c r="Z2944" i="1"/>
  <c r="AC1531" i="1"/>
  <c r="BJ2182" i="1"/>
  <c r="BJ1675" i="1"/>
  <c r="AA3065" i="1"/>
  <c r="AB1505" i="1"/>
  <c r="AC1819" i="1"/>
  <c r="AA3045" i="1"/>
  <c r="AB2974" i="1"/>
  <c r="AD641" i="1"/>
  <c r="AC929" i="1"/>
  <c r="BJ1783" i="1"/>
  <c r="AC2176" i="1"/>
  <c r="AC1142" i="1"/>
  <c r="AB1367" i="1"/>
  <c r="AB508" i="1"/>
  <c r="AG1977" i="1"/>
  <c r="BJ528" i="1"/>
  <c r="Z360" i="1"/>
  <c r="AD2094" i="1"/>
  <c r="BJ2882" i="1"/>
  <c r="Z1640" i="1"/>
  <c r="Z2550" i="1"/>
  <c r="AA2894" i="1"/>
  <c r="AG2280" i="1"/>
  <c r="AB2274" i="1"/>
  <c r="AD946" i="1"/>
  <c r="AB3091" i="1"/>
  <c r="AD1640" i="1"/>
  <c r="AA182" i="1"/>
  <c r="AC2426" i="1"/>
  <c r="Z1149" i="1"/>
  <c r="AC898" i="1"/>
  <c r="Z3100" i="1"/>
  <c r="Z660" i="1"/>
  <c r="Z1807" i="1"/>
  <c r="AG51" i="1"/>
  <c r="Z2113" i="1"/>
  <c r="AD1001" i="1"/>
  <c r="AD407" i="1"/>
  <c r="BJ2071" i="1"/>
  <c r="BJ1047" i="1"/>
  <c r="AB3007" i="1"/>
  <c r="AC2453" i="1"/>
  <c r="BJ2030" i="1"/>
  <c r="AB2635" i="1"/>
  <c r="AD2551" i="1"/>
  <c r="AA1635" i="1"/>
  <c r="AG1084" i="1"/>
  <c r="AB1766" i="1"/>
  <c r="BJ2532" i="1"/>
  <c r="AC3038" i="1"/>
  <c r="BJ2304" i="1"/>
  <c r="AD1068" i="1"/>
  <c r="AG594" i="1"/>
  <c r="BJ652" i="1"/>
  <c r="AA1838" i="1"/>
  <c r="Z957" i="1"/>
  <c r="AG1603" i="1"/>
  <c r="AA3137" i="1"/>
  <c r="AC1395" i="1"/>
  <c r="AC2979" i="1"/>
  <c r="AD248" i="1"/>
  <c r="AB962" i="1"/>
  <c r="AA191" i="1"/>
  <c r="AC2223" i="1"/>
  <c r="BJ1769" i="1"/>
  <c r="AB210" i="1"/>
  <c r="AB1373" i="1"/>
  <c r="AC2135" i="1"/>
  <c r="AG1194" i="1"/>
  <c r="AD730" i="1"/>
  <c r="AG1184" i="1"/>
  <c r="AC951" i="1"/>
  <c r="Z987" i="1"/>
  <c r="Z349" i="1"/>
  <c r="AC3056" i="1"/>
  <c r="AG1848" i="1"/>
  <c r="AA930" i="1"/>
  <c r="Z1907" i="1"/>
  <c r="AB2886" i="1"/>
  <c r="Z3099" i="1"/>
  <c r="AB2872" i="1"/>
  <c r="BJ1366" i="1"/>
  <c r="AC1003" i="1"/>
  <c r="AA1125" i="1"/>
  <c r="AB536" i="1"/>
  <c r="AD1006" i="1"/>
  <c r="Z2454" i="1"/>
  <c r="Z1546" i="1"/>
  <c r="AD1776" i="1"/>
  <c r="AB1287" i="1"/>
  <c r="AA2664" i="1"/>
  <c r="AC2922" i="1"/>
  <c r="Z2293" i="1"/>
  <c r="Z511" i="1"/>
  <c r="Z2114" i="1"/>
  <c r="AB2582" i="1"/>
  <c r="AG1870" i="1"/>
  <c r="BJ2163" i="1"/>
  <c r="AB1343" i="1"/>
  <c r="Z2822" i="1"/>
  <c r="Z1742" i="1"/>
  <c r="AB248" i="1"/>
  <c r="AA685" i="1"/>
  <c r="Z1370" i="1"/>
  <c r="BJ2827" i="1"/>
  <c r="AD1020" i="1"/>
  <c r="AD2541" i="1"/>
  <c r="AA1178" i="1"/>
  <c r="AC2155" i="1"/>
  <c r="AB1819" i="1"/>
  <c r="AA266" i="1"/>
  <c r="AG284" i="1"/>
  <c r="AG2339" i="1"/>
  <c r="BJ1313" i="1"/>
  <c r="AG1288" i="1"/>
  <c r="AC749" i="1"/>
  <c r="AD3081" i="1"/>
  <c r="BJ1447" i="1"/>
  <c r="AA1907" i="1"/>
  <c r="Z2156" i="1"/>
  <c r="AC1723" i="1"/>
  <c r="AG2190" i="1"/>
  <c r="AC2394" i="1"/>
  <c r="AG354" i="1"/>
  <c r="Z1816" i="1"/>
  <c r="BJ1309" i="1"/>
  <c r="BJ1330" i="1"/>
  <c r="AB1888" i="1"/>
  <c r="AD880" i="1"/>
  <c r="AA2799" i="1"/>
  <c r="AD726" i="1"/>
  <c r="AD860" i="1"/>
  <c r="AA481" i="1"/>
  <c r="AD74" i="1"/>
  <c r="AD156" i="1"/>
  <c r="AG2651" i="1"/>
  <c r="AC2670" i="1"/>
  <c r="Z1534" i="1"/>
  <c r="AG1307" i="1"/>
  <c r="AB2451" i="1"/>
  <c r="AD78" i="1"/>
  <c r="AB1243" i="1"/>
  <c r="AD3117" i="1"/>
  <c r="AC1098" i="1"/>
  <c r="BJ1348" i="1"/>
  <c r="AD2995" i="1"/>
  <c r="AD2945" i="1"/>
  <c r="BJ36" i="1"/>
  <c r="AD1171" i="1"/>
  <c r="AB414" i="1"/>
  <c r="Z2135" i="1"/>
  <c r="AB1600" i="1"/>
  <c r="AD2089" i="1"/>
  <c r="AD1442" i="1"/>
  <c r="AD2317" i="1"/>
  <c r="BJ2844" i="1"/>
  <c r="AC226" i="1"/>
  <c r="Z2209" i="1"/>
  <c r="AD1024" i="1"/>
  <c r="AD127" i="1"/>
  <c r="AA1253" i="1"/>
  <c r="AB2958" i="1"/>
  <c r="AB1549" i="1"/>
  <c r="AG2371" i="1"/>
  <c r="AD949" i="1"/>
  <c r="AA901" i="1"/>
  <c r="BJ702" i="1"/>
  <c r="AA2938" i="1"/>
  <c r="Z756" i="1"/>
  <c r="AG2497" i="1"/>
  <c r="AB2726" i="1"/>
  <c r="AC766" i="1"/>
  <c r="BJ1560" i="1"/>
  <c r="AD1088" i="1"/>
  <c r="AG1743" i="1"/>
  <c r="AC1151" i="1"/>
  <c r="AD3083" i="1"/>
  <c r="Z1620" i="1"/>
  <c r="AA126" i="1"/>
  <c r="AB157" i="1"/>
  <c r="Z1022" i="1"/>
  <c r="BJ642" i="1"/>
  <c r="AC881" i="1"/>
  <c r="AC214" i="1"/>
  <c r="AG1026" i="1"/>
  <c r="AG414" i="1"/>
  <c r="AC409" i="1"/>
  <c r="BJ2053" i="1"/>
  <c r="AG1610" i="1"/>
  <c r="BJ179" i="1"/>
  <c r="BJ3100" i="1"/>
  <c r="AG1995" i="1"/>
  <c r="AC2661" i="1"/>
  <c r="Z2722" i="1"/>
  <c r="AA2168" i="1"/>
  <c r="AD1217" i="1"/>
  <c r="AG1533" i="1"/>
  <c r="Z1192" i="1"/>
  <c r="AC338" i="1"/>
  <c r="Z2280" i="1"/>
  <c r="AC1106" i="1"/>
  <c r="Z120" i="1"/>
  <c r="AB2714" i="1"/>
  <c r="AG1773" i="1"/>
  <c r="AB1576" i="1"/>
  <c r="Z549" i="1"/>
  <c r="AD512" i="1"/>
  <c r="AA1590" i="1"/>
  <c r="AD1715" i="1"/>
  <c r="AA1684" i="1"/>
  <c r="BJ64" i="1"/>
  <c r="AC2950" i="1"/>
  <c r="Z2272" i="1"/>
  <c r="Z774" i="1"/>
  <c r="AC2356" i="1"/>
  <c r="Z1284" i="1"/>
  <c r="AA564" i="1"/>
  <c r="AG695" i="1"/>
  <c r="Z783" i="1"/>
  <c r="AG1261" i="1"/>
  <c r="AB410" i="1"/>
  <c r="BJ2251" i="1"/>
  <c r="AD2319" i="1"/>
  <c r="AB1783" i="1"/>
  <c r="AB1520" i="1"/>
  <c r="Z966" i="1"/>
  <c r="AA579" i="1"/>
  <c r="AD1289" i="1"/>
  <c r="AD562" i="1"/>
  <c r="BJ363" i="1"/>
  <c r="AD1839" i="1"/>
  <c r="AA2141" i="1"/>
  <c r="AG2390" i="1"/>
  <c r="BJ2887" i="1"/>
  <c r="AG2441" i="1"/>
  <c r="AA2207" i="1"/>
  <c r="AD1905" i="1"/>
  <c r="AA1580" i="1"/>
  <c r="AB179" i="1"/>
  <c r="AG1719" i="1"/>
  <c r="AA3080" i="1"/>
  <c r="AG2875" i="1"/>
  <c r="AG533" i="1"/>
  <c r="AB2934" i="1"/>
  <c r="AA2541" i="1"/>
  <c r="AG2523" i="1"/>
  <c r="AB810" i="1"/>
  <c r="AG2736" i="1"/>
  <c r="AG1512" i="1"/>
  <c r="AG1271" i="1"/>
  <c r="AG2453" i="1"/>
  <c r="AC3091" i="1"/>
  <c r="AC706" i="1"/>
  <c r="AA2668" i="1"/>
  <c r="BJ433" i="1"/>
  <c r="AG2438" i="1"/>
  <c r="AD1682" i="1"/>
  <c r="AB1181" i="1"/>
  <c r="AB1680" i="1"/>
  <c r="AB1774" i="1"/>
  <c r="AA2741" i="1"/>
  <c r="AA1373" i="1"/>
  <c r="BJ2433" i="1"/>
  <c r="AG437" i="1"/>
  <c r="AB780" i="1"/>
  <c r="BJ614" i="1"/>
  <c r="AD615" i="1"/>
  <c r="BJ144" i="1"/>
  <c r="AA1167" i="1"/>
  <c r="BJ1651" i="1"/>
  <c r="AC883" i="1"/>
  <c r="AA1327" i="1"/>
  <c r="AC1699" i="1"/>
  <c r="AB2988" i="1"/>
  <c r="AG2817" i="1"/>
  <c r="AD1567" i="1"/>
  <c r="BJ2101" i="1"/>
  <c r="AB705" i="1"/>
  <c r="AC2547" i="1"/>
  <c r="AG111" i="1"/>
  <c r="AA2610" i="1"/>
  <c r="AG779" i="1"/>
  <c r="AD1446" i="1"/>
  <c r="BJ784" i="1"/>
  <c r="AC844" i="1"/>
  <c r="AB465" i="1"/>
  <c r="AG1906" i="1"/>
  <c r="AC536" i="1"/>
  <c r="AC2422" i="1"/>
  <c r="AC610" i="1"/>
  <c r="AG1121" i="1"/>
  <c r="AB2042" i="1"/>
  <c r="AA1939" i="1"/>
  <c r="Z1501" i="1"/>
  <c r="AB955" i="1"/>
  <c r="AA365" i="1"/>
  <c r="Z738" i="1"/>
  <c r="Z1860" i="1"/>
  <c r="AB154" i="1"/>
  <c r="AC2497" i="1"/>
  <c r="AG3020" i="1"/>
  <c r="AB585" i="1"/>
  <c r="Z2662" i="1"/>
  <c r="Z1613" i="1"/>
  <c r="BJ1166" i="1"/>
  <c r="AC2362" i="1"/>
  <c r="AC2327" i="1"/>
  <c r="AA120" i="1"/>
  <c r="AD2265" i="1"/>
  <c r="AC2140" i="1"/>
  <c r="AA2457" i="1"/>
  <c r="AG1114" i="1"/>
  <c r="BJ848" i="1"/>
  <c r="AB1874" i="1"/>
  <c r="Z2945" i="1"/>
  <c r="AB624" i="1"/>
  <c r="BJ717" i="1"/>
  <c r="AA1121" i="1"/>
  <c r="Z2878" i="1"/>
  <c r="AD2612" i="1"/>
  <c r="AC3129" i="1"/>
  <c r="AG3141" i="1"/>
  <c r="Z1480" i="1"/>
  <c r="BJ1879" i="1"/>
  <c r="BJ327" i="1"/>
  <c r="AG196" i="1"/>
  <c r="AG41" i="1"/>
  <c r="Z974" i="1"/>
  <c r="Z2312" i="1"/>
  <c r="AG2426" i="1"/>
  <c r="Z2017" i="1"/>
  <c r="AG2484" i="1"/>
  <c r="Z1157" i="1"/>
  <c r="Z1599" i="1"/>
  <c r="AB819" i="1"/>
  <c r="Z2980" i="1"/>
  <c r="BJ889" i="1"/>
  <c r="AD2349" i="1"/>
  <c r="AG1144" i="1"/>
  <c r="AB2808" i="1"/>
  <c r="AG2121" i="1"/>
  <c r="AD1452" i="1"/>
  <c r="Z343" i="1"/>
  <c r="AG2327" i="1"/>
  <c r="AC113" i="1"/>
  <c r="AA2314" i="1"/>
  <c r="Z543" i="1"/>
  <c r="BJ534" i="1"/>
  <c r="Z2941" i="1"/>
  <c r="AG986" i="1"/>
  <c r="BJ1908" i="1"/>
  <c r="AG797" i="1"/>
  <c r="BJ1281" i="1"/>
  <c r="AA86" i="1"/>
  <c r="AB1265" i="1"/>
  <c r="AD1205" i="1"/>
  <c r="AG1839" i="1"/>
  <c r="AD12" i="1"/>
  <c r="BJ1988" i="1"/>
  <c r="AA2309" i="1"/>
  <c r="AA815" i="1"/>
  <c r="AG1014" i="1"/>
  <c r="AD1202" i="1"/>
  <c r="Z1458" i="1"/>
  <c r="AB1808" i="1"/>
  <c r="AC1328" i="1"/>
  <c r="AC836" i="1"/>
  <c r="AD1012" i="1"/>
  <c r="AD1114" i="1"/>
  <c r="AA2701" i="1"/>
  <c r="AC1266" i="1"/>
  <c r="AC1134" i="1"/>
  <c r="AC2065" i="1"/>
  <c r="AD1948" i="1"/>
  <c r="AD599" i="1"/>
  <c r="BJ571" i="1"/>
  <c r="Z2670" i="1"/>
  <c r="AG934" i="1"/>
  <c r="AA2342" i="1"/>
  <c r="AD835" i="1"/>
  <c r="AB692" i="1"/>
  <c r="AB2292" i="1"/>
  <c r="Z2876" i="1"/>
  <c r="Z2121" i="1"/>
  <c r="Z502" i="1"/>
  <c r="AD2962" i="1"/>
  <c r="AG1503" i="1"/>
  <c r="Z1696" i="1"/>
  <c r="BJ2976" i="1"/>
  <c r="AD218" i="1"/>
  <c r="AB482" i="1"/>
  <c r="BJ1292" i="1"/>
  <c r="AB235" i="1"/>
  <c r="AB1778" i="1"/>
  <c r="AG2627" i="1"/>
  <c r="AA2205" i="1"/>
  <c r="AC556" i="1"/>
  <c r="Z2457" i="1"/>
  <c r="AB2076" i="1"/>
  <c r="BJ819" i="1"/>
  <c r="BJ154" i="1"/>
  <c r="AD1337" i="1"/>
  <c r="AG1045" i="1"/>
  <c r="AG202" i="1"/>
  <c r="BJ1378" i="1"/>
  <c r="BJ513" i="1"/>
  <c r="Z2169" i="1"/>
  <c r="AD980" i="1"/>
  <c r="AG2309" i="1"/>
  <c r="AA1548" i="1"/>
  <c r="AC2578" i="1"/>
  <c r="Z1436" i="1"/>
  <c r="BJ471" i="1"/>
  <c r="AB833" i="1"/>
  <c r="AA523" i="1"/>
  <c r="AG1780" i="1"/>
  <c r="AG1591" i="1"/>
  <c r="AB1592" i="1"/>
  <c r="AB1128" i="1"/>
  <c r="AA749" i="1"/>
  <c r="AG699" i="1"/>
  <c r="AG985" i="1"/>
  <c r="Z612" i="1"/>
  <c r="AB1810" i="1"/>
  <c r="AD2638" i="1"/>
  <c r="Z2196" i="1"/>
  <c r="BJ842" i="1"/>
  <c r="AC358" i="1"/>
  <c r="Z381" i="1"/>
  <c r="AC2469" i="1"/>
  <c r="AC2039" i="1"/>
  <c r="AG861" i="1"/>
  <c r="AC544" i="1"/>
  <c r="AD3023" i="1"/>
  <c r="AB2108" i="1"/>
  <c r="AB1214" i="1"/>
  <c r="AA2030" i="1"/>
  <c r="AD2732" i="1"/>
  <c r="AD461" i="1"/>
  <c r="AA651" i="1"/>
  <c r="AC1845" i="1"/>
  <c r="AA1514" i="1"/>
  <c r="AD153" i="1"/>
  <c r="AD99" i="1"/>
  <c r="AG1201" i="1"/>
  <c r="AA2783" i="1"/>
  <c r="BJ15" i="1"/>
  <c r="AG554" i="1"/>
  <c r="AB458" i="1"/>
  <c r="BJ1751" i="1"/>
  <c r="Z3021" i="1"/>
  <c r="AG469" i="1"/>
  <c r="AD2956" i="1"/>
  <c r="AA959" i="1"/>
  <c r="Z1756" i="1"/>
  <c r="AA1037" i="1"/>
  <c r="AC1788" i="1"/>
  <c r="AC352" i="1"/>
  <c r="AB1846" i="1"/>
  <c r="Z238" i="1"/>
  <c r="AC550" i="1"/>
  <c r="AC592" i="1"/>
  <c r="AC2418" i="1"/>
  <c r="BJ575" i="1"/>
  <c r="Z2683" i="1"/>
  <c r="BJ1565" i="1"/>
  <c r="AC1186" i="1"/>
  <c r="BJ211" i="1"/>
  <c r="AC1596" i="1"/>
  <c r="AG1541" i="1"/>
  <c r="Z1732" i="1"/>
  <c r="BJ156" i="1"/>
  <c r="AA204" i="1"/>
  <c r="AA847" i="1"/>
  <c r="AD110" i="1"/>
  <c r="Z720" i="1"/>
  <c r="AG2411" i="1"/>
  <c r="AD1139" i="1"/>
  <c r="BJ1007" i="1"/>
  <c r="AA2195" i="1"/>
  <c r="AA2167" i="1"/>
  <c r="AA2638" i="1"/>
  <c r="Z772" i="1"/>
  <c r="AC3119" i="1"/>
  <c r="AA1358" i="1"/>
  <c r="AB3048" i="1"/>
  <c r="AA2292" i="1"/>
  <c r="AB1262" i="1"/>
  <c r="Z2388" i="1"/>
  <c r="AD491" i="1"/>
  <c r="AG91" i="1"/>
  <c r="AD411" i="1"/>
  <c r="AD1127" i="1"/>
  <c r="AD2979" i="1"/>
  <c r="AG431" i="1"/>
  <c r="AC1229" i="1"/>
  <c r="BJ392" i="1"/>
  <c r="AA1007" i="1"/>
  <c r="BJ2210" i="1"/>
  <c r="BJ1041" i="1"/>
  <c r="Z2410" i="1"/>
  <c r="AC2558" i="1"/>
  <c r="Z2382" i="1"/>
  <c r="AC3064" i="1"/>
  <c r="AB21" i="1"/>
  <c r="Z949" i="1"/>
  <c r="AA2564" i="1"/>
  <c r="Z1726" i="1"/>
  <c r="AG2217" i="1"/>
  <c r="AA50" i="1"/>
  <c r="Z2096" i="1"/>
  <c r="AC1179" i="1"/>
  <c r="AB307" i="1"/>
  <c r="AG2964" i="1"/>
  <c r="AG1701" i="1"/>
  <c r="BJ567" i="1"/>
  <c r="AC1785" i="1"/>
  <c r="AB2305" i="1"/>
  <c r="AC2651" i="1"/>
  <c r="AB1251" i="1"/>
  <c r="AA1284" i="1"/>
  <c r="AB765" i="1"/>
  <c r="BJ192" i="1"/>
  <c r="AD19" i="1"/>
  <c r="BJ1760" i="1"/>
  <c r="AA1930" i="1"/>
  <c r="AA1280" i="1"/>
  <c r="BJ662" i="1"/>
  <c r="Z788" i="1"/>
  <c r="AD837" i="1"/>
  <c r="AG1754" i="1"/>
  <c r="Z2471" i="1"/>
  <c r="AB2142" i="1"/>
  <c r="AB2007" i="1"/>
  <c r="AA1701" i="1"/>
  <c r="Z1073" i="1"/>
  <c r="Z619" i="1"/>
  <c r="AD1712" i="1"/>
  <c r="AB2399" i="1"/>
  <c r="AD643" i="1"/>
  <c r="AB793" i="1"/>
  <c r="AA2176" i="1"/>
  <c r="AG2690" i="1"/>
  <c r="Z771" i="1"/>
  <c r="AG982" i="1"/>
  <c r="BJ1164" i="1"/>
  <c r="AG1090" i="1"/>
  <c r="BJ508" i="1"/>
  <c r="Z633" i="1"/>
  <c r="Z1098" i="1"/>
  <c r="BJ1286" i="1"/>
  <c r="BJ1792" i="1"/>
  <c r="AG2320" i="1"/>
  <c r="AA2981" i="1"/>
  <c r="AA1522" i="1"/>
  <c r="AB163" i="1"/>
  <c r="BJ520" i="1"/>
  <c r="Z852" i="1"/>
  <c r="AG394" i="1"/>
  <c r="AA2675" i="1"/>
  <c r="AB1720" i="1"/>
  <c r="AA863" i="1"/>
  <c r="AD2988" i="1"/>
  <c r="AA407" i="1"/>
  <c r="Z1945" i="1"/>
  <c r="AB3030" i="1"/>
  <c r="AC131" i="1"/>
  <c r="AD2723" i="1"/>
  <c r="AB441" i="1"/>
  <c r="Z2919" i="1"/>
  <c r="BJ2680" i="1"/>
  <c r="AA483" i="1"/>
  <c r="AC44" i="1"/>
  <c r="AC2358" i="1"/>
  <c r="BJ2730" i="1"/>
  <c r="AG3014" i="1"/>
  <c r="AA2140" i="1"/>
  <c r="AD869" i="1"/>
  <c r="AG42" i="1"/>
  <c r="AB1733" i="1"/>
  <c r="AD913" i="1"/>
  <c r="AC1374" i="1"/>
  <c r="BJ2171" i="1"/>
  <c r="AA2768" i="1"/>
  <c r="BJ1202" i="1"/>
  <c r="AC2888" i="1"/>
  <c r="Z2518" i="1"/>
  <c r="AD824" i="1"/>
  <c r="BJ176" i="1"/>
  <c r="AA1444" i="1"/>
  <c r="AD2309" i="1"/>
  <c r="AG1179" i="1"/>
  <c r="Z2099" i="1"/>
  <c r="BJ1433" i="1"/>
  <c r="AB2092" i="1"/>
  <c r="AC2699" i="1"/>
  <c r="BJ1778" i="1"/>
  <c r="BJ352" i="1"/>
  <c r="BJ2306" i="1"/>
  <c r="AC132" i="1"/>
  <c r="AG901" i="1"/>
  <c r="AD1780" i="1"/>
  <c r="BJ2448" i="1"/>
  <c r="Z2762" i="1"/>
  <c r="AB1312" i="1"/>
  <c r="AC2498" i="1"/>
  <c r="AD1086" i="1"/>
  <c r="AG2532" i="1"/>
  <c r="Z320" i="1"/>
  <c r="AC2974" i="1"/>
  <c r="AA648" i="1"/>
  <c r="AA1884" i="1"/>
  <c r="AD1280" i="1"/>
  <c r="Z2839" i="1"/>
  <c r="AA1676" i="1"/>
  <c r="BJ1786" i="1"/>
  <c r="Z2015" i="1"/>
  <c r="AB76" i="1"/>
  <c r="AA97" i="1"/>
  <c r="Z459" i="1"/>
  <c r="AG131" i="1"/>
  <c r="AB2710" i="1"/>
  <c r="AC2679" i="1"/>
  <c r="AA758" i="1"/>
  <c r="AB2511" i="1"/>
  <c r="BJ1686" i="1"/>
  <c r="AC579" i="1"/>
  <c r="BJ412" i="1"/>
  <c r="AG1347" i="1"/>
  <c r="Z699" i="1"/>
  <c r="AD781" i="1"/>
  <c r="Z1129" i="1"/>
  <c r="AD1847" i="1"/>
  <c r="AG3086" i="1"/>
  <c r="BJ535" i="1"/>
  <c r="AD2527" i="1"/>
  <c r="AG870" i="1"/>
  <c r="AG2338" i="1"/>
  <c r="AA1603" i="1"/>
  <c r="AA2820" i="1"/>
  <c r="AC2582" i="1"/>
  <c r="AA2540" i="1"/>
  <c r="AB132" i="1"/>
  <c r="AG3036" i="1"/>
  <c r="Z1514" i="1"/>
  <c r="AB385" i="1"/>
  <c r="BJ1344" i="1"/>
  <c r="AG1731" i="1"/>
  <c r="AA2212" i="1"/>
  <c r="BJ715" i="1"/>
  <c r="AC448" i="1"/>
  <c r="AC1682" i="1"/>
  <c r="AG2907" i="1"/>
  <c r="AB2266" i="1"/>
  <c r="AA1250" i="1"/>
  <c r="AD2432" i="1"/>
  <c r="BJ2044" i="1"/>
  <c r="AC2534" i="1"/>
  <c r="AC1321" i="1"/>
  <c r="AD1097" i="1"/>
  <c r="AC1711" i="1"/>
  <c r="AA2375" i="1"/>
  <c r="AG2116" i="1"/>
  <c r="AB1276" i="1"/>
  <c r="AB1858" i="1"/>
  <c r="AC2654" i="1"/>
  <c r="Z1046" i="1"/>
  <c r="Z412" i="1"/>
  <c r="AA1499" i="1"/>
  <c r="AC2942" i="1"/>
  <c r="AD2420" i="1"/>
  <c r="AC1955" i="1"/>
  <c r="Z1369" i="1"/>
  <c r="Z2069" i="1"/>
  <c r="Z1685" i="1"/>
  <c r="AD746" i="1"/>
  <c r="Z2936" i="1"/>
  <c r="AB2164" i="1"/>
  <c r="AB1636" i="1"/>
  <c r="AC3028" i="1"/>
  <c r="AC2524" i="1"/>
  <c r="AB1395" i="1"/>
  <c r="AG791" i="1"/>
  <c r="BJ1605" i="1"/>
  <c r="Z16" i="1"/>
  <c r="AD3063" i="1"/>
  <c r="AG538" i="1"/>
  <c r="BJ2656" i="1"/>
  <c r="AC2477" i="1"/>
  <c r="Z1050" i="1"/>
  <c r="AC1370" i="1"/>
  <c r="AB478" i="1"/>
  <c r="AC1859" i="1"/>
  <c r="AD2334" i="1"/>
  <c r="AA304" i="1"/>
  <c r="AB1092" i="1"/>
  <c r="BJ2832" i="1"/>
  <c r="BJ1333" i="1"/>
  <c r="AC2644" i="1"/>
  <c r="AG846" i="1"/>
  <c r="AB1261" i="1"/>
  <c r="AA2945" i="1"/>
  <c r="AG1559" i="1"/>
  <c r="BJ1273" i="1"/>
  <c r="BJ527" i="1"/>
  <c r="AA2411" i="1"/>
  <c r="AC3148" i="1"/>
  <c r="Z735" i="1"/>
  <c r="BJ579" i="1"/>
  <c r="BJ3111" i="1"/>
  <c r="AC2386" i="1"/>
  <c r="AC2920" i="1"/>
  <c r="AB1589" i="1"/>
  <c r="AD120" i="1"/>
  <c r="AB1941" i="1"/>
  <c r="AG474" i="1"/>
  <c r="AB3086" i="1"/>
  <c r="AD2686" i="1"/>
  <c r="AC911" i="1"/>
  <c r="AG1560" i="1"/>
  <c r="Z418" i="1"/>
  <c r="AD2305" i="1"/>
  <c r="AG2679" i="1"/>
  <c r="AD1055" i="1"/>
  <c r="AG2244" i="1"/>
  <c r="AG1217" i="1"/>
  <c r="AG1239" i="1"/>
  <c r="Z556" i="1"/>
  <c r="AB1363" i="1"/>
  <c r="AC2393" i="1"/>
  <c r="AG516" i="1"/>
  <c r="BJ1567" i="1"/>
  <c r="BJ825" i="1"/>
  <c r="Z81" i="1"/>
  <c r="AG133" i="1"/>
  <c r="AG1256" i="1"/>
  <c r="BJ2854" i="1"/>
  <c r="AG1029" i="1"/>
  <c r="AA1960" i="1"/>
  <c r="BJ1486" i="1"/>
  <c r="BJ2131" i="1"/>
  <c r="AG249" i="1"/>
  <c r="AG1549" i="1"/>
  <c r="AB677" i="1"/>
  <c r="BJ2728" i="1"/>
  <c r="AA2898" i="1"/>
  <c r="AB372" i="1"/>
  <c r="AG1646" i="1"/>
  <c r="AC1803" i="1"/>
  <c r="Z1208" i="1"/>
  <c r="AA2258" i="1"/>
  <c r="AG137" i="1"/>
  <c r="AA2020" i="1"/>
  <c r="BJ2561" i="1"/>
  <c r="AD2462" i="1"/>
  <c r="AC296" i="1"/>
  <c r="AC1474" i="1"/>
  <c r="AD494" i="1"/>
  <c r="AC1786" i="1"/>
  <c r="BJ1964" i="1"/>
  <c r="AC2247" i="1"/>
  <c r="AA1802" i="1"/>
  <c r="BJ2686" i="1"/>
  <c r="AA1872" i="1"/>
  <c r="AA906" i="1"/>
  <c r="AG603" i="1"/>
  <c r="Z712" i="1"/>
  <c r="AB341" i="1"/>
  <c r="Z1110" i="1"/>
  <c r="Z932" i="1"/>
  <c r="AC2191" i="1"/>
  <c r="AD150" i="1"/>
  <c r="Z2051" i="1"/>
  <c r="AB733" i="1"/>
  <c r="AC1824" i="1"/>
  <c r="Z1948" i="1"/>
  <c r="AC202" i="1"/>
  <c r="Z2900" i="1"/>
  <c r="AC2421" i="1"/>
  <c r="AD1466" i="1"/>
  <c r="AC1057" i="1"/>
  <c r="AC20" i="1"/>
  <c r="Z87" i="1"/>
  <c r="Z1377" i="1"/>
  <c r="Z34" i="1"/>
  <c r="Z2937" i="1"/>
  <c r="AG2012" i="1"/>
  <c r="AA1391" i="1"/>
  <c r="Z2137" i="1"/>
  <c r="AG381" i="1"/>
  <c r="AG1439" i="1"/>
  <c r="BJ690" i="1"/>
  <c r="BJ2566" i="1"/>
  <c r="AA700" i="1"/>
  <c r="AA92" i="1"/>
  <c r="AA1017" i="1"/>
  <c r="AG281" i="1"/>
  <c r="AC879" i="1"/>
  <c r="AG1351" i="1"/>
  <c r="AG2412" i="1"/>
  <c r="Z365" i="1"/>
  <c r="BJ739" i="1"/>
  <c r="AA3043" i="1"/>
  <c r="AB3010" i="1"/>
  <c r="Z1839" i="1"/>
  <c r="AA661" i="1"/>
  <c r="AG1025" i="1"/>
  <c r="AB2961" i="1"/>
  <c r="AG1852" i="1"/>
  <c r="AD991" i="1"/>
  <c r="AG1901" i="1"/>
  <c r="AB1699" i="1"/>
  <c r="AD2002" i="1"/>
  <c r="AA3066" i="1"/>
  <c r="AD941" i="1"/>
  <c r="AG789" i="1"/>
  <c r="AA1642" i="1"/>
  <c r="AA1174" i="1"/>
  <c r="BJ792" i="1"/>
  <c r="AG1022" i="1"/>
  <c r="AB2866" i="1"/>
  <c r="BJ929" i="1"/>
  <c r="AC295" i="1"/>
  <c r="AA962" i="1"/>
  <c r="AG807" i="1"/>
  <c r="BJ698" i="1"/>
  <c r="AG286" i="1"/>
  <c r="AD362" i="1"/>
  <c r="BJ2520" i="1"/>
  <c r="AB2136" i="1"/>
  <c r="Z1340" i="1"/>
  <c r="AA926" i="1"/>
  <c r="AA2339" i="1"/>
  <c r="AD1506" i="1"/>
  <c r="AB892" i="1"/>
  <c r="AB2609" i="1"/>
  <c r="AA1841" i="1"/>
  <c r="BJ444" i="1"/>
  <c r="AB2949" i="1"/>
  <c r="AC1104" i="1"/>
  <c r="AD2370" i="1"/>
  <c r="AB2728" i="1"/>
  <c r="AB747" i="1"/>
  <c r="Z122" i="1"/>
  <c r="AB673" i="1"/>
  <c r="Z3025" i="1"/>
  <c r="AC793" i="1"/>
  <c r="AD1988" i="1"/>
  <c r="AD2562" i="1"/>
  <c r="AC2969" i="1"/>
  <c r="AA2779" i="1"/>
  <c r="AG2691" i="1"/>
  <c r="AA1943" i="1"/>
  <c r="AA171" i="1"/>
  <c r="BJ2014" i="1"/>
  <c r="AC1124" i="1"/>
  <c r="AA1197" i="1"/>
  <c r="AB2364" i="1"/>
  <c r="AC150" i="1"/>
  <c r="BJ3050" i="1"/>
  <c r="BJ2773" i="1"/>
  <c r="AA1953" i="1"/>
  <c r="Z1435" i="1"/>
  <c r="AD2185" i="1"/>
  <c r="AD2916" i="1"/>
  <c r="BJ127" i="1"/>
  <c r="AC670" i="1"/>
  <c r="AD25" i="1"/>
  <c r="AD2548" i="1"/>
  <c r="Z2377" i="1"/>
  <c r="AB1769" i="1"/>
  <c r="BJ2400" i="1"/>
  <c r="AC1255" i="1"/>
  <c r="AB1272" i="1"/>
  <c r="AG1198" i="1"/>
  <c r="Z2659" i="1"/>
  <c r="AA291" i="1"/>
  <c r="AC2758" i="1"/>
  <c r="AB703" i="1"/>
  <c r="AB1281" i="1"/>
  <c r="AD495" i="1"/>
  <c r="AB2119" i="1"/>
  <c r="AB1397" i="1"/>
  <c r="AC570" i="1"/>
  <c r="BJ886" i="1"/>
  <c r="AG2571" i="1"/>
  <c r="Z669" i="1"/>
  <c r="AA2473" i="1"/>
  <c r="AA381" i="1"/>
  <c r="AD1386" i="1"/>
  <c r="AB2268" i="1"/>
  <c r="BJ193" i="1"/>
  <c r="AD645" i="1"/>
  <c r="BJ1720" i="1"/>
  <c r="AB1227" i="1"/>
  <c r="AG2963" i="1"/>
  <c r="AG863" i="1"/>
  <c r="BJ2040" i="1"/>
  <c r="AA1204" i="1"/>
  <c r="AA2837" i="1"/>
  <c r="BJ3097" i="1"/>
  <c r="AA208" i="1"/>
  <c r="AC1932" i="1"/>
  <c r="AA44" i="1"/>
  <c r="Z2790" i="1"/>
  <c r="AG1009" i="1"/>
  <c r="AB2021" i="1"/>
  <c r="AC725" i="1"/>
  <c r="AA2240" i="1"/>
  <c r="AC2931" i="1"/>
  <c r="BJ447" i="1"/>
  <c r="AA3008" i="1"/>
  <c r="AA439" i="1"/>
  <c r="Z1657" i="1"/>
  <c r="AC3052" i="1"/>
  <c r="Z773" i="1"/>
  <c r="AC2737" i="1"/>
  <c r="AA944" i="1"/>
  <c r="AC1189" i="1"/>
  <c r="BJ2227" i="1"/>
  <c r="BJ1762" i="1"/>
  <c r="Z2702" i="1"/>
  <c r="AG3050" i="1"/>
  <c r="Z1824" i="1"/>
  <c r="AD1113" i="1"/>
  <c r="AB2517" i="1"/>
  <c r="AC2835" i="1"/>
  <c r="BJ1487" i="1"/>
  <c r="AA2929" i="1"/>
  <c r="Z1753" i="1"/>
  <c r="AB79" i="1"/>
  <c r="AD2178" i="1"/>
  <c r="AB1775" i="1"/>
  <c r="BJ2569" i="1"/>
  <c r="AC3067" i="1"/>
  <c r="AG950" i="1"/>
  <c r="AG2238" i="1"/>
  <c r="AG1908" i="1"/>
  <c r="AD1293" i="1"/>
  <c r="AG1948" i="1"/>
  <c r="AB2259" i="1"/>
  <c r="AB2948" i="1"/>
  <c r="AA342" i="1"/>
  <c r="AD48" i="1"/>
  <c r="AG1543" i="1"/>
  <c r="AG660" i="1"/>
  <c r="AB2010" i="1"/>
  <c r="BJ619" i="1"/>
  <c r="AA1708" i="1"/>
  <c r="AC975" i="1"/>
  <c r="Z1739" i="1"/>
  <c r="AA2004" i="1"/>
  <c r="AG502" i="1"/>
  <c r="AB1010" i="1"/>
  <c r="AD3093" i="1"/>
  <c r="BJ2967" i="1"/>
  <c r="AD968" i="1"/>
  <c r="AB2628" i="1"/>
  <c r="Z1760" i="1"/>
  <c r="BJ2852" i="1"/>
  <c r="Z2193" i="1"/>
  <c r="AD1015" i="1"/>
  <c r="BJ1640" i="1"/>
  <c r="AA2010" i="1"/>
  <c r="AG510" i="1"/>
  <c r="AB1817" i="1"/>
  <c r="AB61" i="1"/>
  <c r="AB1292" i="1"/>
  <c r="AB2135" i="1"/>
  <c r="AC1890" i="1"/>
  <c r="AC612" i="1"/>
  <c r="AA1666" i="1"/>
  <c r="Z3069" i="1"/>
  <c r="AC930" i="1"/>
  <c r="AB2179" i="1"/>
  <c r="BJ1597" i="1"/>
  <c r="Z480" i="1"/>
  <c r="AD647" i="1"/>
  <c r="AB1803" i="1"/>
  <c r="AC163" i="1"/>
  <c r="AD2657" i="1"/>
  <c r="AG2579" i="1"/>
  <c r="AD2834" i="1"/>
  <c r="Z3038" i="1"/>
  <c r="BJ2961" i="1"/>
  <c r="AD1941" i="1"/>
  <c r="AA626" i="1"/>
  <c r="AG555" i="1"/>
  <c r="AD1835" i="1"/>
  <c r="AC2633" i="1"/>
  <c r="AD2436" i="1"/>
  <c r="Z216" i="1"/>
  <c r="BJ1930" i="1"/>
  <c r="AC846" i="1"/>
  <c r="AA1233" i="1"/>
  <c r="AD2256" i="1"/>
  <c r="AG1924" i="1"/>
  <c r="AA2953" i="1"/>
  <c r="AB3100" i="1"/>
  <c r="AC2125" i="1"/>
  <c r="AD329" i="1"/>
  <c r="AA2818" i="1"/>
  <c r="AG506" i="1"/>
  <c r="AC649" i="1"/>
  <c r="AC2771" i="1"/>
  <c r="Z161" i="1"/>
  <c r="AG69" i="1"/>
  <c r="AA1508" i="1"/>
  <c r="AB2221" i="1"/>
  <c r="Z2628" i="1"/>
  <c r="AA669" i="1"/>
  <c r="Z1089" i="1"/>
  <c r="AD3022" i="1"/>
  <c r="AA2525" i="1"/>
  <c r="AB1677" i="1"/>
  <c r="AD2889" i="1"/>
  <c r="AB2048" i="1"/>
  <c r="AC1378" i="1"/>
  <c r="AA672" i="1"/>
  <c r="AA1343" i="1"/>
  <c r="AD2818" i="1"/>
  <c r="AD545" i="1"/>
  <c r="AA2113" i="1"/>
  <c r="Z2213" i="1"/>
  <c r="BJ2818" i="1"/>
  <c r="AC2289" i="1"/>
  <c r="AA2159" i="1"/>
  <c r="AB1407" i="1"/>
  <c r="AG2326" i="1"/>
  <c r="AA1014" i="1"/>
  <c r="Z470" i="1"/>
  <c r="AD582" i="1"/>
  <c r="Z1485" i="1"/>
  <c r="Z965" i="1"/>
  <c r="AC900" i="1"/>
  <c r="AC51" i="1"/>
  <c r="BJ740" i="1"/>
  <c r="AC31" i="1"/>
  <c r="AA2226" i="1"/>
  <c r="AG2692" i="1"/>
  <c r="AD1497" i="1"/>
  <c r="AG1916" i="1"/>
  <c r="AD1094" i="1"/>
  <c r="AC2615" i="1"/>
  <c r="AD328" i="1"/>
  <c r="BJ971" i="1"/>
  <c r="AG272" i="1"/>
  <c r="AD2495" i="1"/>
  <c r="AC2992" i="1"/>
  <c r="AB3143" i="1"/>
  <c r="AA543" i="1"/>
  <c r="AC314" i="1"/>
  <c r="AC2031" i="1"/>
  <c r="AA614" i="1"/>
  <c r="AB2103" i="1"/>
  <c r="AG1989" i="1"/>
  <c r="AG2176" i="1"/>
  <c r="AA258" i="1"/>
  <c r="AB2692" i="1"/>
  <c r="Z1041" i="1"/>
  <c r="AD2083" i="1"/>
  <c r="AD952" i="1"/>
  <c r="AA1020" i="1"/>
  <c r="AC949" i="1"/>
  <c r="AB1746" i="1"/>
  <c r="AB29" i="1"/>
  <c r="Z2384" i="1"/>
  <c r="AB127" i="1"/>
  <c r="BJ1989" i="1"/>
  <c r="AB593" i="1"/>
  <c r="AA2202" i="1"/>
  <c r="AA2689" i="1"/>
  <c r="AG15" i="1"/>
  <c r="AG2645" i="1"/>
  <c r="Z709" i="1"/>
  <c r="AA1552" i="1"/>
  <c r="AA748" i="1"/>
  <c r="AB1163" i="1"/>
  <c r="AG2259" i="1"/>
  <c r="AB1760" i="1"/>
  <c r="AA1377" i="1"/>
  <c r="AC1689" i="1"/>
  <c r="Z1209" i="1"/>
  <c r="AD2197" i="1"/>
  <c r="Z1838" i="1"/>
  <c r="AB552" i="1"/>
  <c r="AC926" i="1"/>
  <c r="BJ2082" i="1"/>
  <c r="AC130" i="1"/>
  <c r="BJ1831" i="1"/>
  <c r="AA103" i="1"/>
  <c r="AD1790" i="1"/>
  <c r="AC2124" i="1"/>
  <c r="AB1495" i="1"/>
  <c r="Z1977" i="1"/>
  <c r="AG499" i="1"/>
  <c r="Z1959" i="1"/>
  <c r="AC2429" i="1"/>
  <c r="AD2223" i="1"/>
  <c r="AC662" i="1"/>
  <c r="AG626" i="1"/>
  <c r="Z1356" i="1"/>
  <c r="AD1392" i="1"/>
  <c r="BJ2880" i="1"/>
  <c r="Z390" i="1"/>
  <c r="AC2451" i="1"/>
  <c r="BJ1544" i="1"/>
  <c r="AC1120" i="1"/>
  <c r="AB688" i="1"/>
  <c r="AD2296" i="1"/>
  <c r="AC1455" i="1"/>
  <c r="AA108" i="1"/>
  <c r="AC336" i="1"/>
  <c r="AA1596" i="1"/>
  <c r="AD1176" i="1"/>
  <c r="BJ2618" i="1"/>
  <c r="BJ2367" i="1"/>
  <c r="AG847" i="1"/>
  <c r="AC2163" i="1"/>
  <c r="AB505" i="1"/>
  <c r="AG1545" i="1"/>
  <c r="BJ1754" i="1"/>
  <c r="Z723" i="1"/>
  <c r="BJ2105" i="1"/>
  <c r="AG231" i="1"/>
  <c r="AC679" i="1"/>
  <c r="AD2559" i="1"/>
  <c r="AB2574" i="1"/>
  <c r="AB2321" i="1"/>
  <c r="AC716" i="1"/>
  <c r="AB1201" i="1"/>
  <c r="BJ189" i="1"/>
  <c r="AA619" i="1"/>
  <c r="AD1705" i="1"/>
  <c r="AC1067" i="1"/>
  <c r="AG1095" i="1"/>
  <c r="BJ2640" i="1"/>
  <c r="BJ1915" i="1"/>
  <c r="AA1772" i="1"/>
  <c r="AA1700" i="1"/>
  <c r="Z1440" i="1"/>
  <c r="AC2784" i="1"/>
  <c r="AG734" i="1"/>
  <c r="BJ864" i="1"/>
  <c r="AB1876" i="1"/>
  <c r="Z2000" i="1"/>
  <c r="AD538" i="1"/>
  <c r="AA3016" i="1"/>
  <c r="AC291" i="1"/>
  <c r="AD1543" i="1"/>
  <c r="AA245" i="1"/>
  <c r="AC1417" i="1"/>
  <c r="AD2644" i="1"/>
  <c r="AC308" i="1"/>
  <c r="AC2405" i="1"/>
  <c r="AA2467" i="1"/>
  <c r="BJ959" i="1"/>
  <c r="AB856" i="1"/>
  <c r="Z1166" i="1"/>
  <c r="AD3047" i="1"/>
  <c r="AG309" i="1"/>
  <c r="Z473" i="1"/>
  <c r="BJ2481" i="1"/>
  <c r="AB1914" i="1"/>
  <c r="AC2313" i="1"/>
  <c r="AC3121" i="1"/>
  <c r="Z1592" i="1"/>
  <c r="AG1008" i="1"/>
  <c r="Z1052" i="1"/>
  <c r="AB1230" i="1"/>
  <c r="AC991" i="1"/>
  <c r="AA1554" i="1"/>
  <c r="BJ731" i="1"/>
  <c r="Z447" i="1"/>
  <c r="BJ2927" i="1"/>
  <c r="AC3030" i="1"/>
  <c r="AA2557" i="1"/>
  <c r="Z39" i="1"/>
  <c r="BJ486" i="1"/>
  <c r="AA3151" i="1"/>
  <c r="BJ379" i="1"/>
  <c r="AB256" i="1"/>
  <c r="BJ2295" i="1"/>
  <c r="AD793" i="1"/>
  <c r="Z863" i="1"/>
  <c r="AG344" i="1"/>
  <c r="AD335" i="1"/>
  <c r="Z1422" i="1"/>
  <c r="Z853" i="1"/>
  <c r="AB1453" i="1"/>
  <c r="Z289" i="1"/>
  <c r="AB464" i="1"/>
  <c r="AB1610" i="1"/>
  <c r="AB1673" i="1"/>
  <c r="Z2421" i="1"/>
  <c r="AB1362" i="1"/>
  <c r="AB2879" i="1"/>
  <c r="AC368" i="1"/>
  <c r="AA1990" i="1"/>
  <c r="AB100" i="1"/>
  <c r="AD813" i="1"/>
  <c r="Z2205" i="1"/>
  <c r="AA2075" i="1"/>
  <c r="Z1758" i="1"/>
  <c r="AG2989" i="1"/>
  <c r="AD1848" i="1"/>
  <c r="AG2767" i="1"/>
  <c r="AD2869" i="1"/>
  <c r="Z1949" i="1"/>
  <c r="AA1469" i="1"/>
  <c r="AA913" i="1"/>
  <c r="Z1331" i="1"/>
  <c r="Z85" i="1"/>
  <c r="AB2480" i="1"/>
  <c r="Z2617" i="1"/>
  <c r="AB437" i="1"/>
  <c r="Z3096" i="1"/>
  <c r="AD163" i="1"/>
  <c r="AG2122" i="1"/>
  <c r="Z2685" i="1"/>
  <c r="AG2001" i="1"/>
  <c r="BJ2552" i="1"/>
  <c r="AC1968" i="1"/>
  <c r="BJ1168" i="1"/>
  <c r="BJ2442" i="1"/>
  <c r="BJ1712" i="1"/>
  <c r="AA348" i="1"/>
  <c r="AG2225" i="1"/>
  <c r="AC205" i="1"/>
  <c r="AA1161" i="1"/>
  <c r="AA1753" i="1"/>
  <c r="Z1402" i="1"/>
  <c r="Z2963" i="1"/>
  <c r="AG1828" i="1"/>
  <c r="AD1860" i="1"/>
  <c r="AG2700" i="1"/>
  <c r="BJ394" i="1"/>
  <c r="AD2871" i="1"/>
  <c r="AA1021" i="1"/>
  <c r="AA2014" i="1"/>
  <c r="Z1870" i="1"/>
  <c r="Z1800" i="1"/>
  <c r="AA916" i="1"/>
  <c r="AC2280" i="1"/>
  <c r="AA2161" i="1"/>
  <c r="Z1102" i="1"/>
  <c r="AC1215" i="1"/>
  <c r="BJ2213" i="1"/>
  <c r="BJ2416" i="1"/>
  <c r="AG1834" i="1"/>
  <c r="BJ483" i="1"/>
  <c r="AA2382" i="1"/>
  <c r="Z719" i="1"/>
  <c r="AC3026" i="1"/>
  <c r="Z2240" i="1"/>
  <c r="AB1659" i="1"/>
  <c r="AB2291" i="1"/>
  <c r="AA3130" i="1"/>
  <c r="AB1429" i="1"/>
  <c r="AC587" i="1"/>
  <c r="AG2686" i="1"/>
  <c r="Z828" i="1"/>
  <c r="BJ1528" i="1"/>
  <c r="AA142" i="1"/>
  <c r="AA2272" i="1"/>
  <c r="BJ3024" i="1"/>
  <c r="BJ981" i="1"/>
  <c r="AD2501" i="1"/>
  <c r="AA1537" i="1"/>
  <c r="BJ467" i="1"/>
  <c r="AG359" i="1"/>
  <c r="AD1390" i="1"/>
  <c r="AG1871" i="1"/>
  <c r="AB1342" i="1"/>
  <c r="Z312" i="1"/>
  <c r="BJ511" i="1"/>
  <c r="AB989" i="1"/>
  <c r="BJ1275" i="1"/>
  <c r="AC1861" i="1"/>
  <c r="AC2146" i="1"/>
  <c r="AG1181" i="1"/>
  <c r="Z1429" i="1"/>
  <c r="BJ61" i="1"/>
  <c r="AB283" i="1"/>
  <c r="AB2470" i="1"/>
  <c r="Z1447" i="1"/>
  <c r="AD2994" i="1"/>
  <c r="BJ1315" i="1"/>
  <c r="AG666" i="1"/>
  <c r="AA1136" i="1"/>
  <c r="AC1655" i="1"/>
  <c r="AG2871" i="1"/>
  <c r="AA28" i="1"/>
  <c r="BJ2524" i="1"/>
  <c r="Z1817" i="1"/>
  <c r="AB2727" i="1"/>
  <c r="AD1648" i="1"/>
  <c r="AG3124" i="1"/>
  <c r="AD249" i="1"/>
  <c r="AA2409" i="1"/>
  <c r="BJ1283" i="1"/>
  <c r="AA433" i="1"/>
  <c r="Z1321" i="1"/>
  <c r="BJ2683" i="1"/>
  <c r="Z935" i="1"/>
  <c r="AG1091" i="1"/>
  <c r="AB181" i="1"/>
  <c r="AC1437" i="1"/>
  <c r="AB788" i="1"/>
  <c r="AC1143" i="1"/>
  <c r="AB2555" i="1"/>
  <c r="AC2601" i="1"/>
  <c r="AC2561" i="1"/>
  <c r="Z2408" i="1"/>
  <c r="AB1266" i="1"/>
  <c r="Z1473" i="1"/>
  <c r="AG2152" i="1"/>
  <c r="AD201" i="1"/>
  <c r="AG567" i="1"/>
  <c r="AC2778" i="1"/>
  <c r="Z562" i="1"/>
  <c r="AC273" i="1"/>
  <c r="AB844" i="1"/>
  <c r="BJ1557" i="1"/>
  <c r="BJ636" i="1"/>
  <c r="BJ3123" i="1"/>
  <c r="AA3020" i="1"/>
  <c r="BJ1949" i="1"/>
  <c r="AG288" i="1"/>
  <c r="AC2020" i="1"/>
  <c r="AG3125" i="1"/>
  <c r="AA1905" i="1"/>
  <c r="AB707" i="1"/>
  <c r="AG2622" i="1"/>
  <c r="BJ2104" i="1"/>
  <c r="AA312" i="1"/>
  <c r="BJ250" i="1"/>
  <c r="AB118" i="1"/>
  <c r="AA1410" i="1"/>
  <c r="AG2039" i="1"/>
  <c r="BJ2039" i="1"/>
  <c r="AD987" i="1"/>
  <c r="AD366" i="1"/>
  <c r="AB404" i="1"/>
  <c r="BJ2224" i="1"/>
  <c r="AD2805" i="1"/>
  <c r="Z1168" i="1"/>
  <c r="AA2430" i="1"/>
  <c r="AB1427" i="1"/>
  <c r="AG2892" i="1"/>
  <c r="BJ668" i="1"/>
  <c r="AD2647" i="1"/>
  <c r="AC2564" i="1"/>
  <c r="Z1195" i="1"/>
  <c r="Z3124" i="1"/>
  <c r="AC170" i="1"/>
  <c r="AD164" i="1"/>
  <c r="AB3139" i="1"/>
  <c r="AC2264" i="1"/>
  <c r="BJ2891" i="1"/>
  <c r="AB2645" i="1"/>
  <c r="AB1005" i="1"/>
  <c r="AD1160" i="1"/>
  <c r="BJ1104" i="1"/>
  <c r="AB1884" i="1"/>
  <c r="BJ2836" i="1"/>
  <c r="Z195" i="1"/>
  <c r="AC2514" i="1"/>
  <c r="AD535" i="1"/>
  <c r="AC2059" i="1"/>
  <c r="AA1114" i="1"/>
  <c r="AB1730" i="1"/>
  <c r="Z2395" i="1"/>
  <c r="AC2169" i="1"/>
  <c r="AG1228" i="1"/>
  <c r="AC264" i="1"/>
  <c r="BJ921" i="1"/>
  <c r="AC3031" i="1"/>
  <c r="AC1748" i="1"/>
  <c r="AA3003" i="1"/>
  <c r="AC1324" i="1"/>
  <c r="AC2937" i="1"/>
  <c r="BJ760" i="1"/>
  <c r="AB2751" i="1"/>
  <c r="AB2197" i="1"/>
  <c r="BJ2194" i="1"/>
  <c r="AB886" i="1"/>
  <c r="AD903" i="1"/>
  <c r="BJ1745" i="1"/>
  <c r="AC386" i="1"/>
  <c r="Z3153" i="1"/>
  <c r="BJ3026" i="1"/>
  <c r="Z1754" i="1"/>
  <c r="AB87" i="1"/>
  <c r="AD3033" i="1"/>
  <c r="BJ694" i="1"/>
  <c r="AA1116" i="1"/>
  <c r="AD475" i="1"/>
  <c r="AG2399" i="1"/>
  <c r="AB1606" i="1"/>
  <c r="BJ1003" i="1"/>
  <c r="AD2572" i="1"/>
  <c r="BJ658" i="1"/>
  <c r="AA528" i="1"/>
  <c r="AA2843" i="1"/>
  <c r="AB70" i="1"/>
  <c r="AB916" i="1"/>
  <c r="AB2463" i="1"/>
  <c r="BJ1224" i="1"/>
  <c r="BJ1810" i="1"/>
  <c r="Z104" i="1"/>
  <c r="AA164" i="1"/>
  <c r="AC1762" i="1"/>
  <c r="AG3143" i="1"/>
  <c r="Z76" i="1"/>
  <c r="AC853" i="1"/>
  <c r="AD1475" i="1"/>
  <c r="AB614" i="1"/>
  <c r="AD2695" i="1"/>
  <c r="AG862" i="1"/>
  <c r="Z2777" i="1"/>
  <c r="AC1587" i="1"/>
  <c r="AB2337" i="1"/>
  <c r="AB1794" i="1"/>
  <c r="AC1876" i="1"/>
  <c r="BJ820" i="1"/>
  <c r="AD520" i="1"/>
  <c r="AG3071" i="1"/>
  <c r="AC83" i="1"/>
  <c r="AA2637" i="1"/>
  <c r="AA2996" i="1"/>
  <c r="AD1470" i="1"/>
  <c r="AG1107" i="1"/>
  <c r="BJ1051" i="1"/>
  <c r="AB169" i="1"/>
  <c r="BJ2950" i="1"/>
  <c r="AG816" i="1"/>
  <c r="BJ3135" i="1"/>
  <c r="AC1586" i="1"/>
  <c r="AG2349" i="1"/>
  <c r="BJ1182" i="1"/>
  <c r="AD191" i="1"/>
  <c r="AD2203" i="1"/>
  <c r="AC2257" i="1"/>
  <c r="AA611" i="1"/>
  <c r="AB327" i="1"/>
  <c r="BJ2378" i="1"/>
  <c r="AG1249" i="1"/>
  <c r="AB1159" i="1"/>
  <c r="AG2075" i="1"/>
  <c r="AA643" i="1"/>
  <c r="AA1395" i="1"/>
  <c r="AA1453" i="1"/>
  <c r="AD2698" i="1"/>
  <c r="AA344" i="1"/>
  <c r="AC1355" i="1"/>
  <c r="AC405" i="1"/>
  <c r="Z3045" i="1"/>
  <c r="AG298" i="1"/>
  <c r="AA1430" i="1"/>
  <c r="AA561" i="1"/>
  <c r="AB1047" i="1"/>
  <c r="AG1065" i="1"/>
  <c r="AG1593" i="1"/>
  <c r="AB1686" i="1"/>
  <c r="AD654" i="1"/>
  <c r="AD2785" i="1"/>
  <c r="BJ2430" i="1"/>
  <c r="AC2209" i="1"/>
  <c r="AA1900" i="1"/>
  <c r="AD33" i="1"/>
  <c r="AD2507" i="1"/>
  <c r="AD497" i="1"/>
  <c r="AB462" i="1"/>
  <c r="Z2674" i="1"/>
  <c r="AC2970" i="1"/>
  <c r="AC2315" i="1"/>
  <c r="AB2177" i="1"/>
  <c r="AD135" i="1"/>
  <c r="AA216" i="1"/>
  <c r="AG1969" i="1"/>
  <c r="AB1743" i="1"/>
  <c r="BJ3047" i="1"/>
  <c r="Z765" i="1"/>
  <c r="BJ1914" i="1"/>
  <c r="AG2636" i="1"/>
  <c r="AC1167" i="1"/>
  <c r="AD2241" i="1"/>
  <c r="AC2666" i="1"/>
  <c r="AD1531" i="1"/>
  <c r="AD2259" i="1"/>
  <c r="AC160" i="1"/>
  <c r="AC46" i="1"/>
  <c r="AB2913" i="1"/>
  <c r="AA1764" i="1"/>
  <c r="AG2350" i="1"/>
  <c r="AC2952" i="1"/>
  <c r="AD2154" i="1"/>
  <c r="AC90" i="1"/>
  <c r="AD922" i="1"/>
  <c r="AB3047" i="1"/>
  <c r="BJ1456" i="1"/>
  <c r="AA1761" i="1"/>
  <c r="AB659" i="1"/>
  <c r="Z2325" i="1"/>
  <c r="BJ816" i="1"/>
  <c r="Z3043" i="1"/>
  <c r="AG646" i="1"/>
  <c r="AD1219" i="1"/>
  <c r="BJ1392" i="1"/>
  <c r="AG604" i="1"/>
  <c r="BJ754" i="1"/>
  <c r="AB241" i="1"/>
  <c r="AD749" i="1"/>
  <c r="AA500" i="1"/>
  <c r="AD365" i="1"/>
  <c r="BJ590" i="1"/>
  <c r="AB1162" i="1"/>
  <c r="BJ1825" i="1"/>
  <c r="AG2987" i="1"/>
  <c r="AB2560" i="1"/>
  <c r="AB2546" i="1"/>
  <c r="AC1078" i="1"/>
  <c r="AD2263" i="1"/>
  <c r="AG2880" i="1"/>
  <c r="Z1513" i="1"/>
  <c r="AG1006" i="1"/>
  <c r="AC566" i="1"/>
  <c r="Z777" i="1"/>
  <c r="AD1679" i="1"/>
  <c r="AC2900" i="1"/>
  <c r="AB2585" i="1"/>
  <c r="Z1275" i="1"/>
  <c r="AC916" i="1"/>
  <c r="AC2821" i="1"/>
  <c r="Z1805" i="1"/>
  <c r="Z75" i="1"/>
  <c r="AB895" i="1"/>
  <c r="AG2213" i="1"/>
  <c r="BJ497" i="1"/>
  <c r="AG70" i="1"/>
  <c r="AD2394" i="1"/>
  <c r="AB2684" i="1"/>
  <c r="AB2256" i="1"/>
  <c r="AB2889" i="1"/>
  <c r="AG219" i="1"/>
  <c r="AD639" i="1"/>
  <c r="AB599" i="1"/>
  <c r="BJ204" i="1"/>
  <c r="AG1455" i="1"/>
  <c r="AG1737" i="1"/>
  <c r="AB375" i="1"/>
  <c r="AA2690" i="1"/>
  <c r="Z1039" i="1"/>
  <c r="AG80" i="1"/>
  <c r="BJ1244" i="1"/>
  <c r="BJ2512" i="1"/>
  <c r="AB2371" i="1"/>
  <c r="Z2801" i="1"/>
  <c r="AB186" i="1"/>
  <c r="AG1885" i="1"/>
  <c r="AA2716" i="1"/>
  <c r="AC1815" i="1"/>
  <c r="AD1394" i="1"/>
  <c r="Z2618" i="1"/>
  <c r="AA1597" i="1"/>
  <c r="AB957" i="1"/>
  <c r="AC867" i="1"/>
  <c r="AB2945" i="1"/>
  <c r="BJ2674" i="1"/>
  <c r="AD2140" i="1"/>
  <c r="BJ547" i="1"/>
  <c r="AD544" i="1"/>
  <c r="BJ1644" i="1"/>
  <c r="BJ1298" i="1"/>
  <c r="AB1732" i="1"/>
  <c r="AB1891" i="1"/>
  <c r="Z457" i="1"/>
  <c r="AD2220" i="1"/>
  <c r="AG2072" i="1"/>
  <c r="Z2804" i="1"/>
  <c r="AB233" i="1"/>
  <c r="AG1422" i="1"/>
  <c r="AB2471" i="1"/>
  <c r="AA2857" i="1"/>
  <c r="AD1065" i="1"/>
  <c r="AA2956" i="1"/>
  <c r="BJ1416" i="1"/>
  <c r="AG1331" i="1"/>
  <c r="AG2879" i="1"/>
  <c r="AC2029" i="1"/>
  <c r="AD2855" i="1"/>
  <c r="AD1864" i="1"/>
  <c r="AA1062" i="1"/>
  <c r="Z2675" i="1"/>
  <c r="AB1249" i="1"/>
  <c r="AC856" i="1"/>
  <c r="BJ184" i="1"/>
  <c r="AG1415" i="1"/>
  <c r="AB1679" i="1"/>
  <c r="AG1374" i="1"/>
  <c r="AB1824" i="1"/>
  <c r="AD901" i="1"/>
  <c r="AA824" i="1"/>
  <c r="AA573" i="1"/>
  <c r="AC995" i="1"/>
  <c r="BJ836" i="1"/>
  <c r="BJ1953" i="1"/>
  <c r="AC1957" i="1"/>
  <c r="Z369" i="1"/>
  <c r="AA1935" i="1"/>
  <c r="AA2206" i="1"/>
  <c r="AG1534" i="1"/>
  <c r="AG12" i="1"/>
  <c r="Z2012" i="1"/>
  <c r="AD2762" i="1"/>
  <c r="AC280" i="1"/>
  <c r="AA596" i="1"/>
  <c r="AA3149" i="1"/>
  <c r="BJ2633" i="1"/>
  <c r="AD204" i="1"/>
  <c r="AG677" i="1"/>
  <c r="AG2396" i="1"/>
  <c r="AG596" i="1"/>
  <c r="BJ2883" i="1"/>
  <c r="AD2747" i="1"/>
  <c r="AD360" i="1"/>
  <c r="Z100" i="1"/>
  <c r="AC464" i="1"/>
  <c r="AA2446" i="1"/>
  <c r="AB1117" i="1"/>
  <c r="Z1562" i="1"/>
  <c r="AA96" i="1"/>
  <c r="BJ2249" i="1"/>
  <c r="AC2228" i="1"/>
  <c r="BJ1497" i="1"/>
  <c r="BJ1617" i="1"/>
  <c r="Z3026" i="1"/>
  <c r="AG78" i="1"/>
  <c r="AB897" i="1"/>
  <c r="AD1853" i="1"/>
  <c r="BJ1535" i="1"/>
  <c r="AB2335" i="1"/>
  <c r="AB2970" i="1"/>
  <c r="AC115" i="1"/>
  <c r="AD2210" i="1"/>
  <c r="AB487" i="1"/>
  <c r="AD899" i="1"/>
  <c r="Z59" i="1"/>
  <c r="Z2830" i="1"/>
  <c r="Z2361" i="1"/>
  <c r="BJ1320" i="1"/>
  <c r="AA2534" i="1"/>
  <c r="AA1644" i="1"/>
  <c r="AA2469" i="1"/>
  <c r="Z409" i="1"/>
  <c r="BJ3058" i="1"/>
  <c r="AC2351" i="1"/>
  <c r="BJ2811" i="1"/>
  <c r="AG2790" i="1"/>
  <c r="AA1897" i="1"/>
  <c r="AC2623" i="1"/>
  <c r="BJ3057" i="1"/>
  <c r="AD3004" i="1"/>
  <c r="AB417" i="1"/>
  <c r="AG254" i="1"/>
  <c r="AB2847" i="1"/>
  <c r="AB1584" i="1"/>
  <c r="Z1449" i="1"/>
  <c r="Z2292" i="1"/>
  <c r="Z1855" i="1"/>
  <c r="AB208" i="1"/>
  <c r="AC1344" i="1"/>
  <c r="AG1483" i="1"/>
  <c r="AG1267" i="1"/>
  <c r="Z2855" i="1"/>
  <c r="AA3139" i="1"/>
  <c r="Z1002" i="1"/>
  <c r="BJ2540" i="1"/>
  <c r="AA3113" i="1"/>
  <c r="BJ1743" i="1"/>
  <c r="Z865" i="1"/>
  <c r="AG2164" i="1"/>
  <c r="AC671" i="1"/>
  <c r="AB1154" i="1"/>
  <c r="AG2649" i="1"/>
  <c r="AC2843" i="1"/>
  <c r="AB1948" i="1"/>
  <c r="AG720" i="1"/>
  <c r="AA1184" i="1"/>
  <c r="BJ256" i="1"/>
  <c r="BJ546" i="1"/>
  <c r="AC775" i="1"/>
  <c r="BJ458" i="1"/>
  <c r="AA3042" i="1"/>
  <c r="AG2537" i="1"/>
  <c r="AC2546" i="1"/>
  <c r="AG1136" i="1"/>
  <c r="AB2047" i="1"/>
  <c r="AB3093" i="1"/>
  <c r="AD2571" i="1"/>
  <c r="Z2309" i="1"/>
  <c r="AA981" i="1"/>
  <c r="AB290" i="1"/>
  <c r="AC1042" i="1"/>
  <c r="BJ1454" i="1"/>
  <c r="Z326" i="1"/>
  <c r="AB2568" i="1"/>
  <c r="Z1063" i="1"/>
  <c r="AA2992" i="1"/>
  <c r="AD2104" i="1"/>
  <c r="AB3137" i="1"/>
  <c r="AC1316" i="1"/>
  <c r="AC2773" i="1"/>
  <c r="Z2736" i="1"/>
  <c r="AC961" i="1"/>
  <c r="AG676" i="1"/>
  <c r="Z1791" i="1"/>
  <c r="AB842" i="1"/>
  <c r="AD377" i="1"/>
  <c r="AG2566" i="1"/>
  <c r="AC2539" i="1"/>
  <c r="AD2496" i="1"/>
  <c r="AA686" i="1"/>
  <c r="Z2546" i="1"/>
  <c r="AD797" i="1"/>
  <c r="AD2262" i="1"/>
  <c r="BJ1507" i="1"/>
  <c r="AA775" i="1"/>
  <c r="AB399" i="1"/>
  <c r="BJ247" i="1"/>
  <c r="Z2562" i="1"/>
  <c r="AG2911" i="1"/>
  <c r="AC1766" i="1"/>
  <c r="AA1038" i="1"/>
  <c r="AA1478" i="1"/>
  <c r="BJ555" i="1"/>
  <c r="AA2510" i="1"/>
  <c r="AG1857" i="1"/>
  <c r="Z1230" i="1"/>
  <c r="BJ1702" i="1"/>
  <c r="AG1734" i="1"/>
  <c r="AB2401" i="1"/>
  <c r="Z2180" i="1"/>
  <c r="AC2542" i="1"/>
  <c r="AA2883" i="1"/>
  <c r="AD2161" i="1"/>
  <c r="BJ761" i="1"/>
  <c r="AG2002" i="1"/>
  <c r="AA1379" i="1"/>
  <c r="Z1451" i="1"/>
  <c r="AC2439" i="1"/>
  <c r="AB3077" i="1"/>
  <c r="AG575" i="1"/>
  <c r="AB1544" i="1"/>
  <c r="AC1402" i="1"/>
  <c r="AD3115" i="1"/>
  <c r="AA2743" i="1"/>
  <c r="AG1085" i="1"/>
  <c r="AD734" i="1"/>
  <c r="BJ2165" i="1"/>
  <c r="AD1257" i="1"/>
  <c r="AA1544" i="1"/>
  <c r="AA2516" i="1"/>
  <c r="Z3151" i="1"/>
  <c r="Z1609" i="1"/>
  <c r="AB158" i="1"/>
  <c r="AC2148" i="1"/>
  <c r="Z1350" i="1"/>
  <c r="AC2686" i="1"/>
  <c r="AC2682" i="1"/>
  <c r="AG580" i="1"/>
  <c r="AB1063" i="1"/>
  <c r="Z838" i="1"/>
  <c r="AC239" i="1"/>
  <c r="BJ2936" i="1"/>
  <c r="Z265" i="1"/>
  <c r="AB378" i="1"/>
  <c r="BJ1501" i="1"/>
  <c r="AG2393" i="1"/>
  <c r="AG717" i="1"/>
  <c r="BJ2614" i="1"/>
  <c r="Z3063" i="1"/>
  <c r="BJ296" i="1"/>
  <c r="BJ1127" i="1"/>
  <c r="AD1517" i="1"/>
  <c r="AG1884" i="1"/>
  <c r="AD2510" i="1"/>
  <c r="AC1976" i="1"/>
  <c r="AA810" i="1"/>
  <c r="AC947" i="1"/>
  <c r="AB2044" i="1"/>
  <c r="AC490" i="1"/>
  <c r="AB420" i="1"/>
  <c r="BJ2483" i="1"/>
  <c r="AD996" i="1"/>
  <c r="Z668" i="1"/>
  <c r="AB2556" i="1"/>
  <c r="AA178" i="1"/>
  <c r="BJ2846" i="1"/>
  <c r="AC2210" i="1"/>
  <c r="Z1297" i="1"/>
  <c r="AA2273" i="1"/>
  <c r="AB206" i="1"/>
  <c r="Z1625" i="1"/>
  <c r="Z2376" i="1"/>
  <c r="AB2299" i="1"/>
  <c r="AD1356" i="1"/>
  <c r="AB1742" i="1"/>
  <c r="BJ1931" i="1"/>
  <c r="AG283" i="1"/>
  <c r="AB2147" i="1"/>
  <c r="Z792" i="1"/>
  <c r="AG208" i="1"/>
  <c r="AD353" i="1"/>
  <c r="AG667" i="1"/>
  <c r="AG2490" i="1"/>
  <c r="BJ1236" i="1"/>
  <c r="AB2605" i="1"/>
  <c r="Z3086" i="1"/>
  <c r="AA2803" i="1"/>
  <c r="AC564" i="1"/>
  <c r="AC945" i="1"/>
  <c r="AB2264" i="1"/>
  <c r="AA2327" i="1"/>
  <c r="AD100" i="1"/>
  <c r="Z1127" i="1"/>
  <c r="AA183" i="1"/>
  <c r="AD2196" i="1"/>
  <c r="AA1366" i="1"/>
  <c r="AB1591" i="1"/>
  <c r="AC969" i="1"/>
  <c r="AB1439" i="1"/>
  <c r="AD2609" i="1"/>
  <c r="AA1345" i="1"/>
  <c r="Z1520" i="1"/>
  <c r="AB1127" i="1"/>
  <c r="AC167" i="1"/>
  <c r="AG1791" i="1"/>
  <c r="AA294" i="1"/>
  <c r="AB1009" i="1"/>
  <c r="AG1230" i="1"/>
  <c r="BJ2025" i="1"/>
  <c r="AC184" i="1"/>
  <c r="AG246" i="1"/>
  <c r="AC691" i="1"/>
  <c r="AD1227" i="1"/>
  <c r="AD104" i="1"/>
  <c r="AB737" i="1"/>
  <c r="BJ1765" i="1"/>
  <c r="AA1110" i="1"/>
  <c r="AB1715" i="1"/>
  <c r="Z187" i="1"/>
  <c r="AB596" i="1"/>
  <c r="AG35" i="1"/>
  <c r="Z2664" i="1"/>
  <c r="AA2500" i="1"/>
  <c r="AB2786" i="1"/>
  <c r="AD284" i="1"/>
  <c r="AA2669" i="1"/>
  <c r="Z41" i="1"/>
  <c r="AB879" i="1"/>
  <c r="Z342" i="1"/>
  <c r="Z153" i="1"/>
  <c r="AD1704" i="1"/>
  <c r="AA695" i="1"/>
  <c r="AC2852" i="1"/>
  <c r="AC301" i="1"/>
  <c r="BJ2388" i="1"/>
  <c r="AG189" i="1"/>
  <c r="AG1403" i="1"/>
  <c r="AD2443" i="1"/>
  <c r="AA1813" i="1"/>
  <c r="AD1763" i="1"/>
  <c r="AD2030" i="1"/>
  <c r="AB2497" i="1"/>
  <c r="BJ2496" i="1"/>
  <c r="AG1419" i="1"/>
  <c r="AB207" i="1"/>
  <c r="Z929" i="1"/>
  <c r="Z839" i="1"/>
  <c r="AB442" i="1"/>
  <c r="AG1247" i="1"/>
  <c r="AG1578" i="1"/>
  <c r="AB704" i="1"/>
  <c r="AD1335" i="1"/>
  <c r="Z2208" i="1"/>
  <c r="AA2970" i="1"/>
  <c r="Z1792" i="1"/>
  <c r="Z529" i="1"/>
  <c r="Z3067" i="1"/>
  <c r="AA2066" i="1"/>
  <c r="Z1412" i="1"/>
  <c r="Z3144" i="1"/>
  <c r="BJ505" i="1"/>
  <c r="BJ2869" i="1"/>
  <c r="AD2216" i="1"/>
  <c r="AG1997" i="1"/>
  <c r="AD1357" i="1"/>
  <c r="BJ902" i="1"/>
  <c r="BJ1430" i="1"/>
  <c r="AC1769" i="1"/>
  <c r="AG346" i="1"/>
  <c r="AD2738" i="1"/>
  <c r="AA2797" i="1"/>
  <c r="AG1308" i="1"/>
  <c r="BJ1049" i="1"/>
  <c r="AA2274" i="1"/>
  <c r="AG1561" i="1"/>
  <c r="BJ2413" i="1"/>
  <c r="AA2558" i="1"/>
  <c r="AG1765" i="1"/>
  <c r="AC1222" i="1"/>
  <c r="AA2057" i="1"/>
  <c r="BJ3062" i="1"/>
  <c r="BJ108" i="1"/>
  <c r="Z3012" i="1"/>
  <c r="Z215" i="1"/>
  <c r="Z808" i="1"/>
  <c r="AC1536" i="1"/>
  <c r="AC185" i="1"/>
  <c r="AA146" i="1"/>
  <c r="AB2418" i="1"/>
  <c r="AC2718" i="1"/>
  <c r="AG3129" i="1"/>
  <c r="AD2457" i="1"/>
  <c r="AD662" i="1"/>
  <c r="AB683" i="1"/>
  <c r="BJ2369" i="1"/>
  <c r="AB1972" i="1"/>
  <c r="AG2193" i="1"/>
  <c r="AG459" i="1"/>
  <c r="BJ1462" i="1"/>
  <c r="Z1428" i="1"/>
  <c r="AA161" i="1"/>
  <c r="AA2094" i="1"/>
  <c r="AA2584" i="1"/>
  <c r="AG895" i="1"/>
  <c r="AC2751" i="1"/>
  <c r="AG2856" i="1"/>
  <c r="AB238" i="1"/>
  <c r="AB1703" i="1"/>
  <c r="AC1584" i="1"/>
  <c r="AD651" i="1"/>
  <c r="AB1719" i="1"/>
  <c r="AD2699" i="1"/>
  <c r="AG3077" i="1"/>
  <c r="BJ2612" i="1"/>
  <c r="AH3077" i="1" l="1"/>
  <c r="BM2699" i="1"/>
  <c r="BM651" i="1"/>
  <c r="AH2856" i="1"/>
  <c r="AH895" i="1"/>
  <c r="AH459" i="1"/>
  <c r="AH2193" i="1"/>
  <c r="BM662" i="1"/>
  <c r="BM2457" i="1"/>
  <c r="AH3129" i="1"/>
  <c r="AH1765" i="1"/>
  <c r="AH1561" i="1"/>
  <c r="AH1308" i="1"/>
  <c r="BM2738" i="1"/>
  <c r="AH346" i="1"/>
  <c r="AH1997" i="1"/>
  <c r="BM1357" i="1"/>
  <c r="BM2216" i="1"/>
  <c r="BM1335" i="1"/>
  <c r="AH1578" i="1"/>
  <c r="AH1247" i="1"/>
  <c r="AH1419" i="1"/>
  <c r="BM2030" i="1"/>
  <c r="BM1763" i="1"/>
  <c r="AH1403" i="1"/>
  <c r="BM2443" i="1"/>
  <c r="AH189" i="1"/>
  <c r="BM1704" i="1"/>
  <c r="BM284" i="1"/>
  <c r="AH35" i="1"/>
  <c r="BM104" i="1"/>
  <c r="BM1227" i="1"/>
  <c r="AH246" i="1"/>
  <c r="AH1230" i="1"/>
  <c r="AH1791" i="1"/>
  <c r="BM2609" i="1"/>
  <c r="BM2196" i="1"/>
  <c r="BM100" i="1"/>
  <c r="AH667" i="1"/>
  <c r="AH2490" i="1"/>
  <c r="BM353" i="1"/>
  <c r="AH208" i="1"/>
  <c r="AH283" i="1"/>
  <c r="BM1356" i="1"/>
  <c r="BM996" i="1"/>
  <c r="BM2510" i="1"/>
  <c r="AH1884" i="1"/>
  <c r="BM1517" i="1"/>
  <c r="AH717" i="1"/>
  <c r="AH2393" i="1"/>
  <c r="AH580" i="1"/>
  <c r="BM1257" i="1"/>
  <c r="BM734" i="1"/>
  <c r="AH1085" i="1"/>
  <c r="BM3115" i="1"/>
  <c r="AH575" i="1"/>
  <c r="AH2002" i="1"/>
  <c r="BM2161" i="1"/>
  <c r="AH1734" i="1"/>
  <c r="AH1857" i="1"/>
  <c r="AH2911" i="1"/>
  <c r="BM2262" i="1"/>
  <c r="BM797" i="1"/>
  <c r="BM2496" i="1"/>
  <c r="AH2566" i="1"/>
  <c r="BM377" i="1"/>
  <c r="AH676" i="1"/>
  <c r="BM2104" i="1"/>
  <c r="BM2571" i="1"/>
  <c r="AH1136" i="1"/>
  <c r="AH2537" i="1"/>
  <c r="AH720" i="1"/>
  <c r="AH2649" i="1"/>
  <c r="AH2164" i="1"/>
  <c r="AH1267" i="1"/>
  <c r="AH1483" i="1"/>
  <c r="AH254" i="1"/>
  <c r="BM3004" i="1"/>
  <c r="AH2790" i="1"/>
  <c r="BM899" i="1"/>
  <c r="BM2210" i="1"/>
  <c r="BM1853" i="1"/>
  <c r="AH78" i="1"/>
  <c r="BM360" i="1"/>
  <c r="BM2747" i="1"/>
  <c r="AH596" i="1"/>
  <c r="AH677" i="1"/>
  <c r="AH2396" i="1"/>
  <c r="BM204" i="1"/>
  <c r="BM2762" i="1"/>
  <c r="AH12" i="1"/>
  <c r="AH1534" i="1"/>
  <c r="BM901" i="1"/>
  <c r="AH1374" i="1"/>
  <c r="AH1415" i="1"/>
  <c r="BM1864" i="1"/>
  <c r="BM2855" i="1"/>
  <c r="AH2879" i="1"/>
  <c r="AH1331" i="1"/>
  <c r="BM1065" i="1"/>
  <c r="AH1422" i="1"/>
  <c r="AH2072" i="1"/>
  <c r="BM2220" i="1"/>
  <c r="BM544" i="1"/>
  <c r="BM2140" i="1"/>
  <c r="BM1394" i="1"/>
  <c r="AH1885" i="1"/>
  <c r="AH80" i="1"/>
  <c r="AH1737" i="1"/>
  <c r="AH1455" i="1"/>
  <c r="BM639" i="1"/>
  <c r="AH219" i="1"/>
  <c r="BM2394" i="1"/>
  <c r="AH70" i="1"/>
  <c r="AH2213" i="1"/>
  <c r="BM1679" i="1"/>
  <c r="AH1006" i="1"/>
  <c r="AH2880" i="1"/>
  <c r="BM2263" i="1"/>
  <c r="AH2987" i="1"/>
  <c r="BM365" i="1"/>
  <c r="BM749" i="1"/>
  <c r="AH604" i="1"/>
  <c r="BM1219" i="1"/>
  <c r="AH646" i="1"/>
  <c r="BM922" i="1"/>
  <c r="BM2154" i="1"/>
  <c r="AH2350" i="1"/>
  <c r="BM2259" i="1"/>
  <c r="BM1531" i="1"/>
  <c r="BM2241" i="1"/>
  <c r="AH2636" i="1"/>
  <c r="AH1969" i="1"/>
  <c r="BM135" i="1"/>
  <c r="BM497" i="1"/>
  <c r="BM2507" i="1"/>
  <c r="BM33" i="1"/>
  <c r="BM2785" i="1"/>
  <c r="BM654" i="1"/>
  <c r="AH1593" i="1"/>
  <c r="AH1065" i="1"/>
  <c r="AH298" i="1"/>
  <c r="BM2698" i="1"/>
  <c r="AH2075" i="1"/>
  <c r="AH1249" i="1"/>
  <c r="BM2203" i="1"/>
  <c r="BM191" i="1"/>
  <c r="AH2349" i="1"/>
  <c r="AH816" i="1"/>
  <c r="AH1107" i="1"/>
  <c r="BM1470" i="1"/>
  <c r="AH3071" i="1"/>
  <c r="BM520" i="1"/>
  <c r="AH862" i="1"/>
  <c r="BM2695" i="1"/>
  <c r="BM1475" i="1"/>
  <c r="AH3143" i="1"/>
  <c r="BM2572" i="1"/>
  <c r="AH2399" i="1"/>
  <c r="BM475" i="1"/>
  <c r="BM3033" i="1"/>
  <c r="BM903" i="1"/>
  <c r="AH1228" i="1"/>
  <c r="BM535" i="1"/>
  <c r="BM1160" i="1"/>
  <c r="BM164" i="1"/>
  <c r="BM2647" i="1"/>
  <c r="AH2892" i="1"/>
  <c r="BM2805" i="1"/>
  <c r="BM366" i="1"/>
  <c r="BM987" i="1"/>
  <c r="AH2039" i="1"/>
  <c r="AH2622" i="1"/>
  <c r="AH3125" i="1"/>
  <c r="AH288" i="1"/>
  <c r="BM201" i="1"/>
  <c r="AH567" i="1"/>
  <c r="AH2152" i="1"/>
  <c r="AH1091" i="1"/>
  <c r="BM249" i="1"/>
  <c r="AH3124" i="1"/>
  <c r="BM1648" i="1"/>
  <c r="AH2871" i="1"/>
  <c r="AH666" i="1"/>
  <c r="BM2994" i="1"/>
  <c r="AH1181" i="1"/>
  <c r="BM1390" i="1"/>
  <c r="AH1871" i="1"/>
  <c r="AH359" i="1"/>
  <c r="BM2501" i="1"/>
  <c r="AH2686" i="1"/>
  <c r="AH1834" i="1"/>
  <c r="BM2871" i="1"/>
  <c r="AH2700" i="1"/>
  <c r="BM1860" i="1"/>
  <c r="AH1828" i="1"/>
  <c r="AH2225" i="1"/>
  <c r="AH2001" i="1"/>
  <c r="AH2122" i="1"/>
  <c r="BM163" i="1"/>
  <c r="AH2767" i="1"/>
  <c r="BM1848" i="1"/>
  <c r="BM2869" i="1"/>
  <c r="AH2989" i="1"/>
  <c r="BM813" i="1"/>
  <c r="BM335" i="1"/>
  <c r="AH344" i="1"/>
  <c r="BM793" i="1"/>
  <c r="AH1008" i="1"/>
  <c r="AH309" i="1"/>
  <c r="BM3047" i="1"/>
  <c r="BM2644" i="1"/>
  <c r="BM1543" i="1"/>
  <c r="BM538" i="1"/>
  <c r="AH734" i="1"/>
  <c r="AH1095" i="1"/>
  <c r="BM1705" i="1"/>
  <c r="BM2559" i="1"/>
  <c r="AH231" i="1"/>
  <c r="AH1545" i="1"/>
  <c r="AH847" i="1"/>
  <c r="BM1176" i="1"/>
  <c r="BM2296" i="1"/>
  <c r="BM1392" i="1"/>
  <c r="AH626" i="1"/>
  <c r="BM2223" i="1"/>
  <c r="AH499" i="1"/>
  <c r="BM1790" i="1"/>
  <c r="BM2197" i="1"/>
  <c r="AH2259" i="1"/>
  <c r="AH2645" i="1"/>
  <c r="AH15" i="1"/>
  <c r="BM952" i="1"/>
  <c r="BM2083" i="1"/>
  <c r="AH2176" i="1"/>
  <c r="AH1989" i="1"/>
  <c r="BM2495" i="1"/>
  <c r="AH272" i="1"/>
  <c r="BM328" i="1"/>
  <c r="AH1916" i="1"/>
  <c r="BM1497" i="1"/>
  <c r="BM1094" i="1"/>
  <c r="AH2692" i="1"/>
  <c r="BM582" i="1"/>
  <c r="AH2326" i="1"/>
  <c r="BM545" i="1"/>
  <c r="BM2818" i="1"/>
  <c r="BM2889" i="1"/>
  <c r="BM3022" i="1"/>
  <c r="AH69" i="1"/>
  <c r="AH506" i="1"/>
  <c r="BM329" i="1"/>
  <c r="AH1924" i="1"/>
  <c r="BM2256" i="1"/>
  <c r="BM2436" i="1"/>
  <c r="BM1835" i="1"/>
  <c r="AH555" i="1"/>
  <c r="BM1941" i="1"/>
  <c r="AH2579" i="1"/>
  <c r="BM2834" i="1"/>
  <c r="BM2657" i="1"/>
  <c r="BM647" i="1"/>
  <c r="AH510" i="1"/>
  <c r="BM1015" i="1"/>
  <c r="BM968" i="1"/>
  <c r="BM3093" i="1"/>
  <c r="AH502" i="1"/>
  <c r="AH1543" i="1"/>
  <c r="AH660" i="1"/>
  <c r="BM48" i="1"/>
  <c r="AH1948" i="1"/>
  <c r="BM1293" i="1"/>
  <c r="AH1908" i="1"/>
  <c r="AH2238" i="1"/>
  <c r="AH950" i="1"/>
  <c r="BM2178" i="1"/>
  <c r="BM1113" i="1"/>
  <c r="AH3050" i="1"/>
  <c r="AH1009" i="1"/>
  <c r="AH863" i="1"/>
  <c r="AH2963" i="1"/>
  <c r="BM645" i="1"/>
  <c r="BM1386" i="1"/>
  <c r="AH2571" i="1"/>
  <c r="BM495" i="1"/>
  <c r="AH1198" i="1"/>
  <c r="BM2548" i="1"/>
  <c r="BM25" i="1"/>
  <c r="BM2916" i="1"/>
  <c r="BM2185" i="1"/>
  <c r="AH2691" i="1"/>
  <c r="BM2562" i="1"/>
  <c r="BM1988" i="1"/>
  <c r="BM2370" i="1"/>
  <c r="BM1506" i="1"/>
  <c r="BM362" i="1"/>
  <c r="AH286" i="1"/>
  <c r="AH807" i="1"/>
  <c r="AH1022" i="1"/>
  <c r="AH789" i="1"/>
  <c r="BM941" i="1"/>
  <c r="BM2002" i="1"/>
  <c r="BM991" i="1"/>
  <c r="AH1901" i="1"/>
  <c r="AH1852" i="1"/>
  <c r="AH1025" i="1"/>
  <c r="AH2412" i="1"/>
  <c r="AH1351" i="1"/>
  <c r="AH281" i="1"/>
  <c r="AH1439" i="1"/>
  <c r="AH381" i="1"/>
  <c r="AH2012" i="1"/>
  <c r="BM1466" i="1"/>
  <c r="BM150" i="1"/>
  <c r="AH603" i="1"/>
  <c r="BM494" i="1"/>
  <c r="BM2462" i="1"/>
  <c r="AH137" i="1"/>
  <c r="AH1646" i="1"/>
  <c r="AH1549" i="1"/>
  <c r="AH249" i="1"/>
  <c r="AH1029" i="1"/>
  <c r="AH1256" i="1"/>
  <c r="AH133" i="1"/>
  <c r="AH516" i="1"/>
  <c r="AH1217" i="1"/>
  <c r="AH2244" i="1"/>
  <c r="BM1055" i="1"/>
  <c r="AH2679" i="1"/>
  <c r="AH1239" i="1"/>
  <c r="BM2305" i="1"/>
  <c r="AH1560" i="1"/>
  <c r="BM2686" i="1"/>
  <c r="AH474" i="1"/>
  <c r="BM120" i="1"/>
  <c r="AH1559" i="1"/>
  <c r="AH846" i="1"/>
  <c r="BM2334" i="1"/>
  <c r="AH538" i="1"/>
  <c r="BM3063" i="1"/>
  <c r="AH791" i="1"/>
  <c r="BM746" i="1"/>
  <c r="BM2420" i="1"/>
  <c r="AH2116" i="1"/>
  <c r="BM1097" i="1"/>
  <c r="BM2432" i="1"/>
  <c r="AH2907" i="1"/>
  <c r="AH1731" i="1"/>
  <c r="AH3036" i="1"/>
  <c r="AH870" i="1"/>
  <c r="AH2338" i="1"/>
  <c r="BM2527" i="1"/>
  <c r="AH3086" i="1"/>
  <c r="BM1847" i="1"/>
  <c r="BM781" i="1"/>
  <c r="AH1347" i="1"/>
  <c r="AH131" i="1"/>
  <c r="BM1280" i="1"/>
  <c r="AH2532" i="1"/>
  <c r="BM1086" i="1"/>
  <c r="BM1780" i="1"/>
  <c r="AH901" i="1"/>
  <c r="AH1179" i="1"/>
  <c r="BM2309" i="1"/>
  <c r="BM824" i="1"/>
  <c r="BM913" i="1"/>
  <c r="AH42" i="1"/>
  <c r="BM869" i="1"/>
  <c r="AH3014" i="1"/>
  <c r="BM2723" i="1"/>
  <c r="BM2988" i="1"/>
  <c r="AH394" i="1"/>
  <c r="AH2320" i="1"/>
  <c r="AH1090" i="1"/>
  <c r="AH982" i="1"/>
  <c r="AH2690" i="1"/>
  <c r="BM643" i="1"/>
  <c r="BM1712" i="1"/>
  <c r="AH1754" i="1"/>
  <c r="BM837" i="1"/>
  <c r="BM19" i="1"/>
  <c r="AH1701" i="1"/>
  <c r="AH2964" i="1"/>
  <c r="AH2217" i="1"/>
  <c r="BM411" i="1"/>
  <c r="BM2979" i="1"/>
  <c r="AH91" i="1"/>
  <c r="AH431" i="1"/>
  <c r="BM1127" i="1"/>
  <c r="BM491" i="1"/>
  <c r="BM1139" i="1"/>
  <c r="AH2411" i="1"/>
  <c r="BM110" i="1"/>
  <c r="AH1541" i="1"/>
  <c r="BM2956" i="1"/>
  <c r="AH469" i="1"/>
  <c r="AH554" i="1"/>
  <c r="BM99" i="1"/>
  <c r="AH1201" i="1"/>
  <c r="BM153" i="1"/>
  <c r="BM461" i="1"/>
  <c r="BM2732" i="1"/>
  <c r="BM3023" i="1"/>
  <c r="AH861" i="1"/>
  <c r="BM2638" i="1"/>
  <c r="AH985" i="1"/>
  <c r="AH699" i="1"/>
  <c r="AH1591" i="1"/>
  <c r="AH1780" i="1"/>
  <c r="AH2309" i="1"/>
  <c r="BM980" i="1"/>
  <c r="AH1045" i="1"/>
  <c r="AH202" i="1"/>
  <c r="BM1337" i="1"/>
  <c r="AH2627" i="1"/>
  <c r="BM218" i="1"/>
  <c r="AH1503" i="1"/>
  <c r="BM2962" i="1"/>
  <c r="BM835" i="1"/>
  <c r="AH934" i="1"/>
  <c r="BM599" i="1"/>
  <c r="BM1948" i="1"/>
  <c r="BM1114" i="1"/>
  <c r="BM1012" i="1"/>
  <c r="BM1202" i="1"/>
  <c r="AH1014" i="1"/>
  <c r="AH1839" i="1"/>
  <c r="BM12" i="1"/>
  <c r="BM1205" i="1"/>
  <c r="AH797" i="1"/>
  <c r="AH986" i="1"/>
  <c r="AH2327" i="1"/>
  <c r="BM1452" i="1"/>
  <c r="AH2121" i="1"/>
  <c r="AH1144" i="1"/>
  <c r="BM2349" i="1"/>
  <c r="AH2484" i="1"/>
  <c r="AH2426" i="1"/>
  <c r="AH41" i="1"/>
  <c r="AH196" i="1"/>
  <c r="AH3141" i="1"/>
  <c r="BM2612" i="1"/>
  <c r="AH1114" i="1"/>
  <c r="BM2265" i="1"/>
  <c r="AH3020" i="1"/>
  <c r="AH1121" i="1"/>
  <c r="AH1906" i="1"/>
  <c r="BM1446" i="1"/>
  <c r="AH779" i="1"/>
  <c r="AH111" i="1"/>
  <c r="BM1567" i="1"/>
  <c r="AH2817" i="1"/>
  <c r="BM615" i="1"/>
  <c r="AH437" i="1"/>
  <c r="BM1682" i="1"/>
  <c r="AH2438" i="1"/>
  <c r="AH1271" i="1"/>
  <c r="AH1512" i="1"/>
  <c r="AH2453" i="1"/>
  <c r="AH2736" i="1"/>
  <c r="AH2523" i="1"/>
  <c r="AH533" i="1"/>
  <c r="AH2875" i="1"/>
  <c r="AH1719" i="1"/>
  <c r="BM1905" i="1"/>
  <c r="AH2441" i="1"/>
  <c r="AH2390" i="1"/>
  <c r="BM1839" i="1"/>
  <c r="BM562" i="1"/>
  <c r="BM1289" i="1"/>
  <c r="BM2319" i="1"/>
  <c r="AH1261" i="1"/>
  <c r="AH695" i="1"/>
  <c r="BM1715" i="1"/>
  <c r="BM512" i="1"/>
  <c r="AH1773" i="1"/>
  <c r="AH1533" i="1"/>
  <c r="BM1217" i="1"/>
  <c r="AH1995" i="1"/>
  <c r="AH1610" i="1"/>
  <c r="AH414" i="1"/>
  <c r="AH1026" i="1"/>
  <c r="BM3083" i="1"/>
  <c r="AH1743" i="1"/>
  <c r="BM1088" i="1"/>
  <c r="AH2497" i="1"/>
  <c r="BM949" i="1"/>
  <c r="AH2371" i="1"/>
  <c r="BM127" i="1"/>
  <c r="BM1024" i="1"/>
  <c r="BM1442" i="1"/>
  <c r="BM2317" i="1"/>
  <c r="BM2089" i="1"/>
  <c r="BM1171" i="1"/>
  <c r="BM2945" i="1"/>
  <c r="BM2995" i="1"/>
  <c r="BM3117" i="1"/>
  <c r="BM78" i="1"/>
  <c r="AH1307" i="1"/>
  <c r="AH2651" i="1"/>
  <c r="BM156" i="1"/>
  <c r="BM74" i="1"/>
  <c r="BM860" i="1"/>
  <c r="BM726" i="1"/>
  <c r="BM880" i="1"/>
  <c r="AH354" i="1"/>
  <c r="AH2190" i="1"/>
  <c r="BM3081" i="1"/>
  <c r="AH1288" i="1"/>
  <c r="AH2339" i="1"/>
  <c r="AH284" i="1"/>
  <c r="BM2541" i="1"/>
  <c r="BM1020" i="1"/>
  <c r="AH1870" i="1"/>
  <c r="BM1776" i="1"/>
  <c r="BM1006" i="1"/>
  <c r="AH1848" i="1"/>
  <c r="AH1184" i="1"/>
  <c r="BM730" i="1"/>
  <c r="AH1194" i="1"/>
  <c r="BM248" i="1"/>
  <c r="AH1603" i="1"/>
  <c r="AH594" i="1"/>
  <c r="BM1068" i="1"/>
  <c r="AH1084" i="1"/>
  <c r="BM2551" i="1"/>
  <c r="BM407" i="1"/>
  <c r="BM1001" i="1"/>
  <c r="AH51" i="1"/>
  <c r="BM1640" i="1"/>
  <c r="BM946" i="1"/>
  <c r="AH2280" i="1"/>
  <c r="BM2094" i="1"/>
  <c r="AH1977" i="1"/>
  <c r="BM641" i="1"/>
  <c r="BM2327" i="1"/>
  <c r="AH1650" i="1"/>
  <c r="AH493" i="1"/>
  <c r="AH853" i="1"/>
  <c r="AH1495" i="1"/>
  <c r="BM208" i="1"/>
  <c r="AH1934" i="1"/>
  <c r="BM2593" i="1"/>
  <c r="AH769" i="1"/>
  <c r="BM231" i="1"/>
  <c r="AH2355" i="1"/>
  <c r="AH785" i="1"/>
  <c r="AH2752" i="1"/>
  <c r="BM611" i="1"/>
  <c r="AH1134" i="1"/>
  <c r="AH2508" i="1"/>
  <c r="BM2517" i="1"/>
  <c r="AH2454" i="1"/>
  <c r="AH1803" i="1"/>
  <c r="AH599" i="1"/>
  <c r="BM1080" i="1"/>
  <c r="BM1789" i="1"/>
  <c r="BM3121" i="1"/>
  <c r="AH2757" i="1"/>
  <c r="BM1046" i="1"/>
  <c r="AH2472" i="1"/>
  <c r="BM1580" i="1"/>
  <c r="AH1580" i="1"/>
  <c r="AH1978" i="1"/>
  <c r="AH2071" i="1"/>
  <c r="BM354" i="1"/>
  <c r="BM2490" i="1"/>
  <c r="AH3008" i="1"/>
  <c r="AH1510" i="1"/>
  <c r="BM2819" i="1"/>
  <c r="BM2993" i="1"/>
  <c r="AH1265" i="1"/>
  <c r="AH2372" i="1"/>
  <c r="AH3017" i="1"/>
  <c r="BM1007" i="1"/>
  <c r="AH18" i="1"/>
  <c r="BM2295" i="1"/>
  <c r="AH2837" i="1"/>
  <c r="BM1526" i="1"/>
  <c r="BM1310" i="1"/>
  <c r="BM1965" i="1"/>
  <c r="BM2873" i="1"/>
  <c r="BM1759" i="1"/>
  <c r="AH914" i="1"/>
  <c r="BM3102" i="1"/>
  <c r="AH486" i="1"/>
  <c r="BM510" i="1"/>
  <c r="BM1422" i="1"/>
  <c r="BM531" i="1"/>
  <c r="BM2545" i="1"/>
  <c r="BM1881" i="1"/>
  <c r="BM333" i="1"/>
  <c r="BM3013" i="1"/>
  <c r="BM580" i="1"/>
  <c r="BM506" i="1"/>
  <c r="BM2621" i="1"/>
  <c r="BM625" i="1"/>
  <c r="BM2969" i="1"/>
  <c r="AH2778" i="1"/>
  <c r="BM2413" i="1"/>
  <c r="AH2920" i="1"/>
  <c r="BM1500" i="1"/>
  <c r="BM1767" i="1"/>
  <c r="AH2410" i="1"/>
  <c r="AH3052" i="1"/>
  <c r="BM3119" i="1"/>
  <c r="AH81" i="1"/>
  <c r="BM225" i="1"/>
  <c r="BM1185" i="1"/>
  <c r="AH1158" i="1"/>
  <c r="AH936" i="1"/>
  <c r="BM66" i="1"/>
  <c r="BM2825" i="1"/>
  <c r="AH1830" i="1"/>
  <c r="BM151" i="1"/>
  <c r="AH1577" i="1"/>
  <c r="BM1764" i="1"/>
  <c r="BM701" i="1"/>
  <c r="BM591" i="1"/>
  <c r="AH2459" i="1"/>
  <c r="BM374" i="1"/>
  <c r="AH1418" i="1"/>
  <c r="BM927" i="1"/>
  <c r="AH578" i="1"/>
  <c r="BM1238" i="1"/>
  <c r="AH2340" i="1"/>
  <c r="AH787" i="1"/>
  <c r="AH828" i="1"/>
  <c r="BM1972" i="1"/>
  <c r="AH2276" i="1"/>
  <c r="AH1683" i="1"/>
  <c r="BM2308" i="1"/>
  <c r="BM1818" i="1"/>
  <c r="BM2035" i="1"/>
  <c r="AH1930" i="1"/>
  <c r="BM1888" i="1"/>
  <c r="BM871" i="1"/>
  <c r="BM919" i="1"/>
  <c r="BM53" i="1"/>
  <c r="AH497" i="1"/>
  <c r="AH1656" i="1"/>
  <c r="BM659" i="1"/>
  <c r="BM690" i="1"/>
  <c r="BM1861" i="1"/>
  <c r="BM1432" i="1"/>
  <c r="BM1189" i="1"/>
  <c r="BM3068" i="1"/>
  <c r="AH1466" i="1"/>
  <c r="AH1350" i="1"/>
  <c r="AH1667" i="1"/>
  <c r="AH2604" i="1"/>
  <c r="AH503" i="1"/>
  <c r="AH2091" i="1"/>
  <c r="AH1285" i="1"/>
  <c r="BM228" i="1"/>
  <c r="AH1748" i="1"/>
  <c r="BM390" i="1"/>
  <c r="AH2795" i="1"/>
  <c r="BM1683" i="1"/>
  <c r="BM34" i="1"/>
  <c r="BM2700" i="1"/>
  <c r="AH2031" i="1"/>
  <c r="BM1383" i="1"/>
  <c r="BM1458" i="1"/>
  <c r="AH310" i="1"/>
  <c r="BM2121" i="1"/>
  <c r="BM334" i="1"/>
  <c r="AH413" i="1"/>
  <c r="BM1512" i="1"/>
  <c r="AH2157" i="1"/>
  <c r="BM421" i="1"/>
  <c r="BM2908" i="1"/>
  <c r="AH2449" i="1"/>
  <c r="BM1296" i="1"/>
  <c r="AH1962" i="1"/>
  <c r="AH1879" i="1"/>
  <c r="AH2687" i="1"/>
  <c r="BM320" i="1"/>
  <c r="AH263" i="1"/>
  <c r="BM624" i="1"/>
  <c r="BM2113" i="1"/>
  <c r="AH1345" i="1"/>
  <c r="BM2341" i="1"/>
  <c r="AH1015" i="1"/>
  <c r="BM417" i="1"/>
  <c r="BM567" i="1"/>
  <c r="AH2584" i="1"/>
  <c r="BM1754" i="1"/>
  <c r="BM245" i="1"/>
  <c r="BM936" i="1"/>
  <c r="BM627" i="1"/>
  <c r="AH704" i="1"/>
  <c r="BM357" i="1"/>
  <c r="BM900" i="1"/>
  <c r="AH2906" i="1"/>
  <c r="AH701" i="1"/>
  <c r="AH1878" i="1"/>
  <c r="AH1606" i="1"/>
  <c r="AH2004" i="1"/>
  <c r="BM1693" i="1"/>
  <c r="AH2147" i="1"/>
  <c r="BM1898" i="1"/>
  <c r="BM974" i="1"/>
  <c r="BM276" i="1"/>
  <c r="AH627" i="1"/>
  <c r="BM2478" i="1"/>
  <c r="BM2276" i="1"/>
  <c r="AH2889" i="1"/>
  <c r="AH2029" i="1"/>
  <c r="AH2278" i="1"/>
  <c r="AH1544" i="1"/>
  <c r="BM982" i="1"/>
  <c r="AH328" i="1"/>
  <c r="AH2129" i="1"/>
  <c r="AH1620" i="1"/>
  <c r="AH1021" i="1"/>
  <c r="BM1975" i="1"/>
  <c r="BM3036" i="1"/>
  <c r="BM1406" i="1"/>
  <c r="AH1432" i="1"/>
  <c r="AH1123" i="1"/>
  <c r="AH2360" i="1"/>
  <c r="AH811" i="1"/>
  <c r="AH390" i="1"/>
  <c r="BM451" i="1"/>
  <c r="AH1098" i="1"/>
  <c r="BM2145" i="1"/>
  <c r="AH2613" i="1"/>
  <c r="AH2105" i="1"/>
  <c r="BM3139" i="1"/>
  <c r="BM2028" i="1"/>
  <c r="BM2099" i="1"/>
  <c r="AH1665" i="1"/>
  <c r="BM838" i="1"/>
  <c r="AH705" i="1"/>
  <c r="BM1851" i="1"/>
  <c r="BM114" i="1"/>
  <c r="BM2757" i="1"/>
  <c r="AH132" i="1"/>
  <c r="AH1981" i="1"/>
  <c r="BM282" i="1"/>
  <c r="AH1463" i="1"/>
  <c r="AH1458" i="1"/>
  <c r="AH1056" i="1"/>
  <c r="AH866" i="1"/>
  <c r="AH453" i="1"/>
  <c r="BM2224" i="1"/>
  <c r="BM1980" i="1"/>
  <c r="BM27" i="1"/>
  <c r="BM2737" i="1"/>
  <c r="BM2589" i="1"/>
  <c r="BM2675" i="1"/>
  <c r="AH1117" i="1"/>
  <c r="AH1334" i="1"/>
  <c r="AH2530" i="1"/>
  <c r="BM2907" i="1"/>
  <c r="AH1695" i="1"/>
  <c r="BM2671" i="1"/>
  <c r="AH2589" i="1"/>
  <c r="AH2536" i="1"/>
  <c r="AH1322" i="1"/>
  <c r="BM859" i="1"/>
  <c r="AH2925" i="1"/>
  <c r="AH2983" i="1"/>
  <c r="AH653" i="1"/>
  <c r="BM3057" i="1"/>
  <c r="AH1568" i="1"/>
  <c r="BM2402" i="1"/>
  <c r="BM2150" i="1"/>
  <c r="BM440" i="1"/>
  <c r="BM916" i="1"/>
  <c r="AH1540" i="1"/>
  <c r="BM1290" i="1"/>
  <c r="BM325" i="1"/>
  <c r="BM2482" i="1"/>
  <c r="BM1616" i="1"/>
  <c r="BM2957" i="1"/>
  <c r="AH661" i="1"/>
  <c r="AH2951" i="1"/>
  <c r="BM1324" i="1"/>
  <c r="BM3090" i="1"/>
  <c r="AH2860" i="1"/>
  <c r="AH2675" i="1"/>
  <c r="BM103" i="1"/>
  <c r="BM1433" i="1"/>
  <c r="AH2051" i="1"/>
  <c r="AH2062" i="1"/>
  <c r="AH3022" i="1"/>
  <c r="BM3066" i="1"/>
  <c r="BM2885" i="1"/>
  <c r="BM213" i="1"/>
  <c r="AH1945" i="1"/>
  <c r="BM1419" i="1"/>
  <c r="AH1264" i="1"/>
  <c r="BM2421" i="1"/>
  <c r="BM2565" i="1"/>
  <c r="AH1674" i="1"/>
  <c r="AH1066" i="1"/>
  <c r="AH1529" i="1"/>
  <c r="AH2554" i="1"/>
  <c r="BM1471" i="1"/>
  <c r="BM1229" i="1"/>
  <c r="BM2538" i="1"/>
  <c r="BM1528" i="1"/>
  <c r="BM289" i="1"/>
  <c r="AH63" i="1"/>
  <c r="BM2891" i="1"/>
  <c r="BM1502" i="1"/>
  <c r="AH1630" i="1"/>
  <c r="BM2431" i="1"/>
  <c r="BM2997" i="1"/>
  <c r="BM115" i="1"/>
  <c r="AH3000" i="1"/>
  <c r="BM3061" i="1"/>
  <c r="BM1862" i="1"/>
  <c r="AH926" i="1"/>
  <c r="BM2102" i="1"/>
  <c r="BM536" i="1"/>
  <c r="AH2068" i="1"/>
  <c r="AH1280" i="1"/>
  <c r="BM1556" i="1"/>
  <c r="BM675" i="1"/>
  <c r="AH2037" i="1"/>
  <c r="AH2229" i="1"/>
  <c r="AH3140" i="1"/>
  <c r="AH1454" i="1"/>
  <c r="BM2409" i="1"/>
  <c r="BM1678" i="1"/>
  <c r="BM1865" i="1"/>
  <c r="AH2081" i="1"/>
  <c r="AH1629" i="1"/>
  <c r="BM517" i="1"/>
  <c r="AH2959" i="1"/>
  <c r="BM532" i="1"/>
  <c r="AH2510" i="1"/>
  <c r="AH2128" i="1"/>
  <c r="AH1752" i="1"/>
  <c r="AH2928" i="1"/>
  <c r="AH686" i="1"/>
  <c r="AH970" i="1"/>
  <c r="AH899" i="1"/>
  <c r="AH1125" i="1"/>
  <c r="BM2964" i="1"/>
  <c r="AH2047" i="1"/>
  <c r="BM815" i="1"/>
  <c r="BM2673" i="1"/>
  <c r="AH1565" i="1"/>
  <c r="BM1427" i="1"/>
  <c r="BM2373" i="1"/>
  <c r="AH1637" i="1"/>
  <c r="AH2365" i="1"/>
  <c r="AH1677" i="1"/>
  <c r="AH953" i="1"/>
  <c r="BM1869" i="1"/>
  <c r="BM219" i="1"/>
  <c r="BM564" i="1"/>
  <c r="BM1562" i="1"/>
  <c r="AH336" i="1"/>
  <c r="AH831" i="1"/>
  <c r="AH2858" i="1"/>
  <c r="BM1240" i="1"/>
  <c r="AH253" i="1"/>
  <c r="BM265" i="1"/>
  <c r="AH2979" i="1"/>
  <c r="AH3133" i="1"/>
  <c r="BM447" i="1"/>
  <c r="AH297" i="1"/>
  <c r="BM767" i="1"/>
  <c r="BM956" i="1"/>
  <c r="AH731" i="1"/>
  <c r="BM1311" i="1"/>
  <c r="BM2106" i="1"/>
  <c r="AH1467" i="1"/>
  <c r="BM355" i="1"/>
  <c r="BM2576" i="1"/>
  <c r="BM454" i="1"/>
  <c r="AH1000" i="1"/>
  <c r="BM1639" i="1"/>
  <c r="BM2240" i="1"/>
  <c r="BM1371" i="1"/>
  <c r="AH2216" i="1"/>
  <c r="BM1891" i="1"/>
  <c r="BM983" i="1"/>
  <c r="AH147" i="1"/>
  <c r="BM1830" i="1"/>
  <c r="AH960" i="1"/>
  <c r="AH2391" i="1"/>
  <c r="AH1741" i="1"/>
  <c r="AH3021" i="1"/>
  <c r="BM1752" i="1"/>
  <c r="AH2364" i="1"/>
  <c r="BM1378" i="1"/>
  <c r="BM1708" i="1"/>
  <c r="AH2803" i="1"/>
  <c r="BM1603" i="1"/>
  <c r="AH188" i="1"/>
  <c r="BM1072" i="1"/>
  <c r="BM923" i="1"/>
  <c r="BM1887" i="1"/>
  <c r="AH2383" i="1"/>
  <c r="AH48" i="1"/>
  <c r="AH2006" i="1"/>
  <c r="AH56" i="1"/>
  <c r="AH1490" i="1"/>
  <c r="AH2682" i="1"/>
  <c r="BM2474" i="1"/>
  <c r="AH2897" i="1"/>
  <c r="BM2867" i="1"/>
  <c r="BM2806" i="1"/>
  <c r="AH932" i="1"/>
  <c r="AH1156" i="1"/>
  <c r="BM1829" i="1"/>
  <c r="AH217" i="1"/>
  <c r="BM2120" i="1"/>
  <c r="BM1287" i="1"/>
  <c r="AH2640" i="1"/>
  <c r="BM1943" i="1"/>
  <c r="AH1762" i="1"/>
  <c r="BM130" i="1"/>
  <c r="AH3101" i="1"/>
  <c r="AH718" i="1"/>
  <c r="BM194" i="1"/>
  <c r="BM1598" i="1"/>
  <c r="BM787" i="1"/>
  <c r="AH2458" i="1"/>
  <c r="AH965" i="1"/>
  <c r="BM2376" i="1"/>
  <c r="AH728" i="1"/>
  <c r="AH3138" i="1"/>
  <c r="BM90" i="1"/>
  <c r="BM2218" i="1"/>
  <c r="AH1722" i="1"/>
  <c r="BM2000" i="1"/>
  <c r="BM313" i="1"/>
  <c r="BM1084" i="1"/>
  <c r="BM223" i="1"/>
  <c r="AH1953" i="1"/>
  <c r="BM2893" i="1"/>
  <c r="BM1149" i="1"/>
  <c r="AH948" i="1"/>
  <c r="BM1770" i="1"/>
  <c r="BM266" i="1"/>
  <c r="AH30" i="1"/>
  <c r="AH644" i="1"/>
  <c r="BM1765" i="1"/>
  <c r="BM2222" i="1"/>
  <c r="AH665" i="1"/>
  <c r="AH1760" i="1"/>
  <c r="AH2849" i="1"/>
  <c r="BM2622" i="1"/>
  <c r="AH2118" i="1"/>
  <c r="AH2489" i="1"/>
  <c r="AH2765" i="1"/>
  <c r="AH2681" i="1"/>
  <c r="BM1034" i="1"/>
  <c r="AH2949" i="1"/>
  <c r="AH3048" i="1"/>
  <c r="AH1652" i="1"/>
  <c r="BM1039" i="1"/>
  <c r="AH1186" i="1"/>
  <c r="BM310" i="1"/>
  <c r="BM2248" i="1"/>
  <c r="AH1588" i="1"/>
  <c r="BM264" i="1"/>
  <c r="BM2813" i="1"/>
  <c r="AH368" i="1"/>
  <c r="BM233" i="1"/>
  <c r="AH946" i="1"/>
  <c r="AH3039" i="1"/>
  <c r="AH352" i="1"/>
  <c r="AH1680" i="1"/>
  <c r="AH2655" i="1"/>
  <c r="AH849" i="1"/>
  <c r="BM2257" i="1"/>
  <c r="BM2251" i="1"/>
  <c r="AH3115" i="1"/>
  <c r="AH1196" i="1"/>
  <c r="AH951" i="1"/>
  <c r="AH2283" i="1"/>
  <c r="AH1203" i="1"/>
  <c r="AH213" i="1"/>
  <c r="AH615" i="1"/>
  <c r="BM920" i="1"/>
  <c r="BM2779" i="1"/>
  <c r="AH86" i="1"/>
  <c r="BM1070" i="1"/>
  <c r="AH1286" i="1"/>
  <c r="BM2115" i="1"/>
  <c r="AH2248" i="1"/>
  <c r="BM58" i="1"/>
  <c r="AH2553" i="1"/>
  <c r="AH1309" i="1"/>
  <c r="BM973" i="1"/>
  <c r="AH2100" i="1"/>
  <c r="AH2451" i="1"/>
  <c r="AH1866" i="1"/>
  <c r="AH2733" i="1"/>
  <c r="BM801" i="1"/>
  <c r="BM2085" i="1"/>
  <c r="AH2000" i="1"/>
  <c r="BM848" i="1"/>
  <c r="AH1994" i="1"/>
  <c r="BM1611" i="1"/>
  <c r="BM886" i="1"/>
  <c r="AH675" i="1"/>
  <c r="BM2108" i="1"/>
  <c r="BM1180" i="1"/>
  <c r="BM2532" i="1"/>
  <c r="BM1673" i="1"/>
  <c r="AH3055" i="1"/>
  <c r="AH509" i="1"/>
  <c r="AH3025" i="1"/>
  <c r="AH1920" i="1"/>
  <c r="BM1606" i="1"/>
  <c r="BM2135" i="1"/>
  <c r="AH239" i="1"/>
  <c r="BM124" i="1"/>
  <c r="AH1996" i="1"/>
  <c r="AH1019" i="1"/>
  <c r="AH2513" i="1"/>
  <c r="AH1353" i="1"/>
  <c r="BM1032" i="1"/>
  <c r="AH1538" i="1"/>
  <c r="AH2798" i="1"/>
  <c r="AH822" i="1"/>
  <c r="BM3137" i="1"/>
  <c r="BM1513" i="1"/>
  <c r="AH1691" i="1"/>
  <c r="AH2235" i="1"/>
  <c r="BM819" i="1"/>
  <c r="AH2884" i="1"/>
  <c r="AH57" i="1"/>
  <c r="AH2586" i="1"/>
  <c r="BM2826" i="1"/>
  <c r="AH1248" i="1"/>
  <c r="AH37" i="1"/>
  <c r="BM1529" i="1"/>
  <c r="BM842" i="1"/>
  <c r="BM2864" i="1"/>
  <c r="BM3109" i="1"/>
  <c r="BM2452" i="1"/>
  <c r="AH1919" i="1"/>
  <c r="AH2921" i="1"/>
  <c r="BM664" i="1"/>
  <c r="BM1610" i="1"/>
  <c r="AH2635" i="1"/>
  <c r="BM604" i="1"/>
  <c r="BM2759" i="1"/>
  <c r="BM73" i="1"/>
  <c r="AH1851" i="1"/>
  <c r="AH2596" i="1"/>
  <c r="BM1312" i="1"/>
  <c r="AH385" i="1"/>
  <c r="AH2944" i="1"/>
  <c r="AH2721" i="1"/>
  <c r="AH185" i="1"/>
  <c r="AH2916" i="1"/>
  <c r="BM731" i="1"/>
  <c r="AH1041" i="1"/>
  <c r="BM2212" i="1"/>
  <c r="AH1601" i="1"/>
  <c r="BM609" i="1"/>
  <c r="BM679" i="1"/>
  <c r="AH2570" i="1"/>
  <c r="BM2528" i="1"/>
  <c r="BM2205" i="1"/>
  <c r="BM685" i="1"/>
  <c r="BM2277" i="1"/>
  <c r="BM1283" i="1"/>
  <c r="AH1275" i="1"/>
  <c r="BM1052" i="1"/>
  <c r="BM2607" i="1"/>
  <c r="AH1079" i="1"/>
  <c r="AH1883" i="1"/>
  <c r="BM3016" i="1"/>
  <c r="BM509" i="1"/>
  <c r="AH2287" i="1"/>
  <c r="BM339" i="1"/>
  <c r="AH1297" i="1"/>
  <c r="BM3019" i="1"/>
  <c r="AH2498" i="1"/>
  <c r="BM672" i="1"/>
  <c r="BM1942" i="1"/>
  <c r="BM1327" i="1"/>
  <c r="BM317" i="1"/>
  <c r="AH2334" i="1"/>
  <c r="BM917" i="1"/>
  <c r="AH606" i="1"/>
  <c r="AH61" i="1"/>
  <c r="AH2251" i="1"/>
  <c r="BM2111" i="1"/>
  <c r="AH74" i="1"/>
  <c r="AH2811" i="1"/>
  <c r="AH1174" i="1"/>
  <c r="AH1783" i="1"/>
  <c r="BM764" i="1"/>
  <c r="BM1788" i="1"/>
  <c r="BM1495" i="1"/>
  <c r="AH1551" i="1"/>
  <c r="AH2830" i="1"/>
  <c r="BM423" i="1"/>
  <c r="BM2914" i="1"/>
  <c r="BM1940" i="1"/>
  <c r="BM2410" i="1"/>
  <c r="AH1129" i="1"/>
  <c r="BM2573" i="1"/>
  <c r="AH524" i="1"/>
  <c r="BM2384" i="1"/>
  <c r="AH264" i="1"/>
  <c r="BM2666" i="1"/>
  <c r="BM1056" i="1"/>
  <c r="BM551" i="1"/>
  <c r="AH737" i="1"/>
  <c r="BM893" i="1"/>
  <c r="AH2763" i="1"/>
  <c r="AH585" i="1"/>
  <c r="BM2727" i="1"/>
  <c r="AH489" i="1"/>
  <c r="AH211" i="1"/>
  <c r="AH906" i="1"/>
  <c r="BM298" i="1"/>
  <c r="AH348" i="1"/>
  <c r="AH2541" i="1"/>
  <c r="BM2301" i="1"/>
  <c r="BM1075" i="1"/>
  <c r="BM214" i="1"/>
  <c r="BM2093" i="1"/>
  <c r="AH2126" i="1"/>
  <c r="AH1904" i="1"/>
  <c r="BM464" i="1"/>
  <c r="AH2848" i="1"/>
  <c r="BM1535" i="1"/>
  <c r="BM2720" i="1"/>
  <c r="BM3135" i="1"/>
  <c r="AH2499" i="1"/>
  <c r="AH2555" i="1"/>
  <c r="AH2319" i="1"/>
  <c r="AH3043" i="1"/>
  <c r="BM2052" i="1"/>
  <c r="AH95" i="1"/>
  <c r="AH2267" i="1"/>
  <c r="BM1969" i="1"/>
  <c r="AH1254" i="1"/>
  <c r="AH888" i="1"/>
  <c r="BM303" i="1"/>
  <c r="BM762" i="1"/>
  <c r="BM3091" i="1"/>
  <c r="BM1366" i="1"/>
  <c r="BM1652" i="1"/>
  <c r="AH405" i="1"/>
  <c r="BM2706" i="1"/>
  <c r="AH883" i="1"/>
  <c r="BM2406" i="1"/>
  <c r="AH2204" i="1"/>
  <c r="BM1680" i="1"/>
  <c r="BM2803" i="1"/>
  <c r="AH2759" i="1"/>
  <c r="AH1931" i="1"/>
  <c r="BM2598" i="1"/>
  <c r="BM1220" i="1"/>
  <c r="AH2272" i="1"/>
  <c r="BM2817" i="1"/>
  <c r="AH903" i="1"/>
  <c r="BM2970" i="1"/>
  <c r="AH2988" i="1"/>
  <c r="AH1528" i="1"/>
  <c r="AH209" i="1"/>
  <c r="AH1917" i="1"/>
  <c r="BM1106" i="1"/>
  <c r="BM2279" i="1"/>
  <c r="AH1712" i="1"/>
  <c r="BM1233" i="1"/>
  <c r="AH1003" i="1"/>
  <c r="BM2987" i="1"/>
  <c r="AH126" i="1"/>
  <c r="AH3081" i="1"/>
  <c r="AH1619" i="1"/>
  <c r="AH2507" i="1"/>
  <c r="BM2275" i="1"/>
  <c r="BM1820" i="1"/>
  <c r="BM1404" i="1"/>
  <c r="AH1237" i="1"/>
  <c r="BM2333" i="1"/>
  <c r="BM2944" i="1"/>
  <c r="BM1154" i="1"/>
  <c r="BM364" i="1"/>
  <c r="BM1917" i="1"/>
  <c r="BM750" i="1"/>
  <c r="BM1609" i="1"/>
  <c r="AH444" i="1"/>
  <c r="BM171" i="1"/>
  <c r="AH1967" i="1"/>
  <c r="AH1693" i="1"/>
  <c r="BM3153" i="1"/>
  <c r="AH1618" i="1"/>
  <c r="AH94" i="1"/>
  <c r="BM2880" i="1"/>
  <c r="BM2963" i="1"/>
  <c r="AH930" i="1"/>
  <c r="AH2868" i="1"/>
  <c r="BM2381" i="1"/>
  <c r="AH1913" i="1"/>
  <c r="BM583" i="1"/>
  <c r="AH68" i="1"/>
  <c r="BM809" i="1"/>
  <c r="AH2102" i="1"/>
  <c r="AH33" i="1"/>
  <c r="BM2096" i="1"/>
  <c r="BM61" i="1"/>
  <c r="BM1957" i="1"/>
  <c r="AH2380" i="1"/>
  <c r="AH2234" i="1"/>
  <c r="BM2574" i="1"/>
  <c r="AH1801" i="1"/>
  <c r="BM2676" i="1"/>
  <c r="BM2752" i="1"/>
  <c r="BM2072" i="1"/>
  <c r="BM452" i="1"/>
  <c r="BM2418" i="1"/>
  <c r="AH2605" i="1"/>
  <c r="BM3001" i="1"/>
  <c r="AH2965" i="1"/>
  <c r="AH75" i="1"/>
  <c r="AH763" i="1"/>
  <c r="AH835" i="1"/>
  <c r="AH221" i="1"/>
  <c r="AH896" i="1"/>
  <c r="BM2641" i="1"/>
  <c r="BM2322" i="1"/>
  <c r="BM2592" i="1"/>
  <c r="BM240" i="1"/>
  <c r="AH2310" i="1"/>
  <c r="BM1010" i="1"/>
  <c r="AH2466" i="1"/>
  <c r="BM2399" i="1"/>
  <c r="BM1687" i="1"/>
  <c r="AH2119" i="1"/>
  <c r="AH2028" i="1"/>
  <c r="BM241" i="1"/>
  <c r="AH2607" i="1"/>
  <c r="AH2665" i="1"/>
  <c r="AH976" i="1"/>
  <c r="BM1841" i="1"/>
  <c r="AH893" i="1"/>
  <c r="BM224" i="1"/>
  <c r="AH156" i="1"/>
  <c r="BM1667" i="1"/>
  <c r="AH2055" i="1"/>
  <c r="BM608" i="1"/>
  <c r="BM1331" i="1"/>
  <c r="BM202" i="1"/>
  <c r="AH3076" i="1"/>
  <c r="BM3152" i="1"/>
  <c r="AH684" i="1"/>
  <c r="AH370" i="1"/>
  <c r="BM2520" i="1"/>
  <c r="AH3103" i="1"/>
  <c r="AH1915" i="1"/>
  <c r="BM412" i="1"/>
  <c r="BM858" i="1"/>
  <c r="AH760" i="1"/>
  <c r="AH181" i="1"/>
  <c r="BM823" i="1"/>
  <c r="BM846" i="1"/>
  <c r="BM3052" i="1"/>
  <c r="BM1933" i="1"/>
  <c r="BM267" i="1"/>
  <c r="BM756" i="1"/>
  <c r="BM2807" i="1"/>
  <c r="BM772" i="1"/>
  <c r="BM1866" i="1"/>
  <c r="AH2800" i="1"/>
  <c r="BM2514" i="1"/>
  <c r="BM2101" i="1"/>
  <c r="AH681" i="1"/>
  <c r="BM1002" i="1"/>
  <c r="BM378" i="1"/>
  <c r="AH2994" i="1"/>
  <c r="BM976" i="1"/>
  <c r="AH1668" i="1"/>
  <c r="BM2037" i="1"/>
  <c r="AH2975" i="1"/>
  <c r="AH3030" i="1"/>
  <c r="AH1475" i="1"/>
  <c r="BM180" i="1"/>
  <c r="BM3037" i="1"/>
  <c r="AH1935" i="1"/>
  <c r="AH1893" i="1"/>
  <c r="BM1756" i="1"/>
  <c r="AH2521" i="1"/>
  <c r="AH2515" i="1"/>
  <c r="AH1584" i="1"/>
  <c r="BM2231" i="1"/>
  <c r="BM2656" i="1"/>
  <c r="BM2469" i="1"/>
  <c r="BM2010" i="1"/>
  <c r="AH2594" i="1"/>
  <c r="BM2872" i="1"/>
  <c r="AH2156" i="1"/>
  <c r="AH1063" i="1"/>
  <c r="BM439" i="1"/>
  <c r="AH2120" i="1"/>
  <c r="BM1536" i="1"/>
  <c r="AH1613" i="1"/>
  <c r="BM2788" i="1"/>
  <c r="BM3054" i="1"/>
  <c r="BM2082" i="1"/>
  <c r="AH449" i="1"/>
  <c r="BM2388" i="1"/>
  <c r="BM2733" i="1"/>
  <c r="AH2161" i="1"/>
  <c r="BM1487" i="1"/>
  <c r="AH2638" i="1"/>
  <c r="AH2211" i="1"/>
  <c r="BM2972" i="1"/>
  <c r="AH1826" i="1"/>
  <c r="AH1790" i="1"/>
  <c r="BM623" i="1"/>
  <c r="AH916" i="1"/>
  <c r="BM2853" i="1"/>
  <c r="BM1167" i="1"/>
  <c r="AH589" i="1"/>
  <c r="AH2954" i="1"/>
  <c r="AH1970" i="1"/>
  <c r="BM761" i="1"/>
  <c r="BM1621" i="1"/>
  <c r="AH885" i="1"/>
  <c r="AH2761" i="1"/>
  <c r="AH917" i="1"/>
  <c r="AH2657" i="1"/>
  <c r="AH2450" i="1"/>
  <c r="AH3078" i="1"/>
  <c r="AH430" i="1"/>
  <c r="BM3088" i="1"/>
  <c r="AH292" i="1"/>
  <c r="BM2701" i="1"/>
  <c r="BM463" i="1"/>
  <c r="AH1966" i="1"/>
  <c r="BM2973" i="1"/>
  <c r="BM768" i="1"/>
  <c r="BM2564" i="1"/>
  <c r="BM993" i="1"/>
  <c r="BM161" i="1"/>
  <c r="BM2068" i="1"/>
  <c r="BM1104" i="1"/>
  <c r="AH241" i="1"/>
  <c r="AH2615" i="1"/>
  <c r="BM549" i="1"/>
  <c r="AH2516" i="1"/>
  <c r="BM460" i="1"/>
  <c r="BM540" i="1"/>
  <c r="BM820" i="1"/>
  <c r="AH2576" i="1"/>
  <c r="AH1116" i="1"/>
  <c r="BM166" i="1"/>
  <c r="AH171" i="1"/>
  <c r="BM1723" i="1"/>
  <c r="BM1196" i="1"/>
  <c r="AH1103" i="1"/>
  <c r="BM2194" i="1"/>
  <c r="AH511" i="1"/>
  <c r="BM1545" i="1"/>
  <c r="BM1323" i="1"/>
  <c r="BM35" i="1"/>
  <c r="AH1473" i="1"/>
  <c r="BM784" i="1"/>
  <c r="BM2594" i="1"/>
  <c r="BM2465" i="1"/>
  <c r="AH2385" i="1"/>
  <c r="AH2621" i="1"/>
  <c r="BM279" i="1"/>
  <c r="AH2136" i="1"/>
  <c r="BM607" i="1"/>
  <c r="BM1775" i="1"/>
  <c r="BM1668" i="1"/>
  <c r="AH22" i="1"/>
  <c r="BM283" i="1"/>
  <c r="BM1817" i="1"/>
  <c r="AH424" i="1"/>
  <c r="AH2332" i="1"/>
  <c r="AH1316" i="1"/>
  <c r="AH1805" i="1"/>
  <c r="BM942" i="1"/>
  <c r="AH1336" i="1"/>
  <c r="BM269" i="1"/>
  <c r="BM1041" i="1"/>
  <c r="BM2080" i="1"/>
  <c r="BM386" i="1"/>
  <c r="AH1595" i="1"/>
  <c r="AH2529" i="1"/>
  <c r="BM3123" i="1"/>
  <c r="BM1800" i="1"/>
  <c r="AH1311" i="1"/>
  <c r="AH2266" i="1"/>
  <c r="BM613" i="1"/>
  <c r="BM1651" i="1"/>
  <c r="BM322" i="1"/>
  <c r="AH867" i="1"/>
  <c r="AH886" i="1"/>
  <c r="BM302" i="1"/>
  <c r="BM2167" i="1"/>
  <c r="BM1794" i="1"/>
  <c r="AH2101" i="1"/>
  <c r="BM640" i="1"/>
  <c r="AH1552" i="1"/>
  <c r="BM2771" i="1"/>
  <c r="AH1396" i="1"/>
  <c r="AH1474" i="1"/>
  <c r="BM466" i="1"/>
  <c r="BM2764" i="1"/>
  <c r="AH2950" i="1"/>
  <c r="AH2491" i="1"/>
  <c r="BM831" i="1"/>
  <c r="AH399" i="1"/>
  <c r="BM2958" i="1"/>
  <c r="BM3099" i="1"/>
  <c r="AH721" i="1"/>
  <c r="BM2782" i="1"/>
  <c r="AH559" i="1"/>
  <c r="BM106" i="1"/>
  <c r="AH3058" i="1"/>
  <c r="AH220" i="1"/>
  <c r="BM2955" i="1"/>
  <c r="AH2971" i="1"/>
  <c r="AH2717" i="1"/>
  <c r="AH923" i="1"/>
  <c r="BM752" i="1"/>
  <c r="BM2033" i="1"/>
  <c r="BM2403" i="1"/>
  <c r="BM2784" i="1"/>
  <c r="AH2262" i="1"/>
  <c r="BM702" i="1"/>
  <c r="AH2078" i="1"/>
  <c r="BM751" i="1"/>
  <c r="AH2792" i="1"/>
  <c r="BM2959" i="1"/>
  <c r="AH2019" i="1"/>
  <c r="AH778" i="1"/>
  <c r="BM187" i="1"/>
  <c r="AH1877" i="1"/>
  <c r="BM2550" i="1"/>
  <c r="BM2284" i="1"/>
  <c r="BM1525" i="1"/>
  <c r="BM2345" i="1"/>
  <c r="BM22" i="1"/>
  <c r="BM877" i="1"/>
  <c r="BM840" i="1"/>
  <c r="AH2522" i="1"/>
  <c r="BM2303" i="1"/>
  <c r="AH2181" i="1"/>
  <c r="AH2421" i="1"/>
  <c r="BM1246" i="1"/>
  <c r="BM2445" i="1"/>
  <c r="BM2164" i="1"/>
  <c r="AH2936" i="1"/>
  <c r="BM361" i="1"/>
  <c r="BM3101" i="1"/>
  <c r="AH868" i="1"/>
  <c r="BM1907" i="1"/>
  <c r="AH2853" i="1"/>
  <c r="AH1436" i="1"/>
  <c r="BM1367" i="1"/>
  <c r="AH438" i="1"/>
  <c r="AH461" i="1"/>
  <c r="AH2947" i="1"/>
  <c r="BM2937" i="1"/>
  <c r="AH154" i="1"/>
  <c r="BM3082" i="1"/>
  <c r="AH911" i="1"/>
  <c r="AH2899" i="1"/>
  <c r="BM2543" i="1"/>
  <c r="BM257" i="1"/>
  <c r="BM1505" i="1"/>
  <c r="AH2285" i="1"/>
  <c r="BM721" i="1"/>
  <c r="BM577" i="1"/>
  <c r="AH2956" i="1"/>
  <c r="BM1182" i="1"/>
  <c r="AH1461" i="1"/>
  <c r="AH43" i="1"/>
  <c r="AH1872" i="1"/>
  <c r="AH2857" i="1"/>
  <c r="AH82" i="1"/>
  <c r="AH17" i="1"/>
  <c r="AH2671" i="1"/>
  <c r="AH2955" i="1"/>
  <c r="AH2593" i="1"/>
  <c r="BM1885" i="1"/>
  <c r="BM612" i="1"/>
  <c r="AH1059" i="1"/>
  <c r="BM1130" i="1"/>
  <c r="AH530" i="1"/>
  <c r="BM1923" i="1"/>
  <c r="BM2511" i="1"/>
  <c r="AH2653" i="1"/>
  <c r="AH2435" i="1"/>
  <c r="BM1213" i="1"/>
  <c r="BM2568" i="1"/>
  <c r="BM1251" i="1"/>
  <c r="AH693" i="1"/>
  <c r="BM1696" i="1"/>
  <c r="BM2512" i="1"/>
  <c r="BM2773" i="1"/>
  <c r="BM2981" i="1"/>
  <c r="AH308" i="1"/>
  <c r="AH2729" i="1"/>
  <c r="AH302" i="1"/>
  <c r="AH495" i="1"/>
  <c r="AH813" i="1"/>
  <c r="AH520" i="1"/>
  <c r="BM1413" i="1"/>
  <c r="AH2496" i="1"/>
  <c r="BM2368" i="1"/>
  <c r="BM3085" i="1"/>
  <c r="BM822" i="1"/>
  <c r="AH448" i="1"/>
  <c r="BM2775" i="1"/>
  <c r="AH777" i="1"/>
  <c r="AH2806" i="1"/>
  <c r="AH1515" i="1"/>
  <c r="AH2749" i="1"/>
  <c r="AH1417" i="1"/>
  <c r="AH1530" i="1"/>
  <c r="BM2318" i="1"/>
  <c r="BM1644" i="1"/>
  <c r="AH2452" i="1"/>
  <c r="BM1405" i="1"/>
  <c r="AH1700" i="1"/>
  <c r="BM1468" i="1"/>
  <c r="AH128" i="1"/>
  <c r="BM961" i="1"/>
  <c r="AH144" i="1"/>
  <c r="BM1425" i="1"/>
  <c r="BM1995" i="1"/>
  <c r="BM1274" i="1"/>
  <c r="AH756" i="1"/>
  <c r="AH332" i="1"/>
  <c r="BM2372" i="1"/>
  <c r="BM2139" i="1"/>
  <c r="AH1633" i="1"/>
  <c r="BM2193" i="1"/>
  <c r="BM682" i="1"/>
  <c r="AH252" i="1"/>
  <c r="AH2205" i="1"/>
  <c r="BM125" i="1"/>
  <c r="AH2866" i="1"/>
  <c r="AH2618" i="1"/>
  <c r="BM1124" i="1"/>
  <c r="BM2859" i="1"/>
  <c r="AH1833" i="1"/>
  <c r="BM3071" i="1"/>
  <c r="AH2659" i="1"/>
  <c r="AH2674" i="1"/>
  <c r="AH205" i="1"/>
  <c r="AH2683" i="1"/>
  <c r="AH1178" i="1"/>
  <c r="BM2863" i="1"/>
  <c r="BM2933" i="1"/>
  <c r="AH981" i="1"/>
  <c r="BM46" i="1"/>
  <c r="AH634" i="1"/>
  <c r="AH504" i="1"/>
  <c r="AH935" i="1"/>
  <c r="AH1313" i="1"/>
  <c r="AH1624" i="1"/>
  <c r="BM736" i="1"/>
  <c r="BM2634" i="1"/>
  <c r="AH814" i="1"/>
  <c r="AH635" i="1"/>
  <c r="BM1486" i="1"/>
  <c r="AH2746" i="1"/>
  <c r="AH275" i="1"/>
  <c r="AH26" i="1"/>
  <c r="AH162" i="1"/>
  <c r="BM2600" i="1"/>
  <c r="AH1089" i="1"/>
  <c r="AH745" i="1"/>
  <c r="BM1733" i="1"/>
  <c r="BM2892" i="1"/>
  <c r="AH572" i="1"/>
  <c r="AH1855" i="1"/>
  <c r="AH1869" i="1"/>
  <c r="AH750" i="1"/>
  <c r="BM2485" i="1"/>
  <c r="BM1249" i="1"/>
  <c r="BM400" i="1"/>
  <c r="AH984" i="1"/>
  <c r="AH1862" i="1"/>
  <c r="BM70" i="1"/>
  <c r="AH2887" i="1"/>
  <c r="AH650" i="1"/>
  <c r="AH1797" i="1"/>
  <c r="AH1894" i="1"/>
  <c r="AH135" i="1"/>
  <c r="BM2299" i="1"/>
  <c r="BM2797" i="1"/>
  <c r="BM2168" i="1"/>
  <c r="AH1054" i="1"/>
  <c r="BM1608" i="1"/>
  <c r="BM2595" i="1"/>
  <c r="AH2620" i="1"/>
  <c r="BM346" i="1"/>
  <c r="AH2174" i="1"/>
  <c r="BM119" i="1"/>
  <c r="AH1055" i="1"/>
  <c r="BM1739" i="1"/>
  <c r="AH729" i="1"/>
  <c r="BM2523" i="1"/>
  <c r="BM1111" i="1"/>
  <c r="BM337" i="1"/>
  <c r="BM2544" i="1"/>
  <c r="AH1651" i="1"/>
  <c r="AH1425" i="1"/>
  <c r="AH655" i="1"/>
  <c r="AH1745" i="1"/>
  <c r="AH2810" i="1"/>
  <c r="BM2722" i="1"/>
  <c r="BM2491" i="1"/>
  <c r="BM420" i="1"/>
  <c r="AH2286" i="1"/>
  <c r="BM81" i="1"/>
  <c r="BM1373" i="1"/>
  <c r="AH2533" i="1"/>
  <c r="AH2666" i="1"/>
  <c r="AH2356" i="1"/>
  <c r="BM2206" i="1"/>
  <c r="BM579" i="1"/>
  <c r="AH2720" i="1"/>
  <c r="AH2187" i="1"/>
  <c r="AH1670" i="1"/>
  <c r="AH2373" i="1"/>
  <c r="AH432" i="1"/>
  <c r="AH1709" i="1"/>
  <c r="AH1346" i="1"/>
  <c r="BM876" i="1"/>
  <c r="BM720" i="1"/>
  <c r="AH1599" i="1"/>
  <c r="BM3138" i="1"/>
  <c r="BM1177" i="1"/>
  <c r="AH2831" i="1"/>
  <c r="AH859" i="1"/>
  <c r="BM2566" i="1"/>
  <c r="AH2427" i="1"/>
  <c r="AH2170" i="1"/>
  <c r="AH2064" i="1"/>
  <c r="BM683" i="1"/>
  <c r="BM1791" i="1"/>
  <c r="BM2895" i="1"/>
  <c r="BM2652" i="1"/>
  <c r="AH483" i="1"/>
  <c r="BM2022" i="1"/>
  <c r="AH632" i="1"/>
  <c r="BM2603" i="1"/>
  <c r="AH268" i="1"/>
  <c r="AH1607" i="1"/>
  <c r="AH860" i="1"/>
  <c r="BM1966" i="1"/>
  <c r="BM1982" i="1"/>
  <c r="AH2179" i="1"/>
  <c r="BM2655" i="1"/>
  <c r="BM331" i="1"/>
  <c r="AH732" i="1"/>
  <c r="BM575" i="1"/>
  <c r="BM1308" i="1"/>
  <c r="BM1638" i="1"/>
  <c r="AH1438" i="1"/>
  <c r="AH537" i="1"/>
  <c r="AH2540" i="1"/>
  <c r="AH1001" i="1"/>
  <c r="AH616" i="1"/>
  <c r="AH2740" i="1"/>
  <c r="AH2419" i="1"/>
  <c r="BM1720" i="1"/>
  <c r="BM1742" i="1"/>
  <c r="BM791" i="1"/>
  <c r="AH2200" i="1"/>
  <c r="AH347" i="1"/>
  <c r="BM152" i="1"/>
  <c r="BM2375" i="1"/>
  <c r="AH1590" i="1"/>
  <c r="AH498" i="1"/>
  <c r="BM2729" i="1"/>
  <c r="BM3111" i="1"/>
  <c r="BM323" i="1"/>
  <c r="AH32" i="1"/>
  <c r="BM1908" i="1"/>
  <c r="BM955" i="1"/>
  <c r="BM1301" i="1"/>
  <c r="AH525" i="1"/>
  <c r="AH873" i="1"/>
  <c r="AH460" i="1"/>
  <c r="AH494" i="1"/>
  <c r="AH2098" i="1"/>
  <c r="AH2808" i="1"/>
  <c r="AH618" i="1"/>
  <c r="AH670" i="1"/>
  <c r="BM2330" i="1"/>
  <c r="BM808" i="1"/>
  <c r="AH2281" i="1"/>
  <c r="BM2913" i="1"/>
  <c r="BM1549" i="1"/>
  <c r="AH378" i="1"/>
  <c r="BM1814" i="1"/>
  <c r="BM2694" i="1"/>
  <c r="AH173" i="1"/>
  <c r="AH2600" i="1"/>
  <c r="AH579" i="1"/>
  <c r="BM866" i="1"/>
  <c r="BM489" i="1"/>
  <c r="AH2845" i="1"/>
  <c r="BM1098" i="1"/>
  <c r="BM1913" i="1"/>
  <c r="AH1246" i="1"/>
  <c r="BM2556" i="1"/>
  <c r="AH2196" i="1"/>
  <c r="BM1572" i="1"/>
  <c r="BM1747" i="1"/>
  <c r="BM1186" i="1"/>
  <c r="BM1741" i="1"/>
  <c r="BM2419" i="1"/>
  <c r="AH2910" i="1"/>
  <c r="BM1195" i="1"/>
  <c r="AH1024" i="1"/>
  <c r="AH1631" i="1"/>
  <c r="AH2788" i="1"/>
  <c r="AH55" i="1"/>
  <c r="AH2015" i="1"/>
  <c r="AH1992" i="1"/>
  <c r="AH427" i="1"/>
  <c r="BM3094" i="1"/>
  <c r="BM882" i="1"/>
  <c r="BM1116" i="1"/>
  <c r="AH657" i="1"/>
  <c r="BM2792" i="1"/>
  <c r="BM1707" i="1"/>
  <c r="AH2067" i="1"/>
  <c r="AH568" i="1"/>
  <c r="AH1676" i="1"/>
  <c r="AH320" i="1"/>
  <c r="AH1876" i="1"/>
  <c r="AH2711" i="1"/>
  <c r="AH1081" i="1"/>
  <c r="AH639" i="1"/>
  <c r="BM1769" i="1"/>
  <c r="BM2428" i="1"/>
  <c r="AH1017" i="1"/>
  <c r="AH1096" i="1"/>
  <c r="BM176" i="1"/>
  <c r="AH386" i="1"/>
  <c r="BM587" i="1"/>
  <c r="AH1159" i="1"/>
  <c r="AH1555" i="1"/>
  <c r="BM1605" i="1"/>
  <c r="AH1567" i="1"/>
  <c r="AH1988" i="1"/>
  <c r="BM2447" i="1"/>
  <c r="AH2732" i="1"/>
  <c r="BM568" i="1"/>
  <c r="BM1078" i="1"/>
  <c r="BM1654" i="1"/>
  <c r="AH2722" i="1"/>
  <c r="AH2041" i="1"/>
  <c r="AH719" i="1"/>
  <c r="BM2961" i="1"/>
  <c r="BM1931" i="1"/>
  <c r="BM2823" i="1"/>
  <c r="AH1456" i="1"/>
  <c r="BM160" i="1"/>
  <c r="AH2059" i="1"/>
  <c r="AH979" i="1"/>
  <c r="AH2673" i="1"/>
  <c r="AH1087" i="1"/>
  <c r="AH1167" i="1"/>
  <c r="AH920" i="1"/>
  <c r="BM844" i="1"/>
  <c r="BM2272" i="1"/>
  <c r="BM2112" i="1"/>
  <c r="BM2877" i="1"/>
  <c r="BM1494" i="1"/>
  <c r="BM17" i="1"/>
  <c r="BM2211" i="1"/>
  <c r="BM1268" i="1"/>
  <c r="AH2501" i="1"/>
  <c r="AH642" i="1"/>
  <c r="BM2440" i="1"/>
  <c r="BM2239" i="1"/>
  <c r="BM2047" i="1"/>
  <c r="BM2842" i="1"/>
  <c r="AH2077" i="1"/>
  <c r="BM2828" i="1"/>
  <c r="BM3073" i="1"/>
  <c r="AH2336" i="1"/>
  <c r="BM1843" i="1"/>
  <c r="AH1516" i="1"/>
  <c r="BM1245" i="1"/>
  <c r="BM2954" i="1"/>
  <c r="AH1408" i="1"/>
  <c r="AH1335" i="1"/>
  <c r="BM2619" i="1"/>
  <c r="AH2587" i="1"/>
  <c r="BM1150" i="1"/>
  <c r="AH1445" i="1"/>
  <c r="BM2831" i="1"/>
  <c r="BM937" i="1"/>
  <c r="AH2397" i="1"/>
  <c r="AH2400" i="1"/>
  <c r="AH226" i="1"/>
  <c r="AH962" i="1"/>
  <c r="AH1373" i="1"/>
  <c r="BM681" i="1"/>
  <c r="BM655" i="1"/>
  <c r="BM1360" i="1"/>
  <c r="AH59" i="1"/>
  <c r="BM698" i="1"/>
  <c r="AH2135" i="1"/>
  <c r="BM3031" i="1"/>
  <c r="AH2993" i="1"/>
  <c r="BM981" i="1"/>
  <c r="AH2140" i="1"/>
  <c r="BM1336" i="1"/>
  <c r="BM2613" i="1"/>
  <c r="BM10" i="1"/>
  <c r="BM1161" i="1"/>
  <c r="AH1675" i="1"/>
  <c r="BM1372" i="1"/>
  <c r="AH1636" i="1"/>
  <c r="BM2007" i="1"/>
  <c r="AH990" i="1"/>
  <c r="BM398" i="1"/>
  <c r="BM1684" i="1"/>
  <c r="BM2953" i="1"/>
  <c r="AH1638" i="1"/>
  <c r="AH398" i="1"/>
  <c r="AH1842" i="1"/>
  <c r="AH783" i="1"/>
  <c r="AH576" i="1"/>
  <c r="AH3068" i="1"/>
  <c r="AH1804" i="1"/>
  <c r="BM182" i="1"/>
  <c r="AH3023" i="1"/>
  <c r="AH1352" i="1"/>
  <c r="AH2240" i="1"/>
  <c r="BM1934" i="1"/>
  <c r="AH2083" i="1"/>
  <c r="BM1408" i="1"/>
  <c r="BM2921" i="1"/>
  <c r="BM2874" i="1"/>
  <c r="AH2254" i="1"/>
  <c r="BM1236" i="1"/>
  <c r="AH3092" i="1"/>
  <c r="BM1964" i="1"/>
  <c r="BM2367" i="1"/>
  <c r="BM1358" i="1"/>
  <c r="BM3092" i="1"/>
  <c r="AH170" i="1"/>
  <c r="BM2151" i="1"/>
  <c r="BM1522" i="1"/>
  <c r="BM2932" i="1"/>
  <c r="AH172" i="1"/>
  <c r="BM253" i="1"/>
  <c r="BM300" i="1"/>
  <c r="BM2542" i="1"/>
  <c r="AH1692" i="1"/>
  <c r="AH2784" i="1"/>
  <c r="BM220" i="1"/>
  <c r="BM1717" i="1"/>
  <c r="BM197" i="1"/>
  <c r="AH2432" i="1"/>
  <c r="BM75" i="1"/>
  <c r="BM594" i="1"/>
  <c r="AH551" i="1"/>
  <c r="BM2616" i="1"/>
  <c r="AH2694" i="1"/>
  <c r="AH1813" i="1"/>
  <c r="BM1978" i="1"/>
  <c r="AH476" i="1"/>
  <c r="BM1045" i="1"/>
  <c r="BM677" i="1"/>
  <c r="AH3154" i="1"/>
  <c r="BM742" i="1"/>
  <c r="AH1253" i="1"/>
  <c r="AH2089" i="1"/>
  <c r="AH472" i="1"/>
  <c r="AH2524" i="1"/>
  <c r="BM2721" i="1"/>
  <c r="AH722" i="1"/>
  <c r="AH892" i="1"/>
  <c r="BM2136" i="1"/>
  <c r="BM1122" i="1"/>
  <c r="AH1608" i="1"/>
  <c r="AH2701" i="1"/>
  <c r="BM2323" i="1"/>
  <c r="AH894" i="1"/>
  <c r="AH638" i="1"/>
  <c r="BM2836" i="1"/>
  <c r="BM2310" i="1"/>
  <c r="AH1002" i="1"/>
  <c r="AH2504" i="1"/>
  <c r="BM3062" i="1"/>
  <c r="BM2677" i="1"/>
  <c r="BM1976" i="1"/>
  <c r="AH852" i="1"/>
  <c r="AH1142" i="1"/>
  <c r="AH1861" i="1"/>
  <c r="AH2274" i="1"/>
  <c r="BM2888" i="1"/>
  <c r="BM1225" i="1"/>
  <c r="AH2961" i="1"/>
  <c r="AH341" i="1"/>
  <c r="BM2242" i="1"/>
  <c r="BM409" i="1"/>
  <c r="AH215" i="1"/>
  <c r="AH1332" i="1"/>
  <c r="AH2641" i="1"/>
  <c r="BM2221" i="1"/>
  <c r="BM2180" i="1"/>
  <c r="BM1393" i="1"/>
  <c r="AH1586" i="1"/>
  <c r="BM2336" i="1"/>
  <c r="AH1807" i="1"/>
  <c r="BM1169" i="1"/>
  <c r="BM2103" i="1"/>
  <c r="AH276" i="1"/>
  <c r="BM689" i="1"/>
  <c r="AH2425" i="1"/>
  <c r="AH1044" i="1"/>
  <c r="BM1278" i="1"/>
  <c r="AH175" i="1"/>
  <c r="AH2208" i="1"/>
  <c r="BM1459" i="1"/>
  <c r="AH1742" i="1"/>
  <c r="AH682" i="1"/>
  <c r="BM1244" i="1"/>
  <c r="AH1968" i="1"/>
  <c r="BM1043" i="1"/>
  <c r="BM2290" i="1"/>
  <c r="AH1050" i="1"/>
  <c r="BM2587" i="1"/>
  <c r="AH2289" i="1"/>
  <c r="BM709" i="1"/>
  <c r="BM2930" i="1"/>
  <c r="BM11" i="1"/>
  <c r="AH2874" i="1"/>
  <c r="BM1087" i="1"/>
  <c r="BM3098" i="1"/>
  <c r="AH3066" i="1"/>
  <c r="BM2117" i="1"/>
  <c r="AH466" i="1"/>
  <c r="BM172" i="1"/>
  <c r="AH2709" i="1"/>
  <c r="BM2243" i="1"/>
  <c r="AH116" i="1"/>
  <c r="BM1110" i="1"/>
  <c r="AH2166" i="1"/>
  <c r="AH2998" i="1"/>
  <c r="AH2478" i="1"/>
  <c r="BM1690" i="1"/>
  <c r="BM2043" i="1"/>
  <c r="AH879" i="1"/>
  <c r="AH1236" i="1"/>
  <c r="AH1273" i="1"/>
  <c r="BM1977" i="1"/>
  <c r="AH1554" i="1"/>
  <c r="BM817" i="1"/>
  <c r="BM1077" i="1"/>
  <c r="BM1388" i="1"/>
  <c r="AH931" i="1"/>
  <c r="BM2060" i="1"/>
  <c r="AH1342" i="1"/>
  <c r="BM94" i="1"/>
  <c r="BM2569" i="1"/>
  <c r="AH2212" i="1"/>
  <c r="AH2257" i="1"/>
  <c r="BM471" i="1"/>
  <c r="AH2941" i="1"/>
  <c r="BM2304" i="1"/>
  <c r="BM2386" i="1"/>
  <c r="BM1365" i="1"/>
  <c r="AH1243" i="1"/>
  <c r="BM2583" i="1"/>
  <c r="BM661" i="1"/>
  <c r="AH337" i="1"/>
  <c r="AH1287" i="1"/>
  <c r="BM1623" i="1"/>
  <c r="BM2754" i="1"/>
  <c r="BM429" i="1"/>
  <c r="AH1372" i="1"/>
  <c r="AH983" i="1"/>
  <c r="BM1836" i="1"/>
  <c r="AH2948" i="1"/>
  <c r="BM2786" i="1"/>
  <c r="AH1421" i="1"/>
  <c r="BM1428" i="1"/>
  <c r="BM319" i="1"/>
  <c r="BM2355" i="1"/>
  <c r="BM1093" i="1"/>
  <c r="AH2487" i="1"/>
  <c r="BM1824" i="1"/>
  <c r="AH1764" i="1"/>
  <c r="BM2983" i="1"/>
  <c r="BM453" i="1"/>
  <c r="AH1235" i="1"/>
  <c r="BM2011" i="1"/>
  <c r="BM246" i="1"/>
  <c r="AH1982" i="1"/>
  <c r="BM1568" i="1"/>
  <c r="BM318" i="1"/>
  <c r="BM2107" i="1"/>
  <c r="AH1147" i="1"/>
  <c r="BM1746" i="1"/>
  <c r="BM3064" i="1"/>
  <c r="AH2284" i="1"/>
  <c r="BM2234" i="1"/>
  <c r="BM565" i="1"/>
  <c r="AH2027" i="1"/>
  <c r="BM2791" i="1"/>
  <c r="AH2224" i="1"/>
  <c r="BM626" i="1"/>
  <c r="AH3151" i="1"/>
  <c r="AH690" i="1"/>
  <c r="BM863" i="1"/>
  <c r="AH76" i="1"/>
  <c r="AH2534" i="1"/>
  <c r="BM44" i="1"/>
  <c r="AH887" i="1"/>
  <c r="AH351" i="1"/>
  <c r="BM1728" i="1"/>
  <c r="AH321" i="1"/>
  <c r="AH573" i="1"/>
  <c r="AH1669" i="1"/>
  <c r="BM708" i="1"/>
  <c r="BM2379" i="1"/>
  <c r="AH480" i="1"/>
  <c r="BM2506" i="1"/>
  <c r="BM827" i="1"/>
  <c r="BM1095" i="1"/>
  <c r="AH512" i="1"/>
  <c r="AH2823" i="1"/>
  <c r="BM3045" i="1"/>
  <c r="BM1744" i="1"/>
  <c r="BM261" i="1"/>
  <c r="AH423" i="1"/>
  <c r="BM795" i="1"/>
  <c r="BM1953" i="1"/>
  <c r="BM2176" i="1"/>
  <c r="BM724" i="1"/>
  <c r="BM2906" i="1"/>
  <c r="AH3040" i="1"/>
  <c r="AH716" i="1"/>
  <c r="AH2539" i="1"/>
  <c r="AH949" i="1"/>
  <c r="AH1614" i="1"/>
  <c r="BM3050" i="1"/>
  <c r="AH997" i="1"/>
  <c r="AH1493" i="1"/>
  <c r="BM2781" i="1"/>
  <c r="BM403" i="1"/>
  <c r="BM402" i="1"/>
  <c r="AH127" i="1"/>
  <c r="BM1702" i="1"/>
  <c r="AH841" i="1"/>
  <c r="AH671" i="1"/>
  <c r="AH216" i="1"/>
  <c r="AH619" i="1"/>
  <c r="AH2430" i="1"/>
  <c r="AH505" i="1"/>
  <c r="BM3146" i="1"/>
  <c r="AH165" i="1"/>
  <c r="BM2552" i="1"/>
  <c r="BM41" i="1"/>
  <c r="AH174" i="1"/>
  <c r="AH1435" i="1"/>
  <c r="AH28" i="1"/>
  <c r="BM1395" i="1"/>
  <c r="AH2168" i="1"/>
  <c r="BM1198" i="1"/>
  <c r="BM198" i="1"/>
  <c r="BM1792" i="1"/>
  <c r="AH2609" i="1"/>
  <c r="BM2347" i="1"/>
  <c r="AH1910" i="1"/>
  <c r="BM2535" i="1"/>
  <c r="BM2624" i="1"/>
  <c r="BM1350" i="1"/>
  <c r="BM141" i="1"/>
  <c r="AH396" i="1"/>
  <c r="AH2066" i="1"/>
  <c r="BM1445" i="1"/>
  <c r="AH265" i="1"/>
  <c r="BM1155" i="1"/>
  <c r="BM1819" i="1"/>
  <c r="BM1239" i="1"/>
  <c r="BM3000" i="1"/>
  <c r="BM1237" i="1"/>
  <c r="AH3093" i="1"/>
  <c r="BM1653" i="1"/>
  <c r="AH1434" i="1"/>
  <c r="AH2923" i="1"/>
  <c r="AH3047" i="1"/>
  <c r="AH3105" i="1"/>
  <c r="BM849" i="1"/>
  <c r="AH611" i="1"/>
  <c r="AH1673" i="1"/>
  <c r="AH3118" i="1"/>
  <c r="AH1950" i="1"/>
  <c r="BM1456" i="1"/>
  <c r="BM3020" i="1"/>
  <c r="BM3035" i="1"/>
  <c r="BM350" i="1"/>
  <c r="AH2092" i="1"/>
  <c r="BM2672" i="1"/>
  <c r="BM850" i="1"/>
  <c r="AH1929" i="1"/>
  <c r="AH415" i="1"/>
  <c r="BM2866" i="1"/>
  <c r="AH2616" i="1"/>
  <c r="BM1207" i="1"/>
  <c r="AH2221" i="1"/>
  <c r="BM812" i="1"/>
  <c r="AH363" i="1"/>
  <c r="AH2650" i="1"/>
  <c r="AH2881" i="1"/>
  <c r="AH2730" i="1"/>
  <c r="AH2227" i="1"/>
  <c r="AH730" i="1"/>
  <c r="BM1833" i="1"/>
  <c r="BM2446" i="1"/>
  <c r="BM2077" i="1"/>
  <c r="AH97" i="1"/>
  <c r="AH2046" i="1"/>
  <c r="BM2230" i="1"/>
  <c r="AH319" i="1"/>
  <c r="AH1406" i="1"/>
  <c r="AH2706" i="1"/>
  <c r="AH1128" i="1"/>
  <c r="AH2099" i="1"/>
  <c r="BM295" i="1"/>
  <c r="AH1462" i="1"/>
  <c r="AH1072" i="1"/>
  <c r="BM1806" i="1"/>
  <c r="BM299" i="1"/>
  <c r="AH1788" i="1"/>
  <c r="AH64" i="1"/>
  <c r="BM1581" i="1"/>
  <c r="AH2974" i="1"/>
  <c r="BM1281" i="1"/>
  <c r="BM2833" i="1"/>
  <c r="AH815" i="1"/>
  <c r="AH2511" i="1"/>
  <c r="BM1762" i="1"/>
  <c r="AH1525" i="1"/>
  <c r="AH2429" i="1"/>
  <c r="BM307" i="1"/>
  <c r="AH54" i="1"/>
  <c r="BM3096" i="1"/>
  <c r="AH198" i="1"/>
  <c r="AH593" i="1"/>
  <c r="AH2592" i="1"/>
  <c r="AH3084" i="1"/>
  <c r="AH2303" i="1"/>
  <c r="AH2445" i="1"/>
  <c r="BM2505" i="1"/>
  <c r="AH36" i="1"/>
  <c r="AH2802" i="1"/>
  <c r="BM2156" i="1"/>
  <c r="AH1905" i="1"/>
  <c r="BM1694" i="1"/>
  <c r="BM2025" i="1"/>
  <c r="AH1213" i="1"/>
  <c r="BM39" i="1"/>
  <c r="BM1757" i="1"/>
  <c r="BM3002" i="1"/>
  <c r="AH1853" i="1"/>
  <c r="AH3038" i="1"/>
  <c r="AH1355" i="1"/>
  <c r="AH2230" i="1"/>
  <c r="AH508" i="1"/>
  <c r="BM2783" i="1"/>
  <c r="BM1361" i="1"/>
  <c r="AH2437" i="1"/>
  <c r="AH663" i="1"/>
  <c r="BM839" i="1"/>
  <c r="BM338" i="1"/>
  <c r="BM1919" i="1"/>
  <c r="BM638" i="1"/>
  <c r="BM2909" i="1"/>
  <c r="AH774" i="1"/>
  <c r="BM443" i="1"/>
  <c r="AH688" i="1"/>
  <c r="AH2348" i="1"/>
  <c r="AH2455" i="1"/>
  <c r="BM971" i="1"/>
  <c r="AH3035" i="1"/>
  <c r="BM1173" i="1"/>
  <c r="AH1404" i="1"/>
  <c r="BM121" i="1"/>
  <c r="BM553" i="1"/>
  <c r="AH2960" i="1"/>
  <c r="BM507" i="1"/>
  <c r="BM133" i="1"/>
  <c r="BM291" i="1"/>
  <c r="AH301" i="1"/>
  <c r="AH1925" i="1"/>
  <c r="AH2409" i="1"/>
  <c r="AH2771" i="1"/>
  <c r="AH238" i="1"/>
  <c r="AH1074" i="1"/>
  <c r="AH210" i="1"/>
  <c r="AH1448" i="1"/>
  <c r="BM994" i="1"/>
  <c r="AH1899" i="1"/>
  <c r="AH110" i="1"/>
  <c r="BM2838" i="1"/>
  <c r="AH1487" i="1"/>
  <c r="AH1023" i="1"/>
  <c r="AH1775" i="1"/>
  <c r="BM1939" i="1"/>
  <c r="AH800" i="1"/>
  <c r="BM2217" i="1"/>
  <c r="BM2614" i="1"/>
  <c r="AH195" i="1"/>
  <c r="BM1675" i="1"/>
  <c r="AH2331" i="1"/>
  <c r="AH261" i="1"/>
  <c r="BM1661" i="1"/>
  <c r="AH324" i="1"/>
  <c r="AH1135" i="1"/>
  <c r="AH2785" i="1"/>
  <c r="AH588" i="1"/>
  <c r="BM1760" i="1"/>
  <c r="BM1484" i="1"/>
  <c r="BM1170" i="1"/>
  <c r="BM2925" i="1"/>
  <c r="AH29" i="1"/>
  <c r="BM825" i="1"/>
  <c r="BM1030" i="1"/>
  <c r="AH3108" i="1"/>
  <c r="BM2902" i="1"/>
  <c r="BM2363" i="1"/>
  <c r="AH2559" i="1"/>
  <c r="AH1717" i="1"/>
  <c r="BM356" i="1"/>
  <c r="BM2046" i="1"/>
  <c r="AH574" i="1"/>
  <c r="BM1591" i="1"/>
  <c r="AH1887" i="1"/>
  <c r="AH1251" i="1"/>
  <c r="AH881" i="1"/>
  <c r="BM1304" i="1"/>
  <c r="AH1424" i="1"/>
  <c r="BM2049" i="1"/>
  <c r="AH1459" i="1"/>
  <c r="AH1679" i="1"/>
  <c r="AH2505" i="1"/>
  <c r="BM1035" i="1"/>
  <c r="BM2950" i="1"/>
  <c r="AH2962" i="1"/>
  <c r="BM729" i="1"/>
  <c r="AH2922" i="1"/>
  <c r="BM2411" i="1"/>
  <c r="BM2018" i="1"/>
  <c r="AH2885" i="1"/>
  <c r="BM272" i="1"/>
  <c r="BM414" i="1"/>
  <c r="BM660" i="1"/>
  <c r="AH1546" i="1"/>
  <c r="AH285" i="1"/>
  <c r="BM1464" i="1"/>
  <c r="AH1222" i="1"/>
  <c r="AH2699" i="1"/>
  <c r="AH536" i="1"/>
  <c r="BM1493" i="1"/>
  <c r="AH1616" i="1"/>
  <c r="AH1320" i="1"/>
  <c r="AH2664" i="1"/>
  <c r="AH1480" i="1"/>
  <c r="BM1291" i="1"/>
  <c r="AH1337" i="1"/>
  <c r="AH1776" i="1"/>
  <c r="BM2939" i="1"/>
  <c r="BM3128" i="1"/>
  <c r="BM2166" i="1"/>
  <c r="AH1453" i="1"/>
  <c r="BM522" i="1"/>
  <c r="BM1216" i="1"/>
  <c r="BM1107" i="1"/>
  <c r="BM3072" i="1"/>
  <c r="BM2172" i="1"/>
  <c r="BM620" i="1"/>
  <c r="AH2130" i="1"/>
  <c r="BM1370" i="1"/>
  <c r="AH2149" i="1"/>
  <c r="BM3154" i="1"/>
  <c r="AH2080" i="1"/>
  <c r="AH2851" i="1"/>
  <c r="BM2926" i="1"/>
  <c r="AH1582" i="1"/>
  <c r="BM3136" i="1"/>
  <c r="BM2822" i="1"/>
  <c r="BM3056" i="1"/>
  <c r="AH2243" i="1"/>
  <c r="AH547" i="1"/>
  <c r="AH3087" i="1"/>
  <c r="BM450" i="1"/>
  <c r="BM2623" i="1"/>
  <c r="AH34" i="1"/>
  <c r="BM1144" i="1"/>
  <c r="AH980" i="1"/>
  <c r="AH2479" i="1"/>
  <c r="AH1548" i="1"/>
  <c r="BM1665" i="1"/>
  <c r="AH1655" i="1"/>
  <c r="BM712" i="1"/>
  <c r="AH531" i="1"/>
  <c r="AH2815" i="1"/>
  <c r="BM634" i="1"/>
  <c r="BM30" i="1"/>
  <c r="BM3129" i="1"/>
  <c r="AH2847" i="1"/>
  <c r="BM493" i="1"/>
  <c r="BM529" i="1"/>
  <c r="AH331" i="1"/>
  <c r="AH456" i="1"/>
  <c r="AH2869" i="1"/>
  <c r="BM1259" i="1"/>
  <c r="BM2725" i="1"/>
  <c r="BM2209" i="1"/>
  <c r="BM438" i="1"/>
  <c r="AH1972" i="1"/>
  <c r="BM998" i="1"/>
  <c r="BM93" i="1"/>
  <c r="AH629" i="1"/>
  <c r="AH23" i="1"/>
  <c r="BM3025" i="1"/>
  <c r="BM173" i="1"/>
  <c r="AH303" i="1"/>
  <c r="AH1703" i="1"/>
  <c r="AH2565" i="1"/>
  <c r="AH1617" i="1"/>
  <c r="BM1194" i="1"/>
  <c r="AH2124" i="1"/>
  <c r="AH3029" i="1"/>
  <c r="AH2827" i="1"/>
  <c r="BM715" i="1"/>
  <c r="AH2693" i="1"/>
  <c r="AH3139" i="1"/>
  <c r="AH2676" i="1"/>
  <c r="AH1100" i="1"/>
  <c r="AH2894" i="1"/>
  <c r="AH1985" i="1"/>
  <c r="AH2165" i="1"/>
  <c r="BM1313" i="1"/>
  <c r="AH1563" i="1"/>
  <c r="AH409" i="1"/>
  <c r="AH2833" i="1"/>
  <c r="BM2668" i="1"/>
  <c r="BM601" i="1"/>
  <c r="BM442" i="1"/>
  <c r="AH1160" i="1"/>
  <c r="AH1858" i="1"/>
  <c r="BM1641" i="1"/>
  <c r="AH2503" i="1"/>
  <c r="AH2330" i="1"/>
  <c r="BM2971" i="1"/>
  <c r="AH393" i="1"/>
  <c r="BM2661" i="1"/>
  <c r="BM3065" i="1"/>
  <c r="BM1426" i="1"/>
  <c r="AH1076" i="1"/>
  <c r="AH2313" i="1"/>
  <c r="BM142" i="1"/>
  <c r="AH942" i="1"/>
  <c r="BM174" i="1"/>
  <c r="BM843" i="1"/>
  <c r="BM780" i="1"/>
  <c r="AH1756" i="1"/>
  <c r="BM1989" i="1"/>
  <c r="AH3090" i="1"/>
  <c r="AH2480" i="1"/>
  <c r="BM155" i="1"/>
  <c r="AH1276" i="1"/>
  <c r="AH519" i="1"/>
  <c r="AH2772" i="1"/>
  <c r="BM1298" i="1"/>
  <c r="AH2387" i="1"/>
  <c r="AH1077" i="1"/>
  <c r="AH679" i="1"/>
  <c r="AH767" i="1"/>
  <c r="BM2985" i="1"/>
  <c r="BM2555" i="1"/>
  <c r="BM3012" i="1"/>
  <c r="BM1364" i="1"/>
  <c r="AH271" i="1"/>
  <c r="BM2292" i="1"/>
  <c r="BM1102" i="1"/>
  <c r="BM2332" i="1"/>
  <c r="BM2395" i="1"/>
  <c r="AH104" i="1"/>
  <c r="AH262" i="1"/>
  <c r="BM484" i="1"/>
  <c r="BM2147" i="1"/>
  <c r="BM2045" i="1"/>
  <c r="AH2446" i="1"/>
  <c r="AH1542" i="1"/>
  <c r="BM2604" i="1"/>
  <c r="AH2246" i="1"/>
  <c r="AH1310" i="1"/>
  <c r="AH2378" i="1"/>
  <c r="AH1391" i="1"/>
  <c r="AH613" i="1"/>
  <c r="BM2525" i="1"/>
  <c r="AH1037" i="1"/>
  <c r="AH1836" i="1"/>
  <c r="AH927" i="1"/>
  <c r="AH291" i="1"/>
  <c r="BM280" i="1"/>
  <c r="AH2754" i="1"/>
  <c r="BM2328" i="1"/>
  <c r="AH957" i="1"/>
  <c r="BM2843" i="1"/>
  <c r="BM372" i="1"/>
  <c r="BM478" i="1"/>
  <c r="BM3067" i="1"/>
  <c r="BM2302" i="1"/>
  <c r="BM1096" i="1"/>
  <c r="AH2252" i="1"/>
  <c r="BM2123" i="1"/>
  <c r="AH3102" i="1"/>
  <c r="AH799" i="1"/>
  <c r="AH875" i="1"/>
  <c r="AH2117" i="1"/>
  <c r="BM2648" i="1"/>
  <c r="BM759" i="1"/>
  <c r="BM1387" i="1"/>
  <c r="BM1519" i="1"/>
  <c r="BM2238" i="1"/>
  <c r="BM1081" i="1"/>
  <c r="BM2225" i="1"/>
  <c r="AH1527" i="1"/>
  <c r="BM368" i="1"/>
  <c r="BM2980" i="1"/>
  <c r="BM446" i="1"/>
  <c r="BM1329" i="1"/>
  <c r="AH44" i="1"/>
  <c r="AH1175" i="1"/>
  <c r="BM514" i="1"/>
  <c r="BM3127" i="1"/>
  <c r="AH2231" i="1"/>
  <c r="BM203" i="1"/>
  <c r="AH672" i="1"/>
  <c r="AH584" i="1"/>
  <c r="BM1689" i="1"/>
  <c r="BM2868" i="1"/>
  <c r="BM2711" i="1"/>
  <c r="BM2974" i="1"/>
  <c r="AH464" i="1"/>
  <c r="BM448" i="1"/>
  <c r="AH225" i="1"/>
  <c r="AH38" i="1"/>
  <c r="AH1214" i="1"/>
  <c r="AH1111" i="1"/>
  <c r="AH2919" i="1"/>
  <c r="BM2407" i="1"/>
  <c r="BM821" i="1"/>
  <c r="AH2142" i="1"/>
  <c r="BM722" i="1"/>
  <c r="BM2776" i="1"/>
  <c r="BM129" i="1"/>
  <c r="AH1873" i="1"/>
  <c r="BM496" i="1"/>
  <c r="AH2712" i="1"/>
  <c r="BM1317" i="1"/>
  <c r="AH898" i="1"/>
  <c r="AH2865" i="1"/>
  <c r="BM1151" i="1"/>
  <c r="AH101" i="1"/>
  <c r="AH114" i="1"/>
  <c r="BM2070" i="1"/>
  <c r="BM2444" i="1"/>
  <c r="BM2131" i="1"/>
  <c r="AH2704" i="1"/>
  <c r="AH45" i="1"/>
  <c r="AH1750" i="1"/>
  <c r="BM2357" i="1"/>
  <c r="BM635" i="1"/>
  <c r="BM1326" i="1"/>
  <c r="AH1232" i="1"/>
  <c r="AH93" i="1"/>
  <c r="AH1189" i="1"/>
  <c r="AH1621" i="1"/>
  <c r="BM277" i="1"/>
  <c r="AH108" i="1"/>
  <c r="BM2966" i="1"/>
  <c r="AH1484" i="1"/>
  <c r="AH1492" i="1"/>
  <c r="BM1063" i="1"/>
  <c r="BM2346" i="1"/>
  <c r="AH1489" i="1"/>
  <c r="BM1469" i="1"/>
  <c r="BM1856" i="1"/>
  <c r="AH907" i="1"/>
  <c r="AH2095" i="1"/>
  <c r="AH2834" i="1"/>
  <c r="AH795" i="1"/>
  <c r="AH2471" i="1"/>
  <c r="AH1937" i="1"/>
  <c r="BM692" i="1"/>
  <c r="AH569" i="1"/>
  <c r="AH1207" i="1"/>
  <c r="BM1778" i="1"/>
  <c r="AH1482" i="1"/>
  <c r="BM2745" i="1"/>
  <c r="AH3083" i="1"/>
  <c r="AH2477" i="1"/>
  <c r="BM931" i="1"/>
  <c r="AH447" i="1"/>
  <c r="BM775" i="1"/>
  <c r="BM108" i="1"/>
  <c r="AH2912" i="1"/>
  <c r="AH744" i="1"/>
  <c r="AH3147" i="1"/>
  <c r="BM2731" i="1"/>
  <c r="AH2040" i="1"/>
  <c r="BM2063" i="1"/>
  <c r="AH637" i="1"/>
  <c r="AH549" i="1"/>
  <c r="BM105" i="1"/>
  <c r="BM1267" i="1"/>
  <c r="BM82" i="1"/>
  <c r="AH404" i="1"/>
  <c r="BM1718" i="1"/>
  <c r="BM2689" i="1"/>
  <c r="AH1315" i="1"/>
  <c r="AH1138" i="1"/>
  <c r="AH2938" i="1"/>
  <c r="BM2392" i="1"/>
  <c r="AH2241" i="1"/>
  <c r="AH422" i="1"/>
  <c r="AH1411" i="1"/>
  <c r="BM2712" i="1"/>
  <c r="AH727" i="1"/>
  <c r="BM483" i="1"/>
  <c r="AH2930" i="1"/>
  <c r="AH1356" i="1"/>
  <c r="BM3046" i="1"/>
  <c r="BM2968" i="1"/>
  <c r="BM637" i="1"/>
  <c r="BM405" i="1"/>
  <c r="AH633" i="1"/>
  <c r="AH166" i="1"/>
  <c r="AH1449" i="1"/>
  <c r="BM1448" i="1"/>
  <c r="AH3034" i="1"/>
  <c r="AH1598" i="1"/>
  <c r="BM2074" i="1"/>
  <c r="AH248" i="1"/>
  <c r="AH3067" i="1"/>
  <c r="BM126" i="1"/>
  <c r="AH1800" i="1"/>
  <c r="BM2887" i="1"/>
  <c r="AH1863" i="1"/>
  <c r="AH1882" i="1"/>
  <c r="BM1476" i="1"/>
  <c r="AH2414" i="1"/>
  <c r="BM3116" i="1"/>
  <c r="AH2467" i="1"/>
  <c r="BM1252" i="1"/>
  <c r="BM986" i="1"/>
  <c r="AH1984" i="1"/>
  <c r="BM1734" i="1"/>
  <c r="BM2088" i="1"/>
  <c r="BM2119" i="1"/>
  <c r="BM3084" i="1"/>
  <c r="AH122" i="1"/>
  <c r="AH2103" i="1"/>
  <c r="AH487" i="1"/>
  <c r="AH2764" i="1"/>
  <c r="AH784" i="1"/>
  <c r="BM940" i="1"/>
  <c r="BM995" i="1"/>
  <c r="BM1266" i="1"/>
  <c r="AH1058" i="1"/>
  <c r="AH1209" i="1"/>
  <c r="BM1551" i="1"/>
  <c r="AH1231" i="1"/>
  <c r="BM988" i="1"/>
  <c r="AH1464" i="1"/>
  <c r="AH2598" i="1"/>
  <c r="BM2114" i="1"/>
  <c r="AH313" i="1"/>
  <c r="BM1827" i="1"/>
  <c r="BM2364" i="1"/>
  <c r="BM1132" i="1"/>
  <c r="BM2456" i="1"/>
  <c r="AH819" i="1"/>
  <c r="BM1250" i="1"/>
  <c r="BM2876" i="1"/>
  <c r="BM2294" i="1"/>
  <c r="AH2367" i="1"/>
  <c r="BM84" i="1"/>
  <c r="AH1718" i="1"/>
  <c r="AH2973" i="1"/>
  <c r="BM1325" i="1"/>
  <c r="AH968" i="1"/>
  <c r="BM1359" i="1"/>
  <c r="BM1051" i="1"/>
  <c r="AH2299" i="1"/>
  <c r="BM1483" i="1"/>
  <c r="AH2233" i="1"/>
  <c r="AH3100" i="1"/>
  <c r="BM2029" i="1"/>
  <c r="AH2660" i="1"/>
  <c r="AH1446" i="1"/>
  <c r="AH964" i="1"/>
  <c r="AH724" i="1"/>
  <c r="BM315" i="1"/>
  <c r="AH1363" i="1"/>
  <c r="AH2416" i="1"/>
  <c r="BM1548" i="1"/>
  <c r="AH1409" i="1"/>
  <c r="AH924" i="1"/>
  <c r="BM2620" i="1"/>
  <c r="BM558" i="1"/>
  <c r="BM2896" i="1"/>
  <c r="BM1632" i="1"/>
  <c r="BM1501" i="1"/>
  <c r="BM1751" i="1"/>
  <c r="AH1570" i="1"/>
  <c r="BM1332" i="1"/>
  <c r="BM2143" i="1"/>
  <c r="BM2761" i="1"/>
  <c r="BM972" i="1"/>
  <c r="BM154" i="1"/>
  <c r="BM2570" i="1"/>
  <c r="BM2688" i="1"/>
  <c r="BM3005" i="1"/>
  <c r="BM1021" i="1"/>
  <c r="BM719" i="1"/>
  <c r="AH2433" i="1"/>
  <c r="AH2656" i="1"/>
  <c r="BM111" i="1"/>
  <c r="AH1153" i="1"/>
  <c r="AH2982" i="1"/>
  <c r="BM3110" i="1"/>
  <c r="AH1579" i="1"/>
  <c r="BM286" i="1"/>
  <c r="BM1799" i="1"/>
  <c r="BM1306" i="1"/>
  <c r="AH2575" i="1"/>
  <c r="BM1091" i="1"/>
  <c r="BM2162" i="1"/>
  <c r="BM221" i="1"/>
  <c r="AH764" i="1"/>
  <c r="AH856" i="1"/>
  <c r="BM1184" i="1"/>
  <c r="BM3103" i="1"/>
  <c r="AH1720" i="1"/>
  <c r="BM404" i="1"/>
  <c r="BM247" i="1"/>
  <c r="AH2718" i="1"/>
  <c r="BM3070" i="1"/>
  <c r="BM2942" i="1"/>
  <c r="BM1542" i="1"/>
  <c r="BM1947" i="1"/>
  <c r="AH1802" i="1"/>
  <c r="BM1381" i="1"/>
  <c r="BM1033" i="1"/>
  <c r="AH1550" i="1"/>
  <c r="AH339" i="1"/>
  <c r="AH3037" i="1"/>
  <c r="AH403" i="1"/>
  <c r="AH316" i="1"/>
  <c r="BM1224" i="1"/>
  <c r="BM1832" i="1"/>
  <c r="BM1808" i="1"/>
  <c r="BM1768" i="1"/>
  <c r="BM728" i="1"/>
  <c r="BM2740" i="1"/>
  <c r="BM145" i="1"/>
  <c r="AH1330" i="1"/>
  <c r="BM71" i="1"/>
  <c r="AH138" i="1"/>
  <c r="AH523" i="1"/>
  <c r="AH52" i="1"/>
  <c r="BM636" i="1"/>
  <c r="BM516" i="1"/>
  <c r="AH535" i="1"/>
  <c r="BM467" i="1"/>
  <c r="BM2915" i="1"/>
  <c r="BM1351" i="1"/>
  <c r="AH14" i="1"/>
  <c r="BM707" i="1"/>
  <c r="BM2640" i="1"/>
  <c r="BM2316" i="1"/>
  <c r="BM2710" i="1"/>
  <c r="BM1027" i="1"/>
  <c r="AH3145" i="1"/>
  <c r="BM716" i="1"/>
  <c r="AH21" i="1"/>
  <c r="AH821" i="1"/>
  <c r="BM3086" i="1"/>
  <c r="AH838" i="1"/>
  <c r="AH2090" i="1"/>
  <c r="BM744" i="1"/>
  <c r="BM1465" i="1"/>
  <c r="AH2188" i="1"/>
  <c r="BM1554" i="1"/>
  <c r="BM80" i="1"/>
  <c r="BM1617" i="1"/>
  <c r="BM1903" i="1"/>
  <c r="AH233" i="1"/>
  <c r="AH2595" i="1"/>
  <c r="BM1026" i="1"/>
  <c r="BM1557" i="1"/>
  <c r="BM2400" i="1"/>
  <c r="AH1845" i="1"/>
  <c r="BM425" i="1"/>
  <c r="BM566" i="1"/>
  <c r="AH2728" i="1"/>
  <c r="BM3039" i="1"/>
  <c r="BM910" i="1"/>
  <c r="AH2825" i="1"/>
  <c r="AH1815" i="1"/>
  <c r="BM578" i="1"/>
  <c r="AH2358" i="1"/>
  <c r="AH2992" i="1"/>
  <c r="AH2109" i="1"/>
  <c r="AH1671" i="1"/>
  <c r="BM718" i="1"/>
  <c r="BM1874" i="1"/>
  <c r="AH2127" i="1"/>
  <c r="AH2407" i="1"/>
  <c r="BM1354" i="1"/>
  <c r="BM1074" i="1"/>
  <c r="AH2115" i="1"/>
  <c r="BM1595" i="1"/>
  <c r="AH773" i="1"/>
  <c r="AH1514" i="1"/>
  <c r="AH2658" i="1"/>
  <c r="BM738" i="1"/>
  <c r="BM2269" i="1"/>
  <c r="BM1658" i="1"/>
  <c r="AH2918" i="1"/>
  <c r="BM2492" i="1"/>
  <c r="BM1255" i="1"/>
  <c r="AH194" i="1"/>
  <c r="BM2795" i="1"/>
  <c r="AH3069" i="1"/>
  <c r="BM1577" i="1"/>
  <c r="AH2415" i="1"/>
  <c r="AH628" i="1"/>
  <c r="BM395" i="1"/>
  <c r="BM1200" i="1"/>
  <c r="AH1600" i="1"/>
  <c r="AH2760" i="1"/>
  <c r="BM1894" i="1"/>
  <c r="BM2014" i="1"/>
  <c r="BM2280" i="1"/>
  <c r="AH88" i="1"/>
  <c r="AH1694" i="1"/>
  <c r="AH433" i="1"/>
  <c r="BM1816" i="1"/>
  <c r="AH1180" i="1"/>
  <c r="BM436" i="1"/>
  <c r="AH1922" i="1"/>
  <c r="BM2245" i="1"/>
  <c r="AH1192" i="1"/>
  <c r="BM2481" i="1"/>
  <c r="BM2660" i="1"/>
  <c r="AH1975" i="1"/>
  <c r="BM60" i="1"/>
  <c r="BM1867" i="1"/>
  <c r="BM1911" i="1"/>
  <c r="AH2843" i="1"/>
  <c r="AH3001" i="1"/>
  <c r="BM2856" i="1"/>
  <c r="BM2036" i="1"/>
  <c r="AH2198" i="1"/>
  <c r="BM117" i="1"/>
  <c r="BM1574" i="1"/>
  <c r="AH2044" i="1"/>
  <c r="BM951" i="1"/>
  <c r="BM275" i="1"/>
  <c r="BM2208" i="1"/>
  <c r="AH2021" i="1"/>
  <c r="BM1565" i="1"/>
  <c r="AH2485" i="1"/>
  <c r="BM379" i="1"/>
  <c r="BM1103" i="1"/>
  <c r="AH2888" i="1"/>
  <c r="AH2194" i="1"/>
  <c r="BM1626" i="1"/>
  <c r="BM2606" i="1"/>
  <c r="AH290" i="1"/>
  <c r="AH1918" i="1"/>
  <c r="BM394" i="1"/>
  <c r="BM1681" i="1"/>
  <c r="AH669" i="1"/>
  <c r="BM2487" i="1"/>
  <c r="BM382" i="1"/>
  <c r="BM2429" i="1"/>
  <c r="AH2905" i="1"/>
  <c r="BM2796" i="1"/>
  <c r="BM1955" i="1"/>
  <c r="AH1190" i="1"/>
  <c r="AH595" i="1"/>
  <c r="AH2202" i="1"/>
  <c r="AH845" i="1"/>
  <c r="AH2447" i="1"/>
  <c r="AH571" i="1"/>
  <c r="AH1955" i="1"/>
  <c r="AH2442" i="1"/>
  <c r="BM455" i="1"/>
  <c r="BM2960" i="1"/>
  <c r="BM2360" i="1"/>
  <c r="BM2597" i="1"/>
  <c r="AH880" i="1"/>
  <c r="BM2306" i="1"/>
  <c r="AH139" i="1"/>
  <c r="BM473" i="1"/>
  <c r="AH1974" i="1"/>
  <c r="BM2935" i="1"/>
  <c r="AH788" i="1"/>
  <c r="AH330" i="1"/>
  <c r="BM408" i="1"/>
  <c r="BM2713" i="1"/>
  <c r="AH411" i="1"/>
  <c r="AH312" i="1"/>
  <c r="BM424" i="1"/>
  <c r="AH1171" i="1"/>
  <c r="BM810" i="1"/>
  <c r="BM1292" i="1"/>
  <c r="BM211" i="1"/>
  <c r="BM274" i="1"/>
  <c r="BM2663" i="1"/>
  <c r="AH1772" i="1"/>
  <c r="BM1725" i="1"/>
  <c r="BM391" i="1"/>
  <c r="AH333" i="1"/>
  <c r="BM3069" i="1"/>
  <c r="BM1343" i="1"/>
  <c r="AH492" i="1"/>
  <c r="BM1415" i="1"/>
  <c r="BM700" i="1"/>
  <c r="AH183" i="1"/>
  <c r="BM2832" i="1"/>
  <c r="AH3072" i="1"/>
  <c r="AH758" i="1"/>
  <c r="BM1878" i="1"/>
  <c r="AH1557" i="1"/>
  <c r="AH597" i="1"/>
  <c r="BM3042" i="1"/>
  <c r="AH2359" i="1"/>
  <c r="AH1820" i="1"/>
  <c r="BM2352" i="1"/>
  <c r="AH972" i="1"/>
  <c r="AH2444" i="1"/>
  <c r="BM592" i="1"/>
  <c r="AH3046" i="1"/>
  <c r="AH792" i="1"/>
  <c r="BM800" i="1"/>
  <c r="AH2715" i="1"/>
  <c r="AH450" i="1"/>
  <c r="BM1645" i="1"/>
  <c r="AH1729" i="1"/>
  <c r="BM2728" i="1"/>
  <c r="BM2468" i="1"/>
  <c r="BM3029" i="1"/>
  <c r="AH1371" i="1"/>
  <c r="BM2142" i="1"/>
  <c r="AH2591" i="1"/>
  <c r="BM898" i="1"/>
  <c r="AH2654" i="1"/>
  <c r="AH2838" i="1"/>
  <c r="BM86" i="1"/>
  <c r="AH3120" i="1"/>
  <c r="BM3134" i="1"/>
  <c r="AH1508" i="1"/>
  <c r="AH2185" i="1"/>
  <c r="BM2680" i="1"/>
  <c r="BM796" i="1"/>
  <c r="BM2854" i="1"/>
  <c r="AH1305" i="1"/>
  <c r="AH956" i="1"/>
  <c r="AH922" i="1"/>
  <c r="BM401" i="1"/>
  <c r="BM802" i="1"/>
  <c r="AH2551" i="1"/>
  <c r="BM1993" i="1"/>
  <c r="BM518" i="1"/>
  <c r="AH521" i="1"/>
  <c r="BM1550" i="1"/>
  <c r="BM1153" i="1"/>
  <c r="AH1785" i="1"/>
  <c r="AH1846" i="1"/>
  <c r="BM79" i="1"/>
  <c r="AH1120" i="1"/>
  <c r="BM500" i="1"/>
  <c r="AH857" i="1"/>
  <c r="AH2345" i="1"/>
  <c r="AH2819" i="1"/>
  <c r="BM2530" i="1"/>
  <c r="BM1206" i="1"/>
  <c r="AH542" i="1"/>
  <c r="BM1146" i="1"/>
  <c r="BM2321" i="1"/>
  <c r="AH1569" i="1"/>
  <c r="AH2546" i="1"/>
  <c r="AH1686" i="1"/>
  <c r="AH2352" i="1"/>
  <c r="BM57" i="1"/>
  <c r="BM1772" i="1"/>
  <c r="BM2936" i="1"/>
  <c r="AH621" i="1"/>
  <c r="AH2550" i="1"/>
  <c r="BM196" i="1"/>
  <c r="BM1463" i="1"/>
  <c r="AH623" i="1"/>
  <c r="BM563" i="1"/>
  <c r="BM1190" i="1"/>
  <c r="AH2528" i="1"/>
  <c r="BM1643" i="1"/>
  <c r="AH416" i="1"/>
  <c r="AH2003" i="1"/>
  <c r="AH1161" i="1"/>
  <c r="AH3099" i="1"/>
  <c r="BM883" i="1"/>
  <c r="BM875" i="1"/>
  <c r="BM54" i="1"/>
  <c r="AH1708" i="1"/>
  <c r="AH2036" i="1"/>
  <c r="AH1057" i="1"/>
  <c r="AH1427" i="1"/>
  <c r="BM845" i="1"/>
  <c r="AH47" i="1"/>
  <c r="BM101" i="1"/>
  <c r="AH766" i="1"/>
  <c r="BM550" i="1"/>
  <c r="BM1509" i="1"/>
  <c r="AH2343" i="1"/>
  <c r="BM669" i="1"/>
  <c r="BM1889" i="1"/>
  <c r="AH1394" i="1"/>
  <c r="BM2289" i="1"/>
  <c r="BM2539" i="1"/>
  <c r="AH2751" i="1"/>
  <c r="BM89" i="1"/>
  <c r="AH1779" i="1"/>
  <c r="BM930" i="1"/>
  <c r="BM2922" i="1"/>
  <c r="AH652" i="1"/>
  <c r="BM1631" i="1"/>
  <c r="AH1080" i="1"/>
  <c r="AH3070" i="1"/>
  <c r="AH1927" i="1"/>
  <c r="AH1429" i="1"/>
  <c r="BM2246" i="1"/>
  <c r="AH1623" i="1"/>
  <c r="AH2915" i="1"/>
  <c r="AH1018" i="1"/>
  <c r="AH1634" i="1"/>
  <c r="AH190" i="1"/>
  <c r="BM1992" i="1"/>
  <c r="BM790" i="1"/>
  <c r="AH2173" i="1"/>
  <c r="BM2918" i="1"/>
  <c r="BM1584" i="1"/>
  <c r="AH2780" i="1"/>
  <c r="BM547" i="1"/>
  <c r="BM697" i="1"/>
  <c r="AH2738" i="1"/>
  <c r="AH2038" i="1"/>
  <c r="BM2705" i="1"/>
  <c r="BM1561" i="1"/>
  <c r="AH257" i="1"/>
  <c r="AH2255" i="1"/>
  <c r="AH1431" i="1"/>
  <c r="BM159" i="1"/>
  <c r="AH1973" i="1"/>
  <c r="AH703" i="1"/>
  <c r="BM185" i="1"/>
  <c r="BM2118" i="1"/>
  <c r="BM588" i="1"/>
  <c r="BM1703" i="1"/>
  <c r="AH3110" i="1"/>
  <c r="BM1126" i="1"/>
  <c r="BM1294" i="1"/>
  <c r="AH39" i="1"/>
  <c r="AH1068" i="1"/>
  <c r="AH752" i="1"/>
  <c r="BM1272" i="1"/>
  <c r="AH2009" i="1"/>
  <c r="AH244" i="1"/>
  <c r="BM596" i="1"/>
  <c r="BM2059" i="1"/>
  <c r="BM1431" i="1"/>
  <c r="BM1546" i="1"/>
  <c r="AH2652" i="1"/>
  <c r="BM1258" i="1"/>
  <c r="BM2128" i="1"/>
  <c r="BM2519" i="1"/>
  <c r="AH345" i="1"/>
  <c r="AH318" i="1"/>
  <c r="AH2395" i="1"/>
  <c r="BM2815" i="1"/>
  <c r="BM2285" i="1"/>
  <c r="BM243" i="1"/>
  <c r="AH1932" i="1"/>
  <c r="AH2297" i="1"/>
  <c r="AH2723" i="1"/>
  <c r="AH1150" i="1"/>
  <c r="AH546" i="1"/>
  <c r="AH755" i="1"/>
  <c r="BM2923" i="1"/>
  <c r="AH117" i="1"/>
  <c r="BM343" i="1"/>
  <c r="AH1366" i="1"/>
  <c r="BM1120" i="1"/>
  <c r="BM2716" i="1"/>
  <c r="AH1413" i="1"/>
  <c r="BM1349" i="1"/>
  <c r="BM1532" i="1"/>
  <c r="AH2755" i="1"/>
  <c r="AH2311" i="1"/>
  <c r="BM229" i="1"/>
  <c r="AH1471" i="1"/>
  <c r="AH909" i="1"/>
  <c r="AH840" i="1"/>
  <c r="AH1277" i="1"/>
  <c r="AH2603" i="1"/>
  <c r="BM896" i="1"/>
  <c r="BM1138" i="1"/>
  <c r="AH3137" i="1"/>
  <c r="AH1451" i="1"/>
  <c r="BM2066" i="1"/>
  <c r="AH2514" i="1"/>
  <c r="AH2617" i="1"/>
  <c r="BM944" i="1"/>
  <c r="BM2509" i="1"/>
  <c r="BM674" i="1"/>
  <c r="AH2448" i="1"/>
  <c r="BM375" i="1"/>
  <c r="AH1715" i="1"/>
  <c r="BM139" i="1"/>
  <c r="BM1209" i="1"/>
  <c r="BM2881" i="1"/>
  <c r="AH256" i="1"/>
  <c r="AH2525" i="1"/>
  <c r="AH455" i="1"/>
  <c r="AH1823" i="1"/>
  <c r="AH463" i="1"/>
  <c r="BM2899" i="1"/>
  <c r="BM485" i="1"/>
  <c r="AH749" i="1"/>
  <c r="AH878" i="1"/>
  <c r="BM1117" i="1"/>
  <c r="BM2870" i="1"/>
  <c r="AH1224" i="1"/>
  <c r="BM1812" i="1"/>
  <c r="BM1838" i="1"/>
  <c r="BM1600" i="1"/>
  <c r="BM962" i="1"/>
  <c r="BM975" i="1"/>
  <c r="AH1051" i="1"/>
  <c r="BM1135" i="1"/>
  <c r="AH1226" i="1"/>
  <c r="BM2017" i="1"/>
  <c r="BM1896" i="1"/>
  <c r="AH179" i="1"/>
  <c r="AH3116" i="1"/>
  <c r="BM1507" i="1"/>
  <c r="BM2356" i="1"/>
  <c r="AH1369" i="1"/>
  <c r="AH1526" i="1"/>
  <c r="BM2300" i="1"/>
  <c r="AH247" i="1"/>
  <c r="AH2547" i="1"/>
  <c r="AH445" i="1"/>
  <c r="AH235" i="1"/>
  <c r="AH598" i="1"/>
  <c r="AH1615" i="1"/>
  <c r="AH113" i="1"/>
  <c r="BM2227" i="1"/>
  <c r="AH1965" i="1"/>
  <c r="BM2704" i="1"/>
  <c r="BM2862" i="1"/>
  <c r="BM132" i="1"/>
  <c r="BM1714" i="1"/>
  <c r="AH3053" i="1"/>
  <c r="AH1524" i="1"/>
  <c r="BM178" i="1"/>
  <c r="AH1847" i="1"/>
  <c r="AH910" i="1"/>
  <c r="BM2195" i="1"/>
  <c r="BM1191" i="1"/>
  <c r="BM1204" i="1"/>
  <c r="BM1201" i="1"/>
  <c r="AH771" i="1"/>
  <c r="BM157" i="1"/>
  <c r="AH921" i="1"/>
  <c r="AH738" i="1"/>
  <c r="AH647" i="1"/>
  <c r="BM3017" i="1"/>
  <c r="AH2719" i="1"/>
  <c r="BM415" i="1"/>
  <c r="AH2189" i="1"/>
  <c r="AH1782" i="1"/>
  <c r="AH1388" i="1"/>
  <c r="AH2619" i="1"/>
  <c r="AH1005" i="1"/>
  <c r="AH2560" i="1"/>
  <c r="BM714" i="1"/>
  <c r="AH25" i="1"/>
  <c r="AH153" i="1"/>
  <c r="BM1906" i="1"/>
  <c r="AH832" i="1"/>
  <c r="AH1141" i="1"/>
  <c r="AH2672" i="1"/>
  <c r="AH439" i="1"/>
  <c r="AH2991" i="1"/>
  <c r="AH136" i="1"/>
  <c r="BM1434" i="1"/>
  <c r="BM162" i="1"/>
  <c r="AH1587" i="1"/>
  <c r="AH2942" i="1"/>
  <c r="BM788" i="1"/>
  <c r="AH689" i="1"/>
  <c r="BM2389" i="1"/>
  <c r="AH1133" i="1"/>
  <c r="BM3011" i="1"/>
  <c r="BM705" i="1"/>
  <c r="BM358" i="1"/>
  <c r="BM572" i="1"/>
  <c r="BM32" i="1"/>
  <c r="AH904" i="1"/>
  <c r="BM2911" i="1"/>
  <c r="BM1498" i="1"/>
  <c r="BM2591" i="1"/>
  <c r="AH959" i="1"/>
  <c r="AH1244" i="1"/>
  <c r="AH436" i="1"/>
  <c r="BM2343" i="1"/>
  <c r="AH1007" i="1"/>
  <c r="BM1025" i="1"/>
  <c r="BM3151" i="1"/>
  <c r="BM1576" i="1"/>
  <c r="AH1821" i="1"/>
  <c r="AH482" i="1"/>
  <c r="AH1294" i="1"/>
  <c r="AH624" i="1"/>
  <c r="BM590" i="1"/>
  <c r="AH3056" i="1"/>
  <c r="AH1710" i="1"/>
  <c r="AH540" i="1"/>
  <c r="BM617" i="1"/>
  <c r="BM3018" i="1"/>
  <c r="BM725" i="1"/>
  <c r="AH467" i="1"/>
  <c r="AH2527" i="1"/>
  <c r="BM1619" i="1"/>
  <c r="BM87" i="1"/>
  <c r="AH2520" i="1"/>
  <c r="AH3127" i="1"/>
  <c r="AH2816" i="1"/>
  <c r="BM2682" i="1"/>
  <c r="BM175" i="1"/>
  <c r="AH218" i="1"/>
  <c r="BM2207" i="1"/>
  <c r="BM1488" i="1"/>
  <c r="BM2886" i="1"/>
  <c r="BM2549" i="1"/>
  <c r="BM953" i="1"/>
  <c r="AH329" i="1"/>
  <c r="BM347" i="1"/>
  <c r="BM543" i="1"/>
  <c r="AH470" i="1"/>
  <c r="BM3060" i="1"/>
  <c r="BM138" i="1"/>
  <c r="AH2695" i="1"/>
  <c r="BM1719" i="1"/>
  <c r="AH1496" i="1"/>
  <c r="BM136" i="1"/>
  <c r="AH1155" i="1"/>
  <c r="AH1012" i="1"/>
  <c r="BM1563" i="1"/>
  <c r="AH1314" i="1"/>
  <c r="AH776" i="1"/>
  <c r="AH945" i="1"/>
  <c r="AH2324" i="1"/>
  <c r="BM2189" i="1"/>
  <c r="BM1145" i="1"/>
  <c r="AH2053" i="1"/>
  <c r="AH1909" i="1"/>
  <c r="BM2040" i="1"/>
  <c r="BM2005" i="1"/>
  <c r="AH77" i="1"/>
  <c r="BM1347" i="1"/>
  <c r="AH2556" i="1"/>
  <c r="BM1925" i="1"/>
  <c r="BM20" i="1"/>
  <c r="BM1424" i="1"/>
  <c r="BM2076" i="1"/>
  <c r="AH2876" i="1"/>
  <c r="BM2348" i="1"/>
  <c r="AH379" i="1"/>
  <c r="AH1954" i="1"/>
  <c r="BM1540" i="1"/>
  <c r="AH630" i="1"/>
  <c r="AH361" i="1"/>
  <c r="BM1588" i="1"/>
  <c r="BM1602" i="1"/>
  <c r="AH1841" i="1"/>
  <c r="BM2499" i="1"/>
  <c r="BM1537" i="1"/>
  <c r="BM2351" i="1"/>
  <c r="BM2659" i="1"/>
  <c r="AH2023" i="1"/>
  <c r="BM1749" i="1"/>
  <c r="BM206" i="1"/>
  <c r="BM1738" i="1"/>
  <c r="AH2945" i="1"/>
  <c r="AH2727" i="1"/>
  <c r="BM1496" i="1"/>
  <c r="BM2746" i="1"/>
  <c r="AH754" i="1"/>
  <c r="AH191" i="1"/>
  <c r="BM3010" i="1"/>
  <c r="BM805" i="1"/>
  <c r="AH994" i="1"/>
  <c r="AH2931" i="1"/>
  <c r="BM727" i="1"/>
  <c r="BM2584" i="1"/>
  <c r="BM2488" i="1"/>
  <c r="BM1971" i="1"/>
  <c r="BM688" i="1"/>
  <c r="AH1481" i="1"/>
  <c r="AH84" i="1"/>
  <c r="BM2448" i="1"/>
  <c r="BM1586" i="1"/>
  <c r="BM38" i="1"/>
  <c r="BM2967" i="1"/>
  <c r="BM3097" i="1"/>
  <c r="BM602" i="1"/>
  <c r="AH2878" i="1"/>
  <c r="BM2664" i="1"/>
  <c r="AH2250" i="1"/>
  <c r="AH2908" i="1"/>
  <c r="BM908" i="1"/>
  <c r="BM1129" i="1"/>
  <c r="AH2070" i="1"/>
  <c r="AH2483" i="1"/>
  <c r="AH1245" i="1"/>
  <c r="BM351" i="1"/>
  <c r="BM957" i="1"/>
  <c r="AH2462" i="1"/>
  <c r="BM2989" i="1"/>
  <c r="AH2177" i="1"/>
  <c r="AH2162" i="1"/>
  <c r="AH1357" i="1"/>
  <c r="AH1632" i="1"/>
  <c r="BM1316" i="1"/>
  <c r="BM1730" i="1"/>
  <c r="AH2981" i="1"/>
  <c r="BM2965" i="1"/>
  <c r="AH342" i="1"/>
  <c r="BM783" i="1"/>
  <c r="BM314" i="1"/>
  <c r="BM2991" i="1"/>
  <c r="BM1322" i="1"/>
  <c r="AH1957" i="1"/>
  <c r="BM1137" i="1"/>
  <c r="BM717" i="1"/>
  <c r="AH1344" i="1"/>
  <c r="BM1339" i="1"/>
  <c r="BM1582" i="1"/>
  <c r="BM561" i="1"/>
  <c r="AH1895" i="1"/>
  <c r="AH1170" i="1"/>
  <c r="AH3073" i="1"/>
  <c r="AH2826" i="1"/>
  <c r="BM1601" i="1"/>
  <c r="BM984" i="1"/>
  <c r="BM2461" i="1"/>
  <c r="BM1650" i="1"/>
  <c r="BM1037" i="1"/>
  <c r="AH793" i="1"/>
  <c r="AH107" i="1"/>
  <c r="AH2972" i="1"/>
  <c r="AH2368" i="1"/>
  <c r="AH640" i="1"/>
  <c r="AH2835" i="1"/>
  <c r="BM737" i="1"/>
  <c r="BM1309" i="1"/>
  <c r="BM1826" i="1"/>
  <c r="AH2824" i="1"/>
  <c r="AH1597" i="1"/>
  <c r="AH691" i="1"/>
  <c r="BM1166" i="1"/>
  <c r="AH2069" i="1"/>
  <c r="BM2829" i="1"/>
  <c r="AH224" i="1"/>
  <c r="AH1039" i="1"/>
  <c r="AH250" i="1"/>
  <c r="BM2536" i="1"/>
  <c r="AH2341" i="1"/>
  <c r="BM2109" i="1"/>
  <c r="AH2750" i="1"/>
  <c r="AH2967" i="1"/>
  <c r="BM888" i="1"/>
  <c r="AH913" i="1"/>
  <c r="BM2581" i="1"/>
  <c r="BM2423" i="1"/>
  <c r="BM527" i="1"/>
  <c r="BM3079" i="1"/>
  <c r="BM2521" i="1"/>
  <c r="AH1162" i="1"/>
  <c r="BM1629" i="1"/>
  <c r="BM2008" i="1"/>
  <c r="BM456" i="1"/>
  <c r="BM2042" i="1"/>
  <c r="AH678" i="1"/>
  <c r="AH2057" i="1"/>
  <c r="AH270" i="1"/>
  <c r="BM2484" i="1"/>
  <c r="BM958" i="1"/>
  <c r="BM1510" i="1"/>
  <c r="BM2851" i="1"/>
  <c r="AH1407" i="1"/>
  <c r="BM487" i="1"/>
  <c r="AH1642" i="1"/>
  <c r="AH2747" i="1"/>
  <c r="BM45" i="1"/>
  <c r="BM2637" i="1"/>
  <c r="BM3038" i="1"/>
  <c r="BM710" i="1"/>
  <c r="AH2707" i="1"/>
  <c r="BM1722" i="1"/>
  <c r="BM2847" i="1"/>
  <c r="BM1384" i="1"/>
  <c r="BM1857" i="1"/>
  <c r="BM1183" i="1"/>
  <c r="BM1731" i="1"/>
  <c r="AH223" i="1"/>
  <c r="BM1583" i="1"/>
  <c r="BM2100" i="1"/>
  <c r="BM1341" i="1"/>
  <c r="AH1993" i="1"/>
  <c r="BM1211" i="1"/>
  <c r="BM2691" i="1"/>
  <c r="BM2857" i="1"/>
  <c r="BM1958" i="1"/>
  <c r="AH741" i="1"/>
  <c r="AH1672" i="1"/>
  <c r="AH1097" i="1"/>
  <c r="AH3031" i="1"/>
  <c r="AH1647" i="1"/>
  <c r="BM1417" i="1"/>
  <c r="AH2357" i="1"/>
  <c r="BM1234" i="1"/>
  <c r="AH1468" i="1"/>
  <c r="AH1753" i="1"/>
  <c r="AH2893" i="1"/>
  <c r="AH2753" i="1"/>
  <c r="AH2836" i="1"/>
  <c r="AH995" i="1"/>
  <c r="BM3131" i="1"/>
  <c r="BM2798" i="1"/>
  <c r="BM2912" i="1"/>
  <c r="AH3106" i="1"/>
  <c r="BM2794" i="1"/>
  <c r="BM2563" i="1"/>
  <c r="AH830" i="1"/>
  <c r="AH1724" i="1"/>
  <c r="BM2601" i="1"/>
  <c r="BM891" i="1"/>
  <c r="AH1787" i="1"/>
  <c r="BM571" i="1"/>
  <c r="AH1626" i="1"/>
  <c r="BM932" i="1"/>
  <c r="AH2773" i="1"/>
  <c r="AH1360" i="1"/>
  <c r="AH2347" i="1"/>
  <c r="AH2110" i="1"/>
  <c r="AH1987" i="1"/>
  <c r="AH2770" i="1"/>
  <c r="BM1594" i="1"/>
  <c r="BM964" i="1"/>
  <c r="BM239" i="1"/>
  <c r="BM889" i="1"/>
  <c r="BM336" i="1"/>
  <c r="AH426" i="1"/>
  <c r="BM1038" i="1"/>
  <c r="AH1364" i="1"/>
  <c r="BM2173" i="1"/>
  <c r="AH1498" i="1"/>
  <c r="BM753" i="1"/>
  <c r="BM380" i="1"/>
  <c r="BM1932" i="1"/>
  <c r="BM2617" i="1"/>
  <c r="AH1375" i="1"/>
  <c r="BM1009" i="1"/>
  <c r="BM1315" i="1"/>
  <c r="BM676" i="1"/>
  <c r="BM1451" i="1"/>
  <c r="BM383" i="1"/>
  <c r="BM1159" i="1"/>
  <c r="AH2392" i="1"/>
  <c r="AH1381" i="1"/>
  <c r="BM2307" i="1"/>
  <c r="AH2776" i="1"/>
  <c r="BM1485" i="1"/>
  <c r="AH124" i="1"/>
  <c r="AH1575" i="1"/>
  <c r="BM1302" i="1"/>
  <c r="BM1490" i="1"/>
  <c r="AH1940" i="1"/>
  <c r="AH714" i="1"/>
  <c r="BM929" i="1"/>
  <c r="AH590" i="1"/>
  <c r="BM1877" i="1"/>
  <c r="AH279" i="1"/>
  <c r="BM1061" i="1"/>
  <c r="BM2009" i="1"/>
  <c r="AH46" i="1"/>
  <c r="AH2796" i="1"/>
  <c r="AH2634" i="1"/>
  <c r="AH87" i="1"/>
  <c r="AH1325" i="1"/>
  <c r="BM1212" i="1"/>
  <c r="BM1974" i="1"/>
  <c r="AH16" i="1"/>
  <c r="BM430" i="1"/>
  <c r="BM3034" i="1"/>
  <c r="BM1855" i="1"/>
  <c r="BM803" i="1"/>
  <c r="AH780" i="1"/>
  <c r="BM1796" i="1"/>
  <c r="AH1933" i="1"/>
  <c r="BM1570" i="1"/>
  <c r="AH142" i="1"/>
  <c r="BM1363" i="1"/>
  <c r="AH781" i="1"/>
  <c r="BM137" i="1"/>
  <c r="AH526" i="1"/>
  <c r="BM2618" i="1"/>
  <c r="BM1482" i="1"/>
  <c r="BM1112" i="1"/>
  <c r="AH1329" i="1"/>
  <c r="BM2471" i="1"/>
  <c r="AH839" i="1"/>
  <c r="BM2039" i="1"/>
  <c r="BM1740" i="1"/>
  <c r="BM2153" i="1"/>
  <c r="BM3100" i="1"/>
  <c r="AH1312" i="1"/>
  <c r="AH2985" i="1"/>
  <c r="BM1174" i="1"/>
  <c r="AH187" i="1"/>
  <c r="AH306" i="1"/>
  <c r="AH367" i="1"/>
  <c r="AH2581" i="1"/>
  <c r="AH1032" i="1"/>
  <c r="BM2848" i="1"/>
  <c r="AH1504" i="1"/>
  <c r="AH1961" i="1"/>
  <c r="AH58" i="1"/>
  <c r="BM1647" i="1"/>
  <c r="BM183" i="1"/>
  <c r="AH1348" i="1"/>
  <c r="AH3113" i="1"/>
  <c r="BM1197" i="1"/>
  <c r="AH928" i="1"/>
  <c r="AH591" i="1"/>
  <c r="BM1706" i="1"/>
  <c r="AH812" i="1"/>
  <c r="AH2924" i="1"/>
  <c r="AH556" i="1"/>
  <c r="AH255" i="1"/>
  <c r="AH237" i="1"/>
  <c r="AH3065" i="1"/>
  <c r="AH1034" i="1"/>
  <c r="BM990" i="1"/>
  <c r="AH1976" i="1"/>
  <c r="BM459" i="1"/>
  <c r="BM1254" i="1"/>
  <c r="AH49" i="1"/>
  <c r="AH700" i="1"/>
  <c r="AH1145" i="1"/>
  <c r="BM433" i="1"/>
  <c r="BM959" i="1"/>
  <c r="AH1118" i="1"/>
  <c r="AH2768" i="1"/>
  <c r="BM1334" i="1"/>
  <c r="AH514" i="1"/>
  <c r="AH515" i="1"/>
  <c r="AH98" i="1"/>
  <c r="AH2602" i="1"/>
  <c r="AH1255" i="1"/>
  <c r="AH1716" i="1"/>
  <c r="BM2917" i="1"/>
  <c r="BM2743" i="1"/>
  <c r="BM3049" i="1"/>
  <c r="AH3075" i="1"/>
  <c r="AH419" i="1"/>
  <c r="BM2502" i="1"/>
  <c r="AH2155" i="1"/>
  <c r="AH605" i="1"/>
  <c r="BM2718" i="1"/>
  <c r="BM2846" i="1"/>
  <c r="AH1943" i="1"/>
  <c r="BM1559" i="1"/>
  <c r="BM189" i="1"/>
  <c r="AH1211" i="1"/>
  <c r="AH1806" i="1"/>
  <c r="BM2802" i="1"/>
  <c r="BM884" i="1"/>
  <c r="BM3024" i="1"/>
  <c r="AH2405" i="1"/>
  <c r="BM856" i="1"/>
  <c r="AH2766" i="1"/>
  <c r="BM1607" i="1"/>
  <c r="AH2420" i="1"/>
  <c r="AH1281" i="1"/>
  <c r="AH315" i="1"/>
  <c r="AH709" i="1"/>
  <c r="AH2138" i="1"/>
  <c r="BM344" i="1"/>
  <c r="BM2058" i="1"/>
  <c r="AH1252" i="1"/>
  <c r="AH2812" i="1"/>
  <c r="BM345" i="1"/>
  <c r="AH2601" i="1"/>
  <c r="BM1235" i="1"/>
  <c r="AH1339" i="1"/>
  <c r="BM2477" i="1"/>
  <c r="BM2489" i="1"/>
  <c r="AH2743" i="1"/>
  <c r="BM330" i="1"/>
  <c r="BM2078" i="1"/>
  <c r="BM1587" i="1"/>
  <c r="BM581" i="1"/>
  <c r="BM1362" i="1"/>
  <c r="AH1279" i="1"/>
  <c r="BM1000" i="1"/>
  <c r="AH2018" i="1"/>
  <c r="BM102" i="1"/>
  <c r="BM482" i="1"/>
  <c r="AH2113" i="1"/>
  <c r="AH397" i="1"/>
  <c r="AH707" i="1"/>
  <c r="BM798" i="1"/>
  <c r="AH2107" i="1"/>
  <c r="BM1142" i="1"/>
  <c r="AH1770" i="1"/>
  <c r="AH2861" i="1"/>
  <c r="AH2538" i="1"/>
  <c r="AH1052" i="1"/>
  <c r="AH1479" i="1"/>
  <c r="AH158" i="1"/>
  <c r="AH2953" i="1"/>
  <c r="AH2926" i="1"/>
  <c r="AH2363" i="1"/>
  <c r="BM1782" i="1"/>
  <c r="AH1430" i="1"/>
  <c r="BM3112" i="1"/>
  <c r="AH1154" i="1"/>
  <c r="BM2249" i="1"/>
  <c r="BM1895" i="1"/>
  <c r="AH1999" i="1"/>
  <c r="BM2329" i="1"/>
  <c r="AH434" i="1"/>
  <c r="AH299" i="1"/>
  <c r="BM2697" i="1"/>
  <c r="AH1038" i="1"/>
  <c r="AH2643" i="1"/>
  <c r="BM293" i="1"/>
  <c r="BM1242" i="1"/>
  <c r="BM1303" i="1"/>
  <c r="AH2203" i="1"/>
  <c r="AH1639" i="1"/>
  <c r="AH1020" i="1"/>
  <c r="BM1615" i="1"/>
  <c r="BM72" i="1"/>
  <c r="AH3061" i="1"/>
  <c r="AH2696" i="1"/>
  <c r="BM188" i="1"/>
  <c r="AH1556" i="1"/>
  <c r="AH322" i="1"/>
  <c r="BM2749" i="1"/>
  <c r="BM2529" i="1"/>
  <c r="AH1028" i="1"/>
  <c r="AH1402" i="1"/>
  <c r="BM416" i="1"/>
  <c r="AH1704" i="1"/>
  <c r="AH1397" i="1"/>
  <c r="AH2263" i="1"/>
  <c r="BM2894" i="1"/>
  <c r="AH2026" i="1"/>
  <c r="BM3130" i="1"/>
  <c r="AH1835" i="1"/>
  <c r="AH2123" i="1"/>
  <c r="AH1990" i="1"/>
  <c r="AH2859" i="1"/>
  <c r="AH1016" i="1"/>
  <c r="AH1500" i="1"/>
  <c r="BM392" i="1"/>
  <c r="BM388" i="1"/>
  <c r="AH145" i="1"/>
  <c r="AH2697" i="1"/>
  <c r="BM200" i="1"/>
  <c r="AH2131" i="1"/>
  <c r="BM595" i="1"/>
  <c r="AH1511" i="1"/>
  <c r="AH3013" i="1"/>
  <c r="AH454" i="1"/>
  <c r="BM2739" i="1"/>
  <c r="BM2799" i="1"/>
  <c r="AH2045" i="1"/>
  <c r="BM895" i="1"/>
  <c r="BM1069" i="1"/>
  <c r="BM771" i="1"/>
  <c r="BM670" i="1"/>
  <c r="BM589" i="1"/>
  <c r="BM131" i="1"/>
  <c r="BM1636" i="1"/>
  <c r="AH3121" i="1"/>
  <c r="AH2535" i="1"/>
  <c r="AH1547" i="1"/>
  <c r="BM1457" i="1"/>
  <c r="BM396" i="1"/>
  <c r="BM1637" i="1"/>
  <c r="BM1807" i="1"/>
  <c r="AH2148" i="1"/>
  <c r="BM149" i="1"/>
  <c r="AH1011" i="1"/>
  <c r="BM1515" i="1"/>
  <c r="BM918" i="1"/>
  <c r="AH1859" i="1"/>
  <c r="AH1447" i="1"/>
  <c r="AH1818" i="1"/>
  <c r="BM508" i="1"/>
  <c r="AH1457" i="1"/>
  <c r="BM316" i="1"/>
  <c r="BM1604" i="1"/>
  <c r="AH1501" i="1"/>
  <c r="BM1973" i="1"/>
  <c r="BM2577" i="1"/>
  <c r="BM2075" i="1"/>
  <c r="BM235" i="1"/>
  <c r="BM1314" i="1"/>
  <c r="AH1522" i="1"/>
  <c r="AH1696" i="1"/>
  <c r="AH1998" i="1"/>
  <c r="AH2725" i="1"/>
  <c r="AH1793" i="1"/>
  <c r="AH169" i="1"/>
  <c r="BM2522" i="1"/>
  <c r="AH2526" i="1"/>
  <c r="AH955" i="1"/>
  <c r="BM1997" i="1"/>
  <c r="BM3140" i="1"/>
  <c r="BM3030" i="1"/>
  <c r="AH1323" i="1"/>
  <c r="BM2055" i="1"/>
  <c r="AH2677" i="1"/>
  <c r="BM118" i="1"/>
  <c r="AH149" i="1"/>
  <c r="BM1597" i="1"/>
  <c r="BM2810" i="1"/>
  <c r="AH1713" i="1"/>
  <c r="BM1990" i="1"/>
  <c r="BM434" i="1"/>
  <c r="BM2692" i="1"/>
  <c r="BM666" i="1"/>
  <c r="AH3109" i="1"/>
  <c r="AH2268" i="1"/>
  <c r="AH1678" i="1"/>
  <c r="BM1553" i="1"/>
  <c r="AH2896" i="1"/>
  <c r="AH1507" i="1"/>
  <c r="BM2116" i="1"/>
  <c r="BM1477" i="1"/>
  <c r="BM631" i="1"/>
  <c r="AH2937" i="1"/>
  <c r="AH697" i="1"/>
  <c r="BM1028" i="1"/>
  <c r="BM2717" i="1"/>
  <c r="AH3094" i="1"/>
  <c r="AH1604" i="1"/>
  <c r="AH582" i="1"/>
  <c r="AH475" i="1"/>
  <c r="BM1062" i="1"/>
  <c r="AH2724" i="1"/>
  <c r="BM1727" i="1"/>
  <c r="BM2804" i="1"/>
  <c r="AH2929" i="1"/>
  <c r="AH236" i="1"/>
  <c r="BM1444" i="1"/>
  <c r="AH62" i="1"/>
  <c r="AH1177" i="1"/>
  <c r="BM1414" i="1"/>
  <c r="AH2171" i="1"/>
  <c r="BM51" i="1"/>
  <c r="BM2765" i="1"/>
  <c r="BM2639" i="1"/>
  <c r="AH1864" i="1"/>
  <c r="BM650" i="1"/>
  <c r="BM897" i="1"/>
  <c r="AH3085" i="1"/>
  <c r="AH2293" i="1"/>
  <c r="BM3074" i="1"/>
  <c r="BM2369" i="1"/>
  <c r="AH1233" i="1"/>
  <c r="BM1716" i="1"/>
  <c r="AH1654" i="1"/>
  <c r="AH388" i="1"/>
  <c r="AH2986" i="1"/>
  <c r="BM3009" i="1"/>
  <c r="BM735" i="1"/>
  <c r="BM1628" i="1"/>
  <c r="BM1128" i="1"/>
  <c r="AH2082" i="1"/>
  <c r="BM526" i="1"/>
  <c r="AH2469" i="1"/>
  <c r="AH2946" i="1"/>
  <c r="BM1064" i="1"/>
  <c r="BM789" i="1"/>
  <c r="AH518" i="1"/>
  <c r="AH2464" i="1"/>
  <c r="AH3018" i="1"/>
  <c r="BM1758" i="1"/>
  <c r="BM2012" i="1"/>
  <c r="BM1547" i="1"/>
  <c r="AH2999" i="1"/>
  <c r="BM321" i="1"/>
  <c r="BM2065" i="1"/>
  <c r="AH1699" i="1"/>
  <c r="AH1641" i="1"/>
  <c r="AH1944" i="1"/>
  <c r="AH3135" i="1"/>
  <c r="BM342" i="1"/>
  <c r="BM965" i="1"/>
  <c r="BM2458" i="1"/>
  <c r="AH1581" i="1"/>
  <c r="AH1486" i="1"/>
  <c r="BM262" i="1"/>
  <c r="AH992" i="1"/>
  <c r="BM2615" i="1"/>
  <c r="BM2408" i="1"/>
  <c r="AH1139" i="1"/>
  <c r="AH2264" i="1"/>
  <c r="BM481" i="1"/>
  <c r="BM1013" i="1"/>
  <c r="BM656" i="1"/>
  <c r="BM65" i="1"/>
  <c r="AH823" i="1"/>
  <c r="AH2097" i="1"/>
  <c r="AH2966" i="1"/>
  <c r="BM1029" i="1"/>
  <c r="AH2901" i="1"/>
  <c r="AH167" i="1"/>
  <c r="AH2042" i="1"/>
  <c r="AH1042" i="1"/>
  <c r="AH125" i="1"/>
  <c r="BM2662" i="1"/>
  <c r="AH687" i="1"/>
  <c r="AH2980" i="1"/>
  <c r="AH2739" i="1"/>
  <c r="BM1666" i="1"/>
  <c r="BM1849" i="1"/>
  <c r="BM554" i="1"/>
  <c r="BM308" i="1"/>
  <c r="BM2750" i="1"/>
  <c r="AH2611" i="1"/>
  <c r="BM1798" i="1"/>
  <c r="AH295" i="1"/>
  <c r="AH620" i="1"/>
  <c r="BM1649" i="1"/>
  <c r="BM2790" i="1"/>
  <c r="BM2493" i="1"/>
  <c r="BM1886" i="1"/>
  <c r="AH1414" i="1"/>
  <c r="BM1036" i="1"/>
  <c r="AH3009" i="1"/>
  <c r="AH2898" i="1"/>
  <c r="BM2978" i="1"/>
  <c r="BM2021" i="1"/>
  <c r="AH362" i="1"/>
  <c r="AH479" i="1"/>
  <c r="BM1462" i="1"/>
  <c r="AH2222" i="1"/>
  <c r="AH2134" i="1"/>
  <c r="AH1450" i="1"/>
  <c r="AH658" i="1"/>
  <c r="AH1361" i="1"/>
  <c r="BM1109" i="1"/>
  <c r="AH473" i="1"/>
  <c r="BM2769" i="1"/>
  <c r="AH1814" i="1"/>
  <c r="BM285" i="1"/>
  <c r="BM2186" i="1"/>
  <c r="AH2476" i="1"/>
  <c r="BM890" i="1"/>
  <c r="BM288" i="1"/>
  <c r="BM498" i="1"/>
  <c r="AH2302" i="1"/>
  <c r="BM770" i="1"/>
  <c r="BM226" i="1"/>
  <c r="AH2258" i="1"/>
  <c r="BM2382" i="1"/>
  <c r="AH1405" i="1"/>
  <c r="AH1384" i="1"/>
  <c r="AH1477" i="1"/>
  <c r="BM1022" i="1"/>
  <c r="BM1514" i="1"/>
  <c r="BM207" i="1"/>
  <c r="AH27" i="1"/>
  <c r="AH602" i="1"/>
  <c r="BM263" i="1"/>
  <c r="AH2506" i="1"/>
  <c r="BM2003" i="1"/>
  <c r="AH372" i="1"/>
  <c r="BM2160" i="1"/>
  <c r="BM255" i="1"/>
  <c r="AH1585" i="1"/>
  <c r="AH304" i="1"/>
  <c r="AH2232" i="1"/>
  <c r="BM1899" i="1"/>
  <c r="AH2492" i="1"/>
  <c r="BM1924" i="1"/>
  <c r="AH2025" i="1"/>
  <c r="BM444" i="1"/>
  <c r="AH1532" i="1"/>
  <c r="BM387" i="1"/>
  <c r="BM1850" i="1"/>
  <c r="AH182" i="1"/>
  <c r="AH488" i="1"/>
  <c r="AH1031" i="1"/>
  <c r="BM1961" i="1"/>
  <c r="BM610" i="1"/>
  <c r="BM1328" i="1"/>
  <c r="BM745" i="1"/>
  <c r="BM1346" i="1"/>
  <c r="AH1379" i="1"/>
  <c r="BM3076" i="1"/>
  <c r="AH2863" i="1"/>
  <c r="AH1728" i="1"/>
  <c r="BM192" i="1"/>
  <c r="BM1809" i="1"/>
  <c r="AH2079" i="1"/>
  <c r="BM1083" i="1"/>
  <c r="AH1185" i="1"/>
  <c r="AH2342" i="1"/>
  <c r="AH1013" i="1"/>
  <c r="AH1151" i="1"/>
  <c r="AH1182" i="1"/>
  <c r="BM576" i="1"/>
  <c r="BM13" i="1"/>
  <c r="AH1229" i="1"/>
  <c r="BM593" i="1"/>
  <c r="AH1238" i="1"/>
  <c r="AH168" i="1"/>
  <c r="AH2214" i="1"/>
  <c r="BM533" i="1"/>
  <c r="AH3024" i="1"/>
  <c r="BM2048" i="1"/>
  <c r="AH1949" i="1"/>
  <c r="AH2314" i="1"/>
  <c r="AH2180" i="1"/>
  <c r="AH659" i="1"/>
  <c r="BM1795" i="1"/>
  <c r="AH1206" i="1"/>
  <c r="AH2423" i="1"/>
  <c r="BM3008" i="1"/>
  <c r="AH2054" i="1"/>
  <c r="AH1104" i="1"/>
  <c r="AH1386" i="1"/>
  <c r="AH1377" i="1"/>
  <c r="BM2362" i="1"/>
  <c r="AH617" i="1"/>
  <c r="AH2932" i="1"/>
  <c r="AH702" i="1"/>
  <c r="BM530" i="1"/>
  <c r="AH259" i="1"/>
  <c r="AH121" i="1"/>
  <c r="AH1605" i="1"/>
  <c r="BM3144" i="1"/>
  <c r="AH1143" i="1"/>
  <c r="AH3126" i="1"/>
  <c r="AH1625" i="1"/>
  <c r="AH2688" i="1"/>
  <c r="AH1964" i="1"/>
  <c r="AH2735" i="1"/>
  <c r="AH1215" i="1"/>
  <c r="BM1143" i="1"/>
  <c r="AH631" i="1"/>
  <c r="AH2086" i="1"/>
  <c r="BM2344" i="1"/>
  <c r="BM1697" i="1"/>
  <c r="AH1326" i="1"/>
  <c r="BM2500" i="1"/>
  <c r="BM867" i="1"/>
  <c r="AH305" i="1"/>
  <c r="BM18" i="1"/>
  <c r="AH2583" i="1"/>
  <c r="BM2175" i="1"/>
  <c r="BM1822" i="1"/>
  <c r="AH1767" i="1"/>
  <c r="BM422" i="1"/>
  <c r="AH2050" i="1"/>
  <c r="AH2007" i="1"/>
  <c r="BM523" i="1"/>
  <c r="AH715" i="1"/>
  <c r="AH484" i="1"/>
  <c r="AH184" i="1"/>
  <c r="BM2580" i="1"/>
  <c r="AH24" i="1"/>
  <c r="AH711" i="1"/>
  <c r="AH625" i="1"/>
  <c r="BM1777" i="1"/>
  <c r="BM2278" i="1"/>
  <c r="AH1289" i="1"/>
  <c r="BM2314" i="1"/>
  <c r="AH242" i="1"/>
  <c r="BM1998" i="1"/>
  <c r="BM1996" i="1"/>
  <c r="AH2850" i="1"/>
  <c r="AH1292" i="1"/>
  <c r="AH939" i="1"/>
  <c r="AH1478" i="1"/>
  <c r="BM852" i="1"/>
  <c r="AH340" i="1"/>
  <c r="AH1169" i="1"/>
  <c r="AH1433" i="1"/>
  <c r="AH161" i="1"/>
  <c r="AH977" i="1"/>
  <c r="BM370" i="1"/>
  <c r="BM2878" i="1"/>
  <c r="AH2291" i="1"/>
  <c r="AH2247" i="1"/>
  <c r="AH1216" i="1"/>
  <c r="AH2564" i="1"/>
  <c r="BM904" i="1"/>
  <c r="AH1609" i="1"/>
  <c r="BM1474" i="1"/>
  <c r="BM1585" i="1"/>
  <c r="AH425" i="1"/>
  <c r="AH392" i="1"/>
  <c r="BM1883" i="1"/>
  <c r="AH1875" i="1"/>
  <c r="AH933" i="1"/>
  <c r="AH1212" i="1"/>
  <c r="BM1630" i="1"/>
  <c r="BM3048" i="1"/>
  <c r="BM254" i="1"/>
  <c r="BM513" i="1"/>
  <c r="AH2689" i="1"/>
  <c r="AH1698" i="1"/>
  <c r="BM763" i="1"/>
  <c r="AH2239" i="1"/>
  <c r="BM426" i="1"/>
  <c r="AH2839" i="1"/>
  <c r="BM1101" i="1"/>
  <c r="AH712" i="1"/>
  <c r="AH2354" i="1"/>
  <c r="AH1763" i="1"/>
  <c r="BM278" i="1"/>
  <c r="AH2628" i="1"/>
  <c r="BM367" i="1"/>
  <c r="BM1221" i="1"/>
  <c r="BM3148" i="1"/>
  <c r="BM2596" i="1"/>
  <c r="BM1454" i="1"/>
  <c r="BM632" i="1"/>
  <c r="AH566" i="1"/>
  <c r="BM1968" i="1"/>
  <c r="AH2249" i="1"/>
  <c r="BM868" i="1"/>
  <c r="BM2674" i="1"/>
  <c r="AH2557" i="1"/>
  <c r="BM1527" i="1"/>
  <c r="AH2801" i="1"/>
  <c r="BM1627" i="1"/>
  <c r="AH2996" i="1"/>
  <c r="BM259" i="1"/>
  <c r="AH1146" i="1"/>
  <c r="BM23" i="1"/>
  <c r="BM1676" i="1"/>
  <c r="AH2114" i="1"/>
  <c r="AH673" i="1"/>
  <c r="AH1822" i="1"/>
  <c r="AH335" i="1"/>
  <c r="AH282" i="1"/>
  <c r="AH1951" i="1"/>
  <c r="AH1295" i="1"/>
  <c r="AH837" i="1"/>
  <c r="AH2145" i="1"/>
  <c r="BM1222" i="1"/>
  <c r="BM2897" i="1"/>
  <c r="AH2318" i="1"/>
  <c r="AH380" i="1"/>
  <c r="BM967" i="1"/>
  <c r="AH2787" i="1"/>
  <c r="BM193" i="1"/>
  <c r="AH1053" i="1"/>
  <c r="AH2519" i="1"/>
  <c r="AH2741" i="1"/>
  <c r="BM1057" i="1"/>
  <c r="BM2247" i="1"/>
  <c r="AH2434" i="1"/>
  <c r="AH534" i="1"/>
  <c r="AH2271" i="1"/>
  <c r="AH765" i="1"/>
  <c r="AH2153" i="1"/>
  <c r="AH119" i="1"/>
  <c r="BM2385" i="1"/>
  <c r="BM2770" i="1"/>
  <c r="AH349" i="1"/>
  <c r="BM1208" i="1"/>
  <c r="BM741" i="1"/>
  <c r="AH1658" i="1"/>
  <c r="AH2935" i="1"/>
  <c r="BM2390" i="1"/>
  <c r="AH969" i="1"/>
  <c r="BM2633" i="1"/>
  <c r="BM2678" i="1"/>
  <c r="BM2924" i="1"/>
  <c r="BM1873" i="1"/>
  <c r="BM1023" i="1"/>
  <c r="BM2850" i="1"/>
  <c r="AH2502" i="1"/>
  <c r="AH1886" i="1"/>
  <c r="AH485" i="1"/>
  <c r="AH993" i="1"/>
  <c r="BM505" i="1"/>
  <c r="AH2088" i="1"/>
  <c r="BM341" i="1"/>
  <c r="BM644" i="1"/>
  <c r="BM546" i="1"/>
  <c r="AH99" i="1"/>
  <c r="AH944" i="1"/>
  <c r="BM1811" i="1"/>
  <c r="AH683" i="1"/>
  <c r="BM2840" i="1"/>
  <c r="BM1369" i="1"/>
  <c r="AH713" i="1"/>
  <c r="AH334" i="1"/>
  <c r="BM1945" i="1"/>
  <c r="BM76" i="1"/>
  <c r="BM757" i="1"/>
  <c r="AH2294" i="1"/>
  <c r="AH2577" i="1"/>
  <c r="AH1572" i="1"/>
  <c r="BM1783" i="1"/>
  <c r="AH2172" i="1"/>
  <c r="BM2984" i="1"/>
  <c r="BM2940" i="1"/>
  <c r="AH2509" i="1"/>
  <c r="AH230" i="1"/>
  <c r="BM841" i="1"/>
  <c r="AH2769" i="1"/>
  <c r="BM1338" i="1"/>
  <c r="BM260" i="1"/>
  <c r="AH820" i="1"/>
  <c r="BM686" i="1"/>
  <c r="BM2479" i="1"/>
  <c r="BM948" i="1"/>
  <c r="BM1779" i="1"/>
  <c r="AH772" i="1"/>
  <c r="BM1181" i="1"/>
  <c r="AH954" i="1"/>
  <c r="BM2608" i="1"/>
  <c r="AH1164" i="1"/>
  <c r="BM43" i="1"/>
  <c r="BM1005" i="1"/>
  <c r="AH790" i="1"/>
  <c r="AH2713" i="1"/>
  <c r="AH2403" i="1"/>
  <c r="AH2902" i="1"/>
  <c r="BM1050" i="1"/>
  <c r="AH356" i="1"/>
  <c r="BM1076" i="1"/>
  <c r="BM2531" i="1"/>
  <c r="AH1317" i="1"/>
  <c r="BM2122" i="1"/>
  <c r="BM684" i="1"/>
  <c r="AH1061" i="1"/>
  <c r="BM1330" i="1"/>
  <c r="BM1188" i="1"/>
  <c r="BM2264" i="1"/>
  <c r="AH2056" i="1"/>
  <c r="BM1533" i="1"/>
  <c r="BM2013" i="1"/>
  <c r="AH2873" i="1"/>
  <c r="AH2431" i="1"/>
  <c r="AH123" i="1"/>
  <c r="BM2845" i="1"/>
  <c r="BM352" i="1"/>
  <c r="AH458" i="1"/>
  <c r="AH465" i="1"/>
  <c r="BM2744" i="1"/>
  <c r="BM2821" i="1"/>
  <c r="BM2331" i="1"/>
  <c r="AH2567" i="1"/>
  <c r="AH553" i="1"/>
  <c r="AH2087" i="1"/>
  <c r="BM943" i="1"/>
  <c r="BM2273" i="1"/>
  <c r="AH2413" i="1"/>
  <c r="BM1175" i="1"/>
  <c r="AH2909" i="1"/>
  <c r="BM1950" i="1"/>
  <c r="AH2328" i="1"/>
  <c r="BM2079" i="1"/>
  <c r="BM2586" i="1"/>
  <c r="BM3041" i="1"/>
  <c r="BM1119" i="1"/>
  <c r="AH761" i="1"/>
  <c r="BM2602" i="1"/>
  <c r="AH100" i="1"/>
  <c r="AH102" i="1"/>
  <c r="AH561" i="1"/>
  <c r="BM2451" i="1"/>
  <c r="AH1472" i="1"/>
  <c r="AH2633" i="1"/>
  <c r="AH440" i="1"/>
  <c r="AH1033" i="1"/>
  <c r="BM1592" i="1"/>
  <c r="BM559" i="1"/>
  <c r="BM1017" i="1"/>
  <c r="BM2756" i="1"/>
  <c r="AH3026" i="1"/>
  <c r="AH408" i="1"/>
  <c r="BM2486" i="1"/>
  <c r="AH2228" i="1"/>
  <c r="AH2325" i="1"/>
  <c r="AH2167" i="1"/>
  <c r="AH1086" i="1"/>
  <c r="BM2760" i="1"/>
  <c r="AH2370" i="1"/>
  <c r="AH743" i="1"/>
  <c r="BM2081" i="1"/>
  <c r="BM2715" i="1"/>
  <c r="AH2146" i="1"/>
  <c r="BM618" i="1"/>
  <c r="BM2470" i="1"/>
  <c r="BM1014" i="1"/>
  <c r="BM3075" i="1"/>
  <c r="BM1691" i="1"/>
  <c r="BM1215" i="1"/>
  <c r="AH2545" i="1"/>
  <c r="AH2777" i="1"/>
  <c r="AH2900" i="1"/>
  <c r="BM1890" i="1"/>
  <c r="AH3028" i="1"/>
  <c r="AH1844" i="1"/>
  <c r="AH988" i="1"/>
  <c r="AH3007" i="1"/>
  <c r="AH2548" i="1"/>
  <c r="BM3118" i="1"/>
  <c r="AH2630" i="1"/>
  <c r="AH146" i="1"/>
  <c r="BM2441" i="1"/>
  <c r="AH2282" i="1"/>
  <c r="AH2005" i="1"/>
  <c r="BM2934" i="1"/>
  <c r="BM892" i="1"/>
  <c r="AH607" i="1"/>
  <c r="BM1670" i="1"/>
  <c r="BM648" i="1"/>
  <c r="AH2290" i="1"/>
  <c r="BM2473" i="1"/>
  <c r="AH742" i="1"/>
  <c r="AH1939" i="1"/>
  <c r="AH441" i="1"/>
  <c r="AH2867" i="1"/>
  <c r="AH2762" i="1"/>
  <c r="BM1321" i="1"/>
  <c r="BM2742" i="1"/>
  <c r="AH1259" i="1"/>
  <c r="AH674" i="1"/>
  <c r="BM1447" i="1"/>
  <c r="AH369" i="1"/>
  <c r="AH952" i="1"/>
  <c r="BM879" i="1"/>
  <c r="AH1789" i="1"/>
  <c r="BM2951" i="1"/>
  <c r="AH1666" i="1"/>
  <c r="AH1223" i="1"/>
  <c r="AH2377" i="1"/>
  <c r="BM2044" i="1"/>
  <c r="AH1176" i="1"/>
  <c r="AH2210" i="1"/>
  <c r="BM3055" i="1"/>
  <c r="BM1193" i="1"/>
  <c r="AH541" i="1"/>
  <c r="AH1777" i="1"/>
  <c r="AH2842" i="1"/>
  <c r="AH2034" i="1"/>
  <c r="AH833" i="1"/>
  <c r="BM2146" i="1"/>
  <c r="AH1112" i="1"/>
  <c r="BM1593" i="1"/>
  <c r="AH2958" i="1"/>
  <c r="BM2827" i="1"/>
  <c r="AH1444" i="1"/>
  <c r="BM1918" i="1"/>
  <c r="AH1766" i="1"/>
  <c r="AH1163" i="1"/>
  <c r="AH1208" i="1"/>
  <c r="BM691" i="1"/>
  <c r="AH2141" i="1"/>
  <c r="BM629" i="1"/>
  <c r="BM63" i="1"/>
  <c r="BM1555" i="1"/>
  <c r="AH1659" i="1"/>
  <c r="AH794" i="1"/>
  <c r="AH1303" i="1"/>
  <c r="BM1737" i="1"/>
  <c r="AH2422" i="1"/>
  <c r="BM1613" i="1"/>
  <c r="AH2669" i="1"/>
  <c r="AH1941" i="1"/>
  <c r="BM2703" i="1"/>
  <c r="BM657" i="1"/>
  <c r="AH251" i="1"/>
  <c r="AH1367" i="1"/>
  <c r="BM97" i="1"/>
  <c r="AH1725" i="1"/>
  <c r="AH3089" i="1"/>
  <c r="BM760" i="1"/>
  <c r="AH3045" i="1"/>
  <c r="AH733" i="1"/>
  <c r="AH2572" i="1"/>
  <c r="BM1115" i="1"/>
  <c r="AH1628" i="1"/>
  <c r="BM1949" i="1"/>
  <c r="BM2772" i="1"/>
  <c r="BM804" i="1"/>
  <c r="AH2061" i="1"/>
  <c r="BM3089" i="1"/>
  <c r="BM2766" i="1"/>
  <c r="BM807" i="1"/>
  <c r="AH1110" i="1"/>
  <c r="BM437" i="1"/>
  <c r="AH1341" i="1"/>
  <c r="BM2378" i="1"/>
  <c r="AH1635" i="1"/>
  <c r="AH2301" i="1"/>
  <c r="BM186" i="1"/>
  <c r="AH1274" i="1"/>
  <c r="AH468" i="1"/>
  <c r="AH374" i="1"/>
  <c r="AH2637" i="1"/>
  <c r="AH60" i="1"/>
  <c r="BM1473" i="1"/>
  <c r="AH2470" i="1"/>
  <c r="AH609" i="1"/>
  <c r="AH266" i="1"/>
  <c r="AH2705" i="1"/>
  <c r="BM2133" i="1"/>
  <c r="BM1840" i="1"/>
  <c r="AH560" i="1"/>
  <c r="BM2233" i="1"/>
  <c r="BM2554" i="1"/>
  <c r="BM1375" i="1"/>
  <c r="BM2849" i="1"/>
  <c r="AH1923" i="1"/>
  <c r="AH2473" i="1"/>
  <c r="BM1614" i="1"/>
  <c r="AH152" i="1"/>
  <c r="AH1902" i="1"/>
  <c r="BM2187" i="1"/>
  <c r="BM881" i="1"/>
  <c r="BM1256" i="1"/>
  <c r="BM1053" i="1"/>
  <c r="AH1263" i="1"/>
  <c r="BM2516" i="1"/>
  <c r="BM2741" i="1"/>
  <c r="BM42" i="1"/>
  <c r="BM2016" i="1"/>
  <c r="BM978" i="1"/>
  <c r="AH1959" i="1"/>
  <c r="AH2726" i="1"/>
  <c r="BM3145" i="1"/>
  <c r="AH2374" i="1"/>
  <c r="AH2844" i="1"/>
  <c r="BM1831" i="1"/>
  <c r="BM2155" i="1"/>
  <c r="AH243" i="1"/>
  <c r="BM2975" i="1"/>
  <c r="BM268" i="1"/>
  <c r="BM1834" i="1"/>
  <c r="BM2518" i="1"/>
  <c r="AH827" i="1"/>
  <c r="BM1926" i="1"/>
  <c r="AH1911" i="1"/>
  <c r="AH1697" i="1"/>
  <c r="AH1137" i="1"/>
  <c r="AH418" i="1"/>
  <c r="BM921" i="1"/>
  <c r="AH115" i="1"/>
  <c r="BM418" i="1"/>
  <c r="AH1149" i="1"/>
  <c r="BM107" i="1"/>
  <c r="AH1903" i="1"/>
  <c r="BM15" i="1"/>
  <c r="AH1240" i="1"/>
  <c r="BM905" i="1"/>
  <c r="BM1307" i="1"/>
  <c r="AH2662" i="1"/>
  <c r="BM2019" i="1"/>
  <c r="AH2840" i="1"/>
  <c r="BM1635" i="1"/>
  <c r="BM2669" i="1"/>
  <c r="BM3032" i="1"/>
  <c r="BM695" i="1"/>
  <c r="AH1318" i="1"/>
  <c r="BM573" i="1"/>
  <c r="AH850" i="1"/>
  <c r="BM1073" i="1"/>
  <c r="AH1649" i="1"/>
  <c r="AH527" i="1"/>
  <c r="BM349" i="1"/>
  <c r="AH2439" i="1"/>
  <c r="AH2404" i="1"/>
  <c r="AH2614" i="1"/>
  <c r="BM1967" i="1"/>
  <c r="BM1579" i="1"/>
  <c r="BM2920" i="1"/>
  <c r="AH384" i="1"/>
  <c r="BM2069" i="1"/>
  <c r="BM2092" i="1"/>
  <c r="AH848" i="1"/>
  <c r="AH1219" i="1"/>
  <c r="AH2175" i="1"/>
  <c r="BM1797" i="1"/>
  <c r="BM1870" i="1"/>
  <c r="AH118" i="1"/>
  <c r="AH2703" i="1"/>
  <c r="BM1004" i="1"/>
  <c r="BM1544" i="1"/>
  <c r="BM2026" i="1"/>
  <c r="AH723" i="1"/>
  <c r="AH2226" i="1"/>
  <c r="AH1368" i="1"/>
  <c r="AH1860" i="1"/>
  <c r="AH622" i="1"/>
  <c r="AH2494" i="1"/>
  <c r="BM1131" i="1"/>
  <c r="AH1060" i="1"/>
  <c r="BM2578" i="1"/>
  <c r="AH73" i="1"/>
  <c r="AH1653" i="1"/>
  <c r="AH989" i="1"/>
  <c r="AH429" i="1"/>
  <c r="BM2340" i="1"/>
  <c r="AH1491" i="1"/>
  <c r="BM997" i="1"/>
  <c r="BM2665" i="1"/>
  <c r="BM410" i="1"/>
  <c r="AH577" i="1"/>
  <c r="AH975" i="1"/>
  <c r="AH1971" i="1"/>
  <c r="AH685" i="1"/>
  <c r="BM2422" i="1"/>
  <c r="BM1511" i="1"/>
  <c r="BM488" i="1"/>
  <c r="AH2684" i="1"/>
  <c r="AH648" i="1"/>
  <c r="AH407" i="1"/>
  <c r="AH1283" i="1"/>
  <c r="AH654" i="1"/>
  <c r="AH2111" i="1"/>
  <c r="AH2639" i="1"/>
  <c r="AH854" i="1"/>
  <c r="AH1202" i="1"/>
  <c r="BM1134" i="1"/>
  <c r="AH1362" i="1"/>
  <c r="BM1813" i="1"/>
  <c r="AH2748" i="1"/>
  <c r="AH1794" i="1"/>
  <c r="BM1019" i="1"/>
  <c r="AH1627" i="1"/>
  <c r="BM212" i="1"/>
  <c r="AH1452" i="1"/>
  <c r="BM2415" i="1"/>
  <c r="BM703" i="1"/>
  <c r="BM385" i="1"/>
  <c r="AH267" i="1"/>
  <c r="BM1893" i="1"/>
  <c r="AH1926" i="1"/>
  <c r="BM1398" i="1"/>
  <c r="AH2024" i="1"/>
  <c r="AH106" i="1"/>
  <c r="AH1485" i="1"/>
  <c r="AH1711" i="1"/>
  <c r="BM854" i="1"/>
  <c r="AH564" i="1"/>
  <c r="BM389" i="1"/>
  <c r="BM733" i="1"/>
  <c r="AH2369" i="1"/>
  <c r="AH387" i="1"/>
  <c r="BM312" i="1"/>
  <c r="AH2799" i="1"/>
  <c r="BM2038" i="1"/>
  <c r="BM2358" i="1"/>
  <c r="AH1193" i="1"/>
  <c r="AH2623" i="1"/>
  <c r="BM1660" i="1"/>
  <c r="AH1166" i="1"/>
  <c r="AH412" i="1"/>
  <c r="BM2449" i="1"/>
  <c r="AH2933" i="1"/>
  <c r="BM2726" i="1"/>
  <c r="AH1004" i="1"/>
  <c r="AH376" i="1"/>
  <c r="BM706" i="1"/>
  <c r="AH1423" i="1"/>
  <c r="BM2374" i="1"/>
  <c r="BM1657" i="1"/>
  <c r="AH2307" i="1"/>
  <c r="BM419" i="1"/>
  <c r="AH2362" i="1"/>
  <c r="BM2283" i="1"/>
  <c r="AH2014" i="1"/>
  <c r="AH2610" i="1"/>
  <c r="AH1854" i="1"/>
  <c r="AH810" i="1"/>
  <c r="BM2252" i="1"/>
  <c r="AH163" i="1"/>
  <c r="AH1936" i="1"/>
  <c r="BM165" i="1"/>
  <c r="AH656" i="1"/>
  <c r="AH2456" i="1"/>
  <c r="BM1915" i="1"/>
  <c r="BM3015" i="1"/>
  <c r="AH1888" i="1"/>
  <c r="BM305" i="1"/>
  <c r="BM2537" i="1"/>
  <c r="AH120" i="1"/>
  <c r="BM3120" i="1"/>
  <c r="BM557" i="1"/>
  <c r="AH1321" i="1"/>
  <c r="BM1353" i="1"/>
  <c r="AH1378" i="1"/>
  <c r="BM3150" i="1"/>
  <c r="BM779" i="1"/>
  <c r="AH552" i="1"/>
  <c r="BM373" i="1"/>
  <c r="AH2783" i="1"/>
  <c r="AH608" i="1"/>
  <c r="BM2753" i="1"/>
  <c r="BM600" i="1"/>
  <c r="BM2809" i="1"/>
  <c r="AH2316" i="1"/>
  <c r="BM1042" i="1"/>
  <c r="AH2820" i="1"/>
  <c r="BM3051" i="1"/>
  <c r="AH1241" i="1"/>
  <c r="AH2862" i="1"/>
  <c r="AH1278" i="1"/>
  <c r="BM765" i="1"/>
  <c r="BM1489" i="1"/>
  <c r="AH1115" i="1"/>
  <c r="AH326" i="1"/>
  <c r="BM521" i="1"/>
  <c r="AH2191" i="1"/>
  <c r="BM2214" i="1"/>
  <c r="BM1286" i="1"/>
  <c r="AH1523" i="1"/>
  <c r="AH1898" i="1"/>
  <c r="AH937" i="1"/>
  <c r="BM1656" i="1"/>
  <c r="AH2976" i="1"/>
  <c r="AH1127" i="1"/>
  <c r="AH1889" i="1"/>
  <c r="BM273" i="1"/>
  <c r="AH1553" i="1"/>
  <c r="AH2585" i="1"/>
  <c r="AH1956" i="1"/>
  <c r="AH2461" i="1"/>
  <c r="AH1333" i="1"/>
  <c r="BM158" i="1"/>
  <c r="BM2459" i="1"/>
  <c r="BM2051" i="1"/>
  <c r="BM1634" i="1"/>
  <c r="BM1618" i="1"/>
  <c r="BM281" i="1"/>
  <c r="AH1664" i="1"/>
  <c r="BM2090" i="1"/>
  <c r="AH2020" i="1"/>
  <c r="AH1071" i="1"/>
  <c r="BM914" i="1"/>
  <c r="BM539" i="1"/>
  <c r="AH1739" i="1"/>
  <c r="BM1810" i="1"/>
  <c r="BM181" i="1"/>
  <c r="AH2568" i="1"/>
  <c r="AH1811" i="1"/>
  <c r="AH2957" i="1"/>
  <c r="AH1502" i="1"/>
  <c r="BM786" i="1"/>
  <c r="BM2884" i="1"/>
  <c r="BM1963" i="1"/>
  <c r="BM2734" i="1"/>
  <c r="BM619" i="1"/>
  <c r="AH2270" i="1"/>
  <c r="AH20" i="1"/>
  <c r="AH1302" i="1"/>
  <c r="BM2097" i="1"/>
  <c r="AH522" i="1"/>
  <c r="AH2112" i="1"/>
  <c r="BM2353" i="1"/>
  <c r="AH2977" i="1"/>
  <c r="BM1223" i="1"/>
  <c r="AH2017" i="1"/>
  <c r="BM1178" i="1"/>
  <c r="BM2404" i="1"/>
  <c r="BM363" i="1"/>
  <c r="BM2693" i="1"/>
  <c r="BM1058" i="1"/>
  <c r="BM1400" i="1"/>
  <c r="AH2298" i="1"/>
  <c r="AH802" i="1"/>
  <c r="AH1102" i="1"/>
  <c r="AH2786" i="1"/>
  <c r="BM1846" i="1"/>
  <c r="BM2342" i="1"/>
  <c r="BM369" i="1"/>
  <c r="AH1736" i="1"/>
  <c r="BM123" i="1"/>
  <c r="AH1291" i="1"/>
  <c r="AH680" i="1"/>
  <c r="BM671" i="1"/>
  <c r="AH3064" i="1"/>
  <c r="AH543" i="1"/>
  <c r="AH164" i="1"/>
  <c r="BM2105" i="1"/>
  <c r="BM1054" i="1"/>
  <c r="BM1481" i="1"/>
  <c r="AH245" i="1"/>
  <c r="AH193" i="1"/>
  <c r="BM992" i="1"/>
  <c r="BM258" i="1"/>
  <c r="BM569" i="1"/>
  <c r="BM50" i="1"/>
  <c r="BM1701" i="1"/>
  <c r="AH1119" i="1"/>
  <c r="AH2670" i="1"/>
  <c r="AH1101" i="1"/>
  <c r="AH2292" i="1"/>
  <c r="AH180" i="1"/>
  <c r="BM2158" i="1"/>
  <c r="BM1859" i="1"/>
  <c r="BM1248" i="1"/>
  <c r="BM2667" i="1"/>
  <c r="AH1983" i="1"/>
  <c r="BM747" i="1"/>
  <c r="BM584" i="1"/>
  <c r="AH1083" i="1"/>
  <c r="BM1409" i="1"/>
  <c r="AH829" i="1"/>
  <c r="AH874" i="1"/>
  <c r="AH1799" i="1"/>
  <c r="BM1880" i="1"/>
  <c r="BM2905" i="1"/>
  <c r="BM3058" i="1"/>
  <c r="AH2870" i="1"/>
  <c r="AH2052" i="1"/>
  <c r="AH2997" i="1"/>
  <c r="AH583" i="1"/>
  <c r="BM128" i="1"/>
  <c r="AH612" i="1"/>
  <c r="BM2730" i="1"/>
  <c r="BM465" i="1"/>
  <c r="BM687" i="1"/>
  <c r="AH3079" i="1"/>
  <c r="AH532" i="1"/>
  <c r="AH317" i="1"/>
  <c r="AH2223" i="1"/>
  <c r="BM1368" i="1"/>
  <c r="AH991" i="1"/>
  <c r="AH1113" i="1"/>
  <c r="BM1273" i="1"/>
  <c r="BM1902" i="1"/>
  <c r="AH1746" i="1"/>
  <c r="AH3149" i="1"/>
  <c r="BM754" i="1"/>
  <c r="BM1478" i="1"/>
  <c r="BM1825" i="1"/>
  <c r="BM649" i="1"/>
  <c r="AH1747" i="1"/>
  <c r="AH2436" i="1"/>
  <c r="AH1784" i="1"/>
  <c r="AH1131" i="1"/>
  <c r="AH2178" i="1"/>
  <c r="BM1385" i="1"/>
  <c r="AH1513" i="1"/>
  <c r="BM2579" i="1"/>
  <c r="BM1552" i="1"/>
  <c r="BM1352" i="1"/>
  <c r="BM227" i="1"/>
  <c r="AH2531" i="1"/>
  <c r="AH2125" i="1"/>
  <c r="BM555" i="1"/>
  <c r="BM642" i="1"/>
  <c r="AH1681" i="1"/>
  <c r="BM2508" i="1"/>
  <c r="BM327" i="1"/>
  <c r="BM1523" i="1"/>
  <c r="AH3136" i="1"/>
  <c r="AH3049" i="1"/>
  <c r="BM169" i="1"/>
  <c r="BM748" i="1"/>
  <c r="BM598" i="1"/>
  <c r="AH1517" i="1"/>
  <c r="BM2032" i="1"/>
  <c r="BM2320" i="1"/>
  <c r="AH1573" i="1"/>
  <c r="BM694" i="1"/>
  <c r="BM2244" i="1"/>
  <c r="BM2417" i="1"/>
  <c r="AH90" i="1"/>
  <c r="AH1047" i="1"/>
  <c r="BM1985" i="1"/>
  <c r="BM2986" i="1"/>
  <c r="BM1420" i="1"/>
  <c r="AH1410" i="1"/>
  <c r="BM2157" i="1"/>
  <c r="BM2293" i="1"/>
  <c r="AH2745" i="1"/>
  <c r="BM1884" i="1"/>
  <c r="AH855" i="1"/>
  <c r="BM832" i="1"/>
  <c r="AH2137" i="1"/>
  <c r="BM605" i="1"/>
  <c r="BM799" i="1"/>
  <c r="AH3091" i="1"/>
  <c r="BM2844" i="1"/>
  <c r="AH1099" i="1"/>
  <c r="AH548" i="1"/>
  <c r="BM960" i="1"/>
  <c r="AH1443" i="1"/>
  <c r="AH1094" i="1"/>
  <c r="BM2558" i="1"/>
  <c r="BM2990" i="1"/>
  <c r="AH373" i="1"/>
  <c r="AH1048" i="1"/>
  <c r="AH692" i="1"/>
  <c r="AH1437" i="1"/>
  <c r="AH40" i="1"/>
  <c r="BM758" i="1"/>
  <c r="BM146" i="1"/>
  <c r="BM113" i="1"/>
  <c r="AH143" i="1"/>
  <c r="AH2295" i="1"/>
  <c r="AH2549" i="1"/>
  <c r="BM1379" i="1"/>
  <c r="AH1812" i="1"/>
  <c r="BM1633" i="1"/>
  <c r="AH2813" i="1"/>
  <c r="BM2198" i="1"/>
  <c r="AH1064" i="1"/>
  <c r="AH2791" i="1"/>
  <c r="BM1241" i="1"/>
  <c r="BM2946" i="1"/>
  <c r="BM199" i="1"/>
  <c r="BM853" i="1"/>
  <c r="AH2315" i="1"/>
  <c r="BM168" i="1"/>
  <c r="AH545" i="1"/>
  <c r="BM3114" i="1"/>
  <c r="AH3010" i="1"/>
  <c r="AH1505" i="1"/>
  <c r="BM1659" i="1"/>
  <c r="AH2775" i="1"/>
  <c r="BM1040" i="1"/>
  <c r="AH1043" i="1"/>
  <c r="AH1867" i="1"/>
  <c r="BM1011" i="1"/>
  <c r="AH507" i="1"/>
  <c r="AH2406" i="1"/>
  <c r="BM2947" i="1"/>
  <c r="AH2381" i="1"/>
  <c r="AH491" i="1"/>
  <c r="BM397" i="1"/>
  <c r="BM548" i="1"/>
  <c r="BM1090" i="1"/>
  <c r="BM979" i="1"/>
  <c r="BM1951" i="1"/>
  <c r="BM2540" i="1"/>
  <c r="BM1411" i="1"/>
  <c r="AH85" i="1"/>
  <c r="AH214" i="1"/>
  <c r="BM2182" i="1"/>
  <c r="BM1872" i="1"/>
  <c r="BM2312" i="1"/>
  <c r="AH1726" i="1"/>
  <c r="BM2567" i="1"/>
  <c r="BM2383" i="1"/>
  <c r="BM2098" i="1"/>
  <c r="BM2326" i="1"/>
  <c r="AH3080" i="1"/>
  <c r="BM1342" i="1"/>
  <c r="AH134" i="1"/>
  <c r="BM2546" i="1"/>
  <c r="BM215" i="1"/>
  <c r="BM658" i="1"/>
  <c r="AH974" i="1"/>
  <c r="BM3014" i="1"/>
  <c r="AH2702" i="1"/>
  <c r="BM614" i="1"/>
  <c r="AH353" i="1"/>
  <c r="BM2454" i="1"/>
  <c r="BM2777" i="1"/>
  <c r="AH3033" i="1"/>
  <c r="BM969" i="1"/>
  <c r="AH323" i="1"/>
  <c r="AH2060" i="1"/>
  <c r="AH1576" i="1"/>
  <c r="AH1723" i="1"/>
  <c r="AH1566" i="1"/>
  <c r="BM2460" i="1"/>
  <c r="AH1338" i="1"/>
  <c r="AH3063" i="1"/>
  <c r="BM616" i="1"/>
  <c r="BM1389" i="1"/>
  <c r="BM1981" i="1"/>
  <c r="AH2321" i="1"/>
  <c r="AH1399" i="1"/>
  <c r="BM1785" i="1"/>
  <c r="AH2463" i="1"/>
  <c r="BM2337" i="1"/>
  <c r="BM29" i="1"/>
  <c r="AH2139" i="1"/>
  <c r="BM2450" i="1"/>
  <c r="AH2184" i="1"/>
  <c r="AH2016" i="1"/>
  <c r="AH2804" i="1"/>
  <c r="AH200" i="1"/>
  <c r="AH1849" i="1"/>
  <c r="AH803" i="1"/>
  <c r="AH1440" i="1"/>
  <c r="BM1226" i="1"/>
  <c r="AH1390" i="1"/>
  <c r="AH2010" i="1"/>
  <c r="AH176" i="1"/>
  <c r="AH890" i="1"/>
  <c r="AH2182" i="1"/>
  <c r="AH2237" i="1"/>
  <c r="AH1687" i="1"/>
  <c r="AH753" i="1"/>
  <c r="AH2384" i="1"/>
  <c r="AH462" i="1"/>
  <c r="AH343" i="1"/>
  <c r="AH358" i="1"/>
  <c r="BM2575" i="1"/>
  <c r="AH2877" i="1"/>
  <c r="BM21" i="1"/>
  <c r="BM292" i="1"/>
  <c r="BM1936" i="1"/>
  <c r="BM1625" i="1"/>
  <c r="AH1416" i="1"/>
  <c r="BM2952" i="1"/>
  <c r="AH3059" i="1"/>
  <c r="AH2774" i="1"/>
  <c r="AH2474" i="1"/>
  <c r="AH1644" i="1"/>
  <c r="BM2453" i="1"/>
  <c r="BM2636" i="1"/>
  <c r="AH1661" i="1"/>
  <c r="AH366" i="1"/>
  <c r="BM2860" i="1"/>
  <c r="AH2022" i="1"/>
  <c r="AH1583" i="1"/>
  <c r="AH768" i="1"/>
  <c r="BM1253" i="1"/>
  <c r="AH2379" i="1"/>
  <c r="BM1156" i="1"/>
  <c r="AH1073" i="1"/>
  <c r="AH277" i="1"/>
  <c r="BM36" i="1"/>
  <c r="BM1031" i="1"/>
  <c r="BM963" i="1"/>
  <c r="BM1504" i="1"/>
  <c r="AH1148" i="1"/>
  <c r="AH2457" i="1"/>
  <c r="AH2624" i="1"/>
  <c r="BM2464" i="1"/>
  <c r="BM515" i="1"/>
  <c r="BM2982" i="1"/>
  <c r="AH550" i="1"/>
  <c r="AH160" i="1"/>
  <c r="AH2096" i="1"/>
  <c r="BM699" i="1"/>
  <c r="AH1092" i="1"/>
  <c r="AH929" i="1"/>
  <c r="BM1735" i="1"/>
  <c r="AH2305" i="1"/>
  <c r="AH2300" i="1"/>
  <c r="BM2412" i="1"/>
  <c r="AH371" i="1"/>
  <c r="BM1157" i="1"/>
  <c r="AH2144" i="1"/>
  <c r="AH1769" i="1"/>
  <c r="BM1793" i="1"/>
  <c r="BM2073" i="1"/>
  <c r="AH96" i="1"/>
  <c r="AH1837" i="1"/>
  <c r="AH1354" i="1"/>
  <c r="BM1624" i="1"/>
  <c r="AH327" i="1"/>
  <c r="BM3113" i="1"/>
  <c r="AH199" i="1"/>
  <c r="BM2999" i="1"/>
  <c r="BM970" i="1"/>
  <c r="AH1611" i="1"/>
  <c r="BM878" i="1"/>
  <c r="AH2668" i="1"/>
  <c r="AH2206" i="1"/>
  <c r="BM1999" i="1"/>
  <c r="BM1671" i="1"/>
  <c r="AH1395" i="1"/>
  <c r="BM3132" i="1"/>
  <c r="AH1349" i="1"/>
  <c r="BM915" i="1"/>
  <c r="BM907" i="1"/>
  <c r="BM1399" i="1"/>
  <c r="BM2438" i="1"/>
  <c r="AH2590" i="1"/>
  <c r="BM1100" i="1"/>
  <c r="BM309" i="1"/>
  <c r="AH273" i="1"/>
  <c r="AH2265" i="1"/>
  <c r="BM68" i="1"/>
  <c r="AH89" i="1"/>
  <c r="BM209" i="1"/>
  <c r="AH2794" i="1"/>
  <c r="BM1418" i="1"/>
  <c r="BM2130" i="1"/>
  <c r="AH2995" i="1"/>
  <c r="AH804" i="1"/>
  <c r="BM1461" i="1"/>
  <c r="AH919" i="1"/>
  <c r="BM1148" i="1"/>
  <c r="AH1850" i="1"/>
  <c r="BM190" i="1"/>
  <c r="AH19" i="1"/>
  <c r="AH471" i="1"/>
  <c r="BM1892" i="1"/>
  <c r="BM2645" i="1"/>
  <c r="AH240" i="1"/>
  <c r="BM1158" i="1"/>
  <c r="AH529" i="1"/>
  <c r="BM56" i="1"/>
  <c r="BM621" i="1"/>
  <c r="BM1622" i="1"/>
  <c r="AH2756" i="1"/>
  <c r="AH1702" i="1"/>
  <c r="AH1912" i="1"/>
  <c r="BM2001" i="1"/>
  <c r="AH1890" i="1"/>
  <c r="BM862" i="1"/>
  <c r="BM1125" i="1"/>
  <c r="AH805" i="1"/>
  <c r="AH2322" i="1"/>
  <c r="BM1016" i="1"/>
  <c r="BM680" i="1"/>
  <c r="BM1163" i="1"/>
  <c r="BM723" i="1"/>
  <c r="AH212" i="1"/>
  <c r="BM1713" i="1"/>
  <c r="AH826" i="1"/>
  <c r="AH2552" i="1"/>
  <c r="BM2651" i="1"/>
  <c r="BM290" i="1"/>
  <c r="BM1460" i="1"/>
  <c r="AH2192" i="1"/>
  <c r="BM2437" i="1"/>
  <c r="BM713" i="1"/>
  <c r="AH1173" i="1"/>
  <c r="BM570" i="1"/>
  <c r="BM222" i="1"/>
  <c r="AH1896" i="1"/>
  <c r="AH1798" i="1"/>
  <c r="AH2296" i="1"/>
  <c r="BM1858" i="1"/>
  <c r="AH204" i="1"/>
  <c r="AH528" i="1"/>
  <c r="BM55" i="1"/>
  <c r="BM1288" i="1"/>
  <c r="BM3021" i="1"/>
  <c r="BM2311" i="1"/>
  <c r="AH1499" i="1"/>
  <c r="AH501" i="1"/>
  <c r="BM348" i="1"/>
  <c r="AH2335" i="1"/>
  <c r="AH884" i="1"/>
  <c r="AH915" i="1"/>
  <c r="BM1508" i="1"/>
  <c r="BM2258" i="1"/>
  <c r="AH2758" i="1"/>
  <c r="AH2710" i="1"/>
  <c r="BM1118" i="1"/>
  <c r="AH1199" i="1"/>
  <c r="BM1753" i="1"/>
  <c r="AH2864" i="1"/>
  <c r="AH2482" i="1"/>
  <c r="BM1344" i="1"/>
  <c r="BM1921" i="1"/>
  <c r="AH1827" i="1"/>
  <c r="AH2582" i="1"/>
  <c r="AH2183" i="1"/>
  <c r="BM2654" i="1"/>
  <c r="AH2574" i="1"/>
  <c r="BM1904" i="1"/>
  <c r="AH141" i="1"/>
  <c r="AH3095" i="1"/>
  <c r="AH2209" i="1"/>
  <c r="AH2809" i="1"/>
  <c r="AH2215" i="1"/>
  <c r="BM1136" i="1"/>
  <c r="AH2443" i="1"/>
  <c r="BM606" i="1"/>
  <c r="BM1377" i="1"/>
  <c r="BM2724" i="1"/>
  <c r="BM2297" i="1"/>
  <c r="BM2213" i="1"/>
  <c r="BM2755" i="1"/>
  <c r="AH871" i="1"/>
  <c r="AH1662" i="1"/>
  <c r="AH2512" i="1"/>
  <c r="AH2854" i="1"/>
  <c r="AH2789" i="1"/>
  <c r="AH696" i="1"/>
  <c r="AH201" i="1"/>
  <c r="BM2690" i="1"/>
  <c r="BM3043" i="1"/>
  <c r="BM2020" i="1"/>
  <c r="AH2323" i="1"/>
  <c r="AH1370" i="1"/>
  <c r="AH1938" i="1"/>
  <c r="BM2683" i="1"/>
  <c r="AH1319" i="1"/>
  <c r="AH2793" i="1"/>
  <c r="BM1192" i="1"/>
  <c r="AH2401" i="1"/>
  <c r="AH274" i="1"/>
  <c r="BM2816" i="1"/>
  <c r="AH851" i="1"/>
  <c r="BM47" i="1"/>
  <c r="BM469" i="1"/>
  <c r="BM2949" i="1"/>
  <c r="BM755" i="1"/>
  <c r="AH940" i="1"/>
  <c r="BM2837" i="1"/>
  <c r="BM147" i="1"/>
  <c r="AH2632" i="1"/>
  <c r="AH1816" i="1"/>
  <c r="AH645" i="1"/>
  <c r="AH2207" i="1"/>
  <c r="BM1929" i="1"/>
  <c r="BM1914" i="1"/>
  <c r="AH1824" i="1"/>
  <c r="AH2846" i="1"/>
  <c r="BM1538" i="1"/>
  <c r="AH1558" i="1"/>
  <c r="BM2480" i="1"/>
  <c r="BM2401" i="1"/>
  <c r="BM935" i="1"/>
  <c r="BM2466" i="1"/>
  <c r="AH2361" i="1"/>
  <c r="AH1257" i="1"/>
  <c r="BM148" i="1"/>
  <c r="BM1243" i="1"/>
  <c r="AH2150" i="1"/>
  <c r="AH2597" i="1"/>
  <c r="AH1571" i="1"/>
  <c r="BM1879" i="1"/>
  <c r="BM3124" i="1"/>
  <c r="AH3088" i="1"/>
  <c r="AH2882" i="1"/>
  <c r="AH2731" i="1"/>
  <c r="BM864" i="1"/>
  <c r="AH1682" i="1"/>
  <c r="AH2398" i="1"/>
  <c r="AH1122" i="1"/>
  <c r="BM2015" i="1"/>
  <c r="BM1897" i="1"/>
  <c r="BM777" i="1"/>
  <c r="AH71" i="1"/>
  <c r="BM252" i="1"/>
  <c r="BM428" i="1"/>
  <c r="BM294" i="1"/>
  <c r="AH1817" i="1"/>
  <c r="BM2768" i="1"/>
  <c r="BM1105" i="1"/>
  <c r="BM2515" i="1"/>
  <c r="AH451" i="1"/>
  <c r="AH2218" i="1"/>
  <c r="BM1521" i="1"/>
  <c r="AH2033" i="1"/>
  <c r="AH300" i="1"/>
  <c r="BM2391" i="1"/>
  <c r="BM2808" i="1"/>
  <c r="AH1574" i="1"/>
  <c r="AH2260" i="1"/>
  <c r="AH1531" i="1"/>
  <c r="AH1840" i="1"/>
  <c r="BM304" i="1"/>
  <c r="BM340" i="1"/>
  <c r="BM1852" i="1"/>
  <c r="BM794" i="1"/>
  <c r="AH735" i="1"/>
  <c r="AH67" i="1"/>
  <c r="AH477" i="1"/>
  <c r="BM205" i="1"/>
  <c r="AH83" i="1"/>
  <c r="AH2737" i="1"/>
  <c r="AH13" i="1"/>
  <c r="AH2647" i="1"/>
  <c r="BM184" i="1"/>
  <c r="AH3153" i="1"/>
  <c r="AH1428" i="1"/>
  <c r="AH79" i="1"/>
  <c r="BM2904" i="1"/>
  <c r="AH2563" i="1"/>
  <c r="AH2969" i="1"/>
  <c r="AH2132" i="1"/>
  <c r="AH842" i="1"/>
  <c r="AH2714" i="1"/>
  <c r="AH2648" i="1"/>
  <c r="BM2169" i="1"/>
  <c r="BM2780" i="1"/>
  <c r="AH1304" i="1"/>
  <c r="AH2626" i="1"/>
  <c r="BM2455" i="1"/>
  <c r="BM1930" i="1"/>
  <c r="AH1132" i="1"/>
  <c r="AH905" i="1"/>
  <c r="AH2428" i="1"/>
  <c r="AH918" i="1"/>
  <c r="BM989" i="1"/>
  <c r="AH1643" i="1"/>
  <c r="AH3002" i="1"/>
  <c r="BM2696" i="1"/>
  <c r="AH3128" i="1"/>
  <c r="BM2901" i="1"/>
  <c r="AH2076" i="1"/>
  <c r="BM167" i="1"/>
  <c r="AH2744" i="1"/>
  <c r="BM2789" i="1"/>
  <c r="BM2354" i="1"/>
  <c r="AH1078" i="1"/>
  <c r="AH2872" i="1"/>
  <c r="AH222" i="1"/>
  <c r="BM3087" i="1"/>
  <c r="AH2085" i="1"/>
  <c r="BM3028" i="1"/>
  <c r="AH843" i="1"/>
  <c r="AH2195" i="1"/>
  <c r="AH1108" i="1"/>
  <c r="BM3149" i="1"/>
  <c r="AH2351" i="1"/>
  <c r="BM2191" i="1"/>
  <c r="AH260" i="1"/>
  <c r="AH364" i="1"/>
  <c r="BM1044" i="1"/>
  <c r="AH3123" i="1"/>
  <c r="BM2883" i="1"/>
  <c r="AH2952" i="1"/>
  <c r="BM1709" i="1"/>
  <c r="AH2805" i="1"/>
  <c r="BM1282" i="1"/>
  <c r="AH1829" i="1"/>
  <c r="BM1228" i="1"/>
  <c r="BM1412" i="1"/>
  <c r="BM2271" i="1"/>
  <c r="BM502" i="1"/>
  <c r="AH1393" i="1"/>
  <c r="AH1027" i="1"/>
  <c r="AH2855" i="1"/>
  <c r="AH1663" i="1"/>
  <c r="BM1305" i="1"/>
  <c r="BM743" i="1"/>
  <c r="BM1355" i="1"/>
  <c r="AH1497" i="1"/>
  <c r="BM622" i="1"/>
  <c r="AH2030" i="1"/>
  <c r="AH1979" i="1"/>
  <c r="BM1844" i="1"/>
  <c r="AH1204" i="1"/>
  <c r="AH834" i="1"/>
  <c r="BM1994" i="1"/>
  <c r="BM230" i="1"/>
  <c r="BM1089" i="1"/>
  <c r="AH1714" i="1"/>
  <c r="BM1071" i="1"/>
  <c r="BM170" i="1"/>
  <c r="AH325" i="1"/>
  <c r="AH786" i="1"/>
  <c r="BM3122" i="1"/>
  <c r="BM2281" i="1"/>
  <c r="BM2524" i="1"/>
  <c r="BM2903" i="1"/>
  <c r="AH925" i="1"/>
  <c r="BM92" i="1"/>
  <c r="BM2286" i="1"/>
  <c r="AH3098" i="1"/>
  <c r="AH2337" i="1"/>
  <c r="AH1470" i="1"/>
  <c r="AH3016" i="1"/>
  <c r="AH809" i="1"/>
  <c r="AH234" i="1"/>
  <c r="AH1721" i="1"/>
  <c r="BM668" i="1"/>
  <c r="BM603" i="1"/>
  <c r="BM2287" i="1"/>
  <c r="BM778" i="1"/>
  <c r="BM476" i="1"/>
  <c r="BM2237" i="1"/>
  <c r="BM2685" i="1"/>
  <c r="BM1910" i="1"/>
  <c r="AH197" i="1"/>
  <c r="AH2197" i="1"/>
  <c r="AH2895" i="1"/>
  <c r="AH3130" i="1"/>
  <c r="BM855" i="1"/>
  <c r="AH1660" i="1"/>
  <c r="AH402" i="1"/>
  <c r="AH1152" i="1"/>
  <c r="BM2467" i="1"/>
  <c r="BM306" i="1"/>
  <c r="AH747" i="1"/>
  <c r="AH2242" i="1"/>
  <c r="AH864" i="1"/>
  <c r="AH2984" i="1"/>
  <c r="AH513" i="1"/>
  <c r="BM2611" i="1"/>
  <c r="BM1108" i="1"/>
  <c r="BM2366" i="1"/>
  <c r="BM585" i="1"/>
  <c r="BM2879" i="1"/>
  <c r="BM2183" i="1"/>
  <c r="AH203" i="1"/>
  <c r="BM906" i="1"/>
  <c r="BM37" i="1"/>
  <c r="BM2067" i="1"/>
  <c r="AH1106" i="1"/>
  <c r="BM696" i="1"/>
  <c r="AH2841" i="1"/>
  <c r="AH2829" i="1"/>
  <c r="BM449" i="1"/>
  <c r="AH192" i="1"/>
  <c r="BM836" i="1"/>
  <c r="BM1612" i="1"/>
  <c r="BM678" i="1"/>
  <c r="AH998" i="1"/>
  <c r="AH1343" i="1"/>
  <c r="BM1539" i="1"/>
  <c r="BM2820" i="1"/>
  <c r="AH1040" i="1"/>
  <c r="BM2129" i="1"/>
  <c r="BM2830" i="1"/>
  <c r="BM2144" i="1"/>
  <c r="BM1784" i="1"/>
  <c r="AH2186" i="1"/>
  <c r="AH1109" i="1"/>
  <c r="AH2606" i="1"/>
  <c r="BM2291" i="1"/>
  <c r="AH2253" i="1"/>
  <c r="AH1225" i="1"/>
  <c r="BM1455" i="1"/>
  <c r="AH314" i="1"/>
  <c r="BM1726" i="1"/>
  <c r="BM909" i="1"/>
  <c r="BM140" i="1"/>
  <c r="AH912" i="1"/>
  <c r="BM2751" i="1"/>
  <c r="BM1449" i="1"/>
  <c r="AH966" i="1"/>
  <c r="AH2481" i="1"/>
  <c r="AH2968" i="1"/>
  <c r="AH2065" i="1"/>
  <c r="BM1443" i="1"/>
  <c r="AH1290" i="1"/>
  <c r="AH2663" i="1"/>
  <c r="BM457" i="1"/>
  <c r="BM1203" i="1"/>
  <c r="AH3152" i="1"/>
  <c r="BM1049" i="1"/>
  <c r="BM28" i="1"/>
  <c r="BM1172" i="1"/>
  <c r="AH889" i="1"/>
  <c r="AH3119" i="1"/>
  <c r="AH1398" i="1"/>
  <c r="AH269" i="1"/>
  <c r="BM2056" i="1"/>
  <c r="BM560" i="1"/>
  <c r="BM40" i="1"/>
  <c r="BM406" i="1"/>
  <c r="AH2160" i="1"/>
  <c r="AH228" i="1"/>
  <c r="AH1520" i="1"/>
  <c r="BM2335" i="1"/>
  <c r="BM287" i="1"/>
  <c r="BM1429" i="1"/>
  <c r="BM445" i="1"/>
  <c r="AH908" i="1"/>
  <c r="AH2807" i="1"/>
  <c r="AH442" i="1"/>
  <c r="BM2024" i="1"/>
  <c r="AH664" i="1"/>
  <c r="AH1921" i="1"/>
  <c r="AH1268" i="1"/>
  <c r="BM1264" i="1"/>
  <c r="AH1130" i="1"/>
  <c r="BM393" i="1"/>
  <c r="AH2708" i="1"/>
  <c r="AH651" i="1"/>
  <c r="BM2977" i="1"/>
  <c r="BM2494" i="1"/>
  <c r="AH2468" i="1"/>
  <c r="AH1706" i="1"/>
  <c r="AH1220" i="1"/>
  <c r="BM3133" i="1"/>
  <c r="AH105" i="1"/>
  <c r="BM1520" i="1"/>
  <c r="BM1318" i="1"/>
  <c r="BM2004" i="1"/>
  <c r="AH10" i="1"/>
  <c r="BM1842" i="1"/>
  <c r="AH3131" i="1"/>
  <c r="AH3019" i="1"/>
  <c r="AH1648" i="1"/>
  <c r="BM2943" i="1"/>
  <c r="AH748" i="1"/>
  <c r="AH2943" i="1"/>
  <c r="AH2518" i="1"/>
  <c r="BM1230" i="1"/>
  <c r="BM1686" i="1"/>
  <c r="AH1075" i="1"/>
  <c r="AH1272" i="1"/>
  <c r="AH1991" i="1"/>
  <c r="AH2094" i="1"/>
  <c r="AH2269" i="1"/>
  <c r="BM1003" i="1"/>
  <c r="BM2179" i="1"/>
  <c r="AH157" i="1"/>
  <c r="BM2561" i="1"/>
  <c r="BM2298" i="1"/>
  <c r="BM413" i="1"/>
  <c r="BM236" i="1"/>
  <c r="AH775" i="1"/>
  <c r="AH858" i="1"/>
  <c r="AH1771" i="1"/>
  <c r="AH2159" i="1"/>
  <c r="AH3104" i="1"/>
  <c r="BM2998" i="1"/>
  <c r="AH1707" i="1"/>
  <c r="AH973" i="1"/>
  <c r="BM1275" i="1"/>
  <c r="BM1748" i="1"/>
  <c r="BM1210" i="1"/>
  <c r="BM2398" i="1"/>
  <c r="BM999" i="1"/>
  <c r="BM2812" i="1"/>
  <c r="AH417" i="1"/>
  <c r="BM894" i="1"/>
  <c r="AH2904" i="1"/>
  <c r="AH1774" i="1"/>
  <c r="BM2547" i="1"/>
  <c r="AH751" i="1"/>
  <c r="BM1059" i="1"/>
  <c r="AH2288" i="1"/>
  <c r="BM1802" i="1"/>
  <c r="BM2714" i="1"/>
  <c r="AH1960" i="1"/>
  <c r="BM776" i="1"/>
  <c r="BM210" i="1"/>
  <c r="AH1778" i="1"/>
  <c r="BM112" i="1"/>
  <c r="AH2631" i="1"/>
  <c r="BM857" i="1"/>
  <c r="BM2416" i="1"/>
  <c r="AH1227" i="1"/>
  <c r="BM774" i="1"/>
  <c r="AH410" i="1"/>
  <c r="BM144" i="1"/>
  <c r="AH1070" i="1"/>
  <c r="BM667" i="1"/>
  <c r="AH50" i="1"/>
  <c r="BM556" i="1"/>
  <c r="BM31" i="1"/>
  <c r="AH877" i="1"/>
  <c r="BM2200" i="1"/>
  <c r="AH1298" i="1"/>
  <c r="AH357" i="1"/>
  <c r="BM673" i="1"/>
  <c r="AH2013" i="1"/>
  <c r="AH112" i="1"/>
  <c r="BM2338" i="1"/>
  <c r="BM477" i="1"/>
  <c r="BM3080" i="1"/>
  <c r="BM2801" i="1"/>
  <c r="AH2317" i="1"/>
  <c r="BM2439" i="1"/>
  <c r="BM1804" i="1"/>
  <c r="AH1328" i="1"/>
  <c r="AH2562" i="1"/>
  <c r="AH1856" i="1"/>
  <c r="BM490" i="1"/>
  <c r="BM2232" i="1"/>
  <c r="BM2475" i="1"/>
  <c r="BM1663" i="1"/>
  <c r="BM525" i="1"/>
  <c r="AH1914" i="1"/>
  <c r="BM435" i="1"/>
  <c r="AH2104" i="1"/>
  <c r="AH882" i="1"/>
  <c r="AH2386" i="1"/>
  <c r="AH1420" i="1"/>
  <c r="AH1536" i="1"/>
  <c r="AH1088" i="1"/>
  <c r="AH1688" i="1"/>
  <c r="AH2133" i="1"/>
  <c r="BM1938" i="1"/>
  <c r="BM2339" i="1"/>
  <c r="AH1768" i="1"/>
  <c r="AH1942" i="1"/>
  <c r="BM62" i="1"/>
  <c r="BM1340" i="1"/>
  <c r="BM1928" i="1"/>
  <c r="BM586" i="1"/>
  <c r="AH1640" i="1"/>
  <c r="BM3108" i="1"/>
  <c r="BM2534" i="1"/>
  <c r="BM504" i="1"/>
  <c r="AH178" i="1"/>
  <c r="BM1092" i="1"/>
  <c r="AH3096" i="1"/>
  <c r="BM2513" i="1"/>
  <c r="AH1589" i="1"/>
  <c r="AH1622" i="1"/>
  <c r="AH2797" i="1"/>
  <c r="BM179" i="1"/>
  <c r="BM1937" i="1"/>
  <c r="BM1984" i="1"/>
  <c r="AH1258" i="1"/>
  <c r="AH2542" i="1"/>
  <c r="AH2402" i="1"/>
  <c r="BM885" i="1"/>
  <c r="AH869" i="1"/>
  <c r="BM2228" i="1"/>
  <c r="AH1221" i="1"/>
  <c r="AH2561" i="1"/>
  <c r="BM2681" i="1"/>
  <c r="AH2043" i="1"/>
  <c r="AH1592" i="1"/>
  <c r="AH1808" i="1"/>
  <c r="BM1959" i="1"/>
  <c r="AH825" i="1"/>
  <c r="BM1271" i="1"/>
  <c r="AH1740" i="1"/>
  <c r="AH1564" i="1"/>
  <c r="BM1297" i="1"/>
  <c r="AH2543" i="1"/>
  <c r="BM2588" i="1"/>
  <c r="AH400" i="1"/>
  <c r="AH1327" i="1"/>
  <c r="AH2493" i="1"/>
  <c r="BM646" i="1"/>
  <c r="BM1935" i="1"/>
  <c r="BM2707" i="1"/>
  <c r="AH1067" i="1"/>
  <c r="AH958" i="1"/>
  <c r="BM1573" i="1"/>
  <c r="AH963" i="1"/>
  <c r="AH1195" i="1"/>
  <c r="AH1521" i="1"/>
  <c r="AH1197" i="1"/>
  <c r="BM1018" i="1"/>
  <c r="BM238" i="1"/>
  <c r="BM2503" i="1"/>
  <c r="AH2261" i="1"/>
  <c r="AH2465" i="1"/>
  <c r="BM865" i="1"/>
  <c r="AH1469" i="1"/>
  <c r="BM399" i="1"/>
  <c r="AH2169" i="1"/>
  <c r="AH2163" i="1"/>
  <c r="BM116" i="1"/>
  <c r="BM816" i="1"/>
  <c r="BM2875" i="1"/>
  <c r="AH708" i="1"/>
  <c r="BM2041" i="1"/>
  <c r="BM95" i="1"/>
  <c r="BM216" i="1"/>
  <c r="AH757" i="1"/>
  <c r="AH2832" i="1"/>
  <c r="BM1376" i="1"/>
  <c r="BM3095" i="1"/>
  <c r="AH150" i="1"/>
  <c r="BM1265" i="1"/>
  <c r="AH3132" i="1"/>
  <c r="AH1306" i="1"/>
  <c r="AH1947" i="1"/>
  <c r="AH3044" i="1"/>
  <c r="AH2158" i="1"/>
  <c r="AH1907" i="1"/>
  <c r="AH1476" i="1"/>
  <c r="AH186" i="1"/>
  <c r="AH808" i="1"/>
  <c r="BM1524" i="1"/>
  <c r="AH72" i="1"/>
  <c r="AH2375" i="1"/>
  <c r="AH824" i="1"/>
  <c r="BM301" i="1"/>
  <c r="BM1048" i="1"/>
  <c r="AH293" i="1"/>
  <c r="AH207" i="1"/>
  <c r="AH1730" i="1"/>
  <c r="AH1401" i="1"/>
  <c r="BM792" i="1"/>
  <c r="BM2084" i="1"/>
  <c r="AH446" i="1"/>
  <c r="AH2475" i="1"/>
  <c r="BM2861" i="1"/>
  <c r="AH2680" i="1"/>
  <c r="AH435" i="1"/>
  <c r="BM597" i="1"/>
  <c r="AH1035" i="1"/>
  <c r="AH1537" i="1"/>
  <c r="AH740" i="1"/>
  <c r="BM1299" i="1"/>
  <c r="BM1333" i="1"/>
  <c r="AH736" i="1"/>
  <c r="AH2048" i="1"/>
  <c r="BM1231" i="1"/>
  <c r="BM1214" i="1"/>
  <c r="AH1400" i="1"/>
  <c r="AH1689" i="1"/>
  <c r="BM49" i="1"/>
  <c r="AH1376" i="1"/>
  <c r="AH227" i="1"/>
  <c r="AH759" i="1"/>
  <c r="AH365" i="1"/>
  <c r="BM2625" i="1"/>
  <c r="AH148" i="1"/>
  <c r="BM2928" i="1"/>
  <c r="BM2852" i="1"/>
  <c r="BM1956" i="1"/>
  <c r="BM630" i="1"/>
  <c r="AH987" i="1"/>
  <c r="AH355" i="1"/>
  <c r="AH2275" i="1"/>
  <c r="AH1535" i="1"/>
  <c r="BM2839" i="1"/>
  <c r="AH614" i="1"/>
  <c r="BM2557" i="1"/>
  <c r="AH698" i="1"/>
  <c r="AH1412" i="1"/>
  <c r="BM371" i="1"/>
  <c r="AH3150" i="1"/>
  <c r="BM2268" i="1"/>
  <c r="AH1843" i="1"/>
  <c r="BM1345" i="1"/>
  <c r="BM1348" i="1"/>
  <c r="BM2253" i="1"/>
  <c r="BM3141" i="1"/>
  <c r="AH967" i="1"/>
  <c r="AH3097" i="1"/>
  <c r="AH2495" i="1"/>
  <c r="BM2405" i="1"/>
  <c r="BM256" i="1"/>
  <c r="BM2435" i="1"/>
  <c r="AH2312" i="1"/>
  <c r="BM2361" i="1"/>
  <c r="AH694" i="1"/>
  <c r="AH478" i="1"/>
  <c r="BM3105" i="1"/>
  <c r="AH3057" i="1"/>
  <c r="AH2990" i="1"/>
  <c r="AH2199" i="1"/>
  <c r="BM431" i="1"/>
  <c r="AH900" i="1"/>
  <c r="BM2031" i="1"/>
  <c r="AH1389" i="1"/>
  <c r="AH770" i="1"/>
  <c r="BM1270" i="1"/>
  <c r="BM1141" i="1"/>
  <c r="AH1519" i="1"/>
  <c r="AH2388" i="1"/>
  <c r="BM1805" i="1"/>
  <c r="AH206" i="1"/>
  <c r="AH1744" i="1"/>
  <c r="BM16" i="1"/>
  <c r="AH706" i="1"/>
  <c r="BM1179" i="1"/>
  <c r="BM332" i="1"/>
  <c r="AH1270" i="1"/>
  <c r="AH2734" i="1"/>
  <c r="AH2814" i="1"/>
  <c r="AH1980" i="1"/>
  <c r="AH2939" i="1"/>
  <c r="AH1727" i="1"/>
  <c r="AH420" i="1"/>
  <c r="AH1442" i="1"/>
  <c r="BM2152" i="1"/>
  <c r="BM3026" i="1"/>
  <c r="BM2553" i="1"/>
  <c r="BM1560" i="1"/>
  <c r="AH2346" i="1"/>
  <c r="BM2087" i="1"/>
  <c r="AH2353" i="1"/>
  <c r="BM2288" i="1"/>
  <c r="BM1534" i="1"/>
  <c r="AH941" i="1"/>
  <c r="BM1467" i="1"/>
  <c r="BM52" i="1"/>
  <c r="BM2774" i="1"/>
  <c r="BM1750" i="1"/>
  <c r="BM432" i="1"/>
  <c r="BM472" i="1"/>
  <c r="BM2215" i="1"/>
  <c r="BM1564" i="1"/>
  <c r="AH1093" i="1"/>
  <c r="AH443" i="1"/>
  <c r="AH1392" i="1"/>
  <c r="AH1082" i="1"/>
  <c r="AH996" i="1"/>
  <c r="AH1301" i="1"/>
  <c r="AH3148" i="1"/>
  <c r="AH1387" i="1"/>
  <c r="BM2250" i="1"/>
  <c r="AH1602" i="1"/>
  <c r="BM2071" i="1"/>
  <c r="AH2256" i="1"/>
  <c r="AH636" i="1"/>
  <c r="BM232" i="1"/>
  <c r="BM3107" i="1"/>
  <c r="BM1067" i="1"/>
  <c r="BM1710" i="1"/>
  <c r="BM2835" i="1"/>
  <c r="AH1188" i="1"/>
  <c r="BM2748" i="1"/>
  <c r="BM501" i="1"/>
  <c r="BM1263" i="1"/>
  <c r="BM2430" i="1"/>
  <c r="AH2058" i="1"/>
  <c r="BM985" i="1"/>
  <c r="BM2841" i="1"/>
  <c r="BM2679" i="1"/>
  <c r="AH961" i="1"/>
  <c r="AH3107" i="1"/>
  <c r="AH1382" i="1"/>
  <c r="BM3106" i="1"/>
  <c r="AH2011" i="1"/>
  <c r="AH2580" i="1"/>
  <c r="BM1453" i="1"/>
  <c r="AH421" i="1"/>
  <c r="AH296" i="1"/>
  <c r="AH375" i="1"/>
  <c r="BM2709" i="1"/>
  <c r="BM1711" i="1"/>
  <c r="AH1781" i="1"/>
  <c r="BM2483" i="1"/>
  <c r="AH2073" i="1"/>
  <c r="BM14" i="1"/>
  <c r="BM902" i="1"/>
  <c r="BM1168" i="1"/>
  <c r="BM1541" i="1"/>
  <c r="BM1801" i="1"/>
  <c r="AH2389" i="1"/>
  <c r="BM934" i="1"/>
  <c r="AH2219" i="1"/>
  <c r="AH1299" i="1"/>
  <c r="BM2261" i="1"/>
  <c r="AH3122" i="1"/>
  <c r="AH428" i="1"/>
  <c r="AH1383" i="1"/>
  <c r="AH725" i="1"/>
  <c r="AH947" i="1"/>
  <c r="AH1685" i="1"/>
  <c r="AH1260" i="1"/>
  <c r="BM2396" i="1"/>
  <c r="BM693" i="1"/>
  <c r="BM2124" i="1"/>
  <c r="BM1815" i="1"/>
  <c r="AH3042" i="1"/>
  <c r="BM2057" i="1"/>
  <c r="BM870" i="1"/>
  <c r="BM2054" i="1"/>
  <c r="BM3059" i="1"/>
  <c r="AH2779" i="1"/>
  <c r="BM1745" i="1"/>
  <c r="BM1692" i="1"/>
  <c r="AH2978" i="1"/>
  <c r="BM2053" i="1"/>
  <c r="AH2678" i="1"/>
  <c r="AH1897" i="1"/>
  <c r="BM1590" i="1"/>
  <c r="BM2719" i="1"/>
  <c r="AH109" i="1"/>
  <c r="BM1646" i="1"/>
  <c r="AH1262" i="1"/>
  <c r="BM2201" i="1"/>
  <c r="AH2273" i="1"/>
  <c r="AH3003" i="1"/>
  <c r="AH31" i="1"/>
  <c r="BM873" i="1"/>
  <c r="AH2661" i="1"/>
  <c r="BM1927" i="1"/>
  <c r="AH2440" i="1"/>
  <c r="AH2382" i="1"/>
  <c r="BM1900" i="1"/>
  <c r="BM574" i="1"/>
  <c r="BM2064" i="1"/>
  <c r="AH2049" i="1"/>
  <c r="BM2824" i="1"/>
  <c r="AH1796" i="1"/>
  <c r="AH2970" i="1"/>
  <c r="BM381" i="1"/>
  <c r="AH389" i="1"/>
  <c r="BM1380" i="1"/>
  <c r="AH2304" i="1"/>
  <c r="AH3134" i="1"/>
  <c r="AH278" i="1"/>
  <c r="BM1085" i="1"/>
  <c r="BM2708" i="1"/>
  <c r="AH289" i="1"/>
  <c r="AH2569" i="1"/>
  <c r="AH1759" i="1"/>
  <c r="BM1319" i="1"/>
  <c r="AH2063" i="1"/>
  <c r="BM1596" i="1"/>
  <c r="BM887" i="1"/>
  <c r="AH2612" i="1"/>
  <c r="BM2371" i="1"/>
  <c r="AH2940" i="1"/>
  <c r="BM2377" i="1"/>
  <c r="BM64" i="1"/>
  <c r="AH382" i="1"/>
  <c r="BM1732" i="1"/>
  <c r="BM1079" i="1"/>
  <c r="BM2350" i="1"/>
  <c r="BM3027" i="1"/>
  <c r="AH600" i="1"/>
  <c r="AH232" i="1"/>
  <c r="BM3126" i="1"/>
  <c r="AH1831" i="1"/>
  <c r="BM2931" i="1"/>
  <c r="BM3044" i="1"/>
  <c r="BM1845" i="1"/>
  <c r="AH3041" i="1"/>
  <c r="AH159" i="1"/>
  <c r="AH562" i="1"/>
  <c r="BM2504" i="1"/>
  <c r="BM528" i="1"/>
  <c r="BM785" i="1"/>
  <c r="AH129" i="1"/>
  <c r="BM468" i="1"/>
  <c r="BM1821" i="1"/>
  <c r="AH1168" i="1"/>
  <c r="AH601" i="1"/>
  <c r="AH1036" i="1"/>
  <c r="AH801" i="1"/>
  <c r="AH570" i="1"/>
  <c r="BM628" i="1"/>
  <c r="BM1786" i="1"/>
  <c r="BM3053" i="1"/>
  <c r="BM2433" i="1"/>
  <c r="AH2366" i="1"/>
  <c r="AH53" i="1"/>
  <c r="BM2767" i="1"/>
  <c r="BM2736" i="1"/>
  <c r="AH406" i="1"/>
  <c r="AH338" i="1"/>
  <c r="AH2376" i="1"/>
  <c r="AH2032" i="1"/>
  <c r="AH643" i="1"/>
  <c r="BM950" i="1"/>
  <c r="AH1385" i="1"/>
  <c r="BM2442" i="1"/>
  <c r="BM2992" i="1"/>
  <c r="AH2544" i="1"/>
  <c r="AH3082" i="1"/>
  <c r="BM2324" i="1"/>
  <c r="AH1952" i="1"/>
  <c r="BM59" i="1"/>
  <c r="AH649" i="1"/>
  <c r="BM2110" i="1"/>
  <c r="AH1324" i="1"/>
  <c r="AH1210" i="1"/>
  <c r="BM1165" i="1"/>
  <c r="AH496" i="1"/>
  <c r="AH1049" i="1"/>
  <c r="AH3015" i="1"/>
  <c r="BM1430" i="1"/>
  <c r="AH1172" i="1"/>
  <c r="AH1786" i="1"/>
  <c r="AH377" i="1"/>
  <c r="BM1396" i="1"/>
  <c r="BM2472" i="1"/>
  <c r="BM2188" i="1"/>
  <c r="BM542" i="1"/>
  <c r="BM177" i="1"/>
  <c r="AH1282" i="1"/>
  <c r="AH668" i="1"/>
  <c r="BM1423" i="1"/>
  <c r="AH2035" i="1"/>
  <c r="AH2903" i="1"/>
  <c r="BM2702" i="1"/>
  <c r="BM2590" i="1"/>
  <c r="BM251" i="1"/>
  <c r="AH395" i="1"/>
  <c r="BM244" i="1"/>
  <c r="AH2306" i="1"/>
  <c r="AH311" i="1"/>
  <c r="AH2913" i="1"/>
  <c r="AH294" i="1"/>
  <c r="BM1909" i="1"/>
  <c r="BM109" i="1"/>
  <c r="BM83" i="1"/>
  <c r="BM2414" i="1"/>
  <c r="BM2533" i="1"/>
  <c r="AH481" i="1"/>
  <c r="BM1761" i="1"/>
  <c r="AH1200" i="1"/>
  <c r="BM2650" i="1"/>
  <c r="AH2417" i="1"/>
  <c r="BM782" i="1"/>
  <c r="BM966" i="1"/>
  <c r="BM2763" i="1"/>
  <c r="AH2329" i="1"/>
  <c r="BM69" i="1"/>
  <c r="BM1876" i="1"/>
  <c r="BM732" i="1"/>
  <c r="BM861" i="1"/>
  <c r="AH1046" i="1"/>
  <c r="AH971" i="1"/>
  <c r="BM739" i="1"/>
  <c r="AH1705" i="1"/>
  <c r="BM665" i="1"/>
  <c r="AH710" i="1"/>
  <c r="AH2394" i="1"/>
  <c r="BM1008" i="1"/>
  <c r="BM1571" i="1"/>
  <c r="AH66" i="1"/>
  <c r="BM486" i="1"/>
  <c r="BM1320" i="1"/>
  <c r="BM834" i="1"/>
  <c r="BM2274" i="1"/>
  <c r="AH1488" i="1"/>
  <c r="BM296" i="1"/>
  <c r="AH3062" i="1"/>
  <c r="AH65" i="1"/>
  <c r="AH662" i="1"/>
  <c r="AH1191" i="1"/>
  <c r="AH1881" i="1"/>
  <c r="BM2159" i="1"/>
  <c r="AH1140" i="1"/>
  <c r="BM1436" i="1"/>
  <c r="AH1284" i="1"/>
  <c r="AH2220" i="1"/>
  <c r="AH817" i="1"/>
  <c r="BM1082" i="1"/>
  <c r="AH739" i="1"/>
  <c r="BM2865" i="1"/>
  <c r="AH726" i="1"/>
  <c r="AH2642" i="1"/>
  <c r="AH103" i="1"/>
  <c r="AH500" i="1"/>
  <c r="AH1880" i="1"/>
  <c r="BM470" i="1"/>
  <c r="AH287" i="1"/>
  <c r="BM911" i="1"/>
  <c r="AH1795" i="1"/>
  <c r="BM2996" i="1"/>
  <c r="AH1266" i="1"/>
  <c r="AH746" i="1"/>
  <c r="AH2927" i="1"/>
  <c r="BM2165" i="1"/>
  <c r="AH1792" i="1"/>
  <c r="AH151" i="1"/>
  <c r="BM541" i="1"/>
  <c r="AH1506" i="1"/>
  <c r="AH3117" i="1"/>
  <c r="BM1472" i="1"/>
  <c r="AH1900" i="1"/>
  <c r="AH1380" i="1"/>
  <c r="AH558" i="1"/>
  <c r="AH592" i="1"/>
  <c r="BM663" i="1"/>
  <c r="AH2883" i="1"/>
  <c r="BM1300" i="1"/>
  <c r="AH1757" i="1"/>
  <c r="AH2500" i="1"/>
  <c r="AH762" i="1"/>
  <c r="BM2190" i="1"/>
  <c r="AH3111" i="1"/>
  <c r="AH2486" i="1"/>
  <c r="BM1503" i="1"/>
  <c r="AH1594" i="1"/>
  <c r="BM458" i="1"/>
  <c r="BM2585" i="1"/>
  <c r="AH2852" i="1"/>
  <c r="BM2793" i="1"/>
  <c r="AH1359" i="1"/>
  <c r="AH1612" i="1"/>
  <c r="BM2192" i="1"/>
  <c r="AH1838" i="1"/>
  <c r="AH2418" i="1"/>
  <c r="BM1642" i="1"/>
  <c r="BM766" i="1"/>
  <c r="BM359" i="1"/>
  <c r="AH3027" i="1"/>
  <c r="AH2818" i="1"/>
  <c r="BM2134" i="1"/>
  <c r="BM1916" i="1"/>
  <c r="AH1963" i="1"/>
  <c r="AH383" i="1"/>
  <c r="AH2106" i="1"/>
  <c r="BM2313" i="1"/>
  <c r="AH1690" i="1"/>
  <c r="AH2781" i="1"/>
  <c r="BM2658" i="1"/>
  <c r="BM1912" i="1"/>
  <c r="AH2629" i="1"/>
  <c r="AH258" i="1"/>
  <c r="AH1596" i="1"/>
  <c r="AH1062" i="1"/>
  <c r="AH1426" i="1"/>
  <c r="BM1569" i="1"/>
  <c r="AH3006" i="1"/>
  <c r="AH1358" i="1"/>
  <c r="AH2408" i="1"/>
  <c r="BM1450" i="1"/>
  <c r="BM2236" i="1"/>
  <c r="BM773" i="1"/>
  <c r="BM2976" i="1"/>
  <c r="AH844" i="1"/>
  <c r="BM1284" i="1"/>
  <c r="BM1491" i="1"/>
  <c r="BM2758" i="1"/>
  <c r="BM2181" i="1"/>
  <c r="AH457" i="1"/>
  <c r="AH1441" i="1"/>
  <c r="BM2204" i="1"/>
  <c r="BM96" i="1"/>
  <c r="AH517" i="1"/>
  <c r="BM1954" i="1"/>
  <c r="BM2778" i="1"/>
  <c r="AH3114" i="1"/>
  <c r="AH2914" i="1"/>
  <c r="BM1960" i="1"/>
  <c r="BM769" i="1"/>
  <c r="BM740" i="1"/>
  <c r="AH3012" i="1"/>
  <c r="AH999" i="1"/>
  <c r="BM441" i="1"/>
  <c r="BM2670" i="1"/>
  <c r="BM479" i="1"/>
  <c r="BM1516" i="1"/>
  <c r="AH1891" i="1"/>
  <c r="AH3005" i="1"/>
  <c r="AH876" i="1"/>
  <c r="BM271" i="1"/>
  <c r="BM1391" i="1"/>
  <c r="AH1562" i="1"/>
  <c r="BM2393" i="1"/>
  <c r="BM2497" i="1"/>
  <c r="BM2948" i="1"/>
  <c r="BM26" i="1"/>
  <c r="AH1874" i="1"/>
  <c r="AH1124" i="1"/>
  <c r="AH2201" i="1"/>
  <c r="BM2800" i="1"/>
  <c r="BM1575" i="1"/>
  <c r="BM2125" i="1"/>
  <c r="AH1735" i="1"/>
  <c r="BM2811" i="1"/>
  <c r="BM704" i="1"/>
  <c r="AH1030" i="1"/>
  <c r="BM2635" i="1"/>
  <c r="AH1928" i="1"/>
  <c r="AH2821" i="1"/>
  <c r="AH1539" i="1"/>
  <c r="BM2560" i="1"/>
  <c r="AH2644" i="1"/>
  <c r="AH2608" i="1"/>
  <c r="BM1421" i="1"/>
  <c r="BM503" i="1"/>
  <c r="BM384" i="1"/>
  <c r="AH782" i="1"/>
  <c r="AH2573" i="1"/>
  <c r="BM2424" i="1"/>
  <c r="AH1242" i="1"/>
  <c r="BM2270" i="1"/>
  <c r="AH401" i="1"/>
  <c r="AH557" i="1"/>
  <c r="BM1773" i="1"/>
  <c r="BM1276" i="1"/>
  <c r="AH1733" i="1"/>
  <c r="BM195" i="1"/>
  <c r="BM1566" i="1"/>
  <c r="BM1736" i="1"/>
  <c r="AH2716" i="1"/>
  <c r="AH2074" i="1"/>
  <c r="AH544" i="1"/>
  <c r="BM2735" i="1"/>
  <c r="BM2687" i="1"/>
  <c r="AH865" i="1"/>
  <c r="BM1374" i="1"/>
  <c r="AH1810" i="1"/>
  <c r="BM711" i="1"/>
  <c r="AH1865" i="1"/>
  <c r="AH2236" i="1"/>
  <c r="BM1164" i="1"/>
  <c r="BM2610" i="1"/>
  <c r="AH3060" i="1"/>
  <c r="AH3032" i="1"/>
  <c r="BM1407" i="1"/>
  <c r="BM1828" i="1"/>
  <c r="AH1657" i="1"/>
  <c r="AH1465" i="1"/>
  <c r="BM2006" i="1"/>
  <c r="BM2365" i="1"/>
  <c r="AH1738" i="1"/>
  <c r="AH565" i="1"/>
  <c r="AH2782" i="1"/>
  <c r="BM524" i="1"/>
  <c r="AH938" i="1"/>
  <c r="AH1296" i="1"/>
  <c r="AH2093" i="1"/>
  <c r="AH155" i="1"/>
  <c r="AH1460" i="1"/>
  <c r="AH1749" i="1"/>
  <c r="AH1509" i="1"/>
  <c r="AH2917" i="1"/>
  <c r="BM2927" i="1"/>
  <c r="BM1620" i="1"/>
  <c r="BM376" i="1"/>
  <c r="AH3146" i="1"/>
  <c r="BM552" i="1"/>
  <c r="AH2154" i="1"/>
  <c r="AH1069" i="1"/>
  <c r="BM633" i="1"/>
  <c r="AH610" i="1"/>
  <c r="BM1664" i="1"/>
  <c r="AH2460" i="1"/>
  <c r="AH587" i="1"/>
  <c r="AH2822" i="1"/>
  <c r="BM1295" i="1"/>
  <c r="BM88" i="1"/>
  <c r="BM1882" i="1"/>
  <c r="AH586" i="1"/>
  <c r="BM653" i="1"/>
  <c r="BM3007" i="1"/>
  <c r="BM2126" i="1"/>
  <c r="BM2649" i="1"/>
  <c r="BM2127" i="1"/>
  <c r="AH2558" i="1"/>
  <c r="AH3051" i="1"/>
  <c r="AH1755" i="1"/>
  <c r="BM1123" i="1"/>
  <c r="AH902" i="1"/>
  <c r="AH177" i="1"/>
  <c r="AH2424" i="1"/>
  <c r="BM2091" i="1"/>
  <c r="BM2163" i="1"/>
  <c r="AH2578" i="1"/>
  <c r="BM85" i="1"/>
  <c r="AH2890" i="1"/>
  <c r="AH891" i="1"/>
  <c r="AH140" i="1"/>
  <c r="BM2171" i="1"/>
  <c r="BM2463" i="1"/>
  <c r="AH1234" i="1"/>
  <c r="BM1416" i="1"/>
  <c r="AH3074" i="1"/>
  <c r="BM2929" i="1"/>
  <c r="AH1732" i="1"/>
  <c r="AH229" i="1"/>
  <c r="BM2325" i="1"/>
  <c r="BM2397" i="1"/>
  <c r="BM519" i="1"/>
  <c r="AH360" i="1"/>
  <c r="BM143" i="1"/>
  <c r="BM24" i="1"/>
  <c r="AH391" i="1"/>
  <c r="BM3078" i="1"/>
  <c r="AH2308" i="1"/>
  <c r="AH2344" i="1"/>
  <c r="BM1677" i="1"/>
  <c r="AH3144" i="1"/>
  <c r="BM652" i="1"/>
  <c r="BM1952" i="1"/>
  <c r="AH2084" i="1"/>
  <c r="BM1578" i="1"/>
  <c r="BM2174" i="1"/>
  <c r="AH1825" i="1"/>
  <c r="BM1480" i="1"/>
  <c r="BM77" i="1"/>
  <c r="BM474" i="1"/>
  <c r="AH3112" i="1"/>
  <c r="AH1165" i="1"/>
  <c r="BM297" i="1"/>
  <c r="AH2698" i="1"/>
  <c r="AH2488" i="1"/>
  <c r="BM1410" i="1"/>
  <c r="AH796" i="1"/>
  <c r="BM1589" i="1"/>
  <c r="AH3004" i="1"/>
  <c r="BM2787" i="1"/>
  <c r="BM480" i="1"/>
  <c r="BM1743" i="1"/>
  <c r="BM1397" i="1"/>
  <c r="AH1958" i="1"/>
  <c r="AH2685" i="1"/>
  <c r="AH897" i="1"/>
  <c r="BM2882" i="1"/>
  <c r="AH3054" i="1"/>
  <c r="AH1494" i="1"/>
  <c r="BM537" i="1"/>
  <c r="AH1157" i="1"/>
  <c r="AH1183" i="1"/>
  <c r="BM67" i="1"/>
  <c r="AH2143" i="1"/>
  <c r="AH490" i="1"/>
  <c r="AH2008" i="1"/>
  <c r="BM1060" i="1"/>
  <c r="BM250" i="1"/>
  <c r="BM2941" i="1"/>
  <c r="AH2108" i="1"/>
  <c r="AH1868" i="1"/>
  <c r="AH2279" i="1"/>
  <c r="BM2315" i="1"/>
  <c r="AH2886" i="1"/>
  <c r="AH2625" i="1"/>
  <c r="BM977" i="1"/>
  <c r="AH2742" i="1"/>
  <c r="AH1892" i="1"/>
  <c r="AH2151" i="1"/>
  <c r="BM928" i="1"/>
  <c r="AH130" i="1"/>
  <c r="BM1047" i="1"/>
  <c r="AH641" i="1"/>
  <c r="BM2141" i="1"/>
  <c r="AH539" i="1"/>
  <c r="AH1105" i="1"/>
  <c r="BM499" i="1"/>
  <c r="BM2170" i="1"/>
  <c r="BM311" i="1"/>
  <c r="AH1809" i="1"/>
  <c r="AH1832" i="1"/>
  <c r="AH1293" i="1"/>
  <c r="BM1721" i="1"/>
  <c r="AH2588" i="1"/>
  <c r="AH2245" i="1"/>
  <c r="AH452" i="1"/>
  <c r="BM1766" i="1"/>
  <c r="BM1382" i="1"/>
  <c r="AH2934" i="1"/>
  <c r="BM2254" i="1"/>
  <c r="AH943" i="1"/>
  <c r="BM1262" i="1"/>
  <c r="BM2255" i="1"/>
  <c r="BM98" i="1"/>
  <c r="AH2891" i="1"/>
  <c r="AH350" i="1"/>
  <c r="BM1285" i="1"/>
  <c r="AH307" i="1"/>
  <c r="AH1761" i="1"/>
  <c r="BM2425" i="1"/>
  <c r="BM462" i="1"/>
  <c r="BM1729" i="1"/>
  <c r="AH2333" i="1"/>
  <c r="BM122" i="1"/>
  <c r="BM2526" i="1"/>
  <c r="AH1300" i="1"/>
  <c r="AH1365" i="1"/>
  <c r="AH798" i="1"/>
  <c r="BM2653" i="1"/>
  <c r="AH2517" i="1"/>
  <c r="AH2667" i="1"/>
  <c r="AH1819" i="1"/>
  <c r="BM326" i="1"/>
  <c r="BM954" i="1"/>
  <c r="BM2434" i="1"/>
  <c r="BM234" i="1"/>
  <c r="BM2858" i="1"/>
  <c r="BM3077" i="1"/>
  <c r="BM1558" i="1"/>
  <c r="AH1684" i="1"/>
  <c r="AH11" i="1"/>
  <c r="AH563" i="1"/>
  <c r="BM3006" i="1"/>
  <c r="AH581" i="1"/>
  <c r="AH1205" i="1"/>
  <c r="AH3011" i="1"/>
  <c r="AH1751" i="1"/>
  <c r="BM2814" i="1"/>
  <c r="BM427" i="1"/>
  <c r="BM134" i="1"/>
  <c r="AH2646" i="1"/>
  <c r="BM3143" i="1"/>
  <c r="BM91" i="1"/>
  <c r="BM324" i="1"/>
  <c r="BM534" i="1"/>
  <c r="BM2890" i="1"/>
  <c r="BM492" i="1"/>
  <c r="BM3104" i="1"/>
  <c r="BM2177" i="1"/>
  <c r="BM851" i="1"/>
  <c r="BM2027" i="1"/>
  <c r="AH1250" i="1"/>
  <c r="BM1868" i="1"/>
  <c r="BM1983" i="1"/>
  <c r="AH2828" i="1"/>
  <c r="AH1758" i="1"/>
  <c r="BM2199" i="1"/>
  <c r="AH92" i="1"/>
  <c r="BM511" i="1"/>
  <c r="AH1340" i="1"/>
  <c r="BM874" i="1"/>
  <c r="AH280" i="1"/>
  <c r="AH1645" i="1"/>
  <c r="AH978" i="1"/>
  <c r="BM237" i="1"/>
  <c r="BM242" i="1"/>
  <c r="BM1133" i="1"/>
  <c r="BM3003" i="1"/>
  <c r="AH836" i="1"/>
  <c r="BM270" i="1"/>
  <c r="AH1126" i="1"/>
  <c r="AH1010" i="1"/>
  <c r="BM3040" i="1"/>
  <c r="AH2277" i="1"/>
  <c r="BM249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Gary Imm</author>
  </authors>
  <commentList>
    <comment ref="K1" authorId="0" shapeId="0" xr:uid="{AB2BC888-BC20-4ACA-A99A-8CAFB8EEF340}">
      <text>
        <r>
          <rPr>
            <b/>
            <i/>
            <sz val="9"/>
            <color indexed="81"/>
            <rFont val="Tahoma"/>
            <family val="2"/>
          </rPr>
          <t xml:space="preserve">Quick Start Guide:
</t>
        </r>
        <r>
          <rPr>
            <sz val="9"/>
            <color indexed="81"/>
            <rFont val="Tahoma"/>
            <family val="2"/>
          </rPr>
          <t xml:space="preserve">1. Enable macros and disable formula warning messages.  See instructions in the User Guide tab below,
    in the Before You Begin section. 
2. Enter your lat, long, DST and GMT adjustment (in blue cells below).
3. Adjust date/time (below left) to your desired imaging time.
4. Click maroon "Top 10%" button (at right) to filter out the best 10% of deep sky objects.
5. Click gray "Transit Sort" button (below left) to sort objects by transit time, starting at the time shown.
6. Choose imaging target from objects which appear green or yellow in Altitude columns Z to AC,
    and which appear blue or white in Moon Index column AH. </t>
        </r>
      </text>
    </comment>
    <comment ref="V1" authorId="0" shapeId="0" xr:uid="{58B18CD9-6289-481D-8B06-A3581286AE73}">
      <text>
        <r>
          <rPr>
            <sz val="9"/>
            <color indexed="81"/>
            <rFont val="Tahoma"/>
            <family val="2"/>
          </rPr>
          <t xml:space="preserve">Input the Declination Range (blue numbers) and click button to apply. </t>
        </r>
      </text>
    </comment>
    <comment ref="X1" authorId="0" shapeId="0" xr:uid="{37A1B69A-9901-40DE-B8D7-AA89DCAD32AD}">
      <text>
        <r>
          <rPr>
            <sz val="9"/>
            <color indexed="81"/>
            <rFont val="Tahoma"/>
            <family val="2"/>
          </rPr>
          <t xml:space="preserve">Input the Size Range (blue numbers) and click button to apply. </t>
        </r>
      </text>
    </comment>
    <comment ref="AB1" authorId="0" shapeId="0" xr:uid="{BBB05980-1684-4AD9-B0B5-91BECD97500B}">
      <text>
        <r>
          <rPr>
            <sz val="9"/>
            <color indexed="81"/>
            <rFont val="Tahoma"/>
            <family val="2"/>
          </rPr>
          <t>- Applied filters show up as a funnel symbol next to the down arrows in Row 9.
- Except for Top Targets (in red), all filters are cleared before applying another filter.
- See the Compendium pdf for posters, descriptions, and object lists for the 
filters in this section.</t>
        </r>
      </text>
    </comment>
    <comment ref="AE1" authorId="0" shapeId="0" xr:uid="{23C1E5D7-D8DB-4252-86BB-2C9BE040C3AF}">
      <text>
        <r>
          <rPr>
            <sz val="9"/>
            <color indexed="81"/>
            <rFont val="Tahoma"/>
            <family val="2"/>
          </rPr>
          <t>Top Targets are the only set of filters which are NOT cleared before applying,
so they may be used to stack on top of other filters.
(For example, to filter the Nebula which are in the Top 2% of all objects,
first click on the "All Neb" button, then click on the "Top 2%" button.)</t>
        </r>
      </text>
    </comment>
    <comment ref="AX1" authorId="0" shapeId="0" xr:uid="{1B9B5DCB-CD97-496A-AD83-B7F97293D874}">
      <text>
        <r>
          <rPr>
            <sz val="9"/>
            <color indexed="81"/>
            <rFont val="Tahoma"/>
            <family val="2"/>
          </rPr>
          <t>Typical these nebulae are imaged with the following channel palettes:
SHO - Full narrowband -  SII/HII/OIII or HII/SII/OIII
SNR, WR, &amp; PN - HII/OIII/OIII
HII -  HII-RGB   
Reflection Nebulae, Molecular Cloud, Dark Nebulae -  LRGB</t>
        </r>
      </text>
    </comment>
    <comment ref="D2" authorId="0" shapeId="0" xr:uid="{CA66BD89-74EC-49CC-B208-213345412746}">
      <text>
        <r>
          <rPr>
            <sz val="9"/>
            <color indexed="81"/>
            <rFont val="Tahoma"/>
            <family val="2"/>
          </rPr>
          <t>Edit Date/Time using either:
- The "Now" button for the current time.
- The "Sunset" button for sunset tonight.
- The Up/Down scroll arrows.
- The cell B3 may be edited directly.</t>
        </r>
      </text>
    </comment>
    <comment ref="AC2" authorId="0" shapeId="0" xr:uid="{3636AC78-2881-4A96-A687-E3D164B18102}">
      <text>
        <r>
          <rPr>
            <sz val="9"/>
            <color indexed="81"/>
            <rFont val="Tahoma"/>
            <family val="2"/>
          </rPr>
          <t xml:space="preserve">Clears every filter to the right, keeping the Dec and Size ranges intact.  
To reset Dec and Size range, use the cells and buttons in columns U to X to the left. </t>
        </r>
      </text>
    </comment>
    <comment ref="A3" authorId="0" shapeId="0" xr:uid="{768F5033-057C-49AF-AE12-CAC30FEFECFB}">
      <text>
        <r>
          <rPr>
            <sz val="9"/>
            <color indexed="81"/>
            <rFont val="Tahoma"/>
            <family val="2"/>
          </rPr>
          <t>Click to set time at right to current time.</t>
        </r>
      </text>
    </comment>
    <comment ref="F3" authorId="0" shapeId="0" xr:uid="{363DFC98-F095-4820-9E27-287006E0640F}">
      <text>
        <r>
          <rPr>
            <sz val="9"/>
            <color indexed="81"/>
            <rFont val="Tahoma"/>
            <family val="2"/>
          </rPr>
          <t>Does this time currently reflect Daylight Savings Time?</t>
        </r>
      </text>
    </comment>
    <comment ref="H3" authorId="0" shapeId="0" xr:uid="{4307987A-384A-47E9-90F4-5B854A604419}">
      <text>
        <r>
          <rPr>
            <sz val="9"/>
            <color indexed="81"/>
            <rFont val="Tahoma"/>
            <family val="2"/>
          </rPr>
          <t>North is positive</t>
        </r>
      </text>
    </comment>
    <comment ref="L3" authorId="0" shapeId="0" xr:uid="{7496F24D-239D-4557-82A9-42F681C2E8AF}">
      <text>
        <r>
          <rPr>
            <sz val="9"/>
            <color indexed="81"/>
            <rFont val="Tahoma"/>
            <family val="2"/>
          </rPr>
          <t xml:space="preserve">The onset of nautical darkness is typically sufficient to begin imaging. </t>
        </r>
      </text>
    </comment>
    <comment ref="A4" authorId="0" shapeId="0" xr:uid="{A9654896-C8DD-4973-9160-0666B09AD3E2}">
      <text>
        <r>
          <rPr>
            <sz val="9"/>
            <color indexed="81"/>
            <rFont val="Tahoma"/>
            <family val="2"/>
          </rPr>
          <t>Click to set time at right to sunset today.</t>
        </r>
      </text>
    </comment>
    <comment ref="F4" authorId="0" shapeId="0" xr:uid="{F9952D9A-2ECE-464E-A7D2-02105FF9B133}">
      <text>
        <r>
          <rPr>
            <sz val="9"/>
            <color indexed="81"/>
            <rFont val="Tahoma"/>
            <family val="2"/>
          </rPr>
          <t>Hours that the Lat/Long location specified at right is off from Greenwich Mean Time (i.e., Universal Time - UTC).  Hours west of GMT are negative.
Examples:
US EST (e.g., New York)   -5
US CST (e.g., Chicago)   -6
US MST (e.g., Denver)  -7
US PST (e.g., Los Angeles)  -8
United Kingdom   0
Central Europe  +1
China/Western Australia  +8
Japan/Korea  +9
Eastern Australia +10
New Zealand  +12</t>
        </r>
      </text>
    </comment>
    <comment ref="H4" authorId="0" shapeId="0" xr:uid="{477EE20D-0180-4C76-9D4B-24085B6E957A}">
      <text>
        <r>
          <rPr>
            <sz val="9"/>
            <color indexed="81"/>
            <rFont val="Tahoma"/>
            <family val="2"/>
          </rPr>
          <t>East is positive</t>
        </r>
      </text>
    </comment>
    <comment ref="L4" authorId="0" shapeId="0" xr:uid="{5AD7A767-9B11-4464-A1FE-0E350F03A240}">
      <text>
        <r>
          <rPr>
            <sz val="9"/>
            <color indexed="81"/>
            <rFont val="Tahoma"/>
            <family val="2"/>
          </rPr>
          <t>The end of nautical darkness is typcially when an imaging session ends.</t>
        </r>
      </text>
    </comment>
    <comment ref="D5" authorId="0" shapeId="0" xr:uid="{5FCD8F46-1716-4DE8-B13E-527310D8F65F}">
      <text>
        <r>
          <rPr>
            <sz val="9"/>
            <color indexed="81"/>
            <rFont val="Tahoma"/>
            <family val="2"/>
          </rPr>
          <t>Sorts objects in alphabetical order</t>
        </r>
      </text>
    </comment>
    <comment ref="G5" authorId="0" shapeId="0" xr:uid="{09A0C92C-D72C-4C12-BCB0-F04C9A999CB7}">
      <text>
        <r>
          <rPr>
            <sz val="9"/>
            <color indexed="81"/>
            <rFont val="Tahoma"/>
            <family val="2"/>
          </rPr>
          <t xml:space="preserve">Sorts objects in ascending transit time order,
starting at the time shown above
</t>
        </r>
      </text>
    </comment>
    <comment ref="J5" authorId="0" shapeId="0" xr:uid="{3143BDF6-F4F0-4245-AE2D-8B06B27A5323}">
      <text>
        <r>
          <rPr>
            <sz val="9"/>
            <color indexed="81"/>
            <rFont val="Tahoma"/>
            <family val="2"/>
          </rPr>
          <t>Move to top left corner of sheet</t>
        </r>
      </text>
    </comment>
    <comment ref="C7" authorId="0" shapeId="0" xr:uid="{A5F369C7-C21A-429C-979E-2E4FBEA6CE54}">
      <text>
        <r>
          <rPr>
            <sz val="9"/>
            <color indexed="81"/>
            <rFont val="Tahoma"/>
            <family val="2"/>
          </rPr>
          <t xml:space="preserve">
The primary, most common name designation for this object.  Each of the objects in this spreadsheet is represented by one (and only one) row. 
The columns to the right show alternative designations for the same object.   Sorting for an object is best done using the particular catalogue column to the right for the catalogue designation you are searching for.   For example, if you are looking for Gum 83, search by using the sorted Gum column since its main object name in this column is M16.
</t>
        </r>
      </text>
    </comment>
    <comment ref="D7" authorId="0" shapeId="0" xr:uid="{A6C1BBCD-D09B-41B8-B7FF-5DD406C04C4C}">
      <text>
        <r>
          <rPr>
            <u/>
            <sz val="9"/>
            <color indexed="81"/>
            <rFont val="Tahoma"/>
            <family val="2"/>
          </rPr>
          <t>Definitions:</t>
        </r>
        <r>
          <rPr>
            <sz val="9"/>
            <color indexed="81"/>
            <rFont val="Tahoma"/>
            <family val="2"/>
          </rPr>
          <t xml:space="preserve">
Gal - Galaxies
Neb - Nebulae
Star - Star-related objects
</t>
        </r>
      </text>
    </comment>
    <comment ref="E7" authorId="0" shapeId="0" xr:uid="{C5F1A5DB-AC49-49AE-8B27-1FDE33AA810A}">
      <text>
        <r>
          <rPr>
            <sz val="9"/>
            <color indexed="81"/>
            <rFont val="Tahoma"/>
            <family val="2"/>
          </rPr>
          <t xml:space="preserve">See tab below for definitions
</t>
        </r>
      </text>
    </comment>
    <comment ref="F7" authorId="0" shapeId="0" xr:uid="{55E2916B-18F2-424E-8FDA-9CCDDBEF02FC}">
      <text>
        <r>
          <rPr>
            <sz val="9"/>
            <color indexed="81"/>
            <rFont val="Tahoma"/>
            <family val="2"/>
          </rPr>
          <t xml:space="preserve">See tab below for definitions
</t>
        </r>
      </text>
    </comment>
    <comment ref="G7" authorId="0" shapeId="0" xr:uid="{437202EC-F8EB-463A-95A7-112835E320DE}">
      <text>
        <r>
          <rPr>
            <sz val="9"/>
            <color indexed="81"/>
            <rFont val="Tahoma"/>
            <family val="2"/>
          </rPr>
          <t>Apparent size of the object (width) in arc-minutes.
For galaxy groups, clusters, and chains, the size is the diameter of the group. (underlined)
For galaxy trios and pairs, the size is the diameter of the largest member.
Size does not include span of faint extended star streams.</t>
        </r>
      </text>
    </comment>
    <comment ref="H7" authorId="0" shapeId="0" xr:uid="{681C4DAF-B00A-481E-8488-BC8932AAB5AD}">
      <text>
        <r>
          <rPr>
            <u/>
            <sz val="9"/>
            <color indexed="81"/>
            <rFont val="Tahoma"/>
            <family val="2"/>
          </rPr>
          <t>Distance Definitions:</t>
        </r>
        <r>
          <rPr>
            <sz val="9"/>
            <color indexed="81"/>
            <rFont val="Tahoma"/>
            <family val="2"/>
          </rPr>
          <t xml:space="preserve">
Galaxies - millions of lightyears
</t>
        </r>
        <r>
          <rPr>
            <i/>
            <sz val="9"/>
            <color indexed="81"/>
            <rFont val="Tahoma"/>
            <family val="2"/>
          </rPr>
          <t>Milky Way objects - lightyears (in brown italics)</t>
        </r>
        <r>
          <rPr>
            <sz val="9"/>
            <color indexed="81"/>
            <rFont val="Tahoma"/>
            <family val="2"/>
          </rPr>
          <t xml:space="preserve">
u - unknown
</t>
        </r>
      </text>
    </comment>
    <comment ref="I7" authorId="0" shapeId="0" xr:uid="{2E85C47D-8300-4A55-82C5-03097945F579}">
      <text>
        <r>
          <rPr>
            <u/>
            <sz val="9"/>
            <color indexed="81"/>
            <rFont val="Tahoma"/>
            <family val="2"/>
          </rPr>
          <t>Diameter Definitions:</t>
        </r>
        <r>
          <rPr>
            <sz val="9"/>
            <color indexed="81"/>
            <rFont val="Tahoma"/>
            <family val="2"/>
          </rPr>
          <t xml:space="preserve">
Galaxies - thousands of lightyears
</t>
        </r>
        <r>
          <rPr>
            <i/>
            <sz val="9"/>
            <color indexed="81"/>
            <rFont val="Tahoma"/>
            <family val="2"/>
          </rPr>
          <t xml:space="preserve">Milky Way objects - lightyears (in brown italics)
</t>
        </r>
        <r>
          <rPr>
            <sz val="9"/>
            <color indexed="81"/>
            <rFont val="Tahoma"/>
            <family val="2"/>
          </rPr>
          <t>For galaxy groups, clusters, and chains, the size is the group diameter (underlined).
For galaxy trios and pairs, the size is the diameter of the largest member.
u - unknown</t>
        </r>
      </text>
    </comment>
    <comment ref="J7" authorId="0" shapeId="0" xr:uid="{4AC7D5CF-FA06-4E0E-9EF5-44BB675CC2FD}">
      <text>
        <r>
          <rPr>
            <b/>
            <sz val="9"/>
            <color indexed="81"/>
            <rFont val="Tahoma"/>
            <family val="2"/>
          </rPr>
          <t xml:space="preserve">Object rating
</t>
        </r>
        <r>
          <rPr>
            <sz val="9"/>
            <color indexed="81"/>
            <rFont val="Tahoma"/>
            <family val="2"/>
          </rPr>
          <t xml:space="preserve">5 - Top 2% of All Objects (Showcase Objects)        4 - Top 10% of All Objects (Excellent)
3 - Top 25% of All Objects (Good)                        2 - Majority of Objects
1 - Only for hardcore imagers                                0 - Not worth imaging
</t>
        </r>
      </text>
    </comment>
    <comment ref="M7" authorId="0" shapeId="0" xr:uid="{C61C6A55-C747-4826-8886-05D47482AEB8}">
      <text>
        <r>
          <rPr>
            <sz val="9"/>
            <color indexed="81"/>
            <rFont val="Tahoma"/>
            <family val="2"/>
          </rPr>
          <t xml:space="preserve">Right Ascension, in hours/minutes/seconds.  
First column hr/min/sec notation.
Second column decimal notation.
</t>
        </r>
      </text>
    </comment>
    <comment ref="O7" authorId="0" shapeId="0" xr:uid="{881BC608-A2E5-4960-A674-44FFB4B1F4CC}">
      <text>
        <r>
          <rPr>
            <sz val="9"/>
            <color indexed="81"/>
            <rFont val="Tahoma"/>
            <family val="2"/>
          </rPr>
          <t>Declination, in degrees/minutes/seconds
First column hr/min/sec notation.
Second column decimal notation.</t>
        </r>
      </text>
    </comment>
    <comment ref="S7" authorId="0" shapeId="0" xr:uid="{D578D224-B3E7-4FE7-A6F8-9EA771A480E5}">
      <text>
        <r>
          <rPr>
            <sz val="9"/>
            <color indexed="81"/>
            <rFont val="Tahoma"/>
            <family val="2"/>
          </rPr>
          <t>Generally within 0.5 degrees.
Not complete.</t>
        </r>
      </text>
    </comment>
    <comment ref="T7" authorId="0" shapeId="0" xr:uid="{5F897E96-B84F-466F-BEB7-A28DF659A0A3}">
      <text>
        <r>
          <rPr>
            <sz val="9"/>
            <color indexed="81"/>
            <rFont val="Tahoma"/>
            <family val="2"/>
          </rPr>
          <t>For galaxy groups, this is the magnitude of the anchor galaxy in the group. 
For Abell galaxy clusters, this is the magnitude of the 10th brightest galaxy.</t>
        </r>
      </text>
    </comment>
    <comment ref="U7" authorId="0" shapeId="0" xr:uid="{6FB847B5-796A-4A43-9AD7-2C633C5E1C4E}">
      <text>
        <r>
          <rPr>
            <sz val="9"/>
            <color indexed="81"/>
            <rFont val="Tahoma"/>
            <family val="2"/>
          </rPr>
          <t xml:space="preserve">Magnitudes per square arc-second
</t>
        </r>
      </text>
    </comment>
    <comment ref="V7" authorId="0" shapeId="0" xr:uid="{5FC9E9EC-82DD-4B36-825D-5697C5AF5FB0}">
      <text>
        <r>
          <rPr>
            <sz val="9"/>
            <color indexed="81"/>
            <rFont val="Tahoma"/>
            <family val="2"/>
          </rPr>
          <t xml:space="preserve">For single galaxies.
Definition:
Face-on = 0 deg
Edge-on = 90 deg
</t>
        </r>
      </text>
    </comment>
    <comment ref="W7" authorId="0" shapeId="0" xr:uid="{381FA1B1-FFB0-4D3A-84E9-A71B414DBF6C}">
      <text>
        <r>
          <rPr>
            <sz val="9"/>
            <color indexed="81"/>
            <rFont val="Tahoma"/>
            <family val="2"/>
          </rPr>
          <t>Sets the color of the row.
"1" objects are marked with a light green fill.
"2" objects are marked with a light yellow fill.
"3" objects are marked with a light red filll.
Use this "stoplight" flag to indicate object priority, 
scope assignment, or whatever you choose.</t>
        </r>
      </text>
    </comment>
    <comment ref="X7" authorId="0" shapeId="0" xr:uid="{1CCD6147-D8E7-42F6-A302-0F0C38793B6C}">
      <text>
        <r>
          <rPr>
            <sz val="9"/>
            <color indexed="81"/>
            <rFont val="Tahoma"/>
            <family val="2"/>
          </rPr>
          <t>Sets the status of the imaged object:
"p" objects (planned) are marked with a dotted pattern.
"i" objects (in-progress) are marked with a diagonal line pattern.
"f" objects (finished) are marked with a gray fill.</t>
        </r>
      </text>
    </comment>
    <comment ref="Y7" authorId="0" shapeId="0" xr:uid="{A3532FC6-3162-4D19-8D5A-61D84A81DCEF}">
      <text>
        <r>
          <rPr>
            <sz val="9"/>
            <color indexed="81"/>
            <rFont val="Tahoma"/>
            <family val="2"/>
          </rPr>
          <t>Free-form column for anything you want to document about this object.</t>
        </r>
      </text>
    </comment>
    <comment ref="AE7" authorId="0" shapeId="0" xr:uid="{4043F94B-587D-438B-A9A3-B14A08ECCE1D}">
      <text>
        <r>
          <rPr>
            <sz val="9"/>
            <color indexed="81"/>
            <rFont val="Tahoma"/>
            <family val="2"/>
          </rPr>
          <t xml:space="preserve">Date when the object transits (crosses the meridian) at midnight.  During daylight savings time, transit occurs at 1 a.m.  Objects imaged near transit have the least amount of intervening atmosphere.  </t>
        </r>
      </text>
    </comment>
    <comment ref="AF7" authorId="0" shapeId="0" xr:uid="{FEF0D39C-AD42-431F-9841-2CB8769ADBCD}">
      <text>
        <r>
          <rPr>
            <sz val="9"/>
            <color indexed="81"/>
            <rFont val="Tahoma"/>
            <family val="2"/>
          </rPr>
          <t xml:space="preserve">This is the maximum transit altitude of the object.
</t>
        </r>
      </text>
    </comment>
    <comment ref="AH7" authorId="0" shapeId="0" xr:uid="{DE06C436-F8B9-4E78-B1C6-7211BC228C3A}">
      <text>
        <r>
          <rPr>
            <sz val="9"/>
            <color indexed="81"/>
            <rFont val="Tahoma"/>
            <family val="2"/>
          </rPr>
          <t>Index which combines the effect of current moon separation and moon phase.  Blue indicates good RGB imaging conditions.  The use of narrowband filters allows imaging into red conditions.</t>
        </r>
      </text>
    </comment>
    <comment ref="BJ7" authorId="0" shapeId="0" xr:uid="{11BDFCFA-3CA1-43F2-B4C5-2347218A086E}">
      <text>
        <r>
          <rPr>
            <sz val="9"/>
            <color indexed="81"/>
            <rFont val="Tahoma"/>
            <family val="2"/>
          </rPr>
          <t xml:space="preserve">The object azimuth from your location,
in degrees clockwise from north:
(0/360=N, 90=E, 180=S, 270=W)
</t>
        </r>
      </text>
    </comment>
    <comment ref="A8" authorId="0" shapeId="0" xr:uid="{77B2183A-4CF1-4193-A167-0C8E5E5974D2}">
      <text>
        <r>
          <rPr>
            <sz val="9"/>
            <color indexed="81"/>
            <rFont val="Tahoma"/>
            <family val="2"/>
          </rPr>
          <t>Astrobin is a global astrophotography web site.  Each link takes you to my high resolution image of that object, accompanied by a detailed descriptions of the object, the image, and the imaging setup.</t>
        </r>
      </text>
    </comment>
    <comment ref="B8" authorId="0" shapeId="0" xr:uid="{EA9233CA-593A-4B19-BD5D-E697A3E53CC2}">
      <text>
        <r>
          <rPr>
            <sz val="9"/>
            <color indexed="81"/>
            <rFont val="Tahoma"/>
            <family val="2"/>
          </rPr>
          <t>SIMBAD is a huge, daily updated database of millions of deep sky objects, with detailed technical information about each object.</t>
        </r>
      </text>
    </comment>
    <comment ref="C8" authorId="0" shapeId="0" xr:uid="{3CA03691-BFE4-494A-A989-E8C524560110}">
      <text>
        <r>
          <rPr>
            <sz val="9"/>
            <color indexed="81"/>
            <rFont val="Tahoma"/>
            <family val="2"/>
          </rPr>
          <t>ALADIN is an interactive sky atlas which allows users to see low resolution images of any deep sky object.</t>
        </r>
      </text>
    </comment>
    <comment ref="AI8" authorId="0" shapeId="0" xr:uid="{8DF71F17-34E9-46B2-B078-7F1E8CAB8E3A}">
      <text>
        <r>
          <rPr>
            <b/>
            <sz val="9"/>
            <color indexed="81"/>
            <rFont val="Tahoma"/>
            <family val="2"/>
          </rPr>
          <t xml:space="preserve">New General Catalogue 
(7840 objects circa 1888)  </t>
        </r>
        <r>
          <rPr>
            <sz val="9"/>
            <color indexed="81"/>
            <rFont val="Tahoma"/>
            <family val="2"/>
          </rPr>
          <t xml:space="preserve">
The primary catalog for deep sky objects.</t>
        </r>
      </text>
    </comment>
    <comment ref="AJ8" authorId="0" shapeId="0" xr:uid="{00000000-0006-0000-0000-000057000000}">
      <text>
        <r>
          <rPr>
            <b/>
            <sz val="9"/>
            <color indexed="81"/>
            <rFont val="Tahoma"/>
            <family val="2"/>
          </rPr>
          <t>Index Catalogue 
(5386 objects circa 1912)</t>
        </r>
        <r>
          <rPr>
            <sz val="9"/>
            <color indexed="81"/>
            <rFont val="Tahoma"/>
            <family val="2"/>
          </rPr>
          <t xml:space="preserve">
The first major update to the NGC catalog, serving as a supplement of DSO discoveries between 1888 and 1907.</t>
        </r>
      </text>
    </comment>
    <comment ref="AK8" authorId="0" shapeId="0" xr:uid="{191A289D-C2DB-41AA-81C3-E4740A40B57A}">
      <text>
        <r>
          <rPr>
            <b/>
            <sz val="9"/>
            <color indexed="81"/>
            <rFont val="Tahoma"/>
            <family val="2"/>
          </rPr>
          <t>Herschel 400 
(circa 1786, best 400 of the 2500 objects)</t>
        </r>
        <r>
          <rPr>
            <sz val="9"/>
            <color indexed="81"/>
            <rFont val="Tahoma"/>
            <family val="2"/>
          </rPr>
          <t xml:space="preserve">
A precursor of the NGC catalog, William Herschel's Catalogue of Nebulae and Clusters of Stars was published in a series of 3 papers between 1786 and 1802.  This catalogue comprised about 2500 objects.  In 1980, an astronomy club in Florida selected 400 of the best of these 2500 objects for advanced observing.  This list has become known as the Herschel 400.
</t>
        </r>
      </text>
    </comment>
    <comment ref="AL8" authorId="0" shapeId="0" xr:uid="{00000000-0006-0000-0000-000058000000}">
      <text>
        <r>
          <rPr>
            <b/>
            <sz val="9"/>
            <color indexed="81"/>
            <rFont val="Tahoma"/>
            <family val="2"/>
          </rPr>
          <t>Messier Catalogue 
(110 objects circa 1774)</t>
        </r>
        <r>
          <rPr>
            <sz val="9"/>
            <color indexed="81"/>
            <rFont val="Tahoma"/>
            <family val="2"/>
          </rPr>
          <t xml:space="preserve">
The oldest and most popular catalog in astronomy.   The Messier Catalog was never intended to be a list of the best objects in the sky to observe, but as a list of objects to avoid when looking for comets. Messier did not include many of the sky's brightest deep-sky objects, and only included objects he could see from Paris (down to -35 deg declination). 
All of the Messier locations are shown on the sky map in the mouseover of the cell below.</t>
        </r>
      </text>
    </comment>
    <comment ref="AM8" authorId="0" shapeId="0" xr:uid="{F982054B-FA8B-45B0-BF92-5E0F03D41F39}">
      <text>
        <r>
          <rPr>
            <b/>
            <sz val="9"/>
            <color indexed="81"/>
            <rFont val="Tahoma"/>
            <family val="2"/>
          </rPr>
          <t>Caldwell Catalogue 
(109 objects circa 1995)</t>
        </r>
        <r>
          <rPr>
            <sz val="9"/>
            <color indexed="81"/>
            <rFont val="Tahoma"/>
            <family val="2"/>
          </rPr>
          <t xml:space="preserve">
The Caldwell Catalog was published by Patrick Moore in 1995 as a complement to the most famous astronomy catalog, the Messier Catalog.  Moore used his other surname (Caldwell) as the name for the catalog, since the initial of "M" was already used for the Messier catalogue.  The Caldwell Catalog includes the best and most interesting objects which are not on Messier's list, covering the entire sky from north (C1 is +85) to south (C109 is -80). 
</t>
        </r>
      </text>
    </comment>
    <comment ref="AN8" authorId="0" shapeId="0" xr:uid="{00000000-0006-0000-0000-000059000000}">
      <text>
        <r>
          <rPr>
            <b/>
            <sz val="9"/>
            <color indexed="81"/>
            <rFont val="Tahoma"/>
            <family val="2"/>
          </rPr>
          <t>Arp Atlas of Peculiar Galaxies 
(338 galaxy objects circa 1966)</t>
        </r>
        <r>
          <rPr>
            <sz val="9"/>
            <color indexed="81"/>
            <rFont val="Tahoma"/>
            <family val="2"/>
          </rPr>
          <t xml:space="preserve">
The Atlas of Peculiar Galaxies is a catalog of 338 peculiar galaxies produced by Halton Arp in 1966. They are "peculiar" because they often are interacting gravitationally with other nearby galaxies.  Although most are tiny and hard to image clearly, they are some of the most interesting looking galaxies in the universe. </t>
        </r>
      </text>
    </comment>
    <comment ref="AO8" authorId="0" shapeId="0" xr:uid="{6DFB4BFE-6D5B-4E4E-AEB0-ABB8DCCFC8AE}">
      <text>
        <r>
          <rPr>
            <b/>
            <sz val="9"/>
            <color indexed="81"/>
            <rFont val="Tahoma"/>
            <family val="2"/>
          </rPr>
          <t>Hickson Catalogue of Small Galaxy Goups 
(100 galaxy groups circa 1982)</t>
        </r>
        <r>
          <rPr>
            <sz val="9"/>
            <color indexed="81"/>
            <rFont val="Tahoma"/>
            <family val="2"/>
          </rPr>
          <t xml:space="preserve">
The Hickson catalog is a collection of 100 galaxy groups published by Paul Hickson in 1982. Hickson compact galaxy groups are tightly spaced relative to other space objects. A typical Hickson group has 4 galaxies, but can have up to 8.</t>
        </r>
      </text>
    </comment>
    <comment ref="AP8" authorId="0" shapeId="0" xr:uid="{00000000-0006-0000-0000-00005A000000}">
      <text>
        <r>
          <rPr>
            <b/>
            <sz val="9"/>
            <color indexed="81"/>
            <rFont val="Tahoma"/>
            <family val="2"/>
          </rPr>
          <t>Abell Catalogue of Galaxy Clusters 
(4073 galaxy clusters circa 1958)</t>
        </r>
        <r>
          <rPr>
            <sz val="9"/>
            <color indexed="81"/>
            <rFont val="Tahoma"/>
            <family val="2"/>
          </rPr>
          <t xml:space="preserve">
Abell galaxy clusters encompass massive space and distance and are the largest known gravitationally bound structures in the universe.  The Abell catalog consists of 4073 objects - the original 2712 clusters of the original George O. Abell "Northern Survey" of 1958, supplemented with an additional 1361 clusters from the "Southern Survey" in 1989.  Each cluster typically consist of 30 to 200 galaxies. 
Abell also published a PN catalog and the numbered objects of the 2 catalogs are easily confused, although the PN catalog only consists of 86 objects.</t>
        </r>
      </text>
    </comment>
    <comment ref="AQ8" authorId="0" shapeId="0" xr:uid="{9BCF0A48-2FE7-40BF-9564-C0B6F076856C}">
      <text>
        <r>
          <rPr>
            <b/>
            <sz val="9"/>
            <color indexed="81"/>
            <rFont val="Tahoma"/>
            <family val="2"/>
          </rPr>
          <t>Uppsala General Catalogue of Galaxies (12921 northern hemisphere galaxies circa 1973)</t>
        </r>
      </text>
    </comment>
    <comment ref="AR8" authorId="0" shapeId="0" xr:uid="{00000000-0006-0000-0000-00005B000000}">
      <text>
        <r>
          <rPr>
            <b/>
            <sz val="9"/>
            <color indexed="81"/>
            <rFont val="Tahoma"/>
            <family val="2"/>
          </rPr>
          <t>Catalogue of Principal Galaxies 
(73,197 galaxies circa 1995)</t>
        </r>
      </text>
    </comment>
    <comment ref="AS8" authorId="0" shapeId="0" xr:uid="{D526F94D-2324-4F8A-A90C-72A7F5B949E9}">
      <text>
        <r>
          <rPr>
            <b/>
            <sz val="9"/>
            <color indexed="81"/>
            <rFont val="Tahoma"/>
            <family val="2"/>
          </rPr>
          <t xml:space="preserve">Abell Catalogue of Old Planetary Nebulae
(86 planetary nebulae circa 1966)
</t>
        </r>
        <r>
          <rPr>
            <sz val="9"/>
            <color indexed="81"/>
            <rFont val="Tahoma"/>
            <family val="2"/>
          </rPr>
          <t>This catalogue was created in 1966 by Dr. George Abell from new objects discovered on the photographs taken for the Palomar Sky Survey. The catalogue consists of 86 total entries, although only 79 of these entries are truly planetary nebulae. The 7 non-PN objects are plate flaws (17 &amp; 32), reflection nebula (11), galaxies (64 &amp; 76), SNR (85) and a stromgren sphere (35).
All Abell PN entries are included here except for the plate flaws (Abell 17 &amp; Abell 32).</t>
        </r>
      </text>
    </comment>
    <comment ref="AT8" authorId="0" shapeId="0" xr:uid="{00000000-0006-0000-0000-00005C000000}">
      <text>
        <r>
          <rPr>
            <b/>
            <sz val="9"/>
            <color indexed="81"/>
            <rFont val="Tahoma"/>
            <family val="2"/>
          </rPr>
          <t xml:space="preserve">Griffiths Catalogue of Planetary Nebulae
(45 planetary nebulae circa 2012)
</t>
        </r>
        <r>
          <rPr>
            <sz val="9"/>
            <color indexed="81"/>
            <rFont val="Tahoma"/>
            <family val="2"/>
          </rPr>
          <t xml:space="preserve">The Griffiths Planetary List consists of 45 non-Messier PN ranging from +82 to -24 declination. In his words, he picked these PN “to strike a balance between brightness, size and observability by concentrating on exciting and challenging nebulae that the author has personally seen in almost 40 years of examining the skies. Purposely ignored are the 4 Messier PN objects.” </t>
        </r>
      </text>
    </comment>
    <comment ref="AU8" authorId="0" shapeId="0" xr:uid="{147D4010-21A2-4CF0-AC21-AD74F5B41DBE}">
      <text>
        <r>
          <rPr>
            <b/>
            <sz val="9"/>
            <color indexed="81"/>
            <rFont val="Tahoma"/>
            <family val="2"/>
          </rPr>
          <t>Kohoutek Catalogue of Planetary Nebulae
(1500 planetary nebulae circa 1967)</t>
        </r>
        <r>
          <rPr>
            <sz val="9"/>
            <color indexed="81"/>
            <rFont val="Tahoma"/>
            <family val="2"/>
          </rPr>
          <t xml:space="preserve">
PNe discovered by the Czech astronomer Dr. Luboš Kohoutek.  He discovered over 300 new PNe over his lifetime, many of which now bear his name. Many of the Kohoutek PNe are stellar in size </t>
        </r>
      </text>
    </comment>
    <comment ref="AV8" authorId="0" shapeId="0" xr:uid="{00000000-0006-0000-0000-00005D000000}">
      <text>
        <r>
          <rPr>
            <b/>
            <sz val="9"/>
            <color indexed="81"/>
            <rFont val="Tahoma"/>
            <family val="2"/>
          </rPr>
          <t>Minkowski Catalogue of Planetary Nebulae
(207 planetary nebulae circa 1946)</t>
        </r>
        <r>
          <rPr>
            <sz val="9"/>
            <color indexed="81"/>
            <rFont val="Tahoma"/>
            <family val="2"/>
          </rPr>
          <t xml:space="preserve">
During his work in the 1940s at the Mount Wilson Observatory, Dr. Rudolph Minkowski published 3 papers which doubled the number of planetary nebulae known at that time. Interestingly, Dr. Minkowski did not number these objects.  Instead, in later years, the PNe listed in these three papers were recognized by the designators M 1-xx, M 2-xx, and M 3-xx.  Later, in 1965, Perek and Kohoutek added additional objects from Minkowski's observations which became known as the M 4-xx list.  
The Minkowski catalogue contains mostly PNe (207), but also includes large nebula (40) such as the Pelican and Fishhead Nebulae, 1 galaxy, 1 supernova remnant, and 7 stars.  Some of the objects also have NGC, IC, and SH2 designations.
Many of the Minkowski PNe are stellar in size 
</t>
        </r>
      </text>
    </comment>
    <comment ref="AW8" authorId="0" shapeId="0" xr:uid="{A294E398-8250-4376-B0B8-7942EADB2964}">
      <text>
        <r>
          <rPr>
            <b/>
            <sz val="9"/>
            <color indexed="81"/>
            <rFont val="Tahoma"/>
            <family val="2"/>
          </rPr>
          <t>Barnard Dark Nebulae Catalogue
(349 dark nebulae circa 1927)</t>
        </r>
        <r>
          <rPr>
            <sz val="9"/>
            <color indexed="81"/>
            <rFont val="Tahoma"/>
            <family val="2"/>
          </rPr>
          <t xml:space="preserve">
Astronomer Edward Emerson (E.E.) Barnard was one of the greatest astronomers of the 19th century.  He was known as "The Man Who Never Slept."   
One of his greatest accomplishments is his atlas of 349 dark nebulae known as the Barnard Catalogue of Dark Markings in the Sky. These nebulae were once thought to be holes in the Milky Way. After further study, they were discovered not to be holes but interstellar dust clouds which block the background Milky Way stars from our view.   
Barnard died in 1923 at the age of 65.  Due to his meticulous work on the Atlas, it was not completed while he was still alive.  It was published after his death, in 1927, with the last aspects of publishing the Atlas being handled by his niece Mary Calvert.
The dark nebulae vary tremendously in their density, size and beauty.  Due to various reasons, the 349 objects have numbers ranging from 1 to 379, with some numbers unassigned.</t>
        </r>
      </text>
    </comment>
    <comment ref="AX8" authorId="0" shapeId="0" xr:uid="{00000000-0006-0000-0000-00005E000000}">
      <text>
        <r>
          <rPr>
            <b/>
            <sz val="9"/>
            <color indexed="81"/>
            <rFont val="Tahoma"/>
            <family val="2"/>
          </rPr>
          <t>Gum Emission Nebulae Catalgue of Southern Hemisphere
(85 emission nebulae circa 1955)</t>
        </r>
        <r>
          <rPr>
            <sz val="9"/>
            <color indexed="81"/>
            <rFont val="Tahoma"/>
            <family val="2"/>
          </rPr>
          <t xml:space="preserve">
Astronomer Dr. Colin Gum published the first catalogue of southern hemisphere HII regions in 1955.  Most of these objects are located deep in the southern hemisphere but some of the best can be reached from northern hemisphere locations.  
Although there are 85 Gum objects, there are 94 images below because numerous Gum objects are split into multiple a, b, c and d components, as described in the cell comments.</t>
        </r>
      </text>
    </comment>
    <comment ref="AY8" authorId="0" shapeId="0" xr:uid="{9A53E061-72C6-4692-B797-0FEBBF102066}">
      <text>
        <r>
          <rPr>
            <b/>
            <sz val="9"/>
            <color indexed="81"/>
            <rFont val="Tahoma"/>
            <family val="2"/>
          </rPr>
          <t>Lynds Bright Nebulae Catalogue
(1025 bright nebulae circa 1965)</t>
        </r>
        <r>
          <rPr>
            <sz val="9"/>
            <color indexed="81"/>
            <rFont val="Tahoma"/>
            <family val="2"/>
          </rPr>
          <t xml:space="preserve">
This catalog was published by US astronomer Beverly Turner Lynds in 1965.  The survey used the 48-inch Palomar telescope and includes all significant bright nebulosity (excluding PN) down to the -33 degrees declination limit of the telescope, which amounts to 1025 objects.  The LBN catalogue includes many objects from more popular catalogues such as Sh-2.  </t>
        </r>
      </text>
    </comment>
    <comment ref="AZ8" authorId="0" shapeId="0" xr:uid="{00000000-0006-0000-0000-00005F000000}">
      <text>
        <r>
          <rPr>
            <b/>
            <sz val="9"/>
            <color indexed="81"/>
            <rFont val="Tahoma"/>
            <family val="2"/>
          </rPr>
          <t>Lynds Dark Nebulae Catalogue
(1802 dark nebulae circa 1962)</t>
        </r>
        <r>
          <rPr>
            <sz val="9"/>
            <color indexed="81"/>
            <rFont val="Tahoma"/>
            <family val="2"/>
          </rPr>
          <t xml:space="preserve">
This catalogue was published by US astronomer Beverly Turner Lynds in 1962. The survey used the 48-inch Palomar telescope and includes 1802 dark nebulae down to the -33 degrees declination limit of the telescope.
The LDN catalogue overlaps with the more popular (but much smaller) Barnard Dark Nebulae Catalogue. </t>
        </r>
      </text>
    </comment>
    <comment ref="BA8" authorId="0" shapeId="0" xr:uid="{14FF60D4-1A81-4531-884F-586B8F47C361}">
      <text>
        <r>
          <rPr>
            <b/>
            <sz val="9"/>
            <color indexed="81"/>
            <rFont val="Tahoma"/>
            <family val="2"/>
          </rPr>
          <t>RCW Emission Nebulae Catalogue
(182 emission nebulae circa 1960)</t>
        </r>
        <r>
          <rPr>
            <sz val="9"/>
            <color indexed="81"/>
            <rFont val="Tahoma"/>
            <family val="2"/>
          </rPr>
          <t xml:space="preserve">
Overlapping somewhat with the Sh-2 and Gum catalogues, this catalog by Rodgers, Campbell and Whiteoak focuses exclusivley on southern hemisphere emission nebulae.</t>
        </r>
      </text>
    </comment>
    <comment ref="BB8" authorId="0" shapeId="0" xr:uid="{7549B05E-879A-4A11-B090-A0337975295A}">
      <text>
        <r>
          <rPr>
            <b/>
            <sz val="9"/>
            <color indexed="81"/>
            <rFont val="Tahoma"/>
            <family val="2"/>
          </rPr>
          <t>Sharpless Emission Nebulae Catalogue
(313 emission nebulae circa 1959)</t>
        </r>
        <r>
          <rPr>
            <sz val="9"/>
            <color indexed="81"/>
            <rFont val="Tahoma"/>
            <family val="2"/>
          </rPr>
          <t xml:space="preserve">
Dr. Stewart Sharpless published his first “Catalogue of HII regions” in 1953. His second (Sh2) and final list was published in 1959.  The list includes 313 objects north of declination −40°.
The Sharpless Catalogue contains some of the strongest emission nebulae in the night sky.  In many cases, narrowband filters are used to bring out the faint details of the emission nebulae.  These filters are typically hydrogen (HII), oxygen (OIII), and sulfur (SII).  The resulting narrowband subs can be assigned to the RGB color channels in many different ways. The Sh-2 object poster in the cell below show filter recommendations for 75 favorite Sh2 objects.  The recommendations fall into 3 categories (SHO, HOO, and H).</t>
        </r>
      </text>
    </comment>
    <comment ref="BC8" authorId="0" shapeId="0" xr:uid="{00000000-0006-0000-0000-000060000000}">
      <text>
        <r>
          <rPr>
            <b/>
            <sz val="9"/>
            <color indexed="81"/>
            <rFont val="Tahoma"/>
            <family val="2"/>
          </rPr>
          <t>Galactic Supernova Remnant Catalogue
(294 SNRs circa 1984)</t>
        </r>
        <r>
          <rPr>
            <sz val="9"/>
            <color indexed="81"/>
            <rFont val="Tahoma"/>
            <family val="2"/>
          </rPr>
          <t xml:space="preserve">
Dr. D.A. Green publsihes and maintains this SNR catalogue.  
Supernova remnants (SNR) are some of the most fantastic objects in the sky.  The fine tendrils seen throughout each nebula are ionized gas fronts, ejected as shock waves in the supernova explosion. The different colors reflect the variations in the strengths and compositions of these gas shock waves. Each SNR continues to expand outward, changing the details of its appearance slightly each year. These SNRs are typically thousands of years old. </t>
        </r>
      </text>
    </comment>
    <comment ref="BD8" authorId="0" shapeId="0" xr:uid="{FDDC1D02-1A93-4C10-A4E4-8B3D144149A9}">
      <text>
        <r>
          <rPr>
            <b/>
            <sz val="9"/>
            <color indexed="81"/>
            <rFont val="Tahoma"/>
            <family val="2"/>
          </rPr>
          <t>van den Bergh Reflection Nebulae Catalogue
(159 reflection nebulae circa 1966)</t>
        </r>
        <r>
          <rPr>
            <sz val="9"/>
            <color indexed="81"/>
            <rFont val="Tahoma"/>
            <family val="2"/>
          </rPr>
          <t xml:space="preserve">
Dr. Sidney van den Bergh published his vdB catalogue of reflection nebulae in 1966. It was later expanded by one for a total of 159. 
Although many catalogues exist for bright emission and planetary nebulae, this is the only significant catalogue for reflection nebulae.  The collection encompassed all reflection nebulosity visible on the Palomar Sky Survey north of -33 degrees latitude.
These nebulae are difficult visual targets but most make for excellent imaging targets.  The dust of reflection nebulae scatters shorter wavelength blue light more efficiently than longer wavelength red light, so most of these reflection nebulae appear blue.  The images here are captured primarily with LRGB filters and presented in “true color”.
</t>
        </r>
      </text>
    </comment>
    <comment ref="BE8" authorId="0" shapeId="0" xr:uid="{AFD6DBAF-83EC-4E79-B306-3684458F342B}">
      <text>
        <r>
          <rPr>
            <b/>
            <sz val="9"/>
            <color indexed="81"/>
            <rFont val="Tahoma"/>
            <family val="2"/>
          </rPr>
          <t>Hidden Treasures Catalogue
(109 objects circa 2007)</t>
        </r>
        <r>
          <rPr>
            <sz val="9"/>
            <color indexed="81"/>
            <rFont val="Tahoma"/>
            <family val="2"/>
          </rPr>
          <t xml:space="preserve">
Astronomer Stephen James O'Meara in 2007 published a list of 109 objects called the Hidden Treasures.  None of these objects are included in either the Messier or the Caldwell catalogs. Together, all 3 of these catalogs contain every deep sky object discovered prior to 1782, when Herschel began his deep sky survey.
O'Meara selected these 109 Hidden Treasure objects after culling over many other lists and consulting other experienced astronomers. Many of the objects selected by O'Meara are bright and beautiful, but others are included because of their astronomical uniqueness or their historical significance. The list consists of 38 open star clusters, 35 galaxies, 8 globular star clusters, 8 bright nebulae, 14 planetary nebulae, 4 asterisms, 1 dark nebula and 1 star. 
</t>
        </r>
      </text>
    </comment>
    <comment ref="BF8" authorId="0" shapeId="0" xr:uid="{00000000-0006-0000-0000-000063000000}">
      <text>
        <r>
          <rPr>
            <b/>
            <sz val="9"/>
            <color indexed="81"/>
            <rFont val="Tahoma"/>
            <family val="2"/>
          </rPr>
          <t>Secret Deep Catalogue
(109 objects circa 2011)</t>
        </r>
        <r>
          <rPr>
            <sz val="9"/>
            <color indexed="81"/>
            <rFont val="Tahoma"/>
            <family val="2"/>
          </rPr>
          <t xml:space="preserve">
In 2011, astronomer Stephen James O'Meara published a catalogue of 109 objects called the Secret Deep. This list contains 109 interesting deep sky objects which are not already included in the Messier, Caldwell, and Hidden Treasures catalogs.
To think of these Secret Deep objects as the 329th to 437th "best" sky objects in the sky would be inappropriate. Some of these objects, such as Thor's Helmet, are amongst the very best deep sky objects that the sky has to offer. The list consists of 23 open star clusters, 38 galaxies, 11 globular star clusters, 15 bright nebulae, 18 planetary nebulae, 1 asterism, 1 supernova remnant, 1 quasar and 1 black hole.
Of the 109 Secret Deep objects, this list only includes 108 images.  The quasar (#59) is not included.
</t>
        </r>
      </text>
    </comment>
    <comment ref="BG8" authorId="0" shapeId="0" xr:uid="{4729F3B9-7A92-44A6-9BBA-9C61E3C71C9E}">
      <text>
        <r>
          <rPr>
            <b/>
            <sz val="9"/>
            <color indexed="81"/>
            <rFont val="Tahoma"/>
            <family val="2"/>
          </rPr>
          <t>Orphaned Beauties Catalogue
(109 objects circa 2020)</t>
        </r>
        <r>
          <rPr>
            <sz val="9"/>
            <color indexed="81"/>
            <rFont val="Tahoma"/>
            <family val="2"/>
          </rPr>
          <t xml:space="preserve">
By 2011, 4 general catalogues of deep sky objects had been published:
1. The catalogue of 110 Messier objects, established in the 1700s by Charles Messier.
2. The catalogue of 109 Caldwell objects, published in 1995 by Patrick Moore.
3. The catalogue of 109 Hidden Treasures objects, published in 2007 by Stephen James O’Meara.
4. The catalogue of 109 Secret Deep objects, published in 2011 by Stephen James O’Meara.
In total, these 4 catalogues contain 437 of the most interesting objects in the heavens, enough to satisfy most avid amateur astronomers over their lifetime.
Although each of the above 4 catalogues contain some great astrophotography targets, the genesis of the 4 above catalogues was in visual astronomy and not astrophotography. Unfortunately, many of the best and most interesting objects in the sky never found a home in these 4 catalogs, since their beauty is seen and appreciated through astrophotography and not eyepiece viewing.
In order to find these beautiful but ignored objects a home, I have assembled the best of these remaining objects into this catalogue, which I have entitled Orphaned Beauties (OB for short). This collection numbers 109 total objects to be consistent with the previous catalogues.  The 109 objects are sorted in order of right ascension.
None of these 109 OB objects are included in the previous catalogues. All of these OB objects are at least 4 arc-minutes in size and usually are much larger, enabling these targets to be accessible by anyone with scopes in the common focal length range of 400 to 1000 mm.
The list includes some objects, like the Horsehead Nebula (#31) and the Seagull Nebula (#42), which are among the very best objects that the sky has to offer. Others, such as the Teapot Nebula (#43), Gyulbuddaghian’s Nebula (#93), and the Hermit Crab Nebula (#91), are more obscure. This catalogue has more diversity than any of the other 4 catalogs, containing 28 galaxies, 16 emission nebulae, 11 HII regions, 10 dark nebulae, 12 reflection nebulae, 9 supernova remnants, 7 galaxy clusters, 6 planetary nebulae, 4 open star clusters, 5 Wolf-Rayet nebulae, and 1 globular star cluster.
</t>
        </r>
      </text>
    </comment>
    <comment ref="BH8" authorId="0" shapeId="0" xr:uid="{00000000-0006-0000-0000-000064000000}">
      <text>
        <r>
          <rPr>
            <b/>
            <sz val="9"/>
            <color indexed="81"/>
            <rFont val="Tahoma"/>
            <family val="2"/>
          </rPr>
          <t>Small Packages Catalogue
(109 objects circa 2020)</t>
        </r>
        <r>
          <rPr>
            <sz val="9"/>
            <color indexed="81"/>
            <rFont val="Tahoma"/>
            <family val="2"/>
          </rPr>
          <t xml:space="preserve">
Small DSO objects are often overlooked but are some of the most interesting objects in the sky to image.
Previous columns of this spreadsheet have previously described 5 general catalogues of deep sky object catalogs:
1. The catalogue of 110 Messier objects, established in the 1700s by Charles Messier.
2. The catalogue of 109 Caldwell objects, published in 1995 by Patrick Moore.
3. The catalogue of 109 Hidden Treasures objects, published in 2007 by Stephen James O’Meara.
4. The catalogue of 109 Secret Deep objects, published in 2011 by Stephen James O’Meara.
5. The catalogue of 109 Orphaned Beauties, compiled by me in 2020, comprised of large objects which did not have a home in the first 4 catalogs.
Together these 5 catalogues contain over 500 of the most interesting objects in the heavens. The majority of them are large in apparent size. For this Small Package (SP) catalogue, I have assembled the best 109 small objects which have not appeared in any of the previous 5 catalogues.  This collection numbers 109 objects to be consistent with the previous catalogues.
All of these objects have an apparent individual size no greater than about 4 arc-minutes, which is 4 times the largest apparent size of Venus. 
Some of these images have been captured with a 130mm refractor, which is the smallest aperture scope that I would recommend using for imaging these tiny objects. The rest were captured with an 11-inch SCT.
The majority of the objects on this list are fairly obscure, without nicknames. This catalogue contains 75 galaxies, 12 galaxy clusters, 11 planetary nebulae, 10 HII regions, and 1 reflection nebula.
As seen in the posters of the embedded link, the 109 objects are sorted in 10 categories
1. Familiar Shapes (1-11)
2. Dynamic Duos (12-22)
3. Star Streams (23-33)
4. Planetary Nebulae (34-44)
5. Rings (45-55)
6. Clusters &amp; Chains (56-66)
7. HII Regions (67-76)
8. Mergers (77-87)
9. Cores (88-98)
10. Dust Bands (99-109)
</t>
        </r>
      </text>
    </comment>
    <comment ref="BI8" authorId="0" shapeId="0" xr:uid="{75240311-6342-4118-AA60-7F17955431C8}">
      <text>
        <r>
          <rPr>
            <b/>
            <sz val="9"/>
            <color indexed="81"/>
            <rFont val="Tahoma"/>
            <family val="2"/>
          </rPr>
          <t>Faint Giants Catalogue
(109 objects circa 2024)</t>
        </r>
        <r>
          <rPr>
            <sz val="9"/>
            <color indexed="81"/>
            <rFont val="Tahoma"/>
            <family val="2"/>
          </rPr>
          <t xml:space="preserve">
xxxxxxxxxxxxxxxxx
</t>
        </r>
      </text>
    </comment>
    <comment ref="BO8" authorId="0" shapeId="0" xr:uid="{BC309A55-33B9-4E65-B217-6B8F13D06252}">
      <text>
        <r>
          <rPr>
            <sz val="9"/>
            <color indexed="81"/>
            <rFont val="Tahoma"/>
            <family val="2"/>
          </rPr>
          <t>This column may be sorted to map to the 2023-4th edition of this spreadsheet, in order to copy over user edits.  The numbers below are the row numbers of that spreadsheet when column A (Name) is sorted.</t>
        </r>
      </text>
    </comment>
    <comment ref="AL9" authorId="0" shapeId="0" xr:uid="{5E06FB33-6E09-4DC4-93AE-AFD522CAC9D8}">
      <text>
        <r>
          <rPr>
            <sz val="9"/>
            <color indexed="81"/>
            <rFont val="Tahoma"/>
            <family val="2"/>
          </rPr>
          <t xml:space="preserve">
</t>
        </r>
      </text>
    </comment>
    <comment ref="AM9" authorId="0" shapeId="0" xr:uid="{F6A43A61-42C2-43CF-9B32-C2AA0429D1A3}">
      <text>
        <r>
          <rPr>
            <sz val="9"/>
            <color indexed="81"/>
            <rFont val="Tahoma"/>
            <family val="2"/>
          </rPr>
          <t xml:space="preserve">
</t>
        </r>
      </text>
    </comment>
    <comment ref="AN9" authorId="0" shapeId="0" xr:uid="{EF0249EB-E536-4E84-935C-111C03FD87F8}">
      <text>
        <r>
          <rPr>
            <sz val="9"/>
            <color indexed="81"/>
            <rFont val="Tahoma"/>
            <family val="2"/>
          </rPr>
          <t xml:space="preserve">
</t>
        </r>
      </text>
    </comment>
    <comment ref="AO9" authorId="0" shapeId="0" xr:uid="{490F318D-54D6-42DA-9E15-6DEFB1645D4E}">
      <text>
        <r>
          <rPr>
            <sz val="9"/>
            <color indexed="81"/>
            <rFont val="Tahoma"/>
            <family val="2"/>
          </rPr>
          <t xml:space="preserve">
</t>
        </r>
      </text>
    </comment>
    <comment ref="AP9" authorId="0" shapeId="0" xr:uid="{6A8F465B-BFED-4062-A268-E9443FAE187D}">
      <text>
        <r>
          <rPr>
            <sz val="9"/>
            <color indexed="81"/>
            <rFont val="Tahoma"/>
            <family val="2"/>
          </rPr>
          <t xml:space="preserve">
</t>
        </r>
      </text>
    </comment>
    <comment ref="AS9" authorId="0" shapeId="0" xr:uid="{1670229F-ABCF-402D-9796-51DA078F19F4}">
      <text>
        <r>
          <rPr>
            <sz val="9"/>
            <color indexed="81"/>
            <rFont val="Tahoma"/>
            <family val="2"/>
          </rPr>
          <t xml:space="preserve">
</t>
        </r>
      </text>
    </comment>
    <comment ref="AT9" authorId="0" shapeId="0" xr:uid="{33269D77-2EEC-4CA3-B26F-D051DF9D8AFB}">
      <text>
        <r>
          <rPr>
            <sz val="9"/>
            <color indexed="81"/>
            <rFont val="Tahoma"/>
            <family val="2"/>
          </rPr>
          <t xml:space="preserve">
</t>
        </r>
      </text>
    </comment>
    <comment ref="AU9" authorId="0" shapeId="0" xr:uid="{61B76A9B-9C28-43C4-806C-7082BC9C34A7}">
      <text>
        <r>
          <rPr>
            <sz val="9"/>
            <color indexed="81"/>
            <rFont val="Tahoma"/>
            <family val="2"/>
          </rPr>
          <t xml:space="preserve">
</t>
        </r>
      </text>
    </comment>
    <comment ref="AV9" authorId="0" shapeId="0" xr:uid="{46ECA30D-39E1-48ED-8AE2-3D42271AC88C}">
      <text>
        <r>
          <rPr>
            <sz val="9"/>
            <color indexed="81"/>
            <rFont val="Tahoma"/>
            <family val="2"/>
          </rPr>
          <t xml:space="preserve">
</t>
        </r>
      </text>
    </comment>
    <comment ref="AW9" authorId="0" shapeId="0" xr:uid="{05DA566E-C7B0-45D7-A4DF-D25E096079F9}">
      <text>
        <r>
          <rPr>
            <sz val="9"/>
            <color indexed="81"/>
            <rFont val="Tahoma"/>
            <family val="2"/>
          </rPr>
          <t xml:space="preserve">
</t>
        </r>
      </text>
    </comment>
    <comment ref="AX9" authorId="0" shapeId="0" xr:uid="{03CFC02A-B6F0-4496-9CA6-AB7100BDCF0F}">
      <text>
        <r>
          <rPr>
            <sz val="9"/>
            <color indexed="81"/>
            <rFont val="Tahoma"/>
            <family val="2"/>
          </rPr>
          <t xml:space="preserve">
</t>
        </r>
      </text>
    </comment>
    <comment ref="AY9" authorId="0" shapeId="0" xr:uid="{5E85E8C0-46C3-4BA7-B9FA-5AB89EB2AB9E}">
      <text>
        <r>
          <rPr>
            <sz val="9"/>
            <color indexed="81"/>
            <rFont val="Tahoma"/>
            <family val="2"/>
          </rPr>
          <t xml:space="preserve">
</t>
        </r>
      </text>
    </comment>
    <comment ref="AZ9" authorId="0" shapeId="0" xr:uid="{AD710844-025D-46B1-971E-36B6FC0CFC1E}">
      <text>
        <r>
          <rPr>
            <sz val="9"/>
            <color indexed="81"/>
            <rFont val="Tahoma"/>
            <family val="2"/>
          </rPr>
          <t xml:space="preserve">
</t>
        </r>
      </text>
    </comment>
    <comment ref="BB9" authorId="0" shapeId="0" xr:uid="{E2DA8A64-6576-4B6F-98D7-435FB6D96EA5}">
      <text>
        <r>
          <rPr>
            <sz val="9"/>
            <color indexed="81"/>
            <rFont val="Tahoma"/>
            <family val="2"/>
          </rPr>
          <t xml:space="preserve">
</t>
        </r>
      </text>
    </comment>
    <comment ref="BC9" authorId="0" shapeId="0" xr:uid="{AB0F4D90-4453-4720-8A0F-8A30388B7AB2}">
      <text>
        <r>
          <rPr>
            <sz val="9"/>
            <color indexed="81"/>
            <rFont val="Tahoma"/>
            <family val="2"/>
          </rPr>
          <t xml:space="preserve">
</t>
        </r>
      </text>
    </comment>
    <comment ref="BD9" authorId="0" shapeId="0" xr:uid="{F2566BB5-A9CB-49CF-8209-E5383D406282}">
      <text>
        <r>
          <rPr>
            <sz val="9"/>
            <color indexed="81"/>
            <rFont val="Tahoma"/>
            <family val="2"/>
          </rPr>
          <t xml:space="preserve">
</t>
        </r>
      </text>
    </comment>
    <comment ref="BE9" authorId="0" shapeId="0" xr:uid="{5087A2B9-1701-4DEB-A999-B55EF01C932A}">
      <text>
        <r>
          <rPr>
            <sz val="9"/>
            <color indexed="81"/>
            <rFont val="Tahoma"/>
            <family val="2"/>
          </rPr>
          <t xml:space="preserve">
</t>
        </r>
      </text>
    </comment>
    <comment ref="BF9" authorId="0" shapeId="0" xr:uid="{9CFBC2CD-CCD7-451F-98C5-1BB5FFE58B4B}">
      <text>
        <r>
          <rPr>
            <sz val="9"/>
            <color indexed="81"/>
            <rFont val="Tahoma"/>
            <family val="2"/>
          </rPr>
          <t xml:space="preserve">
</t>
        </r>
      </text>
    </comment>
    <comment ref="BG9" authorId="0" shapeId="0" xr:uid="{CB8A1A80-894A-4007-AED4-AC44CFBEB6D5}">
      <text>
        <r>
          <rPr>
            <sz val="9"/>
            <color indexed="81"/>
            <rFont val="Tahoma"/>
            <family val="2"/>
          </rPr>
          <t xml:space="preserve">
</t>
        </r>
      </text>
    </comment>
    <comment ref="BH9" authorId="0" shapeId="0" xr:uid="{E8A15230-5DAB-49F9-93D3-61FFEE4B4579}">
      <text>
        <r>
          <rPr>
            <sz val="9"/>
            <color indexed="81"/>
            <rFont val="Tahoma"/>
            <family val="2"/>
          </rPr>
          <t xml:space="preserve">
</t>
        </r>
      </text>
    </comment>
    <comment ref="A10" authorId="0" shapeId="0" xr:uid="{A9030AFD-1F35-498B-8B4B-8D59F89E4C2F}">
      <text>
        <r>
          <rPr>
            <sz val="9"/>
            <color indexed="81"/>
            <rFont val="Tahoma"/>
            <family val="2"/>
          </rPr>
          <t xml:space="preserve">
</t>
        </r>
      </text>
    </comment>
    <comment ref="K10" authorId="0" shapeId="0" xr:uid="{74FEE83C-C4B7-4E41-BBB8-89C8D5A39312}">
      <text>
        <r>
          <rPr>
            <sz val="9"/>
            <color indexed="81"/>
            <rFont val="Tahoma"/>
            <family val="2"/>
          </rPr>
          <t>HII much stronger than OIII. Outer edge of PN resembles hexagon.  No progenitor star.</t>
        </r>
      </text>
    </comment>
    <comment ref="A11" authorId="0" shapeId="0" xr:uid="{9E7958F0-AA20-4B82-8603-B9A90849C393}">
      <text>
        <r>
          <rPr>
            <sz val="9"/>
            <color indexed="81"/>
            <rFont val="Tahoma"/>
            <family val="2"/>
          </rPr>
          <t xml:space="preserve">
</t>
        </r>
      </text>
    </comment>
    <comment ref="K11" authorId="0" shapeId="0" xr:uid="{4D84E057-70BE-404F-A6A4-229CA03C53FA}">
      <text>
        <r>
          <rPr>
            <sz val="9"/>
            <color indexed="81"/>
            <rFont val="Tahoma"/>
            <family val="2"/>
          </rPr>
          <t>Central star barely visible. Structure similar to M97 – round, OIII, 2 dark circular inner region voids.</t>
        </r>
      </text>
    </comment>
    <comment ref="A12" authorId="0" shapeId="0" xr:uid="{7EF107F5-45B0-48E2-84FE-462433A7B444}">
      <text>
        <r>
          <rPr>
            <sz val="9"/>
            <color indexed="81"/>
            <rFont val="Tahoma"/>
            <family val="2"/>
          </rPr>
          <t xml:space="preserve">
</t>
        </r>
      </text>
    </comment>
    <comment ref="K12" authorId="0" shapeId="0" xr:uid="{600C35F2-8699-41E5-A7A0-0E724BDB090D}">
      <text>
        <r>
          <rPr>
            <sz val="9"/>
            <color indexed="81"/>
            <rFont val="Tahoma"/>
            <family val="2"/>
          </rPr>
          <t>Progenitor star clearly visible. Nebula is not quite round - perhaps interaction between nebula and ISM.</t>
        </r>
      </text>
    </comment>
    <comment ref="A13" authorId="0" shapeId="0" xr:uid="{AB87DC9C-290F-4BD2-A559-F416FC434728}">
      <text>
        <r>
          <rPr>
            <sz val="9"/>
            <color indexed="81"/>
            <rFont val="Tahoma"/>
            <family val="2"/>
          </rPr>
          <t xml:space="preserve">
</t>
        </r>
      </text>
    </comment>
    <comment ref="K13" authorId="0" shapeId="0" xr:uid="{A6F2A640-6ED8-4FA6-BB11-AE2E960B02F8}">
      <text>
        <r>
          <rPr>
            <sz val="9"/>
            <color indexed="81"/>
            <rFont val="Tahoma"/>
            <family val="2"/>
          </rPr>
          <t>Central star barely visible. Structure similar to M97 – round, OIII, dark inner voids. Many galaxies in background.</t>
        </r>
      </text>
    </comment>
    <comment ref="A14" authorId="0" shapeId="0" xr:uid="{1EF3748D-3D3C-4824-AD2C-7B4E62B114D9}">
      <text>
        <r>
          <rPr>
            <sz val="9"/>
            <color indexed="81"/>
            <rFont val="Tahoma"/>
            <family val="2"/>
          </rPr>
          <t xml:space="preserve">
</t>
        </r>
      </text>
    </comment>
    <comment ref="K14" authorId="0" shapeId="0" xr:uid="{3818DC0D-4FBC-4F21-957E-29FF6103F65D}">
      <text>
        <r>
          <rPr>
            <sz val="9"/>
            <color indexed="81"/>
            <rFont val="Tahoma"/>
            <family val="2"/>
          </rPr>
          <t>Mainly HII. No central star. Oval banded shape.</t>
        </r>
      </text>
    </comment>
    <comment ref="A15" authorId="0" shapeId="0" xr:uid="{B4F8A766-2280-412C-BC85-091E3A836D94}">
      <text>
        <r>
          <rPr>
            <sz val="9"/>
            <color indexed="81"/>
            <rFont val="Tahoma"/>
            <family val="2"/>
          </rPr>
          <t xml:space="preserve">
</t>
        </r>
      </text>
    </comment>
    <comment ref="K15" authorId="0" shapeId="0" xr:uid="{675532B2-C75C-4F15-838E-5AE848E7F0A9}">
      <text>
        <r>
          <rPr>
            <sz val="9"/>
            <color indexed="81"/>
            <rFont val="Tahoma"/>
            <family val="2"/>
          </rPr>
          <t>Mainly OIII.  Faint central star.  Bright rim.</t>
        </r>
      </text>
    </comment>
    <comment ref="A16" authorId="0" shapeId="0" xr:uid="{01A909EB-3C06-4DF8-BCA6-91F2E834E368}">
      <text>
        <r>
          <rPr>
            <sz val="9"/>
            <color indexed="81"/>
            <rFont val="Tahoma"/>
            <family val="2"/>
          </rPr>
          <t xml:space="preserve">
</t>
        </r>
      </text>
    </comment>
    <comment ref="K16" authorId="0" shapeId="0" xr:uid="{8D7F1518-7052-4150-BFDC-4BE564777CE1}">
      <text>
        <r>
          <rPr>
            <sz val="9"/>
            <color indexed="81"/>
            <rFont val="Tahoma"/>
            <family val="2"/>
          </rPr>
          <t>Lrge faint PN, mostly OIII, with blue central star and HII ansae.</t>
        </r>
      </text>
    </comment>
    <comment ref="A17" authorId="0" shapeId="0" xr:uid="{29143632-99F2-4054-8D1B-916F97E6BF1B}">
      <text>
        <r>
          <rPr>
            <sz val="9"/>
            <color indexed="81"/>
            <rFont val="Tahoma"/>
            <family val="2"/>
          </rPr>
          <t xml:space="preserve">
</t>
        </r>
      </text>
    </comment>
    <comment ref="K17" authorId="0" shapeId="0" xr:uid="{59B48620-46BC-4D6A-9FCD-A1DE5DCDBEC8}">
      <text>
        <r>
          <rPr>
            <sz val="9"/>
            <color indexed="81"/>
            <rFont val="Tahoma"/>
            <family val="2"/>
          </rPr>
          <t>Part of Bica 6 open cluster.  No central star.  No inner structure.</t>
        </r>
      </text>
    </comment>
    <comment ref="A18" authorId="0" shapeId="0" xr:uid="{44806C36-0AB2-41EB-8E61-C9723B6C43F9}">
      <text>
        <r>
          <rPr>
            <sz val="9"/>
            <color indexed="81"/>
            <rFont val="Tahoma"/>
            <family val="2"/>
          </rPr>
          <t xml:space="preserve">
</t>
        </r>
      </text>
    </comment>
    <comment ref="K18" authorId="0" shapeId="0" xr:uid="{F8EED7F7-5C5E-4D05-A3B2-7056ECB449A0}">
      <text>
        <r>
          <rPr>
            <sz val="9"/>
            <color indexed="81"/>
            <rFont val="Tahoma"/>
            <family val="2"/>
          </rPr>
          <t xml:space="preserve">Outer rim strong in HII.  Slight dimming at 12 o'clock.  </t>
        </r>
      </text>
    </comment>
    <comment ref="A19" authorId="0" shapeId="0" xr:uid="{6D5C3B00-1600-49B6-B4F8-8CD15DB02EB0}">
      <text>
        <r>
          <rPr>
            <sz val="9"/>
            <color indexed="81"/>
            <rFont val="Tahoma"/>
            <family val="2"/>
          </rPr>
          <t xml:space="preserve">
</t>
        </r>
      </text>
    </comment>
    <comment ref="K19" authorId="0" shapeId="0" xr:uid="{E0AE9679-AECF-4FB8-A668-F1E88428F028}">
      <text>
        <r>
          <rPr>
            <sz val="9"/>
            <color indexed="81"/>
            <rFont val="Tahoma"/>
            <family val="2"/>
          </rPr>
          <t>Scalloped HII outer rim surrounding brighter OIII inner region.  Blue progenitor star faintly visible.</t>
        </r>
      </text>
    </comment>
    <comment ref="A20" authorId="0" shapeId="0" xr:uid="{E9B52992-8365-4D7A-81F0-3E7D3438A64F}">
      <text>
        <r>
          <rPr>
            <sz val="9"/>
            <color indexed="81"/>
            <rFont val="Tahoma"/>
            <family val="2"/>
          </rPr>
          <t xml:space="preserve">
</t>
        </r>
      </text>
    </comment>
    <comment ref="K20" authorId="0" shapeId="0" xr:uid="{BF98EC42-8C59-448D-81F8-FB1C1DB1D9B4}">
      <text>
        <r>
          <rPr>
            <sz val="9"/>
            <color indexed="81"/>
            <rFont val="Tahoma"/>
            <family val="2"/>
          </rPr>
          <t>Not a PN but a reflection nebula, wrongly catalogued by Abell</t>
        </r>
      </text>
    </comment>
    <comment ref="A21" authorId="0" shapeId="0" xr:uid="{95A8CDD3-EE66-4FD2-98D7-85B99EEA7D9E}">
      <text>
        <r>
          <rPr>
            <sz val="9"/>
            <color indexed="81"/>
            <rFont val="Tahoma"/>
            <family val="2"/>
          </rPr>
          <t xml:space="preserve">
</t>
        </r>
      </text>
    </comment>
    <comment ref="K21" authorId="0" shapeId="0" xr:uid="{AE7D85B2-8C19-4726-9F5C-1BEB10E29CC4}">
      <text>
        <r>
          <rPr>
            <sz val="9"/>
            <color indexed="81"/>
            <rFont val="Tahoma"/>
            <family val="2"/>
          </rPr>
          <t>Strong HII rim.  Breakthrough at 12 o'clock.</t>
        </r>
      </text>
    </comment>
    <comment ref="A22" authorId="0" shapeId="0" xr:uid="{BDDDD2BD-F21D-425B-934C-91AD8DDBBF99}">
      <text>
        <r>
          <rPr>
            <sz val="9"/>
            <color indexed="81"/>
            <rFont val="Tahoma"/>
            <family val="2"/>
          </rPr>
          <t xml:space="preserve">
</t>
        </r>
      </text>
    </comment>
    <comment ref="K22" authorId="0" shapeId="0" xr:uid="{44524C05-6D6A-4564-838C-E5CC4EB1414E}">
      <text>
        <r>
          <rPr>
            <sz val="9"/>
            <color indexed="81"/>
            <rFont val="Tahoma"/>
            <family val="2"/>
          </rPr>
          <t>Strong HII rim.  Little OIII signal.  ISM likely interacting with nebula and blurring edges. Faint blue progenitor star.</t>
        </r>
      </text>
    </comment>
    <comment ref="A23" authorId="0" shapeId="0" xr:uid="{AA8B128B-126F-45F6-91EE-A576C8D17F34}">
      <text>
        <r>
          <rPr>
            <sz val="9"/>
            <color indexed="81"/>
            <rFont val="Tahoma"/>
            <family val="2"/>
          </rPr>
          <t xml:space="preserve">
</t>
        </r>
      </text>
    </comment>
    <comment ref="K23" authorId="0" shapeId="0" xr:uid="{81537CFB-BA57-4398-8FAE-147555791212}">
      <text>
        <r>
          <rPr>
            <sz val="9"/>
            <color indexed="81"/>
            <rFont val="Tahoma"/>
            <family val="2"/>
          </rPr>
          <t>Bipolar PN. Viewing torus from near side-on view. Bright blue central star with unseen progenitor companion.</t>
        </r>
      </text>
    </comment>
    <comment ref="A24" authorId="0" shapeId="0" xr:uid="{C366F89B-9946-4D67-BE89-55755C282C1B}">
      <text>
        <r>
          <rPr>
            <sz val="9"/>
            <color indexed="81"/>
            <rFont val="Tahoma"/>
            <family val="2"/>
          </rPr>
          <t xml:space="preserve">
</t>
        </r>
      </text>
    </comment>
    <comment ref="K24" authorId="0" shapeId="0" xr:uid="{489D3124-3E8C-4975-9ED5-2E7FFFC2C7F3}">
      <text>
        <r>
          <rPr>
            <sz val="9"/>
            <color indexed="81"/>
            <rFont val="Tahoma"/>
            <family val="2"/>
          </rPr>
          <t xml:space="preserve">OIII dominant rim &amp; HII dominant inner region.  Rim is brighter on left than right.  Bright progenitor. </t>
        </r>
      </text>
    </comment>
    <comment ref="A25" authorId="0" shapeId="0" xr:uid="{0C18FFA4-58CC-41F4-8FEF-88F941107C6F}">
      <text>
        <r>
          <rPr>
            <sz val="9"/>
            <color indexed="81"/>
            <rFont val="Tahoma"/>
            <family val="2"/>
          </rPr>
          <t xml:space="preserve">
</t>
        </r>
      </text>
    </comment>
    <comment ref="K25" authorId="0" shapeId="0" xr:uid="{1D54A125-E8CF-46A8-ACEE-48F909E9E11F}">
      <text>
        <r>
          <rPr>
            <sz val="9"/>
            <color indexed="81"/>
            <rFont val="Tahoma"/>
            <family val="2"/>
          </rPr>
          <t xml:space="preserve">Very faint.  The progenitor star is visible as the tiny blue star just left of center. </t>
        </r>
      </text>
    </comment>
    <comment ref="A26" authorId="0" shapeId="0" xr:uid="{619620A0-9504-45AF-9336-AF4934493C4F}">
      <text>
        <r>
          <rPr>
            <sz val="9"/>
            <color indexed="81"/>
            <rFont val="Tahoma"/>
            <family val="2"/>
          </rPr>
          <t xml:space="preserve">
</t>
        </r>
      </text>
    </comment>
    <comment ref="K26" authorId="0" shapeId="0" xr:uid="{FBB395EB-2148-4994-A212-A87F91518C28}">
      <text>
        <r>
          <rPr>
            <sz val="9"/>
            <color indexed="81"/>
            <rFont val="Tahoma"/>
            <family val="2"/>
          </rPr>
          <t xml:space="preserve">Outer rim stronger in HII while inner stronger in OIII. Elliptical PN, pinched at the 5 and 11 o’clock. No progenitor.  </t>
        </r>
      </text>
    </comment>
    <comment ref="A27" authorId="0" shapeId="0" xr:uid="{47B8EC43-B11D-47E8-BFA6-438FB74B20A4}">
      <text>
        <r>
          <rPr>
            <sz val="9"/>
            <color indexed="81"/>
            <rFont val="Tahoma"/>
            <family val="2"/>
          </rPr>
          <t xml:space="preserve">
</t>
        </r>
      </text>
    </comment>
    <comment ref="K27" authorId="0" shapeId="0" xr:uid="{C3057318-9A2E-43D3-BC79-84C5F99F0CF4}">
      <text>
        <r>
          <rPr>
            <sz val="9"/>
            <color indexed="81"/>
            <rFont val="Tahoma"/>
            <family val="2"/>
          </rPr>
          <t xml:space="preserve">Strong HII rim, brightest on left and right sides.  Central star is likely in foreground and not the progenitor.  </t>
        </r>
      </text>
    </comment>
    <comment ref="A28" authorId="0" shapeId="0" xr:uid="{2773181F-A587-4374-AE1A-44BE7F9D942F}">
      <text>
        <r>
          <rPr>
            <sz val="9"/>
            <color indexed="81"/>
            <rFont val="Tahoma"/>
            <family val="2"/>
          </rPr>
          <t xml:space="preserve">
</t>
        </r>
      </text>
    </comment>
    <comment ref="K28" authorId="0" shapeId="0" xr:uid="{67755A18-2BC1-4861-BB97-57BEF2FD30B1}">
      <text>
        <r>
          <rPr>
            <sz val="9"/>
            <color indexed="81"/>
            <rFont val="Tahoma"/>
            <family val="2"/>
          </rPr>
          <t>Almost perfectly circular, with strong OIII rim.  Progenitor star is centered exactly and beaming bright blue.</t>
        </r>
      </text>
    </comment>
    <comment ref="A29" authorId="0" shapeId="0" xr:uid="{8DC4AE70-5B6B-4A9D-BA66-9400A335F4C2}">
      <text>
        <r>
          <rPr>
            <sz val="9"/>
            <color indexed="81"/>
            <rFont val="Tahoma"/>
            <family val="2"/>
          </rPr>
          <t xml:space="preserve">
</t>
        </r>
      </text>
    </comment>
    <comment ref="K29" authorId="0" shapeId="0" xr:uid="{6080D851-D224-4777-810A-8763E2F465CD}">
      <text>
        <r>
          <rPr>
            <sz val="9"/>
            <color indexed="81"/>
            <rFont val="Tahoma"/>
            <family val="2"/>
          </rPr>
          <t>Asymmetric, likely due to ISM. Faint arcs lower right mirror the brighter arcs at upper left.</t>
        </r>
      </text>
    </comment>
    <comment ref="A30" authorId="0" shapeId="0" xr:uid="{EA7A88FE-6A19-428B-AE27-B232CD5F45E9}">
      <text>
        <r>
          <rPr>
            <sz val="9"/>
            <color indexed="81"/>
            <rFont val="Tahoma"/>
            <family val="2"/>
          </rPr>
          <t xml:space="preserve">
</t>
        </r>
      </text>
    </comment>
    <comment ref="K30" authorId="0" shapeId="0" xr:uid="{102341C2-3635-4BAA-BE99-1E8CC2B35CE1}">
      <text>
        <r>
          <rPr>
            <sz val="9"/>
            <color indexed="81"/>
            <rFont val="Tahoma"/>
            <family val="2"/>
          </rPr>
          <t xml:space="preserve">Side-on view of bi-polar PN. Bright central torus is only part of nebula that can be seen visually.  No progenitor. </t>
        </r>
      </text>
    </comment>
    <comment ref="A31" authorId="0" shapeId="0" xr:uid="{AF292907-C33E-4A70-9BAF-8013EF629E14}">
      <text>
        <r>
          <rPr>
            <sz val="9"/>
            <color indexed="81"/>
            <rFont val="Tahoma"/>
            <family val="2"/>
          </rPr>
          <t xml:space="preserve">
</t>
        </r>
      </text>
    </comment>
    <comment ref="K31" authorId="0" shapeId="0" xr:uid="{46EC533F-4991-4259-B9B6-FC2CC0D38674}">
      <text>
        <r>
          <rPr>
            <sz val="9"/>
            <color indexed="81"/>
            <rFont val="Tahoma"/>
            <family val="2"/>
          </rPr>
          <t>Very faint.  Circular and primarily OIII signal.  Rim is slightly stronger in Ha. Little structure is apparent.</t>
        </r>
      </text>
    </comment>
    <comment ref="A32" authorId="0" shapeId="0" xr:uid="{094DB371-F76B-4BC2-926F-6078ADE1F35C}">
      <text>
        <r>
          <rPr>
            <sz val="9"/>
            <color indexed="81"/>
            <rFont val="Tahoma"/>
            <family val="2"/>
          </rPr>
          <t xml:space="preserve">
</t>
        </r>
      </text>
    </comment>
    <comment ref="K32" authorId="0" shapeId="0" xr:uid="{E519C72F-348E-4748-AD06-4E1E78812C26}">
      <text>
        <r>
          <rPr>
            <sz val="9"/>
            <color indexed="81"/>
            <rFont val="Tahoma"/>
            <family val="2"/>
          </rPr>
          <t xml:space="preserve">HII-dominated.  Looked more like HII region than PN.  Progenitor star appears to be the small blue star at center. </t>
        </r>
      </text>
    </comment>
    <comment ref="A33" authorId="0" shapeId="0" xr:uid="{A0675C2A-8ED6-4DE3-A4B0-01BD124CFF64}">
      <text>
        <r>
          <rPr>
            <sz val="9"/>
            <color indexed="81"/>
            <rFont val="Tahoma"/>
            <family val="2"/>
          </rPr>
          <t xml:space="preserve">
</t>
        </r>
      </text>
    </comment>
    <comment ref="K33" authorId="0" shapeId="0" xr:uid="{916215CD-49B6-49D1-8E16-EB421BD5EEDD}">
      <text>
        <r>
          <rPr>
            <sz val="9"/>
            <color indexed="81"/>
            <rFont val="Tahoma"/>
            <family val="2"/>
          </rPr>
          <t xml:space="preserve">PN is OIII-dominant &amp; elliptical in shape. Strong signal in the 2 opposite rim segments. Progenitor star visible. </t>
        </r>
      </text>
    </comment>
    <comment ref="A34" authorId="0" shapeId="0" xr:uid="{6CFCF393-83CA-4DF7-93C6-C29B7B6B7594}">
      <text>
        <r>
          <rPr>
            <sz val="9"/>
            <color indexed="81"/>
            <rFont val="Tahoma"/>
            <family val="2"/>
          </rPr>
          <t xml:space="preserve">
</t>
        </r>
      </text>
    </comment>
    <comment ref="K34" authorId="0" shapeId="0" xr:uid="{626445DD-7587-413D-A911-A8DA136708D6}">
      <text>
        <r>
          <rPr>
            <sz val="9"/>
            <color indexed="81"/>
            <rFont val="Tahoma"/>
            <family val="2"/>
          </rPr>
          <t xml:space="preserve">Hint of hexagon shape to rim.  No progenitor star.   Like many PN, the outer rim is stronger in HII.  </t>
        </r>
      </text>
    </comment>
    <comment ref="A35" authorId="0" shapeId="0" xr:uid="{833DE40F-7F72-4EE6-8091-4E4841DA85EC}">
      <text>
        <r>
          <rPr>
            <sz val="9"/>
            <color indexed="81"/>
            <rFont val="Tahoma"/>
            <family val="2"/>
          </rPr>
          <t xml:space="preserve">
</t>
        </r>
      </text>
    </comment>
    <comment ref="K35" authorId="0" shapeId="0" xr:uid="{2FD55FD1-4A8C-49E5-937A-D394840EB432}">
      <text>
        <r>
          <rPr>
            <sz val="9"/>
            <color indexed="81"/>
            <rFont val="Tahoma"/>
            <family val="2"/>
          </rPr>
          <t xml:space="preserve">HII-dominant.  No progenitor.  2 pairs of opposing bright regions. Could be bi-polar PN with 2 outflow axes. </t>
        </r>
      </text>
    </comment>
    <comment ref="A36" authorId="0" shapeId="0" xr:uid="{1FFBDAD2-0255-4B9F-80CB-5A3F87382593}">
      <text>
        <r>
          <rPr>
            <sz val="9"/>
            <color indexed="81"/>
            <rFont val="Tahoma"/>
            <family val="2"/>
          </rPr>
          <t xml:space="preserve">
</t>
        </r>
      </text>
    </comment>
    <comment ref="K36" authorId="0" shapeId="0" xr:uid="{62FDEC86-9FAA-4898-9AE2-E98C828A88D9}">
      <text>
        <r>
          <rPr>
            <sz val="9"/>
            <color indexed="81"/>
            <rFont val="Tahoma"/>
            <family val="2"/>
          </rPr>
          <t>Extremely dim and large. HII-dominant. Brilliant blue progenitor.  Concentric set of arcs at lower right.</t>
        </r>
      </text>
    </comment>
    <comment ref="A37" authorId="0" shapeId="0" xr:uid="{760C0028-6F57-494F-84A2-0DDC4F1B7BA5}">
      <text>
        <r>
          <rPr>
            <sz val="9"/>
            <color indexed="81"/>
            <rFont val="Tahoma"/>
            <family val="2"/>
          </rPr>
          <t xml:space="preserve">
</t>
        </r>
      </text>
    </comment>
    <comment ref="K37" authorId="0" shapeId="0" xr:uid="{2666D572-5987-4449-AAA8-5FB5F47CD3BA}">
      <text>
        <r>
          <rPr>
            <sz val="9"/>
            <color indexed="81"/>
            <rFont val="Tahoma"/>
            <family val="2"/>
          </rPr>
          <t>Outer HII rim. Inner section stronger in OIII. 18.2 mag blue central star. Bright regions at 4 &amp; 10 o'clock.</t>
        </r>
      </text>
    </comment>
    <comment ref="A38" authorId="0" shapeId="0" xr:uid="{0697C0DD-8556-4E36-86CB-00BA509C2786}">
      <text>
        <r>
          <rPr>
            <sz val="9"/>
            <color indexed="81"/>
            <rFont val="Tahoma"/>
            <family val="2"/>
          </rPr>
          <t xml:space="preserve">
</t>
        </r>
      </text>
    </comment>
    <comment ref="K38" authorId="0" shapeId="0" xr:uid="{EF162534-7DF4-41EA-B8D9-396729E1C5BF}">
      <text>
        <r>
          <rPr>
            <sz val="9"/>
            <color indexed="81"/>
            <rFont val="Tahoma"/>
            <family val="2"/>
          </rPr>
          <t>Central star easily seen.  Interesting OIII emissions seen in inner region, forming pinwheel-type patterns.</t>
        </r>
      </text>
    </comment>
    <comment ref="A39" authorId="0" shapeId="0" xr:uid="{CDD569BB-023B-4447-9DE8-77C0F561D375}">
      <text>
        <r>
          <rPr>
            <sz val="9"/>
            <color indexed="81"/>
            <rFont val="Tahoma"/>
            <family val="2"/>
          </rPr>
          <t xml:space="preserve">
</t>
        </r>
      </text>
    </comment>
    <comment ref="K39" authorId="0" shapeId="0" xr:uid="{92E8B521-ED03-46C6-BA29-41C66AE187A0}">
      <text>
        <r>
          <rPr>
            <sz val="9"/>
            <color indexed="81"/>
            <rFont val="Tahoma"/>
            <family val="2"/>
          </rPr>
          <t>Largest Abell PN with blue central star and HII rim.</t>
        </r>
      </text>
    </comment>
    <comment ref="A40" authorId="0" shapeId="0" xr:uid="{195E1C38-5964-493A-A671-4B0A2DC2DC3D}">
      <text>
        <r>
          <rPr>
            <sz val="9"/>
            <color indexed="81"/>
            <rFont val="Tahoma"/>
            <family val="2"/>
          </rPr>
          <t xml:space="preserve">
</t>
        </r>
      </text>
    </comment>
    <comment ref="K40" authorId="0" shapeId="0" xr:uid="{C9571FDC-F31F-425B-BA26-625F7D51B85A}">
      <text>
        <r>
          <rPr>
            <sz val="9"/>
            <color indexed="81"/>
            <rFont val="Tahoma"/>
            <family val="2"/>
          </rPr>
          <t>Foreground rim star is 7.2 mag star HD 83535.  Progenitor star, just above and right of center, is a double star.</t>
        </r>
      </text>
    </comment>
    <comment ref="A41" authorId="0" shapeId="0" xr:uid="{A0496C0E-7C93-4753-AE02-406AD1B3C6D4}">
      <text>
        <r>
          <rPr>
            <sz val="9"/>
            <color indexed="81"/>
            <rFont val="Tahoma"/>
            <family val="2"/>
          </rPr>
          <t xml:space="preserve">
</t>
        </r>
      </text>
    </comment>
    <comment ref="K41" authorId="0" shapeId="0" xr:uid="{397F7CC8-C8DE-437D-A21D-F257872E285F}">
      <text>
        <r>
          <rPr>
            <sz val="9"/>
            <color indexed="81"/>
            <rFont val="Tahoma"/>
            <family val="2"/>
          </rPr>
          <t>OIII-dominated.  2 limbs seen at 4 and 11 o'clock. Tiny galaxy seen in rim at 3 o'clock. Central star visible.</t>
        </r>
      </text>
    </comment>
    <comment ref="A42" authorId="0" shapeId="0" xr:uid="{B8F0F5BF-FDE8-4CB1-9AF1-532E5DC05994}">
      <text>
        <r>
          <rPr>
            <sz val="9"/>
            <color indexed="81"/>
            <rFont val="Tahoma"/>
            <family val="2"/>
          </rPr>
          <t xml:space="preserve">
</t>
        </r>
      </text>
    </comment>
    <comment ref="K42" authorId="0" shapeId="0" xr:uid="{37E29338-EA5F-445E-87A5-49061AA0F07C}">
      <text>
        <r>
          <rPr>
            <sz val="9"/>
            <color indexed="81"/>
            <rFont val="Tahoma"/>
            <family val="2"/>
          </rPr>
          <t>The brightest and closest Abell object.  A large Stromgren sphere, not a PN.  Bow shock wave at center.</t>
        </r>
      </text>
    </comment>
    <comment ref="A43" authorId="0" shapeId="0" xr:uid="{02D75F68-9BC0-4844-B89F-D5CA92C60CA9}">
      <text>
        <r>
          <rPr>
            <sz val="9"/>
            <color indexed="81"/>
            <rFont val="Tahoma"/>
            <family val="2"/>
          </rPr>
          <t xml:space="preserve">
</t>
        </r>
      </text>
    </comment>
    <comment ref="K43" authorId="0" shapeId="0" xr:uid="{449AE6BD-38ED-4093-8A9A-12B9DEE2047C}">
      <text>
        <r>
          <rPr>
            <sz val="9"/>
            <color indexed="81"/>
            <rFont val="Tahoma"/>
            <family val="2"/>
          </rPr>
          <t>The closest Abell PN.  Large, very faint, odd non-PN like structure. OIII-dominated in outer shell.</t>
        </r>
      </text>
    </comment>
    <comment ref="A44" authorId="0" shapeId="0" xr:uid="{80310DA3-B62C-4062-9B7D-CC0FDF3554B1}">
      <text>
        <r>
          <rPr>
            <sz val="9"/>
            <color indexed="81"/>
            <rFont val="Tahoma"/>
            <family val="2"/>
          </rPr>
          <t xml:space="preserve">
</t>
        </r>
      </text>
    </comment>
    <comment ref="K44" authorId="0" shapeId="0" xr:uid="{C89329E5-1001-49AF-A9D3-7BC6782E56C7}">
      <text>
        <r>
          <rPr>
            <sz val="9"/>
            <color indexed="81"/>
            <rFont val="Tahoma"/>
            <family val="2"/>
          </rPr>
          <t>HII rim and OIII interior. Nice structure for small object. Upper left quadrant diffuse. Faint central star.</t>
        </r>
      </text>
    </comment>
    <comment ref="A45" authorId="0" shapeId="0" xr:uid="{9217E03B-84AC-447A-8E8E-5B55FE1E0086}">
      <text>
        <r>
          <rPr>
            <sz val="9"/>
            <color indexed="81"/>
            <rFont val="Tahoma"/>
            <family val="2"/>
          </rPr>
          <t xml:space="preserve">
</t>
        </r>
      </text>
    </comment>
    <comment ref="K45" authorId="0" shapeId="0" xr:uid="{889C7903-C200-4004-8656-D039F31EF989}">
      <text>
        <r>
          <rPr>
            <sz val="9"/>
            <color indexed="81"/>
            <rFont val="Tahoma"/>
            <family val="2"/>
          </rPr>
          <t>HII-dominated with very little OIII present.  No progenitor.  HII elliptical ring distorted, likely by interaction with ISM.</t>
        </r>
      </text>
    </comment>
    <comment ref="A46" authorId="0" shapeId="0" xr:uid="{75800CD6-005B-471F-8A23-A502B48E9A4A}">
      <text>
        <r>
          <rPr>
            <sz val="9"/>
            <color indexed="81"/>
            <rFont val="Tahoma"/>
            <family val="2"/>
          </rPr>
          <t xml:space="preserve">
</t>
        </r>
      </text>
    </comment>
    <comment ref="K46" authorId="0" shapeId="0" xr:uid="{A016473B-77B6-4320-B8B1-6815563EE05B}">
      <text>
        <r>
          <rPr>
            <sz val="9"/>
            <color indexed="81"/>
            <rFont val="Tahoma"/>
            <family val="2"/>
          </rPr>
          <t>OIII-dominated. Central star visible. Nebula has thin rim and texture.  Galaxy at 2 o’clock inside nebula, 1.7 bly away.</t>
        </r>
      </text>
    </comment>
    <comment ref="A47" authorId="0" shapeId="0" xr:uid="{0CFE207C-ECFB-4BA9-BF61-416B9B833B1C}">
      <text>
        <r>
          <rPr>
            <sz val="9"/>
            <color indexed="81"/>
            <rFont val="Tahoma"/>
            <family val="2"/>
          </rPr>
          <t xml:space="preserve">
</t>
        </r>
      </text>
    </comment>
    <comment ref="K47" authorId="0" shapeId="0" xr:uid="{2CD33BFD-4408-44F2-B74C-35DFDE8CB64E}">
      <text>
        <r>
          <rPr>
            <sz val="9"/>
            <color indexed="81"/>
            <rFont val="Tahoma"/>
            <family val="2"/>
          </rPr>
          <t>Progenitor star visible.  Both OIII and HII present, but OIII much stronger.  Elliptical nebula has thick outer rim.</t>
        </r>
      </text>
    </comment>
    <comment ref="A48" authorId="0" shapeId="0" xr:uid="{A9B133A7-AEB1-4F40-A1C4-41A751F0C763}">
      <text>
        <r>
          <rPr>
            <sz val="9"/>
            <color indexed="81"/>
            <rFont val="Tahoma"/>
            <family val="2"/>
          </rPr>
          <t xml:space="preserve">
</t>
        </r>
      </text>
    </comment>
    <comment ref="K48" authorId="0" shapeId="0" xr:uid="{F856DFC5-33C8-4C6E-AD75-DFA3A7B27BFE}">
      <text>
        <r>
          <rPr>
            <sz val="9"/>
            <color indexed="81"/>
            <rFont val="Tahoma"/>
            <family val="2"/>
          </rPr>
          <t xml:space="preserve">Smallest Abell PN in apparent size, and one of the furthest away from us. HII rim. </t>
        </r>
      </text>
    </comment>
    <comment ref="A49" authorId="0" shapeId="0" xr:uid="{E9D0B83F-3A9B-4042-BFE1-AC285C7DBD93}">
      <text>
        <r>
          <rPr>
            <sz val="9"/>
            <color indexed="81"/>
            <rFont val="Tahoma"/>
            <family val="2"/>
          </rPr>
          <t xml:space="preserve">
</t>
        </r>
      </text>
    </comment>
    <comment ref="K49" authorId="0" shapeId="0" xr:uid="{3A6B5B92-23FA-402F-9C39-C7805B66AB74}">
      <text>
        <r>
          <rPr>
            <sz val="9"/>
            <color indexed="81"/>
            <rFont val="Tahoma"/>
            <family val="2"/>
          </rPr>
          <t xml:space="preserve">The dimmest of all Abell PN which have a magnitude estimated.  Faint progenitor star at the center. </t>
        </r>
      </text>
    </comment>
    <comment ref="A50" authorId="0" shapeId="0" xr:uid="{22FDCF97-9B7F-4273-BEC4-D2724F8C62C2}">
      <text>
        <r>
          <rPr>
            <sz val="9"/>
            <color indexed="81"/>
            <rFont val="Tahoma"/>
            <family val="2"/>
          </rPr>
          <t xml:space="preserve">
</t>
        </r>
      </text>
    </comment>
    <comment ref="K50" authorId="0" shapeId="0" xr:uid="{00B7B8C7-0BB1-4EB9-94A3-862DB3AD1D03}">
      <text>
        <r>
          <rPr>
            <sz val="9"/>
            <color indexed="81"/>
            <rFont val="Tahoma"/>
            <family val="2"/>
          </rPr>
          <t>Progenitor visible.  OIII-dominated with filamentary arcing structures weaving through the nebula.</t>
        </r>
      </text>
    </comment>
    <comment ref="A51" authorId="0" shapeId="0" xr:uid="{56A22590-E988-4C6D-8577-B5EE6F78AE91}">
      <text>
        <r>
          <rPr>
            <sz val="9"/>
            <color indexed="81"/>
            <rFont val="Tahoma"/>
            <family val="2"/>
          </rPr>
          <t xml:space="preserve">
</t>
        </r>
      </text>
    </comment>
    <comment ref="K51" authorId="0" shapeId="0" xr:uid="{1701D34A-A7FC-414A-BF20-7DCDEECA979E}">
      <text>
        <r>
          <rPr>
            <sz val="9"/>
            <color indexed="81"/>
            <rFont val="Tahoma"/>
            <family val="2"/>
          </rPr>
          <t>Bi-polar in nature and looking like a short cylinder.  Strong HII rim, no progenitor star.</t>
        </r>
      </text>
    </comment>
    <comment ref="A52" authorId="0" shapeId="0" xr:uid="{2BEA6F3E-612C-4CB6-975E-23DDB6F2DE3A}">
      <text>
        <r>
          <rPr>
            <sz val="9"/>
            <color indexed="81"/>
            <rFont val="Tahoma"/>
            <family val="2"/>
          </rPr>
          <t xml:space="preserve">
</t>
        </r>
      </text>
    </comment>
    <comment ref="K52" authorId="0" shapeId="0" xr:uid="{F33C730D-FBFE-4586-806F-84626AC6A8BE}">
      <text>
        <r>
          <rPr>
            <sz val="9"/>
            <color indexed="81"/>
            <rFont val="Tahoma"/>
            <family val="2"/>
          </rPr>
          <t>Looks like Hii region. No progenitor or OIII signal.  I could not confirm that this object is a PN.</t>
        </r>
      </text>
    </comment>
    <comment ref="A53" authorId="0" shapeId="0" xr:uid="{E84AE094-50DB-4DA1-B154-2A0A26B85EBB}">
      <text>
        <r>
          <rPr>
            <sz val="9"/>
            <color indexed="81"/>
            <rFont val="Tahoma"/>
            <family val="2"/>
          </rPr>
          <t xml:space="preserve">
</t>
        </r>
      </text>
    </comment>
    <comment ref="K53" authorId="0" shapeId="0" xr:uid="{89422CA2-C941-4DB4-8582-551F260F005F}">
      <text>
        <r>
          <rPr>
            <sz val="9"/>
            <color indexed="81"/>
            <rFont val="Tahoma"/>
            <family val="2"/>
          </rPr>
          <t>Similar strengths of HII &amp; OIII signal. Central progenitor star is bright, quite a contrast to the much fainter nebula.</t>
        </r>
      </text>
    </comment>
    <comment ref="A54" authorId="0" shapeId="0" xr:uid="{50D8572C-93B4-422B-9D21-1D4D7671D4A4}">
      <text>
        <r>
          <rPr>
            <sz val="9"/>
            <color indexed="81"/>
            <rFont val="Tahoma"/>
            <family val="2"/>
          </rPr>
          <t xml:space="preserve">
</t>
        </r>
      </text>
    </comment>
    <comment ref="K54" authorId="0" shapeId="0" xr:uid="{930939A7-58A3-4CA8-9DF4-9E488A0C58D2}">
      <text>
        <r>
          <rPr>
            <sz val="9"/>
            <color indexed="81"/>
            <rFont val="Tahoma"/>
            <family val="2"/>
          </rPr>
          <t xml:space="preserve">Most distant Abell PN and smallest in apparent size.  Tiny, HII-dominated.  Strong outer rim. </t>
        </r>
      </text>
    </comment>
    <comment ref="A55" authorId="0" shapeId="0" xr:uid="{D9309657-9A3F-41A3-B40A-057357B7140C}">
      <text>
        <r>
          <rPr>
            <sz val="9"/>
            <color indexed="81"/>
            <rFont val="Tahoma"/>
            <family val="2"/>
          </rPr>
          <t xml:space="preserve">
</t>
        </r>
      </text>
    </comment>
    <comment ref="K55" authorId="0" shapeId="0" xr:uid="{3EFBD793-8AE7-4356-8245-5489D7D540FC}">
      <text>
        <r>
          <rPr>
            <sz val="9"/>
            <color indexed="81"/>
            <rFont val="Tahoma"/>
            <family val="2"/>
          </rPr>
          <t>Nice diamond-shaped double ring structure.  Strong HII signal.  Progenitor star not likely seen.</t>
        </r>
      </text>
    </comment>
    <comment ref="A56" authorId="0" shapeId="0" xr:uid="{B1560D5F-BC50-453F-A84E-6C40CA084430}">
      <text>
        <r>
          <rPr>
            <sz val="9"/>
            <color indexed="81"/>
            <rFont val="Tahoma"/>
            <family val="2"/>
          </rPr>
          <t xml:space="preserve">
</t>
        </r>
      </text>
    </comment>
    <comment ref="K56" authorId="0" shapeId="0" xr:uid="{E192BE2A-0CE5-4BCA-A203-734FCC983CE0}">
      <text>
        <r>
          <rPr>
            <sz val="9"/>
            <color indexed="81"/>
            <rFont val="Tahoma"/>
            <family val="2"/>
          </rPr>
          <t>HII with OIII central region.  Some breakout seems to appear at 5 and 11 o’clock. No progenitor star.</t>
        </r>
      </text>
    </comment>
    <comment ref="A57" authorId="0" shapeId="0" xr:uid="{6E0986BC-CBA5-4FFA-BFD2-24052E98D31E}">
      <text>
        <r>
          <rPr>
            <sz val="9"/>
            <color indexed="81"/>
            <rFont val="Tahoma"/>
            <family val="2"/>
          </rPr>
          <t xml:space="preserve">
</t>
        </r>
      </text>
    </comment>
    <comment ref="K57" authorId="0" shapeId="0" xr:uid="{9A027E60-90C6-4D3A-960A-C366074E76E3}">
      <text>
        <r>
          <rPr>
            <sz val="9"/>
            <color indexed="81"/>
            <rFont val="Tahoma"/>
            <family val="2"/>
          </rPr>
          <t xml:space="preserve">One of smallest Abell PN in apparent size.  Beautiful color and some structure is seen. </t>
        </r>
      </text>
    </comment>
    <comment ref="A58" authorId="0" shapeId="0" xr:uid="{69A1FA50-1825-4C57-B46E-342E92537A5E}">
      <text>
        <r>
          <rPr>
            <sz val="9"/>
            <color indexed="81"/>
            <rFont val="Tahoma"/>
            <family val="2"/>
          </rPr>
          <t xml:space="preserve">
</t>
        </r>
      </text>
    </comment>
    <comment ref="K58" authorId="0" shapeId="0" xr:uid="{D8A2C627-7915-464C-A9EB-2840E87D83CE}">
      <text>
        <r>
          <rPr>
            <sz val="9"/>
            <color indexed="81"/>
            <rFont val="Tahoma"/>
            <family val="2"/>
          </rPr>
          <t xml:space="preserve">OIII-dominated.  The blue central progenitor star is clearly visible.  The spherical nebula has a thick textured ring. </t>
        </r>
      </text>
    </comment>
    <comment ref="A59" authorId="0" shapeId="0" xr:uid="{6357E747-44F6-4DBE-B2C6-C866C1F08B22}">
      <text>
        <r>
          <rPr>
            <sz val="9"/>
            <color indexed="81"/>
            <rFont val="Tahoma"/>
            <family val="2"/>
          </rPr>
          <t xml:space="preserve">
</t>
        </r>
      </text>
    </comment>
    <comment ref="K59" authorId="0" shapeId="0" xr:uid="{28822021-7381-492F-9664-7E5381A319A6}">
      <text>
        <r>
          <rPr>
            <sz val="9"/>
            <color indexed="81"/>
            <rFont val="Tahoma"/>
            <family val="2"/>
          </rPr>
          <t>Odd asymmetric structure.  Bright rim section at top left.  OIII-dominated.  Progenitor star visible.</t>
        </r>
      </text>
    </comment>
    <comment ref="A60" authorId="0" shapeId="0" xr:uid="{F242A6D2-A4CD-4611-9828-988C8C6C3ACE}">
      <text>
        <r>
          <rPr>
            <sz val="9"/>
            <color indexed="81"/>
            <rFont val="Tahoma"/>
            <family val="2"/>
          </rPr>
          <t xml:space="preserve">
</t>
        </r>
      </text>
    </comment>
    <comment ref="K60" authorId="0" shapeId="0" xr:uid="{313BB17A-D225-446E-AFD3-E4A81A4FD52E}">
      <text>
        <r>
          <rPr>
            <sz val="9"/>
            <color indexed="81"/>
            <rFont val="Tahoma"/>
            <family val="2"/>
          </rPr>
          <t xml:space="preserve">Smallest Abell PN in actual diameter. HII-dominated rim of the nebula.  Star superimposed on rim at 10 o’clock. </t>
        </r>
      </text>
    </comment>
    <comment ref="A61" authorId="0" shapeId="0" xr:uid="{22D24CB1-5C51-4637-9E4D-7FE743217A1A}">
      <text>
        <r>
          <rPr>
            <sz val="9"/>
            <color indexed="81"/>
            <rFont val="Tahoma"/>
            <family val="2"/>
          </rPr>
          <t xml:space="preserve">
</t>
        </r>
      </text>
    </comment>
    <comment ref="K61" authorId="0" shapeId="0" xr:uid="{17CC0EA6-E7E0-4C08-8B4F-31236519C067}">
      <text>
        <r>
          <rPr>
            <sz val="9"/>
            <color indexed="81"/>
            <rFont val="Tahoma"/>
            <family val="2"/>
          </rPr>
          <t>Very dim.  Hii rim while inner section is stronger in OIII.  Star at center but not likely the progenitor star.</t>
        </r>
      </text>
    </comment>
    <comment ref="A62" authorId="0" shapeId="0" xr:uid="{BC1B71C4-3DC9-48B5-8377-727FFAA73695}">
      <text>
        <r>
          <rPr>
            <sz val="9"/>
            <color indexed="81"/>
            <rFont val="Tahoma"/>
            <family val="2"/>
          </rPr>
          <t xml:space="preserve">
</t>
        </r>
      </text>
    </comment>
    <comment ref="K62" authorId="0" shapeId="0" xr:uid="{D6078751-F20E-40E7-89E8-C288D8A1B446}">
      <text>
        <r>
          <rPr>
            <sz val="9"/>
            <color indexed="81"/>
            <rFont val="Tahoma"/>
            <family val="2"/>
          </rPr>
          <t xml:space="preserve">HII rim, strong along left &amp; right edges. OIII strongest in central region. May be bipolar nebula with breakthrough. </t>
        </r>
      </text>
    </comment>
    <comment ref="A63" authorId="0" shapeId="0" xr:uid="{9CFA24CB-5A7F-4095-918F-A832B11BB71A}">
      <text>
        <r>
          <rPr>
            <sz val="9"/>
            <color indexed="81"/>
            <rFont val="Tahoma"/>
            <family val="2"/>
          </rPr>
          <t xml:space="preserve">
</t>
        </r>
      </text>
    </comment>
    <comment ref="K63" authorId="0" shapeId="0" xr:uid="{A528DA00-A023-4478-8B42-66829313F07A}">
      <text>
        <r>
          <rPr>
            <sz val="9"/>
            <color indexed="81"/>
            <rFont val="Tahoma"/>
            <family val="2"/>
          </rPr>
          <t>Unusual in both color &amp; structure. Wide, bright circular ring. Bi-polar, even multi-polar, structure seen.</t>
        </r>
      </text>
    </comment>
    <comment ref="A64" authorId="0" shapeId="0" xr:uid="{43D3C902-D249-45F2-9E33-F8FA6D9094D9}">
      <text>
        <r>
          <rPr>
            <sz val="9"/>
            <color indexed="81"/>
            <rFont val="Tahoma"/>
            <family val="2"/>
          </rPr>
          <t xml:space="preserve">
</t>
        </r>
      </text>
    </comment>
    <comment ref="K64" authorId="0" shapeId="0" xr:uid="{ADD1AD2F-6385-4794-889C-151F4A8C1047}">
      <text>
        <r>
          <rPr>
            <sz val="9"/>
            <color indexed="81"/>
            <rFont val="Tahoma"/>
            <family val="2"/>
          </rPr>
          <t>Odd, unique U-shape structure which is tough to interpret. OIII-dominated.  Faint blue progenitor star is visible.</t>
        </r>
      </text>
    </comment>
    <comment ref="A65" authorId="0" shapeId="0" xr:uid="{D87D4557-C19A-4B70-9F74-4BE6103A23B4}">
      <text>
        <r>
          <rPr>
            <sz val="9"/>
            <color indexed="81"/>
            <rFont val="Tahoma"/>
            <family val="2"/>
          </rPr>
          <t xml:space="preserve">
</t>
        </r>
      </text>
    </comment>
    <comment ref="K65" authorId="0" shapeId="0" xr:uid="{17C30D47-4C30-4A14-9E4F-CCD0EFF08AFC}">
      <text>
        <r>
          <rPr>
            <sz val="9"/>
            <color indexed="81"/>
            <rFont val="Tahoma"/>
            <family val="2"/>
          </rPr>
          <t xml:space="preserve">Odd shape, perhaps due to ISM. "3” shape.  Strong red color is due the dominant HII signal, with little OIII.  </t>
        </r>
      </text>
    </comment>
    <comment ref="A66" authorId="0" shapeId="0" xr:uid="{4627060B-C128-4171-9FA3-B71B4627D88A}">
      <text>
        <r>
          <rPr>
            <sz val="9"/>
            <color indexed="81"/>
            <rFont val="Tahoma"/>
            <family val="2"/>
          </rPr>
          <t xml:space="preserve">
</t>
        </r>
      </text>
    </comment>
    <comment ref="K66" authorId="0" shapeId="0" xr:uid="{C7BF926E-17CA-4A06-A737-7A48FAC7F743}">
      <text>
        <r>
          <rPr>
            <sz val="9"/>
            <color indexed="81"/>
            <rFont val="Tahoma"/>
            <family val="2"/>
          </rPr>
          <t xml:space="preserve">Looks like HII region, with bright red asymmetric arc at the top.  Arc is not a typical PN structure. </t>
        </r>
      </text>
    </comment>
    <comment ref="A67" authorId="0" shapeId="0" xr:uid="{1DE1CA03-DDEE-4CF8-819F-0317193EFEA1}">
      <text>
        <r>
          <rPr>
            <sz val="9"/>
            <color indexed="81"/>
            <rFont val="Tahoma"/>
            <family val="2"/>
          </rPr>
          <t xml:space="preserve">
</t>
        </r>
      </text>
    </comment>
    <comment ref="K67" authorId="0" shapeId="0" xr:uid="{258C1E06-9034-4FA4-9C50-D917C053A385}">
      <text>
        <r>
          <rPr>
            <sz val="9"/>
            <color indexed="81"/>
            <rFont val="Tahoma"/>
            <family val="2"/>
          </rPr>
          <t>OIII-dominated.  May be bipolar, looking side-on into torus. Blown out bipolar regions extend left and right.</t>
        </r>
      </text>
    </comment>
    <comment ref="A68" authorId="0" shapeId="0" xr:uid="{B88DC5EA-296A-4E0C-9D4E-ED95B2DC6B05}">
      <text>
        <r>
          <rPr>
            <sz val="9"/>
            <color indexed="81"/>
            <rFont val="Tahoma"/>
            <family val="2"/>
          </rPr>
          <t xml:space="preserve">
</t>
        </r>
      </text>
    </comment>
    <comment ref="K68" authorId="0" shapeId="0" xr:uid="{D30402A1-315F-489C-BCA1-37D2DB9E2F2C}">
      <text>
        <r>
          <rPr>
            <sz val="9"/>
            <color indexed="81"/>
            <rFont val="Tahoma"/>
            <family val="2"/>
          </rPr>
          <t xml:space="preserve">Faint thin OIII-dominated rim around the outside edge of the top half of the nebula. </t>
        </r>
      </text>
    </comment>
    <comment ref="A69" authorId="0" shapeId="0" xr:uid="{190FFA7F-717B-44C4-AB30-C103485ADF05}">
      <text>
        <r>
          <rPr>
            <sz val="9"/>
            <color indexed="81"/>
            <rFont val="Tahoma"/>
            <family val="2"/>
          </rPr>
          <t xml:space="preserve">
</t>
        </r>
      </text>
    </comment>
    <comment ref="K69" authorId="0" shapeId="0" xr:uid="{3E4AF932-AFAB-4881-91FF-629BA5FEA688}">
      <text>
        <r>
          <rPr>
            <sz val="9"/>
            <color indexed="81"/>
            <rFont val="Tahoma"/>
            <family val="2"/>
          </rPr>
          <t>Strong HII hexagon rim while the inner section is stronger in OIII. PN is distorted.  Small progenitor.</t>
        </r>
      </text>
    </comment>
    <comment ref="A70" authorId="0" shapeId="0" xr:uid="{4A8801BE-43AE-413A-A51C-C178D1928734}">
      <text>
        <r>
          <rPr>
            <sz val="9"/>
            <color indexed="81"/>
            <rFont val="Tahoma"/>
            <family val="2"/>
          </rPr>
          <t xml:space="preserve">
</t>
        </r>
      </text>
    </comment>
    <comment ref="K70" authorId="0" shapeId="0" xr:uid="{11D0308A-FC4E-408D-BB2B-6BA86CF87D50}">
      <text>
        <r>
          <rPr>
            <sz val="9"/>
            <color indexed="81"/>
            <rFont val="Tahoma"/>
            <family val="2"/>
          </rPr>
          <t>Unique shape, like a broad X superimposed over circular shape.  HII signal slightly stronger than OIII.</t>
        </r>
      </text>
    </comment>
    <comment ref="A71" authorId="0" shapeId="0" xr:uid="{E144A03B-B8DC-4B0D-96CD-7D261DA2272D}">
      <text>
        <r>
          <rPr>
            <sz val="9"/>
            <color indexed="81"/>
            <rFont val="Tahoma"/>
            <family val="2"/>
          </rPr>
          <t xml:space="preserve">
</t>
        </r>
      </text>
    </comment>
    <comment ref="K71" authorId="0" shapeId="0" xr:uid="{6AF297E6-4E5A-419D-9BFB-0F99DDFCE25D}">
      <text>
        <r>
          <rPr>
            <sz val="9"/>
            <color indexed="81"/>
            <rFont val="Tahoma"/>
            <family val="2"/>
          </rPr>
          <t>Not a PN but a spiral galaxy, wrongly catalogued by Abell</t>
        </r>
      </text>
    </comment>
    <comment ref="A72" authorId="0" shapeId="0" xr:uid="{829D270C-7343-4887-B2AE-704484DB0632}">
      <text>
        <r>
          <rPr>
            <sz val="9"/>
            <color indexed="81"/>
            <rFont val="Tahoma"/>
            <family val="2"/>
          </rPr>
          <t xml:space="preserve">
</t>
        </r>
      </text>
    </comment>
    <comment ref="K72" authorId="0" shapeId="0" xr:uid="{2275CE11-B933-4A3A-8853-CA5D31036E6A}">
      <text>
        <r>
          <rPr>
            <sz val="9"/>
            <color indexed="81"/>
            <rFont val="Tahoma"/>
            <family val="2"/>
          </rPr>
          <t>Double-shelled bi-polar PN with binary central star. OIII-dominated inner shell oblong. Outer shell much fainter.</t>
        </r>
      </text>
    </comment>
    <comment ref="A73" authorId="0" shapeId="0" xr:uid="{1548C0A8-99B0-40C4-8C30-B9B68C9B78D7}">
      <text>
        <r>
          <rPr>
            <sz val="9"/>
            <color indexed="81"/>
            <rFont val="Tahoma"/>
            <family val="2"/>
          </rPr>
          <t xml:space="preserve">
</t>
        </r>
      </text>
    </comment>
    <comment ref="K73" authorId="0" shapeId="0" xr:uid="{7B706168-88DE-428A-B5EF-4DC7EF6C44D9}">
      <text>
        <r>
          <rPr>
            <sz val="9"/>
            <color indexed="81"/>
            <rFont val="Tahoma"/>
            <family val="2"/>
          </rPr>
          <t xml:space="preserve">HII rim.  OIII irregular inner section.  OIII strongest in 2 lobes, upper and lower.  Some breakthrough at 12 o'clock. </t>
        </r>
      </text>
    </comment>
    <comment ref="A74" authorId="0" shapeId="0" xr:uid="{8738E6D5-FA1F-4643-96F5-31EDCEEF1CA3}">
      <text>
        <r>
          <rPr>
            <sz val="9"/>
            <color indexed="81"/>
            <rFont val="Tahoma"/>
            <family val="2"/>
          </rPr>
          <t xml:space="preserve">
</t>
        </r>
      </text>
    </comment>
    <comment ref="K74" authorId="0" shapeId="0" xr:uid="{25693477-267D-4D21-8BC2-9AAFAF4E1CC2}">
      <text>
        <r>
          <rPr>
            <sz val="9"/>
            <color indexed="81"/>
            <rFont val="Tahoma"/>
            <family val="2"/>
          </rPr>
          <t>This PN is primarily comprised of OIII signal, resulting in its blue appearance.  Progenitor not seen.</t>
        </r>
      </text>
    </comment>
    <comment ref="A75" authorId="0" shapeId="0" xr:uid="{2DCD87CB-7E1C-4DFD-A7A3-0F7FCC01CD04}">
      <text>
        <r>
          <rPr>
            <sz val="9"/>
            <color indexed="81"/>
            <rFont val="Tahoma"/>
            <family val="2"/>
          </rPr>
          <t xml:space="preserve">
</t>
        </r>
      </text>
    </comment>
    <comment ref="K75" authorId="0" shapeId="0" xr:uid="{70CE5BE1-5627-45E9-A532-A0A8FDBC9A45}">
      <text>
        <r>
          <rPr>
            <sz val="9"/>
            <color indexed="81"/>
            <rFont val="Tahoma"/>
            <family val="2"/>
          </rPr>
          <t xml:space="preserve">HII and OIII signals are similar for this oval PN. Interesting texture in inner region, like an hourglass.  </t>
        </r>
      </text>
    </comment>
    <comment ref="A76" authorId="0" shapeId="0" xr:uid="{A3B9C9A4-A099-4174-B4C0-54B4C9DBB065}">
      <text>
        <r>
          <rPr>
            <sz val="9"/>
            <color indexed="81"/>
            <rFont val="Tahoma"/>
            <family val="2"/>
          </rPr>
          <t xml:space="preserve">
</t>
        </r>
      </text>
    </comment>
    <comment ref="K76" authorId="0" shapeId="0" xr:uid="{C96A2368-0375-4942-B006-6F0E57290CB4}">
      <text>
        <r>
          <rPr>
            <sz val="9"/>
            <color indexed="81"/>
            <rFont val="Tahoma"/>
            <family val="2"/>
          </rPr>
          <t xml:space="preserve">HII rim. No progenitor. A faint outer halo is seen extending to about twice the diameter of the PN. </t>
        </r>
      </text>
    </comment>
    <comment ref="A77" authorId="0" shapeId="0" xr:uid="{60A920C1-875E-4C6F-B6C8-8C1A3E4570C7}">
      <text>
        <r>
          <rPr>
            <sz val="9"/>
            <color indexed="81"/>
            <rFont val="Tahoma"/>
            <family val="2"/>
          </rPr>
          <t xml:space="preserve">
</t>
        </r>
      </text>
    </comment>
    <comment ref="K77" authorId="0" shapeId="0" xr:uid="{6CB9085A-8FD5-46AA-82E7-429A43E0DA1C}">
      <text>
        <r>
          <rPr>
            <sz val="9"/>
            <color indexed="81"/>
            <rFont val="Tahoma"/>
            <family val="2"/>
          </rPr>
          <t>Visible central star.  HII rim, OIII inner region. Whitish area of outer rim scalloped.  Galaxy seen behind rim at 8 o'clock.</t>
        </r>
      </text>
    </comment>
    <comment ref="A78" authorId="0" shapeId="0" xr:uid="{F6C15FBD-F5AE-4FBE-B96A-B3573F08CD7A}">
      <text>
        <r>
          <rPr>
            <sz val="9"/>
            <color indexed="81"/>
            <rFont val="Tahoma"/>
            <family val="2"/>
          </rPr>
          <t xml:space="preserve">
</t>
        </r>
      </text>
    </comment>
    <comment ref="K78" authorId="0" shapeId="0" xr:uid="{6A865DE1-76EE-4982-A616-5B426DB0D08B}">
      <text>
        <r>
          <rPr>
            <sz val="9"/>
            <color indexed="81"/>
            <rFont val="Tahoma"/>
            <family val="2"/>
          </rPr>
          <t xml:space="preserve">Could be PN or HII region. Nebula has spiral shape, with arms seen at the top and bottom. 
</t>
        </r>
      </text>
    </comment>
    <comment ref="A79" authorId="0" shapeId="0" xr:uid="{5108A935-6F0D-436F-90C4-D5409C783E90}">
      <text>
        <r>
          <rPr>
            <sz val="9"/>
            <color indexed="81"/>
            <rFont val="Tahoma"/>
            <family val="2"/>
          </rPr>
          <t xml:space="preserve">
</t>
        </r>
      </text>
    </comment>
    <comment ref="K79" authorId="0" shapeId="0" xr:uid="{7FCD3E09-23F1-44A5-A978-5E3F48968B11}">
      <text>
        <r>
          <rPr>
            <sz val="9"/>
            <color indexed="81"/>
            <rFont val="Tahoma"/>
            <family val="2"/>
          </rPr>
          <t>OIII-dominated filamentary structure. Oblong nebula, likely a bi-polar PN. Faint galaxy at 6 o'clock.</t>
        </r>
      </text>
    </comment>
    <comment ref="A80" authorId="0" shapeId="0" xr:uid="{1A28CCC5-7272-4DD0-9C69-1C082BCBDFE7}">
      <text>
        <r>
          <rPr>
            <sz val="9"/>
            <color indexed="81"/>
            <rFont val="Tahoma"/>
            <family val="2"/>
          </rPr>
          <t xml:space="preserve">
</t>
        </r>
      </text>
    </comment>
    <comment ref="K80" authorId="0" shapeId="0" xr:uid="{D376DF4F-E118-465C-9767-10B4597F7DCB}">
      <text>
        <r>
          <rPr>
            <sz val="9"/>
            <color indexed="81"/>
            <rFont val="Tahoma"/>
            <family val="2"/>
          </rPr>
          <t xml:space="preserve">HII rim and OIII inner section. PN distorted.  2 point-symmetric lobes of HII.  Very faint progenitor. 
</t>
        </r>
      </text>
    </comment>
    <comment ref="A81" authorId="0" shapeId="0" xr:uid="{BC29AB76-3D37-4544-8080-AE79A055C08A}">
      <text>
        <r>
          <rPr>
            <sz val="9"/>
            <color indexed="81"/>
            <rFont val="Tahoma"/>
            <family val="2"/>
          </rPr>
          <t xml:space="preserve">
</t>
        </r>
      </text>
    </comment>
    <comment ref="K81" authorId="0" shapeId="0" xr:uid="{336D2577-BA51-45D3-9BCB-DD9EFA0007D2}">
      <text>
        <r>
          <rPr>
            <sz val="9"/>
            <color indexed="81"/>
            <rFont val="Tahoma"/>
            <family val="2"/>
          </rPr>
          <t>Faint progenitor star.  HII rim with OII inner section.  Large PN size.</t>
        </r>
      </text>
    </comment>
    <comment ref="A82" authorId="0" shapeId="0" xr:uid="{A40378E0-19EB-4943-9914-02CE41CA8E07}">
      <text>
        <r>
          <rPr>
            <sz val="9"/>
            <color indexed="81"/>
            <rFont val="Tahoma"/>
            <family val="2"/>
          </rPr>
          <t xml:space="preserve">
</t>
        </r>
      </text>
    </comment>
    <comment ref="K82" authorId="0" shapeId="0" xr:uid="{1091EE24-414B-4E04-917A-712F253A26ED}">
      <text>
        <r>
          <rPr>
            <sz val="9"/>
            <color indexed="81"/>
            <rFont val="Tahoma"/>
            <family val="2"/>
          </rPr>
          <t xml:space="preserve">Progenitor star visible. Nebula squashed due to impact from ISM, which has affected the inner bright torus. </t>
        </r>
      </text>
    </comment>
    <comment ref="A83" authorId="0" shapeId="0" xr:uid="{C24B2972-01A7-4440-B8A6-A9CAE185BDCF}">
      <text>
        <r>
          <rPr>
            <sz val="9"/>
            <color indexed="81"/>
            <rFont val="Tahoma"/>
            <family val="2"/>
          </rPr>
          <t xml:space="preserve">
</t>
        </r>
      </text>
    </comment>
    <comment ref="K83" authorId="0" shapeId="0" xr:uid="{DE32D9B8-F26A-4499-AE88-2F15783E07BD}">
      <text>
        <r>
          <rPr>
            <sz val="9"/>
            <color indexed="81"/>
            <rFont val="Tahoma"/>
            <family val="2"/>
          </rPr>
          <t>Not a PN but a bright tiny spiral galaxy, wrongly catalogued by Abell</t>
        </r>
      </text>
    </comment>
    <comment ref="A84" authorId="0" shapeId="0" xr:uid="{5AA74EE2-6DD7-40D4-B49D-5E741C460182}">
      <text>
        <r>
          <rPr>
            <sz val="9"/>
            <color indexed="81"/>
            <rFont val="Tahoma"/>
            <family val="2"/>
          </rPr>
          <t xml:space="preserve">
</t>
        </r>
      </text>
    </comment>
    <comment ref="K84" authorId="0" shapeId="0" xr:uid="{FF24BFD7-1525-46FE-9BFD-ED38C53A5854}">
      <text>
        <r>
          <rPr>
            <sz val="9"/>
            <color indexed="81"/>
            <rFont val="Tahoma"/>
            <family val="2"/>
          </rPr>
          <t xml:space="preserve">Nice HII structure, but not likely a PN - too big in diameter (12 ly) and edges are unlike a PN. </t>
        </r>
      </text>
    </comment>
    <comment ref="A85" authorId="0" shapeId="0" xr:uid="{BA48B583-3F38-4F70-BC74-26152C2C36F4}">
      <text>
        <r>
          <rPr>
            <sz val="9"/>
            <color indexed="81"/>
            <rFont val="Tahoma"/>
            <family val="2"/>
          </rPr>
          <t xml:space="preserve">
</t>
        </r>
      </text>
    </comment>
    <comment ref="K85" authorId="0" shapeId="0" xr:uid="{8E2FF989-CAA9-4847-9D5C-7539A2B327FD}">
      <text>
        <r>
          <rPr>
            <sz val="9"/>
            <color indexed="81"/>
            <rFont val="Tahoma"/>
            <family val="2"/>
          </rPr>
          <t xml:space="preserve">Odd structure - appears to be two major gas ejections, resulting in bright knots and filaments. Central star. </t>
        </r>
      </text>
    </comment>
    <comment ref="A86" authorId="0" shapeId="0" xr:uid="{A86851EB-EDA8-4EE1-B5A4-909BA81CDEB6}">
      <text>
        <r>
          <rPr>
            <sz val="9"/>
            <color indexed="81"/>
            <rFont val="Tahoma"/>
            <family val="2"/>
          </rPr>
          <t xml:space="preserve">
</t>
        </r>
      </text>
    </comment>
    <comment ref="K86" authorId="0" shapeId="0" xr:uid="{FFA5CDDC-5993-41FD-81BB-D8903219E82A}">
      <text>
        <r>
          <rPr>
            <sz val="9"/>
            <color indexed="81"/>
            <rFont val="Tahoma"/>
            <family val="2"/>
          </rPr>
          <t>Unique looping PN structure. HII dominated.  Arcing gas fronts and tiny lobes. Progenitor visible.</t>
        </r>
      </text>
    </comment>
    <comment ref="A87" authorId="0" shapeId="0" xr:uid="{AACDD479-6FA7-486A-B242-5DE99649E396}">
      <text>
        <r>
          <rPr>
            <sz val="9"/>
            <color indexed="81"/>
            <rFont val="Tahoma"/>
            <family val="2"/>
          </rPr>
          <t xml:space="preserve">
</t>
        </r>
      </text>
    </comment>
    <comment ref="K87" authorId="0" shapeId="0" xr:uid="{F30127A3-5D5F-44AF-B610-394FC61B38CB}">
      <text>
        <r>
          <rPr>
            <sz val="9"/>
            <color indexed="81"/>
            <rFont val="Tahoma"/>
            <family val="2"/>
          </rPr>
          <t>HII rim with faint OIII inner region. Shape is not a ring but more like a short tube.  Faint progenitor.</t>
        </r>
      </text>
    </comment>
    <comment ref="A88" authorId="0" shapeId="0" xr:uid="{48ABA276-4CDE-4277-A452-4793F8987301}">
      <text>
        <r>
          <rPr>
            <sz val="9"/>
            <color indexed="81"/>
            <rFont val="Tahoma"/>
            <family val="2"/>
          </rPr>
          <t xml:space="preserve">
</t>
        </r>
      </text>
    </comment>
    <comment ref="K88" authorId="0" shapeId="0" xr:uid="{23CF6622-2B93-43AA-9904-E28574B536AD}">
      <text>
        <r>
          <rPr>
            <sz val="9"/>
            <color indexed="81"/>
            <rFont val="Tahoma"/>
            <family val="2"/>
          </rPr>
          <t xml:space="preserve">Beautiful OIII donut shape.  Most northern of all Abell PNs.  The central star is barely visible. </t>
        </r>
      </text>
    </comment>
    <comment ref="A89" authorId="0" shapeId="0" xr:uid="{24752F8D-A89A-4C22-B372-B2BA8D03183B}">
      <text>
        <r>
          <rPr>
            <sz val="9"/>
            <color indexed="81"/>
            <rFont val="Tahoma"/>
            <family val="2"/>
          </rPr>
          <t xml:space="preserve">
</t>
        </r>
      </text>
    </comment>
    <comment ref="K89" authorId="0" shapeId="0" xr:uid="{F73F2D74-C668-4665-9E92-0D8DCBBFAAE8}">
      <text>
        <r>
          <rPr>
            <sz val="9"/>
            <color indexed="81"/>
            <rFont val="Tahoma"/>
            <family val="2"/>
          </rPr>
          <t>Looks like bi-polar PN with axis running from upper left to lower right.  Torus section is constricting the jet flow.  No progenitor.</t>
        </r>
      </text>
    </comment>
    <comment ref="A90" authorId="0" shapeId="0" xr:uid="{41D9B29A-6DFE-43FF-A706-89317DED262D}">
      <text>
        <r>
          <rPr>
            <sz val="9"/>
            <color indexed="81"/>
            <rFont val="Tahoma"/>
            <family val="2"/>
          </rPr>
          <t xml:space="preserve">
</t>
        </r>
      </text>
    </comment>
    <comment ref="K90" authorId="0" shapeId="0" xr:uid="{24943CAF-5C28-4F04-92E5-30388DC554C7}">
      <text>
        <r>
          <rPr>
            <sz val="9"/>
            <color indexed="81"/>
            <rFont val="Tahoma"/>
            <family val="2"/>
          </rPr>
          <t>Faint.  HII rim with OIII inner section.  No progenitor star.</t>
        </r>
      </text>
    </comment>
    <comment ref="A91" authorId="0" shapeId="0" xr:uid="{2682A380-6641-4857-8F04-0BF546E284F1}">
      <text>
        <r>
          <rPr>
            <sz val="9"/>
            <color indexed="81"/>
            <rFont val="Tahoma"/>
            <family val="2"/>
          </rPr>
          <t xml:space="preserve">
</t>
        </r>
      </text>
    </comment>
    <comment ref="K91" authorId="0" shapeId="0" xr:uid="{7F35CD7E-4CF1-4190-BD14-34C426CDFBC0}">
      <text>
        <r>
          <rPr>
            <sz val="9"/>
            <color indexed="81"/>
            <rFont val="Tahoma"/>
            <family val="2"/>
          </rPr>
          <t xml:space="preserve">HII rim with OIII inner region. A bluish central star is faintly visible. Some subtle structure is evident in the nebula. </t>
        </r>
      </text>
    </comment>
    <comment ref="A92" authorId="0" shapeId="0" xr:uid="{983CB8F6-EBD6-4C95-BB5D-6EF4D08C7A84}">
      <text>
        <r>
          <rPr>
            <sz val="9"/>
            <color indexed="81"/>
            <rFont val="Tahoma"/>
            <family val="2"/>
          </rPr>
          <t xml:space="preserve">
</t>
        </r>
      </text>
    </comment>
    <comment ref="K92" authorId="0" shapeId="0" xr:uid="{8874E256-11F2-4180-9C1E-A3DC39673860}">
      <text>
        <r>
          <rPr>
            <sz val="9"/>
            <color indexed="81"/>
            <rFont val="Tahoma"/>
            <family val="2"/>
          </rPr>
          <t>Largest Abell object.  SNR very similar to Sh2-308.  Appears to be undergoing deformation and breakout.</t>
        </r>
      </text>
    </comment>
    <comment ref="A93" authorId="0" shapeId="0" xr:uid="{8A53F514-3AA8-4DB8-8A9A-D0055B33C83A}">
      <text>
        <r>
          <rPr>
            <sz val="9"/>
            <color indexed="81"/>
            <rFont val="Tahoma"/>
            <family val="2"/>
          </rPr>
          <t xml:space="preserve">
</t>
        </r>
      </text>
    </comment>
    <comment ref="K93" authorId="0" shapeId="0" xr:uid="{4FF2C392-404F-4087-8C97-8345E88D891B}">
      <text>
        <r>
          <rPr>
            <sz val="9"/>
            <color indexed="81"/>
            <rFont val="Tahoma"/>
            <family val="2"/>
          </rPr>
          <t>Dominant HII.  No progenitor star.</t>
        </r>
      </text>
    </comment>
    <comment ref="A94" authorId="0" shapeId="0" xr:uid="{9EB37E1E-003C-4DBD-978E-4B1E05196787}">
      <text>
        <r>
          <rPr>
            <sz val="9"/>
            <color indexed="81"/>
            <rFont val="Tahoma"/>
            <family val="2"/>
          </rPr>
          <t xml:space="preserve">
</t>
        </r>
      </text>
    </comment>
    <comment ref="K94" authorId="0" shapeId="0" xr:uid="{0E7C10BA-E8EC-4754-9136-AFA7F79470F9}">
      <text>
        <r>
          <rPr>
            <sz val="9"/>
            <color indexed="81"/>
            <rFont val="Tahoma"/>
            <family val="2"/>
          </rPr>
          <t>Cluster dominated by 2 ellipticals and containing a nice number of spirals</t>
        </r>
      </text>
    </comment>
    <comment ref="A95" authorId="0" shapeId="0" xr:uid="{D27EE589-4A9C-49B5-A48B-9CC21E172899}">
      <text>
        <r>
          <rPr>
            <sz val="9"/>
            <color indexed="81"/>
            <rFont val="Tahoma"/>
            <family val="2"/>
          </rPr>
          <t xml:space="preserve">
</t>
        </r>
      </text>
    </comment>
    <comment ref="K95" authorId="0" shapeId="0" xr:uid="{A955BB9A-DF3D-48DF-912E-FF305E512766}">
      <text>
        <r>
          <rPr>
            <sz val="9"/>
            <color indexed="81"/>
            <rFont val="Tahoma"/>
            <family val="2"/>
          </rPr>
          <t>Distant challenging cluster</t>
        </r>
      </text>
    </comment>
    <comment ref="A96" authorId="0" shapeId="0" xr:uid="{73F18EDF-9B64-464F-B946-8DD6FA85BE76}">
      <text>
        <r>
          <rPr>
            <sz val="9"/>
            <color indexed="81"/>
            <rFont val="Tahoma"/>
            <family val="2"/>
          </rPr>
          <t xml:space="preserve">
</t>
        </r>
      </text>
    </comment>
    <comment ref="K96" authorId="0" shapeId="0" xr:uid="{0A857D22-88EB-48B9-93B3-8971AECD0586}">
      <text>
        <r>
          <rPr>
            <sz val="9"/>
            <color indexed="81"/>
            <rFont val="Tahoma"/>
            <family val="2"/>
          </rPr>
          <t>Interesting objects at cluster center, including Arp 133 &amp; Minkowski's Object</t>
        </r>
      </text>
    </comment>
    <comment ref="A97" authorId="0" shapeId="0" xr:uid="{8A18D098-78F3-4A67-8EC3-6FBA26682BF7}">
      <text>
        <r>
          <rPr>
            <sz val="9"/>
            <color indexed="81"/>
            <rFont val="Tahoma"/>
            <family val="2"/>
          </rPr>
          <t xml:space="preserve">
</t>
        </r>
      </text>
    </comment>
    <comment ref="K97" authorId="0" shapeId="0" xr:uid="{28525199-8D17-4326-A839-54A545B545CD}">
      <text>
        <r>
          <rPr>
            <sz val="9"/>
            <color indexed="81"/>
            <rFont val="Tahoma"/>
            <family val="2"/>
          </rPr>
          <t>One of the better clusters to image.  Highlights are NGC 705 and 710.</t>
        </r>
      </text>
    </comment>
    <comment ref="A98" authorId="0" shapeId="0" xr:uid="{6A52E937-4194-482C-8538-1892FA189660}">
      <text>
        <r>
          <rPr>
            <sz val="9"/>
            <color indexed="81"/>
            <rFont val="Tahoma"/>
            <family val="2"/>
          </rPr>
          <t xml:space="preserve">
</t>
        </r>
      </text>
    </comment>
    <comment ref="K98" authorId="0" shapeId="0" xr:uid="{644148A3-C8B0-4775-98C8-0E86CBEAEC8C}">
      <text>
        <r>
          <rPr>
            <sz val="9"/>
            <color indexed="81"/>
            <rFont val="Tahoma"/>
            <family val="2"/>
          </rPr>
          <t>The best objects are not part of the cluster - NGC 891 and Arp 145.</t>
        </r>
      </text>
    </comment>
    <comment ref="A99" authorId="0" shapeId="0" xr:uid="{B4324873-9D0A-4EB7-8320-9D36022E7D65}">
      <text>
        <r>
          <rPr>
            <sz val="9"/>
            <color indexed="81"/>
            <rFont val="Tahoma"/>
            <family val="2"/>
          </rPr>
          <t xml:space="preserve">
</t>
        </r>
      </text>
    </comment>
    <comment ref="K99" authorId="0" shapeId="0" xr:uid="{BEE3EBC5-0A42-4884-81FE-933B536646AB}">
      <text>
        <r>
          <rPr>
            <sz val="9"/>
            <color indexed="81"/>
            <rFont val="Tahoma"/>
            <family val="2"/>
          </rPr>
          <t>Small and fascinating object, highlighted by the 9 galaxy tight "nonet" cluster.</t>
        </r>
      </text>
    </comment>
    <comment ref="A100" authorId="0" shapeId="0" xr:uid="{78AF1041-AEDD-49A5-8DE1-CD632FFEAFFC}">
      <text>
        <r>
          <rPr>
            <sz val="9"/>
            <color indexed="81"/>
            <rFont val="Tahoma"/>
            <family val="2"/>
          </rPr>
          <t xml:space="preserve">
</t>
        </r>
      </text>
    </comment>
    <comment ref="K100" authorId="0" shapeId="0" xr:uid="{A289EA09-BE24-4001-88F8-EBB7DDE7D4BA}">
      <text>
        <r>
          <rPr>
            <sz val="9"/>
            <color indexed="81"/>
            <rFont val="Tahoma"/>
            <family val="2"/>
          </rPr>
          <t>One of the best Abell clusters to image - dense and fairly close.</t>
        </r>
      </text>
    </comment>
    <comment ref="A101" authorId="0" shapeId="0" xr:uid="{C515C624-3B4F-4725-AEDD-33312720D00E}">
      <text>
        <r>
          <rPr>
            <sz val="9"/>
            <color indexed="81"/>
            <rFont val="Tahoma"/>
            <family val="2"/>
          </rPr>
          <t xml:space="preserve">
</t>
        </r>
      </text>
    </comment>
    <comment ref="K101" authorId="0" shapeId="0" xr:uid="{0BC9E17C-8FFA-4558-9593-CB643531DE4D}">
      <text>
        <r>
          <rPr>
            <sz val="9"/>
            <color indexed="81"/>
            <rFont val="Tahoma"/>
            <family val="2"/>
          </rPr>
          <t>View is highlighted by a non-cluster galaxy, the edge-on spiral UGC 3275.  This galaxy is huge at 200,000 ly in diameter.</t>
        </r>
      </text>
    </comment>
    <comment ref="A102" authorId="0" shapeId="0" xr:uid="{5913BC3E-7DA5-498B-8E6E-CB27EA0A1418}">
      <text>
        <r>
          <rPr>
            <sz val="9"/>
            <color indexed="81"/>
            <rFont val="Tahoma"/>
            <family val="2"/>
          </rPr>
          <t xml:space="preserve">
</t>
        </r>
      </text>
    </comment>
    <comment ref="K102" authorId="0" shapeId="0" xr:uid="{A1A99C00-85A2-4828-A871-BC57625B37DB}">
      <text>
        <r>
          <rPr>
            <sz val="9"/>
            <color indexed="81"/>
            <rFont val="Tahoma"/>
            <family val="2"/>
          </rPr>
          <t>Small with good variety of structure</t>
        </r>
      </text>
    </comment>
    <comment ref="A103" authorId="0" shapeId="0" xr:uid="{B4C064B0-EF8A-4EB5-BD9C-5FD8B60E7A9F}">
      <text>
        <r>
          <rPr>
            <sz val="9"/>
            <color indexed="81"/>
            <rFont val="Tahoma"/>
            <family val="2"/>
          </rPr>
          <t xml:space="preserve">
</t>
        </r>
      </text>
    </comment>
    <comment ref="K103" authorId="0" shapeId="0" xr:uid="{B2251A58-B635-43C4-9475-E59835DB4285}">
      <text>
        <r>
          <rPr>
            <sz val="9"/>
            <color indexed="81"/>
            <rFont val="Tahoma"/>
            <family val="2"/>
          </rPr>
          <t>Unusual number of prominent spirals</t>
        </r>
      </text>
    </comment>
    <comment ref="A104" authorId="0" shapeId="0" xr:uid="{1C505E79-DF81-43A0-899A-8FAC07350AB2}">
      <text>
        <r>
          <rPr>
            <sz val="9"/>
            <color indexed="81"/>
            <rFont val="Tahoma"/>
            <family val="2"/>
          </rPr>
          <t xml:space="preserve">
</t>
        </r>
      </text>
    </comment>
    <comment ref="K104" authorId="0" shapeId="0" xr:uid="{C9C1EFA9-6C19-4851-8CC6-FE467C5FA4A2}">
      <text>
        <r>
          <rPr>
            <sz val="9"/>
            <color indexed="81"/>
            <rFont val="Tahoma"/>
            <family val="2"/>
          </rPr>
          <t>This object is believed to be 2 colliding galaxy clusters and one of the biggest objects in the universe.</t>
        </r>
      </text>
    </comment>
    <comment ref="A105" authorId="0" shapeId="0" xr:uid="{7952C600-90D1-451E-B615-3CC208FD357D}">
      <text>
        <r>
          <rPr>
            <sz val="9"/>
            <color indexed="81"/>
            <rFont val="Tahoma"/>
            <family val="2"/>
          </rPr>
          <t xml:space="preserve">
</t>
        </r>
      </text>
    </comment>
    <comment ref="K105" authorId="0" shapeId="0" xr:uid="{2EBB8FC5-D517-4254-AB62-46B1CFA2FED4}">
      <text>
        <r>
          <rPr>
            <sz val="9"/>
            <color indexed="81"/>
            <rFont val="Tahoma"/>
            <family val="2"/>
          </rPr>
          <t>Interesting mix of ellipticals and spirals, with good detail.</t>
        </r>
      </text>
    </comment>
    <comment ref="A106" authorId="0" shapeId="0" xr:uid="{C563ABEA-EDF3-4A12-AA58-EEB7633307BA}">
      <text>
        <r>
          <rPr>
            <sz val="9"/>
            <color indexed="81"/>
            <rFont val="Tahoma"/>
            <family val="2"/>
          </rPr>
          <t xml:space="preserve">
</t>
        </r>
      </text>
    </comment>
    <comment ref="K106" authorId="0" shapeId="0" xr:uid="{61B5A938-1B41-4660-A176-B22AC6390F8B}">
      <text>
        <r>
          <rPr>
            <sz val="9"/>
            <color indexed="81"/>
            <rFont val="Tahoma"/>
            <family val="2"/>
          </rPr>
          <t>Several interesting objects in this field, highlighted by NGC 3312 &amp; 3314.</t>
        </r>
      </text>
    </comment>
    <comment ref="A107" authorId="0" shapeId="0" xr:uid="{5DF3AF6A-F38F-4FAE-8DCE-375817BD5850}">
      <text>
        <r>
          <rPr>
            <sz val="9"/>
            <color indexed="81"/>
            <rFont val="Tahoma"/>
            <family val="2"/>
          </rPr>
          <t xml:space="preserve">
</t>
        </r>
      </text>
    </comment>
    <comment ref="K107" authorId="0" shapeId="0" xr:uid="{762F86A9-51F5-4466-8643-052CB6D1DA47}">
      <text>
        <r>
          <rPr>
            <sz val="9"/>
            <color indexed="81"/>
            <rFont val="Tahoma"/>
            <family val="2"/>
          </rPr>
          <t>Distant cluster is upstaged by the adjacent 3 galaxy merger object NGC 3447.</t>
        </r>
      </text>
    </comment>
    <comment ref="A108" authorId="0" shapeId="0" xr:uid="{18DCDF77-B5EC-4F3D-BB20-A8268713E744}">
      <text>
        <r>
          <rPr>
            <sz val="9"/>
            <color indexed="81"/>
            <rFont val="Tahoma"/>
            <family val="2"/>
          </rPr>
          <t xml:space="preserve">
</t>
        </r>
      </text>
    </comment>
    <comment ref="K108" authorId="0" shapeId="0" xr:uid="{EA4CEA02-249C-4B55-A238-9BF7B66B38CE}">
      <text>
        <r>
          <rPr>
            <sz val="9"/>
            <color indexed="81"/>
            <rFont val="Tahoma"/>
            <family val="2"/>
          </rPr>
          <t>Amazing view, with more galaxies than stars.  Arp 105 is the highlight.</t>
        </r>
      </text>
    </comment>
    <comment ref="A109" authorId="0" shapeId="0" xr:uid="{1625D818-EEBA-4FB6-974A-C0BDBC743915}">
      <text>
        <r>
          <rPr>
            <sz val="9"/>
            <color indexed="81"/>
            <rFont val="Tahoma"/>
            <family val="2"/>
          </rPr>
          <t xml:space="preserve">
</t>
        </r>
      </text>
    </comment>
    <comment ref="K109" authorId="0" shapeId="0" xr:uid="{88574923-50C2-4D62-988A-2C3735BD7353}">
      <text>
        <r>
          <rPr>
            <sz val="9"/>
            <color indexed="81"/>
            <rFont val="Tahoma"/>
            <family val="2"/>
          </rPr>
          <t>Rich and faint distant cluster</t>
        </r>
      </text>
    </comment>
    <comment ref="A110" authorId="0" shapeId="0" xr:uid="{3B8C0F0C-3E07-47A5-B23E-C7EBFD2FB110}">
      <text>
        <r>
          <rPr>
            <sz val="9"/>
            <color indexed="81"/>
            <rFont val="Tahoma"/>
            <family val="2"/>
          </rPr>
          <t xml:space="preserve">
</t>
        </r>
      </text>
    </comment>
    <comment ref="K110" authorId="0" shapeId="0" xr:uid="{B62FA2B9-0992-4E75-8375-7EFC7F61E18A}">
      <text>
        <r>
          <rPr>
            <sz val="9"/>
            <color indexed="81"/>
            <rFont val="Tahoma"/>
            <family val="2"/>
          </rPr>
          <t>Sparse galaxy cluster</t>
        </r>
      </text>
    </comment>
    <comment ref="A111" authorId="0" shapeId="0" xr:uid="{3B218B32-9AE3-4F91-B3AA-3810C776C7EA}">
      <text>
        <r>
          <rPr>
            <sz val="9"/>
            <color indexed="81"/>
            <rFont val="Tahoma"/>
            <family val="2"/>
          </rPr>
          <t xml:space="preserve">
</t>
        </r>
      </text>
    </comment>
    <comment ref="K111" authorId="0" shapeId="0" xr:uid="{F1F6300F-71C2-4743-8038-BE24EC2C014B}">
      <text>
        <r>
          <rPr>
            <sz val="9"/>
            <color indexed="81"/>
            <rFont val="Tahoma"/>
            <family val="2"/>
          </rPr>
          <t>Highlight is IC 708, nicknamed Papillion (French for butterfly).</t>
        </r>
      </text>
    </comment>
    <comment ref="A112" authorId="0" shapeId="0" xr:uid="{69BCBFAA-A70F-4380-9060-AB995CA1EC38}">
      <text>
        <r>
          <rPr>
            <sz val="9"/>
            <color indexed="81"/>
            <rFont val="Tahoma"/>
            <family val="2"/>
          </rPr>
          <t xml:space="preserve">
</t>
        </r>
      </text>
    </comment>
    <comment ref="K112" authorId="0" shapeId="0" xr:uid="{DBA4F98B-F611-4BDE-850F-86FE477FEF27}">
      <text>
        <r>
          <rPr>
            <sz val="9"/>
            <color indexed="81"/>
            <rFont val="Tahoma"/>
            <family val="2"/>
          </rPr>
          <t xml:space="preserve">The Leo Cluster has the densest number of bright galaxies anywhere in our sky </t>
        </r>
      </text>
    </comment>
    <comment ref="A113" authorId="0" shapeId="0" xr:uid="{561BC13F-FFE5-434A-89C7-69BED35EB1DC}">
      <text>
        <r>
          <rPr>
            <sz val="9"/>
            <color indexed="81"/>
            <rFont val="Tahoma"/>
            <family val="2"/>
          </rPr>
          <t xml:space="preserve">
</t>
        </r>
      </text>
    </comment>
    <comment ref="K113" authorId="0" shapeId="0" xr:uid="{DF9F8E8F-1E17-49FC-A6C0-95447F3A779E}">
      <text>
        <r>
          <rPr>
            <sz val="9"/>
            <color indexed="81"/>
            <rFont val="Tahoma"/>
            <family val="2"/>
          </rPr>
          <t>2 billion ly away cluster is surprisingly interesting, especially right next to Hickson 61.</t>
        </r>
      </text>
    </comment>
    <comment ref="A114" authorId="0" shapeId="0" xr:uid="{9096E54A-1537-41E5-9AB4-30A3A4EF09EF}">
      <text>
        <r>
          <rPr>
            <sz val="9"/>
            <color indexed="81"/>
            <rFont val="Tahoma"/>
            <family val="2"/>
          </rPr>
          <t xml:space="preserve">
</t>
        </r>
      </text>
    </comment>
    <comment ref="K114" authorId="0" shapeId="0" xr:uid="{F7000BFA-690D-4838-8C58-5A1177C91690}">
      <text>
        <r>
          <rPr>
            <sz val="9"/>
            <color indexed="81"/>
            <rFont val="Tahoma"/>
            <family val="2"/>
          </rPr>
          <t>Dominated by large elliptical</t>
        </r>
      </text>
    </comment>
    <comment ref="A115" authorId="0" shapeId="0" xr:uid="{81FC54CF-50E5-48EE-88B1-384C0A6AC294}">
      <text>
        <r>
          <rPr>
            <sz val="9"/>
            <color indexed="81"/>
            <rFont val="Tahoma"/>
            <family val="2"/>
          </rPr>
          <t xml:space="preserve">
</t>
        </r>
      </text>
    </comment>
    <comment ref="K115" authorId="0" shapeId="0" xr:uid="{07FA0BE2-62F6-4CA5-9D0C-9644C356FAF6}">
      <text>
        <r>
          <rPr>
            <sz val="9"/>
            <color indexed="81"/>
            <rFont val="Tahoma"/>
            <family val="2"/>
          </rPr>
          <t>The Coma cluster is a brilliant collection of distant bright galaxies.</t>
        </r>
      </text>
    </comment>
    <comment ref="A116" authorId="0" shapeId="0" xr:uid="{4BF5FEF0-2077-4FFE-8A15-2BED9B1BE92B}">
      <text>
        <r>
          <rPr>
            <sz val="9"/>
            <color indexed="81"/>
            <rFont val="Tahoma"/>
            <family val="2"/>
          </rPr>
          <t xml:space="preserve">
</t>
        </r>
      </text>
    </comment>
    <comment ref="K116" authorId="0" shapeId="0" xr:uid="{0C8F9FEC-F0B2-497D-93EF-21A7F3DF78D0}">
      <text>
        <r>
          <rPr>
            <sz val="9"/>
            <color indexed="81"/>
            <rFont val="Tahoma"/>
            <family val="2"/>
          </rPr>
          <t>One of the largest galaxy clusters</t>
        </r>
      </text>
    </comment>
    <comment ref="A117" authorId="0" shapeId="0" xr:uid="{55BDA267-F25C-416C-979B-84DD4A92DA80}">
      <text>
        <r>
          <rPr>
            <sz val="9"/>
            <color indexed="81"/>
            <rFont val="Tahoma"/>
            <family val="2"/>
          </rPr>
          <t xml:space="preserve">
</t>
        </r>
      </text>
    </comment>
    <comment ref="K117" authorId="0" shapeId="0" xr:uid="{AAF8EA99-8E0D-434F-85EB-6CD8A462328B}">
      <text>
        <r>
          <rPr>
            <sz val="9"/>
            <color indexed="81"/>
            <rFont val="Tahoma"/>
            <family val="2"/>
          </rPr>
          <t>Dominated by several large ellipticals</t>
        </r>
      </text>
    </comment>
    <comment ref="A118" authorId="0" shapeId="0" xr:uid="{92A70F2B-27F8-43C9-804E-840248DE565E}">
      <text>
        <r>
          <rPr>
            <sz val="9"/>
            <color indexed="81"/>
            <rFont val="Tahoma"/>
            <family val="2"/>
          </rPr>
          <t xml:space="preserve">
</t>
        </r>
      </text>
    </comment>
    <comment ref="K118" authorId="0" shapeId="0" xr:uid="{F634190B-735B-49CB-B0BC-2EF3249CA86A}">
      <text>
        <r>
          <rPr>
            <sz val="9"/>
            <color indexed="81"/>
            <rFont val="Tahoma"/>
            <family val="2"/>
          </rPr>
          <t>Pleasing geometric alignment around the largest galaxy</t>
        </r>
      </text>
    </comment>
    <comment ref="A119" authorId="0" shapeId="0" xr:uid="{D58EB156-D893-459C-9850-5F08521E5386}">
      <text>
        <r>
          <rPr>
            <sz val="9"/>
            <color indexed="81"/>
            <rFont val="Tahoma"/>
            <family val="2"/>
          </rPr>
          <t xml:space="preserve">
</t>
        </r>
      </text>
    </comment>
    <comment ref="K119" authorId="0" shapeId="0" xr:uid="{D37FDCD4-253C-42B7-A942-7DD158C8B970}">
      <text>
        <r>
          <rPr>
            <sz val="9"/>
            <color indexed="81"/>
            <rFont val="Tahoma"/>
            <family val="2"/>
          </rPr>
          <t>Incredibly dense 200 galaxy cluster located 1 billion ly away.</t>
        </r>
      </text>
    </comment>
    <comment ref="A120" authorId="0" shapeId="0" xr:uid="{F1C2F293-DEF2-4578-85E4-63694AFB089D}">
      <text>
        <r>
          <rPr>
            <sz val="9"/>
            <color indexed="81"/>
            <rFont val="Tahoma"/>
            <family val="2"/>
          </rPr>
          <t xml:space="preserve">
</t>
        </r>
      </text>
    </comment>
    <comment ref="K120" authorId="0" shapeId="0" xr:uid="{81A2065A-6C41-4050-B514-3C5C62F95190}">
      <text>
        <r>
          <rPr>
            <sz val="9"/>
            <color indexed="81"/>
            <rFont val="Tahoma"/>
            <family val="2"/>
          </rPr>
          <t>Not much to see here</t>
        </r>
      </text>
    </comment>
    <comment ref="A121" authorId="0" shapeId="0" xr:uid="{CA6840E5-2029-4771-84F0-9EC7A166215F}">
      <text>
        <r>
          <rPr>
            <sz val="9"/>
            <color indexed="81"/>
            <rFont val="Tahoma"/>
            <family val="2"/>
          </rPr>
          <t xml:space="preserve">
</t>
        </r>
      </text>
    </comment>
    <comment ref="K121" authorId="0" shapeId="0" xr:uid="{1183CD46-0A9F-4F31-8F58-A52DF5187FC0}">
      <text>
        <r>
          <rPr>
            <sz val="9"/>
            <color indexed="81"/>
            <rFont val="Tahoma"/>
            <family val="2"/>
          </rPr>
          <t>Interesting line of brightness as 2 main ellipticals align</t>
        </r>
      </text>
    </comment>
    <comment ref="A122" authorId="0" shapeId="0" xr:uid="{6916F9E0-BD02-4AAF-8147-75C249D50934}">
      <text>
        <r>
          <rPr>
            <sz val="9"/>
            <color indexed="81"/>
            <rFont val="Tahoma"/>
            <family val="2"/>
          </rPr>
          <t xml:space="preserve">
</t>
        </r>
      </text>
    </comment>
    <comment ref="K122" authorId="0" shapeId="0" xr:uid="{44C34C6F-8355-420A-B700-3BAFFA66D549}">
      <text>
        <r>
          <rPr>
            <sz val="9"/>
            <color indexed="81"/>
            <rFont val="Tahoma"/>
            <family val="2"/>
          </rPr>
          <t>Many incredible objects in this large cluster, including 4 Arp objects in the tightest Arp grouping.</t>
        </r>
      </text>
    </comment>
    <comment ref="A123" authorId="0" shapeId="0" xr:uid="{012D2426-9C0F-4C10-BEE6-E6A8372DE99C}">
      <text>
        <r>
          <rPr>
            <sz val="9"/>
            <color indexed="81"/>
            <rFont val="Tahoma"/>
            <family val="2"/>
          </rPr>
          <t xml:space="preserve">
</t>
        </r>
      </text>
    </comment>
    <comment ref="K123" authorId="0" shapeId="0" xr:uid="{7D3A9862-4D0C-43F7-9B24-FD518FE1E22A}">
      <text>
        <r>
          <rPr>
            <sz val="9"/>
            <color indexed="81"/>
            <rFont val="Tahoma"/>
            <family val="2"/>
          </rPr>
          <t>Uninspiring mix of distant galaxies</t>
        </r>
      </text>
    </comment>
    <comment ref="A124" authorId="0" shapeId="0" xr:uid="{37246F4C-F51E-4BB3-A889-C06CDDF4FA41}">
      <text>
        <r>
          <rPr>
            <sz val="9"/>
            <color indexed="81"/>
            <rFont val="Tahoma"/>
            <family val="2"/>
          </rPr>
          <t xml:space="preserve">
</t>
        </r>
      </text>
    </comment>
    <comment ref="K124" authorId="0" shapeId="0" xr:uid="{DFBD096A-6660-4428-8482-A92759F1E711}">
      <text>
        <r>
          <rPr>
            <sz val="9"/>
            <color indexed="81"/>
            <rFont val="Tahoma"/>
            <family val="2"/>
          </rPr>
          <t>Cluster is highlighted by NGC 6085 and 6086.</t>
        </r>
      </text>
    </comment>
    <comment ref="A125" authorId="0" shapeId="0" xr:uid="{967E22E0-C206-44B0-8F07-99F6733BF93E}">
      <text>
        <r>
          <rPr>
            <sz val="9"/>
            <color indexed="81"/>
            <rFont val="Tahoma"/>
            <family val="2"/>
          </rPr>
          <t xml:space="preserve">
</t>
        </r>
      </text>
    </comment>
    <comment ref="K125" authorId="0" shapeId="0" xr:uid="{417F90B2-E141-4E84-9758-90A89E822827}">
      <text>
        <r>
          <rPr>
            <sz val="9"/>
            <color indexed="81"/>
            <rFont val="Tahoma"/>
            <family val="2"/>
          </rPr>
          <t>Adjacent to Abell 2199.  Both clusters are of average appearance.</t>
        </r>
      </text>
    </comment>
    <comment ref="A126" authorId="0" shapeId="0" xr:uid="{48DB1424-EFB0-47ED-9C2B-0E81D63172C2}">
      <text>
        <r>
          <rPr>
            <sz val="9"/>
            <color indexed="81"/>
            <rFont val="Tahoma"/>
            <family val="2"/>
          </rPr>
          <t xml:space="preserve">
</t>
        </r>
      </text>
    </comment>
    <comment ref="K126" authorId="0" shapeId="0" xr:uid="{179EB2DE-AF6A-4234-B6E6-4897717D1135}">
      <text>
        <r>
          <rPr>
            <sz val="9"/>
            <color indexed="81"/>
            <rFont val="Tahoma"/>
            <family val="2"/>
          </rPr>
          <t>Adjacent to Abell 2197.  Both clusters are of average appearance.</t>
        </r>
      </text>
    </comment>
    <comment ref="A127" authorId="0" shapeId="0" xr:uid="{D7B73642-7868-4FFB-A1C8-004F13E2A016}">
      <text>
        <r>
          <rPr>
            <sz val="9"/>
            <color indexed="81"/>
            <rFont val="Tahoma"/>
            <family val="2"/>
          </rPr>
          <t xml:space="preserve">
</t>
        </r>
      </text>
    </comment>
    <comment ref="K127" authorId="0" shapeId="0" xr:uid="{4BAC5044-7D8B-4572-9380-A3B1C924D37F}">
      <text>
        <r>
          <rPr>
            <sz val="9"/>
            <color indexed="81"/>
            <rFont val="Tahoma"/>
            <family val="2"/>
          </rPr>
          <t>At 2.3 billion ly away, one of the most distant and dimmest objects that can be imaged with an interesting result.</t>
        </r>
      </text>
    </comment>
    <comment ref="A128" authorId="0" shapeId="0" xr:uid="{5F44A462-6062-4274-8B04-63772EB9C8FE}">
      <text>
        <r>
          <rPr>
            <sz val="9"/>
            <color indexed="81"/>
            <rFont val="Tahoma"/>
            <family val="2"/>
          </rPr>
          <t xml:space="preserve">
</t>
        </r>
      </text>
    </comment>
    <comment ref="K128" authorId="0" shapeId="0" xr:uid="{3F083A54-39D4-46EC-AC22-E3D9ABD9B1B6}">
      <text>
        <r>
          <rPr>
            <sz val="9"/>
            <color indexed="81"/>
            <rFont val="Tahoma"/>
            <family val="2"/>
          </rPr>
          <t>Includes fascinating chain of 10 galaxies.</t>
        </r>
      </text>
    </comment>
    <comment ref="A129" authorId="0" shapeId="0" xr:uid="{FF9F2FF3-21C4-4DC7-8173-F02B8328F757}">
      <text>
        <r>
          <rPr>
            <sz val="9"/>
            <color indexed="81"/>
            <rFont val="Tahoma"/>
            <family val="2"/>
          </rPr>
          <t xml:space="preserve">
</t>
        </r>
      </text>
    </comment>
    <comment ref="K129" authorId="0" shapeId="0" xr:uid="{8BD7D14F-996F-461C-9B68-DB3C2489B504}">
      <text>
        <r>
          <rPr>
            <sz val="9"/>
            <color indexed="81"/>
            <rFont val="Tahoma"/>
            <family val="2"/>
          </rPr>
          <t>Too far away to be interesting</t>
        </r>
      </text>
    </comment>
    <comment ref="A130" authorId="0" shapeId="0" xr:uid="{47A1B4E5-1DC0-4503-9DE8-0154BE2B87E6}">
      <text>
        <r>
          <rPr>
            <sz val="9"/>
            <color indexed="81"/>
            <rFont val="Tahoma"/>
            <family val="2"/>
          </rPr>
          <t xml:space="preserve">
</t>
        </r>
      </text>
    </comment>
    <comment ref="K130" authorId="0" shapeId="0" xr:uid="{46020C74-605B-406F-A3D0-F9746FD16213}">
      <text>
        <r>
          <rPr>
            <sz val="9"/>
            <color indexed="81"/>
            <rFont val="Tahoma"/>
            <family val="2"/>
          </rPr>
          <t>Highlighted by Hickson 94 and Arp 170</t>
        </r>
      </text>
    </comment>
    <comment ref="A131" authorId="0" shapeId="0" xr:uid="{B0ECF3F4-3806-44D3-9364-54A024C6553C}">
      <text>
        <r>
          <rPr>
            <sz val="9"/>
            <color indexed="81"/>
            <rFont val="Tahoma"/>
            <family val="2"/>
          </rPr>
          <t xml:space="preserve">
</t>
        </r>
      </text>
    </comment>
    <comment ref="K131" authorId="0" shapeId="0" xr:uid="{C8B6C55C-24F1-42DD-99E6-7381AB8D34E7}">
      <text>
        <r>
          <rPr>
            <sz val="9"/>
            <color indexed="81"/>
            <rFont val="Tahoma"/>
            <family val="2"/>
          </rPr>
          <t>Dense galaxy field highlighted by NGC 7649.</t>
        </r>
      </text>
    </comment>
    <comment ref="A132" authorId="0" shapeId="0" xr:uid="{2CF29498-3815-46DD-8216-B3A994343CB1}">
      <text>
        <r>
          <rPr>
            <sz val="9"/>
            <color indexed="81"/>
            <rFont val="Tahoma"/>
            <family val="2"/>
          </rPr>
          <t xml:space="preserve">
</t>
        </r>
      </text>
    </comment>
    <comment ref="K132" authorId="0" shapeId="0" xr:uid="{9040D7CF-7CAA-42B4-9027-2DAC3D34D9D5}">
      <text>
        <r>
          <rPr>
            <sz val="9"/>
            <color indexed="81"/>
            <rFont val="Tahoma"/>
            <family val="2"/>
          </rPr>
          <t>A few nice larger objects amongst the distant cluster</t>
        </r>
      </text>
    </comment>
    <comment ref="A133" authorId="0" shapeId="0" xr:uid="{B78DE0FF-86FC-454A-965B-C1EE1C306594}">
      <text>
        <r>
          <rPr>
            <sz val="9"/>
            <color indexed="81"/>
            <rFont val="Tahoma"/>
            <family val="2"/>
          </rPr>
          <t xml:space="preserve">
</t>
        </r>
      </text>
    </comment>
    <comment ref="K133" authorId="0" shapeId="0" xr:uid="{640BEDC8-242B-451A-AF0F-6A0C4C363AF5}">
      <text>
        <r>
          <rPr>
            <sz val="9"/>
            <color indexed="81"/>
            <rFont val="Tahoma"/>
            <family val="2"/>
          </rPr>
          <t>Many interesting spirals in this cluster, which is unusual.</t>
        </r>
      </text>
    </comment>
    <comment ref="A134" authorId="0" shapeId="0" xr:uid="{A5DB0D29-CD52-4AF6-8FBB-583586873891}">
      <text>
        <r>
          <rPr>
            <sz val="9"/>
            <color indexed="81"/>
            <rFont val="Tahoma"/>
            <family val="2"/>
          </rPr>
          <t xml:space="preserve">
</t>
        </r>
      </text>
    </comment>
    <comment ref="K134" authorId="0" shapeId="0" xr:uid="{AFF97AE7-1A15-407C-BD1C-EFC4BA3311E0}">
      <text>
        <r>
          <rPr>
            <sz val="9"/>
            <color indexed="81"/>
            <rFont val="Tahoma"/>
            <family val="2"/>
          </rPr>
          <t>One of brightest Abell clusters. The second richest cluster in the sky but far south at -36 deg dec.</t>
        </r>
      </text>
    </comment>
    <comment ref="A135" authorId="0" shapeId="0" xr:uid="{53732945-5891-4D09-82A0-D45DDBA6E556}">
      <text>
        <r>
          <rPr>
            <sz val="9"/>
            <color indexed="81"/>
            <rFont val="Tahoma"/>
            <family val="2"/>
          </rPr>
          <t xml:space="preserve">
</t>
        </r>
      </text>
    </comment>
    <comment ref="K135" authorId="0" shapeId="0" xr:uid="{710F5D94-CECA-4B73-ADE8-80B0C7575749}">
      <text>
        <r>
          <rPr>
            <sz val="9"/>
            <color indexed="81"/>
            <rFont val="Tahoma"/>
            <family val="2"/>
          </rPr>
          <t xml:space="preserve">Quasar (J014709+463037-11 billion light years away) gravitationally lensed by closer galaxy into 4 dots </t>
        </r>
      </text>
    </comment>
    <comment ref="A136" authorId="0" shapeId="0" xr:uid="{C3404B30-3BED-4106-9BD4-1AABB9FC4355}">
      <text>
        <r>
          <rPr>
            <sz val="9"/>
            <color indexed="81"/>
            <rFont val="Tahoma"/>
            <family val="2"/>
          </rPr>
          <t xml:space="preserve">
</t>
        </r>
      </text>
    </comment>
    <comment ref="K136" authorId="0" shapeId="0" xr:uid="{68B8946D-F95B-4607-A5BA-684130B6DD19}">
      <text>
        <r>
          <rPr>
            <sz val="9"/>
            <color indexed="81"/>
            <rFont val="Tahoma"/>
            <family val="2"/>
          </rPr>
          <t>ARP: LOW BRIGHTNESS - Galaxy shows no signs of disturbance - just perfectly formed arms and symmetry.</t>
        </r>
      </text>
    </comment>
    <comment ref="A137" authorId="0" shapeId="0" xr:uid="{07A79775-8829-4D60-AACE-EEAE2A6FD9FE}">
      <text>
        <r>
          <rPr>
            <sz val="9"/>
            <color indexed="81"/>
            <rFont val="Tahoma"/>
            <family val="2"/>
          </rPr>
          <t xml:space="preserve">
</t>
        </r>
      </text>
    </comment>
    <comment ref="K137" authorId="0" shapeId="0" xr:uid="{0F4919F0-F485-4FE9-875E-C1AAE94A3284}">
      <text>
        <r>
          <rPr>
            <sz val="9"/>
            <color indexed="81"/>
            <rFont val="Tahoma"/>
            <family val="2"/>
          </rPr>
          <t>ARP: LOW BRIGHTNESS -  Face-on barred spiral galaxy with star clouds sprinkled throughout its disk.</t>
        </r>
      </text>
    </comment>
    <comment ref="A138" authorId="0" shapeId="0" xr:uid="{75A448DF-2B94-40F9-AB7E-5B346D055D8D}">
      <text>
        <r>
          <rPr>
            <sz val="9"/>
            <color indexed="81"/>
            <rFont val="Tahoma"/>
            <family val="2"/>
          </rPr>
          <t xml:space="preserve">
</t>
        </r>
      </text>
    </comment>
    <comment ref="K138" authorId="0" shapeId="0" xr:uid="{851DE58E-0DE5-4891-8F6F-4DAB61EE2BC3}">
      <text>
        <r>
          <rPr>
            <sz val="9"/>
            <color indexed="81"/>
            <rFont val="Tahoma"/>
            <family val="2"/>
          </rPr>
          <t>ARP: LOW BRIGHTNESS -  Like Arp 2, a face-on barred spiral galaxy with star clouds sprinkled throughout its disk.</t>
        </r>
      </text>
    </comment>
    <comment ref="A139" authorId="0" shapeId="0" xr:uid="{BE8A6EBA-5101-49AD-A029-6F85158272E4}">
      <text>
        <r>
          <rPr>
            <sz val="9"/>
            <color indexed="81"/>
            <rFont val="Tahoma"/>
            <family val="2"/>
          </rPr>
          <t xml:space="preserve">
</t>
        </r>
      </text>
    </comment>
    <comment ref="K139" authorId="0" shapeId="0" xr:uid="{9C4B3AA4-3913-4701-986A-5C399887FD09}">
      <text>
        <r>
          <rPr>
            <sz val="9"/>
            <color indexed="81"/>
            <rFont val="Tahoma"/>
            <family val="2"/>
          </rPr>
          <t>ARP: LOW BRIGHTNESS -  Small face-on blue galaxy, seeming to be in transition from irregular to spiral shape.</t>
        </r>
      </text>
    </comment>
    <comment ref="A140" authorId="0" shapeId="0" xr:uid="{10EBE179-7EFE-413E-9929-5861A8E3FC87}">
      <text>
        <r>
          <rPr>
            <sz val="9"/>
            <color indexed="81"/>
            <rFont val="Tahoma"/>
            <family val="2"/>
          </rPr>
          <t xml:space="preserve">
</t>
        </r>
      </text>
    </comment>
    <comment ref="K140" authorId="0" shapeId="0" xr:uid="{B491576B-3CA8-474E-9B66-B7C62BE03D9D}">
      <text>
        <r>
          <rPr>
            <sz val="9"/>
            <color indexed="81"/>
            <rFont val="Tahoma"/>
            <family val="2"/>
          </rPr>
          <t>ARP: LOW BRIGHTNESS -  Blue spiral with white bar off to one side and star formation in outer disk.</t>
        </r>
      </text>
    </comment>
    <comment ref="A141" authorId="0" shapeId="0" xr:uid="{60C83B85-896B-498E-9614-275D14183C79}">
      <text>
        <r>
          <rPr>
            <sz val="9"/>
            <color indexed="81"/>
            <rFont val="Tahoma"/>
            <family val="2"/>
          </rPr>
          <t xml:space="preserve">
</t>
        </r>
      </text>
    </comment>
    <comment ref="K141" authorId="0" shapeId="0" xr:uid="{1D5FE4C2-CF9D-45B5-B060-4A5952276564}">
      <text>
        <r>
          <rPr>
            <sz val="9"/>
            <color indexed="81"/>
            <rFont val="Tahoma"/>
            <family val="2"/>
          </rPr>
          <t>ARP: LOW BRIGHTNESS -  Tiny blue dwarf irregular galaxy.</t>
        </r>
      </text>
    </comment>
    <comment ref="A142" authorId="0" shapeId="0" xr:uid="{B0462D44-3D6E-4832-8F24-D5E83571D46A}">
      <text>
        <r>
          <rPr>
            <sz val="9"/>
            <color indexed="81"/>
            <rFont val="Tahoma"/>
            <family val="2"/>
          </rPr>
          <t xml:space="preserve">
</t>
        </r>
      </text>
    </comment>
    <comment ref="K142" authorId="0" shapeId="0" xr:uid="{01730DB6-3512-4539-A968-4F89B52FF8BE}">
      <text>
        <r>
          <rPr>
            <sz val="9"/>
            <color indexed="81"/>
            <rFont val="Tahoma"/>
            <family val="2"/>
          </rPr>
          <t>ARP: SPLIT ARM -  Face-on spiral with a potential companion at the end of one arm.</t>
        </r>
      </text>
    </comment>
    <comment ref="A143" authorId="0" shapeId="0" xr:uid="{6077EE7F-4774-458E-8482-2684CC38473C}">
      <text>
        <r>
          <rPr>
            <sz val="9"/>
            <color indexed="81"/>
            <rFont val="Tahoma"/>
            <family val="2"/>
          </rPr>
          <t xml:space="preserve">
</t>
        </r>
      </text>
    </comment>
    <comment ref="K143" authorId="0" shapeId="0" xr:uid="{6D526068-B3BC-465C-A004-A508C3770B31}">
      <text>
        <r>
          <rPr>
            <sz val="9"/>
            <color indexed="81"/>
            <rFont val="Tahoma"/>
            <family val="2"/>
          </rPr>
          <t>ARP: SPLIT ARM -  Odd fascinating disturbed arm structure</t>
        </r>
      </text>
    </comment>
    <comment ref="A144" authorId="0" shapeId="0" xr:uid="{E51AC084-9463-4A5F-9264-3EACA1A20CDB}">
      <text>
        <r>
          <rPr>
            <sz val="9"/>
            <color indexed="81"/>
            <rFont val="Tahoma"/>
            <family val="2"/>
          </rPr>
          <t xml:space="preserve">
</t>
        </r>
      </text>
    </comment>
    <comment ref="K144" authorId="0" shapeId="0" xr:uid="{531168F9-5F3A-4350-AA58-8B5A7A4595CB}">
      <text>
        <r>
          <rPr>
            <sz val="9"/>
            <color indexed="81"/>
            <rFont val="Tahoma"/>
            <family val="2"/>
          </rPr>
          <t>ARP: SPLIT ARM -  Strongly barred spiral, likely a barlens.</t>
        </r>
      </text>
    </comment>
    <comment ref="A145" authorId="0" shapeId="0" xr:uid="{28D731FF-82E5-4B97-A321-BD2C44B34191}">
      <text>
        <r>
          <rPr>
            <sz val="9"/>
            <color indexed="81"/>
            <rFont val="Tahoma"/>
            <family val="2"/>
          </rPr>
          <t xml:space="preserve">
</t>
        </r>
      </text>
    </comment>
    <comment ref="K145" authorId="0" shapeId="0" xr:uid="{895DC2A0-9F2E-4D1C-B1C6-B4ADD284B85D}">
      <text>
        <r>
          <rPr>
            <sz val="9"/>
            <color indexed="81"/>
            <rFont val="Tahoma"/>
            <family val="2"/>
          </rPr>
          <t>ARP: SPLIT ARM -  A face-on collisional ring galaxy.</t>
        </r>
      </text>
    </comment>
    <comment ref="A146" authorId="0" shapeId="0" xr:uid="{7E391770-6883-4FE2-B711-1DE1B561BE11}">
      <text>
        <r>
          <rPr>
            <sz val="9"/>
            <color indexed="81"/>
            <rFont val="Tahoma"/>
            <family val="2"/>
          </rPr>
          <t xml:space="preserve">
</t>
        </r>
      </text>
    </comment>
    <comment ref="K146" authorId="0" shapeId="0" xr:uid="{8CFF91AE-4187-4845-81EF-FCB00E9E5913}">
      <text>
        <r>
          <rPr>
            <sz val="9"/>
            <color indexed="81"/>
            <rFont val="Tahoma"/>
            <family val="2"/>
          </rPr>
          <t>ARP: SPLIT ARM -  Huge double ring galaxy, part of a cluster.</t>
        </r>
      </text>
    </comment>
    <comment ref="A147" authorId="0" shapeId="0" xr:uid="{2252722B-AD18-4084-B1CE-224F358A2FFF}">
      <text>
        <r>
          <rPr>
            <sz val="9"/>
            <color indexed="81"/>
            <rFont val="Tahoma"/>
            <family val="2"/>
          </rPr>
          <t xml:space="preserve">
</t>
        </r>
      </text>
    </comment>
    <comment ref="K147" authorId="0" shapeId="0" xr:uid="{3E142C18-E02B-4615-9CA7-BC2D49B21C8D}">
      <text>
        <r>
          <rPr>
            <sz val="9"/>
            <color indexed="81"/>
            <rFont val="Tahoma"/>
            <family val="2"/>
          </rPr>
          <t>ARP: SPLIT ARM -  Spiral galaxy with VV rows and a fake double core.</t>
        </r>
      </text>
    </comment>
    <comment ref="A148" authorId="0" shapeId="0" xr:uid="{30378166-A333-4E73-B2BA-074E1BA20EBE}">
      <text>
        <r>
          <rPr>
            <sz val="9"/>
            <color indexed="81"/>
            <rFont val="Tahoma"/>
            <family val="2"/>
          </rPr>
          <t xml:space="preserve">
</t>
        </r>
      </text>
    </comment>
    <comment ref="K148" authorId="0" shapeId="0" xr:uid="{13AD5982-84B2-4823-9BAF-B622219411D5}">
      <text>
        <r>
          <rPr>
            <sz val="9"/>
            <color indexed="81"/>
            <rFont val="Tahoma"/>
            <family val="2"/>
          </rPr>
          <t>ARP: DETACHED SEGMENTS - Numerous star clouds and HII regions seen throughout, with rough mid-region ring.</t>
        </r>
      </text>
    </comment>
    <comment ref="A149" authorId="0" shapeId="0" xr:uid="{71D61FE1-445F-46B9-A284-A95D612B6A3A}">
      <text>
        <r>
          <rPr>
            <sz val="9"/>
            <color indexed="81"/>
            <rFont val="Tahoma"/>
            <family val="2"/>
          </rPr>
          <t xml:space="preserve">
</t>
        </r>
      </text>
    </comment>
    <comment ref="K149" authorId="0" shapeId="0" xr:uid="{CFF199AF-7C54-4A44-A2DF-F9D5586DB831}">
      <text>
        <r>
          <rPr>
            <sz val="9"/>
            <color indexed="81"/>
            <rFont val="Tahoma"/>
            <family val="2"/>
          </rPr>
          <t>ARP: DETACHED SEGMENTS - No arm structure, wide dust lanes, small core and blue star clouds.</t>
        </r>
      </text>
    </comment>
    <comment ref="A150" authorId="0" shapeId="0" xr:uid="{88A83E8C-6F2A-43BF-B1DF-578EDEB53854}">
      <text>
        <r>
          <rPr>
            <sz val="9"/>
            <color indexed="81"/>
            <rFont val="Tahoma"/>
            <family val="2"/>
          </rPr>
          <t xml:space="preserve">
</t>
        </r>
      </text>
    </comment>
    <comment ref="K150" authorId="0" shapeId="0" xr:uid="{1DC534E7-92DD-4F21-8902-61809C9B27E5}">
      <text>
        <r>
          <rPr>
            <sz val="9"/>
            <color indexed="81"/>
            <rFont val="Tahoma"/>
            <family val="2"/>
          </rPr>
          <t>ARP: DETACHED SEGMENTS - Odd structure, with large blue star clouds and half an arm.</t>
        </r>
      </text>
    </comment>
    <comment ref="A151" authorId="0" shapeId="0" xr:uid="{B23E6362-BEC1-4B3B-A266-8A8E57948D89}">
      <text>
        <r>
          <rPr>
            <sz val="9"/>
            <color indexed="81"/>
            <rFont val="Tahoma"/>
            <family val="2"/>
          </rPr>
          <t xml:space="preserve">
</t>
        </r>
      </text>
    </comment>
    <comment ref="K151" authorId="0" shapeId="0" xr:uid="{18B80A5F-F1DD-4C29-81C5-68C4CFE72278}">
      <text>
        <r>
          <rPr>
            <sz val="9"/>
            <color indexed="81"/>
            <rFont val="Tahoma"/>
            <family val="2"/>
          </rPr>
          <t>ARP: DETACHED SEGMENTS - 2 odd bright blue areas - could be 2 separate galaxies</t>
        </r>
      </text>
    </comment>
    <comment ref="A152" authorId="0" shapeId="0" xr:uid="{2C6CEE50-B68F-43D1-84CD-F8253743D8C0}">
      <text>
        <r>
          <rPr>
            <sz val="9"/>
            <color indexed="81"/>
            <rFont val="Tahoma"/>
            <family val="2"/>
          </rPr>
          <t xml:space="preserve">
</t>
        </r>
      </text>
    </comment>
    <comment ref="K152" authorId="0" shapeId="0" xr:uid="{20BB83C7-1244-44B1-875E-FC6FF382713B}">
      <text>
        <r>
          <rPr>
            <sz val="9"/>
            <color indexed="81"/>
            <rFont val="Tahoma"/>
            <family val="2"/>
          </rPr>
          <t>ARP: DETACHED SEGMENTS - Beautiful colorful grand design spiral, with slight disk warp.</t>
        </r>
      </text>
    </comment>
    <comment ref="A153" authorId="0" shapeId="0" xr:uid="{05C3CED3-4602-4CA3-9A49-BEF3E9AE177C}">
      <text>
        <r>
          <rPr>
            <sz val="9"/>
            <color indexed="81"/>
            <rFont val="Tahoma"/>
            <family val="2"/>
          </rPr>
          <t xml:space="preserve">
</t>
        </r>
      </text>
    </comment>
    <comment ref="K153" authorId="0" shapeId="0" xr:uid="{59EBBB61-5CD1-432F-8EE8-44B2CDAF8E4B}">
      <text>
        <r>
          <rPr>
            <sz val="9"/>
            <color indexed="81"/>
            <rFont val="Tahoma"/>
            <family val="2"/>
          </rPr>
          <t>ARP: 3 ARMED - Asymmetric disk with fragmented arms and many star clouds.</t>
        </r>
      </text>
    </comment>
    <comment ref="A154" authorId="0" shapeId="0" xr:uid="{A29FB0A8-7039-4D2B-B791-798E97EE1551}">
      <text>
        <r>
          <rPr>
            <sz val="9"/>
            <color indexed="81"/>
            <rFont val="Tahoma"/>
            <family val="2"/>
          </rPr>
          <t xml:space="preserve">
</t>
        </r>
      </text>
    </comment>
    <comment ref="K154" authorId="0" shapeId="0" xr:uid="{CD2DBDC6-34CC-45A7-9290-276F0C2A6134}">
      <text>
        <r>
          <rPr>
            <sz val="9"/>
            <color indexed="81"/>
            <rFont val="Tahoma"/>
            <family val="2"/>
          </rPr>
          <t>ARP: 3 ARMED - Disturbed barred spiral with many star clouds.</t>
        </r>
      </text>
    </comment>
    <comment ref="A155" authorId="0" shapeId="0" xr:uid="{C196A25A-4B2E-4E09-8925-4545363CB0E4}">
      <text>
        <r>
          <rPr>
            <sz val="9"/>
            <color indexed="81"/>
            <rFont val="Tahoma"/>
            <family val="2"/>
          </rPr>
          <t xml:space="preserve">
</t>
        </r>
      </text>
    </comment>
    <comment ref="K155" authorId="0" shapeId="0" xr:uid="{99F991E1-51A7-4F14-AB1C-9B10B9DAEE9C}">
      <text>
        <r>
          <rPr>
            <sz val="9"/>
            <color indexed="81"/>
            <rFont val="Tahoma"/>
            <family val="2"/>
          </rPr>
          <t>ARP: 3 ARMED - a 2 strong armed grand spiral with some distortion.</t>
        </r>
      </text>
    </comment>
    <comment ref="A156" authorId="0" shapeId="0" xr:uid="{FF731F6B-5951-41EA-915A-9C571B422ACA}">
      <text>
        <r>
          <rPr>
            <sz val="9"/>
            <color indexed="81"/>
            <rFont val="Tahoma"/>
            <family val="2"/>
          </rPr>
          <t xml:space="preserve">
</t>
        </r>
      </text>
    </comment>
    <comment ref="K156" authorId="0" shapeId="0" xr:uid="{8D51F940-292D-4C19-AEB5-2AE5800F8C9A}">
      <text>
        <r>
          <rPr>
            <sz val="9"/>
            <color indexed="81"/>
            <rFont val="Tahoma"/>
            <family val="2"/>
          </rPr>
          <t>ARP: 1 ARMED - Typical Magellan galaxy - asymmetric, off-center bar, one arm, blue star formation areas.</t>
        </r>
      </text>
    </comment>
    <comment ref="A157" authorId="0" shapeId="0" xr:uid="{3FDAAF18-5DFA-429B-B478-3527A057508C}">
      <text>
        <r>
          <rPr>
            <sz val="9"/>
            <color indexed="81"/>
            <rFont val="Tahoma"/>
            <family val="2"/>
          </rPr>
          <t xml:space="preserve">
</t>
        </r>
      </text>
    </comment>
    <comment ref="K157" authorId="0" shapeId="0" xr:uid="{CF08076B-3EA1-4EC2-B0B4-0E3ED1F13D4C}">
      <text>
        <r>
          <rPr>
            <sz val="9"/>
            <color indexed="81"/>
            <rFont val="Tahoma"/>
            <family val="2"/>
          </rPr>
          <t>ARP: 1 ARMED - Two Magellanic galaxies with nice colorful regions.</t>
        </r>
      </text>
    </comment>
    <comment ref="A158" authorId="0" shapeId="0" xr:uid="{BF560FB2-4A05-454A-8DA6-0A1F80B2542F}">
      <text>
        <r>
          <rPr>
            <sz val="9"/>
            <color indexed="81"/>
            <rFont val="Tahoma"/>
            <family val="2"/>
          </rPr>
          <t xml:space="preserve">
</t>
        </r>
      </text>
    </comment>
    <comment ref="K158" authorId="0" shapeId="0" xr:uid="{CD9409AD-318F-49D4-8FAE-6F155FFD3984}">
      <text>
        <r>
          <rPr>
            <sz val="9"/>
            <color indexed="81"/>
            <rFont val="Tahoma"/>
            <family val="2"/>
          </rPr>
          <t>ARP: 1 ARMED - Magellanic galaxy with significant disturbance.</t>
        </r>
      </text>
    </comment>
    <comment ref="A159" authorId="0" shapeId="0" xr:uid="{09594D46-CF79-488B-BCCF-65FD3B2A07EE}">
      <text>
        <r>
          <rPr>
            <sz val="9"/>
            <color indexed="81"/>
            <rFont val="Tahoma"/>
            <family val="2"/>
          </rPr>
          <t xml:space="preserve">
</t>
        </r>
      </text>
    </comment>
    <comment ref="K159" authorId="0" shapeId="0" xr:uid="{F6B7385D-CC8C-43F8-84D9-A9CC206E3A4B}">
      <text>
        <r>
          <rPr>
            <sz val="9"/>
            <color indexed="81"/>
            <rFont val="Tahoma"/>
            <family val="2"/>
          </rPr>
          <t>ARP: 1 HEAVY ARM -  Face-on spiral with displaced core and asymmetric disk, including VV rows.</t>
        </r>
      </text>
    </comment>
    <comment ref="A160" authorId="0" shapeId="0" xr:uid="{E641A784-1A4A-4538-9D2A-D259731727BE}">
      <text>
        <r>
          <rPr>
            <sz val="9"/>
            <color indexed="81"/>
            <rFont val="Tahoma"/>
            <family val="2"/>
          </rPr>
          <t xml:space="preserve">
</t>
        </r>
      </text>
    </comment>
    <comment ref="K160" authorId="0" shapeId="0" xr:uid="{BAD88139-621F-44A0-A9F8-550F04DBF2A6}">
      <text>
        <r>
          <rPr>
            <sz val="9"/>
            <color indexed="81"/>
            <rFont val="Tahoma"/>
            <family val="2"/>
          </rPr>
          <t>ARP: 1 HEAVY ARM -  Lovely grand spiral with VV rows.</t>
        </r>
      </text>
    </comment>
    <comment ref="A161" authorId="0" shapeId="0" xr:uid="{F4497047-F0F0-4AA9-BB3E-1C440BE5BAA0}">
      <text>
        <r>
          <rPr>
            <sz val="9"/>
            <color indexed="81"/>
            <rFont val="Tahoma"/>
            <family val="2"/>
          </rPr>
          <t xml:space="preserve">
</t>
        </r>
      </text>
    </comment>
    <comment ref="K161" authorId="0" shapeId="0" xr:uid="{B7E426D8-1605-47D3-9EF0-23221B3F5742}">
      <text>
        <r>
          <rPr>
            <sz val="9"/>
            <color indexed="81"/>
            <rFont val="Tahoma"/>
            <family val="2"/>
          </rPr>
          <t>ARP: 1 HEAVY ARM -  Active galaxy with bright nucleus and wonderful color and structure.</t>
        </r>
      </text>
    </comment>
    <comment ref="A162" authorId="0" shapeId="0" xr:uid="{D60B753B-29BA-45F4-A65C-A171BD860378}">
      <text>
        <r>
          <rPr>
            <sz val="9"/>
            <color indexed="81"/>
            <rFont val="Tahoma"/>
            <family val="2"/>
          </rPr>
          <t xml:space="preserve">
</t>
        </r>
      </text>
    </comment>
    <comment ref="K162" authorId="0" shapeId="0" xr:uid="{4EA2ED3D-0946-412B-B7DF-275C02C7C1DE}">
      <text>
        <r>
          <rPr>
            <sz val="9"/>
            <color indexed="81"/>
            <rFont val="Tahoma"/>
            <family val="2"/>
          </rPr>
          <t>ARP: 1 HEAVY ARM -  A pair of galaxies that are not likely interacting.</t>
        </r>
      </text>
    </comment>
    <comment ref="A163" authorId="0" shapeId="0" xr:uid="{C16568E0-477D-4F03-ACDF-A97F2BDF8202}">
      <text>
        <r>
          <rPr>
            <sz val="9"/>
            <color indexed="81"/>
            <rFont val="Tahoma"/>
            <family val="2"/>
          </rPr>
          <t xml:space="preserve">
</t>
        </r>
      </text>
    </comment>
    <comment ref="K163" authorId="0" shapeId="0" xr:uid="{20C078BA-C87E-48BB-B71F-A32CE43BA855}">
      <text>
        <r>
          <rPr>
            <sz val="9"/>
            <color indexed="81"/>
            <rFont val="Tahoma"/>
            <family val="2"/>
          </rPr>
          <t>ARP: INTEGRAL SIGN - Strongly barred core, several bright clusters and 2 strong arms with VV rows.</t>
        </r>
      </text>
    </comment>
    <comment ref="A164" authorId="0" shapeId="0" xr:uid="{02E66BAF-B9A4-4733-AA93-F8C12629EDCE}">
      <text>
        <r>
          <rPr>
            <sz val="9"/>
            <color indexed="81"/>
            <rFont val="Tahoma"/>
            <family val="2"/>
          </rPr>
          <t xml:space="preserve">
</t>
        </r>
      </text>
    </comment>
    <comment ref="K164" authorId="0" shapeId="0" xr:uid="{5D6784FB-B965-448D-B096-501F97E52645}">
      <text>
        <r>
          <rPr>
            <sz val="9"/>
            <color indexed="81"/>
            <rFont val="Tahoma"/>
            <family val="2"/>
          </rPr>
          <t>ARP: INTEGRAL SIGN - Pair of small dwarf galaxies, possible slightly interacting.</t>
        </r>
      </text>
    </comment>
    <comment ref="A165" authorId="0" shapeId="0" xr:uid="{7B139D63-0097-47B0-992B-7048AA17A0FC}">
      <text>
        <r>
          <rPr>
            <sz val="9"/>
            <color indexed="81"/>
            <rFont val="Tahoma"/>
            <family val="2"/>
          </rPr>
          <t xml:space="preserve">
</t>
        </r>
      </text>
    </comment>
    <comment ref="K165" authorId="0" shapeId="0" xr:uid="{0BAFF5E0-A63E-424C-814F-06ECE2F34367}">
      <text>
        <r>
          <rPr>
            <sz val="9"/>
            <color indexed="81"/>
            <rFont val="Tahoma"/>
            <family val="2"/>
          </rPr>
          <t>ARP: INTEGRAL SIGN - Disturbed blue edge-on galaxy</t>
        </r>
      </text>
    </comment>
    <comment ref="A166" authorId="0" shapeId="0" xr:uid="{850BC53E-3049-460C-901F-409FA1BC27D1}">
      <text>
        <r>
          <rPr>
            <sz val="9"/>
            <color indexed="81"/>
            <rFont val="Tahoma"/>
            <family val="2"/>
          </rPr>
          <t xml:space="preserve">
</t>
        </r>
      </text>
    </comment>
    <comment ref="K166" authorId="0" shapeId="0" xr:uid="{AFC72513-0FD0-4133-89FE-40DB921F1444}">
      <text>
        <r>
          <rPr>
            <sz val="9"/>
            <color indexed="81"/>
            <rFont val="Tahoma"/>
            <family val="2"/>
          </rPr>
          <t>ARP: INTEGRAL SIGN - Distorted grand design spiral with brilliant star formation in the arms.</t>
        </r>
      </text>
    </comment>
    <comment ref="A167" authorId="0" shapeId="0" xr:uid="{609C3152-9522-4A57-982B-2C28AB718D90}">
      <text>
        <r>
          <rPr>
            <sz val="9"/>
            <color indexed="81"/>
            <rFont val="Tahoma"/>
            <family val="2"/>
          </rPr>
          <t xml:space="preserve">
</t>
        </r>
      </text>
    </comment>
    <comment ref="K167" authorId="0" shapeId="0" xr:uid="{507F941C-2C68-427B-B8CF-7F224EC4A11B}">
      <text>
        <r>
          <rPr>
            <sz val="9"/>
            <color indexed="81"/>
            <rFont val="Tahoma"/>
            <family val="2"/>
          </rPr>
          <t>ARP: INTEGRAL SIGN - Disturbed barred spiral, possible interacting with a companion.</t>
        </r>
      </text>
    </comment>
    <comment ref="A168" authorId="0" shapeId="0" xr:uid="{6F949EEB-607F-408E-8D32-BF978FAA83B7}">
      <text>
        <r>
          <rPr>
            <sz val="9"/>
            <color indexed="81"/>
            <rFont val="Tahoma"/>
            <family val="2"/>
          </rPr>
          <t xml:space="preserve">
</t>
        </r>
      </text>
    </comment>
    <comment ref="K168" authorId="0" shapeId="0" xr:uid="{AC7272D6-01F7-4C91-A840-FE1FC24201C4}">
      <text>
        <r>
          <rPr>
            <sz val="9"/>
            <color indexed="81"/>
            <rFont val="Tahoma"/>
            <family val="2"/>
          </rPr>
          <t>ARP: INTEGRAL SIGN - Odd star clouds in this disturbed galaxy, including one with a green tint.</t>
        </r>
      </text>
    </comment>
    <comment ref="A169" authorId="0" shapeId="0" xr:uid="{E6CDF3B0-BC56-4C1B-A0A3-5EFDDBE6DF07}">
      <text>
        <r>
          <rPr>
            <sz val="9"/>
            <color indexed="81"/>
            <rFont val="Tahoma"/>
            <family val="2"/>
          </rPr>
          <t xml:space="preserve">
</t>
        </r>
      </text>
    </comment>
    <comment ref="K169" authorId="0" shapeId="0" xr:uid="{189CB513-21FD-4667-9E30-4406417FC1A4}">
      <text>
        <r>
          <rPr>
            <sz val="9"/>
            <color indexed="81"/>
            <rFont val="Tahoma"/>
            <family val="2"/>
          </rPr>
          <t>ARP: LSB COMPANION - Face-on spiral with no companion</t>
        </r>
      </text>
    </comment>
    <comment ref="A170" authorId="0" shapeId="0" xr:uid="{DD36E65A-80DC-4360-A800-9B17E787E4A5}">
      <text>
        <r>
          <rPr>
            <sz val="9"/>
            <color indexed="81"/>
            <rFont val="Tahoma"/>
            <family val="2"/>
          </rPr>
          <t xml:space="preserve">
</t>
        </r>
      </text>
    </comment>
    <comment ref="K170" authorId="0" shapeId="0" xr:uid="{720013BF-F649-4C58-9BAF-9118D01687C2}">
      <text>
        <r>
          <rPr>
            <sz val="9"/>
            <color indexed="81"/>
            <rFont val="Tahoma"/>
            <family val="2"/>
          </rPr>
          <t>ARP: LSB COMPANION - Faint face-on spiral with star clouds and no companion</t>
        </r>
      </text>
    </comment>
    <comment ref="A171" authorId="0" shapeId="0" xr:uid="{A76F6161-9DE6-4928-9465-8EFFA36D6FC5}">
      <text>
        <r>
          <rPr>
            <sz val="9"/>
            <color indexed="81"/>
            <rFont val="Tahoma"/>
            <family val="2"/>
          </rPr>
          <t xml:space="preserve">
</t>
        </r>
      </text>
    </comment>
    <comment ref="K171" authorId="0" shapeId="0" xr:uid="{7B0EBB90-0E99-4D0F-9151-0AE8CF1BC8D6}">
      <text>
        <r>
          <rPr>
            <sz val="9"/>
            <color indexed="81"/>
            <rFont val="Tahoma"/>
            <family val="2"/>
          </rPr>
          <t>ARP: LSB COMPANION - Grand design spiral galaxy, "companion" is distant galaxy.  Very small apparent size.</t>
        </r>
      </text>
    </comment>
    <comment ref="A172" authorId="0" shapeId="0" xr:uid="{6BA1F016-73EF-4749-B7E2-ADB878A66DF3}">
      <text>
        <r>
          <rPr>
            <sz val="9"/>
            <color indexed="81"/>
            <rFont val="Tahoma"/>
            <family val="2"/>
          </rPr>
          <t xml:space="preserve">
</t>
        </r>
      </text>
    </comment>
    <comment ref="K172" authorId="0" shapeId="0" xr:uid="{7B33DFBB-057E-4FEC-9F5E-DF4771AA6498}">
      <text>
        <r>
          <rPr>
            <sz val="9"/>
            <color indexed="81"/>
            <rFont val="Tahoma"/>
            <family val="2"/>
          </rPr>
          <t>Beautiful face-on grand design spiral with VV rows and some disturbance.</t>
        </r>
      </text>
    </comment>
    <comment ref="A173" authorId="0" shapeId="0" xr:uid="{2F0FD844-8B30-423B-B8A2-EEC0BD53F2DA}">
      <text>
        <r>
          <rPr>
            <sz val="9"/>
            <color indexed="81"/>
            <rFont val="Tahoma"/>
            <family val="2"/>
          </rPr>
          <t xml:space="preserve">
</t>
        </r>
      </text>
    </comment>
    <comment ref="K173" authorId="0" shapeId="0" xr:uid="{38463DB4-9522-4886-B923-D3D397E331B9}">
      <text>
        <r>
          <rPr>
            <sz val="9"/>
            <color indexed="81"/>
            <rFont val="Tahoma"/>
            <family val="2"/>
          </rPr>
          <t>ARP: LSB COMPANION - Strong bar with inner ring and no companion.</t>
        </r>
      </text>
    </comment>
    <comment ref="A174" authorId="0" shapeId="0" xr:uid="{2BC3D909-D9D1-4D9A-9E56-13635AD67562}">
      <text>
        <r>
          <rPr>
            <sz val="9"/>
            <color indexed="81"/>
            <rFont val="Tahoma"/>
            <family val="2"/>
          </rPr>
          <t xml:space="preserve">
</t>
        </r>
      </text>
    </comment>
    <comment ref="K174" authorId="0" shapeId="0" xr:uid="{958AAA47-A13A-49D3-8722-C3E0F6443DA9}">
      <text>
        <r>
          <rPr>
            <sz val="9"/>
            <color indexed="81"/>
            <rFont val="Tahoma"/>
            <family val="2"/>
          </rPr>
          <t>ARP: LSB COMPANION - Beautiful disturbed galaxy with 2 rings and no likely companion.</t>
        </r>
      </text>
    </comment>
    <comment ref="A175" authorId="0" shapeId="0" xr:uid="{520286F0-28DC-4989-AE3A-E3D41A651052}">
      <text>
        <r>
          <rPr>
            <sz val="9"/>
            <color indexed="81"/>
            <rFont val="Tahoma"/>
            <family val="2"/>
          </rPr>
          <t xml:space="preserve">
</t>
        </r>
      </text>
    </comment>
    <comment ref="K175" authorId="0" shapeId="0" xr:uid="{7771E6AF-8AB3-47EB-95D3-6CC8074AD249}">
      <text>
        <r>
          <rPr>
            <sz val="9"/>
            <color indexed="81"/>
            <rFont val="Tahoma"/>
            <family val="2"/>
          </rPr>
          <t>ARP: LSB COMPANION - Barred with 2 bright ansae and a possible companion.</t>
        </r>
      </text>
    </comment>
    <comment ref="A176" authorId="0" shapeId="0" xr:uid="{55EB2EFF-8392-4273-AD92-4A5800E34585}">
      <text>
        <r>
          <rPr>
            <sz val="9"/>
            <color indexed="81"/>
            <rFont val="Tahoma"/>
            <family val="2"/>
          </rPr>
          <t xml:space="preserve">
</t>
        </r>
      </text>
    </comment>
    <comment ref="K176" authorId="0" shapeId="0" xr:uid="{12F0A3CF-0A83-420C-834A-2BA17B923E16}">
      <text>
        <r>
          <rPr>
            <sz val="9"/>
            <color indexed="81"/>
            <rFont val="Tahoma"/>
            <family val="2"/>
          </rPr>
          <t>ARP: LSB COMPANION - Disturbed spiral with interacting companion.</t>
        </r>
      </text>
    </comment>
    <comment ref="A177" authorId="0" shapeId="0" xr:uid="{747E07FE-5333-4636-BD44-4364B655CC3C}">
      <text>
        <r>
          <rPr>
            <sz val="9"/>
            <color indexed="81"/>
            <rFont val="Tahoma"/>
            <family val="2"/>
          </rPr>
          <t xml:space="preserve">
</t>
        </r>
      </text>
    </comment>
    <comment ref="K177" authorId="0" shapeId="0" xr:uid="{57574510-82B0-4CFB-A8AC-0102D28A1877}">
      <text>
        <r>
          <rPr>
            <sz val="9"/>
            <color indexed="81"/>
            <rFont val="Tahoma"/>
            <family val="2"/>
          </rPr>
          <t xml:space="preserve">ARP: LSB COMPANION - Grand design spiral with 2 possible companions, though no disturbance is seen. </t>
        </r>
      </text>
    </comment>
    <comment ref="A178" authorId="0" shapeId="0" xr:uid="{F4484787-C063-4D15-A210-8A9183A37B9A}">
      <text>
        <r>
          <rPr>
            <sz val="9"/>
            <color indexed="81"/>
            <rFont val="Tahoma"/>
            <family val="2"/>
          </rPr>
          <t xml:space="preserve">
</t>
        </r>
      </text>
    </comment>
    <comment ref="K178" authorId="0" shapeId="0" xr:uid="{79E8DD77-76CF-4C12-BFD5-E12374258521}">
      <text>
        <r>
          <rPr>
            <sz val="9"/>
            <color indexed="81"/>
            <rFont val="Tahoma"/>
            <family val="2"/>
          </rPr>
          <t>ARP: LSB COMPANION - Bright armed spiral with long star stream and a likely companion.</t>
        </r>
      </text>
    </comment>
    <comment ref="A179" authorId="0" shapeId="0" xr:uid="{E98E36FD-ED6C-48E0-B1D9-6119564F7A15}">
      <text>
        <r>
          <rPr>
            <sz val="9"/>
            <color indexed="81"/>
            <rFont val="Tahoma"/>
            <family val="2"/>
          </rPr>
          <t xml:space="preserve">
</t>
        </r>
      </text>
    </comment>
    <comment ref="K179" authorId="0" shapeId="0" xr:uid="{200EEB24-F2FC-4470-A841-D1881011B06F}">
      <text>
        <r>
          <rPr>
            <sz val="9"/>
            <color indexed="81"/>
            <rFont val="Tahoma"/>
            <family val="2"/>
          </rPr>
          <t>ARP: SMALL HSB COMP. - Yellow core, HII regions, and star clouds, with no companion</t>
        </r>
      </text>
    </comment>
    <comment ref="A180" authorId="0" shapeId="0" xr:uid="{F000EF60-B9D3-4E8F-83F9-5461171977BF}">
      <text>
        <r>
          <rPr>
            <sz val="9"/>
            <color indexed="81"/>
            <rFont val="Tahoma"/>
            <family val="2"/>
          </rPr>
          <t xml:space="preserve">
</t>
        </r>
      </text>
    </comment>
    <comment ref="K180" authorId="0" shapeId="0" xr:uid="{AA8C7CCE-C0B9-4445-A188-1C20A821EF45}">
      <text>
        <r>
          <rPr>
            <sz val="9"/>
            <color indexed="81"/>
            <rFont val="Tahoma"/>
            <family val="2"/>
          </rPr>
          <t xml:space="preserve">ARP: SMALL HSB COMP. - Small disturbed face-on galaxy with strong arms.  </t>
        </r>
      </text>
    </comment>
    <comment ref="A181" authorId="0" shapeId="0" xr:uid="{832A9E8F-30F7-4971-868D-8BD91B1F56FC}">
      <text>
        <r>
          <rPr>
            <sz val="9"/>
            <color indexed="81"/>
            <rFont val="Tahoma"/>
            <family val="2"/>
          </rPr>
          <t xml:space="preserve">
</t>
        </r>
      </text>
    </comment>
    <comment ref="K181" authorId="0" shapeId="0" xr:uid="{0B78F0C8-8D8C-481D-96EC-000E5E6B8DBE}">
      <text>
        <r>
          <rPr>
            <sz val="9"/>
            <color indexed="81"/>
            <rFont val="Tahoma"/>
            <family val="2"/>
          </rPr>
          <t>ARP: SMALL HSB COMP. - My least favorite Arp object.  Faint and small with little detail. No distance available.</t>
        </r>
      </text>
    </comment>
    <comment ref="A182" authorId="0" shapeId="0" xr:uid="{72249EF8-4BFD-4EC1-B502-3A536E89F8B0}">
      <text>
        <r>
          <rPr>
            <sz val="9"/>
            <color indexed="81"/>
            <rFont val="Tahoma"/>
            <family val="2"/>
          </rPr>
          <t xml:space="preserve">
</t>
        </r>
      </text>
    </comment>
    <comment ref="K182" authorId="0" shapeId="0" xr:uid="{2356AF41-F7FF-4E8D-88F2-D28D927BAFD9}">
      <text>
        <r>
          <rPr>
            <sz val="9"/>
            <color indexed="81"/>
            <rFont val="Tahoma"/>
            <family val="2"/>
          </rPr>
          <t>ARP: SMALL HSB COMP. - Distant galaxy with some detail and a possible companion.</t>
        </r>
      </text>
    </comment>
    <comment ref="A183" authorId="0" shapeId="0" xr:uid="{9D9C6B68-64A6-4202-B3D2-372DB59757A8}">
      <text>
        <r>
          <rPr>
            <sz val="9"/>
            <color indexed="81"/>
            <rFont val="Tahoma"/>
            <family val="2"/>
          </rPr>
          <t xml:space="preserve">
</t>
        </r>
      </text>
    </comment>
    <comment ref="K183" authorId="0" shapeId="0" xr:uid="{1A8E89E2-32EB-4AFB-8C60-0FCBBE1D035B}">
      <text>
        <r>
          <rPr>
            <sz val="9"/>
            <color indexed="81"/>
            <rFont val="Tahoma"/>
            <family val="2"/>
          </rPr>
          <t>ARP: SMALL HSB COMP. - Nice detail visible for such a distant galaxy.  2 possible companions seen.</t>
        </r>
      </text>
    </comment>
    <comment ref="A184" authorId="0" shapeId="0" xr:uid="{F76B380B-80A1-4D79-B819-A8F0067CF5F9}">
      <text>
        <r>
          <rPr>
            <sz val="9"/>
            <color indexed="81"/>
            <rFont val="Tahoma"/>
            <family val="2"/>
          </rPr>
          <t xml:space="preserve">
</t>
        </r>
      </text>
    </comment>
    <comment ref="K184" authorId="0" shapeId="0" xr:uid="{DD713FED-1A99-4E99-A8A8-1A52F20EA3F5}">
      <text>
        <r>
          <rPr>
            <sz val="9"/>
            <color indexed="81"/>
            <rFont val="Tahoma"/>
            <family val="2"/>
          </rPr>
          <t>ARP: SMALL HSB COMP. - Barred face-on grand design galaxy with numerous star clouds.</t>
        </r>
      </text>
    </comment>
    <comment ref="A185" authorId="0" shapeId="0" xr:uid="{12CB7048-5185-43D2-8D4D-8A0E5E41EE8B}">
      <text>
        <r>
          <rPr>
            <sz val="9"/>
            <color indexed="81"/>
            <rFont val="Tahoma"/>
            <family val="2"/>
          </rPr>
          <t xml:space="preserve">
</t>
        </r>
      </text>
    </comment>
    <comment ref="K185" authorId="0" shapeId="0" xr:uid="{0E626ACB-87AF-489F-B9C9-8979DBF95442}">
      <text>
        <r>
          <rPr>
            <sz val="9"/>
            <color indexed="81"/>
            <rFont val="Tahoma"/>
            <family val="2"/>
          </rPr>
          <t>ARP: SMALL HSB COMP. - Fascinating merging galaxies with companion nearby.</t>
        </r>
      </text>
    </comment>
    <comment ref="A186" authorId="0" shapeId="0" xr:uid="{2CD731BC-1A46-4798-90F3-DF7EE977BC0F}">
      <text>
        <r>
          <rPr>
            <sz val="9"/>
            <color indexed="81"/>
            <rFont val="Tahoma"/>
            <family val="2"/>
          </rPr>
          <t xml:space="preserve">
</t>
        </r>
      </text>
    </comment>
    <comment ref="K186" authorId="0" shapeId="0" xr:uid="{3FA13EFD-54C5-49F2-B8A5-9BEE333A6700}">
      <text>
        <r>
          <rPr>
            <sz val="9"/>
            <color indexed="81"/>
            <rFont val="Tahoma"/>
            <family val="2"/>
          </rPr>
          <t>ARP: SMALL HSB COMP - Spiral galaxy with strong arm, slight bar and VV rows.</t>
        </r>
      </text>
    </comment>
    <comment ref="A187" authorId="0" shapeId="0" xr:uid="{CE307E42-59A5-4738-85A7-4B4B699C9D0B}">
      <text>
        <r>
          <rPr>
            <sz val="9"/>
            <color indexed="81"/>
            <rFont val="Tahoma"/>
            <family val="2"/>
          </rPr>
          <t xml:space="preserve">
</t>
        </r>
      </text>
    </comment>
    <comment ref="K187" authorId="0" shapeId="0" xr:uid="{7D1ECC79-92C6-49DF-971E-4AA00196071D}">
      <text>
        <r>
          <rPr>
            <sz val="9"/>
            <color indexed="81"/>
            <rFont val="Tahoma"/>
            <family val="2"/>
          </rPr>
          <t>ARP: SMALL HSB COMP - Very small grand design galaxy with a companion.</t>
        </r>
      </text>
    </comment>
    <comment ref="A188" authorId="0" shapeId="0" xr:uid="{11FFD544-650F-45E4-B223-279DA8162658}">
      <text>
        <r>
          <rPr>
            <sz val="9"/>
            <color indexed="81"/>
            <rFont val="Tahoma"/>
            <family val="2"/>
          </rPr>
          <t xml:space="preserve">
</t>
        </r>
      </text>
    </comment>
    <comment ref="K188" authorId="0" shapeId="0" xr:uid="{0A30E65F-4A8C-4000-A4AA-DF274A0ACDB0}">
      <text>
        <r>
          <rPr>
            <sz val="9"/>
            <color indexed="81"/>
            <rFont val="Tahoma"/>
            <family val="2"/>
          </rPr>
          <t>ARP: SMALL HSB COMP - Beautiful grand design spiral with star stream, interacting with companion.</t>
        </r>
      </text>
    </comment>
    <comment ref="A189" authorId="0" shapeId="0" xr:uid="{5ADC129C-F5E4-496B-B3DF-5EF113F65846}">
      <text>
        <r>
          <rPr>
            <sz val="9"/>
            <color indexed="81"/>
            <rFont val="Tahoma"/>
            <family val="2"/>
          </rPr>
          <t xml:space="preserve">
</t>
        </r>
      </text>
    </comment>
    <comment ref="K189" authorId="0" shapeId="0" xr:uid="{F22F4823-66A1-4650-9CDA-34618594A7E5}">
      <text>
        <r>
          <rPr>
            <sz val="9"/>
            <color indexed="81"/>
            <rFont val="Tahoma"/>
            <family val="2"/>
          </rPr>
          <t>ARP: SMALL HSB COMP - Nice face-on spiral interacting with companion.</t>
        </r>
      </text>
    </comment>
    <comment ref="A190" authorId="0" shapeId="0" xr:uid="{63B4D3B9-03A9-4F3C-9287-1A417446834D}">
      <text>
        <r>
          <rPr>
            <sz val="9"/>
            <color indexed="81"/>
            <rFont val="Tahoma"/>
            <family val="2"/>
          </rPr>
          <t xml:space="preserve">
</t>
        </r>
      </text>
    </comment>
    <comment ref="K190" authorId="0" shapeId="0" xr:uid="{0D045F66-5DB9-48D7-A200-6E6913B9807A}">
      <text>
        <r>
          <rPr>
            <sz val="9"/>
            <color indexed="81"/>
            <rFont val="Tahoma"/>
            <family val="2"/>
          </rPr>
          <t>ARP: SMALL HSB COMP - Farthest ARP galaxy and smallest in apparent size.</t>
        </r>
      </text>
    </comment>
    <comment ref="A191" authorId="0" shapeId="0" xr:uid="{633F7A72-81F9-44EC-ACEB-3248AD2557AB}">
      <text>
        <r>
          <rPr>
            <sz val="9"/>
            <color indexed="81"/>
            <rFont val="Tahoma"/>
            <family val="2"/>
          </rPr>
          <t xml:space="preserve">
</t>
        </r>
      </text>
    </comment>
    <comment ref="K191" authorId="0" shapeId="0" xr:uid="{0E4AD1BB-7873-48E8-81A1-E8283BA78F23}">
      <text>
        <r>
          <rPr>
            <sz val="9"/>
            <color indexed="81"/>
            <rFont val="Tahoma"/>
            <family val="2"/>
          </rPr>
          <t>ARP: SMALL HSB COMP - Barred spiral with interaction with companion.</t>
        </r>
      </text>
    </comment>
    <comment ref="A192" authorId="0" shapeId="0" xr:uid="{611952CD-7080-4973-BB42-3387B0B08710}">
      <text>
        <r>
          <rPr>
            <sz val="9"/>
            <color indexed="81"/>
            <rFont val="Tahoma"/>
            <family val="2"/>
          </rPr>
          <t xml:space="preserve">
</t>
        </r>
      </text>
    </comment>
    <comment ref="K192" authorId="0" shapeId="0" xr:uid="{0B18AC6D-6376-4B7A-AE63-0DCEAAA552DB}">
      <text>
        <r>
          <rPr>
            <sz val="9"/>
            <color indexed="81"/>
            <rFont val="Tahoma"/>
            <family val="2"/>
          </rPr>
          <t>ARP: SMALL HSB COMP - Grand design spiral with asymmetric disk and companion interaction.</t>
        </r>
      </text>
    </comment>
    <comment ref="A193" authorId="0" shapeId="0" xr:uid="{AF7F2BDC-5CAC-484A-B656-1A3FF42B4DCE}">
      <text>
        <r>
          <rPr>
            <sz val="9"/>
            <color indexed="81"/>
            <rFont val="Tahoma"/>
            <family val="2"/>
          </rPr>
          <t xml:space="preserve">
</t>
        </r>
      </text>
    </comment>
    <comment ref="K193" authorId="0" shapeId="0" xr:uid="{84FF937A-AEBF-493F-B1A7-EF447A9B49AD}">
      <text>
        <r>
          <rPr>
            <sz val="9"/>
            <color indexed="81"/>
            <rFont val="Tahoma"/>
            <family val="2"/>
          </rPr>
          <t>ARP: SMALL HSB COMP - Wonderful trio of interacting galaxies, including star streams.</t>
        </r>
      </text>
    </comment>
    <comment ref="A194" authorId="0" shapeId="0" xr:uid="{CFB1DDC8-9C66-4277-A4E2-A63C7F2C2137}">
      <text>
        <r>
          <rPr>
            <sz val="9"/>
            <color indexed="81"/>
            <rFont val="Tahoma"/>
            <family val="2"/>
          </rPr>
          <t xml:space="preserve">
</t>
        </r>
      </text>
    </comment>
    <comment ref="K194" authorId="0" shapeId="0" xr:uid="{819D58A9-6155-4F87-A3A6-474A706AF180}">
      <text>
        <r>
          <rPr>
            <sz val="9"/>
            <color indexed="81"/>
            <rFont val="Tahoma"/>
            <family val="2"/>
          </rPr>
          <t>ARP: SMALL HSB COMP - Spiral with 2 strong arms, blue clouds and 2 companions.</t>
        </r>
      </text>
    </comment>
    <comment ref="A195" authorId="0" shapeId="0" xr:uid="{76655453-CD13-48EC-9F1E-1F3D3ADBEDD9}">
      <text>
        <r>
          <rPr>
            <sz val="9"/>
            <color indexed="81"/>
            <rFont val="Tahoma"/>
            <family val="2"/>
          </rPr>
          <t xml:space="preserve">
</t>
        </r>
      </text>
    </comment>
    <comment ref="K195" authorId="0" shapeId="0" xr:uid="{3E88EE87-3280-48E3-9E8D-D2D21A2CDE44}">
      <text>
        <r>
          <rPr>
            <sz val="9"/>
            <color indexed="81"/>
            <rFont val="Tahoma"/>
            <family val="2"/>
          </rPr>
          <t>ARP: SMALL HSB COMP - Great pair of bright disturbed galaxies.</t>
        </r>
      </text>
    </comment>
    <comment ref="A196" authorId="0" shapeId="0" xr:uid="{D0A4F551-C458-4C78-84BB-BFD4260D077C}">
      <text>
        <r>
          <rPr>
            <sz val="9"/>
            <color indexed="81"/>
            <rFont val="Tahoma"/>
            <family val="2"/>
          </rPr>
          <t xml:space="preserve">
</t>
        </r>
      </text>
    </comment>
    <comment ref="K196" authorId="0" shapeId="0" xr:uid="{A658C573-225A-4FC2-87F9-70481593B857}">
      <text>
        <r>
          <rPr>
            <sz val="9"/>
            <color indexed="81"/>
            <rFont val="Tahoma"/>
            <family val="2"/>
          </rPr>
          <t>ARP: SMALL HSB COMP - Grand design spiral with blue disjointed arms and VV rows.</t>
        </r>
      </text>
    </comment>
    <comment ref="A197" authorId="0" shapeId="0" xr:uid="{AD0A76CE-B7F9-47DC-A8ED-2E0E7AAE588C}">
      <text>
        <r>
          <rPr>
            <sz val="9"/>
            <color indexed="81"/>
            <rFont val="Tahoma"/>
            <family val="2"/>
          </rPr>
          <t xml:space="preserve">
</t>
        </r>
      </text>
    </comment>
    <comment ref="K197" authorId="0" shapeId="0" xr:uid="{0258199F-97E4-45CB-9181-57A94E0F96B0}">
      <text>
        <r>
          <rPr>
            <sz val="9"/>
            <color indexed="81"/>
            <rFont val="Tahoma"/>
            <family val="2"/>
          </rPr>
          <t>ARP: SMALL HSB COMP - Double ring barred galaxy with 2 likely fake companions.</t>
        </r>
      </text>
    </comment>
    <comment ref="A198" authorId="0" shapeId="0" xr:uid="{01668E14-6C18-4611-AFE4-0EDA537CBB31}">
      <text>
        <r>
          <rPr>
            <sz val="9"/>
            <color indexed="81"/>
            <rFont val="Tahoma"/>
            <family val="2"/>
          </rPr>
          <t xml:space="preserve">
</t>
        </r>
      </text>
    </comment>
    <comment ref="K198" authorId="0" shapeId="0" xr:uid="{6F137AD6-8C57-49EB-867A-9136C1E0970A}">
      <text>
        <r>
          <rPr>
            <sz val="9"/>
            <color indexed="81"/>
            <rFont val="Tahoma"/>
            <family val="2"/>
          </rPr>
          <t>ARP: SMALL HSB COMP - Wonderful disk with VV rows and star clouds, companion likely fake.</t>
        </r>
      </text>
    </comment>
    <comment ref="A199" authorId="0" shapeId="0" xr:uid="{020393AA-350B-455B-A0F0-AA5D2DD7F647}">
      <text>
        <r>
          <rPr>
            <sz val="9"/>
            <color indexed="81"/>
            <rFont val="Tahoma"/>
            <family val="2"/>
          </rPr>
          <t xml:space="preserve">
</t>
        </r>
      </text>
    </comment>
    <comment ref="K199" authorId="0" shapeId="0" xr:uid="{9BF0A681-356B-406A-9AFB-0F9CECBC84FB}">
      <text>
        <r>
          <rPr>
            <sz val="9"/>
            <color indexed="81"/>
            <rFont val="Tahoma"/>
            <family val="2"/>
          </rPr>
          <t xml:space="preserve">ARP: SMALL HSB COMP - Severely disturbed 3 armed barred spiral, with fake companion. </t>
        </r>
      </text>
    </comment>
    <comment ref="A200" authorId="0" shapeId="0" xr:uid="{4E976398-F4BB-4BE5-BBCA-87DC4D669763}">
      <text>
        <r>
          <rPr>
            <sz val="9"/>
            <color indexed="81"/>
            <rFont val="Tahoma"/>
            <family val="2"/>
          </rPr>
          <t xml:space="preserve">
</t>
        </r>
      </text>
    </comment>
    <comment ref="K200" authorId="0" shapeId="0" xr:uid="{FCCDF063-A4CB-42D4-80E8-9529FE8F2987}">
      <text>
        <r>
          <rPr>
            <sz val="9"/>
            <color indexed="81"/>
            <rFont val="Tahoma"/>
            <family val="2"/>
          </rPr>
          <t>ARP: SMALL HSB COMP - Large disturbed grand design spiral with possible companion.</t>
        </r>
      </text>
    </comment>
    <comment ref="A201" authorId="0" shapeId="0" xr:uid="{32B9E9AE-CC8D-4DC3-B29E-58E7F3322D56}">
      <text>
        <r>
          <rPr>
            <sz val="9"/>
            <color indexed="81"/>
            <rFont val="Tahoma"/>
            <family val="2"/>
          </rPr>
          <t xml:space="preserve">
</t>
        </r>
      </text>
    </comment>
    <comment ref="K201" authorId="0" shapeId="0" xr:uid="{EC6A76F1-EA69-477C-B634-EE9DCD53F2E7}">
      <text>
        <r>
          <rPr>
            <sz val="9"/>
            <color indexed="81"/>
            <rFont val="Tahoma"/>
            <family val="2"/>
          </rPr>
          <t>ARP: SMALL HSB COMP - Wavy edge-on spiral with 2 companions.</t>
        </r>
      </text>
    </comment>
    <comment ref="A202" authorId="0" shapeId="0" xr:uid="{57C073E4-157F-47AA-94DC-D43946B7DAF9}">
      <text>
        <r>
          <rPr>
            <sz val="9"/>
            <color indexed="81"/>
            <rFont val="Tahoma"/>
            <family val="2"/>
          </rPr>
          <t xml:space="preserve">
</t>
        </r>
      </text>
    </comment>
    <comment ref="K202" authorId="0" shapeId="0" xr:uid="{4428A9DE-2007-41E6-A9C7-04147F0089CD}">
      <text>
        <r>
          <rPr>
            <sz val="9"/>
            <color indexed="81"/>
            <rFont val="Tahoma"/>
            <family val="2"/>
          </rPr>
          <t>ARP: SMALL HSB COMP - Bright disturbed starburst barred galaxy with long bar and VV rows and companion.</t>
        </r>
      </text>
    </comment>
    <comment ref="A203" authorId="0" shapeId="0" xr:uid="{71EF550E-AADC-4B67-8858-604703910DB3}">
      <text>
        <r>
          <rPr>
            <sz val="9"/>
            <color indexed="81"/>
            <rFont val="Tahoma"/>
            <family val="2"/>
          </rPr>
          <t xml:space="preserve">
</t>
        </r>
      </text>
    </comment>
    <comment ref="K203" authorId="0" shapeId="0" xr:uid="{DCD0009E-E12B-4530-B072-1101EDC03716}">
      <text>
        <r>
          <rPr>
            <sz val="9"/>
            <color indexed="81"/>
            <rFont val="Tahoma"/>
            <family val="2"/>
          </rPr>
          <t>ARP: SMALL HSB COMP - Disturbed grand design spiral with companion and star stream.</t>
        </r>
      </text>
    </comment>
    <comment ref="A204" authorId="0" shapeId="0" xr:uid="{245EDE48-1EFB-4AC2-94C5-755B07574EC1}">
      <text>
        <r>
          <rPr>
            <sz val="9"/>
            <color indexed="81"/>
            <rFont val="Tahoma"/>
            <family val="2"/>
          </rPr>
          <t xml:space="preserve">
</t>
        </r>
      </text>
    </comment>
    <comment ref="K204" authorId="0" shapeId="0" xr:uid="{0F7E275B-12F3-4A30-AD9F-B6C11CA2F6AD}">
      <text>
        <r>
          <rPr>
            <sz val="9"/>
            <color indexed="81"/>
            <rFont val="Tahoma"/>
            <family val="2"/>
          </rPr>
          <t>ARP: SMALL HSB COMP - Face-on barred grand design spiral with nice arm plume.</t>
        </r>
      </text>
    </comment>
    <comment ref="A205" authorId="0" shapeId="0" xr:uid="{61B031A8-8678-47B7-9E78-A5C0867DCA6D}">
      <text>
        <r>
          <rPr>
            <sz val="9"/>
            <color indexed="81"/>
            <rFont val="Tahoma"/>
            <family val="2"/>
          </rPr>
          <t xml:space="preserve">
</t>
        </r>
      </text>
    </comment>
    <comment ref="K205" authorId="0" shapeId="0" xr:uid="{8FBD264C-AD7A-45C0-89F6-88BCF86670EB}">
      <text>
        <r>
          <rPr>
            <sz val="9"/>
            <color indexed="81"/>
            <rFont val="Tahoma"/>
            <family val="2"/>
          </rPr>
          <t>ARP: SMALL HSB COMP - merging galaxies with star plumes and streams.</t>
        </r>
      </text>
    </comment>
    <comment ref="A206" authorId="0" shapeId="0" xr:uid="{D53D38DA-63BE-4FE9-926A-FF0389655118}">
      <text>
        <r>
          <rPr>
            <sz val="9"/>
            <color indexed="81"/>
            <rFont val="Tahoma"/>
            <family val="2"/>
          </rPr>
          <t xml:space="preserve">
</t>
        </r>
      </text>
    </comment>
    <comment ref="K206" authorId="0" shapeId="0" xr:uid="{5DB59D37-9A28-4B53-B4F3-AE4734EF2F33}">
      <text>
        <r>
          <rPr>
            <sz val="9"/>
            <color indexed="81"/>
            <rFont val="Tahoma"/>
            <family val="2"/>
          </rPr>
          <t>ARP: LARGE HSB COMP - Barred grand spiral with 2 strong arms &amp; 2 bright star clouds, with no companion.</t>
        </r>
      </text>
    </comment>
    <comment ref="A207" authorId="0" shapeId="0" xr:uid="{589F9945-618A-4E26-8096-C1C899943AD8}">
      <text>
        <r>
          <rPr>
            <sz val="9"/>
            <color indexed="81"/>
            <rFont val="Tahoma"/>
            <family val="2"/>
          </rPr>
          <t xml:space="preserve">
</t>
        </r>
      </text>
    </comment>
    <comment ref="K207" authorId="0" shapeId="0" xr:uid="{1796B2E8-8821-45AA-AF48-D52BF2C89411}">
      <text>
        <r>
          <rPr>
            <sz val="9"/>
            <color indexed="81"/>
            <rFont val="Tahoma"/>
            <family val="2"/>
          </rPr>
          <t>ARP: LARGE HSB COMP -  Grand design spiral with bright core and star clouds, with no companion.</t>
        </r>
      </text>
    </comment>
    <comment ref="A208" authorId="0" shapeId="0" xr:uid="{2AD593B0-EB72-4F7F-8CC1-F1DDC8DD77D6}">
      <text>
        <r>
          <rPr>
            <sz val="9"/>
            <color indexed="81"/>
            <rFont val="Tahoma"/>
            <family val="2"/>
          </rPr>
          <t xml:space="preserve">
</t>
        </r>
      </text>
    </comment>
    <comment ref="K208" authorId="0" shapeId="0" xr:uid="{618275C0-155B-43C8-A2BE-5E2829CFB287}">
      <text>
        <r>
          <rPr>
            <sz val="9"/>
            <color indexed="81"/>
            <rFont val="Tahoma"/>
            <family val="2"/>
          </rPr>
          <t>ARP: LARGE HSB COMP - A favorite - 2 merging galaxies and a long wrapping star stream.</t>
        </r>
      </text>
    </comment>
    <comment ref="A209" authorId="0" shapeId="0" xr:uid="{EDB8FC40-1A74-41F9-9F6B-946FFB70069A}">
      <text>
        <r>
          <rPr>
            <sz val="9"/>
            <color indexed="81"/>
            <rFont val="Tahoma"/>
            <family val="2"/>
          </rPr>
          <t xml:space="preserve">
</t>
        </r>
      </text>
    </comment>
    <comment ref="K209" authorId="0" shapeId="0" xr:uid="{4FE6F22C-B40B-41B7-A78E-454D889C72D6}">
      <text>
        <r>
          <rPr>
            <sz val="9"/>
            <color indexed="81"/>
            <rFont val="Tahoma"/>
            <family val="2"/>
          </rPr>
          <t>ARP: LARGE HSB COMP - 2 beautiful interacting galaxies with star-forming regions and a long star stream.</t>
        </r>
      </text>
    </comment>
    <comment ref="A210" authorId="0" shapeId="0" xr:uid="{D0EB7F59-41D3-487B-8A1A-CC643C21872D}">
      <text>
        <r>
          <rPr>
            <sz val="9"/>
            <color indexed="81"/>
            <rFont val="Tahoma"/>
            <family val="2"/>
          </rPr>
          <t xml:space="preserve">
</t>
        </r>
      </text>
    </comment>
    <comment ref="K210" authorId="0" shapeId="0" xr:uid="{F053EAD7-8A8E-4884-AE9A-C77E42AEC889}">
      <text>
        <r>
          <rPr>
            <sz val="9"/>
            <color indexed="81"/>
            <rFont val="Tahoma"/>
            <family val="2"/>
          </rPr>
          <t>ARP: LARGE HSB COMP - Pair of interacting galaxies.  Nice detail but little disturbance.</t>
        </r>
      </text>
    </comment>
    <comment ref="A211" authorId="0" shapeId="0" xr:uid="{6DB8743D-244B-4D83-8CF3-3A5A66AB1F0B}">
      <text>
        <r>
          <rPr>
            <sz val="9"/>
            <color indexed="81"/>
            <rFont val="Tahoma"/>
            <family val="2"/>
          </rPr>
          <t xml:space="preserve">
</t>
        </r>
      </text>
    </comment>
    <comment ref="K211" authorId="0" shapeId="0" xr:uid="{46321F9F-DE0A-42BB-8675-76A2063D8970}">
      <text>
        <r>
          <rPr>
            <sz val="9"/>
            <color indexed="81"/>
            <rFont val="Tahoma"/>
            <family val="2"/>
          </rPr>
          <t>ARP: LARGE HSB COMP - One of the best Arps - 3 galaxies, 2 interacting, with good detail and color.</t>
        </r>
      </text>
    </comment>
    <comment ref="A212" authorId="0" shapeId="0" xr:uid="{FCC35469-092C-4BE1-9212-0276B9228169}">
      <text>
        <r>
          <rPr>
            <sz val="9"/>
            <color indexed="81"/>
            <rFont val="Tahoma"/>
            <family val="2"/>
          </rPr>
          <t xml:space="preserve">
</t>
        </r>
      </text>
    </comment>
    <comment ref="K212" authorId="0" shapeId="0" xr:uid="{7E5C43B6-F45E-4F86-9EFF-905C9B0026C4}">
      <text>
        <r>
          <rPr>
            <sz val="9"/>
            <color indexed="81"/>
            <rFont val="Tahoma"/>
            <family val="2"/>
          </rPr>
          <t>ARP: LARGE HSB COMP - Amazing arrangement of 2 bright colorful galaxies.</t>
        </r>
      </text>
    </comment>
    <comment ref="A213" authorId="0" shapeId="0" xr:uid="{6EF76B1B-7BBB-45C9-997F-2334D1250818}">
      <text>
        <r>
          <rPr>
            <sz val="9"/>
            <color indexed="81"/>
            <rFont val="Tahoma"/>
            <family val="2"/>
          </rPr>
          <t xml:space="preserve">
</t>
        </r>
      </text>
    </comment>
    <comment ref="K213" authorId="0" shapeId="0" xr:uid="{BB3446BA-8CEE-477E-B9C1-0C6459B3F0B3}">
      <text>
        <r>
          <rPr>
            <sz val="9"/>
            <color indexed="81"/>
            <rFont val="Tahoma"/>
            <family val="2"/>
          </rPr>
          <t>ARP: LARGE HSB COMP - Pair of spiral galaxies with incredible star stream bridge.</t>
        </r>
      </text>
    </comment>
    <comment ref="A214" authorId="0" shapeId="0" xr:uid="{B9ECB8C7-F852-4862-A8FC-A23340DE0817}">
      <text>
        <r>
          <rPr>
            <sz val="9"/>
            <color indexed="81"/>
            <rFont val="Tahoma"/>
            <family val="2"/>
          </rPr>
          <t xml:space="preserve">
</t>
        </r>
      </text>
    </comment>
    <comment ref="K214" authorId="0" shapeId="0" xr:uid="{D089D9BF-36CF-4FFA-A138-DD9A846E5B7A}">
      <text>
        <r>
          <rPr>
            <sz val="9"/>
            <color indexed="81"/>
            <rFont val="Tahoma"/>
            <family val="2"/>
          </rPr>
          <t>ARP: LARGE HSB COMP - Tiny pair of interacting galaxies - hard to see much detail here.</t>
        </r>
      </text>
    </comment>
    <comment ref="A215" authorId="0" shapeId="0" xr:uid="{FDA4FC3C-5ABE-4252-8E4D-45ED1551A7A8}">
      <text>
        <r>
          <rPr>
            <sz val="9"/>
            <color indexed="81"/>
            <rFont val="Tahoma"/>
            <family val="2"/>
          </rPr>
          <t xml:space="preserve">
</t>
        </r>
      </text>
    </comment>
    <comment ref="K215" authorId="0" shapeId="0" xr:uid="{D609BB1D-EF08-445E-BBE8-2B9C69FD1BD7}">
      <text>
        <r>
          <rPr>
            <sz val="9"/>
            <color indexed="81"/>
            <rFont val="Tahoma"/>
            <family val="2"/>
          </rPr>
          <t>ARP: LARGE HSB COMP - Fantastic pair with nice color contrast, disk warping and interaction.</t>
        </r>
      </text>
    </comment>
    <comment ref="A216" authorId="0" shapeId="0" xr:uid="{64AEFC31-0559-470E-AC30-5AF46FE01BDE}">
      <text>
        <r>
          <rPr>
            <sz val="9"/>
            <color indexed="81"/>
            <rFont val="Tahoma"/>
            <family val="2"/>
          </rPr>
          <t xml:space="preserve">
</t>
        </r>
      </text>
    </comment>
    <comment ref="K216" authorId="0" shapeId="0" xr:uid="{1F12778B-F760-4723-B7DE-12CD0114E090}">
      <text>
        <r>
          <rPr>
            <sz val="9"/>
            <color indexed="81"/>
            <rFont val="Tahoma"/>
            <family val="2"/>
          </rPr>
          <t>ARP: LARGE HSB COMP - Nice pair with interesting color, but not likely interacting.</t>
        </r>
      </text>
    </comment>
    <comment ref="A217" authorId="0" shapeId="0" xr:uid="{DD751012-E573-497B-9263-FF4844DEFE83}">
      <text>
        <r>
          <rPr>
            <sz val="9"/>
            <color indexed="81"/>
            <rFont val="Tahoma"/>
            <family val="2"/>
          </rPr>
          <t xml:space="preserve">
</t>
        </r>
      </text>
    </comment>
    <comment ref="K217" authorId="0" shapeId="0" xr:uid="{2DDDDF03-1EB3-4273-896D-FD8C7F57374C}">
      <text>
        <r>
          <rPr>
            <sz val="9"/>
            <color indexed="81"/>
            <rFont val="Tahoma"/>
            <family val="2"/>
          </rPr>
          <t>ARP: LARGE HSB COMP - 2 superimposed galaxies, blue and yellow with nice detail.</t>
        </r>
      </text>
    </comment>
    <comment ref="A218" authorId="0" shapeId="0" xr:uid="{98D228AA-4065-4117-9062-E2F2B3CB8CFA}">
      <text>
        <r>
          <rPr>
            <sz val="9"/>
            <color indexed="81"/>
            <rFont val="Tahoma"/>
            <family val="2"/>
          </rPr>
          <t xml:space="preserve">
</t>
        </r>
      </text>
    </comment>
    <comment ref="K218" authorId="0" shapeId="0" xr:uid="{1B887F60-1B28-419C-AC84-A16A925E56E8}">
      <text>
        <r>
          <rPr>
            <sz val="9"/>
            <color indexed="81"/>
            <rFont val="Tahoma"/>
            <family val="2"/>
          </rPr>
          <t>ARP: ELLIPTICAL COMP - Nice pair with connecting bridge.  Good color and detail in spiral.</t>
        </r>
      </text>
    </comment>
    <comment ref="A219" authorId="0" shapeId="0" xr:uid="{E31D89A3-8D5A-4131-B865-A2AD9A7BCDE9}">
      <text>
        <r>
          <rPr>
            <sz val="9"/>
            <color indexed="81"/>
            <rFont val="Tahoma"/>
            <family val="2"/>
          </rPr>
          <t xml:space="preserve">
</t>
        </r>
      </text>
    </comment>
    <comment ref="K219" authorId="0" shapeId="0" xr:uid="{65BE7E66-EF41-4479-AE03-B56A349F4148}">
      <text>
        <r>
          <rPr>
            <sz val="9"/>
            <color indexed="81"/>
            <rFont val="Tahoma"/>
            <family val="2"/>
          </rPr>
          <t>ARP: ELLIPTICAL COMP - Beautiful dancing pair with deformations and star streams.</t>
        </r>
      </text>
    </comment>
    <comment ref="A220" authorId="0" shapeId="0" xr:uid="{9C577C2F-A63F-4A12-9DD7-A095537296F5}">
      <text>
        <r>
          <rPr>
            <sz val="9"/>
            <color indexed="81"/>
            <rFont val="Tahoma"/>
            <family val="2"/>
          </rPr>
          <t xml:space="preserve">
</t>
        </r>
      </text>
    </comment>
    <comment ref="K220" authorId="0" shapeId="0" xr:uid="{47499CB1-2FF2-4FBE-B309-63F24160403B}">
      <text>
        <r>
          <rPr>
            <sz val="9"/>
            <color indexed="81"/>
            <rFont val="Tahoma"/>
            <family val="2"/>
          </rPr>
          <t>ARP: ELLIPTICAL COMP - Nance M51-type pair.  Mottled spiral with distinct arms.</t>
        </r>
      </text>
    </comment>
    <comment ref="A221" authorId="0" shapeId="0" xr:uid="{58BE10D8-EE11-47DB-95C8-3F81097E7593}">
      <text>
        <r>
          <rPr>
            <sz val="9"/>
            <color indexed="81"/>
            <rFont val="Tahoma"/>
            <family val="2"/>
          </rPr>
          <t xml:space="preserve">
</t>
        </r>
      </text>
    </comment>
    <comment ref="K221" authorId="0" shapeId="0" xr:uid="{922C8D54-A987-49C3-A99A-7F2CB7F42051}">
      <text>
        <r>
          <rPr>
            <sz val="9"/>
            <color indexed="81"/>
            <rFont val="Tahoma"/>
            <family val="2"/>
          </rPr>
          <t>ARP: ELLIPTICAL COMP -  Trio of galaxies with little visible interaction.</t>
        </r>
      </text>
    </comment>
    <comment ref="A222" authorId="0" shapeId="0" xr:uid="{5566E1FA-29BD-489E-A3B0-B3882EEBF7DC}">
      <text>
        <r>
          <rPr>
            <sz val="9"/>
            <color indexed="81"/>
            <rFont val="Tahoma"/>
            <family val="2"/>
          </rPr>
          <t xml:space="preserve">
</t>
        </r>
      </text>
    </comment>
    <comment ref="K222" authorId="0" shapeId="0" xr:uid="{E2F35AB6-94B7-4BAA-A1F1-CE8FBF0B2D85}">
      <text>
        <r>
          <rPr>
            <sz val="9"/>
            <color indexed="81"/>
            <rFont val="Tahoma"/>
            <family val="2"/>
          </rPr>
          <t>ARP: ELLIPTICAL COMP - Bright pair, fairly wide apart, with distinct star stream bridge</t>
        </r>
      </text>
    </comment>
    <comment ref="A223" authorId="0" shapeId="0" xr:uid="{F9ACD6E8-4D3E-4E68-A021-6F7E3BEEF800}">
      <text>
        <r>
          <rPr>
            <sz val="9"/>
            <color indexed="81"/>
            <rFont val="Tahoma"/>
            <family val="2"/>
          </rPr>
          <t xml:space="preserve">
</t>
        </r>
      </text>
    </comment>
    <comment ref="K223" authorId="0" shapeId="0" xr:uid="{B29DE1D4-4490-4FDE-A0BD-884959EB8D5F}">
      <text>
        <r>
          <rPr>
            <sz val="9"/>
            <color indexed="81"/>
            <rFont val="Tahoma"/>
            <family val="2"/>
          </rPr>
          <t>ARP: ELLIPTICAL COMP - Great alignment with star stream bridge connecting them.</t>
        </r>
      </text>
    </comment>
    <comment ref="A224" authorId="0" shapeId="0" xr:uid="{A3E716F6-D681-4EFB-B94E-8F2CDDA15C37}">
      <text>
        <r>
          <rPr>
            <sz val="9"/>
            <color indexed="81"/>
            <rFont val="Tahoma"/>
            <family val="2"/>
          </rPr>
          <t xml:space="preserve">
</t>
        </r>
      </text>
    </comment>
    <comment ref="K224" authorId="0" shapeId="0" xr:uid="{B49B538D-4362-4CC4-8F2D-825F806EBE60}">
      <text>
        <r>
          <rPr>
            <sz val="9"/>
            <color indexed="81"/>
            <rFont val="Tahoma"/>
            <family val="2"/>
          </rPr>
          <t>ARP: ELLIPTICAL COMP - Widely separated distant pair with star stream bridge between them.</t>
        </r>
      </text>
    </comment>
    <comment ref="A225" authorId="0" shapeId="0" xr:uid="{C88B13B9-69A9-4E50-81FF-AD12E55AD355}">
      <text>
        <r>
          <rPr>
            <sz val="9"/>
            <color indexed="81"/>
            <rFont val="Tahoma"/>
            <family val="2"/>
          </rPr>
          <t xml:space="preserve">
</t>
        </r>
      </text>
    </comment>
    <comment ref="K225" authorId="0" shapeId="0" xr:uid="{B0BCC08B-57BB-409E-9673-ED08E47D47AA}">
      <text>
        <r>
          <rPr>
            <sz val="9"/>
            <color indexed="81"/>
            <rFont val="Tahoma"/>
            <family val="2"/>
          </rPr>
          <t>All 5 galaxies of group at same distance.  Beautiful faint star streams and structures in this group.</t>
        </r>
      </text>
    </comment>
    <comment ref="A226" authorId="0" shapeId="0" xr:uid="{01B7C9E9-25D7-40F2-8EAF-DA50D9A17ECD}">
      <text>
        <r>
          <rPr>
            <sz val="9"/>
            <color indexed="81"/>
            <rFont val="Tahoma"/>
            <family val="2"/>
          </rPr>
          <t xml:space="preserve">
</t>
        </r>
      </text>
    </comment>
    <comment ref="K226" authorId="0" shapeId="0" xr:uid="{F507E407-2322-43A9-BF26-3EF4959DFDB6}">
      <text>
        <r>
          <rPr>
            <sz val="9"/>
            <color indexed="81"/>
            <rFont val="Tahoma"/>
            <family val="2"/>
          </rPr>
          <t>ARP: ELLIPTICAL COMP - Incredible pair with star streams extending over 300,000 ly.</t>
        </r>
      </text>
    </comment>
    <comment ref="A227" authorId="0" shapeId="0" xr:uid="{E7738DC2-D8FF-4A46-B604-5CB95E0DE0C1}">
      <text>
        <r>
          <rPr>
            <sz val="9"/>
            <color indexed="81"/>
            <rFont val="Tahoma"/>
            <family val="2"/>
          </rPr>
          <t xml:space="preserve">
</t>
        </r>
      </text>
    </comment>
    <comment ref="K227" authorId="0" shapeId="0" xr:uid="{0E96D99A-C214-4786-9CF5-6B968F0A1CF8}">
      <text>
        <r>
          <rPr>
            <sz val="9"/>
            <color indexed="81"/>
            <rFont val="Tahoma"/>
            <family val="2"/>
          </rPr>
          <t>ARP: ELLIPTICAL COMP - Striking 200,000 ly bridge connecting this pair.</t>
        </r>
      </text>
    </comment>
    <comment ref="A228" authorId="0" shapeId="0" xr:uid="{BACF7359-1548-408D-9A5F-486DF3F3E5A4}">
      <text>
        <r>
          <rPr>
            <sz val="9"/>
            <color indexed="81"/>
            <rFont val="Tahoma"/>
            <family val="2"/>
          </rPr>
          <t xml:space="preserve">
</t>
        </r>
      </text>
    </comment>
    <comment ref="K228" authorId="0" shapeId="0" xr:uid="{FC74D053-CE7D-4611-B292-42021E37802C}">
      <text>
        <r>
          <rPr>
            <sz val="9"/>
            <color indexed="81"/>
            <rFont val="Tahoma"/>
            <family val="2"/>
          </rPr>
          <t>ARP: ELLIPTICAL/SPIRAL PAIR - Interacting galaxies with incredible 700,000 ly star stream length.</t>
        </r>
      </text>
    </comment>
    <comment ref="A229" authorId="0" shapeId="0" xr:uid="{8F785479-308F-47F2-A6E6-B138520025FC}">
      <text>
        <r>
          <rPr>
            <sz val="9"/>
            <color indexed="81"/>
            <rFont val="Tahoma"/>
            <family val="2"/>
          </rPr>
          <t xml:space="preserve">
</t>
        </r>
      </text>
    </comment>
    <comment ref="K229" authorId="0" shapeId="0" xr:uid="{2BCC198D-F0C8-4546-B7A9-3706E6B1007C}">
      <text>
        <r>
          <rPr>
            <sz val="9"/>
            <color indexed="81"/>
            <rFont val="Tahoma"/>
            <family val="2"/>
          </rPr>
          <t>ARP: ELLIPTICAL/SPIRAL PAIR - Trio of galaxies with long star stream bridge.</t>
        </r>
      </text>
    </comment>
    <comment ref="A230" authorId="0" shapeId="0" xr:uid="{5E46115F-4247-490B-A2B7-B64356D72959}">
      <text>
        <r>
          <rPr>
            <sz val="9"/>
            <color indexed="81"/>
            <rFont val="Tahoma"/>
            <family val="2"/>
          </rPr>
          <t xml:space="preserve">
</t>
        </r>
      </text>
    </comment>
    <comment ref="K230" authorId="0" shapeId="0" xr:uid="{F491B611-EAB8-462A-827D-34B53E4EA537}">
      <text>
        <r>
          <rPr>
            <sz val="9"/>
            <color indexed="81"/>
            <rFont val="Tahoma"/>
            <family val="2"/>
          </rPr>
          <t>ARP: ELLIPTICAL/SPIRAL PAIR - Pair of interacting galaxies with lovely 200,000 ly star stream bridge.</t>
        </r>
      </text>
    </comment>
    <comment ref="A231" authorId="0" shapeId="0" xr:uid="{222C8AAB-7900-4A94-BABC-3047573CDBD6}">
      <text>
        <r>
          <rPr>
            <sz val="9"/>
            <color indexed="81"/>
            <rFont val="Tahoma"/>
            <family val="2"/>
          </rPr>
          <t xml:space="preserve">
</t>
        </r>
      </text>
    </comment>
    <comment ref="K231" authorId="0" shapeId="0" xr:uid="{2CFDD298-E18C-487D-A40C-FC1421AE9352}">
      <text>
        <r>
          <rPr>
            <sz val="9"/>
            <color indexed="81"/>
            <rFont val="Tahoma"/>
            <family val="2"/>
          </rPr>
          <t>ARP: ELLIPTICAL/SPIRAL PAIR - Amazing vista of 5 galaxies highlighted by 700,000 ly star stream.</t>
        </r>
      </text>
    </comment>
    <comment ref="A232" authorId="0" shapeId="0" xr:uid="{195F48D9-30B7-47E7-BC87-A735385677F4}">
      <text>
        <r>
          <rPr>
            <sz val="9"/>
            <color indexed="81"/>
            <rFont val="Tahoma"/>
            <family val="2"/>
          </rPr>
          <t xml:space="preserve">
</t>
        </r>
      </text>
    </comment>
    <comment ref="K232" authorId="0" shapeId="0" xr:uid="{B90073ED-7DD7-4ECD-A468-59DFDA4AACB2}">
      <text>
        <r>
          <rPr>
            <sz val="9"/>
            <color indexed="81"/>
            <rFont val="Tahoma"/>
            <family val="2"/>
          </rPr>
          <t>ARP: ELLIPTICAL/SPIRAL PAIR - Interacting pair with long star streams and shells.</t>
        </r>
      </text>
    </comment>
    <comment ref="A233" authorId="0" shapeId="0" xr:uid="{0D8A5F33-8DFD-47FC-B1FB-71F15469BB0C}">
      <text>
        <r>
          <rPr>
            <sz val="9"/>
            <color indexed="81"/>
            <rFont val="Tahoma"/>
            <family val="2"/>
          </rPr>
          <t xml:space="preserve">
</t>
        </r>
      </text>
    </comment>
    <comment ref="K233" authorId="0" shapeId="0" xr:uid="{C8728AA2-19C2-48E1-BEBF-C0F511FA296E}">
      <text>
        <r>
          <rPr>
            <sz val="9"/>
            <color indexed="81"/>
            <rFont val="Tahoma"/>
            <family val="2"/>
          </rPr>
          <t>ARP: ELLIPTICAL/SPIRAL PAIR - Two large galaxies merging, with looping star streams and a bridge.</t>
        </r>
      </text>
    </comment>
    <comment ref="A234" authorId="0" shapeId="0" xr:uid="{187AE40B-FDC3-4D27-BD71-354C1C404959}">
      <text>
        <r>
          <rPr>
            <sz val="9"/>
            <color indexed="81"/>
            <rFont val="Tahoma"/>
            <family val="2"/>
          </rPr>
          <t xml:space="preserve">
</t>
        </r>
      </text>
    </comment>
    <comment ref="K234" authorId="0" shapeId="0" xr:uid="{C3EA9BFE-F165-4A9A-A5FF-0A067F1BBC7B}">
      <text>
        <r>
          <rPr>
            <sz val="9"/>
            <color indexed="81"/>
            <rFont val="Tahoma"/>
            <family val="2"/>
          </rPr>
          <t>ARP: ELLIPTICAL/SPIRAL PAIR - Disturbed 3 arm spiral galaxy.  Interaction with elliptical is not clear.</t>
        </r>
      </text>
    </comment>
    <comment ref="A235" authorId="0" shapeId="0" xr:uid="{E6648B17-0C32-4B7A-9F61-100A652CBBB6}">
      <text>
        <r>
          <rPr>
            <sz val="9"/>
            <color indexed="81"/>
            <rFont val="Tahoma"/>
            <family val="2"/>
          </rPr>
          <t xml:space="preserve">
</t>
        </r>
      </text>
    </comment>
    <comment ref="K235" authorId="0" shapeId="0" xr:uid="{B219C505-769A-45E6-8BF7-10A003CA0188}">
      <text>
        <r>
          <rPr>
            <sz val="9"/>
            <color indexed="81"/>
            <rFont val="Tahoma"/>
            <family val="2"/>
          </rPr>
          <t>ARP: ELLIPTICAL/SPIRAL PAIR - Twin star streams of spiral extending away from elliptical for 100,000 ly.</t>
        </r>
      </text>
    </comment>
    <comment ref="A236" authorId="0" shapeId="0" xr:uid="{4D00B1FF-A898-4FB6-97EE-029E40B2B663}">
      <text>
        <r>
          <rPr>
            <sz val="9"/>
            <color indexed="81"/>
            <rFont val="Tahoma"/>
            <family val="2"/>
          </rPr>
          <t xml:space="preserve">
</t>
        </r>
      </text>
    </comment>
    <comment ref="K236" authorId="0" shapeId="0" xr:uid="{484ED5BF-D780-4306-9221-4836A36E7D5D}">
      <text>
        <r>
          <rPr>
            <sz val="9"/>
            <color indexed="81"/>
            <rFont val="Tahoma"/>
            <family val="2"/>
          </rPr>
          <t>ARP: ELLIPTICAL/SPIRAL PAIR - Severely disturbed spiral with large plume, may be interacting with other 2 galaxies.</t>
        </r>
      </text>
    </comment>
    <comment ref="A237" authorId="0" shapeId="0" xr:uid="{13656FB6-645E-45C3-8F27-1774C95E4FFD}">
      <text>
        <r>
          <rPr>
            <sz val="9"/>
            <color indexed="81"/>
            <rFont val="Tahoma"/>
            <family val="2"/>
          </rPr>
          <t xml:space="preserve">
</t>
        </r>
      </text>
    </comment>
    <comment ref="K237" authorId="0" shapeId="0" xr:uid="{DA8CA1B4-8D21-4A72-A83C-E1E199F67FDC}">
      <text>
        <r>
          <rPr>
            <sz val="9"/>
            <color indexed="81"/>
            <rFont val="Tahoma"/>
            <family val="2"/>
          </rPr>
          <t>ARP: ELLIPTICAL/SPIRAL PAIR - 3 to 5 interacting galaxies with faint plumes.</t>
        </r>
      </text>
    </comment>
    <comment ref="A238" authorId="0" shapeId="0" xr:uid="{B7E23624-8D79-4541-80B2-8EEF4C4785C6}">
      <text>
        <r>
          <rPr>
            <sz val="9"/>
            <color indexed="81"/>
            <rFont val="Tahoma"/>
            <family val="2"/>
          </rPr>
          <t xml:space="preserve">
</t>
        </r>
      </text>
    </comment>
    <comment ref="K238" authorId="0" shapeId="0" xr:uid="{B149A86D-CE5A-47C1-BC40-360BF6B5C715}">
      <text>
        <r>
          <rPr>
            <sz val="9"/>
            <color indexed="81"/>
            <rFont val="Tahoma"/>
            <family val="2"/>
          </rPr>
          <t>ARP: ELLIPTICAL/SPIRAL PAIR - Trio of galaxies with plumes and a bridge.</t>
        </r>
      </text>
    </comment>
    <comment ref="A239" authorId="0" shapeId="0" xr:uid="{D8974A00-94B0-402C-8AC1-0692C935A9EB}">
      <text>
        <r>
          <rPr>
            <sz val="9"/>
            <color indexed="81"/>
            <rFont val="Tahoma"/>
            <family val="2"/>
          </rPr>
          <t xml:space="preserve">
</t>
        </r>
      </text>
    </comment>
    <comment ref="K239" authorId="0" shapeId="0" xr:uid="{BAF0EBF5-DBA1-4BD2-B981-CF58CAE899F9}">
      <text>
        <r>
          <rPr>
            <sz val="9"/>
            <color indexed="81"/>
            <rFont val="Tahoma"/>
            <family val="2"/>
          </rPr>
          <t>ARP: ELLIPTICAL/SPIRAL PAIR - Group of 8 galaxies but little disturbance seen.</t>
        </r>
      </text>
    </comment>
    <comment ref="A240" authorId="0" shapeId="0" xr:uid="{F5F79982-40BD-48C5-95AA-F0CD44A22C44}">
      <text>
        <r>
          <rPr>
            <sz val="9"/>
            <color indexed="81"/>
            <rFont val="Tahoma"/>
            <family val="2"/>
          </rPr>
          <t xml:space="preserve">
</t>
        </r>
      </text>
    </comment>
    <comment ref="K240" authorId="0" shapeId="0" xr:uid="{68E5E82D-4B44-4FC7-B821-6D56D1D39DCC}">
      <text>
        <r>
          <rPr>
            <sz val="9"/>
            <color indexed="81"/>
            <rFont val="Tahoma"/>
            <family val="2"/>
          </rPr>
          <t>ARP: ELLIPTICAL/SPIRAL PAIR - Face-on spiral with displaced core &amp; asymmetric disk, incl. VV rows. Little interaction.</t>
        </r>
      </text>
    </comment>
    <comment ref="A241" authorId="0" shapeId="0" xr:uid="{23A98546-A5A3-4749-8F1F-686353F0A576}">
      <text>
        <r>
          <rPr>
            <sz val="9"/>
            <color indexed="81"/>
            <rFont val="Tahoma"/>
            <family val="2"/>
          </rPr>
          <t xml:space="preserve">
</t>
        </r>
      </text>
    </comment>
    <comment ref="K241" authorId="0" shapeId="0" xr:uid="{3D71326A-69E6-4C51-9EAC-BE457450FDC2}">
      <text>
        <r>
          <rPr>
            <sz val="9"/>
            <color indexed="81"/>
            <rFont val="Tahoma"/>
            <family val="2"/>
          </rPr>
          <t>ARP: ELLIPTICAL/SPIRAL PAIR - Trio of galaxies with little interaction.</t>
        </r>
      </text>
    </comment>
    <comment ref="A242" authorId="0" shapeId="0" xr:uid="{D57BCEA2-DE1F-4F2B-A94D-640153A9C678}">
      <text>
        <r>
          <rPr>
            <sz val="9"/>
            <color indexed="81"/>
            <rFont val="Tahoma"/>
            <family val="2"/>
          </rPr>
          <t xml:space="preserve">
</t>
        </r>
      </text>
    </comment>
    <comment ref="K242" authorId="0" shapeId="0" xr:uid="{CF72972C-3308-407F-BA7A-CD609E071099}">
      <text>
        <r>
          <rPr>
            <sz val="9"/>
            <color indexed="81"/>
            <rFont val="Tahoma"/>
            <family val="2"/>
          </rPr>
          <t>ARP: ELLIPTICAL/SPIRAL PAIR - Bright elliptical next to interesting spiral - no interaction seen.</t>
        </r>
      </text>
    </comment>
    <comment ref="A243" authorId="0" shapeId="0" xr:uid="{1DC087DA-DF62-40B5-99D2-9924A641A7D3}">
      <text>
        <r>
          <rPr>
            <sz val="9"/>
            <color indexed="81"/>
            <rFont val="Tahoma"/>
            <family val="2"/>
          </rPr>
          <t xml:space="preserve">
</t>
        </r>
      </text>
    </comment>
    <comment ref="K243" authorId="0" shapeId="0" xr:uid="{309310C6-957A-4D29-862C-B91D87BB8D6B}">
      <text>
        <r>
          <rPr>
            <sz val="9"/>
            <color indexed="81"/>
            <rFont val="Tahoma"/>
            <family val="2"/>
          </rPr>
          <t>ARP: ELLIPTICAL/SPIRAL PAIR - Beautiful huge barred spiral, interesting structure and star clouds.</t>
        </r>
      </text>
    </comment>
    <comment ref="A244" authorId="0" shapeId="0" xr:uid="{2BA24040-DE1D-4079-85A1-BD6348853F31}">
      <text>
        <r>
          <rPr>
            <sz val="9"/>
            <color indexed="81"/>
            <rFont val="Tahoma"/>
            <family val="2"/>
          </rPr>
          <t xml:space="preserve">
</t>
        </r>
      </text>
    </comment>
    <comment ref="K244" authorId="0" shapeId="0" xr:uid="{29EC7D28-E623-4913-9AB5-6EC2FC9FD28A}">
      <text>
        <r>
          <rPr>
            <sz val="9"/>
            <color indexed="81"/>
            <rFont val="Tahoma"/>
            <family val="2"/>
          </rPr>
          <t>ARP: ELLIPTICAL/SPIRAL PAIR - Interacting pair includes double ring galaxy with blue clusters.</t>
        </r>
      </text>
    </comment>
    <comment ref="A245" authorId="0" shapeId="0" xr:uid="{75A42FB2-2DCD-4FE7-99CE-013606A68D33}">
      <text>
        <r>
          <rPr>
            <sz val="9"/>
            <color indexed="81"/>
            <rFont val="Tahoma"/>
            <family val="2"/>
          </rPr>
          <t xml:space="preserve">
</t>
        </r>
      </text>
    </comment>
    <comment ref="K245" authorId="0" shapeId="0" xr:uid="{50A851BD-89FD-4414-93FE-47D61F1994B3}">
      <text>
        <r>
          <rPr>
            <sz val="9"/>
            <color indexed="81"/>
            <rFont val="Tahoma"/>
            <family val="2"/>
          </rPr>
          <t>ARP: ELLIPTICAL/SPIRAL PAIR - Severely disturbed large spiral, looking like 2 merged galaxies.</t>
        </r>
      </text>
    </comment>
    <comment ref="A246" authorId="0" shapeId="0" xr:uid="{59D58700-C6D3-46CD-A9CA-F7B81EBED8D6}">
      <text>
        <r>
          <rPr>
            <sz val="9"/>
            <color indexed="81"/>
            <rFont val="Tahoma"/>
            <family val="2"/>
          </rPr>
          <t xml:space="preserve">
</t>
        </r>
      </text>
    </comment>
    <comment ref="K246" authorId="0" shapeId="0" xr:uid="{6A572788-72B3-44E4-BEC0-24AD2E7A3864}">
      <text>
        <r>
          <rPr>
            <sz val="9"/>
            <color indexed="81"/>
            <rFont val="Tahoma"/>
            <family val="2"/>
          </rPr>
          <t>ARP: ELLIPTICAL/SPIRAL PAIR - Large galaxy is severely warped with fantastic star streams.</t>
        </r>
      </text>
    </comment>
    <comment ref="A247" authorId="0" shapeId="0" xr:uid="{93BACC3F-7235-4989-8F77-739BE8F4E740}">
      <text>
        <r>
          <rPr>
            <sz val="9"/>
            <color indexed="81"/>
            <rFont val="Tahoma"/>
            <family val="2"/>
          </rPr>
          <t xml:space="preserve">
</t>
        </r>
      </text>
    </comment>
    <comment ref="K247" authorId="0" shapeId="0" xr:uid="{49FD3248-AA9F-4D68-839A-CEAE0F191B55}">
      <text>
        <r>
          <rPr>
            <sz val="9"/>
            <color indexed="81"/>
            <rFont val="Tahoma"/>
            <family val="2"/>
          </rPr>
          <t>ARP: ELLIPTICAL/SPIRAL PAIR - Lovely disturbed edge-on spiral, clearly interacting with elliptical.</t>
        </r>
      </text>
    </comment>
    <comment ref="A248" authorId="0" shapeId="0" xr:uid="{1501E02F-3619-4D7F-9152-5CA8196BD632}">
      <text>
        <r>
          <rPr>
            <sz val="9"/>
            <color indexed="81"/>
            <rFont val="Tahoma"/>
            <family val="2"/>
          </rPr>
          <t xml:space="preserve">
</t>
        </r>
      </text>
    </comment>
    <comment ref="K248" authorId="0" shapeId="0" xr:uid="{C9AB0E8C-9F6E-411E-BBA9-EAEC2061EF31}">
      <text>
        <r>
          <rPr>
            <sz val="9"/>
            <color indexed="81"/>
            <rFont val="Tahoma"/>
            <family val="2"/>
          </rPr>
          <t>ARP: ELLIPTICAL/SPIRAL PAIR - Spiral ring galaxy is disturbed  with warped disk and star plumes.</t>
        </r>
      </text>
    </comment>
    <comment ref="A249" authorId="0" shapeId="0" xr:uid="{235AB3B9-4FFB-4969-85EB-FCA3C647E49A}">
      <text>
        <r>
          <rPr>
            <sz val="9"/>
            <color indexed="81"/>
            <rFont val="Tahoma"/>
            <family val="2"/>
          </rPr>
          <t xml:space="preserve">
</t>
        </r>
      </text>
    </comment>
    <comment ref="K249" authorId="0" shapeId="0" xr:uid="{8DE246A6-E366-48A4-BD04-C1E56D5653C8}">
      <text>
        <r>
          <rPr>
            <sz val="9"/>
            <color indexed="81"/>
            <rFont val="Tahoma"/>
            <family val="2"/>
          </rPr>
          <t>ARP: ELLIPTICAL/SPIRAL PAIR - Asymmetric spiral disk with some warping and interaction with elliptical.</t>
        </r>
      </text>
    </comment>
    <comment ref="A250" authorId="0" shapeId="0" xr:uid="{F8841EBF-3DBF-40A6-9C41-C0259BC5348E}">
      <text>
        <r>
          <rPr>
            <sz val="9"/>
            <color indexed="81"/>
            <rFont val="Tahoma"/>
            <family val="2"/>
          </rPr>
          <t xml:space="preserve">
</t>
        </r>
      </text>
    </comment>
    <comment ref="K250" authorId="0" shapeId="0" xr:uid="{2D998B7A-902D-49DE-8D45-E560E22CD35B}">
      <text>
        <r>
          <rPr>
            <sz val="9"/>
            <color indexed="81"/>
            <rFont val="Tahoma"/>
            <family val="2"/>
          </rPr>
          <t xml:space="preserve">ARP: ELLIPTICAL/SPIRAL PAIR - Warped spiral disk with wavy dust lanes. </t>
        </r>
      </text>
    </comment>
    <comment ref="A251" authorId="0" shapeId="0" xr:uid="{A3BB9174-D608-4622-A65F-32D0F395E00C}">
      <text>
        <r>
          <rPr>
            <sz val="9"/>
            <color indexed="81"/>
            <rFont val="Tahoma"/>
            <family val="2"/>
          </rPr>
          <t xml:space="preserve">
</t>
        </r>
      </text>
    </comment>
    <comment ref="K251" authorId="0" shapeId="0" xr:uid="{F898AF9D-5726-41EB-BEB3-072879B85747}">
      <text>
        <r>
          <rPr>
            <sz val="9"/>
            <color indexed="81"/>
            <rFont val="Tahoma"/>
            <family val="2"/>
          </rPr>
          <t>ARP: ELLIPTICAL/SPIRAL PAIR - Collisional ring galaxy with impacting companion still present.</t>
        </r>
      </text>
    </comment>
    <comment ref="A252" authorId="0" shapeId="0" xr:uid="{B354DC8A-BAAC-4087-B2B5-79C88941CD5E}">
      <text>
        <r>
          <rPr>
            <sz val="9"/>
            <color indexed="81"/>
            <rFont val="Tahoma"/>
            <family val="2"/>
          </rPr>
          <t xml:space="preserve">
</t>
        </r>
      </text>
    </comment>
    <comment ref="K252" authorId="0" shapeId="0" xr:uid="{FBDB0D5A-81F4-4CF6-AA89-193E7C7DF676}">
      <text>
        <r>
          <rPr>
            <sz val="9"/>
            <color indexed="81"/>
            <rFont val="Tahoma"/>
            <family val="2"/>
          </rPr>
          <t>ARP: ELLIPTICAL/SPIRAL PAIR - Pair of galaxies, one irregular, that are unlikely interacting.</t>
        </r>
      </text>
    </comment>
    <comment ref="A253" authorId="0" shapeId="0" xr:uid="{32D5AD25-9578-4443-8CEB-13C9F7AC8436}">
      <text>
        <r>
          <rPr>
            <sz val="9"/>
            <color indexed="81"/>
            <rFont val="Tahoma"/>
            <family val="2"/>
          </rPr>
          <t xml:space="preserve">
</t>
        </r>
      </text>
    </comment>
    <comment ref="K253" authorId="0" shapeId="0" xr:uid="{05419942-3C9F-4884-930C-8AB115D57F39}">
      <text>
        <r>
          <rPr>
            <sz val="9"/>
            <color indexed="81"/>
            <rFont val="Tahoma"/>
            <family val="2"/>
          </rPr>
          <t>ARP: ELLIPTICAL/SPIRAL PAIR - Superimposed pair of galaxies, not interacting.</t>
        </r>
      </text>
    </comment>
    <comment ref="A254" authorId="0" shapeId="0" xr:uid="{D5225D17-7A71-47D1-9CBB-86B1A0BFADC0}">
      <text>
        <r>
          <rPr>
            <sz val="9"/>
            <color indexed="81"/>
            <rFont val="Tahoma"/>
            <family val="2"/>
          </rPr>
          <t xml:space="preserve">
</t>
        </r>
      </text>
    </comment>
    <comment ref="K254" authorId="0" shapeId="0" xr:uid="{EC62D3CC-BFB6-4A57-9630-F40BC335A1B4}">
      <text>
        <r>
          <rPr>
            <sz val="9"/>
            <color indexed="81"/>
            <rFont val="Tahoma"/>
            <family val="2"/>
          </rPr>
          <t>ARP: ELLIPTICAL/SPIRAL PAIR - 2 overlapping galaxies, not interacting</t>
        </r>
      </text>
    </comment>
    <comment ref="A255" authorId="0" shapeId="0" xr:uid="{923C017A-A803-4822-B7B2-A321C7B9EDFA}">
      <text>
        <r>
          <rPr>
            <sz val="9"/>
            <color indexed="81"/>
            <rFont val="Tahoma"/>
            <family val="2"/>
          </rPr>
          <t xml:space="preserve">
</t>
        </r>
      </text>
    </comment>
    <comment ref="K255" authorId="0" shapeId="0" xr:uid="{646CAA0C-2B7F-4238-9558-D4EA7CB1F02A}">
      <text>
        <r>
          <rPr>
            <sz val="9"/>
            <color indexed="81"/>
            <rFont val="Tahoma"/>
            <family val="2"/>
          </rPr>
          <t>ARP: ELLIPTICAL/SPIRAL PAIR - Interacting pair, with disturbance and star formation in the spiral.</t>
        </r>
      </text>
    </comment>
    <comment ref="A256" authorId="0" shapeId="0" xr:uid="{8955CEFF-0400-4763-9150-382D05B21E93}">
      <text>
        <r>
          <rPr>
            <sz val="9"/>
            <color indexed="81"/>
            <rFont val="Tahoma"/>
            <family val="2"/>
          </rPr>
          <t xml:space="preserve">
</t>
        </r>
      </text>
    </comment>
    <comment ref="K256" authorId="0" shapeId="0" xr:uid="{3C9098B3-221D-48E4-8704-86A395CF992F}">
      <text>
        <r>
          <rPr>
            <sz val="9"/>
            <color indexed="81"/>
            <rFont val="Tahoma"/>
            <family val="2"/>
          </rPr>
          <t>ARP: ELLIPTICAL/SPIRAL PAIR - Disturbed spiral with looping star streams.</t>
        </r>
      </text>
    </comment>
    <comment ref="A257" authorId="0" shapeId="0" xr:uid="{4B23A260-6542-4AA2-ADFB-676C20CEAD68}">
      <text>
        <r>
          <rPr>
            <sz val="9"/>
            <color indexed="81"/>
            <rFont val="Tahoma"/>
            <family val="2"/>
          </rPr>
          <t xml:space="preserve">
</t>
        </r>
      </text>
    </comment>
    <comment ref="K257" authorId="0" shapeId="0" xr:uid="{9D58EDA8-8636-47C4-92E0-64CFE75931C1}">
      <text>
        <r>
          <rPr>
            <sz val="9"/>
            <color indexed="81"/>
            <rFont val="Tahoma"/>
            <family val="2"/>
          </rPr>
          <t>ARP: ELLIPTICAL/SPIRAL PAIR - Spiral somewhat disturbed, but pair unlikely to be interacting.</t>
        </r>
      </text>
    </comment>
    <comment ref="A258" authorId="0" shapeId="0" xr:uid="{2F0588AD-D7DC-4C7A-A93D-F48442F35EE5}">
      <text>
        <r>
          <rPr>
            <sz val="9"/>
            <color indexed="81"/>
            <rFont val="Tahoma"/>
            <family val="2"/>
          </rPr>
          <t xml:space="preserve">
</t>
        </r>
      </text>
    </comment>
    <comment ref="K258" authorId="0" shapeId="0" xr:uid="{5556960B-10A7-4F51-8147-2BE3C8E15E39}">
      <text>
        <r>
          <rPr>
            <sz val="9"/>
            <color indexed="81"/>
            <rFont val="Tahoma"/>
            <family val="2"/>
          </rPr>
          <t>ARP: ELLIPTICAL/SPIRAL PAIR - Small galaxies.  Spiral looks like polar ring galaxy.</t>
        </r>
      </text>
    </comment>
    <comment ref="A259" authorId="0" shapeId="0" xr:uid="{5B953937-9930-4790-BC12-7818FF7F9E43}">
      <text>
        <r>
          <rPr>
            <sz val="9"/>
            <color indexed="81"/>
            <rFont val="Tahoma"/>
            <family val="2"/>
          </rPr>
          <t xml:space="preserve">
</t>
        </r>
      </text>
    </comment>
    <comment ref="K259" authorId="0" shapeId="0" xr:uid="{CC5E28F1-AF44-4E33-84AB-4A8C878B6753}">
      <text>
        <r>
          <rPr>
            <sz val="9"/>
            <color indexed="81"/>
            <rFont val="Tahoma"/>
            <family val="2"/>
          </rPr>
          <t>ARP: FRAGMENTED ELLIPTICAL - Fascinating blue peculiar galaxy been driving by a radio elliptical jet.</t>
        </r>
      </text>
    </comment>
    <comment ref="A260" authorId="0" shapeId="0" xr:uid="{DCC6D688-2C31-491B-B4D4-BA00EF048683}">
      <text>
        <r>
          <rPr>
            <sz val="9"/>
            <color indexed="81"/>
            <rFont val="Tahoma"/>
            <family val="2"/>
          </rPr>
          <t xml:space="preserve">
</t>
        </r>
      </text>
    </comment>
    <comment ref="K260" authorId="0" shapeId="0" xr:uid="{7F175373-80B5-4638-9F71-E6B53BB945ED}">
      <text>
        <r>
          <rPr>
            <sz val="9"/>
            <color indexed="81"/>
            <rFont val="Tahoma"/>
            <family val="2"/>
          </rPr>
          <t>ARP: FRAGMENTED ELLIPTICAL - Lenticular has small dwarf blue companion that is causing some disturbance.</t>
        </r>
      </text>
    </comment>
    <comment ref="A261" authorId="0" shapeId="0" xr:uid="{CF0F50C3-98AC-4D9A-9DB1-97C0890A60EA}">
      <text>
        <r>
          <rPr>
            <sz val="9"/>
            <color indexed="81"/>
            <rFont val="Tahoma"/>
            <family val="2"/>
          </rPr>
          <t xml:space="preserve">
</t>
        </r>
      </text>
    </comment>
    <comment ref="K261" authorId="0" shapeId="0" xr:uid="{6F64B872-4643-41A4-B28D-1D032F331D23}">
      <text>
        <r>
          <rPr>
            <sz val="9"/>
            <color indexed="81"/>
            <rFont val="Tahoma"/>
            <family val="2"/>
          </rPr>
          <t>ARP: FRAGMENTED ELLIPTICAL - Lenticular has plume that extends down and to the left.</t>
        </r>
      </text>
    </comment>
    <comment ref="A262" authorId="0" shapeId="0" xr:uid="{2CBE594F-B5A4-4DF7-A6D5-74D81AB1ED77}">
      <text>
        <r>
          <rPr>
            <sz val="9"/>
            <color indexed="81"/>
            <rFont val="Tahoma"/>
            <family val="2"/>
          </rPr>
          <t xml:space="preserve">
</t>
        </r>
      </text>
    </comment>
    <comment ref="K262" authorId="0" shapeId="0" xr:uid="{4343AEAD-114C-420A-B5E3-5A7C21A367D7}">
      <text>
        <r>
          <rPr>
            <sz val="9"/>
            <color indexed="81"/>
            <rFont val="Tahoma"/>
            <family val="2"/>
          </rPr>
          <t>ARP: ELLIP. EMANATING MATERIAL - Grand design spiral - somewhat distorted.</t>
        </r>
      </text>
    </comment>
    <comment ref="A263" authorId="0" shapeId="0" xr:uid="{6F26EAD6-1DEB-4F7E-B4F2-5BE9CE18AD1F}">
      <text>
        <r>
          <rPr>
            <sz val="9"/>
            <color indexed="81"/>
            <rFont val="Tahoma"/>
            <family val="2"/>
          </rPr>
          <t xml:space="preserve">
</t>
        </r>
      </text>
    </comment>
    <comment ref="K263" authorId="0" shapeId="0" xr:uid="{9E68C578-41C5-4482-B2F1-DA3AB786E84E}">
      <text>
        <r>
          <rPr>
            <sz val="9"/>
            <color indexed="81"/>
            <rFont val="Tahoma"/>
            <family val="2"/>
          </rPr>
          <t>ARP: ELLIP. EMANATING MATERIAL - 2 superimposed galaxies, not unusual.</t>
        </r>
      </text>
    </comment>
    <comment ref="A264" authorId="0" shapeId="0" xr:uid="{A21CEF2B-CD8E-46C4-BCB6-10FEE4A77A3D}">
      <text>
        <r>
          <rPr>
            <sz val="9"/>
            <color indexed="81"/>
            <rFont val="Tahoma"/>
            <family val="2"/>
          </rPr>
          <t xml:space="preserve">
</t>
        </r>
      </text>
    </comment>
    <comment ref="K264" authorId="0" shapeId="0" xr:uid="{3327DF20-723E-47B9-9D54-4DA51C65221A}">
      <text>
        <r>
          <rPr>
            <sz val="9"/>
            <color indexed="81"/>
            <rFont val="Tahoma"/>
            <family val="2"/>
          </rPr>
          <t>ARP: ELLIP. EMANATING MATERIAL - Looks like 3 small interacting galaxies</t>
        </r>
      </text>
    </comment>
    <comment ref="A265" authorId="0" shapeId="0" xr:uid="{63B9B459-2BA8-4F7E-ADFB-82AAACEBE778}">
      <text>
        <r>
          <rPr>
            <sz val="9"/>
            <color indexed="81"/>
            <rFont val="Tahoma"/>
            <family val="2"/>
          </rPr>
          <t xml:space="preserve">
</t>
        </r>
      </text>
    </comment>
    <comment ref="K265" authorId="0" shapeId="0" xr:uid="{76E82F78-02FE-4EC1-882E-69ECE9DDA8D4}">
      <text>
        <r>
          <rPr>
            <sz val="9"/>
            <color indexed="81"/>
            <rFont val="Tahoma"/>
            <family val="2"/>
          </rPr>
          <t>ARP: ELLIP. EMANATING MATERIAL - Fascinating interacting pair, with bright blue star clouds</t>
        </r>
      </text>
    </comment>
    <comment ref="A266" authorId="0" shapeId="0" xr:uid="{C977E7AE-863E-4632-B08C-288D881DD3F9}">
      <text>
        <r>
          <rPr>
            <sz val="9"/>
            <color indexed="81"/>
            <rFont val="Tahoma"/>
            <family val="2"/>
          </rPr>
          <t xml:space="preserve">
</t>
        </r>
      </text>
    </comment>
    <comment ref="K266" authorId="0" shapeId="0" xr:uid="{40F29ECE-3CDD-4203-A896-EB0A41C80F72}">
      <text>
        <r>
          <rPr>
            <sz val="9"/>
            <color indexed="81"/>
            <rFont val="Tahoma"/>
            <family val="2"/>
          </rPr>
          <t>ARP: ELLIP. EMANATING MATERIAL - Spiral severely distorted with blue star clouds</t>
        </r>
      </text>
    </comment>
    <comment ref="A267" authorId="0" shapeId="0" xr:uid="{76F262C3-79C5-4212-8666-A3E6AF39B351}">
      <text>
        <r>
          <rPr>
            <sz val="9"/>
            <color indexed="81"/>
            <rFont val="Tahoma"/>
            <family val="2"/>
          </rPr>
          <t xml:space="preserve">
</t>
        </r>
      </text>
    </comment>
    <comment ref="K267" authorId="0" shapeId="0" xr:uid="{F0339D90-8F55-4190-99FE-1EB782D889BB}">
      <text>
        <r>
          <rPr>
            <sz val="9"/>
            <color indexed="81"/>
            <rFont val="Tahoma"/>
            <family val="2"/>
          </rPr>
          <t>ARP: ELLIP. EMANATING MATERIAL - Beautifully distorted colorful spiral.</t>
        </r>
      </text>
    </comment>
    <comment ref="A268" authorId="0" shapeId="0" xr:uid="{919818A7-5269-4134-BF37-DBF180005D5E}">
      <text>
        <r>
          <rPr>
            <sz val="9"/>
            <color indexed="81"/>
            <rFont val="Tahoma"/>
            <family val="2"/>
          </rPr>
          <t xml:space="preserve">
</t>
        </r>
      </text>
    </comment>
    <comment ref="K268" authorId="0" shapeId="0" xr:uid="{D13D0B82-A5E0-4CA8-89A8-D87FBCE916F3}">
      <text>
        <r>
          <rPr>
            <sz val="9"/>
            <color indexed="81"/>
            <rFont val="Tahoma"/>
            <family val="2"/>
          </rPr>
          <t>ARP: ELLIP. EMANATING MATERIAL - Wonderfully distorted colorful pair.</t>
        </r>
      </text>
    </comment>
    <comment ref="A269" authorId="0" shapeId="0" xr:uid="{F464B788-CA48-4973-9FC0-17466BF4182E}">
      <text>
        <r>
          <rPr>
            <sz val="9"/>
            <color indexed="81"/>
            <rFont val="Tahoma"/>
            <family val="2"/>
          </rPr>
          <t xml:space="preserve">
</t>
        </r>
      </text>
    </comment>
    <comment ref="K269" authorId="0" shapeId="0" xr:uid="{231C6DBD-C17B-4286-9F83-C8D9B4036785}">
      <text>
        <r>
          <rPr>
            <sz val="9"/>
            <color indexed="81"/>
            <rFont val="Tahoma"/>
            <family val="2"/>
          </rPr>
          <t>ARP: ELLIP. EMANATING MATERIAL - Wildly distorted blue spiral with looping star streams.</t>
        </r>
      </text>
    </comment>
    <comment ref="A270" authorId="0" shapeId="0" xr:uid="{F3BA4A59-7ADC-4526-B1D2-3DE81DD20741}">
      <text>
        <r>
          <rPr>
            <sz val="9"/>
            <color indexed="81"/>
            <rFont val="Tahoma"/>
            <family val="2"/>
          </rPr>
          <t xml:space="preserve">
</t>
        </r>
      </text>
    </comment>
    <comment ref="K270" authorId="0" shapeId="0" xr:uid="{91393242-E935-4EBC-8386-E97353A8F0EA}">
      <text>
        <r>
          <rPr>
            <sz val="9"/>
            <color indexed="81"/>
            <rFont val="Tahoma"/>
            <family val="2"/>
          </rPr>
          <t>ARP: ELLIP. EMANATING MATERIAL - Distorted blue ring spiral, with bright star clouds.</t>
        </r>
      </text>
    </comment>
    <comment ref="A271" authorId="0" shapeId="0" xr:uid="{E6F27EF1-002D-4B43-B9D5-65670A0E59BD}">
      <text>
        <r>
          <rPr>
            <sz val="9"/>
            <color indexed="81"/>
            <rFont val="Tahoma"/>
            <family val="2"/>
          </rPr>
          <t xml:space="preserve">
</t>
        </r>
      </text>
    </comment>
    <comment ref="K271" authorId="0" shapeId="0" xr:uid="{9FC11BBF-B0A1-4C23-96D7-2B3B4927CD91}">
      <text>
        <r>
          <rPr>
            <sz val="9"/>
            <color indexed="81"/>
            <rFont val="Tahoma"/>
            <family val="2"/>
          </rPr>
          <t>ARP: RINGS - Collisional ring galaxy, with companion still present.</t>
        </r>
      </text>
    </comment>
    <comment ref="A272" authorId="0" shapeId="0" xr:uid="{BD76EAFA-DC72-42CD-8447-ED64A58B4DA0}">
      <text>
        <r>
          <rPr>
            <sz val="9"/>
            <color indexed="81"/>
            <rFont val="Tahoma"/>
            <family val="2"/>
          </rPr>
          <t xml:space="preserve">
</t>
        </r>
      </text>
    </comment>
    <comment ref="K272" authorId="0" shapeId="0" xr:uid="{1D8C9AF3-0B2F-4CA5-913D-C1A84AABCE3F}">
      <text>
        <r>
          <rPr>
            <sz val="9"/>
            <color indexed="81"/>
            <rFont val="Tahoma"/>
            <family val="2"/>
          </rPr>
          <t>ARP: RINGS - Collisional ring galaxy with star clouds around the impacted rim.</t>
        </r>
      </text>
    </comment>
    <comment ref="A273" authorId="0" shapeId="0" xr:uid="{47D888F1-B6FE-46C9-9430-062CD8CB4C8A}">
      <text>
        <r>
          <rPr>
            <sz val="9"/>
            <color indexed="81"/>
            <rFont val="Tahoma"/>
            <family val="2"/>
          </rPr>
          <t xml:space="preserve">
</t>
        </r>
      </text>
    </comment>
    <comment ref="K273" authorId="0" shapeId="0" xr:uid="{871C4F24-A85E-4C6B-A3E1-96351C9D82FE}">
      <text>
        <r>
          <rPr>
            <sz val="9"/>
            <color indexed="81"/>
            <rFont val="Tahoma"/>
            <family val="2"/>
          </rPr>
          <t>ARP: RINGS - Collisional ring galaxy, impacting companion is larger than usual.</t>
        </r>
      </text>
    </comment>
    <comment ref="A274" authorId="0" shapeId="0" xr:uid="{68D21AD7-A56F-4DCE-92CA-3516F3665932}">
      <text>
        <r>
          <rPr>
            <sz val="9"/>
            <color indexed="81"/>
            <rFont val="Tahoma"/>
            <family val="2"/>
          </rPr>
          <t xml:space="preserve">
</t>
        </r>
      </text>
    </comment>
    <comment ref="K274" authorId="0" shapeId="0" xr:uid="{ED7F3701-6BAD-4E64-B1D6-CA09D550D0B2}">
      <text>
        <r>
          <rPr>
            <sz val="9"/>
            <color indexed="81"/>
            <rFont val="Tahoma"/>
            <family val="2"/>
          </rPr>
          <t>ARP: JETS - Pair of interacting galaxies with star stream bridge, no jets.</t>
        </r>
      </text>
    </comment>
    <comment ref="A275" authorId="0" shapeId="0" xr:uid="{F70AB375-6D2F-4D21-9971-D464911C96F8}">
      <text>
        <r>
          <rPr>
            <sz val="9"/>
            <color indexed="81"/>
            <rFont val="Tahoma"/>
            <family val="2"/>
          </rPr>
          <t xml:space="preserve">
</t>
        </r>
      </text>
    </comment>
    <comment ref="K275" authorId="0" shapeId="0" xr:uid="{B298DD95-C8F9-4CF9-A769-2454F4072022}">
      <text>
        <r>
          <rPr>
            <sz val="9"/>
            <color indexed="81"/>
            <rFont val="Tahoma"/>
            <family val="2"/>
          </rPr>
          <t>ARP: JETS - Interacting galaxy trio with linear star streams but no jets.</t>
        </r>
      </text>
    </comment>
    <comment ref="A276" authorId="0" shapeId="0" xr:uid="{295BC498-960F-4845-80E7-BA477B1A3AEC}">
      <text>
        <r>
          <rPr>
            <sz val="9"/>
            <color indexed="81"/>
            <rFont val="Tahoma"/>
            <family val="2"/>
          </rPr>
          <t xml:space="preserve">
</t>
        </r>
      </text>
    </comment>
    <comment ref="K276" authorId="0" shapeId="0" xr:uid="{1B2B48F7-606E-4C8D-B8FC-99629DCA5AC9}">
      <text>
        <r>
          <rPr>
            <sz val="9"/>
            <color indexed="81"/>
            <rFont val="Tahoma"/>
            <family val="2"/>
          </rPr>
          <t>ARP: JETS -  Trio of galaxies with straight 100,000 ly long star stream.  No jet.</t>
        </r>
      </text>
    </comment>
    <comment ref="A277" authorId="0" shapeId="0" xr:uid="{BF720528-C492-43CB-922A-540685D16E0B}">
      <text>
        <r>
          <rPr>
            <sz val="9"/>
            <color indexed="81"/>
            <rFont val="Tahoma"/>
            <family val="2"/>
          </rPr>
          <t xml:space="preserve">
</t>
        </r>
      </text>
    </comment>
    <comment ref="K277" authorId="0" shapeId="0" xr:uid="{107A5A57-4888-40A5-B8E8-F76105C5BBEB}">
      <text>
        <r>
          <rPr>
            <sz val="9"/>
            <color indexed="81"/>
            <rFont val="Tahoma"/>
            <family val="2"/>
          </rPr>
          <t>ARP: DISTURBED WITH ABSORPTION -  Interesting dust lanes and star streams.</t>
        </r>
      </text>
    </comment>
    <comment ref="A278" authorId="0" shapeId="0" xr:uid="{2B90DA2D-A988-471A-812D-89342CF289D8}">
      <text>
        <r>
          <rPr>
            <sz val="9"/>
            <color indexed="81"/>
            <rFont val="Tahoma"/>
            <family val="2"/>
          </rPr>
          <t xml:space="preserve">
</t>
        </r>
      </text>
    </comment>
    <comment ref="K278" authorId="0" shapeId="0" xr:uid="{C406F337-F6D7-4200-9BD1-F52E7894081D}">
      <text>
        <r>
          <rPr>
            <sz val="9"/>
            <color indexed="81"/>
            <rFont val="Tahoma"/>
            <family val="2"/>
          </rPr>
          <t>ARP: DISTURBED WITH ABSORPTION -  Disturbed spiral with strong dust lane and extended star streams.</t>
        </r>
      </text>
    </comment>
    <comment ref="A279" authorId="0" shapeId="0" xr:uid="{B6DF3849-F323-4627-9F84-9E950B525ADF}">
      <text>
        <r>
          <rPr>
            <sz val="9"/>
            <color indexed="81"/>
            <rFont val="Tahoma"/>
            <family val="2"/>
          </rPr>
          <t xml:space="preserve">
</t>
        </r>
      </text>
    </comment>
    <comment ref="K279" authorId="0" shapeId="0" xr:uid="{068C26DC-D8E2-457E-9B50-A4585567600F}">
      <text>
        <r>
          <rPr>
            <sz val="9"/>
            <color indexed="81"/>
            <rFont val="Tahoma"/>
            <family val="2"/>
          </rPr>
          <t>ARP: DISTURBED WITH ABSORPTION -  Pair of colliding galaxies with remnants of both cores still visible.</t>
        </r>
      </text>
    </comment>
    <comment ref="A280" authorId="0" shapeId="0" xr:uid="{2980A2F3-0A6A-4C84-A794-92DB789BADE6}">
      <text>
        <r>
          <rPr>
            <sz val="9"/>
            <color indexed="81"/>
            <rFont val="Tahoma"/>
            <family val="2"/>
          </rPr>
          <t xml:space="preserve">
</t>
        </r>
      </text>
    </comment>
    <comment ref="K280" authorId="0" shapeId="0" xr:uid="{62581DED-5A29-472C-8132-AD2BEAA40055}">
      <text>
        <r>
          <rPr>
            <sz val="9"/>
            <color indexed="81"/>
            <rFont val="Tahoma"/>
            <family val="2"/>
          </rPr>
          <t>ARP: DISTURBED WITH ABSORPTION -  Classic merger profile with extended star streams and dust lanes.</t>
        </r>
      </text>
    </comment>
    <comment ref="A281" authorId="0" shapeId="0" xr:uid="{4BCDD160-143B-47CC-87C9-D7D3F0C3579E}">
      <text>
        <r>
          <rPr>
            <sz val="9"/>
            <color indexed="81"/>
            <rFont val="Tahoma"/>
            <family val="2"/>
          </rPr>
          <t xml:space="preserve">
</t>
        </r>
      </text>
    </comment>
    <comment ref="K281" authorId="0" shapeId="0" xr:uid="{83D0EB17-5915-47C5-B905-AA4F7C9C8DDE}">
      <text>
        <r>
          <rPr>
            <sz val="9"/>
            <color indexed="81"/>
            <rFont val="Tahoma"/>
            <family val="2"/>
          </rPr>
          <t>ARP: DISTURBED WITH ABSORPTION -  merged core with extended star streams.</t>
        </r>
      </text>
    </comment>
    <comment ref="A282" authorId="0" shapeId="0" xr:uid="{F55784E2-ED93-49A9-B85F-23FD6311420C}">
      <text>
        <r>
          <rPr>
            <sz val="9"/>
            <color indexed="81"/>
            <rFont val="Tahoma"/>
            <family val="2"/>
          </rPr>
          <t xml:space="preserve">
</t>
        </r>
      </text>
    </comment>
    <comment ref="K282" authorId="0" shapeId="0" xr:uid="{7B6933E6-CCFB-4388-85AA-EF1501ABF135}">
      <text>
        <r>
          <rPr>
            <sz val="9"/>
            <color indexed="81"/>
            <rFont val="Tahoma"/>
            <family val="2"/>
          </rPr>
          <t>ARP: DISTURBED WITH ABSORPTION -  Late stage merger of 2 galaxies, nice color including HII regions.</t>
        </r>
      </text>
    </comment>
    <comment ref="A283" authorId="0" shapeId="0" xr:uid="{E8F7F3E4-376B-46A0-AC7F-6999580EA9B8}">
      <text>
        <r>
          <rPr>
            <sz val="9"/>
            <color indexed="81"/>
            <rFont val="Tahoma"/>
            <family val="2"/>
          </rPr>
          <t xml:space="preserve">
</t>
        </r>
      </text>
    </comment>
    <comment ref="K283" authorId="0" shapeId="0" xr:uid="{04E1817F-6326-4C3E-BDB1-5D7866E5CBB5}">
      <text>
        <r>
          <rPr>
            <sz val="9"/>
            <color indexed="81"/>
            <rFont val="Tahoma"/>
            <family val="2"/>
          </rPr>
          <t>ARP: DIFFUSE FILAMENTS - Pair of merging galaxies with long extended star stream tail.</t>
        </r>
      </text>
    </comment>
    <comment ref="A284" authorId="0" shapeId="0" xr:uid="{AD5B07A8-C5BB-440D-A824-2B9091CF1906}">
      <text>
        <r>
          <rPr>
            <sz val="9"/>
            <color indexed="81"/>
            <rFont val="Tahoma"/>
            <family val="2"/>
          </rPr>
          <t xml:space="preserve">
</t>
        </r>
      </text>
    </comment>
    <comment ref="K284" authorId="0" shapeId="0" xr:uid="{CF1B8DDC-F855-4027-8623-79AC8DCD19A1}">
      <text>
        <r>
          <rPr>
            <sz val="9"/>
            <color indexed="81"/>
            <rFont val="Tahoma"/>
            <family val="2"/>
          </rPr>
          <t>ARP: DIFFUSE FILAMENTS - Lenticular galaxy with spherical halo and bright disk.</t>
        </r>
      </text>
    </comment>
    <comment ref="A285" authorId="0" shapeId="0" xr:uid="{A4A32F9C-E2B2-4396-B932-D92EC485C6FF}">
      <text>
        <r>
          <rPr>
            <sz val="9"/>
            <color indexed="81"/>
            <rFont val="Tahoma"/>
            <family val="2"/>
          </rPr>
          <t xml:space="preserve">
</t>
        </r>
      </text>
    </comment>
    <comment ref="K285" authorId="0" shapeId="0" xr:uid="{9808BD38-FC58-4B9B-B752-6F53E49B7A0D}">
      <text>
        <r>
          <rPr>
            <sz val="9"/>
            <color indexed="81"/>
            <rFont val="Tahoma"/>
            <family val="2"/>
          </rPr>
          <t>ARP: DIFFUSE FILAMENTS - Small dwarf blue galaxy with star clouds.</t>
        </r>
      </text>
    </comment>
    <comment ref="A286" authorId="0" shapeId="0" xr:uid="{18E71BF1-FAC1-4D79-8728-8BFD6CA242D7}">
      <text>
        <r>
          <rPr>
            <sz val="9"/>
            <color indexed="81"/>
            <rFont val="Tahoma"/>
            <family val="2"/>
          </rPr>
          <t xml:space="preserve">
</t>
        </r>
      </text>
    </comment>
    <comment ref="K286" authorId="0" shapeId="0" xr:uid="{C2EE2C76-A28D-45D9-9D3C-5E58B65EF83E}">
      <text>
        <r>
          <rPr>
            <sz val="9"/>
            <color indexed="81"/>
            <rFont val="Tahoma"/>
            <family val="2"/>
          </rPr>
          <t>ARP: DIFFUSE FILAMENTS - Large lenticular with extended and looping star streams.</t>
        </r>
      </text>
    </comment>
    <comment ref="A287" authorId="0" shapeId="0" xr:uid="{8A90A85B-BFCB-402F-8487-9970932B6054}">
      <text>
        <r>
          <rPr>
            <sz val="9"/>
            <color indexed="81"/>
            <rFont val="Tahoma"/>
            <family val="2"/>
          </rPr>
          <t xml:space="preserve">
</t>
        </r>
      </text>
    </comment>
    <comment ref="K287" authorId="0" shapeId="0" xr:uid="{AB9FC2E5-6B2D-4CE3-AC04-D554F43B11A9}">
      <text>
        <r>
          <rPr>
            <sz val="9"/>
            <color indexed="81"/>
            <rFont val="Tahoma"/>
            <family val="2"/>
          </rPr>
          <t>ARP: DIFFUSE FILAMENTS - Elliptical with unusually long star stream tail.</t>
        </r>
      </text>
    </comment>
    <comment ref="A288" authorId="0" shapeId="0" xr:uid="{7F4CEBB3-385C-4A4C-9BC1-24190A1EDBD6}">
      <text>
        <r>
          <rPr>
            <sz val="9"/>
            <color indexed="81"/>
            <rFont val="Tahoma"/>
            <family val="2"/>
          </rPr>
          <t xml:space="preserve">
</t>
        </r>
      </text>
    </comment>
    <comment ref="K288" authorId="0" shapeId="0" xr:uid="{2BDE09AA-DE43-4223-852C-9CCECF002350}">
      <text>
        <r>
          <rPr>
            <sz val="9"/>
            <color indexed="81"/>
            <rFont val="Tahoma"/>
            <family val="2"/>
          </rPr>
          <t>ARP: DIFFUSE FILAMENTS - Unusual barbell-like structure, with 2 bright galaxies bridge connected.</t>
        </r>
      </text>
    </comment>
    <comment ref="A289" authorId="0" shapeId="0" xr:uid="{4F3D8D63-ACA2-4B22-A0F1-13ABDF607394}">
      <text>
        <r>
          <rPr>
            <sz val="9"/>
            <color indexed="81"/>
            <rFont val="Tahoma"/>
            <family val="2"/>
          </rPr>
          <t xml:space="preserve">
</t>
        </r>
      </text>
    </comment>
    <comment ref="K289" authorId="0" shapeId="0" xr:uid="{DDF6242B-E640-4B0A-95CD-52933A8B0334}">
      <text>
        <r>
          <rPr>
            <sz val="9"/>
            <color indexed="81"/>
            <rFont val="Tahoma"/>
            <family val="2"/>
          </rPr>
          <t>ARP: DIFFUSE COUNTER-TAILS - Pair of ellipticals with some distortion, likely are interacting.</t>
        </r>
      </text>
    </comment>
    <comment ref="A290" authorId="0" shapeId="0" xr:uid="{79A96625-FBAC-40FC-AFB6-D4DEF458B8BF}">
      <text>
        <r>
          <rPr>
            <sz val="9"/>
            <color indexed="81"/>
            <rFont val="Tahoma"/>
            <family val="2"/>
          </rPr>
          <t xml:space="preserve">
</t>
        </r>
      </text>
    </comment>
    <comment ref="K290" authorId="0" shapeId="0" xr:uid="{46FEB9C7-81CE-40C3-924C-2E6BCFFD034B}">
      <text>
        <r>
          <rPr>
            <sz val="9"/>
            <color indexed="81"/>
            <rFont val="Tahoma"/>
            <family val="2"/>
          </rPr>
          <t>ARP: DIFFUSE COUNTER-TAILS - Trio of small ellipticals in a somewhat distorted star stream halo.</t>
        </r>
      </text>
    </comment>
    <comment ref="A291" authorId="0" shapeId="0" xr:uid="{8463D8DB-ADD7-4F6B-B1D2-10A72EE664DD}">
      <text>
        <r>
          <rPr>
            <sz val="9"/>
            <color indexed="81"/>
            <rFont val="Tahoma"/>
            <family val="2"/>
          </rPr>
          <t xml:space="preserve">
</t>
        </r>
      </text>
    </comment>
    <comment ref="K291" authorId="0" shapeId="0" xr:uid="{F5875F6F-1C39-42D9-92EB-304FE299F1B6}">
      <text>
        <r>
          <rPr>
            <sz val="9"/>
            <color indexed="81"/>
            <rFont val="Tahoma"/>
            <family val="2"/>
          </rPr>
          <t>ARP: DIFFUSE COUNTER-TAILS - 2 bright ellipticals &amp; 5 others.  Highest density and smallest size of any Hickson.</t>
        </r>
      </text>
    </comment>
    <comment ref="A292" authorId="0" shapeId="0" xr:uid="{B432610F-9821-416F-AA69-AE7FBA58F666}">
      <text>
        <r>
          <rPr>
            <sz val="9"/>
            <color indexed="81"/>
            <rFont val="Tahoma"/>
            <family val="2"/>
          </rPr>
          <t xml:space="preserve">
</t>
        </r>
      </text>
    </comment>
    <comment ref="K292" authorId="0" shapeId="0" xr:uid="{6D228181-B034-477C-BAF0-92F45B04823A}">
      <text>
        <r>
          <rPr>
            <sz val="9"/>
            <color indexed="81"/>
            <rFont val="Tahoma"/>
            <family val="2"/>
          </rPr>
          <t>ARP: DIFFUSE COUNTER-TAILS - Pair of bright ellipticals with wonderful complimentary deformed star halos.</t>
        </r>
      </text>
    </comment>
    <comment ref="A293" authorId="0" shapeId="0" xr:uid="{6293377E-4059-4E29-B6FE-76F6CD57FFFB}">
      <text>
        <r>
          <rPr>
            <sz val="9"/>
            <color indexed="81"/>
            <rFont val="Tahoma"/>
            <family val="2"/>
          </rPr>
          <t xml:space="preserve">
</t>
        </r>
      </text>
    </comment>
    <comment ref="K293" authorId="0" shapeId="0" xr:uid="{4E50B4F3-7E12-45A3-95DF-446640D34A68}">
      <text>
        <r>
          <rPr>
            <sz val="9"/>
            <color indexed="81"/>
            <rFont val="Tahoma"/>
            <family val="2"/>
          </rPr>
          <t>ARP: DIFFUSE COUNTER-TAILS -  Like Arp 171, a pair of ellipticals with complimentary deformed star halos.</t>
        </r>
      </text>
    </comment>
    <comment ref="A294" authorId="0" shapeId="0" xr:uid="{52609F0B-7AAA-411D-80DD-5E9D9BD1CC2B}">
      <text>
        <r>
          <rPr>
            <sz val="9"/>
            <color indexed="81"/>
            <rFont val="Tahoma"/>
            <family val="2"/>
          </rPr>
          <t xml:space="preserve">
</t>
        </r>
      </text>
    </comment>
    <comment ref="K294" authorId="0" shapeId="0" xr:uid="{97A77242-8B3A-4FBB-8F7C-7B4B00BCC92C}">
      <text>
        <r>
          <rPr>
            <sz val="9"/>
            <color indexed="81"/>
            <rFont val="Tahoma"/>
            <family val="2"/>
          </rPr>
          <t>ARP: NARROW COUNTER-TAILS - 2 galaxies with a nice star stream bridge and tail.</t>
        </r>
      </text>
    </comment>
    <comment ref="A295" authorId="0" shapeId="0" xr:uid="{635B106B-D813-4A8E-A2DF-90C07310876A}">
      <text>
        <r>
          <rPr>
            <sz val="9"/>
            <color indexed="81"/>
            <rFont val="Tahoma"/>
            <family val="2"/>
          </rPr>
          <t xml:space="preserve">
</t>
        </r>
      </text>
    </comment>
    <comment ref="K295" authorId="0" shapeId="0" xr:uid="{5879F3FE-698C-4C64-98B3-8B5EDBA1F499}">
      <text>
        <r>
          <rPr>
            <sz val="9"/>
            <color indexed="81"/>
            <rFont val="Tahoma"/>
            <family val="2"/>
          </rPr>
          <t>ARP: NARROW COUNTER-TAILS - 2 galaxies with short bridge and long 300,000 ly star stream tail.</t>
        </r>
      </text>
    </comment>
    <comment ref="A296" authorId="0" shapeId="0" xr:uid="{1E649728-DA2A-4004-9963-72D4DB1F39C5}">
      <text>
        <r>
          <rPr>
            <sz val="9"/>
            <color indexed="81"/>
            <rFont val="Tahoma"/>
            <family val="2"/>
          </rPr>
          <t xml:space="preserve">
</t>
        </r>
      </text>
    </comment>
    <comment ref="K296" authorId="0" shapeId="0" xr:uid="{F173D110-AE70-4BF6-A72C-0FD0271DCAFA}">
      <text>
        <r>
          <rPr>
            <sz val="9"/>
            <color indexed="81"/>
            <rFont val="Tahoma"/>
            <family val="2"/>
          </rPr>
          <t>ARP: NARROW COUNTER-TAILS - Short star stream bridge and long tail, related to 2 distant galaxies</t>
        </r>
      </text>
    </comment>
    <comment ref="A297" authorId="0" shapeId="0" xr:uid="{9A7A95CD-2D36-450B-BFCA-7E24D780D00F}">
      <text>
        <r>
          <rPr>
            <sz val="9"/>
            <color indexed="81"/>
            <rFont val="Tahoma"/>
            <family val="2"/>
          </rPr>
          <t xml:space="preserve">
</t>
        </r>
      </text>
    </comment>
    <comment ref="K297" authorId="0" shapeId="0" xr:uid="{B1330372-5595-4072-91EE-E3B879001D24}">
      <text>
        <r>
          <rPr>
            <sz val="9"/>
            <color indexed="81"/>
            <rFont val="Tahoma"/>
            <family val="2"/>
          </rPr>
          <t>ARP: NARROW COUNTER-TAILS - Trio of galaxies with a star stream tail.</t>
        </r>
      </text>
    </comment>
    <comment ref="A298" authorId="0" shapeId="0" xr:uid="{26ACF017-2394-49F0-A9C8-988E55917216}">
      <text>
        <r>
          <rPr>
            <sz val="9"/>
            <color indexed="81"/>
            <rFont val="Tahoma"/>
            <family val="2"/>
          </rPr>
          <t xml:space="preserve">
</t>
        </r>
      </text>
    </comment>
    <comment ref="K298" authorId="0" shapeId="0" xr:uid="{94E045EA-420B-4999-B4BA-0F3AA5EF8E33}">
      <text>
        <r>
          <rPr>
            <sz val="9"/>
            <color indexed="81"/>
            <rFont val="Tahoma"/>
            <family val="2"/>
          </rPr>
          <t>ARP: NARROW COUNTER-TAILS - 2 faint small galaxies with a disturbed halo and a tail.</t>
        </r>
      </text>
    </comment>
    <comment ref="A299" authorId="0" shapeId="0" xr:uid="{F98118D4-E6D7-4C52-9672-67829D73ECB0}">
      <text>
        <r>
          <rPr>
            <sz val="9"/>
            <color indexed="81"/>
            <rFont val="Tahoma"/>
            <family val="2"/>
          </rPr>
          <t xml:space="preserve">
</t>
        </r>
      </text>
    </comment>
    <comment ref="K299" authorId="0" shapeId="0" xr:uid="{D158E313-20E0-46A2-8215-D4962E6663B3}">
      <text>
        <r>
          <rPr>
            <sz val="9"/>
            <color indexed="81"/>
            <rFont val="Tahoma"/>
            <family val="2"/>
          </rPr>
          <t>ARP: NARROW COUNTER-TAILS - Trio of galaxies with a star stream tail.</t>
        </r>
      </text>
    </comment>
    <comment ref="A300" authorId="0" shapeId="0" xr:uid="{9B79BDBB-F32B-448C-9529-1942758B0393}">
      <text>
        <r>
          <rPr>
            <sz val="9"/>
            <color indexed="81"/>
            <rFont val="Tahoma"/>
            <family val="2"/>
          </rPr>
          <t xml:space="preserve">
</t>
        </r>
      </text>
    </comment>
    <comment ref="K300" authorId="0" shapeId="0" xr:uid="{D804E444-8BCA-4E5B-B3A1-442DF947E505}">
      <text>
        <r>
          <rPr>
            <sz val="9"/>
            <color indexed="81"/>
            <rFont val="Tahoma"/>
            <family val="2"/>
          </rPr>
          <t>ARP: NARROW FILAMENTS -  A small spiral with a long tidal plume.  No companions around.</t>
        </r>
      </text>
    </comment>
    <comment ref="A301" authorId="0" shapeId="0" xr:uid="{BD31F120-CE2C-4E47-B3AC-DE51C11B3E18}">
      <text>
        <r>
          <rPr>
            <sz val="9"/>
            <color indexed="81"/>
            <rFont val="Tahoma"/>
            <family val="2"/>
          </rPr>
          <t xml:space="preserve">
</t>
        </r>
      </text>
    </comment>
    <comment ref="K301" authorId="0" shapeId="0" xr:uid="{F03D29FB-5FC2-432B-A75B-69AA0248E9E4}">
      <text>
        <r>
          <rPr>
            <sz val="9"/>
            <color indexed="81"/>
            <rFont val="Tahoma"/>
            <family val="2"/>
          </rPr>
          <t>ARP: NARROW FILAMENTS -  Pair of interacting galaxies with 150,000 ly star stream.</t>
        </r>
      </text>
    </comment>
    <comment ref="A302" authorId="0" shapeId="0" xr:uid="{0DEDE8FB-9BE2-455C-9862-11B34492D138}">
      <text>
        <r>
          <rPr>
            <sz val="9"/>
            <color indexed="81"/>
            <rFont val="Tahoma"/>
            <family val="2"/>
          </rPr>
          <t xml:space="preserve">
</t>
        </r>
      </text>
    </comment>
    <comment ref="K302" authorId="0" shapeId="0" xr:uid="{757581A4-83EA-4E2C-867B-03A1B2F761DE}">
      <text>
        <r>
          <rPr>
            <sz val="9"/>
            <color indexed="81"/>
            <rFont val="Tahoma"/>
            <family val="2"/>
          </rPr>
          <t xml:space="preserve">ARP: NARROW FILAMENTS - Pair of face-on galaxies in contrasting colors and long star streams. </t>
        </r>
      </text>
    </comment>
    <comment ref="A303" authorId="0" shapeId="0" xr:uid="{FAD8FF0C-8A3C-4E11-9205-55720E42065C}">
      <text>
        <r>
          <rPr>
            <sz val="9"/>
            <color indexed="81"/>
            <rFont val="Tahoma"/>
            <family val="2"/>
          </rPr>
          <t xml:space="preserve">
</t>
        </r>
      </text>
    </comment>
    <comment ref="K303" authorId="0" shapeId="0" xr:uid="{09A9AFA6-F808-4F9D-9069-D596D70F1CDA}">
      <text>
        <r>
          <rPr>
            <sz val="9"/>
            <color indexed="81"/>
            <rFont val="Tahoma"/>
            <family val="2"/>
          </rPr>
          <t xml:space="preserve">ARP: NARROW FILAMENTS - All galaxies at same distance.  'a' is grand design spiral disturbed by companion 'c' </t>
        </r>
      </text>
    </comment>
    <comment ref="A304" authorId="0" shapeId="0" xr:uid="{CE56E4F6-BE7C-4324-B13F-6AB202FD5AD9}">
      <text>
        <r>
          <rPr>
            <sz val="9"/>
            <color indexed="81"/>
            <rFont val="Tahoma"/>
            <family val="2"/>
          </rPr>
          <t xml:space="preserve">
</t>
        </r>
      </text>
    </comment>
    <comment ref="K304" authorId="0" shapeId="0" xr:uid="{302FF51A-4489-4006-9089-D50E30793014}">
      <text>
        <r>
          <rPr>
            <sz val="9"/>
            <color indexed="81"/>
            <rFont val="Tahoma"/>
            <family val="2"/>
          </rPr>
          <t>ARP: NARROW FILAMENTS -  Face-on grand design spiral - filaments are simply disk disturbance.</t>
        </r>
      </text>
    </comment>
    <comment ref="A305" authorId="0" shapeId="0" xr:uid="{E79A110D-23F8-496B-9671-B70E9277C5CF}">
      <text>
        <r>
          <rPr>
            <sz val="9"/>
            <color indexed="81"/>
            <rFont val="Tahoma"/>
            <family val="2"/>
          </rPr>
          <t xml:space="preserve">
</t>
        </r>
      </text>
    </comment>
    <comment ref="K305" authorId="0" shapeId="0" xr:uid="{EDA71780-145E-4BA8-9230-56B16B2A192D}">
      <text>
        <r>
          <rPr>
            <sz val="9"/>
            <color indexed="81"/>
            <rFont val="Tahoma"/>
            <family val="2"/>
          </rPr>
          <t>ARP: NARROW FILAMENTS -  Chaotic disk structure with off-center core, dark dust lanes, and star clouds.</t>
        </r>
      </text>
    </comment>
    <comment ref="A306" authorId="0" shapeId="0" xr:uid="{8C6144C4-B86B-4A6A-AD3D-106394D4980D}">
      <text>
        <r>
          <rPr>
            <sz val="9"/>
            <color indexed="81"/>
            <rFont val="Tahoma"/>
            <family val="2"/>
          </rPr>
          <t xml:space="preserve">
</t>
        </r>
      </text>
    </comment>
    <comment ref="K306" authorId="0" shapeId="0" xr:uid="{9F1F7720-E34E-4C15-A914-C8D4BE1C4F39}">
      <text>
        <r>
          <rPr>
            <sz val="9"/>
            <color indexed="81"/>
            <rFont val="Tahoma"/>
            <family val="2"/>
          </rPr>
          <t>ARP: NARROW FILAMENTS -  Unusual arm structure but no narrow filaments.</t>
        </r>
      </text>
    </comment>
    <comment ref="A307" authorId="0" shapeId="0" xr:uid="{157D5EF0-359B-4C04-8D79-2674707125BC}">
      <text>
        <r>
          <rPr>
            <sz val="9"/>
            <color indexed="81"/>
            <rFont val="Tahoma"/>
            <family val="2"/>
          </rPr>
          <t xml:space="preserve">
</t>
        </r>
      </text>
    </comment>
    <comment ref="K307" authorId="0" shapeId="0" xr:uid="{189E9350-E15F-477F-BDD3-35DD045CA161}">
      <text>
        <r>
          <rPr>
            <sz val="9"/>
            <color indexed="81"/>
            <rFont val="Tahoma"/>
            <family val="2"/>
          </rPr>
          <t>ARP: NARROW FILAMENTS -  Spiral with two unique star streams, a broad plume and a long tail.</t>
        </r>
      </text>
    </comment>
    <comment ref="A308" authorId="0" shapeId="0" xr:uid="{12A771E7-EEFA-4E91-A671-E4738419DD0D}">
      <text>
        <r>
          <rPr>
            <sz val="9"/>
            <color indexed="81"/>
            <rFont val="Tahoma"/>
            <family val="2"/>
          </rPr>
          <t xml:space="preserve">
</t>
        </r>
      </text>
    </comment>
    <comment ref="K308" authorId="0" shapeId="0" xr:uid="{6827FAD2-A0E2-4377-9C14-57F8CF6E1693}">
      <text>
        <r>
          <rPr>
            <sz val="9"/>
            <color indexed="81"/>
            <rFont val="Tahoma"/>
            <family val="2"/>
          </rPr>
          <t>ARP: NARROW FILAMENTS -  Some disk disturbance and a long faint star stream, but no companion.</t>
        </r>
      </text>
    </comment>
    <comment ref="A309" authorId="0" shapeId="0" xr:uid="{5E76C61B-CAB5-4AD5-8470-53ECCA9256A0}">
      <text>
        <r>
          <rPr>
            <sz val="9"/>
            <color indexed="81"/>
            <rFont val="Tahoma"/>
            <family val="2"/>
          </rPr>
          <t xml:space="preserve">
</t>
        </r>
      </text>
    </comment>
    <comment ref="K309" authorId="0" shapeId="0" xr:uid="{2370BEFA-74EB-4153-B3A4-D0E84FCEBF21}">
      <text>
        <r>
          <rPr>
            <sz val="9"/>
            <color indexed="81"/>
            <rFont val="Tahoma"/>
            <family val="2"/>
          </rPr>
          <t>ARP: NARROW FILAMENTS -  Deformed disk and 300,000 ly long tail, with visible companion.</t>
        </r>
      </text>
    </comment>
    <comment ref="A310" authorId="0" shapeId="0" xr:uid="{597309BA-6E7D-4BF7-B39F-614424A20C6E}">
      <text>
        <r>
          <rPr>
            <sz val="9"/>
            <color indexed="81"/>
            <rFont val="Tahoma"/>
            <family val="2"/>
          </rPr>
          <t xml:space="preserve">
</t>
        </r>
      </text>
    </comment>
    <comment ref="K310" authorId="0" shapeId="0" xr:uid="{10243D93-A348-4A5E-B071-EB955FD131E6}">
      <text>
        <r>
          <rPr>
            <sz val="9"/>
            <color indexed="81"/>
            <rFont val="Tahoma"/>
            <family val="2"/>
          </rPr>
          <t>ARP: NARROW FILAMENTS -  Detailed disk structure and faint 200,000 ly long straight star stream.</t>
        </r>
      </text>
    </comment>
    <comment ref="A311" authorId="0" shapeId="0" xr:uid="{CB7A51F4-B628-4AB2-9686-9A9B716D4BB5}">
      <text>
        <r>
          <rPr>
            <sz val="9"/>
            <color indexed="81"/>
            <rFont val="Tahoma"/>
            <family val="2"/>
          </rPr>
          <t xml:space="preserve">
</t>
        </r>
      </text>
    </comment>
    <comment ref="K311" authorId="0" shapeId="0" xr:uid="{674932E6-6240-493F-A177-48F71C2D4771}">
      <text>
        <r>
          <rPr>
            <sz val="9"/>
            <color indexed="81"/>
            <rFont val="Tahoma"/>
            <family val="2"/>
          </rPr>
          <t xml:space="preserve">ARP: NARROW FILAMENTS -  Trio of galaxies, 1 blue and 2 yellow.  One has a 300,000 ly long star stream tail. </t>
        </r>
      </text>
    </comment>
    <comment ref="A312" authorId="0" shapeId="0" xr:uid="{51C882FD-98E8-474F-B05D-4146AF91544D}">
      <text>
        <r>
          <rPr>
            <sz val="9"/>
            <color indexed="81"/>
            <rFont val="Tahoma"/>
            <family val="2"/>
          </rPr>
          <t xml:space="preserve">
</t>
        </r>
      </text>
    </comment>
    <comment ref="K312" authorId="0" shapeId="0" xr:uid="{76D58975-CB61-4C18-A15E-5BEFDC04CB57}">
      <text>
        <r>
          <rPr>
            <sz val="9"/>
            <color indexed="81"/>
            <rFont val="Tahoma"/>
            <family val="2"/>
          </rPr>
          <t>ARP: NARROW FILAMENTS - Pair of galaxies, one with 200,000 ly long tail.</t>
        </r>
      </text>
    </comment>
    <comment ref="A313" authorId="0" shapeId="0" xr:uid="{9143A72E-1E4C-4893-B880-C051135FAED0}">
      <text>
        <r>
          <rPr>
            <sz val="9"/>
            <color indexed="81"/>
            <rFont val="Tahoma"/>
            <family val="2"/>
          </rPr>
          <t xml:space="preserve">
</t>
        </r>
      </text>
    </comment>
    <comment ref="K313" authorId="0" shapeId="0" xr:uid="{044A7630-5325-4553-A310-BE3A7BB18D6A}">
      <text>
        <r>
          <rPr>
            <sz val="9"/>
            <color indexed="81"/>
            <rFont val="Tahoma"/>
            <family val="2"/>
          </rPr>
          <t>ARP: NARROW FILAMENTS - Pair of merging galaxies, with 2 unique cores and a 300,000 ly tail</t>
        </r>
      </text>
    </comment>
    <comment ref="A314" authorId="0" shapeId="0" xr:uid="{D1D4F2D3-314F-45BD-8947-005DE6C958C0}">
      <text>
        <r>
          <rPr>
            <sz val="9"/>
            <color indexed="81"/>
            <rFont val="Tahoma"/>
            <family val="2"/>
          </rPr>
          <t xml:space="preserve">
</t>
        </r>
      </text>
    </comment>
    <comment ref="K314" authorId="0" shapeId="0" xr:uid="{13BCF83A-1763-4BD2-8222-6EBAA498596C}">
      <text>
        <r>
          <rPr>
            <sz val="9"/>
            <color indexed="81"/>
            <rFont val="Tahoma"/>
            <family val="2"/>
          </rPr>
          <t>ARP: NARROW FILAMENTS - Pair of merging galaxies  with 1 combined core and 2 star stream tails.</t>
        </r>
      </text>
    </comment>
    <comment ref="A315" authorId="0" shapeId="0" xr:uid="{688957D9-B4D0-448C-80C6-C71B3648B528}">
      <text>
        <r>
          <rPr>
            <sz val="9"/>
            <color indexed="81"/>
            <rFont val="Tahoma"/>
            <family val="2"/>
          </rPr>
          <t xml:space="preserve">
</t>
        </r>
      </text>
    </comment>
    <comment ref="K315" authorId="0" shapeId="0" xr:uid="{D8ECCB67-CCE2-407B-8820-E1CF97A88A98}">
      <text>
        <r>
          <rPr>
            <sz val="9"/>
            <color indexed="81"/>
            <rFont val="Tahoma"/>
            <family val="2"/>
          </rPr>
          <t>ARP: EJECTED MATERIAL - Pair of interacting galaxies, one wildly disturbed, with a bridge between.</t>
        </r>
      </text>
    </comment>
    <comment ref="A316" authorId="0" shapeId="0" xr:uid="{DCD6EBA6-ACBD-442D-848F-8646F5508579}">
      <text>
        <r>
          <rPr>
            <sz val="9"/>
            <color indexed="81"/>
            <rFont val="Tahoma"/>
            <family val="2"/>
          </rPr>
          <t xml:space="preserve">
</t>
        </r>
      </text>
    </comment>
    <comment ref="K316" authorId="0" shapeId="0" xr:uid="{160BB69A-209B-4D7E-B080-D40AF3AEFA4A}">
      <text>
        <r>
          <rPr>
            <sz val="9"/>
            <color indexed="81"/>
            <rFont val="Tahoma"/>
            <family val="2"/>
          </rPr>
          <t>ARP: EJECTED MATERIAL - Small galaxy triplet with long extended 200,000 ly tail</t>
        </r>
      </text>
    </comment>
    <comment ref="A317" authorId="0" shapeId="0" xr:uid="{3885EAFE-0410-49EF-A30E-C683B32A3731}">
      <text>
        <r>
          <rPr>
            <sz val="9"/>
            <color indexed="81"/>
            <rFont val="Tahoma"/>
            <family val="2"/>
          </rPr>
          <t xml:space="preserve">
</t>
        </r>
      </text>
    </comment>
    <comment ref="K317" authorId="0" shapeId="0" xr:uid="{B713AF3C-5500-4EA4-9762-2A1BB34E6FB3}">
      <text>
        <r>
          <rPr>
            <sz val="9"/>
            <color indexed="81"/>
            <rFont val="Tahoma"/>
            <family val="2"/>
          </rPr>
          <t>ARP: EJECTED MATERIAL - Pair of small galaxies with bridge.  Tied for furthest Arp object at 1 billion ly.</t>
        </r>
      </text>
    </comment>
    <comment ref="A318" authorId="0" shapeId="0" xr:uid="{D52236B8-AA4C-4E64-B44A-6D2EEF07A565}">
      <text>
        <r>
          <rPr>
            <sz val="9"/>
            <color indexed="81"/>
            <rFont val="Tahoma"/>
            <family val="2"/>
          </rPr>
          <t xml:space="preserve">
</t>
        </r>
      </text>
    </comment>
    <comment ref="K318" authorId="0" shapeId="0" xr:uid="{729D02E0-F723-460A-B182-F4803581B08F}">
      <text>
        <r>
          <rPr>
            <sz val="9"/>
            <color indexed="81"/>
            <rFont val="Tahoma"/>
            <family val="2"/>
          </rPr>
          <t>ARP: EJECTED MATERIAL - Pair of galaxies with long linear tail.</t>
        </r>
      </text>
    </comment>
    <comment ref="A319" authorId="0" shapeId="0" xr:uid="{12B21EC3-7DB4-4D4C-995A-57120BD5A4D2}">
      <text>
        <r>
          <rPr>
            <sz val="9"/>
            <color indexed="81"/>
            <rFont val="Tahoma"/>
            <family val="2"/>
          </rPr>
          <t xml:space="preserve">
</t>
        </r>
      </text>
    </comment>
    <comment ref="K319" authorId="0" shapeId="0" xr:uid="{FED37D63-3D98-48A8-A404-ADB0DB4E3941}">
      <text>
        <r>
          <rPr>
            <sz val="9"/>
            <color indexed="81"/>
            <rFont val="Tahoma"/>
            <family val="2"/>
          </rPr>
          <t>ARP: EJECTED MATERIAL - Two superimposed galaxies, blue and yellow.  Assumed jet is simply an edge-on galaxy.</t>
        </r>
      </text>
    </comment>
    <comment ref="A320" authorId="0" shapeId="0" xr:uid="{49BD5E37-0E96-4BA4-9301-C5EC098EB2C7}">
      <text>
        <r>
          <rPr>
            <sz val="9"/>
            <color indexed="81"/>
            <rFont val="Tahoma"/>
            <family val="2"/>
          </rPr>
          <t xml:space="preserve">
</t>
        </r>
      </text>
    </comment>
    <comment ref="K320" authorId="0" shapeId="0" xr:uid="{74572496-B613-41FA-900C-7D28A91AEB43}">
      <text>
        <r>
          <rPr>
            <sz val="9"/>
            <color indexed="81"/>
            <rFont val="Tahoma"/>
            <family val="2"/>
          </rPr>
          <t xml:space="preserve">ARP: EJECTED MATERIAL - </t>
        </r>
      </text>
    </comment>
    <comment ref="A321" authorId="0" shapeId="0" xr:uid="{375E7931-BBC2-46EF-A18D-5459334FDC48}">
      <text>
        <r>
          <rPr>
            <sz val="9"/>
            <color indexed="81"/>
            <rFont val="Tahoma"/>
            <family val="2"/>
          </rPr>
          <t xml:space="preserve">
</t>
        </r>
      </text>
    </comment>
    <comment ref="K321" authorId="0" shapeId="0" xr:uid="{F5A67A55-796A-4111-9199-7C78F320AE01}">
      <text>
        <r>
          <rPr>
            <sz val="9"/>
            <color indexed="81"/>
            <rFont val="Tahoma"/>
            <family val="2"/>
          </rPr>
          <t>ARP: EJECTED MATERIAL - Slightly disturbed spiral with no sign of ejected material.</t>
        </r>
      </text>
    </comment>
    <comment ref="A322" authorId="0" shapeId="0" xr:uid="{CB923F2D-127C-47E3-A6D5-C068F57BFB70}">
      <text>
        <r>
          <rPr>
            <sz val="9"/>
            <color indexed="81"/>
            <rFont val="Tahoma"/>
            <family val="2"/>
          </rPr>
          <t xml:space="preserve">
</t>
        </r>
      </text>
    </comment>
    <comment ref="K322" authorId="0" shapeId="0" xr:uid="{D4084749-B943-40E2-82EC-E1ECC17E64BE}">
      <text>
        <r>
          <rPr>
            <sz val="9"/>
            <color indexed="81"/>
            <rFont val="Tahoma"/>
            <family val="2"/>
          </rPr>
          <t>ARP: EJECTED MATERIAL - Pair of distant galaxies surrounded by faint plume.</t>
        </r>
      </text>
    </comment>
    <comment ref="A323" authorId="0" shapeId="0" xr:uid="{A76CA342-1429-497D-B46B-31082550DFB0}">
      <text>
        <r>
          <rPr>
            <sz val="9"/>
            <color indexed="81"/>
            <rFont val="Tahoma"/>
            <family val="2"/>
          </rPr>
          <t xml:space="preserve">
</t>
        </r>
      </text>
    </comment>
    <comment ref="K323" authorId="0" shapeId="0" xr:uid="{E8EEB0C3-E145-44C9-B5B3-16B01D6AA54A}">
      <text>
        <r>
          <rPr>
            <sz val="9"/>
            <color indexed="81"/>
            <rFont val="Tahoma"/>
            <family val="2"/>
          </rPr>
          <t>ARP: EJECTED MATERIAL - Pair of odd bright blue interacting galaxies.</t>
        </r>
      </text>
    </comment>
    <comment ref="A324" authorId="0" shapeId="0" xr:uid="{5B18DB83-5AC4-4625-95E4-746352E90B72}">
      <text>
        <r>
          <rPr>
            <sz val="9"/>
            <color indexed="81"/>
            <rFont val="Tahoma"/>
            <family val="2"/>
          </rPr>
          <t xml:space="preserve">
</t>
        </r>
      </text>
    </comment>
    <comment ref="K324" authorId="0" shapeId="0" xr:uid="{56966CF5-B26F-4A9D-8E63-2F3E30E6BD09}">
      <text>
        <r>
          <rPr>
            <sz val="9"/>
            <color indexed="81"/>
            <rFont val="Tahoma"/>
            <family val="2"/>
          </rPr>
          <t>ARP: EJECTED MATERIAL - Edge-on barred galaxy with faint extended star streams.</t>
        </r>
      </text>
    </comment>
    <comment ref="A325" authorId="0" shapeId="0" xr:uid="{A6897340-A531-4D3B-9D2A-35397FB71DF9}">
      <text>
        <r>
          <rPr>
            <sz val="9"/>
            <color indexed="81"/>
            <rFont val="Tahoma"/>
            <family val="2"/>
          </rPr>
          <t xml:space="preserve">
Psalms 19:1
The heavens declare the glory of God
</t>
        </r>
      </text>
    </comment>
    <comment ref="K325" authorId="0" shapeId="0" xr:uid="{9D223EB1-2FF9-4412-AEE8-85F6B09F4F6D}">
      <text>
        <r>
          <rPr>
            <sz val="9"/>
            <color indexed="81"/>
            <rFont val="Tahoma"/>
            <family val="2"/>
          </rPr>
          <t xml:space="preserve">ARP: EJECTED MATERIAL - Trio of interacting edge-on galaxies with long star stream bridge </t>
        </r>
      </text>
    </comment>
    <comment ref="A326" authorId="0" shapeId="0" xr:uid="{396E0284-AB0D-4CBA-B0C5-7286A89872B2}">
      <text>
        <r>
          <rPr>
            <sz val="9"/>
            <color indexed="81"/>
            <rFont val="Tahoma"/>
            <family val="2"/>
          </rPr>
          <t xml:space="preserve">
</t>
        </r>
      </text>
    </comment>
    <comment ref="K326" authorId="0" shapeId="0" xr:uid="{64F09CF1-9E13-4877-9601-92597A1645A9}">
      <text>
        <r>
          <rPr>
            <sz val="9"/>
            <color indexed="81"/>
            <rFont val="Tahoma"/>
            <family val="2"/>
          </rPr>
          <t>ARP: EJECTED MATERIAL - Pair of likely interacting galaxies, bridged by star clumps</t>
        </r>
      </text>
    </comment>
    <comment ref="A327" authorId="0" shapeId="0" xr:uid="{08D13D5B-61E0-4961-956F-B3742FF58CED}">
      <text>
        <r>
          <rPr>
            <sz val="9"/>
            <color indexed="81"/>
            <rFont val="Tahoma"/>
            <family val="2"/>
          </rPr>
          <t xml:space="preserve">
</t>
        </r>
      </text>
    </comment>
    <comment ref="K327" authorId="0" shapeId="0" xr:uid="{35AD4FB0-C18B-4D35-AC19-2DF87BC42A3B}">
      <text>
        <r>
          <rPr>
            <sz val="9"/>
            <color indexed="81"/>
            <rFont val="Tahoma"/>
            <family val="2"/>
          </rPr>
          <t>ARP: EJECTED MATERIAL - Pair of interacting galaxies with many bright blue star clouds</t>
        </r>
      </text>
    </comment>
    <comment ref="A328" authorId="0" shapeId="0" xr:uid="{2C8D1361-F3FA-4132-AB90-D208E0987D66}">
      <text>
        <r>
          <rPr>
            <sz val="9"/>
            <color indexed="81"/>
            <rFont val="Tahoma"/>
            <family val="2"/>
          </rPr>
          <t xml:space="preserve">
</t>
        </r>
      </text>
    </comment>
    <comment ref="K328" authorId="0" shapeId="0" xr:uid="{6127B65A-C4C0-41F9-A4A2-C2928DC5473A}">
      <text>
        <r>
          <rPr>
            <sz val="9"/>
            <color indexed="81"/>
            <rFont val="Tahoma"/>
            <family val="2"/>
          </rPr>
          <t>ARP: EJECTED MATERIAL - Single yellow galaxy obscured by foreground blue star.</t>
        </r>
      </text>
    </comment>
    <comment ref="A329" authorId="0" shapeId="0" xr:uid="{BAD92185-364A-4107-9339-C73D1CC45572}">
      <text>
        <r>
          <rPr>
            <sz val="9"/>
            <color indexed="81"/>
            <rFont val="Tahoma"/>
            <family val="2"/>
          </rPr>
          <t xml:space="preserve">
</t>
        </r>
      </text>
    </comment>
    <comment ref="K329" authorId="0" shapeId="0" xr:uid="{373C8341-7E5A-4DF3-94A0-CD07A5E419EB}">
      <text>
        <r>
          <rPr>
            <sz val="9"/>
            <color indexed="81"/>
            <rFont val="Tahoma"/>
            <family val="2"/>
          </rPr>
          <t>ARP: EJECTED MATERIAL - Trio of galaxies, with 2 merging and having numerous blue star clouds.</t>
        </r>
      </text>
    </comment>
    <comment ref="A330" authorId="0" shapeId="0" xr:uid="{8E18383C-3926-4873-9000-1147F74D4021}">
      <text>
        <r>
          <rPr>
            <sz val="9"/>
            <color indexed="81"/>
            <rFont val="Tahoma"/>
            <family val="2"/>
          </rPr>
          <t xml:space="preserve">
</t>
        </r>
      </text>
    </comment>
    <comment ref="K330" authorId="0" shapeId="0" xr:uid="{2960649E-A7E7-42B0-BE6C-0CD1AE806BAC}">
      <text>
        <r>
          <rPr>
            <sz val="9"/>
            <color indexed="81"/>
            <rFont val="Tahoma"/>
            <family val="2"/>
          </rPr>
          <t>ARP: IRREGULARITIES - A wonderful mess, looking like a late stage galaxy merger.   Nice color and detail.</t>
        </r>
      </text>
    </comment>
    <comment ref="A331" authorId="0" shapeId="0" xr:uid="{E3A6F835-9B51-4F45-9F85-7E875635CAAF}">
      <text>
        <r>
          <rPr>
            <sz val="9"/>
            <color indexed="81"/>
            <rFont val="Tahoma"/>
            <family val="2"/>
          </rPr>
          <t xml:space="preserve">
</t>
        </r>
      </text>
    </comment>
    <comment ref="K331" authorId="0" shapeId="0" xr:uid="{BCDAFBD6-EA2E-4EF4-873A-A97694CB32A9}">
      <text>
        <r>
          <rPr>
            <sz val="9"/>
            <color indexed="81"/>
            <rFont val="Tahoma"/>
            <family val="2"/>
          </rPr>
          <t>ARP: IRREGULARITIES -  Starburst dwarf irregular galaxy with star clouds and HII regions.</t>
        </r>
      </text>
    </comment>
    <comment ref="A332" authorId="0" shapeId="0" xr:uid="{930227F0-A133-41B2-BD89-E3526137B492}">
      <text>
        <r>
          <rPr>
            <sz val="9"/>
            <color indexed="81"/>
            <rFont val="Tahoma"/>
            <family val="2"/>
          </rPr>
          <t xml:space="preserve">
</t>
        </r>
      </text>
    </comment>
    <comment ref="K332" authorId="0" shapeId="0" xr:uid="{596C27EC-C9C3-4302-A485-26B76AC3D9E7}">
      <text>
        <r>
          <rPr>
            <sz val="9"/>
            <color indexed="81"/>
            <rFont val="Tahoma"/>
            <family val="2"/>
          </rPr>
          <t>ARP: IRREGULARITIES - Some dwarf galaxy with bright blue star clouds.</t>
        </r>
      </text>
    </comment>
    <comment ref="A333" authorId="0" shapeId="0" xr:uid="{62D8BEFB-A294-4F6F-9A8E-551CE92DB340}">
      <text>
        <r>
          <rPr>
            <sz val="9"/>
            <color indexed="81"/>
            <rFont val="Tahoma"/>
            <family val="2"/>
          </rPr>
          <t xml:space="preserve">
</t>
        </r>
      </text>
    </comment>
    <comment ref="K333" authorId="0" shapeId="0" xr:uid="{8D77F1D4-3009-4F94-ADAF-5D16820552F9}">
      <text>
        <r>
          <rPr>
            <sz val="9"/>
            <color indexed="81"/>
            <rFont val="Tahoma"/>
            <family val="2"/>
          </rPr>
          <t xml:space="preserve">ARP: IRREGULARITIES - Late stage merged galaxy with chaotic dust lanes, vivid colors and no outer disk. </t>
        </r>
      </text>
    </comment>
    <comment ref="A334" authorId="0" shapeId="0" xr:uid="{D4A39049-04F2-4608-8BD7-E0E2045440A8}">
      <text>
        <r>
          <rPr>
            <sz val="9"/>
            <color indexed="81"/>
            <rFont val="Tahoma"/>
            <family val="2"/>
          </rPr>
          <t xml:space="preserve">
</t>
        </r>
      </text>
    </comment>
    <comment ref="K334" authorId="0" shapeId="0" xr:uid="{BCA575FC-FFD7-4776-A027-14933447455F}">
      <text>
        <r>
          <rPr>
            <sz val="9"/>
            <color indexed="81"/>
            <rFont val="Tahoma"/>
            <family val="2"/>
          </rPr>
          <t>ARP: IRREGULARITIES -  Odd mottled galaxy with 2 bright cores</t>
        </r>
      </text>
    </comment>
    <comment ref="A335" authorId="0" shapeId="0" xr:uid="{283AEDDB-0B32-44AA-9D7B-B7E660474B6C}">
      <text>
        <r>
          <rPr>
            <sz val="9"/>
            <color indexed="81"/>
            <rFont val="Tahoma"/>
            <family val="2"/>
          </rPr>
          <t xml:space="preserve">
</t>
        </r>
      </text>
    </comment>
    <comment ref="K335" authorId="0" shapeId="0" xr:uid="{2E281B96-83B1-470B-932E-17D31EDC2053}">
      <text>
        <r>
          <rPr>
            <sz val="9"/>
            <color indexed="81"/>
            <rFont val="Tahoma"/>
            <family val="2"/>
          </rPr>
          <t>ARP: IRREGULARITIES - Stunning polar ring galaxy, close enough to show nice detail.</t>
        </r>
      </text>
    </comment>
    <comment ref="A336" authorId="0" shapeId="0" xr:uid="{12169E65-46F4-46FA-8DC4-31188AB7EC34}">
      <text>
        <r>
          <rPr>
            <sz val="9"/>
            <color indexed="81"/>
            <rFont val="Tahoma"/>
            <family val="2"/>
          </rPr>
          <t xml:space="preserve">
</t>
        </r>
      </text>
    </comment>
    <comment ref="K336" authorId="0" shapeId="0" xr:uid="{A5EEAE76-D051-447F-8F71-4090A6582116}">
      <text>
        <r>
          <rPr>
            <sz val="9"/>
            <color indexed="81"/>
            <rFont val="Tahoma"/>
            <family val="2"/>
          </rPr>
          <t>ARP: LOOPS -  merger in process, with double core, bright star clusters, and long tail.</t>
        </r>
      </text>
    </comment>
    <comment ref="A337" authorId="0" shapeId="0" xr:uid="{E9F85111-756D-4D2C-A44D-65DA876E0816}">
      <text>
        <r>
          <rPr>
            <sz val="9"/>
            <color indexed="81"/>
            <rFont val="Tahoma"/>
            <family val="2"/>
          </rPr>
          <t xml:space="preserve">
</t>
        </r>
      </text>
    </comment>
    <comment ref="K337" authorId="0" shapeId="0" xr:uid="{5157A455-57C3-4EE5-989E-17F177397FF8}">
      <text>
        <r>
          <rPr>
            <sz val="9"/>
            <color indexed="81"/>
            <rFont val="Tahoma"/>
            <family val="2"/>
          </rPr>
          <t xml:space="preserve">ARP: LOOPS -  Disturbed galaxy with star plumes </t>
        </r>
      </text>
    </comment>
    <comment ref="A338" authorId="0" shapeId="0" xr:uid="{2D905175-66EC-4D95-9819-136103076535}">
      <text>
        <r>
          <rPr>
            <sz val="9"/>
            <color indexed="81"/>
            <rFont val="Tahoma"/>
            <family val="2"/>
          </rPr>
          <t xml:space="preserve">
</t>
        </r>
      </text>
    </comment>
    <comment ref="K338" authorId="0" shapeId="0" xr:uid="{B2BF4886-9096-4C62-B065-EC6A5C45C1B2}">
      <text>
        <r>
          <rPr>
            <sz val="9"/>
            <color indexed="81"/>
            <rFont val="Tahoma"/>
            <family val="2"/>
          </rPr>
          <t>ARP: LOOPS -  Grand design starburst galaxy with disturbed disk and faint streams.</t>
        </r>
      </text>
    </comment>
    <comment ref="A339" authorId="0" shapeId="0" xr:uid="{6FF16174-9733-4B19-BE06-44F20FB0DF90}">
      <text>
        <r>
          <rPr>
            <sz val="9"/>
            <color indexed="81"/>
            <rFont val="Tahoma"/>
            <family val="2"/>
          </rPr>
          <t xml:space="preserve">
</t>
        </r>
      </text>
    </comment>
    <comment ref="K339" authorId="0" shapeId="0" xr:uid="{2DA18E08-7B17-4B8F-8D5E-BAF12BADEBD4}">
      <text>
        <r>
          <rPr>
            <sz val="9"/>
            <color indexed="81"/>
            <rFont val="Tahoma"/>
            <family val="2"/>
          </rPr>
          <t>ARP: LOOPS -  Late stage merger with star clouds and looping long arm.</t>
        </r>
      </text>
    </comment>
    <comment ref="A340" authorId="0" shapeId="0" xr:uid="{8786F2DA-271A-4218-A171-91062FF6A8AF}">
      <text>
        <r>
          <rPr>
            <sz val="9"/>
            <color indexed="81"/>
            <rFont val="Tahoma"/>
            <family val="2"/>
          </rPr>
          <t xml:space="preserve">
</t>
        </r>
      </text>
    </comment>
    <comment ref="K340" authorId="0" shapeId="0" xr:uid="{ACEBB6B9-8663-472B-980E-2F2954258DC7}">
      <text>
        <r>
          <rPr>
            <sz val="9"/>
            <color indexed="81"/>
            <rFont val="Tahoma"/>
            <family val="2"/>
          </rPr>
          <t>ARP: LOOPS -  Wonderful collisional ring galaxy with loop and tail</t>
        </r>
      </text>
    </comment>
    <comment ref="A341" authorId="0" shapeId="0" xr:uid="{23FB63AE-FF48-49D9-8188-126E30D2DEF0}">
      <text>
        <r>
          <rPr>
            <sz val="9"/>
            <color indexed="81"/>
            <rFont val="Tahoma"/>
            <family val="2"/>
          </rPr>
          <t xml:space="preserve">
</t>
        </r>
      </text>
    </comment>
    <comment ref="K341" authorId="0" shapeId="0" xr:uid="{E9BAE606-5C47-441C-BBFF-F5D3ED68A8C8}">
      <text>
        <r>
          <rPr>
            <sz val="9"/>
            <color indexed="81"/>
            <rFont val="Tahoma"/>
            <family val="2"/>
          </rPr>
          <t>ARP: LOOPS -  Fantastic late stage merger with nice color and detail, highlighted by looping streams and tail.</t>
        </r>
      </text>
    </comment>
    <comment ref="A342" authorId="0" shapeId="0" xr:uid="{30F462D8-75F6-4172-A562-96A2FAEAE2D2}">
      <text>
        <r>
          <rPr>
            <sz val="9"/>
            <color indexed="81"/>
            <rFont val="Tahoma"/>
            <family val="2"/>
          </rPr>
          <t xml:space="preserve">
</t>
        </r>
      </text>
    </comment>
    <comment ref="K342" authorId="0" shapeId="0" xr:uid="{47DB2DEA-B3B6-4BA9-AC6E-3A8C9BDCB737}">
      <text>
        <r>
          <rPr>
            <sz val="9"/>
            <color indexed="81"/>
            <rFont val="Tahoma"/>
            <family val="2"/>
          </rPr>
          <t>ARP: AMORPHOUS ARMS - Triple galaxy system with nice color and star streams in different directions.</t>
        </r>
      </text>
    </comment>
    <comment ref="A343" authorId="0" shapeId="0" xr:uid="{C07C52C0-2449-497C-8ABE-8C523183E5AA}">
      <text>
        <r>
          <rPr>
            <sz val="9"/>
            <color indexed="81"/>
            <rFont val="Tahoma"/>
            <family val="2"/>
          </rPr>
          <t xml:space="preserve">
</t>
        </r>
      </text>
    </comment>
    <comment ref="K343" authorId="0" shapeId="0" xr:uid="{0A9C3C77-2AB2-4284-97E1-3B89575404E7}">
      <text>
        <r>
          <rPr>
            <sz val="9"/>
            <color indexed="81"/>
            <rFont val="Tahoma"/>
            <family val="2"/>
          </rPr>
          <t>ARP: AMORPHOUS ARMS - Typical late stage merger with single chaotic core surrounded by winding star streams.</t>
        </r>
      </text>
    </comment>
    <comment ref="A344" authorId="0" shapeId="0" xr:uid="{E3DC075C-1DF7-4EF9-AE15-344EC8E31CE7}">
      <text>
        <r>
          <rPr>
            <sz val="9"/>
            <color indexed="81"/>
            <rFont val="Tahoma"/>
            <family val="2"/>
          </rPr>
          <t xml:space="preserve">
</t>
        </r>
      </text>
    </comment>
    <comment ref="K344" authorId="0" shapeId="0" xr:uid="{394513D8-9ACA-41CA-B0AA-8E02E124BFF9}">
      <text>
        <r>
          <rPr>
            <sz val="9"/>
            <color indexed="81"/>
            <rFont val="Tahoma"/>
            <family val="2"/>
          </rPr>
          <t>ARP: AMORPHOUS ARMS - Late stage merger with streams and shells.</t>
        </r>
      </text>
    </comment>
    <comment ref="A345" authorId="0" shapeId="0" xr:uid="{0DD1924D-33D3-4708-80D2-8B94E1F0A7CF}">
      <text>
        <r>
          <rPr>
            <sz val="9"/>
            <color indexed="81"/>
            <rFont val="Tahoma"/>
            <family val="2"/>
          </rPr>
          <t xml:space="preserve">
</t>
        </r>
      </text>
    </comment>
    <comment ref="K345" authorId="0" shapeId="0" xr:uid="{01165EA5-4D94-425C-A7E9-6DEB556D7147}">
      <text>
        <r>
          <rPr>
            <sz val="9"/>
            <color indexed="81"/>
            <rFont val="Tahoma"/>
            <family val="2"/>
          </rPr>
          <t>ARP: AMORPHOUS ARMS - Late stage merger with beautiful star stream loop and tails</t>
        </r>
      </text>
    </comment>
    <comment ref="A346" authorId="0" shapeId="0" xr:uid="{1B1517D3-0368-40C8-9E6B-76D98E9433D9}">
      <text>
        <r>
          <rPr>
            <sz val="9"/>
            <color indexed="81"/>
            <rFont val="Tahoma"/>
            <family val="2"/>
          </rPr>
          <t xml:space="preserve">
</t>
        </r>
      </text>
    </comment>
    <comment ref="K346" authorId="0" shapeId="0" xr:uid="{E2DFE5A9-4B2E-4563-887B-B430C90100A7}">
      <text>
        <r>
          <rPr>
            <sz val="9"/>
            <color indexed="81"/>
            <rFont val="Tahoma"/>
            <family val="2"/>
          </rPr>
          <t>ARP: AMORPHOUS ARMS - Lenticular Seyfert galaxy with lovely asymmetric dust lanes and star streams</t>
        </r>
      </text>
    </comment>
    <comment ref="A347" authorId="0" shapeId="0" xr:uid="{3690F953-613D-455B-8457-730490555197}">
      <text>
        <r>
          <rPr>
            <sz val="9"/>
            <color indexed="81"/>
            <rFont val="Tahoma"/>
            <family val="2"/>
          </rPr>
          <t xml:space="preserve">
</t>
        </r>
      </text>
    </comment>
    <comment ref="K347" authorId="0" shapeId="0" xr:uid="{A3B4E75D-77BC-4238-9C41-224D82C666F9}">
      <text>
        <r>
          <rPr>
            <sz val="9"/>
            <color indexed="81"/>
            <rFont val="Tahoma"/>
            <family val="2"/>
          </rPr>
          <t xml:space="preserve">ARP: AMORPHOUS ARMS - Showcase merger object with winding star streams extending out to 400,000 light years. </t>
        </r>
      </text>
    </comment>
    <comment ref="A348" authorId="0" shapeId="0" xr:uid="{3508C72E-6BF9-4E8D-942C-4235DBF3A85C}">
      <text>
        <r>
          <rPr>
            <sz val="9"/>
            <color indexed="81"/>
            <rFont val="Tahoma"/>
            <family val="2"/>
          </rPr>
          <t xml:space="preserve">
</t>
        </r>
      </text>
    </comment>
    <comment ref="K348" authorId="0" shapeId="0" xr:uid="{937119B3-57E6-4BB3-95DD-52C379F0758C}">
      <text>
        <r>
          <rPr>
            <sz val="9"/>
            <color indexed="81"/>
            <rFont val="Tahoma"/>
            <family val="2"/>
          </rPr>
          <t>ARP: RINGS - May be only place in sky with two shell galaxies in same view.</t>
        </r>
      </text>
    </comment>
    <comment ref="A349" authorId="0" shapeId="0" xr:uid="{9A2A6BC2-15BD-4DF0-B67F-BDE7BDC1B3CE}">
      <text>
        <r>
          <rPr>
            <sz val="9"/>
            <color indexed="81"/>
            <rFont val="Tahoma"/>
            <family val="2"/>
          </rPr>
          <t xml:space="preserve">
</t>
        </r>
      </text>
    </comment>
    <comment ref="K349" authorId="0" shapeId="0" xr:uid="{8523229C-F670-4F7F-926A-CA57B59F2A75}">
      <text>
        <r>
          <rPr>
            <sz val="9"/>
            <color indexed="81"/>
            <rFont val="Tahoma"/>
            <family val="2"/>
          </rPr>
          <t>ARP: RINGS - Elliptical galaxy with faint shells</t>
        </r>
      </text>
    </comment>
    <comment ref="A350" authorId="0" shapeId="0" xr:uid="{3E9F17F1-8C6A-4EB3-A48C-254C5B83BFAC}">
      <text>
        <r>
          <rPr>
            <sz val="9"/>
            <color indexed="81"/>
            <rFont val="Tahoma"/>
            <family val="2"/>
          </rPr>
          <t xml:space="preserve">
</t>
        </r>
      </text>
    </comment>
    <comment ref="K350" authorId="0" shapeId="0" xr:uid="{8038FEFE-0227-4732-BF48-2C601BAFB4FB}">
      <text>
        <r>
          <rPr>
            <sz val="9"/>
            <color indexed="81"/>
            <rFont val="Tahoma"/>
            <family val="2"/>
          </rPr>
          <t>ARP: RINGS - Elliptical with faint shells, in nice galaxy field.</t>
        </r>
      </text>
    </comment>
    <comment ref="A351" authorId="0" shapeId="0" xr:uid="{25C41439-C0C9-419B-A947-F79EA373F9EF}">
      <text>
        <r>
          <rPr>
            <sz val="9"/>
            <color indexed="81"/>
            <rFont val="Tahoma"/>
            <family val="2"/>
          </rPr>
          <t xml:space="preserve">
</t>
        </r>
      </text>
    </comment>
    <comment ref="K351" authorId="0" shapeId="0" xr:uid="{1A88E387-DC30-488C-82B7-B4FDC6C66575}">
      <text>
        <r>
          <rPr>
            <sz val="9"/>
            <color indexed="81"/>
            <rFont val="Tahoma"/>
            <family val="2"/>
          </rPr>
          <t>ARP: RINGS - Small polar ring galaxy with good color and detailed dust lanes.</t>
        </r>
      </text>
    </comment>
    <comment ref="A352" authorId="0" shapeId="0" xr:uid="{527939BB-3B1E-4979-8779-DED2E16514B8}">
      <text>
        <r>
          <rPr>
            <sz val="9"/>
            <color indexed="81"/>
            <rFont val="Tahoma"/>
            <family val="2"/>
          </rPr>
          <t xml:space="preserve">
</t>
        </r>
      </text>
    </comment>
    <comment ref="K352" authorId="0" shapeId="0" xr:uid="{7FE01C4E-F771-4A1C-A08C-9F5730C9023D}">
      <text>
        <r>
          <rPr>
            <sz val="9"/>
            <color indexed="81"/>
            <rFont val="Tahoma"/>
            <family val="2"/>
          </rPr>
          <t>ARP: RINGS - Likely merged galaxy, with striking dust lanes and shells.</t>
        </r>
      </text>
    </comment>
    <comment ref="A353" authorId="0" shapeId="0" xr:uid="{6A982E94-F7AC-4FF1-B965-19B61E1526CC}">
      <text>
        <r>
          <rPr>
            <sz val="9"/>
            <color indexed="81"/>
            <rFont val="Tahoma"/>
            <family val="2"/>
          </rPr>
          <t xml:space="preserve">
</t>
        </r>
      </text>
    </comment>
    <comment ref="K353" authorId="0" shapeId="0" xr:uid="{B5D5C672-3ABA-4412-8969-B7646B314395}">
      <text>
        <r>
          <rPr>
            <sz val="9"/>
            <color indexed="81"/>
            <rFont val="Tahoma"/>
            <family val="2"/>
          </rPr>
          <t>ARP: FISSION - Large lenticular with fascinating dust cloud structures</t>
        </r>
      </text>
    </comment>
    <comment ref="A354" authorId="0" shapeId="0" xr:uid="{584C4EFD-B136-4735-BCAB-005D55D5588A}">
      <text>
        <r>
          <rPr>
            <sz val="9"/>
            <color indexed="81"/>
            <rFont val="Tahoma"/>
            <family val="2"/>
          </rPr>
          <t xml:space="preserve">
</t>
        </r>
      </text>
    </comment>
    <comment ref="K354" authorId="0" shapeId="0" xr:uid="{A9B1007D-FC73-471E-B815-F71669CEB0D8}">
      <text>
        <r>
          <rPr>
            <sz val="9"/>
            <color indexed="81"/>
            <rFont val="Tahoma"/>
            <family val="2"/>
          </rPr>
          <t>ARP: FISSION - Blue compact dwarf with signs of polar ring formation</t>
        </r>
      </text>
    </comment>
    <comment ref="A355" authorId="0" shapeId="0" xr:uid="{F6CB06F3-6804-44BF-9EC9-DD9760860DCE}">
      <text>
        <r>
          <rPr>
            <sz val="9"/>
            <color indexed="81"/>
            <rFont val="Tahoma"/>
            <family val="2"/>
          </rPr>
          <t xml:space="preserve">
</t>
        </r>
      </text>
    </comment>
    <comment ref="K355" authorId="0" shapeId="0" xr:uid="{78F2E88E-AFA2-4423-AC98-D97D25490F59}">
      <text>
        <r>
          <rPr>
            <sz val="9"/>
            <color indexed="81"/>
            <rFont val="Tahoma"/>
            <family val="2"/>
          </rPr>
          <t>ARP: FISSION - Blue compact dwarf with bright blue star clouds</t>
        </r>
      </text>
    </comment>
    <comment ref="A356" authorId="0" shapeId="0" xr:uid="{BFC66704-A788-450E-AE4D-F9778758E86D}">
      <text>
        <r>
          <rPr>
            <sz val="9"/>
            <color indexed="81"/>
            <rFont val="Tahoma"/>
            <family val="2"/>
          </rPr>
          <t xml:space="preserve">
</t>
        </r>
      </text>
    </comment>
    <comment ref="K356" authorId="0" shapeId="0" xr:uid="{D295AC1F-A7C2-4853-A734-2E9985E98B54}">
      <text>
        <r>
          <rPr>
            <sz val="9"/>
            <color indexed="81"/>
            <rFont val="Tahoma"/>
            <family val="2"/>
          </rPr>
          <t>ARP: FISSION - Magellanic galaxy with blue star clouds and HII regions.</t>
        </r>
      </text>
    </comment>
    <comment ref="A357" authorId="0" shapeId="0" xr:uid="{AF5954C8-D969-49A1-A34F-643BB932A7A2}">
      <text>
        <r>
          <rPr>
            <sz val="9"/>
            <color indexed="81"/>
            <rFont val="Tahoma"/>
            <family val="2"/>
          </rPr>
          <t xml:space="preserve">
</t>
        </r>
      </text>
    </comment>
    <comment ref="K357" authorId="0" shapeId="0" xr:uid="{C0ABC82E-B7B7-4F7B-ADB3-3E83223F221B}">
      <text>
        <r>
          <rPr>
            <sz val="9"/>
            <color indexed="81"/>
            <rFont val="Tahoma"/>
            <family val="2"/>
          </rPr>
          <t>ARP: FISSION - Late stage merger - 2 core remnants separated by an orange dust band.</t>
        </r>
      </text>
    </comment>
    <comment ref="A358" authorId="0" shapeId="0" xr:uid="{54BDF25F-71C9-4FE6-BF10-476E42333301}">
      <text>
        <r>
          <rPr>
            <sz val="9"/>
            <color indexed="81"/>
            <rFont val="Tahoma"/>
            <family val="2"/>
          </rPr>
          <t xml:space="preserve">
</t>
        </r>
      </text>
    </comment>
    <comment ref="K358" authorId="0" shapeId="0" xr:uid="{FC0A8AD1-1942-46E3-8712-58BB716FF4F8}">
      <text>
        <r>
          <rPr>
            <sz val="9"/>
            <color indexed="81"/>
            <rFont val="Tahoma"/>
            <family val="2"/>
          </rPr>
          <t>ARP: FISSION - Interesting group highlighted by pair of merging galaxies with 2 close cores.</t>
        </r>
      </text>
    </comment>
    <comment ref="A359" authorId="0" shapeId="0" xr:uid="{2238F67F-9ADF-432B-912C-6EC702C8EC19}">
      <text>
        <r>
          <rPr>
            <sz val="9"/>
            <color indexed="81"/>
            <rFont val="Tahoma"/>
            <family val="2"/>
          </rPr>
          <t xml:space="preserve">
</t>
        </r>
      </text>
    </comment>
    <comment ref="K359" authorId="0" shapeId="0" xr:uid="{C1AAF34D-A01E-4EC1-80C9-D4FA5B3F0BDB}">
      <text>
        <r>
          <rPr>
            <sz val="9"/>
            <color indexed="81"/>
            <rFont val="Tahoma"/>
            <family val="2"/>
          </rPr>
          <t>ARP: FISSION - Pair of interacting galaxies with star stream bridge and many other streams.</t>
        </r>
      </text>
    </comment>
    <comment ref="A360" authorId="0" shapeId="0" xr:uid="{125DA220-1DC1-41F3-B18B-430E4F3936EA}">
      <text>
        <r>
          <rPr>
            <sz val="9"/>
            <color indexed="81"/>
            <rFont val="Tahoma"/>
            <family val="2"/>
          </rPr>
          <t xml:space="preserve">
</t>
        </r>
      </text>
    </comment>
    <comment ref="K360" authorId="0" shapeId="0" xr:uid="{2A0A0E66-BD57-4EEE-8A54-1F60DE885BAD}">
      <text>
        <r>
          <rPr>
            <sz val="9"/>
            <color indexed="81"/>
            <rFont val="Tahoma"/>
            <family val="2"/>
          </rPr>
          <t>ARP: FISSION - Pair of interacting galaxies with bridge and bright star clouds.</t>
        </r>
      </text>
    </comment>
    <comment ref="A361" authorId="0" shapeId="0" xr:uid="{26B6320A-513F-4743-8BC9-C7C586605169}">
      <text>
        <r>
          <rPr>
            <sz val="9"/>
            <color indexed="81"/>
            <rFont val="Tahoma"/>
            <family val="2"/>
          </rPr>
          <t xml:space="preserve">
</t>
        </r>
      </text>
    </comment>
    <comment ref="K361" authorId="0" shapeId="0" xr:uid="{30AA6E25-8D94-4A37-80FF-01732B5F854A}">
      <text>
        <r>
          <rPr>
            <sz val="9"/>
            <color indexed="81"/>
            <rFont val="Tahoma"/>
            <family val="2"/>
          </rPr>
          <t>ARP: FISSION - Pair of interacting galaxies with bridge and bright star clouds.</t>
        </r>
      </text>
    </comment>
    <comment ref="A362" authorId="0" shapeId="0" xr:uid="{885BCACE-3FAE-4F64-A73D-043CBB5D9920}">
      <text>
        <r>
          <rPr>
            <sz val="9"/>
            <color indexed="81"/>
            <rFont val="Tahoma"/>
            <family val="2"/>
          </rPr>
          <t xml:space="preserve">
</t>
        </r>
      </text>
    </comment>
    <comment ref="K362" authorId="0" shapeId="0" xr:uid="{4A6FBDFB-D308-47CC-B06B-59ACB9C84675}">
      <text>
        <r>
          <rPr>
            <sz val="9"/>
            <color indexed="81"/>
            <rFont val="Tahoma"/>
            <family val="2"/>
          </rPr>
          <t>ARP: FISSION - Pair of contrasting color interacting galaxies with bridge and star clouds</t>
        </r>
      </text>
    </comment>
    <comment ref="A363" authorId="0" shapeId="0" xr:uid="{BBB1BB0D-CFF4-4FE7-AA0A-B1B114DF5A62}">
      <text>
        <r>
          <rPr>
            <sz val="9"/>
            <color indexed="81"/>
            <rFont val="Tahoma"/>
            <family val="2"/>
          </rPr>
          <t xml:space="preserve">
</t>
        </r>
      </text>
    </comment>
    <comment ref="K363" authorId="0" shapeId="0" xr:uid="{33E078F8-4F84-4DFC-B79F-98D235FD3066}">
      <text>
        <r>
          <rPr>
            <sz val="9"/>
            <color indexed="81"/>
            <rFont val="Tahoma"/>
            <family val="2"/>
          </rPr>
          <t>ARP: FISSION - Pair of interacting galaxies with bridge and dual long tails</t>
        </r>
      </text>
    </comment>
    <comment ref="A364" authorId="0" shapeId="0" xr:uid="{3A3FA6B8-7009-43F6-93F3-C0F42D3FAD6C}">
      <text>
        <r>
          <rPr>
            <sz val="9"/>
            <color indexed="81"/>
            <rFont val="Tahoma"/>
            <family val="2"/>
          </rPr>
          <t xml:space="preserve">
</t>
        </r>
      </text>
    </comment>
    <comment ref="K364" authorId="0" shapeId="0" xr:uid="{9ADCB967-39BF-41C0-A83A-3D0113CAE868}">
      <text>
        <r>
          <rPr>
            <sz val="9"/>
            <color indexed="81"/>
            <rFont val="Tahoma"/>
            <family val="2"/>
          </rPr>
          <t>ARP: FISSION - Pair of interacting galaxies with bridge and dual long tails</t>
        </r>
      </text>
    </comment>
    <comment ref="A365" authorId="0" shapeId="0" xr:uid="{422FF1B8-C02C-42CD-BBEF-0A2905629888}">
      <text>
        <r>
          <rPr>
            <sz val="9"/>
            <color indexed="81"/>
            <rFont val="Tahoma"/>
            <family val="2"/>
          </rPr>
          <t xml:space="preserve">
</t>
        </r>
      </text>
    </comment>
    <comment ref="K365" authorId="0" shapeId="0" xr:uid="{22FF208B-F74F-45BD-8FFE-060A2716BE32}">
      <text>
        <r>
          <rPr>
            <sz val="9"/>
            <color indexed="81"/>
            <rFont val="Tahoma"/>
            <family val="2"/>
          </rPr>
          <t xml:space="preserve">ARP: FISSION - Showcase pair of interacting galaxies with intense HII regions and superlong tails. </t>
        </r>
      </text>
    </comment>
    <comment ref="A366" authorId="0" shapeId="0" xr:uid="{49844209-0BD1-44AC-A784-B237D9BFA1BE}">
      <text>
        <r>
          <rPr>
            <sz val="9"/>
            <color indexed="81"/>
            <rFont val="Tahoma"/>
            <family val="2"/>
          </rPr>
          <t xml:space="preserve">
</t>
        </r>
      </text>
    </comment>
    <comment ref="K366" authorId="0" shapeId="0" xr:uid="{6A73FA0B-518A-4605-8ED0-B1EF002CD533}">
      <text>
        <r>
          <rPr>
            <sz val="9"/>
            <color indexed="81"/>
            <rFont val="Tahoma"/>
            <family val="2"/>
          </rPr>
          <t>ARP: FISSION - Pair of interacting galaxies with bridge and long star streams</t>
        </r>
      </text>
    </comment>
    <comment ref="A367" authorId="0" shapeId="0" xr:uid="{E2E7D092-3F44-43D6-8AB6-D01BC2331586}">
      <text>
        <r>
          <rPr>
            <sz val="9"/>
            <color indexed="81"/>
            <rFont val="Tahoma"/>
            <family val="2"/>
          </rPr>
          <t xml:space="preserve">
</t>
        </r>
      </text>
    </comment>
    <comment ref="K367" authorId="0" shapeId="0" xr:uid="{092616E6-AAB4-49F2-8FCF-A8FEF5060EEA}">
      <text>
        <r>
          <rPr>
            <sz val="9"/>
            <color indexed="81"/>
            <rFont val="Tahoma"/>
            <family val="2"/>
          </rPr>
          <t>ARP: FISSION -  Pair of superimposed galaxies - no interaction seen</t>
        </r>
      </text>
    </comment>
    <comment ref="A368" authorId="0" shapeId="0" xr:uid="{131F00FE-F9A5-4344-85B7-D6180589EFB8}">
      <text>
        <r>
          <rPr>
            <sz val="9"/>
            <color indexed="81"/>
            <rFont val="Tahoma"/>
            <family val="2"/>
          </rPr>
          <t xml:space="preserve">
</t>
        </r>
      </text>
    </comment>
    <comment ref="K368" authorId="0" shapeId="0" xr:uid="{E37D9B50-F7C1-4C38-9A5C-99550AD8248D}">
      <text>
        <r>
          <rPr>
            <sz val="9"/>
            <color indexed="81"/>
            <rFont val="Tahoma"/>
            <family val="2"/>
          </rPr>
          <t>ARP: FISSION - Pair of interacting galaxies with bridge and superlong tail.</t>
        </r>
      </text>
    </comment>
    <comment ref="A369" authorId="0" shapeId="0" xr:uid="{D7206535-738E-4961-AC08-54CD82A3F537}">
      <text>
        <r>
          <rPr>
            <sz val="9"/>
            <color indexed="81"/>
            <rFont val="Tahoma"/>
            <family val="2"/>
          </rPr>
          <t xml:space="preserve">
</t>
        </r>
      </text>
    </comment>
    <comment ref="K369" authorId="0" shapeId="0" xr:uid="{F5A5689B-09D2-4CCF-8ABB-4F7CCCEF1AA8}">
      <text>
        <r>
          <rPr>
            <sz val="9"/>
            <color indexed="81"/>
            <rFont val="Tahoma"/>
            <family val="2"/>
          </rPr>
          <t>ARP: FISSION - Pair of interacting galaxies with superlong bridge</t>
        </r>
      </text>
    </comment>
    <comment ref="A370" authorId="0" shapeId="0" xr:uid="{0D2A2D8B-787B-4D1C-A28F-CD8F913FE5D9}">
      <text>
        <r>
          <rPr>
            <sz val="9"/>
            <color indexed="81"/>
            <rFont val="Tahoma"/>
            <family val="2"/>
          </rPr>
          <t xml:space="preserve">
</t>
        </r>
      </text>
    </comment>
    <comment ref="K370" authorId="0" shapeId="0" xr:uid="{15C7CA44-3DE2-4A40-95DD-A7A0DACD70F2}">
      <text>
        <r>
          <rPr>
            <sz val="9"/>
            <color indexed="81"/>
            <rFont val="Tahoma"/>
            <family val="2"/>
          </rPr>
          <t>ARP: FISSION - Pair of interacting ellipticals with star stream bridge and tails</t>
        </r>
      </text>
    </comment>
    <comment ref="A371" authorId="0" shapeId="0" xr:uid="{BC87F41A-B094-4803-9AA8-3D136B471C85}">
      <text>
        <r>
          <rPr>
            <sz val="9"/>
            <color indexed="81"/>
            <rFont val="Tahoma"/>
            <family val="2"/>
          </rPr>
          <t xml:space="preserve">
</t>
        </r>
      </text>
    </comment>
    <comment ref="K371" authorId="0" shapeId="0" xr:uid="{5B2265FA-29D1-4E51-AFA0-978D325514DC}">
      <text>
        <r>
          <rPr>
            <sz val="9"/>
            <color indexed="81"/>
            <rFont val="Tahoma"/>
            <family val="2"/>
          </rPr>
          <t>ARP: FISSION - Three small interacting galaxies with a star stream bridge and tails</t>
        </r>
      </text>
    </comment>
    <comment ref="A372" authorId="0" shapeId="0" xr:uid="{B27D3A92-17C6-495D-B844-91D10661B3BE}">
      <text>
        <r>
          <rPr>
            <sz val="9"/>
            <color indexed="81"/>
            <rFont val="Tahoma"/>
            <family val="2"/>
          </rPr>
          <t xml:space="preserve">
</t>
        </r>
      </text>
    </comment>
    <comment ref="K372" authorId="0" shapeId="0" xr:uid="{969AD0B7-5259-4BCA-B5D7-DAB184137199}">
      <text>
        <r>
          <rPr>
            <sz val="9"/>
            <color indexed="81"/>
            <rFont val="Tahoma"/>
            <family val="2"/>
          </rPr>
          <t>ARP: FISSION - Galaxy trio, with star stream bridge between 2.  Tied for furthest Arp object at 1 billion ly.</t>
        </r>
      </text>
    </comment>
    <comment ref="A373" authorId="0" shapeId="0" xr:uid="{F6316465-644B-4F12-8968-283DED4E866F}">
      <text>
        <r>
          <rPr>
            <sz val="9"/>
            <color indexed="81"/>
            <rFont val="Tahoma"/>
            <family val="2"/>
          </rPr>
          <t xml:space="preserve">
</t>
        </r>
      </text>
    </comment>
    <comment ref="K373" authorId="0" shapeId="0" xr:uid="{176302D2-9D56-4CD6-99ED-57A1456ED059}">
      <text>
        <r>
          <rPr>
            <sz val="9"/>
            <color indexed="81"/>
            <rFont val="Tahoma"/>
            <family val="2"/>
          </rPr>
          <t>ARP: FISSION - Dual interacting galaxies with bridge and wild long arcing streams.</t>
        </r>
      </text>
    </comment>
    <comment ref="A374" authorId="0" shapeId="0" xr:uid="{EF3DD729-0BD1-4022-BEF1-BC4E4B32282B}">
      <text>
        <r>
          <rPr>
            <sz val="9"/>
            <color indexed="81"/>
            <rFont val="Tahoma"/>
            <family val="2"/>
          </rPr>
          <t xml:space="preserve">
</t>
        </r>
      </text>
    </comment>
    <comment ref="K374" authorId="0" shapeId="0" xr:uid="{4DFDC301-506D-4B07-A41A-63EF0EABF9E8}">
      <text>
        <r>
          <rPr>
            <sz val="9"/>
            <color indexed="81"/>
            <rFont val="Tahoma"/>
            <family val="2"/>
          </rPr>
          <t xml:space="preserve">ARP: FISSION - Interacting pair of edge-on galaxies with bridge and blue star clouds. </t>
        </r>
      </text>
    </comment>
    <comment ref="A375" authorId="0" shapeId="0" xr:uid="{B4061F5C-88E3-4AEC-8FA3-0D86052150EC}">
      <text>
        <r>
          <rPr>
            <sz val="9"/>
            <color indexed="81"/>
            <rFont val="Tahoma"/>
            <family val="2"/>
          </rPr>
          <t xml:space="preserve">
</t>
        </r>
      </text>
    </comment>
    <comment ref="K375" authorId="0" shapeId="0" xr:uid="{C4F463A4-39A8-4424-9D71-A53B68B0564C}">
      <text>
        <r>
          <rPr>
            <sz val="9"/>
            <color indexed="81"/>
            <rFont val="Tahoma"/>
            <family val="2"/>
          </rPr>
          <t>ARP: FISSION - Barred spiral with long star streams, likely interacting with an irregular companion.</t>
        </r>
      </text>
    </comment>
    <comment ref="A376" authorId="0" shapeId="0" xr:uid="{7AE16763-4B94-400B-AED4-E18CD6C65119}">
      <text>
        <r>
          <rPr>
            <sz val="9"/>
            <color indexed="81"/>
            <rFont val="Tahoma"/>
            <family val="2"/>
          </rPr>
          <t xml:space="preserve">
</t>
        </r>
      </text>
    </comment>
    <comment ref="K376" authorId="0" shapeId="0" xr:uid="{A2CAE070-7224-426B-BBC5-BD4D38F478C9}">
      <text>
        <r>
          <rPr>
            <sz val="9"/>
            <color indexed="81"/>
            <rFont val="Tahoma"/>
            <family val="2"/>
          </rPr>
          <t>ARP: FISSION - Interacting pair with contrasting colors, bridge and tails.</t>
        </r>
      </text>
    </comment>
    <comment ref="A377" authorId="0" shapeId="0" xr:uid="{80ABFE17-528A-465E-B775-088BF4AE3D8D}">
      <text>
        <r>
          <rPr>
            <sz val="9"/>
            <color indexed="81"/>
            <rFont val="Tahoma"/>
            <family val="2"/>
          </rPr>
          <t xml:space="preserve">
</t>
        </r>
      </text>
    </comment>
    <comment ref="K377" authorId="0" shapeId="0" xr:uid="{6715FF6E-3193-4DF8-8D98-83B1E4DC4412}">
      <text>
        <r>
          <rPr>
            <sz val="9"/>
            <color indexed="81"/>
            <rFont val="Tahoma"/>
            <family val="2"/>
          </rPr>
          <t>ARP: FISSION - Pair of interacting grand design spirals with bridge, nice color and plumes</t>
        </r>
      </text>
    </comment>
    <comment ref="A378" authorId="0" shapeId="0" xr:uid="{AD27A360-C30D-478D-ADEE-B90F7CD1B915}">
      <text>
        <r>
          <rPr>
            <sz val="9"/>
            <color indexed="81"/>
            <rFont val="Tahoma"/>
            <family val="2"/>
          </rPr>
          <t xml:space="preserve">
</t>
        </r>
      </text>
    </comment>
    <comment ref="K378" authorId="0" shapeId="0" xr:uid="{04B23780-2840-4ED0-BD4F-FC6C4573B11E}">
      <text>
        <r>
          <rPr>
            <sz val="9"/>
            <color indexed="81"/>
            <rFont val="Tahoma"/>
            <family val="2"/>
          </rPr>
          <t>ARP: CLUMPS - Interacting blue pair with faint bridge, complex streams and star clouds.</t>
        </r>
      </text>
    </comment>
    <comment ref="A379" authorId="0" shapeId="0" xr:uid="{EB975D21-C0AA-4DFD-A902-404520B42776}">
      <text>
        <r>
          <rPr>
            <sz val="9"/>
            <color indexed="81"/>
            <rFont val="Tahoma"/>
            <family val="2"/>
          </rPr>
          <t xml:space="preserve">
</t>
        </r>
      </text>
    </comment>
    <comment ref="K379" authorId="0" shapeId="0" xr:uid="{DFBBD306-9C9F-4AB6-BFAF-BFF5C1CDA472}">
      <text>
        <r>
          <rPr>
            <sz val="9"/>
            <color indexed="81"/>
            <rFont val="Tahoma"/>
            <family val="2"/>
          </rPr>
          <t>ARP: CLUMPS - Looks like 2 galaxies, not 4.  Probably not interacting.</t>
        </r>
      </text>
    </comment>
    <comment ref="A380" authorId="0" shapeId="0" xr:uid="{02D2B11A-C0D1-4A4F-8951-CF649DE0DC01}">
      <text>
        <r>
          <rPr>
            <sz val="9"/>
            <color indexed="81"/>
            <rFont val="Tahoma"/>
            <family val="2"/>
          </rPr>
          <t xml:space="preserve">
</t>
        </r>
      </text>
    </comment>
    <comment ref="K380" authorId="0" shapeId="0" xr:uid="{1A575247-7F8D-4274-8D30-1D5F048E09FA}">
      <text>
        <r>
          <rPr>
            <sz val="9"/>
            <color indexed="81"/>
            <rFont val="Tahoma"/>
            <family val="2"/>
          </rPr>
          <t>ARP: CLUMPS - Complex. Tied for having the second most galaxies (7) of any Hickson group.</t>
        </r>
      </text>
    </comment>
    <comment ref="A381" authorId="0" shapeId="0" xr:uid="{6C7E1DAE-2617-4F99-996D-11BFD41814DB}">
      <text>
        <r>
          <rPr>
            <sz val="9"/>
            <color indexed="81"/>
            <rFont val="Tahoma"/>
            <family val="2"/>
          </rPr>
          <t xml:space="preserve">
</t>
        </r>
      </text>
    </comment>
    <comment ref="K381" authorId="0" shapeId="0" xr:uid="{3A79BEDC-DBB5-4A87-9218-B900313752B6}">
      <text>
        <r>
          <rPr>
            <sz val="9"/>
            <color indexed="81"/>
            <rFont val="Tahoma"/>
            <family val="2"/>
          </rPr>
          <t>ARP: CLUMPS - Interacting pair of blue galaxies with plumes and strong arms</t>
        </r>
      </text>
    </comment>
    <comment ref="A382" authorId="0" shapeId="0" xr:uid="{51B2D79C-3D01-4F25-A00D-8B3859983416}">
      <text>
        <r>
          <rPr>
            <sz val="9"/>
            <color indexed="81"/>
            <rFont val="Tahoma"/>
            <family val="2"/>
          </rPr>
          <t xml:space="preserve">
</t>
        </r>
      </text>
    </comment>
    <comment ref="K382" authorId="0" shapeId="0" xr:uid="{86FEB0E1-365A-47C7-9733-A974F265F529}">
      <text>
        <r>
          <rPr>
            <sz val="9"/>
            <color indexed="81"/>
            <rFont val="Tahoma"/>
            <family val="2"/>
          </rPr>
          <t>ARP: CLUMPS - Pair of blue interacting galaxies with bridge and plumes</t>
        </r>
      </text>
    </comment>
    <comment ref="A383" authorId="0" shapeId="0" xr:uid="{429F4171-9D0D-4B00-B9BA-9A6E515D144C}">
      <text>
        <r>
          <rPr>
            <sz val="9"/>
            <color indexed="81"/>
            <rFont val="Tahoma"/>
            <family val="2"/>
          </rPr>
          <t xml:space="preserve">
</t>
        </r>
      </text>
    </comment>
    <comment ref="K383" authorId="0" shapeId="0" xr:uid="{195488EA-8F5D-4940-B262-3517299621DF}">
      <text>
        <r>
          <rPr>
            <sz val="9"/>
            <color indexed="81"/>
            <rFont val="Tahoma"/>
            <family val="2"/>
          </rPr>
          <t>ARP: CLUMPS - Mess of 2 likely superimposed blue galaxies, with star plumes</t>
        </r>
      </text>
    </comment>
    <comment ref="A384" authorId="0" shapeId="0" xr:uid="{5C4188C3-D474-4868-86A2-F9CC3F6B52FE}">
      <text>
        <r>
          <rPr>
            <sz val="9"/>
            <color indexed="81"/>
            <rFont val="Tahoma"/>
            <family val="2"/>
          </rPr>
          <t xml:space="preserve">
</t>
        </r>
      </text>
    </comment>
    <comment ref="K384" authorId="0" shapeId="0" xr:uid="{E78C6A94-778B-4A76-9FBC-1ABCCF10ECF1}">
      <text>
        <r>
          <rPr>
            <sz val="9"/>
            <color indexed="81"/>
            <rFont val="Tahoma"/>
            <family val="2"/>
          </rPr>
          <t>ARP: CLUMPS - Irregular galaxy with blue star clouds, HII regions, and large plumes</t>
        </r>
      </text>
    </comment>
    <comment ref="A385" authorId="0" shapeId="0" xr:uid="{9E392A0B-E4F9-42E8-A6FA-A0031E480B4E}">
      <text>
        <r>
          <rPr>
            <sz val="9"/>
            <color indexed="81"/>
            <rFont val="Tahoma"/>
            <family val="2"/>
          </rPr>
          <t xml:space="preserve">
</t>
        </r>
      </text>
    </comment>
    <comment ref="K385" authorId="0" shapeId="0" xr:uid="{A5960183-0F90-4853-8DE9-C5884EC51591}">
      <text>
        <r>
          <rPr>
            <sz val="9"/>
            <color indexed="81"/>
            <rFont val="Tahoma"/>
            <family val="2"/>
          </rPr>
          <t xml:space="preserve">ARP: CLUMPS - Likely blue Magellanic galaxy with many blue star clouds </t>
        </r>
      </text>
    </comment>
    <comment ref="A386" authorId="0" shapeId="0" xr:uid="{60A9134C-8C62-419D-A214-98A51FCE30D2}">
      <text>
        <r>
          <rPr>
            <sz val="9"/>
            <color indexed="81"/>
            <rFont val="Tahoma"/>
            <family val="2"/>
          </rPr>
          <t xml:space="preserve">
</t>
        </r>
      </text>
    </comment>
    <comment ref="K386" authorId="0" shapeId="0" xr:uid="{5FFF32BA-630D-4490-A33B-D12E9BC0E80A}">
      <text>
        <r>
          <rPr>
            <sz val="9"/>
            <color indexed="81"/>
            <rFont val="Tahoma"/>
            <family val="2"/>
          </rPr>
          <t>ARP: CLUMPS - Complex faint blue arm galaxy with odd 3 arm central region.</t>
        </r>
      </text>
    </comment>
    <comment ref="A387" authorId="0" shapeId="0" xr:uid="{FD6D9399-280A-4B1F-B2B3-AA36EF9078FE}">
      <text>
        <r>
          <rPr>
            <sz val="9"/>
            <color indexed="81"/>
            <rFont val="Tahoma"/>
            <family val="2"/>
          </rPr>
          <t xml:space="preserve">
</t>
        </r>
      </text>
    </comment>
    <comment ref="K387" authorId="0" shapeId="0" xr:uid="{9C15421B-3AF8-4D6F-AC5F-5D1F973C3307}">
      <text>
        <r>
          <rPr>
            <sz val="9"/>
            <color indexed="81"/>
            <rFont val="Tahoma"/>
            <family val="2"/>
          </rPr>
          <t>ARP: CLUMPS - Comet-like blue irregular galaxy with star clouds and long tail</t>
        </r>
      </text>
    </comment>
    <comment ref="A388" authorId="0" shapeId="0" xr:uid="{59427913-BE64-4502-8D11-32B556BE79D1}">
      <text>
        <r>
          <rPr>
            <sz val="9"/>
            <color indexed="81"/>
            <rFont val="Tahoma"/>
            <family val="2"/>
          </rPr>
          <t xml:space="preserve">
</t>
        </r>
      </text>
    </comment>
    <comment ref="K388" authorId="0" shapeId="0" xr:uid="{9B83D20F-CE8D-47E9-B719-6D09118672E0}">
      <text>
        <r>
          <rPr>
            <sz val="9"/>
            <color indexed="81"/>
            <rFont val="Tahoma"/>
            <family val="2"/>
          </rPr>
          <t>ARP: CLUMPS - Likely Magellanic galaxy, small and dim with comet-like shape</t>
        </r>
      </text>
    </comment>
    <comment ref="A389" authorId="0" shapeId="0" xr:uid="{C5E5B1B1-A46B-45F6-AC48-0AD0860D63BB}">
      <text>
        <r>
          <rPr>
            <sz val="9"/>
            <color indexed="81"/>
            <rFont val="Tahoma"/>
            <family val="2"/>
          </rPr>
          <t xml:space="preserve">
</t>
        </r>
      </text>
    </comment>
    <comment ref="K389" authorId="0" shapeId="0" xr:uid="{633B2939-D34D-4079-BE83-64A8F38EA754}">
      <text>
        <r>
          <rPr>
            <sz val="9"/>
            <color indexed="81"/>
            <rFont val="Tahoma"/>
            <family val="2"/>
          </rPr>
          <t>ARP: CLUMPS - Faint blue galaxy with fascinating HII bubble regions</t>
        </r>
      </text>
    </comment>
    <comment ref="A390" authorId="0" shapeId="0" xr:uid="{E5635913-64A2-455B-A15F-BDED79873F05}">
      <text>
        <r>
          <rPr>
            <sz val="9"/>
            <color indexed="81"/>
            <rFont val="Tahoma"/>
            <family val="2"/>
          </rPr>
          <t xml:space="preserve">
</t>
        </r>
      </text>
    </comment>
    <comment ref="K390" authorId="0" shapeId="0" xr:uid="{4E986D99-2448-49E3-9474-CB73D77A33AF}">
      <text>
        <r>
          <rPr>
            <sz val="9"/>
            <color indexed="81"/>
            <rFont val="Tahoma"/>
            <family val="2"/>
          </rPr>
          <t>ARP: CONNECTED ARMS - Showcase pair of bright blue interacting galaxies with HII regions</t>
        </r>
      </text>
    </comment>
    <comment ref="A391" authorId="0" shapeId="0" xr:uid="{7642B75A-41F7-4E3B-B4DC-1C1E680E2D8C}">
      <text>
        <r>
          <rPr>
            <sz val="9"/>
            <color indexed="81"/>
            <rFont val="Tahoma"/>
            <family val="2"/>
          </rPr>
          <t xml:space="preserve">
</t>
        </r>
      </text>
    </comment>
    <comment ref="K391" authorId="0" shapeId="0" xr:uid="{2A3BF6AA-8E31-4CF4-A1E6-3559E745522A}">
      <text>
        <r>
          <rPr>
            <sz val="9"/>
            <color indexed="81"/>
            <rFont val="Tahoma"/>
            <family val="2"/>
          </rPr>
          <t>ARP: CONNECTED ARMS - Pair of interacting blue galaxies with bridge and star clouds</t>
        </r>
      </text>
    </comment>
    <comment ref="A392" authorId="0" shapeId="0" xr:uid="{A801B591-597E-452C-9016-2F3283FBA258}">
      <text>
        <r>
          <rPr>
            <sz val="9"/>
            <color indexed="81"/>
            <rFont val="Tahoma"/>
            <family val="2"/>
          </rPr>
          <t xml:space="preserve">
</t>
        </r>
      </text>
    </comment>
    <comment ref="K392" authorId="0" shapeId="0" xr:uid="{4C754068-F308-4693-A7A2-C66A66EA8F72}">
      <text>
        <r>
          <rPr>
            <sz val="9"/>
            <color indexed="81"/>
            <rFont val="Tahoma"/>
            <family val="2"/>
          </rPr>
          <t xml:space="preserve">ARP: CONNECTED ARMS - Pair of lovely grand spirals with bridge and nice structure. </t>
        </r>
      </text>
    </comment>
    <comment ref="A393" authorId="0" shapeId="0" xr:uid="{2F389B9A-3E79-48B6-BD58-5468540150FD}">
      <text>
        <r>
          <rPr>
            <sz val="9"/>
            <color indexed="81"/>
            <rFont val="Tahoma"/>
            <family val="2"/>
          </rPr>
          <t xml:space="preserve">
</t>
        </r>
      </text>
    </comment>
    <comment ref="K393" authorId="0" shapeId="0" xr:uid="{E756468F-20D9-4AD2-8EA6-483A15C1E1AC}">
      <text>
        <r>
          <rPr>
            <sz val="9"/>
            <color indexed="81"/>
            <rFont val="Tahoma"/>
            <family val="2"/>
          </rPr>
          <t xml:space="preserve">ARP: CONNECTED ARMS - Pair of interacting face-on spirals with likely companion </t>
        </r>
      </text>
    </comment>
    <comment ref="A394" authorId="0" shapeId="0" xr:uid="{2670E7CC-67E4-4D2A-8C1A-72E6325B6113}">
      <text>
        <r>
          <rPr>
            <sz val="9"/>
            <color indexed="81"/>
            <rFont val="Tahoma"/>
            <family val="2"/>
          </rPr>
          <t xml:space="preserve">
</t>
        </r>
      </text>
    </comment>
    <comment ref="K394" authorId="0" shapeId="0" xr:uid="{2D7364A0-74AE-4A87-8D94-BCA5DA63F407}">
      <text>
        <r>
          <rPr>
            <sz val="9"/>
            <color indexed="81"/>
            <rFont val="Tahoma"/>
            <family val="2"/>
          </rPr>
          <t>ARP: CONNECTED ARMS - Showcase object of 2 interacting grand design spirals, with bridge and plumes</t>
        </r>
      </text>
    </comment>
    <comment ref="A395" authorId="0" shapeId="0" xr:uid="{BE5056B3-D4AF-4566-A5E4-EFDB0E602998}">
      <text>
        <r>
          <rPr>
            <sz val="9"/>
            <color indexed="81"/>
            <rFont val="Tahoma"/>
            <family val="2"/>
          </rPr>
          <t xml:space="preserve">
</t>
        </r>
      </text>
    </comment>
    <comment ref="K395" authorId="0" shapeId="0" xr:uid="{5EC965CB-0161-4067-84C1-3946B28CFDD1}">
      <text>
        <r>
          <rPr>
            <sz val="9"/>
            <color indexed="81"/>
            <rFont val="Tahoma"/>
            <family val="2"/>
          </rPr>
          <t>ARP: CONNECTED ARMS - Two superimposed distant galaxies</t>
        </r>
      </text>
    </comment>
    <comment ref="A396" authorId="0" shapeId="0" xr:uid="{5ED4F2E3-AF85-4640-9B9F-AA6F6365E657}">
      <text>
        <r>
          <rPr>
            <sz val="9"/>
            <color indexed="81"/>
            <rFont val="Tahoma"/>
            <family val="2"/>
          </rPr>
          <t xml:space="preserve">
</t>
        </r>
      </text>
    </comment>
    <comment ref="K396" authorId="0" shapeId="0" xr:uid="{EE1253B9-E163-4563-891E-7B7852A70097}">
      <text>
        <r>
          <rPr>
            <sz val="9"/>
            <color indexed="81"/>
            <rFont val="Tahoma"/>
            <family val="2"/>
          </rPr>
          <t>ARP: INTERACTING - Likely interacting blue pair with star clouds and plumes</t>
        </r>
      </text>
    </comment>
    <comment ref="A397" authorId="0" shapeId="0" xr:uid="{D80EC185-4287-4055-9F6D-DA9E716D6FDE}">
      <text>
        <r>
          <rPr>
            <sz val="9"/>
            <color indexed="81"/>
            <rFont val="Tahoma"/>
            <family val="2"/>
          </rPr>
          <t xml:space="preserve">
</t>
        </r>
      </text>
    </comment>
    <comment ref="K397" authorId="0" shapeId="0" xr:uid="{31200149-6F4A-45C3-A730-30D0FF3142F0}">
      <text>
        <r>
          <rPr>
            <sz val="9"/>
            <color indexed="81"/>
            <rFont val="Tahoma"/>
            <family val="2"/>
          </rPr>
          <t>ARP: INTERACTING - Likely superimposed pair, no disturbance seen.</t>
        </r>
      </text>
    </comment>
    <comment ref="A398" authorId="0" shapeId="0" xr:uid="{D4F0565A-10B4-496D-884A-A83D8EE5819C}">
      <text>
        <r>
          <rPr>
            <sz val="9"/>
            <color indexed="81"/>
            <rFont val="Tahoma"/>
            <family val="2"/>
          </rPr>
          <t xml:space="preserve">
</t>
        </r>
      </text>
    </comment>
    <comment ref="K398" authorId="0" shapeId="0" xr:uid="{31BA5DA3-A7E6-4583-B0B7-4C6280EBE5C8}">
      <text>
        <r>
          <rPr>
            <sz val="9"/>
            <color indexed="81"/>
            <rFont val="Tahoma"/>
            <family val="2"/>
          </rPr>
          <t>ARP: INTERACTING - Interacting pair of blue irregular galaxies with bridge and star clouds.</t>
        </r>
      </text>
    </comment>
    <comment ref="A399" authorId="0" shapeId="0" xr:uid="{46C15D35-03A3-4884-A4D7-457AD238B822}">
      <text>
        <r>
          <rPr>
            <sz val="9"/>
            <color indexed="81"/>
            <rFont val="Tahoma"/>
            <family val="2"/>
          </rPr>
          <t xml:space="preserve">
</t>
        </r>
      </text>
    </comment>
    <comment ref="K399" authorId="0" shapeId="0" xr:uid="{C59AB327-E5AD-487B-ABB1-A63C849F8A7F}">
      <text>
        <r>
          <rPr>
            <sz val="9"/>
            <color indexed="81"/>
            <rFont val="Tahoma"/>
            <family val="2"/>
          </rPr>
          <t>ARP: INTERACTING - Interacting pair of similar spiral galaxies with bridge and nice color.</t>
        </r>
      </text>
    </comment>
    <comment ref="A400" authorId="0" shapeId="0" xr:uid="{0294163D-25C9-42C9-9965-B637D35CEF20}">
      <text>
        <r>
          <rPr>
            <sz val="9"/>
            <color indexed="81"/>
            <rFont val="Tahoma"/>
            <family val="2"/>
          </rPr>
          <t xml:space="preserve">
</t>
        </r>
      </text>
    </comment>
    <comment ref="K400" authorId="0" shapeId="0" xr:uid="{9760EC9B-659C-49CF-B525-2175571E3B7E}">
      <text>
        <r>
          <rPr>
            <sz val="9"/>
            <color indexed="81"/>
            <rFont val="Tahoma"/>
            <family val="2"/>
          </rPr>
          <t>ARP: INTERACTING - Pair of likely interacting galaxies.  Star plumes but not much deformation.</t>
        </r>
      </text>
    </comment>
    <comment ref="A401" authorId="0" shapeId="0" xr:uid="{7937FB63-E1FE-41A0-A50D-900304220CE2}">
      <text>
        <r>
          <rPr>
            <sz val="9"/>
            <color indexed="81"/>
            <rFont val="Tahoma"/>
            <family val="2"/>
          </rPr>
          <t xml:space="preserve">
</t>
        </r>
      </text>
    </comment>
    <comment ref="K401" authorId="0" shapeId="0" xr:uid="{4AF965C3-7AF7-4885-8B42-76290C607D8F}">
      <text>
        <r>
          <rPr>
            <sz val="9"/>
            <color indexed="81"/>
            <rFont val="Tahoma"/>
            <family val="2"/>
          </rPr>
          <t>ARP: INTERACTING - Two galaxies of different color which are likely not interacting</t>
        </r>
      </text>
    </comment>
    <comment ref="A402" authorId="0" shapeId="0" xr:uid="{C618122C-4624-488C-9B83-C0CE488B5DED}">
      <text>
        <r>
          <rPr>
            <sz val="9"/>
            <color indexed="81"/>
            <rFont val="Tahoma"/>
            <family val="2"/>
          </rPr>
          <t xml:space="preserve">
</t>
        </r>
      </text>
    </comment>
    <comment ref="K402" authorId="0" shapeId="0" xr:uid="{4C06B540-7703-41C0-8F0A-6C4AD2D4368B}">
      <text>
        <r>
          <rPr>
            <sz val="9"/>
            <color indexed="81"/>
            <rFont val="Tahoma"/>
            <family val="2"/>
          </rPr>
          <t>ARP: INFILL &amp; ATTRACTION - Showcase yellow spiral with bridged companion.  Nice color and detail.</t>
        </r>
      </text>
    </comment>
    <comment ref="A403" authorId="0" shapeId="0" xr:uid="{1D52495C-6EA8-4279-8548-70F9A5D12ABE}">
      <text>
        <r>
          <rPr>
            <sz val="9"/>
            <color indexed="81"/>
            <rFont val="Tahoma"/>
            <family val="2"/>
          </rPr>
          <t xml:space="preserve">
</t>
        </r>
      </text>
    </comment>
    <comment ref="K403" authorId="0" shapeId="0" xr:uid="{CA9511C4-CAC4-45E2-A832-07FDAB338FEA}">
      <text>
        <r>
          <rPr>
            <sz val="9"/>
            <color indexed="81"/>
            <rFont val="Tahoma"/>
            <family val="2"/>
          </rPr>
          <t>ARP: INFILL &amp; ATTRACTION - Pair of likely interacting galaxies with contrasting color and plumes</t>
        </r>
      </text>
    </comment>
    <comment ref="A404" authorId="0" shapeId="0" xr:uid="{BEDCBA2D-A79C-4724-B154-E198A4E4ABCB}">
      <text>
        <r>
          <rPr>
            <sz val="9"/>
            <color indexed="81"/>
            <rFont val="Tahoma"/>
            <family val="2"/>
          </rPr>
          <t xml:space="preserve">
</t>
        </r>
      </text>
    </comment>
    <comment ref="K404" authorId="0" shapeId="0" xr:uid="{774BA05F-C3C6-4F66-B7B7-99BB598DF21C}">
      <text>
        <r>
          <rPr>
            <sz val="9"/>
            <color indexed="81"/>
            <rFont val="Tahoma"/>
            <family val="2"/>
          </rPr>
          <t>ARP: INFILL &amp; ATTRACTION - Interacting pair obscured by bright star</t>
        </r>
      </text>
    </comment>
    <comment ref="A405" authorId="0" shapeId="0" xr:uid="{29955656-043C-4B26-ACDC-E494E04D70C2}">
      <text>
        <r>
          <rPr>
            <sz val="9"/>
            <color indexed="81"/>
            <rFont val="Tahoma"/>
            <family val="2"/>
          </rPr>
          <t xml:space="preserve">
</t>
        </r>
      </text>
    </comment>
    <comment ref="K405" authorId="0" shapeId="0" xr:uid="{8E1E05A4-A9CC-46A2-9526-0DB174DC76D0}">
      <text>
        <r>
          <rPr>
            <sz val="9"/>
            <color indexed="81"/>
            <rFont val="Tahoma"/>
            <family val="2"/>
          </rPr>
          <t>ARP: INFILL &amp; ATTRACTION - Likely interacting pair with slight star streams</t>
        </r>
      </text>
    </comment>
    <comment ref="A406" authorId="0" shapeId="0" xr:uid="{63C42CBE-96F9-4F37-8779-CAA6D2122CCD}">
      <text>
        <r>
          <rPr>
            <sz val="9"/>
            <color indexed="81"/>
            <rFont val="Tahoma"/>
            <family val="2"/>
          </rPr>
          <t xml:space="preserve">
</t>
        </r>
      </text>
    </comment>
    <comment ref="K406" authorId="0" shapeId="0" xr:uid="{81033950-6141-4512-B756-1A8564C6D405}">
      <text>
        <r>
          <rPr>
            <sz val="9"/>
            <color indexed="81"/>
            <rFont val="Tahoma"/>
            <family val="2"/>
          </rPr>
          <t>ARP: INFILL &amp; ATTRACTION - Trio of likely interacting galaxies with nice color and detail.</t>
        </r>
      </text>
    </comment>
    <comment ref="A407" authorId="0" shapeId="0" xr:uid="{19439670-E8FF-44B5-B453-4228A6D1D86F}">
      <text>
        <r>
          <rPr>
            <sz val="9"/>
            <color indexed="81"/>
            <rFont val="Tahoma"/>
            <family val="2"/>
          </rPr>
          <t xml:space="preserve">
</t>
        </r>
      </text>
    </comment>
    <comment ref="K407" authorId="0" shapeId="0" xr:uid="{1F48CF8B-81ED-4DA9-A66C-036ADA099FC9}">
      <text>
        <r>
          <rPr>
            <sz val="9"/>
            <color indexed="81"/>
            <rFont val="Tahoma"/>
            <family val="2"/>
          </rPr>
          <t>ARP: WIND EFFECTS - Galaxy with companion, bridge, and start of star stream tail</t>
        </r>
      </text>
    </comment>
    <comment ref="A408" authorId="0" shapeId="0" xr:uid="{45116A0A-07D1-4620-9CE5-50FF532C96DB}">
      <text>
        <r>
          <rPr>
            <sz val="9"/>
            <color indexed="81"/>
            <rFont val="Tahoma"/>
            <family val="2"/>
          </rPr>
          <t xml:space="preserve">
</t>
        </r>
      </text>
    </comment>
    <comment ref="K408" authorId="0" shapeId="0" xr:uid="{BE26789A-1BDB-4431-AFA0-8D6032E8947C}">
      <text>
        <r>
          <rPr>
            <sz val="9"/>
            <color indexed="81"/>
            <rFont val="Tahoma"/>
            <family val="2"/>
          </rPr>
          <t>ARP: WIND EFFECTS - Double ring galaxy with 0.5 billion long star streams</t>
        </r>
      </text>
    </comment>
    <comment ref="A409" authorId="0" shapeId="0" xr:uid="{F0A46D72-C451-4318-A08E-CEDA6494B7DA}">
      <text>
        <r>
          <rPr>
            <sz val="9"/>
            <color indexed="81"/>
            <rFont val="Tahoma"/>
            <family val="2"/>
          </rPr>
          <t xml:space="preserve">
</t>
        </r>
      </text>
    </comment>
    <comment ref="K409" authorId="0" shapeId="0" xr:uid="{96ED01F8-A9D2-4BC9-A8C9-4A23E785B6D2}">
      <text>
        <r>
          <rPr>
            <sz val="9"/>
            <color indexed="81"/>
            <rFont val="Tahoma"/>
            <family val="2"/>
          </rPr>
          <t xml:space="preserve">ARP: WIND EFFECTS - Grand design spiral with star plumes </t>
        </r>
      </text>
    </comment>
    <comment ref="A410" authorId="0" shapeId="0" xr:uid="{D0FB00FF-EC92-4DDB-AD5F-0462757A5E48}">
      <text>
        <r>
          <rPr>
            <sz val="9"/>
            <color indexed="81"/>
            <rFont val="Tahoma"/>
            <family val="2"/>
          </rPr>
          <t xml:space="preserve">
</t>
        </r>
      </text>
    </comment>
    <comment ref="K410" authorId="0" shapeId="0" xr:uid="{4B0A4286-4A9F-48B9-AEF5-EF8C03FE41C1}">
      <text>
        <r>
          <rPr>
            <sz val="9"/>
            <color indexed="81"/>
            <rFont val="Tahoma"/>
            <family val="2"/>
          </rPr>
          <t>ARP: WIND EFFECTS - Spiral galaxy with star streams, possibly interacting with companion</t>
        </r>
      </text>
    </comment>
    <comment ref="A411" authorId="0" shapeId="0" xr:uid="{1B853D3E-92B4-4F58-BE76-13FF966474B0}">
      <text>
        <r>
          <rPr>
            <sz val="9"/>
            <color indexed="81"/>
            <rFont val="Tahoma"/>
            <family val="2"/>
          </rPr>
          <t xml:space="preserve">
</t>
        </r>
      </text>
    </comment>
    <comment ref="K411" authorId="0" shapeId="0" xr:uid="{FF4F6D83-EE0C-4636-A483-B5B2E5D59DAD}">
      <text>
        <r>
          <rPr>
            <sz val="9"/>
            <color indexed="81"/>
            <rFont val="Tahoma"/>
            <family val="2"/>
          </rPr>
          <t>ARP: WIND EFFECTS - Typical Magellan galaxy</t>
        </r>
      </text>
    </comment>
    <comment ref="A412" authorId="0" shapeId="0" xr:uid="{4EB3A756-EED5-44C1-B98A-1DBF68CF8D91}">
      <text>
        <r>
          <rPr>
            <sz val="9"/>
            <color indexed="81"/>
            <rFont val="Tahoma"/>
            <family val="2"/>
          </rPr>
          <t xml:space="preserve">
</t>
        </r>
      </text>
    </comment>
    <comment ref="K412" authorId="0" shapeId="0" xr:uid="{659C3BF1-F924-4481-9953-EC5A3617664F}">
      <text>
        <r>
          <rPr>
            <sz val="9"/>
            <color indexed="81"/>
            <rFont val="Tahoma"/>
            <family val="2"/>
          </rPr>
          <t>ARP: WIND EFFECTS - Edge-on spiral with no "wind effects" seen.</t>
        </r>
      </text>
    </comment>
    <comment ref="A413" authorId="0" shapeId="0" xr:uid="{E571A709-5C9D-4A68-B6B5-0C2CE3A2166D}">
      <text>
        <r>
          <rPr>
            <sz val="9"/>
            <color indexed="81"/>
            <rFont val="Tahoma"/>
            <family val="2"/>
          </rPr>
          <t xml:space="preserve">
</t>
        </r>
      </text>
    </comment>
    <comment ref="K413" authorId="0" shapeId="0" xr:uid="{7BE46857-82F0-470F-8259-84ADFACA3B9C}">
      <text>
        <r>
          <rPr>
            <sz val="9"/>
            <color indexed="81"/>
            <rFont val="Tahoma"/>
            <family val="2"/>
          </rPr>
          <t>ARP: WIND EFFECTS - Pair of interacting galaxies with contrasting colors and  faint star stream bridge.</t>
        </r>
      </text>
    </comment>
    <comment ref="A414" authorId="0" shapeId="0" xr:uid="{B7486F8E-4067-4B8B-B50D-5D13B2AD7E3C}">
      <text>
        <r>
          <rPr>
            <sz val="9"/>
            <color indexed="81"/>
            <rFont val="Tahoma"/>
            <family val="2"/>
          </rPr>
          <t xml:space="preserve">
</t>
        </r>
      </text>
    </comment>
    <comment ref="K414" authorId="0" shapeId="0" xr:uid="{8E02BCBB-D058-41DA-A4CF-3180C8B2BC32}">
      <text>
        <r>
          <rPr>
            <sz val="9"/>
            <color indexed="81"/>
            <rFont val="Tahoma"/>
            <family val="2"/>
          </rPr>
          <t>ARP: LONG FILAMENTS - 2 interacting galaxies with extended star streams</t>
        </r>
      </text>
    </comment>
    <comment ref="A415" authorId="0" shapeId="0" xr:uid="{F0600703-FE15-4F38-8171-6D447E254FFB}">
      <text>
        <r>
          <rPr>
            <sz val="9"/>
            <color indexed="81"/>
            <rFont val="Tahoma"/>
            <family val="2"/>
          </rPr>
          <t xml:space="preserve">
</t>
        </r>
      </text>
    </comment>
    <comment ref="K415" authorId="0" shapeId="0" xr:uid="{A3BF4FA6-8995-423B-8149-BB62B19CB6BD}">
      <text>
        <r>
          <rPr>
            <sz val="9"/>
            <color indexed="81"/>
            <rFont val="Tahoma"/>
            <family val="2"/>
          </rPr>
          <t>ARP: LONG FILAMENTS - Interacting pair with bridge, part of incredible 0.8 billion long star stream.</t>
        </r>
      </text>
    </comment>
    <comment ref="A416" authorId="0" shapeId="0" xr:uid="{0A837219-6693-4C48-A25F-0093EE1B7506}">
      <text>
        <r>
          <rPr>
            <sz val="9"/>
            <color indexed="81"/>
            <rFont val="Tahoma"/>
            <family val="2"/>
          </rPr>
          <t xml:space="preserve">
</t>
        </r>
      </text>
    </comment>
    <comment ref="K416" authorId="0" shapeId="0" xr:uid="{D027A9E6-AD86-48FB-85B2-66973CD0E7D0}">
      <text>
        <r>
          <rPr>
            <sz val="9"/>
            <color indexed="81"/>
            <rFont val="Tahoma"/>
            <family val="2"/>
          </rPr>
          <t>ARP: LONG FILAMENTS - Galaxy pair connected by long thin star stream</t>
        </r>
      </text>
    </comment>
    <comment ref="A417" authorId="0" shapeId="0" xr:uid="{4FE9804A-9C5C-4553-91F4-9977EABC2284}">
      <text>
        <r>
          <rPr>
            <sz val="9"/>
            <color indexed="81"/>
            <rFont val="Tahoma"/>
            <family val="2"/>
          </rPr>
          <t xml:space="preserve">
</t>
        </r>
      </text>
    </comment>
    <comment ref="K417" authorId="0" shapeId="0" xr:uid="{BB228E73-EB68-4387-9D13-7D37EAD47776}">
      <text>
        <r>
          <rPr>
            <sz val="9"/>
            <color indexed="81"/>
            <rFont val="Tahoma"/>
            <family val="2"/>
          </rPr>
          <t>ARP: LONG FILAMENTS - 2 galaxies each likely interacting with a companion</t>
        </r>
      </text>
    </comment>
    <comment ref="A418" authorId="0" shapeId="0" xr:uid="{2280D1D2-16AD-4A0E-8F82-CB55EAD7A9F1}">
      <text>
        <r>
          <rPr>
            <sz val="9"/>
            <color indexed="81"/>
            <rFont val="Tahoma"/>
            <family val="2"/>
          </rPr>
          <t xml:space="preserve">
</t>
        </r>
      </text>
    </comment>
    <comment ref="K418" authorId="0" shapeId="0" xr:uid="{050E89AC-23CC-4BBB-BF69-350CA46582F0}">
      <text>
        <r>
          <rPr>
            <sz val="9"/>
            <color indexed="81"/>
            <rFont val="Tahoma"/>
            <family val="2"/>
          </rPr>
          <t>ARP: DOUBLE GALAXIES - Two colorful, likely superimposed galaxies</t>
        </r>
      </text>
    </comment>
    <comment ref="A419" authorId="0" shapeId="0" xr:uid="{55E986A4-2903-4623-8E56-BE728F8F33B8}">
      <text>
        <r>
          <rPr>
            <sz val="9"/>
            <color indexed="81"/>
            <rFont val="Tahoma"/>
            <family val="2"/>
          </rPr>
          <t xml:space="preserve">
</t>
        </r>
      </text>
    </comment>
    <comment ref="K419" authorId="0" shapeId="0" xr:uid="{DE4BF983-BFFB-4B5D-964A-A833BEB4726C}">
      <text>
        <r>
          <rPr>
            <sz val="9"/>
            <color indexed="81"/>
            <rFont val="Tahoma"/>
            <family val="2"/>
          </rPr>
          <t>ARP: DOUBLE GALAXIES - Interacting close pair with blue star clouds and HII regions</t>
        </r>
      </text>
    </comment>
    <comment ref="A420" authorId="0" shapeId="0" xr:uid="{35D6212E-D233-42CE-96E8-155DB0820626}">
      <text>
        <r>
          <rPr>
            <sz val="9"/>
            <color indexed="81"/>
            <rFont val="Tahoma"/>
            <family val="2"/>
          </rPr>
          <t xml:space="preserve">
</t>
        </r>
      </text>
    </comment>
    <comment ref="K420" authorId="0" shapeId="0" xr:uid="{D6656DA2-6B92-449B-AFF8-897488DCB279}">
      <text>
        <r>
          <rPr>
            <sz val="9"/>
            <color indexed="81"/>
            <rFont val="Tahoma"/>
            <family val="2"/>
          </rPr>
          <t>ARP: DOUBLE GALAXIES - Two close galaxies with interesting structure, may be interacting</t>
        </r>
      </text>
    </comment>
    <comment ref="A421" authorId="0" shapeId="0" xr:uid="{DE3DB2E1-1C82-4861-A3E9-707315654065}">
      <text>
        <r>
          <rPr>
            <sz val="9"/>
            <color indexed="81"/>
            <rFont val="Tahoma"/>
            <family val="2"/>
          </rPr>
          <t xml:space="preserve">
</t>
        </r>
      </text>
    </comment>
    <comment ref="K421" authorId="0" shapeId="0" xr:uid="{7BA0AA29-07AC-4CE4-9CF4-8CA5BD3A64DA}">
      <text>
        <r>
          <rPr>
            <sz val="9"/>
            <color indexed="81"/>
            <rFont val="Tahoma"/>
            <family val="2"/>
          </rPr>
          <t>ARP: DOUBLE GALAXIES - Two close galaxies with interesting structure, may be interacting</t>
        </r>
      </text>
    </comment>
    <comment ref="A422" authorId="0" shapeId="0" xr:uid="{42659885-91A6-4F73-82CF-40D32E94FAB4}">
      <text>
        <r>
          <rPr>
            <sz val="9"/>
            <color indexed="81"/>
            <rFont val="Tahoma"/>
            <family val="2"/>
          </rPr>
          <t xml:space="preserve">
</t>
        </r>
      </text>
    </comment>
    <comment ref="K422" authorId="0" shapeId="0" xr:uid="{F2385E03-C2F9-49FD-A1C3-5695B9F9ACDC}">
      <text>
        <r>
          <rPr>
            <sz val="9"/>
            <color indexed="81"/>
            <rFont val="Tahoma"/>
            <family val="2"/>
          </rPr>
          <t>ARP: DOUBLE GALAXIES - 2 interacting galaxies with contrasting color and minimal disturbance.</t>
        </r>
      </text>
    </comment>
    <comment ref="A423" authorId="0" shapeId="0" xr:uid="{E5B44029-F6DD-481D-8B73-3431448F8C5E}">
      <text>
        <r>
          <rPr>
            <sz val="9"/>
            <color indexed="81"/>
            <rFont val="Tahoma"/>
            <family val="2"/>
          </rPr>
          <t xml:space="preserve">
</t>
        </r>
      </text>
    </comment>
    <comment ref="K423" authorId="0" shapeId="0" xr:uid="{0F1D7D60-D794-4105-B862-3F351B89788C}">
      <text>
        <r>
          <rPr>
            <sz val="9"/>
            <color indexed="81"/>
            <rFont val="Tahoma"/>
            <family val="2"/>
          </rPr>
          <t>ARP: DOUBLE GALAXIES - Two close galaxies with nice detail, not likely interacting</t>
        </r>
      </text>
    </comment>
    <comment ref="A424" authorId="0" shapeId="0" xr:uid="{D52C4C68-939C-4AC2-9C72-83227FD93659}">
      <text>
        <r>
          <rPr>
            <sz val="9"/>
            <color indexed="81"/>
            <rFont val="Tahoma"/>
            <family val="2"/>
          </rPr>
          <t xml:space="preserve">
</t>
        </r>
      </text>
    </comment>
    <comment ref="K424" authorId="0" shapeId="0" xr:uid="{A42BC59F-AEC8-420C-AF78-23831E7695BD}">
      <text>
        <r>
          <rPr>
            <sz val="9"/>
            <color indexed="81"/>
            <rFont val="Tahoma"/>
            <family val="2"/>
          </rPr>
          <t>ARP: DOUBLE GALAXIES - Barred spiral with some disturbance, not likely interacting with background galaxy</t>
        </r>
      </text>
    </comment>
    <comment ref="A425" authorId="0" shapeId="0" xr:uid="{350C73F4-F2E0-4D90-8B24-2B68464C15AD}">
      <text>
        <r>
          <rPr>
            <sz val="9"/>
            <color indexed="81"/>
            <rFont val="Tahoma"/>
            <family val="2"/>
          </rPr>
          <t xml:space="preserve">
</t>
        </r>
      </text>
    </comment>
    <comment ref="K425" authorId="0" shapeId="0" xr:uid="{5ED6F24D-BA30-4301-91B9-6E96E55CEDA2}">
      <text>
        <r>
          <rPr>
            <sz val="9"/>
            <color indexed="81"/>
            <rFont val="Tahoma"/>
            <family val="2"/>
          </rPr>
          <t>ARP: DOUBLE GALAXIES - Grand spiral with star clouds, possible interacting with nearby irregular</t>
        </r>
      </text>
    </comment>
    <comment ref="A426" authorId="0" shapeId="0" xr:uid="{CC05715C-3091-4B10-9F96-5D5FB498211D}">
      <text>
        <r>
          <rPr>
            <sz val="9"/>
            <color indexed="81"/>
            <rFont val="Tahoma"/>
            <family val="2"/>
          </rPr>
          <t xml:space="preserve">
</t>
        </r>
      </text>
    </comment>
    <comment ref="K426" authorId="0" shapeId="0" xr:uid="{9C8D2CB3-A657-48C0-B56A-3D9EFAEED468}">
      <text>
        <r>
          <rPr>
            <sz val="9"/>
            <color indexed="81"/>
            <rFont val="Tahoma"/>
            <family val="2"/>
          </rPr>
          <t>ARP: DOUBLE GALAXIES - Magellan galaxy possibly interacting with another background Magellan galaxy</t>
        </r>
      </text>
    </comment>
    <comment ref="A427" authorId="0" shapeId="0" xr:uid="{A5698F9B-49DD-4DC3-A535-6289AD841A8E}">
      <text>
        <r>
          <rPr>
            <sz val="9"/>
            <color indexed="81"/>
            <rFont val="Tahoma"/>
            <family val="2"/>
          </rPr>
          <t xml:space="preserve">
</t>
        </r>
      </text>
    </comment>
    <comment ref="K427" authorId="0" shapeId="0" xr:uid="{FAC549A8-7DA7-4240-BBCE-95D70BC06C01}">
      <text>
        <r>
          <rPr>
            <sz val="9"/>
            <color indexed="81"/>
            <rFont val="Tahoma"/>
            <family val="2"/>
          </rPr>
          <t>ARP: DOUBLE GALAXIES - Lovely pair with contrasting structures, may not be interacting</t>
        </r>
      </text>
    </comment>
    <comment ref="A428" authorId="0" shapeId="0" xr:uid="{865A1DF4-61DE-4627-887A-1B2B9DBC5FA1}">
      <text>
        <r>
          <rPr>
            <sz val="9"/>
            <color indexed="81"/>
            <rFont val="Tahoma"/>
            <family val="2"/>
          </rPr>
          <t xml:space="preserve">
</t>
        </r>
      </text>
    </comment>
    <comment ref="K428" authorId="0" shapeId="0" xr:uid="{694F681B-9E10-47A1-9036-25CE6A03F6D5}">
      <text>
        <r>
          <rPr>
            <sz val="9"/>
            <color indexed="81"/>
            <rFont val="Tahoma"/>
            <family val="2"/>
          </rPr>
          <t>ARP: DOUBLE GALAXIES - Pair of interacting ellipticals, part of larger group</t>
        </r>
      </text>
    </comment>
    <comment ref="A429" authorId="0" shapeId="0" xr:uid="{EB013495-22A8-46C2-8252-160EC6202781}">
      <text>
        <r>
          <rPr>
            <sz val="9"/>
            <color indexed="81"/>
            <rFont val="Tahoma"/>
            <family val="2"/>
          </rPr>
          <t xml:space="preserve">
</t>
        </r>
      </text>
    </comment>
    <comment ref="K429" authorId="0" shapeId="0" xr:uid="{84199CB4-5AC2-4202-942A-93E16AB0F495}">
      <text>
        <r>
          <rPr>
            <sz val="9"/>
            <color indexed="81"/>
            <rFont val="Tahoma"/>
            <family val="2"/>
          </rPr>
          <t>ARP: DOUBLE GALAXIES - Pair of lenticulars that, although close, are not likely interacting</t>
        </r>
      </text>
    </comment>
    <comment ref="A430" authorId="0" shapeId="0" xr:uid="{483914BA-A78B-468F-A2D8-B05A3776E32D}">
      <text>
        <r>
          <rPr>
            <sz val="9"/>
            <color indexed="81"/>
            <rFont val="Tahoma"/>
            <family val="2"/>
          </rPr>
          <t xml:space="preserve">
</t>
        </r>
      </text>
    </comment>
    <comment ref="K430" authorId="0" shapeId="0" xr:uid="{D4BA4AA3-45B2-4DDA-B07D-68C67CE5947E}">
      <text>
        <r>
          <rPr>
            <sz val="9"/>
            <color indexed="81"/>
            <rFont val="Tahoma"/>
            <family val="2"/>
          </rPr>
          <t>ARP: DOUBLE GALAXIES - Galaxy pair with shared galactic halo</t>
        </r>
      </text>
    </comment>
    <comment ref="A431" authorId="0" shapeId="0" xr:uid="{7D0735B7-F67C-4C4F-8A0E-856EF3BBD3B2}">
      <text>
        <r>
          <rPr>
            <sz val="9"/>
            <color indexed="81"/>
            <rFont val="Tahoma"/>
            <family val="2"/>
          </rPr>
          <t xml:space="preserve">
</t>
        </r>
      </text>
    </comment>
    <comment ref="K431" authorId="0" shapeId="0" xr:uid="{4DF454B1-C735-438F-A0AD-36EB5DCC5181}">
      <text>
        <r>
          <rPr>
            <sz val="9"/>
            <color indexed="81"/>
            <rFont val="Tahoma"/>
            <family val="2"/>
          </rPr>
          <t>ARP: GROUPS - Galaxy group which includes Arp 310</t>
        </r>
      </text>
    </comment>
    <comment ref="A432" authorId="0" shapeId="0" xr:uid="{BAB282DE-B007-45B5-B11A-486C360CD695}">
      <text>
        <r>
          <rPr>
            <sz val="9"/>
            <color indexed="81"/>
            <rFont val="Tahoma"/>
            <family val="2"/>
          </rPr>
          <t xml:space="preserve">
</t>
        </r>
      </text>
    </comment>
    <comment ref="K432" authorId="0" shapeId="0" xr:uid="{89C7D101-4849-4460-964E-E82DED1D4365}">
      <text>
        <r>
          <rPr>
            <sz val="9"/>
            <color indexed="81"/>
            <rFont val="Tahoma"/>
            <family val="2"/>
          </rPr>
          <t>ARP: GROUPS - Group of small ellipticals</t>
        </r>
      </text>
    </comment>
    <comment ref="A433" authorId="0" shapeId="0" xr:uid="{6D914E87-F8B3-40D0-A020-A0BA1B570371}">
      <text>
        <r>
          <rPr>
            <sz val="9"/>
            <color indexed="81"/>
            <rFont val="Tahoma"/>
            <family val="2"/>
          </rPr>
          <t xml:space="preserve">
</t>
        </r>
      </text>
    </comment>
    <comment ref="K433" authorId="0" shapeId="0" xr:uid="{55C1A4D3-E4B3-44A1-847C-A58D69D54AA1}">
      <text>
        <r>
          <rPr>
            <sz val="9"/>
            <color indexed="81"/>
            <rFont val="Tahoma"/>
            <family val="2"/>
          </rPr>
          <t>ARP: GROUPS - Trio of galaxies, likely at different distances.</t>
        </r>
      </text>
    </comment>
    <comment ref="A434" authorId="0" shapeId="0" xr:uid="{B7221FB0-1257-4CCB-9033-8F6857692F39}">
      <text>
        <r>
          <rPr>
            <sz val="9"/>
            <color indexed="81"/>
            <rFont val="Tahoma"/>
            <family val="2"/>
          </rPr>
          <t xml:space="preserve">
</t>
        </r>
      </text>
    </comment>
    <comment ref="K434" authorId="0" shapeId="0" xr:uid="{FADAAEFB-E6B9-4CDA-8E7A-6CE35985C935}">
      <text>
        <r>
          <rPr>
            <sz val="9"/>
            <color indexed="81"/>
            <rFont val="Tahoma"/>
            <family val="2"/>
          </rPr>
          <t>ARP: GROUPS - Interesting interacting group of small blue galaxies with star streams</t>
        </r>
      </text>
    </comment>
    <comment ref="A435" authorId="0" shapeId="0" xr:uid="{583117E9-161A-41F1-8346-D979210CE1D2}">
      <text>
        <r>
          <rPr>
            <sz val="9"/>
            <color indexed="81"/>
            <rFont val="Tahoma"/>
            <family val="2"/>
          </rPr>
          <t xml:space="preserve">
</t>
        </r>
      </text>
    </comment>
    <comment ref="K435" authorId="0" shapeId="0" xr:uid="{2024E86D-E165-4E6A-AC82-CD4F92912B05}">
      <text>
        <r>
          <rPr>
            <sz val="9"/>
            <color indexed="81"/>
            <rFont val="Tahoma"/>
            <family val="2"/>
          </rPr>
          <t>ARP: GROUPS - Galaxies at the center of Abell 779.  Little disturbance seen.</t>
        </r>
      </text>
    </comment>
    <comment ref="A436" authorId="0" shapeId="0" xr:uid="{E633C84A-91C0-4502-8676-EDB6DC3720BE}">
      <text>
        <r>
          <rPr>
            <sz val="9"/>
            <color indexed="81"/>
            <rFont val="Tahoma"/>
            <family val="2"/>
          </rPr>
          <t xml:space="preserve">
</t>
        </r>
      </text>
    </comment>
    <comment ref="K436" authorId="0" shapeId="0" xr:uid="{D4DAC875-054A-4D5B-BA1F-3B825F2B5DC3}">
      <text>
        <r>
          <rPr>
            <sz val="9"/>
            <color indexed="81"/>
            <rFont val="Tahoma"/>
            <family val="2"/>
          </rPr>
          <t>Largest group in areal extent, second closest, second brightest, and most beautiful.</t>
        </r>
      </text>
    </comment>
    <comment ref="A437" authorId="0" shapeId="0" xr:uid="{F9A6BDD1-75C7-4566-9763-DADC1532F29B}">
      <text>
        <r>
          <rPr>
            <sz val="9"/>
            <color indexed="81"/>
            <rFont val="Tahoma"/>
            <family val="2"/>
          </rPr>
          <t xml:space="preserve">
</t>
        </r>
      </text>
    </comment>
    <comment ref="K437" authorId="0" shapeId="0" xr:uid="{DF733EA0-CA46-4DF8-A110-D4A6258FE90A}">
      <text>
        <r>
          <rPr>
            <sz val="9"/>
            <color indexed="81"/>
            <rFont val="Tahoma"/>
            <family val="2"/>
          </rPr>
          <t>ARP: GROUPS - Showcase Leo triplet</t>
        </r>
      </text>
    </comment>
    <comment ref="A438" authorId="0" shapeId="0" xr:uid="{43F66159-4CE7-46F4-A2E7-67123F431638}">
      <text>
        <r>
          <rPr>
            <sz val="9"/>
            <color indexed="81"/>
            <rFont val="Tahoma"/>
            <family val="2"/>
          </rPr>
          <t xml:space="preserve">
</t>
        </r>
      </text>
    </comment>
    <comment ref="K438" authorId="0" shapeId="0" xr:uid="{6EDBBF1E-12AE-4A1C-84FB-BD705C962C4E}">
      <text>
        <r>
          <rPr>
            <sz val="9"/>
            <color indexed="81"/>
            <rFont val="Tahoma"/>
            <family val="2"/>
          </rPr>
          <t>All 4 galaxies are spirals and are at same distance.  All 4 galaxies show signs of disturbance.</t>
        </r>
      </text>
    </comment>
    <comment ref="A439" authorId="0" shapeId="0" xr:uid="{2B0EAFFA-74B6-473E-BEE2-7258AF216F16}">
      <text>
        <r>
          <rPr>
            <sz val="9"/>
            <color indexed="81"/>
            <rFont val="Tahoma"/>
            <family val="2"/>
          </rPr>
          <t xml:space="preserve">
</t>
        </r>
      </text>
    </comment>
    <comment ref="K439" authorId="0" shapeId="0" xr:uid="{7C9237BE-3B6D-41C5-B7F9-CAD150231F08}">
      <text>
        <r>
          <rPr>
            <sz val="9"/>
            <color indexed="81"/>
            <rFont val="Tahoma"/>
            <family val="2"/>
          </rPr>
          <t>One of the closest and best Hicksons, Stephan's Quintet, with spectacular structures and colors.</t>
        </r>
      </text>
    </comment>
    <comment ref="A440" authorId="0" shapeId="0" xr:uid="{0C86CC2C-DF56-43F2-B2B6-DE218896CB0C}">
      <text>
        <r>
          <rPr>
            <sz val="9"/>
            <color indexed="81"/>
            <rFont val="Tahoma"/>
            <family val="2"/>
          </rPr>
          <t xml:space="preserve">
</t>
        </r>
      </text>
    </comment>
    <comment ref="K440" authorId="0" shapeId="0" xr:uid="{ACD6F2E4-B257-40B4-B3DF-7059759BE470}">
      <text>
        <r>
          <rPr>
            <sz val="9"/>
            <color indexed="81"/>
            <rFont val="Tahoma"/>
            <family val="2"/>
          </rPr>
          <t>Only Hickson group with 8 galaxies.  All galaxies at same distance.  Amazing group.  Copeland's Septet.</t>
        </r>
      </text>
    </comment>
    <comment ref="A441" authorId="0" shapeId="0" xr:uid="{CF3D6821-82A5-484D-A6EC-6D083E4A400B}">
      <text>
        <r>
          <rPr>
            <sz val="9"/>
            <color indexed="81"/>
            <rFont val="Tahoma"/>
            <family val="2"/>
          </rPr>
          <t xml:space="preserve">
</t>
        </r>
      </text>
    </comment>
    <comment ref="K441" authorId="0" shapeId="0" xr:uid="{66BADB4A-D4A9-41E0-A091-5D4EF511AA22}">
      <text>
        <r>
          <rPr>
            <sz val="9"/>
            <color indexed="81"/>
            <rFont val="Tahoma"/>
            <family val="2"/>
          </rPr>
          <t>Beautiful arrangement of 5 galaxies.  One of 2 smallest Hickson groups in overall size.  All galaxies at same distance.</t>
        </r>
      </text>
    </comment>
    <comment ref="A442" authorId="0" shapeId="0" xr:uid="{6BAB248B-00AE-49E0-AEAB-0C05F31CAD70}">
      <text>
        <r>
          <rPr>
            <sz val="9"/>
            <color indexed="81"/>
            <rFont val="Tahoma"/>
            <family val="2"/>
          </rPr>
          <t xml:space="preserve">
</t>
        </r>
      </text>
    </comment>
    <comment ref="K442" authorId="0" shapeId="0" xr:uid="{F5667C6F-C001-4BDA-99C1-F80E62003B60}">
      <text>
        <r>
          <rPr>
            <sz val="9"/>
            <color indexed="81"/>
            <rFont val="Tahoma"/>
            <family val="2"/>
          </rPr>
          <t>All galaxies at same distance. Right 4 galaxies appear disturbed and to be interacting with each other.</t>
        </r>
      </text>
    </comment>
    <comment ref="A443" authorId="0" shapeId="0" xr:uid="{D711FF7A-A472-47A3-8547-4C1768DD5583}">
      <text>
        <r>
          <rPr>
            <sz val="9"/>
            <color indexed="81"/>
            <rFont val="Tahoma"/>
            <family val="2"/>
          </rPr>
          <t xml:space="preserve">
</t>
        </r>
      </text>
    </comment>
    <comment ref="K443" authorId="0" shapeId="0" xr:uid="{0E8BD1E4-6A0E-4802-B4BD-CD3858ACE664}">
      <text>
        <r>
          <rPr>
            <sz val="9"/>
            <color indexed="81"/>
            <rFont val="Tahoma"/>
            <family val="2"/>
          </rPr>
          <t>All galaxies are ellipticals.  Bridging seen between galaxies a and b.</t>
        </r>
      </text>
    </comment>
    <comment ref="A444" authorId="0" shapeId="0" xr:uid="{8BD08821-3A66-4D75-93D2-A06182FB2C6E}">
      <text>
        <r>
          <rPr>
            <sz val="9"/>
            <color indexed="81"/>
            <rFont val="Tahoma"/>
            <family val="2"/>
          </rPr>
          <t xml:space="preserve">
</t>
        </r>
      </text>
    </comment>
    <comment ref="K444" authorId="0" shapeId="0" xr:uid="{D5E4C1CC-6BA8-4631-897C-E247D9C0427B}">
      <text>
        <r>
          <rPr>
            <sz val="9"/>
            <color indexed="81"/>
            <rFont val="Tahoma"/>
            <family val="2"/>
          </rPr>
          <t>ARP: CHAINS - Line-of-sight chain anchored by 2 large ellipticals</t>
        </r>
      </text>
    </comment>
    <comment ref="A445" authorId="0" shapeId="0" xr:uid="{0A9868B3-361B-4BB9-B8C5-DD5EE0A26B55}">
      <text>
        <r>
          <rPr>
            <sz val="9"/>
            <color indexed="81"/>
            <rFont val="Tahoma"/>
            <family val="2"/>
          </rPr>
          <t xml:space="preserve">
</t>
        </r>
      </text>
    </comment>
    <comment ref="K445" authorId="0" shapeId="0" xr:uid="{8FA6273F-7C2E-474F-8029-9CA0C60E9046}">
      <text>
        <r>
          <rPr>
            <sz val="9"/>
            <color indexed="81"/>
            <rFont val="Tahoma"/>
            <family val="2"/>
          </rPr>
          <t>ARP: CHAINS - Short chain of distant ellipticals</t>
        </r>
      </text>
    </comment>
    <comment ref="A446" authorId="0" shapeId="0" xr:uid="{22212186-20CE-464C-9340-237107162C08}">
      <text>
        <r>
          <rPr>
            <sz val="9"/>
            <color indexed="81"/>
            <rFont val="Tahoma"/>
            <family val="2"/>
          </rPr>
          <t xml:space="preserve">
</t>
        </r>
      </text>
    </comment>
    <comment ref="K446" authorId="0" shapeId="0" xr:uid="{A81B2B6F-7764-43CC-A337-064269437532}">
      <text>
        <r>
          <rPr>
            <sz val="9"/>
            <color indexed="81"/>
            <rFont val="Tahoma"/>
            <family val="2"/>
          </rPr>
          <t>ARP: CHAINS - Curving line-of-sight chain of spirals</t>
        </r>
      </text>
    </comment>
    <comment ref="A447" authorId="0" shapeId="0" xr:uid="{B5504935-91FF-41E8-896F-7C740B5BD48E}">
      <text>
        <r>
          <rPr>
            <sz val="9"/>
            <color indexed="81"/>
            <rFont val="Tahoma"/>
            <family val="2"/>
          </rPr>
          <t xml:space="preserve">
</t>
        </r>
      </text>
    </comment>
    <comment ref="K447" authorId="0" shapeId="0" xr:uid="{28EF85A6-FA70-4A53-8DF2-D675EB3B5BBF}">
      <text>
        <r>
          <rPr>
            <sz val="9"/>
            <color indexed="81"/>
            <rFont val="Tahoma"/>
            <family val="2"/>
          </rPr>
          <t>All galaxies at same distance.  2 of the 4 galaxies appear to be interacting.</t>
        </r>
      </text>
    </comment>
    <comment ref="A448" authorId="0" shapeId="0" xr:uid="{EAD52EAB-331B-4FA3-AF1B-64B285D9FDEC}">
      <text>
        <r>
          <rPr>
            <sz val="9"/>
            <color indexed="81"/>
            <rFont val="Tahoma"/>
            <family val="2"/>
          </rPr>
          <t xml:space="preserve">
</t>
        </r>
      </text>
    </comment>
    <comment ref="K448" authorId="0" shapeId="0" xr:uid="{93C33D4D-CF9E-48D0-96BF-D329E2731F12}">
      <text>
        <r>
          <rPr>
            <sz val="9"/>
            <color indexed="81"/>
            <rFont val="Tahoma"/>
            <family val="2"/>
          </rPr>
          <t>All galaxies are ellipticals and are at the same distance.  Nice chain arrangement.</t>
        </r>
      </text>
    </comment>
    <comment ref="A449" authorId="0" shapeId="0" xr:uid="{4207BD33-84AF-4136-B67C-8375AFEB3FA7}">
      <text>
        <r>
          <rPr>
            <sz val="9"/>
            <color indexed="81"/>
            <rFont val="Tahoma"/>
            <family val="2"/>
          </rPr>
          <t xml:space="preserve">
</t>
        </r>
      </text>
    </comment>
    <comment ref="K449" authorId="0" shapeId="0" xr:uid="{8AD71736-7CD0-453B-B886-318E58629742}">
      <text>
        <r>
          <rPr>
            <sz val="9"/>
            <color indexed="81"/>
            <rFont val="Tahoma"/>
            <family val="2"/>
          </rPr>
          <t>Amazing short chain of 5 distant galaxies.</t>
        </r>
      </text>
    </comment>
    <comment ref="A450" authorId="0" shapeId="0" xr:uid="{06EADB09-F043-400C-B08C-07527CB90157}">
      <text>
        <r>
          <rPr>
            <sz val="9"/>
            <color indexed="81"/>
            <rFont val="Tahoma"/>
            <family val="2"/>
          </rPr>
          <t xml:space="preserve">
</t>
        </r>
      </text>
    </comment>
    <comment ref="K450" authorId="0" shapeId="0" xr:uid="{22FAD868-6FC7-4D5D-8110-B6216E696E89}">
      <text>
        <r>
          <rPr>
            <sz val="9"/>
            <color indexed="81"/>
            <rFont val="Tahoma"/>
            <family val="2"/>
          </rPr>
          <t>ARP: CHAINS - Interesting vertical zig-zag of 9 galaxies</t>
        </r>
      </text>
    </comment>
    <comment ref="A451" authorId="0" shapeId="0" xr:uid="{A02DA65B-A01B-410B-8301-AAFB7AD09BFE}">
      <text>
        <r>
          <rPr>
            <sz val="9"/>
            <color indexed="81"/>
            <rFont val="Tahoma"/>
            <family val="2"/>
          </rPr>
          <t xml:space="preserve">
</t>
        </r>
      </text>
    </comment>
    <comment ref="K451" authorId="0" shapeId="0" xr:uid="{D76247E3-6EBB-4B82-8891-EF68DBF58EB3}">
      <text>
        <r>
          <rPr>
            <sz val="9"/>
            <color indexed="81"/>
            <rFont val="Tahoma"/>
            <family val="2"/>
          </rPr>
          <t>ARP: CHAINS - Chain of 12 NGC galaxies, perhaps the densest collection of NGC objects in the sky.</t>
        </r>
      </text>
    </comment>
    <comment ref="A452" authorId="0" shapeId="0" xr:uid="{5C431A7A-E91B-43CF-96B5-7328666D338B}">
      <text>
        <r>
          <rPr>
            <sz val="9"/>
            <color indexed="81"/>
            <rFont val="Tahoma"/>
            <family val="2"/>
          </rPr>
          <t xml:space="preserve">
</t>
        </r>
      </text>
    </comment>
    <comment ref="K452" authorId="0" shapeId="0" xr:uid="{C52E9C83-D7E9-4BF1-AB1E-80CCD03F2240}">
      <text>
        <r>
          <rPr>
            <sz val="9"/>
            <color indexed="81"/>
            <rFont val="Tahoma"/>
            <family val="2"/>
          </rPr>
          <t>ARP: CHAINS - Rambling line-of-sight "chain"</t>
        </r>
      </text>
    </comment>
    <comment ref="A453" authorId="0" shapeId="0" xr:uid="{6CC2C2E6-06D5-4077-A205-910E85A14CC8}">
      <text>
        <r>
          <rPr>
            <sz val="9"/>
            <color indexed="81"/>
            <rFont val="Tahoma"/>
            <family val="2"/>
          </rPr>
          <t xml:space="preserve">
</t>
        </r>
      </text>
    </comment>
    <comment ref="K453" authorId="0" shapeId="0" xr:uid="{F51F4B9C-295B-4519-8AC7-C911202EE131}">
      <text>
        <r>
          <rPr>
            <sz val="9"/>
            <color indexed="81"/>
            <rFont val="Tahoma"/>
            <family val="2"/>
          </rPr>
          <t>ARP: MISC. - Beautiful double ring spiral with no disturbance</t>
        </r>
      </text>
    </comment>
    <comment ref="A454" authorId="0" shapeId="0" xr:uid="{070E02A9-E163-42F8-A9AE-31C1291EBEC7}">
      <text>
        <r>
          <rPr>
            <sz val="9"/>
            <color indexed="81"/>
            <rFont val="Tahoma"/>
            <family val="2"/>
          </rPr>
          <t xml:space="preserve">
</t>
        </r>
      </text>
    </comment>
    <comment ref="K454" authorId="0" shapeId="0" xr:uid="{31804B17-786F-4708-9F5B-1A92D9642D5F}">
      <text>
        <r>
          <rPr>
            <sz val="9"/>
            <color indexed="81"/>
            <rFont val="Tahoma"/>
            <family val="2"/>
          </rPr>
          <t>ARP: MISC. - almost edge-on spiral with faint looping star stream.</t>
        </r>
      </text>
    </comment>
    <comment ref="A455" authorId="0" shapeId="0" xr:uid="{75C0C6CE-C94E-410D-8A43-781A8A351FE8}">
      <text>
        <r>
          <rPr>
            <sz val="9"/>
            <color indexed="81"/>
            <rFont val="Tahoma"/>
            <family val="2"/>
          </rPr>
          <t xml:space="preserve">
</t>
        </r>
      </text>
    </comment>
    <comment ref="K455" authorId="0" shapeId="0" xr:uid="{5E1FDCF4-6947-43D2-9080-6DE880668632}">
      <text>
        <r>
          <rPr>
            <sz val="9"/>
            <color indexed="81"/>
            <rFont val="Tahoma"/>
            <family val="2"/>
          </rPr>
          <t>ARP: MISC. - Wonderful colorful disturbed galaxy with long curving tail</t>
        </r>
      </text>
    </comment>
    <comment ref="A456" authorId="0" shapeId="0" xr:uid="{634A0B43-E45C-4BEF-9CB2-CD197BFAC56B}">
      <text>
        <r>
          <rPr>
            <sz val="9"/>
            <color indexed="81"/>
            <rFont val="Tahoma"/>
            <family val="2"/>
          </rPr>
          <t xml:space="preserve">
</t>
        </r>
      </text>
    </comment>
    <comment ref="K456" authorId="0" shapeId="0" xr:uid="{7D929B9A-858A-446E-817D-6913FAF299B7}">
      <text>
        <r>
          <rPr>
            <sz val="9"/>
            <color indexed="81"/>
            <rFont val="Tahoma"/>
            <family val="2"/>
          </rPr>
          <t>ARP: MISC. - Showcase Seyfert polar ring galaxy with dust lanes and good color.</t>
        </r>
      </text>
    </comment>
    <comment ref="A457" authorId="0" shapeId="0" xr:uid="{D8DE123D-B262-4C4C-8D36-B3DCA85EA3CB}">
      <text>
        <r>
          <rPr>
            <sz val="9"/>
            <color indexed="81"/>
            <rFont val="Tahoma"/>
            <family val="2"/>
          </rPr>
          <t xml:space="preserve">
</t>
        </r>
      </text>
    </comment>
    <comment ref="K457" authorId="0" shapeId="0" xr:uid="{4F91CCA2-BA28-420C-9101-42645CE6ECC4}">
      <text>
        <r>
          <rPr>
            <sz val="9"/>
            <color indexed="81"/>
            <rFont val="Tahoma"/>
            <family val="2"/>
          </rPr>
          <t>ARP: MISC. - Superposition of 2 unimpressive distant galaxies</t>
        </r>
      </text>
    </comment>
    <comment ref="A458" authorId="0" shapeId="0" xr:uid="{671775EE-DC8B-4CFB-834A-7064543443BB}">
      <text>
        <r>
          <rPr>
            <sz val="9"/>
            <color indexed="81"/>
            <rFont val="Tahoma"/>
            <family val="2"/>
          </rPr>
          <t xml:space="preserve">
</t>
        </r>
      </text>
    </comment>
    <comment ref="K458" authorId="0" shapeId="0" xr:uid="{77317969-237B-4931-848B-85CF1E6B03FC}">
      <text>
        <r>
          <rPr>
            <sz val="9"/>
            <color indexed="81"/>
            <rFont val="Tahoma"/>
            <family val="2"/>
          </rPr>
          <t xml:space="preserve">Extragalactic globular cluster, torn away from the Sagittarius Dwarf Spheroidal Galaxy </t>
        </r>
      </text>
    </comment>
    <comment ref="A459" authorId="0" shapeId="0" xr:uid="{CCB7B60E-B8D1-4A95-8787-6D1BBD30FEA2}">
      <text>
        <r>
          <rPr>
            <sz val="9"/>
            <color indexed="81"/>
            <rFont val="Tahoma"/>
            <family val="2"/>
          </rPr>
          <t xml:space="preserve">
</t>
        </r>
      </text>
    </comment>
    <comment ref="K459" authorId="0" shapeId="0" xr:uid="{C558696E-CAC8-49C2-BB15-3DE628AF2BFF}">
      <text>
        <r>
          <rPr>
            <sz val="9"/>
            <color indexed="81"/>
            <rFont val="Tahoma"/>
            <family val="2"/>
          </rPr>
          <t>Dominant OIII, progenitor star and bright mid-region rim</t>
        </r>
      </text>
    </comment>
    <comment ref="A460" authorId="0" shapeId="0" xr:uid="{50A8F94F-62F9-4C33-B0A3-D2EA61AA32A8}">
      <text>
        <r>
          <rPr>
            <sz val="9"/>
            <color indexed="81"/>
            <rFont val="Tahoma"/>
            <family val="2"/>
          </rPr>
          <t xml:space="preserve">
</t>
        </r>
      </text>
    </comment>
    <comment ref="K460" authorId="0" shapeId="0" xr:uid="{417C050A-57E3-4D09-ABD2-F6748F8B9D55}">
      <text>
        <r>
          <rPr>
            <sz val="9"/>
            <color indexed="81"/>
            <rFont val="Tahoma"/>
            <family val="2"/>
          </rPr>
          <t>Large and very faint just east of NGC 1333</t>
        </r>
      </text>
    </comment>
    <comment ref="A461" authorId="0" shapeId="0" xr:uid="{8774B55C-87D5-4DA8-AA2C-29B15C6F383B}">
      <text>
        <r>
          <rPr>
            <sz val="9"/>
            <color indexed="81"/>
            <rFont val="Tahoma"/>
            <family val="2"/>
          </rPr>
          <t xml:space="preserve">
</t>
        </r>
      </text>
    </comment>
    <comment ref="K461" authorId="0" shapeId="0" xr:uid="{E9320513-9AD0-4D58-BA7E-1F61ED74AD1A}">
      <text>
        <r>
          <rPr>
            <sz val="9"/>
            <color indexed="81"/>
            <rFont val="Tahoma"/>
            <family val="2"/>
          </rPr>
          <t>Very faint; elongated SE and NW</t>
        </r>
      </text>
    </comment>
    <comment ref="A462" authorId="0" shapeId="0" xr:uid="{D94F9784-7844-4B53-898C-906ACF229E79}">
      <text>
        <r>
          <rPr>
            <sz val="9"/>
            <color indexed="81"/>
            <rFont val="Tahoma"/>
            <family val="2"/>
          </rPr>
          <t xml:space="preserve">
</t>
        </r>
      </text>
    </comment>
    <comment ref="K462" authorId="0" shapeId="0" xr:uid="{9268BE76-60A9-4D58-A182-1550CBE05AFA}">
      <text>
        <r>
          <rPr>
            <sz val="9"/>
            <color indexed="81"/>
            <rFont val="Tahoma"/>
            <family val="2"/>
          </rPr>
          <t>Next to lovely IC348.  Bright strip of nebulosity in SW side</t>
        </r>
      </text>
    </comment>
    <comment ref="A463" authorId="0" shapeId="0" xr:uid="{6408F8AA-C772-460C-A1DC-476AABCA312F}">
      <text>
        <r>
          <rPr>
            <sz val="9"/>
            <color indexed="81"/>
            <rFont val="Tahoma"/>
            <family val="2"/>
          </rPr>
          <t xml:space="preserve">
</t>
        </r>
      </text>
    </comment>
    <comment ref="K463" authorId="0" shapeId="0" xr:uid="{EE85F11D-8F64-4871-81E9-2CA6A60EF7B5}">
      <text>
        <r>
          <rPr>
            <sz val="9"/>
            <color indexed="81"/>
            <rFont val="Tahoma"/>
            <family val="2"/>
          </rPr>
          <t>Very large and faint</t>
        </r>
      </text>
    </comment>
    <comment ref="A464" authorId="0" shapeId="0" xr:uid="{F4C03E56-14EF-47E1-B7D2-33BB590F4613}">
      <text>
        <r>
          <rPr>
            <sz val="9"/>
            <color indexed="81"/>
            <rFont val="Tahoma"/>
            <family val="2"/>
          </rPr>
          <t xml:space="preserve">
</t>
        </r>
      </text>
    </comment>
    <comment ref="K464" authorId="0" shapeId="0" xr:uid="{D470C1FD-BD5B-4EB9-A305-A4E17186399B}">
      <text>
        <r>
          <rPr>
            <sz val="9"/>
            <color indexed="81"/>
            <rFont val="Tahoma"/>
            <family val="2"/>
          </rPr>
          <t>Seen through the dust are galaxies 200 mly away. Near blue 5th mag star Eta Persei. Elongated NE and SW</t>
        </r>
      </text>
    </comment>
    <comment ref="A465" authorId="0" shapeId="0" xr:uid="{E426E3D8-8A13-4BCD-9D17-9C93FAF33944}">
      <text>
        <r>
          <rPr>
            <sz val="9"/>
            <color indexed="81"/>
            <rFont val="Tahoma"/>
            <family val="2"/>
          </rPr>
          <t xml:space="preserve">
</t>
        </r>
      </text>
    </comment>
    <comment ref="K465" authorId="0" shapeId="0" xr:uid="{E919CC14-244A-4B25-9C12-293726C578ED}">
      <text>
        <r>
          <rPr>
            <sz val="9"/>
            <color indexed="81"/>
            <rFont val="Tahoma"/>
            <family val="2"/>
          </rPr>
          <t>Faint and round</t>
        </r>
      </text>
    </comment>
    <comment ref="A466" authorId="0" shapeId="0" xr:uid="{8B4671DF-7F67-4CB0-94F6-04F5ECFECB09}">
      <text>
        <r>
          <rPr>
            <sz val="9"/>
            <color indexed="81"/>
            <rFont val="Tahoma"/>
            <family val="2"/>
          </rPr>
          <t xml:space="preserve">
</t>
        </r>
      </text>
    </comment>
    <comment ref="K466" authorId="0" shapeId="0" xr:uid="{D3883741-B487-404B-8814-BBED0E389CE2}">
      <text>
        <r>
          <rPr>
            <sz val="9"/>
            <color indexed="81"/>
            <rFont val="Tahoma"/>
            <family val="2"/>
          </rPr>
          <t>Beautiful series of dark nebulae with several refl. nebulae</t>
        </r>
      </text>
    </comment>
    <comment ref="A467" authorId="0" shapeId="0" xr:uid="{F5B046BC-C495-498E-87CA-0FED411A68BF}">
      <text>
        <r>
          <rPr>
            <sz val="9"/>
            <color indexed="81"/>
            <rFont val="Tahoma"/>
            <family val="2"/>
          </rPr>
          <t xml:space="preserve">
</t>
        </r>
      </text>
    </comment>
    <comment ref="K467" authorId="0" shapeId="0" xr:uid="{2C152E70-7279-467A-9276-C5896DBFF341}">
      <text>
        <r>
          <rPr>
            <sz val="9"/>
            <color indexed="81"/>
            <rFont val="Tahoma"/>
            <family val="2"/>
          </rPr>
          <t>Long dark irregular dust lane set in a bright star field</t>
        </r>
      </text>
    </comment>
    <comment ref="A468" authorId="0" shapeId="0" xr:uid="{FB3F081E-427E-4D1C-ADD2-63F989B4EB14}">
      <text>
        <r>
          <rPr>
            <sz val="9"/>
            <color indexed="81"/>
            <rFont val="Tahoma"/>
            <family val="2"/>
          </rPr>
          <t xml:space="preserve">
</t>
        </r>
      </text>
    </comment>
    <comment ref="K468" authorId="0" shapeId="0" xr:uid="{0529B9F2-87FC-4F9A-881A-65221920C343}">
      <text>
        <r>
          <rPr>
            <sz val="9"/>
            <color indexed="81"/>
            <rFont val="Tahoma"/>
            <family val="2"/>
          </rPr>
          <t xml:space="preserve">Dark, irregular vacancy. The middle of a great vacancy extending east and west, 2.5 deg long and .5 deg wide. </t>
        </r>
      </text>
    </comment>
    <comment ref="A469" authorId="0" shapeId="0" xr:uid="{C60E08A1-817D-4CD1-B934-A984CF2645F2}">
      <text>
        <r>
          <rPr>
            <sz val="9"/>
            <color indexed="81"/>
            <rFont val="Tahoma"/>
            <family val="2"/>
          </rPr>
          <t xml:space="preserve">
</t>
        </r>
      </text>
    </comment>
    <comment ref="K469" authorId="0" shapeId="0" xr:uid="{DC16A083-531F-4091-B0E8-68A987ECCBDD}">
      <text>
        <r>
          <rPr>
            <sz val="9"/>
            <color indexed="81"/>
            <rFont val="Tahoma"/>
            <family val="2"/>
          </rPr>
          <t>Dark nebulosity around the blue reflection nebula Cederblad 30.  The brightest part of B 7</t>
        </r>
      </text>
    </comment>
    <comment ref="A470" authorId="0" shapeId="0" xr:uid="{1AFCDDF6-A72E-45AD-AE6C-D8D8D157587A}">
      <text>
        <r>
          <rPr>
            <sz val="9"/>
            <color indexed="81"/>
            <rFont val="Tahoma"/>
            <family val="2"/>
          </rPr>
          <t xml:space="preserve">
</t>
        </r>
      </text>
    </comment>
    <comment ref="K470" authorId="0" shapeId="0" xr:uid="{50FC009C-62B5-42F7-8AD7-1988B680E2E2}">
      <text>
        <r>
          <rPr>
            <sz val="9"/>
            <color indexed="81"/>
            <rFont val="Tahoma"/>
            <family val="2"/>
          </rPr>
          <t>Faint long dark cloud</t>
        </r>
      </text>
    </comment>
    <comment ref="A471" authorId="0" shapeId="0" xr:uid="{CD78F780-BFF9-48CF-AFF3-CB20B52C6BC3}">
      <text>
        <r>
          <rPr>
            <sz val="9"/>
            <color indexed="81"/>
            <rFont val="Tahoma"/>
            <family val="2"/>
          </rPr>
          <t xml:space="preserve">
</t>
        </r>
      </text>
    </comment>
    <comment ref="K471" authorId="0" shapeId="0" xr:uid="{66CAC688-85DE-400E-80F7-6586D4423743}">
      <text>
        <r>
          <rPr>
            <sz val="9"/>
            <color indexed="81"/>
            <rFont val="Tahoma"/>
            <family val="2"/>
          </rPr>
          <t>Isolated dark spot SE of B 11; irregularly round with extension E. from the NE side</t>
        </r>
      </text>
    </comment>
    <comment ref="A472" authorId="0" shapeId="0" xr:uid="{2AE8E379-85C5-419D-B6A9-E0F53A063417}">
      <text>
        <r>
          <rPr>
            <sz val="9"/>
            <color indexed="81"/>
            <rFont val="Tahoma"/>
            <family val="2"/>
          </rPr>
          <t xml:space="preserve">
</t>
        </r>
      </text>
    </comment>
    <comment ref="K472" authorId="0" shapeId="0" xr:uid="{52D1D0E6-250D-41E5-85ED-2EC5529F3FA6}">
      <text>
        <r>
          <rPr>
            <sz val="9"/>
            <color indexed="81"/>
            <rFont val="Tahoma"/>
            <family val="2"/>
          </rPr>
          <t>Irregularly darker inside with a rather sharp, short, narrow extension toward the S.</t>
        </r>
      </text>
    </comment>
    <comment ref="A473" authorId="0" shapeId="0" xr:uid="{B6981D08-E159-440B-90FB-942577D2F8C0}">
      <text>
        <r>
          <rPr>
            <sz val="9"/>
            <color indexed="81"/>
            <rFont val="Tahoma"/>
            <family val="2"/>
          </rPr>
          <t xml:space="preserve">
</t>
        </r>
      </text>
    </comment>
    <comment ref="K473" authorId="0" shapeId="0" xr:uid="{2CB0A63D-CFE0-4177-95EA-25D83D4D2D0D}">
      <text>
        <r>
          <rPr>
            <sz val="9"/>
            <color indexed="81"/>
            <rFont val="Tahoma"/>
            <family val="2"/>
          </rPr>
          <t>Dark nebulosity just southwest of IC2087.  Very small, bright nebula.</t>
        </r>
      </text>
    </comment>
    <comment ref="A474" authorId="0" shapeId="0" xr:uid="{42CBFF1D-9D8B-46DC-AFC3-602075712D61}">
      <text>
        <r>
          <rPr>
            <sz val="9"/>
            <color indexed="81"/>
            <rFont val="Tahoma"/>
            <family val="2"/>
          </rPr>
          <t xml:space="preserve">
</t>
        </r>
      </text>
    </comment>
    <comment ref="K474" authorId="0" shapeId="0" xr:uid="{02145CC7-9303-4A6E-9FF5-41E8BB028C60}">
      <text>
        <r>
          <rPr>
            <sz val="9"/>
            <color indexed="81"/>
            <rFont val="Tahoma"/>
            <family val="2"/>
          </rPr>
          <t>Unusual comet-like dark nebula</t>
        </r>
      </text>
    </comment>
    <comment ref="A475" authorId="0" shapeId="0" xr:uid="{6B80F78A-8BC5-464E-98AF-795BC9922B37}">
      <text>
        <r>
          <rPr>
            <sz val="9"/>
            <color indexed="81"/>
            <rFont val="Tahoma"/>
            <family val="2"/>
          </rPr>
          <t xml:space="preserve">
</t>
        </r>
      </text>
    </comment>
    <comment ref="K475" authorId="0" shapeId="0" xr:uid="{4AFFEA00-DA19-40CE-8B5E-450EEDEFB91F}">
      <text>
        <r>
          <rPr>
            <sz val="9"/>
            <color indexed="81"/>
            <rFont val="Tahoma"/>
            <family val="2"/>
          </rPr>
          <t>Very faint and small. Elongated N and S; close to SE edge of B 15</t>
        </r>
      </text>
    </comment>
    <comment ref="A476" authorId="0" shapeId="0" xr:uid="{26AEDBBF-DE00-4647-98B7-40DEBEAE5414}">
      <text>
        <r>
          <rPr>
            <sz val="9"/>
            <color indexed="81"/>
            <rFont val="Tahoma"/>
            <family val="2"/>
          </rPr>
          <t xml:space="preserve">
</t>
        </r>
      </text>
    </comment>
    <comment ref="K476" authorId="0" shapeId="0" xr:uid="{7E32B496-8148-4862-A2CA-33BA7C30734A}">
      <text>
        <r>
          <rPr>
            <sz val="9"/>
            <color indexed="81"/>
            <rFont val="Tahoma"/>
            <family val="2"/>
          </rPr>
          <t>Very faint and small.  Elongated N and S; close to E edge of B 15</t>
        </r>
      </text>
    </comment>
    <comment ref="A477" authorId="0" shapeId="0" xr:uid="{06619EA0-4D76-44A3-949E-02D0E87FA703}">
      <text>
        <r>
          <rPr>
            <sz val="9"/>
            <color indexed="81"/>
            <rFont val="Tahoma"/>
            <family val="2"/>
          </rPr>
          <t xml:space="preserve">
</t>
        </r>
      </text>
    </comment>
    <comment ref="K477" authorId="0" shapeId="0" xr:uid="{B471A909-A51B-4255-B5D2-5B637B23711F}">
      <text>
        <r>
          <rPr>
            <sz val="9"/>
            <color indexed="81"/>
            <rFont val="Tahoma"/>
            <family val="2"/>
          </rPr>
          <t>Grouping of dark nebulae with several interesting reflections</t>
        </r>
      </text>
    </comment>
    <comment ref="A478" authorId="0" shapeId="0" xr:uid="{5D2ABDA6-6C62-4D27-9802-753087535FFC}">
      <text>
        <r>
          <rPr>
            <sz val="9"/>
            <color indexed="81"/>
            <rFont val="Tahoma"/>
            <family val="2"/>
          </rPr>
          <t xml:space="preserve">
</t>
        </r>
      </text>
    </comment>
    <comment ref="K478" authorId="0" shapeId="0" xr:uid="{846191A1-BB29-4CA7-A1F0-FC05A061B159}">
      <text>
        <r>
          <rPr>
            <sz val="9"/>
            <color indexed="81"/>
            <rFont val="Tahoma"/>
            <family val="2"/>
          </rPr>
          <t>Faint, large, and indefinite</t>
        </r>
      </text>
    </comment>
    <comment ref="A479" authorId="0" shapeId="0" xr:uid="{391E697C-77FF-4878-9400-578C5538BD9F}">
      <text>
        <r>
          <rPr>
            <sz val="9"/>
            <color indexed="81"/>
            <rFont val="Tahoma"/>
            <family val="2"/>
          </rPr>
          <t xml:space="preserve">
</t>
        </r>
      </text>
    </comment>
    <comment ref="K479" authorId="0" shapeId="0" xr:uid="{4FE202E4-D47B-4DA8-8B1E-B91D9D175C2D}">
      <text>
        <r>
          <rPr>
            <sz val="9"/>
            <color indexed="81"/>
            <rFont val="Tahoma"/>
            <family val="2"/>
          </rPr>
          <t>Small dark nebula set in dusty field with 2 small Sh2 HII nebulae</t>
        </r>
      </text>
    </comment>
    <comment ref="A480" authorId="0" shapeId="0" xr:uid="{D2ECCC66-1123-41CB-8988-E29953048883}">
      <text>
        <r>
          <rPr>
            <sz val="9"/>
            <color indexed="81"/>
            <rFont val="Tahoma"/>
            <family val="2"/>
          </rPr>
          <t xml:space="preserve">
</t>
        </r>
      </text>
    </comment>
    <comment ref="K480" authorId="0" shapeId="0" xr:uid="{55BBF860-66FE-4DE5-8BEE-60DD7D4742F4}">
      <text>
        <r>
          <rPr>
            <sz val="9"/>
            <color indexed="81"/>
            <rFont val="Tahoma"/>
            <family val="2"/>
          </rPr>
          <t>Very faint, indefinite, irregularly round</t>
        </r>
      </text>
    </comment>
    <comment ref="A481" authorId="0" shapeId="0" xr:uid="{EC84C285-93A6-4D2E-A953-2C7308C1D1C5}">
      <text>
        <r>
          <rPr>
            <sz val="9"/>
            <color indexed="81"/>
            <rFont val="Tahoma"/>
            <family val="2"/>
          </rPr>
          <t xml:space="preserve">
</t>
        </r>
      </text>
    </comment>
    <comment ref="K481" authorId="0" shapeId="0" xr:uid="{5F25396B-9358-4154-96C6-22C760041046}">
      <text>
        <r>
          <rPr>
            <sz val="9"/>
            <color indexed="81"/>
            <rFont val="Tahoma"/>
            <family val="2"/>
          </rPr>
          <t>Intense dark patch with 3 reflection nebulae, including IC 2087</t>
        </r>
      </text>
    </comment>
    <comment ref="A482" authorId="0" shapeId="0" xr:uid="{8BB8E177-60AA-4483-B5F8-A7F4C31B6920}">
      <text>
        <r>
          <rPr>
            <sz val="9"/>
            <color indexed="81"/>
            <rFont val="Tahoma"/>
            <family val="2"/>
          </rPr>
          <t xml:space="preserve">
</t>
        </r>
      </text>
    </comment>
    <comment ref="K482" authorId="0" shapeId="0" xr:uid="{7DBA9602-F4E2-4A45-ADA8-7104C62D81E0}">
      <text>
        <r>
          <rPr>
            <sz val="9"/>
            <color indexed="81"/>
            <rFont val="Tahoma"/>
            <family val="2"/>
          </rPr>
          <t>2 dark nebulae with a vdB reflection nebula</t>
        </r>
      </text>
    </comment>
    <comment ref="A483" authorId="0" shapeId="0" xr:uid="{4EDF8F8B-8E27-4B22-A513-7728B73B4A3E}">
      <text>
        <r>
          <rPr>
            <sz val="9"/>
            <color indexed="81"/>
            <rFont val="Tahoma"/>
            <family val="2"/>
          </rPr>
          <t xml:space="preserve">
</t>
        </r>
      </text>
    </comment>
    <comment ref="K483" authorId="0" shapeId="0" xr:uid="{621F0748-1AFE-4CC8-948A-68ED44E92868}">
      <text>
        <r>
          <rPr>
            <sz val="9"/>
            <color indexed="81"/>
            <rFont val="Tahoma"/>
            <family val="2"/>
          </rPr>
          <t>Faint, sharply pointed to the S</t>
        </r>
      </text>
    </comment>
    <comment ref="A484" authorId="0" shapeId="0" xr:uid="{03DF06EB-F08E-4DC3-91CC-2B7324C8D466}">
      <text>
        <r>
          <rPr>
            <sz val="9"/>
            <color indexed="81"/>
            <rFont val="Tahoma"/>
            <family val="2"/>
          </rPr>
          <t xml:space="preserve">
</t>
        </r>
      </text>
    </comment>
    <comment ref="K484" authorId="0" shapeId="0" xr:uid="{D9DE3464-519D-4965-8D27-2C7F8FAF073E}">
      <text>
        <r>
          <rPr>
            <sz val="9"/>
            <color indexed="81"/>
            <rFont val="Tahoma"/>
            <family val="2"/>
          </rPr>
          <t>Very faint, irregularly round</t>
        </r>
      </text>
    </comment>
    <comment ref="A485" authorId="0" shapeId="0" xr:uid="{8B0500D2-5669-4C66-8571-B91E8BDDAE6C}">
      <text>
        <r>
          <rPr>
            <sz val="9"/>
            <color indexed="81"/>
            <rFont val="Tahoma"/>
            <family val="2"/>
          </rPr>
          <t xml:space="preserve">
</t>
        </r>
      </text>
    </comment>
    <comment ref="K485" authorId="0" shapeId="0" xr:uid="{7D242944-2E4A-4270-8220-A1DC432C9622}">
      <text>
        <r>
          <rPr>
            <sz val="9"/>
            <color indexed="81"/>
            <rFont val="Tahoma"/>
            <family val="2"/>
          </rPr>
          <t>Dark nebulosity west of vdB31.</t>
        </r>
      </text>
    </comment>
    <comment ref="A486" authorId="0" shapeId="0" xr:uid="{75C6FCEC-45AA-4EB0-8DB8-5898457AC59B}">
      <text>
        <r>
          <rPr>
            <sz val="9"/>
            <color indexed="81"/>
            <rFont val="Tahoma"/>
            <family val="2"/>
          </rPr>
          <t xml:space="preserve">
</t>
        </r>
      </text>
    </comment>
    <comment ref="K486" authorId="0" shapeId="0" xr:uid="{D7DC2BFA-1E08-4B22-B06D-48B0B54B9DC4}">
      <text>
        <r>
          <rPr>
            <sz val="9"/>
            <color indexed="81"/>
            <rFont val="Tahoma"/>
            <family val="2"/>
          </rPr>
          <t>Dark nebulosity immediately west of blue reflection nebula vdB31 and 2 YSOs</t>
        </r>
      </text>
    </comment>
    <comment ref="A487" authorId="0" shapeId="0" xr:uid="{989565B3-6F48-45B2-B20C-D775F0B8AE53}">
      <text>
        <r>
          <rPr>
            <sz val="9"/>
            <color indexed="81"/>
            <rFont val="Tahoma"/>
            <family val="2"/>
          </rPr>
          <t xml:space="preserve">
</t>
        </r>
      </text>
    </comment>
    <comment ref="K487" authorId="0" shapeId="0" xr:uid="{7446C99A-2F15-4323-91F4-0BB745D0C40D}">
      <text>
        <r>
          <rPr>
            <sz val="9"/>
            <color indexed="81"/>
            <rFont val="Tahoma"/>
            <family val="2"/>
          </rPr>
          <t>Dark nebulosity immediately north of vdB31</t>
        </r>
      </text>
    </comment>
    <comment ref="A488" authorId="0" shapeId="0" xr:uid="{06FA7412-A6F2-451B-BA47-B670466F1538}">
      <text>
        <r>
          <rPr>
            <sz val="9"/>
            <color indexed="81"/>
            <rFont val="Tahoma"/>
            <family val="2"/>
          </rPr>
          <t xml:space="preserve">
</t>
        </r>
      </text>
    </comment>
    <comment ref="K488" authorId="0" shapeId="0" xr:uid="{A79481A2-88F1-4428-9DB0-6402FBC22CE4}">
      <text>
        <r>
          <rPr>
            <sz val="9"/>
            <color indexed="81"/>
            <rFont val="Tahoma"/>
            <family val="2"/>
          </rPr>
          <t>Faint, round, indefinite</t>
        </r>
      </text>
    </comment>
    <comment ref="A489" authorId="0" shapeId="0" xr:uid="{F6FC8C82-F23B-4D4F-8250-71FD0592FEE9}">
      <text>
        <r>
          <rPr>
            <sz val="9"/>
            <color indexed="81"/>
            <rFont val="Tahoma"/>
            <family val="2"/>
          </rPr>
          <t xml:space="preserve">
</t>
        </r>
      </text>
    </comment>
    <comment ref="K489" authorId="0" shapeId="0" xr:uid="{2702D669-AB65-4E3B-BF72-E893D18B77F3}">
      <text>
        <r>
          <rPr>
            <sz val="9"/>
            <color indexed="81"/>
            <rFont val="Tahoma"/>
            <family val="2"/>
          </rPr>
          <t xml:space="preserve">Surrounds Cederblad 51. Large dark area with few stars. </t>
        </r>
      </text>
    </comment>
    <comment ref="A490" authorId="0" shapeId="0" xr:uid="{DDE9316A-8EF6-4777-8AEC-E914A7F7846E}">
      <text>
        <r>
          <rPr>
            <sz val="9"/>
            <color indexed="81"/>
            <rFont val="Tahoma"/>
            <family val="2"/>
          </rPr>
          <t xml:space="preserve">
</t>
        </r>
      </text>
    </comment>
    <comment ref="K490" authorId="0" shapeId="0" xr:uid="{C93A82F7-51F8-4975-88C7-039DC7A9FEA3}">
      <text>
        <r>
          <rPr>
            <sz val="9"/>
            <color indexed="81"/>
            <rFont val="Tahoma"/>
            <family val="2"/>
          </rPr>
          <t>Faint nebulosity north of Cederblad 30. Extended NE and SW; the E. and darkest part of B 30</t>
        </r>
      </text>
    </comment>
    <comment ref="A491" authorId="0" shapeId="0" xr:uid="{C5B288A0-3AE5-4A10-A365-CA05DBBAD9CE}">
      <text>
        <r>
          <rPr>
            <sz val="9"/>
            <color indexed="81"/>
            <rFont val="Tahoma"/>
            <family val="2"/>
          </rPr>
          <t xml:space="preserve">
</t>
        </r>
      </text>
    </comment>
    <comment ref="K491" authorId="0" shapeId="0" xr:uid="{5767D4CA-BF57-4FF0-BAEF-667826DE17BF}">
      <text>
        <r>
          <rPr>
            <sz val="9"/>
            <color indexed="81"/>
            <rFont val="Tahoma"/>
            <family val="2"/>
          </rPr>
          <t>Small dark path north of Cederblad 30</t>
        </r>
      </text>
    </comment>
    <comment ref="A492" authorId="0" shapeId="0" xr:uid="{DA84136F-2BB7-414A-B5AB-AF3265DAD06B}">
      <text>
        <r>
          <rPr>
            <sz val="9"/>
            <color indexed="81"/>
            <rFont val="Tahoma"/>
            <family val="2"/>
          </rPr>
          <t xml:space="preserve">
</t>
        </r>
      </text>
    </comment>
    <comment ref="K492" authorId="0" shapeId="0" xr:uid="{16A38651-4375-452B-9A8D-9B6C0FE80168}">
      <text>
        <r>
          <rPr>
            <sz val="9"/>
            <color indexed="81"/>
            <rFont val="Tahoma"/>
            <family val="2"/>
          </rPr>
          <t>Faint, round</t>
        </r>
      </text>
    </comment>
    <comment ref="A493" authorId="0" shapeId="0" xr:uid="{007EABB3-588E-4608-A9FF-13A8D62EE78B}">
      <text>
        <r>
          <rPr>
            <sz val="9"/>
            <color indexed="81"/>
            <rFont val="Tahoma"/>
            <family val="2"/>
          </rPr>
          <t xml:space="preserve">
</t>
        </r>
      </text>
    </comment>
    <comment ref="K493" authorId="0" shapeId="0" xr:uid="{872D7A44-4ED4-4835-AC23-B190CC2A9749}">
      <text>
        <r>
          <rPr>
            <sz val="9"/>
            <color indexed="81"/>
            <rFont val="Tahoma"/>
            <family val="2"/>
          </rPr>
          <t>Striking dark nebula with emission and reflection components.</t>
        </r>
      </text>
    </comment>
    <comment ref="A494" authorId="0" shapeId="0" xr:uid="{BEE5A161-C1EC-476D-A9C6-AAF44C62B89B}">
      <text>
        <r>
          <rPr>
            <sz val="9"/>
            <color indexed="81"/>
            <rFont val="Tahoma"/>
            <family val="2"/>
          </rPr>
          <t xml:space="preserve">
</t>
        </r>
      </text>
    </comment>
    <comment ref="K494" authorId="0" shapeId="0" xr:uid="{70F0AF89-0018-4511-AFCB-BA883EC72D6A}">
      <text>
        <r>
          <rPr>
            <sz val="9"/>
            <color indexed="81"/>
            <rFont val="Tahoma"/>
            <family val="2"/>
          </rPr>
          <t>Long faint dark lane adjacent to Betelgeuse</t>
        </r>
      </text>
    </comment>
    <comment ref="A495" authorId="0" shapeId="0" xr:uid="{3CB301FD-D2B7-4EE3-A322-5BE2F78D5A17}">
      <text>
        <r>
          <rPr>
            <sz val="9"/>
            <color indexed="81"/>
            <rFont val="Tahoma"/>
            <family val="2"/>
          </rPr>
          <t xml:space="preserve">
</t>
        </r>
      </text>
    </comment>
    <comment ref="K495" authorId="0" shapeId="0" xr:uid="{CF94B937-B8C2-4FFA-A92E-15E225A4A64B}">
      <text>
        <r>
          <rPr>
            <sz val="9"/>
            <color indexed="81"/>
            <rFont val="Tahoma"/>
            <family val="2"/>
          </rPr>
          <t xml:space="preserve">Nice contrast to NGC2245 and NGC2247. - Irregular, semi-vacant region. </t>
        </r>
      </text>
    </comment>
    <comment ref="A496" authorId="0" shapeId="0" xr:uid="{44BBC08D-34C0-4A3C-A050-A0169AC04267}">
      <text>
        <r>
          <rPr>
            <sz val="9"/>
            <color indexed="81"/>
            <rFont val="Tahoma"/>
            <family val="2"/>
          </rPr>
          <t xml:space="preserve">
</t>
        </r>
      </text>
    </comment>
    <comment ref="K496" authorId="0" shapeId="0" xr:uid="{4006622E-F5CD-472D-9259-86593D3E81A6}">
      <text>
        <r>
          <rPr>
            <sz val="9"/>
            <color indexed="81"/>
            <rFont val="Tahoma"/>
            <family val="2"/>
          </rPr>
          <t>Very faint - Irregular vacancy. This seems to refer to a portion of B 37.</t>
        </r>
      </text>
    </comment>
    <comment ref="A497" authorId="0" shapeId="0" xr:uid="{CAA6470E-5153-44CE-8E20-CA05FDBB984C}">
      <text>
        <r>
          <rPr>
            <sz val="9"/>
            <color indexed="81"/>
            <rFont val="Tahoma"/>
            <family val="2"/>
          </rPr>
          <t xml:space="preserve">
</t>
        </r>
      </text>
    </comment>
    <comment ref="K497" authorId="0" shapeId="0" xr:uid="{E3688B3F-4470-46CC-B7EE-EF47361380DF}">
      <text>
        <r>
          <rPr>
            <sz val="9"/>
            <color indexed="81"/>
            <rFont val="Tahoma"/>
            <family val="2"/>
          </rPr>
          <t>Faint - Small, sharply defined, elongated spot in the nebulosity NW of 15 Monoceros.</t>
        </r>
      </text>
    </comment>
    <comment ref="A498" authorId="0" shapeId="0" xr:uid="{A928E1D5-FA97-4473-A659-43F3D3FD201C}">
      <text>
        <r>
          <rPr>
            <sz val="9"/>
            <color indexed="81"/>
            <rFont val="Tahoma"/>
            <family val="2"/>
          </rPr>
          <t xml:space="preserve">
</t>
        </r>
      </text>
    </comment>
    <comment ref="K498" authorId="0" shapeId="0" xr:uid="{95BD5036-1BFC-4A2C-93ED-687CC619DDCD}">
      <text>
        <r>
          <rPr>
            <sz val="9"/>
            <color indexed="81"/>
            <rFont val="Tahoma"/>
            <family val="2"/>
          </rPr>
          <t>Dark nebulosity northeast of IC4592 - Diffused dark spot; small star in it.  The cheek of the Blue Horsehead Nebula.</t>
        </r>
      </text>
    </comment>
    <comment ref="A499" authorId="0" shapeId="0" xr:uid="{AEF4D59C-8751-4FE0-A8B5-4B196069D36E}">
      <text>
        <r>
          <rPr>
            <sz val="9"/>
            <color indexed="81"/>
            <rFont val="Tahoma"/>
            <family val="2"/>
          </rPr>
          <t xml:space="preserve">
</t>
        </r>
      </text>
    </comment>
    <comment ref="K499" authorId="0" shapeId="0" xr:uid="{10DA5BFB-5583-4084-962A-AA479511F226}">
      <text>
        <r>
          <rPr>
            <sz val="9"/>
            <color indexed="81"/>
            <rFont val="Tahoma"/>
            <family val="2"/>
          </rPr>
          <t>Dark nebulosity northeast of IC4601 - Diffused dark spot.   The neck of the Blue Horsehead Nebula.</t>
        </r>
      </text>
    </comment>
    <comment ref="A500" authorId="0" shapeId="0" xr:uid="{8F91459F-6C5C-4FBF-B385-9A97C9359232}">
      <text>
        <r>
          <rPr>
            <sz val="9"/>
            <color indexed="81"/>
            <rFont val="Tahoma"/>
            <family val="2"/>
          </rPr>
          <t xml:space="preserve">
</t>
        </r>
      </text>
    </comment>
    <comment ref="K500" authorId="0" shapeId="0" xr:uid="{EC4F91AD-00CD-403A-B232-F03DA0180F82}">
      <text>
        <r>
          <rPr>
            <sz val="9"/>
            <color indexed="81"/>
            <rFont val="Tahoma"/>
            <family val="2"/>
          </rPr>
          <t xml:space="preserve">Dark nebulosity northwest of Rho Ophiuchi </t>
        </r>
      </text>
    </comment>
    <comment ref="A501" authorId="0" shapeId="0" xr:uid="{6608A677-9C0B-4517-81CC-64C28513E055}">
      <text>
        <r>
          <rPr>
            <sz val="9"/>
            <color indexed="81"/>
            <rFont val="Tahoma"/>
            <family val="2"/>
          </rPr>
          <t xml:space="preserve">
</t>
        </r>
      </text>
    </comment>
    <comment ref="K501" authorId="0" shapeId="0" xr:uid="{FABE76EC-27DF-400F-B29B-8B1D0A6A5841}">
      <text>
        <r>
          <rPr>
            <sz val="9"/>
            <color indexed="81"/>
            <rFont val="Tahoma"/>
            <family val="2"/>
          </rPr>
          <t>Faint dark spot east of IC4601, large dark region</t>
        </r>
      </text>
    </comment>
    <comment ref="A502" authorId="0" shapeId="0" xr:uid="{DB6A02D1-5282-4922-8901-49FE6383FB59}">
      <text>
        <r>
          <rPr>
            <sz val="9"/>
            <color indexed="81"/>
            <rFont val="Tahoma"/>
            <family val="2"/>
          </rPr>
          <t xml:space="preserve">
</t>
        </r>
      </text>
    </comment>
    <comment ref="K502" authorId="0" shapeId="0" xr:uid="{CBDCB077-5272-45B4-B34E-AC0086A481DA}">
      <text>
        <r>
          <rPr>
            <sz val="9"/>
            <color indexed="81"/>
            <rFont val="Tahoma"/>
            <family val="2"/>
          </rPr>
          <t>Faint, east of Rho Ophiuchi. The middle of the great vacant lane that runs east from the region of Rho Ophiuchi. About 32' wide.</t>
        </r>
      </text>
    </comment>
    <comment ref="A503" authorId="0" shapeId="0" xr:uid="{CBA33657-590F-4C9C-B77F-12B5F69C9603}">
      <text>
        <r>
          <rPr>
            <sz val="9"/>
            <color indexed="81"/>
            <rFont val="Tahoma"/>
            <family val="2"/>
          </rPr>
          <t xml:space="preserve">
</t>
        </r>
      </text>
    </comment>
    <comment ref="K503" authorId="0" shapeId="0" xr:uid="{D80C2F9A-A258-4A3E-9BCA-A95FAD66FDF3}">
      <text>
        <r>
          <rPr>
            <sz val="9"/>
            <color indexed="81"/>
            <rFont val="Tahoma"/>
            <family val="2"/>
          </rPr>
          <t xml:space="preserve">Interesting dark nebulosity in a nice star field - Irregular; sharpest on SE side; CD -40 10662 (mag 9.0) close N. </t>
        </r>
      </text>
    </comment>
    <comment ref="A504" authorId="0" shapeId="0" xr:uid="{29DFAFAD-38E0-4006-ADA1-0CAD99C6081F}">
      <text>
        <r>
          <rPr>
            <sz val="9"/>
            <color indexed="81"/>
            <rFont val="Tahoma"/>
            <family val="2"/>
          </rPr>
          <t xml:space="preserve">
</t>
        </r>
      </text>
    </comment>
    <comment ref="K504" authorId="0" shapeId="0" xr:uid="{54163971-510E-4BA3-A46C-182D1EC1975D}">
      <text>
        <r>
          <rPr>
            <sz val="9"/>
            <color indexed="81"/>
            <rFont val="Tahoma"/>
            <family val="2"/>
          </rPr>
          <t>Faint large dark nebula - Rather definite; Extended NE and SW with a projection SW that connects it with Rho Oph</t>
        </r>
      </text>
    </comment>
    <comment ref="A505" authorId="0" shapeId="0" xr:uid="{D4BD7B4A-6B03-4132-950E-608EF5BAB885}">
      <text>
        <r>
          <rPr>
            <sz val="9"/>
            <color indexed="81"/>
            <rFont val="Tahoma"/>
            <family val="2"/>
          </rPr>
          <t xml:space="preserve">
</t>
        </r>
      </text>
    </comment>
    <comment ref="K505" authorId="0" shapeId="0" xr:uid="{F30B5A40-4032-470D-993B-09A40DF33385}">
      <text>
        <r>
          <rPr>
            <sz val="9"/>
            <color indexed="81"/>
            <rFont val="Tahoma"/>
            <family val="2"/>
          </rPr>
          <t>Distinct small dust cloud - Irregular; definite; a string of small stars in the middle.</t>
        </r>
      </text>
    </comment>
    <comment ref="A506" authorId="0" shapeId="0" xr:uid="{01700BE7-8A32-43E6-8FDE-32E3F8B8A1B5}">
      <text>
        <r>
          <rPr>
            <sz val="9"/>
            <color indexed="81"/>
            <rFont val="Tahoma"/>
            <family val="2"/>
          </rPr>
          <t xml:space="preserve">
</t>
        </r>
      </text>
    </comment>
    <comment ref="K506" authorId="0" shapeId="0" xr:uid="{B0329026-B8AF-4CAF-B1A2-346F469C39CD}">
      <text>
        <r>
          <rPr>
            <sz val="9"/>
            <color indexed="81"/>
            <rFont val="Tahoma"/>
            <family val="2"/>
          </rPr>
          <t>Long dust lane in Ophiuchus - Irregular; definite; connected with B 51 by two sharp lanes.</t>
        </r>
      </text>
    </comment>
    <comment ref="A507" authorId="0" shapeId="0" xr:uid="{8F4B1F31-D535-476E-AC1E-F4BDFAFC9254}">
      <text>
        <r>
          <rPr>
            <sz val="9"/>
            <color indexed="81"/>
            <rFont val="Tahoma"/>
            <family val="2"/>
          </rPr>
          <t xml:space="preserve">
</t>
        </r>
      </text>
    </comment>
    <comment ref="K507" authorId="0" shapeId="0" xr:uid="{4A959139-22AC-4277-A443-B3A7D10DCAB6}">
      <text>
        <r>
          <rPr>
            <sz val="9"/>
            <color indexed="81"/>
            <rFont val="Tahoma"/>
            <family val="2"/>
          </rPr>
          <t>Dark nebulosity in Scorpius - Fairly well defined; 15' W and N of CD -40 11088 (magnitude 8)</t>
        </r>
      </text>
    </comment>
    <comment ref="A508" authorId="0" shapeId="0" xr:uid="{F3941C28-0729-478F-AAB2-6379000D19FE}">
      <text>
        <r>
          <rPr>
            <sz val="9"/>
            <color indexed="81"/>
            <rFont val="Tahoma"/>
            <family val="2"/>
          </rPr>
          <t xml:space="preserve">
</t>
        </r>
      </text>
    </comment>
    <comment ref="K508" authorId="0" shapeId="0" xr:uid="{359DF9B1-2AD2-4D75-8463-149AA242AFBC}">
      <text>
        <r>
          <rPr>
            <sz val="9"/>
            <color indexed="81"/>
            <rFont val="Tahoma"/>
            <family val="2"/>
          </rPr>
          <t>Small dark nebulosity in bright star field - close SE of and involving CD -33 11668 (magnitude 9.3).</t>
        </r>
      </text>
    </comment>
    <comment ref="A509" authorId="0" shapeId="0" xr:uid="{2D6300D8-C4E8-406F-BE9C-1489DBB22C2B}">
      <text>
        <r>
          <rPr>
            <sz val="9"/>
            <color indexed="81"/>
            <rFont val="Tahoma"/>
            <family val="2"/>
          </rPr>
          <t xml:space="preserve">
</t>
        </r>
      </text>
    </comment>
    <comment ref="K509" authorId="0" shapeId="0" xr:uid="{43112F6C-66E8-4FAA-A107-9E5F5467DA3B}">
      <text>
        <r>
          <rPr>
            <sz val="9"/>
            <color indexed="81"/>
            <rFont val="Tahoma"/>
            <family val="2"/>
          </rPr>
          <t>Interesting dark nebulosity shape - an irregular square, sharply defined on the east side and diffused on the west.</t>
        </r>
      </text>
    </comment>
    <comment ref="A510" authorId="0" shapeId="0" xr:uid="{35A6EE6C-91A7-4D2B-87CE-F1F665903296}">
      <text>
        <r>
          <rPr>
            <sz val="9"/>
            <color indexed="81"/>
            <rFont val="Tahoma"/>
            <family val="2"/>
          </rPr>
          <t xml:space="preserve">
</t>
        </r>
      </text>
    </comment>
    <comment ref="K510" authorId="0" shapeId="0" xr:uid="{BB09A610-783C-47E3-B869-FED98AF6E1D2}">
      <text>
        <r>
          <rPr>
            <sz val="9"/>
            <color indexed="81"/>
            <rFont val="Tahoma"/>
            <family val="2"/>
          </rPr>
          <t>Very faint - Definite; one of a group toward the east end of the dark lane from Rho Oph. 2 irregular lanes run west to B 47.</t>
        </r>
      </text>
    </comment>
    <comment ref="A511" authorId="0" shapeId="0" xr:uid="{9D1878B7-8397-4EBA-85D6-A6878B08B1BC}">
      <text>
        <r>
          <rPr>
            <sz val="9"/>
            <color indexed="81"/>
            <rFont val="Tahoma"/>
            <family val="2"/>
          </rPr>
          <t xml:space="preserve">
</t>
        </r>
      </text>
    </comment>
    <comment ref="K511" authorId="0" shapeId="0" xr:uid="{700A71CB-0565-4B5D-AF79-1C149B099237}">
      <text>
        <r>
          <rPr>
            <sz val="9"/>
            <color indexed="81"/>
            <rFont val="Tahoma"/>
            <family val="2"/>
          </rPr>
          <t>Faint patch of dark nebulosity - Large; diffuse; extended N and S by 30'; curved toward the E at N end.</t>
        </r>
      </text>
    </comment>
    <comment ref="A512" authorId="0" shapeId="0" xr:uid="{6A09C57C-3AEC-40B7-B4A9-E852404010E6}">
      <text>
        <r>
          <rPr>
            <sz val="9"/>
            <color indexed="81"/>
            <rFont val="Tahoma"/>
            <family val="2"/>
          </rPr>
          <t xml:space="preserve">
</t>
        </r>
      </text>
    </comment>
    <comment ref="K512" authorId="0" shapeId="0" xr:uid="{A0909DC0-D566-42F6-8233-C5532F245939}">
      <text>
        <r>
          <rPr>
            <sz val="9"/>
            <color indexed="81"/>
            <rFont val="Tahoma"/>
            <family val="2"/>
          </rPr>
          <t>Very faint - Small; round; close S. of magnitude 11 star</t>
        </r>
      </text>
    </comment>
    <comment ref="A513" authorId="0" shapeId="0" xr:uid="{BB043762-4F19-43D3-844F-E710C39FDC2F}">
      <text>
        <r>
          <rPr>
            <sz val="9"/>
            <color indexed="81"/>
            <rFont val="Tahoma"/>
            <family val="2"/>
          </rPr>
          <t xml:space="preserve">
</t>
        </r>
      </text>
    </comment>
    <comment ref="K513" authorId="0" shapeId="0" xr:uid="{52A6DD66-458F-4FD0-9CB9-6B34B1399946}">
      <text>
        <r>
          <rPr>
            <sz val="9"/>
            <color indexed="81"/>
            <rFont val="Tahoma"/>
            <family val="2"/>
          </rPr>
          <t>Faint dark nebula - Irregular; best defined SE.; CD -31 13582 (magnitude 8.9) near the center.</t>
        </r>
      </text>
    </comment>
    <comment ref="A514" authorId="0" shapeId="0" xr:uid="{1D159A8A-0F6E-4A44-B639-9D8E26D66197}">
      <text>
        <r>
          <rPr>
            <sz val="9"/>
            <color indexed="81"/>
            <rFont val="Tahoma"/>
            <family val="2"/>
          </rPr>
          <t xml:space="preserve">
</t>
        </r>
      </text>
    </comment>
    <comment ref="K514" authorId="0" shapeId="0" xr:uid="{8261CBB0-0E43-4FFE-BA55-1C726C0913D1}">
      <text>
        <r>
          <rPr>
            <sz val="9"/>
            <color indexed="81"/>
            <rFont val="Tahoma"/>
            <family val="2"/>
          </rPr>
          <t xml:space="preserve">Dark nebula just east of B55 - Small; close E of CD -31 13609 (magnitude 9.0). </t>
        </r>
      </text>
    </comment>
    <comment ref="A515" authorId="0" shapeId="0" xr:uid="{72F33A96-DF21-4089-9727-3733B8622B8A}">
      <text>
        <r>
          <rPr>
            <sz val="9"/>
            <color indexed="81"/>
            <rFont val="Tahoma"/>
            <family val="2"/>
          </rPr>
          <t xml:space="preserve">
</t>
        </r>
      </text>
    </comment>
    <comment ref="K515" authorId="0" shapeId="0" xr:uid="{634FE357-AABD-4AC4-AC14-507D247B175C}">
      <text>
        <r>
          <rPr>
            <sz val="9"/>
            <color indexed="81"/>
            <rFont val="Tahoma"/>
            <family val="2"/>
          </rPr>
          <t>Faint - Elongated NE and SW</t>
        </r>
      </text>
    </comment>
    <comment ref="A516" authorId="0" shapeId="0" xr:uid="{04F50EF9-3402-4845-A94F-EC20660F9D62}">
      <text>
        <r>
          <rPr>
            <sz val="9"/>
            <color indexed="81"/>
            <rFont val="Tahoma"/>
            <family val="2"/>
          </rPr>
          <t xml:space="preserve">
</t>
        </r>
      </text>
    </comment>
    <comment ref="K516" authorId="0" shapeId="0" xr:uid="{21EF2E94-9461-4B01-89E6-C94E51D3342E}">
      <text>
        <r>
          <rPr>
            <sz val="9"/>
            <color indexed="81"/>
            <rFont val="Tahoma"/>
            <family val="2"/>
          </rPr>
          <t>Faint - Slightly extended N and S; a darker core at NE side</t>
        </r>
      </text>
    </comment>
    <comment ref="A517" authorId="0" shapeId="0" xr:uid="{A36C0E17-855A-4BCB-8D13-94E6131D3B09}">
      <text>
        <r>
          <rPr>
            <sz val="9"/>
            <color indexed="81"/>
            <rFont val="Tahoma"/>
            <family val="2"/>
          </rPr>
          <t xml:space="preserve">
</t>
        </r>
      </text>
    </comment>
    <comment ref="K517" authorId="0" shapeId="0" xr:uid="{5BC642F2-1F34-49F4-B1D6-F911FF1ADD0E}">
      <text>
        <r>
          <rPr>
            <sz val="9"/>
            <color indexed="81"/>
            <rFont val="Tahoma"/>
            <family val="2"/>
          </rPr>
          <t xml:space="preserve">The stem of the famous Pipe Nebula. Image with globular clusters NGC 6293 &amp; 6316, plus small orange YSO </t>
        </r>
      </text>
    </comment>
    <comment ref="A518" authorId="0" shapeId="0" xr:uid="{E9C96CA0-D8FF-4EEF-A9E5-8A638EAAE502}">
      <text>
        <r>
          <rPr>
            <sz val="9"/>
            <color indexed="81"/>
            <rFont val="Tahoma"/>
            <family val="2"/>
          </rPr>
          <t xml:space="preserve">
</t>
        </r>
      </text>
    </comment>
    <comment ref="K518" authorId="0" shapeId="0" xr:uid="{07512A54-B0AA-47E9-AB96-5C99CCF0159D}">
      <text>
        <r>
          <rPr>
            <sz val="9"/>
            <color indexed="81"/>
            <rFont val="Tahoma"/>
            <family val="2"/>
          </rPr>
          <t>Dark nebulosity north of B246 - Curved; extended NE and SW; this and B 57 are the most distinct of a group SW of B63.</t>
        </r>
      </text>
    </comment>
    <comment ref="A519" authorId="0" shapeId="0" xr:uid="{1D6BC020-9F24-443F-BECE-9758AB27AE64}">
      <text>
        <r>
          <rPr>
            <sz val="9"/>
            <color indexed="81"/>
            <rFont val="Tahoma"/>
            <family val="2"/>
          </rPr>
          <t xml:space="preserve">
</t>
        </r>
      </text>
    </comment>
    <comment ref="K519" authorId="0" shapeId="0" xr:uid="{64BACCB6-510B-4A59-AECC-98E8909199DB}">
      <text>
        <r>
          <rPr>
            <sz val="9"/>
            <color indexed="81"/>
            <rFont val="Tahoma"/>
            <family val="2"/>
          </rPr>
          <t>Small and distinct dark nebula - elongated E and W</t>
        </r>
      </text>
    </comment>
    <comment ref="A520" authorId="0" shapeId="0" xr:uid="{B5E9467B-4ADF-44DA-A8EF-3EE574BD093F}">
      <text>
        <r>
          <rPr>
            <sz val="9"/>
            <color indexed="81"/>
            <rFont val="Tahoma"/>
            <family val="2"/>
          </rPr>
          <t xml:space="preserve">
</t>
        </r>
      </text>
    </comment>
    <comment ref="K520" authorId="0" shapeId="0" xr:uid="{49D053E3-38DD-4A77-A400-3DB966E676E9}">
      <text>
        <r>
          <rPr>
            <sz val="9"/>
            <color indexed="81"/>
            <rFont val="Tahoma"/>
            <family val="2"/>
          </rPr>
          <t xml:space="preserve">Image with vdB110 - Very black in NW part; brightest of three stars in S part is BD -20 4690 (magnitude 9.4). </t>
        </r>
      </text>
    </comment>
    <comment ref="A521" authorId="0" shapeId="0" xr:uid="{C05DC194-CF63-42ED-9054-2C867EC8F978}">
      <text>
        <r>
          <rPr>
            <sz val="9"/>
            <color indexed="81"/>
            <rFont val="Tahoma"/>
            <family val="2"/>
          </rPr>
          <t xml:space="preserve">
</t>
        </r>
      </text>
    </comment>
    <comment ref="K521" authorId="0" shapeId="0" xr:uid="{0F966453-4378-4FA3-9920-069C8FAE7898}">
      <text>
        <r>
          <rPr>
            <sz val="9"/>
            <color indexed="81"/>
            <rFont val="Tahoma"/>
            <family val="2"/>
          </rPr>
          <t>Dark nebulosity arc in Ophiuchus - Large, curved figure, convex to N; the W end abrupt; 97' E and W, 19' wide</t>
        </r>
      </text>
    </comment>
    <comment ref="A522" authorId="0" shapeId="0" xr:uid="{39762DB4-493F-49D2-9FB0-DD4329E8641A}">
      <text>
        <r>
          <rPr>
            <sz val="9"/>
            <color indexed="81"/>
            <rFont val="Tahoma"/>
            <family val="2"/>
          </rPr>
          <t xml:space="preserve">
</t>
        </r>
      </text>
    </comment>
    <comment ref="K522" authorId="0" shapeId="0" xr:uid="{7C2FA06D-D123-4002-B286-98FA1E7B41DA}">
      <text>
        <r>
          <rPr>
            <sz val="9"/>
            <color indexed="81"/>
            <rFont val="Tahoma"/>
            <family val="2"/>
          </rPr>
          <t>Faint - W of M 9; This object is cometary in form and has a very black core</t>
        </r>
      </text>
    </comment>
    <comment ref="A523" authorId="0" shapeId="0" xr:uid="{D30C88A6-94DE-4529-986E-C7E4BF420871}">
      <text>
        <r>
          <rPr>
            <sz val="9"/>
            <color indexed="81"/>
            <rFont val="Tahoma"/>
            <family val="2"/>
          </rPr>
          <t xml:space="preserve">
</t>
        </r>
      </text>
    </comment>
    <comment ref="K523" authorId="0" shapeId="0" xr:uid="{43347815-168B-4B52-BF94-6E04C1E68C60}">
      <text>
        <r>
          <rPr>
            <sz val="9"/>
            <color indexed="81"/>
            <rFont val="Tahoma"/>
            <family val="2"/>
          </rPr>
          <t>Faint - Definite; elongated; 12' E and W</t>
        </r>
      </text>
    </comment>
    <comment ref="A524" authorId="0" shapeId="0" xr:uid="{2D0087F8-DF50-4CBA-AA61-978E42543B6B}">
      <text>
        <r>
          <rPr>
            <sz val="9"/>
            <color indexed="81"/>
            <rFont val="Tahoma"/>
            <family val="2"/>
          </rPr>
          <t xml:space="preserve">
</t>
        </r>
      </text>
    </comment>
    <comment ref="K524" authorId="0" shapeId="0" xr:uid="{9746F252-AACC-4A38-B15B-48FA619A663A}">
      <text>
        <r>
          <rPr>
            <sz val="9"/>
            <color indexed="81"/>
            <rFont val="Tahoma"/>
            <family val="2"/>
          </rPr>
          <t>Faint - Definite; extended E and W; CD -26 12082 (magnitude 8.7) 5' from SE edge</t>
        </r>
      </text>
    </comment>
    <comment ref="A525" authorId="0" shapeId="0" xr:uid="{08570AD1-ED33-4773-B97B-97EFDA9503D3}">
      <text>
        <r>
          <rPr>
            <sz val="9"/>
            <color indexed="81"/>
            <rFont val="Tahoma"/>
            <family val="2"/>
          </rPr>
          <t xml:space="preserve">
</t>
        </r>
      </text>
    </comment>
    <comment ref="K525" authorId="0" shapeId="0" xr:uid="{58EB294F-0AEC-452B-82B4-8F351E428977}">
      <text>
        <r>
          <rPr>
            <sz val="9"/>
            <color indexed="81"/>
            <rFont val="Tahoma"/>
            <family val="2"/>
          </rPr>
          <t>Dark nebulosity in bright Milky Way field - Definite; extended N and S; connects B 65 and 66</t>
        </r>
      </text>
    </comment>
    <comment ref="A526" authorId="0" shapeId="0" xr:uid="{5F13F89E-91B3-4B14-A6CD-FFC90642AED0}">
      <text>
        <r>
          <rPr>
            <sz val="9"/>
            <color indexed="81"/>
            <rFont val="Tahoma"/>
            <family val="2"/>
          </rPr>
          <t xml:space="preserve">
</t>
        </r>
      </text>
    </comment>
    <comment ref="K526" authorId="0" shapeId="0" xr:uid="{5E84AE9D-404D-4B53-BEB1-302A3AAEF4CD}">
      <text>
        <r>
          <rPr>
            <sz val="9"/>
            <color indexed="81"/>
            <rFont val="Tahoma"/>
            <family val="2"/>
          </rPr>
          <t>Faint - Irregular; definite; BD -21 4591 (magnitude 9.5) in spot, near SE edge</t>
        </r>
      </text>
    </comment>
    <comment ref="A527" authorId="0" shapeId="0" xr:uid="{22468D8D-D7EC-4E4A-82E6-DE3D6378144D}">
      <text>
        <r>
          <rPr>
            <sz val="9"/>
            <color indexed="81"/>
            <rFont val="Tahoma"/>
            <family val="2"/>
          </rPr>
          <t xml:space="preserve">
</t>
        </r>
      </text>
    </comment>
    <comment ref="K527" authorId="0" shapeId="0" xr:uid="{F9112D66-E1C4-4E0A-AEC3-9BACD43480B0}">
      <text>
        <r>
          <rPr>
            <sz val="9"/>
            <color indexed="81"/>
            <rFont val="Tahoma"/>
            <family val="2"/>
          </rPr>
          <t>Dark nebulosity next to B72, the Snake - Small; irregular; sharply defined; about 20' SW of B 72</t>
        </r>
      </text>
    </comment>
    <comment ref="A528" authorId="0" shapeId="0" xr:uid="{BEE35F0F-2016-4C9F-81CC-B9702B90FC87}">
      <text>
        <r>
          <rPr>
            <sz val="9"/>
            <color indexed="81"/>
            <rFont val="Tahoma"/>
            <family val="2"/>
          </rPr>
          <t xml:space="preserve">
</t>
        </r>
      </text>
    </comment>
    <comment ref="K528" authorId="0" shapeId="0" xr:uid="{1D6058A1-C5F9-44FE-98E8-250A3A98078F}">
      <text>
        <r>
          <rPr>
            <sz val="9"/>
            <color indexed="81"/>
            <rFont val="Tahoma"/>
            <family val="2"/>
          </rPr>
          <t>Dark nebulosity next to B72, the Snake - Very small; irregular; sharply defined; extends N and S 4'</t>
        </r>
      </text>
    </comment>
    <comment ref="A529" authorId="0" shapeId="0" xr:uid="{D5C82EB9-AB4B-491A-9E01-3AC66685D5C5}">
      <text>
        <r>
          <rPr>
            <sz val="9"/>
            <color indexed="81"/>
            <rFont val="Tahoma"/>
            <family val="2"/>
          </rPr>
          <t xml:space="preserve">
</t>
        </r>
      </text>
    </comment>
    <comment ref="K529" authorId="0" shapeId="0" xr:uid="{C21386EC-084F-4E8B-94AE-39D8CC6CE68E}">
      <text>
        <r>
          <rPr>
            <sz val="9"/>
            <color indexed="81"/>
            <rFont val="Tahoma"/>
            <family val="2"/>
          </rPr>
          <t>Dark nebulosity next to B72, the Snake - Sharply defined on W side</t>
        </r>
      </text>
    </comment>
    <comment ref="A530" authorId="0" shapeId="0" xr:uid="{0D9F2A5B-21C4-4AE1-86F1-6BA588CAA929}">
      <text>
        <r>
          <rPr>
            <sz val="9"/>
            <color indexed="81"/>
            <rFont val="Tahoma"/>
            <family val="2"/>
          </rPr>
          <t xml:space="preserve">
</t>
        </r>
      </text>
    </comment>
    <comment ref="K530" authorId="0" shapeId="0" xr:uid="{296BCA56-D94A-4C1B-9E8A-FD0AA049BEED}">
      <text>
        <r>
          <rPr>
            <sz val="9"/>
            <color indexed="81"/>
            <rFont val="Tahoma"/>
            <family val="2"/>
          </rPr>
          <t>Tiny object - Very small; extends 1.25', plus or minus</t>
        </r>
      </text>
    </comment>
    <comment ref="A531" authorId="0" shapeId="0" xr:uid="{7E67DB6E-C1E0-47DE-B0E5-9451282ADCDB}">
      <text>
        <r>
          <rPr>
            <sz val="9"/>
            <color indexed="81"/>
            <rFont val="Tahoma"/>
            <family val="2"/>
          </rPr>
          <t xml:space="preserve">
</t>
        </r>
      </text>
    </comment>
    <comment ref="K531" authorId="0" shapeId="0" xr:uid="{6FCE496A-CFD0-4DD9-B2CB-4BC03924AE17}">
      <text>
        <r>
          <rPr>
            <sz val="9"/>
            <color indexed="81"/>
            <rFont val="Tahoma"/>
            <family val="2"/>
          </rPr>
          <t>Iconic Snake Nebula, one of the best dark nebula to image.</t>
        </r>
      </text>
    </comment>
    <comment ref="A532" authorId="0" shapeId="0" xr:uid="{9FDC4A04-0307-4A64-9A01-3C05A0BBECD7}">
      <text>
        <r>
          <rPr>
            <sz val="9"/>
            <color indexed="81"/>
            <rFont val="Tahoma"/>
            <family val="2"/>
          </rPr>
          <t xml:space="preserve">
</t>
        </r>
      </text>
    </comment>
    <comment ref="K532" authorId="0" shapeId="0" xr:uid="{87C39CBB-A30A-4D26-95A2-CA3804A6A87E}">
      <text>
        <r>
          <rPr>
            <sz val="9"/>
            <color indexed="81"/>
            <rFont val="Tahoma"/>
            <family val="2"/>
          </rPr>
          <t>Small - Very small; extended N and S 4'</t>
        </r>
      </text>
    </comment>
    <comment ref="A533" authorId="0" shapeId="0" xr:uid="{66193A55-95D3-41F1-BF4F-1721B782616A}">
      <text>
        <r>
          <rPr>
            <sz val="9"/>
            <color indexed="81"/>
            <rFont val="Tahoma"/>
            <family val="2"/>
          </rPr>
          <t xml:space="preserve">
</t>
        </r>
      </text>
    </comment>
    <comment ref="K533" authorId="0" shapeId="0" xr:uid="{DEA4680A-55C8-4368-B860-3C68F1C8766D}">
      <text>
        <r>
          <rPr>
            <sz val="9"/>
            <color indexed="81"/>
            <rFont val="Tahoma"/>
            <family val="2"/>
          </rPr>
          <t xml:space="preserve">Faint 2 lobed dark nebula next to brighter star - Slightly curved, extending 5' N from CD -24 13325 (mag 7.1). </t>
        </r>
      </text>
    </comment>
    <comment ref="A534" authorId="0" shapeId="0" xr:uid="{8B0E43B4-4BB7-4B3F-B506-A3E85F0EFCFB}">
      <text>
        <r>
          <rPr>
            <sz val="9"/>
            <color indexed="81"/>
            <rFont val="Tahoma"/>
            <family val="2"/>
          </rPr>
          <t xml:space="preserve">
</t>
        </r>
      </text>
    </comment>
    <comment ref="K534" authorId="0" shapeId="0" xr:uid="{C7157854-8C12-46DB-B61F-238FBB0853D1}">
      <text>
        <r>
          <rPr>
            <sz val="9"/>
            <color indexed="81"/>
            <rFont val="Tahoma"/>
            <family val="2"/>
          </rPr>
          <t xml:space="preserve">Interesting scalloped dark nebula pattern - BD -21 4598 (magnitude 8.3) on N edge </t>
        </r>
      </text>
    </comment>
    <comment ref="A535" authorId="0" shapeId="0" xr:uid="{1510CCB7-18D6-49A5-91A1-F79CC0AA4CB2}">
      <text>
        <r>
          <rPr>
            <sz val="9"/>
            <color indexed="81"/>
            <rFont val="Tahoma"/>
            <family val="2"/>
          </rPr>
          <t xml:space="preserve">
</t>
        </r>
      </text>
    </comment>
    <comment ref="K535" authorId="0" shapeId="0" xr:uid="{F456AA24-4F13-4E8C-A99B-667AD85ABD96}">
      <text>
        <r>
          <rPr>
            <sz val="9"/>
            <color indexed="81"/>
            <rFont val="Tahoma"/>
            <family val="2"/>
          </rPr>
          <t>Faint - Irregular, narrow black strip, 30' long E and W</t>
        </r>
      </text>
    </comment>
    <comment ref="A536" authorId="0" shapeId="0" xr:uid="{04C28C94-B80B-47D8-96F1-ED9D23265C42}">
      <text>
        <r>
          <rPr>
            <sz val="9"/>
            <color indexed="81"/>
            <rFont val="Tahoma"/>
            <family val="2"/>
          </rPr>
          <t xml:space="preserve">
</t>
        </r>
      </text>
    </comment>
    <comment ref="K536" authorId="0" shapeId="0" xr:uid="{2C679104-8ABF-45CF-B334-C2328FF4B80D}">
      <text>
        <r>
          <rPr>
            <sz val="9"/>
            <color indexed="81"/>
            <rFont val="Tahoma"/>
            <family val="2"/>
          </rPr>
          <t>Just north of famous B78 nebula - Indefinite; connected by a vacant strip with B 78</t>
        </r>
      </text>
    </comment>
    <comment ref="A537" authorId="0" shapeId="0" xr:uid="{BDF51B0E-7949-4A09-A3A3-E0E37C9D4A49}">
      <text>
        <r>
          <rPr>
            <sz val="9"/>
            <color indexed="81"/>
            <rFont val="Tahoma"/>
            <family val="2"/>
          </rPr>
          <t xml:space="preserve">
</t>
        </r>
      </text>
    </comment>
    <comment ref="K537" authorId="0" shapeId="0" xr:uid="{0DDEDC2C-539C-4B73-9AD7-C2C549E7C5D8}">
      <text>
        <r>
          <rPr>
            <sz val="9"/>
            <color indexed="81"/>
            <rFont val="Tahoma"/>
            <family val="2"/>
          </rPr>
          <t>The bowl of the famous Pipe Nebula</t>
        </r>
      </text>
    </comment>
    <comment ref="A538" authorId="0" shapeId="0" xr:uid="{C9AFAF61-F56F-4404-804A-B8BA0D1E9BCE}">
      <text>
        <r>
          <rPr>
            <sz val="9"/>
            <color indexed="81"/>
            <rFont val="Tahoma"/>
            <family val="2"/>
          </rPr>
          <t xml:space="preserve">
</t>
        </r>
      </text>
    </comment>
    <comment ref="K538" authorId="0" shapeId="0" xr:uid="{7E64E0C7-5625-4093-8C18-981B1B28F6EB}">
      <text>
        <r>
          <rPr>
            <sz val="9"/>
            <color indexed="81"/>
            <rFont val="Tahoma"/>
            <family val="2"/>
          </rPr>
          <t>Line of nebulosity - 30' long SE and NW; narrow; sharply defined</t>
        </r>
      </text>
    </comment>
    <comment ref="A539" authorId="0" shapeId="0" xr:uid="{66F09DAE-EC36-4A7E-AB3D-5FE4A0D03733}">
      <text>
        <r>
          <rPr>
            <sz val="9"/>
            <color indexed="81"/>
            <rFont val="Tahoma"/>
            <family val="2"/>
          </rPr>
          <t xml:space="preserve">
</t>
        </r>
      </text>
    </comment>
    <comment ref="K539" authorId="0" shapeId="0" xr:uid="{75266450-68C1-4245-9C51-C7B9BB58CFA1}">
      <text>
        <r>
          <rPr>
            <sz val="9"/>
            <color indexed="81"/>
            <rFont val="Tahoma"/>
            <family val="2"/>
          </rPr>
          <t>Very faint - Small, definite; 3' x 1', SW and NE; close SE of BD -21 4674 (magnitude 80 8.1).</t>
        </r>
      </text>
    </comment>
    <comment ref="A540" authorId="0" shapeId="0" xr:uid="{3BB867B6-8F50-4BB0-8022-2E375937EF78}">
      <text>
        <r>
          <rPr>
            <sz val="9"/>
            <color indexed="81"/>
            <rFont val="Tahoma"/>
            <family val="2"/>
          </rPr>
          <t xml:space="preserve">
</t>
        </r>
      </text>
    </comment>
    <comment ref="K540" authorId="0" shapeId="0" xr:uid="{455B3C69-6463-4ADA-9A48-346EADAD3F44}">
      <text>
        <r>
          <rPr>
            <sz val="9"/>
            <color indexed="81"/>
            <rFont val="Tahoma"/>
            <family val="2"/>
          </rPr>
          <t>Faint dark lanes just west of globular cluster NGC 6401 - Very small; diffused</t>
        </r>
      </text>
    </comment>
    <comment ref="A541" authorId="0" shapeId="0" xr:uid="{74C30D25-EC4F-4AD7-A41D-BE56064866DB}">
      <text>
        <r>
          <rPr>
            <sz val="9"/>
            <color indexed="81"/>
            <rFont val="Tahoma"/>
            <family val="2"/>
          </rPr>
          <t xml:space="preserve">
</t>
        </r>
      </text>
    </comment>
    <comment ref="K541" authorId="0" shapeId="0" xr:uid="{96238A11-B698-43F1-9B49-B584877A8364}">
      <text>
        <r>
          <rPr>
            <sz val="9"/>
            <color indexed="81"/>
            <rFont val="Tahoma"/>
            <family val="2"/>
          </rPr>
          <t>Faint dark small nebulosity, angular; well defined; 8' N of NGC 6401</t>
        </r>
      </text>
    </comment>
    <comment ref="A542" authorId="0" shapeId="0" xr:uid="{11082D64-C2E1-4473-9E63-9339991AC1C9}">
      <text>
        <r>
          <rPr>
            <sz val="9"/>
            <color indexed="81"/>
            <rFont val="Tahoma"/>
            <family val="2"/>
          </rPr>
          <t xml:space="preserve">
</t>
        </r>
      </text>
    </comment>
    <comment ref="K542" authorId="0" shapeId="0" xr:uid="{99DC0AD0-42E8-439C-B470-DD456893A014}">
      <text>
        <r>
          <rPr>
            <sz val="9"/>
            <color indexed="81"/>
            <rFont val="Tahoma"/>
            <family val="2"/>
          </rPr>
          <t>Faint dark nebulosity just south of NGC6401 - Irregular; several small stars in it; narrow extension to the S</t>
        </r>
      </text>
    </comment>
    <comment ref="A543" authorId="0" shapeId="0" xr:uid="{0191DE3D-38C0-484B-94D3-E033DCA2AB9B}">
      <text>
        <r>
          <rPr>
            <sz val="9"/>
            <color indexed="81"/>
            <rFont val="Tahoma"/>
            <family val="2"/>
          </rPr>
          <t xml:space="preserve">
</t>
        </r>
      </text>
    </comment>
    <comment ref="K543" authorId="0" shapeId="0" xr:uid="{32E8F989-03A7-4BA7-9A2E-1CFA902B2633}">
      <text>
        <r>
          <rPr>
            <sz val="9"/>
            <color indexed="81"/>
            <rFont val="Tahoma"/>
            <family val="2"/>
          </rPr>
          <t>Small faint dark nebula - definite; diam. 4', N and S; about 5' SE of BD -19 4698 (magnitude 9.5)</t>
        </r>
      </text>
    </comment>
    <comment ref="A544" authorId="0" shapeId="0" xr:uid="{59B6841D-B624-40CD-8A4A-9611DCC87CAD}">
      <text>
        <r>
          <rPr>
            <sz val="9"/>
            <color indexed="81"/>
            <rFont val="Tahoma"/>
            <family val="2"/>
          </rPr>
          <t xml:space="preserve">
</t>
        </r>
      </text>
    </comment>
    <comment ref="K544" authorId="0" shapeId="0" xr:uid="{5B55B9AB-3C66-4A93-8977-F620F823AE84}">
      <text>
        <r>
          <rPr>
            <sz val="9"/>
            <color indexed="81"/>
            <rFont val="Tahoma"/>
            <family val="2"/>
          </rPr>
          <t xml:space="preserve">Irregular dark nebula in Sagittarius - 22' long E and W; extension from it 20' toward the NW. </t>
        </r>
      </text>
    </comment>
    <comment ref="A545" authorId="0" shapeId="0" xr:uid="{2411B2F2-7FD0-4555-A8C0-2B09BDD28141}">
      <text>
        <r>
          <rPr>
            <sz val="9"/>
            <color indexed="81"/>
            <rFont val="Tahoma"/>
            <family val="2"/>
          </rPr>
          <t xml:space="preserve">
</t>
        </r>
      </text>
    </comment>
    <comment ref="K545" authorId="0" shapeId="0" xr:uid="{64BF70FB-104E-436A-BF7B-F4B20CC91E15}">
      <text>
        <r>
          <rPr>
            <sz val="9"/>
            <color indexed="81"/>
            <rFont val="Tahoma"/>
            <family val="2"/>
          </rPr>
          <t>Faint - Round; diam. 16', with extension 45' S; BD -17 4967 (magnitude 9.1) in center</t>
        </r>
      </text>
    </comment>
    <comment ref="A546" authorId="0" shapeId="0" xr:uid="{7850997B-046F-4263-B627-62B417024DDD}">
      <text>
        <r>
          <rPr>
            <sz val="9"/>
            <color indexed="81"/>
            <rFont val="Tahoma"/>
            <family val="2"/>
          </rPr>
          <t xml:space="preserve">
</t>
        </r>
      </text>
    </comment>
    <comment ref="K546" authorId="0" shapeId="0" xr:uid="{2A6AAFEB-58BF-440D-B4B4-4EAA5807A30C}">
      <text>
        <r>
          <rPr>
            <sz val="9"/>
            <color indexed="81"/>
            <rFont val="Tahoma"/>
            <family val="2"/>
          </rPr>
          <t>Central dark nebula in M20 - Trifid nebula.</t>
        </r>
      </text>
    </comment>
    <comment ref="A547" authorId="0" shapeId="0" xr:uid="{E9B96EDA-32C1-4F9C-82D9-ABE3498C3927}">
      <text>
        <r>
          <rPr>
            <sz val="9"/>
            <color indexed="81"/>
            <rFont val="Tahoma"/>
            <family val="2"/>
          </rPr>
          <t xml:space="preserve">
</t>
        </r>
      </text>
    </comment>
    <comment ref="K547" authorId="0" shapeId="0" xr:uid="{F0C69E59-3B18-486F-B62C-E619CE2255F5}">
      <text>
        <r>
          <rPr>
            <sz val="9"/>
            <color indexed="81"/>
            <rFont val="Tahoma"/>
            <family val="2"/>
          </rPr>
          <t>Appears very dark because of its position in bright Milky Way field - Diam. 5'; edge of diffused nebulosity</t>
        </r>
      </text>
    </comment>
    <comment ref="A548" authorId="0" shapeId="0" xr:uid="{AF51D1C4-C62F-4A19-AE37-0BF633219CB3}">
      <text>
        <r>
          <rPr>
            <sz val="9"/>
            <color indexed="81"/>
            <rFont val="Tahoma"/>
            <family val="2"/>
          </rPr>
          <t xml:space="preserve">
</t>
        </r>
      </text>
    </comment>
    <comment ref="K548" authorId="0" shapeId="0" xr:uid="{722F9AE0-4586-44DE-B294-A9E16F82EAAB}">
      <text>
        <r>
          <rPr>
            <sz val="9"/>
            <color indexed="81"/>
            <rFont val="Tahoma"/>
            <family val="2"/>
          </rPr>
          <t xml:space="preserve">Parrot's head shape; CD -3 13679 (mag 9.3) central; several smaller stars in it CD -32 13666 (mag 9.6) on NW edge. </t>
        </r>
      </text>
    </comment>
    <comment ref="A549" authorId="0" shapeId="0" xr:uid="{46032A1E-E1DC-49CD-AF7B-994502DB17B5}">
      <text>
        <r>
          <rPr>
            <sz val="9"/>
            <color indexed="81"/>
            <rFont val="Tahoma"/>
            <family val="2"/>
          </rPr>
          <t xml:space="preserve">
</t>
        </r>
      </text>
    </comment>
    <comment ref="K549" authorId="0" shapeId="0" xr:uid="{243447F1-1EB9-4927-ACAE-98407A980F4E}">
      <text>
        <r>
          <rPr>
            <sz val="9"/>
            <color indexed="81"/>
            <rFont val="Tahoma"/>
            <family val="2"/>
          </rPr>
          <t>Small dark nebula in M8 (Lagoon Nebula) - Extended N and S; 2.7'x0.5';</t>
        </r>
      </text>
    </comment>
    <comment ref="A550" authorId="0" shapeId="0" xr:uid="{A5E812D6-CFA4-48CE-B7CD-2373F224EF71}">
      <text>
        <r>
          <rPr>
            <sz val="9"/>
            <color indexed="81"/>
            <rFont val="Tahoma"/>
            <family val="2"/>
          </rPr>
          <t xml:space="preserve">
</t>
        </r>
      </text>
    </comment>
    <comment ref="K550" authorId="0" shapeId="0" xr:uid="{A989BD2D-AF8A-4A97-B930-4CF618C7DE2E}">
      <text>
        <r>
          <rPr>
            <sz val="9"/>
            <color indexed="81"/>
            <rFont val="Tahoma"/>
            <family val="2"/>
          </rPr>
          <t>Dark nebula in M8 (Lagoon Nebula) - Very small, diam. 0.5';</t>
        </r>
      </text>
    </comment>
    <comment ref="A551" authorId="0" shapeId="0" xr:uid="{ADC4D4C9-4C89-4F5D-9664-AAA7B5F7C9E5}">
      <text>
        <r>
          <rPr>
            <sz val="9"/>
            <color indexed="81"/>
            <rFont val="Tahoma"/>
            <family val="2"/>
          </rPr>
          <t xml:space="preserve">
</t>
        </r>
      </text>
    </comment>
    <comment ref="K551" authorId="0" shapeId="0" xr:uid="{F3C3DA25-B93C-41EC-BE6C-6EDB979093F6}">
      <text>
        <r>
          <rPr>
            <sz val="9"/>
            <color indexed="81"/>
            <rFont val="Tahoma"/>
            <family val="2"/>
          </rPr>
          <t>Faint - Irregular; elongated; 3' N and S</t>
        </r>
      </text>
    </comment>
    <comment ref="A552" authorId="0" shapeId="0" xr:uid="{7D940094-608F-4FF5-A585-DD38BECB06B7}">
      <text>
        <r>
          <rPr>
            <sz val="9"/>
            <color indexed="81"/>
            <rFont val="Tahoma"/>
            <family val="2"/>
          </rPr>
          <t xml:space="preserve">
</t>
        </r>
      </text>
    </comment>
    <comment ref="K552" authorId="0" shapeId="0" xr:uid="{F9D032EF-0F44-4686-A230-1173CFD60B84}">
      <text>
        <r>
          <rPr>
            <sz val="9"/>
            <color indexed="81"/>
            <rFont val="Tahoma"/>
            <family val="2"/>
          </rPr>
          <t>Positioned between 2 bright HII nebulae - Diam. 5'; edge of diffused nebulosity</t>
        </r>
      </text>
    </comment>
    <comment ref="A553" authorId="0" shapeId="0" xr:uid="{7D81BA2B-3745-4F05-B165-419C7C849876}">
      <text>
        <r>
          <rPr>
            <sz val="9"/>
            <color indexed="81"/>
            <rFont val="Tahoma"/>
            <family val="2"/>
          </rPr>
          <t xml:space="preserve">
</t>
        </r>
      </text>
    </comment>
    <comment ref="K553" authorId="0" shapeId="0" xr:uid="{593946D1-F092-45B6-BF8F-055E49F3A951}">
      <text>
        <r>
          <rPr>
            <sz val="9"/>
            <color indexed="81"/>
            <rFont val="Tahoma"/>
            <family val="2"/>
          </rPr>
          <t>Dark nebula in Sagittarius - Black spot; 15' N and S, 9' E and W, part of M24</t>
        </r>
      </text>
    </comment>
    <comment ref="A554" authorId="0" shapeId="0" xr:uid="{6CD9154F-5A4D-47DA-9028-B32207581B85}">
      <text>
        <r>
          <rPr>
            <sz val="9"/>
            <color indexed="81"/>
            <rFont val="Tahoma"/>
            <family val="2"/>
          </rPr>
          <t xml:space="preserve">
</t>
        </r>
      </text>
    </comment>
    <comment ref="K554" authorId="0" shapeId="0" xr:uid="{273A4610-CEC1-40D8-99C7-069D09D73B13}">
      <text>
        <r>
          <rPr>
            <sz val="9"/>
            <color indexed="81"/>
            <rFont val="Tahoma"/>
            <family val="2"/>
          </rPr>
          <t>Dark nebula adjacent to B92 in Sagittarius.  Sharply defined black head 2' in diam., with tail 15' long running S</t>
        </r>
      </text>
    </comment>
    <comment ref="A555" authorId="0" shapeId="0" xr:uid="{249027C1-1888-45A2-90C5-B0CF1E32EB5F}">
      <text>
        <r>
          <rPr>
            <sz val="9"/>
            <color indexed="81"/>
            <rFont val="Tahoma"/>
            <family val="2"/>
          </rPr>
          <t xml:space="preserve">
</t>
        </r>
      </text>
    </comment>
    <comment ref="K555" authorId="0" shapeId="0" xr:uid="{F3CC0DBE-82B7-4966-BB46-E14D16041984}">
      <text>
        <r>
          <rPr>
            <sz val="9"/>
            <color indexed="81"/>
            <rFont val="Tahoma"/>
            <family val="2"/>
          </rPr>
          <t>Very faint - Roundish; diam. 15'; indefinite</t>
        </r>
      </text>
    </comment>
    <comment ref="A556" authorId="0" shapeId="0" xr:uid="{1A1EB504-5E7F-46AF-9160-06ABA1FD461D}">
      <text>
        <r>
          <rPr>
            <sz val="9"/>
            <color indexed="81"/>
            <rFont val="Tahoma"/>
            <family val="2"/>
          </rPr>
          <t xml:space="preserve">
</t>
        </r>
      </text>
    </comment>
    <comment ref="K556" authorId="0" shapeId="0" xr:uid="{A310565B-631C-407D-B814-F621C24A8171}">
      <text>
        <r>
          <rPr>
            <sz val="9"/>
            <color indexed="81"/>
            <rFont val="Tahoma"/>
            <family val="2"/>
          </rPr>
          <t>Very faint - Large; indefinite; diam. 30'; elongated</t>
        </r>
      </text>
    </comment>
    <comment ref="A557" authorId="0" shapeId="0" xr:uid="{82620DDD-64F4-4C57-8972-B9299188F863}">
      <text>
        <r>
          <rPr>
            <sz val="9"/>
            <color indexed="81"/>
            <rFont val="Tahoma"/>
            <family val="2"/>
          </rPr>
          <t xml:space="preserve">
</t>
        </r>
      </text>
    </comment>
    <comment ref="K557" authorId="0" shapeId="0" xr:uid="{D06CCC80-A5FE-44BB-9117-671B6864C12A}">
      <text>
        <r>
          <rPr>
            <sz val="9"/>
            <color indexed="81"/>
            <rFont val="Tahoma"/>
            <family val="2"/>
          </rPr>
          <t>Very faint - Small; indefinite; elongated E and W</t>
        </r>
      </text>
    </comment>
    <comment ref="A558" authorId="0" shapeId="0" xr:uid="{8746788B-4578-40C6-9D6D-8BF1572E7E40}">
      <text>
        <r>
          <rPr>
            <sz val="9"/>
            <color indexed="81"/>
            <rFont val="Tahoma"/>
            <family val="2"/>
          </rPr>
          <t xml:space="preserve">
</t>
        </r>
      </text>
    </comment>
    <comment ref="K558" authorId="0" shapeId="0" xr:uid="{0DECE2A0-2526-4145-B453-1325C6CA61B6}">
      <text>
        <r>
          <rPr>
            <sz val="9"/>
            <color indexed="81"/>
            <rFont val="Tahoma"/>
            <family val="2"/>
          </rPr>
          <t>Large and very faint - Irregular; not very definite; diam. 1 degree</t>
        </r>
      </text>
    </comment>
    <comment ref="A559" authorId="0" shapeId="0" xr:uid="{82920530-F0CA-4EB5-80C4-5ABAABA84F3D}">
      <text>
        <r>
          <rPr>
            <sz val="9"/>
            <color indexed="81"/>
            <rFont val="Tahoma"/>
            <family val="2"/>
          </rPr>
          <t xml:space="preserve">
</t>
        </r>
      </text>
    </comment>
    <comment ref="K559" authorId="0" shapeId="0" xr:uid="{A9F4509B-9D43-42F3-ABBA-D7F47BCE8311}">
      <text>
        <r>
          <rPr>
            <sz val="9"/>
            <color indexed="81"/>
            <rFont val="Tahoma"/>
            <family val="2"/>
          </rPr>
          <t>Faint and nondescript - Very small; black; sharply defined; diam . 3'</t>
        </r>
      </text>
    </comment>
    <comment ref="A560" authorId="0" shapeId="0" xr:uid="{2367E0AB-C30B-4103-86F2-5874D454A656}">
      <text>
        <r>
          <rPr>
            <sz val="9"/>
            <color indexed="81"/>
            <rFont val="Tahoma"/>
            <family val="2"/>
          </rPr>
          <t xml:space="preserve">
</t>
        </r>
      </text>
    </comment>
    <comment ref="K560" authorId="0" shapeId="0" xr:uid="{C950A4E2-A07A-465D-9B21-4DABB6625715}">
      <text>
        <r>
          <rPr>
            <sz val="9"/>
            <color indexed="81"/>
            <rFont val="Tahoma"/>
            <family val="2"/>
          </rPr>
          <t>Very faint - Definite; 11' long E. and W., 3' wide; E end is the larger, with a faint star in it.</t>
        </r>
      </text>
    </comment>
    <comment ref="A561" authorId="0" shapeId="0" xr:uid="{9687D19E-07DE-480B-B870-C711A844D401}">
      <text>
        <r>
          <rPr>
            <sz val="9"/>
            <color indexed="81"/>
            <rFont val="Tahoma"/>
            <family val="2"/>
          </rPr>
          <t xml:space="preserve">
</t>
        </r>
      </text>
    </comment>
    <comment ref="K561" authorId="0" shapeId="0" xr:uid="{B11E103B-040C-4D11-AC33-84FD5C824049}">
      <text>
        <r>
          <rPr>
            <sz val="9"/>
            <color indexed="81"/>
            <rFont val="Tahoma"/>
            <family val="2"/>
          </rPr>
          <t>Adjacent to B101, very faint - Definite; irregular; curved; 16' long NW and SE</t>
        </r>
      </text>
    </comment>
    <comment ref="A562" authorId="0" shapeId="0" xr:uid="{14F2964A-B598-4054-8359-98E4B2808ECC}">
      <text>
        <r>
          <rPr>
            <sz val="9"/>
            <color indexed="81"/>
            <rFont val="Tahoma"/>
            <family val="2"/>
          </rPr>
          <t xml:space="preserve">
</t>
        </r>
      </text>
    </comment>
    <comment ref="K562" authorId="0" shapeId="0" xr:uid="{0FC4782B-216C-4BB4-BE5E-54C0D4A59A40}">
      <text>
        <r>
          <rPr>
            <sz val="9"/>
            <color indexed="81"/>
            <rFont val="Tahoma"/>
            <family val="2"/>
          </rPr>
          <t>Adjacent to B100, very faint - Definite; irregular; 13' long NE and SW; 4' wide; separated from B100 by small stars.</t>
        </r>
      </text>
    </comment>
    <comment ref="A563" authorId="0" shapeId="0" xr:uid="{FECAB27D-BC52-4A78-85B6-D5B3A67230B8}">
      <text>
        <r>
          <rPr>
            <sz val="9"/>
            <color indexed="81"/>
            <rFont val="Tahoma"/>
            <family val="2"/>
          </rPr>
          <t xml:space="preserve">
</t>
        </r>
      </text>
    </comment>
    <comment ref="K563" authorId="0" shapeId="0" xr:uid="{5EA7F50E-97BC-490F-89E7-3540D4F834B9}">
      <text>
        <r>
          <rPr>
            <sz val="9"/>
            <color indexed="81"/>
            <rFont val="Tahoma"/>
            <family val="2"/>
          </rPr>
          <t>Very faint - Rather definite; elongated NE and SW, 8' x 3'</t>
        </r>
      </text>
    </comment>
    <comment ref="A564" authorId="0" shapeId="0" xr:uid="{057203D4-F31B-4371-9174-0EB3F5B0480A}">
      <text>
        <r>
          <rPr>
            <sz val="9"/>
            <color indexed="81"/>
            <rFont val="Tahoma"/>
            <family val="2"/>
          </rPr>
          <t xml:space="preserve">
</t>
        </r>
      </text>
    </comment>
    <comment ref="K564" authorId="0" shapeId="0" xr:uid="{2BD66204-0BBA-4A56-95C4-AFEDC2F2B139}">
      <text>
        <r>
          <rPr>
            <sz val="9"/>
            <color indexed="81"/>
            <rFont val="Tahoma"/>
            <family val="2"/>
          </rPr>
          <t>Dark nebula shows up well in bright field - Irregular; diam. 4'; one small star in it</t>
        </r>
      </text>
    </comment>
    <comment ref="A565" authorId="0" shapeId="0" xr:uid="{264E2873-BF34-42BA-BBB5-45F2DA3C5E6E}">
      <text>
        <r>
          <rPr>
            <sz val="9"/>
            <color indexed="81"/>
            <rFont val="Tahoma"/>
            <family val="2"/>
          </rPr>
          <t xml:space="preserve">
</t>
        </r>
      </text>
    </comment>
    <comment ref="K565" authorId="0" shapeId="0" xr:uid="{D7B68275-1C05-4ED4-841E-EE7A42C53D00}">
      <text>
        <r>
          <rPr>
            <sz val="9"/>
            <color indexed="81"/>
            <rFont val="Tahoma"/>
            <family val="2"/>
          </rPr>
          <t>Iconic object known as the Fishhook and Checkmark Nebula</t>
        </r>
      </text>
    </comment>
    <comment ref="A566" authorId="0" shapeId="0" xr:uid="{F1EB83A5-8FC8-45EF-8C81-DEFD5C778A68}">
      <text>
        <r>
          <rPr>
            <sz val="9"/>
            <color indexed="81"/>
            <rFont val="Tahoma"/>
            <family val="2"/>
          </rPr>
          <t xml:space="preserve">
</t>
        </r>
      </text>
    </comment>
    <comment ref="K566" authorId="0" shapeId="0" xr:uid="{E9640FB4-D88C-4611-81A9-E73387C2704B}">
      <text>
        <r>
          <rPr>
            <sz val="9"/>
            <color indexed="81"/>
            <rFont val="Tahoma"/>
            <family val="2"/>
          </rPr>
          <t>Small and faint - diam. .5'; close NE of BD -7 4710 (magnitude 8.9)</t>
        </r>
      </text>
    </comment>
    <comment ref="A567" authorId="0" shapeId="0" xr:uid="{41A68E0A-C984-46E2-A111-F4B0323F6213}">
      <text>
        <r>
          <rPr>
            <sz val="9"/>
            <color indexed="81"/>
            <rFont val="Tahoma"/>
            <family val="2"/>
          </rPr>
          <t xml:space="preserve">
</t>
        </r>
      </text>
    </comment>
    <comment ref="K567" authorId="0" shapeId="0" xr:uid="{A0B326C8-E231-440B-9819-E8090C067492}">
      <text>
        <r>
          <rPr>
            <sz val="9"/>
            <color indexed="81"/>
            <rFont val="Tahoma"/>
            <family val="2"/>
          </rPr>
          <t>Small region - Diam. 2'; extended N and S; free of stars</t>
        </r>
      </text>
    </comment>
    <comment ref="A568" authorId="0" shapeId="0" xr:uid="{34BA01A4-AB18-4FDC-8CF6-40623A245DCD}">
      <text>
        <r>
          <rPr>
            <sz val="9"/>
            <color indexed="81"/>
            <rFont val="Tahoma"/>
            <family val="2"/>
          </rPr>
          <t xml:space="preserve">
</t>
        </r>
      </text>
    </comment>
    <comment ref="K568" authorId="0" shapeId="0" xr:uid="{0A94BFE3-EF03-4662-9417-2359C97D10CC}">
      <text>
        <r>
          <rPr>
            <sz val="9"/>
            <color indexed="81"/>
            <rFont val="Tahoma"/>
            <family val="2"/>
          </rPr>
          <t>Odd shaped dark nebulosity in Scutum - Irregular; diam. 5'; free of stars</t>
        </r>
      </text>
    </comment>
    <comment ref="A569" authorId="0" shapeId="0" xr:uid="{78A29908-DF65-4F9D-893E-5DB959991817}">
      <text>
        <r>
          <rPr>
            <sz val="9"/>
            <color indexed="81"/>
            <rFont val="Tahoma"/>
            <family val="2"/>
          </rPr>
          <t xml:space="preserve">
</t>
        </r>
      </text>
    </comment>
    <comment ref="K569" authorId="0" shapeId="0" xr:uid="{54A4951C-A743-4B35-86AD-C1B1D4E3E8DA}">
      <text>
        <r>
          <rPr>
            <sz val="9"/>
            <color indexed="81"/>
            <rFont val="Tahoma"/>
            <family val="2"/>
          </rPr>
          <t>Small and faint - diam. 3'; not black; two narrow diverging lanes extending to the N; some small stars in it</t>
        </r>
      </text>
    </comment>
    <comment ref="A570" authorId="0" shapeId="0" xr:uid="{67B0155A-7E47-4EF3-97BD-8BF3CA61ABFB}">
      <text>
        <r>
          <rPr>
            <sz val="9"/>
            <color indexed="81"/>
            <rFont val="Tahoma"/>
            <family val="2"/>
          </rPr>
          <t xml:space="preserve">
</t>
        </r>
      </text>
    </comment>
    <comment ref="K570" authorId="0" shapeId="0" xr:uid="{4E61B58F-7A15-4E72-A309-665C8C37B914}">
      <text>
        <r>
          <rPr>
            <sz val="9"/>
            <color indexed="81"/>
            <rFont val="Tahoma"/>
            <family val="2"/>
          </rPr>
          <t>Small - Irregular; diam. .7'; close E of BD -07 4726 (magnitude 8.0)</t>
        </r>
      </text>
    </comment>
    <comment ref="A571" authorId="0" shapeId="0" xr:uid="{E4CA47DB-84D0-456E-A0F7-96244CE8CBCC}">
      <text>
        <r>
          <rPr>
            <sz val="9"/>
            <color indexed="81"/>
            <rFont val="Tahoma"/>
            <family val="2"/>
          </rPr>
          <t xml:space="preserve">
</t>
        </r>
      </text>
    </comment>
    <comment ref="K571" authorId="0" shapeId="0" xr:uid="{F1194050-C21D-44EA-B5B3-195BD9F74FA5}">
      <text>
        <r>
          <rPr>
            <sz val="9"/>
            <color indexed="81"/>
            <rFont val="Tahoma"/>
            <family val="2"/>
          </rPr>
          <t>Dark nebulosity southwest of the Checkmark (B104) - Irregular; diam. 11';</t>
        </r>
      </text>
    </comment>
    <comment ref="A572" authorId="0" shapeId="0" xr:uid="{67536ACD-0A31-453F-A63E-460586C29E6E}">
      <text>
        <r>
          <rPr>
            <sz val="9"/>
            <color indexed="81"/>
            <rFont val="Tahoma"/>
            <family val="2"/>
          </rPr>
          <t xml:space="preserve">
</t>
        </r>
      </text>
    </comment>
    <comment ref="K572" authorId="0" shapeId="0" xr:uid="{E6A10F4E-DD64-4678-80C7-D114700EB751}">
      <text>
        <r>
          <rPr>
            <sz val="9"/>
            <color indexed="81"/>
            <rFont val="Tahoma"/>
            <family val="2"/>
          </rPr>
          <t xml:space="preserve">Very faint </t>
        </r>
      </text>
    </comment>
    <comment ref="A573" authorId="0" shapeId="0" xr:uid="{4CA549DB-C769-4FAA-A781-38E8398C5E28}">
      <text>
        <r>
          <rPr>
            <sz val="9"/>
            <color indexed="81"/>
            <rFont val="Tahoma"/>
            <family val="2"/>
          </rPr>
          <t xml:space="preserve">
</t>
        </r>
      </text>
    </comment>
    <comment ref="K573" authorId="0" shapeId="0" xr:uid="{A31D638E-39C9-48E0-9E09-E23DAA9413BF}">
      <text>
        <r>
          <rPr>
            <sz val="9"/>
            <color indexed="81"/>
            <rFont val="Tahoma"/>
            <family val="2"/>
          </rPr>
          <t xml:space="preserve">Dark nebula just south of M11 - Diffused dark region; diam. 18' </t>
        </r>
      </text>
    </comment>
    <comment ref="A574" authorId="0" shapeId="0" xr:uid="{6D07F927-256E-41C0-B903-7A1BF72E2AB6}">
      <text>
        <r>
          <rPr>
            <sz val="9"/>
            <color indexed="81"/>
            <rFont val="Tahoma"/>
            <family val="2"/>
          </rPr>
          <t xml:space="preserve">
</t>
        </r>
      </text>
    </comment>
    <comment ref="K574" authorId="0" shapeId="0" xr:uid="{F09C0960-E1D7-4380-AC6A-1D69DD6C31B8}">
      <text>
        <r>
          <rPr>
            <sz val="9"/>
            <color indexed="81"/>
            <rFont val="Tahoma"/>
            <family val="2"/>
          </rPr>
          <t>Faint - Irregular; diam. 16'; small star in W part</t>
        </r>
      </text>
    </comment>
    <comment ref="A575" authorId="0" shapeId="0" xr:uid="{ADF387BE-4D12-42CF-9203-27DE005C1988}">
      <text>
        <r>
          <rPr>
            <sz val="9"/>
            <color indexed="81"/>
            <rFont val="Tahoma"/>
            <family val="2"/>
          </rPr>
          <t xml:space="preserve">
</t>
        </r>
      </text>
    </comment>
    <comment ref="K575" authorId="0" shapeId="0" xr:uid="{A5015193-7DD7-4E25-8AAB-60246F8C2F41}">
      <text>
        <r>
          <rPr>
            <sz val="9"/>
            <color indexed="81"/>
            <rFont val="Tahoma"/>
            <family val="2"/>
          </rPr>
          <t>Faint, just south of M11 - Diam. 6'; BD -7 4754 (mag 9.2) near middle; BD -7 4755 (mag 9.1) on S edge</t>
        </r>
      </text>
    </comment>
    <comment ref="A576" authorId="0" shapeId="0" xr:uid="{3605C491-328C-4FD4-81CF-2780428678B5}">
      <text>
        <r>
          <rPr>
            <sz val="9"/>
            <color indexed="81"/>
            <rFont val="Tahoma"/>
            <family val="2"/>
          </rPr>
          <t xml:space="preserve">
</t>
        </r>
      </text>
    </comment>
    <comment ref="K576" authorId="0" shapeId="0" xr:uid="{05B5682D-9600-4756-902C-260227316BED}">
      <text>
        <r>
          <rPr>
            <sz val="9"/>
            <color indexed="81"/>
            <rFont val="Tahoma"/>
            <family val="2"/>
          </rPr>
          <t>Faint, just south of M11 - Very small and black. Very narrow, running N and S for 7'; width 1.4'. In a small vacant region.</t>
        </r>
      </text>
    </comment>
    <comment ref="A577" authorId="0" shapeId="0" xr:uid="{54BD28AE-BC22-4335-9AAB-82DD30AD25E7}">
      <text>
        <r>
          <rPr>
            <sz val="9"/>
            <color indexed="81"/>
            <rFont val="Tahoma"/>
            <family val="2"/>
          </rPr>
          <t xml:space="preserve">
</t>
        </r>
      </text>
    </comment>
    <comment ref="K577" authorId="0" shapeId="0" xr:uid="{F6FECAE7-E465-4E4D-9159-061EF198AD8A}">
      <text>
        <r>
          <rPr>
            <sz val="9"/>
            <color indexed="81"/>
            <rFont val="Tahoma"/>
            <family val="2"/>
          </rPr>
          <t>Winding dust lane, very faint - Narrow, semi-vacant region extending 20' S from BD -7 4755 (magnitude 9.1)</t>
        </r>
      </text>
    </comment>
    <comment ref="A578" authorId="0" shapeId="0" xr:uid="{A9292B85-D264-451D-8B66-648A0AC26237}">
      <text>
        <r>
          <rPr>
            <sz val="9"/>
            <color indexed="81"/>
            <rFont val="Tahoma"/>
            <family val="2"/>
          </rPr>
          <t xml:space="preserve">
</t>
        </r>
      </text>
    </comment>
    <comment ref="K578" authorId="0" shapeId="0" xr:uid="{B2086E78-0E32-434F-8BC2-B140969E00AB}">
      <text>
        <r>
          <rPr>
            <sz val="9"/>
            <color indexed="81"/>
            <rFont val="Tahoma"/>
            <family val="2"/>
          </rPr>
          <t>Small and faint - Round; very black; diam. 1'; sharply defined</t>
        </r>
      </text>
    </comment>
    <comment ref="A579" authorId="0" shapeId="0" xr:uid="{547D5206-99CD-4E25-9FC0-7BAE9EC5397B}">
      <text>
        <r>
          <rPr>
            <sz val="9"/>
            <color indexed="81"/>
            <rFont val="Tahoma"/>
            <family val="2"/>
          </rPr>
          <t xml:space="preserve">
</t>
        </r>
      </text>
    </comment>
    <comment ref="K579" authorId="0" shapeId="0" xr:uid="{23970A1C-27A7-43F9-862B-5E109E29F365}">
      <text>
        <r>
          <rPr>
            <sz val="9"/>
            <color indexed="81"/>
            <rFont val="Tahoma"/>
            <family val="2"/>
          </rPr>
          <t>Very faint - Black; irregular; diam. 7'</t>
        </r>
      </text>
    </comment>
    <comment ref="A580" authorId="0" shapeId="0" xr:uid="{4F53D914-195B-420A-842C-C2421F1D64DA}">
      <text>
        <r>
          <rPr>
            <sz val="9"/>
            <color indexed="81"/>
            <rFont val="Tahoma"/>
            <family val="2"/>
          </rPr>
          <t xml:space="preserve">
</t>
        </r>
      </text>
    </comment>
    <comment ref="K580" authorId="0" shapeId="0" xr:uid="{5B06A21C-0BE2-49C0-8D45-6DCB9FD48067}">
      <text>
        <r>
          <rPr>
            <sz val="9"/>
            <color indexed="81"/>
            <rFont val="Tahoma"/>
            <family val="2"/>
          </rPr>
          <t>Small and faint - Definite; diam. 2'; more definite and blacker than B 117</t>
        </r>
      </text>
    </comment>
    <comment ref="A581" authorId="0" shapeId="0" xr:uid="{704E3C7D-8B1E-437B-88CD-0DE806A14893}">
      <text>
        <r>
          <rPr>
            <sz val="9"/>
            <color indexed="81"/>
            <rFont val="Tahoma"/>
            <family val="2"/>
          </rPr>
          <t xml:space="preserve">
</t>
        </r>
      </text>
    </comment>
    <comment ref="K581" authorId="0" shapeId="0" xr:uid="{63E3B3AA-54F3-449A-829C-6A0E94A8A255}">
      <text>
        <r>
          <rPr>
            <sz val="9"/>
            <color indexed="81"/>
            <rFont val="Tahoma"/>
            <family val="2"/>
          </rPr>
          <t>Very faint - Very small; close NW of BD -4 4623 (magnitude 9.2)</t>
        </r>
      </text>
    </comment>
    <comment ref="A582" authorId="0" shapeId="0" xr:uid="{D8486E81-4D16-44E2-9CA1-3F3D6E6EE315}">
      <text>
        <r>
          <rPr>
            <sz val="9"/>
            <color indexed="81"/>
            <rFont val="Tahoma"/>
            <family val="2"/>
          </rPr>
          <t xml:space="preserve">
</t>
        </r>
      </text>
    </comment>
    <comment ref="K582" authorId="0" shapeId="0" xr:uid="{1868ED98-383C-4050-B990-150323F2EAAF}">
      <text>
        <r>
          <rPr>
            <sz val="9"/>
            <color indexed="81"/>
            <rFont val="Tahoma"/>
            <family val="2"/>
          </rPr>
          <t>Very faint - Irregular dark region; diam. .5 degree; liberally sprinkled with stars in its NW half; several dark lanes in SE</t>
        </r>
      </text>
    </comment>
    <comment ref="A583" authorId="0" shapeId="0" xr:uid="{34D47FC2-BFFE-4422-8F5F-E21F6E773523}">
      <text>
        <r>
          <rPr>
            <sz val="9"/>
            <color indexed="81"/>
            <rFont val="Tahoma"/>
            <family val="2"/>
          </rPr>
          <t xml:space="preserve">
</t>
        </r>
      </text>
    </comment>
    <comment ref="K583" authorId="0" shapeId="0" xr:uid="{C63456AC-0AEB-4447-8F59-270C456D7D21}">
      <text>
        <r>
          <rPr>
            <sz val="9"/>
            <color indexed="81"/>
            <rFont val="Tahoma"/>
            <family val="2"/>
          </rPr>
          <t>Very faint - Very small; close SE of BD -4 4623 (magnitude 9.2); E side bounded by a curve of very small stars</t>
        </r>
      </text>
    </comment>
    <comment ref="A584" authorId="0" shapeId="0" xr:uid="{C2EEF90C-531A-4332-92F0-1BA135B862EF}">
      <text>
        <r>
          <rPr>
            <sz val="9"/>
            <color indexed="81"/>
            <rFont val="Tahoma"/>
            <family val="2"/>
          </rPr>
          <t xml:space="preserve">
</t>
        </r>
      </text>
    </comment>
    <comment ref="K584" authorId="0" shapeId="0" xr:uid="{D8C229AC-E697-4930-AADE-C8BE94B45C76}">
      <text>
        <r>
          <rPr>
            <sz val="9"/>
            <color indexed="81"/>
            <rFont val="Tahoma"/>
            <family val="2"/>
          </rPr>
          <t>Very faint - Small dusky spot; magnitude 12 star in center</t>
        </r>
      </text>
    </comment>
    <comment ref="A585" authorId="0" shapeId="0" xr:uid="{0DD58CEF-8E01-41E6-B062-9EFEAB404335}">
      <text>
        <r>
          <rPr>
            <sz val="9"/>
            <color indexed="81"/>
            <rFont val="Tahoma"/>
            <family val="2"/>
          </rPr>
          <t xml:space="preserve">
</t>
        </r>
      </text>
    </comment>
    <comment ref="K585" authorId="0" shapeId="0" xr:uid="{3E94FCD5-1A52-442A-8C4C-DA55508F6A32}">
      <text>
        <r>
          <rPr>
            <sz val="9"/>
            <color indexed="81"/>
            <rFont val="Tahoma"/>
            <family val="2"/>
          </rPr>
          <t>Very faint - Small; diam. 4'; narrow extension 4' N</t>
        </r>
      </text>
    </comment>
    <comment ref="A586" authorId="0" shapeId="0" xr:uid="{27BC5F60-3B84-4E59-AACA-E99BEF03F669}">
      <text>
        <r>
          <rPr>
            <sz val="9"/>
            <color indexed="81"/>
            <rFont val="Tahoma"/>
            <family val="2"/>
          </rPr>
          <t xml:space="preserve">
</t>
        </r>
      </text>
    </comment>
    <comment ref="K586" authorId="0" shapeId="0" xr:uid="{E3FBFE37-D927-49B2-811C-2079A2D1DDC7}">
      <text>
        <r>
          <rPr>
            <sz val="9"/>
            <color indexed="81"/>
            <rFont val="Tahoma"/>
            <family val="2"/>
          </rPr>
          <t>Very faint - Roundish; diam. 1.5'; a narrow spur 4'-5' long from its NE edge; narrow lane 18' long and 1.5' wide</t>
        </r>
      </text>
    </comment>
    <comment ref="A587" authorId="0" shapeId="0" xr:uid="{2C3F1964-372E-4972-AA35-13CA111A08B4}">
      <text>
        <r>
          <rPr>
            <sz val="9"/>
            <color indexed="81"/>
            <rFont val="Tahoma"/>
            <family val="2"/>
          </rPr>
          <t xml:space="preserve">
</t>
        </r>
      </text>
    </comment>
    <comment ref="K587" authorId="0" shapeId="0" xr:uid="{F5185C68-E907-4873-AD24-198A25D32B62}">
      <text>
        <r>
          <rPr>
            <sz val="9"/>
            <color indexed="81"/>
            <rFont val="Tahoma"/>
            <family val="2"/>
          </rPr>
          <t>Very faint - Small, dark spot; diam. 3'</t>
        </r>
      </text>
    </comment>
    <comment ref="A588" authorId="0" shapeId="0" xr:uid="{309DF9E5-C1B3-46FB-9D2F-AEA95518B19C}">
      <text>
        <r>
          <rPr>
            <sz val="9"/>
            <color indexed="81"/>
            <rFont val="Tahoma"/>
            <family val="2"/>
          </rPr>
          <t xml:space="preserve">
</t>
        </r>
      </text>
    </comment>
    <comment ref="K588" authorId="0" shapeId="0" xr:uid="{FBA47998-D256-4F85-915F-ECCBBC295F73}">
      <text>
        <r>
          <rPr>
            <sz val="9"/>
            <color indexed="81"/>
            <rFont val="Tahoma"/>
            <family val="2"/>
          </rPr>
          <t>Very faint - Dark; lune shaped; 9' E and W; fairly well-defined on N border; some faint stars in it</t>
        </r>
      </text>
    </comment>
    <comment ref="A589" authorId="0" shapeId="0" xr:uid="{26018B16-9768-4507-8846-7105BF54ACC8}">
      <text>
        <r>
          <rPr>
            <sz val="9"/>
            <color indexed="81"/>
            <rFont val="Tahoma"/>
            <family val="2"/>
          </rPr>
          <t xml:space="preserve">
</t>
        </r>
      </text>
    </comment>
    <comment ref="K589" authorId="0" shapeId="0" xr:uid="{02C046C9-7416-4593-B5F8-831A325B1E73}">
      <text>
        <r>
          <rPr>
            <sz val="9"/>
            <color indexed="81"/>
            <rFont val="Tahoma"/>
            <family val="2"/>
          </rPr>
          <t>Very faint - Dusky; round; rather definite; diam. 8'</t>
        </r>
      </text>
    </comment>
    <comment ref="A590" authorId="0" shapeId="0" xr:uid="{F7CDC221-51ED-47C2-B0F5-59EA0CF15FF6}">
      <text>
        <r>
          <rPr>
            <sz val="9"/>
            <color indexed="81"/>
            <rFont val="Tahoma"/>
            <family val="2"/>
          </rPr>
          <t xml:space="preserve">
</t>
        </r>
      </text>
    </comment>
    <comment ref="K590" authorId="0" shapeId="0" xr:uid="{627A442C-73E9-4649-99AA-3575EF4F41A2}">
      <text>
        <r>
          <rPr>
            <sz val="9"/>
            <color indexed="81"/>
            <rFont val="Tahoma"/>
            <family val="2"/>
          </rPr>
          <t>Dark nebula just north of orange star I Aql - Irregular; diam. 4.5'</t>
        </r>
      </text>
    </comment>
    <comment ref="A591" authorId="0" shapeId="0" xr:uid="{BDF905F5-0451-4A9F-8980-99BBACCCD667}">
      <text>
        <r>
          <rPr>
            <sz val="9"/>
            <color indexed="81"/>
            <rFont val="Tahoma"/>
            <family val="2"/>
          </rPr>
          <t xml:space="preserve">
</t>
        </r>
      </text>
    </comment>
    <comment ref="K591" authorId="0" shapeId="0" xr:uid="{1BF26A99-CF2C-4E5B-9B7B-09EA05EB1AEB}">
      <text>
        <r>
          <rPr>
            <sz val="9"/>
            <color indexed="81"/>
            <rFont val="Tahoma"/>
            <family val="2"/>
          </rPr>
          <t>Very faint - Irregular; dusky; fairly well defined; diam. 10'</t>
        </r>
      </text>
    </comment>
    <comment ref="A592" authorId="0" shapeId="0" xr:uid="{C45D0731-6860-4102-B9C5-44439DC23984}">
      <text>
        <r>
          <rPr>
            <sz val="9"/>
            <color indexed="81"/>
            <rFont val="Tahoma"/>
            <family val="2"/>
          </rPr>
          <t xml:space="preserve">
</t>
        </r>
      </text>
    </comment>
    <comment ref="K592" authorId="0" shapeId="0" xr:uid="{D009E814-2772-4393-A07E-C35EA0D9388F}">
      <text>
        <r>
          <rPr>
            <sz val="9"/>
            <color indexed="81"/>
            <rFont val="Tahoma"/>
            <family val="2"/>
          </rPr>
          <t>Dark nebula just north of orange star I Aql - Very black; sharply defined; diam. 5'; a small star at the W end</t>
        </r>
      </text>
    </comment>
    <comment ref="A593" authorId="0" shapeId="0" xr:uid="{3CD12945-8D7D-4612-8D32-F606A1C6AFF2}">
      <text>
        <r>
          <rPr>
            <sz val="9"/>
            <color indexed="81"/>
            <rFont val="Tahoma"/>
            <family val="2"/>
          </rPr>
          <t xml:space="preserve">
</t>
        </r>
      </text>
    </comment>
    <comment ref="K593" authorId="0" shapeId="0" xr:uid="{87C245A5-E3EB-466D-BE6B-3B49CCCC6829}">
      <text>
        <r>
          <rPr>
            <sz val="9"/>
            <color indexed="81"/>
            <rFont val="Tahoma"/>
            <family val="2"/>
          </rPr>
          <t>Very faint - dusky; not well defined; length 7'</t>
        </r>
      </text>
    </comment>
    <comment ref="A594" authorId="0" shapeId="0" xr:uid="{5D4C4E4A-093F-4082-9756-FD27A8C2BF41}">
      <text>
        <r>
          <rPr>
            <sz val="9"/>
            <color indexed="81"/>
            <rFont val="Tahoma"/>
            <family val="2"/>
          </rPr>
          <t xml:space="preserve">
</t>
        </r>
      </text>
    </comment>
    <comment ref="K594" authorId="0" shapeId="0" xr:uid="{3DEEA1F1-E22C-4C1D-B276-0D4A3C8E5D52}">
      <text>
        <r>
          <rPr>
            <sz val="9"/>
            <color indexed="81"/>
            <rFont val="Tahoma"/>
            <family val="2"/>
          </rPr>
          <t>Very faint - Black spot, about 2'x4'</t>
        </r>
      </text>
    </comment>
    <comment ref="A595" authorId="0" shapeId="0" xr:uid="{8FC5A06B-6FFE-4537-84FE-DBB10A5556D6}">
      <text>
        <r>
          <rPr>
            <sz val="9"/>
            <color indexed="81"/>
            <rFont val="Tahoma"/>
            <family val="2"/>
          </rPr>
          <t xml:space="preserve">
</t>
        </r>
      </text>
    </comment>
    <comment ref="K595" authorId="0" shapeId="0" xr:uid="{2DC713B1-2804-4701-8A33-69ADF6483576}">
      <text>
        <r>
          <rPr>
            <sz val="9"/>
            <color indexed="81"/>
            <rFont val="Tahoma"/>
            <family val="2"/>
          </rPr>
          <t>The darkest opacity rating of 6 - fairly well-defined. Tadpole-shaped, 16' long E and W. with mag 9 star in center.</t>
        </r>
      </text>
    </comment>
    <comment ref="A596" authorId="0" shapeId="0" xr:uid="{43D9025E-177C-4592-A418-B5AB764A39D8}">
      <text>
        <r>
          <rPr>
            <sz val="9"/>
            <color indexed="81"/>
            <rFont val="Tahoma"/>
            <family val="2"/>
          </rPr>
          <t xml:space="preserve">
</t>
        </r>
      </text>
    </comment>
    <comment ref="K596" authorId="0" shapeId="0" xr:uid="{F8376A7C-6AE5-480D-AA6D-32E17F50FCD3}">
      <text>
        <r>
          <rPr>
            <sz val="9"/>
            <color indexed="81"/>
            <rFont val="Tahoma"/>
            <family val="2"/>
          </rPr>
          <t>No Milky Way stars visible in nebula center - Cometary; close W of BD -7 4852 (magnitude 9.2)</t>
        </r>
      </text>
    </comment>
    <comment ref="A597" authorId="0" shapeId="0" xr:uid="{C6681078-1F41-4B12-BE51-DD371AEC4408}">
      <text>
        <r>
          <rPr>
            <sz val="9"/>
            <color indexed="81"/>
            <rFont val="Tahoma"/>
            <family val="2"/>
          </rPr>
          <t xml:space="preserve">
</t>
        </r>
      </text>
    </comment>
    <comment ref="K597" authorId="0" shapeId="0" xr:uid="{FBAC5763-CF72-4901-99A3-69D6FB1716BE}">
      <text>
        <r>
          <rPr>
            <sz val="9"/>
            <color indexed="81"/>
            <rFont val="Tahoma"/>
            <family val="2"/>
          </rPr>
          <t>Faint, round; diam. 6'; not sharply defined; a small star on S edge; a similar one on N edge</t>
        </r>
      </text>
    </comment>
    <comment ref="A598" authorId="0" shapeId="0" xr:uid="{558DC292-C410-4D89-A5CB-A914A56A1901}">
      <text>
        <r>
          <rPr>
            <sz val="9"/>
            <color indexed="81"/>
            <rFont val="Tahoma"/>
            <family val="2"/>
          </rPr>
          <t xml:space="preserve">
</t>
        </r>
      </text>
    </comment>
    <comment ref="K598" authorId="0" shapeId="0" xr:uid="{BDC8CDC4-396E-4976-A1D3-08EE21FA77C6}">
      <text>
        <r>
          <rPr>
            <sz val="9"/>
            <color indexed="81"/>
            <rFont val="Tahoma"/>
            <family val="2"/>
          </rPr>
          <t>Very faint - Dusky spot; diam. 13'; BD -4 4698 (magnitude 9.2) on N border; BD -4 4702 (magnitude 9.2) on SE edge</t>
        </r>
      </text>
    </comment>
    <comment ref="A599" authorId="0" shapeId="0" xr:uid="{D4B6E46F-1F1D-4F13-9085-322F8452A479}">
      <text>
        <r>
          <rPr>
            <sz val="9"/>
            <color indexed="81"/>
            <rFont val="Tahoma"/>
            <family val="2"/>
          </rPr>
          <t xml:space="preserve">
</t>
        </r>
      </text>
    </comment>
    <comment ref="K599" authorId="0" shapeId="0" xr:uid="{32B11A39-3747-4B13-964E-5A32A22EED52}">
      <text>
        <r>
          <rPr>
            <sz val="9"/>
            <color indexed="81"/>
            <rFont val="Tahoma"/>
            <family val="2"/>
          </rPr>
          <t>Very faint - Dusky spot; diam. 8'; 10 mag. star near middle</t>
        </r>
      </text>
    </comment>
    <comment ref="A600" authorId="0" shapeId="0" xr:uid="{B0987ADF-469D-4D2D-9E36-5D08F18B3FCA}">
      <text>
        <r>
          <rPr>
            <sz val="9"/>
            <color indexed="81"/>
            <rFont val="Tahoma"/>
            <family val="2"/>
          </rPr>
          <t xml:space="preserve">
</t>
        </r>
      </text>
    </comment>
    <comment ref="K600" authorId="0" shapeId="0" xr:uid="{D281D1DB-514E-4FB8-B31E-F541142EDA62}">
      <text>
        <r>
          <rPr>
            <sz val="9"/>
            <color indexed="81"/>
            <rFont val="Tahoma"/>
            <family val="2"/>
          </rPr>
          <t>Faint - Projection near S end of B 138</t>
        </r>
      </text>
    </comment>
    <comment ref="A601" authorId="0" shapeId="0" xr:uid="{D99AC8F8-2B26-4992-BAA1-3669691AB62B}">
      <text>
        <r>
          <rPr>
            <sz val="9"/>
            <color indexed="81"/>
            <rFont val="Tahoma"/>
            <family val="2"/>
          </rPr>
          <t xml:space="preserve">
</t>
        </r>
      </text>
    </comment>
    <comment ref="K601" authorId="0" shapeId="0" xr:uid="{1F277574-C029-4305-8CFC-E61C211AD663}">
      <text>
        <r>
          <rPr>
            <sz val="9"/>
            <color indexed="81"/>
            <rFont val="Tahoma"/>
            <family val="2"/>
          </rPr>
          <t>Faint - curved, semi-vacant lane over 3 degrees in length</t>
        </r>
      </text>
    </comment>
    <comment ref="A602" authorId="0" shapeId="0" xr:uid="{BAD52051-11A1-4BCF-A2DD-6ACF5540A172}">
      <text>
        <r>
          <rPr>
            <sz val="9"/>
            <color indexed="81"/>
            <rFont val="Tahoma"/>
            <family val="2"/>
          </rPr>
          <t xml:space="preserve">
</t>
        </r>
      </text>
    </comment>
    <comment ref="K602" authorId="0" shapeId="0" xr:uid="{393E5A8B-095E-4F2D-A370-550A03BD5B81}">
      <text>
        <r>
          <rPr>
            <sz val="9"/>
            <color indexed="81"/>
            <rFont val="Tahoma"/>
            <family val="2"/>
          </rPr>
          <t>More dusty than dark, with a distinguishing orange color.  10 mag star on SE edge</t>
        </r>
      </text>
    </comment>
    <comment ref="A603" authorId="0" shapeId="0" xr:uid="{5C5932C0-5C58-4293-95B9-067B5A891A5C}">
      <text>
        <r>
          <rPr>
            <sz val="9"/>
            <color indexed="81"/>
            <rFont val="Tahoma"/>
            <family val="2"/>
          </rPr>
          <t xml:space="preserve">
</t>
        </r>
      </text>
    </comment>
    <comment ref="K603" authorId="0" shapeId="0" xr:uid="{B044589A-81C9-45FE-B5B9-C5B19924694A}">
      <text>
        <r>
          <rPr>
            <sz val="9"/>
            <color indexed="81"/>
            <rFont val="Tahoma"/>
            <family val="2"/>
          </rPr>
          <t>Very faint region; diam. 1 degree</t>
        </r>
      </text>
    </comment>
    <comment ref="A604" authorId="0" shapeId="0" xr:uid="{30ADB666-AC6A-4079-B400-04874CA10C85}">
      <text>
        <r>
          <rPr>
            <sz val="9"/>
            <color indexed="81"/>
            <rFont val="Tahoma"/>
            <family val="2"/>
          </rPr>
          <t xml:space="preserve">
</t>
        </r>
      </text>
    </comment>
    <comment ref="K604" authorId="0" shapeId="0" xr:uid="{8E2CFBF6-664F-4798-A832-430DF631DA50}">
      <text>
        <r>
          <rPr>
            <sz val="9"/>
            <color indexed="81"/>
            <rFont val="Tahoma"/>
            <family val="2"/>
          </rPr>
          <t>Very faint region; N of the N end of B 138; diam. 20'</t>
        </r>
      </text>
    </comment>
    <comment ref="A605" authorId="0" shapeId="0" xr:uid="{7E52F449-6CB0-4ED6-8B42-D612E664F63E}">
      <text>
        <r>
          <rPr>
            <sz val="9"/>
            <color indexed="81"/>
            <rFont val="Tahoma"/>
            <family val="2"/>
          </rPr>
          <t xml:space="preserve">
</t>
        </r>
      </text>
    </comment>
    <comment ref="K605" authorId="0" shapeId="0" xr:uid="{042692FA-241E-4DC4-B27C-A97234DE5EBC}">
      <text>
        <r>
          <rPr>
            <sz val="9"/>
            <color indexed="81"/>
            <rFont val="Tahoma"/>
            <family val="2"/>
          </rPr>
          <t>Faint dark nebulosity just west of B143 - Large; irregular; about 40' E and W; BD +10 4016 in E part</t>
        </r>
      </text>
    </comment>
    <comment ref="A606" authorId="0" shapeId="0" xr:uid="{8441EB7F-63FD-4224-B4E6-4D5DCBCCCEE5}">
      <text>
        <r>
          <rPr>
            <sz val="9"/>
            <color indexed="81"/>
            <rFont val="Tahoma"/>
            <family val="2"/>
          </rPr>
          <t xml:space="preserve">
</t>
        </r>
      </text>
    </comment>
    <comment ref="K606" authorId="0" shapeId="0" xr:uid="{0CA8147B-3BEE-4E4B-AA6D-DD1B9BD8FD70}">
      <text>
        <r>
          <rPr>
            <sz val="9"/>
            <color indexed="81"/>
            <rFont val="Tahoma"/>
            <family val="2"/>
          </rPr>
          <t>Unusually shaped dark nebulae in bright dense star field</t>
        </r>
      </text>
    </comment>
    <comment ref="A607" authorId="0" shapeId="0" xr:uid="{CD5B3CAD-02F5-48F5-A1DA-098BEAEFC1C6}">
      <text>
        <r>
          <rPr>
            <sz val="9"/>
            <color indexed="81"/>
            <rFont val="Tahoma"/>
            <family val="2"/>
          </rPr>
          <t xml:space="preserve">
</t>
        </r>
      </text>
    </comment>
    <comment ref="K607" authorId="0" shapeId="0" xr:uid="{471EFD66-D64E-4871-8643-A579FEC2AE01}">
      <text>
        <r>
          <rPr>
            <sz val="9"/>
            <color indexed="81"/>
            <rFont val="Tahoma"/>
            <family val="2"/>
          </rPr>
          <t>Large dark area northeast of Sh2-101 - 6 x 3 degrees, NE and SW; rather definite at NE end; diffused to the SE</t>
        </r>
      </text>
    </comment>
    <comment ref="A608" authorId="0" shapeId="0" xr:uid="{D03C31D3-0993-4BA5-8A35-3BF26FC1E1D5}">
      <text>
        <r>
          <rPr>
            <sz val="9"/>
            <color indexed="81"/>
            <rFont val="Tahoma"/>
            <family val="2"/>
          </rPr>
          <t xml:space="preserve">
</t>
        </r>
      </text>
    </comment>
    <comment ref="K608" authorId="0" shapeId="0" xr:uid="{A3BD053E-DCD7-4636-80CB-E64693AD32DB}">
      <text>
        <r>
          <rPr>
            <sz val="9"/>
            <color indexed="81"/>
            <rFont val="Tahoma"/>
            <family val="2"/>
          </rPr>
          <t>Uniquely shaped dark nebula - Sharply defined; 3/4 degree long E and W</t>
        </r>
      </text>
    </comment>
    <comment ref="A609" authorId="0" shapeId="0" xr:uid="{5527B870-E5B7-45E0-B09B-D14691663BCC}">
      <text>
        <r>
          <rPr>
            <sz val="9"/>
            <color indexed="81"/>
            <rFont val="Tahoma"/>
            <family val="2"/>
          </rPr>
          <t xml:space="preserve">
</t>
        </r>
      </text>
    </comment>
    <comment ref="K609" authorId="0" shapeId="0" xr:uid="{58F6E138-FA22-4F0C-92CD-D2D4009BC7A9}">
      <text>
        <r>
          <rPr>
            <sz val="9"/>
            <color indexed="81"/>
            <rFont val="Tahoma"/>
            <family val="2"/>
          </rPr>
          <t>Appealing dark nebula next to brighter star - Very small; like a dark border to the SW side of the mag 7 star</t>
        </r>
      </text>
    </comment>
    <comment ref="A610" authorId="0" shapeId="0" xr:uid="{E5A04D9A-3BE7-4B03-9ACF-E25516C82634}">
      <text>
        <r>
          <rPr>
            <sz val="9"/>
            <color indexed="81"/>
            <rFont val="Tahoma"/>
            <family val="2"/>
          </rPr>
          <t xml:space="preserve">
</t>
        </r>
      </text>
    </comment>
    <comment ref="K610" authorId="0" shapeId="0" xr:uid="{45BCE13C-951B-42D8-B06C-9EDAA46D946E}">
      <text>
        <r>
          <rPr>
            <sz val="9"/>
            <color indexed="81"/>
            <rFont val="Tahoma"/>
            <family val="2"/>
          </rPr>
          <t>Small dark nebula in a field of interesting faint objects</t>
        </r>
      </text>
    </comment>
    <comment ref="A611" authorId="0" shapeId="0" xr:uid="{65342A9E-AD3C-45CE-BC26-CCC228DA5707}">
      <text>
        <r>
          <rPr>
            <sz val="9"/>
            <color indexed="81"/>
            <rFont val="Tahoma"/>
            <family val="2"/>
          </rPr>
          <t xml:space="preserve">
</t>
        </r>
      </text>
    </comment>
    <comment ref="K611" authorId="0" shapeId="0" xr:uid="{4BB926C8-DCC1-435D-A3FA-955C55AC3AE1}">
      <text>
        <r>
          <rPr>
            <sz val="9"/>
            <color indexed="81"/>
            <rFont val="Tahoma"/>
            <family val="2"/>
          </rPr>
          <t>Small nebulosity next to B150 - round; indefinite; diam. 3'</t>
        </r>
      </text>
    </comment>
    <comment ref="A612" authorId="0" shapeId="0" xr:uid="{4DCE84AF-8656-47E6-A188-D0F00825FE31}">
      <text>
        <r>
          <rPr>
            <sz val="9"/>
            <color indexed="81"/>
            <rFont val="Tahoma"/>
            <family val="2"/>
          </rPr>
          <t xml:space="preserve">
</t>
        </r>
      </text>
    </comment>
    <comment ref="K612" authorId="0" shapeId="0" xr:uid="{E999AC66-4AC5-49AD-BBC0-F73587510019}">
      <text>
        <r>
          <rPr>
            <sz val="9"/>
            <color indexed="81"/>
            <rFont val="Tahoma"/>
            <family val="2"/>
          </rPr>
          <t>Small nebulosity next to B150 - round; indefinite; diam. 2'. This spot and B 148 each in a larger dusky space.</t>
        </r>
      </text>
    </comment>
    <comment ref="A613" authorId="0" shapeId="0" xr:uid="{FE20C90F-5AD7-4B9F-9BE9-BCB3E09B661C}">
      <text>
        <r>
          <rPr>
            <sz val="9"/>
            <color indexed="81"/>
            <rFont val="Tahoma"/>
            <family val="2"/>
          </rPr>
          <t xml:space="preserve">
</t>
        </r>
      </text>
    </comment>
    <comment ref="K613" authorId="0" shapeId="0" xr:uid="{7D2E532A-8956-4856-A102-B078C0EEA998}">
      <text>
        <r>
          <rPr>
            <sz val="9"/>
            <color indexed="81"/>
            <rFont val="Tahoma"/>
            <family val="2"/>
          </rPr>
          <t>Famous Seahorse dark nebula</t>
        </r>
      </text>
    </comment>
    <comment ref="A614" authorId="0" shapeId="0" xr:uid="{678C99AF-70D1-4AEB-B3A7-199CFD1ADCE5}">
      <text>
        <r>
          <rPr>
            <sz val="9"/>
            <color indexed="81"/>
            <rFont val="Tahoma"/>
            <family val="2"/>
          </rPr>
          <t xml:space="preserve">
</t>
        </r>
      </text>
    </comment>
    <comment ref="K614" authorId="0" shapeId="0" xr:uid="{A58645CE-81F0-44D2-A2FD-297D654EA05C}">
      <text>
        <r>
          <rPr>
            <sz val="9"/>
            <color indexed="81"/>
            <rFont val="Tahoma"/>
            <family val="2"/>
          </rPr>
          <t>Faint and small - diam. 1 degree; about 14' N of BD +55 2529 (magnitude 7.5)</t>
        </r>
      </text>
    </comment>
    <comment ref="A615" authorId="0" shapeId="0" xr:uid="{25BF88DD-B542-409D-93DD-42F6816D909E}">
      <text>
        <r>
          <rPr>
            <sz val="9"/>
            <color indexed="81"/>
            <rFont val="Tahoma"/>
            <family val="2"/>
          </rPr>
          <t xml:space="preserve">
</t>
        </r>
      </text>
    </comment>
    <comment ref="K615" authorId="0" shapeId="0" xr:uid="{E0290D63-975D-4E24-A52D-AB62731FD302}">
      <text>
        <r>
          <rPr>
            <sz val="9"/>
            <color indexed="81"/>
            <rFont val="Tahoma"/>
            <family val="2"/>
          </rPr>
          <t>Faint - Small; 15'x3' SE and NW</t>
        </r>
      </text>
    </comment>
    <comment ref="A616" authorId="0" shapeId="0" xr:uid="{2AFB7F8F-45F6-473C-8206-3CC6E8D94AC4}">
      <text>
        <r>
          <rPr>
            <sz val="9"/>
            <color indexed="81"/>
            <rFont val="Tahoma"/>
            <family val="2"/>
          </rPr>
          <t xml:space="preserve">
</t>
        </r>
      </text>
    </comment>
    <comment ref="K616" authorId="0" shapeId="0" xr:uid="{E2905E9F-D329-43F2-B680-48DCCE33AF58}">
      <text>
        <r>
          <rPr>
            <sz val="9"/>
            <color indexed="81"/>
            <rFont val="Tahoma"/>
            <family val="2"/>
          </rPr>
          <t>Faint - Black; irregular; diam. 1 degree; 5' S of BD +55 2565 (magnitude 7.4)</t>
        </r>
      </text>
    </comment>
    <comment ref="A617" authorId="0" shapeId="0" xr:uid="{3CCA8DCF-F961-4339-81DD-1935B8DCF0B8}">
      <text>
        <r>
          <rPr>
            <sz val="9"/>
            <color indexed="81"/>
            <rFont val="Tahoma"/>
            <family val="2"/>
          </rPr>
          <t xml:space="preserve">
</t>
        </r>
      </text>
    </comment>
    <comment ref="K617" authorId="0" shapeId="0" xr:uid="{37B4B897-5225-4F0C-84E4-FFA35EE9FD8B}">
      <text>
        <r>
          <rPr>
            <sz val="9"/>
            <color indexed="81"/>
            <rFont val="Tahoma"/>
            <family val="2"/>
          </rPr>
          <t>Faint - Narrow; 8' long NE and SW; BD +55 2565 (magnitude 7.4) at the S end</t>
        </r>
      </text>
    </comment>
    <comment ref="A618" authorId="0" shapeId="0" xr:uid="{31BE077C-0BC3-475A-8FF3-D8137847079D}">
      <text>
        <r>
          <rPr>
            <sz val="9"/>
            <color indexed="81"/>
            <rFont val="Tahoma"/>
            <family val="2"/>
          </rPr>
          <t xml:space="preserve">
</t>
        </r>
      </text>
    </comment>
    <comment ref="K618" authorId="0" shapeId="0" xr:uid="{1449B119-DDDD-41B6-B473-79170E2C1A77}">
      <text>
        <r>
          <rPr>
            <sz val="9"/>
            <color indexed="81"/>
            <rFont val="Tahoma"/>
            <family val="2"/>
          </rPr>
          <t>Very faint - Round; diam. 13'; indefinite; four small stars in a line crossing it E and W</t>
        </r>
      </text>
    </comment>
    <comment ref="A619" authorId="0" shapeId="0" xr:uid="{4A8D20A9-CA1F-4874-8878-7B9BF0856782}">
      <text>
        <r>
          <rPr>
            <sz val="9"/>
            <color indexed="81"/>
            <rFont val="Tahoma"/>
            <family val="2"/>
          </rPr>
          <t xml:space="preserve">
</t>
        </r>
      </text>
    </comment>
    <comment ref="K619" authorId="0" shapeId="0" xr:uid="{F495263D-AB73-446D-A444-8D2545314BC0}">
      <text>
        <r>
          <rPr>
            <sz val="9"/>
            <color indexed="81"/>
            <rFont val="Tahoma"/>
            <family val="2"/>
          </rPr>
          <t>Very faint nebula near bright orange star - Diam. 8'; sharp pointed to N; BD +44 3865 (magnitude 4.1) in center</t>
        </r>
      </text>
    </comment>
    <comment ref="A620" authorId="0" shapeId="0" xr:uid="{76A4A235-92CD-4EC8-97EA-71B9233947F7}">
      <text>
        <r>
          <rPr>
            <sz val="9"/>
            <color indexed="81"/>
            <rFont val="Tahoma"/>
            <family val="2"/>
          </rPr>
          <t xml:space="preserve">
</t>
        </r>
      </text>
    </comment>
    <comment ref="K620" authorId="0" shapeId="0" xr:uid="{42AB2C97-90A3-494A-9682-86D1302593B8}">
      <text>
        <r>
          <rPr>
            <sz val="9"/>
            <color indexed="81"/>
            <rFont val="Tahoma"/>
            <family val="2"/>
          </rPr>
          <t>Faint - Round; diam. 5'; 8' plus or minus W of BD +54 2576 (mag 8.3); a semicircle of faint stars forms western border</t>
        </r>
      </text>
    </comment>
    <comment ref="A621" authorId="0" shapeId="0" xr:uid="{1CBA0E56-641D-4546-BD22-17B5EFBB9C4F}">
      <text>
        <r>
          <rPr>
            <sz val="9"/>
            <color indexed="81"/>
            <rFont val="Tahoma"/>
            <family val="2"/>
          </rPr>
          <t xml:space="preserve">
</t>
        </r>
      </text>
    </comment>
    <comment ref="K621" authorId="0" shapeId="0" xr:uid="{72D9BFC9-0EBE-4CFD-BE6D-62C0D2DBA266}">
      <text>
        <r>
          <rPr>
            <sz val="9"/>
            <color indexed="81"/>
            <rFont val="Tahoma"/>
            <family val="2"/>
          </rPr>
          <t>Faint - Dark spot; diam. 3'; similar to those in the region of B 159. Some others N and W of this</t>
        </r>
      </text>
    </comment>
    <comment ref="A622" authorId="0" shapeId="0" xr:uid="{1F21A4C0-AD55-4072-BB6A-B1BB7C2F76DB}">
      <text>
        <r>
          <rPr>
            <sz val="9"/>
            <color indexed="81"/>
            <rFont val="Tahoma"/>
            <family val="2"/>
          </rPr>
          <t xml:space="preserve">
</t>
        </r>
      </text>
    </comment>
    <comment ref="K622" authorId="0" shapeId="0" xr:uid="{63090ADC-CFA7-4919-958B-9F03ABC8CD08}">
      <text>
        <r>
          <rPr>
            <sz val="9"/>
            <color indexed="81"/>
            <rFont val="Tahoma"/>
            <family val="2"/>
          </rPr>
          <t>Faint - Irregular partially vacant region; diam. 25'</t>
        </r>
      </text>
    </comment>
    <comment ref="A623" authorId="0" shapeId="0" xr:uid="{97432C9A-7196-452A-9D80-114E16503429}">
      <text>
        <r>
          <rPr>
            <sz val="9"/>
            <color indexed="81"/>
            <rFont val="Tahoma"/>
            <family val="2"/>
          </rPr>
          <t xml:space="preserve">
</t>
        </r>
      </text>
    </comment>
    <comment ref="K623" authorId="0" shapeId="0" xr:uid="{DB035969-4BA8-4A09-9922-55FDBF7E3292}">
      <text>
        <r>
          <rPr>
            <sz val="9"/>
            <color indexed="81"/>
            <rFont val="Tahoma"/>
            <family val="2"/>
          </rPr>
          <t>Complex dark nebula structure - Large, irregular; diam. 31' NE and SW</t>
        </r>
      </text>
    </comment>
    <comment ref="A624" authorId="0" shapeId="0" xr:uid="{84428565-E2C9-4C2F-8FCB-F67862A4198A}">
      <text>
        <r>
          <rPr>
            <sz val="9"/>
            <color indexed="81"/>
            <rFont val="Tahoma"/>
            <family val="2"/>
          </rPr>
          <t xml:space="preserve">
</t>
        </r>
      </text>
    </comment>
    <comment ref="K624" authorId="0" shapeId="0" xr:uid="{40437105-C26E-4153-B9EE-DDF875E5F26A}">
      <text>
        <r>
          <rPr>
            <sz val="9"/>
            <color indexed="81"/>
            <rFont val="Tahoma"/>
            <family val="2"/>
          </rPr>
          <t>Winding dark nebula near IC1396 - head sharp and black, 3' across. Extends north for 3', then widens out into 13' tail</t>
        </r>
      </text>
    </comment>
    <comment ref="A625" authorId="0" shapeId="0" xr:uid="{8C601324-7E2C-4D03-A6DF-B8AF587910D4}">
      <text>
        <r>
          <rPr>
            <sz val="9"/>
            <color indexed="81"/>
            <rFont val="Tahoma"/>
            <family val="2"/>
          </rPr>
          <t xml:space="preserve">
</t>
        </r>
      </text>
    </comment>
    <comment ref="K625" authorId="0" shapeId="0" xr:uid="{51E08A47-705B-4A51-81BA-90FA27FC551A}">
      <text>
        <r>
          <rPr>
            <sz val="9"/>
            <color indexed="81"/>
            <rFont val="Tahoma"/>
            <family val="2"/>
          </rPr>
          <t>Small arc-like dark nebula - 13' N and S; a curve of small stars on the SW end.</t>
        </r>
      </text>
    </comment>
    <comment ref="A626" authorId="0" shapeId="0" xr:uid="{B6257E1A-B0DD-4E11-BCC3-7C0F6F628D38}">
      <text>
        <r>
          <rPr>
            <sz val="9"/>
            <color indexed="81"/>
            <rFont val="Tahoma"/>
            <family val="2"/>
          </rPr>
          <t xml:space="preserve">
</t>
        </r>
      </text>
    </comment>
    <comment ref="K626" authorId="0" shapeId="0" xr:uid="{E09C70E4-C5AC-42C1-8CA1-982A83EE2CC0}">
      <text>
        <r>
          <rPr>
            <sz val="9"/>
            <color indexed="81"/>
            <rFont val="Tahoma"/>
            <family val="2"/>
          </rPr>
          <t>Small dark structure near IC1396; pointed to the S; two dark streams running from this to the N</t>
        </r>
      </text>
    </comment>
    <comment ref="A627" authorId="0" shapeId="0" xr:uid="{77873857-2B07-434C-8FFC-F6E13569A4CF}">
      <text>
        <r>
          <rPr>
            <sz val="9"/>
            <color indexed="81"/>
            <rFont val="Tahoma"/>
            <family val="2"/>
          </rPr>
          <t xml:space="preserve">
</t>
        </r>
      </text>
    </comment>
    <comment ref="K627" authorId="0" shapeId="0" xr:uid="{85E76454-F1BA-43A7-BAEB-4CC4A1CDE695}">
      <text>
        <r>
          <rPr>
            <sz val="9"/>
            <color indexed="81"/>
            <rFont val="Tahoma"/>
            <family val="2"/>
          </rPr>
          <t>Faint - V-shaped vacancy; 20' N and S</t>
        </r>
      </text>
    </comment>
    <comment ref="A628" authorId="0" shapeId="0" xr:uid="{8AFDF05E-EFF1-4531-BE1C-04CFFA9F3F9D}">
      <text>
        <r>
          <rPr>
            <sz val="9"/>
            <color indexed="81"/>
            <rFont val="Tahoma"/>
            <family val="2"/>
          </rPr>
          <t xml:space="preserve">
</t>
        </r>
      </text>
    </comment>
    <comment ref="K628" authorId="0" shapeId="0" xr:uid="{815C1558-9744-4292-99B2-8A370FDC3F17}">
      <text>
        <r>
          <rPr>
            <sz val="9"/>
            <color indexed="81"/>
            <rFont val="Tahoma"/>
            <family val="2"/>
          </rPr>
          <t>Faint - Length E and W 18', width 1'; BD +59 2424 (magnitude 7.8) near the E end</t>
        </r>
      </text>
    </comment>
    <comment ref="A629" authorId="0" shapeId="0" xr:uid="{1BB5F0E0-B7E7-4398-963D-348FE275F438}">
      <text>
        <r>
          <rPr>
            <sz val="9"/>
            <color indexed="81"/>
            <rFont val="Tahoma"/>
            <family val="2"/>
          </rPr>
          <t xml:space="preserve">
</t>
        </r>
      </text>
    </comment>
    <comment ref="K629" authorId="0" shapeId="0" xr:uid="{247BD839-5142-4E16-9CFD-900AC10774E9}">
      <text>
        <r>
          <rPr>
            <sz val="9"/>
            <color indexed="81"/>
            <rFont val="Tahoma"/>
            <family val="2"/>
          </rPr>
          <t>Faint - Round; diam 5'; small star on SW edge</t>
        </r>
      </text>
    </comment>
    <comment ref="A630" authorId="0" shapeId="0" xr:uid="{48007043-1F7A-49DF-9536-1EC8C52CB242}">
      <text>
        <r>
          <rPr>
            <sz val="9"/>
            <color indexed="81"/>
            <rFont val="Tahoma"/>
            <family val="2"/>
          </rPr>
          <t xml:space="preserve">
</t>
        </r>
      </text>
    </comment>
    <comment ref="K630" authorId="0" shapeId="0" xr:uid="{F32D4B0A-EE3B-4888-BB1E-9E1CF313BF81}">
      <text>
        <r>
          <rPr>
            <sz val="9"/>
            <color indexed="81"/>
            <rFont val="Tahoma"/>
            <family val="2"/>
          </rPr>
          <t>Faint - Small; irregularly round; diam 5'; about 7' N of BD +59 2427 (magnitude 7.7)</t>
        </r>
      </text>
    </comment>
    <comment ref="A631" authorId="0" shapeId="0" xr:uid="{7BF1A6EA-47A1-4E2E-B0B4-A4A23E83DFD9}">
      <text>
        <r>
          <rPr>
            <sz val="9"/>
            <color indexed="81"/>
            <rFont val="Tahoma"/>
            <family val="2"/>
          </rPr>
          <t xml:space="preserve">
</t>
        </r>
      </text>
    </comment>
    <comment ref="K631" authorId="0" shapeId="0" xr:uid="{B90FB54F-DBE0-4A49-9D64-A602B54C3772}">
      <text>
        <r>
          <rPr>
            <sz val="9"/>
            <color indexed="81"/>
            <rFont val="Tahoma"/>
            <family val="2"/>
          </rPr>
          <t xml:space="preserve">Beautiful long dark nebula leading to IC5146 - This nebula is 10' in diameter with over a dozen stars in it. </t>
        </r>
      </text>
    </comment>
    <comment ref="A632" authorId="0" shapeId="0" xr:uid="{23BA36EF-295E-4BAE-AABD-055D726B1E66}">
      <text>
        <r>
          <rPr>
            <sz val="9"/>
            <color indexed="81"/>
            <rFont val="Tahoma"/>
            <family val="2"/>
          </rPr>
          <t xml:space="preserve">
</t>
        </r>
      </text>
    </comment>
    <comment ref="K632" authorId="0" shapeId="0" xr:uid="{7035A75A-9A35-437E-BDBC-CCA4C12B4F81}">
      <text>
        <r>
          <rPr>
            <sz val="9"/>
            <color indexed="81"/>
            <rFont val="Tahoma"/>
            <family val="2"/>
          </rPr>
          <t>Pleasing field of 4 dark nebulae</t>
        </r>
      </text>
    </comment>
    <comment ref="A633" authorId="0" shapeId="0" xr:uid="{DDB192D6-5DFE-42D6-BD91-DD08E2D21712}">
      <text>
        <r>
          <rPr>
            <sz val="9"/>
            <color indexed="81"/>
            <rFont val="Tahoma"/>
            <family val="2"/>
          </rPr>
          <t xml:space="preserve">
</t>
        </r>
      </text>
    </comment>
    <comment ref="K633" authorId="0" shapeId="0" xr:uid="{CB3330A2-6BA3-49FC-9647-DC2634046789}">
      <text>
        <r>
          <rPr>
            <sz val="9"/>
            <color indexed="81"/>
            <rFont val="Tahoma"/>
            <family val="2"/>
          </rPr>
          <t xml:space="preserve">Small patch of dark nebulosity north of B169 - Irregular black strip 26' long NE and SW, 4' wide. </t>
        </r>
      </text>
    </comment>
    <comment ref="A634" authorId="0" shapeId="0" xr:uid="{5919AA91-0844-4B8A-A5F6-FE109B6C488B}">
      <text>
        <r>
          <rPr>
            <sz val="9"/>
            <color indexed="81"/>
            <rFont val="Tahoma"/>
            <family val="2"/>
          </rPr>
          <t xml:space="preserve">
</t>
        </r>
      </text>
    </comment>
    <comment ref="K634" authorId="0" shapeId="0" xr:uid="{1C6D9833-317F-476A-B522-93DA9688B6B1}">
      <text>
        <r>
          <rPr>
            <sz val="9"/>
            <color indexed="81"/>
            <rFont val="Tahoma"/>
            <family val="2"/>
          </rPr>
          <t>Dark nebula to east of B169 - Irregular, broken region; diam. 19'; at the E end of the "island" of small stars.</t>
        </r>
      </text>
    </comment>
    <comment ref="A635" authorId="0" shapeId="0" xr:uid="{14638435-3735-49B5-B4F7-D0F0674CCEA8}">
      <text>
        <r>
          <rPr>
            <sz val="9"/>
            <color indexed="81"/>
            <rFont val="Tahoma"/>
            <family val="2"/>
          </rPr>
          <t xml:space="preserve">
</t>
        </r>
      </text>
    </comment>
    <comment ref="K635" authorId="0" shapeId="0" xr:uid="{8C93CAF8-B7B1-4BC3-A54C-A671780B3913}">
      <text>
        <r>
          <rPr>
            <sz val="9"/>
            <color indexed="81"/>
            <rFont val="Tahoma"/>
            <family val="2"/>
          </rPr>
          <t>Very faint - Diam. 4'; rather definite; a small star on N edge and one on SW edge</t>
        </r>
      </text>
    </comment>
    <comment ref="A636" authorId="0" shapeId="0" xr:uid="{512DFE43-2A0F-4E4B-9443-9D051BF16023}">
      <text>
        <r>
          <rPr>
            <sz val="9"/>
            <color indexed="81"/>
            <rFont val="Tahoma"/>
            <family val="2"/>
          </rPr>
          <t xml:space="preserve">
</t>
        </r>
      </text>
    </comment>
    <comment ref="K636" authorId="0" shapeId="0" xr:uid="{16170A50-D381-4D92-8343-23CCE240C07A}">
      <text>
        <r>
          <rPr>
            <sz val="9"/>
            <color indexed="81"/>
            <rFont val="Tahoma"/>
            <family val="2"/>
          </rPr>
          <t>Flowing dark lane to east of Ba69 - Narrow; irregular; 19' long NE and SW</t>
        </r>
      </text>
    </comment>
    <comment ref="A637" authorId="0" shapeId="0" xr:uid="{62A6A549-1481-4D17-BF02-507B9CA64E61}">
      <text>
        <r>
          <rPr>
            <sz val="9"/>
            <color indexed="81"/>
            <rFont val="Tahoma"/>
            <family val="2"/>
          </rPr>
          <t xml:space="preserve">
</t>
        </r>
      </text>
    </comment>
    <comment ref="K637" authorId="0" shapeId="0" xr:uid="{AF12354F-35B8-4832-A615-CE2663C9CB9B}">
      <text>
        <r>
          <rPr>
            <sz val="9"/>
            <color indexed="81"/>
            <rFont val="Tahoma"/>
            <family val="2"/>
          </rPr>
          <t>Dark nebulosity just west of the Double Cluster (NGC869) - Small; diam. 10'</t>
        </r>
      </text>
    </comment>
    <comment ref="A638" authorId="0" shapeId="0" xr:uid="{AEC56BDF-A4CA-4BF1-94B2-B7C0045FC1BD}">
      <text>
        <r>
          <rPr>
            <sz val="9"/>
            <color indexed="81"/>
            <rFont val="Tahoma"/>
            <family val="2"/>
          </rPr>
          <t xml:space="preserve">
</t>
        </r>
      </text>
    </comment>
    <comment ref="K638" authorId="0" shapeId="0" xr:uid="{4399C072-20E0-4C09-90CF-30FCA82EA8A2}">
      <text>
        <r>
          <rPr>
            <sz val="9"/>
            <color indexed="81"/>
            <rFont val="Tahoma"/>
            <family val="2"/>
          </rPr>
          <t>Nice dark nebula near B204 - Elongated NW and SE, 33'x12'</t>
        </r>
      </text>
    </comment>
    <comment ref="A639" authorId="0" shapeId="0" xr:uid="{654EF2F1-6C8D-4730-AC58-F73B42CFD947}">
      <text>
        <r>
          <rPr>
            <sz val="9"/>
            <color indexed="81"/>
            <rFont val="Tahoma"/>
            <family val="2"/>
          </rPr>
          <t xml:space="preserve">
</t>
        </r>
      </text>
    </comment>
    <comment ref="K639" authorId="0" shapeId="0" xr:uid="{3953A39A-01E4-479F-BB9C-BC3983C6DE53}">
      <text>
        <r>
          <rPr>
            <sz val="9"/>
            <color indexed="81"/>
            <rFont val="Tahoma"/>
            <family val="2"/>
          </rPr>
          <t>Nice dark nebula near B204 - Elongated E and W; BD +30 539 (magnitude 9.0) in N ed</t>
        </r>
      </text>
    </comment>
    <comment ref="A640" authorId="0" shapeId="0" xr:uid="{34A8BE7D-0B51-4237-B023-F6AECDE8D387}">
      <text>
        <r>
          <rPr>
            <sz val="9"/>
            <color indexed="81"/>
            <rFont val="Tahoma"/>
            <family val="2"/>
          </rPr>
          <t xml:space="preserve">
</t>
        </r>
      </text>
    </comment>
    <comment ref="K640" authorId="0" shapeId="0" xr:uid="{03031B5F-F25E-41AB-832C-93C709BB176E}">
      <text>
        <r>
          <rPr>
            <sz val="9"/>
            <color indexed="81"/>
            <rFont val="Tahoma"/>
            <family val="2"/>
          </rPr>
          <t>A beautiful field with the 2 vdB and 5 Barnard nebulae - Irregular; diam. 14' plus or minus; 15' SW of mag 7 star</t>
        </r>
      </text>
    </comment>
    <comment ref="A641" authorId="0" shapeId="0" xr:uid="{B30C57A7-CD23-44DB-822E-5F764CA4AB05}">
      <text>
        <r>
          <rPr>
            <sz val="9"/>
            <color indexed="81"/>
            <rFont val="Tahoma"/>
            <family val="2"/>
          </rPr>
          <t xml:space="preserve">
</t>
        </r>
      </text>
    </comment>
    <comment ref="K641" authorId="0" shapeId="0" xr:uid="{9B292BF9-924D-46C9-ABA2-30E8AD98959B}">
      <text>
        <r>
          <rPr>
            <sz val="9"/>
            <color indexed="81"/>
            <rFont val="Tahoma"/>
            <family val="2"/>
          </rPr>
          <t>Dark nebula adjacent to NGC1333 - Two dark strips, 15' long N and S, with mag 9.3 star between them</t>
        </r>
      </text>
    </comment>
    <comment ref="A642" authorId="0" shapeId="0" xr:uid="{E63784AD-5820-4790-9A5F-6875D36F9EE2}">
      <text>
        <r>
          <rPr>
            <sz val="9"/>
            <color indexed="81"/>
            <rFont val="Tahoma"/>
            <family val="2"/>
          </rPr>
          <t xml:space="preserve">
</t>
        </r>
      </text>
    </comment>
    <comment ref="K642" authorId="0" shapeId="0" xr:uid="{129AD13A-CED2-43B8-AF47-FFAC32DABFA2}">
      <text>
        <r>
          <rPr>
            <sz val="9"/>
            <color indexed="81"/>
            <rFont val="Tahoma"/>
            <family val="2"/>
          </rPr>
          <t>Dark nebula north of vdB16 - Diffused; diam. 5' plus or minus</t>
        </r>
      </text>
    </comment>
    <comment ref="A643" authorId="0" shapeId="0" xr:uid="{63597288-6E8A-4C95-94E1-6FB64D2D61DA}">
      <text>
        <r>
          <rPr>
            <sz val="9"/>
            <color indexed="81"/>
            <rFont val="Tahoma"/>
            <family val="2"/>
          </rPr>
          <t xml:space="preserve">
</t>
        </r>
      </text>
    </comment>
    <comment ref="K643" authorId="0" shapeId="0" xr:uid="{19876A4F-1F52-49AF-8F40-57BCAF1389C1}">
      <text>
        <r>
          <rPr>
            <sz val="9"/>
            <color indexed="81"/>
            <rFont val="Tahoma"/>
            <family val="2"/>
          </rPr>
          <t>Fairly bright dark nebula in a lovely dusty field</t>
        </r>
      </text>
    </comment>
    <comment ref="A644" authorId="0" shapeId="0" xr:uid="{8ED0629B-0AAA-4599-B49B-5D8216EEB2DC}">
      <text>
        <r>
          <rPr>
            <sz val="9"/>
            <color indexed="81"/>
            <rFont val="Tahoma"/>
            <family val="2"/>
          </rPr>
          <t xml:space="preserve">
</t>
        </r>
      </text>
    </comment>
    <comment ref="K644" authorId="0" shapeId="0" xr:uid="{A398BD59-2498-432F-B546-4AA248A93280}">
      <text>
        <r>
          <rPr>
            <sz val="9"/>
            <color indexed="81"/>
            <rFont val="Tahoma"/>
            <family val="2"/>
          </rPr>
          <t>Faint - Center of a broad extension from B 7, toward the W</t>
        </r>
      </text>
    </comment>
    <comment ref="A645" authorId="0" shapeId="0" xr:uid="{88EB67C9-7926-44BC-8989-82B5C5FF8F59}">
      <text>
        <r>
          <rPr>
            <sz val="9"/>
            <color indexed="81"/>
            <rFont val="Tahoma"/>
            <family val="2"/>
          </rPr>
          <t xml:space="preserve">
</t>
        </r>
      </text>
    </comment>
    <comment ref="K645" authorId="0" shapeId="0" xr:uid="{42F20168-DE02-4EE6-A651-843D5A3CD412}">
      <text>
        <r>
          <rPr>
            <sz val="9"/>
            <color indexed="81"/>
            <rFont val="Tahoma"/>
            <family val="2"/>
          </rPr>
          <t>At west end of long thin dark cloud that also contains B212 and 215</t>
        </r>
      </text>
    </comment>
    <comment ref="A646" authorId="0" shapeId="0" xr:uid="{3F75025C-AE54-4A3E-92EF-12D75E2BD21E}">
      <text>
        <r>
          <rPr>
            <sz val="9"/>
            <color indexed="81"/>
            <rFont val="Tahoma"/>
            <family val="2"/>
          </rPr>
          <t xml:space="preserve">
</t>
        </r>
      </text>
    </comment>
    <comment ref="K646" authorId="0" shapeId="0" xr:uid="{8F8C0959-56DA-4A6B-B8AC-63169DFE2BAD}">
      <text>
        <r>
          <rPr>
            <sz val="9"/>
            <color indexed="81"/>
            <rFont val="Tahoma"/>
            <family val="2"/>
          </rPr>
          <t>Faint dark cloud south of Cederblad 30 - North end of dark lane running SE from B 7</t>
        </r>
      </text>
    </comment>
    <comment ref="A647" authorId="0" shapeId="0" xr:uid="{C3995236-317F-4E15-A018-E5361FB2796A}">
      <text>
        <r>
          <rPr>
            <sz val="9"/>
            <color indexed="81"/>
            <rFont val="Tahoma"/>
            <family val="2"/>
          </rPr>
          <t xml:space="preserve">
</t>
        </r>
      </text>
    </comment>
    <comment ref="K647" authorId="0" shapeId="0" xr:uid="{EC2BDC20-C9C3-4DC1-84D0-B66677BB5EE6}">
      <text>
        <r>
          <rPr>
            <sz val="9"/>
            <color indexed="81"/>
            <rFont val="Tahoma"/>
            <family val="2"/>
          </rPr>
          <t>In center of long thin dark cloud that also contains B210 and 215</t>
        </r>
      </text>
    </comment>
    <comment ref="A648" authorId="0" shapeId="0" xr:uid="{C6F5A41A-822F-49B3-A92C-BFDD5634C20D}">
      <text>
        <r>
          <rPr>
            <sz val="9"/>
            <color indexed="81"/>
            <rFont val="Tahoma"/>
            <family val="2"/>
          </rPr>
          <t xml:space="preserve">
</t>
        </r>
      </text>
    </comment>
    <comment ref="K648" authorId="0" shapeId="0" xr:uid="{316CF020-15F0-44E9-9E99-1CF3A26D3EC5}">
      <text>
        <r>
          <rPr>
            <sz val="9"/>
            <color indexed="81"/>
            <rFont val="Tahoma"/>
            <family val="2"/>
          </rPr>
          <t xml:space="preserve">Winding textured dark lane </t>
        </r>
      </text>
    </comment>
    <comment ref="A649" authorId="0" shapeId="0" xr:uid="{81A8A8E8-40DA-44F3-BC37-2EBEAB456B83}">
      <text>
        <r>
          <rPr>
            <sz val="9"/>
            <color indexed="81"/>
            <rFont val="Tahoma"/>
            <family val="2"/>
          </rPr>
          <t xml:space="preserve">
</t>
        </r>
      </text>
    </comment>
    <comment ref="K649" authorId="0" shapeId="0" xr:uid="{E5EA438A-C5DA-4416-9D2D-B8732301647C}">
      <text>
        <r>
          <rPr>
            <sz val="9"/>
            <color indexed="81"/>
            <rFont val="Tahoma"/>
            <family val="2"/>
          </rPr>
          <t>Striking position next to vdB27 - Diam. 5'; close N of BD +28 645 (magnitude 9.1)</t>
        </r>
      </text>
    </comment>
    <comment ref="A650" authorId="0" shapeId="0" xr:uid="{FF9E71B9-EC23-4422-A415-CE2911461C32}">
      <text>
        <r>
          <rPr>
            <sz val="9"/>
            <color indexed="81"/>
            <rFont val="Tahoma"/>
            <family val="2"/>
          </rPr>
          <t xml:space="preserve">
</t>
        </r>
      </text>
    </comment>
    <comment ref="K650" authorId="0" shapeId="0" xr:uid="{ABCDF35F-8FB9-44B5-8FF2-ADE012D87E1B}">
      <text>
        <r>
          <rPr>
            <sz val="9"/>
            <color indexed="81"/>
            <rFont val="Tahoma"/>
            <family val="2"/>
          </rPr>
          <t>In east end of long thin dark cloud that also contains B210 and 212</t>
        </r>
      </text>
    </comment>
    <comment ref="A651" authorId="0" shapeId="0" xr:uid="{83ED0FE6-E9AA-41DE-8F79-848D6A6373BC}">
      <text>
        <r>
          <rPr>
            <sz val="9"/>
            <color indexed="81"/>
            <rFont val="Tahoma"/>
            <family val="2"/>
          </rPr>
          <t xml:space="preserve">
</t>
        </r>
      </text>
    </comment>
    <comment ref="K651" authorId="0" shapeId="0" xr:uid="{7962DC4A-DF25-417A-9BAE-5A32024C3C72}">
      <text>
        <r>
          <rPr>
            <sz val="9"/>
            <color indexed="81"/>
            <rFont val="Tahoma"/>
            <family val="2"/>
          </rPr>
          <t xml:space="preserve">In a lovely field with B213, B217, B218 and a few YSOs </t>
        </r>
      </text>
    </comment>
    <comment ref="A652" authorId="0" shapeId="0" xr:uid="{250893FC-76BC-4ED8-856D-2F119CF97FF2}">
      <text>
        <r>
          <rPr>
            <sz val="9"/>
            <color indexed="81"/>
            <rFont val="Tahoma"/>
            <family val="2"/>
          </rPr>
          <t xml:space="preserve">
</t>
        </r>
      </text>
    </comment>
    <comment ref="K652" authorId="0" shapeId="0" xr:uid="{1E01D81C-9BF9-40BF-A85D-0E3CD5673594}">
      <text>
        <r>
          <rPr>
            <sz val="9"/>
            <color indexed="81"/>
            <rFont val="Tahoma"/>
            <family val="2"/>
          </rPr>
          <t>Nebulosity just southeast of B216, surrounds refection nebula - Southeast end of dark lane running from B 7</t>
        </r>
      </text>
    </comment>
    <comment ref="A653" authorId="0" shapeId="0" xr:uid="{0855DEF3-CF04-40CC-A928-5F29BD7976ED}">
      <text>
        <r>
          <rPr>
            <sz val="9"/>
            <color indexed="81"/>
            <rFont val="Tahoma"/>
            <family val="2"/>
          </rPr>
          <t xml:space="preserve">
</t>
        </r>
      </text>
    </comment>
    <comment ref="K653" authorId="0" shapeId="0" xr:uid="{B5A9611E-88DC-4737-BFFB-1E53CE6E54BD}">
      <text>
        <r>
          <rPr>
            <sz val="9"/>
            <color indexed="81"/>
            <rFont val="Tahoma"/>
            <family val="2"/>
          </rPr>
          <t>Dark nebulosity just east of B217 - Triangular; diam. 15'; extension to the S</t>
        </r>
      </text>
    </comment>
    <comment ref="A654" authorId="0" shapeId="0" xr:uid="{8A3C7DEC-C5DC-45F7-8E4E-8A8233FC5CD4}">
      <text>
        <r>
          <rPr>
            <sz val="9"/>
            <color indexed="81"/>
            <rFont val="Tahoma"/>
            <family val="2"/>
          </rPr>
          <t xml:space="preserve">
</t>
        </r>
      </text>
    </comment>
    <comment ref="K654" authorId="0" shapeId="0" xr:uid="{AD16FA0E-446C-4E9E-9240-32982C18D44A}">
      <text>
        <r>
          <rPr>
            <sz val="9"/>
            <color indexed="81"/>
            <rFont val="Tahoma"/>
            <family val="2"/>
          </rPr>
          <t>Very faint - Partly vacant space; 55' x 3 degrees, NE and SW</t>
        </r>
      </text>
    </comment>
    <comment ref="A655" authorId="0" shapeId="0" xr:uid="{C5CBEA1C-68C2-4713-A799-55F85A94F63C}">
      <text>
        <r>
          <rPr>
            <sz val="9"/>
            <color indexed="81"/>
            <rFont val="Tahoma"/>
            <family val="2"/>
          </rPr>
          <t xml:space="preserve">
</t>
        </r>
      </text>
    </comment>
    <comment ref="K655" authorId="0" shapeId="0" xr:uid="{DD0D4BC5-A75D-4B88-87FE-0011B6C9DD1D}">
      <text>
        <r>
          <rPr>
            <sz val="9"/>
            <color indexed="81"/>
            <rFont val="Tahoma"/>
            <family val="2"/>
          </rPr>
          <t>Dark nebulosity northeast of IC2087 - Round, diam. 7'; feebler extension runs NW for 1 degree</t>
        </r>
      </text>
    </comment>
    <comment ref="A656" authorId="0" shapeId="0" xr:uid="{41D08C0D-9D25-4A72-BE65-DFB9E3649B35}">
      <text>
        <r>
          <rPr>
            <sz val="9"/>
            <color indexed="81"/>
            <rFont val="Tahoma"/>
            <family val="2"/>
          </rPr>
          <t xml:space="preserve">
</t>
        </r>
      </text>
    </comment>
    <comment ref="K656" authorId="0" shapeId="0" xr:uid="{6D0A2B37-F4CE-4408-B8E7-4BC8B45C54CF}">
      <text>
        <r>
          <rPr>
            <sz val="9"/>
            <color indexed="81"/>
            <rFont val="Tahoma"/>
            <family val="2"/>
          </rPr>
          <t>Very faint - diam. about 3/4 degree</t>
        </r>
      </text>
    </comment>
    <comment ref="A657" authorId="0" shapeId="0" xr:uid="{3A2EA764-EA6C-4845-B35C-A2CFF217A61E}">
      <text>
        <r>
          <rPr>
            <sz val="9"/>
            <color indexed="81"/>
            <rFont val="Tahoma"/>
            <family val="2"/>
          </rPr>
          <t xml:space="preserve">
</t>
        </r>
      </text>
    </comment>
    <comment ref="K657" authorId="0" shapeId="0" xr:uid="{EC74363C-5874-4A2D-9047-D716DB752565}">
      <text>
        <r>
          <rPr>
            <sz val="9"/>
            <color indexed="81"/>
            <rFont val="Tahoma"/>
            <family val="2"/>
          </rPr>
          <t>Very faint - Round; indefinite; diam. 10'</t>
        </r>
      </text>
    </comment>
    <comment ref="A658" authorId="0" shapeId="0" xr:uid="{596CD163-5E3F-411F-A464-7E30C3CC4B5B}">
      <text>
        <r>
          <rPr>
            <sz val="9"/>
            <color indexed="81"/>
            <rFont val="Tahoma"/>
            <family val="2"/>
          </rPr>
          <t xml:space="preserve">
</t>
        </r>
      </text>
    </comment>
    <comment ref="K658" authorId="0" shapeId="0" xr:uid="{FDBB5152-59C7-4E9D-B604-CAE17CF02E37}">
      <text>
        <r>
          <rPr>
            <sz val="9"/>
            <color indexed="81"/>
            <rFont val="Tahoma"/>
            <family val="2"/>
          </rPr>
          <t xml:space="preserve">Dark nebulosity streaks in reflection nebula - nebula is close southwest of BD +8 933 (magnitude 6.5). </t>
        </r>
      </text>
    </comment>
    <comment ref="A659" authorId="0" shapeId="0" xr:uid="{3551E2C0-D0D3-4CAC-87AA-EF822660489E}">
      <text>
        <r>
          <rPr>
            <sz val="9"/>
            <color indexed="81"/>
            <rFont val="Tahoma"/>
            <family val="2"/>
          </rPr>
          <t xml:space="preserve">
</t>
        </r>
      </text>
    </comment>
    <comment ref="K659" authorId="0" shapeId="0" xr:uid="{078086D7-3E08-4713-A850-5A4C2A72DFA1}">
      <text>
        <r>
          <rPr>
            <sz val="9"/>
            <color indexed="81"/>
            <rFont val="Tahoma"/>
            <family val="2"/>
          </rPr>
          <t>Very faint - Indefinite; diam. 20'</t>
        </r>
      </text>
    </comment>
    <comment ref="A660" authorId="0" shapeId="0" xr:uid="{E42FD56D-4691-4A26-B773-AD031E73846A}">
      <text>
        <r>
          <rPr>
            <sz val="9"/>
            <color indexed="81"/>
            <rFont val="Tahoma"/>
            <family val="2"/>
          </rPr>
          <t xml:space="preserve">
</t>
        </r>
      </text>
    </comment>
    <comment ref="K660" authorId="0" shapeId="0" xr:uid="{7E6F1FDB-03F4-4A9A-94BA-23B45FE75AB7}">
      <text>
        <r>
          <rPr>
            <sz val="9"/>
            <color indexed="81"/>
            <rFont val="Tahoma"/>
            <family val="2"/>
          </rPr>
          <t>Faint - South end of extension running S for 35' from B 30</t>
        </r>
      </text>
    </comment>
    <comment ref="A661" authorId="0" shapeId="0" xr:uid="{F8F26773-CD2F-4F63-80E4-63EF9741E957}">
      <text>
        <r>
          <rPr>
            <sz val="9"/>
            <color indexed="81"/>
            <rFont val="Tahoma"/>
            <family val="2"/>
          </rPr>
          <t xml:space="preserve">
</t>
        </r>
      </text>
    </comment>
    <comment ref="K661" authorId="0" shapeId="0" xr:uid="{45ED2AD0-F5BA-4C71-80F9-F2A7604B0C7A}">
      <text>
        <r>
          <rPr>
            <sz val="9"/>
            <color indexed="81"/>
            <rFont val="Tahoma"/>
            <family val="2"/>
          </rPr>
          <t>Faint - Dark spot; diam. 17'; S of M 36</t>
        </r>
      </text>
    </comment>
    <comment ref="A662" authorId="0" shapeId="0" xr:uid="{37CC9732-429A-48E3-8000-4E9271DA35A7}">
      <text>
        <r>
          <rPr>
            <sz val="9"/>
            <color indexed="81"/>
            <rFont val="Tahoma"/>
            <family val="2"/>
          </rPr>
          <t xml:space="preserve">
</t>
        </r>
      </text>
    </comment>
    <comment ref="K662" authorId="0" shapeId="0" xr:uid="{AB3C7C66-8EE2-46CD-AFE4-1F5C1042194D}">
      <text>
        <r>
          <rPr>
            <sz val="9"/>
            <color indexed="81"/>
            <rFont val="Tahoma"/>
            <family val="2"/>
          </rPr>
          <t>Faint - Round, diam. 12'; one or two faint stars in it</t>
        </r>
      </text>
    </comment>
    <comment ref="A663" authorId="0" shapeId="0" xr:uid="{4E2F6957-B8F1-4720-A72C-185A32C5CE09}">
      <text>
        <r>
          <rPr>
            <sz val="9"/>
            <color indexed="81"/>
            <rFont val="Tahoma"/>
            <family val="2"/>
          </rPr>
          <t xml:space="preserve">
</t>
        </r>
      </text>
    </comment>
    <comment ref="K663" authorId="0" shapeId="0" xr:uid="{BEE6CF8E-396A-4D37-8CD0-0C485681BE67}">
      <text>
        <r>
          <rPr>
            <sz val="9"/>
            <color indexed="81"/>
            <rFont val="Tahoma"/>
            <family val="2"/>
          </rPr>
          <t>Glorious dark nebula and bright reflection nebula GN15.42.0</t>
        </r>
      </text>
    </comment>
    <comment ref="A664" authorId="0" shapeId="0" xr:uid="{D6F1D22A-DEAF-4E18-A252-8F4F5A443343}">
      <text>
        <r>
          <rPr>
            <sz val="9"/>
            <color indexed="81"/>
            <rFont val="Tahoma"/>
            <family val="2"/>
          </rPr>
          <t xml:space="preserve">
</t>
        </r>
      </text>
    </comment>
    <comment ref="K664" authorId="0" shapeId="0" xr:uid="{A8C4B452-A092-4885-B559-420144FCC73B}">
      <text>
        <r>
          <rPr>
            <sz val="9"/>
            <color indexed="81"/>
            <rFont val="Tahoma"/>
            <family val="2"/>
          </rPr>
          <t>Very faint - Indefinite, partially vacant region; diam. 3/4 deg</t>
        </r>
      </text>
    </comment>
    <comment ref="A665" authorId="0" shapeId="0" xr:uid="{A0532D35-86B5-43F4-A81F-2A3A33862A39}">
      <text>
        <r>
          <rPr>
            <sz val="9"/>
            <color indexed="81"/>
            <rFont val="Tahoma"/>
            <family val="2"/>
          </rPr>
          <t xml:space="preserve">
</t>
        </r>
      </text>
    </comment>
    <comment ref="K665" authorId="0" shapeId="0" xr:uid="{4072CC6F-B021-472E-AAAD-9BAC37A2C7B9}">
      <text>
        <r>
          <rPr>
            <sz val="9"/>
            <color indexed="81"/>
            <rFont val="Tahoma"/>
            <family val="2"/>
          </rPr>
          <t>Very faint - Round; diam. about 1 degree</t>
        </r>
      </text>
    </comment>
    <comment ref="A666" authorId="0" shapeId="0" xr:uid="{32E92BDD-9F71-4D4E-B732-344B10499B6E}">
      <text>
        <r>
          <rPr>
            <sz val="9"/>
            <color indexed="81"/>
            <rFont val="Tahoma"/>
            <family val="2"/>
          </rPr>
          <t xml:space="preserve">
</t>
        </r>
      </text>
    </comment>
    <comment ref="K666" authorId="0" shapeId="0" xr:uid="{F9B4259E-A0B3-4083-9822-8A2A318A0625}">
      <text>
        <r>
          <rPr>
            <sz val="9"/>
            <color indexed="81"/>
            <rFont val="Tahoma"/>
            <family val="2"/>
          </rPr>
          <t>Interesting dark structure next to bright orange star - Dusky; diam. 30'; sharpest on W side, diffuses to the E</t>
        </r>
      </text>
    </comment>
    <comment ref="A667" authorId="0" shapeId="0" xr:uid="{CBF43D46-10CB-47C6-8827-228796047D98}">
      <text>
        <r>
          <rPr>
            <sz val="9"/>
            <color indexed="81"/>
            <rFont val="Tahoma"/>
            <family val="2"/>
          </rPr>
          <t xml:space="preserve">
</t>
        </r>
      </text>
    </comment>
    <comment ref="K667" authorId="0" shapeId="0" xr:uid="{CBAFE915-019A-4A5F-B68A-E9B3599C44F6}">
      <text>
        <r>
          <rPr>
            <sz val="9"/>
            <color indexed="81"/>
            <rFont val="Tahoma"/>
            <family val="2"/>
          </rPr>
          <t>Faint - Dusky; 10' N and S; 2 small stars in it</t>
        </r>
      </text>
    </comment>
    <comment ref="A668" authorId="0" shapeId="0" xr:uid="{B31149EF-99F3-4592-A2F6-4112F4F0309F}">
      <text>
        <r>
          <rPr>
            <sz val="9"/>
            <color indexed="81"/>
            <rFont val="Tahoma"/>
            <family val="2"/>
          </rPr>
          <t xml:space="preserve">
</t>
        </r>
      </text>
    </comment>
    <comment ref="K668" authorId="0" shapeId="0" xr:uid="{7464514A-BE92-43B5-9353-538B3153B68F}">
      <text>
        <r>
          <rPr>
            <sz val="9"/>
            <color indexed="81"/>
            <rFont val="Tahoma"/>
            <family val="2"/>
          </rPr>
          <t>Faint - Diffused; 55' N and S; 20' wide</t>
        </r>
      </text>
    </comment>
    <comment ref="A669" authorId="0" shapeId="0" xr:uid="{BCB98999-E9F9-401D-B5AB-D131E72D557F}">
      <text>
        <r>
          <rPr>
            <sz val="9"/>
            <color indexed="81"/>
            <rFont val="Tahoma"/>
            <family val="2"/>
          </rPr>
          <t xml:space="preserve">
</t>
        </r>
      </text>
    </comment>
    <comment ref="K669" authorId="0" shapeId="0" xr:uid="{7E4F65E2-750A-4882-8892-D77C8D8049F5}">
      <text>
        <r>
          <rPr>
            <sz val="9"/>
            <color indexed="81"/>
            <rFont val="Tahoma"/>
            <family val="2"/>
          </rPr>
          <t>Very faint - Narrow; nearly 1/2 degree long, 6' wide</t>
        </r>
      </text>
    </comment>
    <comment ref="A670" authorId="0" shapeId="0" xr:uid="{BE75E377-F179-4ACD-A190-4B2863F64DC0}">
      <text>
        <r>
          <rPr>
            <sz val="9"/>
            <color indexed="81"/>
            <rFont val="Tahoma"/>
            <family val="2"/>
          </rPr>
          <t xml:space="preserve">
</t>
        </r>
      </text>
    </comment>
    <comment ref="K670" authorId="0" shapeId="0" xr:uid="{734B629D-0E3A-4107-AFE9-751CD5D89DF0}">
      <text>
        <r>
          <rPr>
            <sz val="9"/>
            <color indexed="81"/>
            <rFont val="Tahoma"/>
            <family val="2"/>
          </rPr>
          <t>Small dark region - Diam. 7'; elongated NE and SW; darkest part at SW end</t>
        </r>
      </text>
    </comment>
    <comment ref="A671" authorId="0" shapeId="0" xr:uid="{740A61BC-95EC-404C-B8CB-608E193CC0D2}">
      <text>
        <r>
          <rPr>
            <sz val="9"/>
            <color indexed="81"/>
            <rFont val="Tahoma"/>
            <family val="2"/>
          </rPr>
          <t xml:space="preserve">
</t>
        </r>
      </text>
    </comment>
    <comment ref="K671" authorId="0" shapeId="0" xr:uid="{1EB49605-43DB-444C-96CA-203FFE0E6279}">
      <text>
        <r>
          <rPr>
            <sz val="9"/>
            <color indexed="81"/>
            <rFont val="Tahoma"/>
            <family val="2"/>
          </rPr>
          <t>Very very faint  - center of system of indistinct dark lanes</t>
        </r>
      </text>
    </comment>
    <comment ref="A672" authorId="0" shapeId="0" xr:uid="{9385D0D1-778B-4C04-A040-C7A1B854784B}">
      <text>
        <r>
          <rPr>
            <sz val="9"/>
            <color indexed="81"/>
            <rFont val="Tahoma"/>
            <family val="2"/>
          </rPr>
          <t xml:space="preserve">
</t>
        </r>
      </text>
    </comment>
    <comment ref="K672" authorId="0" shapeId="0" xr:uid="{DE79DEC4-FF60-46F5-9BB1-797969C9EC40}">
      <text>
        <r>
          <rPr>
            <sz val="9"/>
            <color indexed="81"/>
            <rFont val="Tahoma"/>
            <family val="2"/>
          </rPr>
          <t>Very faint - Dark lane N of CD -30 13487 (mag 8.0). Beginning 10' NW, this dark lane runs NE for 37' and turns E for 18'.</t>
        </r>
      </text>
    </comment>
    <comment ref="A673" authorId="0" shapeId="0" xr:uid="{5E3D8944-C797-4180-ADB3-10472F6A1402}">
      <text>
        <r>
          <rPr>
            <sz val="9"/>
            <color indexed="81"/>
            <rFont val="Tahoma"/>
            <family val="2"/>
          </rPr>
          <t xml:space="preserve">
</t>
        </r>
      </text>
    </comment>
    <comment ref="K673" authorId="0" shapeId="0" xr:uid="{3759438F-1F0E-4D8A-BCA9-00DEE988E89E}">
      <text>
        <r>
          <rPr>
            <sz val="9"/>
            <color indexed="81"/>
            <rFont val="Tahoma"/>
            <family val="2"/>
          </rPr>
          <t>Teardrop shaped faint dark nebula - Irregular; diam. 13'; BD -22 4323 (magnitude 8.0) on NW edge</t>
        </r>
      </text>
    </comment>
    <comment ref="A674" authorId="0" shapeId="0" xr:uid="{6745A2BE-0AA6-4420-A5E3-EEA782847C43}">
      <text>
        <r>
          <rPr>
            <sz val="9"/>
            <color indexed="81"/>
            <rFont val="Tahoma"/>
            <family val="2"/>
          </rPr>
          <t xml:space="preserve">
</t>
        </r>
      </text>
    </comment>
    <comment ref="K674" authorId="0" shapeId="0" xr:uid="{DED33F82-3D2E-4BB3-A25E-C612EFE6AC1A}">
      <text>
        <r>
          <rPr>
            <sz val="9"/>
            <color indexed="81"/>
            <rFont val="Tahoma"/>
            <family val="2"/>
          </rPr>
          <t>Very faint - Curved; 15' long; very black and narrow; rimmed with stars on S and E sides.</t>
        </r>
      </text>
    </comment>
    <comment ref="A675" authorId="0" shapeId="0" xr:uid="{086C297D-286E-439F-87D4-3B607B16D9A9}">
      <text>
        <r>
          <rPr>
            <sz val="9"/>
            <color indexed="81"/>
            <rFont val="Tahoma"/>
            <family val="2"/>
          </rPr>
          <t xml:space="preserve">
</t>
        </r>
      </text>
    </comment>
    <comment ref="K675" authorId="0" shapeId="0" xr:uid="{D37E9738-3808-4754-A53E-2E301DC93745}">
      <text>
        <r>
          <rPr>
            <sz val="9"/>
            <color indexed="81"/>
            <rFont val="Tahoma"/>
            <family val="2"/>
          </rPr>
          <t>Complex dark region stands out well from star background - Black; diam. 20'</t>
        </r>
      </text>
    </comment>
    <comment ref="A676" authorId="0" shapeId="0" xr:uid="{D227DD51-C9D4-4455-9DB8-10E8AD8FFD1C}">
      <text>
        <r>
          <rPr>
            <sz val="9"/>
            <color indexed="81"/>
            <rFont val="Tahoma"/>
            <family val="2"/>
          </rPr>
          <t xml:space="preserve">
</t>
        </r>
      </text>
    </comment>
    <comment ref="K676" authorId="0" shapeId="0" xr:uid="{C6A740A4-A5A2-4B8F-85CD-10E3295E1D81}">
      <text>
        <r>
          <rPr>
            <sz val="9"/>
            <color indexed="81"/>
            <rFont val="Tahoma"/>
            <family val="2"/>
          </rPr>
          <t>Very faint - Dusky; diffused; 18' long E and W, 6' wide; about 20' W of M 62</t>
        </r>
      </text>
    </comment>
    <comment ref="A677" authorId="0" shapeId="0" xr:uid="{A7C09E58-4202-4243-A9D6-01089D027A20}">
      <text>
        <r>
          <rPr>
            <sz val="9"/>
            <color indexed="81"/>
            <rFont val="Tahoma"/>
            <family val="2"/>
          </rPr>
          <t xml:space="preserve">
</t>
        </r>
      </text>
    </comment>
    <comment ref="K677" authorId="0" shapeId="0" xr:uid="{49B91678-B3FD-45FB-865B-63AA64C32147}">
      <text>
        <r>
          <rPr>
            <sz val="9"/>
            <color indexed="81"/>
            <rFont val="Tahoma"/>
            <family val="2"/>
          </rPr>
          <t>Faint - Dusky; elongated E and W, 30'x8'</t>
        </r>
      </text>
    </comment>
    <comment ref="A678" authorId="0" shapeId="0" xr:uid="{C0EDA47D-8089-4487-AF86-21E3135CA0DD}">
      <text>
        <r>
          <rPr>
            <sz val="9"/>
            <color indexed="81"/>
            <rFont val="Tahoma"/>
            <family val="2"/>
          </rPr>
          <t xml:space="preserve">
</t>
        </r>
      </text>
    </comment>
    <comment ref="K678" authorId="0" shapeId="0" xr:uid="{1C09047C-988C-4028-A6D7-0255280A1C5E}">
      <text>
        <r>
          <rPr>
            <sz val="9"/>
            <color indexed="81"/>
            <rFont val="Tahoma"/>
            <family val="2"/>
          </rPr>
          <t>Irregular dark nebulosity - diam. 25'</t>
        </r>
      </text>
    </comment>
    <comment ref="A679" authorId="0" shapeId="0" xr:uid="{02767A3E-7FB0-4026-BD85-6732C6366E7F}">
      <text>
        <r>
          <rPr>
            <sz val="9"/>
            <color indexed="81"/>
            <rFont val="Tahoma"/>
            <family val="2"/>
          </rPr>
          <t xml:space="preserve">
</t>
        </r>
      </text>
    </comment>
    <comment ref="K679" authorId="0" shapeId="0" xr:uid="{361E785B-1EDB-4F7C-9834-52431A265BA0}">
      <text>
        <r>
          <rPr>
            <sz val="9"/>
            <color indexed="81"/>
            <rFont val="Tahoma"/>
            <family val="2"/>
          </rPr>
          <t>Faint - Irregular; sharpest on W side; about 30' long N and S, 20' wide; from S end a narrow projection runs W 10'.</t>
        </r>
      </text>
    </comment>
    <comment ref="A680" authorId="0" shapeId="0" xr:uid="{5218746C-796D-4FF5-992F-BB870083C5D3}">
      <text>
        <r>
          <rPr>
            <sz val="9"/>
            <color indexed="81"/>
            <rFont val="Tahoma"/>
            <family val="2"/>
          </rPr>
          <t xml:space="preserve">
</t>
        </r>
      </text>
    </comment>
    <comment ref="K680" authorId="0" shapeId="0" xr:uid="{CC278C49-F262-4039-B368-0F9A31621A19}">
      <text>
        <r>
          <rPr>
            <sz val="9"/>
            <color indexed="81"/>
            <rFont val="Tahoma"/>
            <family val="2"/>
          </rPr>
          <t>Very faint - Round; diffused; diam. 8'; several bright stars in it</t>
        </r>
      </text>
    </comment>
    <comment ref="A681" authorId="0" shapeId="0" xr:uid="{48A0AF00-8825-4231-ACF3-7A5B9DEB5850}">
      <text>
        <r>
          <rPr>
            <sz val="9"/>
            <color indexed="81"/>
            <rFont val="Tahoma"/>
            <family val="2"/>
          </rPr>
          <t xml:space="preserve">
</t>
        </r>
      </text>
    </comment>
    <comment ref="K681" authorId="0" shapeId="0" xr:uid="{328AE7E5-6E25-4861-9110-4E6C81490A80}">
      <text>
        <r>
          <rPr>
            <sz val="9"/>
            <color indexed="81"/>
            <rFont val="Tahoma"/>
            <family val="2"/>
          </rPr>
          <t>Dark nebulosity just south of B60 - Irregular; diam. about 15'</t>
        </r>
      </text>
    </comment>
    <comment ref="A682" authorId="0" shapeId="0" xr:uid="{F0642445-11D3-44B7-82C1-C7BDA7EA6D69}">
      <text>
        <r>
          <rPr>
            <sz val="9"/>
            <color indexed="81"/>
            <rFont val="Tahoma"/>
            <family val="2"/>
          </rPr>
          <t xml:space="preserve">
</t>
        </r>
      </text>
    </comment>
    <comment ref="K682" authorId="0" shapeId="0" xr:uid="{A1F9504C-A465-46FF-B211-E5BEEC9426F0}">
      <text>
        <r>
          <rPr>
            <sz val="9"/>
            <color indexed="81"/>
            <rFont val="Tahoma"/>
            <family val="2"/>
          </rPr>
          <t>Spot of dark nebulosity - Black; diam. 4'</t>
        </r>
      </text>
    </comment>
    <comment ref="A683" authorId="0" shapeId="0" xr:uid="{BD93769D-4E83-4394-B665-4AC317D5F012}">
      <text>
        <r>
          <rPr>
            <sz val="9"/>
            <color indexed="81"/>
            <rFont val="Tahoma"/>
            <family val="2"/>
          </rPr>
          <t xml:space="preserve">
</t>
        </r>
      </text>
    </comment>
    <comment ref="K683" authorId="0" shapeId="0" xr:uid="{7149FAA0-A714-4768-A55D-F460674F23C3}">
      <text>
        <r>
          <rPr>
            <sz val="9"/>
            <color indexed="81"/>
            <rFont val="Tahoma"/>
            <family val="2"/>
          </rPr>
          <t>Small faint region - Irregular; 10' E and W</t>
        </r>
      </text>
    </comment>
    <comment ref="A684" authorId="0" shapeId="0" xr:uid="{94C50BD2-7B27-469E-8E91-DC7924B9C3F1}">
      <text>
        <r>
          <rPr>
            <sz val="9"/>
            <color indexed="81"/>
            <rFont val="Tahoma"/>
            <family val="2"/>
          </rPr>
          <t xml:space="preserve">
</t>
        </r>
      </text>
    </comment>
    <comment ref="K684" authorId="0" shapeId="0" xr:uid="{B1361BA0-8592-4580-9CB0-8ECEABE1E2DC}">
      <text>
        <r>
          <rPr>
            <sz val="9"/>
            <color indexed="81"/>
            <rFont val="Tahoma"/>
            <family val="2"/>
          </rPr>
          <t>Small faint region - Very thin, short, black line, 5' long, 20' wide 25' NW of NGC 6304; small star at NE end</t>
        </r>
      </text>
    </comment>
    <comment ref="A685" authorId="0" shapeId="0" xr:uid="{6687760F-ED3C-44E4-837E-C118B036E5FD}">
      <text>
        <r>
          <rPr>
            <sz val="9"/>
            <color indexed="81"/>
            <rFont val="Tahoma"/>
            <family val="2"/>
          </rPr>
          <t xml:space="preserve">
</t>
        </r>
      </text>
    </comment>
    <comment ref="K685" authorId="0" shapeId="0" xr:uid="{D1EC6AE8-8935-4E55-98AA-D9A1F051C435}">
      <text>
        <r>
          <rPr>
            <sz val="9"/>
            <color indexed="81"/>
            <rFont val="Tahoma"/>
            <family val="2"/>
          </rPr>
          <t>Very faint - Diffused; diam. 15'</t>
        </r>
      </text>
    </comment>
    <comment ref="A686" authorId="0" shapeId="0" xr:uid="{914D05C6-FB20-4692-A711-BB552D271F59}">
      <text>
        <r>
          <rPr>
            <sz val="9"/>
            <color indexed="81"/>
            <rFont val="Tahoma"/>
            <family val="2"/>
          </rPr>
          <t xml:space="preserve">
</t>
        </r>
      </text>
    </comment>
    <comment ref="K686" authorId="0" shapeId="0" xr:uid="{303EC5A6-CAC4-449E-B37F-30B8E5669DD5}">
      <text>
        <r>
          <rPr>
            <sz val="9"/>
            <color indexed="81"/>
            <rFont val="Tahoma"/>
            <family val="2"/>
          </rPr>
          <t>Very faint - Dusky; elongated NE and SW, 20'x5'</t>
        </r>
      </text>
    </comment>
    <comment ref="A687" authorId="0" shapeId="0" xr:uid="{A6A4060D-66E2-4251-BBB7-4BD1C75F5B3E}">
      <text>
        <r>
          <rPr>
            <sz val="9"/>
            <color indexed="81"/>
            <rFont val="Tahoma"/>
            <family val="2"/>
          </rPr>
          <t xml:space="preserve">
</t>
        </r>
      </text>
    </comment>
    <comment ref="K687" authorId="0" shapeId="0" xr:uid="{29B365AF-4C21-4287-8856-1FD2FE7DDBDE}">
      <text>
        <r>
          <rPr>
            <sz val="9"/>
            <color indexed="81"/>
            <rFont val="Tahoma"/>
            <family val="2"/>
          </rPr>
          <t>Lovely iconic dark dolphin nebula in a bright Milky Way field - Star CD -31 13763 (magnitude 7.7) near northeast end.</t>
        </r>
      </text>
    </comment>
    <comment ref="A688" authorId="0" shapeId="0" xr:uid="{06DA8976-192B-4663-8223-1C9BC8FDC5A7}">
      <text>
        <r>
          <rPr>
            <sz val="9"/>
            <color indexed="81"/>
            <rFont val="Tahoma"/>
            <family val="2"/>
          </rPr>
          <t xml:space="preserve">
</t>
        </r>
      </text>
    </comment>
    <comment ref="K688" authorId="0" shapeId="0" xr:uid="{42635736-A462-4AC1-85C1-941F5B50E5D7}">
      <text>
        <r>
          <rPr>
            <sz val="9"/>
            <color indexed="81"/>
            <rFont val="Tahoma"/>
            <family val="2"/>
          </rPr>
          <t>Faint - Irregular dark region; diam. nearly 1 degree; BD -22 4307 (magnitude 8.8) in W part.</t>
        </r>
      </text>
    </comment>
    <comment ref="A689" authorId="0" shapeId="0" xr:uid="{2A8C0DF4-8D2A-412A-8CA2-68BBEA0D611C}">
      <text>
        <r>
          <rPr>
            <sz val="9"/>
            <color indexed="81"/>
            <rFont val="Tahoma"/>
            <family val="2"/>
          </rPr>
          <t xml:space="preserve">
</t>
        </r>
      </text>
    </comment>
    <comment ref="K689" authorId="0" shapeId="0" xr:uid="{411C90E5-D5B1-4968-8492-F1EAF117BB53}">
      <text>
        <r>
          <rPr>
            <sz val="9"/>
            <color indexed="81"/>
            <rFont val="Tahoma"/>
            <family val="2"/>
          </rPr>
          <t>Fish-shaped dark nebulae in Ophiuchus - Irregular; diffused; elongated E and W, 1 degree x 20'</t>
        </r>
      </text>
    </comment>
    <comment ref="A690" authorId="0" shapeId="0" xr:uid="{0CCEDC7E-BDA8-4257-BAEB-B3E4DCF45FAB}">
      <text>
        <r>
          <rPr>
            <sz val="9"/>
            <color indexed="81"/>
            <rFont val="Tahoma"/>
            <family val="2"/>
          </rPr>
          <t xml:space="preserve">
</t>
        </r>
      </text>
    </comment>
    <comment ref="K690" authorId="0" shapeId="0" xr:uid="{EFD907A7-B1C6-419E-8F83-03F2523837EB}">
      <text>
        <r>
          <rPr>
            <sz val="9"/>
            <color indexed="81"/>
            <rFont val="Tahoma"/>
            <family val="2"/>
          </rPr>
          <t>Faint - Dusky; diam. 5'</t>
        </r>
      </text>
    </comment>
    <comment ref="A691" authorId="0" shapeId="0" xr:uid="{F75CCD96-7128-491F-BEA0-DBFF739E98C3}">
      <text>
        <r>
          <rPr>
            <sz val="9"/>
            <color indexed="81"/>
            <rFont val="Tahoma"/>
            <family val="2"/>
          </rPr>
          <t xml:space="preserve">
</t>
        </r>
      </text>
    </comment>
    <comment ref="K691" authorId="0" shapeId="0" xr:uid="{9ED0DF22-BEBC-45CF-8F01-D1C6B480728B}">
      <text>
        <r>
          <rPr>
            <sz val="9"/>
            <color indexed="81"/>
            <rFont val="Tahoma"/>
            <family val="2"/>
          </rPr>
          <t>Irregular shaped dark nebulosity - 50' E and W; BD -28 13101 (magnitude 7.7) near E end.</t>
        </r>
      </text>
    </comment>
    <comment ref="A692" authorId="0" shapeId="0" xr:uid="{7D7438AA-7476-44E3-8B13-E3BA9E9EAD93}">
      <text>
        <r>
          <rPr>
            <sz val="9"/>
            <color indexed="81"/>
            <rFont val="Tahoma"/>
            <family val="2"/>
          </rPr>
          <t xml:space="preserve">
</t>
        </r>
      </text>
    </comment>
    <comment ref="K692" authorId="0" shapeId="0" xr:uid="{40F73737-E4C1-4433-8ACE-14EDFC16AAB3}">
      <text>
        <r>
          <rPr>
            <sz val="9"/>
            <color indexed="81"/>
            <rFont val="Tahoma"/>
            <family val="2"/>
          </rPr>
          <t>Dark nebula near NGC 6334 (Cat's Paw) - Dusky spot; diam. 15'; about 10' NW of CD -35 11505 (magnitude 6.7)</t>
        </r>
      </text>
    </comment>
    <comment ref="A693" authorId="0" shapeId="0" xr:uid="{9A9AA5DD-8B15-4CFF-9AB6-668B49E94524}">
      <text>
        <r>
          <rPr>
            <sz val="9"/>
            <color indexed="81"/>
            <rFont val="Tahoma"/>
            <family val="2"/>
          </rPr>
          <t xml:space="preserve">
</t>
        </r>
      </text>
    </comment>
    <comment ref="K693" authorId="0" shapeId="0" xr:uid="{AC7AB33B-5C29-4085-8A15-A7A8CE52A295}">
      <text>
        <r>
          <rPr>
            <sz val="9"/>
            <color indexed="81"/>
            <rFont val="Tahoma"/>
            <family val="2"/>
          </rPr>
          <t>Dark circular dark region between NGC 6334 and NGC 6357 - Irregular area of dark markings; diam. 40' plus or minus</t>
        </r>
      </text>
    </comment>
    <comment ref="A694" authorId="0" shapeId="0" xr:uid="{E1117938-220E-4C1E-BB45-200D7B1062FD}">
      <text>
        <r>
          <rPr>
            <sz val="9"/>
            <color indexed="81"/>
            <rFont val="Tahoma"/>
            <family val="2"/>
          </rPr>
          <t xml:space="preserve">
</t>
        </r>
      </text>
    </comment>
    <comment ref="K694" authorId="0" shapeId="0" xr:uid="{500FB6EE-A673-46E0-80A1-50A8C843A6DA}">
      <text>
        <r>
          <rPr>
            <sz val="9"/>
            <color indexed="81"/>
            <rFont val="Tahoma"/>
            <family val="2"/>
          </rPr>
          <t>Faint - Irregular dark area; diam. 1/2 degree; BD -19 4605 (magnitude 6.5) on W border; BD -19 4617 (mag 7.8) in E part</t>
        </r>
      </text>
    </comment>
    <comment ref="A695" authorId="0" shapeId="0" xr:uid="{1025684E-8383-4D27-93B8-F7B6B3B1F6BE}">
      <text>
        <r>
          <rPr>
            <sz val="9"/>
            <color indexed="81"/>
            <rFont val="Tahoma"/>
            <family val="2"/>
          </rPr>
          <t xml:space="preserve">
</t>
        </r>
      </text>
    </comment>
    <comment ref="K695" authorId="0" shapeId="0" xr:uid="{AF29F6F8-5A17-409A-85D7-2A8653FE04EF}">
      <text>
        <r>
          <rPr>
            <sz val="9"/>
            <color indexed="81"/>
            <rFont val="Tahoma"/>
            <family val="2"/>
          </rPr>
          <t>Faint nebula near B78 - Diffused; elongated N and S, 12'x7'</t>
        </r>
      </text>
    </comment>
    <comment ref="A696" authorId="0" shapeId="0" xr:uid="{94EBF20F-99BD-403B-850C-272EB9E85030}">
      <text>
        <r>
          <rPr>
            <sz val="9"/>
            <color indexed="81"/>
            <rFont val="Tahoma"/>
            <family val="2"/>
          </rPr>
          <t xml:space="preserve">
</t>
        </r>
      </text>
    </comment>
    <comment ref="K696" authorId="0" shapeId="0" xr:uid="{9408C60C-B534-41C0-BDF9-BF3BBD80D2C1}">
      <text>
        <r>
          <rPr>
            <sz val="9"/>
            <color indexed="81"/>
            <rFont val="Tahoma"/>
            <family val="2"/>
          </rPr>
          <t>Dark nebulosity south of B262 - Elongated E and W, 14'x5'; diffused on S side, reaching to mag 7.6 star 18' SE of center</t>
        </r>
      </text>
    </comment>
    <comment ref="A697" authorId="0" shapeId="0" xr:uid="{D32650D6-3328-48D0-96FC-B928EBE9821C}">
      <text>
        <r>
          <rPr>
            <sz val="9"/>
            <color indexed="81"/>
            <rFont val="Tahoma"/>
            <family val="2"/>
          </rPr>
          <t xml:space="preserve">
</t>
        </r>
      </text>
    </comment>
    <comment ref="K697" authorId="0" shapeId="0" xr:uid="{B2B3A362-1C87-4B08-A825-386EDD3CE2C0}">
      <text>
        <r>
          <rPr>
            <sz val="9"/>
            <color indexed="81"/>
            <rFont val="Tahoma"/>
            <family val="2"/>
          </rPr>
          <t>Comprises the "smoke" of the Pipe Nebula.  Set in a nice field of Barnard nebulae and Milky Way stars - diam 1/2 deg</t>
        </r>
      </text>
    </comment>
    <comment ref="A698" authorId="0" shapeId="0" xr:uid="{592A382F-2743-416D-BEBF-FBCD6CFEAF0E}">
      <text>
        <r>
          <rPr>
            <sz val="9"/>
            <color indexed="81"/>
            <rFont val="Tahoma"/>
            <family val="2"/>
          </rPr>
          <t xml:space="preserve">
</t>
        </r>
      </text>
    </comment>
    <comment ref="K698" authorId="0" shapeId="0" xr:uid="{40580077-7BB9-4029-963E-AD6D4442CF12}">
      <text>
        <r>
          <rPr>
            <sz val="9"/>
            <color indexed="81"/>
            <rFont val="Tahoma"/>
            <family val="2"/>
          </rPr>
          <t>Dark nebulosity with interesting shape - Diam. 30' NE and SW</t>
        </r>
      </text>
    </comment>
    <comment ref="A699" authorId="0" shapeId="0" xr:uid="{E6DACB36-F5D0-4C2B-8574-5D0689ED542C}">
      <text>
        <r>
          <rPr>
            <sz val="9"/>
            <color indexed="81"/>
            <rFont val="Tahoma"/>
            <family val="2"/>
          </rPr>
          <t xml:space="preserve">
</t>
        </r>
      </text>
    </comment>
    <comment ref="K699" authorId="0" shapeId="0" xr:uid="{6435E012-8456-447E-BBC9-721F0BFEAC0A}">
      <text>
        <r>
          <rPr>
            <sz val="9"/>
            <color indexed="81"/>
            <rFont val="Tahoma"/>
            <family val="2"/>
          </rPr>
          <t>Faint - Narrow; black; 10' E and W; bends N at E end; 15' W of CD -25 12179 (magnitude 7.3)</t>
        </r>
      </text>
    </comment>
    <comment ref="A700" authorId="0" shapeId="0" xr:uid="{AE54CA41-8777-4506-B653-9BDC311E8AAA}">
      <text>
        <r>
          <rPr>
            <sz val="9"/>
            <color indexed="81"/>
            <rFont val="Tahoma"/>
            <family val="2"/>
          </rPr>
          <t xml:space="preserve">
</t>
        </r>
      </text>
    </comment>
    <comment ref="K700" authorId="0" shapeId="0" xr:uid="{08843AD0-12F2-4368-BF88-13AC7D84B902}">
      <text>
        <r>
          <rPr>
            <sz val="9"/>
            <color indexed="81"/>
            <rFont val="Tahoma"/>
            <family val="2"/>
          </rPr>
          <t>Faint - Irregular; 18' N and S; 7' wide; diffused on E side; about 5' W of CD -25 12171 (magnitude 9.2)</t>
        </r>
      </text>
    </comment>
    <comment ref="A701" authorId="0" shapeId="0" xr:uid="{3C03B02B-F1CB-43C7-8A12-020E9DF0F6AF}">
      <text>
        <r>
          <rPr>
            <sz val="9"/>
            <color indexed="81"/>
            <rFont val="Tahoma"/>
            <family val="2"/>
          </rPr>
          <t xml:space="preserve">
</t>
        </r>
      </text>
    </comment>
    <comment ref="K701" authorId="0" shapeId="0" xr:uid="{DC4BF262-FC31-4AFB-ACC0-AC4CB603F91A}">
      <text>
        <r>
          <rPr>
            <sz val="9"/>
            <color indexed="81"/>
            <rFont val="Tahoma"/>
            <family val="2"/>
          </rPr>
          <t>Faint - Curved; 30' long NE and SW; BD -20 4775 (magnitude 7.8) just S of S edge</t>
        </r>
      </text>
    </comment>
    <comment ref="A702" authorId="0" shapeId="0" xr:uid="{652A6E97-3CFE-4497-AF2F-377A5CAC72E1}">
      <text>
        <r>
          <rPr>
            <sz val="9"/>
            <color indexed="81"/>
            <rFont val="Tahoma"/>
            <family val="2"/>
          </rPr>
          <t xml:space="preserve">
</t>
        </r>
      </text>
    </comment>
    <comment ref="K702" authorId="0" shapeId="0" xr:uid="{397FAF55-9859-4D9B-B86E-6D81019A8ACB}">
      <text>
        <r>
          <rPr>
            <sz val="9"/>
            <color indexed="81"/>
            <rFont val="Tahoma"/>
            <family val="2"/>
          </rPr>
          <t>Dark nebulosity next to B266 - Small; very black; elongated NW and SE, 5'x3'; CD -25 12177 (magnitude 9.3) at NW end</t>
        </r>
      </text>
    </comment>
    <comment ref="A703" authorId="0" shapeId="0" xr:uid="{6B38EBF3-B8F8-4A76-86C4-E58020B01981}">
      <text>
        <r>
          <rPr>
            <sz val="9"/>
            <color indexed="81"/>
            <rFont val="Tahoma"/>
            <family val="2"/>
          </rPr>
          <t xml:space="preserve">
</t>
        </r>
      </text>
    </comment>
    <comment ref="K703" authorId="0" shapeId="0" xr:uid="{4DCD962C-0C7C-4AC5-B316-338CA9334F6D}">
      <text>
        <r>
          <rPr>
            <sz val="9"/>
            <color indexed="81"/>
            <rFont val="Tahoma"/>
            <family val="2"/>
          </rPr>
          <t>Light (Opacity of 4/6) but beautiful dark nebula</t>
        </r>
      </text>
    </comment>
    <comment ref="A704" authorId="0" shapeId="0" xr:uid="{B045DDAB-F3C4-4CDE-A2F8-1D55A47BF6A1}">
      <text>
        <r>
          <rPr>
            <sz val="9"/>
            <color indexed="81"/>
            <rFont val="Tahoma"/>
            <family val="2"/>
          </rPr>
          <t xml:space="preserve">
</t>
        </r>
      </text>
    </comment>
    <comment ref="K704" authorId="0" shapeId="0" xr:uid="{240CC1FC-C0AA-4CB1-8A72-C072ACF03B19}">
      <text>
        <r>
          <rPr>
            <sz val="9"/>
            <color indexed="81"/>
            <rFont val="Tahoma"/>
            <family val="2"/>
          </rPr>
          <t>Faint - Dusky region, 1 degree long NW and SE; BD -22 4369 (magnitude 7.5) near SE end</t>
        </r>
      </text>
    </comment>
    <comment ref="A705" authorId="0" shapeId="0" xr:uid="{20C33093-2FF0-4509-BCA4-FD160A96192A}">
      <text>
        <r>
          <rPr>
            <sz val="9"/>
            <color indexed="81"/>
            <rFont val="Tahoma"/>
            <family val="2"/>
          </rPr>
          <t xml:space="preserve">
</t>
        </r>
      </text>
    </comment>
    <comment ref="K705" authorId="0" shapeId="0" xr:uid="{E63EE03A-E32A-4F0F-A42E-281E6A826AA9}">
      <text>
        <r>
          <rPr>
            <sz val="9"/>
            <color indexed="81"/>
            <rFont val="Tahoma"/>
            <family val="2"/>
          </rPr>
          <t>Faint - Round; diam. 11'; in NE part of B 268</t>
        </r>
      </text>
    </comment>
    <comment ref="A706" authorId="0" shapeId="0" xr:uid="{C6FCFB05-E268-4AA1-B68D-9F2B2CCD23CB}">
      <text>
        <r>
          <rPr>
            <sz val="9"/>
            <color indexed="81"/>
            <rFont val="Tahoma"/>
            <family val="2"/>
          </rPr>
          <t xml:space="preserve">
</t>
        </r>
      </text>
    </comment>
    <comment ref="K706" authorId="0" shapeId="0" xr:uid="{699ED2B2-3739-4E55-9410-BDDA064B19D5}">
      <text>
        <r>
          <rPr>
            <sz val="9"/>
            <color indexed="81"/>
            <rFont val="Tahoma"/>
            <family val="2"/>
          </rPr>
          <t>Very faint - Dusky; curved; 2 degrees N and S; 10' plus or minus wide; CD -33 12241 (magnitude 8.7) near N end</t>
        </r>
      </text>
    </comment>
    <comment ref="A707" authorId="0" shapeId="0" xr:uid="{72363265-DD20-4C38-A2A0-DEB4F36E9636}">
      <text>
        <r>
          <rPr>
            <sz val="9"/>
            <color indexed="81"/>
            <rFont val="Tahoma"/>
            <family val="2"/>
          </rPr>
          <t xml:space="preserve">
</t>
        </r>
      </text>
    </comment>
    <comment ref="K707" authorId="0" shapeId="0" xr:uid="{7A2E5825-88CB-451C-9BA0-9FF3C6AB6570}">
      <text>
        <r>
          <rPr>
            <sz val="9"/>
            <color indexed="81"/>
            <rFont val="Tahoma"/>
            <family val="2"/>
          </rPr>
          <t>Fascinating dark nebula in Ophiuchus - irregular dark markings; diam. 45'; CD -23 13469 (mag 8.0) near middle.</t>
        </r>
      </text>
    </comment>
    <comment ref="A708" authorId="0" shapeId="0" xr:uid="{D4EF9D0D-E4A9-4FBB-B970-B54F6AE83444}">
      <text>
        <r>
          <rPr>
            <sz val="9"/>
            <color indexed="81"/>
            <rFont val="Tahoma"/>
            <family val="2"/>
          </rPr>
          <t xml:space="preserve">
</t>
        </r>
      </text>
    </comment>
    <comment ref="K708" authorId="0" shapeId="0" xr:uid="{F1DCE9B6-22BC-4915-8A6C-AFDEB6CD1A61}">
      <text>
        <r>
          <rPr>
            <sz val="9"/>
            <color indexed="81"/>
            <rFont val="Tahoma"/>
            <family val="2"/>
          </rPr>
          <t>Nondescript dark nebula in Scorpius - Dark spot at N end of B 271; diam. 15'</t>
        </r>
      </text>
    </comment>
    <comment ref="A709" authorId="0" shapeId="0" xr:uid="{F869E66E-F2DA-48FF-AD0A-A8FBC6C54E7D}">
      <text>
        <r>
          <rPr>
            <sz val="9"/>
            <color indexed="81"/>
            <rFont val="Tahoma"/>
            <family val="2"/>
          </rPr>
          <t xml:space="preserve">
</t>
        </r>
      </text>
    </comment>
    <comment ref="K709" authorId="0" shapeId="0" xr:uid="{F618A2B8-11CA-42B1-8BDF-223E76B64288}">
      <text>
        <r>
          <rPr>
            <sz val="9"/>
            <color indexed="81"/>
            <rFont val="Tahoma"/>
            <family val="2"/>
          </rPr>
          <t>Vase-like dark nebula shape - Triangular; definite; 18' N and S; BD -22 4383 (magnitude 7.5) in N end</t>
        </r>
      </text>
    </comment>
    <comment ref="A710" authorId="0" shapeId="0" xr:uid="{5319F6AD-99A6-432C-AAE2-81AF8600617D}">
      <text>
        <r>
          <rPr>
            <sz val="9"/>
            <color indexed="81"/>
            <rFont val="Tahoma"/>
            <family val="2"/>
          </rPr>
          <t xml:space="preserve">
</t>
        </r>
      </text>
    </comment>
    <comment ref="K710" authorId="0" shapeId="0" xr:uid="{1B697D1D-3D79-4C25-9900-B5617416FAF8}">
      <text>
        <r>
          <rPr>
            <sz val="9"/>
            <color indexed="81"/>
            <rFont val="Tahoma"/>
            <family val="2"/>
          </rPr>
          <t>Dark circular patch of nebulosity just west of M6 - Round; diam. 13'; about 20' W of M6.</t>
        </r>
      </text>
    </comment>
    <comment ref="A711" authorId="0" shapeId="0" xr:uid="{0BE9D417-21E7-4323-B18D-C2C10D8265D3}">
      <text>
        <r>
          <rPr>
            <sz val="9"/>
            <color indexed="81"/>
            <rFont val="Tahoma"/>
            <family val="2"/>
          </rPr>
          <t xml:space="preserve">
</t>
        </r>
      </text>
    </comment>
    <comment ref="K711" authorId="0" shapeId="0" xr:uid="{2E7D5707-5116-4B51-BE37-CA586ADC8166}">
      <text>
        <r>
          <rPr>
            <sz val="9"/>
            <color indexed="81"/>
            <rFont val="Tahoma"/>
            <family val="2"/>
          </rPr>
          <t>Lovely irregular nebulosity patch in Ophiuchus - Broken region of dark markings; diam. 3/4 degree</t>
        </r>
      </text>
    </comment>
    <comment ref="A712" authorId="0" shapeId="0" xr:uid="{116F3C95-7B78-4910-A660-9661DD6E6053}">
      <text>
        <r>
          <rPr>
            <sz val="9"/>
            <color indexed="81"/>
            <rFont val="Tahoma"/>
            <family val="2"/>
          </rPr>
          <t xml:space="preserve">
</t>
        </r>
      </text>
    </comment>
    <comment ref="K712" authorId="0" shapeId="0" xr:uid="{F2055130-3865-4F9A-A3B3-15B7DE7799F5}">
      <text>
        <r>
          <rPr>
            <sz val="9"/>
            <color indexed="81"/>
            <rFont val="Tahoma"/>
            <family val="2"/>
          </rPr>
          <t>Faint - Narrow; 18' long E and W; BD -22 4387 (mag 8.3) at W end. Less distinct branch runs 30' SE &amp; forms large V</t>
        </r>
      </text>
    </comment>
    <comment ref="A713" authorId="0" shapeId="0" xr:uid="{0C71AD4A-73DE-4419-86C1-EA1975FDC1EC}">
      <text>
        <r>
          <rPr>
            <sz val="9"/>
            <color indexed="81"/>
            <rFont val="Tahoma"/>
            <family val="2"/>
          </rPr>
          <t xml:space="preserve">
</t>
        </r>
      </text>
    </comment>
    <comment ref="K713" authorId="0" shapeId="0" xr:uid="{42D4942D-B249-4FDA-990A-736FCA3F66B2}">
      <text>
        <r>
          <rPr>
            <sz val="9"/>
            <color indexed="81"/>
            <rFont val="Tahoma"/>
            <family val="2"/>
          </rPr>
          <t>Dark nebulosity just east of M6 - Round; diam. 15'; about 30' E of M 6</t>
        </r>
      </text>
    </comment>
    <comment ref="A714" authorId="0" shapeId="0" xr:uid="{FCDB8FD9-0357-4971-8B73-F1B397BE25F5}">
      <text>
        <r>
          <rPr>
            <sz val="9"/>
            <color indexed="81"/>
            <rFont val="Tahoma"/>
            <family val="2"/>
          </rPr>
          <t xml:space="preserve">
</t>
        </r>
      </text>
    </comment>
    <comment ref="K714" authorId="0" shapeId="0" xr:uid="{6FBC9ECF-4034-49BF-B13C-B812502BBF91}">
      <text>
        <r>
          <rPr>
            <sz val="9"/>
            <color indexed="81"/>
            <rFont val="Tahoma"/>
            <family val="2"/>
          </rPr>
          <t>Faint, interesting X nebulosity shape - Irregular dark area; diam. 1 deg; BD -22 4405 (mag 7.3) near N edge</t>
        </r>
      </text>
    </comment>
    <comment ref="A715" authorId="0" shapeId="0" xr:uid="{54F15DE3-F212-4B50-92CE-60BB9764D8A6}">
      <text>
        <r>
          <rPr>
            <sz val="9"/>
            <color indexed="81"/>
            <rFont val="Tahoma"/>
            <family val="2"/>
          </rPr>
          <t xml:space="preserve">
</t>
        </r>
      </text>
    </comment>
    <comment ref="K715" authorId="0" shapeId="0" xr:uid="{92FAD6F3-5E4A-4489-A739-78242614A593}">
      <text>
        <r>
          <rPr>
            <sz val="9"/>
            <color indexed="81"/>
            <rFont val="Tahoma"/>
            <family val="2"/>
          </rPr>
          <t>Resplendent dark nebulosity in Sagittarius - Irregular dusky area; diam. 1 degree plus or minus</t>
        </r>
      </text>
    </comment>
    <comment ref="A716" authorId="0" shapeId="0" xr:uid="{76C21A7C-A217-4E75-A81D-8BEF519A60C8}">
      <text>
        <r>
          <rPr>
            <sz val="9"/>
            <color indexed="81"/>
            <rFont val="Tahoma"/>
            <family val="2"/>
          </rPr>
          <t xml:space="preserve">
</t>
        </r>
      </text>
    </comment>
    <comment ref="K716" authorId="0" shapeId="0" xr:uid="{91816991-F39C-4621-BBC6-B46ABAC44E1B}">
      <text>
        <r>
          <rPr>
            <sz val="9"/>
            <color indexed="81"/>
            <rFont val="Tahoma"/>
            <family val="2"/>
          </rPr>
          <t>Faint - Dark loop close E of CD -23 13548 (magnitude 8.1)</t>
        </r>
      </text>
    </comment>
    <comment ref="A717" authorId="0" shapeId="0" xr:uid="{8FB46BF1-D0A4-47BD-97B2-C40CB8B6ED00}">
      <text>
        <r>
          <rPr>
            <sz val="9"/>
            <color indexed="81"/>
            <rFont val="Tahoma"/>
            <family val="2"/>
          </rPr>
          <t xml:space="preserve">
</t>
        </r>
      </text>
    </comment>
    <comment ref="K717" authorId="0" shapeId="0" xr:uid="{190AF47A-1EC1-421C-8700-B2A31B13926A}">
      <text>
        <r>
          <rPr>
            <sz val="9"/>
            <color indexed="81"/>
            <rFont val="Tahoma"/>
            <family val="2"/>
          </rPr>
          <t>Irregular dark nebulosity in Sagittarius - 18' long NE and SW; sharp on NW side; CD -23 13589 (mag 8.0) near SE end</t>
        </r>
      </text>
    </comment>
    <comment ref="A718" authorId="0" shapeId="0" xr:uid="{62688F02-A989-4440-9246-3B22D63969F4}">
      <text>
        <r>
          <rPr>
            <sz val="9"/>
            <color indexed="81"/>
            <rFont val="Tahoma"/>
            <family val="2"/>
          </rPr>
          <t xml:space="preserve">
</t>
        </r>
      </text>
    </comment>
    <comment ref="K718" authorId="0" shapeId="0" xr:uid="{EF07D499-2AC4-4087-AFEE-6C288DC00D53}">
      <text>
        <r>
          <rPr>
            <sz val="9"/>
            <color indexed="81"/>
            <rFont val="Tahoma"/>
            <family val="2"/>
          </rPr>
          <t>Wonderfully complex dark nebula in Scorpius - Irregular, dusky area 1 1/2 deg plus or minus E and W, 1 deg N and S</t>
        </r>
      </text>
    </comment>
    <comment ref="A719" authorId="0" shapeId="0" xr:uid="{A86CE833-A144-4AE9-BE47-05EA33E54BAC}">
      <text>
        <r>
          <rPr>
            <sz val="9"/>
            <color indexed="81"/>
            <rFont val="Tahoma"/>
            <family val="2"/>
          </rPr>
          <t xml:space="preserve">
</t>
        </r>
      </text>
    </comment>
    <comment ref="K719" authorId="0" shapeId="0" xr:uid="{6532F77E-1FEF-42B4-A592-93544E5C0CFA}">
      <text>
        <r>
          <rPr>
            <sz val="9"/>
            <color indexed="81"/>
            <rFont val="Tahoma"/>
            <family val="2"/>
          </rPr>
          <t>Arrowhead shaped dark nebulosity - Curved; 35' NE and SW, 5' wide; outline sharp except at SW end</t>
        </r>
      </text>
    </comment>
    <comment ref="A720" authorId="0" shapeId="0" xr:uid="{4FB4B1D8-FD8F-4FAC-95F4-7F01E7E18D46}">
      <text>
        <r>
          <rPr>
            <sz val="9"/>
            <color indexed="81"/>
            <rFont val="Tahoma"/>
            <family val="2"/>
          </rPr>
          <t xml:space="preserve">
</t>
        </r>
      </text>
    </comment>
    <comment ref="K720" authorId="0" shapeId="0" xr:uid="{E169D813-8E74-4CBF-B720-D3BA79955A4C}">
      <text>
        <r>
          <rPr>
            <sz val="9"/>
            <color indexed="81"/>
            <rFont val="Tahoma"/>
            <family val="2"/>
          </rPr>
          <t>Faint - Diffused; diam. 15'</t>
        </r>
      </text>
    </comment>
    <comment ref="A721" authorId="0" shapeId="0" xr:uid="{C08CAAC9-0DDA-496D-9E6D-285AD3054AFC}">
      <text>
        <r>
          <rPr>
            <sz val="9"/>
            <color indexed="81"/>
            <rFont val="Tahoma"/>
            <family val="2"/>
          </rPr>
          <t xml:space="preserve">
</t>
        </r>
      </text>
    </comment>
    <comment ref="K721" authorId="0" shapeId="0" xr:uid="{79431EA9-AE41-43B5-AF1B-E13BA5E3AC30}">
      <text>
        <r>
          <rPr>
            <sz val="9"/>
            <color indexed="81"/>
            <rFont val="Tahoma"/>
            <family val="2"/>
          </rPr>
          <t>Faint - Diffused; diam. 15' ; CD -35 12013 (magnitude 7.1) in SW part</t>
        </r>
      </text>
    </comment>
    <comment ref="A722" authorId="0" shapeId="0" xr:uid="{22583889-DDEA-4D0B-97FD-56E6876FECE5}">
      <text>
        <r>
          <rPr>
            <sz val="9"/>
            <color indexed="81"/>
            <rFont val="Tahoma"/>
            <family val="2"/>
          </rPr>
          <t xml:space="preserve">
</t>
        </r>
      </text>
    </comment>
    <comment ref="K722" authorId="0" shapeId="0" xr:uid="{A9543849-A5D7-40DA-B0CB-EF08897FE00B}">
      <text>
        <r>
          <rPr>
            <sz val="9"/>
            <color indexed="81"/>
            <rFont val="Tahoma"/>
            <family val="2"/>
          </rPr>
          <t xml:space="preserve">Perfect pairing, adjacent to M7.  Looks like Burning Man logo. - Irregular, semi-vacancy; diam. 1/2 degree </t>
        </r>
      </text>
    </comment>
    <comment ref="A723" authorId="0" shapeId="0" xr:uid="{25EFF75D-BF5F-49C0-A7B4-131F061833B3}">
      <text>
        <r>
          <rPr>
            <sz val="9"/>
            <color indexed="81"/>
            <rFont val="Tahoma"/>
            <family val="2"/>
          </rPr>
          <t xml:space="preserve">
</t>
        </r>
      </text>
    </comment>
    <comment ref="K723" authorId="0" shapeId="0" xr:uid="{BD4CBB38-81EF-498E-AD15-7A47CBBB22D4}">
      <text>
        <r>
          <rPr>
            <sz val="9"/>
            <color indexed="81"/>
            <rFont val="Tahoma"/>
            <family val="2"/>
          </rPr>
          <t>Faint - Black; diam. 2'; diffuses toward NE; 25' SW of CD -36 12060 (magnitude 6.3)</t>
        </r>
      </text>
    </comment>
    <comment ref="A724" authorId="0" shapeId="0" xr:uid="{0670135D-17F6-4912-AD32-FBC158417E01}">
      <text>
        <r>
          <rPr>
            <sz val="9"/>
            <color indexed="81"/>
            <rFont val="Tahoma"/>
            <family val="2"/>
          </rPr>
          <t xml:space="preserve">
</t>
        </r>
      </text>
    </comment>
    <comment ref="K724" authorId="0" shapeId="0" xr:uid="{2A5131E9-0728-4039-A1C8-EFC5CCEB644F}">
      <text>
        <r>
          <rPr>
            <sz val="9"/>
            <color indexed="81"/>
            <rFont val="Tahoma"/>
            <family val="2"/>
          </rPr>
          <t>Faint and interesting dark nebula in Scorpius - Dark space between clouds, about 7'x35'</t>
        </r>
      </text>
    </comment>
    <comment ref="A725" authorId="0" shapeId="0" xr:uid="{1085A0A3-7030-4746-AD08-5EF9DF6BEACB}">
      <text>
        <r>
          <rPr>
            <sz val="9"/>
            <color indexed="81"/>
            <rFont val="Tahoma"/>
            <family val="2"/>
          </rPr>
          <t xml:space="preserve">
</t>
        </r>
      </text>
    </comment>
    <comment ref="K725" authorId="0" shapeId="0" xr:uid="{D6B314A4-ABC5-4E7F-BBE9-707AD0601538}">
      <text>
        <r>
          <rPr>
            <sz val="9"/>
            <color indexed="81"/>
            <rFont val="Tahoma"/>
            <family val="2"/>
          </rPr>
          <t>Faint - Very small; diam. 3' ; extends N faintly for 25' to and beyond CD -36 12060 (magnitude 6.3)</t>
        </r>
      </text>
    </comment>
    <comment ref="A726" authorId="0" shapeId="0" xr:uid="{D8CEA904-39EA-474C-BF97-B3EBF1A342E6}">
      <text>
        <r>
          <rPr>
            <sz val="9"/>
            <color indexed="81"/>
            <rFont val="Tahoma"/>
            <family val="2"/>
          </rPr>
          <t xml:space="preserve">
</t>
        </r>
      </text>
    </comment>
    <comment ref="K726" authorId="0" shapeId="0" xr:uid="{D98FD3A8-7695-405F-9746-3F285E338D83}">
      <text>
        <r>
          <rPr>
            <sz val="9"/>
            <color indexed="81"/>
            <rFont val="Tahoma"/>
            <family val="2"/>
          </rPr>
          <t xml:space="preserve">Faint - Small, round, black; diam. 5'. CD -33 12697 (mag 8.3) is on east edge of this spot; very faint star in the center. </t>
        </r>
      </text>
    </comment>
    <comment ref="A727" authorId="0" shapeId="0" xr:uid="{A95D1547-3C7B-46FC-AAF5-8BCC9641422C}">
      <text>
        <r>
          <rPr>
            <sz val="9"/>
            <color indexed="81"/>
            <rFont val="Tahoma"/>
            <family val="2"/>
          </rPr>
          <t xml:space="preserve">
</t>
        </r>
      </text>
    </comment>
    <comment ref="K727" authorId="0" shapeId="0" xr:uid="{84D9314A-B12E-4A2F-B7DF-72FA0C074E8D}">
      <text>
        <r>
          <rPr>
            <sz val="9"/>
            <color indexed="81"/>
            <rFont val="Tahoma"/>
            <family val="2"/>
          </rPr>
          <t>Irregular collection of dark nebulosity - broken, dark region; diam. 1 degree</t>
        </r>
      </text>
    </comment>
    <comment ref="A728" authorId="0" shapeId="0" xr:uid="{A49ED9DB-2E8B-490F-9F6C-96BE8A2E677C}">
      <text>
        <r>
          <rPr>
            <sz val="9"/>
            <color indexed="81"/>
            <rFont val="Tahoma"/>
            <family val="2"/>
          </rPr>
          <t xml:space="preserve">
</t>
        </r>
      </text>
    </comment>
    <comment ref="K728" authorId="0" shapeId="0" xr:uid="{3ADDAC49-895E-4526-85D6-E2116CB72793}">
      <text>
        <r>
          <rPr>
            <sz val="9"/>
            <color indexed="81"/>
            <rFont val="Tahoma"/>
            <family val="2"/>
          </rPr>
          <t>Faint - Dusky; curved; like an inverted U, 18' across; CD -35 21259 (magnitude 8.5) near the center.</t>
        </r>
      </text>
    </comment>
    <comment ref="A729" authorId="0" shapeId="0" xr:uid="{FA981337-49C1-4BEE-AA67-7E311FF25FA6}">
      <text>
        <r>
          <rPr>
            <sz val="9"/>
            <color indexed="81"/>
            <rFont val="Tahoma"/>
            <family val="2"/>
          </rPr>
          <t xml:space="preserve">
</t>
        </r>
      </text>
    </comment>
    <comment ref="K729" authorId="0" shapeId="0" xr:uid="{6F5A1D6A-D613-4187-A3AE-6B45C6CF01D1}">
      <text>
        <r>
          <rPr>
            <sz val="9"/>
            <color indexed="81"/>
            <rFont val="Tahoma"/>
            <family val="2"/>
          </rPr>
          <t>Tiny nebulosity in Sagittarius - Definite; diam. 3'; star in SW part</t>
        </r>
      </text>
    </comment>
    <comment ref="A730" authorId="0" shapeId="0" xr:uid="{A79847A9-FAC3-49A8-BEFE-D1FF34BCA139}">
      <text>
        <r>
          <rPr>
            <sz val="9"/>
            <color indexed="81"/>
            <rFont val="Tahoma"/>
            <family val="2"/>
          </rPr>
          <t xml:space="preserve">
</t>
        </r>
      </text>
    </comment>
    <comment ref="K730" authorId="0" shapeId="0" xr:uid="{0949921F-DFF6-49C1-922B-E72184DC2026}">
      <text>
        <r>
          <rPr>
            <sz val="9"/>
            <color indexed="81"/>
            <rFont val="Tahoma"/>
            <family val="2"/>
          </rPr>
          <t>Unusual dark nebulosity shape - Irregular, dark region, diam. 50'; full of rich, soft details</t>
        </r>
      </text>
    </comment>
    <comment ref="A731" authorId="0" shapeId="0" xr:uid="{43015D46-5E25-422A-AFBD-B19FCE587BAB}">
      <text>
        <r>
          <rPr>
            <sz val="9"/>
            <color indexed="81"/>
            <rFont val="Tahoma"/>
            <family val="2"/>
          </rPr>
          <t xml:space="preserve">
</t>
        </r>
      </text>
    </comment>
    <comment ref="K731" authorId="0" shapeId="0" xr:uid="{98067AFC-4DF3-4E0E-B11D-68828C875CFF}">
      <text>
        <r>
          <rPr>
            <sz val="9"/>
            <color indexed="81"/>
            <rFont val="Tahoma"/>
            <family val="2"/>
          </rPr>
          <t>Dark nebula within M8 (Lagoon Nebula) - Narrow; black; 6'x1'</t>
        </r>
      </text>
    </comment>
    <comment ref="A732" authorId="0" shapeId="0" xr:uid="{26BA86D4-97AD-4B3D-8391-35FEED6C43AB}">
      <text>
        <r>
          <rPr>
            <sz val="9"/>
            <color indexed="81"/>
            <rFont val="Tahoma"/>
            <family val="2"/>
          </rPr>
          <t xml:space="preserve">
</t>
        </r>
      </text>
    </comment>
    <comment ref="K732" authorId="0" shapeId="0" xr:uid="{D1463494-2D19-4542-9D48-C7252B7FA4D3}">
      <text>
        <r>
          <rPr>
            <sz val="9"/>
            <color indexed="81"/>
            <rFont val="Tahoma"/>
            <family val="2"/>
          </rPr>
          <t>Large and faint - Region of irregular, dark markings, 2 deg E of M 23; 1 1/2 deg E and W and about 1 deg N and S</t>
        </r>
      </text>
    </comment>
    <comment ref="A733" authorId="0" shapeId="0" xr:uid="{4ADD8413-A172-4BBF-AFDB-4392B57997DC}">
      <text>
        <r>
          <rPr>
            <sz val="9"/>
            <color indexed="81"/>
            <rFont val="Tahoma"/>
            <family val="2"/>
          </rPr>
          <t xml:space="preserve">
</t>
        </r>
      </text>
    </comment>
    <comment ref="K733" authorId="0" shapeId="0" xr:uid="{9F5F57A1-8DF7-4D8A-B9B8-3A287C76C8E5}">
      <text>
        <r>
          <rPr>
            <sz val="9"/>
            <color indexed="81"/>
            <rFont val="Tahoma"/>
            <family val="2"/>
          </rPr>
          <t>A light dark nebula, next to 2 globular clusters - Small; diam. 4'; 5' SE of NGC 6528</t>
        </r>
      </text>
    </comment>
    <comment ref="A734" authorId="0" shapeId="0" xr:uid="{29ED15E4-23E8-44A8-9772-52135799BDDC}">
      <text>
        <r>
          <rPr>
            <sz val="9"/>
            <color indexed="81"/>
            <rFont val="Tahoma"/>
            <family val="2"/>
          </rPr>
          <t xml:space="preserve">
</t>
        </r>
      </text>
    </comment>
    <comment ref="K734" authorId="0" shapeId="0" xr:uid="{9153568C-0120-4FF0-9652-4CE20C48410A}">
      <text>
        <r>
          <rPr>
            <sz val="9"/>
            <color indexed="81"/>
            <rFont val="Tahoma"/>
            <family val="2"/>
          </rPr>
          <t>Faint - Several small spots in star cloud, each about 3' in diameter</t>
        </r>
      </text>
    </comment>
    <comment ref="A735" authorId="0" shapeId="0" xr:uid="{AEA30977-43F1-4E6B-A287-2E340BB78725}">
      <text>
        <r>
          <rPr>
            <sz val="9"/>
            <color indexed="81"/>
            <rFont val="Tahoma"/>
            <family val="2"/>
          </rPr>
          <t xml:space="preserve">
</t>
        </r>
      </text>
    </comment>
    <comment ref="K735" authorId="0" shapeId="0" xr:uid="{A405E3CB-B597-4809-A84F-0527E4A1B42C}">
      <text>
        <r>
          <rPr>
            <sz val="9"/>
            <color indexed="81"/>
            <rFont val="Tahoma"/>
            <family val="2"/>
          </rPr>
          <t>Faint - Broken dark region about 30' E of B 87</t>
        </r>
      </text>
    </comment>
    <comment ref="A736" authorId="0" shapeId="0" xr:uid="{E3326364-A52E-492A-AFDE-D06591FA7834}">
      <text>
        <r>
          <rPr>
            <sz val="9"/>
            <color indexed="81"/>
            <rFont val="Tahoma"/>
            <family val="2"/>
          </rPr>
          <t xml:space="preserve">
</t>
        </r>
      </text>
    </comment>
    <comment ref="K736" authorId="0" shapeId="0" xr:uid="{FF98DDAB-F87F-4B37-B31F-B951FB1B7374}">
      <text>
        <r>
          <rPr>
            <sz val="9"/>
            <color indexed="81"/>
            <rFont val="Tahoma"/>
            <family val="2"/>
          </rPr>
          <t>Very faint - dusky lane; 45' long NE and SW; 2' wide</t>
        </r>
      </text>
    </comment>
    <comment ref="A737" authorId="0" shapeId="0" xr:uid="{3073A28D-8D7B-4E85-BE3D-29D1A2F96D70}">
      <text>
        <r>
          <rPr>
            <sz val="9"/>
            <color indexed="81"/>
            <rFont val="Tahoma"/>
            <family val="2"/>
          </rPr>
          <t xml:space="preserve">
</t>
        </r>
      </text>
    </comment>
    <comment ref="K737" authorId="0" shapeId="0" xr:uid="{309BF03F-3E09-4718-B811-1B55A6AED14C}">
      <text>
        <r>
          <rPr>
            <sz val="9"/>
            <color indexed="81"/>
            <rFont val="Tahoma"/>
            <family val="2"/>
          </rPr>
          <t>Small dark nebula in IC 4685 - Dark spot; diam. about 1/2 degree; close N of CD -24 13962 (magnitude 7.8)</t>
        </r>
      </text>
    </comment>
    <comment ref="A738" authorId="0" shapeId="0" xr:uid="{BFFD15A6-7FD7-4DEC-A9D6-D187BE3F7021}">
      <text>
        <r>
          <rPr>
            <sz val="9"/>
            <color indexed="81"/>
            <rFont val="Tahoma"/>
            <family val="2"/>
          </rPr>
          <t xml:space="preserve">
</t>
        </r>
      </text>
    </comment>
    <comment ref="K738" authorId="0" shapeId="0" xr:uid="{16123040-3ABC-4E4D-9D37-130970CF0508}">
      <text>
        <r>
          <rPr>
            <sz val="9"/>
            <color indexed="81"/>
            <rFont val="Tahoma"/>
            <family val="2"/>
          </rPr>
          <t>Lovely winding nebula through the red head of IC4685 - Very black; convex to E; diameter about 1'</t>
        </r>
      </text>
    </comment>
    <comment ref="A739" authorId="0" shapeId="0" xr:uid="{FBA0EB7F-3F6E-4BB3-ACE5-E1633D1FE913}">
      <text>
        <r>
          <rPr>
            <sz val="9"/>
            <color indexed="81"/>
            <rFont val="Tahoma"/>
            <family val="2"/>
          </rPr>
          <t xml:space="preserve">
</t>
        </r>
      </text>
    </comment>
    <comment ref="K739" authorId="0" shapeId="0" xr:uid="{EF29D74A-D3F4-4A60-9A73-DA51F68DE308}">
      <text>
        <r>
          <rPr>
            <sz val="9"/>
            <color indexed="81"/>
            <rFont val="Tahoma"/>
            <family val="2"/>
          </rPr>
          <t>Very faint - Dusky lanes in star cloud extending toward the SW from B 92 for 1 1/2 degrees</t>
        </r>
      </text>
    </comment>
    <comment ref="A740" authorId="0" shapeId="0" xr:uid="{9BF8CB1B-203E-4195-B16C-C78F52A03AEF}">
      <text>
        <r>
          <rPr>
            <sz val="9"/>
            <color indexed="81"/>
            <rFont val="Tahoma"/>
            <family val="2"/>
          </rPr>
          <t xml:space="preserve">
</t>
        </r>
      </text>
    </comment>
    <comment ref="K740" authorId="0" shapeId="0" xr:uid="{EEB7F932-60B8-4B0F-9B32-24A1F674D671}">
      <text>
        <r>
          <rPr>
            <sz val="9"/>
            <color indexed="81"/>
            <rFont val="Tahoma"/>
            <family val="2"/>
          </rPr>
          <t>Fantastic dark nebulae shape - Dark; irregular; diam. 13'. Dark streamers radiate from this spot north for 3/4 deg</t>
        </r>
      </text>
    </comment>
    <comment ref="A741" authorId="0" shapeId="0" xr:uid="{54FB1B2D-521A-4CE4-B309-C5D94B0FDCD4}">
      <text>
        <r>
          <rPr>
            <sz val="9"/>
            <color indexed="81"/>
            <rFont val="Tahoma"/>
            <family val="2"/>
          </rPr>
          <t xml:space="preserve">
</t>
        </r>
      </text>
    </comment>
    <comment ref="K741" authorId="0" shapeId="0" xr:uid="{BE5C1E5F-B05B-4F7B-8547-CB7DD5CB739F}">
      <text>
        <r>
          <rPr>
            <sz val="9"/>
            <color indexed="81"/>
            <rFont val="Tahoma"/>
            <family val="2"/>
          </rPr>
          <t>Faint small dark nebula - Small, narrow, black; 4' long NE and SW; CD -25 12920 (magnitude 8.2) 5' SW of W end</t>
        </r>
      </text>
    </comment>
    <comment ref="A742" authorId="0" shapeId="0" xr:uid="{5F27090F-8AEE-4837-B1AF-E819C3904AB3}">
      <text>
        <r>
          <rPr>
            <sz val="9"/>
            <color indexed="81"/>
            <rFont val="Tahoma"/>
            <family val="2"/>
          </rPr>
          <t xml:space="preserve">
</t>
        </r>
      </text>
    </comment>
    <comment ref="K742" authorId="0" shapeId="0" xr:uid="{21379BF5-16E5-4439-8B04-974BBAE6E6A5}">
      <text>
        <r>
          <rPr>
            <sz val="9"/>
            <color indexed="81"/>
            <rFont val="Tahoma"/>
            <family val="2"/>
          </rPr>
          <t>Very faint - SW of W end; similar to B 249</t>
        </r>
      </text>
    </comment>
    <comment ref="A743" authorId="0" shapeId="0" xr:uid="{E08D75B1-03ED-45EB-9705-0892CDAFC70E}">
      <text>
        <r>
          <rPr>
            <sz val="9"/>
            <color indexed="81"/>
            <rFont val="Tahoma"/>
            <family val="2"/>
          </rPr>
          <t xml:space="preserve">
</t>
        </r>
      </text>
    </comment>
    <comment ref="K743" authorId="0" shapeId="0" xr:uid="{6C68086F-5D79-4399-9B24-B437D2A35462}">
      <text>
        <r>
          <rPr>
            <sz val="9"/>
            <color indexed="81"/>
            <rFont val="Tahoma"/>
            <family val="2"/>
          </rPr>
          <t>Faint - Curved; dusky; 7' E and W, 5' wide</t>
        </r>
      </text>
    </comment>
    <comment ref="A744" authorId="0" shapeId="0" xr:uid="{C09C638C-4E52-4391-914B-D920BD036976}">
      <text>
        <r>
          <rPr>
            <sz val="9"/>
            <color indexed="81"/>
            <rFont val="Tahoma"/>
            <family val="2"/>
          </rPr>
          <t xml:space="preserve">
</t>
        </r>
      </text>
    </comment>
    <comment ref="K744" authorId="0" shapeId="0" xr:uid="{CDCD24F2-8A8A-481D-9B3F-B9B793E5582B}">
      <text>
        <r>
          <rPr>
            <sz val="9"/>
            <color indexed="81"/>
            <rFont val="Tahoma"/>
            <family val="2"/>
          </rPr>
          <t>Faint - Irregular; dusky; diam. 5'</t>
        </r>
      </text>
    </comment>
    <comment ref="A745" authorId="0" shapeId="0" xr:uid="{8A2FE499-6FE0-4379-8DC0-25E8CDDA13E1}">
      <text>
        <r>
          <rPr>
            <sz val="9"/>
            <color indexed="81"/>
            <rFont val="Tahoma"/>
            <family val="2"/>
          </rPr>
          <t xml:space="preserve">
</t>
        </r>
      </text>
    </comment>
    <comment ref="K745" authorId="0" shapeId="0" xr:uid="{98875143-F8C7-44A9-A4AB-7306FA81E97E}">
      <text>
        <r>
          <rPr>
            <sz val="9"/>
            <color indexed="81"/>
            <rFont val="Tahoma"/>
            <family val="2"/>
          </rPr>
          <t>Very faint - Diam. 2'; small star near center; 20' SW of BD -18 4988 (magnitude 6.0</t>
        </r>
      </text>
    </comment>
    <comment ref="A746" authorId="0" shapeId="0" xr:uid="{C3EAAE7D-0A8D-430C-817F-A0FF89B235A9}">
      <text>
        <r>
          <rPr>
            <sz val="9"/>
            <color indexed="81"/>
            <rFont val="Tahoma"/>
            <family val="2"/>
          </rPr>
          <t xml:space="preserve">
</t>
        </r>
      </text>
    </comment>
    <comment ref="K746" authorId="0" shapeId="0" xr:uid="{8E5213D1-E41E-4053-B8AA-6D2DC5D727D6}">
      <text>
        <r>
          <rPr>
            <sz val="9"/>
            <color indexed="81"/>
            <rFont val="Tahoma"/>
            <family val="2"/>
          </rPr>
          <t>Very faint - Black; elliptical; diam. 6' NE and SW; in a semi-vacant strip 35' long</t>
        </r>
      </text>
    </comment>
    <comment ref="A747" authorId="0" shapeId="0" xr:uid="{B14B91ED-850F-4B79-B9D5-B342457FA140}">
      <text>
        <r>
          <rPr>
            <sz val="9"/>
            <color indexed="81"/>
            <rFont val="Tahoma"/>
            <family val="2"/>
          </rPr>
          <t xml:space="preserve">
</t>
        </r>
      </text>
    </comment>
    <comment ref="K747" authorId="0" shapeId="0" xr:uid="{723C4CA5-04F5-42BB-B50C-E59D78BA92B9}">
      <text>
        <r>
          <rPr>
            <sz val="9"/>
            <color indexed="81"/>
            <rFont val="Tahoma"/>
            <family val="2"/>
          </rPr>
          <t>Only opacity class 4, but nicely placed in Milky Way star field - Large, dark area; 1 3/4 degree NW and SE, about 30' wide</t>
        </r>
      </text>
    </comment>
    <comment ref="A748" authorId="0" shapeId="0" xr:uid="{6AB741D3-DE57-46AB-9159-6ADFB9D0D5D4}">
      <text>
        <r>
          <rPr>
            <sz val="9"/>
            <color indexed="81"/>
            <rFont val="Tahoma"/>
            <family val="2"/>
          </rPr>
          <t xml:space="preserve">
</t>
        </r>
      </text>
    </comment>
    <comment ref="K748" authorId="0" shapeId="0" xr:uid="{1BBD975A-4586-436E-B399-BC0BAF201085}">
      <text>
        <r>
          <rPr>
            <sz val="9"/>
            <color indexed="81"/>
            <rFont val="Tahoma"/>
            <family val="2"/>
          </rPr>
          <t>Very faint - Narrow; curved; 15' E and W</t>
        </r>
      </text>
    </comment>
    <comment ref="A749" authorId="0" shapeId="0" xr:uid="{02E6F12F-CB0A-4F57-BE94-1BFC658495DD}">
      <text>
        <r>
          <rPr>
            <sz val="9"/>
            <color indexed="81"/>
            <rFont val="Tahoma"/>
            <family val="2"/>
          </rPr>
          <t xml:space="preserve">
</t>
        </r>
      </text>
    </comment>
    <comment ref="K749" authorId="0" shapeId="0" xr:uid="{12E19CDE-4B5D-4132-966C-90D2464553DF}">
      <text>
        <r>
          <rPr>
            <sz val="9"/>
            <color indexed="81"/>
            <rFont val="Tahoma"/>
            <family val="2"/>
          </rPr>
          <t>Faint with impressive structure - Irregular, dusky marking; 35' long NE and SW</t>
        </r>
      </text>
    </comment>
    <comment ref="A750" authorId="0" shapeId="0" xr:uid="{84958950-D569-4782-A7BA-9A6DA1E54172}">
      <text>
        <r>
          <rPr>
            <sz val="9"/>
            <color indexed="81"/>
            <rFont val="Tahoma"/>
            <family val="2"/>
          </rPr>
          <t xml:space="preserve">
</t>
        </r>
      </text>
    </comment>
    <comment ref="K750" authorId="0" shapeId="0" xr:uid="{6A2646CD-3B9D-4B5F-8D95-62AF05512FB8}">
      <text>
        <r>
          <rPr>
            <sz val="9"/>
            <color indexed="81"/>
            <rFont val="Tahoma"/>
            <family val="2"/>
          </rPr>
          <t>Very faint - Round; dark; diam. 5'</t>
        </r>
      </text>
    </comment>
    <comment ref="A751" authorId="0" shapeId="0" xr:uid="{7C4A4DC7-FCBE-4FB4-9ECF-A7CF74AEC467}">
      <text>
        <r>
          <rPr>
            <sz val="9"/>
            <color indexed="81"/>
            <rFont val="Tahoma"/>
            <family val="2"/>
          </rPr>
          <t xml:space="preserve">
</t>
        </r>
      </text>
    </comment>
    <comment ref="K751" authorId="0" shapeId="0" xr:uid="{46C68CD9-CB13-4743-812E-840775C40415}">
      <text>
        <r>
          <rPr>
            <sz val="9"/>
            <color indexed="81"/>
            <rFont val="Tahoma"/>
            <family val="2"/>
          </rPr>
          <t>Faint - Dark; diam. 6'; sharp on its S end, gradually diffusing to the N into a wide open space</t>
        </r>
      </text>
    </comment>
    <comment ref="A752" authorId="0" shapeId="0" xr:uid="{F23980F8-3FCB-4934-8D21-E160873AD5D3}">
      <text>
        <r>
          <rPr>
            <sz val="9"/>
            <color indexed="81"/>
            <rFont val="Tahoma"/>
            <family val="2"/>
          </rPr>
          <t xml:space="preserve">
</t>
        </r>
      </text>
    </comment>
    <comment ref="K752" authorId="0" shapeId="0" xr:uid="{F1AB6B01-7324-489B-BF34-A26FFD2FAA96}">
      <text>
        <r>
          <rPr>
            <sz val="9"/>
            <color indexed="81"/>
            <rFont val="Tahoma"/>
            <family val="2"/>
          </rPr>
          <t>Faint - Dusky; 30' NE and SW, 5' wide</t>
        </r>
      </text>
    </comment>
    <comment ref="A753" authorId="0" shapeId="0" xr:uid="{C47F1902-290B-4D05-AD11-C4CDC258049B}">
      <text>
        <r>
          <rPr>
            <sz val="9"/>
            <color indexed="81"/>
            <rFont val="Tahoma"/>
            <family val="2"/>
          </rPr>
          <t xml:space="preserve">
</t>
        </r>
      </text>
    </comment>
    <comment ref="K753" authorId="0" shapeId="0" xr:uid="{A46A3304-C755-4567-8414-54753890B0F0}">
      <text>
        <r>
          <rPr>
            <sz val="9"/>
            <color indexed="81"/>
            <rFont val="Tahoma"/>
            <family val="2"/>
          </rPr>
          <t>1.5 degree E-W thin line south of M11 - Long, straight, dark line. Extends E and W for about 1 1/2 deg, 2' wide.</t>
        </r>
      </text>
    </comment>
    <comment ref="A754" authorId="0" shapeId="0" xr:uid="{073A1999-B681-4390-9DB5-2CB573D45F14}">
      <text>
        <r>
          <rPr>
            <sz val="9"/>
            <color indexed="81"/>
            <rFont val="Tahoma"/>
            <family val="2"/>
          </rPr>
          <t xml:space="preserve">
</t>
        </r>
      </text>
    </comment>
    <comment ref="K754" authorId="0" shapeId="0" xr:uid="{B43CD9E7-8CAE-43FA-85F3-B7C2F03E6D26}">
      <text>
        <r>
          <rPr>
            <sz val="9"/>
            <color indexed="81"/>
            <rFont val="Tahoma"/>
            <family val="2"/>
          </rPr>
          <t>Faint - Thin, curved, dark marking; length 7'; BD -1 3586 (magnitude 9.5) at the NE end.</t>
        </r>
      </text>
    </comment>
    <comment ref="A755" authorId="0" shapeId="0" xr:uid="{3D5542AC-2C6D-403D-AA07-FF157F01B295}">
      <text>
        <r>
          <rPr>
            <sz val="9"/>
            <color indexed="81"/>
            <rFont val="Tahoma"/>
            <family val="2"/>
          </rPr>
          <t xml:space="preserve">
</t>
        </r>
      </text>
    </comment>
    <comment ref="K755" authorId="0" shapeId="0" xr:uid="{44A4D3D2-1350-4040-9B3E-17CF865D1210}">
      <text>
        <r>
          <rPr>
            <sz val="9"/>
            <color indexed="81"/>
            <rFont val="Tahoma"/>
            <family val="2"/>
          </rPr>
          <t>Large and faint, northeast of M11 - Irregular; diam. 15' ; BD -6 4941 (mag 7.5) near center; at S end of B 111</t>
        </r>
      </text>
    </comment>
    <comment ref="A756" authorId="0" shapeId="0" xr:uid="{65A952AE-3EF1-4535-ACFC-EC39400E4511}">
      <text>
        <r>
          <rPr>
            <sz val="9"/>
            <color indexed="81"/>
            <rFont val="Tahoma"/>
            <family val="2"/>
          </rPr>
          <t xml:space="preserve">
</t>
        </r>
      </text>
    </comment>
    <comment ref="K756" authorId="0" shapeId="0" xr:uid="{C5EC1F8A-4FEE-45A0-9AB6-3C493DCC3CDC}">
      <text>
        <r>
          <rPr>
            <sz val="9"/>
            <color indexed="81"/>
            <rFont val="Tahoma"/>
            <family val="2"/>
          </rPr>
          <t>Faint - Dusky; 15' long E and W, 7' wide; BD -11 4795 (magnitude 7.8) near W end</t>
        </r>
      </text>
    </comment>
    <comment ref="A757" authorId="0" shapeId="0" xr:uid="{6F83204D-FAC5-4887-A1A9-82837725407E}">
      <text>
        <r>
          <rPr>
            <sz val="9"/>
            <color indexed="81"/>
            <rFont val="Tahoma"/>
            <family val="2"/>
          </rPr>
          <t xml:space="preserve">
</t>
        </r>
      </text>
    </comment>
    <comment ref="K757" authorId="0" shapeId="0" xr:uid="{FE604CFF-1329-4AF5-9822-F2B11E8C54BA}">
      <text>
        <r>
          <rPr>
            <sz val="9"/>
            <color indexed="81"/>
            <rFont val="Tahoma"/>
            <family val="2"/>
          </rPr>
          <t>Faint - Very small; black; diam. 2'; at NE end of the "crescent", B 111</t>
        </r>
      </text>
    </comment>
    <comment ref="A758" authorId="0" shapeId="0" xr:uid="{0AFD99A7-4D66-440F-9A7D-82C81915EB54}">
      <text>
        <r>
          <rPr>
            <sz val="9"/>
            <color indexed="81"/>
            <rFont val="Tahoma"/>
            <family val="2"/>
          </rPr>
          <t xml:space="preserve">
</t>
        </r>
      </text>
    </comment>
    <comment ref="K758" authorId="0" shapeId="0" xr:uid="{BFB07BE2-3513-4B86-BBA3-5A1C710CDD2B}">
      <text>
        <r>
          <rPr>
            <sz val="9"/>
            <color indexed="81"/>
            <rFont val="Tahoma"/>
            <family val="2"/>
          </rPr>
          <t>Faint - A dark parallelogram, 17' N and S; BD -3 4423 (magnitude 9.2) in W part</t>
        </r>
      </text>
    </comment>
    <comment ref="A759" authorId="0" shapeId="0" xr:uid="{4F918360-3193-4708-9DE7-112CFFCAA877}">
      <text>
        <r>
          <rPr>
            <sz val="9"/>
            <color indexed="81"/>
            <rFont val="Tahoma"/>
            <family val="2"/>
          </rPr>
          <t xml:space="preserve">
</t>
        </r>
      </text>
    </comment>
    <comment ref="K759" authorId="0" shapeId="0" xr:uid="{2DB3379B-FA8D-4544-BAA1-F1F7C75F5D10}">
      <text>
        <r>
          <rPr>
            <sz val="9"/>
            <color indexed="81"/>
            <rFont val="Tahoma"/>
            <family val="2"/>
          </rPr>
          <t xml:space="preserve">Faint "R-shaped" dark nebula - Definite, dusky loop. Lane is 2'-4' wide. The length of the E side is 35'. </t>
        </r>
      </text>
    </comment>
    <comment ref="A760" authorId="0" shapeId="0" xr:uid="{AE3EF31D-146A-4B58-A09E-596BBF56BF48}">
      <text>
        <r>
          <rPr>
            <sz val="9"/>
            <color indexed="81"/>
            <rFont val="Tahoma"/>
            <family val="2"/>
          </rPr>
          <t xml:space="preserve">
</t>
        </r>
      </text>
    </comment>
    <comment ref="K760" authorId="0" shapeId="0" xr:uid="{75D7AC5B-8690-4593-9B8F-70C706267C69}">
      <text>
        <r>
          <rPr>
            <sz val="9"/>
            <color indexed="81"/>
            <rFont val="Tahoma"/>
            <family val="2"/>
          </rPr>
          <t>Very faint - Irregular; dusky; 15' NW and SE</t>
        </r>
      </text>
    </comment>
    <comment ref="A761" authorId="0" shapeId="0" xr:uid="{224EBB13-6702-4D75-BA94-9DA5011DD31F}">
      <text>
        <r>
          <rPr>
            <sz val="9"/>
            <color indexed="81"/>
            <rFont val="Tahoma"/>
            <family val="2"/>
          </rPr>
          <t xml:space="preserve">
</t>
        </r>
      </text>
    </comment>
    <comment ref="K761" authorId="0" shapeId="0" xr:uid="{AEB3BE96-B1B3-4EB4-81C7-93205742BB89}">
      <text>
        <r>
          <rPr>
            <sz val="9"/>
            <color indexed="81"/>
            <rFont val="Tahoma"/>
            <family val="2"/>
          </rPr>
          <t>Faint - Narrow; 25' long E and W; 3' wide</t>
        </r>
      </text>
    </comment>
    <comment ref="A762" authorId="0" shapeId="0" xr:uid="{751F0CD0-625B-4BAE-BCF3-65A135D1C12C}">
      <text>
        <r>
          <rPr>
            <sz val="9"/>
            <color indexed="81"/>
            <rFont val="Tahoma"/>
            <family val="2"/>
          </rPr>
          <t xml:space="preserve">
</t>
        </r>
      </text>
    </comment>
    <comment ref="K762" authorId="0" shapeId="0" xr:uid="{C231C45C-6E49-4FF2-9D08-8457660AD06D}">
      <text>
        <r>
          <rPr>
            <sz val="9"/>
            <color indexed="81"/>
            <rFont val="Tahoma"/>
            <family val="2"/>
          </rPr>
          <t>Very faint - Curved, dusky lane; 30' N and S; 3' wide</t>
        </r>
      </text>
    </comment>
    <comment ref="A763" authorId="0" shapeId="0" xr:uid="{48C4C84C-4BCE-4379-BA3A-DA924FFD0A23}">
      <text>
        <r>
          <rPr>
            <sz val="9"/>
            <color indexed="81"/>
            <rFont val="Tahoma"/>
            <family val="2"/>
          </rPr>
          <t xml:space="preserve">
</t>
        </r>
      </text>
    </comment>
    <comment ref="K763" authorId="0" shapeId="0" xr:uid="{97003A4C-9F3D-4343-BE1A-F8EB548D7571}">
      <text>
        <r>
          <rPr>
            <sz val="9"/>
            <color indexed="81"/>
            <rFont val="Tahoma"/>
            <family val="2"/>
          </rPr>
          <t>Faint, near B132 - Small, black; diam. 4'; 13' S of BD -4 4684 (magnitude 5.7)</t>
        </r>
      </text>
    </comment>
    <comment ref="A764" authorId="0" shapeId="0" xr:uid="{75297EE8-24B6-46BA-B529-9D7284250FCA}">
      <text>
        <r>
          <rPr>
            <sz val="9"/>
            <color indexed="81"/>
            <rFont val="Tahoma"/>
            <family val="2"/>
          </rPr>
          <t xml:space="preserve">
</t>
        </r>
      </text>
    </comment>
    <comment ref="K764" authorId="0" shapeId="0" xr:uid="{F6777C94-4F02-47AD-A716-A3A3A22081D4}">
      <text>
        <r>
          <rPr>
            <sz val="9"/>
            <color indexed="81"/>
            <rFont val="Tahoma"/>
            <family val="2"/>
          </rPr>
          <t>Faint - Dusky spot in star cloud; diam. 6' plus or minus; BD +2 3789 (magnitude 9.0) near E edge</t>
        </r>
      </text>
    </comment>
    <comment ref="A765" authorId="0" shapeId="0" xr:uid="{C94775CD-C4AF-418F-A428-1CF47F5C4BE0}">
      <text>
        <r>
          <rPr>
            <sz val="9"/>
            <color indexed="81"/>
            <rFont val="Tahoma"/>
            <family val="2"/>
          </rPr>
          <t xml:space="preserve">
</t>
        </r>
      </text>
    </comment>
    <comment ref="K765" authorId="0" shapeId="0" xr:uid="{514D2552-F6F4-43F9-A3E5-6FC001A7B55B}">
      <text>
        <r>
          <rPr>
            <sz val="9"/>
            <color indexed="81"/>
            <rFont val="Tahoma"/>
            <family val="2"/>
          </rPr>
          <t>Large faint region - Dark; round; diam. 30'; BD +7 4028 (magnitude 7.8) on NE border</t>
        </r>
      </text>
    </comment>
    <comment ref="A766" authorId="0" shapeId="0" xr:uid="{730A7CD2-4328-49D4-A497-2F9B0FA3F102}">
      <text>
        <r>
          <rPr>
            <sz val="9"/>
            <color indexed="81"/>
            <rFont val="Tahoma"/>
            <family val="2"/>
          </rPr>
          <t xml:space="preserve">
</t>
        </r>
      </text>
    </comment>
    <comment ref="K766" authorId="0" shapeId="0" xr:uid="{AEB26E19-34CC-4CEF-AE13-FDA1B8FECDE4}">
      <text>
        <r>
          <rPr>
            <sz val="9"/>
            <color indexed="81"/>
            <rFont val="Tahoma"/>
            <family val="2"/>
          </rPr>
          <t>Very faint - Dusky, narrow lane 1 degree long NW and SE, 3' wide</t>
        </r>
      </text>
    </comment>
    <comment ref="A767" authorId="0" shapeId="0" xr:uid="{78BA4B1B-8D8F-4AD4-90D2-8BCD84CFB44F}">
      <text>
        <r>
          <rPr>
            <sz val="9"/>
            <color indexed="81"/>
            <rFont val="Tahoma"/>
            <family val="2"/>
          </rPr>
          <t xml:space="preserve">
</t>
        </r>
      </text>
    </comment>
    <comment ref="K767" authorId="0" shapeId="0" xr:uid="{F0F4817C-E907-467B-A430-FB9C4EBB9712}">
      <text>
        <r>
          <rPr>
            <sz val="9"/>
            <color indexed="81"/>
            <rFont val="Tahoma"/>
            <family val="2"/>
          </rPr>
          <t>Very faint - Area of dark lanes. A black spot, connected with these lanes, is located 15' N of BD +8 4112 (mag 7.5)</t>
        </r>
      </text>
    </comment>
    <comment ref="A768" authorId="0" shapeId="0" xr:uid="{F3C1B8C4-643E-429C-900D-61EA6C88FC82}">
      <text>
        <r>
          <rPr>
            <sz val="9"/>
            <color indexed="81"/>
            <rFont val="Tahoma"/>
            <family val="2"/>
          </rPr>
          <t xml:space="preserve">
</t>
        </r>
      </text>
    </comment>
    <comment ref="K768" authorId="0" shapeId="0" xr:uid="{F7A6071F-2EA6-433B-B000-AA243FCC0CC5}">
      <text>
        <r>
          <rPr>
            <sz val="9"/>
            <color indexed="81"/>
            <rFont val="Tahoma"/>
            <family val="2"/>
          </rPr>
          <t>Very faint - Area of irregular dark lanes; diam. 1 degree; irregular lanes have a uniform width of about 2'</t>
        </r>
      </text>
    </comment>
    <comment ref="A769" authorId="0" shapeId="0" xr:uid="{0BE0DC21-B4E6-486F-BC6F-4CA9C1E1D60E}">
      <text>
        <r>
          <rPr>
            <sz val="9"/>
            <color indexed="81"/>
            <rFont val="Tahoma"/>
            <family val="2"/>
          </rPr>
          <t xml:space="preserve">
</t>
        </r>
      </text>
    </comment>
    <comment ref="K769" authorId="0" shapeId="0" xr:uid="{1C50EB8E-5BDC-48B8-8B0E-A9AF962184D3}">
      <text>
        <r>
          <rPr>
            <sz val="9"/>
            <color indexed="81"/>
            <rFont val="Tahoma"/>
            <family val="2"/>
          </rPr>
          <t>Faint dark nebula arc - Small, dark marking; diam. 3'</t>
        </r>
      </text>
    </comment>
    <comment ref="A770" authorId="0" shapeId="0" xr:uid="{774DF755-4877-46CA-BAEF-8B323268125F}">
      <text>
        <r>
          <rPr>
            <sz val="9"/>
            <color indexed="81"/>
            <rFont val="Tahoma"/>
            <family val="2"/>
          </rPr>
          <t xml:space="preserve">
</t>
        </r>
      </text>
    </comment>
    <comment ref="K770" authorId="0" shapeId="0" xr:uid="{480C0A6A-CFDE-45DC-963B-8AFD63EAEDF3}">
      <text>
        <r>
          <rPr>
            <sz val="9"/>
            <color indexed="81"/>
            <rFont val="Tahoma"/>
            <family val="2"/>
          </rPr>
          <t>Small and dark -  very black; diam. 6'; in a slightly larger dusky area; BD +7 4151 (magnitude 7.8) near its SW edge</t>
        </r>
      </text>
    </comment>
    <comment ref="A771" authorId="0" shapeId="0" xr:uid="{6304DF7F-8EA6-4594-9B36-4C9A2E3C4A1F}">
      <text>
        <r>
          <rPr>
            <sz val="9"/>
            <color indexed="81"/>
            <rFont val="Tahoma"/>
            <family val="2"/>
          </rPr>
          <t xml:space="preserve">
</t>
        </r>
      </text>
    </comment>
    <comment ref="K771" authorId="0" shapeId="0" xr:uid="{0C24CA28-E615-4F29-9B65-BEF240C7E152}">
      <text>
        <r>
          <rPr>
            <sz val="9"/>
            <color indexed="81"/>
            <rFont val="Tahoma"/>
            <family val="2"/>
          </rPr>
          <t>Small and faint - Dark; diam. 1'-2'; in a slightly larger vacant space; BD +11 3912 (magnitude 8.6) in SW part</t>
        </r>
      </text>
    </comment>
    <comment ref="A772" authorId="0" shapeId="0" xr:uid="{F84A510B-882A-4E74-87F6-0A79722C4759}">
      <text>
        <r>
          <rPr>
            <sz val="9"/>
            <color indexed="81"/>
            <rFont val="Tahoma"/>
            <family val="2"/>
          </rPr>
          <t xml:space="preserve">
</t>
        </r>
      </text>
    </comment>
    <comment ref="K772" authorId="0" shapeId="0" xr:uid="{BB907995-C1B0-4B8E-AFC4-E1813E7B17CF}">
      <text>
        <r>
          <rPr>
            <sz val="9"/>
            <color indexed="81"/>
            <rFont val="Tahoma"/>
            <family val="2"/>
          </rPr>
          <t>Faint - Dark; diam. 3', with narrow extension for 17' to NW. This small spot is in dark space in star cloud.</t>
        </r>
      </text>
    </comment>
    <comment ref="A773" authorId="0" shapeId="0" xr:uid="{08628B23-2940-4453-BA6C-72176FFF3E59}">
      <text>
        <r>
          <rPr>
            <sz val="9"/>
            <color indexed="81"/>
            <rFont val="Tahoma"/>
            <family val="2"/>
          </rPr>
          <t xml:space="preserve">
</t>
        </r>
      </text>
    </comment>
    <comment ref="K773" authorId="0" shapeId="0" xr:uid="{544CF54E-C320-4CEE-88D9-3A580861BCAF}">
      <text>
        <r>
          <rPr>
            <sz val="9"/>
            <color indexed="81"/>
            <rFont val="Tahoma"/>
            <family val="2"/>
          </rPr>
          <t>Faint - Dusky; diam. 8'; just S of BD +7 4191 (magnitude 8.8); in S part of B 339</t>
        </r>
      </text>
    </comment>
    <comment ref="A774" authorId="0" shapeId="0" xr:uid="{6E5BE146-7F28-4B33-87EA-AFCD22E318CF}">
      <text>
        <r>
          <rPr>
            <sz val="9"/>
            <color indexed="81"/>
            <rFont val="Tahoma"/>
            <family val="2"/>
          </rPr>
          <t xml:space="preserve">
</t>
        </r>
      </text>
    </comment>
    <comment ref="K774" authorId="0" shapeId="0" xr:uid="{20A9D9D2-7B1B-42EE-AEA2-08A84AD8D97C}">
      <text>
        <r>
          <rPr>
            <sz val="9"/>
            <color indexed="81"/>
            <rFont val="Tahoma"/>
            <family val="2"/>
          </rPr>
          <t>Very faint - Broken, dusky region covering more than 1 degree</t>
        </r>
      </text>
    </comment>
    <comment ref="A775" authorId="0" shapeId="0" xr:uid="{45661E77-B369-4272-A5ED-84CEEC7A2EE5}">
      <text>
        <r>
          <rPr>
            <sz val="9"/>
            <color indexed="81"/>
            <rFont val="Tahoma"/>
            <family val="2"/>
          </rPr>
          <t xml:space="preserve">
</t>
        </r>
      </text>
    </comment>
    <comment ref="K775" authorId="0" shapeId="0" xr:uid="{51C37C69-4A21-4DD9-9AD4-0CAC44CEE9BA}">
      <text>
        <r>
          <rPr>
            <sz val="9"/>
            <color indexed="81"/>
            <rFont val="Tahoma"/>
            <family val="2"/>
          </rPr>
          <t>Light nebula - Irregular, curved; diam. 7'; 25' S of BD +11 3994 (magnitude 5.8); a narrow extension for 15' to the N</t>
        </r>
      </text>
    </comment>
    <comment ref="A776" authorId="0" shapeId="0" xr:uid="{EFE36735-9283-49A9-9A77-79F9E5659A86}">
      <text>
        <r>
          <rPr>
            <sz val="9"/>
            <color indexed="81"/>
            <rFont val="Tahoma"/>
            <family val="2"/>
          </rPr>
          <t xml:space="preserve">
</t>
        </r>
      </text>
    </comment>
    <comment ref="K776" authorId="0" shapeId="0" xr:uid="{146E2D5E-D4F4-4CE4-86F9-260A61B74368}">
      <text>
        <r>
          <rPr>
            <sz val="9"/>
            <color indexed="81"/>
            <rFont val="Tahoma"/>
            <family val="2"/>
          </rPr>
          <t>Very faint -  - Narrow, dark lane, about 30' E and W. One of several dark lines in region. Narrow, 1.5' wide.</t>
        </r>
      </text>
    </comment>
    <comment ref="A777" authorId="0" shapeId="0" xr:uid="{CC45A941-7DD8-4943-9405-198045083EF8}">
      <text>
        <r>
          <rPr>
            <sz val="9"/>
            <color indexed="81"/>
            <rFont val="Tahoma"/>
            <family val="2"/>
          </rPr>
          <t xml:space="preserve">
</t>
        </r>
      </text>
    </comment>
    <comment ref="K777" authorId="0" shapeId="0" xr:uid="{E8BA1A75-3F6C-4AAE-9FA0-2B1E77363DFA}">
      <text>
        <r>
          <rPr>
            <sz val="9"/>
            <color indexed="81"/>
            <rFont val="Tahoma"/>
            <family val="2"/>
          </rPr>
          <t>Small and faint - dark marking; 4' E and W</t>
        </r>
      </text>
    </comment>
    <comment ref="A778" authorId="0" shapeId="0" xr:uid="{8C80E080-8F22-4471-A2A8-358C1D848F77}">
      <text>
        <r>
          <rPr>
            <sz val="9"/>
            <color indexed="81"/>
            <rFont val="Tahoma"/>
            <family val="2"/>
          </rPr>
          <t xml:space="preserve">
</t>
        </r>
      </text>
    </comment>
    <comment ref="K778" authorId="0" shapeId="0" xr:uid="{9F9688D7-82D2-40EF-8ABF-C7CE821D1485}">
      <text>
        <r>
          <rPr>
            <sz val="9"/>
            <color indexed="81"/>
            <rFont val="Tahoma"/>
            <family val="2"/>
          </rPr>
          <t>Beautifully positioned in center of bright nebula field - Elongated; 13' long NW and SE; sharpest at SE end</t>
        </r>
      </text>
    </comment>
    <comment ref="A779" authorId="0" shapeId="0" xr:uid="{F23E8422-6E9E-4C41-B92C-8ABA534C958A}">
      <text>
        <r>
          <rPr>
            <sz val="9"/>
            <color indexed="81"/>
            <rFont val="Tahoma"/>
            <family val="2"/>
          </rPr>
          <t xml:space="preserve">
</t>
        </r>
      </text>
    </comment>
    <comment ref="K779" authorId="0" shapeId="0" xr:uid="{8DD18D59-80C2-4A7B-AB20-58C9597E1E93}">
      <text>
        <r>
          <rPr>
            <sz val="9"/>
            <color indexed="81"/>
            <rFont val="Tahoma"/>
            <family val="2"/>
          </rPr>
          <t>Patch of dark nebulosity in bright Cygnus region - Dusky spot, 7' long; like arrowhead, pointed SW; small star at NE end</t>
        </r>
      </text>
    </comment>
    <comment ref="A780" authorId="0" shapeId="0" xr:uid="{0ED2E6FA-E8CE-4603-ACED-B8C43C6D28DD}">
      <text>
        <r>
          <rPr>
            <sz val="9"/>
            <color indexed="81"/>
            <rFont val="Tahoma"/>
            <family val="2"/>
          </rPr>
          <t xml:space="preserve">
</t>
        </r>
      </text>
    </comment>
    <comment ref="K780" authorId="0" shapeId="0" xr:uid="{EC2760F9-D4D8-46C5-AAED-A414E050FC19}">
      <text>
        <r>
          <rPr>
            <sz val="9"/>
            <color indexed="81"/>
            <rFont val="Tahoma"/>
            <family val="2"/>
          </rPr>
          <t>Patch of dark nebulosity in bright Cygnus region - Curved; convex to E; 15' long; bordered by 2 curves of stars.</t>
        </r>
      </text>
    </comment>
    <comment ref="A781" authorId="0" shapeId="0" xr:uid="{D2CEB014-0080-4FBA-A8FC-C704898112C2}">
      <text>
        <r>
          <rPr>
            <sz val="9"/>
            <color indexed="81"/>
            <rFont val="Tahoma"/>
            <family val="2"/>
          </rPr>
          <t xml:space="preserve">
</t>
        </r>
      </text>
    </comment>
    <comment ref="K781" authorId="0" shapeId="0" xr:uid="{871799E9-83CF-4147-A33B-F0F0DA96CD46}">
      <text>
        <r>
          <rPr>
            <sz val="9"/>
            <color indexed="81"/>
            <rFont val="Tahoma"/>
            <family val="2"/>
          </rPr>
          <t>Patch of dark nebulosity in bright Cygnus region - Curved, black spot; diam. 10'; embraces to N a triangular mass of stars</t>
        </r>
      </text>
    </comment>
    <comment ref="A782" authorId="0" shapeId="0" xr:uid="{13838E45-E630-4AD9-8EAE-B7BEBF56707C}">
      <text>
        <r>
          <rPr>
            <sz val="9"/>
            <color indexed="81"/>
            <rFont val="Tahoma"/>
            <family val="2"/>
          </rPr>
          <t xml:space="preserve">
</t>
        </r>
      </text>
    </comment>
    <comment ref="K782" authorId="0" shapeId="0" xr:uid="{DA4B4A53-F20A-4C1E-8451-6A1DEAB6EA95}">
      <text>
        <r>
          <rPr>
            <sz val="9"/>
            <color indexed="81"/>
            <rFont val="Tahoma"/>
            <family val="2"/>
          </rPr>
          <t>Dark "hole" in IC1318 nebula complex - less than 1' wide, extending 10' SW from BD +39 4206 (magnitude 8.8)</t>
        </r>
      </text>
    </comment>
    <comment ref="A783" authorId="0" shapeId="0" xr:uid="{E44CCD4B-CA93-40B3-BC92-59ABFB421A02}">
      <text>
        <r>
          <rPr>
            <sz val="9"/>
            <color indexed="81"/>
            <rFont val="Tahoma"/>
            <family val="2"/>
          </rPr>
          <t xml:space="preserve">
</t>
        </r>
      </text>
    </comment>
    <comment ref="K783" authorId="0" shapeId="0" xr:uid="{CF564CE2-B7F5-48BF-A47D-6E2EF0673B19}">
      <text>
        <r>
          <rPr>
            <sz val="9"/>
            <color indexed="81"/>
            <rFont val="Tahoma"/>
            <family val="2"/>
          </rPr>
          <t>Very faint - Narrow, dusky; nearly 1 deg long NE and SW. The southwest end of this dusky lane curves west and then north</t>
        </r>
      </text>
    </comment>
    <comment ref="A784" authorId="0" shapeId="0" xr:uid="{97DE656D-9548-4A2C-8E6C-382727D04643}">
      <text>
        <r>
          <rPr>
            <sz val="9"/>
            <color indexed="81"/>
            <rFont val="Tahoma"/>
            <family val="2"/>
          </rPr>
          <t xml:space="preserve">
</t>
        </r>
      </text>
    </comment>
    <comment ref="K784" authorId="0" shapeId="0" xr:uid="{6F34CAF7-D7A9-4FD9-BB1F-5AEA9027734F}">
      <text>
        <r>
          <rPr>
            <sz val="9"/>
            <color indexed="81"/>
            <rFont val="Tahoma"/>
            <family val="2"/>
          </rPr>
          <t>Dark nebulosity west of IC 5070 (Pelican Nebula) - Small, curved, dusky; diam. 6'. Elongated north and south</t>
        </r>
      </text>
    </comment>
    <comment ref="A785" authorId="0" shapeId="0" xr:uid="{69222B31-487E-4CDF-A570-A29504BCCB5F}">
      <text>
        <r>
          <rPr>
            <sz val="9"/>
            <color indexed="81"/>
            <rFont val="Tahoma"/>
            <family val="2"/>
          </rPr>
          <t xml:space="preserve">
</t>
        </r>
      </text>
    </comment>
    <comment ref="K785" authorId="0" shapeId="0" xr:uid="{05F8D56E-CDEF-4528-B561-8B8122F4AEF4}">
      <text>
        <r>
          <rPr>
            <sz val="9"/>
            <color indexed="81"/>
            <rFont val="Tahoma"/>
            <family val="2"/>
          </rPr>
          <t>Very faint - Small, round, dusky; diam. 3'; 14' S of BD +45 3291 (magnitude 5.6)</t>
        </r>
      </text>
    </comment>
    <comment ref="A786" authorId="0" shapeId="0" xr:uid="{842C1A46-E297-4060-A7DF-9D28423D90C9}">
      <text>
        <r>
          <rPr>
            <sz val="9"/>
            <color indexed="81"/>
            <rFont val="Tahoma"/>
            <family val="2"/>
          </rPr>
          <t xml:space="preserve">
</t>
        </r>
      </text>
    </comment>
    <comment ref="K786" authorId="0" shapeId="0" xr:uid="{27842439-41C8-4E2B-A62A-A2040F764DBE}">
      <text>
        <r>
          <rPr>
            <sz val="9"/>
            <color indexed="81"/>
            <rFont val="Tahoma"/>
            <family val="2"/>
          </rPr>
          <t>Faint - Crooked, dusky lane, 3' wide, 25' long NE and SW; 1/2 degree W of BD +46 3111 (magnitude 6.0)</t>
        </r>
      </text>
    </comment>
    <comment ref="A787" authorId="0" shapeId="0" xr:uid="{3F4AB5E6-BAA4-4C89-9FE7-776FAEA5E407}">
      <text>
        <r>
          <rPr>
            <sz val="9"/>
            <color indexed="81"/>
            <rFont val="Tahoma"/>
            <family val="2"/>
          </rPr>
          <t xml:space="preserve">
</t>
        </r>
      </text>
    </comment>
    <comment ref="K787" authorId="0" shapeId="0" xr:uid="{A7E2C4BC-E194-4A7F-8A2A-D2A3486E6239}">
      <text>
        <r>
          <rPr>
            <sz val="9"/>
            <color indexed="81"/>
            <rFont val="Tahoma"/>
            <family val="2"/>
          </rPr>
          <t>Not very dark, shows up nicely in bright star field. - Large; black; diam. 22'; sharply defined on SE side</t>
        </r>
      </text>
    </comment>
    <comment ref="A788" authorId="0" shapeId="0" xr:uid="{9D518CFF-D66B-4114-BC1A-C49E20B05F0D}">
      <text>
        <r>
          <rPr>
            <sz val="9"/>
            <color indexed="81"/>
            <rFont val="Tahoma"/>
            <family val="2"/>
          </rPr>
          <t xml:space="preserve">
</t>
        </r>
      </text>
    </comment>
    <comment ref="K788" authorId="0" shapeId="0" xr:uid="{13446FA9-604D-46BB-A08C-6F374182DC43}">
      <text>
        <r>
          <rPr>
            <sz val="9"/>
            <color indexed="81"/>
            <rFont val="Tahoma"/>
            <family val="2"/>
          </rPr>
          <t>Faint dark nebula surrounding the lovely NGC 6996 cluster - Definite; dusky; 12' N and S; 6' wide</t>
        </r>
      </text>
    </comment>
    <comment ref="A789" authorId="0" shapeId="0" xr:uid="{507A08A1-EC6F-46E7-94C7-202666CE9749}">
      <text>
        <r>
          <rPr>
            <sz val="9"/>
            <color indexed="81"/>
            <rFont val="Tahoma"/>
            <family val="2"/>
          </rPr>
          <t xml:space="preserve">
</t>
        </r>
      </text>
    </comment>
    <comment ref="K789" authorId="0" shapeId="0" xr:uid="{5AD81AD7-D062-443D-AA39-F5C33309E16B}">
      <text>
        <r>
          <rPr>
            <sz val="9"/>
            <color indexed="81"/>
            <rFont val="Tahoma"/>
            <family val="2"/>
          </rPr>
          <t>Very faint - Dusky; irregular; 1 degree NE and SW</t>
        </r>
      </text>
    </comment>
    <comment ref="A790" authorId="0" shapeId="0" xr:uid="{DD35D30D-BB32-4724-BF38-2A1A6A42B859}">
      <text>
        <r>
          <rPr>
            <sz val="9"/>
            <color indexed="81"/>
            <rFont val="Tahoma"/>
            <family val="2"/>
          </rPr>
          <t xml:space="preserve">
</t>
        </r>
      </text>
    </comment>
    <comment ref="K790" authorId="0" shapeId="0" xr:uid="{681E0BC6-935C-4F79-885C-2A0EFB73794A}">
      <text>
        <r>
          <rPr>
            <sz val="9"/>
            <color indexed="81"/>
            <rFont val="Tahoma"/>
            <family val="2"/>
          </rPr>
          <t>Bird shaped dark nebulosity close to NGC 7000  - Dark; definite; 5' E and W</t>
        </r>
      </text>
    </comment>
    <comment ref="A791" authorId="0" shapeId="0" xr:uid="{FE541E3A-0AA0-44AF-808F-487A8012DBCC}">
      <text>
        <r>
          <rPr>
            <sz val="9"/>
            <color indexed="81"/>
            <rFont val="Tahoma"/>
            <family val="2"/>
          </rPr>
          <t xml:space="preserve">
</t>
        </r>
      </text>
    </comment>
    <comment ref="K791" authorId="0" shapeId="0" xr:uid="{8C2C7CDD-6D5B-4752-AA00-A4C7612E34C3}">
      <text>
        <r>
          <rPr>
            <sz val="9"/>
            <color indexed="81"/>
            <rFont val="Tahoma"/>
            <family val="2"/>
          </rPr>
          <t>Faint with some good detail - Irregular; dusky; diam. 24; BD +46 3141 (mag 7.6) on SE border</t>
        </r>
      </text>
    </comment>
    <comment ref="A792" authorId="0" shapeId="0" xr:uid="{60109E06-DCB9-4592-9B53-2B2B45EA678F}">
      <text>
        <r>
          <rPr>
            <sz val="9"/>
            <color indexed="81"/>
            <rFont val="Tahoma"/>
            <family val="2"/>
          </rPr>
          <t xml:space="preserve">
</t>
        </r>
      </text>
    </comment>
    <comment ref="K792" authorId="0" shapeId="0" xr:uid="{5B49E2B9-778C-44BD-90B9-6C7CFD0EAAE9}">
      <text>
        <r>
          <rPr>
            <sz val="9"/>
            <color indexed="81"/>
            <rFont val="Tahoma"/>
            <family val="2"/>
          </rPr>
          <t>Faint - Irregular; dusky; diam. 30; BD +55 2495 (magnitude 7.9) in NW edge; BD +54 2455 (magnitude 9.0) near center</t>
        </r>
      </text>
    </comment>
    <comment ref="A793" authorId="0" shapeId="0" xr:uid="{03F3B65E-436B-4DFF-8113-ADC08DE0CEEF}">
      <text>
        <r>
          <rPr>
            <sz val="9"/>
            <color indexed="81"/>
            <rFont val="Tahoma"/>
            <family val="2"/>
          </rPr>
          <t xml:space="preserve">
</t>
        </r>
      </text>
    </comment>
    <comment ref="K793" authorId="0" shapeId="0" xr:uid="{005D7494-DA5E-4A01-87B2-D1097AE65449}">
      <text>
        <r>
          <rPr>
            <sz val="9"/>
            <color indexed="81"/>
            <rFont val="Tahoma"/>
            <family val="2"/>
          </rPr>
          <t>Faint and interesting structure - Diam. 20'; diffuses to NE; a curve of stars along N edge</t>
        </r>
      </text>
    </comment>
    <comment ref="A794" authorId="0" shapeId="0" xr:uid="{0EA3B0EA-7DF3-41FC-905E-0B7DB18FAA5B}">
      <text>
        <r>
          <rPr>
            <sz val="9"/>
            <color indexed="81"/>
            <rFont val="Tahoma"/>
            <family val="2"/>
          </rPr>
          <t xml:space="preserve">
</t>
        </r>
      </text>
    </comment>
    <comment ref="K794" authorId="0" shapeId="0" xr:uid="{9B1F8288-1BA0-478C-A3F5-F350AAF21FA1}">
      <text>
        <r>
          <rPr>
            <sz val="9"/>
            <color indexed="81"/>
            <rFont val="Tahoma"/>
            <family val="2"/>
          </rPr>
          <t>Very faint - Narrow; dusky; 20' long NE and SW; BD +56 2527 (magnitude 8.7) about 7' W of SW end.</t>
        </r>
      </text>
    </comment>
    <comment ref="A795" authorId="0" shapeId="0" xr:uid="{DAD2E6E3-3706-4316-8F7D-60F10EE421C3}">
      <text>
        <r>
          <rPr>
            <sz val="9"/>
            <color indexed="81"/>
            <rFont val="Tahoma"/>
            <family val="2"/>
          </rPr>
          <t xml:space="preserve">
</t>
        </r>
      </text>
    </comment>
    <comment ref="K795" authorId="0" shapeId="0" xr:uid="{6CBE964D-52B0-4338-847A-AA73C706D0E3}">
      <text>
        <r>
          <rPr>
            <sz val="9"/>
            <color indexed="81"/>
            <rFont val="Tahoma"/>
            <family val="2"/>
          </rPr>
          <t>Very faint - Irregular, dark marking. This, together with dusky space in which B 151 is located, forms zigzag 54' long.</t>
        </r>
      </text>
    </comment>
    <comment ref="A796" authorId="0" shapeId="0" xr:uid="{E6BB9212-3969-41D0-A68D-DCF7584D5771}">
      <text>
        <r>
          <rPr>
            <sz val="9"/>
            <color indexed="81"/>
            <rFont val="Tahoma"/>
            <family val="2"/>
          </rPr>
          <t xml:space="preserve">
</t>
        </r>
      </text>
    </comment>
    <comment ref="K796" authorId="0" shapeId="0" xr:uid="{01554AB5-D94D-469F-B4BA-EDEA84F57824}">
      <text>
        <r>
          <rPr>
            <sz val="9"/>
            <color indexed="81"/>
            <rFont val="Tahoma"/>
            <family val="2"/>
          </rPr>
          <t>Circular with trailing lane - Round; diam. 20'; irreg. extension to W for 1/2 degree</t>
        </r>
      </text>
    </comment>
    <comment ref="A797" authorId="0" shapeId="0" xr:uid="{A5B0C02D-BBD0-4424-8338-7DA722ECACB7}">
      <text>
        <r>
          <rPr>
            <sz val="9"/>
            <color indexed="81"/>
            <rFont val="Tahoma"/>
            <family val="2"/>
          </rPr>
          <t xml:space="preserve">
</t>
        </r>
      </text>
    </comment>
    <comment ref="K797" authorId="0" shapeId="0" xr:uid="{390CBF1D-B5B6-4F97-B8AD-7F942A048E2F}">
      <text>
        <r>
          <rPr>
            <sz val="9"/>
            <color indexed="81"/>
            <rFont val="Tahoma"/>
            <family val="2"/>
          </rPr>
          <t>Faint - Elongated; 15' NE and SW; BD +49 3517 (magnitude 9.0) on NE edge</t>
        </r>
      </text>
    </comment>
    <comment ref="A798" authorId="0" shapeId="0" xr:uid="{AB8D796D-0327-4D13-A424-1F50DA421E39}">
      <text>
        <r>
          <rPr>
            <sz val="9"/>
            <color indexed="81"/>
            <rFont val="Tahoma"/>
            <family val="2"/>
          </rPr>
          <t xml:space="preserve">
</t>
        </r>
      </text>
    </comment>
    <comment ref="K798" authorId="0" shapeId="0" xr:uid="{865CF381-1376-42A6-B8ED-209FCB731837}">
      <text>
        <r>
          <rPr>
            <sz val="9"/>
            <color indexed="81"/>
            <rFont val="Tahoma"/>
            <family val="2"/>
          </rPr>
          <t>Faint - Irregular; dusky; 40' long NE and SW; BD +48 3390 (magnitude 5.5) 7' plus or minus E of SE side</t>
        </r>
      </text>
    </comment>
    <comment ref="A799" authorId="0" shapeId="0" xr:uid="{8D484C27-1284-4D61-8A95-C63658DFAF87}">
      <text>
        <r>
          <rPr>
            <sz val="9"/>
            <color indexed="81"/>
            <rFont val="Tahoma"/>
            <family val="2"/>
          </rPr>
          <t xml:space="preserve">
</t>
        </r>
      </text>
    </comment>
    <comment ref="K799" authorId="0" shapeId="0" xr:uid="{B3CD6F3F-B7B5-4248-97C6-482FD854E3E3}">
      <text>
        <r>
          <rPr>
            <sz val="9"/>
            <color indexed="81"/>
            <rFont val="Tahoma"/>
            <family val="2"/>
          </rPr>
          <t>Faint - Region of many small dark lanes; diam. 1 1/4 degree</t>
        </r>
      </text>
    </comment>
    <comment ref="A800" authorId="0" shapeId="0" xr:uid="{6B6BAD75-1779-4F37-8116-CA596AA5B08F}">
      <text>
        <r>
          <rPr>
            <sz val="9"/>
            <color indexed="81"/>
            <rFont val="Tahoma"/>
            <family val="2"/>
          </rPr>
          <t xml:space="preserve">
</t>
        </r>
      </text>
    </comment>
    <comment ref="K800" authorId="0" shapeId="0" xr:uid="{13D2F8CD-E055-4D90-A933-A11D7F52FE1F}">
      <text>
        <r>
          <rPr>
            <sz val="9"/>
            <color indexed="81"/>
            <rFont val="Tahoma"/>
            <family val="2"/>
          </rPr>
          <t>Part of the IC1396 emission complex - Dark S-shaped object; 22' long N and S; BD +55 2604 (mag 9.0) near SW end</t>
        </r>
      </text>
    </comment>
    <comment ref="A801" authorId="0" shapeId="0" xr:uid="{6F8BD8C4-9B4A-4D5F-9430-645962F3097B}">
      <text>
        <r>
          <rPr>
            <sz val="9"/>
            <color indexed="81"/>
            <rFont val="Tahoma"/>
            <family val="2"/>
          </rPr>
          <t xml:space="preserve">
</t>
        </r>
      </text>
    </comment>
    <comment ref="K801" authorId="0" shapeId="0" xr:uid="{861FABE1-6213-4476-9EA0-8F13363B2AB0}">
      <text>
        <r>
          <rPr>
            <sz val="9"/>
            <color indexed="81"/>
            <rFont val="Tahoma"/>
            <family val="2"/>
          </rPr>
          <t>Faint - Roundish; dusky; diam. 10'; 12' S of BD +59 2409 (magnitude 6.9); two small stars on N border</t>
        </r>
      </text>
    </comment>
    <comment ref="A802" authorId="0" shapeId="0" xr:uid="{5AC08EDF-91E5-4D6B-A185-89DD38584AE4}">
      <text>
        <r>
          <rPr>
            <sz val="9"/>
            <color indexed="81"/>
            <rFont val="Tahoma"/>
            <family val="2"/>
          </rPr>
          <t xml:space="preserve">
</t>
        </r>
      </text>
    </comment>
    <comment ref="K802" authorId="0" shapeId="0" xr:uid="{4FBC7C7B-29C0-425B-95A4-5D03806DFE38}">
      <text>
        <r>
          <rPr>
            <sz val="9"/>
            <color indexed="81"/>
            <rFont val="Tahoma"/>
            <family val="2"/>
          </rPr>
          <t>Small dark nebula near IC1396 - Small; dark; 5' NW and SE; about 5' NW of BD +56 2635 (magnitude 9.5)</t>
        </r>
      </text>
    </comment>
    <comment ref="A803" authorId="0" shapeId="0" xr:uid="{BC127BFF-74BE-4486-9470-7E654A565B90}">
      <text>
        <r>
          <rPr>
            <sz val="9"/>
            <color indexed="81"/>
            <rFont val="Tahoma"/>
            <family val="2"/>
          </rPr>
          <t xml:space="preserve">
</t>
        </r>
      </text>
    </comment>
    <comment ref="K803" authorId="0" shapeId="0" xr:uid="{B240B54F-BF81-4F88-A33F-820839E5F418}">
      <text>
        <r>
          <rPr>
            <sz val="9"/>
            <color indexed="81"/>
            <rFont val="Tahoma"/>
            <family val="2"/>
          </rPr>
          <t>Faint - Dusky spot, 14' long NE and SW; a row of small stars in it; about 4' SW of BD +58 2340 (magnitude 9.0)</t>
        </r>
      </text>
    </comment>
    <comment ref="A804" authorId="0" shapeId="0" xr:uid="{61C68485-20F6-42CF-92FB-C9FA1FA0C633}">
      <text>
        <r>
          <rPr>
            <sz val="9"/>
            <color indexed="81"/>
            <rFont val="Tahoma"/>
            <family val="2"/>
          </rPr>
          <t xml:space="preserve">
</t>
        </r>
      </text>
    </comment>
    <comment ref="K804" authorId="0" shapeId="0" xr:uid="{A7736056-D9A7-4C60-BFAC-7002591A7E18}">
      <text>
        <r>
          <rPr>
            <sz val="9"/>
            <color indexed="81"/>
            <rFont val="Tahoma"/>
            <family val="2"/>
          </rPr>
          <t>Faint - Round; dusky; diam. 5'; about 13' NE of BD +55 2709 (magnitude 7.8)</t>
        </r>
      </text>
    </comment>
    <comment ref="A805" authorId="0" shapeId="0" xr:uid="{E048FD97-C940-4F37-95B7-751456335CDF}">
      <text>
        <r>
          <rPr>
            <sz val="9"/>
            <color indexed="81"/>
            <rFont val="Tahoma"/>
            <family val="2"/>
          </rPr>
          <t xml:space="preserve">
</t>
        </r>
      </text>
    </comment>
    <comment ref="K805" authorId="0" shapeId="0" xr:uid="{A7E9EA7F-0F18-4364-91F7-4B9B646BC361}">
      <text>
        <r>
          <rPr>
            <sz val="9"/>
            <color indexed="81"/>
            <rFont val="Tahoma"/>
            <family val="2"/>
          </rPr>
          <t>Very faint - Region of narrow dark lanes</t>
        </r>
      </text>
    </comment>
    <comment ref="A806" authorId="0" shapeId="0" xr:uid="{8145A2AB-763F-4A1E-BD7A-B99E29D63E32}">
      <text>
        <r>
          <rPr>
            <sz val="9"/>
            <color indexed="81"/>
            <rFont val="Tahoma"/>
            <family val="2"/>
          </rPr>
          <t xml:space="preserve">
</t>
        </r>
      </text>
    </comment>
    <comment ref="K806" authorId="0" shapeId="0" xr:uid="{794CC284-7F3B-4BC0-AC25-8CD1C27BA274}">
      <text>
        <r>
          <rPr>
            <sz val="9"/>
            <color indexed="81"/>
            <rFont val="Tahoma"/>
            <family val="2"/>
          </rPr>
          <t>A huge HII loop, about 18 x 14 degrees</t>
        </r>
      </text>
    </comment>
    <comment ref="A807" authorId="0" shapeId="0" xr:uid="{1F297535-EB95-4907-8EF6-B6CB277CD107}">
      <text>
        <r>
          <rPr>
            <sz val="9"/>
            <color indexed="81"/>
            <rFont val="Tahoma"/>
            <family val="2"/>
          </rPr>
          <t xml:space="preserve">
</t>
        </r>
      </text>
    </comment>
    <comment ref="K807" authorId="0" shapeId="0" xr:uid="{5FC122F5-503A-4857-9A41-9AAA1A2E660C}">
      <text>
        <r>
          <rPr>
            <sz val="9"/>
            <color indexed="81"/>
            <rFont val="Tahoma"/>
            <family val="2"/>
          </rPr>
          <t>Highest proper motion of any star, seen year to year.  2nd closest star to our sun.</t>
        </r>
      </text>
    </comment>
    <comment ref="A808" authorId="0" shapeId="0" xr:uid="{FE1D0FB5-1E60-422B-AE6B-E182300F4E30}">
      <text>
        <r>
          <rPr>
            <sz val="9"/>
            <color indexed="81"/>
            <rFont val="Tahoma"/>
            <family val="2"/>
          </rPr>
          <t xml:space="preserve">
</t>
        </r>
      </text>
    </comment>
    <comment ref="K808" authorId="0" shapeId="0" xr:uid="{B510FD2A-FEB7-4B24-BD93-08B1D0D0FEC3}">
      <text>
        <r>
          <rPr>
            <sz val="9"/>
            <color indexed="81"/>
            <rFont val="Tahoma"/>
            <family val="2"/>
          </rPr>
          <t>Mountain-like HII emission on cloud front</t>
        </r>
      </text>
    </comment>
    <comment ref="A809" authorId="0" shapeId="0" xr:uid="{1FE8694F-7C96-4BE7-A98C-96BECA900509}">
      <text>
        <r>
          <rPr>
            <sz val="9"/>
            <color indexed="81"/>
            <rFont val="Tahoma"/>
            <family val="2"/>
          </rPr>
          <t xml:space="preserve">
</t>
        </r>
      </text>
    </comment>
    <comment ref="K809" authorId="0" shapeId="0" xr:uid="{B1424754-E8C1-425A-90F5-9C883B354A14}">
      <text>
        <r>
          <rPr>
            <sz val="9"/>
            <color indexed="81"/>
            <rFont val="Tahoma"/>
            <family val="2"/>
          </rPr>
          <t xml:space="preserve">The most distant OC from the core of our galaxy.  It lies 70,000 ly from the galactic center.  </t>
        </r>
      </text>
    </comment>
    <comment ref="A810" authorId="0" shapeId="0" xr:uid="{42FB7022-1CED-46B7-B2CF-F3BCB954831B}">
      <text>
        <r>
          <rPr>
            <sz val="9"/>
            <color indexed="81"/>
            <rFont val="Tahoma"/>
            <family val="2"/>
          </rPr>
          <t xml:space="preserve">
</t>
        </r>
      </text>
    </comment>
    <comment ref="K810" authorId="0" shapeId="0" xr:uid="{824FDF6D-ADAA-4996-AFA3-B83A6C586D53}">
      <text>
        <r>
          <rPr>
            <sz val="9"/>
            <color indexed="81"/>
            <rFont val="Tahoma"/>
            <family val="2"/>
          </rPr>
          <t>Tough cluster to pick out from background.</t>
        </r>
      </text>
    </comment>
    <comment ref="A811" authorId="0" shapeId="0" xr:uid="{598C6630-B826-4521-9F6E-A57CCB55D696}">
      <text>
        <r>
          <rPr>
            <sz val="9"/>
            <color indexed="81"/>
            <rFont val="Tahoma"/>
            <family val="2"/>
          </rPr>
          <t xml:space="preserve">
</t>
        </r>
      </text>
    </comment>
    <comment ref="K811" authorId="0" shapeId="0" xr:uid="{71B361FF-B509-48F0-A27E-215A70AE1D06}">
      <text>
        <r>
          <rPr>
            <sz val="9"/>
            <color indexed="81"/>
            <rFont val="Tahoma"/>
            <family val="2"/>
          </rPr>
          <t>Challenging dark nebula with bright blue star at one end</t>
        </r>
      </text>
    </comment>
    <comment ref="A812" authorId="0" shapeId="0" xr:uid="{939EE09B-A8B4-4F6C-B587-BC2D6E2FA54E}">
      <text>
        <r>
          <rPr>
            <sz val="9"/>
            <color indexed="81"/>
            <rFont val="Tahoma"/>
            <family val="2"/>
          </rPr>
          <t xml:space="preserve">
</t>
        </r>
      </text>
    </comment>
    <comment ref="K812" authorId="0" shapeId="0" xr:uid="{6D633073-EF4F-4007-B438-1E8DE8B89E37}">
      <text>
        <r>
          <rPr>
            <sz val="9"/>
            <color indexed="81"/>
            <rFont val="Tahoma"/>
            <family val="2"/>
          </rPr>
          <t>Darkest nebula (opacity=6) plus beautiful blue reflection nebula.</t>
        </r>
      </text>
    </comment>
    <comment ref="A813" authorId="0" shapeId="0" xr:uid="{18E474A8-175D-4D3E-B1EA-9449CB421800}">
      <text>
        <r>
          <rPr>
            <sz val="9"/>
            <color indexed="81"/>
            <rFont val="Tahoma"/>
            <family val="2"/>
          </rPr>
          <t xml:space="preserve">
</t>
        </r>
      </text>
    </comment>
    <comment ref="K813" authorId="0" shapeId="0" xr:uid="{6FE8E153-654E-497C-B2A1-7AFCDB52D413}">
      <text>
        <r>
          <rPr>
            <sz val="9"/>
            <color indexed="81"/>
            <rFont val="Tahoma"/>
            <family val="2"/>
          </rPr>
          <t>Dim emission nebula</t>
        </r>
      </text>
    </comment>
    <comment ref="A814" authorId="0" shapeId="0" xr:uid="{6FCBE76A-C114-4662-BACB-C2A8C4F72590}">
      <text>
        <r>
          <rPr>
            <sz val="9"/>
            <color indexed="81"/>
            <rFont val="Tahoma"/>
            <family val="2"/>
          </rPr>
          <t xml:space="preserve">
</t>
        </r>
      </text>
    </comment>
    <comment ref="B814" authorId="0" shapeId="0" xr:uid="{3920AECA-1CB6-47D8-9865-DD3A33570F12}">
      <text>
        <r>
          <rPr>
            <sz val="9"/>
            <color indexed="81"/>
            <rFont val="Tahoma"/>
            <family val="2"/>
          </rPr>
          <t>Object not in SIMBAD</t>
        </r>
      </text>
    </comment>
    <comment ref="K814" authorId="0" shapeId="0" xr:uid="{FA45DEF2-5928-42CF-A96C-03A76D26CDA3}">
      <text>
        <r>
          <rPr>
            <sz val="9"/>
            <color indexed="81"/>
            <rFont val="Tahoma"/>
            <family val="2"/>
          </rPr>
          <t>Blue reflection nebula that is the "eye" of the Horse</t>
        </r>
      </text>
    </comment>
    <comment ref="A815" authorId="0" shapeId="0" xr:uid="{4A590FB2-B93F-4C3F-875D-AC0EB34F6A91}">
      <text>
        <r>
          <rPr>
            <sz val="9"/>
            <color indexed="81"/>
            <rFont val="Tahoma"/>
            <family val="2"/>
          </rPr>
          <t xml:space="preserve">
</t>
        </r>
      </text>
    </comment>
    <comment ref="K815" authorId="0" shapeId="0" xr:uid="{53F9BFA2-DF41-4AD4-9925-57DB95772A11}">
      <text>
        <r>
          <rPr>
            <sz val="9"/>
            <color indexed="81"/>
            <rFont val="Tahoma"/>
            <family val="2"/>
          </rPr>
          <t>Tiny blue stellar PN</t>
        </r>
      </text>
    </comment>
    <comment ref="A816" authorId="0" shapeId="0" xr:uid="{19F12331-2E0D-4EC2-8560-A232483F4DA8}">
      <text>
        <r>
          <rPr>
            <sz val="9"/>
            <color indexed="81"/>
            <rFont val="Tahoma"/>
            <family val="2"/>
          </rPr>
          <t xml:space="preserve">
</t>
        </r>
      </text>
    </comment>
    <comment ref="K816" authorId="0" shapeId="0" xr:uid="{B8A0EE86-E85B-4EEF-847F-2661B8198579}">
      <text>
        <r>
          <rPr>
            <sz val="9"/>
            <color indexed="81"/>
            <rFont val="Tahoma"/>
            <family val="2"/>
          </rPr>
          <t>Oddly shaped PN with bright linear arcs</t>
        </r>
      </text>
    </comment>
    <comment ref="A817" authorId="0" shapeId="0" xr:uid="{47EB06A9-B823-4E51-AEF7-F25329FCABB6}">
      <text>
        <r>
          <rPr>
            <sz val="9"/>
            <color indexed="81"/>
            <rFont val="Tahoma"/>
            <family val="2"/>
          </rPr>
          <t xml:space="preserve">
</t>
        </r>
      </text>
    </comment>
    <comment ref="K817" authorId="0" shapeId="0" xr:uid="{A16546E4-323F-4762-B345-2B080B6B20A3}">
      <text>
        <r>
          <rPr>
            <sz val="9"/>
            <color indexed="81"/>
            <rFont val="Tahoma"/>
            <family val="2"/>
          </rPr>
          <t>Small bright PN, no progenitor.</t>
        </r>
      </text>
    </comment>
    <comment ref="A818" authorId="0" shapeId="0" xr:uid="{EF3105D7-4758-44F3-B11F-7636653BE794}">
      <text>
        <r>
          <rPr>
            <sz val="9"/>
            <color indexed="81"/>
            <rFont val="Tahoma"/>
            <family val="2"/>
          </rPr>
          <t xml:space="preserve">
</t>
        </r>
      </text>
    </comment>
    <comment ref="K818" authorId="0" shapeId="0" xr:uid="{C9D267F1-C2C8-417D-B4A7-926FE3100C3E}">
      <text>
        <r>
          <rPr>
            <sz val="9"/>
            <color indexed="81"/>
            <rFont val="Tahoma"/>
            <family val="2"/>
          </rPr>
          <t xml:space="preserve">Dim hydrogen emission nebula with several extended dust pillars </t>
        </r>
      </text>
    </comment>
    <comment ref="A819" authorId="0" shapeId="0" xr:uid="{0A77201D-08D4-4A11-8472-6A6D0C1F9379}">
      <text>
        <r>
          <rPr>
            <sz val="9"/>
            <color indexed="81"/>
            <rFont val="Tahoma"/>
            <family val="2"/>
          </rPr>
          <t xml:space="preserve">
</t>
        </r>
      </text>
    </comment>
    <comment ref="K819" authorId="0" shapeId="0" xr:uid="{2EA6C7D1-A72A-4877-810E-DAC1E5BD79D1}">
      <text>
        <r>
          <rPr>
            <sz val="9"/>
            <color indexed="81"/>
            <rFont val="Tahoma"/>
            <family val="2"/>
          </rPr>
          <t>Burbidge's tiny 5 galaxy chain</t>
        </r>
      </text>
    </comment>
    <comment ref="A820" authorId="0" shapeId="0" xr:uid="{B276E867-34EB-4694-97B8-2CDC3E180EB5}">
      <text>
        <r>
          <rPr>
            <sz val="9"/>
            <color indexed="81"/>
            <rFont val="Tahoma"/>
            <family val="2"/>
          </rPr>
          <t xml:space="preserve">
</t>
        </r>
      </text>
    </comment>
    <comment ref="K820" authorId="0" shapeId="0" xr:uid="{C49CF938-191A-496B-BB93-669EA48D5A63}">
      <text>
        <r>
          <rPr>
            <sz val="9"/>
            <color indexed="81"/>
            <rFont val="Tahoma"/>
            <family val="2"/>
          </rPr>
          <t>Tiny stellar PN surrounding WC star (WC9-type) with strong hydrogen spectrum</t>
        </r>
      </text>
    </comment>
    <comment ref="A821" authorId="0" shapeId="0" xr:uid="{F7F319C9-A0F4-4A07-A170-F0C669DB4899}">
      <text>
        <r>
          <rPr>
            <sz val="9"/>
            <color indexed="81"/>
            <rFont val="Tahoma"/>
            <family val="2"/>
          </rPr>
          <t xml:space="preserve">
</t>
        </r>
      </text>
    </comment>
    <comment ref="K821" authorId="0" shapeId="0" xr:uid="{4C0F8ACE-F005-4BA2-80C9-FC56C6DF20A4}">
      <text>
        <r>
          <rPr>
            <sz val="9"/>
            <color indexed="81"/>
            <rFont val="Tahoma"/>
            <family val="2"/>
          </rPr>
          <t>Small stellar-like PN</t>
        </r>
      </text>
    </comment>
    <comment ref="A822" authorId="0" shapeId="0" xr:uid="{DA5155F5-825E-40F7-BD01-CC42159E5DAA}">
      <text>
        <r>
          <rPr>
            <sz val="9"/>
            <color indexed="81"/>
            <rFont val="Tahoma"/>
            <family val="2"/>
          </rPr>
          <t xml:space="preserve">
</t>
        </r>
      </text>
    </comment>
    <comment ref="K822" authorId="0" shapeId="0" xr:uid="{0084F53E-8F19-4B84-88DF-D2A0ECC134E1}">
      <text>
        <r>
          <rPr>
            <sz val="9"/>
            <color indexed="81"/>
            <rFont val="Tahoma"/>
            <family val="2"/>
          </rPr>
          <t>Dim SNR with unusual structure</t>
        </r>
      </text>
    </comment>
    <comment ref="A823" authorId="0" shapeId="0" xr:uid="{4A5E403D-FF3A-48F4-A9AA-AB24C9028094}">
      <text>
        <r>
          <rPr>
            <sz val="9"/>
            <color indexed="81"/>
            <rFont val="Tahoma"/>
            <family val="2"/>
          </rPr>
          <t xml:space="preserve">
</t>
        </r>
      </text>
    </comment>
    <comment ref="K823" authorId="0" shapeId="0" xr:uid="{0975B62B-2066-460A-A444-4147B3F3DF62}">
      <text>
        <r>
          <rPr>
            <sz val="9"/>
            <color indexed="81"/>
            <rFont val="Tahoma"/>
            <family val="2"/>
          </rPr>
          <t>Small blue reflection nebula in bright HII field</t>
        </r>
      </text>
    </comment>
    <comment ref="A824" authorId="0" shapeId="0" xr:uid="{1267D17D-57E4-4B2A-87BA-0F99B6A1039B}">
      <text>
        <r>
          <rPr>
            <sz val="9"/>
            <color indexed="81"/>
            <rFont val="Tahoma"/>
            <family val="2"/>
          </rPr>
          <t xml:space="preserve">
</t>
        </r>
      </text>
    </comment>
    <comment ref="K824" authorId="0" shapeId="0" xr:uid="{223FFF7E-38CD-47C5-AB9D-0231E70BFD37}">
      <text>
        <r>
          <rPr>
            <sz val="9"/>
            <color indexed="81"/>
            <rFont val="Tahoma"/>
            <family val="2"/>
          </rPr>
          <t>Outflow jets from this Mira variable star create a hydrogen nova</t>
        </r>
      </text>
    </comment>
    <comment ref="A825" authorId="0" shapeId="0" xr:uid="{431C7A4B-F9E2-40F0-9F4D-8BD24CFC70FB}">
      <text>
        <r>
          <rPr>
            <sz val="9"/>
            <color indexed="81"/>
            <rFont val="Tahoma"/>
            <family val="2"/>
          </rPr>
          <t xml:space="preserve">
</t>
        </r>
      </text>
    </comment>
    <comment ref="K825" authorId="0" shapeId="0" xr:uid="{EBC0404F-EDE2-4854-926C-E86A347AA65F}">
      <text>
        <r>
          <rPr>
            <sz val="9"/>
            <color indexed="81"/>
            <rFont val="Tahoma"/>
            <family val="2"/>
          </rPr>
          <t>Cometary globule seen next to the NGC 5367 blue reflection nebula</t>
        </r>
      </text>
    </comment>
    <comment ref="A826" authorId="0" shapeId="0" xr:uid="{9AA65329-7469-4D68-AACE-DC202C9548D5}">
      <text>
        <r>
          <rPr>
            <sz val="9"/>
            <color indexed="81"/>
            <rFont val="Tahoma"/>
            <family val="2"/>
          </rPr>
          <t xml:space="preserve">
</t>
        </r>
      </text>
    </comment>
    <comment ref="K826" authorId="0" shapeId="0" xr:uid="{E3CC1D08-F3E1-4C0C-B386-524B123FA685}">
      <text>
        <r>
          <rPr>
            <sz val="9"/>
            <color indexed="81"/>
            <rFont val="Tahoma"/>
            <family val="2"/>
          </rPr>
          <t>Fascinating cometary globule nicknamed God's Hand</t>
        </r>
      </text>
    </comment>
    <comment ref="A827" authorId="0" shapeId="0" xr:uid="{048824B9-97F7-4CE0-AC0C-1961D404BCFD}">
      <text>
        <r>
          <rPr>
            <sz val="9"/>
            <color indexed="81"/>
            <rFont val="Tahoma"/>
            <family val="2"/>
          </rPr>
          <t xml:space="preserve">
</t>
        </r>
      </text>
    </comment>
    <comment ref="K827" authorId="0" shapeId="0" xr:uid="{51CF577C-36F9-494F-9BEF-A47219BD1903}">
      <text>
        <r>
          <rPr>
            <sz val="9"/>
            <color indexed="81"/>
            <rFont val="Tahoma"/>
            <family val="2"/>
          </rPr>
          <t>Distant galaxy trio with little interaction seen</t>
        </r>
      </text>
    </comment>
    <comment ref="A828" authorId="0" shapeId="0" xr:uid="{DC19DD8C-8274-4B83-A441-380BD45FBE58}">
      <text>
        <r>
          <rPr>
            <sz val="9"/>
            <color indexed="81"/>
            <rFont val="Tahoma"/>
            <family val="2"/>
          </rPr>
          <t xml:space="preserve">
</t>
        </r>
      </text>
    </comment>
    <comment ref="K828" authorId="0" shapeId="0" xr:uid="{49FB3CB8-57E1-4CF0-9193-3B9E40506466}">
      <text>
        <r>
          <rPr>
            <sz val="9"/>
            <color indexed="81"/>
            <rFont val="Tahoma"/>
            <family val="2"/>
          </rPr>
          <t>Molecular cloud with 3 bright reflection nebulae</t>
        </r>
      </text>
    </comment>
    <comment ref="A829" authorId="0" shapeId="0" xr:uid="{7CB53C56-6E00-436C-9AF7-928F39369630}">
      <text>
        <r>
          <rPr>
            <sz val="9"/>
            <color indexed="81"/>
            <rFont val="Tahoma"/>
            <family val="2"/>
          </rPr>
          <t xml:space="preserve">
</t>
        </r>
      </text>
    </comment>
    <comment ref="K829" authorId="0" shapeId="0" xr:uid="{1EF59A55-BCC2-4863-98B6-2CBD30A1D03C}">
      <text>
        <r>
          <rPr>
            <sz val="9"/>
            <color indexed="81"/>
            <rFont val="Tahoma"/>
            <family val="2"/>
          </rPr>
          <t>Molecular cloud riddled with Bok globules</t>
        </r>
      </text>
    </comment>
    <comment ref="A830" authorId="0" shapeId="0" xr:uid="{5961661C-0E24-488A-8731-22DCFC8CCE8F}">
      <text>
        <r>
          <rPr>
            <sz val="9"/>
            <color indexed="81"/>
            <rFont val="Tahoma"/>
            <family val="2"/>
          </rPr>
          <t xml:space="preserve">
</t>
        </r>
      </text>
    </comment>
    <comment ref="K830" authorId="0" shapeId="0" xr:uid="{5756E019-F6D0-4254-ACE3-67C2B5B0824A}">
      <text>
        <r>
          <rPr>
            <sz val="9"/>
            <color indexed="81"/>
            <rFont val="Tahoma"/>
            <family val="2"/>
          </rPr>
          <t>Faint molecular cloud including small Thumbprint Nebula and Moa Nebula</t>
        </r>
      </text>
    </comment>
    <comment ref="A831" authorId="0" shapeId="0" xr:uid="{F8B1BA60-1998-4D66-AF74-15AF088A1B40}">
      <text>
        <r>
          <rPr>
            <sz val="9"/>
            <color indexed="81"/>
            <rFont val="Tahoma"/>
            <family val="2"/>
          </rPr>
          <t xml:space="preserve">
</t>
        </r>
      </text>
    </comment>
    <comment ref="K831" authorId="0" shapeId="0" xr:uid="{00EE518C-59EA-4C4B-867D-3673FDA23272}">
      <text>
        <r>
          <rPr>
            <sz val="9"/>
            <color indexed="81"/>
            <rFont val="Tahoma"/>
            <family val="2"/>
          </rPr>
          <t>Faint arcs of light are distant 10 bly away galaxies lensed by a 4.5 bly away galaxy cluster</t>
        </r>
      </text>
    </comment>
    <comment ref="A832" authorId="0" shapeId="0" xr:uid="{71CEE863-AE3A-47F0-B569-847A68747EB4}">
      <text>
        <r>
          <rPr>
            <sz val="9"/>
            <color indexed="81"/>
            <rFont val="Tahoma"/>
            <family val="2"/>
          </rPr>
          <t xml:space="preserve">
</t>
        </r>
      </text>
    </comment>
    <comment ref="K832" authorId="0" shapeId="0" xr:uid="{492F83F9-4E57-4FC5-99F7-B678B6A30124}">
      <text>
        <r>
          <rPr>
            <sz val="9"/>
            <color indexed="81"/>
            <rFont val="Tahoma"/>
            <family val="2"/>
          </rPr>
          <t>Faint molecular cloud just west of NGC 1097</t>
        </r>
      </text>
    </comment>
    <comment ref="A833" authorId="0" shapeId="0" xr:uid="{7588C1FD-5311-4F36-B3B8-7CA84A8BA3AC}">
      <text>
        <r>
          <rPr>
            <sz val="9"/>
            <color indexed="81"/>
            <rFont val="Tahoma"/>
            <family val="2"/>
          </rPr>
          <t xml:space="preserve">
</t>
        </r>
      </text>
    </comment>
    <comment ref="K833" authorId="0" shapeId="0" xr:uid="{7C641858-7BEF-482D-BE1A-E8380109DF07}">
      <text>
        <r>
          <rPr>
            <sz val="9"/>
            <color indexed="81"/>
            <rFont val="Tahoma"/>
            <family val="2"/>
          </rPr>
          <t>Most famous naked eye dark nebula in the Milky Way</t>
        </r>
      </text>
    </comment>
    <comment ref="A834" authorId="0" shapeId="0" xr:uid="{B13CA4B9-C757-4B0C-84FB-6B301A62A55A}">
      <text>
        <r>
          <rPr>
            <sz val="9"/>
            <color indexed="81"/>
            <rFont val="Tahoma"/>
            <family val="2"/>
          </rPr>
          <t xml:space="preserve">
</t>
        </r>
      </text>
    </comment>
    <comment ref="K834" authorId="0" shapeId="0" xr:uid="{CB6CF505-FD74-423F-ABD9-FB014A06E128}">
      <text>
        <r>
          <rPr>
            <sz val="9"/>
            <color indexed="81"/>
            <rFont val="Tahoma"/>
            <family val="2"/>
          </rPr>
          <t>Colorful open cluster in the shape of Texas</t>
        </r>
      </text>
    </comment>
    <comment ref="A835" authorId="0" shapeId="0" xr:uid="{D53D4BCF-C1B5-4DAB-A15F-5FF89E7E4BE2}">
      <text>
        <r>
          <rPr>
            <sz val="9"/>
            <color indexed="81"/>
            <rFont val="Tahoma"/>
            <family val="2"/>
          </rPr>
          <t xml:space="preserve">
</t>
        </r>
      </text>
    </comment>
    <comment ref="K835" authorId="0" shapeId="0" xr:uid="{2DB4C1EA-B9D3-4507-8269-E24A89C42E64}">
      <text>
        <r>
          <rPr>
            <sz val="9"/>
            <color indexed="81"/>
            <rFont val="Tahoma"/>
            <family val="2"/>
          </rPr>
          <t>This open cluster is the fuzzy spot seen with the naked eye marking the head of Orion</t>
        </r>
      </text>
    </comment>
    <comment ref="A836" authorId="0" shapeId="0" xr:uid="{70D21CD2-2BE2-429C-8252-8CAB394BFDE4}">
      <text>
        <r>
          <rPr>
            <sz val="9"/>
            <color indexed="81"/>
            <rFont val="Tahoma"/>
            <family val="2"/>
          </rPr>
          <t xml:space="preserve">
</t>
        </r>
      </text>
    </comment>
    <comment ref="K836" authorId="0" shapeId="0" xr:uid="{8D1811FF-8299-45D7-BC00-950CB5E074CC}">
      <text>
        <r>
          <rPr>
            <sz val="9"/>
            <color indexed="81"/>
            <rFont val="Tahoma"/>
            <family val="2"/>
          </rPr>
          <t>Open cluster marking Orion's Belt</t>
        </r>
      </text>
    </comment>
    <comment ref="A837" authorId="0" shapeId="0" xr:uid="{6CEF356B-FDA0-459D-81D2-C8ABA416A871}">
      <text>
        <r>
          <rPr>
            <sz val="9"/>
            <color indexed="81"/>
            <rFont val="Tahoma"/>
            <family val="2"/>
          </rPr>
          <t xml:space="preserve">
</t>
        </r>
      </text>
    </comment>
    <comment ref="K837" authorId="0" shapeId="0" xr:uid="{AEF3207A-722D-414A-B268-981DEEBB1E23}">
      <text>
        <r>
          <rPr>
            <sz val="9"/>
            <color indexed="81"/>
            <rFont val="Tahoma"/>
            <family val="2"/>
          </rPr>
          <t>Beautiful cluster in the Running Chicken nebula (IC2948)</t>
        </r>
      </text>
    </comment>
    <comment ref="A838" authorId="0" shapeId="0" xr:uid="{D9055B1B-125E-44DE-ACDA-5D30A2DE7BAC}">
      <text>
        <r>
          <rPr>
            <sz val="9"/>
            <color indexed="81"/>
            <rFont val="Tahoma"/>
            <family val="2"/>
          </rPr>
          <t xml:space="preserve">
</t>
        </r>
      </text>
    </comment>
    <comment ref="K838" authorId="0" shapeId="0" xr:uid="{E47321EF-67F0-4489-A8BF-42223F358601}">
      <text>
        <r>
          <rPr>
            <sz val="9"/>
            <color indexed="81"/>
            <rFont val="Tahoma"/>
            <family val="2"/>
          </rPr>
          <t>The bright colorful open cluster nicknamed the Coathanger</t>
        </r>
      </text>
    </comment>
    <comment ref="A839" authorId="0" shapeId="0" xr:uid="{C5802DEC-20A7-4B04-9A89-88663AC51EC9}">
      <text>
        <r>
          <rPr>
            <sz val="9"/>
            <color indexed="81"/>
            <rFont val="Tahoma"/>
            <family val="2"/>
          </rPr>
          <t xml:space="preserve">
</t>
        </r>
      </text>
    </comment>
    <comment ref="K839" authorId="0" shapeId="0" xr:uid="{0BC75C0E-829A-47A8-93F3-B043D6F098C1}">
      <text>
        <r>
          <rPr>
            <sz val="9"/>
            <color indexed="81"/>
            <rFont val="Tahoma"/>
            <family val="2"/>
          </rPr>
          <t>Dim irregular open cluster</t>
        </r>
      </text>
    </comment>
    <comment ref="A840" authorId="0" shapeId="0" xr:uid="{4D737EA1-49C9-4FAD-AAA0-D31685F21486}">
      <text>
        <r>
          <rPr>
            <sz val="9"/>
            <color indexed="81"/>
            <rFont val="Tahoma"/>
            <family val="2"/>
          </rPr>
          <t xml:space="preserve">
</t>
        </r>
      </text>
    </comment>
    <comment ref="K840" authorId="0" shapeId="0" xr:uid="{E5704D51-62E2-4EC2-8400-BF747F2953BA}">
      <text>
        <r>
          <rPr>
            <sz val="9"/>
            <color indexed="81"/>
            <rFont val="Tahoma"/>
            <family val="2"/>
          </rPr>
          <t>Tiny bi-polar protoplanetary nebula.  Progenitor star not visible.</t>
        </r>
      </text>
    </comment>
    <comment ref="A841" authorId="0" shapeId="0" xr:uid="{BBC611ED-F929-4CD0-AE2D-009DE85614E9}">
      <text>
        <r>
          <rPr>
            <sz val="9"/>
            <color indexed="81"/>
            <rFont val="Tahoma"/>
            <family val="2"/>
          </rPr>
          <t xml:space="preserve">
</t>
        </r>
      </text>
    </comment>
    <comment ref="K841" authorId="0" shapeId="0" xr:uid="{A3C6CE24-58AD-43B9-BA4E-18CD888A97CE}">
      <text>
        <r>
          <rPr>
            <sz val="9"/>
            <color indexed="81"/>
            <rFont val="Tahoma"/>
            <family val="2"/>
          </rPr>
          <t>Very faint large SNR.  PN NGC 40 also seen but not related</t>
        </r>
      </text>
    </comment>
    <comment ref="A842" authorId="0" shapeId="0" xr:uid="{4EC04E6B-74A9-44E4-B0A3-412B9AC23AA6}">
      <text>
        <r>
          <rPr>
            <sz val="9"/>
            <color indexed="81"/>
            <rFont val="Tahoma"/>
            <family val="2"/>
          </rPr>
          <t xml:space="preserve">
</t>
        </r>
      </text>
    </comment>
    <comment ref="K842" authorId="0" shapeId="0" xr:uid="{DED38A81-C6E3-4686-89E1-C7CD977DADD9}">
      <text>
        <r>
          <rPr>
            <sz val="9"/>
            <color indexed="81"/>
            <rFont val="Tahoma"/>
            <family val="2"/>
          </rPr>
          <t>YSO contained in Barnard 7 and source of a yellow reflection nebula</t>
        </r>
      </text>
    </comment>
    <comment ref="A843" authorId="0" shapeId="0" xr:uid="{5285BF51-EF44-43FD-B83A-F3F5E761F0FA}">
      <text>
        <r>
          <rPr>
            <sz val="9"/>
            <color indexed="81"/>
            <rFont val="Tahoma"/>
            <family val="2"/>
          </rPr>
          <t xml:space="preserve">
</t>
        </r>
      </text>
    </comment>
    <comment ref="K843" authorId="0" shapeId="0" xr:uid="{21ED05FD-467A-47D5-8037-C988151A2CFD}">
      <text>
        <r>
          <rPr>
            <sz val="9"/>
            <color indexed="81"/>
            <rFont val="Tahoma"/>
            <family val="2"/>
          </rPr>
          <t>The most well-known black-hole candidate.  Not visible to us, but its 9th mag companion is visible.</t>
        </r>
      </text>
    </comment>
    <comment ref="A844" authorId="0" shapeId="0" xr:uid="{C03E1CCE-4ABB-477D-ACE9-CAC1E0DE5BEC}">
      <text>
        <r>
          <rPr>
            <sz val="9"/>
            <color indexed="81"/>
            <rFont val="Tahoma"/>
            <family val="2"/>
          </rPr>
          <t xml:space="preserve">
</t>
        </r>
      </text>
    </comment>
    <comment ref="B844" authorId="0" shapeId="0" xr:uid="{22C9F706-A054-40FE-AAA9-81CB77CAFA32}">
      <text>
        <r>
          <rPr>
            <sz val="9"/>
            <color indexed="81"/>
            <rFont val="Tahoma"/>
            <family val="2"/>
          </rPr>
          <t>Object not in SIMBAD</t>
        </r>
      </text>
    </comment>
    <comment ref="K844" authorId="0" shapeId="0" xr:uid="{BF3D0CDD-8218-4B5F-AB05-FEB9818F692D}">
      <text>
        <r>
          <rPr>
            <sz val="9"/>
            <color indexed="81"/>
            <rFont val="Tahoma"/>
            <family val="2"/>
          </rPr>
          <t>An asterism in Cygnus.  Not found in the SIMBAD database.</t>
        </r>
      </text>
    </comment>
    <comment ref="A845" authorId="0" shapeId="0" xr:uid="{6B27CFC7-DB75-47B7-8727-569C0D020D98}">
      <text>
        <r>
          <rPr>
            <sz val="9"/>
            <color indexed="81"/>
            <rFont val="Tahoma"/>
            <family val="2"/>
          </rPr>
          <t xml:space="preserve">
</t>
        </r>
      </text>
    </comment>
    <comment ref="B845" authorId="0" shapeId="0" xr:uid="{E4294497-BE2D-49FF-9323-6C6B44363D4C}">
      <text>
        <r>
          <rPr>
            <sz val="9"/>
            <color indexed="81"/>
            <rFont val="Tahoma"/>
            <family val="2"/>
          </rPr>
          <t>Object not in SIMBAD</t>
        </r>
      </text>
    </comment>
    <comment ref="K845" authorId="0" shapeId="0" xr:uid="{6A3FB2DF-DCF6-4C1E-960E-E15C4A85B76A}">
      <text>
        <r>
          <rPr>
            <sz val="9"/>
            <color indexed="81"/>
            <rFont val="Tahoma"/>
            <family val="2"/>
          </rPr>
          <t>Colorful kite shape in Cygnus.  Not contained in the SIMBAD database.</t>
        </r>
      </text>
    </comment>
    <comment ref="A846" authorId="0" shapeId="0" xr:uid="{93AE8D1E-C151-4BE8-BFA0-8E3ADF3EB4EA}">
      <text>
        <r>
          <rPr>
            <sz val="9"/>
            <color indexed="81"/>
            <rFont val="Tahoma"/>
            <family val="2"/>
          </rPr>
          <t xml:space="preserve">
</t>
        </r>
      </text>
    </comment>
    <comment ref="K846" authorId="0" shapeId="0" xr:uid="{1265297F-8D20-432F-BC17-BB38A32330E8}">
      <text>
        <r>
          <rPr>
            <sz val="9"/>
            <color indexed="81"/>
            <rFont val="Tahoma"/>
            <family val="2"/>
          </rPr>
          <t xml:space="preserve">Showcase bright large SNR containing many objects, including the Veil and Witch's Broom </t>
        </r>
      </text>
    </comment>
    <comment ref="A847" authorId="0" shapeId="0" xr:uid="{C0175B2E-C7E0-488E-8A3A-E07B75BA93F4}">
      <text>
        <r>
          <rPr>
            <sz val="9"/>
            <color indexed="81"/>
            <rFont val="Tahoma"/>
            <family val="2"/>
          </rPr>
          <t xml:space="preserve">
</t>
        </r>
      </text>
    </comment>
    <comment ref="K847" authorId="0" shapeId="0" xr:uid="{024040E6-C138-49FC-B41A-CB6EF04B32C7}">
      <text>
        <r>
          <rPr>
            <sz val="9"/>
            <color indexed="81"/>
            <rFont val="Tahoma"/>
            <family val="2"/>
          </rPr>
          <t>Wonderful long thin wiggly dark nebula</t>
        </r>
      </text>
    </comment>
    <comment ref="A848" authorId="0" shapeId="0" xr:uid="{05EFA4D4-DB66-4193-9E7E-5326D2E1701B}">
      <text>
        <r>
          <rPr>
            <sz val="9"/>
            <color indexed="81"/>
            <rFont val="Tahoma"/>
            <family val="2"/>
          </rPr>
          <t xml:space="preserve">
</t>
        </r>
      </text>
    </comment>
    <comment ref="B848" authorId="0" shapeId="0" xr:uid="{66DD561F-D63C-4524-8237-A3AD573F0D02}">
      <text>
        <r>
          <rPr>
            <sz val="9"/>
            <color indexed="81"/>
            <rFont val="Tahoma"/>
            <family val="2"/>
          </rPr>
          <t>Object not in SIMBAD &amp; ALADIN</t>
        </r>
      </text>
    </comment>
    <comment ref="K848" authorId="0" shapeId="0" xr:uid="{A5A5E118-A57D-43BA-B6D6-660AA1DED8D4}">
      <text>
        <r>
          <rPr>
            <sz val="9"/>
            <color indexed="81"/>
            <rFont val="Tahoma"/>
            <family val="2"/>
          </rPr>
          <t>Cometary globule shaped by nearby cluster NGC 6231</t>
        </r>
      </text>
    </comment>
    <comment ref="A849" authorId="0" shapeId="0" xr:uid="{C279C2A2-868C-43C7-963E-47D96F5ECC55}">
      <text>
        <r>
          <rPr>
            <sz val="9"/>
            <color indexed="81"/>
            <rFont val="Tahoma"/>
            <family val="2"/>
          </rPr>
          <t xml:space="preserve">
</t>
        </r>
      </text>
    </comment>
    <comment ref="K849" authorId="0" shapeId="0" xr:uid="{7289C546-EA51-41CC-AF4B-86C1DFDBE55B}">
      <text>
        <r>
          <rPr>
            <sz val="9"/>
            <color indexed="81"/>
            <rFont val="Tahoma"/>
            <family val="2"/>
          </rPr>
          <t>Delicate crescent-moon shaped PN.  Progenitor visible.</t>
        </r>
      </text>
    </comment>
    <comment ref="A850" authorId="0" shapeId="0" xr:uid="{5C3A944F-A69F-4C5F-810E-72F236282AE0}">
      <text>
        <r>
          <rPr>
            <sz val="9"/>
            <color indexed="81"/>
            <rFont val="Tahoma"/>
            <family val="2"/>
          </rPr>
          <t xml:space="preserve">
</t>
        </r>
      </text>
    </comment>
    <comment ref="K850" authorId="0" shapeId="0" xr:uid="{C111B9CB-C044-4C4D-97BB-C2D971B6BED6}">
      <text>
        <r>
          <rPr>
            <sz val="9"/>
            <color indexed="81"/>
            <rFont val="Tahoma"/>
            <family val="2"/>
          </rPr>
          <t>Faint round OIII-dominated PN</t>
        </r>
      </text>
    </comment>
    <comment ref="A851" authorId="0" shapeId="0" xr:uid="{C5BFCED5-9A69-4A43-9D7B-823E4B52DF50}">
      <text>
        <r>
          <rPr>
            <sz val="9"/>
            <color indexed="81"/>
            <rFont val="Tahoma"/>
            <family val="2"/>
          </rPr>
          <t xml:space="preserve">
</t>
        </r>
      </text>
    </comment>
    <comment ref="K851" authorId="0" shapeId="0" xr:uid="{CAD7DB7A-C390-4BEC-B43B-04DBDF62AD7F}">
      <text>
        <r>
          <rPr>
            <sz val="9"/>
            <color indexed="81"/>
            <rFont val="Tahoma"/>
            <family val="2"/>
          </rPr>
          <t>Small oval with texture</t>
        </r>
      </text>
    </comment>
    <comment ref="A852" authorId="0" shapeId="0" xr:uid="{71178941-437C-417B-801A-A0575972DC3D}">
      <text>
        <r>
          <rPr>
            <sz val="9"/>
            <color indexed="81"/>
            <rFont val="Tahoma"/>
            <family val="2"/>
          </rPr>
          <t xml:space="preserve">
</t>
        </r>
      </text>
    </comment>
    <comment ref="K852" authorId="0" shapeId="0" xr:uid="{2E75DB03-9B8A-4D7F-B925-ECB5BDB13F58}">
      <text>
        <r>
          <rPr>
            <sz val="9"/>
            <color indexed="81"/>
            <rFont val="Tahoma"/>
            <family val="2"/>
          </rPr>
          <t>Ear-shaped, HII-dominated</t>
        </r>
      </text>
    </comment>
    <comment ref="A853" authorId="0" shapeId="0" xr:uid="{2D5A1866-E6E2-4742-AC9D-6AC755A2D9CC}">
      <text>
        <r>
          <rPr>
            <sz val="9"/>
            <color indexed="81"/>
            <rFont val="Tahoma"/>
            <family val="2"/>
          </rPr>
          <t xml:space="preserve">
</t>
        </r>
      </text>
    </comment>
    <comment ref="K853" authorId="0" shapeId="0" xr:uid="{E8F09698-410E-42A0-990F-A3A81E3BF69B}">
      <text>
        <r>
          <rPr>
            <sz val="9"/>
            <color indexed="81"/>
            <rFont val="Tahoma"/>
            <family val="2"/>
          </rPr>
          <t xml:space="preserve">Very faint, very old planetary nebula located just over 1000 light years away </t>
        </r>
      </text>
    </comment>
    <comment ref="A854" authorId="0" shapeId="0" xr:uid="{13796734-4D86-438B-8ED9-7C6CABB5D722}">
      <text>
        <r>
          <rPr>
            <sz val="9"/>
            <color indexed="81"/>
            <rFont val="Tahoma"/>
            <family val="2"/>
          </rPr>
          <t xml:space="preserve">
</t>
        </r>
      </text>
    </comment>
    <comment ref="K854" authorId="0" shapeId="0" xr:uid="{CEB1CD85-12CF-4323-A2FE-687964836556}">
      <text>
        <r>
          <rPr>
            <sz val="9"/>
            <color indexed="81"/>
            <rFont val="Tahoma"/>
            <family val="2"/>
          </rPr>
          <t>Molecular cloud with small dark region</t>
        </r>
      </text>
    </comment>
    <comment ref="A855" authorId="0" shapeId="0" xr:uid="{F29E421B-D3D1-45CC-9B89-9885AB2ECAE8}">
      <text>
        <r>
          <rPr>
            <sz val="9"/>
            <color indexed="81"/>
            <rFont val="Tahoma"/>
            <family val="2"/>
          </rPr>
          <t xml:space="preserve">
</t>
        </r>
      </text>
    </comment>
    <comment ref="K855" authorId="0" shapeId="0" xr:uid="{9BE7158B-CB51-4C63-80E6-18832F5E5CCB}">
      <text>
        <r>
          <rPr>
            <sz val="9"/>
            <color indexed="81"/>
            <rFont val="Tahoma"/>
            <family val="2"/>
          </rPr>
          <t>Above the dark nebula is star cluster, reflection nebula and emission nebula</t>
        </r>
      </text>
    </comment>
    <comment ref="A856" authorId="0" shapeId="0" xr:uid="{3865FA79-C74C-4622-919E-740362F61401}">
      <text>
        <r>
          <rPr>
            <sz val="9"/>
            <color indexed="81"/>
            <rFont val="Tahoma"/>
            <family val="2"/>
          </rPr>
          <t xml:space="preserve">
</t>
        </r>
      </text>
    </comment>
    <comment ref="K856" authorId="0" shapeId="0" xr:uid="{305AB6E6-B03E-423F-AAFF-C83AEE887BF9}">
      <text>
        <r>
          <rPr>
            <sz val="9"/>
            <color indexed="81"/>
            <rFont val="Tahoma"/>
            <family val="2"/>
          </rPr>
          <t>Dim nova, showing up slightly in an Ha image.</t>
        </r>
      </text>
    </comment>
    <comment ref="A857" authorId="0" shapeId="0" xr:uid="{69D1B847-F380-439A-B7D4-C46DB20E6166}">
      <text>
        <r>
          <rPr>
            <sz val="9"/>
            <color indexed="81"/>
            <rFont val="Tahoma"/>
            <family val="2"/>
          </rPr>
          <t xml:space="preserve">
</t>
        </r>
      </text>
    </comment>
    <comment ref="K857" authorId="0" shapeId="0" xr:uid="{AFDA13BB-75BD-4010-B5AB-721D7592F28E}">
      <text>
        <r>
          <rPr>
            <sz val="9"/>
            <color indexed="81"/>
            <rFont val="Tahoma"/>
            <family val="2"/>
          </rPr>
          <t>Very faint close galaxy, dimmed by Milky Way dust</t>
        </r>
      </text>
    </comment>
    <comment ref="A858" authorId="0" shapeId="0" xr:uid="{F36EC4C3-C6A6-4795-8BF3-CDA1D35D6E65}">
      <text>
        <r>
          <rPr>
            <sz val="9"/>
            <color indexed="81"/>
            <rFont val="Tahoma"/>
            <family val="2"/>
          </rPr>
          <t xml:space="preserve">
</t>
        </r>
      </text>
    </comment>
    <comment ref="K858" authorId="0" shapeId="0" xr:uid="{BF65F8D6-F30D-4005-8681-F94E0C8633E4}">
      <text>
        <r>
          <rPr>
            <sz val="9"/>
            <color indexed="81"/>
            <rFont val="Tahoma"/>
            <family val="2"/>
          </rPr>
          <t>Too faint to be seen in any optical image, at least not yet</t>
        </r>
      </text>
    </comment>
    <comment ref="A859" authorId="0" shapeId="0" xr:uid="{425BC681-2C0F-4A35-8B6C-7FB32738EA49}">
      <text>
        <r>
          <rPr>
            <sz val="9"/>
            <color indexed="81"/>
            <rFont val="Tahoma"/>
            <family val="2"/>
          </rPr>
          <t xml:space="preserve">
</t>
        </r>
      </text>
    </comment>
    <comment ref="K859" authorId="0" shapeId="0" xr:uid="{6F62ABAB-A691-4628-A173-755D1317E735}">
      <text>
        <r>
          <rPr>
            <sz val="9"/>
            <color indexed="81"/>
            <rFont val="Tahoma"/>
            <family val="2"/>
          </rPr>
          <t>Recently discovered complex faint PN</t>
        </r>
      </text>
    </comment>
    <comment ref="A860" authorId="0" shapeId="0" xr:uid="{C6B3B104-0047-48FC-B71D-A5931A36F54B}">
      <text>
        <r>
          <rPr>
            <sz val="9"/>
            <color indexed="81"/>
            <rFont val="Tahoma"/>
            <family val="2"/>
          </rPr>
          <t xml:space="preserve">
</t>
        </r>
      </text>
    </comment>
    <comment ref="K860" authorId="0" shapeId="0" xr:uid="{E515D7A1-4411-41A7-93C0-DFB42ABE5A71}">
      <text>
        <r>
          <rPr>
            <sz val="9"/>
            <color indexed="81"/>
            <rFont val="Tahoma"/>
            <family val="2"/>
          </rPr>
          <t xml:space="preserve">Deformed elliptical PN with progenitor visible and some likely ISM influence </t>
        </r>
      </text>
    </comment>
    <comment ref="A861" authorId="0" shapeId="0" xr:uid="{B22D8114-62EA-4864-B020-5D4F7A936B71}">
      <text>
        <r>
          <rPr>
            <sz val="9"/>
            <color indexed="81"/>
            <rFont val="Tahoma"/>
            <family val="2"/>
          </rPr>
          <t xml:space="preserve">
</t>
        </r>
      </text>
    </comment>
    <comment ref="K861" authorId="0" shapeId="0" xr:uid="{7A535EEA-78AA-4EB0-AE36-2A97D3EDB2D3}">
      <text>
        <r>
          <rPr>
            <sz val="9"/>
            <color indexed="81"/>
            <rFont val="Tahoma"/>
            <family val="2"/>
          </rPr>
          <t>Peculiar HII ring shape with some OIII signal</t>
        </r>
      </text>
    </comment>
    <comment ref="A862" authorId="0" shapeId="0" xr:uid="{28698626-6B3F-4A7A-9C85-C0539A42F2B1}">
      <text>
        <r>
          <rPr>
            <sz val="9"/>
            <color indexed="81"/>
            <rFont val="Tahoma"/>
            <family val="2"/>
          </rPr>
          <t xml:space="preserve">
</t>
        </r>
      </text>
    </comment>
    <comment ref="K862" authorId="0" shapeId="0" xr:uid="{2913C655-EF4D-4251-A2F9-78EDC0A0D48E}">
      <text>
        <r>
          <rPr>
            <sz val="9"/>
            <color indexed="81"/>
            <rFont val="Tahoma"/>
            <family val="2"/>
          </rPr>
          <t xml:space="preserve">Faint ancient PN.  One of the largest PN at 8 light years diameter. </t>
        </r>
      </text>
    </comment>
    <comment ref="A863" authorId="0" shapeId="0" xr:uid="{5067896A-D215-44F9-BC2D-8234E4624A2D}">
      <text>
        <r>
          <rPr>
            <sz val="9"/>
            <color indexed="81"/>
            <rFont val="Tahoma"/>
            <family val="2"/>
          </rPr>
          <t xml:space="preserve">
</t>
        </r>
      </text>
    </comment>
    <comment ref="K863" authorId="0" shapeId="0" xr:uid="{788B15AD-45E8-4C14-8DE8-8A1D94DC8B18}">
      <text>
        <r>
          <rPr>
            <sz val="9"/>
            <color indexed="81"/>
            <rFont val="Tahoma"/>
            <family val="2"/>
          </rPr>
          <t>Recently discovered large OIII-dominated emission nebula</t>
        </r>
      </text>
    </comment>
    <comment ref="A864" authorId="0" shapeId="0" xr:uid="{C9A07DD9-297D-46F4-A27F-969613804D8A}">
      <text>
        <r>
          <rPr>
            <sz val="9"/>
            <color indexed="81"/>
            <rFont val="Tahoma"/>
            <family val="2"/>
          </rPr>
          <t xml:space="preserve">
</t>
        </r>
      </text>
    </comment>
    <comment ref="K864" authorId="0" shapeId="0" xr:uid="{1253665E-1A20-4125-91A3-006B542B8068}">
      <text>
        <r>
          <rPr>
            <sz val="9"/>
            <color indexed="81"/>
            <rFont val="Tahoma"/>
            <family val="2"/>
          </rPr>
          <t>The 1st preplanetary nebula to be identified.  4 jets emanate from the progenitor star.</t>
        </r>
      </text>
    </comment>
    <comment ref="A865" authorId="0" shapeId="0" xr:uid="{F8410CDF-0C48-424F-8CB2-EB7146CE4F4F}">
      <text>
        <r>
          <rPr>
            <sz val="9"/>
            <color indexed="81"/>
            <rFont val="Tahoma"/>
            <family val="2"/>
          </rPr>
          <t xml:space="preserve">
</t>
        </r>
      </text>
    </comment>
    <comment ref="K865" authorId="0" shapeId="0" xr:uid="{5C1BBFB7-CE1B-4DD4-A0AB-DBBFC9FC485E}">
      <text>
        <r>
          <rPr>
            <sz val="9"/>
            <color indexed="81"/>
            <rFont val="Tahoma"/>
            <family val="2"/>
          </rPr>
          <t>Gravitationally lensed quasar at 10 bly that is located exactly behind a closer galaxy.</t>
        </r>
      </text>
    </comment>
    <comment ref="A866" authorId="0" shapeId="0" xr:uid="{E715397E-522A-44AC-BB49-83E5BCFBAB93}">
      <text>
        <r>
          <rPr>
            <sz val="9"/>
            <color indexed="81"/>
            <rFont val="Tahoma"/>
            <family val="2"/>
          </rPr>
          <t xml:space="preserve">
</t>
        </r>
      </text>
    </comment>
    <comment ref="K866" authorId="0" shapeId="0" xr:uid="{384DC6E4-0D47-4D56-832B-EFAC853D5BB2}">
      <text>
        <r>
          <rPr>
            <sz val="9"/>
            <color indexed="81"/>
            <rFont val="Tahoma"/>
            <family val="2"/>
          </rPr>
          <t>Pair of interacting spiral galaxies of contrasting colors, with bridge and tail.</t>
        </r>
      </text>
    </comment>
    <comment ref="A867" authorId="0" shapeId="0" xr:uid="{2B866B53-B89E-4BE7-A488-5C65A9679273}">
      <text>
        <r>
          <rPr>
            <sz val="9"/>
            <color indexed="81"/>
            <rFont val="Tahoma"/>
            <family val="2"/>
          </rPr>
          <t xml:space="preserve">
</t>
        </r>
      </text>
    </comment>
    <comment ref="K867" authorId="0" shapeId="0" xr:uid="{A874C2EE-6ED1-4E14-948A-DEB519802454}">
      <text>
        <r>
          <rPr>
            <sz val="9"/>
            <color indexed="81"/>
            <rFont val="Tahoma"/>
            <family val="2"/>
          </rPr>
          <t>Non-interacting pair, edge-on spiral and polar ring galaxy of contrasting colors.</t>
        </r>
      </text>
    </comment>
    <comment ref="A868" authorId="0" shapeId="0" xr:uid="{C08E18BC-7C7B-4B45-AA8E-C09A622045FE}">
      <text>
        <r>
          <rPr>
            <sz val="9"/>
            <color indexed="81"/>
            <rFont val="Tahoma"/>
            <family val="2"/>
          </rPr>
          <t xml:space="preserve">
</t>
        </r>
      </text>
    </comment>
    <comment ref="K868" authorId="0" shapeId="0" xr:uid="{89A42CF7-8396-4C78-8248-ED175EE1EBF0}">
      <text>
        <r>
          <rPr>
            <sz val="9"/>
            <color indexed="81"/>
            <rFont val="Tahoma"/>
            <family val="2"/>
          </rPr>
          <t>Recently discovered bipolar PN.  PN has both spherical and nested bipolar outflows. Progenitor visible.</t>
        </r>
      </text>
    </comment>
    <comment ref="A869" authorId="0" shapeId="0" xr:uid="{99DDC428-3CEA-42F9-95C2-CC8045985A90}">
      <text>
        <r>
          <rPr>
            <sz val="9"/>
            <color indexed="81"/>
            <rFont val="Tahoma"/>
            <family val="2"/>
          </rPr>
          <t xml:space="preserve">
</t>
        </r>
      </text>
    </comment>
    <comment ref="K869" authorId="0" shapeId="0" xr:uid="{7B2D263C-583D-43F6-9C6B-78FAC76F4098}">
      <text>
        <r>
          <rPr>
            <sz val="9"/>
            <color indexed="81"/>
            <rFont val="Tahoma"/>
            <family val="2"/>
          </rPr>
          <t>Faint PN, no distance known. Progenitor visible.</t>
        </r>
      </text>
    </comment>
    <comment ref="A870" authorId="0" shapeId="0" xr:uid="{3051E2D9-2DDA-4DD9-A3F7-66C2B7992868}">
      <text>
        <r>
          <rPr>
            <sz val="9"/>
            <color indexed="81"/>
            <rFont val="Tahoma"/>
            <family val="2"/>
          </rPr>
          <t xml:space="preserve">
</t>
        </r>
      </text>
    </comment>
    <comment ref="K870" authorId="0" shapeId="0" xr:uid="{AC1A23D4-C3CA-43AE-BEF8-74FFA0178841}">
      <text>
        <r>
          <rPr>
            <sz val="9"/>
            <color indexed="81"/>
            <rFont val="Tahoma"/>
            <family val="2"/>
          </rPr>
          <t xml:space="preserve">Tiny, unusually distorted starburst galaxy  </t>
        </r>
      </text>
    </comment>
    <comment ref="A871" authorId="0" shapeId="0" xr:uid="{92FBCC4C-2A30-4E92-8A69-47CD9B25A91D}">
      <text>
        <r>
          <rPr>
            <sz val="9"/>
            <color indexed="81"/>
            <rFont val="Tahoma"/>
            <family val="2"/>
          </rPr>
          <t xml:space="preserve">
</t>
        </r>
      </text>
    </comment>
    <comment ref="K871" authorId="0" shapeId="0" xr:uid="{B44D8BBE-049A-4AC3-87FC-90002FE9BE20}">
      <text>
        <r>
          <rPr>
            <sz val="9"/>
            <color indexed="81"/>
            <rFont val="Tahoma"/>
            <family val="2"/>
          </rPr>
          <t>Faint dwarf galaxy with 5 globular clusters visible</t>
        </r>
      </text>
    </comment>
    <comment ref="A872" authorId="0" shapeId="0" xr:uid="{26781FD0-8F37-4DFF-B3A3-4628413ADEF4}">
      <text>
        <r>
          <rPr>
            <sz val="9"/>
            <color indexed="81"/>
            <rFont val="Tahoma"/>
            <family val="2"/>
          </rPr>
          <t xml:space="preserve">
</t>
        </r>
      </text>
    </comment>
    <comment ref="B872" authorId="0" shapeId="0" xr:uid="{D6481E2E-EF60-4C05-A2BD-0B12BC7B8A7B}">
      <text>
        <r>
          <rPr>
            <sz val="9"/>
            <color indexed="81"/>
            <rFont val="Tahoma"/>
            <family val="2"/>
          </rPr>
          <t>Object not in SIMBAD &amp; ALADIN</t>
        </r>
      </text>
    </comment>
    <comment ref="K872" authorId="0" shapeId="0" xr:uid="{E9EC1824-7E93-4D69-A889-482CF33AD06A}">
      <text>
        <r>
          <rPr>
            <sz val="9"/>
            <color indexed="81"/>
            <rFont val="Tahoma"/>
            <family val="2"/>
          </rPr>
          <t>Faint dwarf galaxy with 5 globular clusters visible</t>
        </r>
      </text>
    </comment>
    <comment ref="A873" authorId="0" shapeId="0" xr:uid="{4DA0BDF1-5B16-45DF-952D-28165DD94C33}">
      <text>
        <r>
          <rPr>
            <sz val="9"/>
            <color indexed="81"/>
            <rFont val="Tahoma"/>
            <family val="2"/>
          </rPr>
          <t xml:space="preserve">
</t>
        </r>
      </text>
    </comment>
    <comment ref="B873" authorId="0" shapeId="0" xr:uid="{423C22C4-EB9B-4A04-895B-166CF7CC4602}">
      <text>
        <r>
          <rPr>
            <sz val="9"/>
            <color indexed="81"/>
            <rFont val="Tahoma"/>
            <family val="2"/>
          </rPr>
          <t>Object not in SIMBAD &amp; ALADIN</t>
        </r>
      </text>
    </comment>
    <comment ref="K873" authorId="0" shapeId="0" xr:uid="{557655FC-9216-438F-9CFE-AD37F7997F37}">
      <text>
        <r>
          <rPr>
            <sz val="9"/>
            <color indexed="81"/>
            <rFont val="Tahoma"/>
            <family val="2"/>
          </rPr>
          <t>Very faint nebula.  Could be a PN, but seems much too large</t>
        </r>
      </text>
    </comment>
    <comment ref="A874" authorId="0" shapeId="0" xr:uid="{46388432-48B4-44F6-AB9C-BA3841C1F472}">
      <text>
        <r>
          <rPr>
            <sz val="9"/>
            <color indexed="81"/>
            <rFont val="Tahoma"/>
            <family val="2"/>
          </rPr>
          <t xml:space="preserve">
</t>
        </r>
      </text>
    </comment>
    <comment ref="K874" authorId="0" shapeId="0" xr:uid="{4C11F185-BB1E-4EFE-8BE2-12C34858041C}">
      <text>
        <r>
          <rPr>
            <sz val="9"/>
            <color indexed="81"/>
            <rFont val="Tahoma"/>
            <family val="2"/>
          </rPr>
          <t xml:space="preserve">Bipolar protoplanetary nebula. We have side-on view of the torus. </t>
        </r>
      </text>
    </comment>
    <comment ref="A875" authorId="0" shapeId="0" xr:uid="{DE5B02B7-2FE4-4C2A-A0DB-789CE01FEDE0}">
      <text>
        <r>
          <rPr>
            <sz val="9"/>
            <color indexed="81"/>
            <rFont val="Tahoma"/>
            <family val="2"/>
          </rPr>
          <t xml:space="preserve">
</t>
        </r>
      </text>
    </comment>
    <comment ref="K875" authorId="0" shapeId="0" xr:uid="{906D6751-B71A-48CA-9DB9-6A6A47F4CBB8}">
      <text>
        <r>
          <rPr>
            <sz val="9"/>
            <color indexed="81"/>
            <rFont val="Tahoma"/>
            <family val="2"/>
          </rPr>
          <t>YSO within Barnard 216, powered by a variable star and obscured by dust clouds as a orange reflection nebula.</t>
        </r>
      </text>
    </comment>
    <comment ref="A876" authorId="0" shapeId="0" xr:uid="{E9882BD2-A807-4362-867E-249F3FCAD301}">
      <text>
        <r>
          <rPr>
            <sz val="9"/>
            <color indexed="81"/>
            <rFont val="Tahoma"/>
            <family val="2"/>
          </rPr>
          <t xml:space="preserve">
</t>
        </r>
      </text>
    </comment>
    <comment ref="K876" authorId="0" shapeId="0" xr:uid="{688823F5-7873-4BC0-BEF9-63DB7937A4F3}">
      <text>
        <r>
          <rPr>
            <sz val="9"/>
            <color indexed="81"/>
            <rFont val="Tahoma"/>
            <family val="2"/>
          </rPr>
          <t xml:space="preserve">YSO appearing as a tiny yellow reflection nebula in Barnard 35 </t>
        </r>
      </text>
    </comment>
    <comment ref="A877" authorId="0" shapeId="0" xr:uid="{D2906794-3EB0-46D6-A40F-CEBCF7F6ED46}">
      <text>
        <r>
          <rPr>
            <sz val="9"/>
            <color indexed="81"/>
            <rFont val="Tahoma"/>
            <family val="2"/>
          </rPr>
          <t xml:space="preserve">
</t>
        </r>
      </text>
    </comment>
    <comment ref="K877" authorId="0" shapeId="0" xr:uid="{65565068-A42A-43B9-9D49-BA19ABA5D7F5}">
      <text>
        <r>
          <rPr>
            <sz val="9"/>
            <color indexed="81"/>
            <rFont val="Tahoma"/>
            <family val="2"/>
          </rPr>
          <t xml:space="preserve">OIII-dominating SNR, appearing cyan in the image foreground. </t>
        </r>
      </text>
    </comment>
    <comment ref="A878" authorId="0" shapeId="0" xr:uid="{36EE75BA-00B1-4FC5-9620-17F051DB9E79}">
      <text>
        <r>
          <rPr>
            <sz val="9"/>
            <color indexed="81"/>
            <rFont val="Tahoma"/>
            <family val="2"/>
          </rPr>
          <t xml:space="preserve">
</t>
        </r>
      </text>
    </comment>
    <comment ref="K878" authorId="0" shapeId="0" xr:uid="{1401BEA5-45E0-42F9-B0DA-BCCE8085899D}">
      <text>
        <r>
          <rPr>
            <sz val="9"/>
            <color indexed="81"/>
            <rFont val="Tahoma"/>
            <family val="2"/>
          </rPr>
          <t>Extragalactic globular cluster in Andromeda</t>
        </r>
      </text>
    </comment>
    <comment ref="A879" authorId="0" shapeId="0" xr:uid="{972BFCF9-F572-45FD-B0A7-9052E457073A}">
      <text>
        <r>
          <rPr>
            <sz val="9"/>
            <color indexed="81"/>
            <rFont val="Tahoma"/>
            <family val="2"/>
          </rPr>
          <t xml:space="preserve">
</t>
        </r>
      </text>
    </comment>
    <comment ref="K879" authorId="0" shapeId="0" xr:uid="{85EBF44C-CB51-4AC7-A2E0-A6A2D9FDA654}">
      <text>
        <r>
          <rPr>
            <sz val="9"/>
            <color indexed="81"/>
            <rFont val="Tahoma"/>
            <family val="2"/>
          </rPr>
          <t>Multi-polar PN with HII outflows.</t>
        </r>
      </text>
    </comment>
    <comment ref="A880" authorId="0" shapeId="0" xr:uid="{B3B27A71-8C6E-40E7-9598-DF1E6B92A453}">
      <text>
        <r>
          <rPr>
            <sz val="9"/>
            <color indexed="81"/>
            <rFont val="Tahoma"/>
            <family val="2"/>
          </rPr>
          <t xml:space="preserve">
</t>
        </r>
      </text>
    </comment>
    <comment ref="K880" authorId="0" shapeId="0" xr:uid="{F9F1EADC-34F2-4162-A718-948ECE784B01}">
      <text>
        <r>
          <rPr>
            <sz val="9"/>
            <color indexed="81"/>
            <rFont val="Tahoma"/>
            <family val="2"/>
          </rPr>
          <t>One of the largest SNR, discovered in 2022</t>
        </r>
      </text>
    </comment>
    <comment ref="A881" authorId="0" shapeId="0" xr:uid="{FF1F3238-80A1-43C7-AF63-F44957CF16E1}">
      <text>
        <r>
          <rPr>
            <sz val="9"/>
            <color indexed="81"/>
            <rFont val="Tahoma"/>
            <family val="2"/>
          </rPr>
          <t xml:space="preserve">
</t>
        </r>
      </text>
    </comment>
    <comment ref="K881" authorId="0" shapeId="0" xr:uid="{72CED020-940D-4570-AB40-5E85BF79C880}">
      <text>
        <r>
          <rPr>
            <sz val="9"/>
            <color indexed="81"/>
            <rFont val="Tahoma"/>
            <family val="2"/>
          </rPr>
          <t>Faint PN with interesting texture, next to bright star</t>
        </r>
      </text>
    </comment>
    <comment ref="A882" authorId="0" shapeId="0" xr:uid="{71D06358-8DBD-4512-A87B-F7E6FFE33067}">
      <text>
        <r>
          <rPr>
            <sz val="9"/>
            <color indexed="81"/>
            <rFont val="Tahoma"/>
            <family val="2"/>
          </rPr>
          <t xml:space="preserve">
</t>
        </r>
      </text>
    </comment>
    <comment ref="K882" authorId="0" shapeId="0" xr:uid="{A55D5E0E-B928-461C-A2D5-E11A407618EB}">
      <text>
        <r>
          <rPr>
            <sz val="9"/>
            <color indexed="81"/>
            <rFont val="Tahoma"/>
            <family val="2"/>
          </rPr>
          <t>Extremely faint large SNR set behind a field of LDN dark nebulae</t>
        </r>
      </text>
    </comment>
    <comment ref="A883" authorId="0" shapeId="0" xr:uid="{4FEB0263-7B32-40F6-9805-A2A06DD6CD42}">
      <text>
        <r>
          <rPr>
            <sz val="9"/>
            <color indexed="81"/>
            <rFont val="Tahoma"/>
            <family val="2"/>
          </rPr>
          <t xml:space="preserve">
</t>
        </r>
      </text>
    </comment>
    <comment ref="K883" authorId="0" shapeId="0" xr:uid="{2C96A209-0097-495A-B92F-A8279D073821}">
      <text>
        <r>
          <rPr>
            <sz val="9"/>
            <color indexed="81"/>
            <rFont val="Tahoma"/>
            <family val="2"/>
          </rPr>
          <t xml:space="preserve">Dim hydrogen emission nebula with several extended dust pillars </t>
        </r>
      </text>
    </comment>
    <comment ref="A884" authorId="0" shapeId="0" xr:uid="{91355EC6-66E9-4D78-860F-41FFC216B100}">
      <text>
        <r>
          <rPr>
            <sz val="9"/>
            <color indexed="81"/>
            <rFont val="Tahoma"/>
            <family val="2"/>
          </rPr>
          <t xml:space="preserve">
</t>
        </r>
      </text>
    </comment>
    <comment ref="K884" authorId="0" shapeId="0" xr:uid="{D2FB3E9D-0641-4E24-BFF1-F9E70924DB93}">
      <text>
        <r>
          <rPr>
            <sz val="9"/>
            <color indexed="81"/>
            <rFont val="Tahoma"/>
            <family val="2"/>
          </rPr>
          <t>Extremely faint large SNR, OIII dominated.</t>
        </r>
      </text>
    </comment>
    <comment ref="A885" authorId="0" shapeId="0" xr:uid="{4D3B7494-D2B9-4939-B19B-CBC7BD916AC8}">
      <text>
        <r>
          <rPr>
            <sz val="9"/>
            <color indexed="81"/>
            <rFont val="Tahoma"/>
            <family val="2"/>
          </rPr>
          <t xml:space="preserve">
</t>
        </r>
      </text>
    </comment>
    <comment ref="K885" authorId="0" shapeId="0" xr:uid="{A3C5521F-02B9-466A-AE0C-8D647F31F2ED}">
      <text>
        <r>
          <rPr>
            <sz val="9"/>
            <color indexed="81"/>
            <rFont val="Tahoma"/>
            <family val="2"/>
          </rPr>
          <t>Oblong OIII-dominated SNR, likely impacted by ISM</t>
        </r>
      </text>
    </comment>
    <comment ref="A886" authorId="0" shapeId="0" xr:uid="{BA1A3025-5B62-4D79-8A1D-EAEA3D9BB715}">
      <text>
        <r>
          <rPr>
            <sz val="9"/>
            <color indexed="81"/>
            <rFont val="Tahoma"/>
            <family val="2"/>
          </rPr>
          <t xml:space="preserve">
</t>
        </r>
      </text>
    </comment>
    <comment ref="K886" authorId="0" shapeId="0" xr:uid="{E1649560-B346-48E0-96D6-5C4C6F497027}">
      <text>
        <r>
          <rPr>
            <sz val="9"/>
            <color indexed="81"/>
            <rFont val="Tahoma"/>
            <family val="2"/>
          </rPr>
          <t>Nova exploded in 1901 and reached 0.2 magnitude</t>
        </r>
      </text>
    </comment>
    <comment ref="A887" authorId="0" shapeId="0" xr:uid="{FFAE4791-654B-4BFA-BE2A-987C1CCEF67F}">
      <text>
        <r>
          <rPr>
            <sz val="9"/>
            <color indexed="81"/>
            <rFont val="Tahoma"/>
            <family val="2"/>
          </rPr>
          <t xml:space="preserve">
</t>
        </r>
      </text>
    </comment>
    <comment ref="K887" authorId="0" shapeId="0" xr:uid="{2B7D55D1-A786-43B5-B233-3FDE4DE09F45}">
      <text>
        <r>
          <rPr>
            <sz val="9"/>
            <color indexed="81"/>
            <rFont val="Tahoma"/>
            <family val="2"/>
          </rPr>
          <t>Reflection nebula changes shape year-to-year</t>
        </r>
      </text>
    </comment>
    <comment ref="A888" authorId="0" shapeId="0" xr:uid="{DB28CFA7-9DDF-4FFB-8A15-4E77E57A7EBC}">
      <text>
        <r>
          <rPr>
            <sz val="9"/>
            <color indexed="81"/>
            <rFont val="Tahoma"/>
            <family val="2"/>
          </rPr>
          <t xml:space="preserve">
</t>
        </r>
      </text>
    </comment>
    <comment ref="K888" authorId="0" shapeId="0" xr:uid="{8A7E02B4-A13C-4F8C-9B34-6E8914DB848E}">
      <text>
        <r>
          <rPr>
            <sz val="9"/>
            <color indexed="81"/>
            <rFont val="Tahoma"/>
            <family val="2"/>
          </rPr>
          <t xml:space="preserve">Reflection nebula is primarily blue but has hints of red, purple and yellow on the right side </t>
        </r>
      </text>
    </comment>
    <comment ref="A889" authorId="0" shapeId="0" xr:uid="{A9685FEF-6D55-40BB-8F7A-8A92ED76B091}">
      <text>
        <r>
          <rPr>
            <sz val="9"/>
            <color indexed="81"/>
            <rFont val="Tahoma"/>
            <family val="2"/>
          </rPr>
          <t xml:space="preserve">
</t>
        </r>
      </text>
    </comment>
    <comment ref="K889" authorId="0" shapeId="0" xr:uid="{36C705BC-FCF1-4825-9D3C-7BCBE9398ED7}">
      <text>
        <r>
          <rPr>
            <sz val="9"/>
            <color indexed="81"/>
            <rFont val="Tahoma"/>
            <family val="2"/>
          </rPr>
          <t xml:space="preserve">Bright blue reflection nebula surrounding the 7th magnitude star 12 Gem.  </t>
        </r>
      </text>
    </comment>
    <comment ref="A890" authorId="0" shapeId="0" xr:uid="{1C1778C1-EB47-4315-BA98-639D5A5F1A49}">
      <text>
        <r>
          <rPr>
            <sz val="9"/>
            <color indexed="81"/>
            <rFont val="Tahoma"/>
            <family val="2"/>
          </rPr>
          <t xml:space="preserve">
</t>
        </r>
      </text>
    </comment>
    <comment ref="K890" authorId="0" shapeId="0" xr:uid="{E495459C-A67D-4CBE-A1BA-DA583FE4B962}">
      <text>
        <r>
          <rPr>
            <sz val="9"/>
            <color indexed="81"/>
            <rFont val="Tahoma"/>
            <family val="2"/>
          </rPr>
          <t>Textured light orange reflection nebula</t>
        </r>
      </text>
    </comment>
    <comment ref="A891" authorId="0" shapeId="0" xr:uid="{6FCEEAF3-D290-481C-9B81-2173AA693315}">
      <text>
        <r>
          <rPr>
            <sz val="9"/>
            <color indexed="81"/>
            <rFont val="Tahoma"/>
            <family val="2"/>
          </rPr>
          <t xml:space="preserve">
</t>
        </r>
      </text>
    </comment>
    <comment ref="K891" authorId="0" shapeId="0" xr:uid="{19AED9A3-6E82-4595-8C6D-C61B63993063}">
      <text>
        <r>
          <rPr>
            <sz val="9"/>
            <color indexed="81"/>
            <rFont val="Tahoma"/>
            <family val="2"/>
          </rPr>
          <t>Large nebula forms the wings of the Seagull Nebula</t>
        </r>
      </text>
    </comment>
    <comment ref="A892" authorId="0" shapeId="0" xr:uid="{09D9AD06-23CE-4B50-A05A-974C5A816464}">
      <text>
        <r>
          <rPr>
            <sz val="9"/>
            <color indexed="81"/>
            <rFont val="Tahoma"/>
            <family val="2"/>
          </rPr>
          <t xml:space="preserve">
</t>
        </r>
      </text>
    </comment>
    <comment ref="K892" authorId="0" shapeId="0" xr:uid="{C6A1DA9A-F5CC-403F-BB41-A3BF4E270065}">
      <text>
        <r>
          <rPr>
            <sz val="9"/>
            <color indexed="81"/>
            <rFont val="Tahoma"/>
            <family val="2"/>
          </rPr>
          <t>Pair of HII nebula with bright regions and dust lanes</t>
        </r>
      </text>
    </comment>
    <comment ref="A893" authorId="0" shapeId="0" xr:uid="{5D28BE1C-F525-4A9D-8B27-40C80ED95096}">
      <text>
        <r>
          <rPr>
            <sz val="9"/>
            <color indexed="81"/>
            <rFont val="Tahoma"/>
            <family val="2"/>
          </rPr>
          <t xml:space="preserve">
</t>
        </r>
      </text>
    </comment>
    <comment ref="K893" authorId="0" shapeId="0" xr:uid="{3F386110-D1FB-409A-A02C-C6E1084CBA98}">
      <text>
        <r>
          <rPr>
            <sz val="9"/>
            <color indexed="81"/>
            <rFont val="Tahoma"/>
            <family val="2"/>
          </rPr>
          <t>Huge Gum Nebula SNR.  Too big for astro cameras</t>
        </r>
      </text>
    </comment>
    <comment ref="A894" authorId="0" shapeId="0" xr:uid="{7C2C874D-B6A5-4068-8BDB-A667B83EF94A}">
      <text>
        <r>
          <rPr>
            <sz val="9"/>
            <color indexed="81"/>
            <rFont val="Tahoma"/>
            <family val="2"/>
          </rPr>
          <t xml:space="preserve">
</t>
        </r>
      </text>
    </comment>
    <comment ref="K894" authorId="0" shapeId="0" xr:uid="{541584AB-95CC-4358-A433-A13CD1782513}">
      <text>
        <r>
          <rPr>
            <sz val="9"/>
            <color indexed="81"/>
            <rFont val="Tahoma"/>
            <family val="2"/>
          </rPr>
          <t>Filaments from Puppis A SNR</t>
        </r>
      </text>
    </comment>
    <comment ref="A895" authorId="0" shapeId="0" xr:uid="{493A1400-DAF6-464E-83D0-92179F570BE2}">
      <text>
        <r>
          <rPr>
            <sz val="9"/>
            <color indexed="81"/>
            <rFont val="Tahoma"/>
            <family val="2"/>
          </rPr>
          <t xml:space="preserve">
</t>
        </r>
      </text>
    </comment>
    <comment ref="K895" authorId="0" shapeId="0" xr:uid="{0C897862-2A75-4354-9CE5-0B7ECA831F04}">
      <text>
        <r>
          <rPr>
            <sz val="9"/>
            <color indexed="81"/>
            <rFont val="Tahoma"/>
            <family val="2"/>
          </rPr>
          <t>Emission, reflection and dust lane components</t>
        </r>
      </text>
    </comment>
    <comment ref="A896" authorId="0" shapeId="0" xr:uid="{C9F273D6-5B5E-4453-B45F-EC20C3910743}">
      <text>
        <r>
          <rPr>
            <sz val="9"/>
            <color indexed="81"/>
            <rFont val="Tahoma"/>
            <family val="2"/>
          </rPr>
          <t xml:space="preserve">
</t>
        </r>
      </text>
    </comment>
    <comment ref="K896" authorId="0" shapeId="0" xr:uid="{02D0EEB8-BC1F-402F-A794-3511754D76D2}">
      <text>
        <r>
          <rPr>
            <sz val="9"/>
            <color indexed="81"/>
            <rFont val="Tahoma"/>
            <family val="2"/>
          </rPr>
          <t>Complex nebula texture, ionized by HD74804</t>
        </r>
      </text>
    </comment>
    <comment ref="A897" authorId="0" shapeId="0" xr:uid="{8C0CE50E-0B89-4B91-A05E-DD4E1B02CFC1}">
      <text>
        <r>
          <rPr>
            <sz val="9"/>
            <color indexed="81"/>
            <rFont val="Tahoma"/>
            <family val="2"/>
          </rPr>
          <t xml:space="preserve">
</t>
        </r>
      </text>
    </comment>
    <comment ref="K897" authorId="0" shapeId="0" xr:uid="{5CED2A94-2CCF-4762-B41E-62DB52AEAA70}">
      <text>
        <r>
          <rPr>
            <sz val="9"/>
            <color indexed="81"/>
            <rFont val="Tahoma"/>
            <family val="2"/>
          </rPr>
          <t>Gum 16 includes both the Gum Nebula and Vela SNR</t>
        </r>
      </text>
    </comment>
    <comment ref="A898" authorId="0" shapeId="0" xr:uid="{263E1406-53FA-4B15-AF08-2B70CB6EDD4C}">
      <text>
        <r>
          <rPr>
            <sz val="9"/>
            <color indexed="81"/>
            <rFont val="Tahoma"/>
            <family val="2"/>
          </rPr>
          <t xml:space="preserve">
</t>
        </r>
      </text>
    </comment>
    <comment ref="K898" authorId="0" shapeId="0" xr:uid="{53BCDB1F-1B0D-4017-A626-1CC8FF88BB86}">
      <text>
        <r>
          <rPr>
            <sz val="9"/>
            <color indexed="81"/>
            <rFont val="Tahoma"/>
            <family val="2"/>
          </rPr>
          <t>Large HII region, ionized by HD75759</t>
        </r>
      </text>
    </comment>
    <comment ref="A899" authorId="0" shapeId="0" xr:uid="{D4232E54-63BD-4454-AF82-118A05F9DBE1}">
      <text>
        <r>
          <rPr>
            <sz val="9"/>
            <color indexed="81"/>
            <rFont val="Tahoma"/>
            <family val="2"/>
          </rPr>
          <t xml:space="preserve">
</t>
        </r>
      </text>
    </comment>
    <comment ref="K899" authorId="0" shapeId="0" xr:uid="{5F6DA142-B676-4458-A2F5-02F474559945}">
      <text>
        <r>
          <rPr>
            <sz val="9"/>
            <color indexed="81"/>
            <rFont val="Tahoma"/>
            <family val="2"/>
          </rPr>
          <t>Located just west of the Vela Spiral Flame SNR</t>
        </r>
      </text>
    </comment>
    <comment ref="A900" authorId="0" shapeId="0" xr:uid="{8B002362-11FD-4F19-A484-696AB18C49BA}">
      <text>
        <r>
          <rPr>
            <sz val="9"/>
            <color indexed="81"/>
            <rFont val="Tahoma"/>
            <family val="2"/>
          </rPr>
          <t xml:space="preserve">
</t>
        </r>
      </text>
    </comment>
    <comment ref="K900" authorId="0" shapeId="0" xr:uid="{C64165A8-7C46-4729-84ED-41D9AF995B86}">
      <text>
        <r>
          <rPr>
            <sz val="9"/>
            <color indexed="81"/>
            <rFont val="Tahoma"/>
            <family val="2"/>
          </rPr>
          <t>Ionized by V391Velorum, nebula has unusual sharp dark top edge</t>
        </r>
      </text>
    </comment>
    <comment ref="A901" authorId="0" shapeId="0" xr:uid="{F05B6F9D-569D-4EF7-A611-E73AB7670FA7}">
      <text>
        <r>
          <rPr>
            <sz val="9"/>
            <color indexed="81"/>
            <rFont val="Tahoma"/>
            <family val="2"/>
          </rPr>
          <t xml:space="preserve">
</t>
        </r>
      </text>
    </comment>
    <comment ref="K901" authorId="0" shapeId="0" xr:uid="{F0DBD4D8-26D6-45A5-9178-2F185CCB1F9D}">
      <text>
        <r>
          <rPr>
            <sz val="9"/>
            <color indexed="81"/>
            <rFont val="Tahoma"/>
            <family val="2"/>
          </rPr>
          <t>HII region that is part of the Vela Molecular Ridge</t>
        </r>
      </text>
    </comment>
    <comment ref="A902" authorId="0" shapeId="0" xr:uid="{96BDAAB1-6B23-4826-90E8-556A35A72338}">
      <text>
        <r>
          <rPr>
            <sz val="9"/>
            <color indexed="81"/>
            <rFont val="Tahoma"/>
            <family val="2"/>
          </rPr>
          <t xml:space="preserve">
</t>
        </r>
      </text>
    </comment>
    <comment ref="K902" authorId="0" shapeId="0" xr:uid="{A52231F4-F894-4653-B397-979CEE231384}">
      <text>
        <r>
          <rPr>
            <sz val="9"/>
            <color indexed="81"/>
            <rFont val="Tahoma"/>
            <family val="2"/>
          </rPr>
          <t>Includes both the WR14 nebula and portions of the Gum nebula</t>
        </r>
      </text>
    </comment>
    <comment ref="A903" authorId="0" shapeId="0" xr:uid="{4BAB0556-2F6F-4BAF-BE75-94E848E943A2}">
      <text>
        <r>
          <rPr>
            <sz val="9"/>
            <color indexed="81"/>
            <rFont val="Tahoma"/>
            <family val="2"/>
          </rPr>
          <t xml:space="preserve">
</t>
        </r>
      </text>
    </comment>
    <comment ref="K903" authorId="0" shapeId="0" xr:uid="{08A12C01-B439-4EB7-B367-6602AE053D99}">
      <text>
        <r>
          <rPr>
            <sz val="9"/>
            <color indexed="81"/>
            <rFont val="Tahoma"/>
            <family val="2"/>
          </rPr>
          <t xml:space="preserve">Gum 22 is a subset of Gum 23, the brightest part of the nebula just below &amp; left of center.  </t>
        </r>
      </text>
    </comment>
    <comment ref="A904" authorId="0" shapeId="0" xr:uid="{58E5A4D1-20AB-42C5-B14A-F2341DE39D02}">
      <text>
        <r>
          <rPr>
            <sz val="9"/>
            <color indexed="81"/>
            <rFont val="Tahoma"/>
            <family val="2"/>
          </rPr>
          <t xml:space="preserve">
</t>
        </r>
      </text>
    </comment>
    <comment ref="K904" authorId="0" shapeId="0" xr:uid="{7335FF87-5E7E-40B3-A02F-19600EF89182}">
      <text>
        <r>
          <rPr>
            <sz val="9"/>
            <color indexed="81"/>
            <rFont val="Tahoma"/>
            <family val="2"/>
          </rPr>
          <t>Complex of southern HII regions</t>
        </r>
      </text>
    </comment>
    <comment ref="A905" authorId="0" shapeId="0" xr:uid="{B4526D25-F94B-4EA5-9E0D-9CDB20181C37}">
      <text>
        <r>
          <rPr>
            <sz val="9"/>
            <color indexed="81"/>
            <rFont val="Tahoma"/>
            <family val="2"/>
          </rPr>
          <t xml:space="preserve">
</t>
        </r>
      </text>
    </comment>
    <comment ref="K905" authorId="0" shapeId="0" xr:uid="{2E294226-D758-4D69-A68B-6FADC5808C6B}">
      <text>
        <r>
          <rPr>
            <sz val="9"/>
            <color indexed="81"/>
            <rFont val="Tahoma"/>
            <family val="2"/>
          </rPr>
          <t>Fascinating HII emission nebula with dark circular "holes"</t>
        </r>
      </text>
    </comment>
    <comment ref="A906" authorId="0" shapeId="0" xr:uid="{CA0A90D1-4911-43E0-8C5F-D31D76F410A5}">
      <text>
        <r>
          <rPr>
            <sz val="9"/>
            <color indexed="81"/>
            <rFont val="Tahoma"/>
            <family val="2"/>
          </rPr>
          <t xml:space="preserve">
</t>
        </r>
      </text>
    </comment>
    <comment ref="K906" authorId="0" shapeId="0" xr:uid="{D14A9A09-F54D-4C0D-9998-C3865096A9FA}">
      <text>
        <r>
          <rPr>
            <sz val="9"/>
            <color indexed="81"/>
            <rFont val="Tahoma"/>
            <family val="2"/>
          </rPr>
          <t>Brilliant HII region with bright areas and dark dust lanes</t>
        </r>
      </text>
    </comment>
    <comment ref="A907" authorId="0" shapeId="0" xr:uid="{6C32F84D-10B4-4FE7-B364-314D30EAFE40}">
      <text>
        <r>
          <rPr>
            <sz val="9"/>
            <color indexed="81"/>
            <rFont val="Tahoma"/>
            <family val="2"/>
          </rPr>
          <t xml:space="preserve">
</t>
        </r>
      </text>
    </comment>
    <comment ref="K907" authorId="0" shapeId="0" xr:uid="{02326A0D-23AA-4169-B727-986B6AFD5D16}">
      <text>
        <r>
          <rPr>
            <sz val="9"/>
            <color indexed="81"/>
            <rFont val="Tahoma"/>
            <family val="2"/>
          </rPr>
          <t>Bright HII with many stars, one of the best star forming regions in the sky</t>
        </r>
      </text>
    </comment>
    <comment ref="A908" authorId="0" shapeId="0" xr:uid="{7D603156-5E94-41AC-AE5F-3A32F72E66AD}">
      <text>
        <r>
          <rPr>
            <sz val="9"/>
            <color indexed="81"/>
            <rFont val="Tahoma"/>
            <family val="2"/>
          </rPr>
          <t xml:space="preserve">
</t>
        </r>
      </text>
    </comment>
    <comment ref="K908" authorId="0" shapeId="0" xr:uid="{096329C5-B218-4E02-88C4-F8C3E177FC25}">
      <text>
        <r>
          <rPr>
            <sz val="9"/>
            <color indexed="81"/>
            <rFont val="Tahoma"/>
            <family val="2"/>
          </rPr>
          <t>Multipolar PN with lobe breakout</t>
        </r>
      </text>
    </comment>
    <comment ref="A909" authorId="0" shapeId="0" xr:uid="{C17B90EB-4B2A-4202-819B-E7A113E86544}">
      <text>
        <r>
          <rPr>
            <sz val="9"/>
            <color indexed="81"/>
            <rFont val="Tahoma"/>
            <family val="2"/>
          </rPr>
          <t xml:space="preserve">
</t>
        </r>
      </text>
    </comment>
    <comment ref="K909" authorId="0" shapeId="0" xr:uid="{41CC7559-9F97-4D17-9378-A9852F89BD7B}">
      <text>
        <r>
          <rPr>
            <sz val="9"/>
            <color indexed="81"/>
            <rFont val="Tahoma"/>
            <family val="2"/>
          </rPr>
          <t>Striking nebula-cluster combination</t>
        </r>
      </text>
    </comment>
    <comment ref="A910" authorId="0" shapeId="0" xr:uid="{C3CAC732-A91B-4C6E-A786-A0697A77B5E7}">
      <text>
        <r>
          <rPr>
            <sz val="9"/>
            <color indexed="81"/>
            <rFont val="Tahoma"/>
            <family val="2"/>
          </rPr>
          <t xml:space="preserve">
</t>
        </r>
      </text>
    </comment>
    <comment ref="K910" authorId="0" shapeId="0" xr:uid="{7C349423-0595-4C62-A94D-8996A44085C1}">
      <text>
        <r>
          <rPr>
            <sz val="9"/>
            <color indexed="81"/>
            <rFont val="Tahoma"/>
            <family val="2"/>
          </rPr>
          <t>Resplendent object with nebulosity arcs and bright stars in an asymmetric yet pleasing arrangement</t>
        </r>
      </text>
    </comment>
    <comment ref="A911" authorId="0" shapeId="0" xr:uid="{63A3F898-6CAF-459B-BCBF-129D9E8D10E3}">
      <text>
        <r>
          <rPr>
            <sz val="9"/>
            <color indexed="81"/>
            <rFont val="Tahoma"/>
            <family val="2"/>
          </rPr>
          <t xml:space="preserve">
</t>
        </r>
      </text>
    </comment>
    <comment ref="K911" authorId="0" shapeId="0" xr:uid="{4DF58C87-507E-40B7-9D0D-9A7FF9ADD338}">
      <text>
        <r>
          <rPr>
            <sz val="9"/>
            <color indexed="81"/>
            <rFont val="Tahoma"/>
            <family val="2"/>
          </rPr>
          <t>Filaments that make up part of a shell surrounding NGC 3503</t>
        </r>
      </text>
    </comment>
    <comment ref="AX911" authorId="0" shapeId="0" xr:uid="{83150A09-B510-495C-958C-7957D3AE0925}">
      <text>
        <r>
          <rPr>
            <b/>
            <sz val="9"/>
            <color indexed="81"/>
            <rFont val="Tahoma"/>
            <family val="2"/>
          </rPr>
          <t>34a</t>
        </r>
      </text>
    </comment>
    <comment ref="BA911" authorId="0" shapeId="0" xr:uid="{FF101639-AC7F-45D0-AAE7-0DF044EE50EE}">
      <text>
        <r>
          <rPr>
            <b/>
            <sz val="9"/>
            <color indexed="81"/>
            <rFont val="Tahoma"/>
            <family val="2"/>
          </rPr>
          <t>54b</t>
        </r>
      </text>
    </comment>
    <comment ref="A912" authorId="0" shapeId="0" xr:uid="{D7D70CD7-201F-465E-97B1-77CE96AE2A1B}">
      <text>
        <r>
          <rPr>
            <sz val="9"/>
            <color indexed="81"/>
            <rFont val="Tahoma"/>
            <family val="2"/>
          </rPr>
          <t xml:space="preserve">
</t>
        </r>
      </text>
    </comment>
    <comment ref="K912" authorId="0" shapeId="0" xr:uid="{31CF9BFD-7B2C-46D0-B004-73BE9C8DCCB0}">
      <text>
        <r>
          <rPr>
            <sz val="9"/>
            <color indexed="81"/>
            <rFont val="Tahoma"/>
            <family val="2"/>
          </rPr>
          <t>Similar to Gum 34a, filaments that make up part of a shell surrounding NGC 3503</t>
        </r>
      </text>
    </comment>
    <comment ref="AX912" authorId="0" shapeId="0" xr:uid="{9B8BE90F-69FD-421C-A03E-AC4D4B2EC4E1}">
      <text>
        <r>
          <rPr>
            <b/>
            <sz val="9"/>
            <color indexed="81"/>
            <rFont val="Tahoma"/>
            <family val="2"/>
          </rPr>
          <t>34b</t>
        </r>
      </text>
    </comment>
    <comment ref="BA912" authorId="0" shapeId="0" xr:uid="{3EA52DE9-D1D4-4279-B646-ACE9F465DA31}">
      <text>
        <r>
          <rPr>
            <b/>
            <sz val="9"/>
            <color indexed="81"/>
            <rFont val="Tahoma"/>
            <family val="2"/>
          </rPr>
          <t>54b</t>
        </r>
      </text>
    </comment>
    <comment ref="A913" authorId="0" shapeId="0" xr:uid="{B8D25097-9686-478E-8B82-D118C4313CC0}">
      <text>
        <r>
          <rPr>
            <sz val="9"/>
            <color indexed="81"/>
            <rFont val="Tahoma"/>
            <family val="2"/>
          </rPr>
          <t xml:space="preserve">
</t>
        </r>
      </text>
    </comment>
    <comment ref="K913" authorId="0" shapeId="0" xr:uid="{20A9FE8B-EF68-4B5F-AD7D-197B267A6504}">
      <text>
        <r>
          <rPr>
            <sz val="9"/>
            <color indexed="81"/>
            <rFont val="Tahoma"/>
            <family val="2"/>
          </rPr>
          <t>Faint HII region ionized by the Wolf-Rayet star WR 35.</t>
        </r>
      </text>
    </comment>
    <comment ref="BA913" authorId="0" shapeId="0" xr:uid="{5F1E069A-24D4-4134-862E-776B107E23FA}">
      <text>
        <r>
          <rPr>
            <b/>
            <sz val="9"/>
            <color indexed="81"/>
            <rFont val="Tahoma"/>
            <family val="2"/>
          </rPr>
          <t>54a</t>
        </r>
      </text>
    </comment>
    <comment ref="A914" authorId="0" shapeId="0" xr:uid="{E2A86E08-E4BD-4A21-92E9-4C0BE1E17BF4}">
      <text>
        <r>
          <rPr>
            <sz val="9"/>
            <color indexed="81"/>
            <rFont val="Tahoma"/>
            <family val="2"/>
          </rPr>
          <t xml:space="preserve">
</t>
        </r>
      </text>
    </comment>
    <comment ref="K914" authorId="0" shapeId="0" xr:uid="{A382B1EF-8695-43B5-BE8A-0213A0401B82}">
      <text>
        <r>
          <rPr>
            <sz val="9"/>
            <color indexed="81"/>
            <rFont val="Tahoma"/>
            <family val="2"/>
          </rPr>
          <t>Asymmetric emission region with arcs and bright stars</t>
        </r>
      </text>
    </comment>
    <comment ref="BA914" authorId="0" shapeId="0" xr:uid="{DB7CE707-653C-45D6-852F-AB0F19484103}">
      <text>
        <r>
          <rPr>
            <b/>
            <sz val="9"/>
            <color indexed="81"/>
            <rFont val="Tahoma"/>
            <family val="2"/>
          </rPr>
          <t>54d</t>
        </r>
      </text>
    </comment>
    <comment ref="A915" authorId="0" shapeId="0" xr:uid="{7242F835-EB4F-4145-8C13-432C648B84FB}">
      <text>
        <r>
          <rPr>
            <sz val="9"/>
            <color indexed="81"/>
            <rFont val="Tahoma"/>
            <family val="2"/>
          </rPr>
          <t xml:space="preserve">
</t>
        </r>
      </text>
    </comment>
    <comment ref="K915" authorId="0" shapeId="0" xr:uid="{AF0EEE8E-B85E-4645-8D63-78D97D5164A1}">
      <text>
        <r>
          <rPr>
            <sz val="9"/>
            <color indexed="81"/>
            <rFont val="Tahoma"/>
            <family val="2"/>
          </rPr>
          <t>Similar to Gum 36 but a bit better, a splendid asymmetric emission region with arcs and bright stars</t>
        </r>
      </text>
    </comment>
    <comment ref="BA915" authorId="0" shapeId="0" xr:uid="{E06CA51D-8575-4C69-ADB0-E2ABCFCEB29F}">
      <text>
        <r>
          <rPr>
            <b/>
            <sz val="9"/>
            <color indexed="81"/>
            <rFont val="Tahoma"/>
            <family val="2"/>
          </rPr>
          <t>54c</t>
        </r>
      </text>
    </comment>
    <comment ref="A916" authorId="0" shapeId="0" xr:uid="{AEC115E2-8F30-4C6E-919C-05486C850E93}">
      <text>
        <r>
          <rPr>
            <sz val="9"/>
            <color indexed="81"/>
            <rFont val="Tahoma"/>
            <family val="2"/>
          </rPr>
          <t xml:space="preserve">
</t>
        </r>
      </text>
    </comment>
    <comment ref="K916" authorId="0" shapeId="0" xr:uid="{5105EFE0-24BD-4F9A-86F5-1F7C07FD6B27}">
      <text>
        <r>
          <rPr>
            <sz val="9"/>
            <color indexed="81"/>
            <rFont val="Tahoma"/>
            <family val="2"/>
          </rPr>
          <t>Large HII emission region that is the head of the Running Chicken nebula.</t>
        </r>
      </text>
    </comment>
    <comment ref="BA916" authorId="0" shapeId="0" xr:uid="{1BD255E4-F07C-4A4E-8033-C7E868DD9163}">
      <text>
        <r>
          <rPr>
            <b/>
            <sz val="9"/>
            <color indexed="81"/>
            <rFont val="Tahoma"/>
            <family val="2"/>
          </rPr>
          <t>60a</t>
        </r>
      </text>
    </comment>
    <comment ref="A917" authorId="0" shapeId="0" xr:uid="{154D56FA-4D5F-4935-B977-BF70EACC545D}">
      <text>
        <r>
          <rPr>
            <sz val="9"/>
            <color indexed="81"/>
            <rFont val="Tahoma"/>
            <family val="2"/>
          </rPr>
          <t xml:space="preserve">
</t>
        </r>
      </text>
    </comment>
    <comment ref="K917" authorId="0" shapeId="0" xr:uid="{8004F0FB-1545-4BEE-A6B9-2B1B0F922C43}">
      <text>
        <r>
          <rPr>
            <sz val="9"/>
            <color indexed="81"/>
            <rFont val="Tahoma"/>
            <family val="2"/>
          </rPr>
          <t>Seen below Gum 39, this HII region is the lower portion of the Running Chicken object.</t>
        </r>
      </text>
    </comment>
    <comment ref="BA917" authorId="0" shapeId="0" xr:uid="{DE2BC533-9385-4986-BDD4-F52526FBEFEC}">
      <text>
        <r>
          <rPr>
            <b/>
            <sz val="9"/>
            <color indexed="81"/>
            <rFont val="Tahoma"/>
            <family val="2"/>
          </rPr>
          <t>60b</t>
        </r>
      </text>
    </comment>
    <comment ref="A918" authorId="0" shapeId="0" xr:uid="{FA8FD068-9D55-4669-A2D8-622EA30EC62E}">
      <text>
        <r>
          <rPr>
            <sz val="9"/>
            <color indexed="81"/>
            <rFont val="Tahoma"/>
            <family val="2"/>
          </rPr>
          <t xml:space="preserve">
</t>
        </r>
      </text>
    </comment>
    <comment ref="K918" authorId="0" shapeId="0" xr:uid="{C7EA3D83-F770-4CCC-A451-EC89AD76E130}">
      <text>
        <r>
          <rPr>
            <sz val="9"/>
            <color indexed="81"/>
            <rFont val="Tahoma"/>
            <family val="2"/>
          </rPr>
          <t>Forms the feet of the Running Chicken object.</t>
        </r>
      </text>
    </comment>
    <comment ref="A919" authorId="0" shapeId="0" xr:uid="{93166F1F-AD08-443F-8C51-AE2E102F1A4C}">
      <text>
        <r>
          <rPr>
            <sz val="9"/>
            <color indexed="81"/>
            <rFont val="Tahoma"/>
            <family val="2"/>
          </rPr>
          <t xml:space="preserve">
</t>
        </r>
      </text>
    </comment>
    <comment ref="K919" authorId="0" shapeId="0" xr:uid="{9F39FBCA-88F1-4D42-A09A-D10735BD63AD}">
      <text>
        <r>
          <rPr>
            <sz val="9"/>
            <color indexed="81"/>
            <rFont val="Tahoma"/>
            <family val="2"/>
          </rPr>
          <t>Pair of mildly interesting HII regions</t>
        </r>
      </text>
    </comment>
    <comment ref="A920" authorId="0" shapeId="0" xr:uid="{EC7BB98C-48F9-47DC-A4AE-52265B53A758}">
      <text>
        <r>
          <rPr>
            <sz val="9"/>
            <color indexed="81"/>
            <rFont val="Tahoma"/>
            <family val="2"/>
          </rPr>
          <t xml:space="preserve">
</t>
        </r>
      </text>
    </comment>
    <comment ref="K920" authorId="0" shapeId="0" xr:uid="{04E14636-23C7-4137-A556-DFB72F687148}">
      <text>
        <r>
          <rPr>
            <sz val="9"/>
            <color indexed="81"/>
            <rFont val="Tahoma"/>
            <family val="2"/>
          </rPr>
          <t>Several small bright HII regions with nearby bright stars</t>
        </r>
      </text>
    </comment>
    <comment ref="A921" authorId="0" shapeId="0" xr:uid="{41D3E4CB-33C0-4DE1-A022-1DB9CC8F54BD}">
      <text>
        <r>
          <rPr>
            <sz val="9"/>
            <color indexed="81"/>
            <rFont val="Tahoma"/>
            <family val="2"/>
          </rPr>
          <t xml:space="preserve">
</t>
        </r>
      </text>
    </comment>
    <comment ref="K921" authorId="0" shapeId="0" xr:uid="{F297D5E7-F7CF-466A-80DA-4913AABD8B9B}">
      <text>
        <r>
          <rPr>
            <sz val="9"/>
            <color indexed="81"/>
            <rFont val="Tahoma"/>
            <family val="2"/>
          </rPr>
          <t>Large HII-dominated bipolar PN</t>
        </r>
      </text>
    </comment>
    <comment ref="A922" authorId="0" shapeId="0" xr:uid="{F8DBF3E3-CE4D-4CDD-A768-1DED805F72D0}">
      <text>
        <r>
          <rPr>
            <sz val="9"/>
            <color indexed="81"/>
            <rFont val="Tahoma"/>
            <family val="2"/>
          </rPr>
          <t xml:space="preserve">
</t>
        </r>
      </text>
    </comment>
    <comment ref="K922" authorId="0" shapeId="0" xr:uid="{5AB2EC30-D97B-4478-BD61-05A3C9E042FA}">
      <text>
        <r>
          <rPr>
            <sz val="9"/>
            <color indexed="81"/>
            <rFont val="Tahoma"/>
            <family val="2"/>
          </rPr>
          <t>Small bright Hii region</t>
        </r>
      </text>
    </comment>
    <comment ref="A923" authorId="0" shapeId="0" xr:uid="{F89CC3D3-59D3-483A-B8D3-732584AC4ABC}">
      <text>
        <r>
          <rPr>
            <sz val="9"/>
            <color indexed="81"/>
            <rFont val="Tahoma"/>
            <family val="2"/>
          </rPr>
          <t xml:space="preserve">
</t>
        </r>
      </text>
    </comment>
    <comment ref="K923" authorId="0" shapeId="0" xr:uid="{E5BCCFCB-A46C-4527-BB28-1048A3183D08}">
      <text>
        <r>
          <rPr>
            <sz val="9"/>
            <color indexed="81"/>
            <rFont val="Tahoma"/>
            <family val="2"/>
          </rPr>
          <t>Asymmetric emission object with reflection nebula, and dust on southeast half</t>
        </r>
      </text>
    </comment>
    <comment ref="AX923" authorId="0" shapeId="0" xr:uid="{D3C6540C-0BF8-4E40-AB6E-4D6C762C1D68}">
      <text>
        <r>
          <rPr>
            <b/>
            <sz val="9"/>
            <color indexed="81"/>
            <rFont val="Tahoma"/>
            <family val="2"/>
          </rPr>
          <t>48a</t>
        </r>
      </text>
    </comment>
    <comment ref="A924" authorId="0" shapeId="0" xr:uid="{6ED7AD28-D4C9-4763-9CC1-1DCDFD6B5F66}">
      <text>
        <r>
          <rPr>
            <sz val="9"/>
            <color indexed="81"/>
            <rFont val="Tahoma"/>
            <family val="2"/>
          </rPr>
          <t xml:space="preserve">
</t>
        </r>
      </text>
    </comment>
    <comment ref="K924" authorId="0" shapeId="0" xr:uid="{71398DAA-158E-454D-90E9-5EBB80C34962}">
      <text>
        <r>
          <rPr>
            <sz val="9"/>
            <color indexed="81"/>
            <rFont val="Tahoma"/>
            <family val="2"/>
          </rPr>
          <t>Faint large HII region</t>
        </r>
      </text>
    </comment>
    <comment ref="AX924" authorId="0" shapeId="0" xr:uid="{09A1E760-2D90-4F9F-9DDA-D56D9FEA3123}">
      <text>
        <r>
          <rPr>
            <b/>
            <sz val="9"/>
            <color indexed="81"/>
            <rFont val="Tahoma"/>
            <family val="2"/>
          </rPr>
          <t>48b</t>
        </r>
      </text>
    </comment>
    <comment ref="A925" authorId="0" shapeId="0" xr:uid="{D8DBAA12-7F96-431D-9A9E-2F839ED30224}">
      <text>
        <r>
          <rPr>
            <sz val="9"/>
            <color indexed="81"/>
            <rFont val="Tahoma"/>
            <family val="2"/>
          </rPr>
          <t xml:space="preserve">
</t>
        </r>
      </text>
    </comment>
    <comment ref="K925" authorId="0" shapeId="0" xr:uid="{A630B582-1FD0-4091-8398-316A02FC3E94}">
      <text>
        <r>
          <rPr>
            <sz val="9"/>
            <color indexed="81"/>
            <rFont val="Tahoma"/>
            <family val="2"/>
          </rPr>
          <t>HII ring, brightest on the south side</t>
        </r>
      </text>
    </comment>
    <comment ref="AX925" authorId="0" shapeId="0" xr:uid="{A87E4844-E737-4CF0-A07F-535DF6E760B1}">
      <text>
        <r>
          <rPr>
            <b/>
            <sz val="9"/>
            <color indexed="81"/>
            <rFont val="Tahoma"/>
            <family val="2"/>
          </rPr>
          <t>48c</t>
        </r>
      </text>
    </comment>
    <comment ref="A926" authorId="0" shapeId="0" xr:uid="{FE65C4F1-E153-4086-B7DF-BAE4DECB2179}">
      <text>
        <r>
          <rPr>
            <sz val="9"/>
            <color indexed="81"/>
            <rFont val="Tahoma"/>
            <family val="2"/>
          </rPr>
          <t xml:space="preserve">
</t>
        </r>
      </text>
    </comment>
    <comment ref="K926" authorId="0" shapeId="0" xr:uid="{A997DDA8-0543-4C9E-8BF0-092E22E11C65}">
      <text>
        <r>
          <rPr>
            <sz val="9"/>
            <color indexed="81"/>
            <rFont val="Tahoma"/>
            <family val="2"/>
          </rPr>
          <t>Faint HII region</t>
        </r>
      </text>
    </comment>
    <comment ref="AX926" authorId="0" shapeId="0" xr:uid="{E168572F-4A28-44EB-B2FD-1BA70AF310BC}">
      <text>
        <r>
          <rPr>
            <b/>
            <sz val="9"/>
            <color indexed="81"/>
            <rFont val="Tahoma"/>
            <family val="2"/>
          </rPr>
          <t>48d</t>
        </r>
      </text>
    </comment>
    <comment ref="A927" authorId="0" shapeId="0" xr:uid="{82A26137-1C7D-43CB-B1E8-AD01BA22117A}">
      <text>
        <r>
          <rPr>
            <sz val="9"/>
            <color indexed="81"/>
            <rFont val="Tahoma"/>
            <family val="2"/>
          </rPr>
          <t xml:space="preserve">
</t>
        </r>
      </text>
    </comment>
    <comment ref="K927" authorId="0" shapeId="0" xr:uid="{5947106E-36EB-4EC0-8B04-518FAACBA794}">
      <text>
        <r>
          <rPr>
            <sz val="9"/>
            <color indexed="81"/>
            <rFont val="Tahoma"/>
            <family val="2"/>
          </rPr>
          <t>Bright asymmetric HII region with cluster at center</t>
        </r>
      </text>
    </comment>
    <comment ref="A928" authorId="0" shapeId="0" xr:uid="{0B49508F-AA44-4075-8848-53287FD36180}">
      <text>
        <r>
          <rPr>
            <sz val="9"/>
            <color indexed="81"/>
            <rFont val="Tahoma"/>
            <family val="2"/>
          </rPr>
          <t xml:space="preserve">
</t>
        </r>
      </text>
    </comment>
    <comment ref="K928" authorId="0" shapeId="0" xr:uid="{D6F655FE-FF68-44B5-B6A0-CFD9FFE5FBAC}">
      <text>
        <r>
          <rPr>
            <sz val="9"/>
            <color indexed="81"/>
            <rFont val="Tahoma"/>
            <family val="2"/>
          </rPr>
          <t>Complex faint large HII region with dust lanes</t>
        </r>
      </text>
    </comment>
    <comment ref="A929" authorId="0" shapeId="0" xr:uid="{32B7D4A9-90CF-4C61-A124-E37EA66A8B26}">
      <text>
        <r>
          <rPr>
            <sz val="9"/>
            <color indexed="81"/>
            <rFont val="Tahoma"/>
            <family val="2"/>
          </rPr>
          <t xml:space="preserve">
</t>
        </r>
      </text>
    </comment>
    <comment ref="K929" authorId="0" shapeId="0" xr:uid="{3B5D3834-EB7E-4BED-9868-4503C857C992}">
      <text>
        <r>
          <rPr>
            <sz val="9"/>
            <color indexed="81"/>
            <rFont val="Tahoma"/>
            <family val="2"/>
          </rPr>
          <t>Looks like a PN, but is an emission nebula from a rare massive hot bi-polar star</t>
        </r>
      </text>
    </comment>
    <comment ref="A930" authorId="0" shapeId="0" xr:uid="{D50BDF40-F072-4656-802C-326D457588F6}">
      <text>
        <r>
          <rPr>
            <sz val="9"/>
            <color indexed="81"/>
            <rFont val="Tahoma"/>
            <family val="2"/>
          </rPr>
          <t xml:space="preserve">
</t>
        </r>
      </text>
    </comment>
    <comment ref="K930" authorId="0" shapeId="0" xr:uid="{9E13112F-2956-4A43-A909-DE7B86B79774}">
      <text>
        <r>
          <rPr>
            <sz val="9"/>
            <color indexed="81"/>
            <rFont val="Tahoma"/>
            <family val="2"/>
          </rPr>
          <t>Two bright HII spherical regions and remnants of a 3rd</t>
        </r>
      </text>
    </comment>
    <comment ref="A931" authorId="0" shapeId="0" xr:uid="{FEECECFE-DC92-4E87-B517-7AB678B20CC4}">
      <text>
        <r>
          <rPr>
            <sz val="9"/>
            <color indexed="81"/>
            <rFont val="Tahoma"/>
            <family val="2"/>
          </rPr>
          <t xml:space="preserve">
</t>
        </r>
      </text>
    </comment>
    <comment ref="K931" authorId="0" shapeId="0" xr:uid="{4B46E56C-5EA5-4419-8E32-6928FE2000CD}">
      <text>
        <r>
          <rPr>
            <sz val="9"/>
            <color indexed="81"/>
            <rFont val="Tahoma"/>
            <family val="2"/>
          </rPr>
          <t>Massive (7 degree wide) region of HII nebulosity</t>
        </r>
      </text>
    </comment>
    <comment ref="A932" authorId="0" shapeId="0" xr:uid="{1042D471-2BE7-4015-BC1F-21FF96312FD8}">
      <text>
        <r>
          <rPr>
            <sz val="9"/>
            <color indexed="81"/>
            <rFont val="Tahoma"/>
            <family val="2"/>
          </rPr>
          <t xml:space="preserve">
</t>
        </r>
      </text>
    </comment>
    <comment ref="K932" authorId="0" shapeId="0" xr:uid="{24A079C7-40A5-4667-8539-8081044C748D}">
      <text>
        <r>
          <rPr>
            <sz val="9"/>
            <color indexed="81"/>
            <rFont val="Tahoma"/>
            <family val="2"/>
          </rPr>
          <t>Large region of HII nebulosity just west of Gum57b</t>
        </r>
      </text>
    </comment>
    <comment ref="AX932" authorId="0" shapeId="0" xr:uid="{D3055DF2-4C33-4B26-B45F-2C1373BC3358}">
      <text>
        <r>
          <rPr>
            <b/>
            <sz val="9"/>
            <color indexed="81"/>
            <rFont val="Tahoma"/>
            <family val="2"/>
          </rPr>
          <t>57a</t>
        </r>
      </text>
    </comment>
    <comment ref="A933" authorId="0" shapeId="0" xr:uid="{F0E61366-2BB1-407E-8DC7-7CFCD55384ED}">
      <text>
        <r>
          <rPr>
            <sz val="9"/>
            <color indexed="81"/>
            <rFont val="Tahoma"/>
            <family val="2"/>
          </rPr>
          <t xml:space="preserve">
</t>
        </r>
      </text>
    </comment>
    <comment ref="K933" authorId="0" shapeId="0" xr:uid="{D9D8D182-1344-4B80-AFA8-C726DBE0E7B2}">
      <text>
        <r>
          <rPr>
            <sz val="9"/>
            <color indexed="81"/>
            <rFont val="Tahoma"/>
            <family val="2"/>
          </rPr>
          <t>Large region of HII nebulosity just east of Gum57a</t>
        </r>
      </text>
    </comment>
    <comment ref="AX933" authorId="0" shapeId="0" xr:uid="{ACFE91BB-344B-45D8-86EA-C983EE443759}">
      <text>
        <r>
          <rPr>
            <b/>
            <sz val="9"/>
            <color indexed="81"/>
            <rFont val="Tahoma"/>
            <family val="2"/>
          </rPr>
          <t>57b</t>
        </r>
      </text>
    </comment>
    <comment ref="A934" authorId="0" shapeId="0" xr:uid="{13DDD523-0BD4-471B-8269-C38997DE3A44}">
      <text>
        <r>
          <rPr>
            <sz val="9"/>
            <color indexed="81"/>
            <rFont val="Tahoma"/>
            <family val="2"/>
          </rPr>
          <t xml:space="preserve">
</t>
        </r>
      </text>
    </comment>
    <comment ref="K934" authorId="0" shapeId="0" xr:uid="{22574249-F401-4C5C-A15D-B3EC0F9DEA0B}">
      <text>
        <r>
          <rPr>
            <sz val="9"/>
            <color indexed="81"/>
            <rFont val="Tahoma"/>
            <family val="2"/>
          </rPr>
          <t>The lower right bubble of the Cat's Paw nebula complex</t>
        </r>
      </text>
    </comment>
    <comment ref="A935" authorId="0" shapeId="0" xr:uid="{9879500F-87C1-4B63-9E57-9C3838E2FAC8}">
      <text>
        <r>
          <rPr>
            <sz val="9"/>
            <color indexed="81"/>
            <rFont val="Tahoma"/>
            <family val="2"/>
          </rPr>
          <t xml:space="preserve">
</t>
        </r>
      </text>
    </comment>
    <comment ref="K935" authorId="0" shapeId="0" xr:uid="{D19EB911-39E4-4B33-8D79-8916DB12F8C0}">
      <text>
        <r>
          <rPr>
            <sz val="9"/>
            <color indexed="81"/>
            <rFont val="Tahoma"/>
            <family val="2"/>
          </rPr>
          <t>The lower left bubble of the Cat's Paw nebula complex</t>
        </r>
      </text>
    </comment>
    <comment ref="A936" authorId="0" shapeId="0" xr:uid="{409867A3-1A9B-4E4B-806E-6227447E52AA}">
      <text>
        <r>
          <rPr>
            <sz val="9"/>
            <color indexed="81"/>
            <rFont val="Tahoma"/>
            <family val="2"/>
          </rPr>
          <t xml:space="preserve">
</t>
        </r>
      </text>
    </comment>
    <comment ref="K936" authorId="0" shapeId="0" xr:uid="{35E831F4-C29C-4A00-BAC1-A7A64326D06A}">
      <text>
        <r>
          <rPr>
            <sz val="9"/>
            <color indexed="81"/>
            <rFont val="Tahoma"/>
            <family val="2"/>
          </rPr>
          <t>The largest, upper right bubble of the Cat's Paw nebula complex</t>
        </r>
      </text>
    </comment>
    <comment ref="A937" authorId="0" shapeId="0" xr:uid="{4FA759F8-A780-4A38-8A2B-E9A963493182}">
      <text>
        <r>
          <rPr>
            <sz val="9"/>
            <color indexed="81"/>
            <rFont val="Tahoma"/>
            <family val="2"/>
          </rPr>
          <t xml:space="preserve">
</t>
        </r>
      </text>
    </comment>
    <comment ref="K937" authorId="0" shapeId="0" xr:uid="{BC3B5E4C-A1E1-4C41-A093-1C96C847E32F}">
      <text>
        <r>
          <rPr>
            <sz val="9"/>
            <color indexed="81"/>
            <rFont val="Tahoma"/>
            <family val="2"/>
          </rPr>
          <t>The fragment at the center of the 3 paws of the Cat's Paw nebula complex</t>
        </r>
      </text>
    </comment>
    <comment ref="AX937" authorId="0" shapeId="0" xr:uid="{2F225600-99C8-49A3-B7CC-B16B7F774D83}">
      <text>
        <r>
          <rPr>
            <b/>
            <sz val="9"/>
            <color indexed="81"/>
            <rFont val="Tahoma"/>
            <family val="2"/>
          </rPr>
          <t>64a</t>
        </r>
      </text>
    </comment>
    <comment ref="A938" authorId="0" shapeId="0" xr:uid="{A180B837-07D9-4646-B4F2-44264B9C452C}">
      <text>
        <r>
          <rPr>
            <sz val="9"/>
            <color indexed="81"/>
            <rFont val="Tahoma"/>
            <family val="2"/>
          </rPr>
          <t xml:space="preserve">
</t>
        </r>
      </text>
    </comment>
    <comment ref="K938" authorId="0" shapeId="0" xr:uid="{07EEED7A-30B8-4575-B8F9-19210CEE4C7E}">
      <text>
        <r>
          <rPr>
            <sz val="9"/>
            <color indexed="81"/>
            <rFont val="Tahoma"/>
            <family val="2"/>
          </rPr>
          <t>The upper left bubble of the Cat's Paw nebula complex</t>
        </r>
      </text>
    </comment>
    <comment ref="AX938" authorId="0" shapeId="0" xr:uid="{CE3B2150-D7DB-4910-93A5-A4897B00A5E7}">
      <text>
        <r>
          <rPr>
            <b/>
            <sz val="9"/>
            <color indexed="81"/>
            <rFont val="Tahoma"/>
            <family val="2"/>
          </rPr>
          <t>64b</t>
        </r>
      </text>
    </comment>
    <comment ref="A939" authorId="0" shapeId="0" xr:uid="{6FCC9377-F088-45D2-B77A-03C5345AEB3E}">
      <text>
        <r>
          <rPr>
            <sz val="9"/>
            <color indexed="81"/>
            <rFont val="Tahoma"/>
            <family val="2"/>
          </rPr>
          <t xml:space="preserve">
</t>
        </r>
      </text>
    </comment>
    <comment ref="K939" authorId="0" shapeId="0" xr:uid="{F0166E0B-1F61-4AE4-A2E4-F238CE9B1F42}">
      <text>
        <r>
          <rPr>
            <sz val="9"/>
            <color indexed="81"/>
            <rFont val="Tahoma"/>
            <family val="2"/>
          </rPr>
          <t>The obscured "4th paw" of the Cat's Paw nebula complex, above the center of the other 3 paws.</t>
        </r>
      </text>
    </comment>
    <comment ref="AX939" authorId="0" shapeId="0" xr:uid="{0C6FFBCB-9EC6-4721-9E5E-2D5957CE7DCF}">
      <text>
        <r>
          <rPr>
            <b/>
            <sz val="9"/>
            <color indexed="81"/>
            <rFont val="Tahoma"/>
            <family val="2"/>
          </rPr>
          <t>64c</t>
        </r>
      </text>
    </comment>
    <comment ref="A940" authorId="0" shapeId="0" xr:uid="{A344064D-F1EE-4BB2-82A5-B85CD5227BC5}">
      <text>
        <r>
          <rPr>
            <sz val="9"/>
            <color indexed="81"/>
            <rFont val="Tahoma"/>
            <family val="2"/>
          </rPr>
          <t xml:space="preserve">
</t>
        </r>
      </text>
    </comment>
    <comment ref="K940" authorId="0" shapeId="0" xr:uid="{6F6F5B54-5F9C-4EB9-B9B4-B85CDCCE4C0D}">
      <text>
        <r>
          <rPr>
            <sz val="9"/>
            <color indexed="81"/>
            <rFont val="Tahoma"/>
            <family val="2"/>
          </rPr>
          <t>The combination reflection nebula and HII region around Alniyat in Rho Ophiuchi</t>
        </r>
      </text>
    </comment>
    <comment ref="A941" authorId="0" shapeId="0" xr:uid="{1A8516FB-C284-405D-8291-9BD0B8B3C218}">
      <text>
        <r>
          <rPr>
            <sz val="9"/>
            <color indexed="81"/>
            <rFont val="Tahoma"/>
            <family val="2"/>
          </rPr>
          <t xml:space="preserve">
</t>
        </r>
      </text>
    </comment>
    <comment ref="K941" authorId="0" shapeId="0" xr:uid="{95A8C4CD-66A3-4C1B-A42E-01683AE41D53}">
      <text>
        <r>
          <rPr>
            <sz val="9"/>
            <color indexed="81"/>
            <rFont val="Tahoma"/>
            <family val="2"/>
          </rPr>
          <t>Large HII region just west of M6</t>
        </r>
      </text>
    </comment>
    <comment ref="A942" authorId="0" shapeId="0" xr:uid="{BB67B185-B48A-49DD-830B-66004ECAF0A6}">
      <text>
        <r>
          <rPr>
            <sz val="9"/>
            <color indexed="81"/>
            <rFont val="Tahoma"/>
            <family val="2"/>
          </rPr>
          <t xml:space="preserve">
</t>
        </r>
      </text>
    </comment>
    <comment ref="K942" authorId="0" shapeId="0" xr:uid="{D58491C4-B93D-4DB3-8164-10DAC7009C29}">
      <text>
        <r>
          <rPr>
            <sz val="9"/>
            <color indexed="81"/>
            <rFont val="Tahoma"/>
            <family val="2"/>
          </rPr>
          <t>Typical Gum HII region</t>
        </r>
      </text>
    </comment>
    <comment ref="A943" authorId="0" shapeId="0" xr:uid="{886D6F2B-0275-4195-AE58-9769D28C309C}">
      <text>
        <r>
          <rPr>
            <sz val="9"/>
            <color indexed="81"/>
            <rFont val="Tahoma"/>
            <family val="2"/>
          </rPr>
          <t xml:space="preserve">
</t>
        </r>
      </text>
    </comment>
    <comment ref="K943" authorId="0" shapeId="0" xr:uid="{2F28062A-7B74-45C6-B0E7-28E6E0F9AB77}">
      <text>
        <r>
          <rPr>
            <sz val="9"/>
            <color indexed="81"/>
            <rFont val="Tahoma"/>
            <family val="2"/>
          </rPr>
          <t>Gigantic nebula, Includes bow shock around star Zeta Ophiuchi</t>
        </r>
      </text>
    </comment>
    <comment ref="A944" authorId="0" shapeId="0" xr:uid="{5C328ADD-A704-4FD0-A21D-3B2B1AA429CA}">
      <text>
        <r>
          <rPr>
            <sz val="9"/>
            <color indexed="81"/>
            <rFont val="Tahoma"/>
            <family val="2"/>
          </rPr>
          <t xml:space="preserve">
</t>
        </r>
      </text>
    </comment>
    <comment ref="K944" authorId="0" shapeId="0" xr:uid="{9A8537B9-B130-492D-9CAD-24140F9E34C8}">
      <text>
        <r>
          <rPr>
            <sz val="9"/>
            <color indexed="81"/>
            <rFont val="Tahoma"/>
            <family val="2"/>
          </rPr>
          <t>Large faint HII region</t>
        </r>
      </text>
    </comment>
    <comment ref="AX944" authorId="0" shapeId="0" xr:uid="{8B9F9ECE-A7EF-432C-9203-BE5EA5F97307}">
      <text>
        <r>
          <rPr>
            <b/>
            <sz val="9"/>
            <color indexed="81"/>
            <rFont val="Tahoma"/>
            <family val="2"/>
          </rPr>
          <t>74a</t>
        </r>
      </text>
    </comment>
    <comment ref="A945" authorId="0" shapeId="0" xr:uid="{43B6E10D-C506-4C8D-906F-4453FBBB03F5}">
      <text>
        <r>
          <rPr>
            <sz val="9"/>
            <color indexed="81"/>
            <rFont val="Tahoma"/>
            <family val="2"/>
          </rPr>
          <t xml:space="preserve">
</t>
        </r>
      </text>
    </comment>
    <comment ref="K945" authorId="0" shapeId="0" xr:uid="{DD27DD4D-2A26-4B9B-AD32-79B5F75A5E5A}">
      <text>
        <r>
          <rPr>
            <sz val="9"/>
            <color indexed="81"/>
            <rFont val="Tahoma"/>
            <family val="2"/>
          </rPr>
          <t>Large faint HII region</t>
        </r>
      </text>
    </comment>
    <comment ref="AX945" authorId="0" shapeId="0" xr:uid="{D6775B0B-9F3B-4FBD-9AA8-6AE3F785FAF7}">
      <text>
        <r>
          <rPr>
            <b/>
            <sz val="9"/>
            <color indexed="81"/>
            <rFont val="Tahoma"/>
            <family val="2"/>
          </rPr>
          <t>74b</t>
        </r>
      </text>
    </comment>
    <comment ref="A946" authorId="0" shapeId="0" xr:uid="{13536BD0-F95A-453E-8AA6-A43CCCF66A09}">
      <text>
        <r>
          <rPr>
            <sz val="9"/>
            <color indexed="81"/>
            <rFont val="Tahoma"/>
            <family val="2"/>
          </rPr>
          <t xml:space="preserve">
</t>
        </r>
      </text>
    </comment>
    <comment ref="K946" authorId="0" shapeId="0" xr:uid="{684F3F3B-5BE3-4A9D-BAA3-A9DDADE0F644}">
      <text>
        <r>
          <rPr>
            <sz val="9"/>
            <color indexed="81"/>
            <rFont val="Tahoma"/>
            <family val="2"/>
          </rPr>
          <t>The nebula complex around IC 4685</t>
        </r>
      </text>
    </comment>
    <comment ref="BA946" authorId="0" shapeId="0" xr:uid="{4B1D1166-A8A2-47D7-A53A-78903A2660A7}">
      <text>
        <r>
          <rPr>
            <b/>
            <sz val="9"/>
            <color indexed="81"/>
            <rFont val="Tahoma"/>
            <family val="2"/>
          </rPr>
          <t>146b</t>
        </r>
      </text>
    </comment>
    <comment ref="A947" authorId="0" shapeId="0" xr:uid="{FE593005-7FF5-4928-8519-0E660CAB9995}">
      <text>
        <r>
          <rPr>
            <sz val="9"/>
            <color indexed="81"/>
            <rFont val="Tahoma"/>
            <family val="2"/>
          </rPr>
          <t xml:space="preserve">
</t>
        </r>
      </text>
    </comment>
    <comment ref="K947" authorId="0" shapeId="0" xr:uid="{93A340E7-B960-44F0-BEA4-5E9BF066BB79}">
      <text>
        <r>
          <rPr>
            <sz val="9"/>
            <color indexed="81"/>
            <rFont val="Tahoma"/>
            <family val="2"/>
          </rPr>
          <t>The large faint HII region (the Nest) which surrounds much smaller Gum 85 (the Egg)</t>
        </r>
      </text>
    </comment>
    <comment ref="A948" authorId="0" shapeId="0" xr:uid="{434AA3E9-8FA3-462B-9D38-C2B444044E14}">
      <text>
        <r>
          <rPr>
            <sz val="9"/>
            <color indexed="81"/>
            <rFont val="Tahoma"/>
            <family val="2"/>
          </rPr>
          <t xml:space="preserve">
</t>
        </r>
      </text>
    </comment>
    <comment ref="K948" authorId="0" shapeId="0" xr:uid="{A35DC52A-A9CB-4462-8AD3-46FA1AEB093F}">
      <text>
        <r>
          <rPr>
            <sz val="9"/>
            <color indexed="81"/>
            <rFont val="Tahoma"/>
            <family val="2"/>
          </rPr>
          <t>Small HII region surrounded by Gum 84</t>
        </r>
      </text>
    </comment>
    <comment ref="A949" authorId="0" shapeId="0" xr:uid="{EC505BBA-D1BA-44F5-B982-C111FC39F1FB}">
      <text>
        <r>
          <rPr>
            <sz val="9"/>
            <color indexed="81"/>
            <rFont val="Tahoma"/>
            <family val="2"/>
          </rPr>
          <t xml:space="preserve">
</t>
        </r>
      </text>
    </comment>
    <comment ref="K949" authorId="0" shapeId="0" xr:uid="{45A69490-6035-4DDD-9F2C-7DDD1741DCB2}">
      <text>
        <r>
          <rPr>
            <sz val="9"/>
            <color indexed="81"/>
            <rFont val="Tahoma"/>
            <family val="2"/>
          </rPr>
          <t>Tiny cometary nebula surrounding the star V1982 Cyg</t>
        </r>
      </text>
    </comment>
    <comment ref="A950" authorId="0" shapeId="0" xr:uid="{026FD19D-CC27-4A36-B5D9-7C313BA29F17}">
      <text>
        <r>
          <rPr>
            <sz val="9"/>
            <color indexed="81"/>
            <rFont val="Tahoma"/>
            <family val="2"/>
          </rPr>
          <t xml:space="preserve">
</t>
        </r>
      </text>
    </comment>
    <comment ref="K950" authorId="0" shapeId="0" xr:uid="{C7624918-76E5-474A-8EB0-132350D42E90}">
      <text>
        <r>
          <rPr>
            <sz val="9"/>
            <color indexed="81"/>
            <rFont val="Tahoma"/>
            <family val="2"/>
          </rPr>
          <t>Tiny PN resembling the much large Headphones Nebula</t>
        </r>
      </text>
    </comment>
    <comment ref="A951" authorId="0" shapeId="0" xr:uid="{CF728B4B-39FF-4D01-8500-F34AE0A8776F}">
      <text>
        <r>
          <rPr>
            <sz val="9"/>
            <color indexed="81"/>
            <rFont val="Tahoma"/>
            <family val="2"/>
          </rPr>
          <t xml:space="preserve">
</t>
        </r>
      </text>
    </comment>
    <comment ref="K951" authorId="0" shapeId="0" xr:uid="{B24B1E7C-01A3-4CAB-A0D7-31A71A225350}">
      <text>
        <r>
          <rPr>
            <sz val="9"/>
            <color indexed="81"/>
            <rFont val="Tahoma"/>
            <family val="2"/>
          </rPr>
          <t>Unusual object, likely a PN but asymmetric.</t>
        </r>
      </text>
    </comment>
    <comment ref="A952" authorId="0" shapeId="0" xr:uid="{365D81C3-ACD0-49A9-A635-402B8553672D}">
      <text>
        <r>
          <rPr>
            <sz val="9"/>
            <color indexed="81"/>
            <rFont val="Tahoma"/>
            <family val="2"/>
          </rPr>
          <t xml:space="preserve">
</t>
        </r>
      </text>
    </comment>
    <comment ref="K952" authorId="0" shapeId="0" xr:uid="{15133370-2088-40C9-B6FF-E49DC966BB68}">
      <text>
        <r>
          <rPr>
            <sz val="9"/>
            <color indexed="81"/>
            <rFont val="Tahoma"/>
            <family val="2"/>
          </rPr>
          <t>Bright progenitor, typical Ha rim / OIII inner signal</t>
        </r>
      </text>
    </comment>
    <comment ref="A953" authorId="0" shapeId="0" xr:uid="{25D03AAF-DEF8-4B72-8295-75245169B767}">
      <text>
        <r>
          <rPr>
            <sz val="9"/>
            <color indexed="81"/>
            <rFont val="Tahoma"/>
            <family val="2"/>
          </rPr>
          <t xml:space="preserve">
</t>
        </r>
      </text>
    </comment>
    <comment ref="K953" authorId="0" shapeId="0" xr:uid="{3244E691-A42C-4B0F-A901-B9A1D582FC61}">
      <text>
        <r>
          <rPr>
            <sz val="9"/>
            <color indexed="81"/>
            <rFont val="Tahoma"/>
            <family val="2"/>
          </rPr>
          <t>Bipolar HII-dominated PN</t>
        </r>
      </text>
    </comment>
    <comment ref="A954" authorId="0" shapeId="0" xr:uid="{086D71F8-FB41-4C83-B196-2B8EF67577E4}">
      <text>
        <r>
          <rPr>
            <sz val="9"/>
            <color indexed="81"/>
            <rFont val="Tahoma"/>
            <family val="2"/>
          </rPr>
          <t xml:space="preserve">
</t>
        </r>
      </text>
    </comment>
    <comment ref="K954" authorId="0" shapeId="0" xr:uid="{61AD94C0-7152-4A1A-8AEF-948BB197B47D}">
      <text>
        <r>
          <rPr>
            <sz val="9"/>
            <color indexed="81"/>
            <rFont val="Tahoma"/>
            <family val="2"/>
          </rPr>
          <t xml:space="preserve">Multipolar PN </t>
        </r>
      </text>
    </comment>
    <comment ref="A955" authorId="0" shapeId="0" xr:uid="{839B7DD1-AFBD-4406-AAA0-CAE5FED23660}">
      <text>
        <r>
          <rPr>
            <sz val="9"/>
            <color indexed="81"/>
            <rFont val="Tahoma"/>
            <family val="2"/>
          </rPr>
          <t xml:space="preserve">
</t>
        </r>
      </text>
    </comment>
    <comment ref="K955" authorId="0" shapeId="0" xr:uid="{03C2A925-7965-463E-B105-9C7D8F7C3136}">
      <text>
        <r>
          <rPr>
            <sz val="9"/>
            <color indexed="81"/>
            <rFont val="Tahoma"/>
            <family val="2"/>
          </rPr>
          <t>Small bipolar PN with inner bright torus ring</t>
        </r>
      </text>
    </comment>
    <comment ref="A956" authorId="0" shapeId="0" xr:uid="{246CA3AA-0D7A-4381-9B39-A249F1FD0F3F}">
      <text>
        <r>
          <rPr>
            <sz val="9"/>
            <color indexed="81"/>
            <rFont val="Tahoma"/>
            <family val="2"/>
          </rPr>
          <t xml:space="preserve">
</t>
        </r>
      </text>
    </comment>
    <comment ref="K956" authorId="0" shapeId="0" xr:uid="{658ACD89-487F-4C5B-AA92-FBCFD14668ED}">
      <text>
        <r>
          <rPr>
            <sz val="9"/>
            <color indexed="81"/>
            <rFont val="Tahoma"/>
            <family val="2"/>
          </rPr>
          <t>YSO at the center of NGC 2316.</t>
        </r>
      </text>
    </comment>
    <comment ref="A957" authorId="0" shapeId="0" xr:uid="{CBE09CFC-894F-407D-BDB4-29FAC40D28B7}">
      <text>
        <r>
          <rPr>
            <sz val="9"/>
            <color indexed="81"/>
            <rFont val="Tahoma"/>
            <family val="2"/>
          </rPr>
          <t xml:space="preserve">
</t>
        </r>
      </text>
    </comment>
    <comment ref="K957" authorId="0" shapeId="0" xr:uid="{995E06FD-8791-4924-B655-1FFE9789F643}">
      <text>
        <r>
          <rPr>
            <sz val="9"/>
            <color indexed="81"/>
            <rFont val="Tahoma"/>
            <family val="2"/>
          </rPr>
          <t>Large ancient PN, ISM affected with most visible signal in NE half</t>
        </r>
      </text>
    </comment>
    <comment ref="A958" authorId="0" shapeId="0" xr:uid="{80747BFC-90D2-436F-9FAD-B90BCB1FB661}">
      <text>
        <r>
          <rPr>
            <sz val="9"/>
            <color indexed="81"/>
            <rFont val="Tahoma"/>
            <family val="2"/>
          </rPr>
          <t xml:space="preserve">
</t>
        </r>
      </text>
    </comment>
    <comment ref="K958" authorId="0" shapeId="0" xr:uid="{1D0DA1EA-42A9-4230-99EA-478BEEFE92C6}">
      <text>
        <r>
          <rPr>
            <sz val="9"/>
            <color indexed="81"/>
            <rFont val="Tahoma"/>
            <family val="2"/>
          </rPr>
          <t>Looks multipolar, dominant HII composition.  Faint wide HII stream reaching up.  No progenitor.</t>
        </r>
      </text>
    </comment>
    <comment ref="A959" authorId="0" shapeId="0" xr:uid="{538F6FE0-62CB-47C3-9ECC-5DA11A72FE98}">
      <text>
        <r>
          <rPr>
            <sz val="9"/>
            <color indexed="81"/>
            <rFont val="Tahoma"/>
            <family val="2"/>
          </rPr>
          <t xml:space="preserve">
</t>
        </r>
      </text>
    </comment>
    <comment ref="K959" authorId="0" shapeId="0" xr:uid="{4463DDA7-5320-4D00-8609-67719A636C7B}">
      <text>
        <r>
          <rPr>
            <sz val="9"/>
            <color indexed="81"/>
            <rFont val="Tahoma"/>
            <family val="2"/>
          </rPr>
          <t>Faint spherical OIII-dominated PN with progenitor</t>
        </r>
      </text>
    </comment>
    <comment ref="A960" authorId="0" shapeId="0" xr:uid="{F7F455FD-D738-4CBD-8C78-A6ACD774FC06}">
      <text>
        <r>
          <rPr>
            <sz val="9"/>
            <color indexed="81"/>
            <rFont val="Tahoma"/>
            <family val="2"/>
          </rPr>
          <t xml:space="preserve">
</t>
        </r>
      </text>
    </comment>
    <comment ref="K960" authorId="0" shapeId="0" xr:uid="{DD8E1C44-BC5B-48AA-AAD7-9A9528BBBBF5}">
      <text>
        <r>
          <rPr>
            <sz val="9"/>
            <color indexed="81"/>
            <rFont val="Tahoma"/>
            <family val="2"/>
          </rPr>
          <t>Small asymmetric PN</t>
        </r>
      </text>
    </comment>
    <comment ref="A961" authorId="0" shapeId="0" xr:uid="{96BE30F7-87BD-40EB-B86A-E17FBEE32CDD}">
      <text>
        <r>
          <rPr>
            <sz val="9"/>
            <color indexed="81"/>
            <rFont val="Tahoma"/>
            <family val="2"/>
          </rPr>
          <t xml:space="preserve">
</t>
        </r>
      </text>
    </comment>
    <comment ref="K961" authorId="0" shapeId="0" xr:uid="{92C58D1F-5AAC-463E-B4CE-FB37BE52C806}">
      <text>
        <r>
          <rPr>
            <sz val="9"/>
            <color indexed="81"/>
            <rFont val="Tahoma"/>
            <family val="2"/>
          </rPr>
          <t>Faint spherical PN</t>
        </r>
      </text>
    </comment>
    <comment ref="A962" authorId="0" shapeId="0" xr:uid="{168CEFD5-5B09-4019-95D5-E27FC196FEF2}">
      <text>
        <r>
          <rPr>
            <sz val="9"/>
            <color indexed="81"/>
            <rFont val="Tahoma"/>
            <family val="2"/>
          </rPr>
          <t xml:space="preserve">
</t>
        </r>
      </text>
    </comment>
    <comment ref="K962" authorId="0" shapeId="0" xr:uid="{6E4283E6-8F2F-4CE2-92C9-F0602EDF0059}">
      <text>
        <r>
          <rPr>
            <sz val="9"/>
            <color indexed="81"/>
            <rFont val="Tahoma"/>
            <family val="2"/>
          </rPr>
          <t>Faint spherical PN with offset progenitor</t>
        </r>
      </text>
    </comment>
    <comment ref="A963" authorId="0" shapeId="0" xr:uid="{6A156B7B-8381-4607-9635-61820C73CDC3}">
      <text>
        <r>
          <rPr>
            <sz val="9"/>
            <color indexed="81"/>
            <rFont val="Tahoma"/>
            <family val="2"/>
          </rPr>
          <t xml:space="preserve">
</t>
        </r>
      </text>
    </comment>
    <comment ref="K963" authorId="0" shapeId="0" xr:uid="{2057EE57-2E95-4491-92D7-07FE769A9040}">
      <text>
        <r>
          <rPr>
            <sz val="9"/>
            <color indexed="81"/>
            <rFont val="Tahoma"/>
            <family val="2"/>
          </rPr>
          <t>Small bright HII-dominated bipolar PN</t>
        </r>
      </text>
    </comment>
    <comment ref="A964" authorId="0" shapeId="0" xr:uid="{0663FE03-F98E-4BAD-B47E-63D14A828718}">
      <text>
        <r>
          <rPr>
            <sz val="9"/>
            <color indexed="81"/>
            <rFont val="Tahoma"/>
            <family val="2"/>
          </rPr>
          <t xml:space="preserve">
</t>
        </r>
      </text>
    </comment>
    <comment ref="K964" authorId="0" shapeId="0" xr:uid="{493DDD90-EA84-402C-AED9-D89D38C6DDD9}">
      <text>
        <r>
          <rPr>
            <sz val="9"/>
            <color indexed="81"/>
            <rFont val="Tahoma"/>
            <family val="2"/>
          </rPr>
          <t>No progenitor here but shows up on SIMBAD.  It is a variable star (FG Sge) that changes rapidly.</t>
        </r>
      </text>
    </comment>
    <comment ref="A965" authorId="0" shapeId="0" xr:uid="{331C70CF-E135-4FB0-8F3A-5D47C6E5B80B}">
      <text>
        <r>
          <rPr>
            <sz val="9"/>
            <color indexed="81"/>
            <rFont val="Tahoma"/>
            <family val="2"/>
          </rPr>
          <t xml:space="preserve">
</t>
        </r>
      </text>
    </comment>
    <comment ref="K965" authorId="0" shapeId="0" xr:uid="{1AA1FBBD-81F4-4637-901E-9592E45044B5}">
      <text>
        <r>
          <rPr>
            <sz val="9"/>
            <color indexed="81"/>
            <rFont val="Tahoma"/>
            <family val="2"/>
          </rPr>
          <t>Large ancient PN in field of HII, adjacent to Abell 6</t>
        </r>
      </text>
    </comment>
    <comment ref="A966" authorId="0" shapeId="0" xr:uid="{074D380F-B483-4C64-9DCA-9C281325EE34}">
      <text>
        <r>
          <rPr>
            <sz val="9"/>
            <color indexed="81"/>
            <rFont val="Tahoma"/>
            <family val="2"/>
          </rPr>
          <t xml:space="preserve">
</t>
        </r>
      </text>
    </comment>
    <comment ref="K966" authorId="0" shapeId="0" xr:uid="{F8428F19-C47F-4D93-A693-88153C0408C2}">
      <text>
        <r>
          <rPr>
            <sz val="9"/>
            <color indexed="81"/>
            <rFont val="Tahoma"/>
            <family val="2"/>
          </rPr>
          <t>One of the first HH objects to be identified.  Located just south of NGC 1999 (Keyhole Nebula)</t>
        </r>
      </text>
    </comment>
    <comment ref="A967" authorId="0" shapeId="0" xr:uid="{882174B7-AFC5-40A7-86E4-2ABA91C7B9BF}">
      <text>
        <r>
          <rPr>
            <sz val="9"/>
            <color indexed="81"/>
            <rFont val="Tahoma"/>
            <family val="2"/>
          </rPr>
          <t xml:space="preserve">
</t>
        </r>
      </text>
    </comment>
    <comment ref="K967" authorId="0" shapeId="0" xr:uid="{4F104B46-930D-4278-843F-9864251491F6}">
      <text>
        <r>
          <rPr>
            <sz val="9"/>
            <color indexed="81"/>
            <rFont val="Tahoma"/>
            <family val="2"/>
          </rPr>
          <t xml:space="preserve">Bright Herbig-Haro object at the center of NGC 1333. </t>
        </r>
      </text>
    </comment>
    <comment ref="A968" authorId="0" shapeId="0" xr:uid="{5793F6C5-6BAC-430C-84DD-2E730C5DF1B7}">
      <text>
        <r>
          <rPr>
            <sz val="9"/>
            <color indexed="81"/>
            <rFont val="Tahoma"/>
            <family val="2"/>
          </rPr>
          <t xml:space="preserve">
</t>
        </r>
      </text>
    </comment>
    <comment ref="K968" authorId="0" shapeId="0" xr:uid="{31ED67E1-DD6D-4F17-A007-634E0DC4932C}">
      <text>
        <r>
          <rPr>
            <sz val="9"/>
            <color indexed="81"/>
            <rFont val="Tahoma"/>
            <family val="2"/>
          </rPr>
          <t>Comet-like object to the west of the white reflection nebula in NGC 6726</t>
        </r>
      </text>
    </comment>
    <comment ref="A969" authorId="0" shapeId="0" xr:uid="{DF321B17-C497-4469-8F24-5B04CF148D72}">
      <text>
        <r>
          <rPr>
            <sz val="9"/>
            <color indexed="81"/>
            <rFont val="Tahoma"/>
            <family val="2"/>
          </rPr>
          <t xml:space="preserve">
</t>
        </r>
      </text>
    </comment>
    <comment ref="K969" authorId="0" shapeId="0" xr:uid="{B8AC8902-AF6F-4349-9528-EF4A8960F589}">
      <text>
        <r>
          <rPr>
            <sz val="9"/>
            <color indexed="81"/>
            <rFont val="Tahoma"/>
            <family val="2"/>
          </rPr>
          <t>Bright pair of faint red jet flows just north of the Cone Nebula</t>
        </r>
      </text>
    </comment>
    <comment ref="A970" authorId="0" shapeId="0" xr:uid="{C41472D9-D83C-45C9-83AC-B14215467981}">
      <text>
        <r>
          <rPr>
            <sz val="9"/>
            <color indexed="81"/>
            <rFont val="Tahoma"/>
            <family val="2"/>
          </rPr>
          <t xml:space="preserve">
</t>
        </r>
      </text>
    </comment>
    <comment ref="K970" authorId="0" shapeId="0" xr:uid="{43E8838D-35CA-49F4-B188-39209DE8C410}">
      <text>
        <r>
          <rPr>
            <sz val="9"/>
            <color indexed="81"/>
            <rFont val="Tahoma"/>
            <family val="2"/>
          </rPr>
          <t>White horseshoe loop near the star V633 Cassiopeiae, just northeast of vdB 1</t>
        </r>
      </text>
    </comment>
    <comment ref="A971" authorId="0" shapeId="0" xr:uid="{43825EB0-55C3-4BE5-BC02-3A6264642F40}">
      <text>
        <r>
          <rPr>
            <sz val="9"/>
            <color indexed="81"/>
            <rFont val="Tahoma"/>
            <family val="2"/>
          </rPr>
          <t xml:space="preserve">
</t>
        </r>
      </text>
    </comment>
    <comment ref="K971" authorId="0" shapeId="0" xr:uid="{F497A7CE-9A65-4FEF-9BBF-37A96F19606D}">
      <text>
        <r>
          <rPr>
            <sz val="9"/>
            <color indexed="81"/>
            <rFont val="Tahoma"/>
            <family val="2"/>
          </rPr>
          <t>White arc near the star Cassiopeiae, just northeast of vdB1</t>
        </r>
      </text>
    </comment>
    <comment ref="A972" authorId="0" shapeId="0" xr:uid="{BAF7D58C-58A3-4333-BFF8-953EA86FE179}">
      <text>
        <r>
          <rPr>
            <sz val="9"/>
            <color indexed="81"/>
            <rFont val="Tahoma"/>
            <family val="2"/>
          </rPr>
          <t xml:space="preserve">
</t>
        </r>
      </text>
    </comment>
    <comment ref="K972" authorId="0" shapeId="0" xr:uid="{2D51FDA1-E4BB-4838-962E-AE4B397B826B}">
      <text>
        <r>
          <rPr>
            <sz val="9"/>
            <color indexed="81"/>
            <rFont val="Tahoma"/>
            <family val="2"/>
          </rPr>
          <t>Reddish nebulae adjacent to a "keyhole", west of GN 22.55.2</t>
        </r>
      </text>
    </comment>
    <comment ref="A973" authorId="0" shapeId="0" xr:uid="{55FF0CFE-913E-4F96-95FC-C2086DED81A8}">
      <text>
        <r>
          <rPr>
            <sz val="9"/>
            <color indexed="81"/>
            <rFont val="Tahoma"/>
            <family val="2"/>
          </rPr>
          <t xml:space="preserve">
</t>
        </r>
      </text>
    </comment>
    <comment ref="K973" authorId="0" shapeId="0" xr:uid="{CC12B7B8-9423-444A-8417-E02D4D3AFBA7}">
      <text>
        <r>
          <rPr>
            <sz val="9"/>
            <color indexed="81"/>
            <rFont val="Tahoma"/>
            <family val="2"/>
          </rPr>
          <t>Object shape changes dramatically from year to year.</t>
        </r>
      </text>
    </comment>
    <comment ref="A974" authorId="0" shapeId="0" xr:uid="{A9C4CD5E-56DC-45E1-91B3-0BD1871226AF}">
      <text>
        <r>
          <rPr>
            <sz val="9"/>
            <color indexed="81"/>
            <rFont val="Tahoma"/>
            <family val="2"/>
          </rPr>
          <t xml:space="preserve">
</t>
        </r>
      </text>
    </comment>
    <comment ref="K974" authorId="0" shapeId="0" xr:uid="{0641C807-D855-45DE-9164-A00BA9A5F264}">
      <text>
        <r>
          <rPr>
            <sz val="9"/>
            <color indexed="81"/>
            <rFont val="Tahoma"/>
            <family val="2"/>
          </rPr>
          <t xml:space="preserve">Beautiful jet-formed nebula, cause by the distant V380 Orionis jet. </t>
        </r>
      </text>
    </comment>
    <comment ref="A975" authorId="0" shapeId="0" xr:uid="{EE75EB3E-7040-4C22-A47A-59511EC4CDA2}">
      <text>
        <r>
          <rPr>
            <sz val="9"/>
            <color indexed="81"/>
            <rFont val="Tahoma"/>
            <family val="2"/>
          </rPr>
          <t xml:space="preserve">
</t>
        </r>
      </text>
    </comment>
    <comment ref="K975" authorId="0" shapeId="0" xr:uid="{A31FE240-2BEB-4B5A-85E2-7E632645FE1C}">
      <text>
        <r>
          <rPr>
            <sz val="9"/>
            <color indexed="81"/>
            <rFont val="Tahoma"/>
            <family val="2"/>
          </rPr>
          <t>Striking red outflow jet nebula in Sh2-239</t>
        </r>
      </text>
    </comment>
    <comment ref="A976" authorId="0" shapeId="0" xr:uid="{021D9D79-8E44-4A25-AE6D-242EC59C55B7}">
      <text>
        <r>
          <rPr>
            <sz val="9"/>
            <color indexed="81"/>
            <rFont val="Tahoma"/>
            <family val="2"/>
          </rPr>
          <t xml:space="preserve">
</t>
        </r>
      </text>
    </comment>
    <comment ref="K976" authorId="0" shapeId="0" xr:uid="{F164C59C-4746-4561-8C50-84853CB5047C}">
      <text>
        <r>
          <rPr>
            <sz val="9"/>
            <color indexed="81"/>
            <rFont val="Tahoma"/>
            <family val="2"/>
          </rPr>
          <t>The white wisp in the head of the Gecko Nebula (LBN 437)</t>
        </r>
      </text>
    </comment>
    <comment ref="A977" authorId="0" shapeId="0" xr:uid="{62CC96E9-ED82-4523-8DE8-884240076935}">
      <text>
        <r>
          <rPr>
            <sz val="9"/>
            <color indexed="81"/>
            <rFont val="Tahoma"/>
            <family val="2"/>
          </rPr>
          <t xml:space="preserve">
</t>
        </r>
      </text>
    </comment>
    <comment ref="K977" authorId="0" shapeId="0" xr:uid="{70A6AC40-4A45-4DC9-A253-D775F2DA851F}">
      <text>
        <r>
          <rPr>
            <sz val="9"/>
            <color indexed="81"/>
            <rFont val="Tahoma"/>
            <family val="2"/>
          </rPr>
          <t>One of the most famous HH objects, a bi-polar jet at the tip of the towering trunk seen in the Pelican Nebula (IC5070)</t>
        </r>
      </text>
    </comment>
    <comment ref="A978" authorId="0" shapeId="0" xr:uid="{397ACFFC-C152-4A9F-B4E7-C1156543AEE1}">
      <text>
        <r>
          <rPr>
            <sz val="9"/>
            <color indexed="81"/>
            <rFont val="Tahoma"/>
            <family val="2"/>
          </rPr>
          <t xml:space="preserve">
</t>
        </r>
      </text>
    </comment>
    <comment ref="K978" authorId="0" shapeId="0" xr:uid="{FB28BE62-9547-4EF8-A588-FA7E2699B6E4}">
      <text>
        <r>
          <rPr>
            <sz val="9"/>
            <color indexed="81"/>
            <rFont val="Tahoma"/>
            <family val="2"/>
          </rPr>
          <t>All 4 galaxies at same distance.</t>
        </r>
      </text>
    </comment>
    <comment ref="A979" authorId="0" shapeId="0" xr:uid="{98F5C08E-21EC-4852-A16E-81E329B8EE90}">
      <text>
        <r>
          <rPr>
            <sz val="9"/>
            <color indexed="81"/>
            <rFont val="Tahoma"/>
            <family val="2"/>
          </rPr>
          <t xml:space="preserve">
</t>
        </r>
      </text>
    </comment>
    <comment ref="K979" authorId="0" shapeId="0" xr:uid="{E9DD7C22-DAE8-4A4F-8CB4-BF03FA373BF0}">
      <text>
        <r>
          <rPr>
            <sz val="9"/>
            <color indexed="81"/>
            <rFont val="Tahoma"/>
            <family val="2"/>
          </rPr>
          <t>All 4 galaxies are spirals.</t>
        </r>
      </text>
    </comment>
    <comment ref="A980" authorId="0" shapeId="0" xr:uid="{1306159F-9472-410F-A355-DDE570E073F5}">
      <text>
        <r>
          <rPr>
            <sz val="9"/>
            <color indexed="81"/>
            <rFont val="Tahoma"/>
            <family val="2"/>
          </rPr>
          <t xml:space="preserve">
</t>
        </r>
      </text>
    </comment>
    <comment ref="K980" authorId="0" shapeId="0" xr:uid="{FDAF5A6F-AB55-43A6-8159-471E44E3EAAC}">
      <text>
        <r>
          <rPr>
            <sz val="9"/>
            <color indexed="81"/>
            <rFont val="Tahoma"/>
            <family val="2"/>
          </rPr>
          <t>All 4 galaxies are spirals.</t>
        </r>
      </text>
    </comment>
    <comment ref="A981" authorId="0" shapeId="0" xr:uid="{3AE63FC5-29CD-44DF-8F40-C276F305D25A}">
      <text>
        <r>
          <rPr>
            <sz val="9"/>
            <color indexed="81"/>
            <rFont val="Tahoma"/>
            <family val="2"/>
          </rPr>
          <t xml:space="preserve">
</t>
        </r>
      </text>
    </comment>
    <comment ref="K981" authorId="0" shapeId="0" xr:uid="{0376F145-A874-4DA8-856A-06DA86240A9A}">
      <text>
        <r>
          <rPr>
            <sz val="9"/>
            <color indexed="81"/>
            <rFont val="Tahoma"/>
            <family val="2"/>
          </rPr>
          <t>6th galaxy in proximity but a bit too small for group.</t>
        </r>
      </text>
    </comment>
    <comment ref="A982" authorId="0" shapeId="0" xr:uid="{C3FF3E9A-39A0-46C3-B126-858FD7DA9F27}">
      <text>
        <r>
          <rPr>
            <sz val="9"/>
            <color indexed="81"/>
            <rFont val="Tahoma"/>
            <family val="2"/>
          </rPr>
          <t xml:space="preserve">
</t>
        </r>
      </text>
    </comment>
    <comment ref="K982" authorId="0" shapeId="0" xr:uid="{08A5D3F0-FC78-47C0-B49A-B69C0A25A2FA}">
      <text>
        <r>
          <rPr>
            <sz val="9"/>
            <color indexed="81"/>
            <rFont val="Tahoma"/>
            <family val="2"/>
          </rPr>
          <t>Galaxies are visually superimposed and do not appear to be interacting.</t>
        </r>
      </text>
    </comment>
    <comment ref="A983" authorId="0" shapeId="0" xr:uid="{F340C060-CFCB-4958-867F-DEEDACA02079}">
      <text>
        <r>
          <rPr>
            <sz val="9"/>
            <color indexed="81"/>
            <rFont val="Tahoma"/>
            <family val="2"/>
          </rPr>
          <t xml:space="preserve">
</t>
        </r>
      </text>
    </comment>
    <comment ref="K983" authorId="0" shapeId="0" xr:uid="{8FF25F27-4060-4963-812D-6BEE60C6D573}">
      <text>
        <r>
          <rPr>
            <sz val="9"/>
            <color indexed="81"/>
            <rFont val="Tahoma"/>
            <family val="2"/>
          </rPr>
          <t>All 4 galaxies at same distance.</t>
        </r>
      </text>
    </comment>
    <comment ref="A984" authorId="0" shapeId="0" xr:uid="{46EC9AED-78F6-4B01-955D-6E0DDDBE241C}">
      <text>
        <r>
          <rPr>
            <sz val="9"/>
            <color indexed="81"/>
            <rFont val="Tahoma"/>
            <family val="2"/>
          </rPr>
          <t xml:space="preserve">
</t>
        </r>
      </text>
    </comment>
    <comment ref="K984" authorId="0" shapeId="0" xr:uid="{8D407B72-4280-43E2-B221-BF84EA257249}">
      <text>
        <r>
          <rPr>
            <sz val="9"/>
            <color indexed="81"/>
            <rFont val="Tahoma"/>
            <family val="2"/>
          </rPr>
          <t>All 4 galaxies are spirals and at the same distance.</t>
        </r>
      </text>
    </comment>
    <comment ref="A985" authorId="0" shapeId="0" xr:uid="{9FEA8EE4-21C0-41B2-9B5A-F21D5D8A60AD}">
      <text>
        <r>
          <rPr>
            <sz val="9"/>
            <color indexed="81"/>
            <rFont val="Tahoma"/>
            <family val="2"/>
          </rPr>
          <t xml:space="preserve">
</t>
        </r>
      </text>
    </comment>
    <comment ref="K985" authorId="0" shapeId="0" xr:uid="{2FFC9B90-A5D0-466B-834B-80EF22DBC3F0}">
      <text>
        <r>
          <rPr>
            <sz val="9"/>
            <color indexed="81"/>
            <rFont val="Tahoma"/>
            <family val="2"/>
          </rPr>
          <t>All 4 galaxies at same distance, 7 in total, but only 4 meet the Hickson criteria to be in the group</t>
        </r>
      </text>
    </comment>
    <comment ref="A986" authorId="0" shapeId="0" xr:uid="{3F2CE3EC-D024-45F9-9262-29C977DB4674}">
      <text>
        <r>
          <rPr>
            <sz val="9"/>
            <color indexed="81"/>
            <rFont val="Tahoma"/>
            <family val="2"/>
          </rPr>
          <t xml:space="preserve">
</t>
        </r>
      </text>
    </comment>
    <comment ref="K986" authorId="0" shapeId="0" xr:uid="{F2F638E4-F02B-4858-8C46-CBF5A2292020}">
      <text>
        <r>
          <rPr>
            <sz val="9"/>
            <color indexed="81"/>
            <rFont val="Tahoma"/>
            <family val="2"/>
          </rPr>
          <t>All 4 galaxies are spirals.</t>
        </r>
      </text>
    </comment>
    <comment ref="A987" authorId="0" shapeId="0" xr:uid="{C2FD1899-A47F-43B2-A6A8-929833146090}">
      <text>
        <r>
          <rPr>
            <sz val="9"/>
            <color indexed="81"/>
            <rFont val="Tahoma"/>
            <family val="2"/>
          </rPr>
          <t xml:space="preserve">
</t>
        </r>
      </text>
    </comment>
    <comment ref="K987" authorId="0" shapeId="0" xr:uid="{0AF309B8-9C74-4DDA-AA0C-1CD8F493917E}">
      <text>
        <r>
          <rPr>
            <sz val="9"/>
            <color indexed="81"/>
            <rFont val="Tahoma"/>
            <family val="2"/>
          </rPr>
          <t>All 4galaxies at same distance.  Warped disks suggest interaction.</t>
        </r>
      </text>
    </comment>
    <comment ref="A988" authorId="0" shapeId="0" xr:uid="{CDE3D194-5A2C-457A-A249-5FEAC5CD3172}">
      <text>
        <r>
          <rPr>
            <sz val="9"/>
            <color indexed="81"/>
            <rFont val="Tahoma"/>
            <family val="2"/>
          </rPr>
          <t xml:space="preserve">
</t>
        </r>
      </text>
    </comment>
    <comment ref="K988" authorId="0" shapeId="0" xr:uid="{980D5B3C-744E-4B8B-999D-89F3E81DB812}">
      <text>
        <r>
          <rPr>
            <sz val="9"/>
            <color indexed="81"/>
            <rFont val="Tahoma"/>
            <family val="2"/>
          </rPr>
          <t>a is a beautiful barred spiral that appears a bit disturbed.</t>
        </r>
      </text>
    </comment>
    <comment ref="A989" authorId="0" shapeId="0" xr:uid="{CB45C3B1-F540-4B20-A637-6E1416417B5D}">
      <text>
        <r>
          <rPr>
            <sz val="9"/>
            <color indexed="81"/>
            <rFont val="Tahoma"/>
            <family val="2"/>
          </rPr>
          <t xml:space="preserve">
</t>
        </r>
      </text>
    </comment>
    <comment ref="K989" authorId="0" shapeId="0" xr:uid="{6C73C4FC-9CA1-4501-B55F-B26DCBCE25D6}">
      <text>
        <r>
          <rPr>
            <sz val="9"/>
            <color indexed="81"/>
            <rFont val="Tahoma"/>
            <family val="2"/>
          </rPr>
          <t>All 5 galaxies at same distance. None of these 5 galaxies appear to be elliptical, which would be unusual.</t>
        </r>
      </text>
    </comment>
    <comment ref="A990" authorId="0" shapeId="0" xr:uid="{85097E1B-A204-40A0-A3FD-1AC858376AF1}">
      <text>
        <r>
          <rPr>
            <sz val="9"/>
            <color indexed="81"/>
            <rFont val="Tahoma"/>
            <family val="2"/>
          </rPr>
          <t xml:space="preserve">
</t>
        </r>
      </text>
    </comment>
    <comment ref="K990" authorId="0" shapeId="0" xr:uid="{01DFDD20-A76F-47CF-AF7E-AD372375DBEC}">
      <text>
        <r>
          <rPr>
            <sz val="9"/>
            <color indexed="81"/>
            <rFont val="Tahoma"/>
            <family val="2"/>
          </rPr>
          <t>All 5 galaxies at same distance.</t>
        </r>
      </text>
    </comment>
    <comment ref="A991" authorId="0" shapeId="0" xr:uid="{466E787E-0BF7-4010-B66F-117C127AE1FA}">
      <text>
        <r>
          <rPr>
            <sz val="9"/>
            <color indexed="81"/>
            <rFont val="Tahoma"/>
            <family val="2"/>
          </rPr>
          <t xml:space="preserve">
</t>
        </r>
      </text>
    </comment>
    <comment ref="K991" authorId="0" shapeId="0" xr:uid="{74BF49BB-E141-42FD-AC82-15D6CA6D0A34}">
      <text>
        <r>
          <rPr>
            <sz val="9"/>
            <color indexed="81"/>
            <rFont val="Tahoma"/>
            <family val="2"/>
          </rPr>
          <t>All 4 galaxies are spirals.</t>
        </r>
      </text>
    </comment>
    <comment ref="A992" authorId="0" shapeId="0" xr:uid="{FCC3B5AE-0702-48C6-8BC4-2BB32E13F29A}">
      <text>
        <r>
          <rPr>
            <sz val="9"/>
            <color indexed="81"/>
            <rFont val="Tahoma"/>
            <family val="2"/>
          </rPr>
          <t xml:space="preserve">
</t>
        </r>
      </text>
    </comment>
    <comment ref="K992" authorId="0" shapeId="0" xr:uid="{5AA9FC43-71E0-46F1-A01F-FC7594C22D9F}">
      <text>
        <r>
          <rPr>
            <sz val="9"/>
            <color indexed="81"/>
            <rFont val="Tahoma"/>
            <family val="2"/>
          </rPr>
          <t>Visually appealing arrangement of these 6 galaxies.</t>
        </r>
      </text>
    </comment>
    <comment ref="A993" authorId="0" shapeId="0" xr:uid="{74A0F078-108C-4D4C-84D0-0DCB11CBDDB6}">
      <text>
        <r>
          <rPr>
            <sz val="9"/>
            <color indexed="81"/>
            <rFont val="Tahoma"/>
            <family val="2"/>
          </rPr>
          <t xml:space="preserve">
</t>
        </r>
      </text>
    </comment>
    <comment ref="K993" authorId="0" shapeId="0" xr:uid="{CAC36189-2ADC-4AFF-A8B3-35B56B8BEFB6}">
      <text>
        <r>
          <rPr>
            <sz val="9"/>
            <color indexed="81"/>
            <rFont val="Tahoma"/>
            <family val="2"/>
          </rPr>
          <t>One of the dimmest and smallest Hickson groups.  All galaxies at same distance.</t>
        </r>
      </text>
    </comment>
    <comment ref="A994" authorId="0" shapeId="0" xr:uid="{6893E52F-086F-446D-9D6F-3793C6715513}">
      <text>
        <r>
          <rPr>
            <sz val="9"/>
            <color indexed="81"/>
            <rFont val="Tahoma"/>
            <family val="2"/>
          </rPr>
          <t xml:space="preserve">
</t>
        </r>
      </text>
    </comment>
    <comment ref="K994" authorId="0" shapeId="0" xr:uid="{D787FAB9-9F13-42CA-A288-5108C036A2B5}">
      <text>
        <r>
          <rPr>
            <sz val="9"/>
            <color indexed="81"/>
            <rFont val="Tahoma"/>
            <family val="2"/>
          </rPr>
          <t>a, b and c are all at the same distance of 200 mly. Galaxy d is much further away at 1 bly and is largest galaxy at 130 kly</t>
        </r>
      </text>
    </comment>
    <comment ref="A995" authorId="0" shapeId="0" xr:uid="{EE7E21B8-0BFC-40E7-96BE-00D60AA3725A}">
      <text>
        <r>
          <rPr>
            <sz val="9"/>
            <color indexed="81"/>
            <rFont val="Tahoma"/>
            <family val="2"/>
          </rPr>
          <t xml:space="preserve">
</t>
        </r>
      </text>
    </comment>
    <comment ref="K995" authorId="0" shapeId="0" xr:uid="{3044EFF2-2426-4C4E-8B82-4C91BCC9E88E}">
      <text>
        <r>
          <rPr>
            <sz val="9"/>
            <color indexed="81"/>
            <rFont val="Tahoma"/>
            <family val="2"/>
          </rPr>
          <t xml:space="preserve">A true cluster - the 6 galaxies are all at approximately the same distance. </t>
        </r>
      </text>
    </comment>
    <comment ref="A996" authorId="0" shapeId="0" xr:uid="{3882CC4A-19D6-48B8-8086-3D1FC5912EF6}">
      <text>
        <r>
          <rPr>
            <sz val="9"/>
            <color indexed="81"/>
            <rFont val="Tahoma"/>
            <family val="2"/>
          </rPr>
          <t xml:space="preserve">
</t>
        </r>
      </text>
    </comment>
    <comment ref="K996" authorId="0" shapeId="0" xr:uid="{9B7F16F2-041E-46FB-B22A-9A309F9E6427}">
      <text>
        <r>
          <rPr>
            <sz val="9"/>
            <color indexed="81"/>
            <rFont val="Tahoma"/>
            <family val="2"/>
          </rPr>
          <t>None near to each other.  All 5 are NGC galaxies in a tight view.</t>
        </r>
      </text>
    </comment>
    <comment ref="A997" authorId="0" shapeId="0" xr:uid="{BF75172E-50A1-49F6-B7E0-8C4524CBC9ED}">
      <text>
        <r>
          <rPr>
            <sz val="9"/>
            <color indexed="81"/>
            <rFont val="Tahoma"/>
            <family val="2"/>
          </rPr>
          <t xml:space="preserve">
</t>
        </r>
      </text>
    </comment>
    <comment ref="K997" authorId="0" shapeId="0" xr:uid="{2C7E4964-3049-436F-81FE-11836DC1950D}">
      <text>
        <r>
          <rPr>
            <sz val="9"/>
            <color indexed="81"/>
            <rFont val="Tahoma"/>
            <family val="2"/>
          </rPr>
          <t>Interesting structures with no apparent interaction.</t>
        </r>
      </text>
    </comment>
    <comment ref="A998" authorId="0" shapeId="0" xr:uid="{EFBEE269-8523-415C-A026-25AFE103E173}">
      <text>
        <r>
          <rPr>
            <sz val="9"/>
            <color indexed="81"/>
            <rFont val="Tahoma"/>
            <family val="2"/>
          </rPr>
          <t xml:space="preserve">
</t>
        </r>
      </text>
    </comment>
    <comment ref="K998" authorId="0" shapeId="0" xr:uid="{C681ECDF-9AE1-47F8-899B-DB5163C3D2F2}">
      <text>
        <r>
          <rPr>
            <sz val="9"/>
            <color indexed="81"/>
            <rFont val="Tahoma"/>
            <family val="2"/>
          </rPr>
          <t>All 5 galaxies are spirals.  One of 2 Hickson groups with 5 spirals.  All galaxies at same distance.</t>
        </r>
      </text>
    </comment>
    <comment ref="A999" authorId="0" shapeId="0" xr:uid="{0E0358F1-E44B-4D94-93FA-7E97781F0C55}">
      <text>
        <r>
          <rPr>
            <sz val="9"/>
            <color indexed="81"/>
            <rFont val="Tahoma"/>
            <family val="2"/>
          </rPr>
          <t xml:space="preserve">
</t>
        </r>
      </text>
    </comment>
    <comment ref="K999" authorId="0" shapeId="0" xr:uid="{64A20A17-824F-4711-BD93-02AA531C5D2A}">
      <text>
        <r>
          <rPr>
            <sz val="9"/>
            <color indexed="81"/>
            <rFont val="Tahoma"/>
            <family val="2"/>
          </rPr>
          <t>All 5 galaxies are ellipticals and at same distance.</t>
        </r>
      </text>
    </comment>
    <comment ref="A1000" authorId="0" shapeId="0" xr:uid="{879F438B-1BE5-4709-8F0A-E63BD5E62AB2}">
      <text>
        <r>
          <rPr>
            <sz val="9"/>
            <color indexed="81"/>
            <rFont val="Tahoma"/>
            <family val="2"/>
          </rPr>
          <t xml:space="preserve">
</t>
        </r>
      </text>
    </comment>
    <comment ref="K1000" authorId="0" shapeId="0" xr:uid="{CFA49583-2B6C-41FA-8909-057E426D4EA1}">
      <text>
        <r>
          <rPr>
            <sz val="9"/>
            <color indexed="81"/>
            <rFont val="Tahoma"/>
            <family val="2"/>
          </rPr>
          <t>Tied for having the second most galaxies (7) of any Hickson group.</t>
        </r>
      </text>
    </comment>
    <comment ref="A1001" authorId="0" shapeId="0" xr:uid="{C0CE59C3-444A-4609-8E9F-BEF38122AA16}">
      <text>
        <r>
          <rPr>
            <sz val="9"/>
            <color indexed="81"/>
            <rFont val="Tahoma"/>
            <family val="2"/>
          </rPr>
          <t xml:space="preserve">
</t>
        </r>
      </text>
    </comment>
    <comment ref="K1001" authorId="0" shapeId="0" xr:uid="{13717D1B-D4D5-4B4F-8DDE-61E76B249E1F}">
      <text>
        <r>
          <rPr>
            <sz val="9"/>
            <color indexed="81"/>
            <rFont val="Tahoma"/>
            <family val="2"/>
          </rPr>
          <t>All 4 galaxies at same distance.  Tied for having the second most galaxies (7) of any Hickson group.</t>
        </r>
      </text>
    </comment>
    <comment ref="A1002" authorId="0" shapeId="0" xr:uid="{D4D9623D-8C40-4CF5-9BB3-A416470BF33A}">
      <text>
        <r>
          <rPr>
            <sz val="9"/>
            <color indexed="81"/>
            <rFont val="Tahoma"/>
            <family val="2"/>
          </rPr>
          <t xml:space="preserve">
</t>
        </r>
      </text>
    </comment>
    <comment ref="K1002" authorId="0" shapeId="0" xr:uid="{257795E2-D211-49AF-80BD-7426DCFA6BBF}">
      <text>
        <r>
          <rPr>
            <sz val="9"/>
            <color indexed="81"/>
            <rFont val="Tahoma"/>
            <family val="2"/>
          </rPr>
          <t>Exciting galaxy chain - all 6 galaxies are in a straight line.</t>
        </r>
      </text>
    </comment>
    <comment ref="A1003" authorId="0" shapeId="0" xr:uid="{3AD805F4-E93A-43EE-B097-15747FEDFAE1}">
      <text>
        <r>
          <rPr>
            <sz val="9"/>
            <color indexed="81"/>
            <rFont val="Tahoma"/>
            <family val="2"/>
          </rPr>
          <t xml:space="preserve">
</t>
        </r>
      </text>
    </comment>
    <comment ref="K1003" authorId="0" shapeId="0" xr:uid="{7007C6E9-AA88-49B4-8D81-1846FF4634C9}">
      <text>
        <r>
          <rPr>
            <sz val="9"/>
            <color indexed="81"/>
            <rFont val="Tahoma"/>
            <family val="2"/>
          </rPr>
          <t>3 form a true cluster - the 4th is 1.4 billion ly away.</t>
        </r>
      </text>
    </comment>
    <comment ref="A1004" authorId="0" shapeId="0" xr:uid="{5356DC36-6FBC-4528-9704-71E6471B5377}">
      <text>
        <r>
          <rPr>
            <sz val="9"/>
            <color indexed="81"/>
            <rFont val="Tahoma"/>
            <family val="2"/>
          </rPr>
          <t xml:space="preserve">
</t>
        </r>
      </text>
    </comment>
    <comment ref="K1004" authorId="0" shapeId="0" xr:uid="{4531A914-E643-4B37-8120-9828F7F98EF1}">
      <text>
        <r>
          <rPr>
            <sz val="9"/>
            <color indexed="81"/>
            <rFont val="Tahoma"/>
            <family val="2"/>
          </rPr>
          <t>Dimmest Hickson group and one of the most challenging to image.  One of smallest Hicksons at 40,000 ly diam.</t>
        </r>
      </text>
    </comment>
    <comment ref="A1005" authorId="0" shapeId="0" xr:uid="{D7F9B909-6ECD-4735-9B9F-352941575D55}">
      <text>
        <r>
          <rPr>
            <sz val="9"/>
            <color indexed="81"/>
            <rFont val="Tahoma"/>
            <family val="2"/>
          </rPr>
          <t xml:space="preserve">
</t>
        </r>
      </text>
    </comment>
    <comment ref="K1005" authorId="0" shapeId="0" xr:uid="{10D110CA-2B6F-4E73-97A8-6A7A18C4454D}">
      <text>
        <r>
          <rPr>
            <sz val="9"/>
            <color indexed="81"/>
            <rFont val="Tahoma"/>
            <family val="2"/>
          </rPr>
          <t>All galaxies are spirals and at the same distance.</t>
        </r>
      </text>
    </comment>
    <comment ref="A1006" authorId="0" shapeId="0" xr:uid="{0C745036-5505-41F6-941E-A853AC3C4225}">
      <text>
        <r>
          <rPr>
            <sz val="9"/>
            <color indexed="81"/>
            <rFont val="Tahoma"/>
            <family val="2"/>
          </rPr>
          <t xml:space="preserve">
</t>
        </r>
      </text>
    </comment>
    <comment ref="K1006" authorId="0" shapeId="0" xr:uid="{A0146BC1-4C54-454A-877C-B7421CC8B62F}">
      <text>
        <r>
          <rPr>
            <sz val="9"/>
            <color indexed="81"/>
            <rFont val="Tahoma"/>
            <family val="2"/>
          </rPr>
          <t>All 4 galaxies at same distance.</t>
        </r>
      </text>
    </comment>
    <comment ref="A1007" authorId="0" shapeId="0" xr:uid="{79AAE387-65E8-4890-948E-E385F05E1827}">
      <text>
        <r>
          <rPr>
            <sz val="9"/>
            <color indexed="81"/>
            <rFont val="Tahoma"/>
            <family val="2"/>
          </rPr>
          <t xml:space="preserve">
</t>
        </r>
      </text>
    </comment>
    <comment ref="K1007" authorId="0" shapeId="0" xr:uid="{0EAFC844-F4B7-40A2-909B-0B8984E46342}">
      <text>
        <r>
          <rPr>
            <sz val="9"/>
            <color indexed="81"/>
            <rFont val="Tahoma"/>
            <family val="2"/>
          </rPr>
          <t>All 4 galaxies at same distance.  Some signs of possible interaction.</t>
        </r>
      </text>
    </comment>
    <comment ref="A1008" authorId="0" shapeId="0" xr:uid="{400E1748-E9D9-4E51-8255-3432AF9673ED}">
      <text>
        <r>
          <rPr>
            <sz val="9"/>
            <color indexed="81"/>
            <rFont val="Tahoma"/>
            <family val="2"/>
          </rPr>
          <t xml:space="preserve">
</t>
        </r>
      </text>
    </comment>
    <comment ref="K1008" authorId="0" shapeId="0" xr:uid="{58D82132-511E-48D9-B913-506804A18789}">
      <text>
        <r>
          <rPr>
            <sz val="9"/>
            <color indexed="81"/>
            <rFont val="Tahoma"/>
            <family val="2"/>
          </rPr>
          <t>All 6 galaxies at same distance.</t>
        </r>
      </text>
    </comment>
    <comment ref="A1009" authorId="0" shapeId="0" xr:uid="{6064D05B-E33A-44C2-B5A6-5B2351EEDF41}">
      <text>
        <r>
          <rPr>
            <sz val="9"/>
            <color indexed="81"/>
            <rFont val="Tahoma"/>
            <family val="2"/>
          </rPr>
          <t xml:space="preserve">
</t>
        </r>
      </text>
    </comment>
    <comment ref="K1009" authorId="0" shapeId="0" xr:uid="{1BC97F88-97FF-4328-A899-163603AE9EC2}">
      <text>
        <r>
          <rPr>
            <sz val="9"/>
            <color indexed="81"/>
            <rFont val="Tahoma"/>
            <family val="2"/>
          </rPr>
          <t>All 4 galaxies are spirals.  a is a beautiful double ring galaxy.</t>
        </r>
      </text>
    </comment>
    <comment ref="A1010" authorId="0" shapeId="0" xr:uid="{2E8090E0-BA9C-4614-B7B1-D4C6B71FEEA7}">
      <text>
        <r>
          <rPr>
            <sz val="9"/>
            <color indexed="81"/>
            <rFont val="Tahoma"/>
            <family val="2"/>
          </rPr>
          <t xml:space="preserve">
</t>
        </r>
      </text>
    </comment>
    <comment ref="K1010" authorId="0" shapeId="0" xr:uid="{55AE929B-6C42-4F62-9821-65EB7756E6D7}">
      <text>
        <r>
          <rPr>
            <sz val="9"/>
            <color indexed="81"/>
            <rFont val="Tahoma"/>
            <family val="2"/>
          </rPr>
          <t>All 5 galaxies at same distance. View also includes 2 nearby bright blue star pairs.</t>
        </r>
      </text>
    </comment>
    <comment ref="A1011" authorId="0" shapeId="0" xr:uid="{6AF3A6A1-CF34-4A96-B84F-B1367FCF950A}">
      <text>
        <r>
          <rPr>
            <sz val="9"/>
            <color indexed="81"/>
            <rFont val="Tahoma"/>
            <family val="2"/>
          </rPr>
          <t xml:space="preserve">
</t>
        </r>
      </text>
    </comment>
    <comment ref="K1011" authorId="0" shapeId="0" xr:uid="{E9B8B876-1C72-45FB-83BE-C41D51479D5B}">
      <text>
        <r>
          <rPr>
            <sz val="9"/>
            <color indexed="81"/>
            <rFont val="Tahoma"/>
            <family val="2"/>
          </rPr>
          <t>All 4 galaxies are ellipticals. All galaxies at same distance.  2nd dimmest Hickson "a" galaxy at 15.1 mag.</t>
        </r>
      </text>
    </comment>
    <comment ref="A1012" authorId="0" shapeId="0" xr:uid="{78D91919-C431-49E7-B328-95E5B19C20C2}">
      <text>
        <r>
          <rPr>
            <sz val="9"/>
            <color indexed="81"/>
            <rFont val="Tahoma"/>
            <family val="2"/>
          </rPr>
          <t xml:space="preserve">
</t>
        </r>
      </text>
    </comment>
    <comment ref="K1012" authorId="0" shapeId="0" xr:uid="{EA2CA621-47A2-4134-BFDE-FE3C02199A15}">
      <text>
        <r>
          <rPr>
            <sz val="9"/>
            <color indexed="81"/>
            <rFont val="Tahoma"/>
            <family val="2"/>
          </rPr>
          <t>Unusual view of 3 edge-on Hickson spirals plus a 4th faint background edge-on spiral.</t>
        </r>
      </text>
    </comment>
    <comment ref="A1013" authorId="0" shapeId="0" xr:uid="{8F6D9004-DDB9-4425-9821-4618083510C2}">
      <text>
        <r>
          <rPr>
            <sz val="9"/>
            <color indexed="81"/>
            <rFont val="Tahoma"/>
            <family val="2"/>
          </rPr>
          <t xml:space="preserve">
</t>
        </r>
      </text>
    </comment>
    <comment ref="K1013" authorId="0" shapeId="0" xr:uid="{440E7051-82FD-4CA5-A020-55DD4FA014A8}">
      <text>
        <r>
          <rPr>
            <sz val="9"/>
            <color indexed="81"/>
            <rFont val="Tahoma"/>
            <family val="2"/>
          </rPr>
          <t>All 4 galaxies at same distance.  One of the brightest Hickson a galaxies at mag 10.9.</t>
        </r>
      </text>
    </comment>
    <comment ref="A1014" authorId="0" shapeId="0" xr:uid="{09791D06-354A-43B3-92E2-A7C7611282E0}">
      <text>
        <r>
          <rPr>
            <sz val="9"/>
            <color indexed="81"/>
            <rFont val="Tahoma"/>
            <family val="2"/>
          </rPr>
          <t xml:space="preserve">
</t>
        </r>
      </text>
    </comment>
    <comment ref="K1014" authorId="0" shapeId="0" xr:uid="{46F28E00-2CBB-44E0-B93B-D8A3CCAB951D}">
      <text>
        <r>
          <rPr>
            <sz val="9"/>
            <color indexed="81"/>
            <rFont val="Tahoma"/>
            <family val="2"/>
          </rPr>
          <t>All 5 galaxies at same distance.  Some disturbance seen.</t>
        </r>
      </text>
    </comment>
    <comment ref="A1015" authorId="0" shapeId="0" xr:uid="{ADA7C482-4ADA-4EDC-9636-7537C15FCC7C}">
      <text>
        <r>
          <rPr>
            <sz val="9"/>
            <color indexed="81"/>
            <rFont val="Tahoma"/>
            <family val="2"/>
          </rPr>
          <t xml:space="preserve">
</t>
        </r>
      </text>
    </comment>
    <comment ref="K1015" authorId="0" shapeId="0" xr:uid="{98CBCF1C-F10D-40C6-A32D-11BDF9B77392}">
      <text>
        <r>
          <rPr>
            <sz val="9"/>
            <color indexed="81"/>
            <rFont val="Tahoma"/>
            <family val="2"/>
          </rPr>
          <t>All 4 galaxies at same distance - 1 bly.  'a' is the largest Hickson galaxy in actual size at 290,000 ly diameter.</t>
        </r>
      </text>
    </comment>
    <comment ref="A1016" authorId="0" shapeId="0" xr:uid="{7542ADBE-E7FD-4959-8A95-E153E080DAF0}">
      <text>
        <r>
          <rPr>
            <sz val="9"/>
            <color indexed="81"/>
            <rFont val="Tahoma"/>
            <family val="2"/>
          </rPr>
          <t xml:space="preserve">
</t>
        </r>
      </text>
    </comment>
    <comment ref="K1016" authorId="0" shapeId="0" xr:uid="{B8420EB7-150E-4A5C-BE20-8D832E230903}">
      <text>
        <r>
          <rPr>
            <sz val="9"/>
            <color indexed="81"/>
            <rFont val="Tahoma"/>
            <family val="2"/>
          </rPr>
          <t>All 4 galaxies are ellipticals and are at same distance. b and c are interacting.</t>
        </r>
      </text>
    </comment>
    <comment ref="A1017" authorId="0" shapeId="0" xr:uid="{0CA52A2F-7618-4315-9A27-A30754623D65}">
      <text>
        <r>
          <rPr>
            <sz val="9"/>
            <color indexed="81"/>
            <rFont val="Tahoma"/>
            <family val="2"/>
          </rPr>
          <t xml:space="preserve">
</t>
        </r>
      </text>
    </comment>
    <comment ref="K1017" authorId="0" shapeId="0" xr:uid="{31698BA2-42E2-4448-BA7F-6838EE67FF69}">
      <text>
        <r>
          <rPr>
            <sz val="9"/>
            <color indexed="81"/>
            <rFont val="Tahoma"/>
            <family val="2"/>
          </rPr>
          <t>All 4 galaxies at same distance.  Small size and a beautiful group.</t>
        </r>
      </text>
    </comment>
    <comment ref="A1018" authorId="0" shapeId="0" xr:uid="{A5249D46-1967-49A8-80EA-FD813DF45911}">
      <text>
        <r>
          <rPr>
            <sz val="9"/>
            <color indexed="81"/>
            <rFont val="Tahoma"/>
            <family val="2"/>
          </rPr>
          <t xml:space="preserve">
</t>
        </r>
      </text>
    </comment>
    <comment ref="K1018" authorId="0" shapeId="0" xr:uid="{7BFFA488-3705-4A64-BDCE-E6010526EB76}">
      <text>
        <r>
          <rPr>
            <sz val="9"/>
            <color indexed="81"/>
            <rFont val="Tahoma"/>
            <family val="2"/>
          </rPr>
          <t xml:space="preserve">b and c have interesting structures.48b has blue strong arm extending down out of core, 48c has mid-region ring. </t>
        </r>
      </text>
    </comment>
    <comment ref="A1019" authorId="0" shapeId="0" xr:uid="{06942D8A-1961-42C1-9675-9C531D0149A2}">
      <text>
        <r>
          <rPr>
            <sz val="9"/>
            <color indexed="81"/>
            <rFont val="Tahoma"/>
            <family val="2"/>
          </rPr>
          <t xml:space="preserve">
</t>
        </r>
      </text>
    </comment>
    <comment ref="K1019" authorId="0" shapeId="0" xr:uid="{CB8859AF-90B1-4DB6-9542-D6B1B3FA06D3}">
      <text>
        <r>
          <rPr>
            <sz val="9"/>
            <color indexed="81"/>
            <rFont val="Tahoma"/>
            <family val="2"/>
          </rPr>
          <t>One of the few Hicksons where all galaxies appear disturbed and to be interacting.</t>
        </r>
      </text>
    </comment>
    <comment ref="A1020" authorId="0" shapeId="0" xr:uid="{DC91120A-3D41-42FF-A9C8-02900CC42C6F}">
      <text>
        <r>
          <rPr>
            <sz val="9"/>
            <color indexed="81"/>
            <rFont val="Tahoma"/>
            <family val="2"/>
          </rPr>
          <t xml:space="preserve">
</t>
        </r>
      </text>
    </comment>
    <comment ref="K1020" authorId="0" shapeId="0" xr:uid="{A6BCC52F-DF93-4B15-B1BE-8D6D6CB9519F}">
      <text>
        <r>
          <rPr>
            <sz val="9"/>
            <color indexed="81"/>
            <rFont val="Tahoma"/>
            <family val="2"/>
          </rPr>
          <t>Furthest Hickson - all galaxies are 2 billion ly.  The most obscure, faint, &amp; distant object that is part of a common catalogue.</t>
        </r>
      </text>
    </comment>
    <comment ref="A1021" authorId="0" shapeId="0" xr:uid="{A5C41788-CBA5-4C4F-91F3-6FD49FCC115A}">
      <text>
        <r>
          <rPr>
            <sz val="9"/>
            <color indexed="81"/>
            <rFont val="Tahoma"/>
            <family val="2"/>
          </rPr>
          <t xml:space="preserve">
</t>
        </r>
      </text>
    </comment>
    <comment ref="K1021" authorId="0" shapeId="0" xr:uid="{2306601C-C41C-4D2F-A239-BCED39645DEA}">
      <text>
        <r>
          <rPr>
            <sz val="9"/>
            <color indexed="81"/>
            <rFont val="Tahoma"/>
            <family val="2"/>
          </rPr>
          <t>Tied for having the second most galaxies (7) of any Hickson group.</t>
        </r>
      </text>
    </comment>
    <comment ref="A1022" authorId="0" shapeId="0" xr:uid="{6D5CBAAD-E196-42BE-B704-4385DC09DD8E}">
      <text>
        <r>
          <rPr>
            <sz val="9"/>
            <color indexed="81"/>
            <rFont val="Tahoma"/>
            <family val="2"/>
          </rPr>
          <t xml:space="preserve">
</t>
        </r>
      </text>
    </comment>
    <comment ref="K1022" authorId="0" shapeId="0" xr:uid="{6225AC0C-C249-40BB-8896-8E27DDF0E0E3}">
      <text>
        <r>
          <rPr>
            <sz val="9"/>
            <color indexed="81"/>
            <rFont val="Tahoma"/>
            <family val="2"/>
          </rPr>
          <t>All 4 galaxies are spirals.  a is a beautiful mag 14 double ring barred galaxy.</t>
        </r>
      </text>
    </comment>
    <comment ref="A1023" authorId="0" shapeId="0" xr:uid="{73D9C4AC-17CC-420F-8228-3AAD1DD2A620}">
      <text>
        <r>
          <rPr>
            <sz val="9"/>
            <color indexed="81"/>
            <rFont val="Tahoma"/>
            <family val="2"/>
          </rPr>
          <t xml:space="preserve">
</t>
        </r>
      </text>
    </comment>
    <comment ref="K1023" authorId="0" shapeId="0" xr:uid="{5E68AEDE-677F-4568-806E-15C922FE9EEC}">
      <text>
        <r>
          <rPr>
            <sz val="9"/>
            <color indexed="81"/>
            <rFont val="Tahoma"/>
            <family val="2"/>
          </rPr>
          <t>Largest Hickson group in size.  Galaxy a has several straight VV rows along with blue star clouds.</t>
        </r>
      </text>
    </comment>
    <comment ref="A1024" authorId="0" shapeId="0" xr:uid="{A845BF5B-960E-4555-B20C-8D1CBEC86A34}">
      <text>
        <r>
          <rPr>
            <sz val="9"/>
            <color indexed="81"/>
            <rFont val="Tahoma"/>
            <family val="2"/>
          </rPr>
          <t xml:space="preserve">
</t>
        </r>
      </text>
    </comment>
    <comment ref="K1024" authorId="0" shapeId="0" xr:uid="{2DBEA789-2C30-4D01-BF31-3839D5379991}">
      <text>
        <r>
          <rPr>
            <sz val="9"/>
            <color indexed="81"/>
            <rFont val="Tahoma"/>
            <family val="2"/>
          </rPr>
          <t>This is a single merger remnant and not 4 separate galaxies as orig. identified.  Smallest Hickson in areal extent.</t>
        </r>
      </text>
    </comment>
    <comment ref="A1025" authorId="0" shapeId="0" xr:uid="{E91694B3-1DA8-4143-B8DD-EE7CCE55B771}">
      <text>
        <r>
          <rPr>
            <sz val="9"/>
            <color indexed="81"/>
            <rFont val="Tahoma"/>
            <family val="2"/>
          </rPr>
          <t xml:space="preserve">
</t>
        </r>
      </text>
    </comment>
    <comment ref="K1025" authorId="0" shapeId="0" xr:uid="{274C7588-096A-420B-8EFB-498FE98DFF63}">
      <text>
        <r>
          <rPr>
            <sz val="9"/>
            <color indexed="81"/>
            <rFont val="Tahoma"/>
            <family val="2"/>
          </rPr>
          <t>Dimmest Hickson group in surface brightness.  All galaxies at same distance and have NGC designations</t>
        </r>
      </text>
    </comment>
    <comment ref="A1026" authorId="0" shapeId="0" xr:uid="{E0E0F903-A388-4DA8-8A11-2C22DDD212A4}">
      <text>
        <r>
          <rPr>
            <sz val="9"/>
            <color indexed="81"/>
            <rFont val="Tahoma"/>
            <family val="2"/>
          </rPr>
          <t xml:space="preserve">
</t>
        </r>
      </text>
    </comment>
    <comment ref="K1026" authorId="0" shapeId="0" xr:uid="{571983A1-4621-4621-B369-2AA6B2CC3B15}">
      <text>
        <r>
          <rPr>
            <sz val="9"/>
            <color indexed="81"/>
            <rFont val="Tahoma"/>
            <family val="2"/>
          </rPr>
          <t xml:space="preserve">d is a fascinating irregular galaxy with numerous bright blue star-forming clouds.  </t>
        </r>
      </text>
    </comment>
    <comment ref="A1027" authorId="0" shapeId="0" xr:uid="{8CD32027-DCE0-42C8-8D91-1A15EBC9C5A7}">
      <text>
        <r>
          <rPr>
            <sz val="9"/>
            <color indexed="81"/>
            <rFont val="Tahoma"/>
            <family val="2"/>
          </rPr>
          <t xml:space="preserve">
</t>
        </r>
      </text>
    </comment>
    <comment ref="K1027" authorId="0" shapeId="0" xr:uid="{E74A9A87-7851-4F5E-B862-E79D00544F67}">
      <text>
        <r>
          <rPr>
            <sz val="9"/>
            <color indexed="81"/>
            <rFont val="Tahoma"/>
            <family val="2"/>
          </rPr>
          <t>All galaxies at same distance, almost 1 billion ly away.</t>
        </r>
      </text>
    </comment>
    <comment ref="A1028" authorId="0" shapeId="0" xr:uid="{91E0F4FF-026E-47E2-A26D-17FD4401AFDC}">
      <text>
        <r>
          <rPr>
            <sz val="9"/>
            <color indexed="81"/>
            <rFont val="Tahoma"/>
            <family val="2"/>
          </rPr>
          <t xml:space="preserve">
</t>
        </r>
      </text>
    </comment>
    <comment ref="K1028" authorId="0" shapeId="0" xr:uid="{80F6EF30-1CE5-452B-B039-6BF52E74BFFC}">
      <text>
        <r>
          <rPr>
            <sz val="9"/>
            <color indexed="81"/>
            <rFont val="Tahoma"/>
            <family val="2"/>
          </rPr>
          <t>The Box of 4 galaxies is 4th brightest Hickson and one of the prettiest.  Largest galaxy in apparent size ('b' is 4.5')</t>
        </r>
      </text>
    </comment>
    <comment ref="A1029" authorId="0" shapeId="0" xr:uid="{0B756338-05A4-4C8F-A52F-A954DDBB995E}">
      <text>
        <r>
          <rPr>
            <sz val="9"/>
            <color indexed="81"/>
            <rFont val="Tahoma"/>
            <family val="2"/>
          </rPr>
          <t xml:space="preserve">
</t>
        </r>
      </text>
    </comment>
    <comment ref="K1029" authorId="0" shapeId="0" xr:uid="{450F932D-DAE1-404A-9219-F4E7F3EA9E36}">
      <text>
        <r>
          <rPr>
            <sz val="9"/>
            <color indexed="81"/>
            <rFont val="Tahoma"/>
            <family val="2"/>
          </rPr>
          <t>All 4 galaxies at same distance.  Not an interesting group.</t>
        </r>
      </text>
    </comment>
    <comment ref="A1030" authorId="0" shapeId="0" xr:uid="{88655164-D56A-457C-B116-3CA4A90BC494}">
      <text>
        <r>
          <rPr>
            <sz val="9"/>
            <color indexed="81"/>
            <rFont val="Tahoma"/>
            <family val="2"/>
          </rPr>
          <t xml:space="preserve">
</t>
        </r>
      </text>
    </comment>
    <comment ref="K1030" authorId="0" shapeId="0" xr:uid="{D0FAA052-AB78-452D-8F15-CCE893780115}">
      <text>
        <r>
          <rPr>
            <sz val="9"/>
            <color indexed="81"/>
            <rFont val="Tahoma"/>
            <family val="2"/>
          </rPr>
          <t>The furthest south Hickson.  B is a graceful grand spiral galaxy with fascinating arm asymmetry.</t>
        </r>
      </text>
    </comment>
    <comment ref="A1031" authorId="0" shapeId="0" xr:uid="{CA183719-FF33-4E0C-967A-A330C4703042}">
      <text>
        <r>
          <rPr>
            <sz val="9"/>
            <color indexed="81"/>
            <rFont val="Tahoma"/>
            <family val="2"/>
          </rPr>
          <t xml:space="preserve">
</t>
        </r>
      </text>
    </comment>
    <comment ref="K1031" authorId="0" shapeId="0" xr:uid="{FFF4B42D-E167-425C-94CF-BC68A7E569B9}">
      <text>
        <r>
          <rPr>
            <sz val="9"/>
            <color indexed="81"/>
            <rFont val="Tahoma"/>
            <family val="2"/>
          </rPr>
          <t>a and b are the most interesting interacting Hickson pair, with lovely star streams.</t>
        </r>
      </text>
    </comment>
    <comment ref="A1032" authorId="0" shapeId="0" xr:uid="{7ACEFBBF-BB45-4575-968D-F33FF04D9477}">
      <text>
        <r>
          <rPr>
            <sz val="9"/>
            <color indexed="81"/>
            <rFont val="Tahoma"/>
            <family val="2"/>
          </rPr>
          <t xml:space="preserve">
</t>
        </r>
      </text>
    </comment>
    <comment ref="K1032" authorId="0" shapeId="0" xr:uid="{52E69811-9990-4E9E-989F-4CB3DE89D5F4}">
      <text>
        <r>
          <rPr>
            <sz val="9"/>
            <color indexed="81"/>
            <rFont val="Tahoma"/>
            <family val="2"/>
          </rPr>
          <t>All 5 galaxies are ellipticals and at same distance, with some interaction seen.</t>
        </r>
      </text>
    </comment>
    <comment ref="A1033" authorId="0" shapeId="0" xr:uid="{528DC9E9-2D19-4B08-9E50-9E034E0EDEF4}">
      <text>
        <r>
          <rPr>
            <sz val="9"/>
            <color indexed="81"/>
            <rFont val="Tahoma"/>
            <family val="2"/>
          </rPr>
          <t xml:space="preserve">
</t>
        </r>
      </text>
    </comment>
    <comment ref="K1033" authorId="0" shapeId="0" xr:uid="{AB39932B-89BF-4278-BBE0-D9638430BE96}">
      <text>
        <r>
          <rPr>
            <sz val="9"/>
            <color indexed="81"/>
            <rFont val="Tahoma"/>
            <family val="2"/>
          </rPr>
          <t>All 4 galaxies are ellipticals and are at the same distance.  A dim and distant group.</t>
        </r>
      </text>
    </comment>
    <comment ref="A1034" authorId="0" shapeId="0" xr:uid="{74F3BE3D-543A-47D5-AA8C-F4458EE6C5DC}">
      <text>
        <r>
          <rPr>
            <sz val="9"/>
            <color indexed="81"/>
            <rFont val="Tahoma"/>
            <family val="2"/>
          </rPr>
          <t xml:space="preserve">
</t>
        </r>
      </text>
    </comment>
    <comment ref="K1034" authorId="0" shapeId="0" xr:uid="{74D38B5F-754C-4544-9B85-135D0C198AD1}">
      <text>
        <r>
          <rPr>
            <sz val="9"/>
            <color indexed="81"/>
            <rFont val="Tahoma"/>
            <family val="2"/>
          </rPr>
          <t>All 4 galaxies at same distance.  Galaxy a appears to be 2 objects, while b is a nice edge-on spiral.</t>
        </r>
      </text>
    </comment>
    <comment ref="A1035" authorId="0" shapeId="0" xr:uid="{4C20D82C-15F7-45E6-8DA8-86BAA006FB6E}">
      <text>
        <r>
          <rPr>
            <sz val="9"/>
            <color indexed="81"/>
            <rFont val="Tahoma"/>
            <family val="2"/>
          </rPr>
          <t xml:space="preserve">
</t>
        </r>
      </text>
    </comment>
    <comment ref="K1035" authorId="0" shapeId="0" xr:uid="{4682FA4C-21B1-4397-ADE3-505FE2324FA5}">
      <text>
        <r>
          <rPr>
            <sz val="9"/>
            <color indexed="81"/>
            <rFont val="Tahoma"/>
            <family val="2"/>
          </rPr>
          <t>One of the brightest Hickson groups with some of the best color of any Hickson group.</t>
        </r>
      </text>
    </comment>
    <comment ref="A1036" authorId="0" shapeId="0" xr:uid="{828A97DB-9952-442C-8013-7406067945A0}">
      <text>
        <r>
          <rPr>
            <sz val="9"/>
            <color indexed="81"/>
            <rFont val="Tahoma"/>
            <family val="2"/>
          </rPr>
          <t xml:space="preserve">
</t>
        </r>
      </text>
    </comment>
    <comment ref="K1036" authorId="0" shapeId="0" xr:uid="{566962EE-3369-49FB-B429-F0EF3FD1C1E3}">
      <text>
        <r>
          <rPr>
            <sz val="9"/>
            <color indexed="81"/>
            <rFont val="Tahoma"/>
            <family val="2"/>
          </rPr>
          <t>All galaxies at same distance.  Group lies in a nice galaxy field.</t>
        </r>
      </text>
    </comment>
    <comment ref="A1037" authorId="0" shapeId="0" xr:uid="{55B43902-2B8D-49DE-87BA-1E1484061BF8}">
      <text>
        <r>
          <rPr>
            <sz val="9"/>
            <color indexed="81"/>
            <rFont val="Tahoma"/>
            <family val="2"/>
          </rPr>
          <t xml:space="preserve">
</t>
        </r>
      </text>
    </comment>
    <comment ref="K1037" authorId="0" shapeId="0" xr:uid="{553B50FC-534F-4D5E-BA2C-30F611792EAD}">
      <text>
        <r>
          <rPr>
            <sz val="9"/>
            <color indexed="81"/>
            <rFont val="Tahoma"/>
            <family val="2"/>
          </rPr>
          <t>One of 2 Hickson groups with 5 spirals.</t>
        </r>
      </text>
    </comment>
    <comment ref="A1038" authorId="0" shapeId="0" xr:uid="{1D5BBE6D-12EE-440F-A771-DE466182E6D0}">
      <text>
        <r>
          <rPr>
            <sz val="9"/>
            <color indexed="81"/>
            <rFont val="Tahoma"/>
            <family val="2"/>
          </rPr>
          <t xml:space="preserve">
</t>
        </r>
      </text>
    </comment>
    <comment ref="K1038" authorId="0" shapeId="0" xr:uid="{2D012AA1-35E2-4DBE-9D65-CE60D962A962}">
      <text>
        <r>
          <rPr>
            <sz val="9"/>
            <color indexed="81"/>
            <rFont val="Tahoma"/>
            <family val="2"/>
          </rPr>
          <t>One of the dimmest Hickson groups.</t>
        </r>
      </text>
    </comment>
    <comment ref="A1039" authorId="0" shapeId="0" xr:uid="{5C162E21-60AC-463F-BEA5-C9EB5C1C8FEF}">
      <text>
        <r>
          <rPr>
            <sz val="9"/>
            <color indexed="81"/>
            <rFont val="Tahoma"/>
            <family val="2"/>
          </rPr>
          <t xml:space="preserve">
</t>
        </r>
      </text>
    </comment>
    <comment ref="K1039" authorId="0" shapeId="0" xr:uid="{ECDEDD07-756D-4813-AD0C-55F31C1BF7D6}">
      <text>
        <r>
          <rPr>
            <sz val="9"/>
            <color indexed="81"/>
            <rFont val="Tahoma"/>
            <family val="2"/>
          </rPr>
          <t>All 5 galaxies are ellipticals and are at the same distance.  Not an inspiring group.</t>
        </r>
      </text>
    </comment>
    <comment ref="A1040" authorId="0" shapeId="0" xr:uid="{D4DD5F44-7423-4F9B-BFEF-F2E4E28A36A4}">
      <text>
        <r>
          <rPr>
            <sz val="9"/>
            <color indexed="81"/>
            <rFont val="Tahoma"/>
            <family val="2"/>
          </rPr>
          <t xml:space="preserve">
</t>
        </r>
      </text>
    </comment>
    <comment ref="K1040" authorId="0" shapeId="0" xr:uid="{DC95101F-EBA6-4247-BFE5-F354C41484F0}">
      <text>
        <r>
          <rPr>
            <sz val="9"/>
            <color indexed="81"/>
            <rFont val="Tahoma"/>
            <family val="2"/>
          </rPr>
          <t>All 6 galaxies at same distance.  A tight arrangement but no disturbance seen.</t>
        </r>
      </text>
    </comment>
    <comment ref="A1041" authorId="0" shapeId="0" xr:uid="{8BA8E924-CEDC-4544-909F-ABB868D4E2C9}">
      <text>
        <r>
          <rPr>
            <sz val="9"/>
            <color indexed="81"/>
            <rFont val="Tahoma"/>
            <family val="2"/>
          </rPr>
          <t xml:space="preserve">
</t>
        </r>
      </text>
    </comment>
    <comment ref="K1041" authorId="0" shapeId="0" xr:uid="{D7D6D6A7-8891-4FAA-8A7C-653CCD093BC1}">
      <text>
        <r>
          <rPr>
            <sz val="9"/>
            <color indexed="81"/>
            <rFont val="Tahoma"/>
            <family val="2"/>
          </rPr>
          <t>All 5 galaxies at same distance.  Tied for having the second most galaxies (7) of any Hickson group.</t>
        </r>
      </text>
    </comment>
    <comment ref="A1042" authorId="0" shapeId="0" xr:uid="{047EA605-B444-4B69-86A4-F0255FACA1C8}">
      <text>
        <r>
          <rPr>
            <sz val="9"/>
            <color indexed="81"/>
            <rFont val="Tahoma"/>
            <family val="2"/>
          </rPr>
          <t xml:space="preserve">
</t>
        </r>
      </text>
    </comment>
    <comment ref="K1042" authorId="0" shapeId="0" xr:uid="{123CDE80-3CD8-4315-B95C-FFA2860F2F44}">
      <text>
        <r>
          <rPr>
            <sz val="9"/>
            <color indexed="81"/>
            <rFont val="Tahoma"/>
            <family val="2"/>
          </rPr>
          <t>Interesting blue/yellow color contrast between the 2 pairs of galaxies.</t>
        </r>
      </text>
    </comment>
    <comment ref="A1043" authorId="0" shapeId="0" xr:uid="{79DAD329-12E1-4930-91F7-CB9BE73C5152}">
      <text>
        <r>
          <rPr>
            <sz val="9"/>
            <color indexed="81"/>
            <rFont val="Tahoma"/>
            <family val="2"/>
          </rPr>
          <t xml:space="preserve">
</t>
        </r>
      </text>
    </comment>
    <comment ref="K1043" authorId="0" shapeId="0" xr:uid="{145ED64C-AFA9-4A4E-B85F-8F228CA66039}">
      <text>
        <r>
          <rPr>
            <sz val="9"/>
            <color indexed="81"/>
            <rFont val="Tahoma"/>
            <family val="2"/>
          </rPr>
          <t>All 4 galaxies are spirals.  Galaxy a is barred with a graceful pseudo-ring.</t>
        </r>
      </text>
    </comment>
    <comment ref="A1044" authorId="0" shapeId="0" xr:uid="{A398BE02-528E-4F30-B2C2-19A5881FF49F}">
      <text>
        <r>
          <rPr>
            <sz val="9"/>
            <color indexed="81"/>
            <rFont val="Tahoma"/>
            <family val="2"/>
          </rPr>
          <t xml:space="preserve">
</t>
        </r>
      </text>
    </comment>
    <comment ref="K1044" authorId="0" shapeId="0" xr:uid="{AB2321E2-BF20-4637-A14B-B228D4AB4483}">
      <text>
        <r>
          <rPr>
            <sz val="9"/>
            <color indexed="81"/>
            <rFont val="Tahoma"/>
            <family val="2"/>
          </rPr>
          <t>One of the densest galaxy clusters.  Although Seyfert's Sextet, there are only 5 galaxies.  Brightest Hickson.</t>
        </r>
      </text>
    </comment>
    <comment ref="A1045" authorId="0" shapeId="0" xr:uid="{9397657C-AE52-4DB0-A2C2-FF91C26678EF}">
      <text>
        <r>
          <rPr>
            <sz val="9"/>
            <color indexed="81"/>
            <rFont val="Tahoma"/>
            <family val="2"/>
          </rPr>
          <t xml:space="preserve">
</t>
        </r>
      </text>
    </comment>
    <comment ref="K1045" authorId="0" shapeId="0" xr:uid="{D06E5CCE-EB68-40C8-B978-84AEE35CEB9B}">
      <text>
        <r>
          <rPr>
            <sz val="9"/>
            <color indexed="81"/>
            <rFont val="Tahoma"/>
            <family val="2"/>
          </rPr>
          <t>All 4 galaxies are spirals and are at the same distance. Signs of disturbance in 3 of 4 galaxies.</t>
        </r>
      </text>
    </comment>
    <comment ref="A1046" authorId="0" shapeId="0" xr:uid="{57723A5C-86F1-4AC9-B826-59A0EE15DF77}">
      <text>
        <r>
          <rPr>
            <sz val="9"/>
            <color indexed="81"/>
            <rFont val="Tahoma"/>
            <family val="2"/>
          </rPr>
          <t xml:space="preserve">
</t>
        </r>
      </text>
    </comment>
    <comment ref="K1046" authorId="0" shapeId="0" xr:uid="{F09709BA-EFB2-4294-9A2B-7C6414E5FFF9}">
      <text>
        <r>
          <rPr>
            <sz val="9"/>
            <color indexed="81"/>
            <rFont val="Tahoma"/>
            <family val="2"/>
          </rPr>
          <t>Small and distant ellipticals do not make for an interesting image.</t>
        </r>
      </text>
    </comment>
    <comment ref="A1047" authorId="0" shapeId="0" xr:uid="{36FC4047-195B-4AE6-97EF-441D9BDD155E}">
      <text>
        <r>
          <rPr>
            <sz val="9"/>
            <color indexed="81"/>
            <rFont val="Tahoma"/>
            <family val="2"/>
          </rPr>
          <t xml:space="preserve">
</t>
        </r>
      </text>
    </comment>
    <comment ref="K1047" authorId="0" shapeId="0" xr:uid="{FCDA6A75-7E4C-42EB-8636-BF2C0998CFF5}">
      <text>
        <r>
          <rPr>
            <sz val="9"/>
            <color indexed="81"/>
            <rFont val="Tahoma"/>
            <family val="2"/>
          </rPr>
          <t>All 4 galaxies at same distance. Interesting structures, including a galaxy merger.</t>
        </r>
      </text>
    </comment>
    <comment ref="A1048" authorId="0" shapeId="0" xr:uid="{0DB75A66-9E92-46BB-967E-9BE66DAEA2F5}">
      <text>
        <r>
          <rPr>
            <sz val="9"/>
            <color indexed="81"/>
            <rFont val="Tahoma"/>
            <family val="2"/>
          </rPr>
          <t xml:space="preserve">
</t>
        </r>
      </text>
    </comment>
    <comment ref="K1048" authorId="0" shapeId="0" xr:uid="{5414A821-6DCF-493D-A985-02E128DC53C6}">
      <text>
        <r>
          <rPr>
            <sz val="9"/>
            <color indexed="81"/>
            <rFont val="Tahoma"/>
            <family val="2"/>
          </rPr>
          <t>All 4 galaxies are ellipticals and at same distance.  One of the smallest, faintest, and least spectacular Hickson.</t>
        </r>
      </text>
    </comment>
    <comment ref="A1049" authorId="0" shapeId="0" xr:uid="{06FE356F-4DEB-4E32-9500-CDF2BA4BF175}">
      <text>
        <r>
          <rPr>
            <sz val="9"/>
            <color indexed="81"/>
            <rFont val="Tahoma"/>
            <family val="2"/>
          </rPr>
          <t xml:space="preserve">
</t>
        </r>
      </text>
    </comment>
    <comment ref="K1049" authorId="0" shapeId="0" xr:uid="{E75B6137-B6B8-4728-ADE6-F73030AB870D}">
      <text>
        <r>
          <rPr>
            <sz val="9"/>
            <color indexed="81"/>
            <rFont val="Tahoma"/>
            <family val="2"/>
          </rPr>
          <t>All 6 galaxies at same distance.  Interesting tiny object seen near galaxy a.  Furthest north Hickson.</t>
        </r>
      </text>
    </comment>
    <comment ref="A1050" authorId="0" shapeId="0" xr:uid="{89991266-3322-41B9-90A2-EA1B2EB4C355}">
      <text>
        <r>
          <rPr>
            <sz val="9"/>
            <color indexed="81"/>
            <rFont val="Tahoma"/>
            <family val="2"/>
          </rPr>
          <t xml:space="preserve">
</t>
        </r>
      </text>
    </comment>
    <comment ref="K1050" authorId="0" shapeId="0" xr:uid="{1BFC5320-FBDA-41DF-80E8-14178E8C3E3F}">
      <text>
        <r>
          <rPr>
            <sz val="9"/>
            <color indexed="81"/>
            <rFont val="Tahoma"/>
            <family val="2"/>
          </rPr>
          <t>All 4 galaxies are ellipticals and are at the same distance.</t>
        </r>
      </text>
    </comment>
    <comment ref="A1051" authorId="0" shapeId="0" xr:uid="{0D781731-7D71-483B-BE25-F01AEBC87978}">
      <text>
        <r>
          <rPr>
            <sz val="9"/>
            <color indexed="81"/>
            <rFont val="Tahoma"/>
            <family val="2"/>
          </rPr>
          <t xml:space="preserve">
</t>
        </r>
      </text>
    </comment>
    <comment ref="K1051" authorId="0" shapeId="0" xr:uid="{F8F41C36-486B-462E-BDC5-3FDF4053C4F5}">
      <text>
        <r>
          <rPr>
            <sz val="9"/>
            <color indexed="81"/>
            <rFont val="Tahoma"/>
            <family val="2"/>
          </rPr>
          <t>All 4 galaxies are ellipticals and at the same distance.  Interesting triangular arrangement.</t>
        </r>
      </text>
    </comment>
    <comment ref="A1052" authorId="0" shapeId="0" xr:uid="{A14DCB9B-007B-4528-A7CA-2B55274DDDFF}">
      <text>
        <r>
          <rPr>
            <sz val="9"/>
            <color indexed="81"/>
            <rFont val="Tahoma"/>
            <family val="2"/>
          </rPr>
          <t xml:space="preserve">
</t>
        </r>
      </text>
    </comment>
    <comment ref="K1052" authorId="0" shapeId="0" xr:uid="{3948CEFC-BE83-4256-AFFF-54F59DABE885}">
      <text>
        <r>
          <rPr>
            <sz val="9"/>
            <color indexed="81"/>
            <rFont val="Tahoma"/>
            <family val="2"/>
          </rPr>
          <t xml:space="preserve">Galaxy a has an interesting dust lane that appears as a single lane on the right and a triple lane on the left. </t>
        </r>
      </text>
    </comment>
    <comment ref="A1053" authorId="0" shapeId="0" xr:uid="{55DB6D12-0C53-4493-A766-0E319942BDA1}">
      <text>
        <r>
          <rPr>
            <sz val="9"/>
            <color indexed="81"/>
            <rFont val="Tahoma"/>
            <family val="2"/>
          </rPr>
          <t xml:space="preserve">
</t>
        </r>
      </text>
    </comment>
    <comment ref="K1053" authorId="0" shapeId="0" xr:uid="{A6254AC0-8C86-4E8E-8E63-1F1A9A4EB7C4}">
      <text>
        <r>
          <rPr>
            <sz val="9"/>
            <color indexed="81"/>
            <rFont val="Tahoma"/>
            <family val="2"/>
          </rPr>
          <t>All 4 galaxies are spirals and are at the same distance.  All of the disks are slight asymmetric and possibly interacting.</t>
        </r>
      </text>
    </comment>
    <comment ref="A1054" authorId="0" shapeId="0" xr:uid="{5BA50444-B2FB-4A59-9C08-CE0E6FB72E5E}">
      <text>
        <r>
          <rPr>
            <sz val="9"/>
            <color indexed="81"/>
            <rFont val="Tahoma"/>
            <family val="2"/>
          </rPr>
          <t xml:space="preserve">
</t>
        </r>
      </text>
    </comment>
    <comment ref="K1054" authorId="0" shapeId="0" xr:uid="{596792C0-ED3E-4FD8-8C5B-E76F0F40D548}">
      <text>
        <r>
          <rPr>
            <sz val="9"/>
            <color indexed="81"/>
            <rFont val="Tahoma"/>
            <family val="2"/>
          </rPr>
          <t>All 4 galaxies are spirals and all are at the same distance.</t>
        </r>
      </text>
    </comment>
    <comment ref="A1055" authorId="0" shapeId="0" xr:uid="{6F9056F6-0EB3-4DDA-9235-9761DB58940C}">
      <text>
        <r>
          <rPr>
            <sz val="9"/>
            <color indexed="81"/>
            <rFont val="Tahoma"/>
            <family val="2"/>
          </rPr>
          <t xml:space="preserve">
</t>
        </r>
      </text>
    </comment>
    <comment ref="K1055" authorId="0" shapeId="0" xr:uid="{575DCDD0-E382-4196-85BE-64D9E35C0D7C}">
      <text>
        <r>
          <rPr>
            <sz val="9"/>
            <color indexed="81"/>
            <rFont val="Tahoma"/>
            <family val="2"/>
          </rPr>
          <t>The brightest Hickson group. All galaxies are at the same distance.</t>
        </r>
      </text>
    </comment>
    <comment ref="A1056" authorId="0" shapeId="0" xr:uid="{B8249D76-B4FB-48A9-AEB3-F5EC99755A81}">
      <text>
        <r>
          <rPr>
            <sz val="9"/>
            <color indexed="81"/>
            <rFont val="Tahoma"/>
            <family val="2"/>
          </rPr>
          <t xml:space="preserve">
</t>
        </r>
      </text>
    </comment>
    <comment ref="K1056" authorId="0" shapeId="0" xr:uid="{81E25457-74BB-4C4F-8423-02274CEAD8BB}">
      <text>
        <r>
          <rPr>
            <sz val="9"/>
            <color indexed="81"/>
            <rFont val="Tahoma"/>
            <family val="2"/>
          </rPr>
          <t>All galaxies at same distance.  Interesting interactions and disk deformations seen.</t>
        </r>
      </text>
    </comment>
    <comment ref="A1057" authorId="0" shapeId="0" xr:uid="{0207A9BB-DBBE-4683-A0EA-CEFA316ACCA6}">
      <text>
        <r>
          <rPr>
            <sz val="9"/>
            <color indexed="81"/>
            <rFont val="Tahoma"/>
            <family val="2"/>
          </rPr>
          <t xml:space="preserve">
</t>
        </r>
      </text>
    </comment>
    <comment ref="K1057" authorId="0" shapeId="0" xr:uid="{4E393FE1-7EBF-41C1-83AF-9592CAEA9F1C}">
      <text>
        <r>
          <rPr>
            <sz val="9"/>
            <color indexed="81"/>
            <rFont val="Tahoma"/>
            <family val="2"/>
          </rPr>
          <t>All 5 galaxies at same distance.  Many galaxies seen in the background.</t>
        </r>
      </text>
    </comment>
    <comment ref="A1058" authorId="0" shapeId="0" xr:uid="{A670C32E-7FC8-4436-A886-DE06D0D7F6A0}">
      <text>
        <r>
          <rPr>
            <sz val="9"/>
            <color indexed="81"/>
            <rFont val="Tahoma"/>
            <family val="2"/>
          </rPr>
          <t xml:space="preserve">
</t>
        </r>
      </text>
    </comment>
    <comment ref="K1058" authorId="0" shapeId="0" xr:uid="{C1D38115-85AB-4C53-95E4-9C5B22E00AA7}">
      <text>
        <r>
          <rPr>
            <sz val="9"/>
            <color indexed="81"/>
            <rFont val="Tahoma"/>
            <family val="2"/>
          </rPr>
          <t>All 4 galaxies at same distance.  Galaxies b and c have outer rim pseudo-rings.</t>
        </r>
      </text>
    </comment>
    <comment ref="A1059" authorId="0" shapeId="0" xr:uid="{1AC10688-53FC-480A-B64E-70716CAB6FFC}">
      <text>
        <r>
          <rPr>
            <sz val="9"/>
            <color indexed="81"/>
            <rFont val="Tahoma"/>
            <family val="2"/>
          </rPr>
          <t xml:space="preserve">
</t>
        </r>
      </text>
    </comment>
    <comment ref="K1059" authorId="0" shapeId="0" xr:uid="{DAD0FE1B-E5FB-4188-9D9B-1A6CB4E98C85}">
      <text>
        <r>
          <rPr>
            <sz val="9"/>
            <color indexed="81"/>
            <rFont val="Tahoma"/>
            <family val="2"/>
          </rPr>
          <t>All 4 galaxies are spirals and are at the same distance.  Galaxy b shows some disturbance.</t>
        </r>
      </text>
    </comment>
    <comment ref="A1060" authorId="0" shapeId="0" xr:uid="{08F38EF7-A1AC-4FA5-A1D5-5E0425C66003}">
      <text>
        <r>
          <rPr>
            <sz val="9"/>
            <color indexed="81"/>
            <rFont val="Tahoma"/>
            <family val="2"/>
          </rPr>
          <t xml:space="preserve">
</t>
        </r>
      </text>
    </comment>
    <comment ref="K1060" authorId="0" shapeId="0" xr:uid="{52A0244B-8152-487C-949B-1FDBA6161905}">
      <text>
        <r>
          <rPr>
            <sz val="9"/>
            <color indexed="81"/>
            <rFont val="Tahoma"/>
            <family val="2"/>
          </rPr>
          <t>YSO is associated with the blue reflection nebula Ced 51 as well as Barnard 30</t>
        </r>
      </text>
    </comment>
    <comment ref="A1061" authorId="0" shapeId="0" xr:uid="{D92838BE-4E16-47A7-91C8-6AAB8E415033}">
      <text>
        <r>
          <rPr>
            <sz val="9"/>
            <color indexed="81"/>
            <rFont val="Tahoma"/>
            <family val="2"/>
          </rPr>
          <t xml:space="preserve">
</t>
        </r>
      </text>
    </comment>
    <comment ref="K1061" authorId="0" shapeId="0" xr:uid="{C080FB3E-5EDB-4407-A6BD-5C3D7276A369}">
      <text>
        <r>
          <rPr>
            <sz val="9"/>
            <color indexed="81"/>
            <rFont val="Tahoma"/>
            <family val="2"/>
          </rPr>
          <t>Famous and mysterious tiny ring galaxy, looking like a PN</t>
        </r>
      </text>
    </comment>
    <comment ref="A1062" authorId="0" shapeId="0" xr:uid="{9CBDE0C4-71FC-4171-92ED-182CEEE480F7}">
      <text>
        <r>
          <rPr>
            <sz val="9"/>
            <color indexed="81"/>
            <rFont val="Tahoma"/>
            <family val="2"/>
          </rPr>
          <t xml:space="preserve">
</t>
        </r>
      </text>
    </comment>
    <comment ref="K1062" authorId="0" shapeId="0" xr:uid="{8C6F9AC2-0258-4CAC-8AA6-E7B7BEDA9EF5}">
      <text>
        <r>
          <rPr>
            <sz val="9"/>
            <color indexed="81"/>
            <rFont val="Tahoma"/>
            <family val="2"/>
          </rPr>
          <t>Faint globular cluster that is one of the oldest GC in our Milky Way</t>
        </r>
      </text>
    </comment>
    <comment ref="A1063" authorId="0" shapeId="0" xr:uid="{1CF4D13C-17A1-4700-96DF-1A30D977E872}">
      <text>
        <r>
          <rPr>
            <sz val="9"/>
            <color indexed="81"/>
            <rFont val="Tahoma"/>
            <family val="2"/>
          </rPr>
          <t xml:space="preserve">
</t>
        </r>
      </text>
    </comment>
    <comment ref="K1063" authorId="0" shapeId="0" xr:uid="{2588DECC-7088-40C0-9FB7-1328A5758A75}">
      <text>
        <r>
          <rPr>
            <sz val="9"/>
            <color indexed="81"/>
            <rFont val="Tahoma"/>
            <family val="2"/>
          </rPr>
          <t>YSO at the source of a dim and beautiful white reflection nebula</t>
        </r>
      </text>
    </comment>
    <comment ref="A1064" authorId="0" shapeId="0" xr:uid="{BA512B29-3437-4E99-9085-9A3592714564}">
      <text>
        <r>
          <rPr>
            <sz val="9"/>
            <color indexed="81"/>
            <rFont val="Tahoma"/>
            <family val="2"/>
          </rPr>
          <t xml:space="preserve">
</t>
        </r>
      </text>
    </comment>
    <comment ref="K1064" authorId="0" shapeId="0" xr:uid="{C1AEB99C-5502-4A85-BA24-29BAF0EC8163}">
      <text>
        <r>
          <rPr>
            <sz val="9"/>
            <color indexed="81"/>
            <rFont val="Tahoma"/>
            <family val="2"/>
          </rPr>
          <t>Beautiful small complex blue PN</t>
        </r>
      </text>
    </comment>
    <comment ref="A1065" authorId="0" shapeId="0" xr:uid="{0D432A86-9FF3-4E8A-81BD-BC8FAED53163}">
      <text>
        <r>
          <rPr>
            <sz val="9"/>
            <color indexed="81"/>
            <rFont val="Tahoma"/>
            <family val="2"/>
          </rPr>
          <t xml:space="preserve">
</t>
        </r>
      </text>
    </comment>
    <comment ref="K1065" authorId="0" shapeId="0" xr:uid="{9F9BB278-745C-430F-9B4E-7A0C317056E3}">
      <text>
        <r>
          <rPr>
            <sz val="9"/>
            <color indexed="81"/>
            <rFont val="Tahoma"/>
            <family val="2"/>
          </rPr>
          <t>Failed attempt to replicate the Hubble Deep field image</t>
        </r>
      </text>
    </comment>
    <comment ref="A1066" authorId="0" shapeId="0" xr:uid="{6E6A080A-4A85-4B1E-8C78-FE59FA70BEBC}">
      <text>
        <r>
          <rPr>
            <sz val="9"/>
            <color indexed="81"/>
            <rFont val="Tahoma"/>
            <family val="2"/>
          </rPr>
          <t xml:space="preserve">
</t>
        </r>
      </text>
    </comment>
    <comment ref="K1066" authorId="0" shapeId="0" xr:uid="{128FC29F-C48E-4C72-BD8D-3552B352B782}">
      <text>
        <r>
          <rPr>
            <sz val="9"/>
            <color indexed="81"/>
            <rFont val="Tahoma"/>
            <family val="2"/>
          </rPr>
          <t xml:space="preserve">The only known starburst galaxy in our Local Group, with many pink HII regions </t>
        </r>
      </text>
    </comment>
    <comment ref="A1067" authorId="0" shapeId="0" xr:uid="{5EE79FD8-1288-4874-BF6A-E2C15A3FDD64}">
      <text>
        <r>
          <rPr>
            <sz val="9"/>
            <color indexed="81"/>
            <rFont val="Tahoma"/>
            <family val="2"/>
          </rPr>
          <t xml:space="preserve">
</t>
        </r>
      </text>
    </comment>
    <comment ref="K1067" authorId="0" shapeId="0" xr:uid="{EA68B866-E0D3-4581-B91E-2D7A7B55CA70}">
      <text>
        <r>
          <rPr>
            <sz val="9"/>
            <color indexed="81"/>
            <rFont val="Tahoma"/>
            <family val="2"/>
          </rPr>
          <t>HII nebula with strong reflection component, resulting in red/purple hue</t>
        </r>
      </text>
    </comment>
    <comment ref="A1068" authorId="0" shapeId="0" xr:uid="{FFE8D837-A1B2-489C-914E-497A0BC04510}">
      <text>
        <r>
          <rPr>
            <sz val="9"/>
            <color indexed="81"/>
            <rFont val="Tahoma"/>
            <family val="2"/>
          </rPr>
          <t xml:space="preserve">
</t>
        </r>
      </text>
    </comment>
    <comment ref="K1068" authorId="0" shapeId="0" xr:uid="{39232EDB-4DF6-4508-B0F8-C31026F5F6B2}">
      <text>
        <r>
          <rPr>
            <sz val="9"/>
            <color indexed="81"/>
            <rFont val="Tahoma"/>
            <family val="2"/>
          </rPr>
          <t>Elliptical galaxy with odd dust lane pattern, probably the result of a recent merger.</t>
        </r>
      </text>
    </comment>
    <comment ref="A1069" authorId="0" shapeId="0" xr:uid="{4120F684-45ED-4013-A28D-9EC5BDE2D3F1}">
      <text>
        <r>
          <rPr>
            <sz val="9"/>
            <color indexed="81"/>
            <rFont val="Tahoma"/>
            <family val="2"/>
          </rPr>
          <t xml:space="preserve">
</t>
        </r>
      </text>
    </comment>
    <comment ref="K1069" authorId="0" shapeId="0" xr:uid="{956A62AF-81B0-477B-B797-E542BF987CE9}">
      <text>
        <r>
          <rPr>
            <sz val="9"/>
            <color indexed="81"/>
            <rFont val="Tahoma"/>
            <family val="2"/>
          </rPr>
          <t>Lovely barred ring spiral with ansae and star plumes in the outer disk</t>
        </r>
      </text>
    </comment>
    <comment ref="A1070" authorId="0" shapeId="0" xr:uid="{8FC8D441-0009-4490-B7DC-4B5645252376}">
      <text>
        <r>
          <rPr>
            <sz val="9"/>
            <color indexed="81"/>
            <rFont val="Tahoma"/>
            <family val="2"/>
          </rPr>
          <t xml:space="preserve">
</t>
        </r>
      </text>
    </comment>
    <comment ref="K1070" authorId="0" shapeId="0" xr:uid="{4C0FDF8B-E059-4D21-9F32-E142E9D948BA}">
      <text>
        <r>
          <rPr>
            <sz val="9"/>
            <color indexed="81"/>
            <rFont val="Tahoma"/>
            <family val="2"/>
          </rPr>
          <t>Huge elliptical with a blue arc halfway around the outer galaxy halo</t>
        </r>
      </text>
    </comment>
    <comment ref="A1071" authorId="0" shapeId="0" xr:uid="{7D979850-7080-45DF-A44F-1ECD3AA482C0}">
      <text>
        <r>
          <rPr>
            <sz val="9"/>
            <color indexed="81"/>
            <rFont val="Tahoma"/>
            <family val="2"/>
          </rPr>
          <t xml:space="preserve">
</t>
        </r>
      </text>
    </comment>
    <comment ref="K1071" authorId="0" shapeId="0" xr:uid="{D2A061DB-6235-4C52-BBA9-34EA9A94D439}">
      <text>
        <r>
          <rPr>
            <sz val="9"/>
            <color indexed="81"/>
            <rFont val="Tahoma"/>
            <family val="2"/>
          </rPr>
          <t>Huge oblong elliptical with many background galaxies nearby</t>
        </r>
      </text>
    </comment>
    <comment ref="A1072" authorId="0" shapeId="0" xr:uid="{2942A1DA-7D19-4C4A-9FC5-EB49321757FB}">
      <text>
        <r>
          <rPr>
            <sz val="9"/>
            <color indexed="81"/>
            <rFont val="Tahoma"/>
            <family val="2"/>
          </rPr>
          <t xml:space="preserve">
</t>
        </r>
      </text>
    </comment>
    <comment ref="K1072" authorId="0" shapeId="0" xr:uid="{A9412FC5-EB0D-4EAE-953A-E317A3E0BDA8}">
      <text>
        <r>
          <rPr>
            <sz val="9"/>
            <color indexed="81"/>
            <rFont val="Tahoma"/>
            <family val="2"/>
          </rPr>
          <t xml:space="preserve">Slightly barred galaxy with star clouds behind a small and colorful Milky Way cluster. </t>
        </r>
      </text>
    </comment>
    <comment ref="A1073" authorId="0" shapeId="0" xr:uid="{43B2DD7C-C548-43BD-ABB3-D90E1B9293F0}">
      <text>
        <r>
          <rPr>
            <sz val="9"/>
            <color indexed="81"/>
            <rFont val="Tahoma"/>
            <family val="2"/>
          </rPr>
          <t xml:space="preserve">
</t>
        </r>
      </text>
    </comment>
    <comment ref="K1073" authorId="0" shapeId="0" xr:uid="{277E6F7F-FF6D-495D-A05E-0FA7F7DAFD19}">
      <text>
        <r>
          <rPr>
            <sz val="9"/>
            <color indexed="81"/>
            <rFont val="Tahoma"/>
            <family val="2"/>
          </rPr>
          <t>Disturbed small barred galaxy with a large star plume and many distant background galaxies</t>
        </r>
      </text>
    </comment>
    <comment ref="A1074" authorId="0" shapeId="0" xr:uid="{CBDBC105-08B8-4B74-81BD-13B89338D104}">
      <text>
        <r>
          <rPr>
            <sz val="9"/>
            <color indexed="81"/>
            <rFont val="Tahoma"/>
            <family val="2"/>
          </rPr>
          <t xml:space="preserve">
</t>
        </r>
      </text>
    </comment>
    <comment ref="K1074" authorId="0" shapeId="0" xr:uid="{F80857B8-48BB-49AA-A7EA-65ACA48AE496}">
      <text>
        <r>
          <rPr>
            <sz val="9"/>
            <color indexed="81"/>
            <rFont val="Tahoma"/>
            <family val="2"/>
          </rPr>
          <t>Small, interesting PN with disrupted bright white torus and visible progenitor.</t>
        </r>
      </text>
    </comment>
    <comment ref="A1075" authorId="0" shapeId="0" xr:uid="{F905B0DA-4563-468C-B209-B07A00776F8D}">
      <text>
        <r>
          <rPr>
            <sz val="9"/>
            <color indexed="81"/>
            <rFont val="Tahoma"/>
            <family val="2"/>
          </rPr>
          <t xml:space="preserve">
</t>
        </r>
      </text>
    </comment>
    <comment ref="K1075" authorId="0" shapeId="0" xr:uid="{207465EE-8325-4309-A375-59DFE6DEE737}">
      <text>
        <r>
          <rPr>
            <sz val="9"/>
            <color indexed="81"/>
            <rFont val="Tahoma"/>
            <family val="2"/>
          </rPr>
          <t>Small edge-on spiral with multiple dark mid-line dust lanes</t>
        </r>
      </text>
    </comment>
    <comment ref="A1076" authorId="0" shapeId="0" xr:uid="{9F6A1408-1476-4FB0-B596-355425AD5A42}">
      <text>
        <r>
          <rPr>
            <sz val="9"/>
            <color indexed="81"/>
            <rFont val="Tahoma"/>
            <family val="2"/>
          </rPr>
          <t xml:space="preserve">
</t>
        </r>
      </text>
    </comment>
    <comment ref="K1076" authorId="0" shapeId="0" xr:uid="{751DC0C0-9BB7-4E39-8E41-0C3A432DE37D}">
      <text>
        <r>
          <rPr>
            <sz val="9"/>
            <color indexed="81"/>
            <rFont val="Tahoma"/>
            <family val="2"/>
          </rPr>
          <t>Looks like a merger between an elliptical and spiral galaxy. Faint star plumes, offset core, and interesting dust lanes.</t>
        </r>
      </text>
    </comment>
    <comment ref="A1077" authorId="0" shapeId="0" xr:uid="{CBF42DA5-F9BF-45A8-A109-7AFFDBD16158}">
      <text>
        <r>
          <rPr>
            <sz val="9"/>
            <color indexed="81"/>
            <rFont val="Tahoma"/>
            <family val="2"/>
          </rPr>
          <t xml:space="preserve">
</t>
        </r>
      </text>
    </comment>
    <comment ref="K1077" authorId="0" shapeId="0" xr:uid="{CB2687B8-6522-48E8-8946-0A92051EC8A9}">
      <text>
        <r>
          <rPr>
            <sz val="9"/>
            <color indexed="81"/>
            <rFont val="Tahoma"/>
            <family val="2"/>
          </rPr>
          <t>Fascinating arm structure, include VV rows, but obscured by Milky Way dust and stars</t>
        </r>
      </text>
    </comment>
    <comment ref="A1078" authorId="0" shapeId="0" xr:uid="{5E2530A6-A770-41E8-8BE9-FAE31C39B070}">
      <text>
        <r>
          <rPr>
            <sz val="9"/>
            <color indexed="81"/>
            <rFont val="Tahoma"/>
            <family val="2"/>
          </rPr>
          <t xml:space="preserve">
</t>
        </r>
      </text>
    </comment>
    <comment ref="K1078" authorId="0" shapeId="0" xr:uid="{6379A977-4D70-4D58-BD8E-4E62D3154D00}">
      <text>
        <r>
          <rPr>
            <sz val="9"/>
            <color indexed="81"/>
            <rFont val="Tahoma"/>
            <family val="2"/>
          </rPr>
          <t>Nice view of colorful star cluster, blue reflection nebula, and 3 Barnard dark nebulae</t>
        </r>
      </text>
    </comment>
    <comment ref="A1079" authorId="0" shapeId="0" xr:uid="{CBB9CA50-9E98-4B3E-827D-28D41DAF8374}">
      <text>
        <r>
          <rPr>
            <sz val="9"/>
            <color indexed="81"/>
            <rFont val="Tahoma"/>
            <family val="2"/>
          </rPr>
          <t xml:space="preserve">
</t>
        </r>
      </text>
    </comment>
    <comment ref="K1079" authorId="0" shapeId="0" xr:uid="{9112BB92-ADD1-4F19-BF87-12A65DC4C526}">
      <text>
        <r>
          <rPr>
            <sz val="9"/>
            <color indexed="81"/>
            <rFont val="Tahoma"/>
            <family val="2"/>
          </rPr>
          <t>Tiny stellar-like PN, but some detail seen in inner region. No progenitor.</t>
        </r>
      </text>
    </comment>
    <comment ref="A1080" authorId="0" shapeId="0" xr:uid="{A6FEAC80-A94F-4CB5-A48E-70E15192A183}">
      <text>
        <r>
          <rPr>
            <sz val="9"/>
            <color indexed="81"/>
            <rFont val="Tahoma"/>
            <family val="2"/>
          </rPr>
          <t xml:space="preserve">
</t>
        </r>
      </text>
    </comment>
    <comment ref="K1080" authorId="0" shapeId="0" xr:uid="{5D59469B-92D1-43B5-8E04-D26BB97E889C}">
      <text>
        <r>
          <rPr>
            <sz val="9"/>
            <color indexed="81"/>
            <rFont val="Tahoma"/>
            <family val="2"/>
          </rPr>
          <t>Tremendous structure and detail for such a small (20,000ly) diameter galaxy.</t>
        </r>
      </text>
    </comment>
    <comment ref="A1081" authorId="0" shapeId="0" xr:uid="{DA279984-7934-4F6F-BD47-E0C824FDF8CE}">
      <text>
        <r>
          <rPr>
            <sz val="9"/>
            <color indexed="81"/>
            <rFont val="Tahoma"/>
            <family val="2"/>
          </rPr>
          <t xml:space="preserve">
</t>
        </r>
      </text>
    </comment>
    <comment ref="K1081" authorId="0" shapeId="0" xr:uid="{2FC273B2-360B-4FB2-B30B-30AFC94756EC}">
      <text>
        <r>
          <rPr>
            <sz val="9"/>
            <color indexed="81"/>
            <rFont val="Tahoma"/>
            <family val="2"/>
          </rPr>
          <t>Beautifully texture nebula with both reflection and emission parts, resulting in red and blue hues at head</t>
        </r>
      </text>
    </comment>
    <comment ref="A1082" authorId="0" shapeId="0" xr:uid="{F56FEFA0-8FAE-4E67-9276-45C9FFFC2512}">
      <text>
        <r>
          <rPr>
            <sz val="9"/>
            <color indexed="81"/>
            <rFont val="Tahoma"/>
            <family val="2"/>
          </rPr>
          <t xml:space="preserve">
</t>
        </r>
      </text>
    </comment>
    <comment ref="K1082" authorId="0" shapeId="0" xr:uid="{6CC04A69-6F3C-4DBF-9814-38E0C794BB4D}">
      <text>
        <r>
          <rPr>
            <sz val="9"/>
            <color indexed="81"/>
            <rFont val="Tahoma"/>
            <family val="2"/>
          </rPr>
          <t>Illuminated by NGC1893 cluster.  Tadpole pillars are 15 ly long.</t>
        </r>
      </text>
    </comment>
    <comment ref="A1083" authorId="0" shapeId="0" xr:uid="{A55C5BB6-2694-4F92-9010-FB43602E8B78}">
      <text>
        <r>
          <rPr>
            <sz val="9"/>
            <color indexed="81"/>
            <rFont val="Tahoma"/>
            <family val="2"/>
          </rPr>
          <t xml:space="preserve">
</t>
        </r>
      </text>
    </comment>
    <comment ref="K1083" authorId="0" shapeId="0" xr:uid="{7A7F87B3-6629-46DF-8AD8-A496B8A6779A}">
      <text>
        <r>
          <rPr>
            <sz val="9"/>
            <color indexed="81"/>
            <rFont val="Tahoma"/>
            <family val="2"/>
          </rPr>
          <t>A grand design spiral and a lenticular dancing a tango prior to their merger.</t>
        </r>
      </text>
    </comment>
    <comment ref="A1084" authorId="0" shapeId="0" xr:uid="{3D698E9F-0E6D-43C7-AFC8-A13EF8FC6F66}">
      <text>
        <r>
          <rPr>
            <sz val="9"/>
            <color indexed="81"/>
            <rFont val="Tahoma"/>
            <family val="2"/>
          </rPr>
          <t xml:space="preserve">
</t>
        </r>
      </text>
    </comment>
    <comment ref="K1084" authorId="0" shapeId="0" xr:uid="{119AE4E7-FCFF-4C3C-BC82-647DCED48D8A}">
      <text>
        <r>
          <rPr>
            <sz val="9"/>
            <color indexed="81"/>
            <rFont val="Tahoma"/>
            <family val="2"/>
          </rPr>
          <t>Tiny asymmetric spiral ring galaxy with offset core and some disturbance.</t>
        </r>
      </text>
    </comment>
    <comment ref="A1085" authorId="0" shapeId="0" xr:uid="{077810B7-8984-4EA7-AE39-927EE9A88FA6}">
      <text>
        <r>
          <rPr>
            <sz val="9"/>
            <color indexed="81"/>
            <rFont val="Tahoma"/>
            <family val="2"/>
          </rPr>
          <t xml:space="preserve">
</t>
        </r>
      </text>
    </comment>
    <comment ref="K1085" authorId="0" shapeId="0" xr:uid="{1F29D1C6-9792-4961-A1FB-F025BE50FB24}">
      <text>
        <r>
          <rPr>
            <sz val="9"/>
            <color indexed="81"/>
            <rFont val="Tahoma"/>
            <family val="2"/>
          </rPr>
          <t>Beautiful complex nebula, with thin dust pillar that is about 1.5 ly long</t>
        </r>
      </text>
    </comment>
    <comment ref="A1086" authorId="0" shapeId="0" xr:uid="{E8836D16-9783-4A75-8C6E-BAF0941A90C2}">
      <text>
        <r>
          <rPr>
            <sz val="9"/>
            <color indexed="81"/>
            <rFont val="Tahoma"/>
            <family val="2"/>
          </rPr>
          <t xml:space="preserve">
</t>
        </r>
      </text>
    </comment>
    <comment ref="K1086" authorId="0" shapeId="0" xr:uid="{488971B8-7527-4E79-A968-1C0EAED889E6}">
      <text>
        <r>
          <rPr>
            <sz val="9"/>
            <color indexed="81"/>
            <rFont val="Tahoma"/>
            <family val="2"/>
          </rPr>
          <t>Tiny stellar-like bright PN, progenitor visible</t>
        </r>
      </text>
    </comment>
    <comment ref="A1087" authorId="0" shapeId="0" xr:uid="{2EC7138D-359F-4F5A-AC19-A356C5355CF9}">
      <text>
        <r>
          <rPr>
            <sz val="9"/>
            <color indexed="81"/>
            <rFont val="Tahoma"/>
            <family val="2"/>
          </rPr>
          <t xml:space="preserve">
</t>
        </r>
      </text>
    </comment>
    <comment ref="K1087" authorId="0" shapeId="0" xr:uid="{8706D737-B56D-4598-A0C9-931DB2402123}">
      <text>
        <r>
          <rPr>
            <sz val="9"/>
            <color indexed="81"/>
            <rFont val="Tahoma"/>
            <family val="2"/>
          </rPr>
          <t>Disturbed faint face-on barred spiral, with broken arms and a few nearby companions.</t>
        </r>
      </text>
    </comment>
    <comment ref="A1088" authorId="0" shapeId="0" xr:uid="{9E32A761-F696-43C3-B5F8-6698E175B3A3}">
      <text>
        <r>
          <rPr>
            <sz val="9"/>
            <color indexed="81"/>
            <rFont val="Tahoma"/>
            <family val="2"/>
          </rPr>
          <t xml:space="preserve">
</t>
        </r>
      </text>
    </comment>
    <comment ref="K1088" authorId="0" shapeId="0" xr:uid="{E0C9D335-6801-4620-8032-89160E5A5929}">
      <text>
        <r>
          <rPr>
            <sz val="9"/>
            <color indexed="81"/>
            <rFont val="Tahoma"/>
            <family val="2"/>
          </rPr>
          <t>Colorful reflection nebula, illuminated by the bright stars in Orion's Belt.</t>
        </r>
      </text>
    </comment>
    <comment ref="A1089" authorId="0" shapeId="0" xr:uid="{E840931C-799D-4310-BA08-85440B0A0CA5}">
      <text>
        <r>
          <rPr>
            <sz val="9"/>
            <color indexed="81"/>
            <rFont val="Tahoma"/>
            <family val="2"/>
          </rPr>
          <t xml:space="preserve">
</t>
        </r>
      </text>
    </comment>
    <comment ref="K1089" authorId="0" shapeId="0" xr:uid="{43F9E7CA-D629-41ED-9703-C92A1DCA3B25}">
      <text>
        <r>
          <rPr>
            <sz val="9"/>
            <color indexed="81"/>
            <rFont val="Tahoma"/>
            <family val="2"/>
          </rPr>
          <t xml:space="preserve">The most recognized dark nebula in the sky, silhouetted by a curtain of red HII signal. </t>
        </r>
      </text>
    </comment>
    <comment ref="A1090" authorId="0" shapeId="0" xr:uid="{42191D37-3131-424C-8E97-9C32044009BE}">
      <text>
        <r>
          <rPr>
            <sz val="9"/>
            <color indexed="81"/>
            <rFont val="Tahoma"/>
            <family val="2"/>
          </rPr>
          <t xml:space="preserve">
</t>
        </r>
      </text>
    </comment>
    <comment ref="K1090" authorId="0" shapeId="0" xr:uid="{8CD287FC-326F-45E7-A16A-2926E503A69C}">
      <text>
        <r>
          <rPr>
            <sz val="9"/>
            <color indexed="81"/>
            <rFont val="Tahoma"/>
            <family val="2"/>
          </rPr>
          <t>Beautiful complex SNR, consisting of 2 shells and an obscuring molecular cloud</t>
        </r>
      </text>
    </comment>
    <comment ref="A1091" authorId="0" shapeId="0" xr:uid="{9465922B-F32E-4B1B-8E57-B288FC8B8F5F}">
      <text>
        <r>
          <rPr>
            <sz val="9"/>
            <color indexed="81"/>
            <rFont val="Tahoma"/>
            <family val="2"/>
          </rPr>
          <t xml:space="preserve">
</t>
        </r>
      </text>
    </comment>
    <comment ref="K1091" authorId="0" shapeId="0" xr:uid="{73A28783-2830-4B3D-852D-143B13A2AC61}">
      <text>
        <r>
          <rPr>
            <sz val="9"/>
            <color indexed="81"/>
            <rFont val="Tahoma"/>
            <family val="2"/>
          </rPr>
          <t>Small textured reflection nebula that also has an emission component.</t>
        </r>
      </text>
    </comment>
    <comment ref="A1092" authorId="0" shapeId="0" xr:uid="{A04F4195-B3B6-4179-A3BA-08E5B3328EB4}">
      <text>
        <r>
          <rPr>
            <sz val="9"/>
            <color indexed="81"/>
            <rFont val="Tahoma"/>
            <family val="2"/>
          </rPr>
          <t xml:space="preserve">
</t>
        </r>
      </text>
    </comment>
    <comment ref="K1092" authorId="0" shapeId="0" xr:uid="{C3F934D7-8A63-427C-99C4-09B66EB025FF}">
      <text>
        <r>
          <rPr>
            <sz val="9"/>
            <color indexed="81"/>
            <rFont val="Tahoma"/>
            <family val="2"/>
          </rPr>
          <t xml:space="preserve">Lovely blue reflection nebula adjacent to intense dark nebulae  </t>
        </r>
      </text>
    </comment>
    <comment ref="A1093" authorId="0" shapeId="0" xr:uid="{41B86323-EF2E-41AE-B1E7-1F67BE2EFE33}">
      <text>
        <r>
          <rPr>
            <sz val="9"/>
            <color indexed="81"/>
            <rFont val="Tahoma"/>
            <family val="2"/>
          </rPr>
          <t xml:space="preserve">
</t>
        </r>
      </text>
    </comment>
    <comment ref="K1093" authorId="0" shapeId="0" xr:uid="{D6280143-8BC1-4684-8743-EE74ED14F70D}">
      <text>
        <r>
          <rPr>
            <sz val="9"/>
            <color indexed="81"/>
            <rFont val="Tahoma"/>
            <family val="2"/>
          </rPr>
          <t>Medium sized, slightly disturbed spiral with a bit of a bar</t>
        </r>
      </text>
    </comment>
    <comment ref="A1094" authorId="0" shapeId="0" xr:uid="{536B4D12-058E-4F9A-914E-32668EA17CB9}">
      <text>
        <r>
          <rPr>
            <sz val="9"/>
            <color indexed="81"/>
            <rFont val="Tahoma"/>
            <family val="2"/>
          </rPr>
          <t xml:space="preserve">
</t>
        </r>
      </text>
    </comment>
    <comment ref="K1094" authorId="0" shapeId="0" xr:uid="{47D7E872-5EA7-4B5B-A93A-6CAB0DD53B47}">
      <text>
        <r>
          <rPr>
            <sz val="9"/>
            <color indexed="81"/>
            <rFont val="Tahoma"/>
            <family val="2"/>
          </rPr>
          <t>Graceful faint spiral with delicate arms that extend out 2 revolutions</t>
        </r>
      </text>
    </comment>
    <comment ref="A1095" authorId="0" shapeId="0" xr:uid="{83C58794-BDC3-4E24-B981-373CE509ABE7}">
      <text>
        <r>
          <rPr>
            <sz val="9"/>
            <color indexed="81"/>
            <rFont val="Tahoma"/>
            <family val="2"/>
          </rPr>
          <t xml:space="preserve">
</t>
        </r>
      </text>
    </comment>
    <comment ref="K1095" authorId="0" shapeId="0" xr:uid="{F19E3F73-0315-4C50-896B-73DC21B2B700}">
      <text>
        <r>
          <rPr>
            <sz val="9"/>
            <color indexed="81"/>
            <rFont val="Tahoma"/>
            <family val="2"/>
          </rPr>
          <t>Beautiful grand design spiral with VV rows, bright star clouds and some disturbance</t>
        </r>
      </text>
    </comment>
    <comment ref="A1096" authorId="0" shapeId="0" xr:uid="{DA6FDE0E-6879-4F30-8BA0-8CD300CDDEA3}">
      <text>
        <r>
          <rPr>
            <sz val="9"/>
            <color indexed="81"/>
            <rFont val="Tahoma"/>
            <family val="2"/>
          </rPr>
          <t xml:space="preserve">
</t>
        </r>
      </text>
    </comment>
    <comment ref="K1096" authorId="0" shapeId="0" xr:uid="{19C5DA8E-E1E6-4FD6-AC9D-C12119A108F8}">
      <text>
        <r>
          <rPr>
            <sz val="9"/>
            <color indexed="81"/>
            <rFont val="Tahoma"/>
            <family val="2"/>
          </rPr>
          <t>Striking star stream loop from an elliptical</t>
        </r>
      </text>
    </comment>
    <comment ref="A1097" authorId="0" shapeId="0" xr:uid="{1DFA8F0A-07C9-4970-BE13-11D5B42874BF}">
      <text>
        <r>
          <rPr>
            <sz val="9"/>
            <color indexed="81"/>
            <rFont val="Tahoma"/>
            <family val="2"/>
          </rPr>
          <t xml:space="preserve">
</t>
        </r>
      </text>
    </comment>
    <comment ref="K1097" authorId="0" shapeId="0" xr:uid="{C785A4BA-BC35-424F-8E78-D8E474AE680D}">
      <text>
        <r>
          <rPr>
            <sz val="9"/>
            <color indexed="81"/>
            <rFont val="Tahoma"/>
            <family val="2"/>
          </rPr>
          <t>Ring spiral galaxy</t>
        </r>
      </text>
    </comment>
    <comment ref="A1098" authorId="0" shapeId="0" xr:uid="{7AB6E56B-C32D-40E6-A905-02E32E265AD9}">
      <text>
        <r>
          <rPr>
            <sz val="9"/>
            <color indexed="81"/>
            <rFont val="Tahoma"/>
            <family val="2"/>
          </rPr>
          <t xml:space="preserve">
</t>
        </r>
      </text>
    </comment>
    <comment ref="K1098" authorId="0" shapeId="0" xr:uid="{F5DDF2E2-AB56-48CE-884E-7441CA599560}">
      <text>
        <r>
          <rPr>
            <sz val="9"/>
            <color indexed="81"/>
            <rFont val="Tahoma"/>
            <family val="2"/>
          </rPr>
          <t>Yellow barred core, blue disk, and some pink HII regions. Crazy looking arms.</t>
        </r>
      </text>
    </comment>
    <comment ref="A1099" authorId="0" shapeId="0" xr:uid="{F211C1C2-BEFA-4CF0-BEBB-459119FAB497}">
      <text>
        <r>
          <rPr>
            <sz val="9"/>
            <color indexed="81"/>
            <rFont val="Tahoma"/>
            <family val="2"/>
          </rPr>
          <t xml:space="preserve">
</t>
        </r>
      </text>
    </comment>
    <comment ref="K1099" authorId="0" shapeId="0" xr:uid="{FF59F814-6B62-46BD-BFB5-42DAD1FA7527}">
      <text>
        <r>
          <rPr>
            <sz val="9"/>
            <color indexed="81"/>
            <rFont val="Tahoma"/>
            <family val="2"/>
          </rPr>
          <t>Yellow disk with strong dust lanes and mottled arms in the spiral disk</t>
        </r>
      </text>
    </comment>
    <comment ref="A1100" authorId="0" shapeId="0" xr:uid="{7C924B9D-04FF-406A-A4F6-44075CC682CD}">
      <text>
        <r>
          <rPr>
            <sz val="9"/>
            <color indexed="81"/>
            <rFont val="Tahoma"/>
            <family val="2"/>
          </rPr>
          <t xml:space="preserve">
</t>
        </r>
      </text>
    </comment>
    <comment ref="K1100" authorId="0" shapeId="0" xr:uid="{EA329E6B-04EE-493B-BB23-D965F57A642B}">
      <text>
        <r>
          <rPr>
            <sz val="9"/>
            <color indexed="81"/>
            <rFont val="Tahoma"/>
            <family val="2"/>
          </rPr>
          <t>Barred spiral with bright inner ring and faint outer disk</t>
        </r>
      </text>
    </comment>
    <comment ref="A1101" authorId="0" shapeId="0" xr:uid="{DECB7971-1306-449F-8EF1-A9DE8678763D}">
      <text>
        <r>
          <rPr>
            <sz val="9"/>
            <color indexed="81"/>
            <rFont val="Tahoma"/>
            <family val="2"/>
          </rPr>
          <t xml:space="preserve">
</t>
        </r>
      </text>
    </comment>
    <comment ref="K1101" authorId="0" shapeId="0" xr:uid="{3CD97FD6-DA2C-4582-9E2C-8D7A39748BC4}">
      <text>
        <r>
          <rPr>
            <sz val="9"/>
            <color indexed="81"/>
            <rFont val="Tahoma"/>
            <family val="2"/>
          </rPr>
          <t>Distant merging galaxy trio with bridges and looping star streams</t>
        </r>
      </text>
    </comment>
    <comment ref="A1102" authorId="0" shapeId="0" xr:uid="{325D55C1-4E75-4EFD-BBB9-EAB45AD08834}">
      <text>
        <r>
          <rPr>
            <sz val="9"/>
            <color indexed="81"/>
            <rFont val="Tahoma"/>
            <family val="2"/>
          </rPr>
          <t xml:space="preserve">
</t>
        </r>
      </text>
    </comment>
    <comment ref="K1102" authorId="0" shapeId="0" xr:uid="{32AC71CC-EB48-4CB9-93AF-FF784376C702}">
      <text>
        <r>
          <rPr>
            <sz val="9"/>
            <color indexed="81"/>
            <rFont val="Tahoma"/>
            <family val="2"/>
          </rPr>
          <t>Yellow edge-on spiral with bright core and no bulge</t>
        </r>
      </text>
    </comment>
    <comment ref="A1103" authorId="0" shapeId="0" xr:uid="{6852087D-E1CB-40DE-9A62-AE48D039FBBC}">
      <text>
        <r>
          <rPr>
            <sz val="9"/>
            <color indexed="81"/>
            <rFont val="Tahoma"/>
            <family val="2"/>
          </rPr>
          <t xml:space="preserve">
</t>
        </r>
      </text>
    </comment>
    <comment ref="K1103" authorId="0" shapeId="0" xr:uid="{C3F664A4-237B-47C4-8C74-40D27670C9F9}">
      <text>
        <r>
          <rPr>
            <sz val="9"/>
            <color indexed="81"/>
            <rFont val="Tahoma"/>
            <family val="2"/>
          </rPr>
          <t>Spectacular slightly barred grand design spiral with blue star clouds and arms which extend out 270 degrees</t>
        </r>
      </text>
    </comment>
    <comment ref="A1104" authorId="0" shapeId="0" xr:uid="{EDAFC966-28E4-44C2-967B-2B702609B039}">
      <text>
        <r>
          <rPr>
            <sz val="9"/>
            <color indexed="81"/>
            <rFont val="Tahoma"/>
            <family val="2"/>
          </rPr>
          <t xml:space="preserve">
</t>
        </r>
      </text>
    </comment>
    <comment ref="K1104" authorId="0" shapeId="0" xr:uid="{3D8C9D2E-3E90-49AA-8EDD-FD87C4251BD4}">
      <text>
        <r>
          <rPr>
            <sz val="9"/>
            <color indexed="81"/>
            <rFont val="Tahoma"/>
            <family val="2"/>
          </rPr>
          <t>4 small but bright galaxies which are a true group but not close enough to be disturbing each other.</t>
        </r>
      </text>
    </comment>
    <comment ref="A1105" authorId="0" shapeId="0" xr:uid="{54FD8F09-5421-4FD2-B0CF-60A4DA700AE3}">
      <text>
        <r>
          <rPr>
            <sz val="9"/>
            <color indexed="81"/>
            <rFont val="Tahoma"/>
            <family val="2"/>
          </rPr>
          <t xml:space="preserve">
</t>
        </r>
      </text>
    </comment>
    <comment ref="K1105" authorId="0" shapeId="0" xr:uid="{E2E73B5A-9D8F-4067-B250-3020AC948BE9}">
      <text>
        <r>
          <rPr>
            <sz val="9"/>
            <color indexed="81"/>
            <rFont val="Tahoma"/>
            <family val="2"/>
          </rPr>
          <t>Controversial Arp "jet" galaxy which has a tail but no jet in this image</t>
        </r>
      </text>
    </comment>
    <comment ref="A1106" authorId="0" shapeId="0" xr:uid="{CD80F6EF-EC48-4764-B9A7-E1C6CF560962}">
      <text>
        <r>
          <rPr>
            <sz val="9"/>
            <color indexed="81"/>
            <rFont val="Tahoma"/>
            <family val="2"/>
          </rPr>
          <t xml:space="preserve">
</t>
        </r>
      </text>
    </comment>
    <comment ref="K1106" authorId="0" shapeId="0" xr:uid="{C5B3760B-9FBA-4666-8DE8-AAAF6C676115}">
      <text>
        <r>
          <rPr>
            <sz val="9"/>
            <color indexed="81"/>
            <rFont val="Tahoma"/>
            <family val="2"/>
          </rPr>
          <t>Pair of ellipticals amongst many other background galaxies</t>
        </r>
      </text>
    </comment>
    <comment ref="A1107" authorId="0" shapeId="0" xr:uid="{19D72F87-D203-46B1-85E3-C5867FD2C089}">
      <text>
        <r>
          <rPr>
            <sz val="9"/>
            <color indexed="81"/>
            <rFont val="Tahoma"/>
            <family val="2"/>
          </rPr>
          <t xml:space="preserve">
</t>
        </r>
      </text>
    </comment>
    <comment ref="K1107" authorId="0" shapeId="0" xr:uid="{4034767A-89A9-4DD0-B4CF-CF22C19374C9}">
      <text>
        <r>
          <rPr>
            <sz val="9"/>
            <color indexed="81"/>
            <rFont val="Tahoma"/>
            <family val="2"/>
          </rPr>
          <t>Very dispersed globular cluster</t>
        </r>
      </text>
    </comment>
    <comment ref="A1108" authorId="0" shapeId="0" xr:uid="{9B79797D-DB2B-43C6-B2D0-0B22FE211ABB}">
      <text>
        <r>
          <rPr>
            <sz val="9"/>
            <color indexed="81"/>
            <rFont val="Tahoma"/>
            <family val="2"/>
          </rPr>
          <t xml:space="preserve">
</t>
        </r>
      </text>
    </comment>
    <comment ref="K1108" authorId="0" shapeId="0" xr:uid="{6B75D5E4-7DC0-41F7-8D89-CA38D9E42F6F}">
      <text>
        <r>
          <rPr>
            <sz val="9"/>
            <color indexed="81"/>
            <rFont val="Tahoma"/>
            <family val="2"/>
          </rPr>
          <t>Beautiful odd shaped Magellanic galaxy with many blue star clouds</t>
        </r>
      </text>
    </comment>
    <comment ref="A1109" authorId="0" shapeId="0" xr:uid="{89B77DE5-6F79-425B-8A03-1DAD8A90F152}">
      <text>
        <r>
          <rPr>
            <sz val="9"/>
            <color indexed="81"/>
            <rFont val="Tahoma"/>
            <family val="2"/>
          </rPr>
          <t xml:space="preserve">
</t>
        </r>
      </text>
    </comment>
    <comment ref="K1109" authorId="0" shapeId="0" xr:uid="{367D1278-C400-4052-9FFB-B1E5B05D8463}">
      <text>
        <r>
          <rPr>
            <sz val="9"/>
            <color indexed="81"/>
            <rFont val="Tahoma"/>
            <family val="2"/>
          </rPr>
          <t>Delicate M97-type PN, strong OIII with voids and a thin rim</t>
        </r>
      </text>
    </comment>
    <comment ref="A1110" authorId="0" shapeId="0" xr:uid="{625FBA41-C24D-4EF4-B560-3047223863A0}">
      <text>
        <r>
          <rPr>
            <sz val="9"/>
            <color indexed="81"/>
            <rFont val="Tahoma"/>
            <family val="2"/>
          </rPr>
          <t xml:space="preserve">
</t>
        </r>
      </text>
    </comment>
    <comment ref="K1110" authorId="0" shapeId="0" xr:uid="{F5A72890-67CC-4485-A64E-61B1B0BE169B}">
      <text>
        <r>
          <rPr>
            <sz val="9"/>
            <color indexed="81"/>
            <rFont val="Tahoma"/>
            <family val="2"/>
          </rPr>
          <t>Nice full narrowband object, with cluster NGC6910</t>
        </r>
      </text>
    </comment>
    <comment ref="A1111" authorId="0" shapeId="0" xr:uid="{18497589-7660-4B8A-806D-2EB6A8DEF67E}">
      <text>
        <r>
          <rPr>
            <sz val="9"/>
            <color indexed="81"/>
            <rFont val="Tahoma"/>
            <family val="2"/>
          </rPr>
          <t xml:space="preserve">
</t>
        </r>
      </text>
    </comment>
    <comment ref="K1111" authorId="0" shapeId="0" xr:uid="{B7BCE3CA-8ACD-44C7-831F-175EE2EF978D}">
      <text>
        <r>
          <rPr>
            <sz val="9"/>
            <color indexed="81"/>
            <rFont val="Tahoma"/>
            <family val="2"/>
          </rPr>
          <t>Large HII region with small dark nebulae in foreground</t>
        </r>
      </text>
    </comment>
    <comment ref="A1112" authorId="0" shapeId="0" xr:uid="{43B40E55-1F78-4923-9C8C-979C2D1A458D}">
      <text>
        <r>
          <rPr>
            <sz val="9"/>
            <color indexed="81"/>
            <rFont val="Tahoma"/>
            <family val="2"/>
          </rPr>
          <t xml:space="preserve">
</t>
        </r>
      </text>
    </comment>
    <comment ref="K1112" authorId="0" shapeId="0" xr:uid="{9AFDB50E-1955-400D-AC82-649BD31C7B6C}">
      <text>
        <r>
          <rPr>
            <sz val="9"/>
            <color indexed="81"/>
            <rFont val="Tahoma"/>
            <family val="2"/>
          </rPr>
          <t>Moderate open cluster, doesn't stand out from background</t>
        </r>
      </text>
    </comment>
    <comment ref="A1113" authorId="0" shapeId="0" xr:uid="{67910FDC-BFEF-4F6B-B4CA-1A1C76D990FA}">
      <text>
        <r>
          <rPr>
            <sz val="9"/>
            <color indexed="81"/>
            <rFont val="Tahoma"/>
            <family val="2"/>
          </rPr>
          <t xml:space="preserve">
</t>
        </r>
      </text>
    </comment>
    <comment ref="K1113" authorId="0" shapeId="0" xr:uid="{BFFDC651-20FD-4251-AB10-9A3E10108CF8}">
      <text>
        <r>
          <rPr>
            <sz val="9"/>
            <color indexed="81"/>
            <rFont val="Tahoma"/>
            <family val="2"/>
          </rPr>
          <t>Small line-of-sight chain of 5 galaxies</t>
        </r>
      </text>
    </comment>
    <comment ref="A1114" authorId="0" shapeId="0" xr:uid="{9044ACA0-93AE-4869-A26E-E01B074763A6}">
      <text>
        <r>
          <rPr>
            <sz val="9"/>
            <color indexed="81"/>
            <rFont val="Tahoma"/>
            <family val="2"/>
          </rPr>
          <t xml:space="preserve">
</t>
        </r>
      </text>
    </comment>
    <comment ref="K1114" authorId="0" shapeId="0" xr:uid="{C9C8410A-4D6E-4560-940E-7AB5B5BF621F}">
      <text>
        <r>
          <rPr>
            <sz val="9"/>
            <color indexed="81"/>
            <rFont val="Tahoma"/>
            <family val="2"/>
          </rPr>
          <t>Beautiful emission nebula and star cluster.  Main trunk is 20 ly long.  Nice narrowband target</t>
        </r>
      </text>
    </comment>
    <comment ref="A1115" authorId="0" shapeId="0" xr:uid="{3529326C-AFD6-4F5A-BC0A-960EC03F1413}">
      <text>
        <r>
          <rPr>
            <sz val="9"/>
            <color indexed="81"/>
            <rFont val="Tahoma"/>
            <family val="2"/>
          </rPr>
          <t xml:space="preserve">
</t>
        </r>
      </text>
    </comment>
    <comment ref="K1115" authorId="0" shapeId="0" xr:uid="{B408EF34-5CA3-4E42-9D78-9CD3B4153264}">
      <text>
        <r>
          <rPr>
            <sz val="9"/>
            <color indexed="81"/>
            <rFont val="Tahoma"/>
            <family val="2"/>
          </rPr>
          <t>Bright edge-on spiral, also called PGC 1076468, in a group of unrelated galaxies.</t>
        </r>
      </text>
    </comment>
    <comment ref="A1116" authorId="0" shapeId="0" xr:uid="{86647B4A-2A7C-4D57-9A5A-5714DF8131E3}">
      <text>
        <r>
          <rPr>
            <sz val="9"/>
            <color indexed="81"/>
            <rFont val="Tahoma"/>
            <family val="2"/>
          </rPr>
          <t xml:space="preserve">
</t>
        </r>
      </text>
    </comment>
    <comment ref="K1116" authorId="0" shapeId="0" xr:uid="{31FECC41-8C18-4FFC-A2A3-A8ABB0D4D3C7}">
      <text>
        <r>
          <rPr>
            <sz val="9"/>
            <color indexed="81"/>
            <rFont val="Tahoma"/>
            <family val="2"/>
          </rPr>
          <t>2 distant galaxies connected with a star stream bridge, with a long tail.</t>
        </r>
      </text>
    </comment>
    <comment ref="A1117" authorId="0" shapeId="0" xr:uid="{FAE78D08-8B1D-46CD-BCC6-A4D39375CA32}">
      <text>
        <r>
          <rPr>
            <sz val="9"/>
            <color indexed="81"/>
            <rFont val="Tahoma"/>
            <family val="2"/>
          </rPr>
          <t xml:space="preserve">
</t>
        </r>
      </text>
    </comment>
    <comment ref="K1117" authorId="0" shapeId="0" xr:uid="{1E4327E5-3AD0-43C1-8902-6B840F6D5D13}">
      <text>
        <r>
          <rPr>
            <sz val="9"/>
            <color indexed="81"/>
            <rFont val="Tahoma"/>
            <family val="2"/>
          </rPr>
          <t>Barred face-on double ring galaxy, with several nearby galaxies</t>
        </r>
      </text>
    </comment>
    <comment ref="A1118" authorId="0" shapeId="0" xr:uid="{151BA4D5-65B2-4C4A-B5BE-427B28C0B463}">
      <text>
        <r>
          <rPr>
            <sz val="9"/>
            <color indexed="81"/>
            <rFont val="Tahoma"/>
            <family val="2"/>
          </rPr>
          <t xml:space="preserve">
</t>
        </r>
      </text>
    </comment>
    <comment ref="K1118" authorId="0" shapeId="0" xr:uid="{EB7BD5EF-5476-4730-ACD6-A0093789E6D3}">
      <text>
        <r>
          <rPr>
            <sz val="9"/>
            <color indexed="81"/>
            <rFont val="Tahoma"/>
            <family val="2"/>
          </rPr>
          <t>2 edge-on spirals, possibly connected with a star stream bridge</t>
        </r>
      </text>
    </comment>
    <comment ref="A1119" authorId="0" shapeId="0" xr:uid="{97D9BDA8-9F18-467F-93E7-3D5DB2440190}">
      <text>
        <r>
          <rPr>
            <sz val="9"/>
            <color indexed="81"/>
            <rFont val="Tahoma"/>
            <family val="2"/>
          </rPr>
          <t xml:space="preserve">
</t>
        </r>
      </text>
    </comment>
    <comment ref="K1119" authorId="0" shapeId="0" xr:uid="{6A90C5DC-2576-4BA8-8B38-99355AC35128}">
      <text>
        <r>
          <rPr>
            <sz val="9"/>
            <color indexed="81"/>
            <rFont val="Tahoma"/>
            <family val="2"/>
          </rPr>
          <t>Contrasting yellow and blue pair of interacting galaxies, engulfed in a common star stream halo.</t>
        </r>
      </text>
    </comment>
    <comment ref="A1120" authorId="0" shapeId="0" xr:uid="{6C020648-F43B-45E0-8A40-6CDCF47BBA95}">
      <text>
        <r>
          <rPr>
            <sz val="9"/>
            <color indexed="81"/>
            <rFont val="Tahoma"/>
            <family val="2"/>
          </rPr>
          <t xml:space="preserve">
</t>
        </r>
      </text>
    </comment>
    <comment ref="K1120" authorId="0" shapeId="0" xr:uid="{4B244857-6096-4117-BAA3-11594C8C807B}">
      <text>
        <r>
          <rPr>
            <sz val="9"/>
            <color indexed="81"/>
            <rFont val="Tahoma"/>
            <family val="2"/>
          </rPr>
          <t>Seyfert barred spiral with bright ansae at each bar end</t>
        </r>
      </text>
    </comment>
    <comment ref="A1121" authorId="0" shapeId="0" xr:uid="{4FE5829E-5952-4902-BE36-884CD38E465D}">
      <text>
        <r>
          <rPr>
            <sz val="9"/>
            <color indexed="81"/>
            <rFont val="Tahoma"/>
            <family val="2"/>
          </rPr>
          <t xml:space="preserve">
</t>
        </r>
      </text>
    </comment>
    <comment ref="K1121" authorId="0" shapeId="0" xr:uid="{5CAA1F43-15CD-4181-8DB2-3DC436A6BD63}">
      <text>
        <r>
          <rPr>
            <sz val="9"/>
            <color indexed="81"/>
            <rFont val="Tahoma"/>
            <family val="2"/>
          </rPr>
          <t>Well disturbed spiral with several companion candidates and faint extended star plumes</t>
        </r>
      </text>
    </comment>
    <comment ref="A1122" authorId="0" shapeId="0" xr:uid="{8D28E8BA-40A1-4A57-9D5A-154FE1B5F4B8}">
      <text>
        <r>
          <rPr>
            <sz val="9"/>
            <color indexed="81"/>
            <rFont val="Tahoma"/>
            <family val="2"/>
          </rPr>
          <t xml:space="preserve">
</t>
        </r>
      </text>
    </comment>
    <comment ref="K1122" authorId="0" shapeId="0" xr:uid="{10518FCB-869A-4A18-9D8F-1E79C30573E8}">
      <text>
        <r>
          <rPr>
            <sz val="9"/>
            <color indexed="81"/>
            <rFont val="Tahoma"/>
            <family val="2"/>
          </rPr>
          <t>Pair of merging galaxies with merged core and 500,000 ly of star stream tails.</t>
        </r>
      </text>
    </comment>
    <comment ref="A1123" authorId="0" shapeId="0" xr:uid="{D4E6166B-CA74-4C39-A6E4-72C120732BB1}">
      <text>
        <r>
          <rPr>
            <sz val="9"/>
            <color indexed="81"/>
            <rFont val="Tahoma"/>
            <family val="2"/>
          </rPr>
          <t xml:space="preserve">
</t>
        </r>
      </text>
    </comment>
    <comment ref="K1123" authorId="0" shapeId="0" xr:uid="{48F9AFC1-926D-498F-88AD-5D4B31071CDE}">
      <text>
        <r>
          <rPr>
            <sz val="9"/>
            <color indexed="81"/>
            <rFont val="Tahoma"/>
            <family val="2"/>
          </rPr>
          <t>Close galaxy, bright in magnitude, and spread out.  HII regions and resolved stars are seen</t>
        </r>
      </text>
    </comment>
    <comment ref="A1124" authorId="0" shapeId="0" xr:uid="{592547A5-85DA-42F6-865D-9707398EB31E}">
      <text>
        <r>
          <rPr>
            <sz val="9"/>
            <color indexed="81"/>
            <rFont val="Tahoma"/>
            <family val="2"/>
          </rPr>
          <t xml:space="preserve">
</t>
        </r>
      </text>
    </comment>
    <comment ref="K1124" authorId="0" shapeId="0" xr:uid="{C279BC42-FB98-4155-8C82-EA38CF8B8589}">
      <text>
        <r>
          <rPr>
            <sz val="9"/>
            <color indexed="81"/>
            <rFont val="Tahoma"/>
            <family val="2"/>
          </rPr>
          <t>Looks like Magellanic galaxy, with white bar and blue star clouds</t>
        </r>
      </text>
    </comment>
    <comment ref="A1125" authorId="0" shapeId="0" xr:uid="{463A1384-5AEA-4387-B8B1-DBC454E21F73}">
      <text>
        <r>
          <rPr>
            <sz val="9"/>
            <color indexed="81"/>
            <rFont val="Tahoma"/>
            <family val="2"/>
          </rPr>
          <t xml:space="preserve">
</t>
        </r>
      </text>
    </comment>
    <comment ref="K1125" authorId="0" shapeId="0" xr:uid="{398AAA53-724E-4FC4-8665-0082A8BC8976}">
      <text>
        <r>
          <rPr>
            <sz val="9"/>
            <color indexed="81"/>
            <rFont val="Tahoma"/>
            <family val="2"/>
          </rPr>
          <t>Small with nice inner detail, OIII dominated, progenitor seen.</t>
        </r>
      </text>
    </comment>
    <comment ref="A1126" authorId="0" shapeId="0" xr:uid="{A86C1A24-7623-4D1A-A1DB-FF3F01D302BC}">
      <text>
        <r>
          <rPr>
            <sz val="9"/>
            <color indexed="81"/>
            <rFont val="Tahoma"/>
            <family val="2"/>
          </rPr>
          <t xml:space="preserve">
</t>
        </r>
      </text>
    </comment>
    <comment ref="K1126" authorId="0" shapeId="0" xr:uid="{EB7DDB51-3382-44E1-9B5A-818E0797936D}">
      <text>
        <r>
          <rPr>
            <sz val="9"/>
            <color indexed="81"/>
            <rFont val="Tahoma"/>
            <family val="2"/>
          </rPr>
          <t>Emission nebula with dark dust lanes, glowing gas fronts and young massive stars</t>
        </r>
      </text>
    </comment>
    <comment ref="A1127" authorId="0" shapeId="0" xr:uid="{3C645C98-54DD-4221-9537-24BC8F35B81B}">
      <text>
        <r>
          <rPr>
            <sz val="9"/>
            <color indexed="81"/>
            <rFont val="Tahoma"/>
            <family val="2"/>
          </rPr>
          <t xml:space="preserve">
</t>
        </r>
      </text>
    </comment>
    <comment ref="K1127" authorId="0" shapeId="0" xr:uid="{CD48E957-160A-4C9F-BF39-48A3B8CE89DE}">
      <text>
        <r>
          <rPr>
            <sz val="9"/>
            <color indexed="81"/>
            <rFont val="Tahoma"/>
            <family val="2"/>
          </rPr>
          <t>Showy mix of bright stars, glowing interstellar gas and dark dust clouds.</t>
        </r>
      </text>
    </comment>
    <comment ref="A1128" authorId="0" shapeId="0" xr:uid="{3E92EA81-0BFB-48F6-A3A7-9D5C8AAFE515}">
      <text>
        <r>
          <rPr>
            <sz val="9"/>
            <color indexed="81"/>
            <rFont val="Tahoma"/>
            <family val="2"/>
          </rPr>
          <t xml:space="preserve">
</t>
        </r>
      </text>
    </comment>
    <comment ref="K1128" authorId="0" shapeId="0" xr:uid="{44AB62AB-66B4-41EB-98B3-EAFE21A50E75}">
      <text>
        <r>
          <rPr>
            <sz val="9"/>
            <color indexed="81"/>
            <rFont val="Tahoma"/>
            <family val="2"/>
          </rPr>
          <t>Lenticular with bright inner region</t>
        </r>
      </text>
    </comment>
    <comment ref="A1129" authorId="0" shapeId="0" xr:uid="{05372915-BADD-4DC3-97C5-835ACBE1D3B6}">
      <text>
        <r>
          <rPr>
            <sz val="9"/>
            <color indexed="81"/>
            <rFont val="Tahoma"/>
            <family val="2"/>
          </rPr>
          <t xml:space="preserve">
</t>
        </r>
      </text>
    </comment>
    <comment ref="K1129" authorId="0" shapeId="0" xr:uid="{CD9612CF-A8CE-49F8-97CB-20410E19D7EC}">
      <text>
        <r>
          <rPr>
            <sz val="9"/>
            <color indexed="81"/>
            <rFont val="Tahoma"/>
            <family val="2"/>
          </rPr>
          <t>Star cluster with 2 showcase emission nebula lobes and many dark nebulae</t>
        </r>
      </text>
    </comment>
    <comment ref="A1130" authorId="0" shapeId="0" xr:uid="{F0C99273-B9CC-4EBC-A48C-CDC85935E1F7}">
      <text>
        <r>
          <rPr>
            <sz val="9"/>
            <color indexed="81"/>
            <rFont val="Tahoma"/>
            <family val="2"/>
          </rPr>
          <t xml:space="preserve">
</t>
        </r>
      </text>
    </comment>
    <comment ref="K1130" authorId="0" shapeId="0" xr:uid="{C4804CD1-0F85-4CE6-B0EF-70A3783A6296}">
      <text>
        <r>
          <rPr>
            <sz val="9"/>
            <color indexed="81"/>
            <rFont val="Tahoma"/>
            <family val="2"/>
          </rPr>
          <t>Classic Magellanic galaxy with white bar and blue star clouds</t>
        </r>
      </text>
    </comment>
    <comment ref="A1131" authorId="0" shapeId="0" xr:uid="{3B5F58A9-69CD-4A7A-9019-D4D079069A8E}">
      <text>
        <r>
          <rPr>
            <sz val="9"/>
            <color indexed="81"/>
            <rFont val="Tahoma"/>
            <family val="2"/>
          </rPr>
          <t xml:space="preserve">
</t>
        </r>
      </text>
    </comment>
    <comment ref="K1131" authorId="0" shapeId="0" xr:uid="{75CDDF9F-EAA2-4636-9F50-B3BA1014EE0E}">
      <text>
        <r>
          <rPr>
            <sz val="9"/>
            <color indexed="81"/>
            <rFont val="Tahoma"/>
            <family val="2"/>
          </rPr>
          <t>Stellar-like OIII-dominated PN with a bit of inner detail</t>
        </r>
      </text>
    </comment>
    <comment ref="A1132" authorId="0" shapeId="0" xr:uid="{C4E7F44D-6498-4943-B93F-F2DC53F9AE56}">
      <text>
        <r>
          <rPr>
            <sz val="9"/>
            <color indexed="81"/>
            <rFont val="Tahoma"/>
            <family val="2"/>
          </rPr>
          <t xml:space="preserve">
</t>
        </r>
      </text>
    </comment>
    <comment ref="K1132" authorId="0" shapeId="0" xr:uid="{1BBA848F-2CF5-47A1-AEBB-AF943A793696}">
      <text>
        <r>
          <rPr>
            <sz val="9"/>
            <color indexed="81"/>
            <rFont val="Tahoma"/>
            <family val="2"/>
          </rPr>
          <t>Faint reflection nebula just north of NGC1579 (Northern Trifid)</t>
        </r>
      </text>
    </comment>
    <comment ref="A1133" authorId="0" shapeId="0" xr:uid="{12097486-5182-42FE-B71C-5B2C3FAD6EBE}">
      <text>
        <r>
          <rPr>
            <sz val="9"/>
            <color indexed="81"/>
            <rFont val="Tahoma"/>
            <family val="2"/>
          </rPr>
          <t xml:space="preserve">
</t>
        </r>
      </text>
    </comment>
    <comment ref="K1133" authorId="0" shapeId="0" xr:uid="{29D6C821-C777-45B4-828C-3153B2C1FE8F}">
      <text>
        <r>
          <rPr>
            <sz val="9"/>
            <color indexed="81"/>
            <rFont val="Tahoma"/>
            <family val="2"/>
          </rPr>
          <t xml:space="preserve">Small colorful reflection nebula adjacent to dark Barnard 22 </t>
        </r>
      </text>
    </comment>
    <comment ref="A1134" authorId="0" shapeId="0" xr:uid="{76AD6C1D-0ED3-4666-8C1B-54F0AA6DFB49}">
      <text>
        <r>
          <rPr>
            <sz val="9"/>
            <color indexed="81"/>
            <rFont val="Tahoma"/>
            <family val="2"/>
          </rPr>
          <t xml:space="preserve">
</t>
        </r>
      </text>
    </comment>
    <comment ref="K1134" authorId="0" shapeId="0" xr:uid="{E70443E3-55B5-48C7-8A8B-68091423ECB0}">
      <text>
        <r>
          <rPr>
            <sz val="9"/>
            <color indexed="81"/>
            <rFont val="Tahoma"/>
            <family val="2"/>
          </rPr>
          <t>Faint reflection nebula  with bluish cast from Rigel</t>
        </r>
      </text>
    </comment>
    <comment ref="A1135" authorId="0" shapeId="0" xr:uid="{002037F0-E2D4-4352-967F-DB0DC779D49D}">
      <text>
        <r>
          <rPr>
            <sz val="9"/>
            <color indexed="81"/>
            <rFont val="Tahoma"/>
            <family val="2"/>
          </rPr>
          <t xml:space="preserve">
</t>
        </r>
      </text>
    </comment>
    <comment ref="K1135" authorId="0" shapeId="0" xr:uid="{7F0694E7-7C2A-43A7-9E17-E07CF127E2C2}">
      <text>
        <r>
          <rPr>
            <sz val="9"/>
            <color indexed="81"/>
            <rFont val="Tahoma"/>
            <family val="2"/>
          </rPr>
          <t>Tiny bi-polar OIII-dominated PN with red ansae and visible progenitor</t>
        </r>
      </text>
    </comment>
    <comment ref="A1136" authorId="0" shapeId="0" xr:uid="{CD16BD43-E2E8-4C15-BC31-806413F90874}">
      <text>
        <r>
          <rPr>
            <sz val="9"/>
            <color indexed="81"/>
            <rFont val="Tahoma"/>
            <family val="2"/>
          </rPr>
          <t xml:space="preserve">
</t>
        </r>
      </text>
    </comment>
    <comment ref="K1136" authorId="0" shapeId="0" xr:uid="{A849C1CF-8F27-43B5-8971-09A70A0749B1}">
      <text>
        <r>
          <rPr>
            <sz val="9"/>
            <color indexed="81"/>
            <rFont val="Tahoma"/>
            <family val="2"/>
          </rPr>
          <t>Small open cluster just west of NGC2158</t>
        </r>
      </text>
    </comment>
    <comment ref="A1137" authorId="0" shapeId="0" xr:uid="{A674657E-0737-43B9-8C98-AE54A025AC03}">
      <text>
        <r>
          <rPr>
            <sz val="9"/>
            <color indexed="81"/>
            <rFont val="Tahoma"/>
            <family val="2"/>
          </rPr>
          <t xml:space="preserve">
</t>
        </r>
      </text>
    </comment>
    <comment ref="K1137" authorId="0" shapeId="0" xr:uid="{D3354173-C916-411E-8DEA-CB812BF91FAE}">
      <text>
        <r>
          <rPr>
            <sz val="9"/>
            <color indexed="81"/>
            <rFont val="Tahoma"/>
            <family val="2"/>
          </rPr>
          <t>Blue reflection nebula with nice dust lane</t>
        </r>
      </text>
    </comment>
    <comment ref="A1138" authorId="0" shapeId="0" xr:uid="{77C7578F-EF86-4A16-9BD4-B7737C40D65B}">
      <text>
        <r>
          <rPr>
            <sz val="9"/>
            <color indexed="81"/>
            <rFont val="Tahoma"/>
            <family val="2"/>
          </rPr>
          <t xml:space="preserve">
</t>
        </r>
      </text>
    </comment>
    <comment ref="K1138" authorId="0" shapeId="0" xr:uid="{F678B86A-A550-42AC-842E-E8BF043795D2}">
      <text>
        <r>
          <rPr>
            <sz val="9"/>
            <color indexed="81"/>
            <rFont val="Tahoma"/>
            <family val="2"/>
          </rPr>
          <t>Emission region that is the Seagull head, ionized by HD 53367.  Nice dust lanes</t>
        </r>
      </text>
    </comment>
    <comment ref="A1139" authorId="0" shapeId="0" xr:uid="{34D405C4-C1C1-44F7-B00A-A15F8229DE8C}">
      <text>
        <r>
          <rPr>
            <sz val="9"/>
            <color indexed="81"/>
            <rFont val="Tahoma"/>
            <family val="2"/>
          </rPr>
          <t xml:space="preserve">
</t>
        </r>
      </text>
    </comment>
    <comment ref="K1139" authorId="0" shapeId="0" xr:uid="{AB1BD355-9249-48F4-940D-4BF0DE2FBDC1}">
      <text>
        <r>
          <rPr>
            <sz val="9"/>
            <color indexed="81"/>
            <rFont val="Tahoma"/>
            <family val="2"/>
          </rPr>
          <t>Two edge-on galaxies in process of merging.  Diffuse star plumes.</t>
        </r>
      </text>
    </comment>
    <comment ref="A1140" authorId="0" shapeId="0" xr:uid="{101A1F91-CACD-4150-B626-5926466D0637}">
      <text>
        <r>
          <rPr>
            <sz val="9"/>
            <color indexed="81"/>
            <rFont val="Tahoma"/>
            <family val="2"/>
          </rPr>
          <t xml:space="preserve">
</t>
        </r>
      </text>
    </comment>
    <comment ref="K1140" authorId="0" shapeId="0" xr:uid="{4DBA0AFE-4DF0-49F9-A07A-5DDE07E2F5D4}">
      <text>
        <r>
          <rPr>
            <sz val="9"/>
            <color indexed="81"/>
            <rFont val="Tahoma"/>
            <family val="2"/>
          </rPr>
          <t>Brilliant orange jet outflow nebula from star HD 65750</t>
        </r>
      </text>
    </comment>
    <comment ref="A1141" authorId="0" shapeId="0" xr:uid="{4E9438A6-ED63-41B1-9604-055FB202310E}">
      <text>
        <r>
          <rPr>
            <sz val="9"/>
            <color indexed="81"/>
            <rFont val="Tahoma"/>
            <family val="2"/>
          </rPr>
          <t xml:space="preserve">
</t>
        </r>
      </text>
    </comment>
    <comment ref="K1141" authorId="0" shapeId="0" xr:uid="{F92CDC33-6818-4487-BF59-D411DDF02093}">
      <text>
        <r>
          <rPr>
            <sz val="9"/>
            <color indexed="81"/>
            <rFont val="Tahoma"/>
            <family val="2"/>
          </rPr>
          <t>Blue superthin galaxy with slight disk warp</t>
        </r>
      </text>
    </comment>
    <comment ref="A1142" authorId="0" shapeId="0" xr:uid="{62EAE23D-BD9C-4061-9B64-DB472971AC22}">
      <text>
        <r>
          <rPr>
            <sz val="9"/>
            <color indexed="81"/>
            <rFont val="Tahoma"/>
            <family val="2"/>
          </rPr>
          <t xml:space="preserve">
</t>
        </r>
      </text>
    </comment>
    <comment ref="K1142" authorId="0" shapeId="0" xr:uid="{5F0D101A-9885-4D6F-A194-8841A9F348AC}">
      <text>
        <r>
          <rPr>
            <sz val="9"/>
            <color indexed="81"/>
            <rFont val="Tahoma"/>
            <family val="2"/>
          </rPr>
          <t>Edge-on spiral with no bulge and mid-line dust lane</t>
        </r>
      </text>
    </comment>
    <comment ref="A1143" authorId="0" shapeId="0" xr:uid="{6767CB6F-F083-4B42-9C96-4AB3BB8C6DFD}">
      <text>
        <r>
          <rPr>
            <sz val="9"/>
            <color indexed="81"/>
            <rFont val="Tahoma"/>
            <family val="2"/>
          </rPr>
          <t xml:space="preserve">
</t>
        </r>
      </text>
    </comment>
    <comment ref="K1143" authorId="0" shapeId="0" xr:uid="{493BD2CA-F29A-420E-8D9F-BF059D2EF04E}">
      <text>
        <r>
          <rPr>
            <sz val="9"/>
            <color indexed="81"/>
            <rFont val="Tahoma"/>
            <family val="2"/>
          </rPr>
          <t>Faint outer disk, bright inner lens</t>
        </r>
      </text>
    </comment>
    <comment ref="A1144" authorId="0" shapeId="0" xr:uid="{B8EAEFE3-6A76-4DBC-9882-15BB69BD73DF}">
      <text>
        <r>
          <rPr>
            <sz val="9"/>
            <color indexed="81"/>
            <rFont val="Tahoma"/>
            <family val="2"/>
          </rPr>
          <t xml:space="preserve">
</t>
        </r>
      </text>
    </comment>
    <comment ref="K1144" authorId="0" shapeId="0" xr:uid="{93C05E45-2D24-4718-A1BF-513A5F9472B0}">
      <text>
        <r>
          <rPr>
            <sz val="9"/>
            <color indexed="81"/>
            <rFont val="Tahoma"/>
            <family val="2"/>
          </rPr>
          <t>3 galaxies with interesting structures, slightly interacting</t>
        </r>
      </text>
    </comment>
    <comment ref="A1145" authorId="0" shapeId="0" xr:uid="{FD81B98E-BD1E-464B-9C55-4CC22EAE8D07}">
      <text>
        <r>
          <rPr>
            <sz val="9"/>
            <color indexed="81"/>
            <rFont val="Tahoma"/>
            <family val="2"/>
          </rPr>
          <t xml:space="preserve">
</t>
        </r>
      </text>
    </comment>
    <comment ref="K1145" authorId="0" shapeId="0" xr:uid="{E45D519F-F326-4981-AAE5-8934EC3EBEFA}">
      <text>
        <r>
          <rPr>
            <sz val="9"/>
            <color indexed="81"/>
            <rFont val="Tahoma"/>
            <family val="2"/>
          </rPr>
          <t>Moving 30 star open cluster named after its biggest star</t>
        </r>
      </text>
    </comment>
    <comment ref="A1146" authorId="0" shapeId="0" xr:uid="{470D5770-D993-425D-9F44-3E3885093B32}">
      <text>
        <r>
          <rPr>
            <sz val="9"/>
            <color indexed="81"/>
            <rFont val="Tahoma"/>
            <family val="2"/>
          </rPr>
          <t xml:space="preserve">
</t>
        </r>
      </text>
    </comment>
    <comment ref="K1146" authorId="0" shapeId="0" xr:uid="{A7866938-7073-4736-BC19-FF38F3C843AB}">
      <text>
        <r>
          <rPr>
            <sz val="9"/>
            <color indexed="81"/>
            <rFont val="Tahoma"/>
            <family val="2"/>
          </rPr>
          <t>Merger of 3 spiral galaxies with star clouds and dust lanes</t>
        </r>
      </text>
    </comment>
    <comment ref="A1147" authorId="0" shapeId="0" xr:uid="{A0AA4574-5C14-4AB1-9962-99A4AA311E98}">
      <text>
        <r>
          <rPr>
            <sz val="9"/>
            <color indexed="81"/>
            <rFont val="Tahoma"/>
            <family val="2"/>
          </rPr>
          <t xml:space="preserve">
</t>
        </r>
      </text>
    </comment>
    <comment ref="K1147" authorId="0" shapeId="0" xr:uid="{7EDBD6FB-1BD7-46B2-8988-5EFBB4AF7296}">
      <text>
        <r>
          <rPr>
            <sz val="9"/>
            <color indexed="81"/>
            <rFont val="Tahoma"/>
            <family val="2"/>
          </rPr>
          <t>Showy barred spiral, close to edge-on</t>
        </r>
      </text>
    </comment>
    <comment ref="A1148" authorId="0" shapeId="0" xr:uid="{D9EB4C86-A661-4AF3-85DF-92D84CA0A9BF}">
      <text>
        <r>
          <rPr>
            <sz val="9"/>
            <color indexed="81"/>
            <rFont val="Tahoma"/>
            <family val="2"/>
          </rPr>
          <t xml:space="preserve">
</t>
        </r>
      </text>
    </comment>
    <comment ref="K1148" authorId="0" shapeId="0" xr:uid="{C018E2F4-BA20-4551-A025-0379ADE9DB7D}">
      <text>
        <r>
          <rPr>
            <sz val="9"/>
            <color indexed="81"/>
            <rFont val="Tahoma"/>
            <family val="2"/>
          </rPr>
          <t>Pleasing open cluster in Vela</t>
        </r>
      </text>
    </comment>
    <comment ref="A1149" authorId="0" shapeId="0" xr:uid="{FFAF6E9A-BE23-4122-B017-F10364137619}">
      <text>
        <r>
          <rPr>
            <sz val="9"/>
            <color indexed="81"/>
            <rFont val="Tahoma"/>
            <family val="2"/>
          </rPr>
          <t xml:space="preserve">
</t>
        </r>
      </text>
    </comment>
    <comment ref="K1149" authorId="0" shapeId="0" xr:uid="{844B9F00-7C59-4116-98B1-AA601637F936}">
      <text>
        <r>
          <rPr>
            <sz val="9"/>
            <color indexed="81"/>
            <rFont val="Tahoma"/>
            <family val="2"/>
          </rPr>
          <t xml:space="preserve">Galaxy adjacent to famous Hanny's Voorwerp, green intergalactic cloud that is light echo of former quasar. </t>
        </r>
      </text>
    </comment>
    <comment ref="A1150" authorId="0" shapeId="0" xr:uid="{271F1CA1-D8DF-402A-9307-22EBC438D34F}">
      <text>
        <r>
          <rPr>
            <sz val="9"/>
            <color indexed="81"/>
            <rFont val="Tahoma"/>
            <family val="2"/>
          </rPr>
          <t xml:space="preserve">
</t>
        </r>
      </text>
    </comment>
    <comment ref="K1150" authorId="0" shapeId="0" xr:uid="{3041F9B7-7EE9-4E82-A683-7EFE446FD551}">
      <text>
        <r>
          <rPr>
            <sz val="9"/>
            <color indexed="81"/>
            <rFont val="Tahoma"/>
            <family val="2"/>
          </rPr>
          <t>Single merged core with starburst activity, HII regions, dust lanes, and no tails</t>
        </r>
      </text>
    </comment>
    <comment ref="A1151" authorId="0" shapeId="0" xr:uid="{650E0EE7-E9B3-4125-88EA-7466CCA2C3AA}">
      <text>
        <r>
          <rPr>
            <sz val="9"/>
            <color indexed="81"/>
            <rFont val="Tahoma"/>
            <family val="2"/>
          </rPr>
          <t xml:space="preserve">
</t>
        </r>
      </text>
    </comment>
    <comment ref="K1151" authorId="0" shapeId="0" xr:uid="{D21F596E-5FAC-4F42-90B1-6B0508CA4DE6}">
      <text>
        <r>
          <rPr>
            <sz val="9"/>
            <color indexed="81"/>
            <rFont val="Tahoma"/>
            <family val="2"/>
          </rPr>
          <t>Dim nearby dwarf galaxy with star clouds and HII regions</t>
        </r>
      </text>
    </comment>
    <comment ref="A1152" authorId="0" shapeId="0" xr:uid="{4F080DE6-13B3-444A-85E3-078231EC4165}">
      <text>
        <r>
          <rPr>
            <sz val="9"/>
            <color indexed="81"/>
            <rFont val="Tahoma"/>
            <family val="2"/>
          </rPr>
          <t xml:space="preserve">
</t>
        </r>
      </text>
    </comment>
    <comment ref="K1152" authorId="0" shapeId="0" xr:uid="{52816154-5B0E-46EC-A509-32DEC55BF9FC}">
      <text>
        <r>
          <rPr>
            <sz val="9"/>
            <color indexed="81"/>
            <rFont val="Tahoma"/>
            <family val="2"/>
          </rPr>
          <t>Open cluster with large brightness mix</t>
        </r>
      </text>
    </comment>
    <comment ref="A1153" authorId="0" shapeId="0" xr:uid="{7049B5E4-DEC7-424B-9195-A27CC6003722}">
      <text>
        <r>
          <rPr>
            <sz val="9"/>
            <color indexed="81"/>
            <rFont val="Tahoma"/>
            <family val="2"/>
          </rPr>
          <t xml:space="preserve">
</t>
        </r>
      </text>
    </comment>
    <comment ref="K1153" authorId="0" shapeId="0" xr:uid="{06380038-14D5-4A86-93BE-CAE0798B9B7A}">
      <text>
        <r>
          <rPr>
            <sz val="9"/>
            <color indexed="81"/>
            <rFont val="Tahoma"/>
            <family val="2"/>
          </rPr>
          <t>Similar to Pleiades but without the blue reflection nebulosity</t>
        </r>
      </text>
    </comment>
    <comment ref="A1154" authorId="0" shapeId="0" xr:uid="{DA92BACB-F72F-4435-B913-0AA836D1D56F}">
      <text>
        <r>
          <rPr>
            <sz val="9"/>
            <color indexed="81"/>
            <rFont val="Tahoma"/>
            <family val="2"/>
          </rPr>
          <t xml:space="preserve">
</t>
        </r>
      </text>
    </comment>
    <comment ref="K1154" authorId="0" shapeId="0" xr:uid="{37840A7F-149D-4F66-A6EB-0E8D0B8991D3}">
      <text>
        <r>
          <rPr>
            <sz val="9"/>
            <color indexed="81"/>
            <rFont val="Tahoma"/>
            <family val="2"/>
          </rPr>
          <t>Grand design spiral with bright arms and core, slightly barred</t>
        </r>
      </text>
    </comment>
    <comment ref="A1155" authorId="0" shapeId="0" xr:uid="{0AF79B7B-CE1A-4108-92D9-4A11E8EEAE28}">
      <text>
        <r>
          <rPr>
            <sz val="9"/>
            <color indexed="81"/>
            <rFont val="Tahoma"/>
            <family val="2"/>
          </rPr>
          <t xml:space="preserve">
</t>
        </r>
      </text>
    </comment>
    <comment ref="K1155" authorId="0" shapeId="0" xr:uid="{D846B4FF-2475-4E0B-9BF1-E1A046954528}">
      <text>
        <r>
          <rPr>
            <sz val="9"/>
            <color indexed="81"/>
            <rFont val="Tahoma"/>
            <family val="2"/>
          </rPr>
          <t>Beautifully textured emission nebula with Bok globules</t>
        </r>
      </text>
    </comment>
    <comment ref="A1156" authorId="0" shapeId="0" xr:uid="{5A796F21-90D4-4703-9633-EF71EE72349D}">
      <text>
        <r>
          <rPr>
            <sz val="9"/>
            <color indexed="81"/>
            <rFont val="Tahoma"/>
            <family val="2"/>
          </rPr>
          <t xml:space="preserve">
</t>
        </r>
      </text>
    </comment>
    <comment ref="K1156" authorId="0" shapeId="0" xr:uid="{F5F0FC16-EB57-4300-A86F-A5498136E9F5}">
      <text>
        <r>
          <rPr>
            <sz val="9"/>
            <color indexed="81"/>
            <rFont val="Tahoma"/>
            <family val="2"/>
          </rPr>
          <t>Tiny OIII-dominated PN with progenitor and inner shell</t>
        </r>
      </text>
    </comment>
    <comment ref="A1157" authorId="0" shapeId="0" xr:uid="{91E2FE58-51B1-4996-9116-740547981532}">
      <text>
        <r>
          <rPr>
            <sz val="9"/>
            <color indexed="81"/>
            <rFont val="Tahoma"/>
            <family val="2"/>
          </rPr>
          <t xml:space="preserve">
</t>
        </r>
      </text>
    </comment>
    <comment ref="K1157" authorId="0" shapeId="0" xr:uid="{BA3F5526-6D65-4EEB-9AFC-65457E60E32C}">
      <text>
        <r>
          <rPr>
            <sz val="9"/>
            <color indexed="81"/>
            <rFont val="Tahoma"/>
            <family val="2"/>
          </rPr>
          <t>Edge-on spiral</t>
        </r>
      </text>
    </comment>
    <comment ref="A1158" authorId="0" shapeId="0" xr:uid="{7C853268-E69C-459A-A9FD-FC7F17503333}">
      <text>
        <r>
          <rPr>
            <sz val="9"/>
            <color indexed="81"/>
            <rFont val="Tahoma"/>
            <family val="2"/>
          </rPr>
          <t xml:space="preserve">
</t>
        </r>
      </text>
    </comment>
    <comment ref="K1158" authorId="0" shapeId="0" xr:uid="{7E8C2AAF-D7E0-420D-B8D9-843F2B72D70D}">
      <text>
        <r>
          <rPr>
            <sz val="9"/>
            <color indexed="81"/>
            <rFont val="Tahoma"/>
            <family val="2"/>
          </rPr>
          <t>Striking barred ring galaxy with faint outer disk</t>
        </r>
      </text>
    </comment>
    <comment ref="A1159" authorId="0" shapeId="0" xr:uid="{33814D6D-950C-44F5-81EE-D11DA36652BB}">
      <text>
        <r>
          <rPr>
            <sz val="9"/>
            <color indexed="81"/>
            <rFont val="Tahoma"/>
            <family val="2"/>
          </rPr>
          <t xml:space="preserve">
</t>
        </r>
      </text>
    </comment>
    <comment ref="K1159" authorId="0" shapeId="0" xr:uid="{6BCFEE8E-6DF5-4AFF-A0A3-A0E496DAC838}">
      <text>
        <r>
          <rPr>
            <sz val="9"/>
            <color indexed="81"/>
            <rFont val="Tahoma"/>
            <family val="2"/>
          </rPr>
          <t>Group of 8 galaxies led by large elliptical</t>
        </r>
      </text>
    </comment>
    <comment ref="A1160" authorId="0" shapeId="0" xr:uid="{8CFD6EC1-B8CE-44B7-899D-0342E8762E1D}">
      <text>
        <r>
          <rPr>
            <sz val="9"/>
            <color indexed="81"/>
            <rFont val="Tahoma"/>
            <family val="2"/>
          </rPr>
          <t xml:space="preserve">
</t>
        </r>
      </text>
    </comment>
    <comment ref="K1160" authorId="0" shapeId="0" xr:uid="{6C29AE88-A80E-4A16-B515-F2777D513953}">
      <text>
        <r>
          <rPr>
            <sz val="9"/>
            <color indexed="81"/>
            <rFont val="Tahoma"/>
            <family val="2"/>
          </rPr>
          <t>Massive edge-on spiral with nice disk structure visible</t>
        </r>
      </text>
    </comment>
    <comment ref="A1161" authorId="0" shapeId="0" xr:uid="{E243640C-0F38-46E0-A310-C1CFCD18181C}">
      <text>
        <r>
          <rPr>
            <sz val="9"/>
            <color indexed="81"/>
            <rFont val="Tahoma"/>
            <family val="2"/>
          </rPr>
          <t xml:space="preserve">
</t>
        </r>
      </text>
    </comment>
    <comment ref="K1161" authorId="0" shapeId="0" xr:uid="{4030C5B5-E888-4A69-97E9-90359ED773FD}">
      <text>
        <r>
          <rPr>
            <sz val="9"/>
            <color indexed="81"/>
            <rFont val="Tahoma"/>
            <family val="2"/>
          </rPr>
          <t>Side-on view of bipolar PN, no progenitor, no lobe breakthrough</t>
        </r>
      </text>
    </comment>
    <comment ref="A1162" authorId="0" shapeId="0" xr:uid="{0FA4B917-8EA4-469C-97CE-13B96629C37A}">
      <text>
        <r>
          <rPr>
            <sz val="9"/>
            <color indexed="81"/>
            <rFont val="Tahoma"/>
            <family val="2"/>
          </rPr>
          <t xml:space="preserve">
</t>
        </r>
      </text>
    </comment>
    <comment ref="K1162" authorId="0" shapeId="0" xr:uid="{0C194B06-5508-461E-9380-17CFBED1B788}">
      <text>
        <r>
          <rPr>
            <sz val="9"/>
            <color indexed="81"/>
            <rFont val="Tahoma"/>
            <family val="2"/>
          </rPr>
          <t>5 galaxies with the 2 smaller spirals disturbed and possibly interacting.</t>
        </r>
      </text>
    </comment>
    <comment ref="A1163" authorId="0" shapeId="0" xr:uid="{65AF7550-06C7-446A-AAC1-02928E144DDD}">
      <text>
        <r>
          <rPr>
            <sz val="9"/>
            <color indexed="81"/>
            <rFont val="Tahoma"/>
            <family val="2"/>
          </rPr>
          <t xml:space="preserve">
</t>
        </r>
      </text>
    </comment>
    <comment ref="K1163" authorId="0" shapeId="0" xr:uid="{FB44BB0F-6AC3-43C7-9DDB-8D3C5A7D8225}">
      <text>
        <r>
          <rPr>
            <sz val="9"/>
            <color indexed="81"/>
            <rFont val="Tahoma"/>
            <family val="2"/>
          </rPr>
          <t>Blue reflection nebula that is the "eye" of the Blue Horsehead Nebula</t>
        </r>
      </text>
    </comment>
    <comment ref="A1164" authorId="0" shapeId="0" xr:uid="{995521BB-9B5F-494D-94A6-8382727F9ADA}">
      <text>
        <r>
          <rPr>
            <sz val="9"/>
            <color indexed="81"/>
            <rFont val="Tahoma"/>
            <family val="2"/>
          </rPr>
          <t xml:space="preserve">
</t>
        </r>
      </text>
    </comment>
    <comment ref="K1164" authorId="0" shapeId="0" xr:uid="{0B6D3191-02BF-464E-AAA5-A44DC7F87408}">
      <text>
        <r>
          <rPr>
            <sz val="9"/>
            <color indexed="81"/>
            <rFont val="Tahoma"/>
            <family val="2"/>
          </rPr>
          <t>Stellar-like blue PN with progenitor visible</t>
        </r>
      </text>
    </comment>
    <comment ref="A1165" authorId="0" shapeId="0" xr:uid="{4E1AD96B-2F47-4A64-81D9-BC69E9184D32}">
      <text>
        <r>
          <rPr>
            <sz val="9"/>
            <color indexed="81"/>
            <rFont val="Tahoma"/>
            <family val="2"/>
          </rPr>
          <t xml:space="preserve">
</t>
        </r>
      </text>
    </comment>
    <comment ref="K1165" authorId="0" shapeId="0" xr:uid="{100E87B1-013D-49C9-8F48-047AE99946AF}">
      <text>
        <r>
          <rPr>
            <sz val="9"/>
            <color indexed="81"/>
            <rFont val="Tahoma"/>
            <family val="2"/>
          </rPr>
          <t>Blue reflection nebula that is the "ear" of the Blue Horsehead Nebula, including vdB 101, 102 &amp; 103</t>
        </r>
      </text>
    </comment>
    <comment ref="A1166" authorId="0" shapeId="0" xr:uid="{63E374E3-25BB-4080-8A4D-3F18C9A626C8}">
      <text>
        <r>
          <rPr>
            <sz val="9"/>
            <color indexed="81"/>
            <rFont val="Tahoma"/>
            <family val="2"/>
          </rPr>
          <t xml:space="preserve">
</t>
        </r>
      </text>
    </comment>
    <comment ref="K1166" authorId="0" shapeId="0" xr:uid="{FF2030E0-AAC3-454F-9867-80C966E53A03}">
      <text>
        <r>
          <rPr>
            <sz val="9"/>
            <color indexed="81"/>
            <rFont val="Tahoma"/>
            <family val="2"/>
          </rPr>
          <t>Dramatic narrowband nebula with Ha ridges and dark dust clouds</t>
        </r>
      </text>
    </comment>
    <comment ref="A1167" authorId="0" shapeId="0" xr:uid="{08F005A9-B424-49B9-BCFF-EFDFB973481D}">
      <text>
        <r>
          <rPr>
            <sz val="9"/>
            <color indexed="81"/>
            <rFont val="Tahoma"/>
            <family val="2"/>
          </rPr>
          <t xml:space="preserve">
</t>
        </r>
      </text>
    </comment>
    <comment ref="K1167" authorId="0" shapeId="0" xr:uid="{2BCA4C9A-0F7C-4F21-8BAD-C28F32C8015D}">
      <text>
        <r>
          <rPr>
            <sz val="9"/>
            <color indexed="81"/>
            <rFont val="Tahoma"/>
            <family val="2"/>
          </rPr>
          <t>Tiny bi-polar OIII-dominated PN with red ansae</t>
        </r>
      </text>
    </comment>
    <comment ref="A1168" authorId="0" shapeId="0" xr:uid="{175F2329-8932-4F36-963C-8AE7991675D0}">
      <text>
        <r>
          <rPr>
            <sz val="9"/>
            <color indexed="81"/>
            <rFont val="Tahoma"/>
            <family val="2"/>
          </rPr>
          <t xml:space="preserve">
</t>
        </r>
      </text>
    </comment>
    <comment ref="K1168" authorId="0" shapeId="0" xr:uid="{D7586B14-D8CF-48DA-A28C-324AC519EC44}">
      <text>
        <r>
          <rPr>
            <sz val="9"/>
            <color indexed="81"/>
            <rFont val="Tahoma"/>
            <family val="2"/>
          </rPr>
          <t>Wide blue 50 star open cluster</t>
        </r>
      </text>
    </comment>
    <comment ref="A1169" authorId="0" shapeId="0" xr:uid="{A10DAA48-ED36-49FD-AAEF-98FB231DBD4B}">
      <text>
        <r>
          <rPr>
            <sz val="9"/>
            <color indexed="81"/>
            <rFont val="Tahoma"/>
            <family val="2"/>
          </rPr>
          <t xml:space="preserve">
</t>
        </r>
      </text>
    </comment>
    <comment ref="K1169" authorId="0" shapeId="0" xr:uid="{73C4DA38-00C9-4170-A544-89756D66485C}">
      <text>
        <r>
          <rPr>
            <sz val="9"/>
            <color indexed="81"/>
            <rFont val="Tahoma"/>
            <family val="2"/>
          </rPr>
          <t>Red HII regions and bright stars, with dark winding dust lanes</t>
        </r>
      </text>
    </comment>
    <comment ref="A1170" authorId="0" shapeId="0" xr:uid="{C199732F-CB0C-4B78-92FF-D66A5231C9C5}">
      <text>
        <r>
          <rPr>
            <sz val="9"/>
            <color indexed="81"/>
            <rFont val="Tahoma"/>
            <family val="2"/>
          </rPr>
          <t xml:space="preserve">
</t>
        </r>
      </text>
    </comment>
    <comment ref="K1170" authorId="0" shapeId="0" xr:uid="{4DEAE6FB-EA0E-4A62-9F42-BC075D82B345}">
      <text>
        <r>
          <rPr>
            <sz val="9"/>
            <color indexed="81"/>
            <rFont val="Tahoma"/>
            <family val="2"/>
          </rPr>
          <t>80 star open cluster, not that distinct from Milky Way background</t>
        </r>
      </text>
    </comment>
    <comment ref="A1171" authorId="0" shapeId="0" xr:uid="{022720E5-F7C5-43B8-AF6F-F91182563EFC}">
      <text>
        <r>
          <rPr>
            <sz val="9"/>
            <color indexed="81"/>
            <rFont val="Tahoma"/>
            <family val="2"/>
          </rPr>
          <t xml:space="preserve">
</t>
        </r>
      </text>
    </comment>
    <comment ref="K1171" authorId="0" shapeId="0" xr:uid="{B24DE39F-E60C-41FD-93B1-084922E3E7F8}">
      <text>
        <r>
          <rPr>
            <sz val="9"/>
            <color indexed="81"/>
            <rFont val="Tahoma"/>
            <family val="2"/>
          </rPr>
          <t>2 small reflection nebulae and the star cluster Roslund 4</t>
        </r>
      </text>
    </comment>
    <comment ref="A1172" authorId="0" shapeId="0" xr:uid="{BDD01DAA-F697-4BCA-90BD-1BE010574743}">
      <text>
        <r>
          <rPr>
            <sz val="9"/>
            <color indexed="81"/>
            <rFont val="Tahoma"/>
            <family val="2"/>
          </rPr>
          <t xml:space="preserve">
</t>
        </r>
      </text>
    </comment>
    <comment ref="K1172" authorId="0" shapeId="0" xr:uid="{9B12EA65-3D02-4AF8-BFF5-747F97711D04}">
      <text>
        <r>
          <rPr>
            <sz val="9"/>
            <color indexed="81"/>
            <rFont val="Tahoma"/>
            <family val="2"/>
          </rPr>
          <t>Bright small open cluster with nice mix of stars</t>
        </r>
      </text>
    </comment>
    <comment ref="A1173" authorId="0" shapeId="0" xr:uid="{A88ACD71-6E75-48B7-9363-15CB34803513}">
      <text>
        <r>
          <rPr>
            <sz val="9"/>
            <color indexed="81"/>
            <rFont val="Tahoma"/>
            <family val="2"/>
          </rPr>
          <t xml:space="preserve">
</t>
        </r>
      </text>
    </comment>
    <comment ref="K1173" authorId="0" shapeId="0" xr:uid="{974CCF3D-369F-49C9-82D5-A8DF8650B317}">
      <text>
        <r>
          <rPr>
            <sz val="9"/>
            <color indexed="81"/>
            <rFont val="Tahoma"/>
            <family val="2"/>
          </rPr>
          <t>Edge-on lenticular bridge connected to nearby elliptical</t>
        </r>
      </text>
    </comment>
    <comment ref="A1174" authorId="0" shapeId="0" xr:uid="{FBF4B65C-8A40-4F97-9B8D-07F6E618215C}">
      <text>
        <r>
          <rPr>
            <sz val="9"/>
            <color indexed="81"/>
            <rFont val="Tahoma"/>
            <family val="2"/>
          </rPr>
          <t xml:space="preserve">
</t>
        </r>
      </text>
    </comment>
    <comment ref="K1174" authorId="0" shapeId="0" xr:uid="{5F5441E9-2332-4A67-8D7C-3A23D70A9206}">
      <text>
        <r>
          <rPr>
            <sz val="9"/>
            <color indexed="81"/>
            <rFont val="Tahoma"/>
            <family val="2"/>
          </rPr>
          <t>Lenticular with faint outer disk</t>
        </r>
      </text>
    </comment>
    <comment ref="A1175" authorId="0" shapeId="0" xr:uid="{20BE5A54-EF6B-4508-BAEA-C7C9F9FA86A1}">
      <text>
        <r>
          <rPr>
            <sz val="9"/>
            <color indexed="81"/>
            <rFont val="Tahoma"/>
            <family val="2"/>
          </rPr>
          <t xml:space="preserve">
</t>
        </r>
      </text>
    </comment>
    <comment ref="K1175" authorId="0" shapeId="0" xr:uid="{49199C03-E680-4BD0-AD74-110C2182A616}">
      <text>
        <r>
          <rPr>
            <sz val="9"/>
            <color indexed="81"/>
            <rFont val="Tahoma"/>
            <family val="2"/>
          </rPr>
          <t>Bulgeless disk mottled with star clouds. Poor arm definition,. Nice pair with IC5041</t>
        </r>
      </text>
    </comment>
    <comment ref="A1176" authorId="0" shapeId="0" xr:uid="{99386D22-97D0-450F-B489-9F7D6A99D0FD}">
      <text>
        <r>
          <rPr>
            <sz val="9"/>
            <color indexed="81"/>
            <rFont val="Tahoma"/>
            <family val="2"/>
          </rPr>
          <t xml:space="preserve">
</t>
        </r>
      </text>
    </comment>
    <comment ref="K1176" authorId="0" shapeId="0" xr:uid="{62BD3BD1-8869-45BF-8A0D-2DEC5EC702D2}">
      <text>
        <r>
          <rPr>
            <sz val="9"/>
            <color indexed="81"/>
            <rFont val="Tahoma"/>
            <family val="2"/>
          </rPr>
          <t>Barred yellow core and blue arms with star clouds, slightly disturbed arms.  Nice pair with IC5039</t>
        </r>
      </text>
    </comment>
    <comment ref="A1177" authorId="0" shapeId="0" xr:uid="{0A39FE7C-442E-4242-9DCA-B83094D1A3EC}">
      <text>
        <r>
          <rPr>
            <sz val="9"/>
            <color indexed="81"/>
            <rFont val="Tahoma"/>
            <family val="2"/>
          </rPr>
          <t xml:space="preserve">
</t>
        </r>
      </text>
    </comment>
    <comment ref="K1177" authorId="0" shapeId="0" xr:uid="{7492AB23-4D01-4322-B62E-9B2D6BE5A901}">
      <text>
        <r>
          <rPr>
            <sz val="9"/>
            <color indexed="81"/>
            <rFont val="Tahoma"/>
            <family val="2"/>
          </rPr>
          <t>Faint HII nebula, oddly rectangular, with 3 brighter bands</t>
        </r>
      </text>
    </comment>
    <comment ref="A1178" authorId="0" shapeId="0" xr:uid="{54D0913A-9A3E-47CE-BBD9-5DC012E54E9C}">
      <text>
        <r>
          <rPr>
            <sz val="9"/>
            <color indexed="81"/>
            <rFont val="Tahoma"/>
            <family val="2"/>
          </rPr>
          <t xml:space="preserve">
</t>
        </r>
      </text>
    </comment>
    <comment ref="K1178" authorId="0" shapeId="0" xr:uid="{F331FECD-E1F3-4461-8016-EE2709281BEF}">
      <text>
        <r>
          <rPr>
            <sz val="9"/>
            <color indexed="81"/>
            <rFont val="Tahoma"/>
            <family val="2"/>
          </rPr>
          <t>Showcase bright emission nebula with towering dust trunk and bipolar HH555 jets at tip</t>
        </r>
      </text>
    </comment>
    <comment ref="A1179" authorId="0" shapeId="0" xr:uid="{816BF7C8-04AF-4ACE-8573-29F0BDD7F6DB}">
      <text>
        <r>
          <rPr>
            <sz val="9"/>
            <color indexed="81"/>
            <rFont val="Tahoma"/>
            <family val="2"/>
          </rPr>
          <t xml:space="preserve">
</t>
        </r>
      </text>
    </comment>
    <comment ref="K1179" authorId="0" shapeId="0" xr:uid="{6A83084E-B5E2-4B05-B5CE-DEA328C3C763}">
      <text>
        <r>
          <rPr>
            <sz val="9"/>
            <color indexed="81"/>
            <rFont val="Tahoma"/>
            <family val="2"/>
          </rPr>
          <t>Small blue reflection nebula with adjacent star cluster and dust cloud</t>
        </r>
      </text>
    </comment>
    <comment ref="A1180" authorId="0" shapeId="0" xr:uid="{FB9776FD-EA47-4D50-86E3-966B47B05784}">
      <text>
        <r>
          <rPr>
            <sz val="9"/>
            <color indexed="81"/>
            <rFont val="Tahoma"/>
            <family val="2"/>
          </rPr>
          <t xml:space="preserve">
</t>
        </r>
      </text>
    </comment>
    <comment ref="K1180" authorId="0" shapeId="0" xr:uid="{0A08CAD7-A206-40F4-BFD9-196FB78F98B5}">
      <text>
        <r>
          <rPr>
            <sz val="9"/>
            <color indexed="81"/>
            <rFont val="Tahoma"/>
            <family val="2"/>
          </rPr>
          <t>Bright circular HII region with dark lanes and long dust trail</t>
        </r>
      </text>
    </comment>
    <comment ref="A1181" authorId="0" shapeId="0" xr:uid="{2B618022-081A-40EB-B0FD-E826799D0B1B}">
      <text>
        <r>
          <rPr>
            <sz val="9"/>
            <color indexed="81"/>
            <rFont val="Tahoma"/>
            <family val="2"/>
          </rPr>
          <t xml:space="preserve">
</t>
        </r>
      </text>
    </comment>
    <comment ref="K1181" authorId="0" shapeId="0" xr:uid="{B038E946-075F-4BA2-BC3D-C3E4B404B2CE}">
      <text>
        <r>
          <rPr>
            <sz val="9"/>
            <color indexed="81"/>
            <rFont val="Tahoma"/>
            <family val="2"/>
          </rPr>
          <t>Beautiful textured white circular ring with progenitor</t>
        </r>
      </text>
    </comment>
    <comment ref="A1182" authorId="0" shapeId="0" xr:uid="{F4ACEB90-2C33-443B-8CE9-DD67BBAB3A30}">
      <text>
        <r>
          <rPr>
            <sz val="9"/>
            <color indexed="81"/>
            <rFont val="Tahoma"/>
            <family val="2"/>
          </rPr>
          <t xml:space="preserve">
</t>
        </r>
      </text>
    </comment>
    <comment ref="K1182" authorId="0" shapeId="0" xr:uid="{44D12158-61D9-4198-89E6-4AD550EE739C}">
      <text>
        <r>
          <rPr>
            <sz val="9"/>
            <color indexed="81"/>
            <rFont val="Tahoma"/>
            <family val="2"/>
          </rPr>
          <t>Mid-region ring surrounds core and fragmented arms extend out chaotically.  Nice pair with PGC67907</t>
        </r>
      </text>
    </comment>
    <comment ref="A1183" authorId="0" shapeId="0" xr:uid="{9955A5C7-9500-482B-A6EC-04731B131A0F}">
      <text>
        <r>
          <rPr>
            <sz val="9"/>
            <color indexed="81"/>
            <rFont val="Tahoma"/>
            <family val="2"/>
          </rPr>
          <t xml:space="preserve">
</t>
        </r>
      </text>
    </comment>
    <comment ref="K1183" authorId="0" shapeId="0" xr:uid="{43421E06-D879-4D43-86D2-5DECC6949B5D}">
      <text>
        <r>
          <rPr>
            <sz val="9"/>
            <color indexed="81"/>
            <rFont val="Tahoma"/>
            <family val="2"/>
          </rPr>
          <t>Tiny stellar OIII-dominated PN</t>
        </r>
      </text>
    </comment>
    <comment ref="A1184" authorId="0" shapeId="0" xr:uid="{329B7B80-4D80-4305-90D6-443281BA3111}">
      <text>
        <r>
          <rPr>
            <sz val="9"/>
            <color indexed="81"/>
            <rFont val="Tahoma"/>
            <family val="2"/>
          </rPr>
          <t xml:space="preserve">
</t>
        </r>
      </text>
    </comment>
    <comment ref="K1184" authorId="0" shapeId="0" xr:uid="{219B19FD-6127-4167-ACBA-DF7A4C8BA2CF}">
      <text>
        <r>
          <rPr>
            <sz val="9"/>
            <color indexed="81"/>
            <rFont val="Tahoma"/>
            <family val="2"/>
          </rPr>
          <t>Splendid barred ring galaxy</t>
        </r>
      </text>
    </comment>
    <comment ref="A1185" authorId="0" shapeId="0" xr:uid="{A5A1C632-07E9-401F-B4D4-A1E990154CF8}">
      <text>
        <r>
          <rPr>
            <sz val="9"/>
            <color indexed="81"/>
            <rFont val="Tahoma"/>
            <family val="2"/>
          </rPr>
          <t xml:space="preserve">
</t>
        </r>
      </text>
    </comment>
    <comment ref="K1185" authorId="0" shapeId="0" xr:uid="{3187953D-07CB-468D-90BC-8BD2DAF551C2}">
      <text>
        <r>
          <rPr>
            <sz val="9"/>
            <color indexed="81"/>
            <rFont val="Tahoma"/>
            <family val="2"/>
          </rPr>
          <t>Stunning double ring galaxy. Nice pair with disturbed spiral NGC 7489</t>
        </r>
      </text>
    </comment>
    <comment ref="A1186" authorId="0" shapeId="0" xr:uid="{CBA282CD-A48D-4C9E-AF88-18F2E7BAE16A}">
      <text>
        <r>
          <rPr>
            <sz val="9"/>
            <color indexed="81"/>
            <rFont val="Tahoma"/>
            <family val="2"/>
          </rPr>
          <t xml:space="preserve">
</t>
        </r>
      </text>
    </comment>
    <comment ref="K1186" authorId="0" shapeId="0" xr:uid="{3D717095-FA7C-431E-B214-AC033C6D8DE7}">
      <text>
        <r>
          <rPr>
            <sz val="9"/>
            <color indexed="81"/>
            <rFont val="Tahoma"/>
            <family val="2"/>
          </rPr>
          <t>Collisional ring galaxy with likely disrupter still visible</t>
        </r>
      </text>
    </comment>
    <comment ref="A1187" authorId="0" shapeId="0" xr:uid="{D2A62D46-0186-4D75-BA0E-C1198F29E8F0}">
      <text>
        <r>
          <rPr>
            <sz val="9"/>
            <color indexed="81"/>
            <rFont val="Tahoma"/>
            <family val="2"/>
          </rPr>
          <t xml:space="preserve">
</t>
        </r>
      </text>
    </comment>
    <comment ref="K1187" authorId="0" shapeId="0" xr:uid="{649E5F8F-E75F-4215-AD68-74716ECC57B9}">
      <text>
        <r>
          <rPr>
            <sz val="9"/>
            <color indexed="81"/>
            <rFont val="Tahoma"/>
            <family val="2"/>
          </rPr>
          <t>Faint molecular cloud just northwest of the Gecko</t>
        </r>
      </text>
    </comment>
    <comment ref="A1188" authorId="0" shapeId="0" xr:uid="{2BD6D4B2-17BC-434B-AA2E-008F2FFF2006}">
      <text>
        <r>
          <rPr>
            <sz val="9"/>
            <color indexed="81"/>
            <rFont val="Tahoma"/>
            <family val="2"/>
          </rPr>
          <t xml:space="preserve">
</t>
        </r>
      </text>
    </comment>
    <comment ref="K1188" authorId="0" shapeId="0" xr:uid="{98DAC6C1-C796-4054-B4E7-48B757546ADE}">
      <text>
        <r>
          <rPr>
            <sz val="9"/>
            <color indexed="81"/>
            <rFont val="Tahoma"/>
            <family val="2"/>
          </rPr>
          <t>Very faint ancient planetary nebula, discovered in 1987.</t>
        </r>
      </text>
    </comment>
    <comment ref="A1189" authorId="0" shapeId="0" xr:uid="{179498AD-31E5-4C05-A65C-C3DF3E5C65F6}">
      <text>
        <r>
          <rPr>
            <sz val="9"/>
            <color indexed="81"/>
            <rFont val="Tahoma"/>
            <family val="2"/>
          </rPr>
          <t xml:space="preserve">
</t>
        </r>
      </text>
    </comment>
    <comment ref="K1189" authorId="0" shapeId="0" xr:uid="{ADE1F0C5-7C6E-421F-841C-7B1CAA090DE0}">
      <text>
        <r>
          <rPr>
            <sz val="9"/>
            <color indexed="81"/>
            <rFont val="Tahoma"/>
            <family val="2"/>
          </rPr>
          <t>Faint large ancient HII-dominated PN, one of the oldest PN at 50,000 years</t>
        </r>
      </text>
    </comment>
    <comment ref="A1190" authorId="0" shapeId="0" xr:uid="{648784AF-C63C-4C9B-B879-9A29728CBC2B}">
      <text>
        <r>
          <rPr>
            <sz val="9"/>
            <color indexed="81"/>
            <rFont val="Tahoma"/>
            <family val="2"/>
          </rPr>
          <t xml:space="preserve">
</t>
        </r>
      </text>
    </comment>
    <comment ref="K1190" authorId="0" shapeId="0" xr:uid="{E0D8FF2D-1DDB-42E1-A498-8F7AFD737793}">
      <text>
        <r>
          <rPr>
            <sz val="9"/>
            <color indexed="81"/>
            <rFont val="Tahoma"/>
            <family val="2"/>
          </rPr>
          <t>Very faint OIII-dominated ancient PN with progenitor visible</t>
        </r>
      </text>
    </comment>
    <comment ref="A1191" authorId="0" shapeId="0" xr:uid="{30898656-0265-4301-8237-5E85CF4EC9A4}">
      <text>
        <r>
          <rPr>
            <sz val="9"/>
            <color indexed="81"/>
            <rFont val="Tahoma"/>
            <family val="2"/>
          </rPr>
          <t xml:space="preserve">
</t>
        </r>
      </text>
    </comment>
    <comment ref="K1191" authorId="0" shapeId="0" xr:uid="{44098055-94E2-419A-B9AF-4593FE8FCF96}">
      <text>
        <r>
          <rPr>
            <sz val="9"/>
            <color indexed="81"/>
            <rFont val="Tahoma"/>
            <family val="2"/>
          </rPr>
          <t>Lovely OIII-dominated elliptical PN with progenitor and some texture</t>
        </r>
      </text>
    </comment>
    <comment ref="A1192" authorId="0" shapeId="0" xr:uid="{D00D7F6F-E540-4639-9DE5-E4A17E6D1501}">
      <text>
        <r>
          <rPr>
            <sz val="9"/>
            <color indexed="81"/>
            <rFont val="Tahoma"/>
            <family val="2"/>
          </rPr>
          <t xml:space="preserve">
</t>
        </r>
      </text>
    </comment>
    <comment ref="K1192" authorId="0" shapeId="0" xr:uid="{1F233BDB-2E1E-4AC2-9736-FF805A19FCD5}">
      <text>
        <r>
          <rPr>
            <sz val="9"/>
            <color indexed="81"/>
            <rFont val="Tahoma"/>
            <family val="2"/>
          </rPr>
          <t>HIII-dominated ring-shaped elliptical PN with progenitor and nice texture</t>
        </r>
      </text>
    </comment>
    <comment ref="A1193" authorId="0" shapeId="0" xr:uid="{09B26479-22D9-480A-ACCC-DC6045F4F2A3}">
      <text>
        <r>
          <rPr>
            <sz val="9"/>
            <color indexed="81"/>
            <rFont val="Tahoma"/>
            <family val="2"/>
          </rPr>
          <t xml:space="preserve">
</t>
        </r>
      </text>
    </comment>
    <comment ref="B1193" authorId="0" shapeId="0" xr:uid="{EC0B911B-ABBD-4404-8FF0-F0C4459F94AF}">
      <text>
        <r>
          <rPr>
            <sz val="9"/>
            <color indexed="81"/>
            <rFont val="Tahoma"/>
            <family val="2"/>
          </rPr>
          <t>Object not in SIMBAD</t>
        </r>
      </text>
    </comment>
    <comment ref="K1193" authorId="0" shapeId="0" xr:uid="{24F567BB-25F3-4993-8D1D-0F4EE498DBFB}">
      <text>
        <r>
          <rPr>
            <sz val="9"/>
            <color indexed="81"/>
            <rFont val="Tahoma"/>
            <family val="2"/>
          </rPr>
          <t>Straight line of 25 5th to 9th mag stars, identified by Father Kemble in 1980.</t>
        </r>
      </text>
    </comment>
    <comment ref="A1194" authorId="0" shapeId="0" xr:uid="{A457E367-BA1F-437D-ABCD-E59DDF13B69F}">
      <text>
        <r>
          <rPr>
            <sz val="9"/>
            <color indexed="81"/>
            <rFont val="Tahoma"/>
            <family val="2"/>
          </rPr>
          <t xml:space="preserve">
</t>
        </r>
      </text>
    </comment>
    <comment ref="B1194" authorId="0" shapeId="0" xr:uid="{7BAE016C-5F1F-4D78-9101-16F4D93CE819}">
      <text>
        <r>
          <rPr>
            <sz val="9"/>
            <color indexed="81"/>
            <rFont val="Tahoma"/>
            <family val="2"/>
          </rPr>
          <t>Object not in SIMBAD</t>
        </r>
      </text>
    </comment>
    <comment ref="K1194" authorId="0" shapeId="0" xr:uid="{AB4595C3-3375-4AE6-A8D2-6EEA6ED38AB3}">
      <text>
        <r>
          <rPr>
            <sz val="9"/>
            <color indexed="81"/>
            <rFont val="Tahoma"/>
            <family val="2"/>
          </rPr>
          <t>6 stars of mag 7 to 8 in the shape of a W</t>
        </r>
      </text>
    </comment>
    <comment ref="A1195" authorId="0" shapeId="0" xr:uid="{31CD4A5D-083B-488F-8D0E-9543B90C098E}">
      <text>
        <r>
          <rPr>
            <sz val="9"/>
            <color indexed="81"/>
            <rFont val="Tahoma"/>
            <family val="2"/>
          </rPr>
          <t xml:space="preserve">
</t>
        </r>
      </text>
    </comment>
    <comment ref="B1195" authorId="0" shapeId="0" xr:uid="{2A813B13-06FE-4758-9A48-569F27A3A4B6}">
      <text>
        <r>
          <rPr>
            <sz val="9"/>
            <color indexed="81"/>
            <rFont val="Tahoma"/>
            <family val="2"/>
          </rPr>
          <t>Object not in SIMBAD</t>
        </r>
      </text>
    </comment>
    <comment ref="K1195" authorId="0" shapeId="0" xr:uid="{FCD0D342-090D-48B4-A5CB-8E5C7FA3E8C0}">
      <text>
        <r>
          <rPr>
            <sz val="9"/>
            <color indexed="81"/>
            <rFont val="Tahoma"/>
            <family val="2"/>
          </rPr>
          <t>Kite shaped asterism in Cassiopeia</t>
        </r>
      </text>
    </comment>
    <comment ref="A1196" authorId="0" shapeId="0" xr:uid="{ADF09EB4-F4A0-411F-BFFF-5F15F54027D9}">
      <text>
        <r>
          <rPr>
            <sz val="9"/>
            <color indexed="81"/>
            <rFont val="Tahoma"/>
            <family val="2"/>
          </rPr>
          <t xml:space="preserve">
</t>
        </r>
      </text>
    </comment>
    <comment ref="K1196" authorId="0" shapeId="0" xr:uid="{D16341E7-4BD4-4B91-8BEC-8BD27A881728}">
      <text>
        <r>
          <rPr>
            <sz val="9"/>
            <color indexed="81"/>
            <rFont val="Tahoma"/>
            <family val="2"/>
          </rPr>
          <t>Unique multipolar HII-dominated PN with fantastic structure</t>
        </r>
      </text>
    </comment>
    <comment ref="A1197" authorId="0" shapeId="0" xr:uid="{609D06DE-468F-43E0-87CF-2D36A91DFB66}">
      <text>
        <r>
          <rPr>
            <sz val="9"/>
            <color indexed="81"/>
            <rFont val="Tahoma"/>
            <family val="2"/>
          </rPr>
          <t xml:space="preserve">
</t>
        </r>
      </text>
    </comment>
    <comment ref="K1197" authorId="0" shapeId="0" xr:uid="{802AE97C-3A8A-461A-A746-67073284B4B8}">
      <text>
        <r>
          <rPr>
            <sz val="9"/>
            <color indexed="81"/>
            <rFont val="Tahoma"/>
            <family val="2"/>
          </rPr>
          <t>OIII-dominated PN with rare visible bi-polar jet from progenitor</t>
        </r>
      </text>
    </comment>
    <comment ref="A1198" authorId="0" shapeId="0" xr:uid="{5B0FFFCB-3384-4852-B882-AAF0662C85C9}">
      <text>
        <r>
          <rPr>
            <sz val="9"/>
            <color indexed="81"/>
            <rFont val="Tahoma"/>
            <family val="2"/>
          </rPr>
          <t xml:space="preserve">
</t>
        </r>
      </text>
    </comment>
    <comment ref="K1198" authorId="0" shapeId="0" xr:uid="{E2F9C179-8348-493C-B120-85DA2152C5F7}">
      <text>
        <r>
          <rPr>
            <sz val="9"/>
            <color indexed="81"/>
            <rFont val="Tahoma"/>
            <family val="2"/>
          </rPr>
          <t>Bipolar PN with some disturbance</t>
        </r>
      </text>
    </comment>
    <comment ref="A1199" authorId="0" shapeId="0" xr:uid="{FA19EA72-EAC5-49A6-BC7A-B9F4C9EDBC07}">
      <text>
        <r>
          <rPr>
            <sz val="9"/>
            <color indexed="81"/>
            <rFont val="Tahoma"/>
            <family val="2"/>
          </rPr>
          <t xml:space="preserve">
</t>
        </r>
      </text>
    </comment>
    <comment ref="K1199" authorId="0" shapeId="0" xr:uid="{E482CC69-8F6F-47B5-B98B-0778DB699407}">
      <text>
        <r>
          <rPr>
            <sz val="9"/>
            <color indexed="81"/>
            <rFont val="Tahoma"/>
            <family val="2"/>
          </rPr>
          <t>Supposedly an HII region, but has many PN characteristics</t>
        </r>
      </text>
    </comment>
    <comment ref="A1200" authorId="0" shapeId="0" xr:uid="{B5189687-7CF6-4081-B02A-129A800C6DD6}">
      <text>
        <r>
          <rPr>
            <sz val="9"/>
            <color indexed="81"/>
            <rFont val="Tahoma"/>
            <family val="2"/>
          </rPr>
          <t xml:space="preserve">
</t>
        </r>
      </text>
    </comment>
    <comment ref="K1200" authorId="0" shapeId="0" xr:uid="{4F22B540-2ECE-41BD-9232-2B3E6F12E4A7}">
      <text>
        <r>
          <rPr>
            <sz val="9"/>
            <color indexed="81"/>
            <rFont val="Tahoma"/>
            <family val="2"/>
          </rPr>
          <t>Dim Ha-dominated elliptical ring</t>
        </r>
      </text>
    </comment>
    <comment ref="A1201" authorId="0" shapeId="0" xr:uid="{B2439CF0-8FB6-4A2E-AFA7-99AD00214CC9}">
      <text>
        <r>
          <rPr>
            <sz val="9"/>
            <color indexed="81"/>
            <rFont val="Tahoma"/>
            <family val="2"/>
          </rPr>
          <t xml:space="preserve">
</t>
        </r>
      </text>
    </comment>
    <comment ref="K1201" authorId="0" shapeId="0" xr:uid="{FF613EB3-1B94-4BF8-9E41-8AA4E71949A5}">
      <text>
        <r>
          <rPr>
            <sz val="9"/>
            <color indexed="81"/>
            <rFont val="Tahoma"/>
            <family val="2"/>
          </rPr>
          <t>Faint HII-dominated bipolar PN with no progenitor</t>
        </r>
      </text>
    </comment>
    <comment ref="A1202" authorId="0" shapeId="0" xr:uid="{61985624-15B4-44FB-A320-279E3A01C47A}">
      <text>
        <r>
          <rPr>
            <sz val="9"/>
            <color indexed="81"/>
            <rFont val="Tahoma"/>
            <family val="2"/>
          </rPr>
          <t xml:space="preserve">
</t>
        </r>
      </text>
    </comment>
    <comment ref="K1202" authorId="0" shapeId="0" xr:uid="{B64949EB-C39E-40EC-ABB6-35589D349549}">
      <text>
        <r>
          <rPr>
            <sz val="9"/>
            <color indexed="81"/>
            <rFont val="Tahoma"/>
            <family val="2"/>
          </rPr>
          <t>Elliptical PN with HII rim and no progenitor</t>
        </r>
      </text>
    </comment>
    <comment ref="A1203" authorId="0" shapeId="0" xr:uid="{8652E6E1-7FDE-4188-8D6C-B2B9317CA0AD}">
      <text>
        <r>
          <rPr>
            <sz val="9"/>
            <color indexed="81"/>
            <rFont val="Tahoma"/>
            <family val="2"/>
          </rPr>
          <t xml:space="preserve">
</t>
        </r>
      </text>
    </comment>
    <comment ref="K1203" authorId="0" shapeId="0" xr:uid="{AB682674-F5AD-4F87-BAFC-EE323388ECD4}">
      <text>
        <r>
          <rPr>
            <sz val="9"/>
            <color indexed="81"/>
            <rFont val="Tahoma"/>
            <family val="2"/>
          </rPr>
          <t>Showy OIII-dominant transparent PN with a wavy rim and visible progenitor.</t>
        </r>
      </text>
    </comment>
    <comment ref="A1204" authorId="0" shapeId="0" xr:uid="{786C4BDF-BD53-4B7A-9537-436DC8DFC015}">
      <text>
        <r>
          <rPr>
            <sz val="9"/>
            <color indexed="81"/>
            <rFont val="Tahoma"/>
            <family val="2"/>
          </rPr>
          <t xml:space="preserve">
</t>
        </r>
      </text>
    </comment>
    <comment ref="K1204" authorId="0" shapeId="0" xr:uid="{0DD5A22A-507C-415A-A533-CE4CB88FC6CB}">
      <text>
        <r>
          <rPr>
            <sz val="9"/>
            <color indexed="81"/>
            <rFont val="Tahoma"/>
            <family val="2"/>
          </rPr>
          <t>Ancient, distorted PN, OIII-dominated</t>
        </r>
      </text>
    </comment>
    <comment ref="A1205" authorId="0" shapeId="0" xr:uid="{25E7682F-D799-4C89-B900-3EE67574DC15}">
      <text>
        <r>
          <rPr>
            <sz val="9"/>
            <color indexed="81"/>
            <rFont val="Tahoma"/>
            <family val="2"/>
          </rPr>
          <t xml:space="preserve">
</t>
        </r>
      </text>
    </comment>
    <comment ref="K1205" authorId="0" shapeId="0" xr:uid="{8333D111-0B09-4494-B9C8-2595C2AFCFDA}">
      <text>
        <r>
          <rPr>
            <sz val="9"/>
            <color indexed="81"/>
            <rFont val="Tahoma"/>
            <family val="2"/>
          </rPr>
          <t>OIII-dominating ring PN with like ISM interaction</t>
        </r>
      </text>
    </comment>
    <comment ref="A1206" authorId="0" shapeId="0" xr:uid="{DE9860CA-3B7F-4478-8E40-1D8D9D0E0714}">
      <text>
        <r>
          <rPr>
            <sz val="9"/>
            <color indexed="81"/>
            <rFont val="Tahoma"/>
            <family val="2"/>
          </rPr>
          <t xml:space="preserve">
</t>
        </r>
      </text>
    </comment>
    <comment ref="K1206" authorId="0" shapeId="0" xr:uid="{5E4BD42A-4783-472A-9E5B-3A89AAFD25C2}">
      <text>
        <r>
          <rPr>
            <sz val="9"/>
            <color indexed="81"/>
            <rFont val="Tahoma"/>
            <family val="2"/>
          </rPr>
          <t>OIII-dominated elliptical PN with ring appearance and no progenitor</t>
        </r>
      </text>
    </comment>
    <comment ref="A1207" authorId="0" shapeId="0" xr:uid="{E9B8901A-5FB8-4191-88E2-042DAC8E33E3}">
      <text>
        <r>
          <rPr>
            <sz val="9"/>
            <color indexed="81"/>
            <rFont val="Tahoma"/>
            <family val="2"/>
          </rPr>
          <t xml:space="preserve">
</t>
        </r>
      </text>
    </comment>
    <comment ref="K1207" authorId="0" shapeId="0" xr:uid="{8BCFFA11-2D13-43E9-9761-7A46C415FAD1}">
      <text>
        <r>
          <rPr>
            <sz val="9"/>
            <color indexed="81"/>
            <rFont val="Tahoma"/>
            <family val="2"/>
          </rPr>
          <t>Lovely OIII-dominant PN with thin rim and inner texture</t>
        </r>
      </text>
    </comment>
    <comment ref="A1208" authorId="0" shapeId="0" xr:uid="{63335968-00DB-4CED-AA4E-C61752968A9C}">
      <text>
        <r>
          <rPr>
            <sz val="9"/>
            <color indexed="81"/>
            <rFont val="Tahoma"/>
            <family val="2"/>
          </rPr>
          <t xml:space="preserve">
</t>
        </r>
      </text>
    </comment>
    <comment ref="K1208" authorId="0" shapeId="0" xr:uid="{16105132-63CC-4643-BAB6-CDB49CF11DF9}">
      <text>
        <r>
          <rPr>
            <sz val="9"/>
            <color indexed="81"/>
            <rFont val="Tahoma"/>
            <family val="2"/>
          </rPr>
          <t xml:space="preserve">Faint PN with progenitor.  Bright rim arc at 11 o'clock </t>
        </r>
      </text>
    </comment>
    <comment ref="A1209" authorId="0" shapeId="0" xr:uid="{7785A036-2069-41ED-A037-388274C737E0}">
      <text>
        <r>
          <rPr>
            <sz val="9"/>
            <color indexed="81"/>
            <rFont val="Tahoma"/>
            <family val="2"/>
          </rPr>
          <t xml:space="preserve">
</t>
        </r>
      </text>
    </comment>
    <comment ref="K1209" authorId="0" shapeId="0" xr:uid="{24B48DD9-5921-46A7-89F6-FA9BE683F4F5}">
      <text>
        <r>
          <rPr>
            <sz val="9"/>
            <color indexed="81"/>
            <rFont val="Tahoma"/>
            <family val="2"/>
          </rPr>
          <t>OIII-dominated PN with progenitor</t>
        </r>
      </text>
    </comment>
    <comment ref="A1210" authorId="0" shapeId="0" xr:uid="{9AB90992-7EF2-48A1-A791-DA5551F4897E}">
      <text>
        <r>
          <rPr>
            <sz val="9"/>
            <color indexed="81"/>
            <rFont val="Tahoma"/>
            <family val="2"/>
          </rPr>
          <t xml:space="preserve">
</t>
        </r>
      </text>
    </comment>
    <comment ref="K1210" authorId="0" shapeId="0" xr:uid="{769C8678-2ED6-48FD-A03D-6FC8F89AF813}">
      <text>
        <r>
          <rPr>
            <sz val="9"/>
            <color indexed="81"/>
            <rFont val="Tahoma"/>
            <family val="2"/>
          </rPr>
          <t>A half-ring HII-dominated faint PN</t>
        </r>
      </text>
    </comment>
    <comment ref="A1211" authorId="0" shapeId="0" xr:uid="{D4C822AA-4797-4879-9041-7B92443FD3DC}">
      <text>
        <r>
          <rPr>
            <sz val="9"/>
            <color indexed="81"/>
            <rFont val="Tahoma"/>
            <family val="2"/>
          </rPr>
          <t xml:space="preserve">
</t>
        </r>
      </text>
    </comment>
    <comment ref="K1211" authorId="0" shapeId="0" xr:uid="{15AF1DEB-6C04-4A48-8AF4-7945E4A79179}">
      <text>
        <r>
          <rPr>
            <sz val="9"/>
            <color indexed="81"/>
            <rFont val="Tahoma"/>
            <family val="2"/>
          </rPr>
          <t>Appears to be reflection nebula - no signal in NB filters</t>
        </r>
      </text>
    </comment>
    <comment ref="A1212" authorId="0" shapeId="0" xr:uid="{42005E82-CD89-43CB-A169-085794356426}">
      <text>
        <r>
          <rPr>
            <sz val="9"/>
            <color indexed="81"/>
            <rFont val="Tahoma"/>
            <family val="2"/>
          </rPr>
          <t xml:space="preserve">
</t>
        </r>
      </text>
    </comment>
    <comment ref="K1212" authorId="0" shapeId="0" xr:uid="{C9763A8E-7302-4E53-AC2A-1639ACFD869C}">
      <text>
        <r>
          <rPr>
            <sz val="9"/>
            <color indexed="81"/>
            <rFont val="Tahoma"/>
            <family val="2"/>
          </rPr>
          <t>Faint elliptical PN with HII rim</t>
        </r>
      </text>
    </comment>
    <comment ref="A1213" authorId="0" shapeId="0" xr:uid="{E13CF718-BAE5-4FDF-AC3F-02C794FEED8A}">
      <text>
        <r>
          <rPr>
            <sz val="9"/>
            <color indexed="81"/>
            <rFont val="Tahoma"/>
            <family val="2"/>
          </rPr>
          <t xml:space="preserve">
</t>
        </r>
      </text>
    </comment>
    <comment ref="K1213" authorId="0" shapeId="0" xr:uid="{E0088A38-0F7E-49BE-85B0-327C0DC2AB1F}">
      <text>
        <r>
          <rPr>
            <sz val="9"/>
            <color indexed="81"/>
            <rFont val="Tahoma"/>
            <family val="2"/>
          </rPr>
          <t>Faint large ancient PN, faint progenitor visible</t>
        </r>
      </text>
    </comment>
    <comment ref="A1214" authorId="0" shapeId="0" xr:uid="{232FC0A5-B79E-44F5-95DC-894A85225486}">
      <text>
        <r>
          <rPr>
            <sz val="9"/>
            <color indexed="81"/>
            <rFont val="Tahoma"/>
            <family val="2"/>
          </rPr>
          <t xml:space="preserve">
</t>
        </r>
      </text>
    </comment>
    <comment ref="K1214" authorId="0" shapeId="0" xr:uid="{CCF86024-BDD3-4B85-AA73-79E5EF20D2A6}">
      <text>
        <r>
          <rPr>
            <sz val="9"/>
            <color indexed="81"/>
            <rFont val="Tahoma"/>
            <family val="2"/>
          </rPr>
          <t>A HII region and not a PN</t>
        </r>
      </text>
    </comment>
    <comment ref="A1215" authorId="0" shapeId="0" xr:uid="{37E7E135-4C22-47A9-A72C-B05013CD7159}">
      <text>
        <r>
          <rPr>
            <sz val="9"/>
            <color indexed="81"/>
            <rFont val="Tahoma"/>
            <family val="2"/>
          </rPr>
          <t xml:space="preserve">
</t>
        </r>
      </text>
    </comment>
    <comment ref="K1215" authorId="0" shapeId="0" xr:uid="{D971BDE6-99A4-40F8-B4FC-24485289EFF4}">
      <text>
        <r>
          <rPr>
            <sz val="9"/>
            <color indexed="81"/>
            <rFont val="Tahoma"/>
            <family val="2"/>
          </rPr>
          <t>Small HII-dominated PN</t>
        </r>
      </text>
    </comment>
    <comment ref="A1216" authorId="0" shapeId="0" xr:uid="{70A53B26-1D99-453B-A929-0E431CE4DB7F}">
      <text>
        <r>
          <rPr>
            <sz val="9"/>
            <color indexed="81"/>
            <rFont val="Tahoma"/>
            <family val="2"/>
          </rPr>
          <t xml:space="preserve">
</t>
        </r>
      </text>
    </comment>
    <comment ref="K1216" authorId="0" shapeId="0" xr:uid="{707CA65C-28A6-4516-B1DB-A99F29285347}">
      <text>
        <r>
          <rPr>
            <sz val="9"/>
            <color indexed="81"/>
            <rFont val="Tahoma"/>
            <family val="2"/>
          </rPr>
          <t>Dim distant bipolar PN</t>
        </r>
      </text>
    </comment>
    <comment ref="A1217" authorId="0" shapeId="0" xr:uid="{AFCF64C4-DB85-4D7A-898D-B79BFF1BE7F2}">
      <text>
        <r>
          <rPr>
            <sz val="9"/>
            <color indexed="81"/>
            <rFont val="Tahoma"/>
            <family val="2"/>
          </rPr>
          <t xml:space="preserve">
</t>
        </r>
      </text>
    </comment>
    <comment ref="K1217" authorId="0" shapeId="0" xr:uid="{FEAC1182-6C46-4C1A-9EA2-0E373CF0A6BF}">
      <text>
        <r>
          <rPr>
            <sz val="9"/>
            <color indexed="81"/>
            <rFont val="Tahoma"/>
            <family val="2"/>
          </rPr>
          <t>Twisting bipolar HII-dominated PN</t>
        </r>
      </text>
    </comment>
    <comment ref="A1218" authorId="0" shapeId="0" xr:uid="{C04DFCFA-5CCA-4AF1-8A26-EE86822990B3}">
      <text>
        <r>
          <rPr>
            <sz val="9"/>
            <color indexed="81"/>
            <rFont val="Tahoma"/>
            <family val="2"/>
          </rPr>
          <t xml:space="preserve">
</t>
        </r>
      </text>
    </comment>
    <comment ref="K1218" authorId="0" shapeId="0" xr:uid="{115B9A45-5D7D-46E5-B173-B4B0E5D4142D}">
      <text>
        <r>
          <rPr>
            <sz val="9"/>
            <color indexed="81"/>
            <rFont val="Tahoma"/>
            <family val="2"/>
          </rPr>
          <t>Dim and small with fascinating bipolar structure</t>
        </r>
      </text>
    </comment>
    <comment ref="A1219" authorId="0" shapeId="0" xr:uid="{DFDDABCD-B3A3-43A5-B13E-8AD96CA2CCBD}">
      <text>
        <r>
          <rPr>
            <sz val="9"/>
            <color indexed="81"/>
            <rFont val="Tahoma"/>
            <family val="2"/>
          </rPr>
          <t xml:space="preserve">
</t>
        </r>
      </text>
    </comment>
    <comment ref="K1219" authorId="0" shapeId="0" xr:uid="{88D3DF52-FF4E-4CB1-B963-1688E4CE9904}">
      <text>
        <r>
          <rPr>
            <sz val="9"/>
            <color indexed="81"/>
            <rFont val="Tahoma"/>
            <family val="2"/>
          </rPr>
          <t>Nice bi-polar HII PN, viewed side-on.  Both lobes broke through</t>
        </r>
      </text>
    </comment>
    <comment ref="A1220" authorId="0" shapeId="0" xr:uid="{22F1CC97-B1D1-42BA-9A8E-154E8E8B0142}">
      <text>
        <r>
          <rPr>
            <sz val="9"/>
            <color indexed="81"/>
            <rFont val="Tahoma"/>
            <family val="2"/>
          </rPr>
          <t xml:space="preserve">
</t>
        </r>
      </text>
    </comment>
    <comment ref="K1220" authorId="0" shapeId="0" xr:uid="{3FBD9114-1B65-4CF1-A10C-CA69CC59B267}">
      <text>
        <r>
          <rPr>
            <sz val="9"/>
            <color indexed="81"/>
            <rFont val="Tahoma"/>
            <family val="2"/>
          </rPr>
          <t>One of the furthest PN at a distance of almost 30,000 light years</t>
        </r>
      </text>
    </comment>
    <comment ref="A1221" authorId="0" shapeId="0" xr:uid="{786F84BC-35FA-454C-BFD0-8BE1522A753F}">
      <text>
        <r>
          <rPr>
            <sz val="9"/>
            <color indexed="81"/>
            <rFont val="Tahoma"/>
            <family val="2"/>
          </rPr>
          <t xml:space="preserve">
</t>
        </r>
      </text>
    </comment>
    <comment ref="K1221" authorId="0" shapeId="0" xr:uid="{EB0B458F-7A9C-4625-A14C-7ABD7E5AF5D8}">
      <text>
        <r>
          <rPr>
            <sz val="9"/>
            <color indexed="81"/>
            <rFont val="Tahoma"/>
            <family val="2"/>
          </rPr>
          <t>Bipolar PN with some lobe breakout</t>
        </r>
      </text>
    </comment>
    <comment ref="A1222" authorId="0" shapeId="0" xr:uid="{4685E714-F638-42EE-BEBA-DC0BC6DA4179}">
      <text>
        <r>
          <rPr>
            <sz val="9"/>
            <color indexed="81"/>
            <rFont val="Tahoma"/>
            <family val="2"/>
          </rPr>
          <t xml:space="preserve">
</t>
        </r>
      </text>
    </comment>
    <comment ref="K1222" authorId="0" shapeId="0" xr:uid="{08E3063C-961D-4119-9283-1B946323EF69}">
      <text>
        <r>
          <rPr>
            <sz val="9"/>
            <color indexed="81"/>
            <rFont val="Tahoma"/>
            <family val="2"/>
          </rPr>
          <t>Dim PN with rim stronger in HII.  No progenitor.</t>
        </r>
      </text>
    </comment>
    <comment ref="A1223" authorId="0" shapeId="0" xr:uid="{0DA0EDC7-E70D-423D-BCA8-D14DD466276B}">
      <text>
        <r>
          <rPr>
            <sz val="9"/>
            <color indexed="81"/>
            <rFont val="Tahoma"/>
            <family val="2"/>
          </rPr>
          <t xml:space="preserve">
</t>
        </r>
      </text>
    </comment>
    <comment ref="K1223" authorId="0" shapeId="0" xr:uid="{F51BF20D-04A3-4B7A-9651-EF3D96A79B0D}">
      <text>
        <r>
          <rPr>
            <sz val="9"/>
            <color indexed="81"/>
            <rFont val="Tahoma"/>
            <family val="2"/>
          </rPr>
          <t>Distant PN similar to Ring Nebula, but 10x further away.</t>
        </r>
      </text>
    </comment>
    <comment ref="A1224" authorId="0" shapeId="0" xr:uid="{A8DD0BCF-B683-4C75-B527-59784E5A74AA}">
      <text>
        <r>
          <rPr>
            <sz val="9"/>
            <color indexed="81"/>
            <rFont val="Tahoma"/>
            <family val="2"/>
          </rPr>
          <t xml:space="preserve">
</t>
        </r>
      </text>
    </comment>
    <comment ref="K1224" authorId="0" shapeId="0" xr:uid="{862BF193-5BB4-4698-BC57-42DF3CF10516}">
      <text>
        <r>
          <rPr>
            <sz val="9"/>
            <color indexed="81"/>
            <rFont val="Tahoma"/>
            <family val="2"/>
          </rPr>
          <t>Distant balanced PN with odd shape</t>
        </r>
      </text>
    </comment>
    <comment ref="A1225" authorId="0" shapeId="0" xr:uid="{2C9FCC7A-F3BD-478A-8C8D-57DEE7744F0A}">
      <text>
        <r>
          <rPr>
            <sz val="9"/>
            <color indexed="81"/>
            <rFont val="Tahoma"/>
            <family val="2"/>
          </rPr>
          <t xml:space="preserve">
</t>
        </r>
      </text>
    </comment>
    <comment ref="K1225" authorId="0" shapeId="0" xr:uid="{164439D5-AFD8-4871-8F0A-746C10B37838}">
      <text>
        <r>
          <rPr>
            <sz val="9"/>
            <color indexed="81"/>
            <rFont val="Tahoma"/>
            <family val="2"/>
          </rPr>
          <t>Unusual PN shape, like a tiny Cat's Paw</t>
        </r>
      </text>
    </comment>
    <comment ref="A1226" authorId="0" shapeId="0" xr:uid="{934E2E63-6451-4607-A78C-F7352240B1B8}">
      <text>
        <r>
          <rPr>
            <sz val="9"/>
            <color indexed="81"/>
            <rFont val="Tahoma"/>
            <family val="2"/>
          </rPr>
          <t xml:space="preserve">
</t>
        </r>
      </text>
    </comment>
    <comment ref="K1226" authorId="0" shapeId="0" xr:uid="{92066139-3468-4284-9E2E-1024AC6C375C}">
      <text>
        <r>
          <rPr>
            <sz val="9"/>
            <color indexed="81"/>
            <rFont val="Tahoma"/>
            <family val="2"/>
          </rPr>
          <t xml:space="preserve">Beautiful small bipolar PN with point symmetric wings </t>
        </r>
      </text>
    </comment>
    <comment ref="A1227" authorId="0" shapeId="0" xr:uid="{2B751A1F-7167-4720-9577-0B01F69C2C90}">
      <text>
        <r>
          <rPr>
            <sz val="9"/>
            <color indexed="81"/>
            <rFont val="Tahoma"/>
            <family val="2"/>
          </rPr>
          <t xml:space="preserve">
</t>
        </r>
      </text>
    </comment>
    <comment ref="K1227" authorId="0" shapeId="0" xr:uid="{310CC23A-3287-414F-84DE-854D2A213E82}">
      <text>
        <r>
          <rPr>
            <sz val="9"/>
            <color indexed="81"/>
            <rFont val="Tahoma"/>
            <family val="2"/>
          </rPr>
          <t>Faint spherical PN</t>
        </r>
      </text>
    </comment>
    <comment ref="A1228" authorId="0" shapeId="0" xr:uid="{1CF9B49E-F1A9-4123-9083-0920833CC84A}">
      <text>
        <r>
          <rPr>
            <sz val="9"/>
            <color indexed="81"/>
            <rFont val="Tahoma"/>
            <family val="2"/>
          </rPr>
          <t xml:space="preserve">
</t>
        </r>
      </text>
    </comment>
    <comment ref="K1228" authorId="0" shapeId="0" xr:uid="{34028258-2635-4EAA-9878-E47B7431149D}">
      <text>
        <r>
          <rPr>
            <sz val="9"/>
            <color indexed="81"/>
            <rFont val="Tahoma"/>
            <family val="2"/>
          </rPr>
          <t>Faint HII-dominated elliptical PN with ISM interaction</t>
        </r>
      </text>
    </comment>
    <comment ref="A1229" authorId="0" shapeId="0" xr:uid="{6ECF4934-7FBC-4FC5-AD5A-0D99D1D9E1E1}">
      <text>
        <r>
          <rPr>
            <sz val="9"/>
            <color indexed="81"/>
            <rFont val="Tahoma"/>
            <family val="2"/>
          </rPr>
          <t xml:space="preserve">
</t>
        </r>
      </text>
    </comment>
    <comment ref="K1229" authorId="0" shapeId="0" xr:uid="{695489AD-36F9-4CC4-BDD8-1D260D1C7228}">
      <text>
        <r>
          <rPr>
            <sz val="9"/>
            <color indexed="81"/>
            <rFont val="Tahoma"/>
            <family val="2"/>
          </rPr>
          <t>Bright 2 degree long HII nebula lying behind an OIII SNR</t>
        </r>
      </text>
    </comment>
    <comment ref="A1230" authorId="0" shapeId="0" xr:uid="{A2686AD9-4A7E-4758-9D61-4A77687029A2}">
      <text>
        <r>
          <rPr>
            <sz val="9"/>
            <color indexed="81"/>
            <rFont val="Tahoma"/>
            <family val="2"/>
          </rPr>
          <t xml:space="preserve">
</t>
        </r>
      </text>
    </comment>
    <comment ref="K1230" authorId="0" shapeId="0" xr:uid="{9F9E9A9F-684E-44BE-8B12-0E81CA3A89D9}">
      <text>
        <r>
          <rPr>
            <sz val="9"/>
            <color indexed="81"/>
            <rFont val="Tahoma"/>
            <family val="2"/>
          </rPr>
          <t xml:space="preserve">2 degree long HII nebula with well defined shock front, looking more like a SNR </t>
        </r>
      </text>
    </comment>
    <comment ref="A1231" authorId="0" shapeId="0" xr:uid="{F2AA21D2-3103-4D2D-8530-5B98EA031911}">
      <text>
        <r>
          <rPr>
            <sz val="9"/>
            <color indexed="81"/>
            <rFont val="Tahoma"/>
            <family val="2"/>
          </rPr>
          <t xml:space="preserve">
</t>
        </r>
      </text>
    </comment>
    <comment ref="K1231" authorId="0" shapeId="0" xr:uid="{9261A066-6F18-404D-980E-D3C9B60CCF23}">
      <text>
        <r>
          <rPr>
            <sz val="9"/>
            <color indexed="81"/>
            <rFont val="Tahoma"/>
            <family val="2"/>
          </rPr>
          <t>Nicknamed the Shock Waves, a series of faint SNR arc fronts</t>
        </r>
      </text>
    </comment>
    <comment ref="A1232" authorId="0" shapeId="0" xr:uid="{62C394FC-B2D3-4E74-BCBF-6B8AB8A7E5BC}">
      <text>
        <r>
          <rPr>
            <sz val="9"/>
            <color indexed="81"/>
            <rFont val="Tahoma"/>
            <family val="2"/>
          </rPr>
          <t xml:space="preserve">
</t>
        </r>
      </text>
    </comment>
    <comment ref="K1232" authorId="0" shapeId="0" xr:uid="{002E0BCE-ABB8-4085-804A-C785C0D0A01A}">
      <text>
        <r>
          <rPr>
            <sz val="9"/>
            <color indexed="81"/>
            <rFont val="Tahoma"/>
            <family val="2"/>
          </rPr>
          <t>Faint molecular cloud just northwest of the Gecko</t>
        </r>
      </text>
    </comment>
    <comment ref="A1233" authorId="0" shapeId="0" xr:uid="{DCD43C6F-E1AF-434F-B6E0-076DED6B845D}">
      <text>
        <r>
          <rPr>
            <sz val="9"/>
            <color indexed="81"/>
            <rFont val="Tahoma"/>
            <family val="2"/>
          </rPr>
          <t xml:space="preserve">
</t>
        </r>
      </text>
    </comment>
    <comment ref="K1233" authorId="0" shapeId="0" xr:uid="{7B867B83-84BD-4BC1-97EF-6E699FB402C7}">
      <text>
        <r>
          <rPr>
            <sz val="9"/>
            <color indexed="81"/>
            <rFont val="Tahoma"/>
            <family val="2"/>
          </rPr>
          <t>Striking molecular cloud in front of Hii nebula, highlighted by a YSO and a BRC.</t>
        </r>
      </text>
    </comment>
    <comment ref="A1234" authorId="0" shapeId="0" xr:uid="{8CA8A62F-3B48-4409-A9F1-5AE7314F7F5D}">
      <text>
        <r>
          <rPr>
            <sz val="9"/>
            <color indexed="81"/>
            <rFont val="Tahoma"/>
            <family val="2"/>
          </rPr>
          <t xml:space="preserve">
</t>
        </r>
      </text>
    </comment>
    <comment ref="K1234" authorId="0" shapeId="0" xr:uid="{33EB1E9E-E645-4FAF-8AF1-220BD8703E47}">
      <text>
        <r>
          <rPr>
            <sz val="9"/>
            <color indexed="81"/>
            <rFont val="Tahoma"/>
            <family val="2"/>
          </rPr>
          <t>Lovely faint red 4 lobed cometary globule</t>
        </r>
      </text>
    </comment>
    <comment ref="A1235" authorId="0" shapeId="0" xr:uid="{0F9EAA3E-B947-4F26-8C86-AE104E312301}">
      <text>
        <r>
          <rPr>
            <sz val="9"/>
            <color indexed="81"/>
            <rFont val="Tahoma"/>
            <family val="2"/>
          </rPr>
          <t xml:space="preserve">
</t>
        </r>
      </text>
    </comment>
    <comment ref="K1235" authorId="0" shapeId="0" xr:uid="{80D6DEDE-DE1A-4F96-BC30-6D42CC91C39C}">
      <text>
        <r>
          <rPr>
            <sz val="9"/>
            <color indexed="81"/>
            <rFont val="Tahoma"/>
            <family val="2"/>
          </rPr>
          <t>Small odd U-shaped molecular cloud</t>
        </r>
      </text>
    </comment>
    <comment ref="A1236" authorId="0" shapeId="0" xr:uid="{1DE69F2D-D44B-4288-B623-A0F6D8096C18}">
      <text>
        <r>
          <rPr>
            <sz val="9"/>
            <color indexed="81"/>
            <rFont val="Tahoma"/>
            <family val="2"/>
          </rPr>
          <t xml:space="preserve">
</t>
        </r>
      </text>
    </comment>
    <comment ref="K1236" authorId="0" shapeId="0" xr:uid="{2F51EF1B-4285-41F2-8F39-52FEBE3D585C}">
      <text>
        <r>
          <rPr>
            <sz val="9"/>
            <color indexed="81"/>
            <rFont val="Tahoma"/>
            <family val="2"/>
          </rPr>
          <t>3 faint molecular clouds around the bright blue star 16 Lac</t>
        </r>
      </text>
    </comment>
    <comment ref="A1237" authorId="0" shapeId="0" xr:uid="{0FD60C36-8A82-4D98-B21D-BFC1D19F8B52}">
      <text>
        <r>
          <rPr>
            <sz val="9"/>
            <color indexed="81"/>
            <rFont val="Tahoma"/>
            <family val="2"/>
          </rPr>
          <t xml:space="preserve">
</t>
        </r>
      </text>
    </comment>
    <comment ref="K1237" authorId="0" shapeId="0" xr:uid="{21229A51-02C2-4A0B-B0D9-C0B0CAE9F63F}">
      <text>
        <r>
          <rPr>
            <sz val="9"/>
            <color indexed="81"/>
            <rFont val="Tahoma"/>
            <family val="2"/>
          </rPr>
          <t>Complex network of bright, dark, and reflection nebula, including HH215 and GM3-12</t>
        </r>
      </text>
    </comment>
    <comment ref="A1238" authorId="0" shapeId="0" xr:uid="{CBA73789-9DCE-446E-8F85-2B38FDA238AC}">
      <text>
        <r>
          <rPr>
            <sz val="9"/>
            <color indexed="81"/>
            <rFont val="Tahoma"/>
            <family val="2"/>
          </rPr>
          <t xml:space="preserve">
</t>
        </r>
      </text>
    </comment>
    <comment ref="K1238" authorId="0" shapeId="0" xr:uid="{9FA747E7-7B2F-47CC-894D-EDC7BFF9BC56}">
      <text>
        <r>
          <rPr>
            <sz val="9"/>
            <color indexed="81"/>
            <rFont val="Tahoma"/>
            <family val="2"/>
          </rPr>
          <t>Faint oblong molecular cloud in field of colorful and bright stars</t>
        </r>
      </text>
    </comment>
    <comment ref="A1239" authorId="0" shapeId="0" xr:uid="{FBF6BFCB-17E8-469C-9366-6DAA7E5D75E8}">
      <text>
        <r>
          <rPr>
            <sz val="9"/>
            <color indexed="81"/>
            <rFont val="Tahoma"/>
            <family val="2"/>
          </rPr>
          <t xml:space="preserve">
</t>
        </r>
      </text>
    </comment>
    <comment ref="K1239" authorId="0" shapeId="0" xr:uid="{0548F00A-DC59-4C20-B04A-B75ED1077F5B}">
      <text>
        <r>
          <rPr>
            <sz val="9"/>
            <color indexed="81"/>
            <rFont val="Tahoma"/>
            <family val="2"/>
          </rPr>
          <t>Unusual LBN object</t>
        </r>
      </text>
    </comment>
    <comment ref="A1240" authorId="0" shapeId="0" xr:uid="{00CFDE34-BC3B-4B4F-AA13-EE3C80FEA7B8}">
      <text>
        <r>
          <rPr>
            <sz val="9"/>
            <color indexed="81"/>
            <rFont val="Tahoma"/>
            <family val="2"/>
          </rPr>
          <t xml:space="preserve">
</t>
        </r>
      </text>
    </comment>
    <comment ref="K1240" authorId="0" shapeId="0" xr:uid="{1DC76EC1-F0BF-4569-B8EF-36237B4B593D}">
      <text>
        <r>
          <rPr>
            <sz val="9"/>
            <color indexed="81"/>
            <rFont val="Tahoma"/>
            <family val="2"/>
          </rPr>
          <t>Unusual L-shaped molecular cloud in a bright star field</t>
        </r>
      </text>
    </comment>
    <comment ref="A1241" authorId="0" shapeId="0" xr:uid="{2719E572-BA01-4BA1-A3FC-1CE6A2D78704}">
      <text>
        <r>
          <rPr>
            <sz val="9"/>
            <color indexed="81"/>
            <rFont val="Tahoma"/>
            <family val="2"/>
          </rPr>
          <t xml:space="preserve">
</t>
        </r>
      </text>
    </comment>
    <comment ref="K1241" authorId="0" shapeId="0" xr:uid="{F19CDACA-56E3-47AE-BBF4-A2BAC868861F}">
      <text>
        <r>
          <rPr>
            <sz val="9"/>
            <color indexed="81"/>
            <rFont val="Tahoma"/>
            <family val="2"/>
          </rPr>
          <t>Beautiful complex of a dark, bright, and 2 reflection nebula.</t>
        </r>
      </text>
    </comment>
    <comment ref="A1242" authorId="0" shapeId="0" xr:uid="{DB6207B0-8CE4-4B21-B2F3-07B1FB615499}">
      <text>
        <r>
          <rPr>
            <sz val="9"/>
            <color indexed="81"/>
            <rFont val="Tahoma"/>
            <family val="2"/>
          </rPr>
          <t xml:space="preserve">
</t>
        </r>
      </text>
    </comment>
    <comment ref="K1242" authorId="0" shapeId="0" xr:uid="{E4F071EF-C88C-49F3-B793-4C99A7850F65}">
      <text>
        <r>
          <rPr>
            <sz val="9"/>
            <color indexed="81"/>
            <rFont val="Tahoma"/>
            <family val="2"/>
          </rPr>
          <t>Dramatic ghostly shapes with small orange reflection nebula</t>
        </r>
      </text>
    </comment>
    <comment ref="A1243" authorId="0" shapeId="0" xr:uid="{9AB6302D-13F7-457E-A964-84C3936CF8B4}">
      <text>
        <r>
          <rPr>
            <sz val="9"/>
            <color indexed="81"/>
            <rFont val="Tahoma"/>
            <family val="2"/>
          </rPr>
          <t xml:space="preserve">
</t>
        </r>
      </text>
    </comment>
    <comment ref="K1243" authorId="0" shapeId="0" xr:uid="{AC019DAB-4C65-4190-B6E0-F55EBE1B54CC}">
      <text>
        <r>
          <rPr>
            <sz val="9"/>
            <color indexed="81"/>
            <rFont val="Tahoma"/>
            <family val="2"/>
          </rPr>
          <t>Mix of faint reflection nebulae and molecular clouds</t>
        </r>
      </text>
    </comment>
    <comment ref="A1244" authorId="0" shapeId="0" xr:uid="{A28D049E-6140-4334-AE7F-A4909AF234A0}">
      <text>
        <r>
          <rPr>
            <sz val="9"/>
            <color indexed="81"/>
            <rFont val="Tahoma"/>
            <family val="2"/>
          </rPr>
          <t xml:space="preserve">
</t>
        </r>
      </text>
    </comment>
    <comment ref="K1244" authorId="0" shapeId="0" xr:uid="{D2D3B15B-22B9-48E0-9AE7-0C8E38A0D23D}">
      <text>
        <r>
          <rPr>
            <sz val="9"/>
            <color indexed="81"/>
            <rFont val="Tahoma"/>
            <family val="2"/>
          </rPr>
          <t>Faint molecular cloud in Cepheus</t>
        </r>
      </text>
    </comment>
    <comment ref="A1245" authorId="0" shapeId="0" xr:uid="{3CF44098-981A-4D60-89A8-685963F27EF2}">
      <text>
        <r>
          <rPr>
            <sz val="9"/>
            <color indexed="81"/>
            <rFont val="Tahoma"/>
            <family val="2"/>
          </rPr>
          <t xml:space="preserve">
</t>
        </r>
      </text>
    </comment>
    <comment ref="K1245" authorId="0" shapeId="0" xr:uid="{1273FED5-D1FE-438E-A996-533BF593F1E2}">
      <text>
        <r>
          <rPr>
            <sz val="9"/>
            <color indexed="81"/>
            <rFont val="Tahoma"/>
            <family val="2"/>
          </rPr>
          <t>Dark nebula silhouetted by lighter molecular cloud</t>
        </r>
      </text>
    </comment>
    <comment ref="A1246" authorId="0" shapeId="0" xr:uid="{ADCCE01D-301F-4576-B1D1-01BA1460307E}">
      <text>
        <r>
          <rPr>
            <sz val="9"/>
            <color indexed="81"/>
            <rFont val="Tahoma"/>
            <family val="2"/>
          </rPr>
          <t xml:space="preserve">
</t>
        </r>
      </text>
    </comment>
    <comment ref="K1246" authorId="0" shapeId="0" xr:uid="{9C3BAAE6-3458-4E32-B9EA-06D6E394A767}">
      <text>
        <r>
          <rPr>
            <sz val="9"/>
            <color indexed="81"/>
            <rFont val="Tahoma"/>
            <family val="2"/>
          </rPr>
          <t>Dark nebula and molecular cloud with nice color</t>
        </r>
      </text>
    </comment>
    <comment ref="A1247" authorId="0" shapeId="0" xr:uid="{E184FF3B-28C1-409F-AC8C-FB0B437BF56E}">
      <text>
        <r>
          <rPr>
            <sz val="9"/>
            <color indexed="81"/>
            <rFont val="Tahoma"/>
            <family val="2"/>
          </rPr>
          <t xml:space="preserve">
</t>
        </r>
      </text>
    </comment>
    <comment ref="K1247" authorId="0" shapeId="0" xr:uid="{90972BD3-6925-4AA3-A511-406495A5801E}">
      <text>
        <r>
          <rPr>
            <sz val="9"/>
            <color indexed="81"/>
            <rFont val="Tahoma"/>
            <family val="2"/>
          </rPr>
          <t>Faint molecular cloud in Camelopardalis</t>
        </r>
      </text>
    </comment>
    <comment ref="A1248" authorId="0" shapeId="0" xr:uid="{00BC5504-6D0B-46B6-9245-0AC0C1DDAF47}">
      <text>
        <r>
          <rPr>
            <sz val="9"/>
            <color indexed="81"/>
            <rFont val="Tahoma"/>
            <family val="2"/>
          </rPr>
          <t xml:space="preserve">
</t>
        </r>
      </text>
    </comment>
    <comment ref="K1248" authorId="0" shapeId="0" xr:uid="{8476084F-7605-4DE4-BFE3-0B6665F09582}">
      <text>
        <r>
          <rPr>
            <sz val="9"/>
            <color indexed="81"/>
            <rFont val="Tahoma"/>
            <family val="2"/>
          </rPr>
          <t>Faint molecular cloud adjacent to LBN 644</t>
        </r>
      </text>
    </comment>
    <comment ref="A1249" authorId="0" shapeId="0" xr:uid="{142BFB29-FB01-4F62-A7AF-5D6C651B924F}">
      <text>
        <r>
          <rPr>
            <sz val="9"/>
            <color indexed="81"/>
            <rFont val="Tahoma"/>
            <family val="2"/>
          </rPr>
          <t xml:space="preserve">
</t>
        </r>
      </text>
    </comment>
    <comment ref="K1249" authorId="0" shapeId="0" xr:uid="{BE4783A1-DB46-43A2-9CDF-E88186EF2FBA}">
      <text>
        <r>
          <rPr>
            <sz val="9"/>
            <color indexed="81"/>
            <rFont val="Tahoma"/>
            <family val="2"/>
          </rPr>
          <t>Lovely dim reflection nebula with faint HII region and star cluster</t>
        </r>
      </text>
    </comment>
    <comment ref="A1250" authorId="0" shapeId="0" xr:uid="{1902507C-AD21-4963-B131-428D203377C8}">
      <text>
        <r>
          <rPr>
            <sz val="9"/>
            <color indexed="81"/>
            <rFont val="Tahoma"/>
            <family val="2"/>
          </rPr>
          <t xml:space="preserve">
</t>
        </r>
      </text>
    </comment>
    <comment ref="K1250" authorId="0" shapeId="0" xr:uid="{A6E05E0E-8A30-4A32-8AA9-C7BCFBCA0BC4}">
      <text>
        <r>
          <rPr>
            <sz val="9"/>
            <color indexed="81"/>
            <rFont val="Tahoma"/>
            <family val="2"/>
          </rPr>
          <t>Faint molecular cloud adjacent to LBN 639</t>
        </r>
      </text>
    </comment>
    <comment ref="A1251" authorId="0" shapeId="0" xr:uid="{09B3C2D0-417D-4321-B0EE-234C07344451}">
      <text>
        <r>
          <rPr>
            <sz val="9"/>
            <color indexed="81"/>
            <rFont val="Tahoma"/>
            <family val="2"/>
          </rPr>
          <t xml:space="preserve">
</t>
        </r>
      </text>
    </comment>
    <comment ref="K1251" authorId="0" shapeId="0" xr:uid="{9F04E539-E906-4822-A133-E2302AC4E905}">
      <text>
        <r>
          <rPr>
            <sz val="9"/>
            <color indexed="81"/>
            <rFont val="Tahoma"/>
            <family val="2"/>
          </rPr>
          <t>Silhouetted dark pillars in the center of the Soul Nebula</t>
        </r>
      </text>
    </comment>
    <comment ref="A1252" authorId="0" shapeId="0" xr:uid="{F242CD96-5929-4EDF-8991-A36C97C952D4}">
      <text>
        <r>
          <rPr>
            <sz val="9"/>
            <color indexed="81"/>
            <rFont val="Tahoma"/>
            <family val="2"/>
          </rPr>
          <t xml:space="preserve">
</t>
        </r>
      </text>
    </comment>
    <comment ref="K1252" authorId="0" shapeId="0" xr:uid="{984BF7BF-1C63-4BBF-8FD1-89CC217E6CDA}">
      <text>
        <r>
          <rPr>
            <sz val="9"/>
            <color indexed="81"/>
            <rFont val="Tahoma"/>
            <family val="2"/>
          </rPr>
          <t>Great cloud shapes and some dusty brown color</t>
        </r>
      </text>
    </comment>
    <comment ref="A1253" authorId="0" shapeId="0" xr:uid="{3815CC70-C632-442E-9115-A7D3DDFB3EEB}">
      <text>
        <r>
          <rPr>
            <sz val="9"/>
            <color indexed="81"/>
            <rFont val="Tahoma"/>
            <family val="2"/>
          </rPr>
          <t xml:space="preserve">
</t>
        </r>
      </text>
    </comment>
    <comment ref="K1253" authorId="0" shapeId="0" xr:uid="{8926CC68-6096-4E31-842B-F565F527AD01}">
      <text>
        <r>
          <rPr>
            <sz val="9"/>
            <color indexed="81"/>
            <rFont val="Tahoma"/>
            <family val="2"/>
          </rPr>
          <t>One of the best known LBN objects because of its striking shape</t>
        </r>
      </text>
    </comment>
    <comment ref="A1254" authorId="0" shapeId="0" xr:uid="{8FD24093-ED30-40FB-8FFA-1EECE2AC4385}">
      <text>
        <r>
          <rPr>
            <sz val="9"/>
            <color indexed="81"/>
            <rFont val="Tahoma"/>
            <family val="2"/>
          </rPr>
          <t xml:space="preserve">
</t>
        </r>
      </text>
    </comment>
    <comment ref="K1254" authorId="0" shapeId="0" xr:uid="{EBFDFCF4-D920-49A2-82F1-E62F46D8FF1B}">
      <text>
        <r>
          <rPr>
            <sz val="9"/>
            <color indexed="81"/>
            <rFont val="Tahoma"/>
            <family val="2"/>
          </rPr>
          <t>Faint molecular cloud in Eridanus</t>
        </r>
      </text>
    </comment>
    <comment ref="A1255" authorId="0" shapeId="0" xr:uid="{5BAE8E99-6461-4B59-A4EA-35406D45F07B}">
      <text>
        <r>
          <rPr>
            <sz val="9"/>
            <color indexed="81"/>
            <rFont val="Tahoma"/>
            <family val="2"/>
          </rPr>
          <t xml:space="preserve">
</t>
        </r>
      </text>
    </comment>
    <comment ref="K1255" authorId="0" shapeId="0" xr:uid="{6F86E1AD-BE51-4782-9997-6336EF8248FE}">
      <text>
        <r>
          <rPr>
            <sz val="9"/>
            <color indexed="81"/>
            <rFont val="Tahoma"/>
            <family val="2"/>
          </rPr>
          <t>Textured molecular cloud adjacent to LBN 906</t>
        </r>
      </text>
    </comment>
    <comment ref="A1256" authorId="0" shapeId="0" xr:uid="{FB134010-877E-4730-8AFB-58C84FF0406D}">
      <text>
        <r>
          <rPr>
            <sz val="9"/>
            <color indexed="81"/>
            <rFont val="Tahoma"/>
            <family val="2"/>
          </rPr>
          <t xml:space="preserve">
</t>
        </r>
      </text>
    </comment>
    <comment ref="K1256" authorId="0" shapeId="0" xr:uid="{DEABD9F7-D032-46CE-B6E2-30063A97FF19}">
      <text>
        <r>
          <rPr>
            <sz val="9"/>
            <color indexed="81"/>
            <rFont val="Tahoma"/>
            <family val="2"/>
          </rPr>
          <t>Bright HII region adjacent to open cluster NGC 2353</t>
        </r>
      </text>
    </comment>
    <comment ref="A1257" authorId="0" shapeId="0" xr:uid="{C34BFE7F-0A86-4AC2-BD7A-D258AEFA91CC}">
      <text>
        <r>
          <rPr>
            <sz val="9"/>
            <color indexed="81"/>
            <rFont val="Tahoma"/>
            <family val="2"/>
          </rPr>
          <t xml:space="preserve">
</t>
        </r>
      </text>
    </comment>
    <comment ref="K1257" authorId="0" shapeId="0" xr:uid="{D47C0BE3-45B4-49F2-9461-18AD11F5A2B6}">
      <text>
        <r>
          <rPr>
            <sz val="9"/>
            <color indexed="81"/>
            <rFont val="Tahoma"/>
            <family val="2"/>
          </rPr>
          <t>Dim triangle-shaped molecular cloud</t>
        </r>
      </text>
    </comment>
    <comment ref="A1258" authorId="0" shapeId="0" xr:uid="{B7E98D0C-5592-4A3B-AA31-C170DDF208A9}">
      <text>
        <r>
          <rPr>
            <sz val="9"/>
            <color indexed="81"/>
            <rFont val="Tahoma"/>
            <family val="2"/>
          </rPr>
          <t xml:space="preserve">
</t>
        </r>
      </text>
    </comment>
    <comment ref="K1258" authorId="0" shapeId="0" xr:uid="{BFFF0AEF-1F3F-41F8-8E82-93E8D263021D}">
      <text>
        <r>
          <rPr>
            <sz val="9"/>
            <color indexed="81"/>
            <rFont val="Tahoma"/>
            <family val="2"/>
          </rPr>
          <t>Dark nebula silhouetted by LBN 7, including 2 cometary nebulae</t>
        </r>
      </text>
    </comment>
    <comment ref="A1259" authorId="0" shapeId="0" xr:uid="{684A1A01-A6CC-4A65-9941-C58E4AF8AE5F}">
      <text>
        <r>
          <rPr>
            <sz val="9"/>
            <color indexed="81"/>
            <rFont val="Tahoma"/>
            <family val="2"/>
          </rPr>
          <t xml:space="preserve">
</t>
        </r>
      </text>
    </comment>
    <comment ref="K1259" authorId="0" shapeId="0" xr:uid="{81D138C7-4771-437B-A4FC-A4456D63D4A3}">
      <text>
        <r>
          <rPr>
            <sz val="9"/>
            <color indexed="81"/>
            <rFont val="Tahoma"/>
            <family val="2"/>
          </rPr>
          <t>Series of 3 resplendent winding dark nebulae</t>
        </r>
      </text>
    </comment>
    <comment ref="A1260" authorId="0" shapeId="0" xr:uid="{8C534DAF-BA3E-46AB-9187-F2C77D224294}">
      <text>
        <r>
          <rPr>
            <sz val="9"/>
            <color indexed="81"/>
            <rFont val="Tahoma"/>
            <family val="2"/>
          </rPr>
          <t xml:space="preserve">
</t>
        </r>
      </text>
    </comment>
    <comment ref="K1260" authorId="0" shapeId="0" xr:uid="{55C51FA7-7230-4A07-AFD2-5C333FA9E809}">
      <text>
        <r>
          <rPr>
            <sz val="9"/>
            <color indexed="81"/>
            <rFont val="Tahoma"/>
            <family val="2"/>
          </rPr>
          <t>Mix of dark nebula, bright stars and dense star fields</t>
        </r>
      </text>
    </comment>
    <comment ref="A1261" authorId="0" shapeId="0" xr:uid="{76766CF4-77EB-474E-88CF-FB29EE35E9C2}">
      <text>
        <r>
          <rPr>
            <sz val="9"/>
            <color indexed="81"/>
            <rFont val="Tahoma"/>
            <family val="2"/>
          </rPr>
          <t xml:space="preserve">
</t>
        </r>
      </text>
    </comment>
    <comment ref="K1261" authorId="0" shapeId="0" xr:uid="{C25821B6-712D-45A1-B4E4-019AF7F62619}">
      <text>
        <r>
          <rPr>
            <sz val="9"/>
            <color indexed="81"/>
            <rFont val="Tahoma"/>
            <family val="2"/>
          </rPr>
          <t>Mildly interesting field with several dark and reflection nebulae</t>
        </r>
      </text>
    </comment>
    <comment ref="A1262" authorId="0" shapeId="0" xr:uid="{9261EAAB-9DEC-44F6-BA25-AF558EB0F756}">
      <text>
        <r>
          <rPr>
            <sz val="9"/>
            <color indexed="81"/>
            <rFont val="Tahoma"/>
            <family val="2"/>
          </rPr>
          <t xml:space="preserve">
</t>
        </r>
      </text>
    </comment>
    <comment ref="K1262" authorId="0" shapeId="0" xr:uid="{F2CFC5D6-0A46-4ED8-9BF2-97F5B098B293}">
      <text>
        <r>
          <rPr>
            <sz val="9"/>
            <color indexed="81"/>
            <rFont val="Tahoma"/>
            <family val="2"/>
          </rPr>
          <t>Interesting dark nebula shape adjacent to small white reflection nebula</t>
        </r>
      </text>
    </comment>
    <comment ref="A1263" authorId="0" shapeId="0" xr:uid="{F16A6262-8896-464B-BF1C-E39D2E509072}">
      <text>
        <r>
          <rPr>
            <sz val="9"/>
            <color indexed="81"/>
            <rFont val="Tahoma"/>
            <family val="2"/>
          </rPr>
          <t xml:space="preserve">
</t>
        </r>
      </text>
    </comment>
    <comment ref="K1263" authorId="0" shapeId="0" xr:uid="{761EA35B-DBA2-4CC4-8A93-7930003F8D10}">
      <text>
        <r>
          <rPr>
            <sz val="9"/>
            <color indexed="81"/>
            <rFont val="Tahoma"/>
            <family val="2"/>
          </rPr>
          <t>Wonderfully complex dark nebula with many small bright objects in the field</t>
        </r>
      </text>
    </comment>
    <comment ref="A1264" authorId="0" shapeId="0" xr:uid="{BFB63D23-246E-414D-906A-56E424102154}">
      <text>
        <r>
          <rPr>
            <sz val="9"/>
            <color indexed="81"/>
            <rFont val="Tahoma"/>
            <family val="2"/>
          </rPr>
          <t xml:space="preserve">
</t>
        </r>
      </text>
    </comment>
    <comment ref="K1264" authorId="0" shapeId="0" xr:uid="{03C89C8E-5304-4054-8FDB-4EA41F179F53}">
      <text>
        <r>
          <rPr>
            <sz val="9"/>
            <color indexed="81"/>
            <rFont val="Tahoma"/>
            <family val="2"/>
          </rPr>
          <t>Long dark nebula highlighted by a small white reflection nebula.</t>
        </r>
      </text>
    </comment>
    <comment ref="A1265" authorId="0" shapeId="0" xr:uid="{DA2E07D2-EA3F-4D41-854E-ACD92C86C233}">
      <text>
        <r>
          <rPr>
            <sz val="9"/>
            <color indexed="81"/>
            <rFont val="Tahoma"/>
            <family val="2"/>
          </rPr>
          <t xml:space="preserve">
</t>
        </r>
      </text>
    </comment>
    <comment ref="K1265" authorId="0" shapeId="0" xr:uid="{99A0BE73-6EF9-47DF-A5B7-F94141DACC47}">
      <text>
        <r>
          <rPr>
            <sz val="9"/>
            <color indexed="81"/>
            <rFont val="Tahoma"/>
            <family val="2"/>
          </rPr>
          <t>Dark nebula surrounded by bright stars and containing a small white reflection nebula</t>
        </r>
      </text>
    </comment>
    <comment ref="A1266" authorId="0" shapeId="0" xr:uid="{B5B57583-9615-470F-8C34-26E1C90DC695}">
      <text>
        <r>
          <rPr>
            <sz val="9"/>
            <color indexed="81"/>
            <rFont val="Tahoma"/>
            <family val="2"/>
          </rPr>
          <t xml:space="preserve">
</t>
        </r>
      </text>
    </comment>
    <comment ref="K1266" authorId="0" shapeId="0" xr:uid="{213A5A27-EF16-4AB1-A064-82396A56326C}">
      <text>
        <r>
          <rPr>
            <sz val="9"/>
            <color indexed="81"/>
            <rFont val="Tahoma"/>
            <family val="2"/>
          </rPr>
          <t>Beautifully complex molecular cloud in Cepheus</t>
        </r>
      </text>
    </comment>
    <comment ref="A1267" authorId="0" shapeId="0" xr:uid="{8EE1C8F5-7FC4-44A8-BECF-DCE0D422010E}">
      <text>
        <r>
          <rPr>
            <sz val="9"/>
            <color indexed="81"/>
            <rFont val="Tahoma"/>
            <family val="2"/>
          </rPr>
          <t xml:space="preserve">
</t>
        </r>
      </text>
    </comment>
    <comment ref="K1267" authorId="0" shapeId="0" xr:uid="{60D11CFD-CEF3-485C-89C2-8535F4B30D4F}">
      <text>
        <r>
          <rPr>
            <sz val="9"/>
            <color indexed="81"/>
            <rFont val="Tahoma"/>
            <family val="2"/>
          </rPr>
          <t>Gorgeous region of dark, reflection and emission nebula</t>
        </r>
      </text>
    </comment>
    <comment ref="A1268" authorId="0" shapeId="0" xr:uid="{98E5073C-DD29-497F-A1CB-1EDAA7D1B1D5}">
      <text>
        <r>
          <rPr>
            <sz val="9"/>
            <color indexed="81"/>
            <rFont val="Tahoma"/>
            <family val="2"/>
          </rPr>
          <t xml:space="preserve">
</t>
        </r>
      </text>
    </comment>
    <comment ref="K1268" authorId="0" shapeId="0" xr:uid="{C226799F-CE89-4118-8F7F-BFB8F3160A1A}">
      <text>
        <r>
          <rPr>
            <sz val="9"/>
            <color indexed="81"/>
            <rFont val="Tahoma"/>
            <family val="2"/>
          </rPr>
          <t>Shapely dark nebula with bright colorful stars</t>
        </r>
      </text>
    </comment>
    <comment ref="A1269" authorId="0" shapeId="0" xr:uid="{FA432B1B-6DBD-43C5-8556-5C70019576AD}">
      <text>
        <r>
          <rPr>
            <sz val="9"/>
            <color indexed="81"/>
            <rFont val="Tahoma"/>
            <family val="2"/>
          </rPr>
          <t xml:space="preserve">
</t>
        </r>
      </text>
    </comment>
    <comment ref="K1269" authorId="0" shapeId="0" xr:uid="{ABCE139F-F47A-4452-AEDA-A898F54646D5}">
      <text>
        <r>
          <rPr>
            <sz val="9"/>
            <color indexed="81"/>
            <rFont val="Tahoma"/>
            <family val="2"/>
          </rPr>
          <t>Dark nebula silhouetted by molecular cloud</t>
        </r>
      </text>
    </comment>
    <comment ref="A1270" authorId="0" shapeId="0" xr:uid="{9567691F-6C40-4F2F-AC03-D2986622ECC6}">
      <text>
        <r>
          <rPr>
            <sz val="9"/>
            <color indexed="81"/>
            <rFont val="Tahoma"/>
            <family val="2"/>
          </rPr>
          <t xml:space="preserve">
</t>
        </r>
      </text>
    </comment>
    <comment ref="K1270" authorId="0" shapeId="0" xr:uid="{1DA34806-4A68-4A8B-8D54-A84CE43A6B45}">
      <text>
        <r>
          <rPr>
            <sz val="9"/>
            <color indexed="81"/>
            <rFont val="Tahoma"/>
            <family val="2"/>
          </rPr>
          <t>Small dark nebula set within a molecular cloud</t>
        </r>
      </text>
    </comment>
    <comment ref="A1271" authorId="0" shapeId="0" xr:uid="{00FDBC72-4321-4EF4-BAD9-238A98506084}">
      <text>
        <r>
          <rPr>
            <sz val="9"/>
            <color indexed="81"/>
            <rFont val="Tahoma"/>
            <family val="2"/>
          </rPr>
          <t xml:space="preserve">
</t>
        </r>
      </text>
    </comment>
    <comment ref="K1271" authorId="0" shapeId="0" xr:uid="{D74435EB-CC58-4ED9-87A4-11637C2C3633}">
      <text>
        <r>
          <rPr>
            <sz val="9"/>
            <color indexed="81"/>
            <rFont val="Tahoma"/>
            <family val="2"/>
          </rPr>
          <t>Shapely series of dark and light clouds, with 2 vdB refl. nebula</t>
        </r>
      </text>
    </comment>
    <comment ref="A1272" authorId="0" shapeId="0" xr:uid="{1B855032-26D8-4135-9CDE-0DAC1C95FF9A}">
      <text>
        <r>
          <rPr>
            <sz val="9"/>
            <color indexed="81"/>
            <rFont val="Tahoma"/>
            <family val="2"/>
          </rPr>
          <t xml:space="preserve">
</t>
        </r>
      </text>
    </comment>
    <comment ref="K1272" authorId="0" shapeId="0" xr:uid="{FCBFC8F0-D30E-49E4-BC9E-71F07321AE63}">
      <text>
        <r>
          <rPr>
            <sz val="9"/>
            <color indexed="81"/>
            <rFont val="Tahoma"/>
            <family val="2"/>
          </rPr>
          <t>Sprawling intriguing vista of dark and reflection nebulae</t>
        </r>
      </text>
    </comment>
    <comment ref="A1273" authorId="0" shapeId="0" xr:uid="{E59FC99D-8A54-4CC3-90BE-69531AB12989}">
      <text>
        <r>
          <rPr>
            <sz val="9"/>
            <color indexed="81"/>
            <rFont val="Tahoma"/>
            <family val="2"/>
          </rPr>
          <t xml:space="preserve">
</t>
        </r>
      </text>
    </comment>
    <comment ref="K1273" authorId="0" shapeId="0" xr:uid="{EB2600C7-BFFF-4C7A-9CA2-AC8271BFF59F}">
      <text>
        <r>
          <rPr>
            <sz val="9"/>
            <color indexed="81"/>
            <rFont val="Tahoma"/>
            <family val="2"/>
          </rPr>
          <t>Wonderful dark nebula with HII emission components and yellow reflection nebula</t>
        </r>
      </text>
    </comment>
    <comment ref="A1274" authorId="0" shapeId="0" xr:uid="{E95F9B64-9C18-4E55-A4BF-386BD099299A}">
      <text>
        <r>
          <rPr>
            <sz val="9"/>
            <color indexed="81"/>
            <rFont val="Tahoma"/>
            <family val="2"/>
          </rPr>
          <t xml:space="preserve">
</t>
        </r>
      </text>
    </comment>
    <comment ref="K1274" authorId="0" shapeId="0" xr:uid="{92920F0C-88AD-4B9B-A471-039B1AF010AF}">
      <text>
        <r>
          <rPr>
            <sz val="9"/>
            <color indexed="81"/>
            <rFont val="Tahoma"/>
            <family val="2"/>
          </rPr>
          <t>Close dim dwarf galaxy near the bright star Regulus</t>
        </r>
      </text>
    </comment>
    <comment ref="A1275" authorId="0" shapeId="0" xr:uid="{87022BEF-120C-4AAB-89E4-C0ED760F7E7B}">
      <text>
        <r>
          <rPr>
            <sz val="9"/>
            <color indexed="81"/>
            <rFont val="Tahoma"/>
            <family val="2"/>
          </rPr>
          <t xml:space="preserve">
</t>
        </r>
      </text>
    </comment>
    <comment ref="K1275" authorId="0" shapeId="0" xr:uid="{864D6144-3C49-4611-978B-B2DC48EFAE71}">
      <text>
        <r>
          <rPr>
            <sz val="9"/>
            <color indexed="81"/>
            <rFont val="Tahoma"/>
            <family val="2"/>
          </rPr>
          <t xml:space="preserve">Small reflection nebula in dust cloud surrounding a young star </t>
        </r>
      </text>
    </comment>
    <comment ref="A1276" authorId="0" shapeId="0" xr:uid="{B6A98625-2CE9-4D87-A84F-25CD6D494C22}">
      <text>
        <r>
          <rPr>
            <sz val="9"/>
            <color indexed="81"/>
            <rFont val="Tahoma"/>
            <family val="2"/>
          </rPr>
          <t xml:space="preserve">
</t>
        </r>
      </text>
    </comment>
    <comment ref="K1276" authorId="0" shapeId="0" xr:uid="{D1D3A120-78C6-40A9-BDDD-22E7AC82B9B2}">
      <text>
        <r>
          <rPr>
            <sz val="9"/>
            <color indexed="81"/>
            <rFont val="Tahoma"/>
            <family val="2"/>
          </rPr>
          <t>YSO emitting a small intricate blue reflection nebula</t>
        </r>
      </text>
    </comment>
    <comment ref="A1277" authorId="0" shapeId="0" xr:uid="{F608FE47-8FAB-4285-B948-75B7FCCB962F}">
      <text>
        <r>
          <rPr>
            <sz val="9"/>
            <color indexed="81"/>
            <rFont val="Tahoma"/>
            <family val="2"/>
          </rPr>
          <t xml:space="preserve">
</t>
        </r>
      </text>
    </comment>
    <comment ref="K1277" authorId="0" shapeId="0" xr:uid="{0A9423F6-3C7A-4827-8418-1EA0536C3673}">
      <text>
        <r>
          <rPr>
            <sz val="9"/>
            <color indexed="81"/>
            <rFont val="Tahoma"/>
            <family val="2"/>
          </rPr>
          <t>The wonder that is the Large Magellanic Cloud</t>
        </r>
      </text>
    </comment>
    <comment ref="A1278" authorId="0" shapeId="0" xr:uid="{542ED3AE-DDD5-4ACB-9FC7-A17D84A3AD5B}">
      <text>
        <r>
          <rPr>
            <sz val="9"/>
            <color indexed="81"/>
            <rFont val="Tahoma"/>
            <family val="2"/>
          </rPr>
          <t xml:space="preserve">
</t>
        </r>
      </text>
    </comment>
    <comment ref="K1278" authorId="0" shapeId="0" xr:uid="{C9C654C4-E6AE-439E-AB79-3E0B6F0B2D02}">
      <text>
        <r>
          <rPr>
            <sz val="9"/>
            <color indexed="81"/>
            <rFont val="Tahoma"/>
            <family val="2"/>
          </rPr>
          <t>Spherical OII-dominated PN with progenitor</t>
        </r>
      </text>
    </comment>
    <comment ref="A1279" authorId="0" shapeId="0" xr:uid="{EC4E238A-F9AB-4A86-9EFE-BAA132BEE83E}">
      <text>
        <r>
          <rPr>
            <sz val="9"/>
            <color indexed="81"/>
            <rFont val="Tahoma"/>
            <family val="2"/>
          </rPr>
          <t xml:space="preserve">
</t>
        </r>
      </text>
    </comment>
    <comment ref="K1279" authorId="0" shapeId="0" xr:uid="{2A215C8B-3E87-468D-9259-5CE7B2366E88}">
      <text>
        <r>
          <rPr>
            <sz val="9"/>
            <color indexed="81"/>
            <rFont val="Tahoma"/>
            <family val="2"/>
          </rPr>
          <t>Fascinating HII-dominated PN shape</t>
        </r>
      </text>
    </comment>
    <comment ref="A1280" authorId="0" shapeId="0" xr:uid="{C5655CC4-1229-4F44-A078-2166208D24BB}">
      <text>
        <r>
          <rPr>
            <sz val="9"/>
            <color indexed="81"/>
            <rFont val="Tahoma"/>
            <family val="2"/>
          </rPr>
          <t xml:space="preserve">
</t>
        </r>
      </text>
    </comment>
    <comment ref="K1280" authorId="0" shapeId="0" xr:uid="{150FDC42-1FEE-4960-BE92-86DEBD2B227D}">
      <text>
        <r>
          <rPr>
            <sz val="9"/>
            <color indexed="81"/>
            <rFont val="Tahoma"/>
            <family val="2"/>
          </rPr>
          <t>Owl-shaped OIII-dominated PN with bright progenitor that looks like foreground star</t>
        </r>
      </text>
    </comment>
    <comment ref="A1281" authorId="0" shapeId="0" xr:uid="{8466AC99-2623-409C-A00A-02C9570139DE}">
      <text>
        <r>
          <rPr>
            <sz val="9"/>
            <color indexed="81"/>
            <rFont val="Tahoma"/>
            <family val="2"/>
          </rPr>
          <t xml:space="preserve">
</t>
        </r>
      </text>
    </comment>
    <comment ref="K1281" authorId="0" shapeId="0" xr:uid="{824C087F-C7D0-4C6E-AD64-318FBAE6E7D5}">
      <text>
        <r>
          <rPr>
            <sz val="9"/>
            <color indexed="81"/>
            <rFont val="Tahoma"/>
            <family val="2"/>
          </rPr>
          <t>Very faint ancient PN, OIII-dominated</t>
        </r>
      </text>
    </comment>
    <comment ref="A1282" authorId="0" shapeId="0" xr:uid="{2B2B0537-95C3-4786-8D6C-6978F790489C}">
      <text>
        <r>
          <rPr>
            <sz val="9"/>
            <color indexed="81"/>
            <rFont val="Tahoma"/>
            <family val="2"/>
          </rPr>
          <t xml:space="preserve">
</t>
        </r>
      </text>
    </comment>
    <comment ref="K1282" authorId="0" shapeId="0" xr:uid="{E7821BDC-5456-452D-8D97-842C113CE29C}">
      <text>
        <r>
          <rPr>
            <sz val="9"/>
            <color indexed="81"/>
            <rFont val="Tahoma"/>
            <family val="2"/>
          </rPr>
          <t>Showcase SNR, the only Messier object whose birth was witness by man.</t>
        </r>
      </text>
    </comment>
    <comment ref="A1283" authorId="0" shapeId="0" xr:uid="{B0CF2300-D2E0-4401-ADDA-F6CD39DA7F41}">
      <text>
        <r>
          <rPr>
            <sz val="9"/>
            <color indexed="81"/>
            <rFont val="Tahoma"/>
            <family val="2"/>
          </rPr>
          <t xml:space="preserve">
</t>
        </r>
      </text>
    </comment>
    <comment ref="K1283" authorId="0" shapeId="0" xr:uid="{51979B97-4F1D-438C-ACE6-34AD89EE53F5}">
      <text>
        <r>
          <rPr>
            <sz val="9"/>
            <color indexed="81"/>
            <rFont val="Tahoma"/>
            <family val="2"/>
          </rPr>
          <t>One of the largest globulars, with am overall shape that is more elliptical than usual, concentrated</t>
        </r>
      </text>
    </comment>
    <comment ref="A1284" authorId="0" shapeId="0" xr:uid="{15590678-F16F-4EB1-A985-5C92CF01093B}">
      <text>
        <r>
          <rPr>
            <sz val="9"/>
            <color indexed="81"/>
            <rFont val="Tahoma"/>
            <family val="2"/>
          </rPr>
          <t xml:space="preserve">
</t>
        </r>
      </text>
    </comment>
    <comment ref="K1284" authorId="0" shapeId="0" xr:uid="{62B7E771-B114-43D2-8A5E-64D0E321AA1B}">
      <text>
        <r>
          <rPr>
            <sz val="9"/>
            <color indexed="81"/>
            <rFont val="Tahoma"/>
            <family val="2"/>
          </rPr>
          <t>Large globular with colorful outlying stars and nice resolution to the core</t>
        </r>
      </text>
    </comment>
    <comment ref="A1285" authorId="0" shapeId="0" xr:uid="{1FE4CA02-C069-41F2-A072-B0620F6E521A}">
      <text>
        <r>
          <rPr>
            <sz val="9"/>
            <color indexed="81"/>
            <rFont val="Tahoma"/>
            <family val="2"/>
          </rPr>
          <t xml:space="preserve">
</t>
        </r>
      </text>
    </comment>
    <comment ref="K1285" authorId="0" shapeId="0" xr:uid="{336099F8-820B-47BC-A21D-43655DAD7114}">
      <text>
        <r>
          <rPr>
            <sz val="9"/>
            <color indexed="81"/>
            <rFont val="Tahoma"/>
            <family val="2"/>
          </rPr>
          <t>One of the closest Messier globulars and also one of the least concentrated.</t>
        </r>
      </text>
    </comment>
    <comment ref="A1286" authorId="0" shapeId="0" xr:uid="{34F11055-F88D-4DED-A7D6-436459C6C37C}">
      <text>
        <r>
          <rPr>
            <sz val="9"/>
            <color indexed="81"/>
            <rFont val="Tahoma"/>
            <family val="2"/>
          </rPr>
          <t xml:space="preserve">
</t>
        </r>
      </text>
    </comment>
    <comment ref="K1286" authorId="0" shapeId="0" xr:uid="{3C65ADE3-B142-460C-8748-42D2D5ED5630}">
      <text>
        <r>
          <rPr>
            <sz val="9"/>
            <color indexed="81"/>
            <rFont val="Tahoma"/>
            <family val="2"/>
          </rPr>
          <t>Nicknamed the Rose cluster, this globular has a high number of blue stars around the core.</t>
        </r>
      </text>
    </comment>
    <comment ref="A1287" authorId="0" shapeId="0" xr:uid="{EBCD7FBD-5BD8-4A23-BC52-8CD73A87C1B7}">
      <text>
        <r>
          <rPr>
            <sz val="9"/>
            <color indexed="81"/>
            <rFont val="Tahoma"/>
            <family val="2"/>
          </rPr>
          <t xml:space="preserve">
</t>
        </r>
      </text>
    </comment>
    <comment ref="K1287" authorId="0" shapeId="0" xr:uid="{7F60EE80-F88F-44EA-8CC3-AAA969614CCF}">
      <text>
        <r>
          <rPr>
            <sz val="9"/>
            <color indexed="81"/>
            <rFont val="Tahoma"/>
            <family val="2"/>
          </rPr>
          <t>Well spaced cluster of 80 stars located 1500 light years away</t>
        </r>
      </text>
    </comment>
    <comment ref="A1288" authorId="0" shapeId="0" xr:uid="{033DDD3A-2CA2-442C-B75B-40D29B38E657}">
      <text>
        <r>
          <rPr>
            <sz val="9"/>
            <color indexed="81"/>
            <rFont val="Tahoma"/>
            <family val="2"/>
          </rPr>
          <t xml:space="preserve">
</t>
        </r>
      </text>
    </comment>
    <comment ref="K1288" authorId="0" shapeId="0" xr:uid="{68A03433-C592-40EA-B6CD-B18DC325A11D}">
      <text>
        <r>
          <rPr>
            <sz val="9"/>
            <color indexed="81"/>
            <rFont val="Tahoma"/>
            <family val="2"/>
          </rPr>
          <t>Bright mag 3.3 80 star cluster, the most southerly Messier object. Located adjacent to Barnard 287</t>
        </r>
      </text>
    </comment>
    <comment ref="A1289" authorId="0" shapeId="0" xr:uid="{FDEDE06A-A6BB-4801-9D14-030D27873775}">
      <text>
        <r>
          <rPr>
            <sz val="9"/>
            <color indexed="81"/>
            <rFont val="Tahoma"/>
            <family val="2"/>
          </rPr>
          <t xml:space="preserve">
</t>
        </r>
      </text>
    </comment>
    <comment ref="K1289" authorId="0" shapeId="0" xr:uid="{1CA82B26-93E6-43F0-A735-9B7E77CF0804}">
      <text>
        <r>
          <rPr>
            <sz val="9"/>
            <color indexed="81"/>
            <rFont val="Tahoma"/>
            <family val="2"/>
          </rPr>
          <t>Large complex showcase emission nebula, looking like a Lagoon especially when processed with the NB SHO palette.</t>
        </r>
      </text>
    </comment>
    <comment ref="A1290" authorId="0" shapeId="0" xr:uid="{32762B9A-7B5F-44AE-B5AD-CD9AF6CFD9DA}">
      <text>
        <r>
          <rPr>
            <sz val="9"/>
            <color indexed="81"/>
            <rFont val="Tahoma"/>
            <family val="2"/>
          </rPr>
          <t xml:space="preserve">
</t>
        </r>
      </text>
    </comment>
    <comment ref="K1290" authorId="0" shapeId="0" xr:uid="{535E59FE-00B2-4350-9979-914088DE9B8E}">
      <text>
        <r>
          <rPr>
            <sz val="9"/>
            <color indexed="81"/>
            <rFont val="Tahoma"/>
            <family val="2"/>
          </rPr>
          <t>One of the nearest globs to the galactic center.  Cluster flattened due to gravitational influence of Milky Way core.</t>
        </r>
      </text>
    </comment>
    <comment ref="A1291" authorId="0" shapeId="0" xr:uid="{8E1C7F41-E365-4D65-BB12-78509C0D29E0}">
      <text>
        <r>
          <rPr>
            <sz val="9"/>
            <color indexed="81"/>
            <rFont val="Tahoma"/>
            <family val="2"/>
          </rPr>
          <t xml:space="preserve">
</t>
        </r>
      </text>
    </comment>
    <comment ref="K1291" authorId="0" shapeId="0" xr:uid="{8D2E8D87-8331-4B62-AEF9-FEE382158B76}">
      <text>
        <r>
          <rPr>
            <sz val="9"/>
            <color indexed="81"/>
            <rFont val="Tahoma"/>
            <family val="2"/>
          </rPr>
          <t>Bright globular with blue stars dominating half of the cluster.</t>
        </r>
      </text>
    </comment>
    <comment ref="A1292" authorId="0" shapeId="0" xr:uid="{B9084EA4-8424-41B4-9C00-5E5B78AC5982}">
      <text>
        <r>
          <rPr>
            <sz val="9"/>
            <color indexed="81"/>
            <rFont val="Tahoma"/>
            <family val="2"/>
          </rPr>
          <t xml:space="preserve">
</t>
        </r>
      </text>
    </comment>
    <comment ref="K1292" authorId="0" shapeId="0" xr:uid="{026C34DA-4177-42B7-8598-D017890585FC}">
      <text>
        <r>
          <rPr>
            <sz val="9"/>
            <color indexed="81"/>
            <rFont val="Tahoma"/>
            <family val="2"/>
          </rPr>
          <t>A beautiful and populated cluster, with over 3000 stars.</t>
        </r>
      </text>
    </comment>
    <comment ref="A1293" authorId="0" shapeId="0" xr:uid="{A7F67C20-8FC8-413A-99B0-9EA85C481907}">
      <text>
        <r>
          <rPr>
            <sz val="9"/>
            <color indexed="81"/>
            <rFont val="Tahoma"/>
            <family val="2"/>
          </rPr>
          <t xml:space="preserve">
</t>
        </r>
      </text>
    </comment>
    <comment ref="K1293" authorId="0" shapeId="0" xr:uid="{E50F5DE5-8BEA-452A-8738-A78AFC0CFC1F}">
      <text>
        <r>
          <rPr>
            <sz val="9"/>
            <color indexed="81"/>
            <rFont val="Tahoma"/>
            <family val="2"/>
          </rPr>
          <t>A loosely concentrated mag 6.1 globular of about 200,000 stars.</t>
        </r>
      </text>
    </comment>
    <comment ref="A1294" authorId="0" shapeId="0" xr:uid="{79551EA3-D055-41DD-93CB-314F51FA6803}">
      <text>
        <r>
          <rPr>
            <sz val="9"/>
            <color indexed="81"/>
            <rFont val="Tahoma"/>
            <family val="2"/>
          </rPr>
          <t xml:space="preserve">
</t>
        </r>
      </text>
    </comment>
    <comment ref="K1294" authorId="0" shapeId="0" xr:uid="{EA471518-29FB-44FD-8600-52BB85B83160}">
      <text>
        <r>
          <rPr>
            <sz val="9"/>
            <color indexed="81"/>
            <rFont val="Tahoma"/>
            <family val="2"/>
          </rPr>
          <t>Showcase object, one of the finest globular clusters in the northern hemisphere.</t>
        </r>
      </text>
    </comment>
    <comment ref="A1295" authorId="0" shapeId="0" xr:uid="{1F0ECCD9-58F7-4E9D-B2A1-BCB4393A7A50}">
      <text>
        <r>
          <rPr>
            <sz val="9"/>
            <color indexed="81"/>
            <rFont val="Tahoma"/>
            <family val="2"/>
          </rPr>
          <t xml:space="preserve">
</t>
        </r>
      </text>
    </comment>
    <comment ref="K1295" authorId="0" shapeId="0" xr:uid="{219E398E-D9C9-4FDA-B501-CAF97E5D38EF}">
      <text>
        <r>
          <rPr>
            <sz val="9"/>
            <color indexed="81"/>
            <rFont val="Tahoma"/>
            <family val="2"/>
          </rPr>
          <t>Distant globular cluster with the core a bit elongated.</t>
        </r>
      </text>
    </comment>
    <comment ref="A1296" authorId="0" shapeId="0" xr:uid="{2C7DCD79-5EE1-4EDD-86AD-AA62AA8DF177}">
      <text>
        <r>
          <rPr>
            <sz val="9"/>
            <color indexed="81"/>
            <rFont val="Tahoma"/>
            <family val="2"/>
          </rPr>
          <t xml:space="preserve">
</t>
        </r>
      </text>
    </comment>
    <comment ref="K1296" authorId="0" shapeId="0" xr:uid="{383BD8EB-02C9-4569-A5B9-67699A814CCB}">
      <text>
        <r>
          <rPr>
            <sz val="9"/>
            <color indexed="81"/>
            <rFont val="Tahoma"/>
            <family val="2"/>
          </rPr>
          <t>Distant, relative compact globular cluster with a dense core.</t>
        </r>
      </text>
    </comment>
    <comment ref="A1297" authorId="0" shapeId="0" xr:uid="{48A251CA-380E-4382-A5A4-75A5C976ECD2}">
      <text>
        <r>
          <rPr>
            <sz val="9"/>
            <color indexed="81"/>
            <rFont val="Tahoma"/>
            <family val="2"/>
          </rPr>
          <t xml:space="preserve">
</t>
        </r>
      </text>
    </comment>
    <comment ref="K1297" authorId="0" shapeId="0" xr:uid="{6F8218EB-7312-460A-8778-977738250AD3}">
      <text>
        <r>
          <rPr>
            <sz val="9"/>
            <color indexed="81"/>
            <rFont val="Tahoma"/>
            <family val="2"/>
          </rPr>
          <t>My favorite deep sky object, highlighted by the Pillars of Creation</t>
        </r>
      </text>
    </comment>
    <comment ref="A1298" authorId="0" shapeId="0" xr:uid="{CCE1BD6D-D11F-4CBC-A940-3041A67B89C5}">
      <text>
        <r>
          <rPr>
            <sz val="9"/>
            <color indexed="81"/>
            <rFont val="Tahoma"/>
            <family val="2"/>
          </rPr>
          <t xml:space="preserve">
</t>
        </r>
      </text>
    </comment>
    <comment ref="K1298" authorId="0" shapeId="0" xr:uid="{117E95CE-58B2-4708-A0BE-F38D607B4344}">
      <text>
        <r>
          <rPr>
            <sz val="9"/>
            <color indexed="81"/>
            <rFont val="Tahoma"/>
            <family val="2"/>
          </rPr>
          <t>Complex bright narrowband nebula with many nicknames</t>
        </r>
      </text>
    </comment>
    <comment ref="A1299" authorId="0" shapeId="0" xr:uid="{3F4E5423-C6D3-4749-A478-3247B30AE0EE}">
      <text>
        <r>
          <rPr>
            <sz val="9"/>
            <color indexed="81"/>
            <rFont val="Tahoma"/>
            <family val="2"/>
          </rPr>
          <t xml:space="preserve">
</t>
        </r>
      </text>
    </comment>
    <comment ref="K1299" authorId="0" shapeId="0" xr:uid="{FB7FE19D-6020-40E0-B118-CD3AD241E9F8}">
      <text>
        <r>
          <rPr>
            <sz val="9"/>
            <color indexed="81"/>
            <rFont val="Tahoma"/>
            <family val="2"/>
          </rPr>
          <t>Dim Messier cluster but with several large bright blue, yellow and orange stars.</t>
        </r>
      </text>
    </comment>
    <comment ref="A1300" authorId="0" shapeId="0" xr:uid="{F0A90B30-1F41-416E-9799-A86DB77C35D6}">
      <text>
        <r>
          <rPr>
            <sz val="9"/>
            <color indexed="81"/>
            <rFont val="Tahoma"/>
            <family val="2"/>
          </rPr>
          <t xml:space="preserve">
</t>
        </r>
      </text>
    </comment>
    <comment ref="K1300" authorId="0" shapeId="0" xr:uid="{C4BD2221-C051-4300-A938-937ECF6DCC8B}">
      <text>
        <r>
          <rPr>
            <sz val="9"/>
            <color indexed="81"/>
            <rFont val="Tahoma"/>
            <family val="2"/>
          </rPr>
          <t>Oblong globular which is partially obscured by dust</t>
        </r>
      </text>
    </comment>
    <comment ref="A1301" authorId="0" shapeId="0" xr:uid="{0022035E-C3E2-4143-A0F4-9FB4DD9BE0D5}">
      <text>
        <r>
          <rPr>
            <sz val="9"/>
            <color indexed="81"/>
            <rFont val="Tahoma"/>
            <family val="2"/>
          </rPr>
          <t xml:space="preserve">
</t>
        </r>
      </text>
    </comment>
    <comment ref="K1301" authorId="0" shapeId="0" xr:uid="{A1B8AFB3-1A1A-47E2-8C47-A2EB5218C217}">
      <text>
        <r>
          <rPr>
            <sz val="9"/>
            <color indexed="81"/>
            <rFont val="Tahoma"/>
            <family val="2"/>
          </rPr>
          <t>Beautiful showcase emission and reflection nebula with silhouetted dust lanes</t>
        </r>
      </text>
    </comment>
    <comment ref="A1302" authorId="0" shapeId="0" xr:uid="{82F5BED1-4257-4C16-BB1A-7BB6AC481069}">
      <text>
        <r>
          <rPr>
            <sz val="9"/>
            <color indexed="81"/>
            <rFont val="Tahoma"/>
            <family val="2"/>
          </rPr>
          <t xml:space="preserve">
</t>
        </r>
      </text>
    </comment>
    <comment ref="K1302" authorId="0" shapeId="0" xr:uid="{F653DF31-207C-41B6-875C-7299E066E240}">
      <text>
        <r>
          <rPr>
            <sz val="9"/>
            <color indexed="81"/>
            <rFont val="Tahoma"/>
            <family val="2"/>
          </rPr>
          <t>Concentrated 60 star open cluster, fairly bright</t>
        </r>
      </text>
    </comment>
    <comment ref="A1303" authorId="0" shapeId="0" xr:uid="{5DCDAC26-70C9-4165-B90A-30702C761EAA}">
      <text>
        <r>
          <rPr>
            <sz val="9"/>
            <color indexed="81"/>
            <rFont val="Tahoma"/>
            <family val="2"/>
          </rPr>
          <t xml:space="preserve">
</t>
        </r>
      </text>
    </comment>
    <comment ref="K1303" authorId="0" shapeId="0" xr:uid="{56072D41-CC51-4F1F-B478-99EB397F37C6}">
      <text>
        <r>
          <rPr>
            <sz val="9"/>
            <color indexed="81"/>
            <rFont val="Tahoma"/>
            <family val="2"/>
          </rPr>
          <t>Brightest globular cluster in the Messier catalog</t>
        </r>
      </text>
    </comment>
    <comment ref="A1304" authorId="0" shapeId="0" xr:uid="{547C20F1-1171-4EF3-B2C7-88E73FA95C84}">
      <text>
        <r>
          <rPr>
            <sz val="9"/>
            <color indexed="81"/>
            <rFont val="Tahoma"/>
            <family val="2"/>
          </rPr>
          <t xml:space="preserve">
</t>
        </r>
      </text>
    </comment>
    <comment ref="K1304" authorId="0" shapeId="0" xr:uid="{1D5D998B-8C37-48BA-861A-F4BE9B3E8FC9}">
      <text>
        <r>
          <rPr>
            <sz val="9"/>
            <color indexed="81"/>
            <rFont val="Tahoma"/>
            <family val="2"/>
          </rPr>
          <t>primarily blue 200 star open cluster, spread out</t>
        </r>
      </text>
    </comment>
    <comment ref="A1305" authorId="0" shapeId="0" xr:uid="{A86B5F3F-AA65-4CCC-A06B-F7090783FD6E}">
      <text>
        <r>
          <rPr>
            <sz val="9"/>
            <color indexed="81"/>
            <rFont val="Tahoma"/>
            <family val="2"/>
          </rPr>
          <t xml:space="preserve">
</t>
        </r>
      </text>
    </comment>
    <comment ref="K1305" authorId="0" shapeId="0" xr:uid="{10B50B74-5D76-4B6D-A17A-B0B917CD4019}">
      <text>
        <r>
          <rPr>
            <sz val="9"/>
            <color indexed="81"/>
            <rFont val="Tahoma"/>
            <family val="2"/>
          </rPr>
          <t>Only star cloud in the Messier catalog, second brightest Messier object</t>
        </r>
      </text>
    </comment>
    <comment ref="A1306" authorId="0" shapeId="0" xr:uid="{98E5E22F-7C8C-422F-8CA8-AD8FBD85B294}">
      <text>
        <r>
          <rPr>
            <sz val="9"/>
            <color indexed="81"/>
            <rFont val="Tahoma"/>
            <family val="2"/>
          </rPr>
          <t xml:space="preserve">
</t>
        </r>
      </text>
    </comment>
    <comment ref="K1306" authorId="0" shapeId="0" xr:uid="{D1437561-517F-4A1F-AC4B-06DCE095C13C}">
      <text>
        <r>
          <rPr>
            <sz val="9"/>
            <color indexed="81"/>
            <rFont val="Tahoma"/>
            <family val="2"/>
          </rPr>
          <t>Pretty concentrated oblong cluster with colorful bright stars.</t>
        </r>
      </text>
    </comment>
    <comment ref="A1307" authorId="0" shapeId="0" xr:uid="{7523EA55-F947-4C5A-8C36-D10AC3CA9D5C}">
      <text>
        <r>
          <rPr>
            <sz val="9"/>
            <color indexed="81"/>
            <rFont val="Tahoma"/>
            <family val="2"/>
          </rPr>
          <t xml:space="preserve">
</t>
        </r>
      </text>
    </comment>
    <comment ref="K1307" authorId="0" shapeId="0" xr:uid="{743062E2-9CD6-4CAA-AE64-386103562625}">
      <text>
        <r>
          <rPr>
            <sz val="9"/>
            <color indexed="81"/>
            <rFont val="Tahoma"/>
            <family val="2"/>
          </rPr>
          <t>The dimmest open cluster in the Messier catalog.</t>
        </r>
      </text>
    </comment>
    <comment ref="A1308" authorId="0" shapeId="0" xr:uid="{E1E5FAE6-AE3F-4C40-B546-8DDCC1BE8D1F}">
      <text>
        <r>
          <rPr>
            <sz val="9"/>
            <color indexed="81"/>
            <rFont val="Tahoma"/>
            <family val="2"/>
          </rPr>
          <t xml:space="preserve">
</t>
        </r>
      </text>
    </comment>
    <comment ref="K1308" authorId="0" shapeId="0" xr:uid="{60701878-D332-42D2-8533-87FEBE83BCC6}">
      <text>
        <r>
          <rPr>
            <sz val="9"/>
            <color indexed="81"/>
            <rFont val="Tahoma"/>
            <family val="2"/>
          </rPr>
          <t>Showcase PN with fascinating dumbbell-like structure with expanding halos</t>
        </r>
      </text>
    </comment>
    <comment ref="A1309" authorId="0" shapeId="0" xr:uid="{A79BA060-F54D-4B67-8538-C608E9B9DD37}">
      <text>
        <r>
          <rPr>
            <sz val="9"/>
            <color indexed="81"/>
            <rFont val="Tahoma"/>
            <family val="2"/>
          </rPr>
          <t xml:space="preserve">
</t>
        </r>
      </text>
    </comment>
    <comment ref="K1309" authorId="0" shapeId="0" xr:uid="{792FA1A3-071A-40E3-B7BB-35F31D5BAAE5}">
      <text>
        <r>
          <rPr>
            <sz val="9"/>
            <color indexed="81"/>
            <rFont val="Tahoma"/>
            <family val="2"/>
          </rPr>
          <t>Beautiful star-shaped globular cluster with a dense Milky Way star background.</t>
        </r>
      </text>
    </comment>
    <comment ref="A1310" authorId="0" shapeId="0" xr:uid="{0554D044-0F28-436D-A0D4-501C8E618E06}">
      <text>
        <r>
          <rPr>
            <sz val="9"/>
            <color indexed="81"/>
            <rFont val="Tahoma"/>
            <family val="2"/>
          </rPr>
          <t xml:space="preserve">
</t>
        </r>
      </text>
    </comment>
    <comment ref="K1310" authorId="0" shapeId="0" xr:uid="{F6BC1A11-F6FE-4433-8C17-0CDEF867C75E}">
      <text>
        <r>
          <rPr>
            <sz val="9"/>
            <color indexed="81"/>
            <rFont val="Tahoma"/>
            <family val="2"/>
          </rPr>
          <t>Sparse cluster of 50 stars with several nice bright purple-blue stars</t>
        </r>
      </text>
    </comment>
    <comment ref="A1311" authorId="0" shapeId="0" xr:uid="{B3C15776-EF58-4D28-88C4-B177543D03E8}">
      <text>
        <r>
          <rPr>
            <sz val="9"/>
            <color indexed="81"/>
            <rFont val="Tahoma"/>
            <family val="2"/>
          </rPr>
          <t xml:space="preserve">
</t>
        </r>
      </text>
    </comment>
    <comment ref="K1311" authorId="0" shapeId="0" xr:uid="{D8128095-FD65-4359-A2F6-7C9CDA3758D6}">
      <text>
        <r>
          <rPr>
            <sz val="9"/>
            <color indexed="81"/>
            <rFont val="Tahoma"/>
            <family val="2"/>
          </rPr>
          <t>Typical Messier globular cluster nicknamed the Jellyfish</t>
        </r>
      </text>
    </comment>
    <comment ref="A1312" authorId="0" shapeId="0" xr:uid="{778BECB4-DBDD-4DB3-A937-7BC95F98FC16}">
      <text>
        <r>
          <rPr>
            <sz val="9"/>
            <color indexed="81"/>
            <rFont val="Tahoma"/>
            <family val="2"/>
          </rPr>
          <t xml:space="preserve">
</t>
        </r>
      </text>
    </comment>
    <comment ref="K1312" authorId="0" shapeId="0" xr:uid="{11A0BAB2-5688-4485-B623-D3952DD618D1}">
      <text>
        <r>
          <rPr>
            <sz val="9"/>
            <color indexed="81"/>
            <rFont val="Tahoma"/>
            <family val="2"/>
          </rPr>
          <t>Showcase galaxy, closest spiral to earth, with 2 satellite galaxies, dust lanes, and star clouds</t>
        </r>
      </text>
    </comment>
    <comment ref="A1313" authorId="0" shapeId="0" xr:uid="{42600656-43F4-4F13-9F51-9DD68E27490A}">
      <text>
        <r>
          <rPr>
            <sz val="9"/>
            <color indexed="81"/>
            <rFont val="Tahoma"/>
            <family val="2"/>
          </rPr>
          <t xml:space="preserve">
</t>
        </r>
      </text>
    </comment>
    <comment ref="K1313" authorId="0" shapeId="0" xr:uid="{F6F75256-4F28-49D0-9224-DA75BA540E24}">
      <text>
        <r>
          <rPr>
            <sz val="9"/>
            <color indexed="81"/>
            <rFont val="Tahoma"/>
            <family val="2"/>
          </rPr>
          <t xml:space="preserve">Featureless elliptical galaxy satellite of Andromeda.  </t>
        </r>
      </text>
    </comment>
    <comment ref="A1314" authorId="0" shapeId="0" xr:uid="{BDA761FF-3356-4F8B-A876-4DC7AFDAFD8D}">
      <text>
        <r>
          <rPr>
            <sz val="9"/>
            <color indexed="81"/>
            <rFont val="Tahoma"/>
            <family val="2"/>
          </rPr>
          <t xml:space="preserve">
</t>
        </r>
      </text>
    </comment>
    <comment ref="K1314" authorId="0" shapeId="0" xr:uid="{8EF86819-8E4E-489F-B494-5BFAB1C6E5A7}">
      <text>
        <r>
          <rPr>
            <sz val="9"/>
            <color indexed="81"/>
            <rFont val="Tahoma"/>
            <family val="2"/>
          </rPr>
          <t>2nd closest spiral to earth, nice HII regions and patchy dust lanes</t>
        </r>
      </text>
    </comment>
    <comment ref="A1315" authorId="0" shapeId="0" xr:uid="{F2DC0829-706D-4A30-9CF0-A2FB42633A28}">
      <text>
        <r>
          <rPr>
            <sz val="9"/>
            <color indexed="81"/>
            <rFont val="Tahoma"/>
            <family val="2"/>
          </rPr>
          <t xml:space="preserve">
</t>
        </r>
      </text>
    </comment>
    <comment ref="K1315" authorId="0" shapeId="0" xr:uid="{631E8DEC-BB78-4EA4-B12D-771126FB629B}">
      <text>
        <r>
          <rPr>
            <sz val="9"/>
            <color indexed="81"/>
            <rFont val="Tahoma"/>
            <family val="2"/>
          </rPr>
          <t>100 star colorful open cluster with nice NGC2438 PN adjacent</t>
        </r>
      </text>
    </comment>
    <comment ref="A1316" authorId="0" shapeId="0" xr:uid="{DA070F36-EDA6-4CE8-9987-43D166E28807}">
      <text>
        <r>
          <rPr>
            <sz val="9"/>
            <color indexed="81"/>
            <rFont val="Tahoma"/>
            <family val="2"/>
          </rPr>
          <t xml:space="preserve">
</t>
        </r>
      </text>
    </comment>
    <comment ref="K1316" authorId="0" shapeId="0" xr:uid="{8B8775D5-2939-47B9-A7AC-58F24917A5BB}">
      <text>
        <r>
          <rPr>
            <sz val="9"/>
            <color indexed="81"/>
            <rFont val="Tahoma"/>
            <family val="2"/>
          </rPr>
          <t>Pretty 200 star distributed cluster, contrasting with adjacent cluster NGC 2158.</t>
        </r>
      </text>
    </comment>
    <comment ref="A1317" authorId="0" shapeId="0" xr:uid="{FD331FD8-A364-47F9-A5B0-8C4E9F98D5E9}">
      <text>
        <r>
          <rPr>
            <sz val="9"/>
            <color indexed="81"/>
            <rFont val="Tahoma"/>
            <family val="2"/>
          </rPr>
          <t xml:space="preserve">
</t>
        </r>
      </text>
    </comment>
    <comment ref="K1317" authorId="0" shapeId="0" xr:uid="{BE0E8D4B-BBC7-4B52-8047-0CB5DCBB97FC}">
      <text>
        <r>
          <rPr>
            <sz val="9"/>
            <color indexed="81"/>
            <rFont val="Tahoma"/>
            <family val="2"/>
          </rPr>
          <t>Comprised of 50 stars located 3800 light years away, this is one of the fainter Messier open clusters.</t>
        </r>
      </text>
    </comment>
    <comment ref="A1318" authorId="0" shapeId="0" xr:uid="{1627F686-7666-4817-B426-17057055CB91}">
      <text>
        <r>
          <rPr>
            <sz val="9"/>
            <color indexed="81"/>
            <rFont val="Tahoma"/>
            <family val="2"/>
          </rPr>
          <t xml:space="preserve">
</t>
        </r>
      </text>
    </comment>
    <comment ref="K1318" authorId="0" shapeId="0" xr:uid="{002A554C-D0C8-4CB5-AB49-2522EB495996}">
      <text>
        <r>
          <rPr>
            <sz val="9"/>
            <color indexed="81"/>
            <rFont val="Tahoma"/>
            <family val="2"/>
          </rPr>
          <t>The most spectacular of the 3 open clusters in Auriga.</t>
        </r>
      </text>
    </comment>
    <comment ref="A1319" authorId="0" shapeId="0" xr:uid="{B1532996-6050-46B7-BB2A-79AD2D4A9B49}">
      <text>
        <r>
          <rPr>
            <sz val="9"/>
            <color indexed="81"/>
            <rFont val="Tahoma"/>
            <family val="2"/>
          </rPr>
          <t xml:space="preserve">
</t>
        </r>
      </text>
    </comment>
    <comment ref="K1319" authorId="0" shapeId="0" xr:uid="{626706BE-09DD-460D-9122-A423FB9FF304}">
      <text>
        <r>
          <rPr>
            <sz val="9"/>
            <color indexed="81"/>
            <rFont val="Tahoma"/>
            <family val="2"/>
          </rPr>
          <t>100 star typical open cluster</t>
        </r>
      </text>
    </comment>
    <comment ref="A1320" authorId="0" shapeId="0" xr:uid="{9F81172B-CF78-49EE-98C3-B5F234776880}">
      <text>
        <r>
          <rPr>
            <sz val="9"/>
            <color indexed="81"/>
            <rFont val="Tahoma"/>
            <family val="2"/>
          </rPr>
          <t xml:space="preserve">
</t>
        </r>
      </text>
    </comment>
    <comment ref="K1320" authorId="0" shapeId="0" xr:uid="{4D95FDB7-0CD4-439C-AABE-4D3D50EB9E2B}">
      <text>
        <r>
          <rPr>
            <sz val="9"/>
            <color indexed="81"/>
            <rFont val="Tahoma"/>
            <family val="2"/>
          </rPr>
          <t>Sparse cluster of 40 stars and one of the nearest Messier objects to earth.</t>
        </r>
      </text>
    </comment>
    <comment ref="A1321" authorId="0" shapeId="0" xr:uid="{C49FDD25-9409-429A-BD6D-C0069A1359D5}">
      <text>
        <r>
          <rPr>
            <sz val="9"/>
            <color indexed="81"/>
            <rFont val="Tahoma"/>
            <family val="2"/>
          </rPr>
          <t xml:space="preserve">
</t>
        </r>
      </text>
    </comment>
    <comment ref="K1321" authorId="0" shapeId="0" xr:uid="{90B4EE8D-52C7-412F-A296-063859C40757}">
      <text>
        <r>
          <rPr>
            <sz val="9"/>
            <color indexed="81"/>
            <rFont val="Tahoma"/>
            <family val="2"/>
          </rPr>
          <t>Messier double star, not deserving of a place in Messier's catalogue</t>
        </r>
      </text>
    </comment>
    <comment ref="A1322" authorId="0" shapeId="0" xr:uid="{1EE74C4D-57F8-4CC5-9300-E4F095939F23}">
      <text>
        <r>
          <rPr>
            <sz val="9"/>
            <color indexed="81"/>
            <rFont val="Tahoma"/>
            <family val="2"/>
          </rPr>
          <t xml:space="preserve">
</t>
        </r>
      </text>
    </comment>
    <comment ref="K1322" authorId="0" shapeId="0" xr:uid="{B14EC9D0-943F-4CC1-A681-65162ABCE5D8}">
      <text>
        <r>
          <rPr>
            <sz val="9"/>
            <color indexed="81"/>
            <rFont val="Tahoma"/>
            <family val="2"/>
          </rPr>
          <t>A beautiful 100 star cluster with a nice mix of colors and brightnesses.</t>
        </r>
      </text>
    </comment>
    <comment ref="A1323" authorId="0" shapeId="0" xr:uid="{33D8B3FE-8DA1-4E98-A59E-59C876459161}">
      <text>
        <r>
          <rPr>
            <sz val="9"/>
            <color indexed="81"/>
            <rFont val="Tahoma"/>
            <family val="2"/>
          </rPr>
          <t xml:space="preserve">
</t>
        </r>
      </text>
    </comment>
    <comment ref="K1323" authorId="0" shapeId="0" xr:uid="{95E2B58B-C225-4BA6-9067-2AF04AF6AFC2}">
      <text>
        <r>
          <rPr>
            <sz val="9"/>
            <color indexed="81"/>
            <rFont val="Tahoma"/>
            <family val="2"/>
          </rPr>
          <t>Showcase nebula, highlighted by the 4 star trapezium and the brightest nebula in the sky.</t>
        </r>
      </text>
    </comment>
    <comment ref="A1324" authorId="0" shapeId="0" xr:uid="{B05F8E0B-4121-4611-ADA0-42A935D47851}">
      <text>
        <r>
          <rPr>
            <sz val="9"/>
            <color indexed="81"/>
            <rFont val="Tahoma"/>
            <family val="2"/>
          </rPr>
          <t xml:space="preserve">
</t>
        </r>
      </text>
    </comment>
    <comment ref="K1324" authorId="0" shapeId="0" xr:uid="{90E6110D-3807-4AFD-B77F-62FDA89CB87A}">
      <text>
        <r>
          <rPr>
            <sz val="9"/>
            <color indexed="81"/>
            <rFont val="Tahoma"/>
            <family val="2"/>
          </rPr>
          <t>A lovely nebula overshadowed by its showy neighbor</t>
        </r>
      </text>
    </comment>
    <comment ref="A1325" authorId="0" shapeId="0" xr:uid="{F32AFE82-85C4-4B37-92C3-CB93409DE2C6}">
      <text>
        <r>
          <rPr>
            <sz val="9"/>
            <color indexed="81"/>
            <rFont val="Tahoma"/>
            <family val="2"/>
          </rPr>
          <t xml:space="preserve">
</t>
        </r>
      </text>
    </comment>
    <comment ref="K1325" authorId="0" shapeId="0" xr:uid="{9264CD27-62DF-48CE-B623-86806BC88BA4}">
      <text>
        <r>
          <rPr>
            <sz val="9"/>
            <color indexed="81"/>
            <rFont val="Tahoma"/>
            <family val="2"/>
          </rPr>
          <t>3rd brightest Messier object and one of the nearest</t>
        </r>
      </text>
    </comment>
    <comment ref="A1326" authorId="0" shapeId="0" xr:uid="{0E90DCDD-E502-4594-8FD2-3902FE2EA63D}">
      <text>
        <r>
          <rPr>
            <sz val="9"/>
            <color indexed="81"/>
            <rFont val="Tahoma"/>
            <family val="2"/>
          </rPr>
          <t xml:space="preserve">
</t>
        </r>
      </text>
    </comment>
    <comment ref="K1326" authorId="0" shapeId="0" xr:uid="{DCAA1F9B-1C31-47FE-80F3-C8F460D47045}">
      <text>
        <r>
          <rPr>
            <sz val="9"/>
            <color indexed="81"/>
            <rFont val="Tahoma"/>
            <family val="2"/>
          </rPr>
          <t>Brightest object in the Messier catalog and one of the best naked eye objects</t>
        </r>
      </text>
    </comment>
    <comment ref="A1327" authorId="0" shapeId="0" xr:uid="{0B3571A0-5C7B-4914-8DE6-0313ADF9FE11}">
      <text>
        <r>
          <rPr>
            <sz val="9"/>
            <color indexed="81"/>
            <rFont val="Tahoma"/>
            <family val="2"/>
          </rPr>
          <t xml:space="preserve">
</t>
        </r>
      </text>
    </comment>
    <comment ref="K1327" authorId="0" shapeId="0" xr:uid="{B236567F-FC00-46B8-A4CC-1331E231E9E5}">
      <text>
        <r>
          <rPr>
            <sz val="9"/>
            <color indexed="81"/>
            <rFont val="Tahoma"/>
            <family val="2"/>
          </rPr>
          <t>Rare combination of bright open star cluster with nice PN</t>
        </r>
      </text>
    </comment>
    <comment ref="A1328" authorId="0" shapeId="0" xr:uid="{29E753B8-F038-4343-AE72-37FC31E94DAE}">
      <text>
        <r>
          <rPr>
            <sz val="9"/>
            <color indexed="81"/>
            <rFont val="Tahoma"/>
            <family val="2"/>
          </rPr>
          <t xml:space="preserve">
</t>
        </r>
      </text>
    </comment>
    <comment ref="K1328" authorId="0" shapeId="0" xr:uid="{DFCF54EB-87B0-48F6-BA9F-1C420FCD5B2B}">
      <text>
        <r>
          <rPr>
            <sz val="9"/>
            <color indexed="81"/>
            <rFont val="Tahoma"/>
            <family val="2"/>
          </rPr>
          <t>One of the least concentrated of the Messier open clusters</t>
        </r>
      </text>
    </comment>
    <comment ref="A1329" authorId="0" shapeId="0" xr:uid="{5B28A97C-0ED5-460E-B64A-592CD5B0674C}">
      <text>
        <r>
          <rPr>
            <sz val="9"/>
            <color indexed="81"/>
            <rFont val="Tahoma"/>
            <family val="2"/>
          </rPr>
          <t xml:space="preserve">
</t>
        </r>
      </text>
    </comment>
    <comment ref="K1329" authorId="0" shapeId="0" xr:uid="{364F2AC5-FFD8-4DE2-8A95-F4C46064EF99}">
      <text>
        <r>
          <rPr>
            <sz val="9"/>
            <color indexed="81"/>
            <rFont val="Tahoma"/>
            <family val="2"/>
          </rPr>
          <t>Despite its class, a spread out cluster that is one of the least impressive Messier clusters.</t>
        </r>
      </text>
    </comment>
    <comment ref="A1330" authorId="0" shapeId="0" xr:uid="{E5ECAE38-BBEE-4A0D-85A2-971A735F882B}">
      <text>
        <r>
          <rPr>
            <sz val="9"/>
            <color indexed="81"/>
            <rFont val="Tahoma"/>
            <family val="2"/>
          </rPr>
          <t xml:space="preserve">
</t>
        </r>
      </text>
    </comment>
    <comment ref="K1330" authorId="0" shapeId="0" xr:uid="{C19D23D8-FBC7-4653-859D-B10E41073AC6}">
      <text>
        <r>
          <rPr>
            <sz val="9"/>
            <color indexed="81"/>
            <rFont val="Tahoma"/>
            <family val="2"/>
          </rPr>
          <t>Large featureless elliptical, except for small companion in outer disk.</t>
        </r>
      </text>
    </comment>
    <comment ref="A1331" authorId="0" shapeId="0" xr:uid="{18D065D8-BE4F-4088-A511-3CE1FED1A330}">
      <text>
        <r>
          <rPr>
            <sz val="9"/>
            <color indexed="81"/>
            <rFont val="Tahoma"/>
            <family val="2"/>
          </rPr>
          <t xml:space="preserve">
</t>
        </r>
      </text>
    </comment>
    <comment ref="K1331" authorId="0" shapeId="0" xr:uid="{419678F9-E51E-48BB-8732-10AB0A138E25}">
      <text>
        <r>
          <rPr>
            <sz val="9"/>
            <color indexed="81"/>
            <rFont val="Tahoma"/>
            <family val="2"/>
          </rPr>
          <t>Pleasing Messier open cluster with nice spacing and color</t>
        </r>
      </text>
    </comment>
    <comment ref="A1332" authorId="0" shapeId="0" xr:uid="{79CB3348-27C0-41D4-AF8E-151D174ADC6D}">
      <text>
        <r>
          <rPr>
            <sz val="9"/>
            <color indexed="81"/>
            <rFont val="Tahoma"/>
            <family val="2"/>
          </rPr>
          <t xml:space="preserve">
</t>
        </r>
      </text>
    </comment>
    <comment ref="K1332" authorId="0" shapeId="0" xr:uid="{2AE394B4-4A3B-4352-8102-6E0767BE5F2C}">
      <text>
        <r>
          <rPr>
            <sz val="9"/>
            <color indexed="81"/>
            <rFont val="Tahoma"/>
            <family val="2"/>
          </rPr>
          <t>Face-on Seyfert grand design spiral with companion (NGC 5194) slightly below and behind.</t>
        </r>
      </text>
    </comment>
    <comment ref="A1333" authorId="0" shapeId="0" xr:uid="{F0E1BE76-3A3B-48FD-B7D8-6998DB5BB646}">
      <text>
        <r>
          <rPr>
            <sz val="9"/>
            <color indexed="81"/>
            <rFont val="Tahoma"/>
            <family val="2"/>
          </rPr>
          <t xml:space="preserve">
</t>
        </r>
      </text>
    </comment>
    <comment ref="K1333" authorId="0" shapeId="0" xr:uid="{1E67A18F-13B4-4C0A-BF13-C6E738CBD01D}">
      <text>
        <r>
          <rPr>
            <sz val="9"/>
            <color indexed="81"/>
            <rFont val="Tahoma"/>
            <family val="2"/>
          </rPr>
          <t>Typical Messier open cluster</t>
        </r>
      </text>
    </comment>
    <comment ref="A1334" authorId="0" shapeId="0" xr:uid="{6BF7DA6D-4FD7-4021-889B-2D6C3239AFED}">
      <text>
        <r>
          <rPr>
            <sz val="9"/>
            <color indexed="81"/>
            <rFont val="Tahoma"/>
            <family val="2"/>
          </rPr>
          <t xml:space="preserve">
</t>
        </r>
      </text>
    </comment>
    <comment ref="K1334" authorId="0" shapeId="0" xr:uid="{F34C9CDA-1C6C-4B00-9CD2-6F939DB00157}">
      <text>
        <r>
          <rPr>
            <sz val="9"/>
            <color indexed="81"/>
            <rFont val="Tahoma"/>
            <family val="2"/>
          </rPr>
          <t>One of the largest diameter Messier globular clusters</t>
        </r>
      </text>
    </comment>
    <comment ref="A1335" authorId="0" shapeId="0" xr:uid="{BE5CD222-5BCD-43BA-B009-876C285A2991}">
      <text>
        <r>
          <rPr>
            <sz val="9"/>
            <color indexed="81"/>
            <rFont val="Tahoma"/>
            <family val="2"/>
          </rPr>
          <t xml:space="preserve">
</t>
        </r>
      </text>
    </comment>
    <comment ref="K1335" authorId="0" shapeId="0" xr:uid="{2F2DD620-F73B-47FE-ABCF-E25A25BA98EF}">
      <text>
        <r>
          <rPr>
            <sz val="9"/>
            <color indexed="81"/>
            <rFont val="Tahoma"/>
            <family val="2"/>
          </rPr>
          <t>One of the furthest and most concentrated Messier globular clusters</t>
        </r>
      </text>
    </comment>
    <comment ref="A1336" authorId="0" shapeId="0" xr:uid="{B69B3AC7-FB4E-42A4-8414-9460362D8DBC}">
      <text>
        <r>
          <rPr>
            <sz val="9"/>
            <color indexed="81"/>
            <rFont val="Tahoma"/>
            <family val="2"/>
          </rPr>
          <t xml:space="preserve">
</t>
        </r>
      </text>
    </comment>
    <comment ref="K1336" authorId="0" shapeId="0" xr:uid="{DB0BCDCC-1B87-4BEA-961B-5034AF86BE87}">
      <text>
        <r>
          <rPr>
            <sz val="9"/>
            <color indexed="81"/>
            <rFont val="Tahoma"/>
            <family val="2"/>
          </rPr>
          <t>One of the least concentrated Messier globular clusters</t>
        </r>
      </text>
    </comment>
    <comment ref="A1337" authorId="0" shapeId="0" xr:uid="{60D1FA63-FD22-47D9-927E-4167A2C878F7}">
      <text>
        <r>
          <rPr>
            <sz val="9"/>
            <color indexed="81"/>
            <rFont val="Tahoma"/>
            <family val="2"/>
          </rPr>
          <t xml:space="preserve">
</t>
        </r>
      </text>
    </comment>
    <comment ref="K1337" authorId="0" shapeId="0" xr:uid="{01E9B1BB-A1FA-487C-AC32-27DCF21BD682}">
      <text>
        <r>
          <rPr>
            <sz val="9"/>
            <color indexed="81"/>
            <rFont val="Tahoma"/>
            <family val="2"/>
          </rPr>
          <t>Loose and beautiful Messier globular cluster</t>
        </r>
      </text>
    </comment>
    <comment ref="A1338" authorId="0" shapeId="0" xr:uid="{62737553-FDD0-48F4-855A-30C52EC3A692}">
      <text>
        <r>
          <rPr>
            <sz val="9"/>
            <color indexed="81"/>
            <rFont val="Tahoma"/>
            <family val="2"/>
          </rPr>
          <t xml:space="preserve">
</t>
        </r>
      </text>
    </comment>
    <comment ref="K1338" authorId="0" shapeId="0" xr:uid="{5AE52D98-72E2-423B-9FC2-E5B82FB6391C}">
      <text>
        <r>
          <rPr>
            <sz val="9"/>
            <color indexed="81"/>
            <rFont val="Tahoma"/>
            <family val="2"/>
          </rPr>
          <t>There are many ring-shaped planetary nebulae in the sky but only one Ring Nebula.</t>
        </r>
      </text>
    </comment>
    <comment ref="A1339" authorId="0" shapeId="0" xr:uid="{F4A1BD25-B462-4A7A-B49B-C68B2E20D3EF}">
      <text>
        <r>
          <rPr>
            <sz val="9"/>
            <color indexed="81"/>
            <rFont val="Tahoma"/>
            <family val="2"/>
          </rPr>
          <t xml:space="preserve">
</t>
        </r>
      </text>
    </comment>
    <comment ref="K1339" authorId="0" shapeId="0" xr:uid="{7C96C343-F5DD-4554-97C9-8C3F87A4BEBC}">
      <text>
        <r>
          <rPr>
            <sz val="9"/>
            <color indexed="81"/>
            <rFont val="Tahoma"/>
            <family val="2"/>
          </rPr>
          <t>Barred Seyfert spiral galaxy with faint disk and blue star clouds</t>
        </r>
      </text>
    </comment>
    <comment ref="A1340" authorId="0" shapeId="0" xr:uid="{0E08DF37-0BF7-46D3-9B42-325A26B9A914}">
      <text>
        <r>
          <rPr>
            <sz val="9"/>
            <color indexed="81"/>
            <rFont val="Tahoma"/>
            <family val="2"/>
          </rPr>
          <t xml:space="preserve">
</t>
        </r>
      </text>
    </comment>
    <comment ref="K1340" authorId="0" shapeId="0" xr:uid="{27156987-F748-4AD6-934B-9F838719F990}">
      <text>
        <r>
          <rPr>
            <sz val="9"/>
            <color indexed="81"/>
            <rFont val="Tahoma"/>
            <family val="2"/>
          </rPr>
          <t>Oblong elliptical galaxy (E5).  Nice pairing with M60</t>
        </r>
      </text>
    </comment>
    <comment ref="A1341" authorId="0" shapeId="0" xr:uid="{51434584-7737-4A2C-90AB-FD4ACBF2C9A9}">
      <text>
        <r>
          <rPr>
            <sz val="9"/>
            <color indexed="81"/>
            <rFont val="Tahoma"/>
            <family val="2"/>
          </rPr>
          <t xml:space="preserve">
</t>
        </r>
      </text>
    </comment>
    <comment ref="K1341" authorId="0" shapeId="0" xr:uid="{F8E6FB91-FB6E-4719-ADAF-7B6D5658837A}">
      <text>
        <r>
          <rPr>
            <sz val="9"/>
            <color indexed="81"/>
            <rFont val="Tahoma"/>
            <family val="2"/>
          </rPr>
          <t>Milky Way sized elliptical interacting with its neighbor, NGC 4647</t>
        </r>
      </text>
    </comment>
    <comment ref="A1342" authorId="0" shapeId="0" xr:uid="{CB54A4D0-5AF3-4E53-BEDA-E3C55EAD38A2}">
      <text>
        <r>
          <rPr>
            <sz val="9"/>
            <color indexed="81"/>
            <rFont val="Tahoma"/>
            <family val="2"/>
          </rPr>
          <t xml:space="preserve">
</t>
        </r>
      </text>
    </comment>
    <comment ref="K1342" authorId="0" shapeId="0" xr:uid="{A6618CC7-E24F-42E8-AA47-AFD63EA0915C}">
      <text>
        <r>
          <rPr>
            <sz val="9"/>
            <color indexed="81"/>
            <rFont val="Tahoma"/>
            <family val="2"/>
          </rPr>
          <t>Bright white core, 2 symmetric dust lanes spiraling out of core, and VV rows.</t>
        </r>
      </text>
    </comment>
    <comment ref="A1343" authorId="0" shapeId="0" xr:uid="{A5FFDDD1-7C98-485C-B19C-55A1C84B53C9}">
      <text>
        <r>
          <rPr>
            <sz val="9"/>
            <color indexed="81"/>
            <rFont val="Tahoma"/>
            <family val="2"/>
          </rPr>
          <t xml:space="preserve">
</t>
        </r>
      </text>
    </comment>
    <comment ref="K1343" authorId="0" shapeId="0" xr:uid="{33688066-682F-4597-88CE-B98BDE063D40}">
      <text>
        <r>
          <rPr>
            <sz val="9"/>
            <color indexed="81"/>
            <rFont val="Tahoma"/>
            <family val="2"/>
          </rPr>
          <t>Unusual irregular shape for globular cluster</t>
        </r>
      </text>
    </comment>
    <comment ref="A1344" authorId="0" shapeId="0" xr:uid="{B23D1CF5-703B-4F4B-9610-76F7FB42AF39}">
      <text>
        <r>
          <rPr>
            <sz val="9"/>
            <color indexed="81"/>
            <rFont val="Tahoma"/>
            <family val="2"/>
          </rPr>
          <t xml:space="preserve">
</t>
        </r>
      </text>
    </comment>
    <comment ref="K1344" authorId="0" shapeId="0" xr:uid="{12FB668F-E157-4EC3-A1B9-4CB0CE049063}">
      <text>
        <r>
          <rPr>
            <sz val="9"/>
            <color indexed="81"/>
            <rFont val="Tahoma"/>
            <family val="2"/>
          </rPr>
          <t>Flocculent galaxy with 3-D appearance and interesting dust lanes</t>
        </r>
      </text>
    </comment>
    <comment ref="A1345" authorId="0" shapeId="0" xr:uid="{B89F9706-BB8D-4775-A5B6-49ADCA1FB6B1}">
      <text>
        <r>
          <rPr>
            <sz val="9"/>
            <color indexed="81"/>
            <rFont val="Tahoma"/>
            <family val="2"/>
          </rPr>
          <t xml:space="preserve">
</t>
        </r>
      </text>
    </comment>
    <comment ref="K1345" authorId="0" shapeId="0" xr:uid="{210D1C79-C261-4AD9-AF47-8989398A109C}">
      <text>
        <r>
          <rPr>
            <sz val="9"/>
            <color indexed="81"/>
            <rFont val="Tahoma"/>
            <family val="2"/>
          </rPr>
          <t>Striking meandering wide dust lane on near side of core</t>
        </r>
      </text>
    </comment>
    <comment ref="A1346" authorId="0" shapeId="0" xr:uid="{90BD8D06-DB8F-419C-A578-B0FE686598AC}">
      <text>
        <r>
          <rPr>
            <sz val="9"/>
            <color indexed="81"/>
            <rFont val="Tahoma"/>
            <family val="2"/>
          </rPr>
          <t xml:space="preserve">
</t>
        </r>
      </text>
    </comment>
    <comment ref="K1346" authorId="0" shapeId="0" xr:uid="{39CAC463-0A04-4621-905A-1DAA70F2537F}">
      <text>
        <r>
          <rPr>
            <sz val="9"/>
            <color indexed="81"/>
            <rFont val="Tahoma"/>
            <family val="2"/>
          </rPr>
          <t>Not bright and showy but interesting with star clouds and dust lanes</t>
        </r>
      </text>
    </comment>
    <comment ref="A1347" authorId="0" shapeId="0" xr:uid="{0EBF288C-50A5-4275-BE84-1F6AE0827505}">
      <text>
        <r>
          <rPr>
            <sz val="9"/>
            <color indexed="81"/>
            <rFont val="Tahoma"/>
            <family val="2"/>
          </rPr>
          <t xml:space="preserve">
</t>
        </r>
      </text>
    </comment>
    <comment ref="K1347" authorId="0" shapeId="0" xr:uid="{403EB77A-D8A5-4984-83DE-1731E55B11D2}">
      <text>
        <r>
          <rPr>
            <sz val="9"/>
            <color indexed="81"/>
            <rFont val="Tahoma"/>
            <family val="2"/>
          </rPr>
          <t xml:space="preserve">Asymmetric disk and nice blue star cloud adjacent to core. 35th brightest galaxy.  </t>
        </r>
      </text>
    </comment>
    <comment ref="A1348" authorId="0" shapeId="0" xr:uid="{94E1730B-9DA4-4F44-8362-0B9E9997EDAF}">
      <text>
        <r>
          <rPr>
            <sz val="9"/>
            <color indexed="81"/>
            <rFont val="Tahoma"/>
            <family val="2"/>
          </rPr>
          <t xml:space="preserve">
</t>
        </r>
      </text>
    </comment>
    <comment ref="K1348" authorId="0" shapeId="0" xr:uid="{0344436E-6A98-4AB7-BCCC-9E618E643696}">
      <text>
        <r>
          <rPr>
            <sz val="9"/>
            <color indexed="81"/>
            <rFont val="Tahoma"/>
            <family val="2"/>
          </rPr>
          <t>Oldest Messier open cluster</t>
        </r>
      </text>
    </comment>
    <comment ref="A1349" authorId="0" shapeId="0" xr:uid="{D31956B3-386E-4F69-B6E2-28F3E0A89CB7}">
      <text>
        <r>
          <rPr>
            <sz val="9"/>
            <color indexed="81"/>
            <rFont val="Tahoma"/>
            <family val="2"/>
          </rPr>
          <t xml:space="preserve">
</t>
        </r>
      </text>
    </comment>
    <comment ref="K1349" authorId="0" shapeId="0" xr:uid="{6C1EE496-C414-4988-9FB3-DEC74D25AFA8}">
      <text>
        <r>
          <rPr>
            <sz val="9"/>
            <color indexed="81"/>
            <rFont val="Tahoma"/>
            <family val="2"/>
          </rPr>
          <t>Typical Messier cluster, fairly concentrated</t>
        </r>
      </text>
    </comment>
    <comment ref="A1350" authorId="0" shapeId="0" xr:uid="{6186CF37-65DC-4188-A604-6BCAEAB37F61}">
      <text>
        <r>
          <rPr>
            <sz val="9"/>
            <color indexed="81"/>
            <rFont val="Tahoma"/>
            <family val="2"/>
          </rPr>
          <t xml:space="preserve">
</t>
        </r>
      </text>
    </comment>
    <comment ref="K1350" authorId="0" shapeId="0" xr:uid="{24C361DB-4E82-4E3B-900A-4CED19FA7FB4}">
      <text>
        <r>
          <rPr>
            <sz val="9"/>
            <color indexed="81"/>
            <rFont val="Tahoma"/>
            <family val="2"/>
          </rPr>
          <t>Globular cluster of 125,000 stars with some obscuring dust</t>
        </r>
      </text>
    </comment>
    <comment ref="A1351" authorId="0" shapeId="0" xr:uid="{718165AC-0730-4CD4-BCAA-281023787E8D}">
      <text>
        <r>
          <rPr>
            <sz val="9"/>
            <color indexed="81"/>
            <rFont val="Tahoma"/>
            <family val="2"/>
          </rPr>
          <t xml:space="preserve">
</t>
        </r>
      </text>
    </comment>
    <comment ref="K1351" authorId="0" shapeId="0" xr:uid="{E46C3982-77B5-43CF-9534-0992DD598656}">
      <text>
        <r>
          <rPr>
            <sz val="9"/>
            <color indexed="81"/>
            <rFont val="Tahoma"/>
            <family val="2"/>
          </rPr>
          <t>Dense central core region, overall a nice mix of bright and dim stars</t>
        </r>
      </text>
    </comment>
    <comment ref="A1352" authorId="0" shapeId="0" xr:uid="{5ECEB43B-D1DA-4088-A0AE-0218AA4D2F07}">
      <text>
        <r>
          <rPr>
            <sz val="9"/>
            <color indexed="81"/>
            <rFont val="Tahoma"/>
            <family val="2"/>
          </rPr>
          <t xml:space="preserve">
</t>
        </r>
      </text>
    </comment>
    <comment ref="K1352" authorId="0" shapeId="0" xr:uid="{3BF6E7C5-6CEA-4D79-985D-72201DD6880F}">
      <text>
        <r>
          <rPr>
            <sz val="9"/>
            <color indexed="81"/>
            <rFont val="Tahoma"/>
            <family val="2"/>
          </rPr>
          <t>Dim, one of the least concentrated Messier clusters</t>
        </r>
      </text>
    </comment>
    <comment ref="A1353" authorId="0" shapeId="0" xr:uid="{CB9D2404-F5AA-4B8D-9739-695272114CD1}">
      <text>
        <r>
          <rPr>
            <sz val="9"/>
            <color indexed="81"/>
            <rFont val="Tahoma"/>
            <family val="2"/>
          </rPr>
          <t xml:space="preserve">
</t>
        </r>
      </text>
    </comment>
    <comment ref="K1353" authorId="0" shapeId="0" xr:uid="{CE33DCA0-FEA8-454C-820F-6895949CCB1A}">
      <text>
        <r>
          <rPr>
            <sz val="9"/>
            <color indexed="81"/>
            <rFont val="Tahoma"/>
            <family val="2"/>
          </rPr>
          <t>Second faintest Messier globular cluster, nice density, resolvable core</t>
        </r>
      </text>
    </comment>
    <comment ref="A1354" authorId="0" shapeId="0" xr:uid="{5DDC5CD4-F590-41CB-A920-F6135D9F317E}">
      <text>
        <r>
          <rPr>
            <sz val="9"/>
            <color indexed="81"/>
            <rFont val="Tahoma"/>
            <family val="2"/>
          </rPr>
          <t xml:space="preserve">
</t>
        </r>
      </text>
    </comment>
    <comment ref="K1354" authorId="0" shapeId="0" xr:uid="{09B3AC18-6AB7-437C-9BF8-2F019B892D17}">
      <text>
        <r>
          <rPr>
            <sz val="9"/>
            <color indexed="81"/>
            <rFont val="Tahoma"/>
            <family val="2"/>
          </rPr>
          <t>Unimpressive Messier object of a 4 star asterism</t>
        </r>
      </text>
    </comment>
    <comment ref="A1355" authorId="0" shapeId="0" xr:uid="{309EBD6C-D36B-4990-B96C-8283895F2702}">
      <text>
        <r>
          <rPr>
            <sz val="9"/>
            <color indexed="81"/>
            <rFont val="Tahoma"/>
            <family val="2"/>
          </rPr>
          <t xml:space="preserve">
</t>
        </r>
      </text>
    </comment>
    <comment ref="K1355" authorId="0" shapeId="0" xr:uid="{929F5981-0C3D-4B55-8E54-AA549C079951}">
      <text>
        <r>
          <rPr>
            <sz val="9"/>
            <color indexed="81"/>
            <rFont val="Tahoma"/>
            <family val="2"/>
          </rPr>
          <t>Low surface brightness, Lovely grand design spiral</t>
        </r>
      </text>
    </comment>
    <comment ref="A1356" authorId="0" shapeId="0" xr:uid="{67E63576-D212-4C31-B21A-CFE1F34553DD}">
      <text>
        <r>
          <rPr>
            <sz val="9"/>
            <color indexed="81"/>
            <rFont val="Tahoma"/>
            <family val="2"/>
          </rPr>
          <t xml:space="preserve">
</t>
        </r>
      </text>
    </comment>
    <comment ref="K1356" authorId="0" shapeId="0" xr:uid="{8EA374C0-A36E-4524-B552-DB9F643C5957}">
      <text>
        <r>
          <rPr>
            <sz val="9"/>
            <color indexed="81"/>
            <rFont val="Tahoma"/>
            <family val="2"/>
          </rPr>
          <t>The most concentrated Messier globular cluster</t>
        </r>
      </text>
    </comment>
    <comment ref="A1357" authorId="0" shapeId="0" xr:uid="{7E2ADEBA-DD75-4114-8E6C-7E949FB6335D}">
      <text>
        <r>
          <rPr>
            <sz val="9"/>
            <color indexed="81"/>
            <rFont val="Tahoma"/>
            <family val="2"/>
          </rPr>
          <t xml:space="preserve">
</t>
        </r>
      </text>
    </comment>
    <comment ref="K1357" authorId="0" shapeId="0" xr:uid="{D2925AFE-9685-4D74-A3B3-A64481649D01}">
      <text>
        <r>
          <rPr>
            <sz val="9"/>
            <color indexed="81"/>
            <rFont val="Tahoma"/>
            <family val="2"/>
          </rPr>
          <t>Beautiful PN, Dimmest object in the Messier catalogue</t>
        </r>
      </text>
    </comment>
    <comment ref="A1358" authorId="0" shapeId="0" xr:uid="{DFB2C9BA-7A0A-4013-9900-2A148D2F77F8}">
      <text>
        <r>
          <rPr>
            <sz val="9"/>
            <color indexed="81"/>
            <rFont val="Tahoma"/>
            <family val="2"/>
          </rPr>
          <t xml:space="preserve">
</t>
        </r>
      </text>
    </comment>
    <comment ref="K1358" authorId="0" shapeId="0" xr:uid="{AAEAE929-466C-4E43-8E33-7925114F9034}">
      <text>
        <r>
          <rPr>
            <sz val="9"/>
            <color indexed="81"/>
            <rFont val="Tahoma"/>
            <family val="2"/>
          </rPr>
          <t>Large barred spiral and the brightest Seyfert galaxy in the sky. Many star clouds and HII regions.</t>
        </r>
      </text>
    </comment>
    <comment ref="A1359" authorId="0" shapeId="0" xr:uid="{DB7F5AF3-55A6-452C-873E-96F32C9E8DFF}">
      <text>
        <r>
          <rPr>
            <sz val="9"/>
            <color indexed="81"/>
            <rFont val="Tahoma"/>
            <family val="2"/>
          </rPr>
          <t xml:space="preserve">
</t>
        </r>
      </text>
    </comment>
    <comment ref="K1359" authorId="0" shapeId="0" xr:uid="{DCCE5F93-472F-4759-8575-56563A058AD9}">
      <text>
        <r>
          <rPr>
            <sz val="9"/>
            <color indexed="81"/>
            <rFont val="Tahoma"/>
            <family val="2"/>
          </rPr>
          <t>Lovely blue and purple reflection nebulae with dramatic dust lanes in the foreground</t>
        </r>
      </text>
    </comment>
    <comment ref="A1360" authorId="0" shapeId="0" xr:uid="{960EC3ED-2845-4953-A94C-4A5134B023D2}">
      <text>
        <r>
          <rPr>
            <sz val="9"/>
            <color indexed="81"/>
            <rFont val="Tahoma"/>
            <family val="2"/>
          </rPr>
          <t xml:space="preserve">
</t>
        </r>
      </text>
    </comment>
    <comment ref="K1360" authorId="0" shapeId="0" xr:uid="{FD8F33A2-76F3-446A-8033-6EF460998CF0}">
      <text>
        <r>
          <rPr>
            <sz val="9"/>
            <color indexed="81"/>
            <rFont val="Tahoma"/>
            <family val="2"/>
          </rPr>
          <t>One of only 2 extragalactic globular clusters, coming from our neighboring Canis Major Dwarf Galaxy</t>
        </r>
      </text>
    </comment>
    <comment ref="A1361" authorId="0" shapeId="0" xr:uid="{47AA0BCB-5835-4205-89CC-F592C146D5FF}">
      <text>
        <r>
          <rPr>
            <sz val="9"/>
            <color indexed="81"/>
            <rFont val="Tahoma"/>
            <family val="2"/>
          </rPr>
          <t xml:space="preserve">
</t>
        </r>
      </text>
    </comment>
    <comment ref="K1361" authorId="0" shapeId="0" xr:uid="{90A4C202-CAF6-42DD-978B-6BEF85CBFF1E}">
      <text>
        <r>
          <rPr>
            <sz val="9"/>
            <color indexed="81"/>
            <rFont val="Tahoma"/>
            <family val="2"/>
          </rPr>
          <t>One of the most densely populated globular clusters</t>
        </r>
      </text>
    </comment>
    <comment ref="A1362" authorId="0" shapeId="0" xr:uid="{92DD153C-696A-4D47-8B69-C4766149CD92}">
      <text>
        <r>
          <rPr>
            <sz val="9"/>
            <color indexed="81"/>
            <rFont val="Tahoma"/>
            <family val="2"/>
          </rPr>
          <t xml:space="preserve">
</t>
        </r>
      </text>
    </comment>
    <comment ref="K1362" authorId="0" shapeId="0" xr:uid="{853B6267-18D6-463B-A024-0ADC6EFAEC36}">
      <text>
        <r>
          <rPr>
            <sz val="9"/>
            <color indexed="81"/>
            <rFont val="Tahoma"/>
            <family val="2"/>
          </rPr>
          <t>Magnificent grand design spiral, with blue star clouds and pink HII regions</t>
        </r>
      </text>
    </comment>
    <comment ref="A1363" authorId="0" shapeId="0" xr:uid="{07D09615-B1B8-4EB9-9C35-70939DF0880E}">
      <text>
        <r>
          <rPr>
            <sz val="9"/>
            <color indexed="81"/>
            <rFont val="Tahoma"/>
            <family val="2"/>
          </rPr>
          <t xml:space="preserve">
</t>
        </r>
      </text>
    </comment>
    <comment ref="K1363" authorId="0" shapeId="0" xr:uid="{496D737C-7EC2-46C2-9A18-B89A156D134B}">
      <text>
        <r>
          <rPr>
            <sz val="9"/>
            <color indexed="81"/>
            <rFont val="Tahoma"/>
            <family val="2"/>
          </rPr>
          <t>Spectacular showcase starburst galaxy, with dramatic dust lanes and HII regions</t>
        </r>
      </text>
    </comment>
    <comment ref="A1364" authorId="0" shapeId="0" xr:uid="{65380EAD-D84C-4572-A815-BCA89CC1FEAF}">
      <text>
        <r>
          <rPr>
            <sz val="9"/>
            <color indexed="81"/>
            <rFont val="Tahoma"/>
            <family val="2"/>
          </rPr>
          <t xml:space="preserve">
</t>
        </r>
      </text>
    </comment>
    <comment ref="K1364" authorId="0" shapeId="0" xr:uid="{B318855F-1D49-4204-8233-2EAD57968F47}">
      <text>
        <r>
          <rPr>
            <sz val="9"/>
            <color indexed="81"/>
            <rFont val="Tahoma"/>
            <family val="2"/>
          </rPr>
          <t>Barred starburst galaxy with bright core</t>
        </r>
      </text>
    </comment>
    <comment ref="A1365" authorId="0" shapeId="0" xr:uid="{B5729DEE-881E-42BB-AA9E-CFD45D5A707A}">
      <text>
        <r>
          <rPr>
            <sz val="9"/>
            <color indexed="81"/>
            <rFont val="Tahoma"/>
            <family val="2"/>
          </rPr>
          <t xml:space="preserve">
</t>
        </r>
      </text>
    </comment>
    <comment ref="K1365" authorId="0" shapeId="0" xr:uid="{7E2BBA10-AB1D-4750-9CE2-8FC1AB642002}">
      <text>
        <r>
          <rPr>
            <sz val="9"/>
            <color indexed="81"/>
            <rFont val="Tahoma"/>
            <family val="2"/>
          </rPr>
          <t>Featureless elliptical, part of Markarian's Chain</t>
        </r>
      </text>
    </comment>
    <comment ref="A1366" authorId="0" shapeId="0" xr:uid="{20DFC3ED-0729-4E03-8103-AB087332353C}">
      <text>
        <r>
          <rPr>
            <sz val="9"/>
            <color indexed="81"/>
            <rFont val="Tahoma"/>
            <family val="2"/>
          </rPr>
          <t xml:space="preserve">
</t>
        </r>
      </text>
    </comment>
    <comment ref="K1366" authorId="0" shapeId="0" xr:uid="{9A9827A3-144F-4907-91DC-3DE4D1F39C1E}">
      <text>
        <r>
          <rPr>
            <sz val="9"/>
            <color indexed="81"/>
            <rFont val="Tahoma"/>
            <family val="2"/>
          </rPr>
          <t>Milky Way size elliptical with some interaction with a companion, NGC 4394</t>
        </r>
      </text>
    </comment>
    <comment ref="A1367" authorId="0" shapeId="0" xr:uid="{2DCC0A20-5564-408D-9078-B1550469C931}">
      <text>
        <r>
          <rPr>
            <sz val="9"/>
            <color indexed="81"/>
            <rFont val="Tahoma"/>
            <family val="2"/>
          </rPr>
          <t xml:space="preserve">
</t>
        </r>
      </text>
    </comment>
    <comment ref="K1367" authorId="0" shapeId="0" xr:uid="{D0CFF344-8FF4-4D1E-8355-66323B60DC9D}">
      <text>
        <r>
          <rPr>
            <sz val="9"/>
            <color indexed="81"/>
            <rFont val="Tahoma"/>
            <family val="2"/>
          </rPr>
          <t>Large elliptical that is the anchor of Markarian's Chain</t>
        </r>
      </text>
    </comment>
    <comment ref="A1368" authorId="0" shapeId="0" xr:uid="{BD40A9C8-49BA-424E-9198-8386FA065EAA}">
      <text>
        <r>
          <rPr>
            <sz val="9"/>
            <color indexed="81"/>
            <rFont val="Tahoma"/>
            <family val="2"/>
          </rPr>
          <t xml:space="preserve">
</t>
        </r>
      </text>
    </comment>
    <comment ref="K1368" authorId="0" shapeId="0" xr:uid="{A9EE9F35-5806-41FB-ADBC-F5DFA15B0388}">
      <text>
        <r>
          <rPr>
            <sz val="9"/>
            <color indexed="81"/>
            <rFont val="Tahoma"/>
            <family val="2"/>
          </rPr>
          <t>Giant featureless elliptical except for tiny blue jet outflow from massive black hole.</t>
        </r>
      </text>
    </comment>
    <comment ref="A1369" authorId="0" shapeId="0" xr:uid="{D5E392CB-98F5-4292-8FD3-510B02DAE97B}">
      <text>
        <r>
          <rPr>
            <sz val="9"/>
            <color indexed="81"/>
            <rFont val="Tahoma"/>
            <family val="2"/>
          </rPr>
          <t xml:space="preserve">
</t>
        </r>
      </text>
    </comment>
    <comment ref="K1369" authorId="0" shapeId="0" xr:uid="{59E6A049-EB91-42C9-9424-196313C8E924}">
      <text>
        <r>
          <rPr>
            <sz val="9"/>
            <color indexed="81"/>
            <rFont val="Tahoma"/>
            <family val="2"/>
          </rPr>
          <t>Seyfert spiral galaxy with well structured disk</t>
        </r>
      </text>
    </comment>
    <comment ref="A1370" authorId="0" shapeId="0" xr:uid="{6CEFCA0B-FE7F-4BC0-BB2A-FCE41842796B}">
      <text>
        <r>
          <rPr>
            <sz val="9"/>
            <color indexed="81"/>
            <rFont val="Tahoma"/>
            <family val="2"/>
          </rPr>
          <t xml:space="preserve">
</t>
        </r>
      </text>
    </comment>
    <comment ref="K1370" authorId="0" shapeId="0" xr:uid="{1445F212-98FB-4717-AEE7-DE83CABE516D}">
      <text>
        <r>
          <rPr>
            <sz val="9"/>
            <color indexed="81"/>
            <rFont val="Tahoma"/>
            <family val="2"/>
          </rPr>
          <t>Almost spherical elliptical</t>
        </r>
      </text>
    </comment>
    <comment ref="A1371" authorId="0" shapeId="0" xr:uid="{A95337EB-2CD1-49C0-976E-F5F9438FAC05}">
      <text>
        <r>
          <rPr>
            <sz val="9"/>
            <color indexed="81"/>
            <rFont val="Tahoma"/>
            <family val="2"/>
          </rPr>
          <t xml:space="preserve">
</t>
        </r>
      </text>
    </comment>
    <comment ref="K1371" authorId="0" shapeId="0" xr:uid="{7452E3CF-34A2-4969-B38C-C74998FBD8D6}">
      <text>
        <r>
          <rPr>
            <sz val="9"/>
            <color indexed="81"/>
            <rFont val="Tahoma"/>
            <family val="2"/>
          </rPr>
          <t>Seyfert spiral anemic galaxy, nice star clouds and dust lanes around core.</t>
        </r>
      </text>
    </comment>
    <comment ref="A1372" authorId="0" shapeId="0" xr:uid="{9BFB5B17-D1E1-4A89-9F69-7521E4118403}">
      <text>
        <r>
          <rPr>
            <sz val="9"/>
            <color indexed="81"/>
            <rFont val="Tahoma"/>
            <family val="2"/>
          </rPr>
          <t xml:space="preserve">
</t>
        </r>
      </text>
    </comment>
    <comment ref="K1372" authorId="0" shapeId="0" xr:uid="{01858B5F-2EA5-47FD-8F5C-77E3AA32346C}">
      <text>
        <r>
          <rPr>
            <sz val="9"/>
            <color indexed="81"/>
            <rFont val="Tahoma"/>
            <family val="2"/>
          </rPr>
          <t>The dimmest Messier object and a beautiful grand design spiral</t>
        </r>
      </text>
    </comment>
    <comment ref="A1373" authorId="0" shapeId="0" xr:uid="{0AB91195-9985-47E1-9BC3-B61F9D1FAC10}">
      <text>
        <r>
          <rPr>
            <sz val="9"/>
            <color indexed="81"/>
            <rFont val="Tahoma"/>
            <family val="2"/>
          </rPr>
          <t xml:space="preserve">
</t>
        </r>
      </text>
    </comment>
    <comment ref="K1373" authorId="0" shapeId="0" xr:uid="{40F41225-8389-4D2B-BD64-8FC77F0481F4}">
      <text>
        <r>
          <rPr>
            <sz val="9"/>
            <color indexed="81"/>
            <rFont val="Tahoma"/>
            <family val="2"/>
          </rPr>
          <t>One of the oldest globulars, a lovely intense mix of bright and dim colorful stars.</t>
        </r>
      </text>
    </comment>
    <comment ref="A1374" authorId="0" shapeId="0" xr:uid="{E3651385-4BB8-4157-9D78-BA32122F4ECE}">
      <text>
        <r>
          <rPr>
            <sz val="9"/>
            <color indexed="81"/>
            <rFont val="Tahoma"/>
            <family val="2"/>
          </rPr>
          <t xml:space="preserve">
</t>
        </r>
      </text>
    </comment>
    <comment ref="K1374" authorId="0" shapeId="0" xr:uid="{ACD18B99-F9BA-4BDA-B489-61200F359EC4}">
      <text>
        <r>
          <rPr>
            <sz val="9"/>
            <color indexed="81"/>
            <rFont val="Tahoma"/>
            <family val="2"/>
          </rPr>
          <t>Messier open cluster with interesting mix of 80 orange and blue stars</t>
        </r>
      </text>
    </comment>
    <comment ref="A1375" authorId="0" shapeId="0" xr:uid="{93C075C7-4333-4513-B3EF-7AE484339F02}">
      <text>
        <r>
          <rPr>
            <sz val="9"/>
            <color indexed="81"/>
            <rFont val="Tahoma"/>
            <family val="2"/>
          </rPr>
          <t xml:space="preserve">
</t>
        </r>
      </text>
    </comment>
    <comment ref="K1375" authorId="0" shapeId="0" xr:uid="{4112A016-65D7-41FF-9B24-1FAA5FE287C8}">
      <text>
        <r>
          <rPr>
            <sz val="9"/>
            <color indexed="81"/>
            <rFont val="Tahoma"/>
            <family val="2"/>
          </rPr>
          <t>Incredible Seyfert spiral ring galaxy with bright blue starburst ring</t>
        </r>
      </text>
    </comment>
    <comment ref="A1376" authorId="0" shapeId="0" xr:uid="{258119F0-2D48-4602-8040-B3F706BC3BD8}">
      <text>
        <r>
          <rPr>
            <sz val="9"/>
            <color indexed="81"/>
            <rFont val="Tahoma"/>
            <family val="2"/>
          </rPr>
          <t xml:space="preserve">
</t>
        </r>
      </text>
    </comment>
    <comment ref="K1376" authorId="0" shapeId="0" xr:uid="{553CFEB3-617D-4CCA-8451-CBCEEE9AC1C6}">
      <text>
        <r>
          <rPr>
            <sz val="9"/>
            <color indexed="81"/>
            <rFont val="Tahoma"/>
            <family val="2"/>
          </rPr>
          <t>Barred spiral galaxy, near M96, with blue star clouds, HII regions, and bright nuclear ring</t>
        </r>
      </text>
    </comment>
    <comment ref="A1377" authorId="0" shapeId="0" xr:uid="{A293CAF0-A017-4029-A623-30ECFBBA27AE}">
      <text>
        <r>
          <rPr>
            <sz val="9"/>
            <color indexed="81"/>
            <rFont val="Tahoma"/>
            <family val="2"/>
          </rPr>
          <t xml:space="preserve">
</t>
        </r>
      </text>
    </comment>
    <comment ref="K1377" authorId="0" shapeId="0" xr:uid="{BC2FF042-49F9-409A-8348-D9190040726A}">
      <text>
        <r>
          <rPr>
            <sz val="9"/>
            <color indexed="81"/>
            <rFont val="Tahoma"/>
            <family val="2"/>
          </rPr>
          <t>Spiral with blue star-forming ring and dust lane spiraling into core</t>
        </r>
      </text>
    </comment>
    <comment ref="A1378" authorId="0" shapeId="0" xr:uid="{7149D778-0ACB-4772-B39F-227553D5379D}">
      <text>
        <r>
          <rPr>
            <sz val="9"/>
            <color indexed="81"/>
            <rFont val="Tahoma"/>
            <family val="2"/>
          </rPr>
          <t xml:space="preserve">
</t>
        </r>
      </text>
    </comment>
    <comment ref="K1378" authorId="0" shapeId="0" xr:uid="{7AC3243C-3782-4A45-9923-7EFC7B02EDE3}">
      <text>
        <r>
          <rPr>
            <sz val="9"/>
            <color indexed="81"/>
            <rFont val="Tahoma"/>
            <family val="2"/>
          </rPr>
          <t>Showcase PN, big and bright with inner void areas and HII rim accents</t>
        </r>
      </text>
    </comment>
    <comment ref="A1379" authorId="0" shapeId="0" xr:uid="{AC0ECA14-1B8B-4C1C-A160-964848D8AE36}">
      <text>
        <r>
          <rPr>
            <sz val="9"/>
            <color indexed="81"/>
            <rFont val="Tahoma"/>
            <family val="2"/>
          </rPr>
          <t xml:space="preserve">
</t>
        </r>
      </text>
    </comment>
    <comment ref="K1379" authorId="0" shapeId="0" xr:uid="{3E42B4DA-E3C1-4B55-A840-8506372DE512}">
      <text>
        <r>
          <rPr>
            <sz val="9"/>
            <color indexed="81"/>
            <rFont val="Tahoma"/>
            <family val="2"/>
          </rPr>
          <t>Almost edge-on spiral with likely outer pseudo-ring and nice dust lanes</t>
        </r>
      </text>
    </comment>
    <comment ref="A1380" authorId="0" shapeId="0" xr:uid="{3F9F0A88-3CDF-475B-ACB2-741A4F7BFACD}">
      <text>
        <r>
          <rPr>
            <sz val="9"/>
            <color indexed="81"/>
            <rFont val="Tahoma"/>
            <family val="2"/>
          </rPr>
          <t xml:space="preserve">
</t>
        </r>
      </text>
    </comment>
    <comment ref="K1380" authorId="0" shapeId="0" xr:uid="{9FC52804-D4C0-4F22-93BF-446B7240BC4A}">
      <text>
        <r>
          <rPr>
            <sz val="9"/>
            <color indexed="81"/>
            <rFont val="Tahoma"/>
            <family val="2"/>
          </rPr>
          <t>Asymmetric spiral with off-center core and VV rows</t>
        </r>
      </text>
    </comment>
    <comment ref="A1381" authorId="0" shapeId="0" xr:uid="{2C22F70A-7F5C-4424-A59E-C98390426A33}">
      <text>
        <r>
          <rPr>
            <sz val="9"/>
            <color indexed="81"/>
            <rFont val="Tahoma"/>
            <family val="2"/>
          </rPr>
          <t xml:space="preserve">
</t>
        </r>
      </text>
    </comment>
    <comment ref="K1381" authorId="0" shapeId="0" xr:uid="{E5FC0ECE-8577-492E-8116-8E1C6D61A9F9}">
      <text>
        <r>
          <rPr>
            <sz val="9"/>
            <color indexed="81"/>
            <rFont val="Tahoma"/>
            <family val="2"/>
          </rPr>
          <t>Beautiful galaxy with distinct arms, star clouds, and pink HII regions.  Arm extend 360 degrees from core.</t>
        </r>
      </text>
    </comment>
    <comment ref="A1382" authorId="0" shapeId="0" xr:uid="{97C53589-7226-47C5-9C1F-65FD5D9B9864}">
      <text>
        <r>
          <rPr>
            <sz val="9"/>
            <color indexed="81"/>
            <rFont val="Tahoma"/>
            <family val="2"/>
          </rPr>
          <t xml:space="preserve">
</t>
        </r>
      </text>
    </comment>
    <comment ref="K1382" authorId="0" shapeId="0" xr:uid="{4969F006-DE57-41B0-A98F-250AD6F18266}">
      <text>
        <r>
          <rPr>
            <sz val="9"/>
            <color indexed="81"/>
            <rFont val="Tahoma"/>
            <family val="2"/>
          </rPr>
          <t>Showcase galaxy with asymmetric disk, VV rows, HII regions and star clouds.</t>
        </r>
      </text>
    </comment>
    <comment ref="A1383" authorId="0" shapeId="0" xr:uid="{73D14194-1C7B-4BB9-80F8-70FFFEABC78A}">
      <text>
        <r>
          <rPr>
            <sz val="9"/>
            <color indexed="81"/>
            <rFont val="Tahoma"/>
            <family val="2"/>
          </rPr>
          <t xml:space="preserve">
</t>
        </r>
      </text>
    </comment>
    <comment ref="K1383" authorId="0" shapeId="0" xr:uid="{EC15BBE1-C60E-49DB-9F3A-BDBF7A3CD38A}">
      <text>
        <r>
          <rPr>
            <sz val="9"/>
            <color indexed="81"/>
            <rFont val="Tahoma"/>
            <family val="2"/>
          </rPr>
          <t>Edge-on lenticular revealing a warped mid-line dust lane.</t>
        </r>
      </text>
    </comment>
    <comment ref="A1384" authorId="0" shapeId="0" xr:uid="{4AD107CF-1D4D-4DD9-85A1-493EA0B35CBD}">
      <text>
        <r>
          <rPr>
            <sz val="9"/>
            <color indexed="81"/>
            <rFont val="Tahoma"/>
            <family val="2"/>
          </rPr>
          <t xml:space="preserve">
</t>
        </r>
      </text>
    </comment>
    <comment ref="K1384" authorId="0" shapeId="0" xr:uid="{B77EA2C4-C262-4F63-86AA-C6967B3E36A9}">
      <text>
        <r>
          <rPr>
            <sz val="9"/>
            <color indexed="81"/>
            <rFont val="Tahoma"/>
            <family val="2"/>
          </rPr>
          <t>One of the smallest, youngest and most remote Messier open clusters</t>
        </r>
      </text>
    </comment>
    <comment ref="A1385" authorId="0" shapeId="0" xr:uid="{5457228C-3E6A-4D14-8E90-E72E5AD29A66}">
      <text>
        <r>
          <rPr>
            <sz val="9"/>
            <color indexed="81"/>
            <rFont val="Tahoma"/>
            <family val="2"/>
          </rPr>
          <t xml:space="preserve">
</t>
        </r>
      </text>
    </comment>
    <comment ref="K1385" authorId="0" shapeId="0" xr:uid="{F1EF6232-45B6-41CB-9170-E4D4F4835975}">
      <text>
        <r>
          <rPr>
            <sz val="9"/>
            <color indexed="81"/>
            <rFont val="Tahoma"/>
            <family val="2"/>
          </rPr>
          <t>Edge-on spiral, striking because of the contrast between the thick dust ring and the bright central bulge</t>
        </r>
      </text>
    </comment>
    <comment ref="A1386" authorId="0" shapeId="0" xr:uid="{5EF11668-C0F5-4C04-86DD-651C900B5263}">
      <text>
        <r>
          <rPr>
            <sz val="9"/>
            <color indexed="81"/>
            <rFont val="Tahoma"/>
            <family val="2"/>
          </rPr>
          <t xml:space="preserve">
</t>
        </r>
      </text>
    </comment>
    <comment ref="K1386" authorId="0" shapeId="0" xr:uid="{4C9207FD-592C-42EF-AA99-85EFEDA944DD}">
      <text>
        <r>
          <rPr>
            <sz val="9"/>
            <color indexed="81"/>
            <rFont val="Tahoma"/>
            <family val="2"/>
          </rPr>
          <t>Featureless slightly oblong elliptical galaxy, part of Leo galaxy Trio</t>
        </r>
      </text>
    </comment>
    <comment ref="A1387" authorId="0" shapeId="0" xr:uid="{46DFEE4F-A157-4E57-8A94-FD7272DFA4BA}">
      <text>
        <r>
          <rPr>
            <sz val="9"/>
            <color indexed="81"/>
            <rFont val="Tahoma"/>
            <family val="2"/>
          </rPr>
          <t xml:space="preserve">
</t>
        </r>
      </text>
    </comment>
    <comment ref="K1387" authorId="0" shapeId="0" xr:uid="{D976D750-D957-4021-9619-C55F2F252627}">
      <text>
        <r>
          <rPr>
            <sz val="9"/>
            <color indexed="81"/>
            <rFont val="Tahoma"/>
            <family val="2"/>
          </rPr>
          <t>Spiral with wonderful inner region dust lanes, HII regions, and star clouds, plus a closed outer ring</t>
        </r>
      </text>
    </comment>
    <comment ref="A1388" authorId="0" shapeId="0" xr:uid="{D1545511-E634-43EA-BC3C-41F8CAD6AC0E}">
      <text>
        <r>
          <rPr>
            <sz val="9"/>
            <color indexed="81"/>
            <rFont val="Tahoma"/>
            <family val="2"/>
          </rPr>
          <t xml:space="preserve">
</t>
        </r>
      </text>
    </comment>
    <comment ref="K1388" authorId="0" shapeId="0" xr:uid="{8BF85F0E-A112-42FC-9FC0-D4CAA92D519C}">
      <text>
        <r>
          <rPr>
            <sz val="9"/>
            <color indexed="81"/>
            <rFont val="Tahoma"/>
            <family val="2"/>
          </rPr>
          <t>Loose globular cluster with some internal dark regions</t>
        </r>
      </text>
    </comment>
    <comment ref="A1389" authorId="0" shapeId="0" xr:uid="{C0DA944E-4425-4A13-B6FB-520D6D5A7C46}">
      <text>
        <r>
          <rPr>
            <sz val="9"/>
            <color indexed="81"/>
            <rFont val="Tahoma"/>
            <family val="2"/>
          </rPr>
          <t xml:space="preserve">
</t>
        </r>
      </text>
    </comment>
    <comment ref="K1389" authorId="0" shapeId="0" xr:uid="{DCB16748-3F51-4FCB-8A21-65381339A39A}">
      <text>
        <r>
          <rPr>
            <sz val="9"/>
            <color indexed="81"/>
            <rFont val="Tahoma"/>
            <family val="2"/>
          </rPr>
          <t>Spiral with dark think dust lanes, blue star clouds, and pink HII regions.</t>
        </r>
      </text>
    </comment>
    <comment ref="A1390" authorId="0" shapeId="0" xr:uid="{4FF9DEAC-67F8-4694-88B5-13043E85C67C}">
      <text>
        <r>
          <rPr>
            <sz val="9"/>
            <color indexed="81"/>
            <rFont val="Tahoma"/>
            <family val="2"/>
          </rPr>
          <t xml:space="preserve">
</t>
        </r>
      </text>
    </comment>
    <comment ref="K1390" authorId="0" shapeId="0" xr:uid="{9E91936E-5924-4A4D-8E80-7F60F61139B6}">
      <text>
        <r>
          <rPr>
            <sz val="9"/>
            <color indexed="81"/>
            <rFont val="Tahoma"/>
            <family val="2"/>
          </rPr>
          <t xml:space="preserve">Strong central bar and sweeping spiral arms that extend out 360 degrees. </t>
        </r>
      </text>
    </comment>
    <comment ref="A1391" authorId="0" shapeId="0" xr:uid="{A56762E6-FA0F-467A-8A71-456016153787}">
      <text>
        <r>
          <rPr>
            <sz val="9"/>
            <color indexed="81"/>
            <rFont val="Tahoma"/>
            <family val="2"/>
          </rPr>
          <t xml:space="preserve">
</t>
        </r>
      </text>
    </comment>
    <comment ref="K1391" authorId="0" shapeId="0" xr:uid="{D518A220-899F-4D74-80B5-04A603A696AE}">
      <text>
        <r>
          <rPr>
            <sz val="9"/>
            <color indexed="81"/>
            <rFont val="Tahoma"/>
            <family val="2"/>
          </rPr>
          <t>M31 oblong (E5) elliptical companion</t>
        </r>
      </text>
    </comment>
    <comment ref="A1392" authorId="0" shapeId="0" xr:uid="{44E1E707-CD8E-4D27-99E4-E24C2F5EF15A}">
      <text>
        <r>
          <rPr>
            <sz val="9"/>
            <color indexed="81"/>
            <rFont val="Tahoma"/>
            <family val="2"/>
          </rPr>
          <t xml:space="preserve">
</t>
        </r>
      </text>
    </comment>
    <comment ref="K1392" authorId="0" shapeId="0" xr:uid="{F0A59A57-6C16-49C9-8B7E-DB7AA3B0069F}">
      <text>
        <r>
          <rPr>
            <sz val="9"/>
            <color indexed="81"/>
            <rFont val="Tahoma"/>
            <family val="2"/>
          </rPr>
          <t>Faint elliptical, dimmed by significant Milky Way intervening dust</t>
        </r>
      </text>
    </comment>
    <comment ref="A1393" authorId="0" shapeId="0" xr:uid="{5E8C0ED9-3266-453A-B82E-B38B976D05A9}">
      <text>
        <r>
          <rPr>
            <sz val="9"/>
            <color indexed="81"/>
            <rFont val="Tahoma"/>
            <family val="2"/>
          </rPr>
          <t xml:space="preserve">
</t>
        </r>
      </text>
    </comment>
    <comment ref="K1393" authorId="0" shapeId="0" xr:uid="{0329D16C-28AE-4294-B0DB-F8E1447595DE}">
      <text>
        <r>
          <rPr>
            <sz val="9"/>
            <color indexed="81"/>
            <rFont val="Tahoma"/>
            <family val="2"/>
          </rPr>
          <t>Faint elliptical, dimmed by significant Milky Way intervening dust</t>
        </r>
      </text>
    </comment>
    <comment ref="A1394" authorId="0" shapeId="0" xr:uid="{7FAC5C56-5349-4C5D-BB60-020935757906}">
      <text>
        <r>
          <rPr>
            <sz val="9"/>
            <color indexed="81"/>
            <rFont val="Tahoma"/>
            <family val="2"/>
          </rPr>
          <t xml:space="preserve">
</t>
        </r>
      </text>
    </comment>
    <comment ref="K1394" authorId="0" shapeId="0" xr:uid="{70721B0F-9ADA-4E60-A294-9393BEDDAF75}">
      <text>
        <r>
          <rPr>
            <sz val="9"/>
            <color indexed="81"/>
            <rFont val="Tahoma"/>
            <family val="2"/>
          </rPr>
          <t>Impressive Virgo galaxy group</t>
        </r>
      </text>
    </comment>
    <comment ref="A1395" authorId="0" shapeId="0" xr:uid="{CC1D71B7-4748-4465-8037-28CC8D474C07}">
      <text>
        <r>
          <rPr>
            <sz val="9"/>
            <color indexed="81"/>
            <rFont val="Tahoma"/>
            <family val="2"/>
          </rPr>
          <t xml:space="preserve">
</t>
        </r>
      </text>
    </comment>
    <comment ref="K1395" authorId="0" shapeId="0" xr:uid="{238710BC-05B6-48F3-809A-2322302B5F42}">
      <text>
        <r>
          <rPr>
            <sz val="9"/>
            <color indexed="81"/>
            <rFont val="Tahoma"/>
            <family val="2"/>
          </rPr>
          <t>Grand design spiral with VV rows</t>
        </r>
      </text>
    </comment>
    <comment ref="A1396" authorId="0" shapeId="0" xr:uid="{88135B67-EEA2-4D75-B77D-A1503FDCA13D}">
      <text>
        <r>
          <rPr>
            <sz val="9"/>
            <color indexed="81"/>
            <rFont val="Tahoma"/>
            <family val="2"/>
          </rPr>
          <t xml:space="preserve">
</t>
        </r>
      </text>
    </comment>
    <comment ref="K1396" authorId="0" shapeId="0" xr:uid="{59577797-49BE-43D3-9671-9A9E8A6EE3E3}">
      <text>
        <r>
          <rPr>
            <sz val="9"/>
            <color indexed="81"/>
            <rFont val="Tahoma"/>
            <family val="2"/>
          </rPr>
          <t>Seyfert 2 lenticular, close to edge-on, with both an inner ring and a mid-disk ring</t>
        </r>
      </text>
    </comment>
    <comment ref="A1397" authorId="0" shapeId="0" xr:uid="{D84782F5-36F7-40DD-AB17-08B400F03E34}">
      <text>
        <r>
          <rPr>
            <sz val="9"/>
            <color indexed="81"/>
            <rFont val="Tahoma"/>
            <family val="2"/>
          </rPr>
          <t xml:space="preserve">
</t>
        </r>
      </text>
    </comment>
    <comment ref="K1397" authorId="0" shapeId="0" xr:uid="{2ED65728-081F-41E3-A60B-7DF8B14A9632}">
      <text>
        <r>
          <rPr>
            <sz val="9"/>
            <color indexed="81"/>
            <rFont val="Tahoma"/>
            <family val="2"/>
          </rPr>
          <t>Brilliant cluster surrounded by a towering, twisting pillar of dust.</t>
        </r>
      </text>
    </comment>
    <comment ref="A1398" authorId="0" shapeId="0" xr:uid="{73C23DC2-4716-49EB-938D-C12DF825D0F8}">
      <text>
        <r>
          <rPr>
            <sz val="9"/>
            <color indexed="81"/>
            <rFont val="Tahoma"/>
            <family val="2"/>
          </rPr>
          <t xml:space="preserve">
</t>
        </r>
      </text>
    </comment>
    <comment ref="K1398" authorId="0" shapeId="0" xr:uid="{C2A9F0D2-812C-42D3-8DD9-86D1B00D986E}">
      <text>
        <r>
          <rPr>
            <sz val="9"/>
            <color indexed="81"/>
            <rFont val="Tahoma"/>
            <family val="2"/>
          </rPr>
          <t>Bright naked eye cluster, one of the earliest known deep sky objects</t>
        </r>
      </text>
    </comment>
    <comment ref="A1399" authorId="0" shapeId="0" xr:uid="{F2AB90E9-3442-4A9B-912C-94B8D8124A5E}">
      <text>
        <r>
          <rPr>
            <sz val="9"/>
            <color indexed="81"/>
            <rFont val="Tahoma"/>
            <family val="2"/>
          </rPr>
          <t xml:space="preserve">
</t>
        </r>
      </text>
    </comment>
    <comment ref="K1399" authorId="0" shapeId="0" xr:uid="{20F75263-9974-4284-B456-887C31B99A4E}">
      <text>
        <r>
          <rPr>
            <sz val="9"/>
            <color indexed="81"/>
            <rFont val="Tahoma"/>
            <family val="2"/>
          </rPr>
          <t>The nearest open cluster to earth and one of the brightest</t>
        </r>
      </text>
    </comment>
    <comment ref="A1400" authorId="0" shapeId="0" xr:uid="{1FF967A4-0B2B-431F-8005-A7420C7C88BD}">
      <text>
        <r>
          <rPr>
            <sz val="9"/>
            <color indexed="81"/>
            <rFont val="Tahoma"/>
            <family val="2"/>
          </rPr>
          <t xml:space="preserve">
</t>
        </r>
      </text>
    </comment>
    <comment ref="K1400" authorId="0" shapeId="0" xr:uid="{2C7CDBA4-0BD9-42B0-9936-B74E83B43F05}">
      <text>
        <r>
          <rPr>
            <sz val="9"/>
            <color indexed="81"/>
            <rFont val="Tahoma"/>
            <family val="2"/>
          </rPr>
          <t>Naked eye cluster looking like a cobweb in the sky</t>
        </r>
      </text>
    </comment>
    <comment ref="A1401" authorId="0" shapeId="0" xr:uid="{7DBAD8EC-BA02-41DE-8BE9-87903BF1AAC8}">
      <text>
        <r>
          <rPr>
            <sz val="9"/>
            <color indexed="81"/>
            <rFont val="Tahoma"/>
            <family val="2"/>
          </rPr>
          <t xml:space="preserve">
</t>
        </r>
      </text>
    </comment>
    <comment ref="K1401" authorId="0" shapeId="0" xr:uid="{8CC4C65C-05FA-459E-9270-DEC624656C31}">
      <text>
        <r>
          <rPr>
            <sz val="9"/>
            <color indexed="81"/>
            <rFont val="Tahoma"/>
            <family val="2"/>
          </rPr>
          <t>Large sparse open cluster</t>
        </r>
      </text>
    </comment>
    <comment ref="A1402" authorId="0" shapeId="0" xr:uid="{9C1BD1C7-44F1-424B-B679-863A85F6B88F}">
      <text>
        <r>
          <rPr>
            <sz val="9"/>
            <color indexed="81"/>
            <rFont val="Tahoma"/>
            <family val="2"/>
          </rPr>
          <t xml:space="preserve">
</t>
        </r>
      </text>
    </comment>
    <comment ref="K1402" authorId="0" shapeId="0" xr:uid="{1D68AFC5-BAE0-4EF7-9009-87FB6A68C4DD}">
      <text>
        <r>
          <rPr>
            <sz val="9"/>
            <color indexed="81"/>
            <rFont val="Tahoma"/>
            <family val="2"/>
          </rPr>
          <t>Bipolar PN with intact end lobes</t>
        </r>
      </text>
    </comment>
    <comment ref="A1403" authorId="0" shapeId="0" xr:uid="{B0495BE2-E265-436E-AD0E-47DE867E2631}">
      <text>
        <r>
          <rPr>
            <sz val="9"/>
            <color indexed="81"/>
            <rFont val="Tahoma"/>
            <family val="2"/>
          </rPr>
          <t xml:space="preserve">
</t>
        </r>
      </text>
    </comment>
    <comment ref="K1403" authorId="0" shapeId="0" xr:uid="{419B57EA-F594-467D-B6D1-B3A75E196D3F}">
      <text>
        <r>
          <rPr>
            <sz val="9"/>
            <color indexed="81"/>
            <rFont val="Tahoma"/>
            <family val="2"/>
          </rPr>
          <t>Bipolar nebulae with bright white torus ring</t>
        </r>
      </text>
    </comment>
    <comment ref="A1404" authorId="0" shapeId="0" xr:uid="{3BC95912-9B83-46A0-96D6-07296520C42E}">
      <text>
        <r>
          <rPr>
            <sz val="9"/>
            <color indexed="81"/>
            <rFont val="Tahoma"/>
            <family val="2"/>
          </rPr>
          <t xml:space="preserve">
</t>
        </r>
      </text>
    </comment>
    <comment ref="K1404" authorId="0" shapeId="0" xr:uid="{5E1F4201-E85A-4E75-94B4-7ACEED5F08B9}">
      <text>
        <r>
          <rPr>
            <sz val="9"/>
            <color indexed="81"/>
            <rFont val="Tahoma"/>
            <family val="2"/>
          </rPr>
          <t>Small bipolar PN with odd OIII glow</t>
        </r>
      </text>
    </comment>
    <comment ref="A1405" authorId="0" shapeId="0" xr:uid="{C43D956A-3B1B-4DEB-9974-B3C5240509D3}">
      <text>
        <r>
          <rPr>
            <sz val="9"/>
            <color indexed="81"/>
            <rFont val="Tahoma"/>
            <family val="2"/>
          </rPr>
          <t xml:space="preserve">
</t>
        </r>
      </text>
    </comment>
    <comment ref="K1405" authorId="0" shapeId="0" xr:uid="{39A9B2CC-2614-45C4-BAB4-9D9EB9FCD6A7}">
      <text>
        <r>
          <rPr>
            <sz val="9"/>
            <color indexed="81"/>
            <rFont val="Tahoma"/>
            <family val="2"/>
          </rPr>
          <t>Small multipolar PN with HII rim.</t>
        </r>
      </text>
    </comment>
    <comment ref="A1406" authorId="0" shapeId="0" xr:uid="{5158ABCD-1A57-44D1-97C7-D343346F475F}">
      <text>
        <r>
          <rPr>
            <sz val="9"/>
            <color indexed="81"/>
            <rFont val="Tahoma"/>
            <family val="2"/>
          </rPr>
          <t xml:space="preserve">
</t>
        </r>
      </text>
    </comment>
    <comment ref="K1406" authorId="0" shapeId="0" xr:uid="{F306B020-B90B-47EB-AC44-0D2D97E2AE75}">
      <text>
        <r>
          <rPr>
            <sz val="9"/>
            <color indexed="81"/>
            <rFont val="Tahoma"/>
            <family val="2"/>
          </rPr>
          <t>Small PN with interesting hole punch look and red HII rim</t>
        </r>
      </text>
    </comment>
    <comment ref="A1407" authorId="0" shapeId="0" xr:uid="{6FB96336-C75D-4922-B271-A12D0C103B13}">
      <text>
        <r>
          <rPr>
            <sz val="9"/>
            <color indexed="81"/>
            <rFont val="Tahoma"/>
            <family val="2"/>
          </rPr>
          <t xml:space="preserve">
</t>
        </r>
      </text>
    </comment>
    <comment ref="K1407" authorId="0" shapeId="0" xr:uid="{190639DC-6710-4495-9D5A-F88939C04CBD}">
      <text>
        <r>
          <rPr>
            <sz val="9"/>
            <color indexed="81"/>
            <rFont val="Tahoma"/>
            <family val="2"/>
          </rPr>
          <t>Bipolar HII-dominated PN with blown out lobes</t>
        </r>
      </text>
    </comment>
    <comment ref="A1408" authorId="0" shapeId="0" xr:uid="{09E2A54C-ADF5-4960-A565-D4B96B484206}">
      <text>
        <r>
          <rPr>
            <sz val="9"/>
            <color indexed="81"/>
            <rFont val="Tahoma"/>
            <family val="2"/>
          </rPr>
          <t xml:space="preserve">
</t>
        </r>
      </text>
    </comment>
    <comment ref="K1408" authorId="0" shapeId="0" xr:uid="{0068F81F-6AA0-4384-BCE8-503FFC4395C1}">
      <text>
        <r>
          <rPr>
            <sz val="9"/>
            <color indexed="81"/>
            <rFont val="Tahoma"/>
            <family val="2"/>
          </rPr>
          <t>Multipolar HII-dominated PN</t>
        </r>
      </text>
    </comment>
    <comment ref="A1409" authorId="0" shapeId="0" xr:uid="{53FA3805-0053-45D6-A214-A566C4122AE5}">
      <text>
        <r>
          <rPr>
            <sz val="9"/>
            <color indexed="81"/>
            <rFont val="Tahoma"/>
            <family val="2"/>
          </rPr>
          <t xml:space="preserve">
</t>
        </r>
      </text>
    </comment>
    <comment ref="K1409" authorId="0" shapeId="0" xr:uid="{BD31B427-5199-4118-87C4-D21298F720EE}">
      <text>
        <r>
          <rPr>
            <sz val="9"/>
            <color indexed="81"/>
            <rFont val="Tahoma"/>
            <family val="2"/>
          </rPr>
          <t>Small bipolar HII-dominated PN with white torus</t>
        </r>
      </text>
    </comment>
    <comment ref="A1410" authorId="0" shapeId="0" xr:uid="{2CAB917E-6E79-449B-9E9B-81CC49652580}">
      <text>
        <r>
          <rPr>
            <sz val="9"/>
            <color indexed="81"/>
            <rFont val="Tahoma"/>
            <family val="2"/>
          </rPr>
          <t xml:space="preserve">
</t>
        </r>
      </text>
    </comment>
    <comment ref="K1410" authorId="0" shapeId="0" xr:uid="{0F2A6DD2-0AAC-425C-A982-356D39DEFCF0}">
      <text>
        <r>
          <rPr>
            <sz val="9"/>
            <color indexed="81"/>
            <rFont val="Tahoma"/>
            <family val="2"/>
          </rPr>
          <t>Tiny bipolar PN with blown out lobes</t>
        </r>
      </text>
    </comment>
    <comment ref="A1411" authorId="0" shapeId="0" xr:uid="{85F27C4C-E619-40C6-8B48-40BDEB39F897}">
      <text>
        <r>
          <rPr>
            <sz val="9"/>
            <color indexed="81"/>
            <rFont val="Tahoma"/>
            <family val="2"/>
          </rPr>
          <t xml:space="preserve">
</t>
        </r>
      </text>
    </comment>
    <comment ref="K1411" authorId="0" shapeId="0" xr:uid="{7402CB4E-F0C6-4503-9381-B9221472FE26}">
      <text>
        <r>
          <rPr>
            <sz val="9"/>
            <color indexed="81"/>
            <rFont val="Tahoma"/>
            <family val="2"/>
          </rPr>
          <t>Multipolar PN with amazing structure</t>
        </r>
      </text>
    </comment>
    <comment ref="A1412" authorId="0" shapeId="0" xr:uid="{1F66719D-2A0F-4E3B-A30D-0BDF54510EC3}">
      <text>
        <r>
          <rPr>
            <sz val="9"/>
            <color indexed="81"/>
            <rFont val="Tahoma"/>
            <family val="2"/>
          </rPr>
          <t xml:space="preserve">
</t>
        </r>
      </text>
    </comment>
    <comment ref="K1412" authorId="0" shapeId="0" xr:uid="{74770DD1-E655-4C10-9701-86C9BA00C952}">
      <text>
        <r>
          <rPr>
            <sz val="9"/>
            <color indexed="81"/>
            <rFont val="Tahoma"/>
            <family val="2"/>
          </rPr>
          <t>White circular PN with HII rim</t>
        </r>
      </text>
    </comment>
    <comment ref="A1413" authorId="0" shapeId="0" xr:uid="{33C656A6-1525-45AB-BE50-C4B73FF85411}">
      <text>
        <r>
          <rPr>
            <sz val="9"/>
            <color indexed="81"/>
            <rFont val="Tahoma"/>
            <family val="2"/>
          </rPr>
          <t xml:space="preserve">
</t>
        </r>
      </text>
    </comment>
    <comment ref="K1413" authorId="0" shapeId="0" xr:uid="{54BEB815-2EAC-4D02-8AFF-75F5BC517704}">
      <text>
        <r>
          <rPr>
            <sz val="9"/>
            <color indexed="81"/>
            <rFont val="Tahoma"/>
            <family val="2"/>
          </rPr>
          <t>Multipolar PN with bright white torus</t>
        </r>
      </text>
    </comment>
    <comment ref="A1414" authorId="0" shapeId="0" xr:uid="{B4F3B5FF-9936-4232-81DC-BE72C27C3E30}">
      <text>
        <r>
          <rPr>
            <sz val="9"/>
            <color indexed="81"/>
            <rFont val="Tahoma"/>
            <family val="2"/>
          </rPr>
          <t xml:space="preserve">
</t>
        </r>
      </text>
    </comment>
    <comment ref="K1414" authorId="0" shapeId="0" xr:uid="{F4A295BE-7956-4755-A2B9-55D3381B300F}">
      <text>
        <r>
          <rPr>
            <sz val="9"/>
            <color indexed="81"/>
            <rFont val="Tahoma"/>
            <family val="2"/>
          </rPr>
          <t>Multipolar PN with burst out lobes and strong ISM influence</t>
        </r>
      </text>
    </comment>
    <comment ref="A1415" authorId="0" shapeId="0" xr:uid="{39F165CE-1D72-4070-908D-B84430165363}">
      <text>
        <r>
          <rPr>
            <sz val="9"/>
            <color indexed="81"/>
            <rFont val="Tahoma"/>
            <family val="2"/>
          </rPr>
          <t xml:space="preserve">
</t>
        </r>
      </text>
    </comment>
    <comment ref="K1415" authorId="0" shapeId="0" xr:uid="{818215FB-C0D6-4CBE-87D1-396C95F9C51C}">
      <text>
        <r>
          <rPr>
            <sz val="9"/>
            <color indexed="81"/>
            <rFont val="Tahoma"/>
            <family val="2"/>
          </rPr>
          <t>Tiny protoplanetary nebula with twin HII jets</t>
        </r>
      </text>
    </comment>
    <comment ref="A1416" authorId="0" shapeId="0" xr:uid="{A8EF0F3C-3086-40E5-B2A6-C76AA0A58FE8}">
      <text>
        <r>
          <rPr>
            <sz val="9"/>
            <color indexed="81"/>
            <rFont val="Tahoma"/>
            <family val="2"/>
          </rPr>
          <t xml:space="preserve">
</t>
        </r>
      </text>
    </comment>
    <comment ref="K1416" authorId="0" shapeId="0" xr:uid="{1C630D8E-041C-421A-96BB-F99F03A770EE}">
      <text>
        <r>
          <rPr>
            <sz val="9"/>
            <color indexed="81"/>
            <rFont val="Tahoma"/>
            <family val="2"/>
          </rPr>
          <t>Tiny protoplanetary nebula, with the jet outflows in the shape of a footprint</t>
        </r>
      </text>
    </comment>
    <comment ref="A1417" authorId="0" shapeId="0" xr:uid="{724CE1AA-0309-41F1-893E-74FF4A16DB18}">
      <text>
        <r>
          <rPr>
            <sz val="9"/>
            <color indexed="81"/>
            <rFont val="Tahoma"/>
            <family val="2"/>
          </rPr>
          <t xml:space="preserve">
</t>
        </r>
      </text>
    </comment>
    <comment ref="K1417" authorId="0" shapeId="0" xr:uid="{12C8C8E3-CF2A-4368-A5B0-8E2B8234AC5B}">
      <text>
        <r>
          <rPr>
            <sz val="9"/>
            <color indexed="81"/>
            <rFont val="Tahoma"/>
            <family val="2"/>
          </rPr>
          <t>Tiny protoplanetary nebula, with HII-dominated opposing jet outflows</t>
        </r>
      </text>
    </comment>
    <comment ref="A1418" authorId="0" shapeId="0" xr:uid="{C45DAF01-B128-431A-B7AA-98B3EAAA5D73}">
      <text>
        <r>
          <rPr>
            <sz val="9"/>
            <color indexed="81"/>
            <rFont val="Tahoma"/>
            <family val="2"/>
          </rPr>
          <t xml:space="preserve">
</t>
        </r>
      </text>
    </comment>
    <comment ref="K1418" authorId="0" shapeId="0" xr:uid="{44AB6C13-9A58-4314-AAD3-2F4E3CF3E2A8}">
      <text>
        <r>
          <rPr>
            <sz val="9"/>
            <color indexed="81"/>
            <rFont val="Tahoma"/>
            <family val="2"/>
          </rPr>
          <t>Small and dim with incredible multipolar structure</t>
        </r>
      </text>
    </comment>
    <comment ref="A1419" authorId="0" shapeId="0" xr:uid="{56C19B48-F8C6-41D0-98E4-546A9A6DD9C5}">
      <text>
        <r>
          <rPr>
            <sz val="9"/>
            <color indexed="81"/>
            <rFont val="Tahoma"/>
            <family val="2"/>
          </rPr>
          <t xml:space="preserve">
</t>
        </r>
      </text>
    </comment>
    <comment ref="K1419" authorId="0" shapeId="0" xr:uid="{C9940017-E6C3-4423-9715-C63913549C6D}">
      <text>
        <r>
          <rPr>
            <sz val="9"/>
            <color indexed="81"/>
            <rFont val="Tahoma"/>
            <family val="2"/>
          </rPr>
          <t>Unique bipolar HII-dominated PN with seemingly powerful jet influence</t>
        </r>
      </text>
    </comment>
    <comment ref="A1420" authorId="0" shapeId="0" xr:uid="{1920F2C1-C33A-4E53-9875-F98212123DA7}">
      <text>
        <r>
          <rPr>
            <sz val="9"/>
            <color indexed="81"/>
            <rFont val="Tahoma"/>
            <family val="2"/>
          </rPr>
          <t xml:space="preserve">
</t>
        </r>
      </text>
    </comment>
    <comment ref="K1420" authorId="0" shapeId="0" xr:uid="{B83BD50F-28FD-4E6F-9224-E20EEBFBAAA3}">
      <text>
        <r>
          <rPr>
            <sz val="9"/>
            <color indexed="81"/>
            <rFont val="Tahoma"/>
            <family val="2"/>
          </rPr>
          <t>Bipolar PN in faint ring shape</t>
        </r>
      </text>
    </comment>
    <comment ref="A1421" authorId="0" shapeId="0" xr:uid="{49993539-89D5-43F6-843D-5BD9FF85FBB5}">
      <text>
        <r>
          <rPr>
            <sz val="9"/>
            <color indexed="81"/>
            <rFont val="Tahoma"/>
            <family val="2"/>
          </rPr>
          <t xml:space="preserve">
</t>
        </r>
      </text>
    </comment>
    <comment ref="K1421" authorId="0" shapeId="0" xr:uid="{2ED34DB5-B51A-46DF-B40A-C1C84E08C950}">
      <text>
        <r>
          <rPr>
            <sz val="9"/>
            <color indexed="81"/>
            <rFont val="Tahoma"/>
            <family val="2"/>
          </rPr>
          <t>Unique Texas-shaped PN, likely multipolar</t>
        </r>
      </text>
    </comment>
    <comment ref="A1422" authorId="0" shapeId="0" xr:uid="{9A9BF67F-0708-4E6E-8F7B-1BA4F03BABCC}">
      <text>
        <r>
          <rPr>
            <sz val="9"/>
            <color indexed="81"/>
            <rFont val="Tahoma"/>
            <family val="2"/>
          </rPr>
          <t xml:space="preserve">
</t>
        </r>
      </text>
    </comment>
    <comment ref="K1422" authorId="0" shapeId="0" xr:uid="{E6F29D47-9B5C-421F-AE9E-F359A94757B3}">
      <text>
        <r>
          <rPr>
            <sz val="9"/>
            <color indexed="81"/>
            <rFont val="Tahoma"/>
            <family val="2"/>
          </rPr>
          <t>Bipolar HII-dominated PN with interesting inner void structure</t>
        </r>
      </text>
    </comment>
    <comment ref="A1423" authorId="0" shapeId="0" xr:uid="{5D9CA663-2FD1-4034-BAF5-042BC2DF4D6F}">
      <text>
        <r>
          <rPr>
            <sz val="9"/>
            <color indexed="81"/>
            <rFont val="Tahoma"/>
            <family val="2"/>
          </rPr>
          <t xml:space="preserve">
</t>
        </r>
      </text>
    </comment>
    <comment ref="K1423" authorId="0" shapeId="0" xr:uid="{DA995F93-CDBE-4E6C-B08B-2AC94FCBD757}">
      <text>
        <r>
          <rPr>
            <sz val="9"/>
            <color indexed="81"/>
            <rFont val="Tahoma"/>
            <family val="2"/>
          </rPr>
          <t>Bipolar PN with ansae from the jet outflows</t>
        </r>
      </text>
    </comment>
    <comment ref="A1424" authorId="0" shapeId="0" xr:uid="{289D2B38-E40D-432C-89A7-D848E95193AC}">
      <text>
        <r>
          <rPr>
            <sz val="9"/>
            <color indexed="81"/>
            <rFont val="Tahoma"/>
            <family val="2"/>
          </rPr>
          <t xml:space="preserve">
</t>
        </r>
      </text>
    </comment>
    <comment ref="K1424" authorId="0" shapeId="0" xr:uid="{115F4C74-8C70-45B6-89DF-148CD290251A}">
      <text>
        <r>
          <rPr>
            <sz val="9"/>
            <color indexed="81"/>
            <rFont val="Tahoma"/>
            <family val="2"/>
          </rPr>
          <t>Distant small bipolar PN with HII-dominated edges</t>
        </r>
      </text>
    </comment>
    <comment ref="A1425" authorId="0" shapeId="0" xr:uid="{5DC2B3CC-9ACD-4F6A-9682-56825BF7840B}">
      <text>
        <r>
          <rPr>
            <sz val="9"/>
            <color indexed="81"/>
            <rFont val="Tahoma"/>
            <family val="2"/>
          </rPr>
          <t xml:space="preserve">
</t>
        </r>
      </text>
    </comment>
    <comment ref="K1425" authorId="0" shapeId="0" xr:uid="{4D314E5C-1550-44CA-83B7-8570175174DD}">
      <text>
        <r>
          <rPr>
            <sz val="9"/>
            <color indexed="81"/>
            <rFont val="Tahoma"/>
            <family val="2"/>
          </rPr>
          <t>Bipolar OIII-dominated PN with torus</t>
        </r>
      </text>
    </comment>
    <comment ref="A1426" authorId="0" shapeId="0" xr:uid="{6FD1B732-35A3-463C-A8F1-350D4F469AF1}">
      <text>
        <r>
          <rPr>
            <sz val="9"/>
            <color indexed="81"/>
            <rFont val="Tahoma"/>
            <family val="2"/>
          </rPr>
          <t xml:space="preserve">
</t>
        </r>
      </text>
    </comment>
    <comment ref="K1426" authorId="0" shapeId="0" xr:uid="{DC962736-E0B0-4FFE-9969-32875477217F}">
      <text>
        <r>
          <rPr>
            <sz val="9"/>
            <color indexed="81"/>
            <rFont val="Tahoma"/>
            <family val="2"/>
          </rPr>
          <t>Bipolar PN with both end lobes blown out</t>
        </r>
      </text>
    </comment>
    <comment ref="A1427" authorId="0" shapeId="0" xr:uid="{CD6958E1-B158-4E37-A6EF-31C3B6EF564A}">
      <text>
        <r>
          <rPr>
            <sz val="9"/>
            <color indexed="81"/>
            <rFont val="Tahoma"/>
            <family val="2"/>
          </rPr>
          <t xml:space="preserve">
</t>
        </r>
      </text>
    </comment>
    <comment ref="K1427" authorId="0" shapeId="0" xr:uid="{A94671AE-B83C-4108-A421-40981EAD4F5B}">
      <text>
        <r>
          <rPr>
            <sz val="9"/>
            <color indexed="81"/>
            <rFont val="Tahoma"/>
            <family val="2"/>
          </rPr>
          <t>Small PN with interesting filaments</t>
        </r>
      </text>
    </comment>
    <comment ref="A1428" authorId="0" shapeId="0" xr:uid="{A282C5E1-2F35-42E1-AA8A-80B26CE48220}">
      <text>
        <r>
          <rPr>
            <sz val="9"/>
            <color indexed="81"/>
            <rFont val="Tahoma"/>
            <family val="2"/>
          </rPr>
          <t xml:space="preserve">
</t>
        </r>
      </text>
    </comment>
    <comment ref="K1428" authorId="0" shapeId="0" xr:uid="{3BA33101-F82F-4462-AA95-6B117AD10653}">
      <text>
        <r>
          <rPr>
            <sz val="9"/>
            <color indexed="81"/>
            <rFont val="Tahoma"/>
            <family val="2"/>
          </rPr>
          <t>Distant bipolar PN with blown out lobes</t>
        </r>
      </text>
    </comment>
    <comment ref="A1429" authorId="0" shapeId="0" xr:uid="{725FD07D-769C-487D-80BF-C5B3749E4827}">
      <text>
        <r>
          <rPr>
            <sz val="9"/>
            <color indexed="81"/>
            <rFont val="Tahoma"/>
            <family val="2"/>
          </rPr>
          <t xml:space="preserve">
</t>
        </r>
      </text>
    </comment>
    <comment ref="K1429" authorId="0" shapeId="0" xr:uid="{39AF6A37-4847-451A-BC4A-48E76F20DE77}">
      <text>
        <r>
          <rPr>
            <sz val="9"/>
            <color indexed="81"/>
            <rFont val="Tahoma"/>
            <family val="2"/>
          </rPr>
          <t>Elliptical ring PN with visible progenitor</t>
        </r>
      </text>
    </comment>
    <comment ref="A1430" authorId="0" shapeId="0" xr:uid="{6A3D2C8E-EBA5-4332-8C3F-496743A9502B}">
      <text>
        <r>
          <rPr>
            <sz val="9"/>
            <color indexed="81"/>
            <rFont val="Tahoma"/>
            <family val="2"/>
          </rPr>
          <t xml:space="preserve">
</t>
        </r>
      </text>
    </comment>
    <comment ref="K1430" authorId="0" shapeId="0" xr:uid="{974839DA-66B6-4C5A-A4C7-5A80AF3653F0}">
      <text>
        <r>
          <rPr>
            <sz val="9"/>
            <color indexed="81"/>
            <rFont val="Tahoma"/>
            <family val="2"/>
          </rPr>
          <t>Elliptical HII-dominated ring PN</t>
        </r>
      </text>
    </comment>
    <comment ref="A1431" authorId="0" shapeId="0" xr:uid="{9F527EC5-6D71-47E0-A091-E660BD0B0DA2}">
      <text>
        <r>
          <rPr>
            <sz val="9"/>
            <color indexed="81"/>
            <rFont val="Tahoma"/>
            <family val="2"/>
          </rPr>
          <t xml:space="preserve">
</t>
        </r>
      </text>
    </comment>
    <comment ref="K1431" authorId="0" shapeId="0" xr:uid="{CFFAE376-A2D5-4C11-9A35-172A2D0745AE}">
      <text>
        <r>
          <rPr>
            <sz val="9"/>
            <color indexed="81"/>
            <rFont val="Tahoma"/>
            <family val="2"/>
          </rPr>
          <t>Graceful HII-dominated bipolar PN with bright torus</t>
        </r>
      </text>
    </comment>
    <comment ref="A1432" authorId="0" shapeId="0" xr:uid="{C68098A2-6774-4A40-9F4B-3C95D3B10E72}">
      <text>
        <r>
          <rPr>
            <sz val="9"/>
            <color indexed="81"/>
            <rFont val="Tahoma"/>
            <family val="2"/>
          </rPr>
          <t xml:space="preserve">
</t>
        </r>
      </text>
    </comment>
    <comment ref="K1432" authorId="0" shapeId="0" xr:uid="{F227CB68-5AC0-46E5-A30B-054EA1BE47F8}">
      <text>
        <r>
          <rPr>
            <sz val="9"/>
            <color indexed="81"/>
            <rFont val="Tahoma"/>
            <family val="2"/>
          </rPr>
          <t>Bipolar PN with lobes and bright torus</t>
        </r>
      </text>
    </comment>
    <comment ref="A1433" authorId="0" shapeId="0" xr:uid="{CD1366AC-9936-4272-813A-64CE2872F5F0}">
      <text>
        <r>
          <rPr>
            <sz val="9"/>
            <color indexed="81"/>
            <rFont val="Tahoma"/>
            <family val="2"/>
          </rPr>
          <t xml:space="preserve">
</t>
        </r>
      </text>
    </comment>
    <comment ref="K1433" authorId="0" shapeId="0" xr:uid="{9B5C6192-9662-42C3-B42A-CFB9FFB22DD2}">
      <text>
        <r>
          <rPr>
            <sz val="9"/>
            <color indexed="81"/>
            <rFont val="Tahoma"/>
            <family val="2"/>
          </rPr>
          <t>Triangular core with long tail - likely a merger remnant</t>
        </r>
      </text>
    </comment>
    <comment ref="A1434" authorId="0" shapeId="0" xr:uid="{3DB07B72-55EF-4FCC-8F83-2C8E2E924DFC}">
      <text>
        <r>
          <rPr>
            <sz val="9"/>
            <color indexed="81"/>
            <rFont val="Tahoma"/>
            <family val="2"/>
          </rPr>
          <t xml:space="preserve">
</t>
        </r>
      </text>
    </comment>
    <comment ref="K1434" authorId="0" shapeId="0" xr:uid="{06895063-A7A8-46A5-BABB-B965747C6149}">
      <text>
        <r>
          <rPr>
            <sz val="9"/>
            <color indexed="81"/>
            <rFont val="Tahoma"/>
            <family val="2"/>
          </rPr>
          <t>Trio of small, colorful interesting galaxy structures</t>
        </r>
      </text>
    </comment>
    <comment ref="A1435" authorId="0" shapeId="0" xr:uid="{61FA80B3-77E1-4033-B3A1-3703A12AC9A7}">
      <text>
        <r>
          <rPr>
            <sz val="9"/>
            <color indexed="81"/>
            <rFont val="Tahoma"/>
            <family val="2"/>
          </rPr>
          <t xml:space="preserve">
</t>
        </r>
      </text>
    </comment>
    <comment ref="K1435" authorId="0" shapeId="0" xr:uid="{599B8A7B-E108-472E-B068-62CFD4517F94}">
      <text>
        <r>
          <rPr>
            <sz val="9"/>
            <color indexed="81"/>
            <rFont val="Tahoma"/>
            <family val="2"/>
          </rPr>
          <t>Large faint molecular cloud, Mandel-Wilson 9</t>
        </r>
      </text>
    </comment>
    <comment ref="A1436" authorId="0" shapeId="0" xr:uid="{604AFA96-73FA-4B67-B11C-06174F0DBDDE}">
      <text>
        <r>
          <rPr>
            <sz val="9"/>
            <color indexed="81"/>
            <rFont val="Tahoma"/>
            <family val="2"/>
          </rPr>
          <t xml:space="preserve">
</t>
        </r>
      </text>
    </comment>
    <comment ref="K1436" authorId="0" shapeId="0" xr:uid="{098799D8-02DC-45D2-A102-4FB7CF89CE25}">
      <text>
        <r>
          <rPr>
            <sz val="9"/>
            <color indexed="81"/>
            <rFont val="Tahoma"/>
            <family val="2"/>
          </rPr>
          <t>Huge ancient PN with OIII-dominated signal and faint lobe arcs</t>
        </r>
      </text>
    </comment>
    <comment ref="A1437" authorId="0" shapeId="0" xr:uid="{B9B6AAFC-0037-4415-A1C5-042AB783C65E}">
      <text>
        <r>
          <rPr>
            <sz val="9"/>
            <color indexed="81"/>
            <rFont val="Tahoma"/>
            <family val="2"/>
          </rPr>
          <t xml:space="preserve">
</t>
        </r>
      </text>
    </comment>
    <comment ref="K1437" authorId="0" shapeId="0" xr:uid="{FBA53D47-EDC0-4BB3-82E6-8FD5D73B2507}">
      <text>
        <r>
          <rPr>
            <sz val="9"/>
            <color indexed="81"/>
            <rFont val="Tahoma"/>
            <family val="2"/>
          </rPr>
          <t>Gorgeous mix of bright nebulae with star clusters</t>
        </r>
      </text>
    </comment>
    <comment ref="A1438" authorId="0" shapeId="0" xr:uid="{95567E62-0DE6-43A6-B8CB-A2E454E863FA}">
      <text>
        <r>
          <rPr>
            <sz val="9"/>
            <color indexed="81"/>
            <rFont val="Tahoma"/>
            <family val="2"/>
          </rPr>
          <t xml:space="preserve">
</t>
        </r>
      </text>
    </comment>
    <comment ref="K1438" authorId="0" shapeId="0" xr:uid="{9D739B41-7FC0-445A-A76B-3B11919314DA}">
      <text>
        <r>
          <rPr>
            <sz val="9"/>
            <color indexed="81"/>
            <rFont val="Tahoma"/>
            <family val="2"/>
          </rPr>
          <t>Bright nebulae in the SMC</t>
        </r>
      </text>
    </comment>
    <comment ref="A1439" authorId="0" shapeId="0" xr:uid="{71ABE5AA-D0BE-4690-9FD4-4201C610D798}">
      <text>
        <r>
          <rPr>
            <sz val="9"/>
            <color indexed="81"/>
            <rFont val="Tahoma"/>
            <family val="2"/>
          </rPr>
          <t xml:space="preserve">
</t>
        </r>
      </text>
    </comment>
    <comment ref="K1439" authorId="0" shapeId="0" xr:uid="{F54CD4C3-A813-48C4-A3BF-79B828C4DD72}">
      <text>
        <r>
          <rPr>
            <sz val="9"/>
            <color indexed="81"/>
            <rFont val="Tahoma"/>
            <family val="2"/>
          </rPr>
          <t>Numerous bright nebulae surrounding large open cluster in the LMC</t>
        </r>
      </text>
    </comment>
    <comment ref="A1440" authorId="0" shapeId="0" xr:uid="{0B4568F0-4F27-4CED-B87E-4628141A70A7}">
      <text>
        <r>
          <rPr>
            <sz val="9"/>
            <color indexed="81"/>
            <rFont val="Tahoma"/>
            <family val="2"/>
          </rPr>
          <t xml:space="preserve">
</t>
        </r>
      </text>
    </comment>
    <comment ref="K1440" authorId="0" shapeId="0" xr:uid="{7686BB83-D9D2-4D02-BB20-60A46F4F9CB2}">
      <text>
        <r>
          <rPr>
            <sz val="9"/>
            <color indexed="81"/>
            <rFont val="Tahoma"/>
            <family val="2"/>
          </rPr>
          <t>Bright flower-like series of emission nebulae in the LMC</t>
        </r>
      </text>
    </comment>
    <comment ref="A1441" authorId="0" shapeId="0" xr:uid="{C1F2A430-0F6B-4128-90E7-BC8276838381}">
      <text>
        <r>
          <rPr>
            <sz val="9"/>
            <color indexed="81"/>
            <rFont val="Tahoma"/>
            <family val="2"/>
          </rPr>
          <t xml:space="preserve">
</t>
        </r>
      </text>
    </comment>
    <comment ref="K1441" authorId="0" shapeId="0" xr:uid="{A1B83162-AD17-4A7D-9E91-B623E2D0A9E7}">
      <text>
        <r>
          <rPr>
            <sz val="9"/>
            <color indexed="81"/>
            <rFont val="Tahoma"/>
            <family val="2"/>
          </rPr>
          <t>Faint spherical HII-dominated SNR</t>
        </r>
      </text>
    </comment>
    <comment ref="A1442" authorId="0" shapeId="0" xr:uid="{4D142E09-0D14-4D4A-B9B7-F6D677F1A985}">
      <text>
        <r>
          <rPr>
            <sz val="9"/>
            <color indexed="81"/>
            <rFont val="Tahoma"/>
            <family val="2"/>
          </rPr>
          <t xml:space="preserve">
</t>
        </r>
      </text>
    </comment>
    <comment ref="K1442" authorId="0" shapeId="0" xr:uid="{7F6F408E-FD37-4B47-ACAE-6E288A04C7C3}">
      <text>
        <r>
          <rPr>
            <sz val="9"/>
            <color indexed="81"/>
            <rFont val="Tahoma"/>
            <family val="2"/>
          </rPr>
          <t>Tiny OIII-dominated PN with knots of gas around the ring</t>
        </r>
      </text>
    </comment>
    <comment ref="A1443" authorId="0" shapeId="0" xr:uid="{E5E59303-C0E7-46AE-A242-DDDF1D7513DA}">
      <text>
        <r>
          <rPr>
            <sz val="9"/>
            <color indexed="81"/>
            <rFont val="Tahoma"/>
            <family val="2"/>
          </rPr>
          <t xml:space="preserve">
</t>
        </r>
      </text>
    </comment>
    <comment ref="K1443" authorId="0" shapeId="0" xr:uid="{EEE62DEF-914B-4BEF-ACC4-B8E6F31C32FC}">
      <text>
        <r>
          <rPr>
            <sz val="9"/>
            <color indexed="81"/>
            <rFont val="Tahoma"/>
            <family val="2"/>
          </rPr>
          <t>Disturbed look, with arm fragments and an extended outer disk.</t>
        </r>
      </text>
    </comment>
    <comment ref="A1444" authorId="0" shapeId="0" xr:uid="{F2503856-5600-4412-A401-E9AC085B57ED}">
      <text>
        <r>
          <rPr>
            <sz val="9"/>
            <color indexed="81"/>
            <rFont val="Tahoma"/>
            <family val="2"/>
          </rPr>
          <t xml:space="preserve">
</t>
        </r>
      </text>
    </comment>
    <comment ref="K1444" authorId="0" shapeId="0" xr:uid="{4ABDB039-0271-4731-A2C5-3F93009DD1B8}">
      <text>
        <r>
          <rPr>
            <sz val="9"/>
            <color indexed="81"/>
            <rFont val="Tahoma"/>
            <family val="2"/>
          </rPr>
          <t xml:space="preserve">Seyfert 2 galaxy - late stage merger of 2 galaxies. </t>
        </r>
      </text>
    </comment>
    <comment ref="A1445" authorId="0" shapeId="0" xr:uid="{F9A7533F-1594-45A7-94A2-73E51A8E919C}">
      <text>
        <r>
          <rPr>
            <sz val="9"/>
            <color indexed="81"/>
            <rFont val="Tahoma"/>
            <family val="2"/>
          </rPr>
          <t xml:space="preserve">
</t>
        </r>
      </text>
    </comment>
    <comment ref="K1445" authorId="0" shapeId="0" xr:uid="{16DC7D6E-060B-4319-A140-78E9A6630E2B}">
      <text>
        <r>
          <rPr>
            <sz val="9"/>
            <color indexed="81"/>
            <rFont val="Tahoma"/>
            <family val="2"/>
          </rPr>
          <t>Bright core, interesting arm structure</t>
        </r>
      </text>
    </comment>
    <comment ref="A1446" authorId="0" shapeId="0" xr:uid="{8DF32DF1-09B7-484A-B14E-E9512E50ED0A}">
      <text>
        <r>
          <rPr>
            <sz val="9"/>
            <color indexed="81"/>
            <rFont val="Tahoma"/>
            <family val="2"/>
          </rPr>
          <t xml:space="preserve">
</t>
        </r>
      </text>
    </comment>
    <comment ref="K1446" authorId="0" shapeId="0" xr:uid="{23A2AE37-EA48-4CB7-B733-ED158E9EE1E4}">
      <text>
        <r>
          <rPr>
            <sz val="9"/>
            <color indexed="81"/>
            <rFont val="Tahoma"/>
            <family val="2"/>
          </rPr>
          <t>No bulge, poor arm structure</t>
        </r>
      </text>
    </comment>
    <comment ref="A1447" authorId="0" shapeId="0" xr:uid="{400B3979-E88A-46A7-9ACF-AE31EA80B759}">
      <text>
        <r>
          <rPr>
            <sz val="9"/>
            <color indexed="81"/>
            <rFont val="Tahoma"/>
            <family val="2"/>
          </rPr>
          <t xml:space="preserve">
</t>
        </r>
      </text>
    </comment>
    <comment ref="K1447" authorId="0" shapeId="0" xr:uid="{EC5C123A-6E31-4A3C-A896-8587E482C348}">
      <text>
        <r>
          <rPr>
            <sz val="9"/>
            <color indexed="81"/>
            <rFont val="Tahoma"/>
            <family val="2"/>
          </rPr>
          <t>Spiral with oddly asymmetric outer disk</t>
        </r>
      </text>
    </comment>
    <comment ref="A1448" authorId="0" shapeId="0" xr:uid="{EDA3CB1D-402A-440E-9663-EE4C20958B72}">
      <text>
        <r>
          <rPr>
            <sz val="9"/>
            <color indexed="81"/>
            <rFont val="Tahoma"/>
            <family val="2"/>
          </rPr>
          <t xml:space="preserve">
</t>
        </r>
      </text>
    </comment>
    <comment ref="K1448" authorId="0" shapeId="0" xr:uid="{883A2A7E-FE7E-4959-ACCE-9A02FDCA94E2}">
      <text>
        <r>
          <rPr>
            <sz val="9"/>
            <color indexed="81"/>
            <rFont val="Tahoma"/>
            <family val="2"/>
          </rPr>
          <t>4 spirals, all with interesting structure, highlighted by huge UGC95</t>
        </r>
      </text>
    </comment>
    <comment ref="A1449" authorId="0" shapeId="0" xr:uid="{EF6C6362-1EFE-4E78-B489-C0931E2DC972}">
      <text>
        <r>
          <rPr>
            <sz val="9"/>
            <color indexed="81"/>
            <rFont val="Tahoma"/>
            <family val="2"/>
          </rPr>
          <t xml:space="preserve">
</t>
        </r>
      </text>
    </comment>
    <comment ref="K1449" authorId="0" shapeId="0" xr:uid="{71381E19-A6AC-4BE7-9AB8-C728F3F0BBB8}">
      <text>
        <r>
          <rPr>
            <sz val="9"/>
            <color indexed="81"/>
            <rFont val="Tahoma"/>
            <family val="2"/>
          </rPr>
          <t>Bright small HII bipolar PM with filaments and bright progenitor</t>
        </r>
      </text>
    </comment>
    <comment ref="A1450" authorId="0" shapeId="0" xr:uid="{9C4CCDA2-0FE8-40E8-9E92-ECD52BC93423}">
      <text>
        <r>
          <rPr>
            <sz val="9"/>
            <color indexed="81"/>
            <rFont val="Tahoma"/>
            <family val="2"/>
          </rPr>
          <t xml:space="preserve">
</t>
        </r>
      </text>
    </comment>
    <comment ref="K1450" authorId="0" shapeId="0" xr:uid="{E0CB1A00-29ED-4F76-88B4-856F533B55E0}">
      <text>
        <r>
          <rPr>
            <sz val="9"/>
            <color indexed="81"/>
            <rFont val="Tahoma"/>
            <family val="2"/>
          </rPr>
          <t>Faint LSB galaxy with little structure, faint core, &amp; numerous blue star regions</t>
        </r>
      </text>
    </comment>
    <comment ref="A1451" authorId="0" shapeId="0" xr:uid="{534E9C49-EFE6-407E-AE28-3DA50676C4AF}">
      <text>
        <r>
          <rPr>
            <sz val="9"/>
            <color indexed="81"/>
            <rFont val="Tahoma"/>
            <family val="2"/>
          </rPr>
          <t xml:space="preserve">
</t>
        </r>
      </text>
    </comment>
    <comment ref="K1451" authorId="0" shapeId="0" xr:uid="{19694D68-3EA3-434A-8C79-6FE25BB854EF}">
      <text>
        <r>
          <rPr>
            <sz val="9"/>
            <color indexed="81"/>
            <rFont val="Tahoma"/>
            <family val="2"/>
          </rPr>
          <t>Lovely galaxy group somehow left out of the Hickson group collection</t>
        </r>
      </text>
    </comment>
    <comment ref="A1452" authorId="0" shapeId="0" xr:uid="{34CCD4E8-3D6F-4CD8-81F4-1DA23D007CCD}">
      <text>
        <r>
          <rPr>
            <sz val="9"/>
            <color indexed="81"/>
            <rFont val="Tahoma"/>
            <family val="2"/>
          </rPr>
          <t xml:space="preserve">
</t>
        </r>
      </text>
    </comment>
    <comment ref="K1452" authorId="0" shapeId="0" xr:uid="{3A8F5CCE-8077-412B-BCCB-1EDC016BC75F}">
      <text>
        <r>
          <rPr>
            <sz val="9"/>
            <color indexed="81"/>
            <rFont val="Tahoma"/>
            <family val="2"/>
          </rPr>
          <t>May be largest non-Messier galaxy in apparent size</t>
        </r>
      </text>
    </comment>
    <comment ref="K1453" authorId="0" shapeId="0" xr:uid="{6E09506A-C4DD-43FD-AA09-CC65843579B6}">
      <text>
        <r>
          <rPr>
            <sz val="9"/>
            <color indexed="81"/>
            <rFont val="Tahoma"/>
            <family val="2"/>
          </rPr>
          <t>Dim superthin LSB galaxy</t>
        </r>
      </text>
    </comment>
    <comment ref="A1454" authorId="0" shapeId="0" xr:uid="{1E98EF8B-2311-429F-9AD9-0E4F2BF01F25}">
      <text>
        <r>
          <rPr>
            <sz val="9"/>
            <color indexed="81"/>
            <rFont val="Tahoma"/>
            <family val="2"/>
          </rPr>
          <t xml:space="preserve">
</t>
        </r>
      </text>
    </comment>
    <comment ref="K1454" authorId="0" shapeId="0" xr:uid="{A5C3A446-7EE3-4FCD-8952-D19DA1B6EDBC}">
      <text>
        <r>
          <rPr>
            <sz val="9"/>
            <color indexed="81"/>
            <rFont val="Tahoma"/>
            <family val="2"/>
          </rPr>
          <t>Perhaps the finest globular cluster</t>
        </r>
      </text>
    </comment>
    <comment ref="A1455" authorId="0" shapeId="0" xr:uid="{C33CBDAB-5680-47AC-846C-AE8ACA0B1A44}">
      <text>
        <r>
          <rPr>
            <sz val="9"/>
            <color indexed="81"/>
            <rFont val="Tahoma"/>
            <family val="2"/>
          </rPr>
          <t xml:space="preserve">
</t>
        </r>
      </text>
    </comment>
    <comment ref="K1455" authorId="0" shapeId="0" xr:uid="{C6C823F5-5216-4AD7-A6D8-FD2E185058A5}">
      <text>
        <r>
          <rPr>
            <sz val="9"/>
            <color indexed="81"/>
            <rFont val="Tahoma"/>
            <family val="2"/>
          </rPr>
          <t xml:space="preserve">Amazing edge-on lenticular, part of trio, with X-shaped (peanut) core </t>
        </r>
      </text>
    </comment>
    <comment ref="A1456" authorId="0" shapeId="0" xr:uid="{5E7B98D4-46C3-4038-B42E-9BC98B9C7CC2}">
      <text>
        <r>
          <rPr>
            <sz val="9"/>
            <color indexed="81"/>
            <rFont val="Tahoma"/>
            <family val="2"/>
          </rPr>
          <t xml:space="preserve">
</t>
        </r>
      </text>
    </comment>
    <comment ref="K1456" authorId="0" shapeId="0" xr:uid="{8A193C9D-3B03-42E5-B63D-83E5154CE279}">
      <text>
        <r>
          <rPr>
            <sz val="9"/>
            <color indexed="81"/>
            <rFont val="Tahoma"/>
            <family val="2"/>
          </rPr>
          <t>Open cluster  highlighted by triangle of 8th magnitude stars at center.</t>
        </r>
      </text>
    </comment>
    <comment ref="A1457" authorId="0" shapeId="0" xr:uid="{95888D09-E81E-4A6B-8C8C-1363811BC49C}">
      <text>
        <r>
          <rPr>
            <sz val="9"/>
            <color indexed="81"/>
            <rFont val="Tahoma"/>
            <family val="2"/>
          </rPr>
          <t xml:space="preserve">
</t>
        </r>
      </text>
    </comment>
    <comment ref="K1457" authorId="0" shapeId="0" xr:uid="{968D5422-EFDB-4520-97C2-D60CE742451C}">
      <text>
        <r>
          <rPr>
            <sz val="9"/>
            <color indexed="81"/>
            <rFont val="Tahoma"/>
            <family val="2"/>
          </rPr>
          <t>S-shaped yellowish inner disk region, including bright core, contrasts with blue diffuse outer arms.</t>
        </r>
      </text>
    </comment>
    <comment ref="A1458" authorId="0" shapeId="0" xr:uid="{51BDCE41-A73F-44A4-804A-CFBC6C00189A}">
      <text>
        <r>
          <rPr>
            <sz val="9"/>
            <color indexed="81"/>
            <rFont val="Tahoma"/>
            <family val="2"/>
          </rPr>
          <t xml:space="preserve">
</t>
        </r>
      </text>
    </comment>
    <comment ref="K1458" authorId="0" shapeId="0" xr:uid="{1728A2BC-07CD-4816-BDF4-7705A7E8FB81}">
      <text>
        <r>
          <rPr>
            <sz val="9"/>
            <color indexed="81"/>
            <rFont val="Tahoma"/>
            <family val="2"/>
          </rPr>
          <t>Pentagon shaped open cluster</t>
        </r>
      </text>
    </comment>
    <comment ref="A1459" authorId="0" shapeId="0" xr:uid="{00D6A59A-CD92-4F5D-8098-69191AFD9C1F}">
      <text>
        <r>
          <rPr>
            <sz val="9"/>
            <color indexed="81"/>
            <rFont val="Tahoma"/>
            <family val="2"/>
          </rPr>
          <t xml:space="preserve">
</t>
        </r>
      </text>
    </comment>
    <comment ref="K1459" authorId="0" shapeId="0" xr:uid="{3C85DCE9-3341-43AF-A36D-6770591E1784}">
      <text>
        <r>
          <rPr>
            <sz val="9"/>
            <color indexed="81"/>
            <rFont val="Tahoma"/>
            <family val="2"/>
          </rPr>
          <t>Faint close dwarf elliptical with visible globular clusters</t>
        </r>
      </text>
    </comment>
    <comment ref="A1460" authorId="0" shapeId="0" xr:uid="{4B8590FF-6A75-48BA-9EEE-7A2E07CD2C25}">
      <text>
        <r>
          <rPr>
            <sz val="9"/>
            <color indexed="81"/>
            <rFont val="Tahoma"/>
            <family val="2"/>
          </rPr>
          <t xml:space="preserve">
</t>
        </r>
      </text>
    </comment>
    <comment ref="K1460" authorId="0" shapeId="0" xr:uid="{4315CB68-4B15-4809-B398-0E5DA9A81FF2}">
      <text>
        <r>
          <rPr>
            <sz val="9"/>
            <color indexed="81"/>
            <rFont val="Tahoma"/>
            <family val="2"/>
          </rPr>
          <t>Fascinating arm structure, more complex than a grand spiral</t>
        </r>
      </text>
    </comment>
    <comment ref="A1461" authorId="0" shapeId="0" xr:uid="{1CBD1AD6-60EA-494F-A2E1-CFB64F644459}">
      <text>
        <r>
          <rPr>
            <sz val="9"/>
            <color indexed="81"/>
            <rFont val="Tahoma"/>
            <family val="2"/>
          </rPr>
          <t xml:space="preserve">
</t>
        </r>
      </text>
    </comment>
    <comment ref="K1461" authorId="0" shapeId="0" xr:uid="{C81A9D6A-D638-4F4D-882F-630BF8A6D5E5}">
      <text>
        <r>
          <rPr>
            <sz val="9"/>
            <color indexed="81"/>
            <rFont val="Tahoma"/>
            <family val="2"/>
          </rPr>
          <t>Barred spiral galaxy with companion and wide arm gap</t>
        </r>
      </text>
    </comment>
    <comment ref="A1462" authorId="0" shapeId="0" xr:uid="{0B6798E6-402B-4AD2-B838-13B1245EC441}">
      <text>
        <r>
          <rPr>
            <sz val="9"/>
            <color indexed="81"/>
            <rFont val="Tahoma"/>
            <family val="2"/>
          </rPr>
          <t xml:space="preserve">
</t>
        </r>
      </text>
    </comment>
    <comment ref="K1462" authorId="0" shapeId="0" xr:uid="{79DCEE7A-8785-4F90-A83D-0FAC49EF769A}">
      <text>
        <r>
          <rPr>
            <sz val="9"/>
            <color indexed="81"/>
            <rFont val="Tahoma"/>
            <family val="2"/>
          </rPr>
          <t>Barred grand spiral with VV rows</t>
        </r>
      </text>
    </comment>
    <comment ref="A1463" authorId="0" shapeId="0" xr:uid="{9436AC8D-334E-49DD-8008-1AEF3A17BE27}">
      <text>
        <r>
          <rPr>
            <sz val="9"/>
            <color indexed="81"/>
            <rFont val="Tahoma"/>
            <family val="2"/>
          </rPr>
          <t xml:space="preserve">
</t>
        </r>
      </text>
    </comment>
    <comment ref="K1463" authorId="0" shapeId="0" xr:uid="{32568EB0-40DB-45DA-8863-AF53984D5035}">
      <text>
        <r>
          <rPr>
            <sz val="9"/>
            <color indexed="81"/>
            <rFont val="Tahoma"/>
            <family val="2"/>
          </rPr>
          <t>Large lenticular with bright core</t>
        </r>
      </text>
    </comment>
    <comment ref="A1464" authorId="0" shapeId="0" xr:uid="{1CEA905E-E827-43D0-BC87-740F8280C870}">
      <text>
        <r>
          <rPr>
            <sz val="9"/>
            <color indexed="81"/>
            <rFont val="Tahoma"/>
            <family val="2"/>
          </rPr>
          <t xml:space="preserve">
</t>
        </r>
      </text>
    </comment>
    <comment ref="K1464" authorId="0" shapeId="0" xr:uid="{03C07F9F-3415-46EF-A16B-86D133E8C200}">
      <text>
        <r>
          <rPr>
            <sz val="9"/>
            <color indexed="81"/>
            <rFont val="Tahoma"/>
            <family val="2"/>
          </rPr>
          <t>Large graceful grand spiral with bright yellow core</t>
        </r>
      </text>
    </comment>
    <comment ref="A1465" authorId="0" shapeId="0" xr:uid="{C6F46FF8-AE9E-414A-AB45-B57435903D9F}">
      <text>
        <r>
          <rPr>
            <sz val="9"/>
            <color indexed="81"/>
            <rFont val="Tahoma"/>
            <family val="2"/>
          </rPr>
          <t xml:space="preserve">
</t>
        </r>
      </text>
    </comment>
    <comment ref="K1465" authorId="0" shapeId="0" xr:uid="{725DAEBE-A6D5-4573-99F8-BB1C79295CBD}">
      <text>
        <r>
          <rPr>
            <sz val="9"/>
            <color indexed="81"/>
            <rFont val="Tahoma"/>
            <family val="2"/>
          </rPr>
          <t>Typical Magellan galaxy, viewed more towards edge-on</t>
        </r>
      </text>
    </comment>
    <comment ref="A1466" authorId="0" shapeId="0" xr:uid="{FFF8FF9F-67C5-4683-9A06-1E750B0A0752}">
      <text>
        <r>
          <rPr>
            <sz val="9"/>
            <color indexed="81"/>
            <rFont val="Tahoma"/>
            <family val="2"/>
          </rPr>
          <t xml:space="preserve">
</t>
        </r>
      </text>
    </comment>
    <comment ref="K1466" authorId="0" shapeId="0" xr:uid="{C4CE4F2F-E789-4457-BC56-4208254BF96C}">
      <text>
        <r>
          <rPr>
            <sz val="9"/>
            <color indexed="81"/>
            <rFont val="Tahoma"/>
            <family val="2"/>
          </rPr>
          <t>Faint dwarf elliptical, a satellite of the Andromeda galaxy</t>
        </r>
      </text>
    </comment>
    <comment ref="A1467" authorId="0" shapeId="0" xr:uid="{873DC3A1-F550-4663-BAE8-9BE29F6B4278}">
      <text>
        <r>
          <rPr>
            <sz val="9"/>
            <color indexed="81"/>
            <rFont val="Tahoma"/>
            <family val="2"/>
          </rPr>
          <t xml:space="preserve">
</t>
        </r>
      </text>
    </comment>
    <comment ref="K1467" authorId="0" shapeId="0" xr:uid="{6B73AFFC-C4DD-4C37-966B-1C8A501D85C2}">
      <text>
        <r>
          <rPr>
            <sz val="9"/>
            <color indexed="81"/>
            <rFont val="Tahoma"/>
            <family val="2"/>
          </rPr>
          <t>The first (most northern) Caldwell object</t>
        </r>
      </text>
    </comment>
    <comment ref="A1468" authorId="0" shapeId="0" xr:uid="{2E92DE36-A4F7-410C-A80B-F8AA7145865B}">
      <text>
        <r>
          <rPr>
            <sz val="9"/>
            <color indexed="81"/>
            <rFont val="Tahoma"/>
            <family val="2"/>
          </rPr>
          <t xml:space="preserve">
</t>
        </r>
      </text>
    </comment>
    <comment ref="K1468" authorId="0" shapeId="0" xr:uid="{75DC4ADE-DFCF-48B4-BADC-4DF720016FAF}">
      <text>
        <r>
          <rPr>
            <sz val="9"/>
            <color indexed="81"/>
            <rFont val="Tahoma"/>
            <family val="2"/>
          </rPr>
          <t>Very small open cluster, only 4 light years in diameter</t>
        </r>
      </text>
    </comment>
    <comment ref="A1469" authorId="0" shapeId="0" xr:uid="{DF4E7455-322A-49BC-A7BB-827AB689C6D1}">
      <text>
        <r>
          <rPr>
            <sz val="9"/>
            <color indexed="81"/>
            <rFont val="Tahoma"/>
            <family val="2"/>
          </rPr>
          <t xml:space="preserve">
</t>
        </r>
      </text>
    </comment>
    <comment ref="K1469" authorId="0" shapeId="0" xr:uid="{95EDF264-E3B8-470A-BDBB-4BE3A2B757DB}">
      <text>
        <r>
          <rPr>
            <sz val="9"/>
            <color indexed="81"/>
            <rFont val="Tahoma"/>
            <family val="2"/>
          </rPr>
          <t>Brightest star cloud in Andromeda galaxy</t>
        </r>
      </text>
    </comment>
    <comment ref="A1470" authorId="0" shapeId="0" xr:uid="{5FFBA6EA-19E1-4E5B-9E7C-5B2987D3E485}">
      <text>
        <r>
          <rPr>
            <sz val="9"/>
            <color indexed="81"/>
            <rFont val="Tahoma"/>
            <family val="2"/>
          </rPr>
          <t xml:space="preserve">
</t>
        </r>
      </text>
    </comment>
    <comment ref="K1470" authorId="0" shapeId="0" xr:uid="{FB5F7118-C212-48DE-AE29-D4EB9BBD9008}">
      <text>
        <r>
          <rPr>
            <sz val="9"/>
            <color indexed="81"/>
            <rFont val="Tahoma"/>
            <family val="2"/>
          </rPr>
          <t>Striking barred grand spiral</t>
        </r>
      </text>
    </comment>
    <comment ref="A1471" authorId="0" shapeId="0" xr:uid="{42C1E884-6359-4A72-BAE0-13452585691B}">
      <text>
        <r>
          <rPr>
            <sz val="9"/>
            <color indexed="81"/>
            <rFont val="Tahoma"/>
            <family val="2"/>
          </rPr>
          <t xml:space="preserve">
</t>
        </r>
      </text>
    </comment>
    <comment ref="K1471" authorId="0" shapeId="0" xr:uid="{31F9885F-4916-4FC9-8163-3D3B38FEC4F5}">
      <text>
        <r>
          <rPr>
            <sz val="9"/>
            <color indexed="81"/>
            <rFont val="Tahoma"/>
            <family val="2"/>
          </rPr>
          <t>Pair of interacting galaxies with faint star stream bridge</t>
        </r>
      </text>
    </comment>
    <comment ref="A1472" authorId="0" shapeId="0" xr:uid="{AB53322A-29DA-42E9-9B2A-ACBC287A0987}">
      <text>
        <r>
          <rPr>
            <sz val="9"/>
            <color indexed="81"/>
            <rFont val="Tahoma"/>
            <family val="2"/>
          </rPr>
          <t xml:space="preserve">
</t>
        </r>
      </text>
    </comment>
    <comment ref="K1472" authorId="0" shapeId="0" xr:uid="{7C7BF843-DA3A-499B-8709-EC18609E66D9}">
      <text>
        <r>
          <rPr>
            <sz val="9"/>
            <color indexed="81"/>
            <rFont val="Tahoma"/>
            <family val="2"/>
          </rPr>
          <t>Open cluster (Sailboat) with faint reflection nebula and dark nebula</t>
        </r>
      </text>
    </comment>
    <comment ref="A1473" authorId="0" shapeId="0" xr:uid="{CDD77768-B135-42E0-870E-EC160626AC26}">
      <text>
        <r>
          <rPr>
            <sz val="9"/>
            <color indexed="81"/>
            <rFont val="Tahoma"/>
            <family val="2"/>
          </rPr>
          <t xml:space="preserve">
</t>
        </r>
      </text>
    </comment>
    <comment ref="K1473" authorId="0" shapeId="0" xr:uid="{883455A8-1723-4EC0-B89D-40BDD0653005}">
      <text>
        <r>
          <rPr>
            <sz val="9"/>
            <color indexed="81"/>
            <rFont val="Tahoma"/>
            <family val="2"/>
          </rPr>
          <t>OIII PN with central owl-type void regions and slight bipolar breakthrough, progenitor visible</t>
        </r>
      </text>
    </comment>
    <comment ref="A1474" authorId="0" shapeId="0" xr:uid="{CCB07CD1-25E2-478F-BD64-1B05E52E2200}">
      <text>
        <r>
          <rPr>
            <sz val="9"/>
            <color indexed="81"/>
            <rFont val="Tahoma"/>
            <family val="2"/>
          </rPr>
          <t xml:space="preserve">
</t>
        </r>
      </text>
    </comment>
    <comment ref="K1474" authorId="0" shapeId="0" xr:uid="{1AC0A83F-DA5D-48E6-A2D8-FDF28898D148}">
      <text>
        <r>
          <rPr>
            <sz val="9"/>
            <color indexed="81"/>
            <rFont val="Tahoma"/>
            <family val="2"/>
          </rPr>
          <t>One of the largest non-Messier galaxies in apparent size</t>
        </r>
      </text>
    </comment>
    <comment ref="A1475" authorId="0" shapeId="0" xr:uid="{547F59ED-4C08-450A-874A-AE3BABF74FA2}">
      <text>
        <r>
          <rPr>
            <sz val="9"/>
            <color indexed="81"/>
            <rFont val="Tahoma"/>
            <family val="2"/>
          </rPr>
          <t xml:space="preserve">
</t>
        </r>
      </text>
    </comment>
    <comment ref="K1475" authorId="0" shapeId="0" xr:uid="{28F47812-9DC0-41CF-9972-7EF35BBE66DE}">
      <text>
        <r>
          <rPr>
            <sz val="9"/>
            <color indexed="81"/>
            <rFont val="Tahoma"/>
            <family val="2"/>
          </rPr>
          <t>One of the brightest galaxies in the sky</t>
        </r>
      </text>
    </comment>
    <comment ref="A1476" authorId="0" shapeId="0" xr:uid="{1463422B-1481-4F45-BB7B-2D0732732BA6}">
      <text>
        <r>
          <rPr>
            <sz val="9"/>
            <color indexed="81"/>
            <rFont val="Tahoma"/>
            <family val="2"/>
          </rPr>
          <t xml:space="preserve">
</t>
        </r>
      </text>
    </comment>
    <comment ref="K1476" authorId="0" shapeId="0" xr:uid="{D3016095-4889-40DD-BF75-1C950B9F4B3E}">
      <text>
        <r>
          <rPr>
            <sz val="9"/>
            <color indexed="81"/>
            <rFont val="Tahoma"/>
            <family val="2"/>
          </rPr>
          <t>Barred spiral with arm fragments and slightly disturbed disk</t>
        </r>
      </text>
    </comment>
    <comment ref="A1477" authorId="0" shapeId="0" xr:uid="{0E163068-C13A-4F7D-8A24-6ED4AA865DE9}">
      <text>
        <r>
          <rPr>
            <sz val="9"/>
            <color indexed="81"/>
            <rFont val="Tahoma"/>
            <family val="2"/>
          </rPr>
          <t xml:space="preserve">
</t>
        </r>
      </text>
    </comment>
    <comment ref="K1477" authorId="0" shapeId="0" xr:uid="{3AF34B2B-5921-47CD-A1CB-EA997CC255D7}">
      <text>
        <r>
          <rPr>
            <sz val="9"/>
            <color indexed="81"/>
            <rFont val="Tahoma"/>
            <family val="2"/>
          </rPr>
          <t>Symmetric lenticular with numerous background galaxies</t>
        </r>
      </text>
    </comment>
    <comment ref="A1478" authorId="0" shapeId="0" xr:uid="{696A53DC-66AA-4D80-9584-6D653B861FF3}">
      <text>
        <r>
          <rPr>
            <sz val="9"/>
            <color indexed="81"/>
            <rFont val="Tahoma"/>
            <family val="2"/>
          </rPr>
          <t xml:space="preserve">
</t>
        </r>
      </text>
    </comment>
    <comment ref="K1478" authorId="0" shapeId="0" xr:uid="{DD872825-3B1E-4212-B482-B23A0BE4CF5B}">
      <text>
        <r>
          <rPr>
            <sz val="9"/>
            <color indexed="81"/>
            <rFont val="Tahoma"/>
            <family val="2"/>
          </rPr>
          <t>Large grand spiral with eye-shaped barred core and companion</t>
        </r>
      </text>
    </comment>
    <comment ref="A1479" authorId="0" shapeId="0" xr:uid="{0260FCC6-421C-4CA3-9F55-3F8651648FDB}">
      <text>
        <r>
          <rPr>
            <sz val="9"/>
            <color indexed="81"/>
            <rFont val="Tahoma"/>
            <family val="2"/>
          </rPr>
          <t xml:space="preserve">
</t>
        </r>
      </text>
    </comment>
    <comment ref="K1479" authorId="0" shapeId="0" xr:uid="{8D3CBBA4-C486-480B-88F4-B5CB6BB4E62B}">
      <text>
        <r>
          <rPr>
            <sz val="9"/>
            <color indexed="81"/>
            <rFont val="Tahoma"/>
            <family val="2"/>
          </rPr>
          <t>Numerous small emission nebulae in a tight 20 arc-minute region within SMC</t>
        </r>
      </text>
    </comment>
    <comment ref="A1480" authorId="0" shapeId="0" xr:uid="{F979B29C-BE67-48A7-AB3C-29C53D9D2FE4}">
      <text>
        <r>
          <rPr>
            <sz val="9"/>
            <color indexed="81"/>
            <rFont val="Tahoma"/>
            <family val="2"/>
          </rPr>
          <t xml:space="preserve">
</t>
        </r>
      </text>
    </comment>
    <comment ref="K1480" authorId="0" shapeId="0" xr:uid="{DB431F1A-DCB5-4BFB-85E8-5920B5FF23CE}">
      <text>
        <r>
          <rPr>
            <sz val="9"/>
            <color indexed="81"/>
            <rFont val="Tahoma"/>
            <family val="2"/>
          </rPr>
          <t>Barred grand design spiral, including a core barlense</t>
        </r>
      </text>
    </comment>
    <comment ref="A1481" authorId="0" shapeId="0" xr:uid="{2D7A6789-D68B-46FA-AB4B-3DB788B4FAA2}">
      <text>
        <r>
          <rPr>
            <sz val="9"/>
            <color indexed="81"/>
            <rFont val="Tahoma"/>
            <family val="2"/>
          </rPr>
          <t xml:space="preserve">
</t>
        </r>
      </text>
    </comment>
    <comment ref="K1481" authorId="0" shapeId="0" xr:uid="{EA3BDCC2-279D-404E-BA96-961373857296}">
      <text>
        <r>
          <rPr>
            <sz val="9"/>
            <color indexed="81"/>
            <rFont val="Tahoma"/>
            <family val="2"/>
          </rPr>
          <t>Small galaxy with nice color, star clouds, HII regions, and strange yellow glow</t>
        </r>
      </text>
    </comment>
    <comment ref="A1482" authorId="0" shapeId="0" xr:uid="{0586D1F3-8FB7-4A7C-B172-87A9622610A9}">
      <text>
        <r>
          <rPr>
            <sz val="9"/>
            <color indexed="81"/>
            <rFont val="Tahoma"/>
            <family val="2"/>
          </rPr>
          <t xml:space="preserve">
</t>
        </r>
      </text>
    </comment>
    <comment ref="K1482" authorId="0" shapeId="0" xr:uid="{1DE4D916-27C3-48FC-BEB8-214620946C42}">
      <text>
        <r>
          <rPr>
            <sz val="9"/>
            <color indexed="81"/>
            <rFont val="Tahoma"/>
            <family val="2"/>
          </rPr>
          <t>Lenticular with odd asymmetric disk</t>
        </r>
      </text>
    </comment>
    <comment ref="A1483" authorId="0" shapeId="0" xr:uid="{BEC80965-582B-43FD-8173-1409FEA3E17E}">
      <text>
        <r>
          <rPr>
            <sz val="9"/>
            <color indexed="81"/>
            <rFont val="Tahoma"/>
            <family val="2"/>
          </rPr>
          <t xml:space="preserve">
</t>
        </r>
      </text>
    </comment>
    <comment ref="K1483" authorId="0" shapeId="0" xr:uid="{B213A224-A45B-4D8C-B584-403D9E159FE8}">
      <text>
        <r>
          <rPr>
            <sz val="9"/>
            <color indexed="81"/>
            <rFont val="Tahoma"/>
            <family val="2"/>
          </rPr>
          <t>Spectacular bright emission nebula with elephant trunk projections and Bok globules</t>
        </r>
      </text>
    </comment>
    <comment ref="A1484" authorId="0" shapeId="0" xr:uid="{8EC005BC-E853-4D0E-A662-4CB3D2DCBCBC}">
      <text>
        <r>
          <rPr>
            <sz val="9"/>
            <color indexed="81"/>
            <rFont val="Tahoma"/>
            <family val="2"/>
          </rPr>
          <t xml:space="preserve">
</t>
        </r>
      </text>
    </comment>
    <comment ref="K1484" authorId="0" shapeId="0" xr:uid="{474BD8F7-9A84-42A8-AD4A-8D48269B771F}">
      <text>
        <r>
          <rPr>
            <sz val="9"/>
            <color indexed="81"/>
            <rFont val="Tahoma"/>
            <family val="2"/>
          </rPr>
          <t>Loose globular cluster with good color and background galaxy</t>
        </r>
      </text>
    </comment>
    <comment ref="A1485" authorId="0" shapeId="0" xr:uid="{4FDC7F9C-1F58-4A00-A26A-BD933A14192B}">
      <text>
        <r>
          <rPr>
            <sz val="9"/>
            <color indexed="81"/>
            <rFont val="Tahoma"/>
            <family val="2"/>
          </rPr>
          <t xml:space="preserve">
</t>
        </r>
      </text>
    </comment>
    <comment ref="K1485" authorId="0" shapeId="0" xr:uid="{599A5BAA-BBE6-4B05-A11C-00A1E691BB40}">
      <text>
        <r>
          <rPr>
            <sz val="9"/>
            <color indexed="81"/>
            <rFont val="Tahoma"/>
            <family val="2"/>
          </rPr>
          <t>Barred asymmetric grand design spiral with long star curling star stream and companion</t>
        </r>
      </text>
    </comment>
    <comment ref="A1486" authorId="0" shapeId="0" xr:uid="{BED6B665-68C5-4777-890A-DA91DCE3A698}">
      <text>
        <r>
          <rPr>
            <sz val="9"/>
            <color indexed="81"/>
            <rFont val="Tahoma"/>
            <family val="2"/>
          </rPr>
          <t xml:space="preserve">
</t>
        </r>
      </text>
    </comment>
    <comment ref="K1486" authorId="0" shapeId="0" xr:uid="{F8D0BC00-B4B3-4F48-80AA-2B88DCC280D3}">
      <text>
        <r>
          <rPr>
            <sz val="9"/>
            <color indexed="81"/>
            <rFont val="Tahoma"/>
            <family val="2"/>
          </rPr>
          <t>Barred grand design spiral, appearing with a group of galaxies</t>
        </r>
      </text>
    </comment>
    <comment ref="A1487" authorId="0" shapeId="0" xr:uid="{925FC2FD-F5BC-46AD-8794-F4C3BF9A4806}">
      <text>
        <r>
          <rPr>
            <sz val="9"/>
            <color indexed="81"/>
            <rFont val="Tahoma"/>
            <family val="2"/>
          </rPr>
          <t xml:space="preserve">
</t>
        </r>
      </text>
    </comment>
    <comment ref="K1487" authorId="0" shapeId="0" xr:uid="{BD70CEA4-5809-4D57-8380-B2B2C8569AD4}">
      <text>
        <r>
          <rPr>
            <sz val="9"/>
            <color indexed="81"/>
            <rFont val="Tahoma"/>
            <family val="2"/>
          </rPr>
          <t>Elegant spiral with star clouds and HII regions</t>
        </r>
      </text>
    </comment>
    <comment ref="A1488" authorId="0" shapeId="0" xr:uid="{9A90722E-C1C2-4051-8418-9676A15194C1}">
      <text>
        <r>
          <rPr>
            <sz val="9"/>
            <color indexed="81"/>
            <rFont val="Tahoma"/>
            <family val="2"/>
          </rPr>
          <t xml:space="preserve">
</t>
        </r>
      </text>
    </comment>
    <comment ref="K1488" authorId="0" shapeId="0" xr:uid="{B7D07899-F527-4555-9BC1-0B5BBA8F1E29}">
      <text>
        <r>
          <rPr>
            <sz val="9"/>
            <color indexed="81"/>
            <rFont val="Tahoma"/>
            <family val="2"/>
          </rPr>
          <t>Amazing barred grand spiral, with VV rows and many blue star clouds</t>
        </r>
      </text>
    </comment>
    <comment ref="A1489" authorId="0" shapeId="0" xr:uid="{EE606B9A-3744-41FF-8C0A-6DB2BF5CD3E5}">
      <text>
        <r>
          <rPr>
            <sz val="9"/>
            <color indexed="81"/>
            <rFont val="Tahoma"/>
            <family val="2"/>
          </rPr>
          <t xml:space="preserve">
</t>
        </r>
      </text>
    </comment>
    <comment ref="K1489" authorId="0" shapeId="0" xr:uid="{8D067B05-82F0-444E-AF21-BDA22482B291}">
      <text>
        <r>
          <rPr>
            <sz val="9"/>
            <color indexed="81"/>
            <rFont val="Tahoma"/>
            <family val="2"/>
          </rPr>
          <t>Large E2 elliptical</t>
        </r>
      </text>
    </comment>
    <comment ref="A1490" authorId="0" shapeId="0" xr:uid="{7B64E781-3AC6-41E6-98CC-65A323106699}">
      <text>
        <r>
          <rPr>
            <sz val="9"/>
            <color indexed="81"/>
            <rFont val="Tahoma"/>
            <family val="2"/>
          </rPr>
          <t xml:space="preserve">
</t>
        </r>
      </text>
    </comment>
    <comment ref="K1490" authorId="0" shapeId="0" xr:uid="{FF3F558B-1440-4285-AA52-478B6905F462}">
      <text>
        <r>
          <rPr>
            <sz val="9"/>
            <color indexed="81"/>
            <rFont val="Tahoma"/>
            <family val="2"/>
          </rPr>
          <t>Pair of galaxies which appear to be connected by faint bridge</t>
        </r>
      </text>
    </comment>
    <comment ref="A1491" authorId="0" shapeId="0" xr:uid="{C2DC0A7F-FFE5-4DA9-8DCA-59E814A958B3}">
      <text>
        <r>
          <rPr>
            <sz val="9"/>
            <color indexed="81"/>
            <rFont val="Tahoma"/>
            <family val="2"/>
          </rPr>
          <t xml:space="preserve">
</t>
        </r>
      </text>
    </comment>
    <comment ref="K1491" authorId="0" shapeId="0" xr:uid="{016213F1-A708-426F-857E-CFE50884EDE3}">
      <text>
        <r>
          <rPr>
            <sz val="9"/>
            <color indexed="81"/>
            <rFont val="Tahoma"/>
            <family val="2"/>
          </rPr>
          <t>Colorful galaxy with yellow core, blue star clouds and pink HII regions</t>
        </r>
      </text>
    </comment>
    <comment ref="A1492" authorId="0" shapeId="0" xr:uid="{ECA69385-C4A2-4FA6-9AD8-817D0C22CFA9}">
      <text>
        <r>
          <rPr>
            <sz val="9"/>
            <color indexed="81"/>
            <rFont val="Tahoma"/>
            <family val="2"/>
          </rPr>
          <t xml:space="preserve">
</t>
        </r>
      </text>
    </comment>
    <comment ref="K1492" authorId="0" shapeId="0" xr:uid="{DB0A7E60-3090-4E45-B59C-250F139FEE66}">
      <text>
        <r>
          <rPr>
            <sz val="9"/>
            <color indexed="81"/>
            <rFont val="Tahoma"/>
            <family val="2"/>
          </rPr>
          <t>Best nebula in the SMC</t>
        </r>
      </text>
    </comment>
    <comment ref="A1493" authorId="0" shapeId="0" xr:uid="{F9AFD6E4-2C86-4FC8-82CF-B7EB8D79AF49}">
      <text>
        <r>
          <rPr>
            <sz val="9"/>
            <color indexed="81"/>
            <rFont val="Tahoma"/>
            <family val="2"/>
          </rPr>
          <t xml:space="preserve">
</t>
        </r>
      </text>
    </comment>
    <comment ref="K1493" authorId="0" shapeId="0" xr:uid="{BADCED09-DDD5-4CA2-B521-8CA993F1DB2F}">
      <text>
        <r>
          <rPr>
            <sz val="9"/>
            <color indexed="81"/>
            <rFont val="Tahoma"/>
            <family val="2"/>
          </rPr>
          <t>Glorious cluster often overlooked due to its neighbor, 47 Tucanae</t>
        </r>
      </text>
    </comment>
    <comment ref="A1494" authorId="0" shapeId="0" xr:uid="{733C4986-9273-4D7E-AD83-619E8FCAC6E0}">
      <text>
        <r>
          <rPr>
            <sz val="9"/>
            <color indexed="81"/>
            <rFont val="Tahoma"/>
            <family val="2"/>
          </rPr>
          <t xml:space="preserve">
</t>
        </r>
      </text>
    </comment>
    <comment ref="K1494" authorId="0" shapeId="0" xr:uid="{D9FD132C-8AFA-4D76-8F88-A8DBAF6AD51A}">
      <text>
        <r>
          <rPr>
            <sz val="9"/>
            <color indexed="81"/>
            <rFont val="Tahoma"/>
            <family val="2"/>
          </rPr>
          <t>Fair open cluster which doesn't stand out well from the background star field</t>
        </r>
      </text>
    </comment>
    <comment ref="A1495" authorId="0" shapeId="0" xr:uid="{8BFE6948-6965-4A75-9D4B-0ADC7A1D246C}">
      <text>
        <r>
          <rPr>
            <sz val="9"/>
            <color indexed="81"/>
            <rFont val="Tahoma"/>
            <family val="2"/>
          </rPr>
          <t xml:space="preserve">
</t>
        </r>
      </text>
    </comment>
    <comment ref="K1495" authorId="0" shapeId="0" xr:uid="{06C70148-F791-4869-80CB-FF1C20F12B3F}">
      <text>
        <r>
          <rPr>
            <sz val="9"/>
            <color indexed="81"/>
            <rFont val="Tahoma"/>
            <family val="2"/>
          </rPr>
          <t>Nearest lenticular to earth, adjacent to bright mag 2 star Mirach</t>
        </r>
      </text>
    </comment>
    <comment ref="A1496" authorId="0" shapeId="0" xr:uid="{7191938C-7800-4A09-9E96-5336B6453579}">
      <text>
        <r>
          <rPr>
            <sz val="9"/>
            <color indexed="81"/>
            <rFont val="Tahoma"/>
            <family val="2"/>
          </rPr>
          <t xml:space="preserve">
</t>
        </r>
      </text>
    </comment>
    <comment ref="K1496" authorId="0" shapeId="0" xr:uid="{82F07ABD-C053-4165-B628-A19085751FF9}">
      <text>
        <r>
          <rPr>
            <sz val="9"/>
            <color indexed="81"/>
            <rFont val="Tahoma"/>
            <family val="2"/>
          </rPr>
          <t>Magellanic galaxy with robust color</t>
        </r>
      </text>
    </comment>
    <comment ref="A1497" authorId="0" shapeId="0" xr:uid="{5671CF1C-BAA2-4A66-93C0-99D6F34B6FD4}">
      <text>
        <r>
          <rPr>
            <sz val="9"/>
            <color indexed="81"/>
            <rFont val="Tahoma"/>
            <family val="2"/>
          </rPr>
          <t xml:space="preserve">
</t>
        </r>
      </text>
    </comment>
    <comment ref="K1497" authorId="0" shapeId="0" xr:uid="{16DE69FE-9241-4BAD-B740-BCB9BCE3FC9B}">
      <text>
        <r>
          <rPr>
            <sz val="9"/>
            <color indexed="81"/>
            <rFont val="Tahoma"/>
            <family val="2"/>
          </rPr>
          <t>Nice variety of orange, blue and white stars, only 1 degree from more famous Owl Cluster (NGC 457)</t>
        </r>
      </text>
    </comment>
    <comment ref="A1498" authorId="0" shapeId="0" xr:uid="{3B954EDB-DD75-488D-8273-0F02B225F977}">
      <text>
        <r>
          <rPr>
            <sz val="9"/>
            <color indexed="81"/>
            <rFont val="Tahoma"/>
            <family val="2"/>
          </rPr>
          <t xml:space="preserve">
</t>
        </r>
      </text>
    </comment>
    <comment ref="K1498" authorId="0" shapeId="0" xr:uid="{7F02F53B-4E34-428E-ACA2-A8D1D800608B}">
      <text>
        <r>
          <rPr>
            <sz val="9"/>
            <color indexed="81"/>
            <rFont val="Tahoma"/>
            <family val="2"/>
          </rPr>
          <t>Small blue spiral adjacent to photogenic background galaxy</t>
        </r>
      </text>
    </comment>
    <comment ref="A1499" authorId="0" shapeId="0" xr:uid="{D8724B19-8BEC-4A86-BB56-3BAE5D52AB65}">
      <text>
        <r>
          <rPr>
            <sz val="9"/>
            <color indexed="81"/>
            <rFont val="Tahoma"/>
            <family val="2"/>
          </rPr>
          <t xml:space="preserve">
</t>
        </r>
      </text>
    </comment>
    <comment ref="K1499" authorId="0" shapeId="0" xr:uid="{369B3C7E-DD3A-4E1E-B757-F4E4F886FB0B}">
      <text>
        <r>
          <rPr>
            <sz val="9"/>
            <color indexed="81"/>
            <rFont val="Tahoma"/>
            <family val="2"/>
          </rPr>
          <t>Irregular emission regions bisected by dark dust lanes, within the SMC</t>
        </r>
      </text>
    </comment>
    <comment ref="A1500" authorId="0" shapeId="0" xr:uid="{BD690A67-15CF-4B33-8486-6289E4C6ED55}">
      <text>
        <r>
          <rPr>
            <sz val="9"/>
            <color indexed="81"/>
            <rFont val="Tahoma"/>
            <family val="2"/>
          </rPr>
          <t xml:space="preserve">
</t>
        </r>
      </text>
    </comment>
    <comment ref="K1500" authorId="0" shapeId="0" xr:uid="{AC14ECD9-3448-446C-B18E-57B28FDE73AE}">
      <text>
        <r>
          <rPr>
            <sz val="9"/>
            <color indexed="81"/>
            <rFont val="Tahoma"/>
            <family val="2"/>
          </rPr>
          <t>Magnificent ET cluster of 150 stars of varying color and brightness</t>
        </r>
      </text>
    </comment>
    <comment ref="A1501" authorId="0" shapeId="0" xr:uid="{E0EF746A-3C3F-4DDE-8058-642ECBCE122E}">
      <text>
        <r>
          <rPr>
            <sz val="9"/>
            <color indexed="81"/>
            <rFont val="Tahoma"/>
            <family val="2"/>
          </rPr>
          <t xml:space="preserve">
</t>
        </r>
      </text>
    </comment>
    <comment ref="K1501" authorId="0" shapeId="0" xr:uid="{D351B7BB-B1A9-453F-8312-23C3ED1AA072}">
      <text>
        <r>
          <rPr>
            <sz val="9"/>
            <color indexed="81"/>
            <rFont val="Tahoma"/>
            <family val="2"/>
          </rPr>
          <t>Wonderful pairing of lenticular, with shells, next to bright spiral galaxy</t>
        </r>
      </text>
    </comment>
    <comment ref="A1502" authorId="0" shapeId="0" xr:uid="{61CDA43E-086F-4DE5-B2C2-E7D280FCB4C1}">
      <text>
        <r>
          <rPr>
            <sz val="9"/>
            <color indexed="81"/>
            <rFont val="Tahoma"/>
            <family val="2"/>
          </rPr>
          <t xml:space="preserve">
</t>
        </r>
      </text>
    </comment>
    <comment ref="K1502" authorId="0" shapeId="0" xr:uid="{475F79A8-928A-452C-97FD-0E773C36BF05}">
      <text>
        <r>
          <rPr>
            <sz val="9"/>
            <color indexed="81"/>
            <rFont val="Tahoma"/>
            <family val="2"/>
          </rPr>
          <t>Amazing arm structure - inner ring with single arm that spirals outward for 4 revolutions</t>
        </r>
      </text>
    </comment>
    <comment ref="A1503" authorId="0" shapeId="0" xr:uid="{2D1CB564-3C4B-49DF-B423-7DF10FEE0FDE}">
      <text>
        <r>
          <rPr>
            <sz val="9"/>
            <color indexed="81"/>
            <rFont val="Tahoma"/>
            <family val="2"/>
          </rPr>
          <t xml:space="preserve">
</t>
        </r>
      </text>
    </comment>
    <comment ref="K1503" authorId="0" shapeId="0" xr:uid="{10AD32C9-8E81-49D6-B5A7-DD2DF5E6962B}">
      <text>
        <r>
          <rPr>
            <sz val="9"/>
            <color indexed="81"/>
            <rFont val="Tahoma"/>
            <family val="2"/>
          </rPr>
          <t>Grand design spiral, almost edge-on, with yellow core</t>
        </r>
      </text>
    </comment>
    <comment ref="A1504" authorId="0" shapeId="0" xr:uid="{795AAB0F-5184-4139-BE1E-B7B33E6F7F69}">
      <text>
        <r>
          <rPr>
            <sz val="9"/>
            <color indexed="81"/>
            <rFont val="Tahoma"/>
            <family val="2"/>
          </rPr>
          <t xml:space="preserve">
</t>
        </r>
      </text>
    </comment>
    <comment ref="K1504" authorId="0" shapeId="0" xr:uid="{C178EA5A-C31F-4763-AB36-17CFBA004946}">
      <text>
        <r>
          <rPr>
            <sz val="9"/>
            <color indexed="81"/>
            <rFont val="Tahoma"/>
            <family val="2"/>
          </rPr>
          <t>Faintly barred, with 4 fragmented arms</t>
        </r>
      </text>
    </comment>
    <comment ref="A1505" authorId="0" shapeId="0" xr:uid="{3673E60C-2429-4569-851A-FC325240D924}">
      <text>
        <r>
          <rPr>
            <sz val="9"/>
            <color indexed="81"/>
            <rFont val="Tahoma"/>
            <family val="2"/>
          </rPr>
          <t xml:space="preserve">
</t>
        </r>
      </text>
    </comment>
    <comment ref="K1505" authorId="0" shapeId="0" xr:uid="{072DB3D9-8294-40F7-B7B9-D52D9E01C3CB}">
      <text>
        <r>
          <rPr>
            <sz val="9"/>
            <color indexed="81"/>
            <rFont val="Tahoma"/>
            <family val="2"/>
          </rPr>
          <t>Elegant near face-on barred spiral</t>
        </r>
      </text>
    </comment>
    <comment ref="A1506" authorId="0" shapeId="0" xr:uid="{5EBB1871-4726-43C1-8928-989F3FB648CD}">
      <text>
        <r>
          <rPr>
            <sz val="9"/>
            <color indexed="81"/>
            <rFont val="Tahoma"/>
            <family val="2"/>
          </rPr>
          <t xml:space="preserve">
</t>
        </r>
      </text>
    </comment>
    <comment ref="K1506" authorId="0" shapeId="0" xr:uid="{7920423D-EB91-4170-BBE4-B9C02F09C9CE}">
      <text>
        <r>
          <rPr>
            <sz val="9"/>
            <color indexed="81"/>
            <rFont val="Tahoma"/>
            <family val="2"/>
          </rPr>
          <t>Edge-on spiral with central bulge, surrounded by numerous background galaxies</t>
        </r>
      </text>
    </comment>
    <comment ref="A1507" authorId="0" shapeId="0" xr:uid="{C7B9CE50-EAE5-4BFF-B208-88D39269B9E3}">
      <text>
        <r>
          <rPr>
            <sz val="9"/>
            <color indexed="81"/>
            <rFont val="Tahoma"/>
            <family val="2"/>
          </rPr>
          <t xml:space="preserve">
</t>
        </r>
      </text>
    </comment>
    <comment ref="K1507" authorId="0" shapeId="0" xr:uid="{510AAC8D-2156-4DDE-B467-D33C6F2C58E9}">
      <text>
        <r>
          <rPr>
            <sz val="9"/>
            <color indexed="81"/>
            <rFont val="Tahoma"/>
            <family val="2"/>
          </rPr>
          <t>Near face-on lenticular that anchors small galaxy group</t>
        </r>
      </text>
    </comment>
    <comment ref="A1508" authorId="0" shapeId="0" xr:uid="{A869589C-17E5-4008-8E7D-47B7D9C99D9B}">
      <text>
        <r>
          <rPr>
            <sz val="9"/>
            <color indexed="81"/>
            <rFont val="Tahoma"/>
            <family val="2"/>
          </rPr>
          <t xml:space="preserve">
</t>
        </r>
      </text>
    </comment>
    <comment ref="K1508" authorId="0" shapeId="0" xr:uid="{E22027A1-2BBD-4037-B724-4B43BB0FBD46}">
      <text>
        <r>
          <rPr>
            <sz val="9"/>
            <color indexed="81"/>
            <rFont val="Tahoma"/>
            <family val="2"/>
          </rPr>
          <t>Oval elliptical that is namesake of NGC533 galaxy group</t>
        </r>
      </text>
    </comment>
    <comment ref="A1509" authorId="0" shapeId="0" xr:uid="{F0379E72-8E18-4398-8B28-F95DD60F2FBD}">
      <text>
        <r>
          <rPr>
            <sz val="9"/>
            <color indexed="81"/>
            <rFont val="Tahoma"/>
            <family val="2"/>
          </rPr>
          <t xml:space="preserve">
</t>
        </r>
      </text>
    </comment>
    <comment ref="K1509" authorId="0" shapeId="0" xr:uid="{5CB5198E-02DA-4245-8A74-23F35D512029}">
      <text>
        <r>
          <rPr>
            <sz val="9"/>
            <color indexed="81"/>
            <rFont val="Tahoma"/>
            <family val="2"/>
          </rPr>
          <t>Resplendent barred grand spiral, large in actual size and part of Hickson 10</t>
        </r>
      </text>
    </comment>
    <comment ref="A1510" authorId="0" shapeId="0" xr:uid="{B19E38F0-BE7B-4367-97D2-7F58FCEE42CE}">
      <text>
        <r>
          <rPr>
            <sz val="9"/>
            <color indexed="81"/>
            <rFont val="Tahoma"/>
            <family val="2"/>
          </rPr>
          <t xml:space="preserve">
</t>
        </r>
      </text>
    </comment>
    <comment ref="K1510" authorId="0" shapeId="0" xr:uid="{8E17EFCF-FD51-46F7-8312-6A1D073962C1}">
      <text>
        <r>
          <rPr>
            <sz val="9"/>
            <color indexed="81"/>
            <rFont val="Tahoma"/>
            <family val="2"/>
          </rPr>
          <t>One of the nicest non-Messier open star clusters</t>
        </r>
      </text>
    </comment>
    <comment ref="A1511" authorId="0" shapeId="0" xr:uid="{A5715168-2288-4EAC-9E67-F5F218EF5B4C}">
      <text>
        <r>
          <rPr>
            <sz val="9"/>
            <color indexed="81"/>
            <rFont val="Tahoma"/>
            <family val="2"/>
          </rPr>
          <t xml:space="preserve">
</t>
        </r>
      </text>
    </comment>
    <comment ref="K1511" authorId="0" shapeId="0" xr:uid="{1B6C9050-1DC2-472B-9530-FB504B327E8D}">
      <text>
        <r>
          <rPr>
            <sz val="9"/>
            <color indexed="81"/>
            <rFont val="Tahoma"/>
            <family val="2"/>
          </rPr>
          <t>Disturbed disk with disjointed arms, scattered blue star cloud regions and offset core</t>
        </r>
      </text>
    </comment>
    <comment ref="A1512" authorId="0" shapeId="0" xr:uid="{1AD88D23-6553-493C-AFBF-612680DC50EA}">
      <text>
        <r>
          <rPr>
            <sz val="9"/>
            <color indexed="81"/>
            <rFont val="Tahoma"/>
            <family val="2"/>
          </rPr>
          <t xml:space="preserve">
</t>
        </r>
      </text>
    </comment>
    <comment ref="K1512" authorId="0" shapeId="0" xr:uid="{D5BC1273-1159-4795-8355-7792216B26E4}">
      <text>
        <r>
          <rPr>
            <sz val="9"/>
            <color indexed="81"/>
            <rFont val="Tahoma"/>
            <family val="2"/>
          </rPr>
          <t>E4 elliptical which anchors group of 6 galaxies</t>
        </r>
      </text>
    </comment>
    <comment ref="A1513" authorId="0" shapeId="0" xr:uid="{BCF5ABB5-A0AC-4300-9C46-B52B26057CB5}">
      <text>
        <r>
          <rPr>
            <sz val="9"/>
            <color indexed="81"/>
            <rFont val="Tahoma"/>
            <family val="2"/>
          </rPr>
          <t xml:space="preserve">
</t>
        </r>
      </text>
    </comment>
    <comment ref="K1513" authorId="0" shapeId="0" xr:uid="{A54AD5A7-5DF2-496A-A1EA-23473A331603}">
      <text>
        <r>
          <rPr>
            <sz val="9"/>
            <color indexed="81"/>
            <rFont val="Tahoma"/>
            <family val="2"/>
          </rPr>
          <t>Unremarkable E4 elliptical</t>
        </r>
      </text>
    </comment>
    <comment ref="A1514" authorId="0" shapeId="0" xr:uid="{BFEEF430-25E2-4CA5-96D1-361DBAB23F7F}">
      <text>
        <r>
          <rPr>
            <sz val="9"/>
            <color indexed="81"/>
            <rFont val="Tahoma"/>
            <family val="2"/>
          </rPr>
          <t xml:space="preserve">
</t>
        </r>
      </text>
    </comment>
    <comment ref="K1514" authorId="0" shapeId="0" xr:uid="{CA738EA0-7147-4035-B131-066D1E1ED7F4}">
      <text>
        <r>
          <rPr>
            <sz val="9"/>
            <color indexed="81"/>
            <rFont val="Tahoma"/>
            <family val="2"/>
          </rPr>
          <t>Large HII Region in M33, with the 2nd largest number of young stars of any region in our Local Group</t>
        </r>
      </text>
    </comment>
    <comment ref="A1515" authorId="0" shapeId="0" xr:uid="{7AC22706-440E-4036-9810-A220091C7044}">
      <text>
        <r>
          <rPr>
            <sz val="9"/>
            <color indexed="81"/>
            <rFont val="Tahoma"/>
            <family val="2"/>
          </rPr>
          <t xml:space="preserve">
</t>
        </r>
      </text>
    </comment>
    <comment ref="K1515" authorId="0" shapeId="0" xr:uid="{0FDA4BDB-7F37-4DFC-9353-751CBB8AE77E}">
      <text>
        <r>
          <rPr>
            <sz val="9"/>
            <color indexed="81"/>
            <rFont val="Tahoma"/>
            <family val="2"/>
          </rPr>
          <t>Marvelous colorful barred spiral with nuclear core and VV rows</t>
        </r>
      </text>
    </comment>
    <comment ref="A1516" authorId="0" shapeId="0" xr:uid="{288EA579-A161-4866-A788-09D527356B8B}">
      <text>
        <r>
          <rPr>
            <sz val="9"/>
            <color indexed="81"/>
            <rFont val="Tahoma"/>
            <family val="2"/>
          </rPr>
          <t xml:space="preserve">
</t>
        </r>
      </text>
    </comment>
    <comment ref="K1516" authorId="0" shapeId="0" xr:uid="{846498A8-0979-43AB-84C2-50CFF73635CF}">
      <text>
        <r>
          <rPr>
            <sz val="9"/>
            <color indexed="81"/>
            <rFont val="Tahoma"/>
            <family val="2"/>
          </rPr>
          <t>Gorgeous disk structure with outer ring</t>
        </r>
      </text>
    </comment>
    <comment ref="A1517" authorId="0" shapeId="0" xr:uid="{CC854468-9B91-48BA-A097-654011D2F358}">
      <text>
        <r>
          <rPr>
            <sz val="9"/>
            <color indexed="81"/>
            <rFont val="Tahoma"/>
            <family val="2"/>
          </rPr>
          <t xml:space="preserve">
</t>
        </r>
      </text>
    </comment>
    <comment ref="K1517" authorId="0" shapeId="0" xr:uid="{08079321-0757-40A8-B57D-067AFAD33049}">
      <text>
        <r>
          <rPr>
            <sz val="9"/>
            <color indexed="81"/>
            <rFont val="Tahoma"/>
            <family val="2"/>
          </rPr>
          <t>Average cluster but stands out well from background, just west of Heart &amp; Soul Nebulae</t>
        </r>
      </text>
    </comment>
    <comment ref="A1518" authorId="0" shapeId="0" xr:uid="{6FED85C5-B0B8-43D4-9652-2E0259746BDC}">
      <text>
        <r>
          <rPr>
            <sz val="9"/>
            <color indexed="81"/>
            <rFont val="Tahoma"/>
            <family val="2"/>
          </rPr>
          <t xml:space="preserve">
</t>
        </r>
      </text>
    </comment>
    <comment ref="K1518" authorId="0" shapeId="0" xr:uid="{BFF85D2A-F675-4184-93FF-2A08855C8012}">
      <text>
        <r>
          <rPr>
            <sz val="9"/>
            <color indexed="81"/>
            <rFont val="Tahoma"/>
            <family val="2"/>
          </rPr>
          <t>Faint white reflection nebula adjacent to bright open star cluster NGC 654 &amp; bright orange 7.3 mag star HD 10494</t>
        </r>
      </text>
    </comment>
    <comment ref="A1519" authorId="0" shapeId="0" xr:uid="{09D60CED-AEF5-49E1-8428-C16D09C141F8}">
      <text>
        <r>
          <rPr>
            <sz val="9"/>
            <color indexed="81"/>
            <rFont val="Tahoma"/>
            <family val="2"/>
          </rPr>
          <t xml:space="preserve">
</t>
        </r>
      </text>
    </comment>
    <comment ref="K1519" authorId="0" shapeId="0" xr:uid="{7356B813-C062-489B-AFED-6278FC83913D}">
      <text>
        <r>
          <rPr>
            <sz val="9"/>
            <color indexed="81"/>
            <rFont val="Tahoma"/>
            <family val="2"/>
          </rPr>
          <t>Well structured spiral disk with bright core</t>
        </r>
      </text>
    </comment>
    <comment ref="A1520" authorId="0" shapeId="0" xr:uid="{CA624BA6-DFC2-4CF8-9578-72E83C6E2985}">
      <text>
        <r>
          <rPr>
            <sz val="9"/>
            <color indexed="81"/>
            <rFont val="Tahoma"/>
            <family val="2"/>
          </rPr>
          <t xml:space="preserve">
</t>
        </r>
      </text>
    </comment>
    <comment ref="K1520" authorId="0" shapeId="0" xr:uid="{C6467C22-619E-4639-B48A-BD02E99A3626}">
      <text>
        <r>
          <rPr>
            <sz val="9"/>
            <color indexed="81"/>
            <rFont val="Tahoma"/>
            <family val="2"/>
          </rPr>
          <t>Average open cluster color and brightness, unique triangular shape</t>
        </r>
      </text>
    </comment>
    <comment ref="A1521" authorId="0" shapeId="0" xr:uid="{9A3A566B-202A-44C8-BD09-8FE0FAD1D309}">
      <text>
        <r>
          <rPr>
            <sz val="9"/>
            <color indexed="81"/>
            <rFont val="Tahoma"/>
            <family val="2"/>
          </rPr>
          <t xml:space="preserve">
</t>
        </r>
      </text>
    </comment>
    <comment ref="K1521" authorId="0" shapeId="0" xr:uid="{922A6AF3-97BE-46F4-A5AE-5FE4F34244F8}">
      <text>
        <r>
          <rPr>
            <sz val="9"/>
            <color indexed="81"/>
            <rFont val="Tahoma"/>
            <family val="2"/>
          </rPr>
          <t>Stunning polar galaxy, located close enough to reveal excellent disk detail</t>
        </r>
      </text>
    </comment>
    <comment ref="A1522" authorId="0" shapeId="0" xr:uid="{896DF107-23EE-4970-A1CB-EAB2DD3F7BB1}">
      <text>
        <r>
          <rPr>
            <sz val="9"/>
            <color indexed="81"/>
            <rFont val="Tahoma"/>
            <family val="2"/>
          </rPr>
          <t xml:space="preserve">
</t>
        </r>
      </text>
    </comment>
    <comment ref="K1522" authorId="0" shapeId="0" xr:uid="{FD98FD2F-97C4-4E6C-9546-C3620F269E14}">
      <text>
        <r>
          <rPr>
            <sz val="9"/>
            <color indexed="81"/>
            <rFont val="Tahoma"/>
            <family val="2"/>
          </rPr>
          <t>Appears to be 2 close bridge connected spiral galaxies</t>
        </r>
      </text>
    </comment>
    <comment ref="A1523" authorId="0" shapeId="0" xr:uid="{199EACED-76AC-4312-9B9C-957FE0157FE7}">
      <text>
        <r>
          <rPr>
            <sz val="9"/>
            <color indexed="81"/>
            <rFont val="Tahoma"/>
            <family val="2"/>
          </rPr>
          <t xml:space="preserve">
</t>
        </r>
      </text>
    </comment>
    <comment ref="K1523" authorId="0" shapeId="0" xr:uid="{A4A0DBAF-9822-4D6F-9030-4E4F0DCD3C73}">
      <text>
        <r>
          <rPr>
            <sz val="9"/>
            <color indexed="81"/>
            <rFont val="Tahoma"/>
            <family val="2"/>
          </rPr>
          <t>Bright cluster which stands out well from background stars</t>
        </r>
      </text>
    </comment>
    <comment ref="A1524" authorId="0" shapeId="0" xr:uid="{84EB334A-AE49-40AE-8079-A4D5A44E3C12}">
      <text>
        <r>
          <rPr>
            <sz val="9"/>
            <color indexed="81"/>
            <rFont val="Tahoma"/>
            <family val="2"/>
          </rPr>
          <t xml:space="preserve">
</t>
        </r>
      </text>
    </comment>
    <comment ref="K1524" authorId="0" shapeId="0" xr:uid="{6D16A796-766C-4608-83CD-9F08F8CE6DF4}">
      <text>
        <r>
          <rPr>
            <sz val="9"/>
            <color indexed="81"/>
            <rFont val="Tahoma"/>
            <family val="2"/>
          </rPr>
          <t>Edge-on spiral with showy dust lane</t>
        </r>
      </text>
    </comment>
    <comment ref="A1525" authorId="0" shapeId="0" xr:uid="{7E5B2A84-0D1E-4E5E-95DC-DE132786EFA1}">
      <text>
        <r>
          <rPr>
            <sz val="9"/>
            <color indexed="81"/>
            <rFont val="Tahoma"/>
            <family val="2"/>
          </rPr>
          <t xml:space="preserve">
</t>
        </r>
      </text>
    </comment>
    <comment ref="K1525" authorId="0" shapeId="0" xr:uid="{871C8063-4DF6-47A2-B9DD-9926FCBCDF33}">
      <text>
        <r>
          <rPr>
            <sz val="9"/>
            <color indexed="81"/>
            <rFont val="Tahoma"/>
            <family val="2"/>
          </rPr>
          <t>Magellanic galaxy that forms a nice pair with IC1727</t>
        </r>
      </text>
    </comment>
    <comment ref="A1526" authorId="0" shapeId="0" xr:uid="{D3A72AAD-B364-4F43-BC9A-07D6163CEDBC}">
      <text>
        <r>
          <rPr>
            <sz val="9"/>
            <color indexed="81"/>
            <rFont val="Tahoma"/>
            <family val="2"/>
          </rPr>
          <t xml:space="preserve">
</t>
        </r>
      </text>
    </comment>
    <comment ref="K1526" authorId="0" shapeId="0" xr:uid="{F6D95384-C692-40C6-BEA3-B81F1D873E0A}">
      <text>
        <r>
          <rPr>
            <sz val="9"/>
            <color indexed="81"/>
            <rFont val="Tahoma"/>
            <family val="2"/>
          </rPr>
          <t>Disturbed disk, with offset core, warping, and asymmetric dust lanes</t>
        </r>
      </text>
    </comment>
    <comment ref="A1527" authorId="0" shapeId="0" xr:uid="{A4297B6F-4BBA-4C53-8BDD-519F0B106D6D}">
      <text>
        <r>
          <rPr>
            <sz val="9"/>
            <color indexed="81"/>
            <rFont val="Tahoma"/>
            <family val="2"/>
          </rPr>
          <t xml:space="preserve">
</t>
        </r>
      </text>
    </comment>
    <comment ref="K1527" authorId="0" shapeId="0" xr:uid="{EFAB1E7E-3267-4361-B6D1-570C96903720}">
      <text>
        <r>
          <rPr>
            <sz val="9"/>
            <color indexed="81"/>
            <rFont val="Tahoma"/>
            <family val="2"/>
          </rPr>
          <t>Seyfert (bright core) galaxy, which amazingly has a foreground bright star superimposed over the bright core.</t>
        </r>
      </text>
    </comment>
    <comment ref="A1528" authorId="0" shapeId="0" xr:uid="{177BA3FB-B1AF-463B-BD40-2697FE55C9FB}">
      <text>
        <r>
          <rPr>
            <sz val="9"/>
            <color indexed="81"/>
            <rFont val="Tahoma"/>
            <family val="2"/>
          </rPr>
          <t xml:space="preserve">
</t>
        </r>
      </text>
    </comment>
    <comment ref="K1528" authorId="0" shapeId="0" xr:uid="{D2D0D44D-BC6E-4F1B-A1F8-513FEEA911C1}">
      <text>
        <r>
          <rPr>
            <sz val="9"/>
            <color indexed="81"/>
            <rFont val="Tahoma"/>
            <family val="2"/>
          </rPr>
          <t>Large barred edge-on spiral with nice dust lane</t>
        </r>
      </text>
    </comment>
    <comment ref="A1529" authorId="0" shapeId="0" xr:uid="{9CD79C5D-51BD-4434-9D85-5326B2267834}">
      <text>
        <r>
          <rPr>
            <sz val="9"/>
            <color indexed="81"/>
            <rFont val="Tahoma"/>
            <family val="2"/>
          </rPr>
          <t xml:space="preserve">
</t>
        </r>
      </text>
    </comment>
    <comment ref="K1529" authorId="0" shapeId="0" xr:uid="{DD55AF02-E41D-4320-AF7B-62853A3C63B7}">
      <text>
        <r>
          <rPr>
            <sz val="9"/>
            <color indexed="81"/>
            <rFont val="Tahoma"/>
            <family val="2"/>
          </rPr>
          <t>Small, more complex version of the Sombrero galaxy</t>
        </r>
      </text>
    </comment>
    <comment ref="A1530" authorId="0" shapeId="0" xr:uid="{73B20C9E-9ACD-493C-AFB3-26B14E8C87F4}">
      <text>
        <r>
          <rPr>
            <sz val="9"/>
            <color indexed="81"/>
            <rFont val="Tahoma"/>
            <family val="2"/>
          </rPr>
          <t xml:space="preserve">
</t>
        </r>
      </text>
    </comment>
    <comment ref="K1530" authorId="0" shapeId="0" xr:uid="{0FE07F9A-965B-4C61-A237-7571F8C3BC0D}">
      <text>
        <r>
          <rPr>
            <sz val="9"/>
            <color indexed="81"/>
            <rFont val="Tahoma"/>
            <family val="2"/>
          </rPr>
          <t>Attractive barred Milky Way sized grand spiral</t>
        </r>
      </text>
    </comment>
    <comment ref="A1531" authorId="0" shapeId="0" xr:uid="{020077A3-B846-41F4-BF77-4C9628159BC8}">
      <text>
        <r>
          <rPr>
            <sz val="9"/>
            <color indexed="81"/>
            <rFont val="Tahoma"/>
            <family val="2"/>
          </rPr>
          <t xml:space="preserve">
</t>
        </r>
      </text>
    </comment>
    <comment ref="K1531" authorId="0" shapeId="0" xr:uid="{0F406FE3-0936-4128-BC56-D9E0E827DED8}">
      <text>
        <r>
          <rPr>
            <sz val="9"/>
            <color indexed="81"/>
            <rFont val="Tahoma"/>
            <family val="2"/>
          </rPr>
          <t>Barred grand design spiral with inner and outer pseudo-rings</t>
        </r>
      </text>
    </comment>
    <comment ref="A1532" authorId="0" shapeId="0" xr:uid="{6DA9FBE5-2540-4DF3-A117-FFF338ABAD4F}">
      <text>
        <r>
          <rPr>
            <sz val="9"/>
            <color indexed="81"/>
            <rFont val="Tahoma"/>
            <family val="2"/>
          </rPr>
          <t xml:space="preserve">
</t>
        </r>
      </text>
    </comment>
    <comment ref="K1532" authorId="0" shapeId="0" xr:uid="{C38BF4F1-906B-41D6-B977-BC4D41927DB0}">
      <text>
        <r>
          <rPr>
            <sz val="9"/>
            <color indexed="81"/>
            <rFont val="Tahoma"/>
            <family val="2"/>
          </rPr>
          <t>Oblong elliptical with interesting extended halo brightness pattern</t>
        </r>
      </text>
    </comment>
    <comment ref="A1533" authorId="0" shapeId="0" xr:uid="{8E5DAAA9-B61F-4A88-BAAC-7A2C0D8F0192}">
      <text>
        <r>
          <rPr>
            <sz val="9"/>
            <color indexed="81"/>
            <rFont val="Tahoma"/>
            <family val="2"/>
          </rPr>
          <t xml:space="preserve">
</t>
        </r>
      </text>
    </comment>
    <comment ref="K1533" authorId="0" shapeId="0" xr:uid="{60262416-204E-40DF-859A-584CE3663F6B}">
      <text>
        <r>
          <rPr>
            <sz val="9"/>
            <color indexed="81"/>
            <rFont val="Tahoma"/>
            <family val="2"/>
          </rPr>
          <t>One of the oldest open clusters, with few blue stars</t>
        </r>
      </text>
    </comment>
    <comment ref="A1534" authorId="0" shapeId="0" xr:uid="{C806D79F-B327-4B34-8A51-675332B6C699}">
      <text>
        <r>
          <rPr>
            <sz val="9"/>
            <color indexed="81"/>
            <rFont val="Tahoma"/>
            <family val="2"/>
          </rPr>
          <t xml:space="preserve">
</t>
        </r>
      </text>
    </comment>
    <comment ref="K1534" authorId="0" shapeId="0" xr:uid="{5EE47626-818C-443F-8528-F52D17312534}">
      <text>
        <r>
          <rPr>
            <sz val="9"/>
            <color indexed="81"/>
            <rFont val="Tahoma"/>
            <family val="2"/>
          </rPr>
          <t>Grand design spiral with VV rows</t>
        </r>
      </text>
    </comment>
    <comment ref="A1535" authorId="0" shapeId="0" xr:uid="{73A405D7-D99F-460C-8B6E-4201B1209146}">
      <text>
        <r>
          <rPr>
            <sz val="9"/>
            <color indexed="81"/>
            <rFont val="Tahoma"/>
            <family val="2"/>
          </rPr>
          <t xml:space="preserve">
</t>
        </r>
      </text>
    </comment>
    <comment ref="K1535" authorId="0" shapeId="0" xr:uid="{E034E30E-F13C-4BDA-BE2F-53DCAC003989}">
      <text>
        <r>
          <rPr>
            <sz val="9"/>
            <color indexed="81"/>
            <rFont val="Tahoma"/>
            <family val="2"/>
          </rPr>
          <t xml:space="preserve">Large asymmetric disk with strong star-forming arm and VV rows.  Resembles nautilus seashell. </t>
        </r>
      </text>
    </comment>
    <comment ref="A1536" authorId="0" shapeId="0" xr:uid="{3E7E2289-7B43-451E-AC1A-41C9B5BE4744}">
      <text>
        <r>
          <rPr>
            <sz val="9"/>
            <color indexed="81"/>
            <rFont val="Tahoma"/>
            <family val="2"/>
          </rPr>
          <t xml:space="preserve">
</t>
        </r>
      </text>
    </comment>
    <comment ref="K1536" authorId="0" shapeId="0" xr:uid="{299FBC18-2D5B-4374-B12A-9BBB2AF5EE86}">
      <text>
        <r>
          <rPr>
            <sz val="9"/>
            <color indexed="81"/>
            <rFont val="Tahoma"/>
            <family val="2"/>
          </rPr>
          <t>Fragmented arm structure with asymmetric disk</t>
        </r>
      </text>
    </comment>
    <comment ref="A1537" authorId="0" shapeId="0" xr:uid="{9A9C3DAB-AE45-4CE1-BE36-C39838608533}">
      <text>
        <r>
          <rPr>
            <sz val="9"/>
            <color indexed="81"/>
            <rFont val="Tahoma"/>
            <family val="2"/>
          </rPr>
          <t xml:space="preserve">
</t>
        </r>
      </text>
    </comment>
    <comment ref="K1537" authorId="0" shapeId="0" xr:uid="{D6FEECA1-F1B4-4037-ADCD-320BAEFAE8E6}">
      <text>
        <r>
          <rPr>
            <sz val="9"/>
            <color indexed="81"/>
            <rFont val="Tahoma"/>
            <family val="2"/>
          </rPr>
          <t>LSB blue galaxy with numerous star clouds</t>
        </r>
      </text>
    </comment>
    <comment ref="A1538" authorId="0" shapeId="0" xr:uid="{6F30AAA4-51B3-4D71-8C05-F3C5CBF547F7}">
      <text>
        <r>
          <rPr>
            <sz val="9"/>
            <color indexed="81"/>
            <rFont val="Tahoma"/>
            <family val="2"/>
          </rPr>
          <t xml:space="preserve">
</t>
        </r>
      </text>
    </comment>
    <comment ref="K1538" authorId="0" shapeId="0" xr:uid="{23291E24-6C14-40D8-800D-901A981DEDBF}">
      <text>
        <r>
          <rPr>
            <sz val="9"/>
            <color indexed="81"/>
            <rFont val="Tahoma"/>
            <family val="2"/>
          </rPr>
          <t>Seen with NGC800, this barred grand design spiral has an off-center core</t>
        </r>
      </text>
    </comment>
    <comment ref="A1539" authorId="0" shapeId="0" xr:uid="{7B746527-0482-422D-962A-357343F00061}">
      <text>
        <r>
          <rPr>
            <sz val="9"/>
            <color indexed="81"/>
            <rFont val="Tahoma"/>
            <family val="2"/>
          </rPr>
          <t xml:space="preserve">
</t>
        </r>
      </text>
    </comment>
    <comment ref="K1539" authorId="0" shapeId="0" xr:uid="{94C2D55A-D739-462E-B5D4-313EBD7CBC98}">
      <text>
        <r>
          <rPr>
            <sz val="9"/>
            <color indexed="81"/>
            <rFont val="Tahoma"/>
            <family val="2"/>
          </rPr>
          <t>Large near edge-on spiral</t>
        </r>
      </text>
    </comment>
    <comment ref="A1540" authorId="0" shapeId="0" xr:uid="{28A8E00F-E59B-404D-9D9C-C53E92AC2565}">
      <text>
        <r>
          <rPr>
            <sz val="9"/>
            <color indexed="81"/>
            <rFont val="Tahoma"/>
            <family val="2"/>
          </rPr>
          <t xml:space="preserve">
</t>
        </r>
      </text>
    </comment>
    <comment ref="K1540" authorId="0" shapeId="0" xr:uid="{3D8351E6-2CE4-4B68-AA68-C28EB0FF0DCC}">
      <text>
        <r>
          <rPr>
            <sz val="9"/>
            <color indexed="81"/>
            <rFont val="Tahoma"/>
            <family val="2"/>
          </rPr>
          <t>Well structured disk with VV rows</t>
        </r>
      </text>
    </comment>
    <comment ref="A1541" authorId="0" shapeId="0" xr:uid="{ABD1D04A-B3CE-4A0C-8788-670150AE05D5}">
      <text>
        <r>
          <rPr>
            <sz val="9"/>
            <color indexed="81"/>
            <rFont val="Tahoma"/>
            <family val="2"/>
          </rPr>
          <t xml:space="preserve">
</t>
        </r>
      </text>
    </comment>
    <comment ref="K1541" authorId="0" shapeId="0" xr:uid="{49BD6C48-A17D-4D3F-9184-80C3CAF1C445}">
      <text>
        <r>
          <rPr>
            <sz val="9"/>
            <color indexed="81"/>
            <rFont val="Tahoma"/>
            <family val="2"/>
          </rPr>
          <t>Bright oblong E5 elliptical with small companion galaxy and bizarre transverse dust lane</t>
        </r>
      </text>
    </comment>
    <comment ref="A1542" authorId="0" shapeId="0" xr:uid="{28FF52A7-54D0-4D13-8CB8-3EE01311C69F}">
      <text>
        <r>
          <rPr>
            <sz val="9"/>
            <color indexed="81"/>
            <rFont val="Tahoma"/>
            <family val="2"/>
          </rPr>
          <t xml:space="preserve">
</t>
        </r>
      </text>
    </comment>
    <comment ref="K1542" authorId="0" shapeId="0" xr:uid="{660A68D9-43D5-4B33-8922-1AF124C1412D}">
      <text>
        <r>
          <rPr>
            <sz val="9"/>
            <color indexed="81"/>
            <rFont val="Tahoma"/>
            <family val="2"/>
          </rPr>
          <t>Eclectic lizard-like spiral with messy inner core, bright star clouds, and a unique curving shape.</t>
        </r>
      </text>
    </comment>
    <comment ref="A1543" authorId="0" shapeId="0" xr:uid="{3C0C5A6C-319E-4B7D-A9BE-8C7F1DF3CADE}">
      <text>
        <r>
          <rPr>
            <sz val="9"/>
            <color indexed="81"/>
            <rFont val="Tahoma"/>
            <family val="2"/>
          </rPr>
          <t xml:space="preserve">
</t>
        </r>
      </text>
    </comment>
    <comment ref="K1543" authorId="0" shapeId="0" xr:uid="{07F1BEC5-E215-4078-880F-3F451F70AE89}">
      <text>
        <r>
          <rPr>
            <sz val="9"/>
            <color indexed="81"/>
            <rFont val="Tahoma"/>
            <family val="2"/>
          </rPr>
          <t>Bright yellow core, wide dust lane, bright white region below core, extended star streams, and lack of arm structure</t>
        </r>
      </text>
    </comment>
    <comment ref="A1544" authorId="0" shapeId="0" xr:uid="{44FA3852-7D6D-40A5-A8E2-F1EFBFF5DC28}">
      <text>
        <r>
          <rPr>
            <sz val="9"/>
            <color indexed="81"/>
            <rFont val="Tahoma"/>
            <family val="2"/>
          </rPr>
          <t xml:space="preserve">
</t>
        </r>
      </text>
    </comment>
    <comment ref="K1544" authorId="0" shapeId="0" xr:uid="{C8EBC64C-E2C5-4049-82A3-8E3BFC90BED3}">
      <text>
        <r>
          <rPr>
            <sz val="9"/>
            <color indexed="81"/>
            <rFont val="Tahoma"/>
            <family val="2"/>
          </rPr>
          <t>The Magellanic galaxy NGC 829 anchors this 5 galaxy group</t>
        </r>
      </text>
    </comment>
    <comment ref="A1545" authorId="0" shapeId="0" xr:uid="{936AB286-196D-4455-9232-8BEA107691D9}">
      <text>
        <r>
          <rPr>
            <sz val="9"/>
            <color indexed="81"/>
            <rFont val="Tahoma"/>
            <family val="2"/>
          </rPr>
          <t xml:space="preserve">
</t>
        </r>
      </text>
    </comment>
    <comment ref="K1545" authorId="0" shapeId="0" xr:uid="{E1411E42-74A5-40E8-BEA2-6FAC7FA2A9CF}">
      <text>
        <r>
          <rPr>
            <sz val="9"/>
            <color indexed="81"/>
            <rFont val="Tahoma"/>
            <family val="2"/>
          </rPr>
          <t>Barred starburst galaxy with star clouds and HII regions</t>
        </r>
      </text>
    </comment>
    <comment ref="A1546" authorId="0" shapeId="0" xr:uid="{FAF14DFF-7E57-45EB-830C-D477C2201094}">
      <text>
        <r>
          <rPr>
            <sz val="9"/>
            <color indexed="81"/>
            <rFont val="Tahoma"/>
            <family val="2"/>
          </rPr>
          <t xml:space="preserve">
</t>
        </r>
      </text>
    </comment>
    <comment ref="K1546" authorId="0" shapeId="0" xr:uid="{5EB2B83F-27F1-478E-B437-6E633265F740}">
      <text>
        <r>
          <rPr>
            <sz val="9"/>
            <color indexed="81"/>
            <rFont val="Tahoma"/>
            <family val="2"/>
          </rPr>
          <t>Together with NGC891, a colorful and sparkling pair of open clusters</t>
        </r>
      </text>
    </comment>
    <comment ref="A1547" authorId="0" shapeId="0" xr:uid="{CFB81DEE-02E8-42A3-B08A-29E5D60D929B}">
      <text>
        <r>
          <rPr>
            <sz val="9"/>
            <color indexed="81"/>
            <rFont val="Tahoma"/>
            <family val="2"/>
          </rPr>
          <t xml:space="preserve">
</t>
        </r>
      </text>
    </comment>
    <comment ref="K1547" authorId="0" shapeId="0" xr:uid="{4EB2E50E-C85B-4B9A-8EB5-91591A11AE12}">
      <text>
        <r>
          <rPr>
            <sz val="9"/>
            <color indexed="81"/>
            <rFont val="Tahoma"/>
            <family val="2"/>
          </rPr>
          <t xml:space="preserve">LSB barred galaxy that anchors a lovely group of 8 galaxies </t>
        </r>
      </text>
    </comment>
    <comment ref="A1548" authorId="0" shapeId="0" xr:uid="{F1B8E2C0-2A2E-4A60-9A59-D58E7511FF18}">
      <text>
        <r>
          <rPr>
            <sz val="9"/>
            <color indexed="81"/>
            <rFont val="Tahoma"/>
            <family val="2"/>
          </rPr>
          <t xml:space="preserve">
</t>
        </r>
      </text>
    </comment>
    <comment ref="K1548" authorId="0" shapeId="0" xr:uid="{1DAAB168-CC29-4F17-ACDE-F8BAF624F2F9}">
      <text>
        <r>
          <rPr>
            <sz val="9"/>
            <color indexed="81"/>
            <rFont val="Tahoma"/>
            <family val="2"/>
          </rPr>
          <t>Together with NGC869, a colorful and sparkling pair of open clusters</t>
        </r>
      </text>
    </comment>
    <comment ref="A1549" authorId="0" shapeId="0" xr:uid="{4F6B160C-9C94-49F8-B369-A95C93919D27}">
      <text>
        <r>
          <rPr>
            <sz val="9"/>
            <color indexed="81"/>
            <rFont val="Tahoma"/>
            <family val="2"/>
          </rPr>
          <t xml:space="preserve">
</t>
        </r>
      </text>
    </comment>
    <comment ref="K1549" authorId="0" shapeId="0" xr:uid="{C5421416-1B98-4408-A99A-5886BA201748}">
      <text>
        <r>
          <rPr>
            <sz val="9"/>
            <color indexed="81"/>
            <rFont val="Tahoma"/>
            <family val="2"/>
          </rPr>
          <t>One of the best and largest (in apparent view) edge-on spirals in the sky</t>
        </r>
      </text>
    </comment>
    <comment ref="A1550" authorId="0" shapeId="0" xr:uid="{F978721D-AB94-4C78-AF1B-099044688907}">
      <text>
        <r>
          <rPr>
            <sz val="9"/>
            <color indexed="81"/>
            <rFont val="Tahoma"/>
            <family val="2"/>
          </rPr>
          <t xml:space="preserve">
</t>
        </r>
      </text>
    </comment>
    <comment ref="K1550" authorId="0" shapeId="0" xr:uid="{93D6FC9A-2F94-4E7C-AF84-1D2B9E1B030B}">
      <text>
        <r>
          <rPr>
            <sz val="9"/>
            <color indexed="81"/>
            <rFont val="Tahoma"/>
            <family val="2"/>
          </rPr>
          <t>Starburst galaxy with many star clouds and HII regions</t>
        </r>
      </text>
    </comment>
    <comment ref="A1551" authorId="0" shapeId="0" xr:uid="{60F4E2C4-5CE4-45ED-9F89-E07B19BE397C}">
      <text>
        <r>
          <rPr>
            <sz val="9"/>
            <color indexed="81"/>
            <rFont val="Tahoma"/>
            <family val="2"/>
          </rPr>
          <t xml:space="preserve">
</t>
        </r>
      </text>
    </comment>
    <comment ref="K1551" authorId="0" shapeId="0" xr:uid="{9A33C711-80CB-42F9-BF0C-358A7656BCFA}">
      <text>
        <r>
          <rPr>
            <sz val="9"/>
            <color indexed="81"/>
            <rFont val="Tahoma"/>
            <family val="2"/>
          </rPr>
          <t>Slightly barred, with beautiful arms and dust lanes, in a wide field of galactic cirrus</t>
        </r>
      </text>
    </comment>
    <comment ref="A1552" authorId="0" shapeId="0" xr:uid="{FF3FB178-954A-48AF-B564-CCF0CE9FC242}">
      <text>
        <r>
          <rPr>
            <sz val="9"/>
            <color indexed="81"/>
            <rFont val="Tahoma"/>
            <family val="2"/>
          </rPr>
          <t xml:space="preserve">
</t>
        </r>
      </text>
    </comment>
    <comment ref="K1552" authorId="0" shapeId="0" xr:uid="{DF97ABDC-3CC1-4881-A5FF-2484485D2EE8}">
      <text>
        <r>
          <rPr>
            <sz val="9"/>
            <color indexed="81"/>
            <rFont val="Tahoma"/>
            <family val="2"/>
          </rPr>
          <t>Collisional ring galaxy with bright outer rim, spoke-like arm fragments, off center bar and tidal plume</t>
        </r>
      </text>
    </comment>
    <comment ref="A1553" authorId="0" shapeId="0" xr:uid="{61985127-25D4-4BF8-BBAD-DDF4686EE37B}">
      <text>
        <r>
          <rPr>
            <sz val="9"/>
            <color indexed="81"/>
            <rFont val="Tahoma"/>
            <family val="2"/>
          </rPr>
          <t xml:space="preserve">
</t>
        </r>
      </text>
    </comment>
    <comment ref="K1553" authorId="0" shapeId="0" xr:uid="{9CCEB456-7BC2-4858-901A-09DFC703FBED}">
      <text>
        <r>
          <rPr>
            <sz val="9"/>
            <color indexed="81"/>
            <rFont val="Tahoma"/>
            <family val="2"/>
          </rPr>
          <t>Large apparent size, nice color, long bar and graceful arms</t>
        </r>
      </text>
    </comment>
    <comment ref="A1554" authorId="0" shapeId="0" xr:uid="{FBC4D55C-04BD-4D23-9EED-18A38D6F6FE5}">
      <text>
        <r>
          <rPr>
            <sz val="9"/>
            <color indexed="81"/>
            <rFont val="Tahoma"/>
            <family val="2"/>
          </rPr>
          <t xml:space="preserve">
</t>
        </r>
      </text>
    </comment>
    <comment ref="K1554" authorId="0" shapeId="0" xr:uid="{7B87ECAF-F28F-4FA9-8DF3-FCEECCD3968C}">
      <text>
        <r>
          <rPr>
            <sz val="9"/>
            <color indexed="81"/>
            <rFont val="Tahoma"/>
            <family val="2"/>
          </rPr>
          <t>One of many 'TIE starfighter' type of barred ring lenticular galaxies</t>
        </r>
      </text>
    </comment>
    <comment ref="A1555" authorId="0" shapeId="0" xr:uid="{F354E11D-D1FE-4527-83C0-C3ECCEECF2DB}">
      <text>
        <r>
          <rPr>
            <sz val="9"/>
            <color indexed="81"/>
            <rFont val="Tahoma"/>
            <family val="2"/>
          </rPr>
          <t xml:space="preserve">
</t>
        </r>
      </text>
    </comment>
    <comment ref="K1555" authorId="0" shapeId="0" xr:uid="{0C2EBF23-C21B-4E64-B9F6-8EA14F67D4B9}">
      <text>
        <r>
          <rPr>
            <sz val="9"/>
            <color indexed="81"/>
            <rFont val="Tahoma"/>
            <family val="2"/>
          </rPr>
          <t>No arm structure and strong dark dust lanes</t>
        </r>
      </text>
    </comment>
    <comment ref="A1556" authorId="0" shapeId="0" xr:uid="{31C1DEF7-B527-4C71-B79A-D8B4AAFF5E3D}">
      <text>
        <r>
          <rPr>
            <sz val="9"/>
            <color indexed="81"/>
            <rFont val="Tahoma"/>
            <family val="2"/>
          </rPr>
          <t xml:space="preserve">
</t>
        </r>
      </text>
    </comment>
    <comment ref="K1556" authorId="0" shapeId="0" xr:uid="{346ACA23-3FF7-4786-A4A5-24352C1AE125}">
      <text>
        <r>
          <rPr>
            <sz val="9"/>
            <color indexed="81"/>
            <rFont val="Tahoma"/>
            <family val="2"/>
          </rPr>
          <t>Edge-on with dramatic dark dust lane</t>
        </r>
      </text>
    </comment>
    <comment ref="A1557" authorId="0" shapeId="0" xr:uid="{9F54D6EE-56DD-4475-9D2C-30D50D0F3A0C}">
      <text>
        <r>
          <rPr>
            <sz val="9"/>
            <color indexed="81"/>
            <rFont val="Tahoma"/>
            <family val="2"/>
          </rPr>
          <t xml:space="preserve">
</t>
        </r>
      </text>
    </comment>
    <comment ref="K1557" authorId="0" shapeId="0" xr:uid="{1F3A9164-78FD-4B9D-B840-0A03BCFB1EA3}">
      <text>
        <r>
          <rPr>
            <sz val="9"/>
            <color indexed="81"/>
            <rFont val="Tahoma"/>
            <family val="2"/>
          </rPr>
          <t>6 galaxy group anchored by the face-on ringed spiral NGC 974</t>
        </r>
      </text>
    </comment>
    <comment ref="A1558" authorId="0" shapeId="0" xr:uid="{A3C29ED0-5753-498C-A0C6-C8D14BAE41CA}">
      <text>
        <r>
          <rPr>
            <sz val="9"/>
            <color indexed="81"/>
            <rFont val="Tahoma"/>
            <family val="2"/>
          </rPr>
          <t xml:space="preserve">
</t>
        </r>
      </text>
    </comment>
    <comment ref="K1558" authorId="0" shapeId="0" xr:uid="{EDD681E2-6659-4F8F-AA10-61D2AE92114C}">
      <text>
        <r>
          <rPr>
            <sz val="9"/>
            <color indexed="81"/>
            <rFont val="Tahoma"/>
            <family val="2"/>
          </rPr>
          <t>Collisional ring galaxy with interesting core remnants</t>
        </r>
      </text>
    </comment>
    <comment ref="A1559" authorId="0" shapeId="0" xr:uid="{BADA3B77-8C7B-418A-9041-3C3A4A71587E}">
      <text>
        <r>
          <rPr>
            <sz val="9"/>
            <color indexed="81"/>
            <rFont val="Tahoma"/>
            <family val="2"/>
          </rPr>
          <t xml:space="preserve">
</t>
        </r>
      </text>
    </comment>
    <comment ref="K1559" authorId="0" shapeId="0" xr:uid="{A3354D9A-078F-40CF-85E0-8291B6FA30C5}">
      <text>
        <r>
          <rPr>
            <sz val="9"/>
            <color indexed="81"/>
            <rFont val="Tahoma"/>
            <family val="2"/>
          </rPr>
          <t>Lovely barred grand design spiral with unusual core and nice dust lanes</t>
        </r>
      </text>
    </comment>
    <comment ref="A1560" authorId="0" shapeId="0" xr:uid="{ACFE5892-0413-4C34-8202-803B3EBAEE91}">
      <text>
        <r>
          <rPr>
            <sz val="9"/>
            <color indexed="81"/>
            <rFont val="Tahoma"/>
            <family val="2"/>
          </rPr>
          <t xml:space="preserve">
</t>
        </r>
      </text>
    </comment>
    <comment ref="K1560" authorId="0" shapeId="0" xr:uid="{D9B545A1-DE48-40E3-A819-37F0F2EE356B}">
      <text>
        <r>
          <rPr>
            <sz val="9"/>
            <color indexed="81"/>
            <rFont val="Tahoma"/>
            <family val="2"/>
          </rPr>
          <t>Slightly offset core, numerous blue star clouds visible</t>
        </r>
      </text>
    </comment>
    <comment ref="A1561" authorId="0" shapeId="0" xr:uid="{CF83139B-672B-4520-9B17-C19309A46923}">
      <text>
        <r>
          <rPr>
            <sz val="9"/>
            <color indexed="81"/>
            <rFont val="Tahoma"/>
            <family val="2"/>
          </rPr>
          <t xml:space="preserve">
</t>
        </r>
      </text>
    </comment>
    <comment ref="K1561" authorId="0" shapeId="0" xr:uid="{D1DF8E7C-FB24-4B81-8E69-12AB6B9C301B}">
      <text>
        <r>
          <rPr>
            <sz val="9"/>
            <color indexed="81"/>
            <rFont val="Tahoma"/>
            <family val="2"/>
          </rPr>
          <t>Wide bar and mid-region pseudo-ring.  Asymmetric broad dust pattern on right side suggests likely past merger</t>
        </r>
      </text>
    </comment>
    <comment ref="A1562" authorId="0" shapeId="0" xr:uid="{1FB5566C-BC66-464E-9BA1-0D6E0A81EEC1}">
      <text>
        <r>
          <rPr>
            <sz val="9"/>
            <color indexed="81"/>
            <rFont val="Tahoma"/>
            <family val="2"/>
          </rPr>
          <t xml:space="preserve">
</t>
        </r>
      </text>
    </comment>
    <comment ref="K1562" authorId="0" shapeId="0" xr:uid="{B94E320D-5442-472A-BCEB-E772E9A64516}">
      <text>
        <r>
          <rPr>
            <sz val="9"/>
            <color indexed="81"/>
            <rFont val="Tahoma"/>
            <family val="2"/>
          </rPr>
          <t>Pleasing mix of colors and sizes in this open cluster</t>
        </r>
      </text>
    </comment>
    <comment ref="A1563" authorId="0" shapeId="0" xr:uid="{3A5798DC-2D42-4E35-8712-9E919F20BAA3}">
      <text>
        <r>
          <rPr>
            <sz val="9"/>
            <color indexed="81"/>
            <rFont val="Tahoma"/>
            <family val="2"/>
          </rPr>
          <t xml:space="preserve">
</t>
        </r>
      </text>
    </comment>
    <comment ref="K1563" authorId="0" shapeId="0" xr:uid="{E08D1314-C26B-4567-899D-53FB583859B6}">
      <text>
        <r>
          <rPr>
            <sz val="9"/>
            <color indexed="81"/>
            <rFont val="Tahoma"/>
            <family val="2"/>
          </rPr>
          <t>Disturbed grand spiral with blue star clouds and pink HII regions.  Nice par with NGC1052</t>
        </r>
      </text>
    </comment>
    <comment ref="A1564" authorId="0" shapeId="0" xr:uid="{6B3C6990-8484-410E-A28E-59D194B3A03F}">
      <text>
        <r>
          <rPr>
            <sz val="9"/>
            <color indexed="81"/>
            <rFont val="Tahoma"/>
            <family val="2"/>
          </rPr>
          <t xml:space="preserve">
</t>
        </r>
      </text>
    </comment>
    <comment ref="K1564" authorId="0" shapeId="0" xr:uid="{D5C3F2C1-7A72-46F7-A5E2-5507C05D1990}">
      <text>
        <r>
          <rPr>
            <sz val="9"/>
            <color indexed="81"/>
            <rFont val="Tahoma"/>
            <family val="2"/>
          </rPr>
          <t>E$ elliptical which defers the stage to adjacent NGC1042</t>
        </r>
      </text>
    </comment>
    <comment ref="A1565" authorId="0" shapeId="0" xr:uid="{90CE6DA9-F88E-4350-9479-B128D70E6FAC}">
      <text>
        <r>
          <rPr>
            <sz val="9"/>
            <color indexed="81"/>
            <rFont val="Tahoma"/>
            <family val="2"/>
          </rPr>
          <t xml:space="preserve">
</t>
        </r>
      </text>
    </comment>
    <comment ref="K1565" authorId="0" shapeId="0" xr:uid="{AC17058A-E469-4408-8016-B6BA83946E2C}">
      <text>
        <r>
          <rPr>
            <sz val="9"/>
            <color indexed="81"/>
            <rFont val="Tahoma"/>
            <family val="2"/>
          </rPr>
          <t>Special edge-on spiral, with glowing core and textured dust lane</t>
        </r>
      </text>
    </comment>
    <comment ref="A1566" authorId="0" shapeId="0" xr:uid="{6C1EBC1C-8739-4186-8C22-79816F64BE3E}">
      <text>
        <r>
          <rPr>
            <sz val="9"/>
            <color indexed="81"/>
            <rFont val="Tahoma"/>
            <family val="2"/>
          </rPr>
          <t xml:space="preserve">
</t>
        </r>
      </text>
    </comment>
    <comment ref="K1566" authorId="0" shapeId="0" xr:uid="{C57F0476-ACC9-451A-AB52-18282070239D}">
      <text>
        <r>
          <rPr>
            <sz val="9"/>
            <color indexed="81"/>
            <rFont val="Tahoma"/>
            <family val="2"/>
          </rPr>
          <t>Unusual small, fluffy and bright galaxy, near face-on</t>
        </r>
      </text>
    </comment>
    <comment ref="A1567" authorId="0" shapeId="0" xr:uid="{00636EFC-F8AC-4308-A601-E4D8606D54BC}">
      <text>
        <r>
          <rPr>
            <sz val="9"/>
            <color indexed="81"/>
            <rFont val="Tahoma"/>
            <family val="2"/>
          </rPr>
          <t xml:space="preserve">
</t>
        </r>
      </text>
    </comment>
    <comment ref="K1567" authorId="0" shapeId="0" xr:uid="{DDBB9020-2864-4FE3-9325-AA6F257D70F4}">
      <text>
        <r>
          <rPr>
            <sz val="9"/>
            <color indexed="81"/>
            <rFont val="Tahoma"/>
            <family val="2"/>
          </rPr>
          <t>15 galaxy group anchored by NGC 1060, a large elliptical</t>
        </r>
      </text>
    </comment>
    <comment ref="A1568" authorId="0" shapeId="0" xr:uid="{1BE4909F-3E16-40D3-9018-75F764EA4F37}">
      <text>
        <r>
          <rPr>
            <sz val="9"/>
            <color indexed="81"/>
            <rFont val="Tahoma"/>
            <family val="2"/>
          </rPr>
          <t xml:space="preserve">
</t>
        </r>
      </text>
    </comment>
    <comment ref="K1568" authorId="0" shapeId="0" xr:uid="{5DBFBBE4-9F4E-4238-B953-0C50FD9D9C07}">
      <text>
        <r>
          <rPr>
            <sz val="9"/>
            <color indexed="81"/>
            <rFont val="Tahoma"/>
            <family val="2"/>
          </rPr>
          <t>Near face-on spiral with faint arm structure</t>
        </r>
      </text>
    </comment>
    <comment ref="A1569" authorId="0" shapeId="0" xr:uid="{B1FDFD1E-CE19-46BA-A590-DA45BFACC2EF}">
      <text>
        <r>
          <rPr>
            <sz val="9"/>
            <color indexed="81"/>
            <rFont val="Tahoma"/>
            <family val="2"/>
          </rPr>
          <t xml:space="preserve">
</t>
        </r>
      </text>
    </comment>
    <comment ref="K1569" authorId="0" shapeId="0" xr:uid="{17D65724-F74C-4AFA-9629-E9A0F563E8D2}">
      <text>
        <r>
          <rPr>
            <sz val="9"/>
            <color indexed="81"/>
            <rFont val="Tahoma"/>
            <family val="2"/>
          </rPr>
          <t>Near face-on spiral with long bar and asymmetric arms, forming a left-handed "Mark of Zorro"</t>
        </r>
      </text>
    </comment>
    <comment ref="A1570" authorId="0" shapeId="0" xr:uid="{7D416E09-F5DF-44A5-AFF2-71C636217287}">
      <text>
        <r>
          <rPr>
            <sz val="9"/>
            <color indexed="81"/>
            <rFont val="Tahoma"/>
            <family val="2"/>
          </rPr>
          <t xml:space="preserve">
</t>
        </r>
      </text>
    </comment>
    <comment ref="K1570" authorId="0" shapeId="0" xr:uid="{7B668D16-437E-4915-9FB1-3B6C28542845}">
      <text>
        <r>
          <rPr>
            <sz val="9"/>
            <color indexed="81"/>
            <rFont val="Tahoma"/>
            <family val="2"/>
          </rPr>
          <t>Double ring spiral with bright ansae</t>
        </r>
      </text>
    </comment>
    <comment ref="A1571" authorId="0" shapeId="0" xr:uid="{A70E7835-5CF4-4D6E-815B-55334599F679}">
      <text>
        <r>
          <rPr>
            <sz val="9"/>
            <color indexed="81"/>
            <rFont val="Tahoma"/>
            <family val="2"/>
          </rPr>
          <t xml:space="preserve">
</t>
        </r>
      </text>
    </comment>
    <comment ref="K1571" authorId="0" shapeId="0" xr:uid="{04AE1D25-26A9-4A7B-9F57-0FD4F2DC3B9E}">
      <text>
        <r>
          <rPr>
            <sz val="9"/>
            <color indexed="81"/>
            <rFont val="Tahoma"/>
            <family val="2"/>
          </rPr>
          <t>Colorful galaxy with yellow core, blue star clouds and pink HII regions, with VV rows</t>
        </r>
      </text>
    </comment>
    <comment ref="A1572" authorId="0" shapeId="0" xr:uid="{329B5385-5C9E-48B1-8CD8-1AE915C4D0E2}">
      <text>
        <r>
          <rPr>
            <sz val="9"/>
            <color indexed="81"/>
            <rFont val="Tahoma"/>
            <family val="2"/>
          </rPr>
          <t xml:space="preserve">
</t>
        </r>
      </text>
    </comment>
    <comment ref="K1572" authorId="0" shapeId="0" xr:uid="{B0B7CAC5-3DD9-4E8A-9E5E-BAEC2AE9FFAB}">
      <text>
        <r>
          <rPr>
            <sz val="9"/>
            <color indexed="81"/>
            <rFont val="Tahoma"/>
            <family val="2"/>
          </rPr>
          <t>Large spiral with asymmetric disk, core offset to north</t>
        </r>
      </text>
    </comment>
    <comment ref="A1573" authorId="0" shapeId="0" xr:uid="{BED6AA64-6ED3-469F-8993-240713ABED38}">
      <text>
        <r>
          <rPr>
            <sz val="9"/>
            <color indexed="81"/>
            <rFont val="Tahoma"/>
            <family val="2"/>
          </rPr>
          <t xml:space="preserve">
</t>
        </r>
      </text>
    </comment>
    <comment ref="K1573" authorId="0" shapeId="0" xr:uid="{717C5082-826F-4AAB-9074-8183508FB75E}">
      <text>
        <r>
          <rPr>
            <sz val="9"/>
            <color indexed="81"/>
            <rFont val="Tahoma"/>
            <family val="2"/>
          </rPr>
          <t>Barred flocculent with star clouds and HII regions</t>
        </r>
      </text>
    </comment>
    <comment ref="A1574" authorId="0" shapeId="0" xr:uid="{3A75D6BA-1AE3-436B-9A33-7B0724847D5A}">
      <text>
        <r>
          <rPr>
            <sz val="9"/>
            <color indexed="81"/>
            <rFont val="Tahoma"/>
            <family val="2"/>
          </rPr>
          <t xml:space="preserve">
</t>
        </r>
      </text>
    </comment>
    <comment ref="K1574" authorId="0" shapeId="0" xr:uid="{4663019A-6E9E-4B32-908E-B6DE9AEE8BF9}">
      <text>
        <r>
          <rPr>
            <sz val="9"/>
            <color indexed="81"/>
            <rFont val="Tahoma"/>
            <family val="2"/>
          </rPr>
          <t>Barred grand design spiral with arms extending out for 360 degrees</t>
        </r>
      </text>
    </comment>
    <comment ref="A1575" authorId="0" shapeId="0" xr:uid="{28C4DEA4-6D19-474C-814F-3F5A0A0E49CA}">
      <text>
        <r>
          <rPr>
            <sz val="9"/>
            <color indexed="81"/>
            <rFont val="Tahoma"/>
            <family val="2"/>
          </rPr>
          <t xml:space="preserve">
</t>
        </r>
      </text>
    </comment>
    <comment ref="K1575" authorId="0" shapeId="0" xr:uid="{7D6FCF0E-3F3B-4C86-9675-D9094D40E180}">
      <text>
        <r>
          <rPr>
            <sz val="9"/>
            <color indexed="81"/>
            <rFont val="Tahoma"/>
            <family val="2"/>
          </rPr>
          <t>Beautiful barred grand design spiral with nuclear ring and companion.</t>
        </r>
      </text>
    </comment>
    <comment ref="A1576" authorId="0" shapeId="0" xr:uid="{CF8C4C40-DD4C-42AF-9399-D4809432284A}">
      <text>
        <r>
          <rPr>
            <sz val="9"/>
            <color indexed="81"/>
            <rFont val="Tahoma"/>
            <family val="2"/>
          </rPr>
          <t xml:space="preserve">
</t>
        </r>
      </text>
    </comment>
    <comment ref="K1576" authorId="0" shapeId="0" xr:uid="{C728564A-205A-4DD5-89D2-E64BE88759F2}">
      <text>
        <r>
          <rPr>
            <sz val="9"/>
            <color indexed="81"/>
            <rFont val="Tahoma"/>
            <family val="2"/>
          </rPr>
          <t>Edge-on small blue spiral with no dark dust bands</t>
        </r>
      </text>
    </comment>
    <comment ref="A1577" authorId="0" shapeId="0" xr:uid="{78E12D85-3048-4BAD-B279-0BF545E8EA70}">
      <text>
        <r>
          <rPr>
            <sz val="9"/>
            <color indexed="81"/>
            <rFont val="Tahoma"/>
            <family val="2"/>
          </rPr>
          <t xml:space="preserve">
</t>
        </r>
      </text>
    </comment>
    <comment ref="K1577" authorId="0" shapeId="0" xr:uid="{AB886C55-9B29-4AF1-9287-0743030EDEE8}">
      <text>
        <r>
          <rPr>
            <sz val="9"/>
            <color indexed="81"/>
            <rFont val="Tahoma"/>
            <family val="2"/>
          </rPr>
          <t>Massive E3 elliptical with numerous smaller galaxies around it</t>
        </r>
      </text>
    </comment>
    <comment ref="A1578" authorId="0" shapeId="0" xr:uid="{66FC6083-476D-4A56-A4E7-F538F408CEF6}">
      <text>
        <r>
          <rPr>
            <sz val="9"/>
            <color indexed="81"/>
            <rFont val="Tahoma"/>
            <family val="2"/>
          </rPr>
          <t xml:space="preserve">
</t>
        </r>
      </text>
    </comment>
    <comment ref="K1578" authorId="0" shapeId="0" xr:uid="{D3C1926A-6C9B-4EC5-8908-222D00E7C7F0}">
      <text>
        <r>
          <rPr>
            <sz val="9"/>
            <color indexed="81"/>
            <rFont val="Tahoma"/>
            <family val="2"/>
          </rPr>
          <t>Irregular starburst dwarf galaxy, numerous HII regions</t>
        </r>
      </text>
    </comment>
    <comment ref="A1579" authorId="0" shapeId="0" xr:uid="{D51BAFAA-715F-4652-96FD-D0708DA7CFDA}">
      <text>
        <r>
          <rPr>
            <sz val="9"/>
            <color indexed="81"/>
            <rFont val="Tahoma"/>
            <family val="2"/>
          </rPr>
          <t xml:space="preserve">
</t>
        </r>
      </text>
    </comment>
    <comment ref="K1579" authorId="0" shapeId="0" xr:uid="{71511083-33AF-4C8C-8AC8-CFB0C7F64086}">
      <text>
        <r>
          <rPr>
            <sz val="9"/>
            <color indexed="81"/>
            <rFont val="Tahoma"/>
            <family val="2"/>
          </rPr>
          <t>Pair of small galaxies connected by faint star stream bridge</t>
        </r>
      </text>
    </comment>
    <comment ref="A1580" authorId="0" shapeId="0" xr:uid="{A87CFC3E-BD4B-448B-ACF0-9DE515DDA9A0}">
      <text>
        <r>
          <rPr>
            <sz val="9"/>
            <color indexed="81"/>
            <rFont val="Tahoma"/>
            <family val="2"/>
          </rPr>
          <t xml:space="preserve">
</t>
        </r>
      </text>
    </comment>
    <comment ref="K1580" authorId="0" shapeId="0" xr:uid="{53C802B0-B83C-40AA-B4DC-11D9236DB232}">
      <text>
        <r>
          <rPr>
            <sz val="9"/>
            <color indexed="81"/>
            <rFont val="Tahoma"/>
            <family val="2"/>
          </rPr>
          <t>Small Magellanic galaxy</t>
        </r>
      </text>
    </comment>
    <comment ref="A1581" authorId="0" shapeId="0" xr:uid="{6A79B0B6-179E-4C61-A8BD-E94D2FCF68C5}">
      <text>
        <r>
          <rPr>
            <sz val="9"/>
            <color indexed="81"/>
            <rFont val="Tahoma"/>
            <family val="2"/>
          </rPr>
          <t xml:space="preserve">
</t>
        </r>
      </text>
    </comment>
    <comment ref="K1581" authorId="0" shapeId="0" xr:uid="{0DB416E3-B18F-47C7-8C0A-D6E24697EDBB}">
      <text>
        <r>
          <rPr>
            <sz val="9"/>
            <color indexed="81"/>
            <rFont val="Tahoma"/>
            <family val="2"/>
          </rPr>
          <t>Yellow core, Faint spiral structure visible</t>
        </r>
      </text>
    </comment>
    <comment ref="A1582" authorId="0" shapeId="0" xr:uid="{CEE6B1FC-138B-4A07-A10D-B631BD3E750E}">
      <text>
        <r>
          <rPr>
            <sz val="9"/>
            <color indexed="81"/>
            <rFont val="Tahoma"/>
            <family val="2"/>
          </rPr>
          <t xml:space="preserve">
</t>
        </r>
      </text>
    </comment>
    <comment ref="K1582" authorId="0" shapeId="0" xr:uid="{BFA35A02-8C62-46F6-86A4-A58B9C67B7A7}">
      <text>
        <r>
          <rPr>
            <sz val="9"/>
            <color indexed="81"/>
            <rFont val="Tahoma"/>
            <family val="2"/>
          </rPr>
          <t>Lenticular galaxy with interesting inner ring dust band</t>
        </r>
      </text>
    </comment>
    <comment ref="A1583" authorId="0" shapeId="0" xr:uid="{F743AE3A-1497-4A40-831D-ACEA5B399074}">
      <text>
        <r>
          <rPr>
            <sz val="9"/>
            <color indexed="81"/>
            <rFont val="Tahoma"/>
            <family val="2"/>
          </rPr>
          <t xml:space="preserve">
</t>
        </r>
      </text>
    </comment>
    <comment ref="K1583" authorId="0" shapeId="0" xr:uid="{6776D6BA-A57C-43AC-8CAD-5A9AD99341FE}">
      <text>
        <r>
          <rPr>
            <sz val="9"/>
            <color indexed="81"/>
            <rFont val="Tahoma"/>
            <family val="2"/>
          </rPr>
          <t>Barred ring spiral</t>
        </r>
      </text>
    </comment>
    <comment ref="A1584" authorId="0" shapeId="0" xr:uid="{5F650F47-7D01-4CCC-992E-B6CE79473477}">
      <text>
        <r>
          <rPr>
            <sz val="9"/>
            <color indexed="81"/>
            <rFont val="Tahoma"/>
            <family val="2"/>
          </rPr>
          <t xml:space="preserve">
</t>
        </r>
      </text>
    </comment>
    <comment ref="K1584" authorId="0" shapeId="0" xr:uid="{53F193ED-3D5D-4AA5-B335-339A1E1A5D4C}">
      <text>
        <r>
          <rPr>
            <sz val="9"/>
            <color indexed="81"/>
            <rFont val="Tahoma"/>
            <family val="2"/>
          </rPr>
          <t>LSB spiral, almost face-on, with a disturbed disk structure and VV rows</t>
        </r>
      </text>
    </comment>
    <comment ref="A1585" authorId="0" shapeId="0" xr:uid="{F19A41A6-2D14-4A77-8378-90D99192D2A7}">
      <text>
        <r>
          <rPr>
            <sz val="9"/>
            <color indexed="81"/>
            <rFont val="Tahoma"/>
            <family val="2"/>
          </rPr>
          <t xml:space="preserve">
</t>
        </r>
      </text>
    </comment>
    <comment ref="K1585" authorId="0" shapeId="0" xr:uid="{3119ACFA-9ED5-436F-BCE0-D0D34E4869D6}">
      <text>
        <r>
          <rPr>
            <sz val="9"/>
            <color indexed="81"/>
            <rFont val="Tahoma"/>
            <family val="2"/>
          </rPr>
          <t>Barred spiral with fascinating asymmetric inner ring</t>
        </r>
      </text>
    </comment>
    <comment ref="A1586" authorId="0" shapeId="0" xr:uid="{2A18E989-EC0D-4253-871C-6285B84DB435}">
      <text>
        <r>
          <rPr>
            <sz val="9"/>
            <color indexed="81"/>
            <rFont val="Tahoma"/>
            <family val="2"/>
          </rPr>
          <t xml:space="preserve">
</t>
        </r>
      </text>
    </comment>
    <comment ref="K1586" authorId="0" shapeId="0" xr:uid="{2E6C6951-D7C9-4725-A62E-C5528479EFE2}">
      <text>
        <r>
          <rPr>
            <sz val="9"/>
            <color indexed="81"/>
            <rFont val="Tahoma"/>
            <family val="2"/>
          </rPr>
          <t>Colorful grand design spiral with disturbance and a companion</t>
        </r>
      </text>
    </comment>
    <comment ref="A1587" authorId="0" shapeId="0" xr:uid="{37DB4191-61BC-487C-9174-567DDF15C2CA}">
      <text>
        <r>
          <rPr>
            <sz val="9"/>
            <color indexed="81"/>
            <rFont val="Tahoma"/>
            <family val="2"/>
          </rPr>
          <t xml:space="preserve">
</t>
        </r>
      </text>
    </comment>
    <comment ref="K1587" authorId="0" shapeId="0" xr:uid="{094E0F4B-E785-483A-B042-9E1347801FD8}">
      <text>
        <r>
          <rPr>
            <sz val="9"/>
            <color indexed="81"/>
            <rFont val="Tahoma"/>
            <family val="2"/>
          </rPr>
          <t>Massive lenticular, almost edge-on, with dark dust lane, some background galaxies</t>
        </r>
      </text>
    </comment>
    <comment ref="A1588" authorId="0" shapeId="0" xr:uid="{8F930C74-C2B6-4322-B107-93F1EACA9246}">
      <text>
        <r>
          <rPr>
            <sz val="9"/>
            <color indexed="81"/>
            <rFont val="Tahoma"/>
            <family val="2"/>
          </rPr>
          <t xml:space="preserve">
</t>
        </r>
      </text>
    </comment>
    <comment ref="K1588" authorId="0" shapeId="0" xr:uid="{D8CBDF48-E428-4CE4-90FE-6141859D78A9}">
      <text>
        <r>
          <rPr>
            <sz val="9"/>
            <color indexed="81"/>
            <rFont val="Tahoma"/>
            <family val="2"/>
          </rPr>
          <t>Large near face-on lenticular with other galaxies</t>
        </r>
      </text>
    </comment>
    <comment ref="A1589" authorId="0" shapeId="0" xr:uid="{EE43E199-5F11-44C3-B9C9-46DD1863879C}">
      <text>
        <r>
          <rPr>
            <sz val="9"/>
            <color indexed="81"/>
            <rFont val="Tahoma"/>
            <family val="2"/>
          </rPr>
          <t xml:space="preserve">
</t>
        </r>
      </text>
    </comment>
    <comment ref="K1589" authorId="0" shapeId="0" xr:uid="{3623298D-122C-4191-968B-003836370476}">
      <text>
        <r>
          <rPr>
            <sz val="9"/>
            <color indexed="81"/>
            <rFont val="Tahoma"/>
            <family val="2"/>
          </rPr>
          <t>Lenticular in Eridanus</t>
        </r>
      </text>
    </comment>
    <comment ref="A1590" authorId="0" shapeId="0" xr:uid="{978EB4C9-DD3F-4B1B-BC7F-12FE870CF6DA}">
      <text>
        <r>
          <rPr>
            <sz val="9"/>
            <color indexed="81"/>
            <rFont val="Tahoma"/>
            <family val="2"/>
          </rPr>
          <t xml:space="preserve">
</t>
        </r>
      </text>
    </comment>
    <comment ref="K1590" authorId="0" shapeId="0" xr:uid="{5078A7BA-BA02-4137-A157-D5D03EEE6E1D}">
      <text>
        <r>
          <rPr>
            <sz val="9"/>
            <color indexed="81"/>
            <rFont val="Tahoma"/>
            <family val="2"/>
          </rPr>
          <t>Disturbed grand design spiral.  White foreground star superimposed over core</t>
        </r>
      </text>
    </comment>
    <comment ref="A1591" authorId="0" shapeId="0" xr:uid="{AD6A5595-1024-4EF1-9A3A-127C08D04E3D}">
      <text>
        <r>
          <rPr>
            <sz val="9"/>
            <color indexed="81"/>
            <rFont val="Tahoma"/>
            <family val="2"/>
          </rPr>
          <t xml:space="preserve">
</t>
        </r>
      </text>
    </comment>
    <comment ref="K1591" authorId="0" shapeId="0" xr:uid="{AF282296-A6DC-492F-A972-4055F477D639}">
      <text>
        <r>
          <rPr>
            <sz val="9"/>
            <color indexed="81"/>
            <rFont val="Tahoma"/>
            <family val="2"/>
          </rPr>
          <t>Barred lenticular shell galaxy, likely merger remnants</t>
        </r>
      </text>
    </comment>
    <comment ref="A1592" authorId="0" shapeId="0" xr:uid="{A7234F2E-D6B1-459E-A4CC-000C50C0D4FC}">
      <text>
        <r>
          <rPr>
            <sz val="9"/>
            <color indexed="81"/>
            <rFont val="Tahoma"/>
            <family val="2"/>
          </rPr>
          <t xml:space="preserve">
</t>
        </r>
      </text>
    </comment>
    <comment ref="K1592" authorId="0" shapeId="0" xr:uid="{EB37C92E-658C-4A61-95D7-A87D6E86ADEB}">
      <text>
        <r>
          <rPr>
            <sz val="9"/>
            <color indexed="81"/>
            <rFont val="Tahoma"/>
            <family val="2"/>
          </rPr>
          <t>Faint near face-on barred spiral with barlens core and faint outer pseudoring</t>
        </r>
      </text>
    </comment>
    <comment ref="A1593" authorId="0" shapeId="0" xr:uid="{C7A7E60C-D356-436F-9FC6-EE6B7536167B}">
      <text>
        <r>
          <rPr>
            <sz val="9"/>
            <color indexed="81"/>
            <rFont val="Tahoma"/>
            <family val="2"/>
          </rPr>
          <t xml:space="preserve">
</t>
        </r>
      </text>
    </comment>
    <comment ref="K1593" authorId="0" shapeId="0" xr:uid="{DAA9A098-47B1-48EA-971B-FD0568831A3B}">
      <text>
        <r>
          <rPr>
            <sz val="9"/>
            <color indexed="81"/>
            <rFont val="Tahoma"/>
            <family val="2"/>
          </rPr>
          <t>Colorful small group of stars</t>
        </r>
      </text>
    </comment>
    <comment ref="A1594" authorId="0" shapeId="0" xr:uid="{C3A7B9BC-363A-44A3-A759-FBDF5766B4A1}">
      <text>
        <r>
          <rPr>
            <sz val="9"/>
            <color indexed="81"/>
            <rFont val="Tahoma"/>
            <family val="2"/>
          </rPr>
          <t xml:space="preserve">
</t>
        </r>
      </text>
    </comment>
    <comment ref="K1594" authorId="0" shapeId="0" xr:uid="{46E75E9A-033E-4B8E-AE85-9E0FF4761902}">
      <text>
        <r>
          <rPr>
            <sz val="9"/>
            <color indexed="81"/>
            <rFont val="Tahoma"/>
            <family val="2"/>
          </rPr>
          <t>3 arms spiral out of barred core.  Distinct arms and star clouds.</t>
        </r>
      </text>
    </comment>
    <comment ref="A1595" authorId="0" shapeId="0" xr:uid="{C84C19AA-3DC4-4012-8A6F-E5D3806E9ECC}">
      <text>
        <r>
          <rPr>
            <sz val="9"/>
            <color indexed="81"/>
            <rFont val="Tahoma"/>
            <family val="2"/>
          </rPr>
          <t xml:space="preserve">
</t>
        </r>
      </text>
    </comment>
    <comment ref="K1595" authorId="0" shapeId="0" xr:uid="{C0CADF53-0407-4DD3-86B0-030196BDC703}">
      <text>
        <r>
          <rPr>
            <sz val="9"/>
            <color indexed="81"/>
            <rFont val="Tahoma"/>
            <family val="2"/>
          </rPr>
          <t>Arrowhead open cluster shape</t>
        </r>
      </text>
    </comment>
    <comment ref="A1596" authorId="0" shapeId="0" xr:uid="{2EA28872-FFFD-49D4-BC42-1D25EED1408D}">
      <text>
        <r>
          <rPr>
            <sz val="9"/>
            <color indexed="81"/>
            <rFont val="Tahoma"/>
            <family val="2"/>
          </rPr>
          <t xml:space="preserve">
</t>
        </r>
      </text>
    </comment>
    <comment ref="K1596" authorId="0" shapeId="0" xr:uid="{1B97CC8E-6330-4D1D-9968-2D8148BAC89E}">
      <text>
        <r>
          <rPr>
            <sz val="9"/>
            <color indexed="81"/>
            <rFont val="Tahoma"/>
            <family val="2"/>
          </rPr>
          <t>Concentrated globular in Horologium</t>
        </r>
      </text>
    </comment>
    <comment ref="A1597" authorId="0" shapeId="0" xr:uid="{05E149AC-C3B8-4C97-AC05-FB66233B507B}">
      <text>
        <r>
          <rPr>
            <sz val="9"/>
            <color indexed="81"/>
            <rFont val="Tahoma"/>
            <family val="2"/>
          </rPr>
          <t xml:space="preserve">
</t>
        </r>
      </text>
    </comment>
    <comment ref="K1597" authorId="0" shapeId="0" xr:uid="{4EC068F0-8AC1-4D1E-AA3E-CB58DFC50526}">
      <text>
        <r>
          <rPr>
            <sz val="9"/>
            <color indexed="81"/>
            <rFont val="Tahoma"/>
            <family val="2"/>
          </rPr>
          <t>Face-on double barred double ringed spiral</t>
        </r>
      </text>
    </comment>
    <comment ref="A1598" authorId="0" shapeId="0" xr:uid="{59BD58B7-0628-4B6C-9B70-324E8A8228ED}">
      <text>
        <r>
          <rPr>
            <sz val="9"/>
            <color indexed="81"/>
            <rFont val="Tahoma"/>
            <family val="2"/>
          </rPr>
          <t xml:space="preserve">
</t>
        </r>
      </text>
    </comment>
    <comment ref="K1598" authorId="0" shapeId="0" xr:uid="{5F2F024B-DCFB-4471-8535-5278CE2A7FC3}">
      <text>
        <r>
          <rPr>
            <sz val="9"/>
            <color indexed="81"/>
            <rFont val="Tahoma"/>
            <family val="2"/>
          </rPr>
          <t>Barred grand design spiral with tiny ring around core, long bar, nice color, bright star clouds and curving arms</t>
        </r>
      </text>
    </comment>
    <comment ref="A1599" authorId="0" shapeId="0" xr:uid="{4A61982D-EBB5-415F-B472-003F056BECC5}">
      <text>
        <r>
          <rPr>
            <sz val="9"/>
            <color indexed="81"/>
            <rFont val="Tahoma"/>
            <family val="2"/>
          </rPr>
          <t xml:space="preserve">
</t>
        </r>
      </text>
    </comment>
    <comment ref="K1599" authorId="0" shapeId="0" xr:uid="{F6E7E062-CE55-430A-992E-EEC679BB83DC}">
      <text>
        <r>
          <rPr>
            <sz val="9"/>
            <color indexed="81"/>
            <rFont val="Tahoma"/>
            <family val="2"/>
          </rPr>
          <t>Small barred spiral looking like a Magellanic galaxy</t>
        </r>
      </text>
    </comment>
    <comment ref="A1600" authorId="0" shapeId="0" xr:uid="{5CCFF795-B8E0-4854-80D4-47C902DBE852}">
      <text>
        <r>
          <rPr>
            <sz val="9"/>
            <color indexed="81"/>
            <rFont val="Tahoma"/>
            <family val="2"/>
          </rPr>
          <t xml:space="preserve">
</t>
        </r>
      </text>
    </comment>
    <comment ref="K1600" authorId="0" shapeId="0" xr:uid="{295AAB18-805B-46BA-94C0-A1C3BF92E631}">
      <text>
        <r>
          <rPr>
            <sz val="9"/>
            <color indexed="81"/>
            <rFont val="Tahoma"/>
            <family val="2"/>
          </rPr>
          <t>Lenticular galaxy with large brown dust lanes snaking through inner disk, adjacent to NGC 1317</t>
        </r>
      </text>
    </comment>
    <comment ref="A1601" authorId="0" shapeId="0" xr:uid="{AB03EF19-66A5-4B1F-A4A2-59AEF18BC759}">
      <text>
        <r>
          <rPr>
            <sz val="9"/>
            <color indexed="81"/>
            <rFont val="Tahoma"/>
            <family val="2"/>
          </rPr>
          <t xml:space="preserve">
</t>
        </r>
      </text>
    </comment>
    <comment ref="K1601" authorId="0" shapeId="0" xr:uid="{74104FB7-2A62-4EE0-A119-270EBF0DFE98}">
      <text>
        <r>
          <rPr>
            <sz val="9"/>
            <color indexed="81"/>
            <rFont val="Tahoma"/>
            <family val="2"/>
          </rPr>
          <t>Bright core surrounded by yellow lens, flocculated disk</t>
        </r>
      </text>
    </comment>
    <comment ref="A1602" authorId="0" shapeId="0" xr:uid="{28C54181-E832-41B9-8327-05DCDC0539D4}">
      <text>
        <r>
          <rPr>
            <sz val="9"/>
            <color indexed="81"/>
            <rFont val="Tahoma"/>
            <family val="2"/>
          </rPr>
          <t xml:space="preserve">
</t>
        </r>
      </text>
    </comment>
    <comment ref="K1602" authorId="0" shapeId="0" xr:uid="{7E308EF2-59CE-43F7-A192-14165557FA54}">
      <text>
        <r>
          <rPr>
            <sz val="9"/>
            <color indexed="81"/>
            <rFont val="Tahoma"/>
            <family val="2"/>
          </rPr>
          <t>Lenticular quadruple ring galaxy</t>
        </r>
      </text>
    </comment>
    <comment ref="A1603" authorId="0" shapeId="0" xr:uid="{4557D621-BCE5-490C-8FD8-29AE3DB95901}">
      <text>
        <r>
          <rPr>
            <sz val="9"/>
            <color indexed="81"/>
            <rFont val="Tahoma"/>
            <family val="2"/>
          </rPr>
          <t xml:space="preserve">
</t>
        </r>
      </text>
    </comment>
    <comment ref="K1603" authorId="0" shapeId="0" xr:uid="{0D066259-7434-4460-AD3A-84F2A2C04E31}">
      <text>
        <r>
          <rPr>
            <sz val="9"/>
            <color indexed="81"/>
            <rFont val="Tahoma"/>
            <family val="2"/>
          </rPr>
          <t>Blue reflection nebula at north end of NGC 1333, which is a showcase molecular cloud with many HH objects</t>
        </r>
      </text>
    </comment>
    <comment ref="A1604" authorId="0" shapeId="0" xr:uid="{30C05135-7755-474E-80DF-B4C8867036FF}">
      <text>
        <r>
          <rPr>
            <sz val="9"/>
            <color indexed="81"/>
            <rFont val="Tahoma"/>
            <family val="2"/>
          </rPr>
          <t xml:space="preserve">
</t>
        </r>
      </text>
    </comment>
    <comment ref="K1604" authorId="0" shapeId="0" xr:uid="{05E62B10-F0CA-4508-BC55-EE0E0E4C7978}">
      <text>
        <r>
          <rPr>
            <sz val="9"/>
            <color indexed="81"/>
            <rFont val="Tahoma"/>
            <family val="2"/>
          </rPr>
          <t>Edge-on view of odd wedge-shaped barred spiral</t>
        </r>
      </text>
    </comment>
    <comment ref="A1605" authorId="0" shapeId="0" xr:uid="{8458AE26-63DB-46B1-AEF1-6D8DD55001D3}">
      <text>
        <r>
          <rPr>
            <sz val="9"/>
            <color indexed="81"/>
            <rFont val="Tahoma"/>
            <family val="2"/>
          </rPr>
          <t xml:space="preserve">
</t>
        </r>
      </text>
    </comment>
    <comment ref="K1605" authorId="0" shapeId="0" xr:uid="{B06F4E84-1713-4732-B8E1-4051560B7849}">
      <text>
        <r>
          <rPr>
            <sz val="9"/>
            <color indexed="81"/>
            <rFont val="Tahoma"/>
            <family val="2"/>
          </rPr>
          <t>Edge-on spiral with distinct arm structure and VV rows</t>
        </r>
      </text>
    </comment>
    <comment ref="A1606" authorId="0" shapeId="0" xr:uid="{34EFF769-BDD6-4383-9360-EB140BA72EE6}">
      <text>
        <r>
          <rPr>
            <sz val="9"/>
            <color indexed="81"/>
            <rFont val="Tahoma"/>
            <family val="2"/>
          </rPr>
          <t xml:space="preserve">
</t>
        </r>
      </text>
    </comment>
    <comment ref="K1606" authorId="0" shapeId="0" xr:uid="{1921FFE9-5FE6-47B3-AE69-89768D586235}">
      <text>
        <r>
          <rPr>
            <sz val="9"/>
            <color indexed="81"/>
            <rFont val="Tahoma"/>
            <family val="2"/>
          </rPr>
          <t>Standard elliptical (E5) galaxy</t>
        </r>
      </text>
    </comment>
    <comment ref="A1607" authorId="0" shapeId="0" xr:uid="{9BAB83E0-9810-4425-B01A-7BCD8BF1F263}">
      <text>
        <r>
          <rPr>
            <sz val="9"/>
            <color indexed="81"/>
            <rFont val="Tahoma"/>
            <family val="2"/>
          </rPr>
          <t xml:space="preserve">
</t>
        </r>
      </text>
    </comment>
    <comment ref="K1607" authorId="0" shapeId="0" xr:uid="{57CDE23F-2130-4C57-8528-CD1B5E72F4EF}">
      <text>
        <r>
          <rPr>
            <sz val="9"/>
            <color indexed="81"/>
            <rFont val="Tahoma"/>
            <family val="2"/>
          </rPr>
          <t>Good color and size distribution, distinct from background</t>
        </r>
      </text>
    </comment>
    <comment ref="A1608" authorId="0" shapeId="0" xr:uid="{63DFA6F8-298D-4F87-83E8-FF757109BE14}">
      <text>
        <r>
          <rPr>
            <sz val="9"/>
            <color indexed="81"/>
            <rFont val="Tahoma"/>
            <family val="2"/>
          </rPr>
          <t xml:space="preserve">
</t>
        </r>
      </text>
    </comment>
    <comment ref="K1608" authorId="0" shapeId="0" xr:uid="{3E869325-A5CE-4ABF-81B2-5C47F23D9DB8}">
      <text>
        <r>
          <rPr>
            <sz val="9"/>
            <color indexed="81"/>
            <rFont val="Tahoma"/>
            <family val="2"/>
          </rPr>
          <t>Amazing spiral with nuclear ring, strong graceful arms and diffuse outer disk</t>
        </r>
      </text>
    </comment>
    <comment ref="A1609" authorId="0" shapeId="0" xr:uid="{A3CFD95C-ED94-4D05-97E7-02C33E154758}">
      <text>
        <r>
          <rPr>
            <sz val="9"/>
            <color indexed="81"/>
            <rFont val="Tahoma"/>
            <family val="2"/>
          </rPr>
          <t xml:space="preserve">
</t>
        </r>
      </text>
    </comment>
    <comment ref="K1609" authorId="0" shapeId="0" xr:uid="{0A3DEE39-8CF7-49DA-8E6E-61D6D99834EF}">
      <text>
        <r>
          <rPr>
            <sz val="9"/>
            <color indexed="81"/>
            <rFont val="Tahoma"/>
            <family val="2"/>
          </rPr>
          <t>Mildly interesting distant pair</t>
        </r>
      </text>
    </comment>
    <comment ref="A1610" authorId="0" shapeId="0" xr:uid="{CF554794-C0C1-4499-A0A3-10DD404ABB05}">
      <text>
        <r>
          <rPr>
            <sz val="9"/>
            <color indexed="81"/>
            <rFont val="Tahoma"/>
            <family val="2"/>
          </rPr>
          <t xml:space="preserve">
</t>
        </r>
      </text>
    </comment>
    <comment ref="K1610" authorId="0" shapeId="0" xr:uid="{B0BA9BB4-6812-4E85-8215-6ED101D27DD9}">
      <text>
        <r>
          <rPr>
            <sz val="9"/>
            <color indexed="81"/>
            <rFont val="Tahoma"/>
            <family val="2"/>
          </rPr>
          <t>Graceful barred grand design spiral with showy arms and a star formation inner ring</t>
        </r>
      </text>
    </comment>
    <comment ref="A1611" authorId="0" shapeId="0" xr:uid="{3813461E-9DB6-453C-A869-E34B6EC60C3A}">
      <text>
        <r>
          <rPr>
            <sz val="9"/>
            <color indexed="81"/>
            <rFont val="Tahoma"/>
            <family val="2"/>
          </rPr>
          <t xml:space="preserve">
</t>
        </r>
      </text>
    </comment>
    <comment ref="K1611" authorId="0" shapeId="0" xr:uid="{DAA58BBD-F1C9-4D7B-B1B2-8E5FC90B4718}">
      <text>
        <r>
          <rPr>
            <sz val="9"/>
            <color indexed="81"/>
            <rFont val="Tahoma"/>
            <family val="2"/>
          </rPr>
          <t>Grand design spiral with flocculent components</t>
        </r>
      </text>
    </comment>
    <comment ref="A1612" authorId="0" shapeId="0" xr:uid="{A0DD281B-0CDF-4E31-B453-560BE470C254}">
      <text>
        <r>
          <rPr>
            <sz val="9"/>
            <color indexed="81"/>
            <rFont val="Tahoma"/>
            <family val="2"/>
          </rPr>
          <t xml:space="preserve">
</t>
        </r>
      </text>
    </comment>
    <comment ref="K1612" authorId="0" shapeId="0" xr:uid="{B1BA5A4D-5EAD-4997-B63C-DF41D5669083}">
      <text>
        <r>
          <rPr>
            <sz val="9"/>
            <color indexed="81"/>
            <rFont val="Tahoma"/>
            <family val="2"/>
          </rPr>
          <t>Edge-on lenticular with warp disk and peanut-shaped (X-shaped) core, Paired with NGC 1358</t>
        </r>
      </text>
    </comment>
    <comment ref="A1613" authorId="0" shapeId="0" xr:uid="{048D4DCF-A20F-4074-8A27-2DFFC6E63B2C}">
      <text>
        <r>
          <rPr>
            <sz val="9"/>
            <color indexed="81"/>
            <rFont val="Tahoma"/>
            <family val="2"/>
          </rPr>
          <t xml:space="preserve">
</t>
        </r>
      </text>
    </comment>
    <comment ref="K1613" authorId="0" shapeId="0" xr:uid="{E1CCE7B8-2EA4-451D-831B-A8113E51B507}">
      <text>
        <r>
          <rPr>
            <sz val="9"/>
            <color indexed="81"/>
            <rFont val="Tahoma"/>
            <family val="2"/>
          </rPr>
          <t>Near face-on grand design spiral with distinct dark lanes and bright blue star clouds</t>
        </r>
      </text>
    </comment>
    <comment ref="A1614" authorId="0" shapeId="0" xr:uid="{EA2C1959-9CF9-475C-A452-38ACAE81A830}">
      <text>
        <r>
          <rPr>
            <sz val="9"/>
            <color indexed="81"/>
            <rFont val="Tahoma"/>
            <family val="2"/>
          </rPr>
          <t xml:space="preserve">
</t>
        </r>
      </text>
    </comment>
    <comment ref="K1614" authorId="0" shapeId="0" xr:uid="{39F83892-9250-44ED-AC99-CA3524F104AD}">
      <text>
        <r>
          <rPr>
            <sz val="9"/>
            <color indexed="81"/>
            <rFont val="Tahoma"/>
            <family val="2"/>
          </rPr>
          <t>Asymmetric lenticular disk with bright rim portions, Nice pairing with NGC 1355</t>
        </r>
      </text>
    </comment>
    <comment ref="A1615" authorId="0" shapeId="0" xr:uid="{2A4C02C4-BB04-4ED2-8D10-05C45A2AE796}">
      <text>
        <r>
          <rPr>
            <sz val="9"/>
            <color indexed="81"/>
            <rFont val="Tahoma"/>
            <family val="2"/>
          </rPr>
          <t xml:space="preserve">
</t>
        </r>
      </text>
    </comment>
    <comment ref="K1615" authorId="0" shapeId="0" xr:uid="{89B0D2E3-3CD9-41D5-A5BD-7B4673AECE48}">
      <text>
        <r>
          <rPr>
            <sz val="9"/>
            <color indexed="81"/>
            <rFont val="Tahoma"/>
            <family val="2"/>
          </rPr>
          <t>Classic Magellanic galaxy with white bar, small size, single arm, and blue star clouds</t>
        </r>
      </text>
    </comment>
    <comment ref="A1616" authorId="0" shapeId="0" xr:uid="{B3F3D355-6314-46F3-B948-A6708EEA93DF}">
      <text>
        <r>
          <rPr>
            <sz val="9"/>
            <color indexed="81"/>
            <rFont val="Tahoma"/>
            <family val="2"/>
          </rPr>
          <t xml:space="preserve">
</t>
        </r>
      </text>
    </comment>
    <comment ref="K1616" authorId="0" shapeId="0" xr:uid="{55223862-748A-4750-8E3E-40121E5F4555}">
      <text>
        <r>
          <rPr>
            <sz val="9"/>
            <color indexed="81"/>
            <rFont val="Tahoma"/>
            <family val="2"/>
          </rPr>
          <t>Beautifully delicate OIII PN with unique diffuse oblong appearance, small winding dust lanes and bright progenitor</t>
        </r>
      </text>
    </comment>
    <comment ref="A1617" authorId="0" shapeId="0" xr:uid="{8A899580-ECA7-4FBE-89B3-1D3955DEEFD3}">
      <text>
        <r>
          <rPr>
            <sz val="9"/>
            <color indexed="81"/>
            <rFont val="Tahoma"/>
            <family val="2"/>
          </rPr>
          <t xml:space="preserve">
</t>
        </r>
      </text>
    </comment>
    <comment ref="K1617" authorId="0" shapeId="0" xr:uid="{1D419E9D-E3ED-4077-AE25-F46749DBBFCD}">
      <text>
        <r>
          <rPr>
            <sz val="9"/>
            <color indexed="81"/>
            <rFont val="Tahoma"/>
            <family val="2"/>
          </rPr>
          <t>Large barred grand design spiral with nuclear core, dramatic dust lanes, bright star clouds and strong arms</t>
        </r>
      </text>
    </comment>
    <comment ref="A1618" authorId="0" shapeId="0" xr:uid="{3B6F1266-D304-4219-B70A-A7BE8E329CFF}">
      <text>
        <r>
          <rPr>
            <sz val="9"/>
            <color indexed="81"/>
            <rFont val="Tahoma"/>
            <family val="2"/>
          </rPr>
          <t xml:space="preserve">
</t>
        </r>
      </text>
    </comment>
    <comment ref="K1618" authorId="0" shapeId="0" xr:uid="{9C506C20-560A-4232-A0F7-BF5F8992615E}">
      <text>
        <r>
          <rPr>
            <sz val="9"/>
            <color indexed="81"/>
            <rFont val="Tahoma"/>
            <family val="2"/>
          </rPr>
          <t>Fascinating disk structure, with 3 concentric rings and arms that brightly spiral into the core</t>
        </r>
      </text>
    </comment>
    <comment ref="A1619" authorId="0" shapeId="0" xr:uid="{4B015184-39A0-4B91-AE14-D326B99B2C5F}">
      <text>
        <r>
          <rPr>
            <sz val="9"/>
            <color indexed="81"/>
            <rFont val="Tahoma"/>
            <family val="2"/>
          </rPr>
          <t xml:space="preserve">
</t>
        </r>
      </text>
    </comment>
    <comment ref="K1619" authorId="0" shapeId="0" xr:uid="{BAF9B48B-2C72-49AC-8C77-6D9D92502C56}">
      <text>
        <r>
          <rPr>
            <sz val="9"/>
            <color indexed="81"/>
            <rFont val="Tahoma"/>
            <family val="2"/>
          </rPr>
          <t>Face-on grand spiral with slightly disturbed disk</t>
        </r>
      </text>
    </comment>
    <comment ref="A1620" authorId="0" shapeId="0" xr:uid="{73EC8ACE-6EF2-43B9-8BF8-D977D2854933}">
      <text>
        <r>
          <rPr>
            <sz val="9"/>
            <color indexed="81"/>
            <rFont val="Tahoma"/>
            <family val="2"/>
          </rPr>
          <t xml:space="preserve">
</t>
        </r>
      </text>
    </comment>
    <comment ref="K1620" authorId="0" shapeId="0" xr:uid="{0419E524-0209-4216-843C-1CE1A7DFC5D0}">
      <text>
        <r>
          <rPr>
            <sz val="9"/>
            <color indexed="81"/>
            <rFont val="Tahoma"/>
            <family val="2"/>
          </rPr>
          <t>Inclined lenticular with some disk detail</t>
        </r>
      </text>
    </comment>
    <comment ref="A1621" authorId="0" shapeId="0" xr:uid="{DC9BFC28-6D70-448D-8F03-5CF12E4B8A8E}">
      <text>
        <r>
          <rPr>
            <sz val="9"/>
            <color indexed="81"/>
            <rFont val="Tahoma"/>
            <family val="2"/>
          </rPr>
          <t xml:space="preserve">
</t>
        </r>
      </text>
    </comment>
    <comment ref="K1621" authorId="0" shapeId="0" xr:uid="{08ADBB9F-DB04-4F43-9CCB-8880400DBFC9}">
      <text>
        <r>
          <rPr>
            <sz val="9"/>
            <color indexed="81"/>
            <rFont val="Tahoma"/>
            <family val="2"/>
          </rPr>
          <t>Double ring barlense spiral</t>
        </r>
      </text>
    </comment>
    <comment ref="A1622" authorId="0" shapeId="0" xr:uid="{61AC9EEA-16BA-4262-8F86-5904F71C99D7}">
      <text>
        <r>
          <rPr>
            <sz val="9"/>
            <color indexed="81"/>
            <rFont val="Tahoma"/>
            <family val="2"/>
          </rPr>
          <t xml:space="preserve">
</t>
        </r>
      </text>
    </comment>
    <comment ref="K1622" authorId="0" shapeId="0" xr:uid="{B64E9701-0858-44BF-85B5-D10CB28B82E1}">
      <text>
        <r>
          <rPr>
            <sz val="9"/>
            <color indexed="81"/>
            <rFont val="Tahoma"/>
            <family val="2"/>
          </rPr>
          <t>Barred spiral with bright core, barlense, inner ring, and diffuse outer disk</t>
        </r>
      </text>
    </comment>
    <comment ref="A1623" authorId="0" shapeId="0" xr:uid="{68E2E02A-9398-46A6-AB79-58530D6AF2AC}">
      <text>
        <r>
          <rPr>
            <sz val="9"/>
            <color indexed="81"/>
            <rFont val="Tahoma"/>
            <family val="2"/>
          </rPr>
          <t xml:space="preserve">
</t>
        </r>
      </text>
    </comment>
    <comment ref="K1623" authorId="0" shapeId="0" xr:uid="{97CC09AA-2730-45DB-B53A-9A255C6C42EC}">
      <text>
        <r>
          <rPr>
            <sz val="9"/>
            <color indexed="81"/>
            <rFont val="Tahoma"/>
            <family val="2"/>
          </rPr>
          <t>Elliptical, paired with NGC1404</t>
        </r>
      </text>
    </comment>
    <comment ref="A1624" authorId="0" shapeId="0" xr:uid="{E32F2E9A-2F99-4EA5-9E52-FD610A2522A3}">
      <text>
        <r>
          <rPr>
            <sz val="9"/>
            <color indexed="81"/>
            <rFont val="Tahoma"/>
            <family val="2"/>
          </rPr>
          <t xml:space="preserve">
</t>
        </r>
      </text>
    </comment>
    <comment ref="K1624" authorId="0" shapeId="0" xr:uid="{CF8DA90C-18AA-4ED2-85D2-D411F2E28D37}">
      <text>
        <r>
          <rPr>
            <sz val="9"/>
            <color indexed="81"/>
            <rFont val="Tahoma"/>
            <family val="2"/>
          </rPr>
          <t>Small lenticular, paired with NGC 1407</t>
        </r>
      </text>
    </comment>
    <comment ref="A1625" authorId="0" shapeId="0" xr:uid="{707C0414-0C2E-4553-A0B8-D57124B8DF77}">
      <text>
        <r>
          <rPr>
            <sz val="9"/>
            <color indexed="81"/>
            <rFont val="Tahoma"/>
            <family val="2"/>
          </rPr>
          <t xml:space="preserve">
</t>
        </r>
      </text>
    </comment>
    <comment ref="K1625" authorId="0" shapeId="0" xr:uid="{72B7C7B7-1DEA-408A-8D30-A3B761EB18E4}">
      <text>
        <r>
          <rPr>
            <sz val="9"/>
            <color indexed="81"/>
            <rFont val="Tahoma"/>
            <family val="2"/>
          </rPr>
          <t>Elliptical, paired with NGC1399</t>
        </r>
      </text>
    </comment>
    <comment ref="A1626" authorId="0" shapeId="0" xr:uid="{D6F5424E-1B4A-495A-B7BC-4CF72BC898CA}">
      <text>
        <r>
          <rPr>
            <sz val="9"/>
            <color indexed="81"/>
            <rFont val="Tahoma"/>
            <family val="2"/>
          </rPr>
          <t xml:space="preserve">
</t>
        </r>
      </text>
    </comment>
    <comment ref="K1626" authorId="0" shapeId="0" xr:uid="{5809B222-65D6-4F2A-A200-A44A42E69A68}">
      <text>
        <r>
          <rPr>
            <sz val="9"/>
            <color indexed="81"/>
            <rFont val="Tahoma"/>
            <family val="2"/>
          </rPr>
          <t>Large E1 elliptical, paired with NGC1400</t>
        </r>
      </text>
    </comment>
    <comment ref="A1627" authorId="0" shapeId="0" xr:uid="{157590F1-BC2F-4B06-BC63-50CF5DC3E5EA}">
      <text>
        <r>
          <rPr>
            <sz val="9"/>
            <color indexed="81"/>
            <rFont val="Tahoma"/>
            <family val="2"/>
          </rPr>
          <t xml:space="preserve">
</t>
        </r>
      </text>
    </comment>
    <comment ref="K1627" authorId="0" shapeId="0" xr:uid="{2F02BF87-B173-4613-8DA2-3695A9C00EB2}">
      <text>
        <r>
          <rPr>
            <sz val="9"/>
            <color indexed="81"/>
            <rFont val="Tahoma"/>
            <family val="2"/>
          </rPr>
          <t>Lenticular with dust lane that skirts the right side of the core and snakes out to outer disk</t>
        </r>
      </text>
    </comment>
    <comment ref="A1628" authorId="0" shapeId="0" xr:uid="{948CEABA-5347-41DD-B810-C3C81297D711}">
      <text>
        <r>
          <rPr>
            <sz val="9"/>
            <color indexed="81"/>
            <rFont val="Tahoma"/>
            <family val="2"/>
          </rPr>
          <t xml:space="preserve">
</t>
        </r>
      </text>
    </comment>
    <comment ref="K1628" authorId="0" shapeId="0" xr:uid="{B4A01E0F-8877-4877-AADE-CD794A0FE9C0}">
      <text>
        <r>
          <rPr>
            <sz val="9"/>
            <color indexed="81"/>
            <rFont val="Tahoma"/>
            <family val="2"/>
          </rPr>
          <t>Fragmented arm structure with numerous star clouds</t>
        </r>
      </text>
    </comment>
    <comment ref="A1629" authorId="0" shapeId="0" xr:uid="{E06DB606-F151-4E27-8F15-C166CCF63F59}">
      <text>
        <r>
          <rPr>
            <sz val="9"/>
            <color indexed="81"/>
            <rFont val="Tahoma"/>
            <family val="2"/>
          </rPr>
          <t xml:space="preserve">
</t>
        </r>
      </text>
    </comment>
    <comment ref="K1629" authorId="0" shapeId="0" xr:uid="{8BBCD6B4-0274-4994-B769-126A2DDD1EA0}">
      <text>
        <r>
          <rPr>
            <sz val="9"/>
            <color indexed="81"/>
            <rFont val="Tahoma"/>
            <family val="2"/>
          </rPr>
          <t>Asymmetric disk with offset core and unusually long left side arm</t>
        </r>
      </text>
    </comment>
    <comment ref="A1630" authorId="0" shapeId="0" xr:uid="{1061DFB9-80A3-4885-A866-81E4ED8A3AAB}">
      <text>
        <r>
          <rPr>
            <sz val="9"/>
            <color indexed="81"/>
            <rFont val="Tahoma"/>
            <family val="2"/>
          </rPr>
          <t xml:space="preserve">
</t>
        </r>
      </text>
    </comment>
    <comment ref="K1630" authorId="0" shapeId="0" xr:uid="{35ADA025-C634-4E1E-AB4C-03729DAC72D1}">
      <text>
        <r>
          <rPr>
            <sz val="9"/>
            <color indexed="81"/>
            <rFont val="Tahoma"/>
            <family val="2"/>
          </rPr>
          <t>Diffuse spiral disk with faint arms.  Partially disturbed disk with offset core and pseudo-rings</t>
        </r>
      </text>
    </comment>
    <comment ref="A1631" authorId="0" shapeId="0" xr:uid="{D2A76DE2-6FCC-4439-A454-42434A43F71C}">
      <text>
        <r>
          <rPr>
            <sz val="9"/>
            <color indexed="81"/>
            <rFont val="Tahoma"/>
            <family val="2"/>
          </rPr>
          <t xml:space="preserve">
</t>
        </r>
      </text>
    </comment>
    <comment ref="K1631" authorId="0" shapeId="0" xr:uid="{9792D49F-B103-4947-8129-C53839425A70}">
      <text>
        <r>
          <rPr>
            <sz val="9"/>
            <color indexed="81"/>
            <rFont val="Tahoma"/>
            <family val="2"/>
          </rPr>
          <t>Stunning barred grand spiral with pseudo-ring</t>
        </r>
      </text>
    </comment>
    <comment ref="A1632" authorId="0" shapeId="0" xr:uid="{A2D66014-BEF6-40E3-B880-FDA74A1C611F}">
      <text>
        <r>
          <rPr>
            <sz val="9"/>
            <color indexed="81"/>
            <rFont val="Tahoma"/>
            <family val="2"/>
          </rPr>
          <t xml:space="preserve">
</t>
        </r>
      </text>
    </comment>
    <comment ref="K1632" authorId="0" shapeId="0" xr:uid="{218A9F14-C608-45EF-BBEB-B0D44EF48BAB}">
      <text>
        <r>
          <rPr>
            <sz val="9"/>
            <color indexed="81"/>
            <rFont val="Tahoma"/>
            <family val="2"/>
          </rPr>
          <t>Small galaxy with occluded disk and faint spiral structure</t>
        </r>
      </text>
    </comment>
    <comment ref="A1633" authorId="0" shapeId="0" xr:uid="{025FFB1C-ADFD-47A4-84CB-702A6D9C27F1}">
      <text>
        <r>
          <rPr>
            <sz val="9"/>
            <color indexed="81"/>
            <rFont val="Tahoma"/>
            <family val="2"/>
          </rPr>
          <t xml:space="preserve">
</t>
        </r>
      </text>
    </comment>
    <comment ref="K1633" authorId="0" shapeId="0" xr:uid="{6B145901-90F2-4339-AB72-BB8F9CE5768E}">
      <text>
        <r>
          <rPr>
            <sz val="9"/>
            <color indexed="81"/>
            <rFont val="Tahoma"/>
            <family val="2"/>
          </rPr>
          <t>Bright open cluster hiding behind foreground star</t>
        </r>
      </text>
    </comment>
    <comment ref="A1634" authorId="0" shapeId="0" xr:uid="{BB012312-F018-4E00-819E-B84FEF94F056}">
      <text>
        <r>
          <rPr>
            <sz val="9"/>
            <color indexed="81"/>
            <rFont val="Tahoma"/>
            <family val="2"/>
          </rPr>
          <t xml:space="preserve">
</t>
        </r>
      </text>
    </comment>
    <comment ref="K1634" authorId="0" shapeId="0" xr:uid="{E7221BEF-44AD-4C43-8030-A39E2B2FE876}">
      <text>
        <r>
          <rPr>
            <sz val="9"/>
            <color indexed="81"/>
            <rFont val="Tahoma"/>
            <family val="2"/>
          </rPr>
          <t>Barred lenticular with barlense, ansae and inner ring</t>
        </r>
      </text>
    </comment>
    <comment ref="A1635" authorId="0" shapeId="0" xr:uid="{05815969-C9F0-4244-B95A-73A9C9A0EC6A}">
      <text>
        <r>
          <rPr>
            <sz val="9"/>
            <color indexed="81"/>
            <rFont val="Tahoma"/>
            <family val="2"/>
          </rPr>
          <t xml:space="preserve">
</t>
        </r>
      </text>
    </comment>
    <comment ref="K1635" authorId="0" shapeId="0" xr:uid="{5ABAC34F-0207-492C-946E-3B81E5A08056}">
      <text>
        <r>
          <rPr>
            <sz val="9"/>
            <color indexed="81"/>
            <rFont val="Tahoma"/>
            <family val="2"/>
          </rPr>
          <t>Group of 8 small galaxies in Eridanus</t>
        </r>
      </text>
    </comment>
    <comment ref="A1636" authorId="0" shapeId="0" xr:uid="{93A57670-B22A-4720-8C38-22645E72E576}">
      <text>
        <r>
          <rPr>
            <sz val="9"/>
            <color indexed="81"/>
            <rFont val="Tahoma"/>
            <family val="2"/>
          </rPr>
          <t xml:space="preserve">
</t>
        </r>
      </text>
    </comment>
    <comment ref="K1636" authorId="0" shapeId="0" xr:uid="{F14517F1-2CE5-450B-8287-E49CAB0EB23C}">
      <text>
        <r>
          <rPr>
            <sz val="9"/>
            <color indexed="81"/>
            <rFont val="Tahoma"/>
            <family val="2"/>
          </rPr>
          <t>Lenticular, almost edge-on, with dramatic dust lane</t>
        </r>
      </text>
    </comment>
    <comment ref="A1637" authorId="0" shapeId="0" xr:uid="{6397A139-096E-4E55-996F-F1A634EF4413}">
      <text>
        <r>
          <rPr>
            <sz val="9"/>
            <color indexed="81"/>
            <rFont val="Tahoma"/>
            <family val="2"/>
          </rPr>
          <t xml:space="preserve">
</t>
        </r>
      </text>
    </comment>
    <comment ref="K1637" authorId="0" shapeId="0" xr:uid="{E22B114F-A098-4F72-AA99-37F4C14C53E0}">
      <text>
        <r>
          <rPr>
            <sz val="9"/>
            <color indexed="81"/>
            <rFont val="Tahoma"/>
            <family val="2"/>
          </rPr>
          <t>Dust pillars and dark nebula silhouetted against emission nebulae make for a satisfying but not spectacular image</t>
        </r>
      </text>
    </comment>
    <comment ref="A1638" authorId="0" shapeId="0" xr:uid="{04D83561-0927-4488-B78E-CD08B431E1AE}">
      <text>
        <r>
          <rPr>
            <sz val="9"/>
            <color indexed="81"/>
            <rFont val="Tahoma"/>
            <family val="2"/>
          </rPr>
          <t xml:space="preserve">
</t>
        </r>
      </text>
    </comment>
    <comment ref="K1638" authorId="0" shapeId="0" xr:uid="{E3FEA3CB-1FF7-47AA-A388-21516B8711BE}">
      <text>
        <r>
          <rPr>
            <sz val="9"/>
            <color indexed="81"/>
            <rFont val="Tahoma"/>
            <family val="2"/>
          </rPr>
          <t>Small galaxy group anchored by the lenticular NGC 1497</t>
        </r>
      </text>
    </comment>
    <comment ref="A1639" authorId="0" shapeId="0" xr:uid="{126C2850-A3D3-440C-9C49-BCADAEC2B1E8}">
      <text>
        <r>
          <rPr>
            <sz val="9"/>
            <color indexed="81"/>
            <rFont val="Tahoma"/>
            <family val="2"/>
          </rPr>
          <t xml:space="preserve">
</t>
        </r>
      </text>
    </comment>
    <comment ref="K1639" authorId="0" shapeId="0" xr:uid="{5E9E380D-31BD-4B9A-A1B0-847FA0FC6ABD}">
      <text>
        <r>
          <rPr>
            <sz val="9"/>
            <color indexed="81"/>
            <rFont val="Tahoma"/>
            <family val="2"/>
          </rPr>
          <t>Famous California-shaped emission nebulae, which looks good in either SHO or HaRGB imagery</t>
        </r>
      </text>
    </comment>
    <comment ref="A1640" authorId="0" shapeId="0" xr:uid="{EA4DF34C-395E-4AA0-BC75-0C48DB29638D}">
      <text>
        <r>
          <rPr>
            <sz val="9"/>
            <color indexed="81"/>
            <rFont val="Tahoma"/>
            <family val="2"/>
          </rPr>
          <t xml:space="preserve">
</t>
        </r>
      </text>
    </comment>
    <comment ref="K1640" authorId="0" shapeId="0" xr:uid="{47A00BC4-32A2-41B0-BCD5-3C3735A2E0BA}">
      <text>
        <r>
          <rPr>
            <sz val="9"/>
            <color indexed="81"/>
            <rFont val="Tahoma"/>
            <family val="2"/>
          </rPr>
          <t>OIII PN with fascinating filamentary inner structure</t>
        </r>
      </text>
    </comment>
    <comment ref="A1641" authorId="0" shapeId="0" xr:uid="{46799EE7-941B-409F-A6A7-708C0F0A5EC0}">
      <text>
        <r>
          <rPr>
            <sz val="9"/>
            <color indexed="81"/>
            <rFont val="Tahoma"/>
            <family val="2"/>
          </rPr>
          <t xml:space="preserve">
</t>
        </r>
      </text>
    </comment>
    <comment ref="K1641" authorId="0" shapeId="0" xr:uid="{AAE2E4E9-AA56-4A7E-AAAE-4616994A7F09}">
      <text>
        <r>
          <rPr>
            <sz val="9"/>
            <color indexed="81"/>
            <rFont val="Tahoma"/>
            <family val="2"/>
          </rPr>
          <t>Underappreciated bright colorful open cluster, nicknamed the Jolly Roger for its resemblance to pirate flag</t>
        </r>
      </text>
    </comment>
    <comment ref="A1642" authorId="0" shapeId="0" xr:uid="{46F207A4-747B-4C04-BB7F-0D368DAE395F}">
      <text>
        <r>
          <rPr>
            <sz val="9"/>
            <color indexed="81"/>
            <rFont val="Tahoma"/>
            <family val="2"/>
          </rPr>
          <t xml:space="preserve">
</t>
        </r>
      </text>
    </comment>
    <comment ref="K1642" authorId="0" shapeId="0" xr:uid="{EDF51E54-414D-4510-AE24-27530F47DCD4}">
      <text>
        <r>
          <rPr>
            <sz val="9"/>
            <color indexed="81"/>
            <rFont val="Tahoma"/>
            <family val="2"/>
          </rPr>
          <t xml:space="preserve">Edge-on view of warped Magellanic galaxy </t>
        </r>
      </text>
    </comment>
    <comment ref="A1643" authorId="0" shapeId="0" xr:uid="{5E3AB358-F30B-44E8-AC95-C3472F9A4DB6}">
      <text>
        <r>
          <rPr>
            <sz val="9"/>
            <color indexed="81"/>
            <rFont val="Tahoma"/>
            <family val="2"/>
          </rPr>
          <t xml:space="preserve">
</t>
        </r>
      </text>
    </comment>
    <comment ref="K1643" authorId="0" shapeId="0" xr:uid="{9A7B6497-1368-4C74-BE68-50F8BCEC84EF}">
      <text>
        <r>
          <rPr>
            <sz val="9"/>
            <color indexed="81"/>
            <rFont val="Tahoma"/>
            <family val="2"/>
          </rPr>
          <t>Barred spiral with nuclear ring and inner pseudo-ring, faint bridge with NGC1510 companion</t>
        </r>
      </text>
    </comment>
    <comment ref="A1644" authorId="0" shapeId="0" xr:uid="{47BEACDB-BEB9-439B-BDF8-5A05CC7269D4}">
      <text>
        <r>
          <rPr>
            <sz val="9"/>
            <color indexed="81"/>
            <rFont val="Tahoma"/>
            <family val="2"/>
          </rPr>
          <t xml:space="preserve">
</t>
        </r>
      </text>
    </comment>
    <comment ref="K1644" authorId="0" shapeId="0" xr:uid="{E12218D0-7098-481E-90C6-05FCF3C8E7D5}">
      <text>
        <r>
          <rPr>
            <sz val="9"/>
            <color indexed="81"/>
            <rFont val="Tahoma"/>
            <family val="2"/>
          </rPr>
          <t>Tight circular shape resembles large globular cluster</t>
        </r>
      </text>
    </comment>
    <comment ref="A1645" authorId="0" shapeId="0" xr:uid="{0B0B343C-1638-4C7F-8B9F-C1933AFB2C43}">
      <text>
        <r>
          <rPr>
            <sz val="9"/>
            <color indexed="81"/>
            <rFont val="Tahoma"/>
            <family val="2"/>
          </rPr>
          <t xml:space="preserve">
</t>
        </r>
      </text>
    </comment>
    <comment ref="K1645" authorId="0" shapeId="0" xr:uid="{DE4D5656-2126-4C12-A888-596443513CBF}">
      <text>
        <r>
          <rPr>
            <sz val="9"/>
            <color indexed="81"/>
            <rFont val="Tahoma"/>
            <family val="2"/>
          </rPr>
          <t>Impressive OIII PN with owl-type interior and bright progenitor</t>
        </r>
      </text>
    </comment>
    <comment ref="A1646" authorId="0" shapeId="0" xr:uid="{3169F1DA-BABF-496E-8901-07D5E056437D}">
      <text>
        <r>
          <rPr>
            <sz val="9"/>
            <color indexed="81"/>
            <rFont val="Tahoma"/>
            <family val="2"/>
          </rPr>
          <t xml:space="preserve">
</t>
        </r>
      </text>
    </comment>
    <comment ref="K1646" authorId="0" shapeId="0" xr:uid="{294C49A0-B3CB-4B4B-B543-6788A06EA2D0}">
      <text>
        <r>
          <rPr>
            <sz val="9"/>
            <color indexed="81"/>
            <rFont val="Tahoma"/>
            <family val="2"/>
          </rPr>
          <t>2 face-on spiral galaxies, faintly bridge connected, with single NGC designation</t>
        </r>
      </text>
    </comment>
    <comment ref="A1647" authorId="0" shapeId="0" xr:uid="{5F2CCFAF-A0A0-45FA-9A28-1FD9B7C4195E}">
      <text>
        <r>
          <rPr>
            <sz val="9"/>
            <color indexed="81"/>
            <rFont val="Tahoma"/>
            <family val="2"/>
          </rPr>
          <t xml:space="preserve">
</t>
        </r>
      </text>
    </comment>
    <comment ref="K1647" authorId="0" shapeId="0" xr:uid="{C35029F2-BF0C-403F-8E1F-1FC7822FC6FD}">
      <text>
        <r>
          <rPr>
            <sz val="9"/>
            <color indexed="81"/>
            <rFont val="Tahoma"/>
            <family val="2"/>
          </rPr>
          <t>Triangle shape with vivid colors and bright stars, good distinction from background</t>
        </r>
      </text>
    </comment>
    <comment ref="A1648" authorId="0" shapeId="0" xr:uid="{A9C56744-1E29-4A8C-B8BF-E1EB22232AFA}">
      <text>
        <r>
          <rPr>
            <sz val="9"/>
            <color indexed="81"/>
            <rFont val="Tahoma"/>
            <family val="2"/>
          </rPr>
          <t xml:space="preserve">
</t>
        </r>
      </text>
    </comment>
    <comment ref="K1648" authorId="0" shapeId="0" xr:uid="{1521A453-8D67-482C-9B98-B593EA45E551}">
      <text>
        <r>
          <rPr>
            <sz val="9"/>
            <color indexed="81"/>
            <rFont val="Tahoma"/>
            <family val="2"/>
          </rPr>
          <t>Splendid barred grand design galaxy - long broad bar, complex core, distinct arms with star plume</t>
        </r>
      </text>
    </comment>
    <comment ref="A1649" authorId="0" shapeId="0" xr:uid="{20FFFFC2-3BB2-4A93-9225-C658CB12E8A8}">
      <text>
        <r>
          <rPr>
            <sz val="9"/>
            <color indexed="81"/>
            <rFont val="Tahoma"/>
            <family val="2"/>
          </rPr>
          <t xml:space="preserve">
</t>
        </r>
      </text>
    </comment>
    <comment ref="K1649" authorId="0" shapeId="0" xr:uid="{C0D306B3-688C-4B53-873C-CA1D705DA2D9}">
      <text>
        <r>
          <rPr>
            <sz val="9"/>
            <color indexed="81"/>
            <rFont val="Tahoma"/>
            <family val="2"/>
          </rPr>
          <t>Huge grand design spiral with remarkable interaction with NGC 1531 companion</t>
        </r>
      </text>
    </comment>
    <comment ref="A1650" authorId="0" shapeId="0" xr:uid="{78B38F2B-5AB0-49C3-877F-FDCB76B538E6}">
      <text>
        <r>
          <rPr>
            <sz val="9"/>
            <color indexed="81"/>
            <rFont val="Tahoma"/>
            <family val="2"/>
          </rPr>
          <t xml:space="preserve">
</t>
        </r>
      </text>
    </comment>
    <comment ref="K1650" authorId="0" shapeId="0" xr:uid="{4B1E69E0-3ABB-40D8-91C8-CFE5EBEEDAFD}">
      <text>
        <r>
          <rPr>
            <sz val="9"/>
            <color indexed="81"/>
            <rFont val="Tahoma"/>
            <family val="2"/>
          </rPr>
          <t>OIII bipolar PN with bright scalloped torus</t>
        </r>
      </text>
    </comment>
    <comment ref="A1651" authorId="0" shapeId="0" xr:uid="{2C9A4A38-38D0-42CD-A7F4-40E8F32F9DE5}">
      <text>
        <r>
          <rPr>
            <sz val="9"/>
            <color indexed="81"/>
            <rFont val="Tahoma"/>
            <family val="2"/>
          </rPr>
          <t xml:space="preserve">
</t>
        </r>
      </text>
    </comment>
    <comment ref="K1651" authorId="0" shapeId="0" xr:uid="{9F2E81FC-191E-4797-97D7-3DBE6A8437DB}">
      <text>
        <r>
          <rPr>
            <sz val="9"/>
            <color indexed="81"/>
            <rFont val="Tahoma"/>
            <family val="2"/>
          </rPr>
          <t>Trio of merging galaxies</t>
        </r>
      </text>
    </comment>
    <comment ref="A1652" authorId="0" shapeId="0" xr:uid="{34F3C219-CB04-4A25-A469-FF3904BB9350}">
      <text>
        <r>
          <rPr>
            <sz val="9"/>
            <color indexed="81"/>
            <rFont val="Tahoma"/>
            <family val="2"/>
          </rPr>
          <t xml:space="preserve">
</t>
        </r>
      </text>
    </comment>
    <comment ref="K1652" authorId="0" shapeId="0" xr:uid="{8AB523E6-D4A4-40D6-A8F8-BE39BD3C2FEA}">
      <text>
        <r>
          <rPr>
            <sz val="9"/>
            <color indexed="81"/>
            <rFont val="Tahoma"/>
            <family val="2"/>
          </rPr>
          <t>Cluster of varied brightnesses highlighted by 3 bright blue, orange and yellow stars near center</t>
        </r>
      </text>
    </comment>
    <comment ref="A1653" authorId="0" shapeId="0" xr:uid="{81248D5A-135C-4448-A9EA-295B3DDF4FAF}">
      <text>
        <r>
          <rPr>
            <sz val="9"/>
            <color indexed="81"/>
            <rFont val="Tahoma"/>
            <family val="2"/>
          </rPr>
          <t xml:space="preserve">
</t>
        </r>
      </text>
    </comment>
    <comment ref="K1653" authorId="0" shapeId="0" xr:uid="{041D42A7-DB4F-4E80-879F-D169E2A3EC48}">
      <text>
        <r>
          <rPr>
            <sz val="9"/>
            <color indexed="81"/>
            <rFont val="Tahoma"/>
            <family val="2"/>
          </rPr>
          <t>Molecular cloud with wonderful HH objects and orange reflection nebula at center</t>
        </r>
      </text>
    </comment>
    <comment ref="A1654" authorId="0" shapeId="0" xr:uid="{78B98762-C135-457F-B2AB-C060E0622C5A}">
      <text>
        <r>
          <rPr>
            <sz val="9"/>
            <color indexed="81"/>
            <rFont val="Tahoma"/>
            <family val="2"/>
          </rPr>
          <t xml:space="preserve">
</t>
        </r>
      </text>
    </comment>
    <comment ref="K1654" authorId="0" shapeId="0" xr:uid="{CF46F7D1-5C32-45B3-AB52-41D7A6ED5241}">
      <text>
        <r>
          <rPr>
            <sz val="9"/>
            <color indexed="81"/>
            <rFont val="Tahoma"/>
            <family val="2"/>
          </rPr>
          <t>Nearly edge-on faint spiral with blue star clouds</t>
        </r>
      </text>
    </comment>
    <comment ref="A1655" authorId="0" shapeId="0" xr:uid="{B23BB4CC-D6EE-4668-86A9-4E684EB33F2A}">
      <text>
        <r>
          <rPr>
            <sz val="9"/>
            <color indexed="81"/>
            <rFont val="Tahoma"/>
            <family val="2"/>
          </rPr>
          <t xml:space="preserve">
</t>
        </r>
      </text>
    </comment>
    <comment ref="K1655" authorId="0" shapeId="0" xr:uid="{0C4FD98D-BF83-4C07-9233-8EC50F56D1D8}">
      <text>
        <r>
          <rPr>
            <sz val="9"/>
            <color indexed="81"/>
            <rFont val="Tahoma"/>
            <family val="2"/>
          </rPr>
          <t>Grand design spiral similar to M99</t>
        </r>
      </text>
    </comment>
    <comment ref="A1656" authorId="0" shapeId="0" xr:uid="{305B1AEA-D89E-4E9C-BBBB-819AEB905B39}">
      <text>
        <r>
          <rPr>
            <sz val="9"/>
            <color indexed="81"/>
            <rFont val="Tahoma"/>
            <family val="2"/>
          </rPr>
          <t xml:space="preserve">
</t>
        </r>
      </text>
    </comment>
    <comment ref="K1656" authorId="0" shapeId="0" xr:uid="{3FD37739-86F2-41FE-90C4-47C5FC29C02D}">
      <text>
        <r>
          <rPr>
            <sz val="9"/>
            <color indexed="81"/>
            <rFont val="Tahoma"/>
            <family val="2"/>
          </rPr>
          <t>Superlong 200,000 light year bridge connecting this pair</t>
        </r>
      </text>
    </comment>
    <comment ref="A1657" authorId="0" shapeId="0" xr:uid="{A3B8E983-BCB1-4AA4-9422-2305FA2E82BD}">
      <text>
        <r>
          <rPr>
            <sz val="9"/>
            <color indexed="81"/>
            <rFont val="Tahoma"/>
            <family val="2"/>
          </rPr>
          <t xml:space="preserve">
</t>
        </r>
      </text>
    </comment>
    <comment ref="K1657" authorId="0" shapeId="0" xr:uid="{9B4A940A-3E69-4725-86F1-4E72EE8C14FB}">
      <text>
        <r>
          <rPr>
            <sz val="9"/>
            <color indexed="81"/>
            <rFont val="Tahoma"/>
            <family val="2"/>
          </rPr>
          <t xml:space="preserve">Dust lanes silhouetted by bright emission nebula </t>
        </r>
      </text>
    </comment>
    <comment ref="A1658" authorId="0" shapeId="0" xr:uid="{D6270E20-E918-42B4-B209-91768518E5A7}">
      <text>
        <r>
          <rPr>
            <sz val="9"/>
            <color indexed="81"/>
            <rFont val="Tahoma"/>
            <family val="2"/>
          </rPr>
          <t xml:space="preserve">
</t>
        </r>
      </text>
    </comment>
    <comment ref="K1658" authorId="0" shapeId="0" xr:uid="{60D6B59E-022B-4A3D-85D3-D68F5127F6F2}">
      <text>
        <r>
          <rPr>
            <sz val="9"/>
            <color indexed="81"/>
            <rFont val="Tahoma"/>
            <family val="2"/>
          </rPr>
          <t>Edge-on spiral with detailed dust lane</t>
        </r>
      </text>
    </comment>
    <comment ref="A1659" authorId="0" shapeId="0" xr:uid="{E3A19740-72D9-40B7-B7CA-0EB88FD71929}">
      <text>
        <r>
          <rPr>
            <sz val="9"/>
            <color indexed="81"/>
            <rFont val="Tahoma"/>
            <family val="2"/>
          </rPr>
          <t xml:space="preserve">
</t>
        </r>
      </text>
    </comment>
    <comment ref="K1659" authorId="0" shapeId="0" xr:uid="{A01CEB77-8316-4648-A428-5871E446DC18}">
      <text>
        <r>
          <rPr>
            <sz val="9"/>
            <color indexed="81"/>
            <rFont val="Tahoma"/>
            <family val="2"/>
          </rPr>
          <t>Blue Magellanic galaxy, close to edge-on</t>
        </r>
      </text>
    </comment>
    <comment ref="A1660" authorId="0" shapeId="0" xr:uid="{BA0AD300-984F-4EE3-860F-279D30A88095}">
      <text>
        <r>
          <rPr>
            <sz val="9"/>
            <color indexed="81"/>
            <rFont val="Tahoma"/>
            <family val="2"/>
          </rPr>
          <t xml:space="preserve">
</t>
        </r>
      </text>
    </comment>
    <comment ref="K1660" authorId="0" shapeId="0" xr:uid="{6893A92B-9A1B-46AE-B37E-78FD5DF344C2}">
      <text>
        <r>
          <rPr>
            <sz val="9"/>
            <color indexed="81"/>
            <rFont val="Tahoma"/>
            <family val="2"/>
          </rPr>
          <t>Large symmetric inclined spiral with star clouds and arm fragments</t>
        </r>
      </text>
    </comment>
    <comment ref="A1661" authorId="0" shapeId="0" xr:uid="{77470C44-EC61-4632-81EE-2AA1CC4AED5F}">
      <text>
        <r>
          <rPr>
            <sz val="9"/>
            <color indexed="81"/>
            <rFont val="Tahoma"/>
            <family val="2"/>
          </rPr>
          <t xml:space="preserve">
</t>
        </r>
      </text>
    </comment>
    <comment ref="K1661" authorId="0" shapeId="0" xr:uid="{8F086685-EE2B-4C49-BEA9-49E6DB098A7B}">
      <text>
        <r>
          <rPr>
            <sz val="9"/>
            <color indexed="81"/>
            <rFont val="Tahoma"/>
            <family val="2"/>
          </rPr>
          <t>The highlight of a galaxy trio, a huge galaxy with yellow central bulge, inner ring, and 2 graceful sweeping arms</t>
        </r>
      </text>
    </comment>
    <comment ref="A1662" authorId="0" shapeId="0" xr:uid="{E953F2D6-9AF5-4A50-9085-95B0C9B3F74E}">
      <text>
        <r>
          <rPr>
            <sz val="9"/>
            <color indexed="81"/>
            <rFont val="Tahoma"/>
            <family val="2"/>
          </rPr>
          <t xml:space="preserve">
</t>
        </r>
      </text>
    </comment>
    <comment ref="K1662" authorId="0" shapeId="0" xr:uid="{6928275B-ACD6-4091-8595-C48DF0D3EF68}">
      <text>
        <r>
          <rPr>
            <sz val="9"/>
            <color indexed="81"/>
            <rFont val="Tahoma"/>
            <family val="2"/>
          </rPr>
          <t>Open star cluster at the center of Sh2-212</t>
        </r>
      </text>
    </comment>
    <comment ref="A1663" authorId="0" shapeId="0" xr:uid="{F566A908-7BB7-4B71-9465-8624B12673C3}">
      <text>
        <r>
          <rPr>
            <sz val="9"/>
            <color indexed="81"/>
            <rFont val="Tahoma"/>
            <family val="2"/>
          </rPr>
          <t xml:space="preserve">
</t>
        </r>
      </text>
    </comment>
    <comment ref="K1663" authorId="0" shapeId="0" xr:uid="{177309A4-26AF-43F0-80D5-B1CEB8843BD0}">
      <text>
        <r>
          <rPr>
            <sz val="9"/>
            <color indexed="81"/>
            <rFont val="Tahoma"/>
            <family val="2"/>
          </rPr>
          <t>Barred grand design with offset core and fragments in the outer disk</t>
        </r>
      </text>
    </comment>
    <comment ref="A1664" authorId="0" shapeId="0" xr:uid="{D787F3D1-4CD4-4994-AB35-4C309766978E}">
      <text>
        <r>
          <rPr>
            <sz val="9"/>
            <color indexed="81"/>
            <rFont val="Tahoma"/>
            <family val="2"/>
          </rPr>
          <t xml:space="preserve">
</t>
        </r>
      </text>
    </comment>
    <comment ref="K1664" authorId="0" shapeId="0" xr:uid="{24AD8AF5-EE31-4C4D-8C8D-3735D67F1B17}">
      <text>
        <r>
          <rPr>
            <sz val="9"/>
            <color indexed="81"/>
            <rFont val="Tahoma"/>
            <family val="2"/>
          </rPr>
          <t>Barlense with ansae and inner ring</t>
        </r>
      </text>
    </comment>
    <comment ref="A1665" authorId="0" shapeId="0" xr:uid="{5FEE47AC-51D4-430E-A960-0E776117D5E1}">
      <text>
        <r>
          <rPr>
            <sz val="9"/>
            <color indexed="81"/>
            <rFont val="Tahoma"/>
            <family val="2"/>
          </rPr>
          <t xml:space="preserve">
</t>
        </r>
      </text>
    </comment>
    <comment ref="K1665" authorId="0" shapeId="0" xr:uid="{12D4D662-F754-4615-88C4-F8FA19044F7F}">
      <text>
        <r>
          <rPr>
            <sz val="9"/>
            <color indexed="81"/>
            <rFont val="Tahoma"/>
            <family val="2"/>
          </rPr>
          <t>Disturbed lenticular with small elliptical companion, anchoring a small galaxy group</t>
        </r>
      </text>
    </comment>
    <comment ref="A1666" authorId="0" shapeId="0" xr:uid="{BF765BF2-97F0-458A-B930-8EFEE9D04C74}">
      <text>
        <r>
          <rPr>
            <sz val="9"/>
            <color indexed="81"/>
            <rFont val="Tahoma"/>
            <family val="2"/>
          </rPr>
          <t xml:space="preserve">
</t>
        </r>
      </text>
    </comment>
    <comment ref="K1666" authorId="0" shapeId="0" xr:uid="{17C15CB6-B573-4C6E-9E77-18D2CCC138C4}">
      <text>
        <r>
          <rPr>
            <sz val="9"/>
            <color indexed="81"/>
            <rFont val="Tahoma"/>
            <family val="2"/>
          </rPr>
          <t>Colorful mix of stars, roughly circular in pattern</t>
        </r>
      </text>
    </comment>
    <comment ref="A1667" authorId="0" shapeId="0" xr:uid="{BF8E4B60-7D85-4E62-8205-545D1A817D3F}">
      <text>
        <r>
          <rPr>
            <sz val="9"/>
            <color indexed="81"/>
            <rFont val="Tahoma"/>
            <family val="2"/>
          </rPr>
          <t xml:space="preserve">
</t>
        </r>
      </text>
    </comment>
    <comment ref="K1667" authorId="0" shapeId="0" xr:uid="{C8631CC7-A3A6-4B65-A1AD-2452E2BEBA9F}">
      <text>
        <r>
          <rPr>
            <sz val="9"/>
            <color indexed="81"/>
            <rFont val="Tahoma"/>
            <family val="2"/>
          </rPr>
          <t>Small, colorful and attractive open cluster</t>
        </r>
      </text>
    </comment>
    <comment ref="A1668" authorId="0" shapeId="0" xr:uid="{D723AC41-5956-4D12-AEDF-F9D713B6E2DE}">
      <text>
        <r>
          <rPr>
            <sz val="9"/>
            <color indexed="81"/>
            <rFont val="Tahoma"/>
            <family val="2"/>
          </rPr>
          <t xml:space="preserve">
</t>
        </r>
      </text>
    </comment>
    <comment ref="K1668" authorId="0" shapeId="0" xr:uid="{510D92C0-B4B4-4FB7-892F-0D21A8150EDC}">
      <text>
        <r>
          <rPr>
            <sz val="9"/>
            <color indexed="81"/>
            <rFont val="Tahoma"/>
            <family val="2"/>
          </rPr>
          <t>True to its nickname, has a bit of a kite shape</t>
        </r>
      </text>
    </comment>
    <comment ref="A1669" authorId="0" shapeId="0" xr:uid="{75004431-BA8F-40D8-8FCB-1DB0A9FD7693}">
      <text>
        <r>
          <rPr>
            <sz val="9"/>
            <color indexed="81"/>
            <rFont val="Tahoma"/>
            <family val="2"/>
          </rPr>
          <t xml:space="preserve">
</t>
        </r>
      </text>
    </comment>
    <comment ref="K1669" authorId="0" shapeId="0" xr:uid="{11CCB33E-63A0-45FA-87F7-83B85226187D}">
      <text>
        <r>
          <rPr>
            <sz val="9"/>
            <color indexed="81"/>
            <rFont val="Tahoma"/>
            <family val="2"/>
          </rPr>
          <t>Seyfert starburst spiral with one strong arm</t>
        </r>
      </text>
    </comment>
    <comment ref="A1670" authorId="0" shapeId="0" xr:uid="{4ABE5135-F7A0-442A-9F54-2DA3D65C3660}">
      <text>
        <r>
          <rPr>
            <sz val="9"/>
            <color indexed="81"/>
            <rFont val="Tahoma"/>
            <family val="2"/>
          </rPr>
          <t xml:space="preserve">
</t>
        </r>
      </text>
    </comment>
    <comment ref="K1670" authorId="0" shapeId="0" xr:uid="{D2225C88-FE99-42B2-A373-0492D6408F98}">
      <text>
        <r>
          <rPr>
            <sz val="9"/>
            <color indexed="81"/>
            <rFont val="Tahoma"/>
            <family val="2"/>
          </rPr>
          <t>5 galaxies with interesting structure, highlighted by the barred ring grand spiral NGC 1723</t>
        </r>
      </text>
    </comment>
    <comment ref="A1671" authorId="0" shapeId="0" xr:uid="{32A3D2F9-775D-4AD3-9529-B7AEB8ED40C7}">
      <text>
        <r>
          <rPr>
            <sz val="9"/>
            <color indexed="81"/>
            <rFont val="Tahoma"/>
            <family val="2"/>
          </rPr>
          <t xml:space="preserve">
</t>
        </r>
      </text>
    </comment>
    <comment ref="K1671" authorId="0" shapeId="0" xr:uid="{4C0A230A-E4DC-49A4-8E97-C70AAA0A6B18}">
      <text>
        <r>
          <rPr>
            <sz val="9"/>
            <color indexed="81"/>
            <rFont val="Tahoma"/>
            <family val="2"/>
          </rPr>
          <t>Barred spiral with ansae, strong inner ring, 2 long arms and a highly disturbed lower section</t>
        </r>
      </text>
    </comment>
    <comment ref="A1672" authorId="0" shapeId="0" xr:uid="{214098E8-C716-41FA-9E04-C8D9F7D7736D}">
      <text>
        <r>
          <rPr>
            <sz val="9"/>
            <color indexed="81"/>
            <rFont val="Tahoma"/>
            <family val="2"/>
          </rPr>
          <t xml:space="preserve">
</t>
        </r>
      </text>
    </comment>
    <comment ref="K1672" authorId="0" shapeId="0" xr:uid="{22495D6A-65B4-4B3C-B4E7-B3BA102DFB12}">
      <text>
        <r>
          <rPr>
            <sz val="9"/>
            <color indexed="81"/>
            <rFont val="Tahoma"/>
            <family val="2"/>
          </rPr>
          <t>2 superimposed open star clusters, with NGC 1758</t>
        </r>
      </text>
    </comment>
    <comment ref="A1673" authorId="0" shapeId="0" xr:uid="{E250FE50-ECD1-46B6-A224-748A2D539849}">
      <text>
        <r>
          <rPr>
            <sz val="9"/>
            <color indexed="81"/>
            <rFont val="Tahoma"/>
            <family val="2"/>
          </rPr>
          <t xml:space="preserve">
</t>
        </r>
      </text>
    </comment>
    <comment ref="K1673" authorId="0" shapeId="0" xr:uid="{6F02AD7E-39AB-407A-B5E9-EBC68A14049C}">
      <text>
        <r>
          <rPr>
            <sz val="9"/>
            <color indexed="81"/>
            <rFont val="Tahoma"/>
            <family val="2"/>
          </rPr>
          <t>Grand design spiral with incredible arm structure</t>
        </r>
      </text>
    </comment>
    <comment ref="A1674" authorId="0" shapeId="0" xr:uid="{97D61076-E3D6-47AA-A19A-30A96F8254E7}">
      <text>
        <r>
          <rPr>
            <sz val="9"/>
            <color indexed="81"/>
            <rFont val="Tahoma"/>
            <family val="2"/>
          </rPr>
          <t xml:space="preserve">
</t>
        </r>
      </text>
    </comment>
    <comment ref="K1674" authorId="0" shapeId="0" xr:uid="{8D1393BD-866E-4701-8F49-4E43730C6F25}">
      <text>
        <r>
          <rPr>
            <sz val="9"/>
            <color indexed="81"/>
            <rFont val="Tahoma"/>
            <family val="2"/>
          </rPr>
          <t>2 superimposed open star clusters, with NGC 1750</t>
        </r>
      </text>
    </comment>
    <comment ref="A1675" authorId="0" shapeId="0" xr:uid="{7C5661CE-D8C1-4CEC-9303-39E1BFBC2458}">
      <text>
        <r>
          <rPr>
            <sz val="9"/>
            <color indexed="81"/>
            <rFont val="Tahoma"/>
            <family val="2"/>
          </rPr>
          <t xml:space="preserve">
</t>
        </r>
      </text>
    </comment>
    <comment ref="K1675" authorId="0" shapeId="0" xr:uid="{46BA396E-2870-4757-B1DC-48F5A991F9B2}">
      <text>
        <r>
          <rPr>
            <sz val="9"/>
            <color indexed="81"/>
            <rFont val="Tahoma"/>
            <family val="2"/>
          </rPr>
          <t>Long bar, central pseudo-ring and wind-blown outer disk</t>
        </r>
      </text>
    </comment>
    <comment ref="A1676" authorId="0" shapeId="0" xr:uid="{9193BCC6-7BC1-4E30-8BEF-A44061291D96}">
      <text>
        <r>
          <rPr>
            <sz val="9"/>
            <color indexed="81"/>
            <rFont val="Tahoma"/>
            <family val="2"/>
          </rPr>
          <t xml:space="preserve">
</t>
        </r>
      </text>
    </comment>
    <comment ref="K1676" authorId="0" shapeId="0" xr:uid="{B8420451-1705-4C64-91AE-6E5B2ECCB88D}">
      <text>
        <r>
          <rPr>
            <sz val="9"/>
            <color indexed="81"/>
            <rFont val="Tahoma"/>
            <family val="2"/>
          </rPr>
          <t>Incredible molecular cloud highlight by bright reflection and emission nebulae, known as the Fox Face Nebula</t>
        </r>
      </text>
    </comment>
    <comment ref="A1677" authorId="0" shapeId="0" xr:uid="{01C6F56E-1508-44D6-A25D-9A6CEAF54B90}">
      <text>
        <r>
          <rPr>
            <sz val="9"/>
            <color indexed="81"/>
            <rFont val="Tahoma"/>
            <family val="2"/>
          </rPr>
          <t xml:space="preserve">
</t>
        </r>
      </text>
    </comment>
    <comment ref="K1677" authorId="0" shapeId="0" xr:uid="{39E7D87C-A0F5-4DB4-92B8-7D9DEC4F456C}">
      <text>
        <r>
          <rPr>
            <sz val="9"/>
            <color indexed="81"/>
            <rFont val="Tahoma"/>
            <family val="2"/>
          </rPr>
          <t>Small starburst galaxy - colorful with yellow core, blue star clouds and pink HII regions</t>
        </r>
      </text>
    </comment>
    <comment ref="A1678" authorId="0" shapeId="0" xr:uid="{6C9642D3-0B01-4FE6-A536-6F7F3EB3CECF}">
      <text>
        <r>
          <rPr>
            <sz val="9"/>
            <color indexed="81"/>
            <rFont val="Tahoma"/>
            <family val="2"/>
          </rPr>
          <t xml:space="preserve">
</t>
        </r>
      </text>
    </comment>
    <comment ref="K1678" authorId="0" shapeId="0" xr:uid="{11D4B0D9-CABD-4B90-BF83-D617E9B1FC66}">
      <text>
        <r>
          <rPr>
            <sz val="9"/>
            <color indexed="81"/>
            <rFont val="Tahoma"/>
            <family val="2"/>
          </rPr>
          <t>Together with NGC1817, a lovely open cluster pair.  Many orange supergiants.</t>
        </r>
      </text>
    </comment>
    <comment ref="A1679" authorId="0" shapeId="0" xr:uid="{149D7123-2A68-4AF6-A3EA-DE7DA23B1300}">
      <text>
        <r>
          <rPr>
            <sz val="9"/>
            <color indexed="81"/>
            <rFont val="Tahoma"/>
            <family val="2"/>
          </rPr>
          <t xml:space="preserve">
</t>
        </r>
      </text>
    </comment>
    <comment ref="K1679" authorId="0" shapeId="0" xr:uid="{A54165F9-74B2-4996-B3F8-29031AC66FE8}">
      <text>
        <r>
          <rPr>
            <sz val="9"/>
            <color indexed="81"/>
            <rFont val="Tahoma"/>
            <family val="2"/>
          </rPr>
          <t>Glowing core surrounded by disk with interesting dust lanes</t>
        </r>
      </text>
    </comment>
    <comment ref="A1680" authorId="0" shapeId="0" xr:uid="{3F02B835-77E2-486E-9253-490BCBBE8183}">
      <text>
        <r>
          <rPr>
            <sz val="9"/>
            <color indexed="81"/>
            <rFont val="Tahoma"/>
            <family val="2"/>
          </rPr>
          <t xml:space="preserve">
</t>
        </r>
      </text>
    </comment>
    <comment ref="K1680" authorId="0" shapeId="0" xr:uid="{58A8F16F-F4B7-417E-BD60-5B2E126843BA}">
      <text>
        <r>
          <rPr>
            <sz val="9"/>
            <color indexed="81"/>
            <rFont val="Tahoma"/>
            <family val="2"/>
          </rPr>
          <t>Together with NGC1807, a lovely open cluster pair</t>
        </r>
      </text>
    </comment>
    <comment ref="A1681" authorId="0" shapeId="0" xr:uid="{B9CB8F48-9032-4007-B497-AD4DB246BD84}">
      <text>
        <r>
          <rPr>
            <sz val="9"/>
            <color indexed="81"/>
            <rFont val="Tahoma"/>
            <family val="2"/>
          </rPr>
          <t xml:space="preserve">
</t>
        </r>
      </text>
    </comment>
    <comment ref="K1681" authorId="0" shapeId="0" xr:uid="{DD96C41A-A134-421E-B584-E0CE79B6DC26}">
      <text>
        <r>
          <rPr>
            <sz val="9"/>
            <color indexed="81"/>
            <rFont val="Tahoma"/>
            <family val="2"/>
          </rPr>
          <t>Complex inner bar lens region with nuclear core and ansae, faint outer arms</t>
        </r>
      </text>
    </comment>
    <comment ref="A1682" authorId="0" shapeId="0" xr:uid="{2A065F5B-F57A-4E4C-A076-BA5621E10BF9}">
      <text>
        <r>
          <rPr>
            <sz val="9"/>
            <color indexed="81"/>
            <rFont val="Tahoma"/>
            <family val="2"/>
          </rPr>
          <t xml:space="preserve">
</t>
        </r>
      </text>
    </comment>
    <comment ref="K1682" authorId="0" shapeId="0" xr:uid="{10A9C3EA-5F15-460A-8819-007EBF315D48}">
      <text>
        <r>
          <rPr>
            <sz val="9"/>
            <color indexed="81"/>
            <rFont val="Tahoma"/>
            <family val="2"/>
          </rPr>
          <t>Concentrated globular cluster</t>
        </r>
      </text>
    </comment>
    <comment ref="A1683" authorId="0" shapeId="0" xr:uid="{56C47C3D-B1DA-4389-AA6B-7B41108E0FF2}">
      <text>
        <r>
          <rPr>
            <sz val="9"/>
            <color indexed="81"/>
            <rFont val="Tahoma"/>
            <family val="2"/>
          </rPr>
          <t xml:space="preserve">
</t>
        </r>
      </text>
    </comment>
    <comment ref="K1683" authorId="0" shapeId="0" xr:uid="{45E62139-5CCE-438D-9BCD-55BF6AA475BD}">
      <text>
        <r>
          <rPr>
            <sz val="9"/>
            <color indexed="81"/>
            <rFont val="Tahoma"/>
            <family val="2"/>
          </rPr>
          <t>Pleasing view, although most colorful stars are not part of the cluster</t>
        </r>
      </text>
    </comment>
    <comment ref="A1684" authorId="0" shapeId="0" xr:uid="{A933B510-F5A1-441A-8EBA-BC8FF3E9A7D3}">
      <text>
        <r>
          <rPr>
            <sz val="9"/>
            <color indexed="81"/>
            <rFont val="Tahoma"/>
            <family val="2"/>
          </rPr>
          <t xml:space="preserve">
</t>
        </r>
      </text>
    </comment>
    <comment ref="K1684" authorId="0" shapeId="0" xr:uid="{4DD65872-9A7B-4C02-A44D-0C1DC5CC51D8}">
      <text>
        <r>
          <rPr>
            <sz val="9"/>
            <color indexed="81"/>
            <rFont val="Tahoma"/>
            <family val="2"/>
          </rPr>
          <t>Oblong bright cluster with nebula background</t>
        </r>
      </text>
    </comment>
    <comment ref="A1685" authorId="0" shapeId="0" xr:uid="{AE1C40E1-189C-42F5-91E9-B896E8FF04C9}">
      <text>
        <r>
          <rPr>
            <sz val="9"/>
            <color indexed="81"/>
            <rFont val="Tahoma"/>
            <family val="2"/>
          </rPr>
          <t xml:space="preserve">
</t>
        </r>
      </text>
    </comment>
    <comment ref="K1685" authorId="0" shapeId="0" xr:uid="{5F0506F8-A870-45DF-81D4-4DF0A26C4FD7}">
      <text>
        <r>
          <rPr>
            <sz val="9"/>
            <color indexed="81"/>
            <rFont val="Tahoma"/>
            <family val="2"/>
          </rPr>
          <t>Gorgeous combination of S-shaped nebulae and bright open cluster</t>
        </r>
      </text>
    </comment>
    <comment ref="A1686" authorId="0" shapeId="0" xr:uid="{BF8EBFEA-B575-44DD-865F-C504330A0C71}">
      <text>
        <r>
          <rPr>
            <sz val="9"/>
            <color indexed="81"/>
            <rFont val="Tahoma"/>
            <family val="2"/>
          </rPr>
          <t xml:space="preserve">
</t>
        </r>
      </text>
    </comment>
    <comment ref="K1686" authorId="0" shapeId="0" xr:uid="{AED17983-8AF7-41B8-B2D5-DB9C5226E599}">
      <text>
        <r>
          <rPr>
            <sz val="9"/>
            <color indexed="81"/>
            <rFont val="Tahoma"/>
            <family val="2"/>
          </rPr>
          <t>Vivid nebula surrounding tight open cluster</t>
        </r>
      </text>
    </comment>
    <comment ref="A1687" authorId="0" shapeId="0" xr:uid="{8EA00292-EEFE-46D3-BA4E-336B56B383B5}">
      <text>
        <r>
          <rPr>
            <sz val="9"/>
            <color indexed="81"/>
            <rFont val="Tahoma"/>
            <family val="2"/>
          </rPr>
          <t xml:space="preserve">
</t>
        </r>
      </text>
    </comment>
    <comment ref="K1687" authorId="0" shapeId="0" xr:uid="{C2DB7AC5-3FA4-4463-A94B-829FA63FE6F2}">
      <text>
        <r>
          <rPr>
            <sz val="9"/>
            <color indexed="81"/>
            <rFont val="Tahoma"/>
            <family val="2"/>
          </rPr>
          <t>Dim galaxy with interesting structure, including outer rim</t>
        </r>
      </text>
    </comment>
    <comment ref="A1688" authorId="0" shapeId="0" xr:uid="{23473F09-0616-47DD-9FD1-C9F33B201FAB}">
      <text>
        <r>
          <rPr>
            <sz val="9"/>
            <color indexed="81"/>
            <rFont val="Tahoma"/>
            <family val="2"/>
          </rPr>
          <t xml:space="preserve">
</t>
        </r>
      </text>
    </comment>
    <comment ref="K1688" authorId="0" shapeId="0" xr:uid="{9B2A9438-5924-4439-915C-FC67341796AC}">
      <text>
        <r>
          <rPr>
            <sz val="9"/>
            <color indexed="81"/>
            <rFont val="Tahoma"/>
            <family val="2"/>
          </rPr>
          <t>Splendid emission nebulae in a tulip shape, surrounding an open cluster</t>
        </r>
      </text>
    </comment>
    <comment ref="A1689" authorId="0" shapeId="0" xr:uid="{C97B4A3D-01CB-44C9-93F7-82F6DAE71250}">
      <text>
        <r>
          <rPr>
            <sz val="9"/>
            <color indexed="81"/>
            <rFont val="Tahoma"/>
            <family val="2"/>
          </rPr>
          <t xml:space="preserve">
</t>
        </r>
      </text>
    </comment>
    <comment ref="K1689" authorId="0" shapeId="0" xr:uid="{1FAC91C4-CA8C-450E-B248-139F94CD7EB5}">
      <text>
        <r>
          <rPr>
            <sz val="9"/>
            <color indexed="81"/>
            <rFont val="Tahoma"/>
            <family val="2"/>
          </rPr>
          <t>Barred grand spiral with distinct dust lanes</t>
        </r>
      </text>
    </comment>
    <comment ref="A1690" authorId="0" shapeId="0" xr:uid="{EF9493DC-AAFF-45BA-AD7A-3C3C56924A70}">
      <text>
        <r>
          <rPr>
            <sz val="9"/>
            <color indexed="81"/>
            <rFont val="Tahoma"/>
            <family val="2"/>
          </rPr>
          <t xml:space="preserve">
</t>
        </r>
      </text>
    </comment>
    <comment ref="K1690" authorId="0" shapeId="0" xr:uid="{46725108-CAF0-41C9-A935-2CE327196396}">
      <text>
        <r>
          <rPr>
            <sz val="9"/>
            <color indexed="81"/>
            <rFont val="Tahoma"/>
            <family val="2"/>
          </rPr>
          <t>Strong emission nebula with bright stars and dark nebulae</t>
        </r>
      </text>
    </comment>
    <comment ref="A1691" authorId="0" shapeId="0" xr:uid="{CD2A35DC-5B68-4181-A2E5-C12E7EF9FC27}">
      <text>
        <r>
          <rPr>
            <sz val="9"/>
            <color indexed="81"/>
            <rFont val="Tahoma"/>
            <family val="2"/>
          </rPr>
          <t xml:space="preserve">
</t>
        </r>
      </text>
    </comment>
    <comment ref="K1691" authorId="0" shapeId="0" xr:uid="{1F85D3E3-794F-44D6-B51F-B9EF1131374C}">
      <text>
        <r>
          <rPr>
            <sz val="9"/>
            <color indexed="81"/>
            <rFont val="Tahoma"/>
            <family val="2"/>
          </rPr>
          <t>Bright open cluster next to M42</t>
        </r>
      </text>
    </comment>
    <comment ref="A1692" authorId="0" shapeId="0" xr:uid="{A90A938F-C328-4EA2-B094-FAD017476F89}">
      <text>
        <r>
          <rPr>
            <sz val="9"/>
            <color indexed="81"/>
            <rFont val="Tahoma"/>
            <family val="2"/>
          </rPr>
          <t xml:space="preserve">
</t>
        </r>
      </text>
    </comment>
    <comment ref="K1692" authorId="0" shapeId="0" xr:uid="{5961549C-890C-4D25-8332-2ED2E092CA63}">
      <text>
        <r>
          <rPr>
            <sz val="9"/>
            <color indexed="81"/>
            <rFont val="Tahoma"/>
            <family val="2"/>
          </rPr>
          <t>Topmost of 4 DSO objects which define Orion's Sword</t>
        </r>
      </text>
    </comment>
    <comment ref="A1693" authorId="0" shapeId="0" xr:uid="{8EF35FCE-A83E-433A-9B38-4073FE30CF69}">
      <text>
        <r>
          <rPr>
            <sz val="9"/>
            <color indexed="81"/>
            <rFont val="Tahoma"/>
            <family val="2"/>
          </rPr>
          <t xml:space="preserve">
</t>
        </r>
      </text>
    </comment>
    <comment ref="K1693" authorId="0" shapeId="0" xr:uid="{97A00FF6-902C-4829-B7A5-6117A3159CCA}">
      <text>
        <r>
          <rPr>
            <sz val="9"/>
            <color indexed="81"/>
            <rFont val="Tahoma"/>
            <family val="2"/>
          </rPr>
          <t>Small reflection nebula in Auriga</t>
        </r>
      </text>
    </comment>
    <comment ref="A1694" authorId="0" shapeId="0" xr:uid="{7699FAA0-8417-48F8-B2CC-3A791A4303D3}">
      <text>
        <r>
          <rPr>
            <sz val="9"/>
            <color indexed="81"/>
            <rFont val="Tahoma"/>
            <family val="2"/>
          </rPr>
          <t xml:space="preserve">
</t>
        </r>
      </text>
    </comment>
    <comment ref="K1694" authorId="0" shapeId="0" xr:uid="{016E115B-FBD0-4678-85F7-FB06A85FDE7E}">
      <text>
        <r>
          <rPr>
            <sz val="9"/>
            <color indexed="81"/>
            <rFont val="Tahoma"/>
            <family val="2"/>
          </rPr>
          <t>Key-hole shaped dark area in front of white reflection nebula</t>
        </r>
      </text>
    </comment>
    <comment ref="A1695" authorId="0" shapeId="0" xr:uid="{5015810C-5C12-4315-8F10-20C13A3EB1C4}">
      <text>
        <r>
          <rPr>
            <sz val="9"/>
            <color indexed="81"/>
            <rFont val="Tahoma"/>
            <family val="2"/>
          </rPr>
          <t xml:space="preserve">
</t>
        </r>
      </text>
    </comment>
    <comment ref="K1695" authorId="0" shapeId="0" xr:uid="{C98E993D-73F2-4343-9B82-DD14E17283ED}">
      <text>
        <r>
          <rPr>
            <sz val="9"/>
            <color indexed="81"/>
            <rFont val="Tahoma"/>
            <family val="2"/>
          </rPr>
          <t>Overflowing nebula chalice of bright stars</t>
        </r>
      </text>
    </comment>
    <comment ref="A1696" authorId="0" shapeId="0" xr:uid="{93F583A8-15F9-497A-B557-6143EE707FBF}">
      <text>
        <r>
          <rPr>
            <sz val="9"/>
            <color indexed="81"/>
            <rFont val="Tahoma"/>
            <family val="2"/>
          </rPr>
          <t xml:space="preserve">
</t>
        </r>
      </text>
    </comment>
    <comment ref="K1696" authorId="0" shapeId="0" xr:uid="{72DDC58C-7906-4AF3-BBF1-98922B9F585C}">
      <text>
        <r>
          <rPr>
            <sz val="9"/>
            <color indexed="81"/>
            <rFont val="Tahoma"/>
            <family val="2"/>
          </rPr>
          <t>Bipolar OIII PN with scalloped torus</t>
        </r>
      </text>
    </comment>
    <comment ref="A1697" authorId="0" shapeId="0" xr:uid="{D4309A6C-81E0-4877-B8BA-61EB8A911984}">
      <text>
        <r>
          <rPr>
            <sz val="9"/>
            <color indexed="81"/>
            <rFont val="Tahoma"/>
            <family val="2"/>
          </rPr>
          <t xml:space="preserve">
</t>
        </r>
      </text>
    </comment>
    <comment ref="K1697" authorId="0" shapeId="0" xr:uid="{C0CB302F-DFD2-4C0D-B966-CD842F4C56E4}">
      <text>
        <r>
          <rPr>
            <sz val="9"/>
            <color indexed="81"/>
            <rFont val="Tahoma"/>
            <family val="2"/>
          </rPr>
          <t>Bright HII emission nebula, with most source stars hidden, behind a dark and branching dust lane</t>
        </r>
      </text>
    </comment>
    <comment ref="A1698" authorId="0" shapeId="0" xr:uid="{D36DF18B-3459-4BEB-A2C6-24781F8E69A8}">
      <text>
        <r>
          <rPr>
            <sz val="9"/>
            <color indexed="81"/>
            <rFont val="Tahoma"/>
            <family val="2"/>
          </rPr>
          <t xml:space="preserve">
</t>
        </r>
      </text>
    </comment>
    <comment ref="K1698" authorId="0" shapeId="0" xr:uid="{808460BF-547D-4EDD-A481-A6A95B6652C5}">
      <text>
        <r>
          <rPr>
            <sz val="9"/>
            <color indexed="81"/>
            <rFont val="Tahoma"/>
            <family val="2"/>
          </rPr>
          <t>Brilliant OIII-dominated emission nebula looking like a dragon's head</t>
        </r>
      </text>
    </comment>
    <comment ref="A1699" authorId="0" shapeId="0" xr:uid="{6C275709-3299-4E05-B8D4-E9F74611450A}">
      <text>
        <r>
          <rPr>
            <sz val="9"/>
            <color indexed="81"/>
            <rFont val="Tahoma"/>
            <family val="2"/>
          </rPr>
          <t xml:space="preserve">
</t>
        </r>
      </text>
    </comment>
    <comment ref="K1699" authorId="0" shapeId="0" xr:uid="{28DC5ED3-2360-4C0F-9352-487AEF1D3D7F}">
      <text>
        <r>
          <rPr>
            <sz val="9"/>
            <color indexed="81"/>
            <rFont val="Tahoma"/>
            <family val="2"/>
          </rPr>
          <t>One of the best DSOs in the night sky</t>
        </r>
      </text>
    </comment>
    <comment ref="A1700" authorId="0" shapeId="0" xr:uid="{D0F1B648-446E-4881-BB6B-CB78B28C6874}">
      <text>
        <r>
          <rPr>
            <sz val="9"/>
            <color indexed="81"/>
            <rFont val="Tahoma"/>
            <family val="2"/>
          </rPr>
          <t xml:space="preserve">
</t>
        </r>
      </text>
    </comment>
    <comment ref="K1700" authorId="0" shapeId="0" xr:uid="{C41B50EB-376D-47D6-9CDC-3D56C3850EC9}">
      <text>
        <r>
          <rPr>
            <sz val="9"/>
            <color indexed="81"/>
            <rFont val="Tahoma"/>
            <family val="2"/>
          </rPr>
          <t>Commonly imaged with M78, like M78 but smaller</t>
        </r>
      </text>
    </comment>
    <comment ref="A1701" authorId="0" shapeId="0" xr:uid="{AAE71C10-D3E4-4985-A675-335892B09513}">
      <text>
        <r>
          <rPr>
            <sz val="9"/>
            <color indexed="81"/>
            <rFont val="Tahoma"/>
            <family val="2"/>
          </rPr>
          <t xml:space="preserve">
</t>
        </r>
      </text>
    </comment>
    <comment ref="K1701" authorId="0" shapeId="0" xr:uid="{95ECB528-61C7-4898-B990-DD55A774EE3C}">
      <text>
        <r>
          <rPr>
            <sz val="9"/>
            <color indexed="81"/>
            <rFont val="Tahoma"/>
            <family val="2"/>
          </rPr>
          <t xml:space="preserve">Small grand design spiral </t>
        </r>
      </text>
    </comment>
    <comment ref="A1702" authorId="0" shapeId="0" xr:uid="{DBF57FED-4DC3-4B0E-A678-97C620B3579B}">
      <text>
        <r>
          <rPr>
            <sz val="9"/>
            <color indexed="81"/>
            <rFont val="Tahoma"/>
            <family val="2"/>
          </rPr>
          <t xml:space="preserve">
</t>
        </r>
      </text>
    </comment>
    <comment ref="K1702" authorId="0" shapeId="0" xr:uid="{55D9FB7C-C280-47D9-BFEF-FCE63B6D80F7}">
      <text>
        <r>
          <rPr>
            <sz val="9"/>
            <color indexed="81"/>
            <rFont val="Tahoma"/>
            <family val="2"/>
          </rPr>
          <t>Uniformly bright open cluster behind bright blue foreground star</t>
        </r>
      </text>
    </comment>
    <comment ref="A1703" authorId="0" shapeId="0" xr:uid="{53FAC2A7-4816-4EEA-837D-23B446B79278}">
      <text>
        <r>
          <rPr>
            <sz val="9"/>
            <color indexed="81"/>
            <rFont val="Tahoma"/>
            <family val="2"/>
          </rPr>
          <t xml:space="preserve">
</t>
        </r>
      </text>
    </comment>
    <comment ref="K1703" authorId="0" shapeId="0" xr:uid="{210D3F1B-7D1D-4437-A2E4-7520FCE906FD}">
      <text>
        <r>
          <rPr>
            <sz val="9"/>
            <color indexed="81"/>
            <rFont val="Tahoma"/>
            <family val="2"/>
          </rPr>
          <t>Small open cluster with brilliant mix of brightnesses and color</t>
        </r>
      </text>
    </comment>
    <comment ref="A1704" authorId="0" shapeId="0" xr:uid="{2CCDD1B5-5F59-4AB9-94D0-297A655D2480}">
      <text>
        <r>
          <rPr>
            <sz val="9"/>
            <color indexed="81"/>
            <rFont val="Tahoma"/>
            <family val="2"/>
          </rPr>
          <t xml:space="preserve">
</t>
        </r>
      </text>
    </comment>
    <comment ref="K1704" authorId="0" shapeId="0" xr:uid="{0FDCFBCB-E240-4343-973E-411778627B60}">
      <text>
        <r>
          <rPr>
            <sz val="9"/>
            <color indexed="81"/>
            <rFont val="Tahoma"/>
            <family val="2"/>
          </rPr>
          <t>Near face-on barred spiral that is likely a merger result, with fragmented arms and a chaotic disk.</t>
        </r>
      </text>
    </comment>
    <comment ref="A1705" authorId="0" shapeId="0" xr:uid="{FC7B52DE-BF58-4A72-9B7A-554D85EBF7C2}">
      <text>
        <r>
          <rPr>
            <sz val="9"/>
            <color indexed="81"/>
            <rFont val="Tahoma"/>
            <family val="2"/>
          </rPr>
          <t xml:space="preserve">
</t>
        </r>
      </text>
    </comment>
    <comment ref="K1705" authorId="0" shapeId="0" xr:uid="{C59F4EC9-A9EE-4E34-B2E4-55871CE57E9C}">
      <text>
        <r>
          <rPr>
            <sz val="9"/>
            <color indexed="81"/>
            <rFont val="Tahoma"/>
            <family val="2"/>
          </rPr>
          <t>Highly disturbed edge-on barred spiral.  Looks like a merger result but no scientific evidence of a merger has been found so far.</t>
        </r>
      </text>
    </comment>
    <comment ref="A1706" authorId="0" shapeId="0" xr:uid="{0AFDEB5D-DE4B-4B0C-8B99-3C7BFB970EB9}">
      <text>
        <r>
          <rPr>
            <sz val="9"/>
            <color indexed="81"/>
            <rFont val="Tahoma"/>
            <family val="2"/>
          </rPr>
          <t xml:space="preserve">
</t>
        </r>
      </text>
    </comment>
    <comment ref="K1706" authorId="0" shapeId="0" xr:uid="{E8DE6CDE-35B7-4A5A-AD84-B19A5E82EE9A}">
      <text>
        <r>
          <rPr>
            <sz val="9"/>
            <color indexed="81"/>
            <rFont val="Tahoma"/>
            <family val="2"/>
          </rPr>
          <t>Tremendous multihued reflection nebula adjacent to dark nebula Dobashi 5004</t>
        </r>
      </text>
    </comment>
    <comment ref="A1707" authorId="0" shapeId="0" xr:uid="{0CADBF49-D87E-4D69-96EB-FD35D67B3D81}">
      <text>
        <r>
          <rPr>
            <sz val="9"/>
            <color indexed="81"/>
            <rFont val="Tahoma"/>
            <family val="2"/>
          </rPr>
          <t xml:space="preserve">
</t>
        </r>
      </text>
    </comment>
    <comment ref="K1707" authorId="0" shapeId="0" xr:uid="{2AC2DD95-5ADF-41AE-B7AE-B721C35DC325}">
      <text>
        <r>
          <rPr>
            <sz val="9"/>
            <color indexed="81"/>
            <rFont val="Tahoma"/>
            <family val="2"/>
          </rPr>
          <t>Older cluster commonly imaged with M35</t>
        </r>
      </text>
    </comment>
    <comment ref="A1708" authorId="0" shapeId="0" xr:uid="{7B0E52E1-5C82-40CD-AC04-B31FC1444313}">
      <text>
        <r>
          <rPr>
            <sz val="9"/>
            <color indexed="81"/>
            <rFont val="Tahoma"/>
            <family val="2"/>
          </rPr>
          <t xml:space="preserve">
</t>
        </r>
      </text>
    </comment>
    <comment ref="K1708" authorId="0" shapeId="0" xr:uid="{67C830D9-57C9-483A-8798-A942FEE1C6EF}">
      <text>
        <r>
          <rPr>
            <sz val="9"/>
            <color indexed="81"/>
            <rFont val="Tahoma"/>
            <family val="2"/>
          </rPr>
          <t>Reflection nebula around young variable star, bipolar flow evident</t>
        </r>
      </text>
    </comment>
    <comment ref="A1709" authorId="0" shapeId="0" xr:uid="{BDB9C996-80A1-4A92-8B45-90FC06E5C76F}">
      <text>
        <r>
          <rPr>
            <sz val="9"/>
            <color indexed="81"/>
            <rFont val="Tahoma"/>
            <family val="2"/>
          </rPr>
          <t xml:space="preserve">
</t>
        </r>
      </text>
    </comment>
    <comment ref="K1709" authorId="0" shapeId="0" xr:uid="{7C99BE15-A079-431B-839A-D2246C9E2CA5}">
      <text>
        <r>
          <rPr>
            <sz val="9"/>
            <color indexed="81"/>
            <rFont val="Tahoma"/>
            <family val="2"/>
          </rPr>
          <t>Striking "37" open cluster with no nebulosity and vividly colored stars</t>
        </r>
      </text>
    </comment>
    <comment ref="A1710" authorId="0" shapeId="0" xr:uid="{2CCB3F68-6211-436C-B737-55396F5FFC2A}">
      <text>
        <r>
          <rPr>
            <sz val="9"/>
            <color indexed="81"/>
            <rFont val="Tahoma"/>
            <family val="2"/>
          </rPr>
          <t xml:space="preserve">
</t>
        </r>
      </text>
    </comment>
    <comment ref="K1710" authorId="0" shapeId="0" xr:uid="{6EF640E9-F09C-4D03-BD98-3990A5BC9F85}">
      <text>
        <r>
          <rPr>
            <sz val="9"/>
            <color indexed="81"/>
            <rFont val="Tahoma"/>
            <family val="2"/>
          </rPr>
          <t>Combination reflection &amp; emission nebula, contains 6 vdB objects</t>
        </r>
      </text>
    </comment>
    <comment ref="A1711" authorId="0" shapeId="0" xr:uid="{A7F7E038-03D5-4B9F-91FC-9651B3C50119}">
      <text>
        <r>
          <rPr>
            <sz val="9"/>
            <color indexed="81"/>
            <rFont val="Tahoma"/>
            <family val="2"/>
          </rPr>
          <t xml:space="preserve">
</t>
        </r>
      </text>
    </comment>
    <comment ref="K1711" authorId="0" shapeId="0" xr:uid="{04782FED-BAB9-4587-B545-9A6E6B6AAE06}">
      <text>
        <r>
          <rPr>
            <sz val="9"/>
            <color indexed="81"/>
            <rFont val="Tahoma"/>
            <family val="2"/>
          </rPr>
          <t>Large oval emission nebula with interesting dust clouds and star clusters</t>
        </r>
      </text>
    </comment>
    <comment ref="A1712" authorId="0" shapeId="0" xr:uid="{0E3D8335-1727-4FB5-A4F2-7FDA7C83E1EC}">
      <text>
        <r>
          <rPr>
            <sz val="9"/>
            <color indexed="81"/>
            <rFont val="Tahoma"/>
            <family val="2"/>
          </rPr>
          <t xml:space="preserve">
</t>
        </r>
      </text>
    </comment>
    <comment ref="K1712" authorId="0" shapeId="0" xr:uid="{0D0A7C3C-32D9-4DE4-948B-4EFFB9B58A00}">
      <text>
        <r>
          <rPr>
            <sz val="9"/>
            <color indexed="81"/>
            <rFont val="Tahoma"/>
            <family val="2"/>
          </rPr>
          <t>A dim copy of the NGC 2170 nebula</t>
        </r>
      </text>
    </comment>
    <comment ref="A1713" authorId="0" shapeId="0" xr:uid="{15BB8E03-B1EC-41A2-B857-7989CDAF662E}">
      <text>
        <r>
          <rPr>
            <sz val="9"/>
            <color indexed="81"/>
            <rFont val="Tahoma"/>
            <family val="2"/>
          </rPr>
          <t xml:space="preserve">
</t>
        </r>
      </text>
    </comment>
    <comment ref="K1713" authorId="0" shapeId="0" xr:uid="{398A21CA-B2AB-4D10-8BF4-8767363253DD}">
      <text>
        <r>
          <rPr>
            <sz val="9"/>
            <color indexed="81"/>
            <rFont val="Tahoma"/>
            <family val="2"/>
          </rPr>
          <t>Anvil shaped cluster of varying brightness stars</t>
        </r>
      </text>
    </comment>
    <comment ref="A1714" authorId="0" shapeId="0" xr:uid="{82B9DEDA-EA23-475B-A394-0F320F8CCC37}">
      <text>
        <r>
          <rPr>
            <sz val="9"/>
            <color indexed="81"/>
            <rFont val="Tahoma"/>
            <family val="2"/>
          </rPr>
          <t xml:space="preserve">
</t>
        </r>
      </text>
    </comment>
    <comment ref="K1714" authorId="0" shapeId="0" xr:uid="{E3AFCCC7-9308-4CDA-8798-B7C2ED386418}">
      <text>
        <r>
          <rPr>
            <sz val="9"/>
            <color indexed="81"/>
            <rFont val="Tahoma"/>
            <family val="2"/>
          </rPr>
          <t>H-shaped cluster of many uniform stars</t>
        </r>
      </text>
    </comment>
    <comment ref="A1715" authorId="0" shapeId="0" xr:uid="{22A13027-9B4D-4ED8-B263-313F1DB77218}">
      <text>
        <r>
          <rPr>
            <sz val="9"/>
            <color indexed="81"/>
            <rFont val="Tahoma"/>
            <family val="2"/>
          </rPr>
          <t xml:space="preserve">
</t>
        </r>
      </text>
    </comment>
    <comment ref="K1715" authorId="0" shapeId="0" xr:uid="{8D0B87DA-8F93-49B2-9F5B-51C63D6FC626}">
      <text>
        <r>
          <rPr>
            <sz val="9"/>
            <color indexed="81"/>
            <rFont val="Tahoma"/>
            <family val="2"/>
          </rPr>
          <t>Odd outer disk - star formation in galaxy rim, and void area in the lower half</t>
        </r>
      </text>
    </comment>
    <comment ref="A1716" authorId="0" shapeId="0" xr:uid="{4FF6F24E-7641-4891-AF09-09BC0110F93C}">
      <text>
        <r>
          <rPr>
            <sz val="9"/>
            <color indexed="81"/>
            <rFont val="Tahoma"/>
            <family val="2"/>
          </rPr>
          <t xml:space="preserve">
</t>
        </r>
      </text>
    </comment>
    <comment ref="K1716" authorId="0" shapeId="0" xr:uid="{D22DB145-4C8D-45E5-B181-A129E3294830}">
      <text>
        <r>
          <rPr>
            <sz val="9"/>
            <color indexed="81"/>
            <rFont val="Tahoma"/>
            <family val="2"/>
          </rPr>
          <t xml:space="preserve">X-shaped distant cluster with bright orange star just north </t>
        </r>
      </text>
    </comment>
    <comment ref="A1717" authorId="0" shapeId="0" xr:uid="{34C362FD-19FB-49AC-A1F2-2DD5DECCB99C}">
      <text>
        <r>
          <rPr>
            <sz val="9"/>
            <color indexed="81"/>
            <rFont val="Tahoma"/>
            <family val="2"/>
          </rPr>
          <t xml:space="preserve">
</t>
        </r>
      </text>
    </comment>
    <comment ref="K1717" authorId="0" shapeId="0" xr:uid="{71EA54DA-ED37-4F85-94B7-63061B7D443B}">
      <text>
        <r>
          <rPr>
            <sz val="9"/>
            <color indexed="81"/>
            <rFont val="Tahoma"/>
            <family val="2"/>
          </rPr>
          <t>Paired with IC2163 in the background.  Galaxies may be interacting.</t>
        </r>
      </text>
    </comment>
    <comment ref="A1718" authorId="0" shapeId="0" xr:uid="{5DD26F83-B8EF-4373-A2BD-A39BFA3013FA}">
      <text>
        <r>
          <rPr>
            <sz val="9"/>
            <color indexed="81"/>
            <rFont val="Tahoma"/>
            <family val="2"/>
          </rPr>
          <t xml:space="preserve">
</t>
        </r>
      </text>
    </comment>
    <comment ref="K1718" authorId="0" shapeId="0" xr:uid="{8F73328C-D442-470A-8C72-0A6703E2CB3C}">
      <text>
        <r>
          <rPr>
            <sz val="9"/>
            <color indexed="81"/>
            <rFont val="Tahoma"/>
            <family val="2"/>
          </rPr>
          <t>Rough circular shape of small open cluster stars</t>
        </r>
      </text>
    </comment>
    <comment ref="A1719" authorId="0" shapeId="0" xr:uid="{C9171C6A-B36E-4EB4-88D3-F8506C6CC458}">
      <text>
        <r>
          <rPr>
            <sz val="9"/>
            <color indexed="81"/>
            <rFont val="Tahoma"/>
            <family val="2"/>
          </rPr>
          <t xml:space="preserve">
</t>
        </r>
      </text>
    </comment>
    <comment ref="K1719" authorId="0" shapeId="0" xr:uid="{48725B0B-F703-43A8-A517-80735B30DF8D}">
      <text>
        <r>
          <rPr>
            <sz val="9"/>
            <color indexed="81"/>
            <rFont val="Tahoma"/>
            <family val="2"/>
          </rPr>
          <t>Barred lenticular ring galaxy with both nuclear and outer rings</t>
        </r>
      </text>
    </comment>
    <comment ref="A1720" authorId="0" shapeId="0" xr:uid="{EF5B685F-657A-46EC-BE7A-870B19629A13}">
      <text>
        <r>
          <rPr>
            <sz val="9"/>
            <color indexed="81"/>
            <rFont val="Tahoma"/>
            <family val="2"/>
          </rPr>
          <t xml:space="preserve">
</t>
        </r>
      </text>
    </comment>
    <comment ref="K1720" authorId="0" shapeId="0" xr:uid="{94EAB10F-C6A1-461D-9660-8F4EEFE3006A}">
      <text>
        <r>
          <rPr>
            <sz val="9"/>
            <color indexed="81"/>
            <rFont val="Tahoma"/>
            <family val="2"/>
          </rPr>
          <t>Inner pseudo-ring is slightly off-center</t>
        </r>
      </text>
    </comment>
    <comment ref="A1721" authorId="0" shapeId="0" xr:uid="{ABAF60C2-D859-4AAC-8CEF-69A5B5777133}">
      <text>
        <r>
          <rPr>
            <sz val="9"/>
            <color indexed="81"/>
            <rFont val="Tahoma"/>
            <family val="2"/>
          </rPr>
          <t xml:space="preserve">
</t>
        </r>
      </text>
    </comment>
    <comment ref="K1721" authorId="0" shapeId="0" xr:uid="{099B3401-4128-49EE-BE18-AC0753DF511A}">
      <text>
        <r>
          <rPr>
            <sz val="9"/>
            <color indexed="81"/>
            <rFont val="Tahoma"/>
            <family val="2"/>
          </rPr>
          <t>Irregularly shaped open cluster with several nice bright stars</t>
        </r>
      </text>
    </comment>
    <comment ref="A1722" authorId="0" shapeId="0" xr:uid="{0E6E5AF6-034B-4B4D-870F-B7EA1D2DDA72}">
      <text>
        <r>
          <rPr>
            <sz val="9"/>
            <color indexed="81"/>
            <rFont val="Tahoma"/>
            <family val="2"/>
          </rPr>
          <t xml:space="preserve">
</t>
        </r>
      </text>
    </comment>
    <comment ref="K1722" authorId="0" shapeId="0" xr:uid="{AD0FF322-5350-4D50-AB19-36F4CFFF6CEE}">
      <text>
        <r>
          <rPr>
            <sz val="9"/>
            <color indexed="81"/>
            <rFont val="Tahoma"/>
            <family val="2"/>
          </rPr>
          <t>Rosette Nebula, most famous example of Stromgren sphere.  The state DSO of Oklahoma.</t>
        </r>
      </text>
    </comment>
    <comment ref="A1723" authorId="0" shapeId="0" xr:uid="{8AF562C0-9E83-4B98-AC67-960C3ED8FF27}">
      <text>
        <r>
          <rPr>
            <sz val="9"/>
            <color indexed="81"/>
            <rFont val="Tahoma"/>
            <family val="2"/>
          </rPr>
          <t xml:space="preserve">
</t>
        </r>
      </text>
    </comment>
    <comment ref="K1723" authorId="0" shapeId="0" xr:uid="{E6C3DAD7-563F-4E45-AC0D-2946B9C95261}">
      <text>
        <r>
          <rPr>
            <sz val="9"/>
            <color indexed="81"/>
            <rFont val="Tahoma"/>
            <family val="2"/>
          </rPr>
          <t>OIII owl-type PN</t>
        </r>
      </text>
    </comment>
    <comment ref="A1724" authorId="0" shapeId="0" xr:uid="{56EB6941-F04B-4369-B052-93ED72E56713}">
      <text>
        <r>
          <rPr>
            <sz val="9"/>
            <color indexed="81"/>
            <rFont val="Tahoma"/>
            <family val="2"/>
          </rPr>
          <t xml:space="preserve">
</t>
        </r>
      </text>
    </comment>
    <comment ref="K1724" authorId="0" shapeId="0" xr:uid="{F6B2FE2E-119D-45B6-934F-282608A93327}">
      <text>
        <r>
          <rPr>
            <sz val="9"/>
            <color indexed="81"/>
            <rFont val="Tahoma"/>
            <family val="2"/>
          </rPr>
          <t>Star cluster within the Rosette Nebula</t>
        </r>
      </text>
    </comment>
    <comment ref="A1725" authorId="0" shapeId="0" xr:uid="{C872EA82-7EE8-44A3-BAB3-CFF6ABC26414}">
      <text>
        <r>
          <rPr>
            <sz val="9"/>
            <color indexed="81"/>
            <rFont val="Tahoma"/>
            <family val="2"/>
          </rPr>
          <t xml:space="preserve">
</t>
        </r>
      </text>
    </comment>
    <comment ref="K1725" authorId="0" shapeId="0" xr:uid="{920DD37F-D356-4D16-8C70-B6DF6626469F}">
      <text>
        <r>
          <rPr>
            <sz val="9"/>
            <color indexed="81"/>
            <rFont val="Tahoma"/>
            <family val="2"/>
          </rPr>
          <t>Blue and white reflection nebula, a lovely pair with NGC 2247.</t>
        </r>
      </text>
    </comment>
    <comment ref="A1726" authorId="0" shapeId="0" xr:uid="{E3359090-9A3B-473F-8817-26DD5B1ED771}">
      <text>
        <r>
          <rPr>
            <sz val="9"/>
            <color indexed="81"/>
            <rFont val="Tahoma"/>
            <family val="2"/>
          </rPr>
          <t xml:space="preserve">
</t>
        </r>
      </text>
    </comment>
    <comment ref="K1726" authorId="0" shapeId="0" xr:uid="{576E48EC-BA10-4342-907F-FF1359CFD32B}">
      <text>
        <r>
          <rPr>
            <sz val="9"/>
            <color indexed="81"/>
            <rFont val="Tahoma"/>
            <family val="2"/>
          </rPr>
          <t>Wonderfully detailed blue reflection nebula, a lovely pair with NGC 2245.</t>
        </r>
      </text>
    </comment>
    <comment ref="A1727" authorId="0" shapeId="0" xr:uid="{8C87ACD5-5F94-49E8-8828-CEFDE259E0A7}">
      <text>
        <r>
          <rPr>
            <sz val="9"/>
            <color indexed="81"/>
            <rFont val="Tahoma"/>
            <family val="2"/>
          </rPr>
          <t xml:space="preserve">
</t>
        </r>
      </text>
    </comment>
    <comment ref="K1727" authorId="0" shapeId="0" xr:uid="{4DE2A5C2-309F-4941-8892-9D4EA7AA37A2}">
      <text>
        <r>
          <rPr>
            <sz val="9"/>
            <color indexed="81"/>
            <rFont val="Tahoma"/>
            <family val="2"/>
          </rPr>
          <t>Arrowhead shape of cluster which is not well differentiated</t>
        </r>
      </text>
    </comment>
    <comment ref="A1728" authorId="0" shapeId="0" xr:uid="{7C923AFE-34F9-482C-B3D3-0649CA00F019}">
      <text>
        <r>
          <rPr>
            <sz val="9"/>
            <color indexed="81"/>
            <rFont val="Tahoma"/>
            <family val="2"/>
          </rPr>
          <t xml:space="preserve">
</t>
        </r>
      </text>
    </comment>
    <comment ref="K1728" authorId="0" shapeId="0" xr:uid="{D4D4ABC4-569E-44EE-AB30-030C3E191285}">
      <text>
        <r>
          <rPr>
            <sz val="9"/>
            <color indexed="81"/>
            <rFont val="Tahoma"/>
            <family val="2"/>
          </rPr>
          <t>The best variable reflection nebula in the sky, with changes seen year to year</t>
        </r>
      </text>
    </comment>
    <comment ref="A1729" authorId="0" shapeId="0" xr:uid="{AAE4D8E9-E77D-4732-B699-D670E4377E4B}">
      <text>
        <r>
          <rPr>
            <sz val="9"/>
            <color indexed="81"/>
            <rFont val="Tahoma"/>
            <family val="2"/>
          </rPr>
          <t xml:space="preserve">
</t>
        </r>
      </text>
    </comment>
    <comment ref="K1729" authorId="0" shapeId="0" xr:uid="{1CC44D57-0D3C-45D7-9F27-DA6BDFAB8280}">
      <text>
        <r>
          <rPr>
            <sz val="9"/>
            <color indexed="81"/>
            <rFont val="Tahoma"/>
            <family val="2"/>
          </rPr>
          <t>Showcase cluster + nebula, including Cone Nebula and Fox Fur Nebula</t>
        </r>
      </text>
    </comment>
    <comment ref="A1730" authorId="0" shapeId="0" xr:uid="{B983E9B4-AC11-42CB-A969-4D95361E9279}">
      <text>
        <r>
          <rPr>
            <sz val="9"/>
            <color indexed="81"/>
            <rFont val="Tahoma"/>
            <family val="2"/>
          </rPr>
          <t xml:space="preserve">
</t>
        </r>
      </text>
    </comment>
    <comment ref="K1730" authorId="0" shapeId="0" xr:uid="{7591B73E-A3CD-4163-AB98-4A7CD281F00C}">
      <text>
        <r>
          <rPr>
            <sz val="9"/>
            <color indexed="81"/>
            <rFont val="Tahoma"/>
            <family val="2"/>
          </rPr>
          <t>Triangle shaped open cluster</t>
        </r>
      </text>
    </comment>
    <comment ref="A1731" authorId="0" shapeId="0" xr:uid="{9BD14455-9CDF-46A7-AD98-FC130B7EBAB7}">
      <text>
        <r>
          <rPr>
            <sz val="9"/>
            <color indexed="81"/>
            <rFont val="Tahoma"/>
            <family val="2"/>
          </rPr>
          <t xml:space="preserve">
</t>
        </r>
      </text>
    </comment>
    <comment ref="K1731" authorId="0" shapeId="0" xr:uid="{CC6DF9C0-DBF5-4C9F-8DB2-27C40E97BE85}">
      <text>
        <r>
          <rPr>
            <sz val="9"/>
            <color indexed="81"/>
            <rFont val="Tahoma"/>
            <family val="2"/>
          </rPr>
          <t>Stubby arms and an outer disk that has a hexagon shape</t>
        </r>
      </text>
    </comment>
    <comment ref="A1732" authorId="0" shapeId="0" xr:uid="{0C4450B2-F765-4B65-93C7-31C7F0E2609E}">
      <text>
        <r>
          <rPr>
            <sz val="9"/>
            <color indexed="81"/>
            <rFont val="Tahoma"/>
            <family val="2"/>
          </rPr>
          <t xml:space="preserve">
</t>
        </r>
      </text>
    </comment>
    <comment ref="K1732" authorId="0" shapeId="0" xr:uid="{A822B4E1-25D3-40C2-9D6F-D46A4A3FEE72}">
      <text>
        <r>
          <rPr>
            <sz val="9"/>
            <color indexed="81"/>
            <rFont val="Tahoma"/>
            <family val="2"/>
          </rPr>
          <t>Seyfert double ring spiral with bright short inner arms and 2 faint closed outer rings</t>
        </r>
      </text>
    </comment>
    <comment ref="A1733" authorId="0" shapeId="0" xr:uid="{0EAE7E86-3036-4654-BA52-5917F7A84F3D}">
      <text>
        <r>
          <rPr>
            <sz val="9"/>
            <color indexed="81"/>
            <rFont val="Tahoma"/>
            <family val="2"/>
          </rPr>
          <t xml:space="preserve">
</t>
        </r>
      </text>
    </comment>
    <comment ref="K1733" authorId="0" shapeId="0" xr:uid="{D4BCEEB2-7D1D-4A31-9141-46623E529F2F}">
      <text>
        <r>
          <rPr>
            <sz val="9"/>
            <color indexed="81"/>
            <rFont val="Tahoma"/>
            <family val="2"/>
          </rPr>
          <t>One of the most interesting small galaxy groups in the sky with interesting galaxy structures</t>
        </r>
      </text>
    </comment>
    <comment ref="A1734" authorId="0" shapeId="0" xr:uid="{504C88CC-28E9-4868-A9CD-3146444A3C72}">
      <text>
        <r>
          <rPr>
            <sz val="9"/>
            <color indexed="81"/>
            <rFont val="Tahoma"/>
            <family val="2"/>
          </rPr>
          <t xml:space="preserve">
</t>
        </r>
      </text>
    </comment>
    <comment ref="K1734" authorId="0" shapeId="0" xr:uid="{A51A74F8-6116-461C-B5DC-47CD0305AC52}">
      <text>
        <r>
          <rPr>
            <sz val="9"/>
            <color indexed="81"/>
            <rFont val="Tahoma"/>
            <family val="2"/>
          </rPr>
          <t>Grand design spiral with each arm spiraling out more than 1 revolution</t>
        </r>
      </text>
    </comment>
    <comment ref="A1735" authorId="0" shapeId="0" xr:uid="{B98B4DE1-1A20-4DB0-8C91-1A8CFA55ABA1}">
      <text>
        <r>
          <rPr>
            <sz val="9"/>
            <color indexed="81"/>
            <rFont val="Tahoma"/>
            <family val="2"/>
          </rPr>
          <t xml:space="preserve">
</t>
        </r>
      </text>
    </comment>
    <comment ref="K1735" authorId="0" shapeId="0" xr:uid="{F5DDAB1B-3C0D-43E6-99D7-037C16F706B9}">
      <text>
        <r>
          <rPr>
            <sz val="9"/>
            <color indexed="81"/>
            <rFont val="Tahoma"/>
            <family val="2"/>
          </rPr>
          <t>Varying colors and brightnesses, in a fairly dust free region of the sky</t>
        </r>
      </text>
    </comment>
    <comment ref="A1736" authorId="0" shapeId="0" xr:uid="{4D4F1E96-EF0F-460D-94E8-8ECDF7987F56}">
      <text>
        <r>
          <rPr>
            <sz val="9"/>
            <color indexed="81"/>
            <rFont val="Tahoma"/>
            <family val="2"/>
          </rPr>
          <t xml:space="preserve">
</t>
        </r>
      </text>
    </comment>
    <comment ref="K1736" authorId="0" shapeId="0" xr:uid="{F26B884D-04D9-4121-9094-F65BB2A8DF0F}">
      <text>
        <r>
          <rPr>
            <sz val="9"/>
            <color indexed="81"/>
            <rFont val="Tahoma"/>
            <family val="2"/>
          </rPr>
          <t>Multihued object includes several reflection nebula, an emission nebula, and a star cluster</t>
        </r>
      </text>
    </comment>
    <comment ref="A1737" authorId="0" shapeId="0" xr:uid="{8798B0DD-0E74-4642-BE89-BC2195DB3858}">
      <text>
        <r>
          <rPr>
            <sz val="9"/>
            <color indexed="81"/>
            <rFont val="Tahoma"/>
            <family val="2"/>
          </rPr>
          <t xml:space="preserve">
</t>
        </r>
      </text>
    </comment>
    <comment ref="K1737" authorId="0" shapeId="0" xr:uid="{656F1833-474A-4EA4-96C4-8023DAF10B2C}">
      <text>
        <r>
          <rPr>
            <sz val="9"/>
            <color indexed="81"/>
            <rFont val="Tahoma"/>
            <family val="2"/>
          </rPr>
          <t>Indistinct from background</t>
        </r>
      </text>
    </comment>
    <comment ref="A1738" authorId="0" shapeId="0" xr:uid="{97647F28-24C3-4816-9A79-C9A16C12194B}">
      <text>
        <r>
          <rPr>
            <sz val="9"/>
            <color indexed="81"/>
            <rFont val="Tahoma"/>
            <family val="2"/>
          </rPr>
          <t xml:space="preserve">
</t>
        </r>
      </text>
    </comment>
    <comment ref="K1738" authorId="0" shapeId="0" xr:uid="{12DAFBAC-6E85-4490-943F-1F23AB964698}">
      <text>
        <r>
          <rPr>
            <sz val="9"/>
            <color indexed="81"/>
            <rFont val="Tahoma"/>
            <family val="2"/>
          </rPr>
          <t>Pleasing group, including 3 spirals, which was somehow not included in the Hickson catalogue</t>
        </r>
      </text>
    </comment>
    <comment ref="A1739" authorId="0" shapeId="0" xr:uid="{701A4078-48BE-421A-AD1F-5713659405E4}">
      <text>
        <r>
          <rPr>
            <sz val="9"/>
            <color indexed="81"/>
            <rFont val="Tahoma"/>
            <family val="2"/>
          </rPr>
          <t xml:space="preserve">
</t>
        </r>
      </text>
    </comment>
    <comment ref="K1739" authorId="0" shapeId="0" xr:uid="{3F123417-15C3-432F-9118-9DCEF0D3AC9C}">
      <text>
        <r>
          <rPr>
            <sz val="9"/>
            <color indexed="81"/>
            <rFont val="Tahoma"/>
            <family val="2"/>
          </rPr>
          <t>Globular clusters in Puppis</t>
        </r>
      </text>
    </comment>
    <comment ref="A1740" authorId="0" shapeId="0" xr:uid="{0F1DD9FF-BDFF-4AFD-89B0-17C1B157015C}">
      <text>
        <r>
          <rPr>
            <sz val="9"/>
            <color indexed="81"/>
            <rFont val="Tahoma"/>
            <family val="2"/>
          </rPr>
          <t xml:space="preserve">
</t>
        </r>
      </text>
    </comment>
    <comment ref="K1740" authorId="0" shapeId="0" xr:uid="{AF909095-C0DF-4583-862D-89A0A15AC049}">
      <text>
        <r>
          <rPr>
            <sz val="9"/>
            <color indexed="81"/>
            <rFont val="Tahoma"/>
            <family val="2"/>
          </rPr>
          <t>Pleasing arrangement of colorful and multisized stars</t>
        </r>
      </text>
    </comment>
    <comment ref="A1741" authorId="0" shapeId="0" xr:uid="{AF7F98F0-4D17-4192-924A-68BB16CC9617}">
      <text>
        <r>
          <rPr>
            <sz val="9"/>
            <color indexed="81"/>
            <rFont val="Tahoma"/>
            <family val="2"/>
          </rPr>
          <t xml:space="preserve">
</t>
        </r>
      </text>
    </comment>
    <comment ref="K1741" authorId="0" shapeId="0" xr:uid="{C3FF4E13-8FB4-4296-B1B4-4842F3CAADA8}">
      <text>
        <r>
          <rPr>
            <sz val="9"/>
            <color indexed="81"/>
            <rFont val="Tahoma"/>
            <family val="2"/>
          </rPr>
          <t>Unique diamond shaped cluster arrangement</t>
        </r>
      </text>
    </comment>
    <comment ref="A1742" authorId="0" shapeId="0" xr:uid="{CE6EFEA6-1EC1-41D0-A573-62F62DB97585}">
      <text>
        <r>
          <rPr>
            <sz val="9"/>
            <color indexed="81"/>
            <rFont val="Tahoma"/>
            <family val="2"/>
          </rPr>
          <t xml:space="preserve">
</t>
        </r>
      </text>
    </comment>
    <comment ref="K1742" authorId="0" shapeId="0" xr:uid="{55B76DCA-6F98-4FB1-8275-02D7F847F23F}">
      <text>
        <r>
          <rPr>
            <sz val="9"/>
            <color indexed="81"/>
            <rFont val="Tahoma"/>
            <family val="2"/>
          </rPr>
          <t>Seen just southwest of a line of 3 brighter stars</t>
        </r>
      </text>
    </comment>
    <comment ref="A1743" authorId="0" shapeId="0" xr:uid="{1714A8D3-A8ED-46D1-BBDF-743150BA2C3E}">
      <text>
        <r>
          <rPr>
            <sz val="9"/>
            <color indexed="81"/>
            <rFont val="Tahoma"/>
            <family val="2"/>
          </rPr>
          <t xml:space="preserve">
</t>
        </r>
      </text>
    </comment>
    <comment ref="K1743" authorId="0" shapeId="0" xr:uid="{AA6F66D8-A724-4402-AD79-5B1AEDFF61B6}">
      <text>
        <r>
          <rPr>
            <sz val="9"/>
            <color indexed="81"/>
            <rFont val="Tahoma"/>
            <family val="2"/>
          </rPr>
          <t>Small cometary nebula, with orange color due to orange source star</t>
        </r>
      </text>
    </comment>
    <comment ref="A1744" authorId="0" shapeId="0" xr:uid="{7191537B-4BF9-45FF-8F99-5BE6A8998C5B}">
      <text>
        <r>
          <rPr>
            <sz val="9"/>
            <color indexed="81"/>
            <rFont val="Tahoma"/>
            <family val="2"/>
          </rPr>
          <t xml:space="preserve">
</t>
        </r>
      </text>
    </comment>
    <comment ref="K1744" authorId="0" shapeId="0" xr:uid="{10680198-B5A9-4A40-9D9E-56590E5C12B0}">
      <text>
        <r>
          <rPr>
            <sz val="9"/>
            <color indexed="81"/>
            <rFont val="Tahoma"/>
            <family val="2"/>
          </rPr>
          <t>Small cometary nebula, one of the reddish known</t>
        </r>
      </text>
    </comment>
    <comment ref="A1745" authorId="0" shapeId="0" xr:uid="{CC855907-1433-45B3-9462-BEBCAC532C32}">
      <text>
        <r>
          <rPr>
            <sz val="9"/>
            <color indexed="81"/>
            <rFont val="Tahoma"/>
            <family val="2"/>
          </rPr>
          <t xml:space="preserve">
</t>
        </r>
      </text>
    </comment>
    <comment ref="K1745" authorId="0" shapeId="0" xr:uid="{510D1D3F-3AAC-44DA-8C81-F536CAC45C08}">
      <text>
        <r>
          <rPr>
            <sz val="9"/>
            <color indexed="81"/>
            <rFont val="Tahoma"/>
            <family val="2"/>
          </rPr>
          <t>Many stars of this open cluster, but cluster doesn't stand out</t>
        </r>
      </text>
    </comment>
    <comment ref="A1746" authorId="0" shapeId="0" xr:uid="{505F259B-E52A-4A67-8A75-EF7B9FBC49C3}">
      <text>
        <r>
          <rPr>
            <sz val="9"/>
            <color indexed="81"/>
            <rFont val="Tahoma"/>
            <family val="2"/>
          </rPr>
          <t xml:space="preserve">
</t>
        </r>
      </text>
    </comment>
    <comment ref="K1746" authorId="0" shapeId="0" xr:uid="{35A493DC-FE16-4F6B-9195-1A245A621EFE}">
      <text>
        <r>
          <rPr>
            <sz val="9"/>
            <color indexed="81"/>
            <rFont val="Tahoma"/>
            <family val="2"/>
          </rPr>
          <t>The wings of the showcase Seagull Nebula</t>
        </r>
      </text>
    </comment>
    <comment ref="A1747" authorId="0" shapeId="0" xr:uid="{35C21483-68DD-4ADB-9739-265F1A1AFC0B}">
      <text>
        <r>
          <rPr>
            <sz val="9"/>
            <color indexed="81"/>
            <rFont val="Tahoma"/>
            <family val="2"/>
          </rPr>
          <t xml:space="preserve">
</t>
        </r>
      </text>
    </comment>
    <comment ref="K1747" authorId="0" shapeId="0" xr:uid="{C2FFA6F2-3F08-4001-9BCE-BCDB66CDD898}">
      <text>
        <r>
          <rPr>
            <sz val="9"/>
            <color indexed="81"/>
            <rFont val="Tahoma"/>
            <family val="2"/>
          </rPr>
          <t>The cluster on the left shoulder of the Seagull Nebula</t>
        </r>
      </text>
    </comment>
    <comment ref="A1748" authorId="0" shapeId="0" xr:uid="{B33469B6-6A90-402C-8053-BEC1D7B4B4A8}">
      <text>
        <r>
          <rPr>
            <sz val="9"/>
            <color indexed="81"/>
            <rFont val="Tahoma"/>
            <family val="2"/>
          </rPr>
          <t xml:space="preserve">
</t>
        </r>
      </text>
    </comment>
    <comment ref="K1748" authorId="0" shapeId="0" xr:uid="{5FF39600-E415-45E9-87C2-85BCB95B4095}">
      <text>
        <r>
          <rPr>
            <sz val="9"/>
            <color indexed="81"/>
            <rFont val="Tahoma"/>
            <family val="2"/>
          </rPr>
          <t>Very large spiral with nuclear ring and VV rows</t>
        </r>
      </text>
    </comment>
    <comment ref="A1749" authorId="0" shapeId="0" xr:uid="{A4C8692F-9EE2-47A5-B3E1-7C9BF99DB505}">
      <text>
        <r>
          <rPr>
            <sz val="9"/>
            <color indexed="81"/>
            <rFont val="Tahoma"/>
            <family val="2"/>
          </rPr>
          <t xml:space="preserve">
</t>
        </r>
      </text>
    </comment>
    <comment ref="K1749" authorId="0" shapeId="0" xr:uid="{47306BA1-8FA8-4D3D-93EB-B2FE85990518}">
      <text>
        <r>
          <rPr>
            <sz val="9"/>
            <color indexed="81"/>
            <rFont val="Tahoma"/>
            <family val="2"/>
          </rPr>
          <t>Barred grand design spiral with nice color</t>
        </r>
      </text>
    </comment>
    <comment ref="A1750" authorId="0" shapeId="0" xr:uid="{F9FA2EB3-044F-4C52-8419-D8718052FE71}">
      <text>
        <r>
          <rPr>
            <sz val="9"/>
            <color indexed="81"/>
            <rFont val="Tahoma"/>
            <family val="2"/>
          </rPr>
          <t xml:space="preserve">
</t>
        </r>
      </text>
    </comment>
    <comment ref="K1750" authorId="0" shapeId="0" xr:uid="{537AC313-F05D-4A59-9775-0A37C47A244C}">
      <text>
        <r>
          <rPr>
            <sz val="9"/>
            <color indexed="81"/>
            <rFont val="Tahoma"/>
            <family val="2"/>
          </rPr>
          <t>Small FOV which contains 10 NGC and IC galaxies</t>
        </r>
      </text>
    </comment>
    <comment ref="A1751" authorId="0" shapeId="0" xr:uid="{688A8689-0C80-4B7B-8B4B-178E418ED4EF}">
      <text>
        <r>
          <rPr>
            <sz val="9"/>
            <color indexed="81"/>
            <rFont val="Tahoma"/>
            <family val="2"/>
          </rPr>
          <t xml:space="preserve">
</t>
        </r>
      </text>
    </comment>
    <comment ref="K1751" authorId="0" shapeId="0" xr:uid="{6A9C000C-6736-46F4-8A0E-AE054400E4ED}">
      <text>
        <r>
          <rPr>
            <sz val="9"/>
            <color indexed="81"/>
            <rFont val="Tahoma"/>
            <family val="2"/>
          </rPr>
          <t>Sparse squarish concentration of stars</t>
        </r>
      </text>
    </comment>
    <comment ref="A1752" authorId="0" shapeId="0" xr:uid="{111DB847-10C4-4CA8-B07A-7E9B09F5ECA7}">
      <text>
        <r>
          <rPr>
            <sz val="9"/>
            <color indexed="81"/>
            <rFont val="Tahoma"/>
            <family val="2"/>
          </rPr>
          <t xml:space="preserve">
</t>
        </r>
      </text>
    </comment>
    <comment ref="K1752" authorId="0" shapeId="0" xr:uid="{0E8C4165-84D2-4693-BA9B-B92B55B67DA9}">
      <text>
        <r>
          <rPr>
            <sz val="9"/>
            <color indexed="81"/>
            <rFont val="Tahoma"/>
            <family val="2"/>
          </rPr>
          <t>Complex bipolar PN with HII rim and OIII center, progenitor is visible</t>
        </r>
      </text>
    </comment>
    <comment ref="A1753" authorId="0" shapeId="0" xr:uid="{7869DDD1-2E02-4B87-8186-4E088A01F5EA}">
      <text>
        <r>
          <rPr>
            <sz val="9"/>
            <color indexed="81"/>
            <rFont val="Tahoma"/>
            <family val="2"/>
          </rPr>
          <t xml:space="preserve">
</t>
        </r>
      </text>
    </comment>
    <comment ref="K1753" authorId="0" shapeId="0" xr:uid="{E8059D47-2AC6-4AFB-8AF6-5E376314C04B}">
      <text>
        <r>
          <rPr>
            <sz val="9"/>
            <color indexed="81"/>
            <rFont val="Tahoma"/>
            <family val="2"/>
          </rPr>
          <t>Chaotic spiral with diffuse outer disk</t>
        </r>
      </text>
    </comment>
    <comment ref="A1754" authorId="0" shapeId="0" xr:uid="{67743E94-2C64-4AC5-83AA-E55EBF2E6C3B}">
      <text>
        <r>
          <rPr>
            <sz val="9"/>
            <color indexed="81"/>
            <rFont val="Tahoma"/>
            <family val="2"/>
          </rPr>
          <t xml:space="preserve">
</t>
        </r>
      </text>
    </comment>
    <comment ref="K1754" authorId="0" shapeId="0" xr:uid="{713F8927-E53B-4FF7-B104-CB2CA1DBDB3F}">
      <text>
        <r>
          <rPr>
            <sz val="9"/>
            <color indexed="81"/>
            <rFont val="Tahoma"/>
            <family val="2"/>
          </rPr>
          <t>Cluster seen with background nebulosity and foreground bright blue mag 6 star</t>
        </r>
      </text>
    </comment>
    <comment ref="A1755" authorId="0" shapeId="0" xr:uid="{0E9A7000-6682-4E0A-9675-722E3B3F1EAF}">
      <text>
        <r>
          <rPr>
            <sz val="9"/>
            <color indexed="81"/>
            <rFont val="Tahoma"/>
            <family val="2"/>
          </rPr>
          <t xml:space="preserve">
</t>
        </r>
      </text>
    </comment>
    <comment ref="K1755" authorId="0" shapeId="0" xr:uid="{E43E626E-BA16-4D06-974B-89A41278CA60}">
      <text>
        <r>
          <rPr>
            <sz val="9"/>
            <color indexed="81"/>
            <rFont val="Tahoma"/>
            <family val="2"/>
          </rPr>
          <t>Medium size cluster, hard to distinguish from background</t>
        </r>
      </text>
    </comment>
    <comment ref="A1756" authorId="0" shapeId="0" xr:uid="{DA52E557-C76B-4C7B-905F-52996D9327BE}">
      <text>
        <r>
          <rPr>
            <sz val="9"/>
            <color indexed="81"/>
            <rFont val="Tahoma"/>
            <family val="2"/>
          </rPr>
          <t xml:space="preserve">
</t>
        </r>
      </text>
    </comment>
    <comment ref="K1756" authorId="0" shapeId="0" xr:uid="{072A8BBD-1B44-4ED3-9DC6-987422A4116D}">
      <text>
        <r>
          <rPr>
            <sz val="9"/>
            <color indexed="81"/>
            <rFont val="Tahoma"/>
            <family val="2"/>
          </rPr>
          <t>Slight spiral cluster shape, with stars of uniform brightness</t>
        </r>
      </text>
    </comment>
    <comment ref="A1757" authorId="0" shapeId="0" xr:uid="{9767D998-3F75-42D4-A592-2B252CEA40D0}">
      <text>
        <r>
          <rPr>
            <sz val="9"/>
            <color indexed="81"/>
            <rFont val="Tahoma"/>
            <family val="2"/>
          </rPr>
          <t xml:space="preserve">
</t>
        </r>
      </text>
    </comment>
    <comment ref="K1757" authorId="0" shapeId="0" xr:uid="{E9E2402F-DFBF-43B3-9962-9A51AE7310A4}">
      <text>
        <r>
          <rPr>
            <sz val="9"/>
            <color indexed="81"/>
            <rFont val="Tahoma"/>
            <family val="2"/>
          </rPr>
          <t>Edge-on spiral with warped disk</t>
        </r>
      </text>
    </comment>
    <comment ref="A1758" authorId="0" shapeId="0" xr:uid="{DB01775E-D867-485E-861A-6E4E596E93D3}">
      <text>
        <r>
          <rPr>
            <sz val="9"/>
            <color indexed="81"/>
            <rFont val="Tahoma"/>
            <family val="2"/>
          </rPr>
          <t xml:space="preserve">
</t>
        </r>
      </text>
    </comment>
    <comment ref="K1758" authorId="0" shapeId="0" xr:uid="{875ADE68-017C-479D-B1E4-E59C4C77B077}">
      <text>
        <r>
          <rPr>
            <sz val="9"/>
            <color indexed="81"/>
            <rFont val="Tahoma"/>
            <family val="2"/>
          </rPr>
          <t>Showcase WR nebula which makes for a beautiful image in both HOO and SHO.</t>
        </r>
      </text>
    </comment>
    <comment ref="A1759" authorId="0" shapeId="0" xr:uid="{9DB50587-7902-4B12-B2C2-38BBCDE5FC82}">
      <text>
        <r>
          <rPr>
            <sz val="9"/>
            <color indexed="81"/>
            <rFont val="Tahoma"/>
            <family val="2"/>
          </rPr>
          <t xml:space="preserve">
</t>
        </r>
      </text>
    </comment>
    <comment ref="K1759" authorId="0" shapeId="0" xr:uid="{66ADFE15-7199-4C7D-98B0-F3E63BEE7C9E}">
      <text>
        <r>
          <rPr>
            <sz val="9"/>
            <color indexed="81"/>
            <rFont val="Tahoma"/>
            <family val="2"/>
          </rPr>
          <t>Colorful circular cluster in Canis Major</t>
        </r>
      </text>
    </comment>
    <comment ref="A1760" authorId="0" shapeId="0" xr:uid="{F10C07E8-CF09-45F7-9173-9247166133DA}">
      <text>
        <r>
          <rPr>
            <sz val="9"/>
            <color indexed="81"/>
            <rFont val="Tahoma"/>
            <family val="2"/>
          </rPr>
          <t xml:space="preserve">
</t>
        </r>
      </text>
    </comment>
    <comment ref="K1760" authorId="0" shapeId="0" xr:uid="{980B3137-E25C-4AA6-8B94-306954D0C61E}">
      <text>
        <r>
          <rPr>
            <sz val="9"/>
            <color indexed="81"/>
            <rFont val="Tahoma"/>
            <family val="2"/>
          </rPr>
          <t>Brilliant tight open cluster, highlighted by the brightest star, Tau Canis Majoris</t>
        </r>
      </text>
    </comment>
    <comment ref="A1761" authorId="0" shapeId="0" xr:uid="{7E8F4E6D-4DB4-4E3A-BD26-F444F2E76F46}">
      <text>
        <r>
          <rPr>
            <sz val="9"/>
            <color indexed="81"/>
            <rFont val="Tahoma"/>
            <family val="2"/>
          </rPr>
          <t xml:space="preserve">
</t>
        </r>
      </text>
    </comment>
    <comment ref="K1761" authorId="0" shapeId="0" xr:uid="{1D8A09B3-E104-4DB8-8728-536CCD3795D4}">
      <text>
        <r>
          <rPr>
            <sz val="9"/>
            <color indexed="81"/>
            <rFont val="Tahoma"/>
            <family val="2"/>
          </rPr>
          <t>Pair of Magellanic galaxies</t>
        </r>
      </text>
    </comment>
    <comment ref="A1762" authorId="0" shapeId="0" xr:uid="{D057BC09-B670-40CE-A941-DE8A52586645}">
      <text>
        <r>
          <rPr>
            <sz val="9"/>
            <color indexed="81"/>
            <rFont val="Tahoma"/>
            <family val="2"/>
          </rPr>
          <t xml:space="preserve">
</t>
        </r>
      </text>
    </comment>
    <comment ref="K1762" authorId="0" shapeId="0" xr:uid="{45762803-56B3-4F36-9E39-C312C2DBD407}">
      <text>
        <r>
          <rPr>
            <sz val="9"/>
            <color indexed="81"/>
            <rFont val="Tahoma"/>
            <family val="2"/>
          </rPr>
          <t>Bipolar OIII PN with blown out lobes and a visible progenitor.</t>
        </r>
      </text>
    </comment>
    <comment ref="A1763" authorId="0" shapeId="0" xr:uid="{1B79241C-5A3B-4A5E-AD93-5437DF5111AA}">
      <text>
        <r>
          <rPr>
            <sz val="9"/>
            <color indexed="81"/>
            <rFont val="Tahoma"/>
            <family val="2"/>
          </rPr>
          <t xml:space="preserve">
</t>
        </r>
      </text>
    </comment>
    <comment ref="K1763" authorId="0" shapeId="0" xr:uid="{2CFD74E4-3BB9-4EA4-B3D3-F4D4ECCDECBC}">
      <text>
        <r>
          <rPr>
            <sz val="9"/>
            <color indexed="81"/>
            <rFont val="Tahoma"/>
            <family val="2"/>
          </rPr>
          <t>Tremendous detail throughout this bipolar PN with balanced OIII and HII signals.</t>
        </r>
      </text>
    </comment>
    <comment ref="A1764" authorId="0" shapeId="0" xr:uid="{75C8914B-7D91-4C04-9997-F187B2E7A8AC}">
      <text>
        <r>
          <rPr>
            <sz val="9"/>
            <color indexed="81"/>
            <rFont val="Tahoma"/>
            <family val="2"/>
          </rPr>
          <t xml:space="preserve">
</t>
        </r>
      </text>
    </comment>
    <comment ref="K1764" authorId="0" shapeId="0" xr:uid="{C7A3DB7D-DA9E-45D7-909B-59793840D2AA}">
      <text>
        <r>
          <rPr>
            <sz val="9"/>
            <color indexed="81"/>
            <rFont val="Tahoma"/>
            <family val="2"/>
          </rPr>
          <t>Sparse rectangular shaped cluster in Gemini</t>
        </r>
      </text>
    </comment>
    <comment ref="A1765" authorId="0" shapeId="0" xr:uid="{4251F69F-8B56-4523-A3CF-E640DB8D312A}">
      <text>
        <r>
          <rPr>
            <sz val="9"/>
            <color indexed="81"/>
            <rFont val="Tahoma"/>
            <family val="2"/>
          </rPr>
          <t xml:space="preserve">
</t>
        </r>
      </text>
    </comment>
    <comment ref="K1765" authorId="0" shapeId="0" xr:uid="{C53DEC20-9E86-42E5-9ED6-6B05C4408CD2}">
      <text>
        <r>
          <rPr>
            <sz val="9"/>
            <color indexed="81"/>
            <rFont val="Tahoma"/>
            <family val="2"/>
          </rPr>
          <t>Somewhat like M33.  Many HII regions.  A few of its brightest globular clusters can be captured</t>
        </r>
      </text>
    </comment>
    <comment ref="A1766" authorId="0" shapeId="0" xr:uid="{B2449575-CD04-43DD-BA05-A52DDCF6B013}">
      <text>
        <r>
          <rPr>
            <sz val="9"/>
            <color indexed="81"/>
            <rFont val="Tahoma"/>
            <family val="2"/>
          </rPr>
          <t xml:space="preserve">
</t>
        </r>
      </text>
    </comment>
    <comment ref="K1766" authorId="0" shapeId="0" xr:uid="{F5E628A7-C848-4701-A503-BEA8F343DA71}">
      <text>
        <r>
          <rPr>
            <sz val="9"/>
            <color indexed="81"/>
            <rFont val="Tahoma"/>
            <family val="2"/>
          </rPr>
          <t>Late stage merger object, with no obvious core and the center looking like a ball of snakes.</t>
        </r>
      </text>
    </comment>
    <comment ref="A1767" authorId="0" shapeId="0" xr:uid="{48317FA3-265E-4DAF-9375-174B4C0CB968}">
      <text>
        <r>
          <rPr>
            <sz val="9"/>
            <color indexed="81"/>
            <rFont val="Tahoma"/>
            <family val="2"/>
          </rPr>
          <t xml:space="preserve">
</t>
        </r>
      </text>
    </comment>
    <comment ref="K1767" authorId="0" shapeId="0" xr:uid="{793B06BD-E388-4679-8E55-25405D28522B}">
      <text>
        <r>
          <rPr>
            <sz val="9"/>
            <color indexed="81"/>
            <rFont val="Tahoma"/>
            <family val="2"/>
          </rPr>
          <t>Very distant globular nicknamed the Intergalactic Wanderer</t>
        </r>
      </text>
    </comment>
    <comment ref="A1768" authorId="0" shapeId="0" xr:uid="{242095D4-8739-435B-8B31-EDAD8541D11B}">
      <text>
        <r>
          <rPr>
            <sz val="9"/>
            <color indexed="81"/>
            <rFont val="Tahoma"/>
            <family val="2"/>
          </rPr>
          <t xml:space="preserve">
</t>
        </r>
      </text>
    </comment>
    <comment ref="K1768" authorId="0" shapeId="0" xr:uid="{C8D6A6A0-419E-4160-A624-1C58165A9929}">
      <text>
        <r>
          <rPr>
            <sz val="9"/>
            <color indexed="81"/>
            <rFont val="Tahoma"/>
            <family val="2"/>
          </rPr>
          <t>Vivid mix of stars in this Gemini jewel.</t>
        </r>
      </text>
    </comment>
    <comment ref="A1769" authorId="0" shapeId="0" xr:uid="{E12748F8-E075-4C56-A66B-7512E0F2A3AD}">
      <text>
        <r>
          <rPr>
            <sz val="9"/>
            <color indexed="81"/>
            <rFont val="Tahoma"/>
            <family val="2"/>
          </rPr>
          <t xml:space="preserve">
</t>
        </r>
      </text>
    </comment>
    <comment ref="K1769" authorId="0" shapeId="0" xr:uid="{4ED18B13-F0FA-4C4B-8A32-B9B52C39CA72}">
      <text>
        <r>
          <rPr>
            <sz val="9"/>
            <color indexed="81"/>
            <rFont val="Tahoma"/>
            <family val="2"/>
          </rPr>
          <t>Oval cluster in Puppis</t>
        </r>
      </text>
    </comment>
    <comment ref="A1770" authorId="0" shapeId="0" xr:uid="{E4530D4F-E6CE-4C56-9DB6-95BE86F8C019}">
      <text>
        <r>
          <rPr>
            <sz val="9"/>
            <color indexed="81"/>
            <rFont val="Tahoma"/>
            <family val="2"/>
          </rPr>
          <t xml:space="preserve">
</t>
        </r>
      </text>
    </comment>
    <comment ref="K1770" authorId="0" shapeId="0" xr:uid="{1D4BBF84-151E-49A5-A32F-1DF475E23A7D}">
      <text>
        <r>
          <rPr>
            <sz val="9"/>
            <color indexed="81"/>
            <rFont val="Tahoma"/>
            <family val="2"/>
          </rPr>
          <t>Sparking mix of brightnesses in a colorful field</t>
        </r>
      </text>
    </comment>
    <comment ref="A1771" authorId="0" shapeId="0" xr:uid="{09CB8272-9C9D-4BC9-85A9-68A49299096A}">
      <text>
        <r>
          <rPr>
            <sz val="9"/>
            <color indexed="81"/>
            <rFont val="Tahoma"/>
            <family val="2"/>
          </rPr>
          <t xml:space="preserve">
</t>
        </r>
      </text>
    </comment>
    <comment ref="K1771" authorId="0" shapeId="0" xr:uid="{9D44D6A8-FCB7-4CE6-BACE-A6CA921E241B}">
      <text>
        <r>
          <rPr>
            <sz val="9"/>
            <color indexed="81"/>
            <rFont val="Tahoma"/>
            <family val="2"/>
          </rPr>
          <t>PN near bright cluster M46</t>
        </r>
      </text>
    </comment>
    <comment ref="A1772" authorId="0" shapeId="0" xr:uid="{8A7314E2-5D4A-4D9B-A2E9-5CCC47B93DCD}">
      <text>
        <r>
          <rPr>
            <sz val="9"/>
            <color indexed="81"/>
            <rFont val="Tahoma"/>
            <family val="2"/>
          </rPr>
          <t xml:space="preserve">
</t>
        </r>
      </text>
    </comment>
    <comment ref="K1772" authorId="0" shapeId="0" xr:uid="{C9BFF99C-27B6-4F7F-AEFE-E355806C96B1}">
      <text>
        <r>
          <rPr>
            <sz val="9"/>
            <color indexed="81"/>
            <rFont val="Tahoma"/>
            <family val="2"/>
          </rPr>
          <t>Brilliant diamond ring look, with ring of stars and one bright star</t>
        </r>
      </text>
    </comment>
    <comment ref="A1773" authorId="0" shapeId="0" xr:uid="{7EC92708-60BD-4C1E-98D0-E37EDC3A8FC0}">
      <text>
        <r>
          <rPr>
            <sz val="9"/>
            <color indexed="81"/>
            <rFont val="Tahoma"/>
            <family val="2"/>
          </rPr>
          <t xml:space="preserve">
</t>
        </r>
      </text>
    </comment>
    <comment ref="K1773" authorId="0" shapeId="0" xr:uid="{AF03808F-7981-464F-8F1F-2FE4FE431463}">
      <text>
        <r>
          <rPr>
            <sz val="9"/>
            <color indexed="81"/>
            <rFont val="Tahoma"/>
            <family val="2"/>
          </rPr>
          <t>Complex multipolar PN with HII rim and OII center.  No progenitor</t>
        </r>
      </text>
    </comment>
    <comment ref="A1774" authorId="0" shapeId="0" xr:uid="{8E66451B-A687-47A9-B116-144D457EDC5E}">
      <text>
        <r>
          <rPr>
            <sz val="9"/>
            <color indexed="81"/>
            <rFont val="Tahoma"/>
            <family val="2"/>
          </rPr>
          <t xml:space="preserve">
</t>
        </r>
      </text>
    </comment>
    <comment ref="K1774" authorId="0" shapeId="0" xr:uid="{7D22E1AA-843E-4282-88D3-BCD2DA033E02}">
      <text>
        <r>
          <rPr>
            <sz val="9"/>
            <color indexed="81"/>
            <rFont val="Tahoma"/>
            <family val="2"/>
          </rPr>
          <t>Showy distorted grand spiral with VV rows</t>
        </r>
      </text>
    </comment>
    <comment ref="A1775" authorId="0" shapeId="0" xr:uid="{AE9FF7AF-8FD0-4379-BEE2-0E7DE25785A7}">
      <text>
        <r>
          <rPr>
            <sz val="9"/>
            <color indexed="81"/>
            <rFont val="Tahoma"/>
            <family val="2"/>
          </rPr>
          <t xml:space="preserve">
</t>
        </r>
      </text>
    </comment>
    <comment ref="K1775" authorId="0" shapeId="0" xr:uid="{AEF57C24-9D2C-4516-9328-9D29244756B5}">
      <text>
        <r>
          <rPr>
            <sz val="9"/>
            <color indexed="81"/>
            <rFont val="Tahoma"/>
            <family val="2"/>
          </rPr>
          <t>Wonderful mix of color, brightness and shape. Nice pairing contrast with NGC 2477</t>
        </r>
      </text>
    </comment>
    <comment ref="A1776" authorId="0" shapeId="0" xr:uid="{A11CF62C-3B68-4DB8-839F-E39984A6A687}">
      <text>
        <r>
          <rPr>
            <sz val="9"/>
            <color indexed="81"/>
            <rFont val="Tahoma"/>
            <family val="2"/>
          </rPr>
          <t xml:space="preserve">
</t>
        </r>
      </text>
    </comment>
    <comment ref="K1776" authorId="0" shapeId="0" xr:uid="{B782DFD4-C4E7-4074-A5C6-5A3CA9910BCC}">
      <text>
        <r>
          <rPr>
            <sz val="9"/>
            <color indexed="81"/>
            <rFont val="Tahoma"/>
            <family val="2"/>
          </rPr>
          <t>Peculiar PN, with bright white "S" in center of OIII-dominated PN</t>
        </r>
      </text>
    </comment>
    <comment ref="A1777" authorId="0" shapeId="0" xr:uid="{9458838B-FCB4-44B7-9BEE-23D3FD96B440}">
      <text>
        <r>
          <rPr>
            <sz val="9"/>
            <color indexed="81"/>
            <rFont val="Tahoma"/>
            <family val="2"/>
          </rPr>
          <t xml:space="preserve">
</t>
        </r>
      </text>
    </comment>
    <comment ref="K1777" authorId="0" shapeId="0" xr:uid="{CD73CEB6-320A-4AFB-81AE-BD8A76F1D405}">
      <text>
        <r>
          <rPr>
            <sz val="9"/>
            <color indexed="81"/>
            <rFont val="Tahoma"/>
            <family val="2"/>
          </rPr>
          <t>Excellent brightness variance and non-circular shape</t>
        </r>
      </text>
    </comment>
    <comment ref="A1778" authorId="0" shapeId="0" xr:uid="{5A8813E7-E0BB-4EB9-9CF0-30631B58C1D7}">
      <text>
        <r>
          <rPr>
            <sz val="9"/>
            <color indexed="81"/>
            <rFont val="Tahoma"/>
            <family val="2"/>
          </rPr>
          <t xml:space="preserve">
</t>
        </r>
      </text>
    </comment>
    <comment ref="K1778" authorId="0" shapeId="0" xr:uid="{4474AA3E-DF93-4FF9-A780-1834A5C06AA1}">
      <text>
        <r>
          <rPr>
            <sz val="9"/>
            <color indexed="81"/>
            <rFont val="Tahoma"/>
            <family val="2"/>
          </rPr>
          <t>Barred spiral with faint outer disk</t>
        </r>
      </text>
    </comment>
    <comment ref="A1779" authorId="0" shapeId="0" xr:uid="{183B5BCC-040D-497B-9081-D39C0BB5D31C}">
      <text>
        <r>
          <rPr>
            <sz val="9"/>
            <color indexed="81"/>
            <rFont val="Tahoma"/>
            <family val="2"/>
          </rPr>
          <t xml:space="preserve">
</t>
        </r>
      </text>
    </comment>
    <comment ref="K1779" authorId="0" shapeId="0" xr:uid="{0D9013F4-8245-44B0-B8A1-42C9F28EC1C8}">
      <text>
        <r>
          <rPr>
            <sz val="9"/>
            <color indexed="81"/>
            <rFont val="Tahoma"/>
            <family val="2"/>
          </rPr>
          <t>Well balanced SHO signals, great mix of clusters and nebulae</t>
        </r>
      </text>
    </comment>
    <comment ref="A1780" authorId="0" shapeId="0" xr:uid="{98313714-FA69-4DBA-8CF4-E52F13941303}">
      <text>
        <r>
          <rPr>
            <sz val="9"/>
            <color indexed="81"/>
            <rFont val="Tahoma"/>
            <family val="2"/>
          </rPr>
          <t xml:space="preserve">
</t>
        </r>
      </text>
    </comment>
    <comment ref="K1780" authorId="0" shapeId="0" xr:uid="{13796ACD-549A-4E62-BE08-9BA404FC61E9}">
      <text>
        <r>
          <rPr>
            <sz val="9"/>
            <color indexed="81"/>
            <rFont val="Tahoma"/>
            <family val="2"/>
          </rPr>
          <t>So dense it appears to be a globular cluster at first glance</t>
        </r>
      </text>
    </comment>
    <comment ref="A1781" authorId="0" shapeId="0" xr:uid="{A352588E-6E21-4D07-8CBA-7D55C2350C14}">
      <text>
        <r>
          <rPr>
            <sz val="9"/>
            <color indexed="81"/>
            <rFont val="Tahoma"/>
            <family val="2"/>
          </rPr>
          <t xml:space="preserve">
</t>
        </r>
      </text>
    </comment>
    <comment ref="K1781" authorId="0" shapeId="0" xr:uid="{547BA300-604D-4829-B2AF-BA3CEA449CF6}">
      <text>
        <r>
          <rPr>
            <sz val="9"/>
            <color indexed="81"/>
            <rFont val="Tahoma"/>
            <family val="2"/>
          </rPr>
          <t>Medium brightness cluster, hard to distinguish from background</t>
        </r>
      </text>
    </comment>
    <comment ref="A1782" authorId="0" shapeId="0" xr:uid="{282AAEF0-2116-4771-B080-ACD9A6D42AC6}">
      <text>
        <r>
          <rPr>
            <sz val="9"/>
            <color indexed="81"/>
            <rFont val="Tahoma"/>
            <family val="2"/>
          </rPr>
          <t xml:space="preserve">
</t>
        </r>
      </text>
    </comment>
    <comment ref="K1782" authorId="0" shapeId="0" xr:uid="{7DD4DB12-2B28-4843-91D9-32EFF158935C}">
      <text>
        <r>
          <rPr>
            <sz val="9"/>
            <color indexed="81"/>
            <rFont val="Tahoma"/>
            <family val="2"/>
          </rPr>
          <t>Unimpressive open cluster in Puppis</t>
        </r>
      </text>
    </comment>
    <comment ref="A1783" authorId="0" shapeId="0" xr:uid="{2364ED80-5D2C-4D80-B8F3-9C1A7B2B934C}">
      <text>
        <r>
          <rPr>
            <sz val="9"/>
            <color indexed="81"/>
            <rFont val="Tahoma"/>
            <family val="2"/>
          </rPr>
          <t xml:space="preserve">
</t>
        </r>
      </text>
    </comment>
    <comment ref="K1783" authorId="0" shapeId="0" xr:uid="{69B0062E-EAC6-4141-AC11-5235858FC7CE}">
      <text>
        <r>
          <rPr>
            <sz val="9"/>
            <color indexed="81"/>
            <rFont val="Tahoma"/>
            <family val="2"/>
          </rPr>
          <t>Circular concentration of uniform stars in Puppis</t>
        </r>
      </text>
    </comment>
    <comment ref="A1784" authorId="0" shapeId="0" xr:uid="{46FB080E-C340-470C-98A4-ADDC6BF1121A}">
      <text>
        <r>
          <rPr>
            <sz val="9"/>
            <color indexed="81"/>
            <rFont val="Tahoma"/>
            <family val="2"/>
          </rPr>
          <t xml:space="preserve">
</t>
        </r>
      </text>
    </comment>
    <comment ref="K1784" authorId="0" shapeId="0" xr:uid="{175A9D3D-1A12-4BC8-A1C3-534C96354614}">
      <text>
        <r>
          <rPr>
            <sz val="9"/>
            <color indexed="81"/>
            <rFont val="Tahoma"/>
            <family val="2"/>
          </rPr>
          <t>Face-on Magellanic galaxy</t>
        </r>
      </text>
    </comment>
    <comment ref="A1785" authorId="0" shapeId="0" xr:uid="{7D02D500-9CEF-4B95-A1A8-5974CA5CE117}">
      <text>
        <r>
          <rPr>
            <sz val="9"/>
            <color indexed="81"/>
            <rFont val="Tahoma"/>
            <family val="2"/>
          </rPr>
          <t xml:space="preserve">
</t>
        </r>
      </text>
    </comment>
    <comment ref="K1785" authorId="0" shapeId="0" xr:uid="{C170E72D-743D-4E95-A18B-916B85F1341B}">
      <text>
        <r>
          <rPr>
            <sz val="9"/>
            <color indexed="81"/>
            <rFont val="Tahoma"/>
            <family val="2"/>
          </rPr>
          <t>Many stars but distance diminishes the visual impact of the cluster</t>
        </r>
      </text>
    </comment>
    <comment ref="A1786" authorId="0" shapeId="0" xr:uid="{10EF3A67-6163-4BE2-9EB2-BF8D543DE164}">
      <text>
        <r>
          <rPr>
            <sz val="9"/>
            <color indexed="81"/>
            <rFont val="Tahoma"/>
            <family val="2"/>
          </rPr>
          <t xml:space="preserve">
</t>
        </r>
      </text>
    </comment>
    <comment ref="K1786" authorId="0" shapeId="0" xr:uid="{9B3FE6E2-A2CD-42E6-8107-F6D9BEA958CD}">
      <text>
        <r>
          <rPr>
            <sz val="9"/>
            <color indexed="81"/>
            <rFont val="Tahoma"/>
            <family val="2"/>
          </rPr>
          <t>Oddly shaped cluster of uniform stars</t>
        </r>
      </text>
    </comment>
    <comment ref="A1787" authorId="0" shapeId="0" xr:uid="{BD20ACC1-995B-4893-A9F3-CB8589BBFBB6}">
      <text>
        <r>
          <rPr>
            <sz val="9"/>
            <color indexed="81"/>
            <rFont val="Tahoma"/>
            <family val="2"/>
          </rPr>
          <t xml:space="preserve">
</t>
        </r>
      </text>
    </comment>
    <comment ref="K1787" authorId="0" shapeId="0" xr:uid="{7271A22D-AA1F-4571-A4E3-B980AC33A431}">
      <text>
        <r>
          <rPr>
            <sz val="9"/>
            <color indexed="81"/>
            <rFont val="Tahoma"/>
            <family val="2"/>
          </rPr>
          <t>Huge naked eye colorful open cluster</t>
        </r>
      </text>
    </comment>
    <comment ref="A1788" authorId="0" shapeId="0" xr:uid="{55C333DD-1885-4AA0-BC5A-859D3277C873}">
      <text>
        <r>
          <rPr>
            <sz val="9"/>
            <color indexed="81"/>
            <rFont val="Tahoma"/>
            <family val="2"/>
          </rPr>
          <t xml:space="preserve">
</t>
        </r>
      </text>
    </comment>
    <comment ref="K1788" authorId="0" shapeId="0" xr:uid="{678067E8-1DCB-4320-ABB6-9D2B05AC6C5C}">
      <text>
        <r>
          <rPr>
            <sz val="9"/>
            <color indexed="81"/>
            <rFont val="Tahoma"/>
            <family val="2"/>
          </rPr>
          <t>Fan shaped cluster which stand out from background nicely</t>
        </r>
      </text>
    </comment>
    <comment ref="A1789" authorId="0" shapeId="0" xr:uid="{9C589505-6820-4507-908A-53C4E5A1416A}">
      <text>
        <r>
          <rPr>
            <sz val="9"/>
            <color indexed="81"/>
            <rFont val="Tahoma"/>
            <family val="2"/>
          </rPr>
          <t xml:space="preserve">
</t>
        </r>
      </text>
    </comment>
    <comment ref="K1789" authorId="0" shapeId="0" xr:uid="{0AE1C5C9-9F9F-4C48-9D7B-CB18DC8A2904}">
      <text>
        <r>
          <rPr>
            <sz val="9"/>
            <color indexed="81"/>
            <rFont val="Tahoma"/>
            <family val="2"/>
          </rPr>
          <t>Hexagon disk outline with disturbed arms</t>
        </r>
      </text>
    </comment>
    <comment ref="A1790" authorId="0" shapeId="0" xr:uid="{D60759A5-70D7-4845-B103-F52608DC29A5}">
      <text>
        <r>
          <rPr>
            <sz val="9"/>
            <color indexed="81"/>
            <rFont val="Tahoma"/>
            <family val="2"/>
          </rPr>
          <t xml:space="preserve">
</t>
        </r>
      </text>
    </comment>
    <comment ref="K1790" authorId="0" shapeId="0" xr:uid="{327A2D4C-A3E7-4604-BE7B-CDC4A0DF260E}">
      <text>
        <r>
          <rPr>
            <sz val="9"/>
            <color indexed="81"/>
            <rFont val="Tahoma"/>
            <family val="2"/>
          </rPr>
          <t>Rough oval shape of cluster which subtly stands out from the background</t>
        </r>
      </text>
    </comment>
    <comment ref="A1791" authorId="0" shapeId="0" xr:uid="{D74CA95B-7A15-4925-979B-BC7B70314C5B}">
      <text>
        <r>
          <rPr>
            <sz val="9"/>
            <color indexed="81"/>
            <rFont val="Tahoma"/>
            <family val="2"/>
          </rPr>
          <t xml:space="preserve">
</t>
        </r>
      </text>
    </comment>
    <comment ref="K1791" authorId="0" shapeId="0" xr:uid="{650E8C4B-6CF8-4C4D-A7AF-18AFECE27473}">
      <text>
        <r>
          <rPr>
            <sz val="9"/>
            <color indexed="81"/>
            <rFont val="Tahoma"/>
            <family val="2"/>
          </rPr>
          <t>Odd arm structure, numerous star clouds and slight purple tint</t>
        </r>
      </text>
    </comment>
    <comment ref="A1792" authorId="0" shapeId="0" xr:uid="{5C319B72-A0C0-4451-9A04-E4CA3E4673D7}">
      <text>
        <r>
          <rPr>
            <sz val="9"/>
            <color indexed="81"/>
            <rFont val="Tahoma"/>
            <family val="2"/>
          </rPr>
          <t xml:space="preserve">
</t>
        </r>
      </text>
    </comment>
    <comment ref="K1792" authorId="0" shapeId="0" xr:uid="{3BDB9D06-6592-462A-A91C-E781D32DEC91}">
      <text>
        <r>
          <rPr>
            <sz val="9"/>
            <color indexed="81"/>
            <rFont val="Tahoma"/>
            <family val="2"/>
          </rPr>
          <t>Lovely barred grand design spiral with bright distinct arms, blue star clouds, and extended star plumes</t>
        </r>
      </text>
    </comment>
    <comment ref="A1793" authorId="0" shapeId="0" xr:uid="{B209C03F-151A-4528-AC30-C4C67243D3C5}">
      <text>
        <r>
          <rPr>
            <sz val="9"/>
            <color indexed="81"/>
            <rFont val="Tahoma"/>
            <family val="2"/>
          </rPr>
          <t xml:space="preserve">
</t>
        </r>
      </text>
    </comment>
    <comment ref="K1793" authorId="0" shapeId="0" xr:uid="{8E5A8475-9427-4F34-B646-79178E3C3247}">
      <text>
        <r>
          <rPr>
            <sz val="9"/>
            <color indexed="81"/>
            <rFont val="Tahoma"/>
            <family val="2"/>
          </rPr>
          <t>Irregular shape in nice star field, which makes separation from background difficult</t>
        </r>
      </text>
    </comment>
    <comment ref="A1794" authorId="0" shapeId="0" xr:uid="{4F3D74B0-00B2-4CAF-A8B1-0BA486FA8F39}">
      <text>
        <r>
          <rPr>
            <sz val="9"/>
            <color indexed="81"/>
            <rFont val="Tahoma"/>
            <family val="2"/>
          </rPr>
          <t xml:space="preserve">
</t>
        </r>
      </text>
    </comment>
    <comment ref="K1794" authorId="0" shapeId="0" xr:uid="{AD55EB46-E731-4550-BE31-8DBDBF438995}">
      <text>
        <r>
          <rPr>
            <sz val="9"/>
            <color indexed="81"/>
            <rFont val="Tahoma"/>
            <family val="2"/>
          </rPr>
          <t>Beautiful T shaped cluster, with nebulosity</t>
        </r>
      </text>
    </comment>
    <comment ref="A1795" authorId="0" shapeId="0" xr:uid="{475D8FC0-C2E4-4593-B724-0B4144751205}">
      <text>
        <r>
          <rPr>
            <sz val="9"/>
            <color indexed="81"/>
            <rFont val="Tahoma"/>
            <family val="2"/>
          </rPr>
          <t xml:space="preserve">
</t>
        </r>
      </text>
    </comment>
    <comment ref="K1795" authorId="0" shapeId="0" xr:uid="{A5D61437-9718-40CF-AD02-8E9977AF7045}">
      <text>
        <r>
          <rPr>
            <sz val="9"/>
            <color indexed="81"/>
            <rFont val="Tahoma"/>
            <family val="2"/>
          </rPr>
          <t>Magellanic galaxy with yellow central region, blue outer region, and blue star clusters throughout</t>
        </r>
      </text>
    </comment>
    <comment ref="A1796" authorId="0" shapeId="0" xr:uid="{8D8E5A65-03A6-4A0B-A7F5-6403CD1FB5C6}">
      <text>
        <r>
          <rPr>
            <sz val="9"/>
            <color indexed="81"/>
            <rFont val="Tahoma"/>
            <family val="2"/>
          </rPr>
          <t xml:space="preserve">
</t>
        </r>
      </text>
    </comment>
    <comment ref="K1796" authorId="0" shapeId="0" xr:uid="{4B11A302-9B33-4B02-8888-5D5793A952D9}">
      <text>
        <r>
          <rPr>
            <sz val="9"/>
            <color indexed="81"/>
            <rFont val="Tahoma"/>
            <family val="2"/>
          </rPr>
          <t>Group of 4 galaxies at different distances, highlighted by odd edge-on spiral</t>
        </r>
      </text>
    </comment>
    <comment ref="A1797" authorId="0" shapeId="0" xr:uid="{AF159A1B-AC65-42B5-A594-E7896B5324BA}">
      <text>
        <r>
          <rPr>
            <sz val="9"/>
            <color indexed="81"/>
            <rFont val="Tahoma"/>
            <family val="2"/>
          </rPr>
          <t xml:space="preserve">
</t>
        </r>
      </text>
    </comment>
    <comment ref="K1797" authorId="0" shapeId="0" xr:uid="{9A138294-38A8-4FD8-AD67-670D57D5CD4C}">
      <text>
        <r>
          <rPr>
            <sz val="9"/>
            <color indexed="81"/>
            <rFont val="Tahoma"/>
            <family val="2"/>
          </rPr>
          <t>Diamond shaped open cluster, nice color</t>
        </r>
      </text>
    </comment>
    <comment ref="A1798" authorId="0" shapeId="0" xr:uid="{980468CE-14F3-4B77-82BF-EDE68A65594A}">
      <text>
        <r>
          <rPr>
            <sz val="9"/>
            <color indexed="81"/>
            <rFont val="Tahoma"/>
            <family val="2"/>
          </rPr>
          <t xml:space="preserve">
</t>
        </r>
      </text>
    </comment>
    <comment ref="K1798" authorId="0" shapeId="0" xr:uid="{F82F5E63-D099-4BE5-AFA4-E9D8E2BBABF4}">
      <text>
        <r>
          <rPr>
            <sz val="9"/>
            <color indexed="81"/>
            <rFont val="Tahoma"/>
            <family val="2"/>
          </rPr>
          <t>Small open cluster, nice distribution of sizes</t>
        </r>
      </text>
    </comment>
    <comment ref="A1799" authorId="0" shapeId="0" xr:uid="{A3CB2CD5-ED4F-4297-A492-FDB5E0802ACE}">
      <text>
        <r>
          <rPr>
            <sz val="9"/>
            <color indexed="81"/>
            <rFont val="Tahoma"/>
            <family val="2"/>
          </rPr>
          <t xml:space="preserve">
</t>
        </r>
      </text>
    </comment>
    <comment ref="K1799" authorId="0" shapeId="0" xr:uid="{0E8D40F2-E763-4F68-BA0D-CCF47634780E}">
      <text>
        <r>
          <rPr>
            <sz val="9"/>
            <color indexed="81"/>
            <rFont val="Tahoma"/>
            <family val="2"/>
          </rPr>
          <t>Rose-type bloom of HII emission nebula</t>
        </r>
      </text>
    </comment>
    <comment ref="A1800" authorId="0" shapeId="0" xr:uid="{8AE42EEB-A53A-4F72-9066-2D5A8D55A9AB}">
      <text>
        <r>
          <rPr>
            <sz val="9"/>
            <color indexed="81"/>
            <rFont val="Tahoma"/>
            <family val="2"/>
          </rPr>
          <t xml:space="preserve">
</t>
        </r>
      </text>
    </comment>
    <comment ref="K1800" authorId="0" shapeId="0" xr:uid="{228FE502-FFD7-4B98-95D2-3738765EF34B}">
      <text>
        <r>
          <rPr>
            <sz val="9"/>
            <color indexed="81"/>
            <rFont val="Tahoma"/>
            <family val="2"/>
          </rPr>
          <t>Slightly barred with bright blue clouds, ring-shaped central region, and VV rows</t>
        </r>
      </text>
    </comment>
    <comment ref="A1801" authorId="0" shapeId="0" xr:uid="{AFBC5572-95EC-43D2-84B6-BD2C3012D2E6}">
      <text>
        <r>
          <rPr>
            <sz val="9"/>
            <color indexed="81"/>
            <rFont val="Tahoma"/>
            <family val="2"/>
          </rPr>
          <t xml:space="preserve">
</t>
        </r>
      </text>
    </comment>
    <comment ref="K1801" authorId="0" shapeId="0" xr:uid="{48103944-CEAE-4875-B816-00B4454EC058}">
      <text>
        <r>
          <rPr>
            <sz val="9"/>
            <color indexed="81"/>
            <rFont val="Tahoma"/>
            <family val="2"/>
          </rPr>
          <t>Small OIII PN offers significant detail, including unusual inner HII signal</t>
        </r>
      </text>
    </comment>
    <comment ref="A1802" authorId="0" shapeId="0" xr:uid="{F7DE6533-2F92-476C-B0CF-107CFFD0F57F}">
      <text>
        <r>
          <rPr>
            <sz val="9"/>
            <color indexed="81"/>
            <rFont val="Tahoma"/>
            <family val="2"/>
          </rPr>
          <t xml:space="preserve">
</t>
        </r>
      </text>
    </comment>
    <comment ref="K1802" authorId="0" shapeId="0" xr:uid="{7CFB4983-88C9-43E4-8B4A-37FB1432BF22}">
      <text>
        <r>
          <rPr>
            <sz val="9"/>
            <color indexed="81"/>
            <rFont val="Tahoma"/>
            <family val="2"/>
          </rPr>
          <t xml:space="preserve">Flocculent yellow symmetric disk with mottled arms and lack of a central bulge </t>
        </r>
      </text>
    </comment>
    <comment ref="A1803" authorId="0" shapeId="0" xr:uid="{848455D9-6AE6-4ECB-A63C-FA67B6B234AB}">
      <text>
        <r>
          <rPr>
            <sz val="9"/>
            <color indexed="81"/>
            <rFont val="Tahoma"/>
            <family val="2"/>
          </rPr>
          <t xml:space="preserve">
</t>
        </r>
      </text>
    </comment>
    <comment ref="K1803" authorId="0" shapeId="0" xr:uid="{773AB4D3-5A8C-4726-9C73-EB52B35DD790}">
      <text>
        <r>
          <rPr>
            <sz val="9"/>
            <color indexed="81"/>
            <rFont val="Tahoma"/>
            <family val="2"/>
          </rPr>
          <t>Attractive pairing of blue reflection nebula with dark clouds</t>
        </r>
      </text>
    </comment>
    <comment ref="A1804" authorId="0" shapeId="0" xr:uid="{3B9B5186-FCF4-4424-B8AB-BE9ADF5AB938}">
      <text>
        <r>
          <rPr>
            <sz val="9"/>
            <color indexed="81"/>
            <rFont val="Tahoma"/>
            <family val="2"/>
          </rPr>
          <t xml:space="preserve">
</t>
        </r>
      </text>
    </comment>
    <comment ref="K1804" authorId="0" shapeId="0" xr:uid="{4ABE622E-24AC-4CDD-8B2A-3343C231250C}">
      <text>
        <r>
          <rPr>
            <sz val="9"/>
            <color indexed="81"/>
            <rFont val="Tahoma"/>
            <family val="2"/>
          </rPr>
          <t>Arrowhead shape of open cluster with similar brightnesses</t>
        </r>
      </text>
    </comment>
    <comment ref="A1805" authorId="0" shapeId="0" xr:uid="{EA3E0DC6-16AA-47DA-B9E9-F28E1FD70602}">
      <text>
        <r>
          <rPr>
            <sz val="9"/>
            <color indexed="81"/>
            <rFont val="Tahoma"/>
            <family val="2"/>
          </rPr>
          <t xml:space="preserve">
</t>
        </r>
      </text>
    </comment>
    <comment ref="K1805" authorId="0" shapeId="0" xr:uid="{394D3675-7BD4-414C-8F9A-994DC88C2D16}">
      <text>
        <r>
          <rPr>
            <sz val="9"/>
            <color indexed="81"/>
            <rFont val="Tahoma"/>
            <family val="2"/>
          </rPr>
          <t>Edge-on view revealing peanut shaped (X-shaped) barlens core</t>
        </r>
      </text>
    </comment>
    <comment ref="A1806" authorId="0" shapeId="0" xr:uid="{70F95367-525F-4BD3-80D1-6DCBF292E36A}">
      <text>
        <r>
          <rPr>
            <sz val="9"/>
            <color indexed="81"/>
            <rFont val="Tahoma"/>
            <family val="2"/>
          </rPr>
          <t xml:space="preserve">
</t>
        </r>
      </text>
    </comment>
    <comment ref="K1806" authorId="0" shapeId="0" xr:uid="{D9FE6D81-D1A6-4CF2-A662-ED66A9C8FBC9}">
      <text>
        <r>
          <rPr>
            <sz val="9"/>
            <color indexed="81"/>
            <rFont val="Tahoma"/>
            <family val="2"/>
          </rPr>
          <t>Barred spiral with barlense core and outer pseudo-ring</t>
        </r>
      </text>
    </comment>
    <comment ref="A1807" authorId="0" shapeId="0" xr:uid="{CA5C8063-2420-4AF9-A923-3F725823D6D2}">
      <text>
        <r>
          <rPr>
            <sz val="9"/>
            <color indexed="81"/>
            <rFont val="Tahoma"/>
            <family val="2"/>
          </rPr>
          <t xml:space="preserve">
</t>
        </r>
      </text>
    </comment>
    <comment ref="K1807" authorId="0" shapeId="0" xr:uid="{F29212B8-4914-4EFF-952D-5EFCFF5EA94A}">
      <text>
        <r>
          <rPr>
            <sz val="9"/>
            <color indexed="81"/>
            <rFont val="Tahoma"/>
            <family val="2"/>
          </rPr>
          <t>Unique galaxy with unusual color and 4 bars</t>
        </r>
      </text>
    </comment>
    <comment ref="A1808" authorId="0" shapeId="0" xr:uid="{F46036D6-D301-4C5A-8429-8834D15938AA}">
      <text>
        <r>
          <rPr>
            <sz val="9"/>
            <color indexed="81"/>
            <rFont val="Tahoma"/>
            <family val="2"/>
          </rPr>
          <t xml:space="preserve">
</t>
        </r>
      </text>
    </comment>
    <comment ref="K1808" authorId="0" shapeId="0" xr:uid="{88421819-03CF-4DB3-8E1C-58BA8A61D8AD}">
      <text>
        <r>
          <rPr>
            <sz val="9"/>
            <color indexed="81"/>
            <rFont val="Tahoma"/>
            <family val="2"/>
          </rPr>
          <t>Multiple concentric ragged dust lanes on the lower right side of the core</t>
        </r>
      </text>
    </comment>
    <comment ref="A1809" authorId="0" shapeId="0" xr:uid="{4AD0EA7A-A486-4ABB-856B-4B6CCAD8C9C9}">
      <text>
        <r>
          <rPr>
            <sz val="9"/>
            <color indexed="81"/>
            <rFont val="Tahoma"/>
            <family val="2"/>
          </rPr>
          <t xml:space="preserve">
</t>
        </r>
      </text>
    </comment>
    <comment ref="K1809" authorId="0" shapeId="0" xr:uid="{54BD6070-D6CE-425A-B726-CEAB8E11C9A4}">
      <text>
        <r>
          <rPr>
            <sz val="9"/>
            <color indexed="81"/>
            <rFont val="Tahoma"/>
            <family val="2"/>
          </rPr>
          <t>Highlight of group is NGC 2684, which has a strange and unique disk structure</t>
        </r>
      </text>
    </comment>
    <comment ref="A1810" authorId="0" shapeId="0" xr:uid="{7182D1A1-2B8E-44AC-B1C9-56A533ECB2FC}">
      <text>
        <r>
          <rPr>
            <sz val="9"/>
            <color indexed="81"/>
            <rFont val="Tahoma"/>
            <family val="2"/>
          </rPr>
          <t xml:space="preserve">
</t>
        </r>
      </text>
    </comment>
    <comment ref="K1810" authorId="0" shapeId="0" xr:uid="{E26CBA4E-EA10-4CAB-9130-D1809E14031E}">
      <text>
        <r>
          <rPr>
            <sz val="9"/>
            <color indexed="81"/>
            <rFont val="Tahoma"/>
            <family val="2"/>
          </rPr>
          <t>Nice pairing with NGC2716.  Wonderfully detailed disk structure, especially star formation in the outer rim.</t>
        </r>
      </text>
    </comment>
    <comment ref="A1811" authorId="0" shapeId="0" xr:uid="{426E8607-F94A-4CD8-B1EF-1B5193798D92}">
      <text>
        <r>
          <rPr>
            <sz val="9"/>
            <color indexed="81"/>
            <rFont val="Tahoma"/>
            <family val="2"/>
          </rPr>
          <t xml:space="preserve">
</t>
        </r>
      </text>
    </comment>
    <comment ref="K1811" authorId="0" shapeId="0" xr:uid="{B77D1D76-404C-4499-B1B8-F2F78107AF5A}">
      <text>
        <r>
          <rPr>
            <sz val="9"/>
            <color indexed="81"/>
            <rFont val="Tahoma"/>
            <family val="2"/>
          </rPr>
          <t>Disk appears in glorious detail, especially the blue star clouds</t>
        </r>
      </text>
    </comment>
    <comment ref="A1812" authorId="0" shapeId="0" xr:uid="{212B8E1A-BCEC-412F-B989-0E338AA5DC6B}">
      <text>
        <r>
          <rPr>
            <sz val="9"/>
            <color indexed="81"/>
            <rFont val="Tahoma"/>
            <family val="2"/>
          </rPr>
          <t xml:space="preserve">
</t>
        </r>
      </text>
    </comment>
    <comment ref="K1812" authorId="0" shapeId="0" xr:uid="{10E31499-1B9B-43A8-81A3-755C23F0E09C}">
      <text>
        <r>
          <rPr>
            <sz val="9"/>
            <color indexed="81"/>
            <rFont val="Tahoma"/>
            <family val="2"/>
          </rPr>
          <t>Odd inner region, with asymmetric long bar</t>
        </r>
      </text>
    </comment>
    <comment ref="A1813" authorId="0" shapeId="0" xr:uid="{71E5C719-3AB6-4A1D-93CE-568534AAFFE1}">
      <text>
        <r>
          <rPr>
            <sz val="9"/>
            <color indexed="81"/>
            <rFont val="Tahoma"/>
            <family val="2"/>
          </rPr>
          <t xml:space="preserve">
</t>
        </r>
      </text>
    </comment>
    <comment ref="K1813" authorId="0" shapeId="0" xr:uid="{1A915CAB-F5CF-432B-B59D-0D34F8BE42AF}">
      <text>
        <r>
          <rPr>
            <sz val="9"/>
            <color indexed="81"/>
            <rFont val="Tahoma"/>
            <family val="2"/>
          </rPr>
          <t>Complex structure with asymmetric barred core and ansae, and star forming regions throughout disk</t>
        </r>
      </text>
    </comment>
    <comment ref="A1814" authorId="0" shapeId="0" xr:uid="{A2CC0F0C-8010-4E20-93F3-81F6C3793E5E}">
      <text>
        <r>
          <rPr>
            <sz val="9"/>
            <color indexed="81"/>
            <rFont val="Tahoma"/>
            <family val="2"/>
          </rPr>
          <t xml:space="preserve">
</t>
        </r>
      </text>
    </comment>
    <comment ref="K1814" authorId="0" shapeId="0" xr:uid="{DD4A3E32-64C3-41BB-A32F-B36690EBE997}">
      <text>
        <r>
          <rPr>
            <sz val="9"/>
            <color indexed="81"/>
            <rFont val="Tahoma"/>
            <family val="2"/>
          </rPr>
          <t>Nicknamed Herschel’s Ray after its discoverer, John Herschel, who described it as “an extraordinary long narrow ray of excessively feeble light”.</t>
        </r>
      </text>
    </comment>
    <comment ref="A1815" authorId="0" shapeId="0" xr:uid="{5A3325AF-3B3F-4977-BF58-F35ED171EBE6}">
      <text>
        <r>
          <rPr>
            <sz val="9"/>
            <color indexed="81"/>
            <rFont val="Tahoma"/>
            <family val="2"/>
          </rPr>
          <t xml:space="preserve">
</t>
        </r>
      </text>
    </comment>
    <comment ref="K1815" authorId="0" shapeId="0" xr:uid="{45B2D1FD-2375-45B3-AB61-79D01FD12AA4}">
      <text>
        <r>
          <rPr>
            <sz val="9"/>
            <color indexed="81"/>
            <rFont val="Tahoma"/>
            <family val="2"/>
          </rPr>
          <t>Spiral with distinct arm structure and many arms</t>
        </r>
      </text>
    </comment>
    <comment ref="A1816" authorId="0" shapeId="0" xr:uid="{5E747200-1F2B-476A-96CB-79B657759CAA}">
      <text>
        <r>
          <rPr>
            <sz val="9"/>
            <color indexed="81"/>
            <rFont val="Tahoma"/>
            <family val="2"/>
          </rPr>
          <t xml:space="preserve">
</t>
        </r>
      </text>
    </comment>
    <comment ref="K1816" authorId="0" shapeId="0" xr:uid="{9A3AD4D0-6317-41D9-B18B-42F21BF28463}">
      <text>
        <r>
          <rPr>
            <sz val="9"/>
            <color indexed="81"/>
            <rFont val="Tahoma"/>
            <family val="2"/>
          </rPr>
          <t>Late stage merger with significant disturbance, blue color, coalesced core, and long faint star stream</t>
        </r>
      </text>
    </comment>
    <comment ref="A1817" authorId="0" shapeId="0" xr:uid="{1483777A-DD1C-4D5F-B05D-6137CDEAB0F1}">
      <text>
        <r>
          <rPr>
            <sz val="9"/>
            <color indexed="81"/>
            <rFont val="Tahoma"/>
            <family val="2"/>
          </rPr>
          <t xml:space="preserve">
</t>
        </r>
      </text>
    </comment>
    <comment ref="K1817" authorId="0" shapeId="0" xr:uid="{535D8B9E-80E6-43BE-B2C0-F2CF2B83B440}">
      <text>
        <r>
          <rPr>
            <sz val="9"/>
            <color indexed="81"/>
            <rFont val="Tahoma"/>
            <family val="2"/>
          </rPr>
          <t>Disturbed triangle-like structure, with VV rows and star clusters</t>
        </r>
      </text>
    </comment>
    <comment ref="A1818" authorId="0" shapeId="0" xr:uid="{FB8071DA-C2CB-423F-BD55-2249C357C381}">
      <text>
        <r>
          <rPr>
            <sz val="9"/>
            <color indexed="81"/>
            <rFont val="Tahoma"/>
            <family val="2"/>
          </rPr>
          <t xml:space="preserve">
</t>
        </r>
      </text>
    </comment>
    <comment ref="K1818" authorId="0" shapeId="0" xr:uid="{2FC03712-F639-40FF-ACDF-523688E5719A}">
      <text>
        <r>
          <rPr>
            <sz val="9"/>
            <color indexed="81"/>
            <rFont val="Tahoma"/>
            <family val="2"/>
          </rPr>
          <t>Bright elliptical</t>
        </r>
      </text>
    </comment>
    <comment ref="A1819" authorId="0" shapeId="0" xr:uid="{7F29F97B-BFFF-40DC-ADC6-592B0FB7376A}">
      <text>
        <r>
          <rPr>
            <sz val="9"/>
            <color indexed="81"/>
            <rFont val="Tahoma"/>
            <family val="2"/>
          </rPr>
          <t xml:space="preserve">
</t>
        </r>
      </text>
    </comment>
    <comment ref="K1819" authorId="0" shapeId="0" xr:uid="{B73DC020-C5B5-415A-A8DD-635B3EBE6DAC}">
      <text>
        <r>
          <rPr>
            <sz val="9"/>
            <color indexed="81"/>
            <rFont val="Tahoma"/>
            <family val="2"/>
          </rPr>
          <t>Complex structure with 6 different types of concentric circular regions</t>
        </r>
      </text>
    </comment>
    <comment ref="A1820" authorId="0" shapeId="0" xr:uid="{9539A271-A351-426B-B039-02A13AE7C9C6}">
      <text>
        <r>
          <rPr>
            <sz val="9"/>
            <color indexed="81"/>
            <rFont val="Tahoma"/>
            <family val="2"/>
          </rPr>
          <t xml:space="preserve">
</t>
        </r>
      </text>
    </comment>
    <comment ref="K1820" authorId="0" shapeId="0" xr:uid="{0D3D2F7F-1C77-426D-BAA1-7D498C8510CF}">
      <text>
        <r>
          <rPr>
            <sz val="9"/>
            <color indexed="81"/>
            <rFont val="Tahoma"/>
            <family val="2"/>
          </rPr>
          <t>Barred lenticular with barlense and ansae</t>
        </r>
      </text>
    </comment>
    <comment ref="A1821" authorId="0" shapeId="0" xr:uid="{9282C1CA-AA41-4F82-B174-900A026A191C}">
      <text>
        <r>
          <rPr>
            <sz val="9"/>
            <color indexed="81"/>
            <rFont val="Tahoma"/>
            <family val="2"/>
          </rPr>
          <t xml:space="preserve">
</t>
        </r>
      </text>
    </comment>
    <comment ref="K1821" authorId="0" shapeId="0" xr:uid="{2844F0A8-F8F9-4301-B907-4E3D69933488}">
      <text>
        <r>
          <rPr>
            <sz val="9"/>
            <color indexed="81"/>
            <rFont val="Tahoma"/>
            <family val="2"/>
          </rPr>
          <t>Amazing collisional ring - rectangular offset core, surrounded by a diffuse disk which contains half of a star cloud ring</t>
        </r>
      </text>
    </comment>
    <comment ref="A1822" authorId="0" shapeId="0" xr:uid="{7990B37D-CB81-4324-A8BB-2B6A99772BFF}">
      <text>
        <r>
          <rPr>
            <sz val="9"/>
            <color indexed="81"/>
            <rFont val="Tahoma"/>
            <family val="2"/>
          </rPr>
          <t xml:space="preserve">
</t>
        </r>
      </text>
    </comment>
    <comment ref="K1822" authorId="0" shapeId="0" xr:uid="{30F90738-0305-4F0F-AC76-61ED8745CCFE}">
      <text>
        <r>
          <rPr>
            <sz val="9"/>
            <color indexed="81"/>
            <rFont val="Tahoma"/>
            <family val="2"/>
          </rPr>
          <t>Group of 4 galaxies, highlighted by the messy LSB galaxy NGC 2805, all with interesting structures</t>
        </r>
      </text>
    </comment>
    <comment ref="A1823" authorId="0" shapeId="0" xr:uid="{10D86615-5FD4-497C-BB82-FB08B4F8B30F}">
      <text>
        <r>
          <rPr>
            <sz val="9"/>
            <color indexed="81"/>
            <rFont val="Tahoma"/>
            <family val="2"/>
          </rPr>
          <t xml:space="preserve">
</t>
        </r>
      </text>
    </comment>
    <comment ref="K1823" authorId="0" shapeId="0" xr:uid="{6F0DEA78-A98A-417E-B50F-E2C10944B6C3}">
      <text>
        <r>
          <rPr>
            <sz val="9"/>
            <color indexed="81"/>
            <rFont val="Tahoma"/>
            <family val="2"/>
          </rPr>
          <t>A massive, extremely concentrated globular cluster of over 1 million stars</t>
        </r>
      </text>
    </comment>
    <comment ref="A1824" authorId="0" shapeId="0" xr:uid="{5DF07A8A-A65A-4851-9C20-AA7F0FE6C421}">
      <text>
        <r>
          <rPr>
            <sz val="9"/>
            <color indexed="81"/>
            <rFont val="Tahoma"/>
            <family val="2"/>
          </rPr>
          <t xml:space="preserve">
</t>
        </r>
      </text>
    </comment>
    <comment ref="K1824" authorId="0" shapeId="0" xr:uid="{24D18BDA-5D77-4873-8072-8044E643FEED}">
      <text>
        <r>
          <rPr>
            <sz val="9"/>
            <color indexed="81"/>
            <rFont val="Tahoma"/>
            <family val="2"/>
          </rPr>
          <t>Medium sized spiral galaxy in Hydra, with diffuse disk</t>
        </r>
      </text>
    </comment>
    <comment ref="A1825" authorId="0" shapeId="0" xr:uid="{DE48E2FE-4AF7-4E21-B0E5-12FF411EF910}">
      <text>
        <r>
          <rPr>
            <sz val="9"/>
            <color indexed="81"/>
            <rFont val="Tahoma"/>
            <family val="2"/>
          </rPr>
          <t xml:space="preserve">
</t>
        </r>
      </text>
    </comment>
    <comment ref="K1825" authorId="0" shapeId="0" xr:uid="{0969B066-CAA5-4977-AB78-CC43A2AA64EC}">
      <text>
        <r>
          <rPr>
            <sz val="9"/>
            <color indexed="81"/>
            <rFont val="Tahoma"/>
            <family val="2"/>
          </rPr>
          <t>Bipolar nebula with HII rim and OIII interior</t>
        </r>
      </text>
    </comment>
    <comment ref="A1826" authorId="0" shapeId="0" xr:uid="{DBBF6922-1253-49BC-80BF-67BC78DB199D}">
      <text>
        <r>
          <rPr>
            <sz val="9"/>
            <color indexed="81"/>
            <rFont val="Tahoma"/>
            <family val="2"/>
          </rPr>
          <t xml:space="preserve">
</t>
        </r>
      </text>
    </comment>
    <comment ref="K1826" authorId="0" shapeId="0" xr:uid="{6EF61F25-4BD6-485A-9472-317B7D3154B4}">
      <text>
        <r>
          <rPr>
            <sz val="9"/>
            <color indexed="81"/>
            <rFont val="Tahoma"/>
            <family val="2"/>
          </rPr>
          <t>Grand spiral with blue star clouds and many arms</t>
        </r>
      </text>
    </comment>
    <comment ref="A1827" authorId="0" shapeId="0" xr:uid="{BFB80736-F229-4DEB-BCCA-50DC09F24400}">
      <text>
        <r>
          <rPr>
            <sz val="9"/>
            <color indexed="81"/>
            <rFont val="Tahoma"/>
            <family val="2"/>
          </rPr>
          <t xml:space="preserve">
</t>
        </r>
      </text>
    </comment>
    <comment ref="K1827" authorId="0" shapeId="0" xr:uid="{8727B747-0D84-4D62-B3F3-351405219AFC}">
      <text>
        <r>
          <rPr>
            <sz val="9"/>
            <color indexed="81"/>
            <rFont val="Tahoma"/>
            <family val="2"/>
          </rPr>
          <t>Flocculent with different dust lane brightness on left and right disk halves</t>
        </r>
      </text>
    </comment>
    <comment ref="A1828" authorId="0" shapeId="0" xr:uid="{0B286B6F-AC6A-42CB-9D60-4B6E275A2D72}">
      <text>
        <r>
          <rPr>
            <sz val="9"/>
            <color indexed="81"/>
            <rFont val="Tahoma"/>
            <family val="2"/>
          </rPr>
          <t xml:space="preserve">
</t>
        </r>
      </text>
    </comment>
    <comment ref="K1828" authorId="0" shapeId="0" xr:uid="{F08A957E-63A6-4AB0-89AC-7A6D86C67C84}">
      <text>
        <r>
          <rPr>
            <sz val="9"/>
            <color indexed="81"/>
            <rFont val="Tahoma"/>
            <family val="2"/>
          </rPr>
          <t>Lenticular with barlense and ansae, as well as inner lens and outer ring</t>
        </r>
      </text>
    </comment>
    <comment ref="A1829" authorId="0" shapeId="0" xr:uid="{6C41F64B-3511-4728-A93E-A1186AA4F2C4}">
      <text>
        <r>
          <rPr>
            <sz val="9"/>
            <color indexed="81"/>
            <rFont val="Tahoma"/>
            <family val="2"/>
          </rPr>
          <t xml:space="preserve">
</t>
        </r>
      </text>
    </comment>
    <comment ref="K1829" authorId="0" shapeId="0" xr:uid="{AFDDB6BC-2967-4177-BCF3-6659E3EF8B6F}">
      <text>
        <r>
          <rPr>
            <sz val="9"/>
            <color indexed="81"/>
            <rFont val="Tahoma"/>
            <family val="2"/>
          </rPr>
          <t>Bright central region of this PN, with detail filaments, surrounded by a faint outer ring</t>
        </r>
      </text>
    </comment>
    <comment ref="A1830" authorId="0" shapeId="0" xr:uid="{3E508779-0D7D-4C5A-A3F0-602AC8379417}">
      <text>
        <r>
          <rPr>
            <sz val="9"/>
            <color indexed="81"/>
            <rFont val="Tahoma"/>
            <family val="2"/>
          </rPr>
          <t xml:space="preserve">
</t>
        </r>
      </text>
    </comment>
    <comment ref="K1830" authorId="0" shapeId="0" xr:uid="{EFB25DB9-BFC6-4D69-9D51-B5322E44C26E}">
      <text>
        <r>
          <rPr>
            <sz val="9"/>
            <color indexed="81"/>
            <rFont val="Tahoma"/>
            <family val="2"/>
          </rPr>
          <t>Galaxy merger with single core and long streams and tails</t>
        </r>
      </text>
    </comment>
    <comment ref="A1831" authorId="0" shapeId="0" xr:uid="{33B7EB1B-2262-4EE6-B4F2-94D5D8A9BC85}">
      <text>
        <r>
          <rPr>
            <sz val="9"/>
            <color indexed="81"/>
            <rFont val="Tahoma"/>
            <family val="2"/>
          </rPr>
          <t xml:space="preserve">
</t>
        </r>
      </text>
    </comment>
    <comment ref="K1831" authorId="0" shapeId="0" xr:uid="{F8277338-BF01-41E7-BB4F-6B94BC76A5F2}">
      <text>
        <r>
          <rPr>
            <sz val="9"/>
            <color indexed="81"/>
            <rFont val="Tahoma"/>
            <family val="2"/>
          </rPr>
          <t>Hydra spiral galaxy with distinct disk structure</t>
        </r>
      </text>
    </comment>
    <comment ref="A1832" authorId="0" shapeId="0" xr:uid="{6F9511C2-6DAA-435D-A710-D95A1F83B75F}">
      <text>
        <r>
          <rPr>
            <sz val="9"/>
            <color indexed="81"/>
            <rFont val="Tahoma"/>
            <family val="2"/>
          </rPr>
          <t xml:space="preserve">
</t>
        </r>
      </text>
    </comment>
    <comment ref="K1832" authorId="0" shapeId="0" xr:uid="{8268CE20-835A-487D-8D55-D6924586548C}">
      <text>
        <r>
          <rPr>
            <sz val="9"/>
            <color indexed="81"/>
            <rFont val="Tahoma"/>
            <family val="2"/>
          </rPr>
          <t>Highlight is the strong HII nebula (Sh2-312) surrounding this elliptical galaxy</t>
        </r>
      </text>
    </comment>
    <comment ref="A1833" authorId="0" shapeId="0" xr:uid="{DA6E8335-657C-4B76-8335-8D6BFD112652}">
      <text>
        <r>
          <rPr>
            <sz val="9"/>
            <color indexed="81"/>
            <rFont val="Tahoma"/>
            <family val="2"/>
          </rPr>
          <t xml:space="preserve">
</t>
        </r>
      </text>
    </comment>
    <comment ref="K1833" authorId="0" shapeId="0" xr:uid="{A492D5C9-045C-4B51-A99A-E3E97F6C655A}">
      <text>
        <r>
          <rPr>
            <sz val="9"/>
            <color indexed="81"/>
            <rFont val="Tahoma"/>
            <family val="2"/>
          </rPr>
          <t>Colorful barred spiral galaxy with many pink HII regions, blue star clouds, brown dust lanes and an obscured yellow core.</t>
        </r>
      </text>
    </comment>
    <comment ref="A1834" authorId="0" shapeId="0" xr:uid="{A961D6B7-3C03-4047-A86B-409D93EF5737}">
      <text>
        <r>
          <rPr>
            <sz val="9"/>
            <color indexed="81"/>
            <rFont val="Tahoma"/>
            <family val="2"/>
          </rPr>
          <t xml:space="preserve">
</t>
        </r>
      </text>
    </comment>
    <comment ref="K1834" authorId="0" shapeId="0" xr:uid="{CD4345AA-563C-47B1-B885-F2CF00EDF3ED}">
      <text>
        <r>
          <rPr>
            <sz val="9"/>
            <color indexed="81"/>
            <rFont val="Tahoma"/>
            <family val="2"/>
          </rPr>
          <t>Barred grand design galaxy with outer pseudo-ring, VV rows and an off-center nuclear ring.</t>
        </r>
      </text>
    </comment>
    <comment ref="A1835" authorId="0" shapeId="0" xr:uid="{591BBD2D-4567-4267-BF39-A9D66EB44B41}">
      <text>
        <r>
          <rPr>
            <sz val="9"/>
            <color indexed="81"/>
            <rFont val="Tahoma"/>
            <family val="2"/>
          </rPr>
          <t xml:space="preserve">
</t>
        </r>
      </text>
    </comment>
    <comment ref="K1835" authorId="0" shapeId="0" xr:uid="{FF80C579-E354-45B0-9848-BD382BC98D58}">
      <text>
        <r>
          <rPr>
            <sz val="9"/>
            <color indexed="81"/>
            <rFont val="Tahoma"/>
            <family val="2"/>
          </rPr>
          <t>Group of 5 NGC galaxies, highlighted by NGC 2943, a 300,000 ly diameter elliptical</t>
        </r>
      </text>
    </comment>
    <comment ref="A1836" authorId="0" shapeId="0" xr:uid="{B1F82F03-7D45-4074-93F5-44371D478E33}">
      <text>
        <r>
          <rPr>
            <sz val="9"/>
            <color indexed="81"/>
            <rFont val="Tahoma"/>
            <family val="2"/>
          </rPr>
          <t xml:space="preserve">
</t>
        </r>
      </text>
    </comment>
    <comment ref="K1836" authorId="0" shapeId="0" xr:uid="{EAA4013F-32A4-4240-AE8C-C40DDE589D5B}">
      <text>
        <r>
          <rPr>
            <sz val="9"/>
            <color indexed="81"/>
            <rFont val="Tahoma"/>
            <family val="2"/>
          </rPr>
          <t>Lenticular with 4 foreground stars superimposed over the outer disk</t>
        </r>
      </text>
    </comment>
    <comment ref="A1837" authorId="0" shapeId="0" xr:uid="{54A49F7D-3390-4BE4-8905-E32DF5B9513A}">
      <text>
        <r>
          <rPr>
            <sz val="9"/>
            <color indexed="81"/>
            <rFont val="Tahoma"/>
            <family val="2"/>
          </rPr>
          <t xml:space="preserve">
</t>
        </r>
      </text>
    </comment>
    <comment ref="K1837" authorId="0" shapeId="0" xr:uid="{EFE59F29-F317-47FD-9B00-67B7CEB4156E}">
      <text>
        <r>
          <rPr>
            <sz val="9"/>
            <color indexed="81"/>
            <rFont val="Tahoma"/>
            <family val="2"/>
          </rPr>
          <t>Asymmetric spiral with good arm definition</t>
        </r>
      </text>
    </comment>
    <comment ref="A1838" authorId="0" shapeId="0" xr:uid="{63A0B983-B612-468A-88C8-FA6555732C10}">
      <text>
        <r>
          <rPr>
            <sz val="9"/>
            <color indexed="81"/>
            <rFont val="Tahoma"/>
            <family val="2"/>
          </rPr>
          <t xml:space="preserve">
</t>
        </r>
      </text>
    </comment>
    <comment ref="K1838" authorId="0" shapeId="0" xr:uid="{30AF4920-D35D-4D73-8747-9A5077DA2609}">
      <text>
        <r>
          <rPr>
            <sz val="9"/>
            <color indexed="81"/>
            <rFont val="Tahoma"/>
            <family val="2"/>
          </rPr>
          <t>Magnificent dark lane encircling inner region, likely the result of a past merger</t>
        </r>
      </text>
    </comment>
    <comment ref="A1839" authorId="0" shapeId="0" xr:uid="{BC1532A5-4949-4C9F-A5F9-1DDA8957A4FF}">
      <text>
        <r>
          <rPr>
            <sz val="9"/>
            <color indexed="81"/>
            <rFont val="Tahoma"/>
            <family val="2"/>
          </rPr>
          <t xml:space="preserve">
</t>
        </r>
      </text>
    </comment>
    <comment ref="K1839" authorId="0" shapeId="0" xr:uid="{06C40929-66C5-4E6F-B51F-6BE97915F63B}">
      <text>
        <r>
          <rPr>
            <sz val="9"/>
            <color indexed="81"/>
            <rFont val="Tahoma"/>
            <family val="2"/>
          </rPr>
          <t>Lenticular near mag 10 bright star</t>
        </r>
      </text>
    </comment>
    <comment ref="A1840" authorId="0" shapeId="0" xr:uid="{3AA2F5AD-8952-4C93-8F21-7C1384A0AB67}">
      <text>
        <r>
          <rPr>
            <sz val="9"/>
            <color indexed="81"/>
            <rFont val="Tahoma"/>
            <family val="2"/>
          </rPr>
          <t xml:space="preserve">
</t>
        </r>
      </text>
    </comment>
    <comment ref="K1840" authorId="0" shapeId="0" xr:uid="{1B334B78-4CC4-45D7-A70E-44AD16FA671B}">
      <text>
        <r>
          <rPr>
            <sz val="9"/>
            <color indexed="81"/>
            <rFont val="Tahoma"/>
            <family val="2"/>
          </rPr>
          <t>Dwarf satellite of M81, a jumbled mess of dust lanes, star clouds and HII regions</t>
        </r>
      </text>
    </comment>
    <comment ref="A1841" authorId="0" shapeId="0" xr:uid="{64B69853-5AEE-456D-9202-884FDB86BD55}">
      <text>
        <r>
          <rPr>
            <sz val="9"/>
            <color indexed="81"/>
            <rFont val="Tahoma"/>
            <family val="2"/>
          </rPr>
          <t xml:space="preserve">
</t>
        </r>
      </text>
    </comment>
    <comment ref="K1841" authorId="0" shapeId="0" xr:uid="{77D9401E-ADED-4E6D-B75B-2B198BA403A7}">
      <text>
        <r>
          <rPr>
            <sz val="9"/>
            <color indexed="81"/>
            <rFont val="Tahoma"/>
            <family val="2"/>
          </rPr>
          <t>Lenticular with barlense and ansae</t>
        </r>
      </text>
    </comment>
    <comment ref="A1842" authorId="0" shapeId="0" xr:uid="{000741F4-DAED-4F50-9E6B-8977BCA69AAD}">
      <text>
        <r>
          <rPr>
            <sz val="9"/>
            <color indexed="81"/>
            <rFont val="Tahoma"/>
            <family val="2"/>
          </rPr>
          <t xml:space="preserve">
</t>
        </r>
      </text>
    </comment>
    <comment ref="K1842" authorId="0" shapeId="0" xr:uid="{359BDFE8-E278-4FFC-AF18-2BE122A21C2E}">
      <text>
        <r>
          <rPr>
            <sz val="9"/>
            <color indexed="81"/>
            <rFont val="Tahoma"/>
            <family val="2"/>
          </rPr>
          <t>Lovely broad star forming mid-ring and diffuse outer disk</t>
        </r>
      </text>
    </comment>
    <comment ref="A1843" authorId="0" shapeId="0" xr:uid="{F343BB07-6696-4A35-BC4C-103C560C13A0}">
      <text>
        <r>
          <rPr>
            <sz val="9"/>
            <color indexed="81"/>
            <rFont val="Tahoma"/>
            <family val="2"/>
          </rPr>
          <t xml:space="preserve">
</t>
        </r>
      </text>
    </comment>
    <comment ref="K1843" authorId="0" shapeId="0" xr:uid="{6991669F-07AE-4767-A50A-188B252DC2F4}">
      <text>
        <r>
          <rPr>
            <sz val="9"/>
            <color indexed="81"/>
            <rFont val="Tahoma"/>
            <family val="2"/>
          </rPr>
          <t>Wonderful color and asymmetric 2 arm structure</t>
        </r>
      </text>
    </comment>
    <comment ref="A1844" authorId="0" shapeId="0" xr:uid="{2E502CB6-E86E-42D3-B597-209E7710481C}">
      <text>
        <r>
          <rPr>
            <sz val="9"/>
            <color indexed="81"/>
            <rFont val="Tahoma"/>
            <family val="2"/>
          </rPr>
          <t xml:space="preserve">
</t>
        </r>
      </text>
    </comment>
    <comment ref="K1844" authorId="0" shapeId="0" xr:uid="{49443E87-51D0-4BFF-ADEA-9D23B5F3533C}">
      <text>
        <r>
          <rPr>
            <sz val="9"/>
            <color indexed="81"/>
            <rFont val="Tahoma"/>
            <family val="2"/>
          </rPr>
          <t>Group of 5 galaxies is headed up by NGC 2998, a 300,000 ly diameter elliptical</t>
        </r>
      </text>
    </comment>
    <comment ref="A1845" authorId="0" shapeId="0" xr:uid="{0D9E6614-7283-4909-B403-577303514B76}">
      <text>
        <r>
          <rPr>
            <sz val="9"/>
            <color indexed="81"/>
            <rFont val="Tahoma"/>
            <family val="2"/>
          </rPr>
          <t xml:space="preserve">
</t>
        </r>
      </text>
    </comment>
    <comment ref="K1845" authorId="0" shapeId="0" xr:uid="{16D1EE12-E14E-4204-A5BA-6BDCC83E30F1}">
      <text>
        <r>
          <rPr>
            <sz val="9"/>
            <color indexed="81"/>
            <rFont val="Tahoma"/>
            <family val="2"/>
          </rPr>
          <t>Heading up a group of 4 galaxies, this galaxy has incredible structure - deformed bar surrounding by bright inner ring, from which emanate numerous short arm fragments</t>
        </r>
      </text>
    </comment>
    <comment ref="A1846" authorId="0" shapeId="0" xr:uid="{33A0757E-4C5C-4E54-AB26-D0A919ED9122}">
      <text>
        <r>
          <rPr>
            <sz val="9"/>
            <color indexed="81"/>
            <rFont val="Tahoma"/>
            <family val="2"/>
          </rPr>
          <t xml:space="preserve">
</t>
        </r>
      </text>
    </comment>
    <comment ref="K1846" authorId="0" shapeId="0" xr:uid="{16DB34E3-AA1E-4FE8-8255-E8BB0C907734}">
      <text>
        <r>
          <rPr>
            <sz val="9"/>
            <color indexed="81"/>
            <rFont val="Tahoma"/>
            <family val="2"/>
          </rPr>
          <t>Severely disturbed barred spiral with a blue star cloud, Mrk1236</t>
        </r>
      </text>
    </comment>
    <comment ref="A1847" authorId="0" shapeId="0" xr:uid="{AF730EF1-713A-4F4F-BDCC-35FAF4DA256F}">
      <text>
        <r>
          <rPr>
            <sz val="9"/>
            <color indexed="81"/>
            <rFont val="Tahoma"/>
            <family val="2"/>
          </rPr>
          <t xml:space="preserve">
</t>
        </r>
      </text>
    </comment>
    <comment ref="K1847" authorId="0" shapeId="0" xr:uid="{AC457831-4072-4E80-BEAE-2009B787C6E8}">
      <text>
        <r>
          <rPr>
            <sz val="9"/>
            <color indexed="81"/>
            <rFont val="Tahoma"/>
            <family val="2"/>
          </rPr>
          <t>Fantastic edge-on spiral with odd off-axis star plume</t>
        </r>
      </text>
    </comment>
    <comment ref="A1848" authorId="0" shapeId="0" xr:uid="{C53B0445-494E-41C0-A908-7DF5FE2B586E}">
      <text>
        <r>
          <rPr>
            <sz val="9"/>
            <color indexed="81"/>
            <rFont val="Tahoma"/>
            <family val="2"/>
          </rPr>
          <t xml:space="preserve">
</t>
        </r>
      </text>
    </comment>
    <comment ref="K1848" authorId="0" shapeId="0" xr:uid="{2A8CA863-AAA4-4876-9F8A-CAF73EE1F1E2}">
      <text>
        <r>
          <rPr>
            <sz val="9"/>
            <color indexed="81"/>
            <rFont val="Tahoma"/>
            <family val="2"/>
          </rPr>
          <t>Tremendously long bar and short stubby arms</t>
        </r>
      </text>
    </comment>
    <comment ref="A1849" authorId="0" shapeId="0" xr:uid="{FDC552EA-0A4D-40C9-9825-60824A9BDC45}">
      <text>
        <r>
          <rPr>
            <sz val="9"/>
            <color indexed="81"/>
            <rFont val="Tahoma"/>
            <family val="2"/>
          </rPr>
          <t xml:space="preserve">
</t>
        </r>
      </text>
    </comment>
    <comment ref="K1849" authorId="0" shapeId="0" xr:uid="{CC2BDEBC-9A30-43CD-B92D-3DC11B1EF9F8}">
      <text>
        <r>
          <rPr>
            <sz val="9"/>
            <color indexed="81"/>
            <rFont val="Tahoma"/>
            <family val="2"/>
          </rPr>
          <t xml:space="preserve">Small nearby disrupted starburst elliptical </t>
        </r>
      </text>
    </comment>
    <comment ref="A1850" authorId="0" shapeId="0" xr:uid="{FC41DC6E-960C-4B1C-AC3F-CC65FB7F96B4}">
      <text>
        <r>
          <rPr>
            <sz val="9"/>
            <color indexed="81"/>
            <rFont val="Tahoma"/>
            <family val="2"/>
          </rPr>
          <t xml:space="preserve">
</t>
        </r>
      </text>
    </comment>
    <comment ref="K1850" authorId="0" shapeId="0" xr:uid="{B6F4858E-A9CE-4EA1-BDEC-C70B0BD2AD4B}">
      <text>
        <r>
          <rPr>
            <sz val="9"/>
            <color indexed="81"/>
            <rFont val="Tahoma"/>
            <family val="2"/>
          </rPr>
          <t>Edge-on Seyfert starburst spiral, looking like a colorful turbulent thunderstorm</t>
        </r>
      </text>
    </comment>
    <comment ref="A1851" authorId="0" shapeId="0" xr:uid="{E8BC1802-824B-4384-9D18-058DCC4BBB99}">
      <text>
        <r>
          <rPr>
            <sz val="9"/>
            <color indexed="81"/>
            <rFont val="Tahoma"/>
            <family val="2"/>
          </rPr>
          <t xml:space="preserve">
</t>
        </r>
      </text>
    </comment>
    <comment ref="K1851" authorId="0" shapeId="0" xr:uid="{131F3CEE-B3D8-41A8-AD89-3A28F090B372}">
      <text>
        <r>
          <rPr>
            <sz val="9"/>
            <color indexed="81"/>
            <rFont val="Tahoma"/>
            <family val="2"/>
          </rPr>
          <t>Seyfert double ring double barred spiral with blue star forming mid-region ring</t>
        </r>
      </text>
    </comment>
    <comment ref="A1852" authorId="0" shapeId="0" xr:uid="{CE72363C-8434-4639-ADFC-E1D4D0148EC6}">
      <text>
        <r>
          <rPr>
            <sz val="9"/>
            <color indexed="81"/>
            <rFont val="Tahoma"/>
            <family val="2"/>
          </rPr>
          <t xml:space="preserve">
</t>
        </r>
      </text>
    </comment>
    <comment ref="K1852" authorId="0" shapeId="0" xr:uid="{02D8B4FB-5981-4EA1-B6FF-21CA6430490F}">
      <text>
        <r>
          <rPr>
            <sz val="9"/>
            <color indexed="81"/>
            <rFont val="Tahoma"/>
            <family val="2"/>
          </rPr>
          <t>Edge-on faint Magellanic blue galaxy</t>
        </r>
      </text>
    </comment>
    <comment ref="A1853" authorId="0" shapeId="0" xr:uid="{8A98EA0A-A0AF-475C-AF3B-FA73E7088C24}">
      <text>
        <r>
          <rPr>
            <sz val="9"/>
            <color indexed="81"/>
            <rFont val="Tahoma"/>
            <family val="2"/>
          </rPr>
          <t xml:space="preserve">
</t>
        </r>
      </text>
    </comment>
    <comment ref="K1853" authorId="0" shapeId="0" xr:uid="{67A01A82-4E1F-4CC3-AED6-FDBB7777120F}">
      <text>
        <r>
          <rPr>
            <sz val="9"/>
            <color indexed="81"/>
            <rFont val="Tahoma"/>
            <family val="2"/>
          </rPr>
          <t>Disturbed barred spiral galaxy, with companion</t>
        </r>
      </text>
    </comment>
    <comment ref="A1854" authorId="0" shapeId="0" xr:uid="{D18D6E48-7468-4D66-BBDB-BA358120E8D7}">
      <text>
        <r>
          <rPr>
            <sz val="9"/>
            <color indexed="81"/>
            <rFont val="Tahoma"/>
            <family val="2"/>
          </rPr>
          <t xml:space="preserve">
</t>
        </r>
      </text>
    </comment>
    <comment ref="K1854" authorId="0" shapeId="0" xr:uid="{D7D1F2C2-12EE-4B0E-9318-B010F4DD7F48}">
      <text>
        <r>
          <rPr>
            <sz val="9"/>
            <color indexed="81"/>
            <rFont val="Tahoma"/>
            <family val="2"/>
          </rPr>
          <t>Bright open cluster, tough to distinguish from background stars</t>
        </r>
      </text>
    </comment>
    <comment ref="A1855" authorId="0" shapeId="0" xr:uid="{858A784D-60F4-4E83-84CF-25D0BFB69052}">
      <text>
        <r>
          <rPr>
            <sz val="9"/>
            <color indexed="81"/>
            <rFont val="Tahoma"/>
            <family val="2"/>
          </rPr>
          <t xml:space="preserve">
</t>
        </r>
      </text>
    </comment>
    <comment ref="K1855" authorId="0" shapeId="0" xr:uid="{8B186A83-0780-4F06-8B6D-C93D146804BA}">
      <text>
        <r>
          <rPr>
            <sz val="9"/>
            <color indexed="81"/>
            <rFont val="Tahoma"/>
            <family val="2"/>
          </rPr>
          <t>Bright edge-on lenticular galaxy</t>
        </r>
      </text>
    </comment>
    <comment ref="A1856" authorId="0" shapeId="0" xr:uid="{6DA713E6-19DF-46B2-9FDB-A445A117D9A6}">
      <text>
        <r>
          <rPr>
            <sz val="9"/>
            <color indexed="81"/>
            <rFont val="Tahoma"/>
            <family val="2"/>
          </rPr>
          <t xml:space="preserve">
</t>
        </r>
      </text>
    </comment>
    <comment ref="K1856" authorId="0" shapeId="0" xr:uid="{AC6B2048-EF8D-479D-A31A-A6AEFAE4D707}">
      <text>
        <r>
          <rPr>
            <sz val="9"/>
            <color indexed="81"/>
            <rFont val="Tahoma"/>
            <family val="2"/>
          </rPr>
          <t>Rare case of visual confirmation of counter-rotating inner and outer disks</t>
        </r>
      </text>
    </comment>
    <comment ref="A1857" authorId="0" shapeId="0" xr:uid="{71CF0007-1208-4500-AA80-44484E0C40DA}">
      <text>
        <r>
          <rPr>
            <sz val="9"/>
            <color indexed="81"/>
            <rFont val="Tahoma"/>
            <family val="2"/>
          </rPr>
          <t xml:space="preserve">
</t>
        </r>
      </text>
    </comment>
    <comment ref="K1857" authorId="0" shapeId="0" xr:uid="{4AE8E3B9-D77E-4A4E-9E88-0E6061AB5E29}">
      <text>
        <r>
          <rPr>
            <sz val="9"/>
            <color indexed="81"/>
            <rFont val="Tahoma"/>
            <family val="2"/>
          </rPr>
          <t>One of the most spectacular PN in the sky, nicknamed the Southern Ring and the Eight-Burst Nebula</t>
        </r>
      </text>
    </comment>
    <comment ref="A1858" authorId="0" shapeId="0" xr:uid="{BD999646-CC3A-47C0-96C2-85EC5B8AB2E3}">
      <text>
        <r>
          <rPr>
            <sz val="9"/>
            <color indexed="81"/>
            <rFont val="Tahoma"/>
            <family val="2"/>
          </rPr>
          <t xml:space="preserve">
</t>
        </r>
      </text>
    </comment>
    <comment ref="K1858" authorId="0" shapeId="0" xr:uid="{6EE29B2C-F674-4BAF-AB0D-98B610454025}">
      <text>
        <r>
          <rPr>
            <sz val="9"/>
            <color indexed="81"/>
            <rFont val="Tahoma"/>
            <family val="2"/>
          </rPr>
          <t>Splendid Seyfert face-on spiral with blue star clouds and arms which break up and become diffuse in the outer disk</t>
        </r>
      </text>
    </comment>
    <comment ref="A1859" authorId="0" shapeId="0" xr:uid="{2F27015D-8486-486E-AF72-FF7936F6FF20}">
      <text>
        <r>
          <rPr>
            <sz val="9"/>
            <color indexed="81"/>
            <rFont val="Tahoma"/>
            <family val="2"/>
          </rPr>
          <t xml:space="preserve">
</t>
        </r>
      </text>
    </comment>
    <comment ref="K1859" authorId="0" shapeId="0" xr:uid="{8DBDE5A4-7EB0-4AE4-983E-160B2A4A260A}">
      <text>
        <r>
          <rPr>
            <sz val="9"/>
            <color indexed="81"/>
            <rFont val="Tahoma"/>
            <family val="2"/>
          </rPr>
          <t>Barred spiral with 1 strong arm and other signs of disk disturbance</t>
        </r>
      </text>
    </comment>
    <comment ref="A1860" authorId="0" shapeId="0" xr:uid="{51D94FBA-438B-4E9A-9818-B9C17C1C4973}">
      <text>
        <r>
          <rPr>
            <sz val="9"/>
            <color indexed="81"/>
            <rFont val="Tahoma"/>
            <family val="2"/>
          </rPr>
          <t xml:space="preserve">
</t>
        </r>
      </text>
    </comment>
    <comment ref="K1860" authorId="0" shapeId="0" xr:uid="{3A8FEE21-1188-4E6A-BE75-7416E63C7974}">
      <text>
        <r>
          <rPr>
            <sz val="9"/>
            <color indexed="81"/>
            <rFont val="Tahoma"/>
            <family val="2"/>
          </rPr>
          <t>Bright barred core and unique bright arm of the inner region which wraps around the core.</t>
        </r>
      </text>
    </comment>
    <comment ref="A1861" authorId="0" shapeId="0" xr:uid="{F87FBA94-5F53-435A-BF96-947F41005F90}">
      <text>
        <r>
          <rPr>
            <sz val="9"/>
            <color indexed="81"/>
            <rFont val="Tahoma"/>
            <family val="2"/>
          </rPr>
          <t xml:space="preserve">
</t>
        </r>
      </text>
    </comment>
    <comment ref="K1861" authorId="0" shapeId="0" xr:uid="{BE47533B-FCCD-4CA4-98CE-D6A073F8F33D}">
      <text>
        <r>
          <rPr>
            <sz val="9"/>
            <color indexed="81"/>
            <rFont val="Tahoma"/>
            <family val="2"/>
          </rPr>
          <t>Small bright core, large central bulge and wide dust lanes silhouetted against the core.</t>
        </r>
      </text>
    </comment>
    <comment ref="A1862" authorId="0" shapeId="0" xr:uid="{9402ADD7-139F-4A43-8BB2-B8A6774E8A37}">
      <text>
        <r>
          <rPr>
            <sz val="9"/>
            <color indexed="81"/>
            <rFont val="Tahoma"/>
            <family val="2"/>
          </rPr>
          <t xml:space="preserve">
</t>
        </r>
      </text>
    </comment>
    <comment ref="K1862" authorId="0" shapeId="0" xr:uid="{A503C77D-86E9-48F3-B529-31C1A17BA2BA}">
      <text>
        <r>
          <rPr>
            <sz val="9"/>
            <color indexed="81"/>
            <rFont val="Tahoma"/>
            <family val="2"/>
          </rPr>
          <t>Similar to M101 (Pinwheel Galaxy), but twice as far away</t>
        </r>
      </text>
    </comment>
    <comment ref="A1863" authorId="0" shapeId="0" xr:uid="{C96808B4-2E9A-4CAB-99D6-3F7E6BFA336D}">
      <text>
        <r>
          <rPr>
            <sz val="9"/>
            <color indexed="81"/>
            <rFont val="Tahoma"/>
            <family val="2"/>
          </rPr>
          <t xml:space="preserve">
</t>
        </r>
      </text>
    </comment>
    <comment ref="K1863" authorId="0" shapeId="0" xr:uid="{A9A53A4F-20DD-46D2-9C25-F75C545F365B}">
      <text>
        <r>
          <rPr>
            <sz val="9"/>
            <color indexed="81"/>
            <rFont val="Tahoma"/>
            <family val="2"/>
          </rPr>
          <t>Elliptical, part of Arp 316</t>
        </r>
      </text>
    </comment>
    <comment ref="A1864" authorId="0" shapeId="0" xr:uid="{732F8812-9245-4D71-AE9C-B17BA1E692BA}">
      <text>
        <r>
          <rPr>
            <sz val="9"/>
            <color indexed="81"/>
            <rFont val="Tahoma"/>
            <family val="2"/>
          </rPr>
          <t xml:space="preserve">
</t>
        </r>
      </text>
    </comment>
    <comment ref="K1864" authorId="0" shapeId="0" xr:uid="{BE128997-E379-4DDD-9C6D-269EC24AF80F}">
      <text>
        <r>
          <rPr>
            <sz val="9"/>
            <color indexed="81"/>
            <rFont val="Tahoma"/>
            <family val="2"/>
          </rPr>
          <t>Small bipolar PN with nice detail</t>
        </r>
      </text>
    </comment>
    <comment ref="A1865" authorId="0" shapeId="0" xr:uid="{FEC92599-A270-4C8B-9089-971B0BEA3F84}">
      <text>
        <r>
          <rPr>
            <sz val="9"/>
            <color indexed="81"/>
            <rFont val="Tahoma"/>
            <family val="2"/>
          </rPr>
          <t xml:space="preserve">
</t>
        </r>
      </text>
    </comment>
    <comment ref="K1865" authorId="0" shapeId="0" xr:uid="{340815AF-5CC2-49E6-86C5-49E4E4C0F104}">
      <text>
        <r>
          <rPr>
            <sz val="9"/>
            <color indexed="81"/>
            <rFont val="Tahoma"/>
            <family val="2"/>
          </rPr>
          <t>Small core and bar.  Mottled dust areas and arms which wispfully extend out from center</t>
        </r>
      </text>
    </comment>
    <comment ref="A1866" authorId="0" shapeId="0" xr:uid="{FCA69EA2-82EA-4C41-B664-7CF527A7F063}">
      <text>
        <r>
          <rPr>
            <sz val="9"/>
            <color indexed="81"/>
            <rFont val="Tahoma"/>
            <family val="2"/>
          </rPr>
          <t xml:space="preserve">
</t>
        </r>
      </text>
    </comment>
    <comment ref="K1866" authorId="0" shapeId="0" xr:uid="{AB25A7AC-7F1D-4768-8774-7D875420A50F}">
      <text>
        <r>
          <rPr>
            <sz val="9"/>
            <color indexed="81"/>
            <rFont val="Tahoma"/>
            <family val="2"/>
          </rPr>
          <t>Ring of Wolf-Rayet nebula with brighter yellow arc</t>
        </r>
      </text>
    </comment>
    <comment ref="A1867" authorId="0" shapeId="0" xr:uid="{A2BA2120-4433-44DD-B44A-9A3AA0F0C8B9}">
      <text>
        <r>
          <rPr>
            <sz val="9"/>
            <color indexed="81"/>
            <rFont val="Tahoma"/>
            <family val="2"/>
          </rPr>
          <t xml:space="preserve">
</t>
        </r>
      </text>
    </comment>
    <comment ref="K1867" authorId="0" shapeId="0" xr:uid="{4C4015F1-F647-42E9-9973-C91D5FD08CBD}">
      <text>
        <r>
          <rPr>
            <sz val="9"/>
            <color indexed="81"/>
            <rFont val="Tahoma"/>
            <family val="2"/>
          </rPr>
          <t>Arrowhead like core of this concentrated globular cluster</t>
        </r>
      </text>
    </comment>
    <comment ref="A1868" authorId="0" shapeId="0" xr:uid="{925B62FA-86DC-4F84-B619-10CEE8971A02}">
      <text>
        <r>
          <rPr>
            <sz val="9"/>
            <color indexed="81"/>
            <rFont val="Tahoma"/>
            <family val="2"/>
          </rPr>
          <t xml:space="preserve">
</t>
        </r>
      </text>
    </comment>
    <comment ref="K1868" authorId="0" shapeId="0" xr:uid="{003B13D8-80B5-4C54-9BFA-3A66D8ACB2A4}">
      <text>
        <r>
          <rPr>
            <sz val="9"/>
            <color indexed="81"/>
            <rFont val="Tahoma"/>
            <family val="2"/>
          </rPr>
          <t>Trio of small galaxies in Ursa Major</t>
        </r>
      </text>
    </comment>
    <comment ref="A1869" authorId="0" shapeId="0" xr:uid="{C9A6D543-0000-4BDD-8519-1FC834E1A402}">
      <text>
        <r>
          <rPr>
            <sz val="9"/>
            <color indexed="81"/>
            <rFont val="Tahoma"/>
            <family val="2"/>
          </rPr>
          <t xml:space="preserve">
</t>
        </r>
      </text>
    </comment>
    <comment ref="K1869" authorId="0" shapeId="0" xr:uid="{016A74C3-7C54-4B5A-9090-62A409F56DF2}">
      <text>
        <r>
          <rPr>
            <sz val="9"/>
            <color indexed="81"/>
            <rFont val="Tahoma"/>
            <family val="2"/>
          </rPr>
          <t>Faint star streams connecting this edge-on spiral to companion galaxies</t>
        </r>
      </text>
    </comment>
    <comment ref="A1870" authorId="0" shapeId="0" xr:uid="{689B8AEB-2DEB-44D0-B1BE-9C27C3E79ACC}">
      <text>
        <r>
          <rPr>
            <sz val="9"/>
            <color indexed="81"/>
            <rFont val="Tahoma"/>
            <family val="2"/>
          </rPr>
          <t xml:space="preserve">
</t>
        </r>
      </text>
    </comment>
    <comment ref="K1870" authorId="0" shapeId="0" xr:uid="{8ECC0E36-8D99-422A-875A-60C9C49B21A9}">
      <text>
        <r>
          <rPr>
            <sz val="9"/>
            <color indexed="81"/>
            <rFont val="Tahoma"/>
            <family val="2"/>
          </rPr>
          <t>Hazy disk of this unremarkable galaxy</t>
        </r>
      </text>
    </comment>
    <comment ref="A1871" authorId="0" shapeId="0" xr:uid="{3A164B73-3ED3-48A0-8FD3-B7EC752489C6}">
      <text>
        <r>
          <rPr>
            <sz val="9"/>
            <color indexed="81"/>
            <rFont val="Tahoma"/>
            <family val="2"/>
          </rPr>
          <t xml:space="preserve">
</t>
        </r>
      </text>
    </comment>
    <comment ref="K1871" authorId="0" shapeId="0" xr:uid="{3D2696C6-D759-439B-93FD-E87F4A57F52C}">
      <text>
        <r>
          <rPr>
            <sz val="9"/>
            <color indexed="81"/>
            <rFont val="Tahoma"/>
            <family val="2"/>
          </rPr>
          <t>Elliptical companion to Arp 94</t>
        </r>
      </text>
    </comment>
    <comment ref="A1872" authorId="0" shapeId="0" xr:uid="{95AEFBDD-1B18-4639-BC1D-23C6F51F2232}">
      <text>
        <r>
          <rPr>
            <sz val="9"/>
            <color indexed="81"/>
            <rFont val="Tahoma"/>
            <family val="2"/>
          </rPr>
          <t xml:space="preserve">
</t>
        </r>
      </text>
    </comment>
    <comment ref="K1872" authorId="0" shapeId="0" xr:uid="{E8D0A6C5-34A9-440F-A4DD-F824BDCF920B}">
      <text>
        <r>
          <rPr>
            <sz val="9"/>
            <color indexed="81"/>
            <rFont val="Tahoma"/>
            <family val="2"/>
          </rPr>
          <t>One of the earliest southern DSOs, predating the Messier list</t>
        </r>
      </text>
    </comment>
    <comment ref="A1873" authorId="0" shapeId="0" xr:uid="{06A005CA-0D2A-4A64-8A3D-37CD5BC2A375}">
      <text>
        <r>
          <rPr>
            <sz val="9"/>
            <color indexed="81"/>
            <rFont val="Tahoma"/>
            <family val="2"/>
          </rPr>
          <t xml:space="preserve">
</t>
        </r>
      </text>
    </comment>
    <comment ref="K1873" authorId="0" shapeId="0" xr:uid="{FD372F97-1226-45D8-B7A1-F9B7BCD31AE6}">
      <text>
        <r>
          <rPr>
            <sz val="9"/>
            <color indexed="81"/>
            <rFont val="Tahoma"/>
            <family val="2"/>
          </rPr>
          <t>Bright OIII PN, likely bipolar, with visible progenitor</t>
        </r>
      </text>
    </comment>
    <comment ref="A1874" authorId="0" shapeId="0" xr:uid="{72760CEE-A6F8-4643-902A-22F6813B366B}">
      <text>
        <r>
          <rPr>
            <sz val="9"/>
            <color indexed="81"/>
            <rFont val="Tahoma"/>
            <family val="2"/>
          </rPr>
          <t xml:space="preserve">
</t>
        </r>
      </text>
    </comment>
    <comment ref="K1874" authorId="0" shapeId="0" xr:uid="{11B9B20D-A67D-42BF-B413-84A90C9EDFBA}">
      <text>
        <r>
          <rPr>
            <sz val="9"/>
            <color indexed="81"/>
            <rFont val="Tahoma"/>
            <family val="2"/>
          </rPr>
          <t>Lenticular in Leo Minor with striking dust band across the core</t>
        </r>
      </text>
    </comment>
    <comment ref="A1875" authorId="0" shapeId="0" xr:uid="{09CF0DC7-FC66-454C-BA83-87CC21449242}">
      <text>
        <r>
          <rPr>
            <sz val="9"/>
            <color indexed="81"/>
            <rFont val="Tahoma"/>
            <family val="2"/>
          </rPr>
          <t xml:space="preserve">
</t>
        </r>
      </text>
    </comment>
    <comment ref="K1875" authorId="0" shapeId="0" xr:uid="{120A91E2-3486-4FF3-BEB2-C22689BDB74F}">
      <text>
        <r>
          <rPr>
            <sz val="9"/>
            <color indexed="81"/>
            <rFont val="Tahoma"/>
            <family val="2"/>
          </rPr>
          <t>HII nebula surrounding partially hidden open cluster</t>
        </r>
      </text>
    </comment>
    <comment ref="A1876" authorId="0" shapeId="0" xr:uid="{E25D43D8-C825-498F-9170-861B30111886}">
      <text>
        <r>
          <rPr>
            <sz val="9"/>
            <color indexed="81"/>
            <rFont val="Tahoma"/>
            <family val="2"/>
          </rPr>
          <t xml:space="preserve">
</t>
        </r>
      </text>
    </comment>
    <comment ref="K1876" authorId="0" shapeId="0" xr:uid="{B3805EAD-F233-4C16-BA1C-1F27BBD27B91}">
      <text>
        <r>
          <rPr>
            <sz val="9"/>
            <color indexed="81"/>
            <rFont val="Tahoma"/>
            <family val="2"/>
          </rPr>
          <t>Large Seyfert spiral with some disturbance in the outer disk</t>
        </r>
      </text>
    </comment>
    <comment ref="A1877" authorId="0" shapeId="0" xr:uid="{02C0CDD2-799C-453C-83EF-F74D2302C020}">
      <text>
        <r>
          <rPr>
            <sz val="9"/>
            <color indexed="81"/>
            <rFont val="Tahoma"/>
            <family val="2"/>
          </rPr>
          <t xml:space="preserve">
</t>
        </r>
      </text>
    </comment>
    <comment ref="K1877" authorId="0" shapeId="0" xr:uid="{A1FE756B-1C56-4402-AD3F-9FF5481A86F9}">
      <text>
        <r>
          <rPr>
            <sz val="9"/>
            <color indexed="81"/>
            <rFont val="Tahoma"/>
            <family val="2"/>
          </rPr>
          <t>Late stage merger with single core and swirling dust bands</t>
        </r>
      </text>
    </comment>
    <comment ref="A1878" authorId="0" shapeId="0" xr:uid="{65682CE9-05EE-4D6F-8EEA-94DD0B047CE3}">
      <text>
        <r>
          <rPr>
            <sz val="9"/>
            <color indexed="81"/>
            <rFont val="Tahoma"/>
            <family val="2"/>
          </rPr>
          <t xml:space="preserve">
</t>
        </r>
      </text>
    </comment>
    <comment ref="K1878" authorId="0" shapeId="0" xr:uid="{B84B0713-D5D6-43E9-9474-9F0DD93808E7}">
      <text>
        <r>
          <rPr>
            <sz val="9"/>
            <color indexed="81"/>
            <rFont val="Tahoma"/>
            <family val="2"/>
          </rPr>
          <t>Barred grand spiral with VV rows and HII regions</t>
        </r>
      </text>
    </comment>
    <comment ref="A1879" authorId="0" shapeId="0" xr:uid="{B86A0789-C28F-4472-B814-E9E72D132026}">
      <text>
        <r>
          <rPr>
            <sz val="9"/>
            <color indexed="81"/>
            <rFont val="Tahoma"/>
            <family val="2"/>
          </rPr>
          <t xml:space="preserve">
</t>
        </r>
      </text>
    </comment>
    <comment ref="K1879" authorId="0" shapeId="0" xr:uid="{238045CA-220E-48D5-A3AA-5F944475F394}">
      <text>
        <r>
          <rPr>
            <sz val="9"/>
            <color indexed="81"/>
            <rFont val="Tahoma"/>
            <family val="2"/>
          </rPr>
          <t>Northern half of Antlia Cluster, the 3rd closest cluster system to earth</t>
        </r>
      </text>
    </comment>
    <comment ref="A1880" authorId="0" shapeId="0" xr:uid="{15141D38-E9D3-44CF-B73B-A356DA1AC55E}">
      <text>
        <r>
          <rPr>
            <sz val="9"/>
            <color indexed="81"/>
            <rFont val="Tahoma"/>
            <family val="2"/>
          </rPr>
          <t xml:space="preserve">
</t>
        </r>
      </text>
    </comment>
    <comment ref="K1880" authorId="0" shapeId="0" xr:uid="{1113339D-CECC-4C9C-B121-CFFF8F8BE24C}">
      <text>
        <r>
          <rPr>
            <sz val="9"/>
            <color indexed="81"/>
            <rFont val="Tahoma"/>
            <family val="2"/>
          </rPr>
          <t>Lenticular with visible winding dust lanes in the inner region</t>
        </r>
      </text>
    </comment>
    <comment ref="A1881" authorId="0" shapeId="0" xr:uid="{EA30F833-E0D1-4311-9812-A3CECAE070B9}">
      <text>
        <r>
          <rPr>
            <sz val="9"/>
            <color indexed="81"/>
            <rFont val="Tahoma"/>
            <family val="2"/>
          </rPr>
          <t xml:space="preserve">
</t>
        </r>
      </text>
    </comment>
    <comment ref="K1881" authorId="0" shapeId="0" xr:uid="{000D8343-3616-4E37-83AD-9DE41041FD00}">
      <text>
        <r>
          <rPr>
            <sz val="9"/>
            <color indexed="81"/>
            <rFont val="Tahoma"/>
            <family val="2"/>
          </rPr>
          <t>One of the best southern open clusters</t>
        </r>
      </text>
    </comment>
    <comment ref="A1882" authorId="0" shapeId="0" xr:uid="{067585B8-F00E-4BC0-AD28-26310F622136}">
      <text>
        <r>
          <rPr>
            <sz val="9"/>
            <color indexed="81"/>
            <rFont val="Tahoma"/>
            <family val="2"/>
          </rPr>
          <t xml:space="preserve">
</t>
        </r>
      </text>
    </comment>
    <comment ref="K1882" authorId="0" shapeId="0" xr:uid="{6D9443F1-B214-4522-A4CE-5B2B2AE83185}">
      <text>
        <r>
          <rPr>
            <sz val="9"/>
            <color indexed="81"/>
            <rFont val="Tahoma"/>
            <family val="2"/>
          </rPr>
          <t>Mottled arms and several visible faint HII regions</t>
        </r>
      </text>
    </comment>
    <comment ref="A1883" authorId="0" shapeId="0" xr:uid="{CF78D6A1-4CEF-435D-B9A6-FBE415DE5991}">
      <text>
        <r>
          <rPr>
            <sz val="9"/>
            <color indexed="81"/>
            <rFont val="Tahoma"/>
            <family val="2"/>
          </rPr>
          <t xml:space="preserve">
</t>
        </r>
      </text>
    </comment>
    <comment ref="K1883" authorId="0" shapeId="0" xr:uid="{C452D91E-622D-484D-8A6F-1ADCFC07BA4D}">
      <text>
        <r>
          <rPr>
            <sz val="9"/>
            <color indexed="81"/>
            <rFont val="Tahoma"/>
            <family val="2"/>
          </rPr>
          <t>Barred grand spiral multi-ring galaxy, with long bar and nuclear ring core</t>
        </r>
      </text>
    </comment>
    <comment ref="A1884" authorId="0" shapeId="0" xr:uid="{4DAA29F1-1974-4BB1-97F1-99CCD104F267}">
      <text>
        <r>
          <rPr>
            <sz val="9"/>
            <color indexed="81"/>
            <rFont val="Tahoma"/>
            <family val="2"/>
          </rPr>
          <t xml:space="preserve">
</t>
        </r>
      </text>
    </comment>
    <comment ref="K1884" authorId="0" shapeId="0" xr:uid="{1ED9ECB0-D067-4794-9261-DB4EC0B7B0E6}">
      <text>
        <r>
          <rPr>
            <sz val="9"/>
            <color indexed="81"/>
            <rFont val="Tahoma"/>
            <family val="2"/>
          </rPr>
          <t>Long bar and fragmented arms for this Seyfert galaxy</t>
        </r>
      </text>
    </comment>
    <comment ref="A1885" authorId="0" shapeId="0" xr:uid="{C064AB13-8AAF-4DEF-91D8-89E1F9601793}">
      <text>
        <r>
          <rPr>
            <sz val="9"/>
            <color indexed="81"/>
            <rFont val="Tahoma"/>
            <family val="2"/>
          </rPr>
          <t xml:space="preserve">
</t>
        </r>
      </text>
    </comment>
    <comment ref="K1885" authorId="0" shapeId="0" xr:uid="{74B4FFAE-FE63-4886-B4DF-1DC1460B22CF}">
      <text>
        <r>
          <rPr>
            <sz val="9"/>
            <color indexed="81"/>
            <rFont val="Tahoma"/>
            <family val="2"/>
          </rPr>
          <t>Emission nebula just southeast of Eta Carina</t>
        </r>
      </text>
    </comment>
    <comment ref="A1886" authorId="0" shapeId="0" xr:uid="{FB2C59E0-E2D1-4343-AA51-E60E9E118CF0}">
      <text>
        <r>
          <rPr>
            <sz val="9"/>
            <color indexed="81"/>
            <rFont val="Tahoma"/>
            <family val="2"/>
          </rPr>
          <t xml:space="preserve">
</t>
        </r>
      </text>
    </comment>
    <comment ref="K1886" authorId="0" shapeId="0" xr:uid="{5D1BF587-1589-4E5A-AB7B-B7B1D875A99A}">
      <text>
        <r>
          <rPr>
            <sz val="9"/>
            <color indexed="81"/>
            <rFont val="Tahoma"/>
            <family val="2"/>
          </rPr>
          <t>Faint extended shell out to 400,000 ly diameter</t>
        </r>
      </text>
    </comment>
    <comment ref="A1887" authorId="0" shapeId="0" xr:uid="{9FB21E31-06DB-455C-9CD9-544F2010EAB4}">
      <text>
        <r>
          <rPr>
            <sz val="9"/>
            <color indexed="81"/>
            <rFont val="Tahoma"/>
            <family val="2"/>
          </rPr>
          <t xml:space="preserve">
</t>
        </r>
      </text>
    </comment>
    <comment ref="K1887" authorId="0" shapeId="0" xr:uid="{0C07F3B6-F935-4EB0-B3FA-C0F3BA7BDB5C}">
      <text>
        <r>
          <rPr>
            <sz val="9"/>
            <color indexed="81"/>
            <rFont val="Tahoma"/>
            <family val="2"/>
          </rPr>
          <t xml:space="preserve">Small unbarred core and flocculent inner region.  2 grand design spiral arms in outer region.  Star clouds throughout </t>
        </r>
      </text>
    </comment>
    <comment ref="A1888" authorId="0" shapeId="0" xr:uid="{8416EB17-BAAC-4145-89AA-6A35624FADD5}">
      <text>
        <r>
          <rPr>
            <sz val="9"/>
            <color indexed="81"/>
            <rFont val="Tahoma"/>
            <family val="2"/>
          </rPr>
          <t xml:space="preserve">
</t>
        </r>
      </text>
    </comment>
    <comment ref="K1888" authorId="0" shapeId="0" xr:uid="{DF16017A-9C74-4DAF-B110-863F49A6C2C5}">
      <text>
        <r>
          <rPr>
            <sz val="9"/>
            <color indexed="81"/>
            <rFont val="Tahoma"/>
            <family val="2"/>
          </rPr>
          <t>Slightly barred galaxy with the appearance of many arms, several foreground stars</t>
        </r>
      </text>
    </comment>
    <comment ref="A1889" authorId="0" shapeId="0" xr:uid="{69CB85DE-2B48-4749-8142-CF043A1A7905}">
      <text>
        <r>
          <rPr>
            <sz val="9"/>
            <color indexed="81"/>
            <rFont val="Tahoma"/>
            <family val="2"/>
          </rPr>
          <t xml:space="preserve">
</t>
        </r>
      </text>
    </comment>
    <comment ref="K1889" authorId="0" shapeId="0" xr:uid="{18787C6B-FC36-4A7A-ABCC-45C4E1966712}">
      <text>
        <r>
          <rPr>
            <sz val="9"/>
            <color indexed="81"/>
            <rFont val="Tahoma"/>
            <family val="2"/>
          </rPr>
          <t>Barred spiral with fragmented arms</t>
        </r>
      </text>
    </comment>
    <comment ref="A1890" authorId="0" shapeId="0" xr:uid="{FB902491-14D2-4BE6-9F4A-CBDCC2DB6E70}">
      <text>
        <r>
          <rPr>
            <sz val="9"/>
            <color indexed="81"/>
            <rFont val="Tahoma"/>
            <family val="2"/>
          </rPr>
          <t xml:space="preserve">
</t>
        </r>
      </text>
    </comment>
    <comment ref="K1890" authorId="0" shapeId="0" xr:uid="{2CD66BCD-FD23-47E3-B918-3A34AC61AB50}">
      <text>
        <r>
          <rPr>
            <sz val="9"/>
            <color indexed="81"/>
            <rFont val="Tahoma"/>
            <family val="2"/>
          </rPr>
          <t>Odd asymmetric core.  2 graceful outer spiral arms.  Nice pairing with NGC 3358</t>
        </r>
      </text>
    </comment>
    <comment ref="A1891" authorId="0" shapeId="0" xr:uid="{1B0A3B7B-52F4-4C3D-9168-C688FFE9BE3E}">
      <text>
        <r>
          <rPr>
            <sz val="9"/>
            <color indexed="81"/>
            <rFont val="Tahoma"/>
            <family val="2"/>
          </rPr>
          <t xml:space="preserve">
</t>
        </r>
      </text>
    </comment>
    <comment ref="K1891" authorId="0" shapeId="0" xr:uid="{49484215-BE1A-48E8-B33E-0C7DDAA17A99}">
      <text>
        <r>
          <rPr>
            <sz val="9"/>
            <color indexed="81"/>
            <rFont val="Tahoma"/>
            <family val="2"/>
          </rPr>
          <t>Fantastic "tornado" galaxy shape, very asymmetric</t>
        </r>
      </text>
    </comment>
    <comment ref="A1892" authorId="0" shapeId="0" xr:uid="{229288BD-95D7-44CC-8AF8-F4430A3B01CB}">
      <text>
        <r>
          <rPr>
            <sz val="9"/>
            <color indexed="81"/>
            <rFont val="Tahoma"/>
            <family val="2"/>
          </rPr>
          <t xml:space="preserve">
</t>
        </r>
      </text>
    </comment>
    <comment ref="K1892" authorId="0" shapeId="0" xr:uid="{FD514B93-870D-4BD0-B282-F3C110621919}">
      <text>
        <r>
          <rPr>
            <sz val="9"/>
            <color indexed="81"/>
            <rFont val="Tahoma"/>
            <family val="2"/>
          </rPr>
          <t>Slightly barred galaxy with diffuse outer disk and bright inner region.  Nice pairing with NGC3347</t>
        </r>
      </text>
    </comment>
    <comment ref="A1893" authorId="0" shapeId="0" xr:uid="{E47136A0-D663-4DB4-93C3-0A540BBE9A5C}">
      <text>
        <r>
          <rPr>
            <sz val="9"/>
            <color indexed="81"/>
            <rFont val="Tahoma"/>
            <family val="2"/>
          </rPr>
          <t xml:space="preserve">
</t>
        </r>
      </text>
    </comment>
    <comment ref="K1893" authorId="0" shapeId="0" xr:uid="{21CCC759-7D4E-4E55-BA4F-60EF069F4BDE}">
      <text>
        <r>
          <rPr>
            <sz val="9"/>
            <color indexed="81"/>
            <rFont val="Tahoma"/>
            <family val="2"/>
          </rPr>
          <t>Beautiful barred spiral, with blue star clouds, pink HII regions,  and 2 strong and slightly disturbed arms</t>
        </r>
      </text>
    </comment>
    <comment ref="A1894" authorId="0" shapeId="0" xr:uid="{5871BFD7-2A55-4F4A-B5F7-EE6C3AD217BB}">
      <text>
        <r>
          <rPr>
            <sz val="9"/>
            <color indexed="81"/>
            <rFont val="Tahoma"/>
            <family val="2"/>
          </rPr>
          <t xml:space="preserve">
</t>
        </r>
      </text>
    </comment>
    <comment ref="K1894" authorId="0" shapeId="0" xr:uid="{CF1642E7-0900-4DB1-AF96-BAD8658B56C2}">
      <text>
        <r>
          <rPr>
            <sz val="9"/>
            <color indexed="81"/>
            <rFont val="Tahoma"/>
            <family val="2"/>
          </rPr>
          <t>Symmetric spiral with many VV rows</t>
        </r>
      </text>
    </comment>
    <comment ref="A1895" authorId="0" shapeId="0" xr:uid="{ECD1335E-54C7-496F-9B3C-6DC63D486444}">
      <text>
        <r>
          <rPr>
            <sz val="9"/>
            <color indexed="81"/>
            <rFont val="Tahoma"/>
            <family val="2"/>
          </rPr>
          <t xml:space="preserve">
</t>
        </r>
      </text>
    </comment>
    <comment ref="K1895" authorId="0" shapeId="0" xr:uid="{2242517E-23E4-4037-A7AF-66360435FF36}">
      <text>
        <r>
          <rPr>
            <sz val="9"/>
            <color indexed="81"/>
            <rFont val="Tahoma"/>
            <family val="2"/>
          </rPr>
          <t>Brightest nebula in the sky</t>
        </r>
      </text>
    </comment>
    <comment ref="A1896" authorId="0" shapeId="0" xr:uid="{170EB5BA-7848-4A31-9E55-073EEEB99F22}">
      <text>
        <r>
          <rPr>
            <sz val="9"/>
            <color indexed="81"/>
            <rFont val="Tahoma"/>
            <family val="2"/>
          </rPr>
          <t xml:space="preserve">
</t>
        </r>
      </text>
    </comment>
    <comment ref="K1896" authorId="0" shapeId="0" xr:uid="{4E4ECFF0-C86C-4A1A-9CD5-5B5CA8562ABE}">
      <text>
        <r>
          <rPr>
            <sz val="9"/>
            <color indexed="81"/>
            <rFont val="Tahoma"/>
            <family val="2"/>
          </rPr>
          <t>Bright elliptical in Leo</t>
        </r>
      </text>
    </comment>
    <comment ref="A1897" authorId="0" shapeId="0" xr:uid="{41A64FFA-61D0-46C7-B8B7-C733645E51A3}">
      <text>
        <r>
          <rPr>
            <sz val="9"/>
            <color indexed="81"/>
            <rFont val="Tahoma"/>
            <family val="2"/>
          </rPr>
          <t xml:space="preserve">
</t>
        </r>
      </text>
    </comment>
    <comment ref="K1897" authorId="0" shapeId="0" xr:uid="{0CB95FAC-9938-454E-9832-6F80B23C687F}">
      <text>
        <r>
          <rPr>
            <sz val="9"/>
            <color indexed="81"/>
            <rFont val="Tahoma"/>
            <family val="2"/>
          </rPr>
          <t>Lenticular with few features, part of M105 trio</t>
        </r>
      </text>
    </comment>
    <comment ref="A1898" authorId="0" shapeId="0" xr:uid="{B10A5A4C-B4A6-4150-A796-2E7328CCE442}">
      <text>
        <r>
          <rPr>
            <sz val="9"/>
            <color indexed="81"/>
            <rFont val="Tahoma"/>
            <family val="2"/>
          </rPr>
          <t xml:space="preserve">
</t>
        </r>
      </text>
    </comment>
    <comment ref="K1898" authorId="0" shapeId="0" xr:uid="{37626CC3-D2E8-4B43-8CBC-E601B67EF8BF}">
      <text>
        <r>
          <rPr>
            <sz val="9"/>
            <color indexed="81"/>
            <rFont val="Tahoma"/>
            <family val="2"/>
          </rPr>
          <t>Disturbed spiral, part of M105 trio</t>
        </r>
      </text>
    </comment>
    <comment ref="A1899" authorId="0" shapeId="0" xr:uid="{C3A6AC62-BB49-42E8-B760-F8463DA5D163}">
      <text>
        <r>
          <rPr>
            <sz val="9"/>
            <color indexed="81"/>
            <rFont val="Tahoma"/>
            <family val="2"/>
          </rPr>
          <t xml:space="preserve">
</t>
        </r>
      </text>
    </comment>
    <comment ref="K1899" authorId="0" shapeId="0" xr:uid="{79FF7253-DBE0-4F68-A345-7D822AAD0543}">
      <text>
        <r>
          <rPr>
            <sz val="9"/>
            <color indexed="81"/>
            <rFont val="Tahoma"/>
            <family val="2"/>
          </rPr>
          <t>Small featureless barred lenticular</t>
        </r>
      </text>
    </comment>
    <comment ref="A1900" authorId="0" shapeId="0" xr:uid="{41DAFCEA-24B8-489F-8D8F-324C2B955CD0}">
      <text>
        <r>
          <rPr>
            <sz val="9"/>
            <color indexed="81"/>
            <rFont val="Tahoma"/>
            <family val="2"/>
          </rPr>
          <t xml:space="preserve">
</t>
        </r>
      </text>
    </comment>
    <comment ref="K1900" authorId="0" shapeId="0" xr:uid="{B03EE9CF-C058-451E-B904-0FB797143E63}">
      <text>
        <r>
          <rPr>
            <sz val="9"/>
            <color indexed="81"/>
            <rFont val="Tahoma"/>
            <family val="2"/>
          </rPr>
          <t>Faint face-on spiral with star clouds and HII regions</t>
        </r>
      </text>
    </comment>
    <comment ref="A1901" authorId="0" shapeId="0" xr:uid="{26CEBA28-4AD9-47B3-9747-606EC055E6B7}">
      <text>
        <r>
          <rPr>
            <sz val="9"/>
            <color indexed="81"/>
            <rFont val="Tahoma"/>
            <family val="2"/>
          </rPr>
          <t xml:space="preserve">
</t>
        </r>
      </text>
    </comment>
    <comment ref="K1901" authorId="0" shapeId="0" xr:uid="{C1717BDF-EB1F-4570-99C0-90FF06AC0A48}">
      <text>
        <r>
          <rPr>
            <sz val="9"/>
            <color indexed="81"/>
            <rFont val="Tahoma"/>
            <family val="2"/>
          </rPr>
          <t>Along with NGC3424, a nice pair of blue spiral galaxies</t>
        </r>
      </text>
    </comment>
    <comment ref="A1902" authorId="0" shapeId="0" xr:uid="{730C71EA-6A3C-4125-80F2-8732EFAE1DE5}">
      <text>
        <r>
          <rPr>
            <sz val="9"/>
            <color indexed="81"/>
            <rFont val="Tahoma"/>
            <family val="2"/>
          </rPr>
          <t xml:space="preserve">
</t>
        </r>
      </text>
    </comment>
    <comment ref="K1902" authorId="0" shapeId="0" xr:uid="{454CF796-B5FC-4333-A82B-6EDA5A3D4A99}">
      <text>
        <r>
          <rPr>
            <sz val="9"/>
            <color indexed="81"/>
            <rFont val="Tahoma"/>
            <family val="2"/>
          </rPr>
          <t>Face-on grand spiral with 2 graceful arms spiraling out from the core, with VV rows</t>
        </r>
      </text>
    </comment>
    <comment ref="A1903" authorId="0" shapeId="0" xr:uid="{9875C2E7-3DA0-402B-BE32-B8AE3451BD65}">
      <text>
        <r>
          <rPr>
            <sz val="9"/>
            <color indexed="81"/>
            <rFont val="Tahoma"/>
            <family val="2"/>
          </rPr>
          <t xml:space="preserve">
</t>
        </r>
      </text>
    </comment>
    <comment ref="K1903" authorId="0" shapeId="0" xr:uid="{664640E1-29EF-4260-B134-F7FCFDFDF56F}">
      <text>
        <r>
          <rPr>
            <sz val="9"/>
            <color indexed="81"/>
            <rFont val="Tahoma"/>
            <family val="2"/>
          </rPr>
          <t>3 small interacting galaxies, although only 1 white bar is seen</t>
        </r>
      </text>
    </comment>
    <comment ref="A1904" authorId="0" shapeId="0" xr:uid="{D84B3AC1-F3A0-4BBF-BD5C-02A17267559C}">
      <text>
        <r>
          <rPr>
            <sz val="9"/>
            <color indexed="81"/>
            <rFont val="Tahoma"/>
            <family val="2"/>
          </rPr>
          <t xml:space="preserve">
</t>
        </r>
      </text>
    </comment>
    <comment ref="K1904" authorId="0" shapeId="0" xr:uid="{8D092809-55EC-4ABE-B8BB-01F42CF57202}">
      <text>
        <r>
          <rPr>
            <sz val="9"/>
            <color indexed="81"/>
            <rFont val="Tahoma"/>
            <family val="2"/>
          </rPr>
          <t>Pair of spiral galaxies in Leo with contrasting blue and yellow colors, not interacting</t>
        </r>
      </text>
    </comment>
    <comment ref="A1905" authorId="0" shapeId="0" xr:uid="{70D13AF1-CE2D-4AB2-9DA8-D206E2149DA1}">
      <text>
        <r>
          <rPr>
            <sz val="9"/>
            <color indexed="81"/>
            <rFont val="Tahoma"/>
            <family val="2"/>
          </rPr>
          <t xml:space="preserve">
</t>
        </r>
      </text>
    </comment>
    <comment ref="K1905" authorId="0" shapeId="0" xr:uid="{1F82E0C2-6424-49F6-ACF8-74A7633BDA31}">
      <text>
        <r>
          <rPr>
            <sz val="9"/>
            <color indexed="81"/>
            <rFont val="Tahoma"/>
            <family val="2"/>
          </rPr>
          <t>Elegant spiral with barlense, many fragmented arms, and numerous blue star clouds and pink HII regions</t>
        </r>
      </text>
    </comment>
    <comment ref="A1906" authorId="0" shapeId="0" xr:uid="{6FFB305B-F765-48E7-906C-99DC047FCB41}">
      <text>
        <r>
          <rPr>
            <sz val="9"/>
            <color indexed="81"/>
            <rFont val="Tahoma"/>
            <family val="2"/>
          </rPr>
          <t xml:space="preserve">
</t>
        </r>
      </text>
    </comment>
    <comment ref="K1906" authorId="0" shapeId="0" xr:uid="{FD82A37A-87B9-4C3A-B21A-682EDD07689B}">
      <text>
        <r>
          <rPr>
            <sz val="9"/>
            <color indexed="81"/>
            <rFont val="Tahoma"/>
            <family val="2"/>
          </rPr>
          <t>Lenticular with bright AGN core and amazing dust lanes</t>
        </r>
      </text>
    </comment>
    <comment ref="A1907" authorId="0" shapeId="0" xr:uid="{61287400-72F3-48BA-8CC0-280461D936CB}">
      <text>
        <r>
          <rPr>
            <sz val="9"/>
            <color indexed="81"/>
            <rFont val="Tahoma"/>
            <family val="2"/>
          </rPr>
          <t xml:space="preserve">
</t>
        </r>
      </text>
    </comment>
    <comment ref="K1907" authorId="0" shapeId="0" xr:uid="{5E520D64-3B9D-42A3-8FCC-DE91FB9745CD}">
      <text>
        <r>
          <rPr>
            <sz val="9"/>
            <color indexed="81"/>
            <rFont val="Tahoma"/>
            <family val="2"/>
          </rPr>
          <t>Superthin edge-on spiral with mottled dust lanes.  A nice pair with NGC 3507.</t>
        </r>
      </text>
    </comment>
    <comment ref="A1908" authorId="0" shapeId="0" xr:uid="{AAF555B2-FFC7-44E3-8900-6B69200E2A6C}">
      <text>
        <r>
          <rPr>
            <sz val="9"/>
            <color indexed="81"/>
            <rFont val="Tahoma"/>
            <family val="2"/>
          </rPr>
          <t xml:space="preserve">
</t>
        </r>
      </text>
    </comment>
    <comment ref="K1908" authorId="0" shapeId="0" xr:uid="{23DA86C0-E241-4834-B84A-0FF6D5092F23}">
      <text>
        <r>
          <rPr>
            <sz val="9"/>
            <color indexed="81"/>
            <rFont val="Tahoma"/>
            <family val="2"/>
          </rPr>
          <t>Bright white core connected by yellow bar to inner ring which has bright blue ansae.  Pseudo-ring in outer disk. Adjacent to NGC3512</t>
        </r>
      </text>
    </comment>
    <comment ref="A1909" authorId="0" shapeId="0" xr:uid="{0E4EFFDE-CD1B-44EE-ABA7-489B3810502E}">
      <text>
        <r>
          <rPr>
            <sz val="9"/>
            <color indexed="81"/>
            <rFont val="Tahoma"/>
            <family val="2"/>
          </rPr>
          <t xml:space="preserve">
</t>
        </r>
      </text>
    </comment>
    <comment ref="K1909" authorId="0" shapeId="0" xr:uid="{91BE18C6-C6BD-4DB5-874C-C6F2F64E378E}">
      <text>
        <r>
          <rPr>
            <sz val="9"/>
            <color indexed="81"/>
            <rFont val="Tahoma"/>
            <family val="2"/>
          </rPr>
          <t>Grand design spiral with blue star clouds and VV arms.  Blue star superimposed left of core.  Nice pair with NGC 3501.</t>
        </r>
      </text>
    </comment>
    <comment ref="A1910" authorId="0" shapeId="0" xr:uid="{E3E40286-9EF2-4960-AD33-ED83CB477389}">
      <text>
        <r>
          <rPr>
            <sz val="9"/>
            <color indexed="81"/>
            <rFont val="Tahoma"/>
            <family val="2"/>
          </rPr>
          <t xml:space="preserve">
</t>
        </r>
      </text>
    </comment>
    <comment ref="K1910" authorId="0" shapeId="0" xr:uid="{1358DB7F-AF5F-44E9-9BF6-490B74A21F08}">
      <text>
        <r>
          <rPr>
            <sz val="9"/>
            <color indexed="81"/>
            <rFont val="Tahoma"/>
            <family val="2"/>
          </rPr>
          <t>Large Magellanic galaxy with white bar and warped disk</t>
        </r>
      </text>
    </comment>
    <comment ref="A1911" authorId="0" shapeId="0" xr:uid="{DD364E4B-AFC4-4142-AA4D-DBC9D7D0DC7D}">
      <text>
        <r>
          <rPr>
            <sz val="9"/>
            <color indexed="81"/>
            <rFont val="Tahoma"/>
            <family val="2"/>
          </rPr>
          <t xml:space="preserve">
</t>
        </r>
      </text>
    </comment>
    <comment ref="K1911" authorId="0" shapeId="0" xr:uid="{C9499743-1B30-4180-9324-23C9C205094A}">
      <text>
        <r>
          <rPr>
            <sz val="9"/>
            <color indexed="81"/>
            <rFont val="Tahoma"/>
            <family val="2"/>
          </rPr>
          <t>Similar to NGC4096, with an offset core, fragmented arms, blue star clouds, and no bulge.  Image with NGC3513</t>
        </r>
      </text>
    </comment>
    <comment ref="A1912" authorId="0" shapeId="0" xr:uid="{DC364B8F-8AC1-4B0B-86D7-AA772472145C}">
      <text>
        <r>
          <rPr>
            <sz val="9"/>
            <color indexed="81"/>
            <rFont val="Tahoma"/>
            <family val="2"/>
          </rPr>
          <t xml:space="preserve">
</t>
        </r>
      </text>
    </comment>
    <comment ref="K1912" authorId="0" shapeId="0" xr:uid="{2A2C97A6-C934-4784-A4E1-5303797808E6}">
      <text>
        <r>
          <rPr>
            <sz val="9"/>
            <color indexed="81"/>
            <rFont val="Tahoma"/>
            <family val="2"/>
          </rPr>
          <t>Odd spiral arm structure and asymmetric disk. Adjacent to NGC3504</t>
        </r>
      </text>
    </comment>
    <comment ref="A1913" authorId="0" shapeId="0" xr:uid="{6D958701-612D-494D-B861-4270A63DB90D}">
      <text>
        <r>
          <rPr>
            <sz val="9"/>
            <color indexed="81"/>
            <rFont val="Tahoma"/>
            <family val="2"/>
          </rPr>
          <t xml:space="preserve">
</t>
        </r>
      </text>
    </comment>
    <comment ref="K1913" authorId="0" shapeId="0" xr:uid="{FECBD66F-670A-4FBD-9478-BB3A16C3AFD2}">
      <text>
        <r>
          <rPr>
            <sz val="9"/>
            <color indexed="81"/>
            <rFont val="Tahoma"/>
            <family val="2"/>
          </rPr>
          <t>Small barred grand spiral with VV rows.  Image with NGC3511</t>
        </r>
      </text>
    </comment>
    <comment ref="A1914" authorId="0" shapeId="0" xr:uid="{778F1278-D9CB-4FC6-82DB-B4A31CE8F99C}">
      <text>
        <r>
          <rPr>
            <sz val="9"/>
            <color indexed="81"/>
            <rFont val="Tahoma"/>
            <family val="2"/>
          </rPr>
          <t xml:space="preserve">
</t>
        </r>
      </text>
    </comment>
    <comment ref="K1914" authorId="0" shapeId="0" xr:uid="{81563DF1-620B-45F9-977D-3152C84BABAA}">
      <text>
        <r>
          <rPr>
            <sz val="9"/>
            <color indexed="81"/>
            <rFont val="Tahoma"/>
            <family val="2"/>
          </rPr>
          <t>Striking halo encompassing disk.  Hexagon shape of both bright inner region and outer edge of disk</t>
        </r>
      </text>
    </comment>
    <comment ref="A1915" authorId="0" shapeId="0" xr:uid="{7D0BA1AB-87DB-49E0-8540-CCBF5FA1297A}">
      <text>
        <r>
          <rPr>
            <sz val="9"/>
            <color indexed="81"/>
            <rFont val="Tahoma"/>
            <family val="2"/>
          </rPr>
          <t xml:space="preserve">
</t>
        </r>
      </text>
    </comment>
    <comment ref="K1915" authorId="0" shapeId="0" xr:uid="{F9DAEF4A-684A-4840-9570-6609038EA666}">
      <text>
        <r>
          <rPr>
            <sz val="9"/>
            <color indexed="81"/>
            <rFont val="Tahoma"/>
            <family val="2"/>
          </rPr>
          <t>Outstanding open cluster of 150 stars of even mag 7 brightness</t>
        </r>
      </text>
    </comment>
    <comment ref="A1916" authorId="0" shapeId="0" xr:uid="{EA95E2D4-BEFE-4389-812D-3CE5C277F5F2}">
      <text>
        <r>
          <rPr>
            <sz val="9"/>
            <color indexed="81"/>
            <rFont val="Tahoma"/>
            <family val="2"/>
          </rPr>
          <t xml:space="preserve">
</t>
        </r>
      </text>
    </comment>
    <comment ref="K1916" authorId="0" shapeId="0" xr:uid="{75ADA747-95A8-4EC3-A18A-E17DA15503C0}">
      <text>
        <r>
          <rPr>
            <sz val="9"/>
            <color indexed="81"/>
            <rFont val="Tahoma"/>
            <family val="2"/>
          </rPr>
          <t>Beautiful loops and dark clouds looking like Statue of Liberty</t>
        </r>
      </text>
    </comment>
    <comment ref="AX1916" authorId="0" shapeId="0" xr:uid="{CD763381-5B3D-4D4F-AA60-178B44F69E80}">
      <text>
        <r>
          <rPr>
            <b/>
            <sz val="9"/>
            <color indexed="81"/>
            <rFont val="Tahoma"/>
            <family val="2"/>
          </rPr>
          <t>38a</t>
        </r>
      </text>
    </comment>
    <comment ref="A1917" authorId="0" shapeId="0" xr:uid="{B75149AD-54EF-4C64-89F4-55FEFEED04C0}">
      <text>
        <r>
          <rPr>
            <sz val="9"/>
            <color indexed="81"/>
            <rFont val="Tahoma"/>
            <family val="2"/>
          </rPr>
          <t xml:space="preserve">
</t>
        </r>
      </text>
    </comment>
    <comment ref="K1917" authorId="0" shapeId="0" xr:uid="{E0DD1CBA-5993-46B0-AE7D-94241C782E19}">
      <text>
        <r>
          <rPr>
            <sz val="9"/>
            <color indexed="81"/>
            <rFont val="Tahoma"/>
            <family val="2"/>
          </rPr>
          <t>Disturbed disk, with irregular dust lanes, star clouds throughout, overall S-shape, and prominent VV row right of core.  Image with NGC 3577</t>
        </r>
      </text>
    </comment>
    <comment ref="A1918" authorId="0" shapeId="0" xr:uid="{CD765272-ACA0-433C-9C7A-BC73213DDB47}">
      <text>
        <r>
          <rPr>
            <sz val="9"/>
            <color indexed="81"/>
            <rFont val="Tahoma"/>
            <family val="2"/>
          </rPr>
          <t xml:space="preserve">
</t>
        </r>
      </text>
    </comment>
    <comment ref="K1918" authorId="0" shapeId="0" xr:uid="{1C03DAF0-77F1-4437-AF49-73DC60E987A6}">
      <text>
        <r>
          <rPr>
            <sz val="9"/>
            <color indexed="81"/>
            <rFont val="Tahoma"/>
            <family val="2"/>
          </rPr>
          <t>Lenticular starburst galaxy, almost edge-on, with counter-rotating disks, likely the result of past merger</t>
        </r>
      </text>
    </comment>
    <comment ref="A1919" authorId="0" shapeId="0" xr:uid="{7FDCA627-64A2-4B22-8232-1F3831B16059}">
      <text>
        <r>
          <rPr>
            <sz val="9"/>
            <color indexed="81"/>
            <rFont val="Tahoma"/>
            <family val="2"/>
          </rPr>
          <t xml:space="preserve">
</t>
        </r>
      </text>
    </comment>
    <comment ref="K1919" authorId="0" shapeId="0" xr:uid="{F982FEA9-3E9D-4B1F-91F9-968D2D2AA786}">
      <text>
        <r>
          <rPr>
            <sz val="9"/>
            <color indexed="81"/>
            <rFont val="Tahoma"/>
            <family val="2"/>
          </rPr>
          <t>Face-on spiral galaxy in Leo</t>
        </r>
      </text>
    </comment>
    <comment ref="A1920" authorId="0" shapeId="0" xr:uid="{FA62BA05-BFB5-4B51-BB2F-FA98485A2CBD}">
      <text>
        <r>
          <rPr>
            <sz val="9"/>
            <color indexed="81"/>
            <rFont val="Tahoma"/>
            <family val="2"/>
          </rPr>
          <t xml:space="preserve">
</t>
        </r>
      </text>
    </comment>
    <comment ref="K1920" authorId="0" shapeId="0" xr:uid="{181B77B4-E792-4FC6-809D-95CC7D6B6E69}">
      <text>
        <r>
          <rPr>
            <sz val="9"/>
            <color indexed="81"/>
            <rFont val="Tahoma"/>
            <family val="2"/>
          </rPr>
          <t>Largest nebula in the Milky Way in actual size</t>
        </r>
      </text>
    </comment>
    <comment ref="AX1920" authorId="0" shapeId="0" xr:uid="{97E9D004-9ADC-40C6-834E-D78CB1A4BFDD}">
      <text>
        <r>
          <rPr>
            <b/>
            <sz val="9"/>
            <color indexed="81"/>
            <rFont val="Tahoma"/>
            <family val="2"/>
          </rPr>
          <t>38b</t>
        </r>
      </text>
    </comment>
    <comment ref="A1921" authorId="0" shapeId="0" xr:uid="{65EA8CC6-E623-4FF4-9CF0-4CCE1935205F}">
      <text>
        <r>
          <rPr>
            <sz val="9"/>
            <color indexed="81"/>
            <rFont val="Tahoma"/>
            <family val="2"/>
          </rPr>
          <t xml:space="preserve">
</t>
        </r>
      </text>
    </comment>
    <comment ref="K1921" authorId="0" shapeId="0" xr:uid="{DE935C48-1D81-4154-AA45-14978EC05B36}">
      <text>
        <r>
          <rPr>
            <sz val="9"/>
            <color indexed="81"/>
            <rFont val="Tahoma"/>
            <family val="2"/>
          </rPr>
          <t>Together with NGC 3608, a striking pair of large ellipticals in Leo</t>
        </r>
      </text>
    </comment>
    <comment ref="A1922" authorId="0" shapeId="0" xr:uid="{A636ED87-E575-4AF7-AFA7-DA879815B3A0}">
      <text>
        <r>
          <rPr>
            <sz val="9"/>
            <color indexed="81"/>
            <rFont val="Tahoma"/>
            <family val="2"/>
          </rPr>
          <t xml:space="preserve">
</t>
        </r>
      </text>
    </comment>
    <comment ref="K1922" authorId="0" shapeId="0" xr:uid="{586E4F16-904E-4AA3-A0AF-96E8E62138CA}">
      <text>
        <r>
          <rPr>
            <sz val="9"/>
            <color indexed="81"/>
            <rFont val="Tahoma"/>
            <family val="2"/>
          </rPr>
          <t>Elliptical companion of NGC 3607</t>
        </r>
      </text>
    </comment>
    <comment ref="A1923" authorId="0" shapeId="0" xr:uid="{9E4E5CC5-4CC8-4991-B90F-EF309D778F4F}">
      <text>
        <r>
          <rPr>
            <sz val="9"/>
            <color indexed="81"/>
            <rFont val="Tahoma"/>
            <family val="2"/>
          </rPr>
          <t xml:space="preserve">
</t>
        </r>
      </text>
    </comment>
    <comment ref="K1923" authorId="0" shapeId="0" xr:uid="{573BD5A2-B8D5-4E28-A01C-D4A1FEB965D4}">
      <text>
        <r>
          <rPr>
            <sz val="9"/>
            <color indexed="81"/>
            <rFont val="Tahoma"/>
            <family val="2"/>
          </rPr>
          <t>Oblong elliptical in Ursa Major</t>
        </r>
      </text>
    </comment>
    <comment ref="A1924" authorId="0" shapeId="0" xr:uid="{DDA1370D-FC79-471A-8B09-C381D93D95BF}">
      <text>
        <r>
          <rPr>
            <sz val="9"/>
            <color indexed="81"/>
            <rFont val="Tahoma"/>
            <family val="2"/>
          </rPr>
          <t xml:space="preserve">
</t>
        </r>
      </text>
    </comment>
    <comment ref="K1924" authorId="0" shapeId="0" xr:uid="{1CB0F4F7-432B-4CE2-A487-66834483908B}">
      <text>
        <r>
          <rPr>
            <sz val="9"/>
            <color indexed="81"/>
            <rFont val="Tahoma"/>
            <family val="2"/>
          </rPr>
          <t>Extended star streams, likely caused by a recent collision with an unseen dwarf companion</t>
        </r>
      </text>
    </comment>
    <comment ref="A1925" authorId="0" shapeId="0" xr:uid="{C4CD0547-7DEC-4D3B-801D-F7DFF51EA7C5}">
      <text>
        <r>
          <rPr>
            <sz val="9"/>
            <color indexed="81"/>
            <rFont val="Tahoma"/>
            <family val="2"/>
          </rPr>
          <t xml:space="preserve">
</t>
        </r>
      </text>
    </comment>
    <comment ref="K1925" authorId="0" shapeId="0" xr:uid="{157FC362-BD89-468A-B310-D91A44DD0740}">
      <text>
        <r>
          <rPr>
            <sz val="9"/>
            <color indexed="81"/>
            <rFont val="Tahoma"/>
            <family val="2"/>
          </rPr>
          <t>Oblong E6 elliptical with disturbed star halo.</t>
        </r>
      </text>
    </comment>
    <comment ref="A1926" authorId="0" shapeId="0" xr:uid="{4942D144-427E-478E-998E-4920D94C5790}">
      <text>
        <r>
          <rPr>
            <sz val="9"/>
            <color indexed="81"/>
            <rFont val="Tahoma"/>
            <family val="2"/>
          </rPr>
          <t xml:space="preserve">
</t>
        </r>
      </text>
    </comment>
    <comment ref="K1926" authorId="0" shapeId="0" xr:uid="{A48F7934-4F86-42EA-B432-9458FC4BC76F}">
      <text>
        <r>
          <rPr>
            <sz val="9"/>
            <color indexed="81"/>
            <rFont val="Tahoma"/>
            <family val="2"/>
          </rPr>
          <t>Large grand spiral with small core and well defined arms. Possible companion to southwest</t>
        </r>
      </text>
    </comment>
    <comment ref="A1927" authorId="0" shapeId="0" xr:uid="{6B98CB6B-1C14-441D-B13A-197459F73623}">
      <text>
        <r>
          <rPr>
            <sz val="9"/>
            <color indexed="81"/>
            <rFont val="Tahoma"/>
            <family val="2"/>
          </rPr>
          <t xml:space="preserve">
</t>
        </r>
      </text>
    </comment>
    <comment ref="K1927" authorId="0" shapeId="0" xr:uid="{453E4074-A9AB-4488-91F2-F34F43159DFD}">
      <text>
        <r>
          <rPr>
            <sz val="9"/>
            <color indexed="81"/>
            <rFont val="Tahoma"/>
            <family val="2"/>
          </rPr>
          <t>Face-on lenticular with extended star streams and complex dark dust lanes</t>
        </r>
      </text>
    </comment>
    <comment ref="A1928" authorId="0" shapeId="0" xr:uid="{C5BA04DC-12E6-41DE-9280-5C9AAAC631B1}">
      <text>
        <r>
          <rPr>
            <sz val="9"/>
            <color indexed="81"/>
            <rFont val="Tahoma"/>
            <family val="2"/>
          </rPr>
          <t xml:space="preserve">
</t>
        </r>
      </text>
    </comment>
    <comment ref="K1928" authorId="0" shapeId="0" xr:uid="{8E57DE9B-CC49-4EA1-B7AF-7AD26A043749}">
      <text>
        <r>
          <rPr>
            <sz val="9"/>
            <color indexed="81"/>
            <rFont val="Tahoma"/>
            <family val="2"/>
          </rPr>
          <t>Irregular arms and dust lanes encircling a bulgeless core and surrounded by many bright colorful stars</t>
        </r>
      </text>
    </comment>
    <comment ref="A1929" authorId="0" shapeId="0" xr:uid="{5471C903-0B7B-4BDD-BB94-3F796D74F2E7}">
      <text>
        <r>
          <rPr>
            <sz val="9"/>
            <color indexed="81"/>
            <rFont val="Tahoma"/>
            <family val="2"/>
          </rPr>
          <t xml:space="preserve">
</t>
        </r>
      </text>
    </comment>
    <comment ref="K1929" authorId="0" shapeId="0" xr:uid="{26E94E81-CA1C-4656-8AF7-74623FB69FD6}">
      <text>
        <r>
          <rPr>
            <sz val="9"/>
            <color indexed="81"/>
            <rFont val="Tahoma"/>
            <family val="2"/>
          </rPr>
          <t>Faint outer disk, interesting inner region with partial dust lane. 1st galaxy where gas was observed to counter-rotate compared to stars.</t>
        </r>
      </text>
    </comment>
    <comment ref="A1930" authorId="0" shapeId="0" xr:uid="{8C2A20F5-65C8-4073-8E6A-5FCC0AECC93A}">
      <text>
        <r>
          <rPr>
            <sz val="9"/>
            <color indexed="81"/>
            <rFont val="Tahoma"/>
            <family val="2"/>
          </rPr>
          <t xml:space="preserve">
</t>
        </r>
      </text>
    </comment>
    <comment ref="K1930" authorId="0" shapeId="0" xr:uid="{2E1C64F3-5A49-444A-9AA9-8E8890A5A4DB}">
      <text>
        <r>
          <rPr>
            <sz val="9"/>
            <color indexed="81"/>
            <rFont val="Tahoma"/>
            <family val="2"/>
          </rPr>
          <t>Showcase edge-on galaxy, with complex dust lane and extended star stream.  Outshines the 2 nearby Messier objects.</t>
        </r>
      </text>
    </comment>
    <comment ref="A1931" authorId="0" shapeId="0" xr:uid="{EDDD073B-706C-4AA3-B2E5-6BF001AB9544}">
      <text>
        <r>
          <rPr>
            <sz val="9"/>
            <color indexed="81"/>
            <rFont val="Tahoma"/>
            <family val="2"/>
          </rPr>
          <t xml:space="preserve">
</t>
        </r>
      </text>
    </comment>
    <comment ref="K1931" authorId="0" shapeId="0" xr:uid="{BBF3A043-3579-400D-A7C5-770346787B20}">
      <text>
        <r>
          <rPr>
            <sz val="9"/>
            <color indexed="81"/>
            <rFont val="Tahoma"/>
            <family val="2"/>
          </rPr>
          <t>Amazing distorted elliptical, with many background galaxies</t>
        </r>
      </text>
    </comment>
    <comment ref="A1932" authorId="0" shapeId="0" xr:uid="{6AA34B96-D341-4E3B-9E2A-A43DC623904D}">
      <text>
        <r>
          <rPr>
            <sz val="9"/>
            <color indexed="81"/>
            <rFont val="Tahoma"/>
            <family val="2"/>
          </rPr>
          <t xml:space="preserve">
</t>
        </r>
      </text>
    </comment>
    <comment ref="K1932" authorId="0" shapeId="0" xr:uid="{58007D18-847A-4B5A-834F-8EE1E3F6394A}">
      <text>
        <r>
          <rPr>
            <sz val="9"/>
            <color indexed="81"/>
            <rFont val="Tahoma"/>
            <family val="2"/>
          </rPr>
          <t>Disturbed face-on spiral with faint star streams that extend out to 180,000 ly in diameter</t>
        </r>
      </text>
    </comment>
    <comment ref="A1933" authorId="0" shapeId="0" xr:uid="{3349365C-E6AC-476B-8B59-66B19040E48F}">
      <text>
        <r>
          <rPr>
            <sz val="9"/>
            <color indexed="81"/>
            <rFont val="Tahoma"/>
            <family val="2"/>
          </rPr>
          <t xml:space="preserve">
</t>
        </r>
      </text>
    </comment>
    <comment ref="K1933" authorId="0" shapeId="0" xr:uid="{BA3A0C78-E2DA-460B-A42B-DB2989FEF571}">
      <text>
        <r>
          <rPr>
            <sz val="9"/>
            <color indexed="81"/>
            <rFont val="Tahoma"/>
            <family val="2"/>
          </rPr>
          <t>Yellow inner lens. Nice detail in outer arms, with star clouds and dust lanes</t>
        </r>
      </text>
    </comment>
    <comment ref="A1934" authorId="0" shapeId="0" xr:uid="{D9DC1AD5-3461-4582-81F1-0C46683C39DF}">
      <text>
        <r>
          <rPr>
            <sz val="9"/>
            <color indexed="81"/>
            <rFont val="Tahoma"/>
            <family val="2"/>
          </rPr>
          <t xml:space="preserve">
</t>
        </r>
      </text>
    </comment>
    <comment ref="K1934" authorId="0" shapeId="0" xr:uid="{407D765B-7CA0-4A01-A0A7-036C588CCDC5}">
      <text>
        <r>
          <rPr>
            <sz val="9"/>
            <color indexed="81"/>
            <rFont val="Tahoma"/>
            <family val="2"/>
          </rPr>
          <t>Small Seyfert spiral with many arms</t>
        </r>
      </text>
    </comment>
    <comment ref="A1935" authorId="0" shapeId="0" xr:uid="{115EF818-EAAB-49E5-AA33-14F4D8BE5001}">
      <text>
        <r>
          <rPr>
            <sz val="9"/>
            <color indexed="81"/>
            <rFont val="Tahoma"/>
            <family val="2"/>
          </rPr>
          <t xml:space="preserve">
</t>
        </r>
      </text>
    </comment>
    <comment ref="K1935" authorId="0" shapeId="0" xr:uid="{8C257857-CB62-49E1-A5FF-0AE832A6EC5F}">
      <text>
        <r>
          <rPr>
            <sz val="9"/>
            <color indexed="81"/>
            <rFont val="Tahoma"/>
            <family val="2"/>
          </rPr>
          <t>Large Seyfert spiral with inner pseudo-ring, many arms, and VV rows</t>
        </r>
      </text>
    </comment>
    <comment ref="A1936" authorId="0" shapeId="0" xr:uid="{4847CC8F-643A-4916-B59F-C70021EC57DB}">
      <text>
        <r>
          <rPr>
            <sz val="9"/>
            <color indexed="81"/>
            <rFont val="Tahoma"/>
            <family val="2"/>
          </rPr>
          <t xml:space="preserve">
</t>
        </r>
      </text>
    </comment>
    <comment ref="K1936" authorId="0" shapeId="0" xr:uid="{FE9682CA-798E-4AAA-9060-38439E4C0B76}">
      <text>
        <r>
          <rPr>
            <sz val="9"/>
            <color indexed="81"/>
            <rFont val="Tahoma"/>
            <family val="2"/>
          </rPr>
          <t>Large lenticular with detailed dust lane spanning core</t>
        </r>
      </text>
    </comment>
    <comment ref="A1937" authorId="0" shapeId="0" xr:uid="{25BE3FF1-1D29-4B0A-8706-9FC867AE6D5C}">
      <text>
        <r>
          <rPr>
            <sz val="9"/>
            <color indexed="81"/>
            <rFont val="Tahoma"/>
            <family val="2"/>
          </rPr>
          <t xml:space="preserve">
</t>
        </r>
      </text>
    </comment>
    <comment ref="K1937" authorId="0" shapeId="0" xr:uid="{1735E14C-4E8F-41C9-AE07-A159A7433458}">
      <text>
        <r>
          <rPr>
            <sz val="9"/>
            <color indexed="81"/>
            <rFont val="Tahoma"/>
            <family val="2"/>
          </rPr>
          <t>Small core with no bulge, graceful flowing arms</t>
        </r>
      </text>
    </comment>
    <comment ref="A1938" authorId="0" shapeId="0" xr:uid="{4E63644B-2EA1-40EF-AA23-3FA2D9C11F7B}">
      <text>
        <r>
          <rPr>
            <sz val="9"/>
            <color indexed="81"/>
            <rFont val="Tahoma"/>
            <family val="2"/>
          </rPr>
          <t xml:space="preserve">
</t>
        </r>
      </text>
    </comment>
    <comment ref="K1938" authorId="0" shapeId="0" xr:uid="{4F84472F-FB75-4D3B-92C0-C0AD838F8753}">
      <text>
        <r>
          <rPr>
            <sz val="9"/>
            <color indexed="81"/>
            <rFont val="Tahoma"/>
            <family val="2"/>
          </rPr>
          <t>Small bright core surrounded by faint ring.  Flocculent outer region and 3D-type dust lanes</t>
        </r>
      </text>
    </comment>
    <comment ref="A1939" authorId="0" shapeId="0" xr:uid="{83F29DE9-332F-467F-BE76-2C15DFF04B44}">
      <text>
        <r>
          <rPr>
            <sz val="9"/>
            <color indexed="81"/>
            <rFont val="Tahoma"/>
            <family val="2"/>
          </rPr>
          <t xml:space="preserve">
</t>
        </r>
      </text>
    </comment>
    <comment ref="K1939" authorId="0" shapeId="0" xr:uid="{E5D0EB2A-9663-44B4-B524-46BC4442E561}">
      <text>
        <r>
          <rPr>
            <sz val="9"/>
            <color indexed="81"/>
            <rFont val="Tahoma"/>
            <family val="2"/>
          </rPr>
          <t>Edge-on HII galaxy (dwarf starburst). Structure is difficult to understand.</t>
        </r>
      </text>
    </comment>
    <comment ref="A1940" authorId="0" shapeId="0" xr:uid="{AC596376-29C7-48E8-9125-9D5CB9CD1C48}">
      <text>
        <r>
          <rPr>
            <sz val="9"/>
            <color indexed="81"/>
            <rFont val="Tahoma"/>
            <family val="2"/>
          </rPr>
          <t xml:space="preserve">
</t>
        </r>
      </text>
    </comment>
    <comment ref="K1940" authorId="0" shapeId="0" xr:uid="{C7A2028D-852B-47C4-BCE1-FD1DE6751030}">
      <text>
        <r>
          <rPr>
            <sz val="9"/>
            <color indexed="81"/>
            <rFont val="Tahoma"/>
            <family val="2"/>
          </rPr>
          <t>Barred grand spiral with an abundance of background galaxies</t>
        </r>
      </text>
    </comment>
    <comment ref="A1941" authorId="0" shapeId="0" xr:uid="{922E67FE-5909-4451-B337-133CEC83334A}">
      <text>
        <r>
          <rPr>
            <sz val="9"/>
            <color indexed="81"/>
            <rFont val="Tahoma"/>
            <family val="2"/>
          </rPr>
          <t xml:space="preserve">
</t>
        </r>
      </text>
    </comment>
    <comment ref="K1941" authorId="0" shapeId="0" xr:uid="{39488D41-AEF1-410F-8A2F-7BDD9DDE658A}">
      <text>
        <r>
          <rPr>
            <sz val="9"/>
            <color indexed="81"/>
            <rFont val="Tahoma"/>
            <family val="2"/>
          </rPr>
          <t>Edge-on spiral with broad detailed dust lane</t>
        </r>
      </text>
    </comment>
    <comment ref="A1942" authorId="0" shapeId="0" xr:uid="{FA9FB027-78E4-48A2-8C39-2B2033408E4A}">
      <text>
        <r>
          <rPr>
            <sz val="9"/>
            <color indexed="81"/>
            <rFont val="Tahoma"/>
            <family val="2"/>
          </rPr>
          <t xml:space="preserve">
</t>
        </r>
      </text>
    </comment>
    <comment ref="K1942" authorId="0" shapeId="0" xr:uid="{5B0DC935-1150-4722-9E15-DD14CBDAC48A}">
      <text>
        <r>
          <rPr>
            <sz val="9"/>
            <color indexed="81"/>
            <rFont val="Tahoma"/>
            <family val="2"/>
          </rPr>
          <t>10 galaxy group, anchored by NGC 3721</t>
        </r>
      </text>
    </comment>
    <comment ref="A1943" authorId="0" shapeId="0" xr:uid="{EC6BCE76-C0D6-4EF0-AA90-B8296D50AC30}">
      <text>
        <r>
          <rPr>
            <sz val="9"/>
            <color indexed="81"/>
            <rFont val="Tahoma"/>
            <family val="2"/>
          </rPr>
          <t xml:space="preserve">
</t>
        </r>
      </text>
    </comment>
    <comment ref="K1943" authorId="0" shapeId="0" xr:uid="{F2F37608-33AD-4E17-ADED-EC1E19D1442D}">
      <text>
        <r>
          <rPr>
            <sz val="9"/>
            <color indexed="81"/>
            <rFont val="Tahoma"/>
            <family val="2"/>
          </rPr>
          <t>Odd asymmetric disk structure  Ragged arms with VV rows.  Blue star clouds and HII regions throughout.  Offset barred core</t>
        </r>
      </text>
    </comment>
    <comment ref="A1944" authorId="0" shapeId="0" xr:uid="{C630E23A-A7B1-4C38-AEE1-C7CBB6D59637}">
      <text>
        <r>
          <rPr>
            <sz val="9"/>
            <color indexed="81"/>
            <rFont val="Tahoma"/>
            <family val="2"/>
          </rPr>
          <t xml:space="preserve">
</t>
        </r>
      </text>
    </comment>
    <comment ref="K1944" authorId="0" shapeId="0" xr:uid="{29D3D597-C269-4A8A-B221-4A400A552F35}">
      <text>
        <r>
          <rPr>
            <sz val="9"/>
            <color indexed="81"/>
            <rFont val="Tahoma"/>
            <family val="2"/>
          </rPr>
          <t>Barred ring spiral companion of Arp 214 (NGC 3718)</t>
        </r>
      </text>
    </comment>
    <comment ref="A1945" authorId="0" shapeId="0" xr:uid="{B5533EE2-A869-496F-BCF5-100BCE278DD0}">
      <text>
        <r>
          <rPr>
            <sz val="9"/>
            <color indexed="81"/>
            <rFont val="Tahoma"/>
            <family val="2"/>
          </rPr>
          <t xml:space="preserve">
</t>
        </r>
      </text>
    </comment>
    <comment ref="K1945" authorId="0" shapeId="0" xr:uid="{7F744F6D-76B8-4391-AAC4-4E9338963AEE}">
      <text>
        <r>
          <rPr>
            <sz val="9"/>
            <color indexed="81"/>
            <rFont val="Tahoma"/>
            <family val="2"/>
          </rPr>
          <t>Grand spiral galaxy hidden the glare of the mag 6.5 star HD100615</t>
        </r>
      </text>
    </comment>
    <comment ref="A1946" authorId="0" shapeId="0" xr:uid="{337E0521-F00B-4583-9306-CC5CD9398452}">
      <text>
        <r>
          <rPr>
            <sz val="9"/>
            <color indexed="81"/>
            <rFont val="Tahoma"/>
            <family val="2"/>
          </rPr>
          <t xml:space="preserve">
</t>
        </r>
      </text>
    </comment>
    <comment ref="K1946" authorId="0" shapeId="0" xr:uid="{258B6964-B232-44F5-BD68-46525A5DA579}">
      <text>
        <r>
          <rPr>
            <sz val="9"/>
            <color indexed="81"/>
            <rFont val="Tahoma"/>
            <family val="2"/>
          </rPr>
          <t>Grand spiral galaxy hidden the glare of the mag 6.5 star HD100615</t>
        </r>
      </text>
    </comment>
    <comment ref="A1947" authorId="0" shapeId="0" xr:uid="{956C6099-9579-4DFF-A1D2-F711A7C42FAD}">
      <text>
        <r>
          <rPr>
            <sz val="9"/>
            <color indexed="81"/>
            <rFont val="Tahoma"/>
            <family val="2"/>
          </rPr>
          <t xml:space="preserve">
</t>
        </r>
      </text>
    </comment>
    <comment ref="K1947" authorId="0" shapeId="0" xr:uid="{85CB0A61-FBC3-401C-BD09-8A952FE69F7F}">
      <text>
        <r>
          <rPr>
            <sz val="9"/>
            <color indexed="81"/>
            <rFont val="Tahoma"/>
            <family val="2"/>
          </rPr>
          <t>Beautiful mix of colorful bright and faint stars</t>
        </r>
      </text>
    </comment>
    <comment ref="A1948" authorId="0" shapeId="0" xr:uid="{BD4B6BF9-0AF9-41B4-9887-B151217B18AB}">
      <text>
        <r>
          <rPr>
            <sz val="9"/>
            <color indexed="81"/>
            <rFont val="Tahoma"/>
            <family val="2"/>
          </rPr>
          <t xml:space="preserve">
</t>
        </r>
      </text>
    </comment>
    <comment ref="K1948" authorId="0" shapeId="0" xr:uid="{E31FC3E1-F54D-426F-8E10-3CF609B4F212}">
      <text>
        <r>
          <rPr>
            <sz val="9"/>
            <color indexed="81"/>
            <rFont val="Tahoma"/>
            <family val="2"/>
          </rPr>
          <t>Unusual triangle-shaped spiral with many blue arms and yellow core</t>
        </r>
      </text>
    </comment>
    <comment ref="A1949" authorId="0" shapeId="0" xr:uid="{D2EC7F1F-34A3-4779-AC00-F2D8372D104E}">
      <text>
        <r>
          <rPr>
            <sz val="9"/>
            <color indexed="81"/>
            <rFont val="Tahoma"/>
            <family val="2"/>
          </rPr>
          <t xml:space="preserve">
</t>
        </r>
      </text>
    </comment>
    <comment ref="K1949" authorId="0" shapeId="0" xr:uid="{35BA0240-9CCC-4A97-B24F-94040D83D7DD}">
      <text>
        <r>
          <rPr>
            <sz val="9"/>
            <color indexed="81"/>
            <rFont val="Tahoma"/>
            <family val="2"/>
          </rPr>
          <t>Group of 6 galaxies headlines by NGC 3801, a merger object with crossing dust lanes and looping star streams</t>
        </r>
      </text>
    </comment>
    <comment ref="A1950" authorId="0" shapeId="0" xr:uid="{5605EFF5-9908-4977-8BC7-53477B34C4A9}">
      <text>
        <r>
          <rPr>
            <sz val="9"/>
            <color indexed="81"/>
            <rFont val="Tahoma"/>
            <family val="2"/>
          </rPr>
          <t xml:space="preserve">
</t>
        </r>
      </text>
    </comment>
    <comment ref="K1950" authorId="0" shapeId="0" xr:uid="{06133C26-BB4D-4E88-AB80-0679AD0EE48B}">
      <text>
        <r>
          <rPr>
            <sz val="9"/>
            <color indexed="81"/>
            <rFont val="Tahoma"/>
            <family val="2"/>
          </rPr>
          <t>Arms start from a flocculent inner region and spiral out to a faint outer disk, with many arms seen.  Hexagon shape to disk and inner region.</t>
        </r>
      </text>
    </comment>
    <comment ref="A1951" authorId="0" shapeId="0" xr:uid="{3DA87D53-E0A7-4587-8956-F4C2DAC8F773}">
      <text>
        <r>
          <rPr>
            <sz val="9"/>
            <color indexed="81"/>
            <rFont val="Tahoma"/>
            <family val="2"/>
          </rPr>
          <t xml:space="preserve">
</t>
        </r>
      </text>
    </comment>
    <comment ref="K1951" authorId="0" shapeId="0" xr:uid="{07AD920A-E302-44AF-8841-6E7E126D4781}">
      <text>
        <r>
          <rPr>
            <sz val="9"/>
            <color indexed="81"/>
            <rFont val="Tahoma"/>
            <family val="2"/>
          </rPr>
          <t>Small colorful galaxy with mottled disk</t>
        </r>
      </text>
    </comment>
    <comment ref="A1952" authorId="0" shapeId="0" xr:uid="{0CCD5DAD-A188-4D79-8D9D-4DAEF6FF966E}">
      <text>
        <r>
          <rPr>
            <sz val="9"/>
            <color indexed="81"/>
            <rFont val="Tahoma"/>
            <family val="2"/>
          </rPr>
          <t xml:space="preserve">
</t>
        </r>
      </text>
    </comment>
    <comment ref="K1952" authorId="0" shapeId="0" xr:uid="{06A65EB1-F815-4636-AFE9-466A0A6AA0E3}">
      <text>
        <r>
          <rPr>
            <sz val="9"/>
            <color indexed="81"/>
            <rFont val="Tahoma"/>
            <family val="2"/>
          </rPr>
          <t>Disk contains dark dust lanes and blue star clouds.  Disk is slightly warped.  Some HII glow present</t>
        </r>
      </text>
    </comment>
    <comment ref="A1953" authorId="0" shapeId="0" xr:uid="{A1C59F4B-4814-4FD9-B33A-9775F5F0030C}">
      <text>
        <r>
          <rPr>
            <sz val="9"/>
            <color indexed="81"/>
            <rFont val="Tahoma"/>
            <family val="2"/>
          </rPr>
          <t xml:space="preserve">
</t>
        </r>
      </text>
    </comment>
    <comment ref="K1953" authorId="0" shapeId="0" xr:uid="{AFB3094B-185C-4241-B08A-42708F899DCB}">
      <text>
        <r>
          <rPr>
            <sz val="9"/>
            <color indexed="81"/>
            <rFont val="Tahoma"/>
            <family val="2"/>
          </rPr>
          <t>Large spiral with blue star-formation ring in mid-region</t>
        </r>
      </text>
    </comment>
    <comment ref="A1954" authorId="0" shapeId="0" xr:uid="{F8B2BC47-5004-4175-B9C7-E723CC0B937E}">
      <text>
        <r>
          <rPr>
            <sz val="9"/>
            <color indexed="81"/>
            <rFont val="Tahoma"/>
            <family val="2"/>
          </rPr>
          <t xml:space="preserve">
</t>
        </r>
      </text>
    </comment>
    <comment ref="K1954" authorId="0" shapeId="0" xr:uid="{A38185AB-DB74-4515-8FB6-CFC279E2C17B}">
      <text>
        <r>
          <rPr>
            <sz val="9"/>
            <color indexed="81"/>
            <rFont val="Tahoma"/>
            <family val="2"/>
          </rPr>
          <t>Spiral with chaotic arm structure in outer disk</t>
        </r>
      </text>
    </comment>
    <comment ref="A1955" authorId="0" shapeId="0" xr:uid="{2C69A48C-6831-408C-853B-B6D481CA8703}">
      <text>
        <r>
          <rPr>
            <sz val="9"/>
            <color indexed="81"/>
            <rFont val="Tahoma"/>
            <family val="2"/>
          </rPr>
          <t xml:space="preserve">
</t>
        </r>
      </text>
    </comment>
    <comment ref="K1955" authorId="0" shapeId="0" xr:uid="{E34AA63C-0BBF-4024-A5E8-832A6D9281EA}">
      <text>
        <r>
          <rPr>
            <sz val="9"/>
            <color indexed="81"/>
            <rFont val="Tahoma"/>
            <family val="2"/>
          </rPr>
          <t>Unusual spiral with no arms in southern half and long arm in northern half.  Slightly barred. Image with NGC 3898</t>
        </r>
      </text>
    </comment>
    <comment ref="A1956" authorId="0" shapeId="0" xr:uid="{8F2C4B53-C13A-4D1E-B422-0EA61FB79784}">
      <text>
        <r>
          <rPr>
            <sz val="9"/>
            <color indexed="81"/>
            <rFont val="Tahoma"/>
            <family val="2"/>
          </rPr>
          <t xml:space="preserve">
</t>
        </r>
      </text>
    </comment>
    <comment ref="K1956" authorId="0" shapeId="0" xr:uid="{04C6E3CB-721F-4375-A291-A19A83E6EBE8}">
      <text>
        <r>
          <rPr>
            <sz val="9"/>
            <color indexed="81"/>
            <rFont val="Tahoma"/>
            <family val="2"/>
          </rPr>
          <t>A pairing a bit like M51 - 2 galaxies interacting, one in front of the other, with a faint star stream bridge between</t>
        </r>
      </text>
    </comment>
    <comment ref="A1957" authorId="0" shapeId="0" xr:uid="{CA149C4A-788D-4344-9684-8A60AAC3807A}">
      <text>
        <r>
          <rPr>
            <sz val="9"/>
            <color indexed="81"/>
            <rFont val="Tahoma"/>
            <family val="2"/>
          </rPr>
          <t xml:space="preserve">
</t>
        </r>
      </text>
    </comment>
    <comment ref="K1957" authorId="0" shapeId="0" xr:uid="{D60324A6-36DB-4C42-9A4B-FA02B441B0C2}">
      <text>
        <r>
          <rPr>
            <sz val="9"/>
            <color indexed="81"/>
            <rFont val="Tahoma"/>
            <family val="2"/>
          </rPr>
          <t>Double ring galaxy, one of the few with 2 closed outer rings.  Image with NGC 3888</t>
        </r>
      </text>
    </comment>
    <comment ref="A1958" authorId="0" shapeId="0" xr:uid="{B957BE01-6070-41A3-B5CA-6CCDA5A78F67}">
      <text>
        <r>
          <rPr>
            <sz val="9"/>
            <color indexed="81"/>
            <rFont val="Tahoma"/>
            <family val="2"/>
          </rPr>
          <t xml:space="preserve">
</t>
        </r>
      </text>
    </comment>
    <comment ref="K1958" authorId="0" shapeId="0" xr:uid="{79CF172D-A1B8-4FB8-9A9C-B89C26ED6C1E}">
      <text>
        <r>
          <rPr>
            <sz val="9"/>
            <color indexed="81"/>
            <rFont val="Tahoma"/>
            <family val="2"/>
          </rPr>
          <t>Lenticular with blue star-forming ring</t>
        </r>
      </text>
    </comment>
    <comment ref="A1959" authorId="0" shapeId="0" xr:uid="{D6529716-AE79-42EA-A24F-977661B4851F}">
      <text>
        <r>
          <rPr>
            <sz val="9"/>
            <color indexed="81"/>
            <rFont val="Tahoma"/>
            <family val="2"/>
          </rPr>
          <t xml:space="preserve">
</t>
        </r>
      </text>
    </comment>
    <comment ref="K1959" authorId="0" shapeId="0" xr:uid="{86E5DB8D-7714-4C7E-8AE6-A226A73F15B4}">
      <text>
        <r>
          <rPr>
            <sz val="9"/>
            <color indexed="81"/>
            <rFont val="Tahoma"/>
            <family val="2"/>
          </rPr>
          <t>Magellanic galaxy with white bar and blue star clouds</t>
        </r>
      </text>
    </comment>
    <comment ref="A1960" authorId="0" shapeId="0" xr:uid="{57127240-1EA8-4CB3-A231-5F68CC368669}">
      <text>
        <r>
          <rPr>
            <sz val="9"/>
            <color indexed="81"/>
            <rFont val="Tahoma"/>
            <family val="2"/>
          </rPr>
          <t xml:space="preserve">
</t>
        </r>
      </text>
    </comment>
    <comment ref="K1960" authorId="0" shapeId="0" xr:uid="{FD7FF505-2227-4EAD-8E7C-49DB2B80837C}">
      <text>
        <r>
          <rPr>
            <sz val="9"/>
            <color indexed="81"/>
            <rFont val="Tahoma"/>
            <family val="2"/>
          </rPr>
          <t xml:space="preserve">Beautiful symmetric face-on grand spiral with great color and many star clouds </t>
        </r>
      </text>
    </comment>
    <comment ref="A1961" authorId="0" shapeId="0" xr:uid="{645DC2D3-7FE6-410C-8B22-355456E1999A}">
      <text>
        <r>
          <rPr>
            <sz val="9"/>
            <color indexed="81"/>
            <rFont val="Tahoma"/>
            <family val="2"/>
          </rPr>
          <t xml:space="preserve">
</t>
        </r>
      </text>
    </comment>
    <comment ref="K1961" authorId="0" shapeId="0" xr:uid="{CF441387-7772-498D-8AD8-C7AB0ECC29CE}">
      <text>
        <r>
          <rPr>
            <sz val="9"/>
            <color indexed="81"/>
            <rFont val="Tahoma"/>
            <family val="2"/>
          </rPr>
          <t>Dark dust lanes and blue star clouds are seen in disk surrounding unbarred galaxy.  Arm structure appears flocculent</t>
        </r>
      </text>
    </comment>
    <comment ref="A1962" authorId="0" shapeId="0" xr:uid="{2F6713D9-5645-41EB-A857-267CD22B0F8F}">
      <text>
        <r>
          <rPr>
            <sz val="9"/>
            <color indexed="81"/>
            <rFont val="Tahoma"/>
            <family val="2"/>
          </rPr>
          <t xml:space="preserve">
</t>
        </r>
      </text>
    </comment>
    <comment ref="K1962" authorId="0" shapeId="0" xr:uid="{CA4519B3-73D3-45CE-8621-D92AE1E9C4BD}">
      <text>
        <r>
          <rPr>
            <sz val="9"/>
            <color indexed="81"/>
            <rFont val="Tahoma"/>
            <family val="2"/>
          </rPr>
          <t>Small bipolar PN with lobes</t>
        </r>
      </text>
    </comment>
    <comment ref="A1963" authorId="0" shapeId="0" xr:uid="{80A5AE4F-9162-40B1-8E67-959C81BED354}">
      <text>
        <r>
          <rPr>
            <sz val="9"/>
            <color indexed="81"/>
            <rFont val="Tahoma"/>
            <family val="2"/>
          </rPr>
          <t xml:space="preserve">
</t>
        </r>
      </text>
    </comment>
    <comment ref="K1963" authorId="0" shapeId="0" xr:uid="{B1F78A4E-E9A2-4218-86C8-96F52BB23920}">
      <text>
        <r>
          <rPr>
            <sz val="9"/>
            <color indexed="81"/>
            <rFont val="Tahoma"/>
            <family val="2"/>
          </rPr>
          <t>Elliptical galaxy with many faint shells but tough to capture without extremely long exposures</t>
        </r>
      </text>
    </comment>
    <comment ref="A1964" authorId="0" shapeId="0" xr:uid="{557DFCB3-718D-4517-824D-2E70AAC81C7E}">
      <text>
        <r>
          <rPr>
            <sz val="9"/>
            <color indexed="81"/>
            <rFont val="Tahoma"/>
            <family val="2"/>
          </rPr>
          <t xml:space="preserve">
</t>
        </r>
      </text>
    </comment>
    <comment ref="K1964" authorId="0" shapeId="0" xr:uid="{D6E8CB5D-126E-492F-B6CE-89ED6C606D77}">
      <text>
        <r>
          <rPr>
            <sz val="9"/>
            <color indexed="81"/>
            <rFont val="Tahoma"/>
            <family val="2"/>
          </rPr>
          <t>Wonderful face-on grand spiral with star clouds and HII regions.  Arms are intoxicatingly asymmetric</t>
        </r>
      </text>
    </comment>
    <comment ref="A1965" authorId="0" shapeId="0" xr:uid="{7D5CDC62-FB6E-4C5D-BFC2-277D79F8A5AD}">
      <text>
        <r>
          <rPr>
            <sz val="9"/>
            <color indexed="81"/>
            <rFont val="Tahoma"/>
            <family val="2"/>
          </rPr>
          <t xml:space="preserve">
</t>
        </r>
      </text>
    </comment>
    <comment ref="K1965" authorId="0" shapeId="0" xr:uid="{D324C880-C780-4E53-807B-A5F96FF127AD}">
      <text>
        <r>
          <rPr>
            <sz val="9"/>
            <color indexed="81"/>
            <rFont val="Tahoma"/>
            <family val="2"/>
          </rPr>
          <t>Unusual Seyfert double ringed lenticular galaxy</t>
        </r>
      </text>
    </comment>
    <comment ref="A1966" authorId="0" shapeId="0" xr:uid="{A748861F-7754-4F76-B26C-1E4D732CB1FB}">
      <text>
        <r>
          <rPr>
            <sz val="9"/>
            <color indexed="81"/>
            <rFont val="Tahoma"/>
            <family val="2"/>
          </rPr>
          <t xml:space="preserve">
</t>
        </r>
      </text>
    </comment>
    <comment ref="K1966" authorId="0" shapeId="0" xr:uid="{BABE16BD-48C2-4CE6-9C43-EF69993270AD}">
      <text>
        <r>
          <rPr>
            <sz val="9"/>
            <color indexed="81"/>
            <rFont val="Tahoma"/>
            <family val="2"/>
          </rPr>
          <t>Double ring lenticular with ansae</t>
        </r>
      </text>
    </comment>
    <comment ref="A1967" authorId="0" shapeId="0" xr:uid="{213A98EE-0A23-42FC-A44B-0C7B923724AF}">
      <text>
        <r>
          <rPr>
            <sz val="9"/>
            <color indexed="81"/>
            <rFont val="Tahoma"/>
            <family val="2"/>
          </rPr>
          <t xml:space="preserve">
</t>
        </r>
      </text>
    </comment>
    <comment ref="K1967" authorId="0" shapeId="0" xr:uid="{C08E33C9-38F8-4A24-9BAD-6F15A11EF9CE}">
      <text>
        <r>
          <rPr>
            <sz val="9"/>
            <color indexed="81"/>
            <rFont val="Tahoma"/>
            <family val="2"/>
          </rPr>
          <t>Jumbled disk of dust lanes, star clouds and HII regions.  Yellow core looks clam by comparison</t>
        </r>
      </text>
    </comment>
    <comment ref="A1968" authorId="0" shapeId="0" xr:uid="{41AF752D-F46F-410C-9B9B-F254F74E66CF}">
      <text>
        <r>
          <rPr>
            <sz val="9"/>
            <color indexed="81"/>
            <rFont val="Tahoma"/>
            <family val="2"/>
          </rPr>
          <t xml:space="preserve">
</t>
        </r>
      </text>
    </comment>
    <comment ref="K1968" authorId="0" shapeId="0" xr:uid="{D34B7953-E791-4CB9-A786-9E35220A5BC3}">
      <text>
        <r>
          <rPr>
            <sz val="9"/>
            <color indexed="81"/>
            <rFont val="Tahoma"/>
            <family val="2"/>
          </rPr>
          <t>Marvelous object, with great color and blue star clouds. Bar is yellow barlense.  Excellent symmetric arm structure.</t>
        </r>
      </text>
    </comment>
    <comment ref="A1969" authorId="0" shapeId="0" xr:uid="{80DCDD66-AE86-4389-A6CF-07E75202F5E8}">
      <text>
        <r>
          <rPr>
            <sz val="9"/>
            <color indexed="81"/>
            <rFont val="Tahoma"/>
            <family val="2"/>
          </rPr>
          <t xml:space="preserve">
</t>
        </r>
      </text>
    </comment>
    <comment ref="K1969" authorId="0" shapeId="0" xr:uid="{F97DE218-ADB5-4C37-BF0D-F6081AB8E468}">
      <text>
        <r>
          <rPr>
            <sz val="9"/>
            <color indexed="81"/>
            <rFont val="Tahoma"/>
            <family val="2"/>
          </rPr>
          <t>Odd disk structure, with fantastically wild dust lanes and bright arm segments.</t>
        </r>
      </text>
    </comment>
    <comment ref="A1970" authorId="0" shapeId="0" xr:uid="{E2BC08D2-C26F-4F5D-B743-1C47CD9AA957}">
      <text>
        <r>
          <rPr>
            <sz val="9"/>
            <color indexed="81"/>
            <rFont val="Tahoma"/>
            <family val="2"/>
          </rPr>
          <t xml:space="preserve">
</t>
        </r>
      </text>
    </comment>
    <comment ref="K1970" authorId="0" shapeId="0" xr:uid="{DDC74560-584A-4BD8-A456-A3A7A6DD3BD6}">
      <text>
        <r>
          <rPr>
            <sz val="9"/>
            <color indexed="81"/>
            <rFont val="Tahoma"/>
            <family val="2"/>
          </rPr>
          <t>Isolated elliptical galaxy in the Crater constellation</t>
        </r>
      </text>
    </comment>
    <comment ref="A1971" authorId="0" shapeId="0" xr:uid="{3170D05E-81B6-48E9-80AD-240478403C59}">
      <text>
        <r>
          <rPr>
            <sz val="9"/>
            <color indexed="81"/>
            <rFont val="Tahoma"/>
            <family val="2"/>
          </rPr>
          <t xml:space="preserve">
</t>
        </r>
      </text>
    </comment>
    <comment ref="K1971" authorId="0" shapeId="0" xr:uid="{1AEE34D1-EE44-4355-9CB8-9F512062029A}">
      <text>
        <r>
          <rPr>
            <sz val="9"/>
            <color indexed="81"/>
            <rFont val="Tahoma"/>
            <family val="2"/>
          </rPr>
          <t>Uneventful symmetric spiral in Ursa Major</t>
        </r>
      </text>
    </comment>
    <comment ref="A1972" authorId="0" shapeId="0" xr:uid="{A43345F9-9EDD-48A8-BDEE-F377C8367353}">
      <text>
        <r>
          <rPr>
            <sz val="9"/>
            <color indexed="81"/>
            <rFont val="Tahoma"/>
            <family val="2"/>
          </rPr>
          <t xml:space="preserve">
</t>
        </r>
      </text>
    </comment>
    <comment ref="K1972" authorId="0" shapeId="0" xr:uid="{F77D0D4A-2BD8-495E-A707-3D8CF0CD5BB4}">
      <text>
        <r>
          <rPr>
            <sz val="9"/>
            <color indexed="81"/>
            <rFont val="Tahoma"/>
            <family val="2"/>
          </rPr>
          <t>Seyfert slightly barred face-on spiral with hexagon shape and star streams</t>
        </r>
      </text>
    </comment>
    <comment ref="A1973" authorId="0" shapeId="0" xr:uid="{2C819F0F-2B30-4313-994E-991805E11F7B}">
      <text>
        <r>
          <rPr>
            <sz val="9"/>
            <color indexed="81"/>
            <rFont val="Tahoma"/>
            <family val="2"/>
          </rPr>
          <t xml:space="preserve">
</t>
        </r>
      </text>
    </comment>
    <comment ref="K1973" authorId="0" shapeId="0" xr:uid="{752D3BA6-3D4B-41DA-BEB6-EA0D88B0135D}">
      <text>
        <r>
          <rPr>
            <sz val="9"/>
            <color indexed="81"/>
            <rFont val="Tahoma"/>
            <family val="2"/>
          </rPr>
          <t>Seyfert lenticular with companion NGC3990</t>
        </r>
      </text>
    </comment>
    <comment ref="A1974" authorId="0" shapeId="0" xr:uid="{D4F3C04F-5240-40EC-80AD-A1852D242D8F}">
      <text>
        <r>
          <rPr>
            <sz val="9"/>
            <color indexed="81"/>
            <rFont val="Tahoma"/>
            <family val="2"/>
          </rPr>
          <t xml:space="preserve">
</t>
        </r>
      </text>
    </comment>
    <comment ref="K1974" authorId="0" shapeId="0" xr:uid="{98E7793D-6EC0-4A91-84C0-A99CCC7FE35D}">
      <text>
        <r>
          <rPr>
            <sz val="9"/>
            <color indexed="81"/>
            <rFont val="Tahoma"/>
            <family val="2"/>
          </rPr>
          <t>Edge-on spiral with offset core</t>
        </r>
      </text>
    </comment>
    <comment ref="A1975" authorId="0" shapeId="0" xr:uid="{1C122779-7C60-43B9-A17A-2558D03148D8}">
      <text>
        <r>
          <rPr>
            <sz val="9"/>
            <color indexed="81"/>
            <rFont val="Tahoma"/>
            <family val="2"/>
          </rPr>
          <t xml:space="preserve">
</t>
        </r>
      </text>
    </comment>
    <comment ref="K1975" authorId="0" shapeId="0" xr:uid="{7E66F095-5510-464E-B611-46185EA9DABF}">
      <text>
        <r>
          <rPr>
            <sz val="9"/>
            <color indexed="81"/>
            <rFont val="Tahoma"/>
            <family val="2"/>
          </rPr>
          <t>Stunning dark lane along mid-line of this edge-on spiral</t>
        </r>
      </text>
    </comment>
    <comment ref="A1976" authorId="0" shapeId="0" xr:uid="{C487FE6E-DDC9-4165-AE7F-7ABC0BFDD3F6}">
      <text>
        <r>
          <rPr>
            <sz val="9"/>
            <color indexed="81"/>
            <rFont val="Tahoma"/>
            <family val="2"/>
          </rPr>
          <t xml:space="preserve">
</t>
        </r>
      </text>
    </comment>
    <comment ref="K1976" authorId="0" shapeId="0" xr:uid="{AF54FED0-9044-4826-B1A1-D9D2C1CAEEC1}">
      <text>
        <r>
          <rPr>
            <sz val="9"/>
            <color indexed="81"/>
            <rFont val="Tahoma"/>
            <family val="2"/>
          </rPr>
          <t>Edge-on lenticular with slightly warped disk</t>
        </r>
      </text>
    </comment>
    <comment ref="A1977" authorId="0" shapeId="0" xr:uid="{EF3929A7-4103-4139-816E-F77B5B5D7696}">
      <text>
        <r>
          <rPr>
            <sz val="9"/>
            <color indexed="81"/>
            <rFont val="Tahoma"/>
            <family val="2"/>
          </rPr>
          <t xml:space="preserve">
</t>
        </r>
      </text>
    </comment>
    <comment ref="K1977" authorId="0" shapeId="0" xr:uid="{B563A5C1-A350-41AD-A511-7439B36C4020}">
      <text>
        <r>
          <rPr>
            <sz val="9"/>
            <color indexed="81"/>
            <rFont val="Tahoma"/>
            <family val="2"/>
          </rPr>
          <t>Elegant symmetric grand spiral</t>
        </r>
      </text>
    </comment>
    <comment ref="A1978" authorId="0" shapeId="0" xr:uid="{56EB308B-6017-492B-BF72-17AD4CA82F08}">
      <text>
        <r>
          <rPr>
            <sz val="9"/>
            <color indexed="81"/>
            <rFont val="Tahoma"/>
            <family val="2"/>
          </rPr>
          <t xml:space="preserve">
</t>
        </r>
      </text>
    </comment>
    <comment ref="K1978" authorId="0" shapeId="0" xr:uid="{D3EE3CEF-4B65-49A7-BCAD-8F0D032C4630}">
      <text>
        <r>
          <rPr>
            <sz val="9"/>
            <color indexed="81"/>
            <rFont val="Tahoma"/>
            <family val="2"/>
          </rPr>
          <t>Shows some detail in inner region including presence of a bar and a few dust lanes.  Image with NGC4041</t>
        </r>
      </text>
    </comment>
    <comment ref="A1979" authorId="0" shapeId="0" xr:uid="{5C099231-6409-4EF0-937F-4E2C0B32D713}">
      <text>
        <r>
          <rPr>
            <sz val="9"/>
            <color indexed="81"/>
            <rFont val="Tahoma"/>
            <family val="2"/>
          </rPr>
          <t xml:space="preserve">
</t>
        </r>
      </text>
    </comment>
    <comment ref="K1979" authorId="0" shapeId="0" xr:uid="{F4345061-FB00-4523-840F-A4055687EDBE}">
      <text>
        <r>
          <rPr>
            <sz val="9"/>
            <color indexed="81"/>
            <rFont val="Tahoma"/>
            <family val="2"/>
          </rPr>
          <t>Companion to NGC 4038</t>
        </r>
      </text>
    </comment>
    <comment ref="A1980" authorId="0" shapeId="0" xr:uid="{CAB7B48C-0FD8-4E97-9F2B-823A83A8DB28}">
      <text>
        <r>
          <rPr>
            <sz val="9"/>
            <color indexed="81"/>
            <rFont val="Tahoma"/>
            <family val="2"/>
          </rPr>
          <t xml:space="preserve">
</t>
        </r>
      </text>
    </comment>
    <comment ref="K1980" authorId="0" shapeId="0" xr:uid="{2C84CD06-CAE9-4112-AA48-7B47319E3846}">
      <text>
        <r>
          <rPr>
            <sz val="9"/>
            <color indexed="81"/>
            <rFont val="Tahoma"/>
            <family val="2"/>
          </rPr>
          <t>Messy Seyfert slightly barred face-on spiral</t>
        </r>
      </text>
    </comment>
    <comment ref="A1981" authorId="0" shapeId="0" xr:uid="{704BB760-B759-4761-8B99-20736930686E}">
      <text>
        <r>
          <rPr>
            <sz val="9"/>
            <color indexed="81"/>
            <rFont val="Tahoma"/>
            <family val="2"/>
          </rPr>
          <t xml:space="preserve">
</t>
        </r>
      </text>
    </comment>
    <comment ref="K1981" authorId="0" shapeId="0" xr:uid="{3B468A29-6F0F-4853-92CD-EB6719496FE7}">
      <text>
        <r>
          <rPr>
            <sz val="9"/>
            <color indexed="81"/>
            <rFont val="Tahoma"/>
            <family val="2"/>
          </rPr>
          <t>Diffuse outer disk but interesting inner region, with star forming arm regions and dust bands</t>
        </r>
      </text>
    </comment>
    <comment ref="A1982" authorId="0" shapeId="0" xr:uid="{6E49C98A-1DB7-4604-AF77-9623638541B9}">
      <text>
        <r>
          <rPr>
            <sz val="9"/>
            <color indexed="81"/>
            <rFont val="Tahoma"/>
            <family val="2"/>
          </rPr>
          <t xml:space="preserve">
</t>
        </r>
      </text>
    </comment>
    <comment ref="K1982" authorId="0" shapeId="0" xr:uid="{C58AD1FD-1E2A-4CAB-A2A1-FD06A80FBA82}">
      <text>
        <r>
          <rPr>
            <sz val="9"/>
            <color indexed="81"/>
            <rFont val="Tahoma"/>
            <family val="2"/>
          </rPr>
          <t>Strong inner region arm structure, diffuse outer disk.</t>
        </r>
      </text>
    </comment>
    <comment ref="A1983" authorId="0" shapeId="0" xr:uid="{1C966322-3255-4331-B9F5-A361020A409A}">
      <text>
        <r>
          <rPr>
            <sz val="9"/>
            <color indexed="81"/>
            <rFont val="Tahoma"/>
            <family val="2"/>
          </rPr>
          <t xml:space="preserve">
</t>
        </r>
      </text>
    </comment>
    <comment ref="K1983" authorId="0" shapeId="0" xr:uid="{360EEC6D-EC43-4225-A216-44EB4C047A90}">
      <text>
        <r>
          <rPr>
            <sz val="9"/>
            <color indexed="81"/>
            <rFont val="Tahoma"/>
            <family val="2"/>
          </rPr>
          <t>Colorful disturbed Seyfert slightly barred galaxy, with HII region, star clouds and VV rows</t>
        </r>
      </text>
    </comment>
    <comment ref="A1984" authorId="0" shapeId="0" xr:uid="{69A148BF-383F-462B-88BC-75046A0F15C2}">
      <text>
        <r>
          <rPr>
            <sz val="9"/>
            <color indexed="81"/>
            <rFont val="Tahoma"/>
            <family val="2"/>
          </rPr>
          <t xml:space="preserve">
</t>
        </r>
      </text>
    </comment>
    <comment ref="K1984" authorId="0" shapeId="0" xr:uid="{0FC64E57-E2D0-42C9-875B-D89EC3FDD430}">
      <text>
        <r>
          <rPr>
            <sz val="9"/>
            <color indexed="81"/>
            <rFont val="Tahoma"/>
            <family val="2"/>
          </rPr>
          <t>Rough fragmented spiral arm structure.  Decoupled galaxy, comprised of 2 different (old and young) stellar populations</t>
        </r>
      </text>
    </comment>
    <comment ref="A1985" authorId="0" shapeId="0" xr:uid="{2AF8FD1C-C63A-4055-B9BE-B86226177106}">
      <text>
        <r>
          <rPr>
            <sz val="9"/>
            <color indexed="81"/>
            <rFont val="Tahoma"/>
            <family val="2"/>
          </rPr>
          <t xml:space="preserve">
</t>
        </r>
      </text>
    </comment>
    <comment ref="K1985" authorId="0" shapeId="0" xr:uid="{0FFD0EB4-A7EB-4B31-933D-BC2EB0E94457}">
      <text>
        <r>
          <rPr>
            <sz val="9"/>
            <color indexed="81"/>
            <rFont val="Tahoma"/>
            <family val="2"/>
          </rPr>
          <t xml:space="preserve">Small BCD (Blue Compact Dwarf) galaxy with many blue star clouds seen throughout the galaxy.  </t>
        </r>
      </text>
    </comment>
    <comment ref="A1986" authorId="0" shapeId="0" xr:uid="{C31E5FF8-B0E3-4ADA-AB78-5D12D0782C15}">
      <text>
        <r>
          <rPr>
            <sz val="9"/>
            <color indexed="81"/>
            <rFont val="Tahoma"/>
            <family val="2"/>
          </rPr>
          <t xml:space="preserve">
</t>
        </r>
      </text>
    </comment>
    <comment ref="K1986" authorId="0" shapeId="0" xr:uid="{C6563733-B48F-4815-A143-42A6A74DAA9E}">
      <text>
        <r>
          <rPr>
            <sz val="9"/>
            <color indexed="81"/>
            <rFont val="Tahoma"/>
            <family val="2"/>
          </rPr>
          <t>Diffuse outer disk but interesting inner region, with star forming arm regions and dust bands</t>
        </r>
      </text>
    </comment>
    <comment ref="A1987" authorId="0" shapeId="0" xr:uid="{1C31949C-4CE0-4D5C-A528-7F9402D7806A}">
      <text>
        <r>
          <rPr>
            <sz val="9"/>
            <color indexed="81"/>
            <rFont val="Tahoma"/>
            <family val="2"/>
          </rPr>
          <t xml:space="preserve">
</t>
        </r>
      </text>
    </comment>
    <comment ref="K1987" authorId="0" shapeId="0" xr:uid="{25631826-E0CC-484A-8D07-876EC37D021F}">
      <text>
        <r>
          <rPr>
            <sz val="9"/>
            <color indexed="81"/>
            <rFont val="Tahoma"/>
            <family val="2"/>
          </rPr>
          <t>Spiral companion to Arp 18</t>
        </r>
      </text>
    </comment>
    <comment ref="A1988" authorId="0" shapeId="0" xr:uid="{DC641C16-C736-45BF-AA78-8F804BC1D571}">
      <text>
        <r>
          <rPr>
            <sz val="9"/>
            <color indexed="81"/>
            <rFont val="Tahoma"/>
            <family val="2"/>
          </rPr>
          <t xml:space="preserve">
</t>
        </r>
      </text>
    </comment>
    <comment ref="K1988" authorId="0" shapeId="0" xr:uid="{90868A21-64A8-4FEE-9A62-6CD203475978}">
      <text>
        <r>
          <rPr>
            <sz val="9"/>
            <color indexed="81"/>
            <rFont val="Tahoma"/>
            <family val="2"/>
          </rPr>
          <t>Offset core and numerous arms seen.  The arms appear fragmented and become diffuse in the outer disk.  No core bulge.  Several star clouds.</t>
        </r>
      </text>
    </comment>
    <comment ref="A1989" authorId="0" shapeId="0" xr:uid="{A2FB1AB9-A0F5-44E0-9369-685EA92D585A}">
      <text>
        <r>
          <rPr>
            <sz val="9"/>
            <color indexed="81"/>
            <rFont val="Tahoma"/>
            <family val="2"/>
          </rPr>
          <t xml:space="preserve">
</t>
        </r>
      </text>
    </comment>
    <comment ref="K1989" authorId="0" shapeId="0" xr:uid="{05987358-B8D1-4A2A-8F0D-51D582D20B94}">
      <text>
        <r>
          <rPr>
            <sz val="9"/>
            <color indexed="81"/>
            <rFont val="Tahoma"/>
            <family val="2"/>
          </rPr>
          <t>Strong intermediate dust lanes and fragmented arms.  Bright inner core.  Highlight is faint star streams around outer disk edge</t>
        </r>
      </text>
    </comment>
    <comment ref="A1990" authorId="0" shapeId="0" xr:uid="{670D9BAC-24EE-4869-8B75-995CAD5D87B5}">
      <text>
        <r>
          <rPr>
            <sz val="9"/>
            <color indexed="81"/>
            <rFont val="Tahoma"/>
            <family val="2"/>
          </rPr>
          <t xml:space="preserve">
</t>
        </r>
      </text>
    </comment>
    <comment ref="K1990" authorId="0" shapeId="0" xr:uid="{0E86B897-A2E1-4461-A1DA-2142D6C45B9F}">
      <text>
        <r>
          <rPr>
            <sz val="9"/>
            <color indexed="81"/>
            <rFont val="Tahoma"/>
            <family val="2"/>
          </rPr>
          <t>Amazing galaxy - dust lanes swirling into core, HII glow, and mid-region star forming ring</t>
        </r>
      </text>
    </comment>
    <comment ref="A1991" authorId="0" shapeId="0" xr:uid="{0095D859-CBE6-4C8A-871B-96D3AE0EE492}">
      <text>
        <r>
          <rPr>
            <sz val="9"/>
            <color indexed="81"/>
            <rFont val="Tahoma"/>
            <family val="2"/>
          </rPr>
          <t xml:space="preserve">
</t>
        </r>
      </text>
    </comment>
    <comment ref="K1991" authorId="0" shapeId="0" xr:uid="{20237813-7D24-4389-9D5D-B5A1B7762731}">
      <text>
        <r>
          <rPr>
            <sz val="9"/>
            <color indexed="81"/>
            <rFont val="Tahoma"/>
            <family val="2"/>
          </rPr>
          <t>Strongly concentrated open cluster with diverse brightnesses</t>
        </r>
      </text>
    </comment>
    <comment ref="A1992" authorId="0" shapeId="0" xr:uid="{8DD1F1B5-A890-44EB-A112-7FAC23393146}">
      <text>
        <r>
          <rPr>
            <sz val="9"/>
            <color indexed="81"/>
            <rFont val="Tahoma"/>
            <family val="2"/>
          </rPr>
          <t xml:space="preserve">
</t>
        </r>
      </text>
    </comment>
    <comment ref="K1992" authorId="0" shapeId="0" xr:uid="{ABFA2B1A-3224-47BA-AE5B-67042BC43964}">
      <text>
        <r>
          <rPr>
            <sz val="9"/>
            <color indexed="81"/>
            <rFont val="Tahoma"/>
            <family val="2"/>
          </rPr>
          <t>Edge-on view of this lenticular shows peanut-shaped (X-shaped) core</t>
        </r>
      </text>
    </comment>
    <comment ref="A1993" authorId="0" shapeId="0" xr:uid="{020603DE-B25D-4AA9-966C-58B1BDEE1B90}">
      <text>
        <r>
          <rPr>
            <sz val="9"/>
            <color indexed="81"/>
            <rFont val="Tahoma"/>
            <family val="2"/>
          </rPr>
          <t xml:space="preserve">
</t>
        </r>
      </text>
    </comment>
    <comment ref="K1993" authorId="0" shapeId="0" xr:uid="{87613F8E-96BF-4FE8-96A4-6AA27F43E782}">
      <text>
        <r>
          <rPr>
            <sz val="9"/>
            <color indexed="81"/>
            <rFont val="Tahoma"/>
            <family val="2"/>
          </rPr>
          <t>Past mergers have created interesting views of the core and extended halo, with dust clouds and star streams</t>
        </r>
      </text>
    </comment>
    <comment ref="A1994" authorId="0" shapeId="0" xr:uid="{D80E0CB2-71D4-42A8-B75B-EDA7D9561FEB}">
      <text>
        <r>
          <rPr>
            <sz val="9"/>
            <color indexed="81"/>
            <rFont val="Tahoma"/>
            <family val="2"/>
          </rPr>
          <t xml:space="preserve">
</t>
        </r>
      </text>
    </comment>
    <comment ref="K1994" authorId="0" shapeId="0" xr:uid="{08FA2817-FB8E-4750-AF43-6CDA5787099F}">
      <text>
        <r>
          <rPr>
            <sz val="9"/>
            <color indexed="81"/>
            <rFont val="Tahoma"/>
            <family val="2"/>
          </rPr>
          <t>Small barred face-on spiral with star clouds and VV rows</t>
        </r>
      </text>
    </comment>
    <comment ref="A1995" authorId="0" shapeId="0" xr:uid="{BCCFE6D0-526C-4846-9D27-FEEFE169B4C2}">
      <text>
        <r>
          <rPr>
            <sz val="9"/>
            <color indexed="81"/>
            <rFont val="Tahoma"/>
            <family val="2"/>
          </rPr>
          <t xml:space="preserve">
</t>
        </r>
      </text>
    </comment>
    <comment ref="K1995" authorId="0" shapeId="0" xr:uid="{57BA21BA-9BC4-4BEA-961A-F768C5A1A70E}">
      <text>
        <r>
          <rPr>
            <sz val="9"/>
            <color indexed="81"/>
            <rFont val="Tahoma"/>
            <family val="2"/>
          </rPr>
          <t>Seyfert lenticular with inner dust lanes and mid-region star forming ring</t>
        </r>
      </text>
    </comment>
    <comment ref="A1996" authorId="0" shapeId="0" xr:uid="{60D39330-0D70-4428-8D62-CD693F14755C}">
      <text>
        <r>
          <rPr>
            <sz val="9"/>
            <color indexed="81"/>
            <rFont val="Tahoma"/>
            <family val="2"/>
          </rPr>
          <t xml:space="preserve">
</t>
        </r>
      </text>
    </comment>
    <comment ref="K1996" authorId="0" shapeId="0" xr:uid="{6F76EBFD-76DB-4F50-9D6B-4969323ABB17}">
      <text>
        <r>
          <rPr>
            <sz val="9"/>
            <color indexed="81"/>
            <rFont val="Tahoma"/>
            <family val="2"/>
          </rPr>
          <t>Small barred lenticular in Canes Venatici</t>
        </r>
      </text>
    </comment>
    <comment ref="A1997" authorId="0" shapeId="0" xr:uid="{E5B8C700-4315-4B3C-9756-94CBC30B6DF4}">
      <text>
        <r>
          <rPr>
            <sz val="9"/>
            <color indexed="81"/>
            <rFont val="Tahoma"/>
            <family val="2"/>
          </rPr>
          <t xml:space="preserve">
</t>
        </r>
      </text>
    </comment>
    <comment ref="K1997" authorId="0" shapeId="0" xr:uid="{22D7C7EF-52EB-4FE6-8A88-E78A330D7078}">
      <text>
        <r>
          <rPr>
            <sz val="9"/>
            <color indexed="81"/>
            <rFont val="Tahoma"/>
            <family val="2"/>
          </rPr>
          <t>Barred colorful spiral with yellow core and star cloud lined arms</t>
        </r>
      </text>
    </comment>
    <comment ref="A1998" authorId="0" shapeId="0" xr:uid="{7498ACC8-F6ED-48E5-9772-DA0A00F453E6}">
      <text>
        <r>
          <rPr>
            <sz val="9"/>
            <color indexed="81"/>
            <rFont val="Tahoma"/>
            <family val="2"/>
          </rPr>
          <t xml:space="preserve">
</t>
        </r>
      </text>
    </comment>
    <comment ref="K1998" authorId="0" shapeId="0" xr:uid="{1F92A30B-5BB7-462B-931F-4B92A7172BF8}">
      <text>
        <r>
          <rPr>
            <sz val="9"/>
            <color indexed="81"/>
            <rFont val="Tahoma"/>
            <family val="2"/>
          </rPr>
          <t>Dim globular cluster with most stars resolved.</t>
        </r>
      </text>
    </comment>
    <comment ref="A1999" authorId="0" shapeId="0" xr:uid="{1393B602-50AD-4EE6-BFAB-D65F44858B18}">
      <text>
        <r>
          <rPr>
            <sz val="9"/>
            <color indexed="81"/>
            <rFont val="Tahoma"/>
            <family val="2"/>
          </rPr>
          <t xml:space="preserve">
</t>
        </r>
      </text>
    </comment>
    <comment ref="K1999" authorId="0" shapeId="0" xr:uid="{F1797272-2499-4D39-9C05-EC8C0431A257}">
      <text>
        <r>
          <rPr>
            <sz val="9"/>
            <color indexed="81"/>
            <rFont val="Tahoma"/>
            <family val="2"/>
          </rPr>
          <t>Small lenticular in Coma Berenices</t>
        </r>
      </text>
    </comment>
    <comment ref="A2000" authorId="0" shapeId="0" xr:uid="{E3F27E06-7587-4820-9E48-FB7ED6D42810}">
      <text>
        <r>
          <rPr>
            <sz val="9"/>
            <color indexed="81"/>
            <rFont val="Tahoma"/>
            <family val="2"/>
          </rPr>
          <t xml:space="preserve">
</t>
        </r>
      </text>
    </comment>
    <comment ref="K2000" authorId="0" shapeId="0" xr:uid="{734DC820-34FB-4B9C-86BC-08EA7DD73656}">
      <text>
        <r>
          <rPr>
            <sz val="9"/>
            <color indexed="81"/>
            <rFont val="Tahoma"/>
            <family val="2"/>
          </rPr>
          <t>Highlight is the extended 150,000 ly star stream.  Dust lanes and bright star forming areas are also fascinating.</t>
        </r>
      </text>
    </comment>
    <comment ref="A2001" authorId="0" shapeId="0" xr:uid="{BB441CA2-17ED-4F11-A299-87D7C66038D8}">
      <text>
        <r>
          <rPr>
            <sz val="9"/>
            <color indexed="81"/>
            <rFont val="Tahoma"/>
            <family val="2"/>
          </rPr>
          <t xml:space="preserve">
</t>
        </r>
      </text>
    </comment>
    <comment ref="K2001" authorId="0" shapeId="0" xr:uid="{46986EFD-510E-4CF7-8708-632EE588632B}">
      <text>
        <r>
          <rPr>
            <sz val="9"/>
            <color indexed="81"/>
            <rFont val="Tahoma"/>
            <family val="2"/>
          </rPr>
          <t>Edge-on spiral with glowing orange offset core and dramatic dark dust lanes</t>
        </r>
      </text>
    </comment>
    <comment ref="A2002" authorId="0" shapeId="0" xr:uid="{1874268C-6A7F-4632-9ED0-A3ED1AE2C441}">
      <text>
        <r>
          <rPr>
            <sz val="9"/>
            <color indexed="81"/>
            <rFont val="Tahoma"/>
            <family val="2"/>
          </rPr>
          <t xml:space="preserve">
</t>
        </r>
      </text>
    </comment>
    <comment ref="K2002" authorId="0" shapeId="0" xr:uid="{E4E71FBF-596C-480E-A5B1-A95C78FA61B5}">
      <text>
        <r>
          <rPr>
            <sz val="9"/>
            <color indexed="81"/>
            <rFont val="Tahoma"/>
            <family val="2"/>
          </rPr>
          <t>Nearly edge-on barred grand design spiral with many star clouds in the arms.</t>
        </r>
      </text>
    </comment>
    <comment ref="A2003" authorId="0" shapeId="0" xr:uid="{90B94D16-E33A-46C4-B66A-ADE370DA092B}">
      <text>
        <r>
          <rPr>
            <sz val="9"/>
            <color indexed="81"/>
            <rFont val="Tahoma"/>
            <family val="2"/>
          </rPr>
          <t xml:space="preserve">
</t>
        </r>
      </text>
    </comment>
    <comment ref="K2003" authorId="0" shapeId="0" xr:uid="{F997B6E3-4C19-4098-ADDB-78121D9ECC64}">
      <text>
        <r>
          <rPr>
            <sz val="9"/>
            <color indexed="81"/>
            <rFont val="Tahoma"/>
            <family val="2"/>
          </rPr>
          <t>Edge-on lenticular with small bulge</t>
        </r>
      </text>
    </comment>
    <comment ref="A2004" authorId="0" shapeId="0" xr:uid="{4BE5DC07-D257-4E7E-A3DE-2AE86BED5185}">
      <text>
        <r>
          <rPr>
            <sz val="9"/>
            <color indexed="81"/>
            <rFont val="Tahoma"/>
            <family val="2"/>
          </rPr>
          <t xml:space="preserve">
</t>
        </r>
      </text>
    </comment>
    <comment ref="K2004" authorId="0" shapeId="0" xr:uid="{40CE569F-A46E-4AF8-B52D-562A662AC015}">
      <text>
        <r>
          <rPr>
            <sz val="9"/>
            <color indexed="81"/>
            <rFont val="Tahoma"/>
            <family val="2"/>
          </rPr>
          <t>Edge-on spiral with bar but no central bulge or peanut shaped core</t>
        </r>
      </text>
    </comment>
    <comment ref="A2005" authorId="0" shapeId="0" xr:uid="{6DBD53F6-2081-4060-AFED-7AB758EEC9C1}">
      <text>
        <r>
          <rPr>
            <sz val="9"/>
            <color indexed="81"/>
            <rFont val="Tahoma"/>
            <family val="2"/>
          </rPr>
          <t xml:space="preserve">
</t>
        </r>
      </text>
    </comment>
    <comment ref="K2005" authorId="0" shapeId="0" xr:uid="{1791C587-1930-4EF1-8F5A-56EFDFEF599C}">
      <text>
        <r>
          <rPr>
            <sz val="9"/>
            <color indexed="81"/>
            <rFont val="Tahoma"/>
            <family val="2"/>
          </rPr>
          <t>Face-on barred lenticular in Coma Benenices</t>
        </r>
      </text>
    </comment>
    <comment ref="A2006" authorId="0" shapeId="0" xr:uid="{16ECE927-B8D5-49BB-A25E-99305F305716}">
      <text>
        <r>
          <rPr>
            <sz val="9"/>
            <color indexed="81"/>
            <rFont val="Tahoma"/>
            <family val="2"/>
          </rPr>
          <t xml:space="preserve">
</t>
        </r>
      </text>
    </comment>
    <comment ref="K2006" authorId="0" shapeId="0" xr:uid="{32075D15-8237-4BE4-BFA8-FB7632A7967B}">
      <text>
        <r>
          <rPr>
            <sz val="9"/>
            <color indexed="81"/>
            <rFont val="Tahoma"/>
            <family val="2"/>
          </rPr>
          <t>Small spiral in Coma Benenices</t>
        </r>
      </text>
    </comment>
    <comment ref="A2007" authorId="0" shapeId="0" xr:uid="{FF66B9D7-E583-47DD-AB94-225A8AD246A6}">
      <text>
        <r>
          <rPr>
            <sz val="9"/>
            <color indexed="81"/>
            <rFont val="Tahoma"/>
            <family val="2"/>
          </rPr>
          <t xml:space="preserve">
</t>
        </r>
      </text>
    </comment>
    <comment ref="K2007" authorId="0" shapeId="0" xr:uid="{55DD15AF-7467-404C-9E9F-0027C03B3B59}">
      <text>
        <r>
          <rPr>
            <sz val="9"/>
            <color indexed="81"/>
            <rFont val="Tahoma"/>
            <family val="2"/>
          </rPr>
          <t>Dwarf barred irregular galaxy, same size as the Large Magellanic Cloud but 100 times further away</t>
        </r>
      </text>
    </comment>
    <comment ref="A2008" authorId="0" shapeId="0" xr:uid="{9B869AFF-FCB1-44FA-BAD0-C760CB11A8F6}">
      <text>
        <r>
          <rPr>
            <sz val="9"/>
            <color indexed="81"/>
            <rFont val="Tahoma"/>
            <family val="2"/>
          </rPr>
          <t xml:space="preserve">
</t>
        </r>
      </text>
    </comment>
    <comment ref="K2008" authorId="0" shapeId="0" xr:uid="{F3966F56-9F1C-42EA-BA76-3A0F6D1C058A}">
      <text>
        <r>
          <rPr>
            <sz val="9"/>
            <color indexed="81"/>
            <rFont val="Tahoma"/>
            <family val="2"/>
          </rPr>
          <t xml:space="preserve">Virgo Trio, the Stairway to Heaven, consists of 3 similar sized edge-on spirals in tight 24" FOV.  </t>
        </r>
      </text>
    </comment>
    <comment ref="A2009" authorId="0" shapeId="0" xr:uid="{999767CB-5557-4732-A377-62C68D2224A9}">
      <text>
        <r>
          <rPr>
            <sz val="9"/>
            <color indexed="81"/>
            <rFont val="Tahoma"/>
            <family val="2"/>
          </rPr>
          <t xml:space="preserve">
</t>
        </r>
      </text>
    </comment>
    <comment ref="K2009" authorId="0" shapeId="0" xr:uid="{6DF4F9B6-2C51-408F-9C97-1B47C6681D7A}">
      <text>
        <r>
          <rPr>
            <sz val="9"/>
            <color indexed="81"/>
            <rFont val="Tahoma"/>
            <family val="2"/>
          </rPr>
          <t>Edge-on spiral, just 1/2 degree west of M106.  Dramatic uneven dust lane</t>
        </r>
      </text>
    </comment>
    <comment ref="A2010" authorId="0" shapeId="0" xr:uid="{6833DDCA-70AF-4AED-AF97-90C7B78F0A62}">
      <text>
        <r>
          <rPr>
            <sz val="9"/>
            <color indexed="81"/>
            <rFont val="Tahoma"/>
            <family val="2"/>
          </rPr>
          <t xml:space="preserve">
</t>
        </r>
      </text>
    </comment>
    <comment ref="K2010" authorId="0" shapeId="0" xr:uid="{84B17D07-937F-4964-A6FF-560C7A937780}">
      <text>
        <r>
          <rPr>
            <sz val="9"/>
            <color indexed="81"/>
            <rFont val="Tahoma"/>
            <family val="2"/>
          </rPr>
          <t>Brilliant inner ring lenticular with intriguing dust lane patterns</t>
        </r>
      </text>
    </comment>
    <comment ref="A2011" authorId="0" shapeId="0" xr:uid="{266B881D-C804-4B97-A192-A9039E970127}">
      <text>
        <r>
          <rPr>
            <sz val="9"/>
            <color indexed="81"/>
            <rFont val="Tahoma"/>
            <family val="2"/>
          </rPr>
          <t xml:space="preserve">
</t>
        </r>
      </text>
    </comment>
    <comment ref="K2011" authorId="0" shapeId="0" xr:uid="{07109AE2-695F-473C-B231-D685B0876E89}">
      <text>
        <r>
          <rPr>
            <sz val="9"/>
            <color indexed="81"/>
            <rFont val="Tahoma"/>
            <family val="2"/>
          </rPr>
          <t>Close barred spiral, 1 of the 3 largest members of the M81 Group of Galaxies.</t>
        </r>
      </text>
    </comment>
    <comment ref="A2012" authorId="0" shapeId="0" xr:uid="{3F9A759F-942D-409B-8160-A985E6D188A5}">
      <text>
        <r>
          <rPr>
            <sz val="9"/>
            <color indexed="81"/>
            <rFont val="Tahoma"/>
            <family val="2"/>
          </rPr>
          <t xml:space="preserve">
</t>
        </r>
      </text>
    </comment>
    <comment ref="K2012" authorId="0" shapeId="0" xr:uid="{F1855CB1-1D64-4B4E-899C-F09A18AA58F4}">
      <text>
        <r>
          <rPr>
            <sz val="9"/>
            <color indexed="81"/>
            <rFont val="Tahoma"/>
            <family val="2"/>
          </rPr>
          <t>Magellanic galaxy - small size with white bar, blue star clouds and single arm</t>
        </r>
      </text>
    </comment>
    <comment ref="A2013" authorId="0" shapeId="0" xr:uid="{AF6C0560-A3A1-4A57-ABF6-3B1CA17810D4}">
      <text>
        <r>
          <rPr>
            <sz val="9"/>
            <color indexed="81"/>
            <rFont val="Tahoma"/>
            <family val="2"/>
          </rPr>
          <t xml:space="preserve">
</t>
        </r>
      </text>
    </comment>
    <comment ref="K2013" authorId="0" shapeId="0" xr:uid="{5EF0C485-FBB4-4845-AD5B-98C10B95D364}">
      <text>
        <r>
          <rPr>
            <sz val="9"/>
            <color indexed="81"/>
            <rFont val="Tahoma"/>
            <family val="2"/>
          </rPr>
          <t>Resplendent edge-on spiral.  No bulge, showy dust lanes</t>
        </r>
      </text>
    </comment>
    <comment ref="A2014" authorId="0" shapeId="0" xr:uid="{6C558388-711A-42C8-97B3-3E708C5FD1D5}">
      <text>
        <r>
          <rPr>
            <sz val="9"/>
            <color indexed="81"/>
            <rFont val="Tahoma"/>
            <family val="2"/>
          </rPr>
          <t xml:space="preserve">
</t>
        </r>
      </text>
    </comment>
    <comment ref="K2014" authorId="0" shapeId="0" xr:uid="{48EB9584-8F76-4391-95B9-4CE6A68BBD8C}">
      <text>
        <r>
          <rPr>
            <sz val="9"/>
            <color indexed="81"/>
            <rFont val="Tahoma"/>
            <family val="2"/>
          </rPr>
          <t>Barred ring lenticular with faint outer disk</t>
        </r>
      </text>
    </comment>
    <comment ref="A2015" authorId="0" shapeId="0" xr:uid="{B3EDB819-72ED-4CB4-8E4F-933E93B3D793}">
      <text>
        <r>
          <rPr>
            <sz val="9"/>
            <color indexed="81"/>
            <rFont val="Tahoma"/>
            <family val="2"/>
          </rPr>
          <t xml:space="preserve">
</t>
        </r>
      </text>
    </comment>
    <comment ref="K2015" authorId="0" shapeId="0" xr:uid="{318C5E70-A300-4270-AFAA-A4CF16CF557E}">
      <text>
        <r>
          <rPr>
            <sz val="9"/>
            <color indexed="81"/>
            <rFont val="Tahoma"/>
            <family val="2"/>
          </rPr>
          <t>Barred double ring lenticular with barlense, inner oval ring, and faint circular outer ring</t>
        </r>
      </text>
    </comment>
    <comment ref="A2016" authorId="0" shapeId="0" xr:uid="{1929DC38-5DF3-4E1A-AFD7-130288E07E3B}">
      <text>
        <r>
          <rPr>
            <sz val="9"/>
            <color indexed="81"/>
            <rFont val="Tahoma"/>
            <family val="2"/>
          </rPr>
          <t xml:space="preserve">
</t>
        </r>
      </text>
    </comment>
    <comment ref="K2016" authorId="0" shapeId="0" xr:uid="{D22A1963-ECF4-4078-A0F5-B9D5F282EFDD}">
      <text>
        <r>
          <rPr>
            <sz val="9"/>
            <color indexed="81"/>
            <rFont val="Tahoma"/>
            <family val="2"/>
          </rPr>
          <t>Edge-on lenticular with barlense</t>
        </r>
      </text>
    </comment>
    <comment ref="A2017" authorId="0" shapeId="0" xr:uid="{FB516004-671F-4670-A6D1-76574708F4BB}">
      <text>
        <r>
          <rPr>
            <sz val="9"/>
            <color indexed="81"/>
            <rFont val="Tahoma"/>
            <family val="2"/>
          </rPr>
          <t xml:space="preserve">
</t>
        </r>
      </text>
    </comment>
    <comment ref="K2017" authorId="0" shapeId="0" xr:uid="{7244D31D-B214-4D1A-961B-A743AA0EE10D}">
      <text>
        <r>
          <rPr>
            <sz val="9"/>
            <color indexed="81"/>
            <rFont val="Tahoma"/>
            <family val="2"/>
          </rPr>
          <t>Barred grand spiral with 2 strong smooth arms</t>
        </r>
      </text>
    </comment>
    <comment ref="A2018" authorId="0" shapeId="0" xr:uid="{E50D52BE-AF3B-47DB-AEFC-C84B6939CF81}">
      <text>
        <r>
          <rPr>
            <sz val="9"/>
            <color indexed="81"/>
            <rFont val="Tahoma"/>
            <family val="2"/>
          </rPr>
          <t xml:space="preserve">
</t>
        </r>
      </text>
    </comment>
    <comment ref="K2018" authorId="0" shapeId="0" xr:uid="{CC5F81E4-85CE-467F-BB98-5B94F5BF1785}">
      <text>
        <r>
          <rPr>
            <sz val="9"/>
            <color indexed="81"/>
            <rFont val="Tahoma"/>
            <family val="2"/>
          </rPr>
          <t>Elliptical in Virgo with many background galaxies</t>
        </r>
      </text>
    </comment>
    <comment ref="A2019" authorId="0" shapeId="0" xr:uid="{0B0A7B00-7123-4E0D-B255-C91B415613D7}">
      <text>
        <r>
          <rPr>
            <sz val="9"/>
            <color indexed="81"/>
            <rFont val="Tahoma"/>
            <family val="2"/>
          </rPr>
          <t xml:space="preserve">
</t>
        </r>
      </text>
    </comment>
    <comment ref="K2019" authorId="0" shapeId="0" xr:uid="{5237B4EB-852F-40CB-B322-E599DF21031C}">
      <text>
        <r>
          <rPr>
            <sz val="9"/>
            <color indexed="81"/>
            <rFont val="Tahoma"/>
            <family val="2"/>
          </rPr>
          <t>Face-on barred lenticular in Coma Berenices, with barlense</t>
        </r>
      </text>
    </comment>
    <comment ref="A2020" authorId="0" shapeId="0" xr:uid="{0594983B-5C9B-4CDB-8E63-AD6EC190C04A}">
      <text>
        <r>
          <rPr>
            <sz val="9"/>
            <color indexed="81"/>
            <rFont val="Tahoma"/>
            <family val="2"/>
          </rPr>
          <t xml:space="preserve">
</t>
        </r>
      </text>
    </comment>
    <comment ref="K2020" authorId="0" shapeId="0" xr:uid="{59D496C2-F879-45D0-86BA-F78FEBF64E90}">
      <text>
        <r>
          <rPr>
            <sz val="9"/>
            <color indexed="81"/>
            <rFont val="Tahoma"/>
            <family val="2"/>
          </rPr>
          <t>8 Galaxy group in Virgo, including NGC 4273 and 4281</t>
        </r>
      </text>
    </comment>
    <comment ref="A2021" authorId="0" shapeId="0" xr:uid="{CE892CB3-64E0-4953-B3C9-60BFB0559671}">
      <text>
        <r>
          <rPr>
            <sz val="9"/>
            <color indexed="81"/>
            <rFont val="Tahoma"/>
            <family val="2"/>
          </rPr>
          <t xml:space="preserve">
</t>
        </r>
      </text>
    </comment>
    <comment ref="K2021" authorId="0" shapeId="0" xr:uid="{C8A5DDB6-E28B-423E-8029-B969B7479274}">
      <text>
        <r>
          <rPr>
            <sz val="9"/>
            <color indexed="81"/>
            <rFont val="Tahoma"/>
            <family val="2"/>
          </rPr>
          <t>White barred core with dust lanes spiraling in.  Blue star-forming ring mid-region.  Diffuse outer disk</t>
        </r>
      </text>
    </comment>
    <comment ref="A2022" authorId="0" shapeId="0" xr:uid="{F5BBC49A-2FEF-483E-ACFD-3DA0ABA52117}">
      <text>
        <r>
          <rPr>
            <sz val="9"/>
            <color indexed="81"/>
            <rFont val="Tahoma"/>
            <family val="2"/>
          </rPr>
          <t xml:space="preserve">
</t>
        </r>
      </text>
    </comment>
    <comment ref="K2022" authorId="0" shapeId="0" xr:uid="{905CE339-6161-4C35-A97C-654BC1004901}">
      <text>
        <r>
          <rPr>
            <sz val="9"/>
            <color indexed="81"/>
            <rFont val="Tahoma"/>
            <family val="2"/>
          </rPr>
          <t>Small elliptical in Virgo, with NGC 4283 and 4286</t>
        </r>
      </text>
    </comment>
    <comment ref="A2023" authorId="0" shapeId="0" xr:uid="{C208F4B0-48E8-4309-BA4D-F11022C01246}">
      <text>
        <r>
          <rPr>
            <sz val="9"/>
            <color indexed="81"/>
            <rFont val="Tahoma"/>
            <family val="2"/>
          </rPr>
          <t xml:space="preserve">
</t>
        </r>
      </text>
    </comment>
    <comment ref="K2023" authorId="0" shapeId="0" xr:uid="{9BC1D6D2-EB78-447C-AF57-5C87A52C4914}">
      <text>
        <r>
          <rPr>
            <sz val="9"/>
            <color indexed="81"/>
            <rFont val="Tahoma"/>
            <family val="2"/>
          </rPr>
          <t>Lenticular with dust band, part of small group</t>
        </r>
      </text>
    </comment>
    <comment ref="A2024" authorId="0" shapeId="0" xr:uid="{D8D25C8B-2A46-4619-970E-699A55914740}">
      <text>
        <r>
          <rPr>
            <sz val="9"/>
            <color indexed="81"/>
            <rFont val="Tahoma"/>
            <family val="2"/>
          </rPr>
          <t xml:space="preserve">
</t>
        </r>
      </text>
    </comment>
    <comment ref="K2024" authorId="0" shapeId="0" xr:uid="{8C18C554-D4A4-4C23-B2F9-D081FC7CC273}">
      <text>
        <r>
          <rPr>
            <sz val="9"/>
            <color indexed="81"/>
            <rFont val="Tahoma"/>
            <family val="2"/>
          </rPr>
          <t>Large edge-on spiral with slightly offset dust lane</t>
        </r>
      </text>
    </comment>
    <comment ref="A2025" authorId="0" shapeId="0" xr:uid="{8E672132-8D20-412C-985E-00E331CB65E7}">
      <text>
        <r>
          <rPr>
            <sz val="9"/>
            <color indexed="81"/>
            <rFont val="Tahoma"/>
            <family val="2"/>
          </rPr>
          <t xml:space="preserve">
</t>
        </r>
      </text>
    </comment>
    <comment ref="K2025" authorId="0" shapeId="0" xr:uid="{F1BD82EC-2926-43D0-936C-730FA306F0B2}">
      <text>
        <r>
          <rPr>
            <sz val="9"/>
            <color indexed="81"/>
            <rFont val="Tahoma"/>
            <family val="2"/>
          </rPr>
          <t xml:space="preserve">Stellar core surrounded by dark billowing dust clouds.  Outer edge of this region is smoothly circular. </t>
        </r>
      </text>
    </comment>
    <comment ref="A2026" authorId="0" shapeId="0" xr:uid="{6F0EC519-1A89-47BD-96D7-0C3AD310C626}">
      <text>
        <r>
          <rPr>
            <sz val="9"/>
            <color indexed="81"/>
            <rFont val="Tahoma"/>
            <family val="2"/>
          </rPr>
          <t xml:space="preserve">
</t>
        </r>
      </text>
    </comment>
    <comment ref="K2026" authorId="0" shapeId="0" xr:uid="{C537169B-9CE4-4F93-9A43-7C7F9697409B}">
      <text>
        <r>
          <rPr>
            <sz val="9"/>
            <color indexed="81"/>
            <rFont val="Tahoma"/>
            <family val="2"/>
          </rPr>
          <t>Attractive pair with contrasting yellow and blue colors.   NGC4302 is further away at 60 mly</t>
        </r>
      </text>
    </comment>
    <comment ref="A2027" authorId="0" shapeId="0" xr:uid="{F6349D69-8F89-4280-9C8B-573A1B8915B0}">
      <text>
        <r>
          <rPr>
            <sz val="9"/>
            <color indexed="81"/>
            <rFont val="Tahoma"/>
            <family val="2"/>
          </rPr>
          <t xml:space="preserve">
</t>
        </r>
      </text>
    </comment>
    <comment ref="K2027" authorId="0" shapeId="0" xr:uid="{73E5C289-0119-4951-8CFF-E5AA7A6A26B3}">
      <text>
        <r>
          <rPr>
            <sz val="9"/>
            <color indexed="81"/>
            <rFont val="Tahoma"/>
            <family val="2"/>
          </rPr>
          <t>Lenticular with stunning dust lane and blue star-forming ring</t>
        </r>
      </text>
    </comment>
    <comment ref="A2028" authorId="0" shapeId="0" xr:uid="{B140D696-2C94-4A17-9735-0DF8E7EC4059}">
      <text>
        <r>
          <rPr>
            <sz val="9"/>
            <color indexed="81"/>
            <rFont val="Tahoma"/>
            <family val="2"/>
          </rPr>
          <t xml:space="preserve">
</t>
        </r>
      </text>
    </comment>
    <comment ref="K2028" authorId="0" shapeId="0" xr:uid="{FD942B98-AFF1-4748-A548-C96B4F2B5A33}">
      <text>
        <r>
          <rPr>
            <sz val="9"/>
            <color indexed="81"/>
            <rFont val="Tahoma"/>
            <family val="2"/>
          </rPr>
          <t>Feature-filled galaxy - nuclear ring, bar lens, unusually long bar, sweeping arms.</t>
        </r>
      </text>
    </comment>
    <comment ref="A2029" authorId="0" shapeId="0" xr:uid="{E667AEDC-9797-4F2F-B2B3-C57E0F387650}">
      <text>
        <r>
          <rPr>
            <sz val="9"/>
            <color indexed="81"/>
            <rFont val="Tahoma"/>
            <family val="2"/>
          </rPr>
          <t xml:space="preserve">
</t>
        </r>
      </text>
    </comment>
    <comment ref="K2029" authorId="0" shapeId="0" xr:uid="{5F79DC3F-7744-4AE5-BEE9-B08F5E06E4B2}">
      <text>
        <r>
          <rPr>
            <sz val="9"/>
            <color indexed="81"/>
            <rFont val="Tahoma"/>
            <family val="2"/>
          </rPr>
          <t>Lovely disturbed spiral, with the famous Arp object Markarian 205 just right of its core.</t>
        </r>
      </text>
    </comment>
    <comment ref="A2030" authorId="0" shapeId="0" xr:uid="{6C01CF4B-D03D-42E8-A197-EDC692B1F801}">
      <text>
        <r>
          <rPr>
            <sz val="9"/>
            <color indexed="81"/>
            <rFont val="Tahoma"/>
            <family val="2"/>
          </rPr>
          <t xml:space="preserve">
</t>
        </r>
      </text>
    </comment>
    <comment ref="K2030" authorId="0" shapeId="0" xr:uid="{9F372D49-5CAC-4462-9DE4-F4B288DC9FD1}">
      <text>
        <r>
          <rPr>
            <sz val="9"/>
            <color indexed="81"/>
            <rFont val="Tahoma"/>
            <family val="2"/>
          </rPr>
          <t>Edge-on spiral with detailed dust lanes, No core bulge or disk warp</t>
        </r>
      </text>
    </comment>
    <comment ref="A2031" authorId="0" shapeId="0" xr:uid="{F5E49127-F4CB-47EB-AEC0-40F7EF38B9E2}">
      <text>
        <r>
          <rPr>
            <sz val="9"/>
            <color indexed="81"/>
            <rFont val="Tahoma"/>
            <family val="2"/>
          </rPr>
          <t xml:space="preserve">
</t>
        </r>
      </text>
    </comment>
    <comment ref="K2031" authorId="0" shapeId="0" xr:uid="{BBD71E20-3B11-4037-8CE3-3740740DDB0B}">
      <text>
        <r>
          <rPr>
            <sz val="9"/>
            <color indexed="81"/>
            <rFont val="Tahoma"/>
            <family val="2"/>
          </rPr>
          <t>Edge-on Magellanic galaxy, Foreground star creates comet-like galaxy appearance</t>
        </r>
      </text>
    </comment>
    <comment ref="A2032" authorId="0" shapeId="0" xr:uid="{06241BF1-7AB1-49BE-88BA-70A36BBDB2E1}">
      <text>
        <r>
          <rPr>
            <sz val="9"/>
            <color indexed="81"/>
            <rFont val="Tahoma"/>
            <family val="2"/>
          </rPr>
          <t xml:space="preserve">
</t>
        </r>
      </text>
    </comment>
    <comment ref="K2032" authorId="0" shapeId="0" xr:uid="{16548D4D-A9DB-4F7B-882B-6AA59AFBCE79}">
      <text>
        <r>
          <rPr>
            <sz val="9"/>
            <color indexed="81"/>
            <rFont val="Tahoma"/>
            <family val="2"/>
          </rPr>
          <t xml:space="preserve">Pair of galaxies (Holmberg 391) at slightly different distances. Each is about 60,000 ly diameter  </t>
        </r>
      </text>
    </comment>
    <comment ref="A2033" authorId="0" shapeId="0" xr:uid="{1600D4FD-D188-42EB-8BF4-7F5F9ED6096E}">
      <text>
        <r>
          <rPr>
            <sz val="9"/>
            <color indexed="81"/>
            <rFont val="Tahoma"/>
            <family val="2"/>
          </rPr>
          <t xml:space="preserve">
</t>
        </r>
      </text>
    </comment>
    <comment ref="K2033" authorId="0" shapeId="0" xr:uid="{005CA8A8-0263-43E3-97BC-66BE805C0D56}">
      <text>
        <r>
          <rPr>
            <sz val="9"/>
            <color indexed="81"/>
            <rFont val="Tahoma"/>
            <family val="2"/>
          </rPr>
          <t>Lenticular in Canes Venatici</t>
        </r>
      </text>
    </comment>
    <comment ref="A2034" authorId="0" shapeId="0" xr:uid="{28CE0FC9-526A-45E8-8AA6-E732D221C64A}">
      <text>
        <r>
          <rPr>
            <sz val="9"/>
            <color indexed="81"/>
            <rFont val="Tahoma"/>
            <family val="2"/>
          </rPr>
          <t xml:space="preserve">
</t>
        </r>
      </text>
    </comment>
    <comment ref="K2034" authorId="0" shapeId="0" xr:uid="{FC814C2E-61EA-40BC-A651-1B3017E13FCE}">
      <text>
        <r>
          <rPr>
            <sz val="9"/>
            <color indexed="81"/>
            <rFont val="Tahoma"/>
            <family val="2"/>
          </rPr>
          <t>Lenticular companion to NGC 4340</t>
        </r>
      </text>
    </comment>
    <comment ref="A2035" authorId="0" shapeId="0" xr:uid="{C7E192FB-FCA8-4521-9264-285CBE7D6F0C}">
      <text>
        <r>
          <rPr>
            <sz val="9"/>
            <color indexed="81"/>
            <rFont val="Tahoma"/>
            <family val="2"/>
          </rPr>
          <t xml:space="preserve">
</t>
        </r>
      </text>
    </comment>
    <comment ref="K2035" authorId="0" shapeId="0" xr:uid="{03CDDCB2-184D-40DC-9E77-1E1D11C3A45E}">
      <text>
        <r>
          <rPr>
            <sz val="9"/>
            <color indexed="81"/>
            <rFont val="Tahoma"/>
            <family val="2"/>
          </rPr>
          <t>Small barred spiral with dust lanes and slight bulge</t>
        </r>
      </text>
    </comment>
    <comment ref="A2036" authorId="0" shapeId="0" xr:uid="{8ECC9A65-CF0B-4D94-85DA-E9B844DD9684}">
      <text>
        <r>
          <rPr>
            <sz val="9"/>
            <color indexed="81"/>
            <rFont val="Tahoma"/>
            <family val="2"/>
          </rPr>
          <t xml:space="preserve">
</t>
        </r>
      </text>
    </comment>
    <comment ref="K2036" authorId="0" shapeId="0" xr:uid="{A4A00B16-FFC6-4A47-B981-3358A999A89E}">
      <text>
        <r>
          <rPr>
            <sz val="9"/>
            <color indexed="81"/>
            <rFont val="Tahoma"/>
            <family val="2"/>
          </rPr>
          <t>Small OIII PN with polar jets and visible progenitor</t>
        </r>
      </text>
    </comment>
    <comment ref="A2037" authorId="0" shapeId="0" xr:uid="{57DBFC8C-AA57-4DB9-B66E-62FC38683C2B}">
      <text>
        <r>
          <rPr>
            <sz val="9"/>
            <color indexed="81"/>
            <rFont val="Tahoma"/>
            <family val="2"/>
          </rPr>
          <t xml:space="preserve">
</t>
        </r>
      </text>
    </comment>
    <comment ref="K2037" authorId="0" shapeId="0" xr:uid="{D995D92D-3EC6-45A8-92AF-9A4F4FA238FA}">
      <text>
        <r>
          <rPr>
            <sz val="9"/>
            <color indexed="81"/>
            <rFont val="Tahoma"/>
            <family val="2"/>
          </rPr>
          <t>Milky Way sized elliptical with many background cluster galaxies</t>
        </r>
      </text>
    </comment>
    <comment ref="A2038" authorId="0" shapeId="0" xr:uid="{9F7252B7-C2DD-4AA1-BEF5-1264E3C243A9}">
      <text>
        <r>
          <rPr>
            <sz val="9"/>
            <color indexed="81"/>
            <rFont val="Tahoma"/>
            <family val="2"/>
          </rPr>
          <t xml:space="preserve">
</t>
        </r>
      </text>
    </comment>
    <comment ref="K2038" authorId="0" shapeId="0" xr:uid="{37038745-1071-4AF8-BC74-08850C0E0B6D}">
      <text>
        <r>
          <rPr>
            <sz val="9"/>
            <color indexed="81"/>
            <rFont val="Tahoma"/>
            <family val="2"/>
          </rPr>
          <t>Barred lenticular with barlens and inner ring, Many tiny background galaxies</t>
        </r>
      </text>
    </comment>
    <comment ref="A2039" authorId="0" shapeId="0" xr:uid="{68701EC0-0FC1-4373-BF7F-87D3408D1718}">
      <text>
        <r>
          <rPr>
            <sz val="9"/>
            <color indexed="81"/>
            <rFont val="Tahoma"/>
            <family val="2"/>
          </rPr>
          <t xml:space="preserve">
</t>
        </r>
      </text>
    </comment>
    <comment ref="K2039" authorId="0" shapeId="0" xr:uid="{40B08246-51BB-4537-9BB7-40A640DC7C55}">
      <text>
        <r>
          <rPr>
            <sz val="9"/>
            <color indexed="81"/>
            <rFont val="Tahoma"/>
            <family val="2"/>
          </rPr>
          <t>Very loose class XII globular cluster with nearby bright blue star</t>
        </r>
      </text>
    </comment>
    <comment ref="A2040" authorId="0" shapeId="0" xr:uid="{E6221217-8990-40A5-8CCF-2AE679482907}">
      <text>
        <r>
          <rPr>
            <sz val="9"/>
            <color indexed="81"/>
            <rFont val="Tahoma"/>
            <family val="2"/>
          </rPr>
          <t xml:space="preserve">
</t>
        </r>
      </text>
    </comment>
    <comment ref="K2040" authorId="0" shapeId="0" xr:uid="{23ED7090-B2D3-42A2-BE6C-D2E50CC8ABBE}">
      <text>
        <r>
          <rPr>
            <sz val="9"/>
            <color indexed="81"/>
            <rFont val="Tahoma"/>
            <family val="2"/>
          </rPr>
          <t>Seyfert barred lenticular with fantastic inner dust lanes.  Many background galaxies seen through disk</t>
        </r>
      </text>
    </comment>
    <comment ref="A2041" authorId="0" shapeId="0" xr:uid="{DB8C81F2-B694-4C49-8A73-755FA3866DAE}">
      <text>
        <r>
          <rPr>
            <sz val="9"/>
            <color indexed="81"/>
            <rFont val="Tahoma"/>
            <family val="2"/>
          </rPr>
          <t xml:space="preserve">
</t>
        </r>
      </text>
    </comment>
    <comment ref="K2041" authorId="0" shapeId="0" xr:uid="{57B190FA-DDAA-409D-903C-C9DF94DFC23F}">
      <text>
        <r>
          <rPr>
            <sz val="9"/>
            <color indexed="81"/>
            <rFont val="Tahoma"/>
            <family val="2"/>
          </rPr>
          <t>Face-on barred grand design spiral with barlens</t>
        </r>
      </text>
    </comment>
    <comment ref="A2042" authorId="0" shapeId="0" xr:uid="{6444E994-4E51-4E3F-9666-25BAE123F37E}">
      <text>
        <r>
          <rPr>
            <sz val="9"/>
            <color indexed="81"/>
            <rFont val="Tahoma"/>
            <family val="2"/>
          </rPr>
          <t xml:space="preserve">
</t>
        </r>
      </text>
    </comment>
    <comment ref="K2042" authorId="0" shapeId="0" xr:uid="{9FF27E51-C851-4806-9B00-BB197F013058}">
      <text>
        <r>
          <rPr>
            <sz val="9"/>
            <color indexed="81"/>
            <rFont val="Tahoma"/>
            <family val="2"/>
          </rPr>
          <t>Magellanic galaxy so close that it has 3 NGC emission nebulae - NGC 4399,4400,4401</t>
        </r>
      </text>
    </comment>
    <comment ref="A2043" authorId="0" shapeId="0" xr:uid="{C2CDE867-017C-4FDD-AABD-783053237A90}">
      <text>
        <r>
          <rPr>
            <sz val="9"/>
            <color indexed="81"/>
            <rFont val="Tahoma"/>
            <family val="2"/>
          </rPr>
          <t xml:space="preserve">
</t>
        </r>
      </text>
    </comment>
    <comment ref="K2043" authorId="0" shapeId="0" xr:uid="{AE0A6A2F-5BBE-46DC-A688-1F0CCE32D93B}">
      <text>
        <r>
          <rPr>
            <sz val="9"/>
            <color indexed="81"/>
            <rFont val="Tahoma"/>
            <family val="2"/>
          </rPr>
          <t>Amazing edge-on spiral with wide dust lane obscuring cure</t>
        </r>
      </text>
    </comment>
    <comment ref="A2044" authorId="0" shapeId="0" xr:uid="{622FFAFE-EE78-49C7-B06E-5CE84021F668}">
      <text>
        <r>
          <rPr>
            <sz val="9"/>
            <color indexed="81"/>
            <rFont val="Tahoma"/>
            <family val="2"/>
          </rPr>
          <t xml:space="preserve">
</t>
        </r>
      </text>
    </comment>
    <comment ref="K2044" authorId="0" shapeId="0" xr:uid="{D90D91C7-4D1A-48D6-B978-7498B831A1AB}">
      <text>
        <r>
          <rPr>
            <sz val="9"/>
            <color indexed="81"/>
            <rFont val="Tahoma"/>
            <family val="2"/>
          </rPr>
          <t>4 interacting galaxies connected by star streams</t>
        </r>
      </text>
    </comment>
    <comment ref="A2045" authorId="0" shapeId="0" xr:uid="{0AD4A9E0-135B-4C35-AAD3-24AFDE0E5661}">
      <text>
        <r>
          <rPr>
            <sz val="9"/>
            <color indexed="81"/>
            <rFont val="Tahoma"/>
            <family val="2"/>
          </rPr>
          <t xml:space="preserve">
</t>
        </r>
      </text>
    </comment>
    <comment ref="K2045" authorId="0" shapeId="0" xr:uid="{F81405CF-5A3D-41F9-A094-E140E935A5CD}">
      <text>
        <r>
          <rPr>
            <sz val="9"/>
            <color indexed="81"/>
            <rFont val="Tahoma"/>
            <family val="2"/>
          </rPr>
          <t>2 face-on galaxies with more structure than expected for their small size.  Likely further away than data indicates</t>
        </r>
      </text>
    </comment>
    <comment ref="A2046" authorId="0" shapeId="0" xr:uid="{C55F6893-A549-40E1-971B-F4A21CB2B6F8}">
      <text>
        <r>
          <rPr>
            <sz val="9"/>
            <color indexed="81"/>
            <rFont val="Tahoma"/>
            <family val="2"/>
          </rPr>
          <t xml:space="preserve">
</t>
        </r>
      </text>
    </comment>
    <comment ref="K2046" authorId="0" shapeId="0" xr:uid="{86705302-5083-4871-A657-E6CC286A88B4}">
      <text>
        <r>
          <rPr>
            <sz val="9"/>
            <color indexed="81"/>
            <rFont val="Tahoma"/>
            <family val="2"/>
          </rPr>
          <t xml:space="preserve">Flocculent disk, becoming diffuse towards outer edge.  Dust lanes distinct but not continuous.  Blue middle disk contrasts with yellow central region.  </t>
        </r>
      </text>
    </comment>
    <comment ref="A2047" authorId="0" shapeId="0" xr:uid="{4EAA0A4C-51B0-4ACD-8BB0-F4BCEDDB17F5}">
      <text>
        <r>
          <rPr>
            <sz val="9"/>
            <color indexed="81"/>
            <rFont val="Tahoma"/>
            <family val="2"/>
          </rPr>
          <t xml:space="preserve">
</t>
        </r>
      </text>
    </comment>
    <comment ref="K2047" authorId="0" shapeId="0" xr:uid="{91F7BC1A-AED2-4B8C-9C39-EE9F3C46B747}">
      <text>
        <r>
          <rPr>
            <sz val="9"/>
            <color indexed="81"/>
            <rFont val="Tahoma"/>
            <family val="2"/>
          </rPr>
          <t>Lenticular disk with tremendous dust lane patterns obscuring the core</t>
        </r>
      </text>
    </comment>
    <comment ref="A2048" authorId="0" shapeId="0" xr:uid="{F840222C-A992-4C9C-AD6C-D90E16EB85D7}">
      <text>
        <r>
          <rPr>
            <sz val="9"/>
            <color indexed="81"/>
            <rFont val="Tahoma"/>
            <family val="2"/>
          </rPr>
          <t xml:space="preserve">
</t>
        </r>
      </text>
    </comment>
    <comment ref="K2048" authorId="0" shapeId="0" xr:uid="{725715D6-35A7-48D4-B2F6-0D86B74870FF}">
      <text>
        <r>
          <rPr>
            <sz val="9"/>
            <color indexed="81"/>
            <rFont val="Tahoma"/>
            <family val="2"/>
          </rPr>
          <t xml:space="preserve">Active core region.  Bright star clouds creating a chain-of-beads effect in the bar.  Dark dust clouds scattered about. </t>
        </r>
      </text>
    </comment>
    <comment ref="A2049" authorId="0" shapeId="0" xr:uid="{5CAACAAE-2BB7-4E1E-9514-D66507374D0F}">
      <text>
        <r>
          <rPr>
            <sz val="9"/>
            <color indexed="81"/>
            <rFont val="Tahoma"/>
            <family val="2"/>
          </rPr>
          <t xml:space="preserve">
</t>
        </r>
      </text>
    </comment>
    <comment ref="K2049" authorId="0" shapeId="0" xr:uid="{C980986C-4D1D-4725-BF53-1F2AC65564E1}">
      <text>
        <r>
          <rPr>
            <sz val="9"/>
            <color indexed="81"/>
            <rFont val="Tahoma"/>
            <family val="2"/>
          </rPr>
          <t>Thick brown inner dust ring and X-shaped pattern in the bright disk lens, which is hexagon-shaped</t>
        </r>
      </text>
    </comment>
    <comment ref="A2050" authorId="0" shapeId="0" xr:uid="{89C6FDAE-2A3A-4416-9C08-F3A46DA9BA6E}">
      <text>
        <r>
          <rPr>
            <sz val="9"/>
            <color indexed="81"/>
            <rFont val="Tahoma"/>
            <family val="2"/>
          </rPr>
          <t xml:space="preserve">
</t>
        </r>
      </text>
    </comment>
    <comment ref="K2050" authorId="0" shapeId="0" xr:uid="{1288269C-3EB8-4FDC-806F-900886B34847}">
      <text>
        <r>
          <rPr>
            <sz val="9"/>
            <color indexed="81"/>
            <rFont val="Tahoma"/>
            <family val="2"/>
          </rPr>
          <t>Companion to NGC 4438, one of the Eyes</t>
        </r>
      </text>
    </comment>
    <comment ref="A2051" authorId="0" shapeId="0" xr:uid="{73586682-8B01-470C-9E09-4E166DCC6764}">
      <text>
        <r>
          <rPr>
            <sz val="9"/>
            <color indexed="81"/>
            <rFont val="Tahoma"/>
            <family val="2"/>
          </rPr>
          <t xml:space="preserve">
</t>
        </r>
      </text>
    </comment>
    <comment ref="K2051" authorId="0" shapeId="0" xr:uid="{2029F2B0-4C04-4BF4-AAA1-2F40DA5AF97B}">
      <text>
        <r>
          <rPr>
            <sz val="9"/>
            <color indexed="81"/>
            <rFont val="Tahoma"/>
            <family val="2"/>
          </rPr>
          <t>Bizarrely wonderful distorted merger object - inner region is spiral-like while outer region has amazing star stream loops</t>
        </r>
      </text>
    </comment>
    <comment ref="A2052" authorId="0" shapeId="0" xr:uid="{779A98BB-7DF9-4896-97E6-BB5915720D85}">
      <text>
        <r>
          <rPr>
            <sz val="9"/>
            <color indexed="81"/>
            <rFont val="Tahoma"/>
            <family val="2"/>
          </rPr>
          <t xml:space="preserve">
</t>
        </r>
      </text>
    </comment>
    <comment ref="K2052" authorId="0" shapeId="0" xr:uid="{4E974C49-9E34-4D0B-872C-F64995023DA2}">
      <text>
        <r>
          <rPr>
            <sz val="9"/>
            <color indexed="81"/>
            <rFont val="Tahoma"/>
            <family val="2"/>
          </rPr>
          <t>Barred lenticular, bar oriented at 45 degrees from major axis</t>
        </r>
      </text>
    </comment>
    <comment ref="A2053" authorId="0" shapeId="0" xr:uid="{2A2433F2-C848-475C-BC0D-5AE5FD681829}">
      <text>
        <r>
          <rPr>
            <sz val="9"/>
            <color indexed="81"/>
            <rFont val="Tahoma"/>
            <family val="2"/>
          </rPr>
          <t xml:space="preserve">
</t>
        </r>
      </text>
    </comment>
    <comment ref="K2053" authorId="0" shapeId="0" xr:uid="{9FA58292-00FE-4409-B4EB-515740EB11B8}">
      <text>
        <r>
          <rPr>
            <sz val="9"/>
            <color indexed="81"/>
            <rFont val="Tahoma"/>
            <family val="2"/>
          </rPr>
          <t>Lenticular with barlens and star-forming ring.  Just northwest, an amazing assortment of distant galaxies</t>
        </r>
      </text>
    </comment>
    <comment ref="A2054" authorId="0" shapeId="0" xr:uid="{10F0097D-A7BE-4D35-AF22-21662B2C4E05}">
      <text>
        <r>
          <rPr>
            <sz val="9"/>
            <color indexed="81"/>
            <rFont val="Tahoma"/>
            <family val="2"/>
          </rPr>
          <t xml:space="preserve">
</t>
        </r>
      </text>
    </comment>
    <comment ref="K2054" authorId="0" shapeId="0" xr:uid="{CD9D9D89-4A36-4902-8607-172DFC7343C9}">
      <text>
        <r>
          <rPr>
            <sz val="9"/>
            <color indexed="81"/>
            <rFont val="Tahoma"/>
            <family val="2"/>
          </rPr>
          <t>Incredibly strong Ha signal.  Star clouds and Ha regions lie in strangely curving arcs, looking like an octopus on fire</t>
        </r>
      </text>
    </comment>
    <comment ref="A2055" authorId="0" shapeId="0" xr:uid="{570522C8-3A63-4C92-BA37-58809BF67836}">
      <text>
        <r>
          <rPr>
            <sz val="9"/>
            <color indexed="81"/>
            <rFont val="Tahoma"/>
            <family val="2"/>
          </rPr>
          <t xml:space="preserve">
</t>
        </r>
      </text>
    </comment>
    <comment ref="K2055" authorId="0" shapeId="0" xr:uid="{F52F95FB-97E5-4E5A-9C06-A80FC7E00003}">
      <text>
        <r>
          <rPr>
            <sz val="9"/>
            <color indexed="81"/>
            <rFont val="Tahoma"/>
            <family val="2"/>
          </rPr>
          <t>Occluded disk without much structure except for dark dust lanes which spiral into the bright core</t>
        </r>
      </text>
    </comment>
    <comment ref="A2056" authorId="0" shapeId="0" xr:uid="{06C79A3C-EA0C-4BAE-9F52-5AB52F8694BC}">
      <text>
        <r>
          <rPr>
            <sz val="9"/>
            <color indexed="81"/>
            <rFont val="Tahoma"/>
            <family val="2"/>
          </rPr>
          <t xml:space="preserve">
</t>
        </r>
      </text>
    </comment>
    <comment ref="K2056" authorId="0" shapeId="0" xr:uid="{1828E198-B52B-4D19-B208-ECE89D240BA7}">
      <text>
        <r>
          <rPr>
            <sz val="9"/>
            <color indexed="81"/>
            <rFont val="Tahoma"/>
            <family val="2"/>
          </rPr>
          <t>Fascinating lenticular with inner star forming arcs and 2 outer closed rings</t>
        </r>
      </text>
    </comment>
    <comment ref="A2057" authorId="0" shapeId="0" xr:uid="{696EEAED-B9D1-47B9-9E5E-31AA6A1A96D4}">
      <text>
        <r>
          <rPr>
            <sz val="9"/>
            <color indexed="81"/>
            <rFont val="Tahoma"/>
            <family val="2"/>
          </rPr>
          <t xml:space="preserve">
</t>
        </r>
      </text>
    </comment>
    <comment ref="K2057" authorId="0" shapeId="0" xr:uid="{288448CA-0D18-4714-9B9C-720A1878F5D5}">
      <text>
        <r>
          <rPr>
            <sz val="9"/>
            <color indexed="81"/>
            <rFont val="Tahoma"/>
            <family val="2"/>
          </rPr>
          <t>Face-on lenticular with bright orange star to southeast</t>
        </r>
      </text>
    </comment>
    <comment ref="A2058" authorId="0" shapeId="0" xr:uid="{C4B61956-9D7A-4D6E-B898-E1F5FB72D92F}">
      <text>
        <r>
          <rPr>
            <sz val="9"/>
            <color indexed="81"/>
            <rFont val="Tahoma"/>
            <family val="2"/>
          </rPr>
          <t xml:space="preserve">
</t>
        </r>
      </text>
    </comment>
    <comment ref="K2058" authorId="0" shapeId="0" xr:uid="{F80261CE-4408-4398-A7C1-A75278270280}">
      <text>
        <r>
          <rPr>
            <sz val="9"/>
            <color indexed="81"/>
            <rFont val="Tahoma"/>
            <family val="2"/>
          </rPr>
          <t xml:space="preserve">3 distinct regions - bright core, mid-region disk with detail, and faint outer ring </t>
        </r>
      </text>
    </comment>
    <comment ref="A2059" authorId="0" shapeId="0" xr:uid="{E84F0866-7A20-4C2A-B1EA-48FC48912579}">
      <text>
        <r>
          <rPr>
            <sz val="9"/>
            <color indexed="81"/>
            <rFont val="Tahoma"/>
            <family val="2"/>
          </rPr>
          <t xml:space="preserve">
</t>
        </r>
      </text>
    </comment>
    <comment ref="K2059" authorId="0" shapeId="0" xr:uid="{D2CCF8A2-4EC8-4649-93CF-CE6AEDCABF9D}">
      <text>
        <r>
          <rPr>
            <sz val="9"/>
            <color indexed="81"/>
            <rFont val="Tahoma"/>
            <family val="2"/>
          </rPr>
          <t>Oblong elliptical without much detail</t>
        </r>
      </text>
    </comment>
    <comment ref="A2060" authorId="0" shapeId="0" xr:uid="{9BCEAF6C-EF84-4BC0-B391-C1568D8AD612}">
      <text>
        <r>
          <rPr>
            <sz val="9"/>
            <color indexed="81"/>
            <rFont val="Tahoma"/>
            <family val="2"/>
          </rPr>
          <t xml:space="preserve">
</t>
        </r>
      </text>
    </comment>
    <comment ref="K2060" authorId="0" shapeId="0" xr:uid="{75964090-6479-456E-A960-D78074EDA530}">
      <text>
        <r>
          <rPr>
            <sz val="9"/>
            <color indexed="81"/>
            <rFont val="Tahoma"/>
            <family val="2"/>
          </rPr>
          <t>Barred lenticular with barlens</t>
        </r>
      </text>
    </comment>
    <comment ref="A2061" authorId="0" shapeId="0" xr:uid="{8656B8CD-D19E-43C4-97DC-8049C8AA8DFE}">
      <text>
        <r>
          <rPr>
            <sz val="9"/>
            <color indexed="81"/>
            <rFont val="Tahoma"/>
            <family val="2"/>
          </rPr>
          <t xml:space="preserve">
</t>
        </r>
      </text>
    </comment>
    <comment ref="K2061" authorId="0" shapeId="0" xr:uid="{1B8F57DE-BDB4-4B2D-BFF7-087EC7928761}">
      <text>
        <r>
          <rPr>
            <sz val="9"/>
            <color indexed="81"/>
            <rFont val="Tahoma"/>
            <family val="2"/>
          </rPr>
          <t>Small elliptical near M87</t>
        </r>
      </text>
    </comment>
    <comment ref="A2062" authorId="0" shapeId="0" xr:uid="{60A527C4-A477-4C60-8E0E-4E6E4692B736}">
      <text>
        <r>
          <rPr>
            <sz val="9"/>
            <color indexed="81"/>
            <rFont val="Tahoma"/>
            <family val="2"/>
          </rPr>
          <t xml:space="preserve">
</t>
        </r>
      </text>
    </comment>
    <comment ref="K2062" authorId="0" shapeId="0" xr:uid="{C4369C84-7D35-4ADF-89F1-5FF3A0E5283A}">
      <text>
        <r>
          <rPr>
            <sz val="9"/>
            <color indexed="81"/>
            <rFont val="Tahoma"/>
            <family val="2"/>
          </rPr>
          <t>Companion to Arp 269</t>
        </r>
      </text>
    </comment>
    <comment ref="A2063" authorId="0" shapeId="0" xr:uid="{610F39E8-08E5-4D77-B7B6-A07D9C1D888E}">
      <text>
        <r>
          <rPr>
            <sz val="9"/>
            <color indexed="81"/>
            <rFont val="Tahoma"/>
            <family val="2"/>
          </rPr>
          <t xml:space="preserve">
</t>
        </r>
      </text>
    </comment>
    <comment ref="K2063" authorId="0" shapeId="0" xr:uid="{3873393F-09E4-48F7-B149-BFBF24FE5553}">
      <text>
        <r>
          <rPr>
            <sz val="9"/>
            <color indexed="81"/>
            <rFont val="Tahoma"/>
            <family val="2"/>
          </rPr>
          <t>Bright elliptical in Coma Berenices</t>
        </r>
      </text>
    </comment>
    <comment ref="A2064" authorId="0" shapeId="0" xr:uid="{4C636AC7-0266-4293-ACE1-C0F02472534C}">
      <text>
        <r>
          <rPr>
            <sz val="9"/>
            <color indexed="81"/>
            <rFont val="Tahoma"/>
            <family val="2"/>
          </rPr>
          <t xml:space="preserve">
</t>
        </r>
      </text>
    </comment>
    <comment ref="K2064" authorId="0" shapeId="0" xr:uid="{F84663B7-2A69-4D63-9701-F0BC0D0AFED7}">
      <text>
        <r>
          <rPr>
            <sz val="9"/>
            <color indexed="81"/>
            <rFont val="Tahoma"/>
            <family val="2"/>
          </rPr>
          <t>Pair of distorted spirals in Virgo.  The smaller galaxy is almost 5 times further away.</t>
        </r>
      </text>
    </comment>
    <comment ref="A2065" authorId="0" shapeId="0" xr:uid="{47512CA6-2CF4-40FF-B5C5-D9B2059A561E}">
      <text>
        <r>
          <rPr>
            <sz val="9"/>
            <color indexed="81"/>
            <rFont val="Tahoma"/>
            <family val="2"/>
          </rPr>
          <t xml:space="preserve">
</t>
        </r>
      </text>
    </comment>
    <comment ref="K2065" authorId="0" shapeId="0" xr:uid="{6E36D3C1-AF76-4478-9300-2FE101E01B94}">
      <text>
        <r>
          <rPr>
            <sz val="9"/>
            <color indexed="81"/>
            <rFont val="Tahoma"/>
            <family val="2"/>
          </rPr>
          <t>Glorious barred grand spiral with star clouds and dust lanes</t>
        </r>
      </text>
    </comment>
    <comment ref="A2066" authorId="0" shapeId="0" xr:uid="{D5FA8BB2-32EA-4B59-9572-CBA0F2D0A58A}">
      <text>
        <r>
          <rPr>
            <sz val="9"/>
            <color indexed="81"/>
            <rFont val="Tahoma"/>
            <family val="2"/>
          </rPr>
          <t xml:space="preserve">
</t>
        </r>
      </text>
    </comment>
    <comment ref="K2066" authorId="0" shapeId="0" xr:uid="{3F205622-4AFC-43E7-B179-09CCA4197BE4}">
      <text>
        <r>
          <rPr>
            <sz val="9"/>
            <color indexed="81"/>
            <rFont val="Tahoma"/>
            <family val="2"/>
          </rPr>
          <t>Incredible pairing of 2 ring galaxies in a tight framing</t>
        </r>
      </text>
    </comment>
    <comment ref="A2067" authorId="0" shapeId="0" xr:uid="{CEC68385-D9AE-4406-A0E0-0F3A7A520EB3}">
      <text>
        <r>
          <rPr>
            <sz val="9"/>
            <color indexed="81"/>
            <rFont val="Tahoma"/>
            <family val="2"/>
          </rPr>
          <t xml:space="preserve">
</t>
        </r>
      </text>
    </comment>
    <comment ref="K2067" authorId="0" shapeId="0" xr:uid="{2863502A-093B-4DEB-8083-A4A47CEBC47B}">
      <text>
        <r>
          <rPr>
            <sz val="9"/>
            <color indexed="81"/>
            <rFont val="Tahoma"/>
            <family val="2"/>
          </rPr>
          <t>Edge-on spiral with thick dust lane and no bulge.  Offset core</t>
        </r>
      </text>
    </comment>
    <comment ref="A2068" authorId="0" shapeId="0" xr:uid="{341B4EA5-5A8B-435D-AA19-6104D49AAB7A}">
      <text>
        <r>
          <rPr>
            <sz val="9"/>
            <color indexed="81"/>
            <rFont val="Tahoma"/>
            <family val="2"/>
          </rPr>
          <t xml:space="preserve">
</t>
        </r>
      </text>
    </comment>
    <comment ref="K2068" authorId="0" shapeId="0" xr:uid="{42EF38AC-F779-4FEE-91C5-170A4BAA1224}">
      <text>
        <r>
          <rPr>
            <sz val="9"/>
            <color indexed="81"/>
            <rFont val="Tahoma"/>
            <family val="2"/>
          </rPr>
          <t>Spiral, almost edge-on, with complex dust lanes on one half of core</t>
        </r>
      </text>
    </comment>
    <comment ref="A2069" authorId="0" shapeId="0" xr:uid="{3B108EE6-165B-45C7-8869-B126E4FD650D}">
      <text>
        <r>
          <rPr>
            <sz val="9"/>
            <color indexed="81"/>
            <rFont val="Tahoma"/>
            <family val="2"/>
          </rPr>
          <t xml:space="preserve">
</t>
        </r>
      </text>
    </comment>
    <comment ref="K2069" authorId="0" shapeId="0" xr:uid="{D3D61A38-5F83-49A8-906C-473A36F60E5E}">
      <text>
        <r>
          <rPr>
            <sz val="9"/>
            <color indexed="81"/>
            <rFont val="Tahoma"/>
            <family val="2"/>
          </rPr>
          <t>2 interesting features - striking inner ring dust band and shape of the brightness of the inner region, "peanut shaped".</t>
        </r>
      </text>
    </comment>
    <comment ref="A2070" authorId="0" shapeId="0" xr:uid="{3EE6DF55-CD2D-4108-B27C-6A5ECB13A8A7}">
      <text>
        <r>
          <rPr>
            <sz val="9"/>
            <color indexed="81"/>
            <rFont val="Tahoma"/>
            <family val="2"/>
          </rPr>
          <t xml:space="preserve">
</t>
        </r>
      </text>
    </comment>
    <comment ref="K2070" authorId="0" shapeId="0" xr:uid="{FA7A5733-BAB3-4E38-90B0-5BFCF2C5FEEE}">
      <text>
        <r>
          <rPr>
            <sz val="9"/>
            <color indexed="81"/>
            <rFont val="Tahoma"/>
            <family val="2"/>
          </rPr>
          <t>Flocculent galaxy with dark lanes running throughout disk</t>
        </r>
      </text>
    </comment>
    <comment ref="A2071" authorId="0" shapeId="0" xr:uid="{063E1764-7427-4575-A27F-7ABDD1A42CD7}">
      <text>
        <r>
          <rPr>
            <sz val="9"/>
            <color indexed="81"/>
            <rFont val="Tahoma"/>
            <family val="2"/>
          </rPr>
          <t xml:space="preserve">
</t>
        </r>
      </text>
    </comment>
    <comment ref="K2071" authorId="0" shapeId="0" xr:uid="{FE557F44-4312-41A2-99E1-323F76A4EEEA}">
      <text>
        <r>
          <rPr>
            <sz val="9"/>
            <color indexed="81"/>
            <rFont val="Tahoma"/>
            <family val="2"/>
          </rPr>
          <t>Lenticular galaxy with small core and some dust lanes visible</t>
        </r>
      </text>
    </comment>
    <comment ref="A2072" authorId="0" shapeId="0" xr:uid="{6F5598CB-6579-450B-805A-48A15094AA50}">
      <text>
        <r>
          <rPr>
            <sz val="9"/>
            <color indexed="81"/>
            <rFont val="Tahoma"/>
            <family val="2"/>
          </rPr>
          <t xml:space="preserve">
</t>
        </r>
      </text>
    </comment>
    <comment ref="K2072" authorId="0" shapeId="0" xr:uid="{A1D24C45-C910-449C-A54C-B713A2562450}">
      <text>
        <r>
          <rPr>
            <sz val="9"/>
            <color indexed="81"/>
            <rFont val="Tahoma"/>
            <family val="2"/>
          </rPr>
          <t>Small blue ill-defined BCD galaxy</t>
        </r>
      </text>
    </comment>
    <comment ref="A2073" authorId="0" shapeId="0" xr:uid="{3F992738-CF74-473F-B23E-F4404C759146}">
      <text>
        <r>
          <rPr>
            <sz val="9"/>
            <color indexed="81"/>
            <rFont val="Tahoma"/>
            <family val="2"/>
          </rPr>
          <t xml:space="preserve">
</t>
        </r>
      </text>
    </comment>
    <comment ref="K2073" authorId="0" shapeId="0" xr:uid="{E0B6CBE2-186D-44C4-A883-B2C9B7E19801}">
      <text>
        <r>
          <rPr>
            <sz val="9"/>
            <color indexed="81"/>
            <rFont val="Tahoma"/>
            <family val="2"/>
          </rPr>
          <t>Barred grand design spiral with blue star clouds, HII regions, and VV rows</t>
        </r>
      </text>
    </comment>
    <comment ref="A2074" authorId="0" shapeId="0" xr:uid="{14F7BF7D-DB37-4344-BDBE-4ADE2116C926}">
      <text>
        <r>
          <rPr>
            <sz val="9"/>
            <color indexed="81"/>
            <rFont val="Tahoma"/>
            <family val="2"/>
          </rPr>
          <t xml:space="preserve">
</t>
        </r>
      </text>
    </comment>
    <comment ref="K2074" authorId="0" shapeId="0" xr:uid="{16ADF754-5B1A-4B24-A805-EFF333519385}">
      <text>
        <r>
          <rPr>
            <sz val="9"/>
            <color indexed="81"/>
            <rFont val="Tahoma"/>
            <family val="2"/>
          </rPr>
          <t>Barred grand design spiral with dark dust lanes forming an interesting X shape</t>
        </r>
      </text>
    </comment>
    <comment ref="A2075" authorId="0" shapeId="0" xr:uid="{CF89F1D5-3219-4FB1-BA58-01EEBA457F7C}">
      <text>
        <r>
          <rPr>
            <sz val="9"/>
            <color indexed="81"/>
            <rFont val="Tahoma"/>
            <family val="2"/>
          </rPr>
          <t xml:space="preserve">
</t>
        </r>
      </text>
    </comment>
    <comment ref="K2075" authorId="0" shapeId="0" xr:uid="{71E63E35-FEA4-429D-AB3C-B3D31760B683}">
      <text>
        <r>
          <rPr>
            <sz val="9"/>
            <color indexed="81"/>
            <rFont val="Tahoma"/>
            <family val="2"/>
          </rPr>
          <t>Small lenticular in Virgo</t>
        </r>
      </text>
    </comment>
    <comment ref="A2076" authorId="0" shapeId="0" xr:uid="{EFA02565-8F41-4587-9A15-43246ECD8475}">
      <text>
        <r>
          <rPr>
            <sz val="9"/>
            <color indexed="81"/>
            <rFont val="Tahoma"/>
            <family val="2"/>
          </rPr>
          <t xml:space="preserve">
</t>
        </r>
      </text>
    </comment>
    <comment ref="K2076" authorId="0" shapeId="0" xr:uid="{258ABB4F-F9C0-4A2E-85D1-E4B419B100E8}">
      <text>
        <r>
          <rPr>
            <sz val="9"/>
            <color indexed="81"/>
            <rFont val="Tahoma"/>
            <family val="2"/>
          </rPr>
          <t>Nice pairing of small lenticular with small elliptical in Virgo, both similar distance away</t>
        </r>
      </text>
    </comment>
    <comment ref="A2077" authorId="0" shapeId="0" xr:uid="{45125524-EEC3-4B47-95BE-EF2E846B54A9}">
      <text>
        <r>
          <rPr>
            <sz val="9"/>
            <color indexed="81"/>
            <rFont val="Tahoma"/>
            <family val="2"/>
          </rPr>
          <t xml:space="preserve">
</t>
        </r>
      </text>
    </comment>
    <comment ref="K2077" authorId="0" shapeId="0" xr:uid="{FE4808EE-A003-4220-B160-6A41F0AEF6EA}">
      <text>
        <r>
          <rPr>
            <sz val="9"/>
            <color indexed="81"/>
            <rFont val="Tahoma"/>
            <family val="2"/>
          </rPr>
          <t>Barred spiral with asymmetric disk and many star clouds</t>
        </r>
      </text>
    </comment>
    <comment ref="A2078" authorId="0" shapeId="0" xr:uid="{D88F887A-7656-4E2A-A7D9-9002F27728E4}">
      <text>
        <r>
          <rPr>
            <sz val="9"/>
            <color indexed="81"/>
            <rFont val="Tahoma"/>
            <family val="2"/>
          </rPr>
          <t xml:space="preserve">
</t>
        </r>
      </text>
    </comment>
    <comment ref="K2078" authorId="0" shapeId="0" xr:uid="{0BC852D7-EBE9-4C43-9F4A-40EAE3799825}">
      <text>
        <r>
          <rPr>
            <sz val="9"/>
            <color indexed="81"/>
            <rFont val="Tahoma"/>
            <family val="2"/>
          </rPr>
          <t>Wonderful edge-on spiral with 3D dust lanes, peanut shaped core, little bulge, and some disk warping</t>
        </r>
      </text>
    </comment>
    <comment ref="A2079" authorId="0" shapeId="0" xr:uid="{67A39AD1-4EB5-4E98-81E8-F2FAAF998052}">
      <text>
        <r>
          <rPr>
            <sz val="9"/>
            <color indexed="81"/>
            <rFont val="Tahoma"/>
            <family val="2"/>
          </rPr>
          <t xml:space="preserve">
</t>
        </r>
      </text>
    </comment>
    <comment ref="K2079" authorId="0" shapeId="0" xr:uid="{53132E93-B695-4F21-98A3-F1758D3DFC4A}">
      <text>
        <r>
          <rPr>
            <sz val="9"/>
            <color indexed="81"/>
            <rFont val="Tahoma"/>
            <family val="2"/>
          </rPr>
          <t>Lovely overlapping blue and yellow galaxies that do not appear to be interacting</t>
        </r>
      </text>
    </comment>
    <comment ref="A2080" authorId="0" shapeId="0" xr:uid="{4C4A83BC-C794-4B68-BF0E-1A50FAB4456E}">
      <text>
        <r>
          <rPr>
            <sz val="9"/>
            <color indexed="81"/>
            <rFont val="Tahoma"/>
            <family val="2"/>
          </rPr>
          <t xml:space="preserve">
</t>
        </r>
      </text>
    </comment>
    <comment ref="K2080" authorId="0" shapeId="0" xr:uid="{3322CC43-75D5-49AF-9837-1CAFEDB57715}">
      <text>
        <r>
          <rPr>
            <sz val="9"/>
            <color indexed="81"/>
            <rFont val="Tahoma"/>
            <family val="2"/>
          </rPr>
          <t>Edge-on lenticular with core bulge</t>
        </r>
      </text>
    </comment>
    <comment ref="A2081" authorId="0" shapeId="0" xr:uid="{FA71E877-0E0A-482F-9CC6-F2FBA4F16A3F}">
      <text>
        <r>
          <rPr>
            <sz val="9"/>
            <color indexed="81"/>
            <rFont val="Tahoma"/>
            <family val="2"/>
          </rPr>
          <t xml:space="preserve">
</t>
        </r>
      </text>
    </comment>
    <comment ref="K2081" authorId="0" shapeId="0" xr:uid="{74706979-E477-45B3-98ED-BEAB8A91884D}">
      <text>
        <r>
          <rPr>
            <sz val="9"/>
            <color indexed="81"/>
            <rFont val="Tahoma"/>
            <family val="2"/>
          </rPr>
          <t>Symmetric grand design spiral with blue star clouds and inner pseudo-ring</t>
        </r>
      </text>
    </comment>
    <comment ref="A2082" authorId="0" shapeId="0" xr:uid="{11E33EC8-403B-4ED4-8750-F3FFAC0936AD}">
      <text>
        <r>
          <rPr>
            <sz val="9"/>
            <color indexed="81"/>
            <rFont val="Tahoma"/>
            <family val="2"/>
          </rPr>
          <t xml:space="preserve">
</t>
        </r>
      </text>
    </comment>
    <comment ref="K2082" authorId="0" shapeId="0" xr:uid="{07CDCF28-3FDC-4CB2-9208-1463FC40B526}">
      <text>
        <r>
          <rPr>
            <sz val="9"/>
            <color indexed="81"/>
            <rFont val="Tahoma"/>
            <family val="2"/>
          </rPr>
          <t>Seyfert barred spiral with VV rows and inner pseudo-ring.  Image with NGC 4602</t>
        </r>
      </text>
    </comment>
    <comment ref="A2083" authorId="0" shapeId="0" xr:uid="{4FD7687D-3908-4DBF-A037-017538F9B839}">
      <text>
        <r>
          <rPr>
            <sz val="9"/>
            <color indexed="81"/>
            <rFont val="Tahoma"/>
            <family val="2"/>
          </rPr>
          <t xml:space="preserve">
</t>
        </r>
      </text>
    </comment>
    <comment ref="K2083" authorId="0" shapeId="0" xr:uid="{72823C74-7D0D-49A2-9148-840F9449AB7C}">
      <text>
        <r>
          <rPr>
            <sz val="9"/>
            <color indexed="81"/>
            <rFont val="Tahoma"/>
            <family val="2"/>
          </rPr>
          <t>Barred lenticular, close to face-on, with barlens and ansae</t>
        </r>
      </text>
    </comment>
    <comment ref="A2084" authorId="0" shapeId="0" xr:uid="{D91A8675-F35A-4936-99C5-85DEF9293AAB}">
      <text>
        <r>
          <rPr>
            <sz val="9"/>
            <color indexed="81"/>
            <rFont val="Tahoma"/>
            <family val="2"/>
          </rPr>
          <t xml:space="preserve">
</t>
        </r>
      </text>
    </comment>
    <comment ref="K2084" authorId="0" shapeId="0" xr:uid="{5B344E3A-8207-4AE3-BDEB-9AF2F0D42BA9}">
      <text>
        <r>
          <rPr>
            <sz val="9"/>
            <color indexed="81"/>
            <rFont val="Tahoma"/>
            <family val="2"/>
          </rPr>
          <t>Seyfert grand design barred spiral.  Image with NGC4593</t>
        </r>
      </text>
    </comment>
    <comment ref="A2085" authorId="0" shapeId="0" xr:uid="{AA63A9B7-E075-46E3-9711-DB3D50CC2010}">
      <text>
        <r>
          <rPr>
            <sz val="9"/>
            <color indexed="81"/>
            <rFont val="Tahoma"/>
            <family val="2"/>
          </rPr>
          <t xml:space="preserve">
</t>
        </r>
      </text>
    </comment>
    <comment ref="K2085" authorId="0" shapeId="0" xr:uid="{2D0F6163-65B9-480A-B789-B15B8F262981}">
      <text>
        <r>
          <rPr>
            <sz val="9"/>
            <color indexed="81"/>
            <rFont val="Tahoma"/>
            <family val="2"/>
          </rPr>
          <t>Small Magellanic spiral, with dust lanes roaming amongst bright star clusters, all enveloped in hazy outer star cloud</t>
        </r>
      </text>
    </comment>
    <comment ref="A2086" authorId="0" shapeId="0" xr:uid="{B3DDC001-A62A-439E-91A9-A55018168B7B}">
      <text>
        <r>
          <rPr>
            <sz val="9"/>
            <color indexed="81"/>
            <rFont val="Tahoma"/>
            <family val="2"/>
          </rPr>
          <t xml:space="preserve">
</t>
        </r>
      </text>
    </comment>
    <comment ref="K2086" authorId="0" shapeId="0" xr:uid="{D43DC5BC-B339-4D26-B49A-81EDB67A8C8A}">
      <text>
        <r>
          <rPr>
            <sz val="9"/>
            <color indexed="81"/>
            <rFont val="Tahoma"/>
            <family val="2"/>
          </rPr>
          <t>Barred lenticular, close to face-on, with barlens and inner ring</t>
        </r>
      </text>
    </comment>
    <comment ref="A2087" authorId="0" shapeId="0" xr:uid="{721C9892-E0F2-4AD5-AD7F-AC675D634946}">
      <text>
        <r>
          <rPr>
            <sz val="9"/>
            <color indexed="81"/>
            <rFont val="Tahoma"/>
            <family val="2"/>
          </rPr>
          <t xml:space="preserve">
</t>
        </r>
      </text>
    </comment>
    <comment ref="K2087" authorId="0" shapeId="0" xr:uid="{989A6878-20B8-435C-BADE-5664951FA989}">
      <text>
        <r>
          <rPr>
            <sz val="9"/>
            <color indexed="81"/>
            <rFont val="Tahoma"/>
            <family val="2"/>
          </rPr>
          <t>Arrow-shaped open cluster just northwest of bright 5.3 mag blue star HD 110432</t>
        </r>
      </text>
    </comment>
    <comment ref="A2088" authorId="0" shapeId="0" xr:uid="{B6CEE691-397A-42BD-BF55-EB2E37D56DB0}">
      <text>
        <r>
          <rPr>
            <sz val="9"/>
            <color indexed="81"/>
            <rFont val="Tahoma"/>
            <family val="2"/>
          </rPr>
          <t xml:space="preserve">
</t>
        </r>
      </text>
    </comment>
    <comment ref="K2088" authorId="0" shapeId="0" xr:uid="{0D329987-8EC8-4E45-BBBF-7010AC6E96BE}">
      <text>
        <r>
          <rPr>
            <sz val="9"/>
            <color indexed="81"/>
            <rFont val="Tahoma"/>
            <family val="2"/>
          </rPr>
          <t>Edge-on lenticular with core bulge</t>
        </r>
      </text>
    </comment>
    <comment ref="A2089" authorId="0" shapeId="0" xr:uid="{DDF5A21A-C285-4E5B-BB67-59276DF1CAF9}">
      <text>
        <r>
          <rPr>
            <sz val="9"/>
            <color indexed="81"/>
            <rFont val="Tahoma"/>
            <family val="2"/>
          </rPr>
          <t xml:space="preserve">
</t>
        </r>
      </text>
    </comment>
    <comment ref="K2089" authorId="0" shapeId="0" xr:uid="{027AEF49-23B4-4E9A-8920-E98A3AB691E5}">
      <text>
        <r>
          <rPr>
            <sz val="9"/>
            <color indexed="81"/>
            <rFont val="Tahoma"/>
            <family val="2"/>
          </rPr>
          <t>ARP: INFILL &amp; ATTRACTION - Showcase colorful galaxy with bridged companion  Image with NGC 4656</t>
        </r>
      </text>
    </comment>
    <comment ref="A2090" authorId="0" shapeId="0" xr:uid="{E65AF2F1-9BBC-4BC8-A9DA-AAAA3D1C1729}">
      <text>
        <r>
          <rPr>
            <sz val="9"/>
            <color indexed="81"/>
            <rFont val="Tahoma"/>
            <family val="2"/>
          </rPr>
          <t xml:space="preserve">
</t>
        </r>
      </text>
    </comment>
    <comment ref="K2090" authorId="0" shapeId="0" xr:uid="{8E7FA8F6-0842-40FA-A071-4EFE95EBD012}">
      <text>
        <r>
          <rPr>
            <sz val="9"/>
            <color indexed="81"/>
            <rFont val="Tahoma"/>
            <family val="2"/>
          </rPr>
          <t>Featureless elliptical galaxy</t>
        </r>
      </text>
    </comment>
    <comment ref="A2091" authorId="0" shapeId="0" xr:uid="{E605284C-96A8-441F-9A49-CC560E6CCA83}">
      <text>
        <r>
          <rPr>
            <sz val="9"/>
            <color indexed="81"/>
            <rFont val="Tahoma"/>
            <family val="2"/>
          </rPr>
          <t xml:space="preserve">
</t>
        </r>
      </text>
    </comment>
    <comment ref="K2091" authorId="0" shapeId="0" xr:uid="{FDA1B437-6367-4D2A-AA6F-745A3C892A01}">
      <text>
        <r>
          <rPr>
            <sz val="9"/>
            <color indexed="81"/>
            <rFont val="Tahoma"/>
            <family val="2"/>
          </rPr>
          <t>Barred spiral with inner pseudo-ring and ansae.  Image with NGC 4654</t>
        </r>
      </text>
    </comment>
    <comment ref="A2092" authorId="0" shapeId="0" xr:uid="{720EA3C6-0D4E-44F0-8D69-0974DC307F8C}">
      <text>
        <r>
          <rPr>
            <sz val="9"/>
            <color indexed="81"/>
            <rFont val="Tahoma"/>
            <family val="2"/>
          </rPr>
          <t xml:space="preserve">
</t>
        </r>
      </text>
    </comment>
    <comment ref="K2092" authorId="0" shapeId="0" xr:uid="{C21DC7A8-637A-45BC-93B8-C085B96D57F3}">
      <text>
        <r>
          <rPr>
            <sz val="9"/>
            <color indexed="81"/>
            <rFont val="Tahoma"/>
            <family val="2"/>
          </rPr>
          <t>Barred lenticular galaxy with barlens and ansae</t>
        </r>
      </text>
    </comment>
    <comment ref="A2093" authorId="0" shapeId="0" xr:uid="{654E22B9-1F9A-4E9A-90A4-96E4A837DE1C}">
      <text>
        <r>
          <rPr>
            <sz val="9"/>
            <color indexed="81"/>
            <rFont val="Tahoma"/>
            <family val="2"/>
          </rPr>
          <t xml:space="preserve">
</t>
        </r>
      </text>
    </comment>
    <comment ref="K2093" authorId="0" shapeId="0" xr:uid="{EE3E2B6B-1A4C-4774-A697-6DB67A7BEDD7}">
      <text>
        <r>
          <rPr>
            <sz val="9"/>
            <color indexed="81"/>
            <rFont val="Tahoma"/>
            <family val="2"/>
          </rPr>
          <t>Barred spiral with star clouds, HII regions and VV rows. Image with NGC 4639</t>
        </r>
      </text>
    </comment>
    <comment ref="A2094" authorId="0" shapeId="0" xr:uid="{E6CBAC48-FCF6-4196-9D34-6D2AED1B98D0}">
      <text>
        <r>
          <rPr>
            <sz val="9"/>
            <color indexed="81"/>
            <rFont val="Tahoma"/>
            <family val="2"/>
          </rPr>
          <t xml:space="preserve">
</t>
        </r>
      </text>
    </comment>
    <comment ref="K2094" authorId="0" shapeId="0" xr:uid="{3D836C8F-8DD6-479D-8638-28C230D1AF43}">
      <text>
        <r>
          <rPr>
            <sz val="9"/>
            <color indexed="81"/>
            <rFont val="Tahoma"/>
            <family val="2"/>
          </rPr>
          <t>Edge-on spiral with tremendous star formation and many blue star clouds.  Image with NGC 4631</t>
        </r>
      </text>
    </comment>
    <comment ref="A2095" authorId="0" shapeId="0" xr:uid="{8AFE374A-00CE-4BD0-BAC7-A42A5EB99CF0}">
      <text>
        <r>
          <rPr>
            <sz val="9"/>
            <color indexed="81"/>
            <rFont val="Tahoma"/>
            <family val="2"/>
          </rPr>
          <t xml:space="preserve">
</t>
        </r>
      </text>
    </comment>
    <comment ref="K2095" authorId="0" shapeId="0" xr:uid="{CC048885-65E7-41BA-8B7E-7D465F0EDCA2}">
      <text>
        <r>
          <rPr>
            <sz val="9"/>
            <color indexed="81"/>
            <rFont val="Tahoma"/>
            <family val="2"/>
          </rPr>
          <t>Small spiral galaxy in Virgo</t>
        </r>
      </text>
    </comment>
    <comment ref="A2096" authorId="0" shapeId="0" xr:uid="{19EBD018-3F56-4394-900E-11812569BBE7}">
      <text>
        <r>
          <rPr>
            <sz val="9"/>
            <color indexed="81"/>
            <rFont val="Tahoma"/>
            <family val="2"/>
          </rPr>
          <t xml:space="preserve">
</t>
        </r>
      </text>
    </comment>
    <comment ref="K2096" authorId="0" shapeId="0" xr:uid="{24C1A6ED-C6CC-4231-B239-31CC44644FA8}">
      <text>
        <r>
          <rPr>
            <sz val="9"/>
            <color indexed="81"/>
            <rFont val="Tahoma"/>
            <family val="2"/>
          </rPr>
          <t>Barred lenticular with barlens, inner ring and extremely faint outer disk</t>
        </r>
      </text>
    </comment>
    <comment ref="A2097" authorId="0" shapeId="0" xr:uid="{E1385849-8164-4B36-9393-C25602967212}">
      <text>
        <r>
          <rPr>
            <sz val="9"/>
            <color indexed="81"/>
            <rFont val="Tahoma"/>
            <family val="2"/>
          </rPr>
          <t xml:space="preserve">
</t>
        </r>
      </text>
    </comment>
    <comment ref="K2097" authorId="0" shapeId="0" xr:uid="{882EF868-781D-478F-9D9F-066DFA1C735D}">
      <text>
        <r>
          <rPr>
            <sz val="9"/>
            <color indexed="81"/>
            <rFont val="Tahoma"/>
            <family val="2"/>
          </rPr>
          <t>Barred starburst spiral galaxy, close to edge-on, with no bulge, mottled disk, complex dust lanes, and blue star clouds.</t>
        </r>
      </text>
    </comment>
    <comment ref="A2098" authorId="0" shapeId="0" xr:uid="{B6189EFA-E5B5-4450-B108-5B1ABFA23CC5}">
      <text>
        <r>
          <rPr>
            <sz val="9"/>
            <color indexed="81"/>
            <rFont val="Tahoma"/>
            <family val="2"/>
          </rPr>
          <t xml:space="preserve">
</t>
        </r>
      </text>
    </comment>
    <comment ref="K2098" authorId="0" shapeId="0" xr:uid="{0D6A421D-9830-4FD6-AE2C-B4ABD4EB2EE3}">
      <text>
        <r>
          <rPr>
            <sz val="9"/>
            <color indexed="81"/>
            <rFont val="Tahoma"/>
            <family val="2"/>
          </rPr>
          <t>LSB galaxy with 2 faint concentric rings, which are actually closer to being hexagons and resembling VV rows</t>
        </r>
      </text>
    </comment>
    <comment ref="A2099" authorId="0" shapeId="0" xr:uid="{03D9F66B-A931-43D0-A10A-BECE2945DD21}">
      <text>
        <r>
          <rPr>
            <sz val="9"/>
            <color indexed="81"/>
            <rFont val="Tahoma"/>
            <family val="2"/>
          </rPr>
          <t xml:space="preserve">
</t>
        </r>
      </text>
    </comment>
    <comment ref="K2099" authorId="0" shapeId="0" xr:uid="{D7F775EB-19B8-45E5-A218-46539F220D15}">
      <text>
        <r>
          <rPr>
            <sz val="9"/>
            <color indexed="81"/>
            <rFont val="Tahoma"/>
            <family val="2"/>
          </rPr>
          <t>Galaxy is undergoing active star formation.  The core consists of 4 tiny bright areas near the center of the bar.</t>
        </r>
      </text>
    </comment>
    <comment ref="A2100" authorId="0" shapeId="0" xr:uid="{D476E207-FA17-4936-BE85-6D79B8AB0CFC}">
      <text>
        <r>
          <rPr>
            <sz val="9"/>
            <color indexed="81"/>
            <rFont val="Tahoma"/>
            <family val="2"/>
          </rPr>
          <t xml:space="preserve">
</t>
        </r>
      </text>
    </comment>
    <comment ref="K2100" authorId="0" shapeId="0" xr:uid="{00F04F6A-CFDC-45D7-A149-07EC0ED4DC28}">
      <text>
        <r>
          <rPr>
            <sz val="9"/>
            <color indexed="81"/>
            <rFont val="Tahoma"/>
            <family val="2"/>
          </rPr>
          <t>Originally thought to be an elliptical, but now believed to be a lenticular, close to edge-on</t>
        </r>
      </text>
    </comment>
    <comment ref="A2101" authorId="0" shapeId="0" xr:uid="{CAF813E4-CD67-4C2A-804D-7DF4AF3DD48E}">
      <text>
        <r>
          <rPr>
            <sz val="9"/>
            <color indexed="81"/>
            <rFont val="Tahoma"/>
            <family val="2"/>
          </rPr>
          <t xml:space="preserve">
</t>
        </r>
      </text>
    </comment>
    <comment ref="K2101" authorId="0" shapeId="0" xr:uid="{B6AFEB61-C5E5-4972-855B-AB4E45E34842}">
      <text>
        <r>
          <rPr>
            <sz val="9"/>
            <color indexed="81"/>
            <rFont val="Tahoma"/>
            <family val="2"/>
          </rPr>
          <t>Small bright core and fascinating inner lens area, with rings of dust lanes.  Outer disk is very faint</t>
        </r>
      </text>
    </comment>
    <comment ref="A2102" authorId="0" shapeId="0" xr:uid="{36949090-9241-4536-8687-FF1AE43C062F}">
      <text>
        <r>
          <rPr>
            <sz val="9"/>
            <color indexed="81"/>
            <rFont val="Tahoma"/>
            <family val="2"/>
          </rPr>
          <t xml:space="preserve">
</t>
        </r>
      </text>
    </comment>
    <comment ref="K2102" authorId="0" shapeId="0" xr:uid="{3A8B809D-0395-4A45-846A-00BC57B7E05A}">
      <text>
        <r>
          <rPr>
            <sz val="9"/>
            <color indexed="81"/>
            <rFont val="Tahoma"/>
            <family val="2"/>
          </rPr>
          <t>The inner disk has a spiral structure emanating from the central bar, which is a barlens, while the outer disk is flocculent</t>
        </r>
      </text>
    </comment>
    <comment ref="A2103" authorId="0" shapeId="0" xr:uid="{17150DDC-E2F9-415C-AED5-FDC30B622420}">
      <text>
        <r>
          <rPr>
            <sz val="9"/>
            <color indexed="81"/>
            <rFont val="Tahoma"/>
            <family val="2"/>
          </rPr>
          <t xml:space="preserve">
</t>
        </r>
      </text>
    </comment>
    <comment ref="K2103" authorId="0" shapeId="0" xr:uid="{BFC5FFD5-C753-4475-ACD6-35206A7B881C}">
      <text>
        <r>
          <rPr>
            <sz val="9"/>
            <color indexed="81"/>
            <rFont val="Tahoma"/>
            <family val="2"/>
          </rPr>
          <t>Perfect edge-on orientation.  Glowing bulge has distinctive peanut shape (X pattern)</t>
        </r>
      </text>
    </comment>
    <comment ref="A2104" authorId="0" shapeId="0" xr:uid="{04EE2DDC-71D0-421F-B761-8B140613A330}">
      <text>
        <r>
          <rPr>
            <sz val="9"/>
            <color indexed="81"/>
            <rFont val="Tahoma"/>
            <family val="2"/>
          </rPr>
          <t xml:space="preserve">
</t>
        </r>
      </text>
    </comment>
    <comment ref="K2104" authorId="0" shapeId="0" xr:uid="{15ABD37D-F3FA-45A0-A276-8D7F45214D85}">
      <text>
        <r>
          <rPr>
            <sz val="9"/>
            <color indexed="81"/>
            <rFont val="Tahoma"/>
            <family val="2"/>
          </rPr>
          <t>Stunning Seyfert barred galaxy with only 1 very long arm, extending for 2-1/2 revolutions around the core.</t>
        </r>
      </text>
    </comment>
    <comment ref="A2105" authorId="0" shapeId="0" xr:uid="{6B5930DF-8F4F-40DB-92AF-89101C39FC86}">
      <text>
        <r>
          <rPr>
            <sz val="9"/>
            <color indexed="81"/>
            <rFont val="Tahoma"/>
            <family val="2"/>
          </rPr>
          <t xml:space="preserve">
</t>
        </r>
      </text>
    </comment>
    <comment ref="K2105" authorId="0" shapeId="0" xr:uid="{ECDE9787-5B82-43D8-ABC2-50D3F0FE87D3}">
      <text>
        <r>
          <rPr>
            <sz val="9"/>
            <color indexed="81"/>
            <rFont val="Tahoma"/>
            <family val="2"/>
          </rPr>
          <t xml:space="preserve">Barred galaxy has striking integral sign shape, with varying color across the length of the arms and core.  </t>
        </r>
      </text>
    </comment>
    <comment ref="A2106" authorId="0" shapeId="0" xr:uid="{436D69FD-1E71-4162-9E02-D1C94D509C77}">
      <text>
        <r>
          <rPr>
            <sz val="9"/>
            <color indexed="81"/>
            <rFont val="Tahoma"/>
            <family val="2"/>
          </rPr>
          <t xml:space="preserve">
</t>
        </r>
      </text>
    </comment>
    <comment ref="K2106" authorId="0" shapeId="0" xr:uid="{83DAA03A-4423-4EBF-9188-2C3A52695EDA}">
      <text>
        <r>
          <rPr>
            <sz val="9"/>
            <color indexed="81"/>
            <rFont val="Tahoma"/>
            <family val="2"/>
          </rPr>
          <t>Some of the most interesting dust lane patterns of any galaxy in the sky, likely from past mergers</t>
        </r>
      </text>
    </comment>
    <comment ref="A2107" authorId="0" shapeId="0" xr:uid="{C4C6D380-A1D4-409F-9D38-A12AA5D60945}">
      <text>
        <r>
          <rPr>
            <sz val="9"/>
            <color indexed="81"/>
            <rFont val="Tahoma"/>
            <family val="2"/>
          </rPr>
          <t xml:space="preserve">
</t>
        </r>
      </text>
    </comment>
    <comment ref="K2107" authorId="0" shapeId="0" xr:uid="{71E85270-86C1-4412-949C-3B0F8259E1D3}">
      <text>
        <r>
          <rPr>
            <sz val="9"/>
            <color indexed="81"/>
            <rFont val="Tahoma"/>
            <family val="2"/>
          </rPr>
          <t>Barred lenticular with short stubby spiral arms.  Image with NGC 4762</t>
        </r>
      </text>
    </comment>
    <comment ref="A2108" authorId="0" shapeId="0" xr:uid="{23544E92-3F7C-4911-B7E0-D461434FEE9C}">
      <text>
        <r>
          <rPr>
            <sz val="9"/>
            <color indexed="81"/>
            <rFont val="Tahoma"/>
            <family val="2"/>
          </rPr>
          <t xml:space="preserve">
</t>
        </r>
      </text>
    </comment>
    <comment ref="K2108" authorId="0" shapeId="0" xr:uid="{BF356DCB-ACB4-4984-A341-2973B80E4306}">
      <text>
        <r>
          <rPr>
            <sz val="9"/>
            <color indexed="81"/>
            <rFont val="Tahoma"/>
            <family val="2"/>
          </rPr>
          <t>Brilliant open cluster with a variety of star magnitudes</t>
        </r>
      </text>
    </comment>
    <comment ref="A2109" authorId="0" shapeId="0" xr:uid="{8F3927C9-1422-4D2F-B957-8F7FD15B047C}">
      <text>
        <r>
          <rPr>
            <sz val="9"/>
            <color indexed="81"/>
            <rFont val="Tahoma"/>
            <family val="2"/>
          </rPr>
          <t xml:space="preserve">
</t>
        </r>
      </text>
    </comment>
    <comment ref="K2109" authorId="0" shapeId="0" xr:uid="{6C1C7EF7-CD08-4A58-87D1-EAB24AF935A0}">
      <text>
        <r>
          <rPr>
            <sz val="9"/>
            <color indexed="81"/>
            <rFont val="Tahoma"/>
            <family val="2"/>
          </rPr>
          <t>The flattest galaxy in the universe.  Significant disk warping.  Image with NGC 4754</t>
        </r>
      </text>
    </comment>
    <comment ref="A2110" authorId="0" shapeId="0" xr:uid="{C296A77C-FE30-4710-8CC4-F927AC87DED1}">
      <text>
        <r>
          <rPr>
            <sz val="9"/>
            <color indexed="81"/>
            <rFont val="Tahoma"/>
            <family val="2"/>
          </rPr>
          <t xml:space="preserve">
</t>
        </r>
      </text>
    </comment>
    <comment ref="K2110" authorId="0" shapeId="0" xr:uid="{3C4800C5-89FE-4968-A80A-3AE29E622D17}">
      <text>
        <r>
          <rPr>
            <sz val="9"/>
            <color indexed="81"/>
            <rFont val="Tahoma"/>
            <family val="2"/>
          </rPr>
          <t xml:space="preserve">Collision ring galaxy plus the dwarf galaxy that caused the impact, with a short star stream between them.  </t>
        </r>
      </text>
    </comment>
    <comment ref="A2111" authorId="0" shapeId="0" xr:uid="{44D56904-ED6D-46E0-A078-ED3CB06CFDA7}">
      <text>
        <r>
          <rPr>
            <sz val="9"/>
            <color indexed="81"/>
            <rFont val="Tahoma"/>
            <family val="2"/>
          </rPr>
          <t xml:space="preserve">
</t>
        </r>
      </text>
    </comment>
    <comment ref="K2111" authorId="0" shapeId="0" xr:uid="{26FCE0CA-AF5B-4D9B-A0BA-853DA04A4580}">
      <text>
        <r>
          <rPr>
            <sz val="9"/>
            <color indexed="81"/>
            <rFont val="Tahoma"/>
            <family val="2"/>
          </rPr>
          <t>Barred spiral with poorly defined arm structure</t>
        </r>
      </text>
    </comment>
    <comment ref="A2112" authorId="0" shapeId="0" xr:uid="{797D0A36-45AA-4C30-A37E-E8C83CEDBF17}">
      <text>
        <r>
          <rPr>
            <sz val="9"/>
            <color indexed="81"/>
            <rFont val="Tahoma"/>
            <family val="2"/>
          </rPr>
          <t xml:space="preserve">
</t>
        </r>
      </text>
    </comment>
    <comment ref="K2112" authorId="0" shapeId="0" xr:uid="{A75F1717-9412-4E40-9434-E7EACF839FFA}">
      <text>
        <r>
          <rPr>
            <sz val="9"/>
            <color indexed="81"/>
            <rFont val="Tahoma"/>
            <family val="2"/>
          </rPr>
          <t>Intense red star-forming nuclear ring surrounds small yellow core.  Blue star clouds in disk.  Arm structure diffuse</t>
        </r>
      </text>
    </comment>
    <comment ref="A2113" authorId="0" shapeId="0" xr:uid="{D555507F-7623-4C9D-9B9F-4B8832935FF6}">
      <text>
        <r>
          <rPr>
            <sz val="9"/>
            <color indexed="81"/>
            <rFont val="Tahoma"/>
            <family val="2"/>
          </rPr>
          <t xml:space="preserve">
</t>
        </r>
      </text>
    </comment>
    <comment ref="K2113" authorId="0" shapeId="0" xr:uid="{1CFCE6AD-1AAA-4486-AA7E-28896BA37062}">
      <text>
        <r>
          <rPr>
            <sz val="9"/>
            <color indexed="81"/>
            <rFont val="Tahoma"/>
            <family val="2"/>
          </rPr>
          <t>Starburst barred spiral with diffuse disk</t>
        </r>
      </text>
    </comment>
    <comment ref="A2114" authorId="0" shapeId="0" xr:uid="{02CA48D7-85DC-41A5-B656-89322FE2CA88}">
      <text>
        <r>
          <rPr>
            <sz val="9"/>
            <color indexed="81"/>
            <rFont val="Tahoma"/>
            <family val="2"/>
          </rPr>
          <t xml:space="preserve">
</t>
        </r>
      </text>
    </comment>
    <comment ref="K2114" authorId="0" shapeId="0" xr:uid="{A6C06C06-381B-48A7-9390-B7E9C9FD677B}">
      <text>
        <r>
          <rPr>
            <sz val="9"/>
            <color indexed="81"/>
            <rFont val="Tahoma"/>
            <family val="2"/>
          </rPr>
          <t>Excellent distributions of color and magnitude in this globular cluster</t>
        </r>
      </text>
    </comment>
    <comment ref="A2115" authorId="0" shapeId="0" xr:uid="{DFFD1507-3EA9-4ABA-8DDF-2D742861848D}">
      <text>
        <r>
          <rPr>
            <sz val="9"/>
            <color indexed="81"/>
            <rFont val="Tahoma"/>
            <family val="2"/>
          </rPr>
          <t xml:space="preserve">
</t>
        </r>
      </text>
    </comment>
    <comment ref="K2115" authorId="0" shapeId="0" xr:uid="{0650443D-35F7-4336-8B56-C2209CD92811}">
      <text>
        <r>
          <rPr>
            <sz val="9"/>
            <color indexed="81"/>
            <rFont val="Tahoma"/>
            <family val="2"/>
          </rPr>
          <t>Lenticular with tremendous dust lane structure in inner disk</t>
        </r>
      </text>
    </comment>
    <comment ref="A2116" authorId="0" shapeId="0" xr:uid="{E94C0FF3-12BB-46ED-A9B8-F835655AA326}">
      <text>
        <r>
          <rPr>
            <sz val="9"/>
            <color indexed="81"/>
            <rFont val="Tahoma"/>
            <family val="2"/>
          </rPr>
          <t xml:space="preserve">
</t>
        </r>
      </text>
    </comment>
    <comment ref="K2116" authorId="0" shapeId="0" xr:uid="{E6CE7C54-FD79-4620-85DA-1D05641601E1}">
      <text>
        <r>
          <rPr>
            <sz val="9"/>
            <color indexed="81"/>
            <rFont val="Tahoma"/>
            <family val="2"/>
          </rPr>
          <t>Barred lenticular with barlens and ansae, numerous foreground stars</t>
        </r>
      </text>
    </comment>
    <comment ref="A2117" authorId="0" shapeId="0" xr:uid="{98832F2E-771A-45C0-B71E-A6A28C9C5E43}">
      <text>
        <r>
          <rPr>
            <sz val="9"/>
            <color indexed="81"/>
            <rFont val="Tahoma"/>
            <family val="2"/>
          </rPr>
          <t xml:space="preserve">
</t>
        </r>
      </text>
    </comment>
    <comment ref="K2117" authorId="0" shapeId="0" xr:uid="{D8EB2257-853E-4669-B02C-6F8BD446E525}">
      <text>
        <r>
          <rPr>
            <sz val="9"/>
            <color indexed="81"/>
            <rFont val="Tahoma"/>
            <family val="2"/>
          </rPr>
          <t>Lenticular with small core and star-forming ring around inner region</t>
        </r>
      </text>
    </comment>
    <comment ref="A2118" authorId="0" shapeId="0" xr:uid="{E349BDCB-8973-4F47-B834-50196ADE9238}">
      <text>
        <r>
          <rPr>
            <sz val="9"/>
            <color indexed="81"/>
            <rFont val="Tahoma"/>
            <family val="2"/>
          </rPr>
          <t xml:space="preserve">
</t>
        </r>
      </text>
    </comment>
    <comment ref="K2118" authorId="0" shapeId="0" xr:uid="{E9BB506F-A522-482E-AC2B-C30D9F93948E}">
      <text>
        <r>
          <rPr>
            <sz val="9"/>
            <color indexed="81"/>
            <rFont val="Tahoma"/>
            <family val="2"/>
          </rPr>
          <t>Barred face-on small spiral with poorly defined arm structure</t>
        </r>
      </text>
    </comment>
    <comment ref="A2119" authorId="0" shapeId="0" xr:uid="{8C249D4F-17DE-4BFB-A60B-EC9AD6E3F036}">
      <text>
        <r>
          <rPr>
            <sz val="9"/>
            <color indexed="81"/>
            <rFont val="Tahoma"/>
            <family val="2"/>
          </rPr>
          <t xml:space="preserve">
</t>
        </r>
      </text>
    </comment>
    <comment ref="K2119" authorId="0" shapeId="0" xr:uid="{5251355C-25C0-4F25-A874-C162C89DD35D}">
      <text>
        <r>
          <rPr>
            <sz val="9"/>
            <color indexed="81"/>
            <rFont val="Tahoma"/>
            <family val="2"/>
          </rPr>
          <t>Unusual Hoag-type ring galaxy</t>
        </r>
      </text>
    </comment>
    <comment ref="A2120" authorId="0" shapeId="0" xr:uid="{315A9643-D873-4253-AC27-E847216A276A}">
      <text>
        <r>
          <rPr>
            <sz val="9"/>
            <color indexed="81"/>
            <rFont val="Tahoma"/>
            <family val="2"/>
          </rPr>
          <t xml:space="preserve">
</t>
        </r>
      </text>
    </comment>
    <comment ref="K2120" authorId="0" shapeId="0" xr:uid="{0CDEB6DB-33B1-4888-8333-83B883A0A312}">
      <text>
        <r>
          <rPr>
            <sz val="9"/>
            <color indexed="81"/>
            <rFont val="Tahoma"/>
            <family val="2"/>
          </rPr>
          <t>Eastern part of Coma Cluster</t>
        </r>
      </text>
    </comment>
    <comment ref="A2121" authorId="0" shapeId="0" xr:uid="{ED5AC354-31B9-491C-A5D0-4E928508EFD4}">
      <text>
        <r>
          <rPr>
            <sz val="9"/>
            <color indexed="81"/>
            <rFont val="Tahoma"/>
            <family val="2"/>
          </rPr>
          <t xml:space="preserve">
</t>
        </r>
      </text>
    </comment>
    <comment ref="K2121" authorId="0" shapeId="0" xr:uid="{28D75B9D-1755-4EA7-9C7B-2497004F9B26}">
      <text>
        <r>
          <rPr>
            <sz val="9"/>
            <color indexed="81"/>
            <rFont val="Tahoma"/>
            <family val="2"/>
          </rPr>
          <t>Mid-stage merger, with galaxy disks touching, cores still separate, and tails</t>
        </r>
      </text>
    </comment>
    <comment ref="A2122" authorId="0" shapeId="0" xr:uid="{EDF0EC65-E7F2-473F-9F79-70252FAAA0A2}">
      <text>
        <r>
          <rPr>
            <sz val="9"/>
            <color indexed="81"/>
            <rFont val="Tahoma"/>
            <family val="2"/>
          </rPr>
          <t xml:space="preserve">
</t>
        </r>
      </text>
    </comment>
    <comment ref="K2122" authorId="0" shapeId="0" xr:uid="{2ECBBDE5-7A9D-4208-829E-430D5550AB43}">
      <text>
        <r>
          <rPr>
            <sz val="9"/>
            <color indexed="81"/>
            <rFont val="Tahoma"/>
            <family val="2"/>
          </rPr>
          <t>Faint barred grand design galaxy, with 2 distinct arms emanating from each end of the bar and extending for 1 rotation</t>
        </r>
      </text>
    </comment>
    <comment ref="A2123" authorId="0" shapeId="0" xr:uid="{5CB119D8-599E-4AEA-904D-D221EFE9B666}">
      <text>
        <r>
          <rPr>
            <sz val="9"/>
            <color indexed="81"/>
            <rFont val="Tahoma"/>
            <family val="2"/>
          </rPr>
          <t xml:space="preserve">
</t>
        </r>
      </text>
    </comment>
    <comment ref="K2123" authorId="0" shapeId="0" xr:uid="{CB246C9D-9289-476A-AB8C-5E0B1693EA73}">
      <text>
        <r>
          <rPr>
            <sz val="9"/>
            <color indexed="81"/>
            <rFont val="Tahoma"/>
            <family val="2"/>
          </rPr>
          <t>Large grand design galaxy whose arms appear to make 2 revolutions around the core</t>
        </r>
      </text>
    </comment>
    <comment ref="A2124" authorId="0" shapeId="0" xr:uid="{BDAAB4E3-4B27-45C4-AC33-85062E89030E}">
      <text>
        <r>
          <rPr>
            <sz val="9"/>
            <color indexed="81"/>
            <rFont val="Tahoma"/>
            <family val="2"/>
          </rPr>
          <t xml:space="preserve">
</t>
        </r>
      </text>
    </comment>
    <comment ref="K2124" authorId="0" shapeId="0" xr:uid="{1717882A-7D39-42EE-A0A3-A9DED767A5A8}">
      <text>
        <r>
          <rPr>
            <sz val="9"/>
            <color indexed="81"/>
            <rFont val="Tahoma"/>
            <family val="2"/>
          </rPr>
          <t>Seyfert edge-on spiral with lovely dark lanes</t>
        </r>
      </text>
    </comment>
    <comment ref="A2125" authorId="0" shapeId="0" xr:uid="{BFEBF22A-DAE4-44E1-8505-426490497DF5}">
      <text>
        <r>
          <rPr>
            <sz val="9"/>
            <color indexed="81"/>
            <rFont val="Tahoma"/>
            <family val="2"/>
          </rPr>
          <t xml:space="preserve">
</t>
        </r>
      </text>
    </comment>
    <comment ref="K2125" authorId="0" shapeId="0" xr:uid="{79614484-FC5A-476A-AA45-FF7CE95CEE4D}">
      <text>
        <r>
          <rPr>
            <sz val="9"/>
            <color indexed="81"/>
            <rFont val="Tahoma"/>
            <family val="2"/>
          </rPr>
          <t>Edge-on barred lenticular with slight disk warp</t>
        </r>
      </text>
    </comment>
    <comment ref="A2126" authorId="0" shapeId="0" xr:uid="{FC7A93FF-94DC-4603-84C4-185B80F2B302}">
      <text>
        <r>
          <rPr>
            <sz val="9"/>
            <color indexed="81"/>
            <rFont val="Tahoma"/>
            <family val="2"/>
          </rPr>
          <t xml:space="preserve">
</t>
        </r>
      </text>
    </comment>
    <comment ref="K2126" authorId="0" shapeId="0" xr:uid="{63CEF9AD-C519-41B2-9802-999B752AFF76}">
      <text>
        <r>
          <rPr>
            <sz val="9"/>
            <color indexed="81"/>
            <rFont val="Tahoma"/>
            <family val="2"/>
          </rPr>
          <t>Barred lenticular, almost face-on, with pseudo-ring around rim</t>
        </r>
      </text>
    </comment>
    <comment ref="A2127" authorId="0" shapeId="0" xr:uid="{A678057B-81FC-427B-82BC-7C15F1575C59}">
      <text>
        <r>
          <rPr>
            <sz val="9"/>
            <color indexed="81"/>
            <rFont val="Tahoma"/>
            <family val="2"/>
          </rPr>
          <t xml:space="preserve">
</t>
        </r>
      </text>
    </comment>
    <comment ref="K2127" authorId="0" shapeId="0" xr:uid="{75A743B4-1D33-48DA-BFE5-B7B89FAD66D6}">
      <text>
        <r>
          <rPr>
            <sz val="9"/>
            <color indexed="81"/>
            <rFont val="Tahoma"/>
            <family val="2"/>
          </rPr>
          <t>Barred spiral with nice arm structure, inner pseudo-ring and many background galaxies</t>
        </r>
      </text>
    </comment>
    <comment ref="A2128" authorId="0" shapeId="0" xr:uid="{59B8F2A5-AD59-4D2F-90BA-B4B378F45C65}">
      <text>
        <r>
          <rPr>
            <sz val="9"/>
            <color indexed="81"/>
            <rFont val="Tahoma"/>
            <family val="2"/>
          </rPr>
          <t xml:space="preserve">
</t>
        </r>
      </text>
    </comment>
    <comment ref="K2128" authorId="0" shapeId="0" xr:uid="{85E2322F-589C-4A33-8EEC-1C8EEDFFB82B}">
      <text>
        <r>
          <rPr>
            <sz val="9"/>
            <color indexed="81"/>
            <rFont val="Tahoma"/>
            <family val="2"/>
          </rPr>
          <t>Magellanic galaxy in Canes Venatici</t>
        </r>
      </text>
    </comment>
    <comment ref="A2129" authorId="0" shapeId="0" xr:uid="{DAADDC19-DD66-4F64-A3B9-525BC75AE850}">
      <text>
        <r>
          <rPr>
            <sz val="9"/>
            <color indexed="81"/>
            <rFont val="Tahoma"/>
            <family val="2"/>
          </rPr>
          <t xml:space="preserve">
</t>
        </r>
      </text>
    </comment>
    <comment ref="K2129" authorId="0" shapeId="0" xr:uid="{EFD87D89-3959-4E43-A595-40B90F0EE245}">
      <text>
        <r>
          <rPr>
            <sz val="9"/>
            <color indexed="81"/>
            <rFont val="Tahoma"/>
            <family val="2"/>
          </rPr>
          <t>Long distinct dust lane on west side of core.  Blue star clouds throughout</t>
        </r>
      </text>
    </comment>
    <comment ref="A2130" authorId="0" shapeId="0" xr:uid="{CF95B575-0132-4805-8C1D-FACEE610FE3D}">
      <text>
        <r>
          <rPr>
            <sz val="9"/>
            <color indexed="81"/>
            <rFont val="Tahoma"/>
            <family val="2"/>
          </rPr>
          <t xml:space="preserve">
</t>
        </r>
      </text>
    </comment>
    <comment ref="K2130" authorId="0" shapeId="0" xr:uid="{733EA553-62ED-4B02-8CD0-A44FF2632A03}">
      <text>
        <r>
          <rPr>
            <sz val="9"/>
            <color indexed="81"/>
            <rFont val="Tahoma"/>
            <family val="2"/>
          </rPr>
          <t>Superthin edge-on blue spiral</t>
        </r>
      </text>
    </comment>
    <comment ref="A2131" authorId="0" shapeId="0" xr:uid="{5F6FB3D5-6AF3-42F1-91AA-CB2A3BFB3A9C}">
      <text>
        <r>
          <rPr>
            <sz val="9"/>
            <color indexed="81"/>
            <rFont val="Tahoma"/>
            <family val="2"/>
          </rPr>
          <t xml:space="preserve">
</t>
        </r>
      </text>
    </comment>
    <comment ref="K2131" authorId="0" shapeId="0" xr:uid="{3BDF7590-E4C6-4190-A1B0-099551174569}">
      <text>
        <r>
          <rPr>
            <sz val="9"/>
            <color indexed="81"/>
            <rFont val="Tahoma"/>
            <family val="2"/>
          </rPr>
          <t>Superb object - hexagon inner region, warped outer disk with VV rows, HII regions, and amazing outward arm spread</t>
        </r>
      </text>
    </comment>
    <comment ref="A2132" authorId="0" shapeId="0" xr:uid="{D083AEE2-D0EB-49B3-9B23-9FBB6863DF1F}">
      <text>
        <r>
          <rPr>
            <sz val="9"/>
            <color indexed="81"/>
            <rFont val="Tahoma"/>
            <family val="2"/>
          </rPr>
          <t xml:space="preserve">
</t>
        </r>
      </text>
    </comment>
    <comment ref="K2132" authorId="0" shapeId="0" xr:uid="{6912386D-938B-4B27-83D5-D3DCF6578249}">
      <text>
        <r>
          <rPr>
            <sz val="9"/>
            <color indexed="81"/>
            <rFont val="Tahoma"/>
            <family val="2"/>
          </rPr>
          <t>Large, loose globular cluster</t>
        </r>
      </text>
    </comment>
    <comment ref="A2133" authorId="0" shapeId="0" xr:uid="{6137815D-0C78-43E2-A8C7-A581ACA60EB0}">
      <text>
        <r>
          <rPr>
            <sz val="9"/>
            <color indexed="81"/>
            <rFont val="Tahoma"/>
            <family val="2"/>
          </rPr>
          <t xml:space="preserve">
</t>
        </r>
      </text>
    </comment>
    <comment ref="K2133" authorId="0" shapeId="0" xr:uid="{28742AF5-C90E-487A-809F-B69C75927712}">
      <text>
        <r>
          <rPr>
            <sz val="9"/>
            <color indexed="81"/>
            <rFont val="Tahoma"/>
            <family val="2"/>
          </rPr>
          <t>Appealing 3 arm spiral with dust lanes throughout</t>
        </r>
      </text>
    </comment>
    <comment ref="A2134" authorId="0" shapeId="0" xr:uid="{1E25285D-03CB-452D-B273-61EC2BB70D70}">
      <text>
        <r>
          <rPr>
            <sz val="9"/>
            <color indexed="81"/>
            <rFont val="Tahoma"/>
            <family val="2"/>
          </rPr>
          <t xml:space="preserve">
</t>
        </r>
      </text>
    </comment>
    <comment ref="K2134" authorId="0" shapeId="0" xr:uid="{478401BF-F096-46D7-9341-1A36932B02E8}">
      <text>
        <r>
          <rPr>
            <sz val="9"/>
            <color indexed="81"/>
            <rFont val="Tahoma"/>
            <family val="2"/>
          </rPr>
          <t>Small face-on barred spiral with HII regions and blue star clouds.  Long bar has amazing look of a string of pearls</t>
        </r>
      </text>
    </comment>
    <comment ref="A2135" authorId="0" shapeId="0" xr:uid="{E19CFBEC-F98C-45A0-84D2-8C9BF25A99E5}">
      <text>
        <r>
          <rPr>
            <sz val="9"/>
            <color indexed="81"/>
            <rFont val="Tahoma"/>
            <family val="2"/>
          </rPr>
          <t xml:space="preserve">
</t>
        </r>
      </text>
    </comment>
    <comment ref="K2135" authorId="0" shapeId="0" xr:uid="{2BD39021-5E23-44B6-AAED-F2C39EEA349A}">
      <text>
        <r>
          <rPr>
            <sz val="9"/>
            <color indexed="81"/>
            <rFont val="Tahoma"/>
            <family val="2"/>
          </rPr>
          <t>Edge-on lenticular with dramatic wide dust lane, interacting somewhat with IC879 companion to the southwest</t>
        </r>
      </text>
    </comment>
    <comment ref="A2136" authorId="0" shapeId="0" xr:uid="{60A2BE61-BA76-4939-9EA8-0F716953E981}">
      <text>
        <r>
          <rPr>
            <sz val="9"/>
            <color indexed="81"/>
            <rFont val="Tahoma"/>
            <family val="2"/>
          </rPr>
          <t xml:space="preserve">
</t>
        </r>
      </text>
    </comment>
    <comment ref="K2136" authorId="0" shapeId="0" xr:uid="{7446A0A2-2CBD-4A9E-B4D3-C0F5BCFDBEE6}">
      <text>
        <r>
          <rPr>
            <sz val="9"/>
            <color indexed="81"/>
            <rFont val="Tahoma"/>
            <family val="2"/>
          </rPr>
          <t>Edge-on lenticular with amazing brightness profile, like a Celtic cross.</t>
        </r>
      </text>
    </comment>
    <comment ref="A2137" authorId="0" shapeId="0" xr:uid="{1579D307-C6BE-424C-B46D-CA59507D78A7}">
      <text>
        <r>
          <rPr>
            <sz val="9"/>
            <color indexed="81"/>
            <rFont val="Tahoma"/>
            <family val="2"/>
          </rPr>
          <t xml:space="preserve">
</t>
        </r>
      </text>
    </comment>
    <comment ref="K2137" authorId="0" shapeId="0" xr:uid="{44D244E0-CA2B-4F49-B38C-24A58F4D0CFD}">
      <text>
        <r>
          <rPr>
            <sz val="9"/>
            <color indexed="81"/>
            <rFont val="Tahoma"/>
            <family val="2"/>
          </rPr>
          <t>Grand design spiral with some fragmentation of arms, nice color.  Adjacent to 2 obscure fascinating objects</t>
        </r>
      </text>
    </comment>
    <comment ref="A2138" authorId="0" shapeId="0" xr:uid="{B0816BF5-CCB6-4DB3-BF09-993661C6E013}">
      <text>
        <r>
          <rPr>
            <sz val="9"/>
            <color indexed="81"/>
            <rFont val="Tahoma"/>
            <family val="2"/>
          </rPr>
          <t xml:space="preserve">
</t>
        </r>
      </text>
    </comment>
    <comment ref="K2138" authorId="0" shapeId="0" xr:uid="{2B9D2B05-DE2E-49B5-AEF0-6BD904937387}">
      <text>
        <r>
          <rPr>
            <sz val="9"/>
            <color indexed="81"/>
            <rFont val="Tahoma"/>
            <family val="2"/>
          </rPr>
          <t xml:space="preserve">5 galaxy group anchored by NGC 5090, a huge 250,000 ly diameter which is adjacent to a magnificent spiral.  </t>
        </r>
      </text>
    </comment>
    <comment ref="A2139" authorId="0" shapeId="0" xr:uid="{E8BFC715-8AFE-4999-98A2-EDD3137E0681}">
      <text>
        <r>
          <rPr>
            <sz val="9"/>
            <color indexed="81"/>
            <rFont val="Tahoma"/>
            <family val="2"/>
          </rPr>
          <t xml:space="preserve">
</t>
        </r>
      </text>
    </comment>
    <comment ref="K2139" authorId="0" shapeId="0" xr:uid="{40234E45-E716-48C7-BA5B-F9A820987AEA}">
      <text>
        <r>
          <rPr>
            <sz val="9"/>
            <color indexed="81"/>
            <rFont val="Tahoma"/>
            <family val="2"/>
          </rPr>
          <t>Two galaxies that are likely interacting, with star stream plumes</t>
        </r>
      </text>
    </comment>
    <comment ref="A2140" authorId="0" shapeId="0" xr:uid="{780C8512-E51B-4FA1-BCDE-8BA0BCAC915D}">
      <text>
        <r>
          <rPr>
            <sz val="9"/>
            <color indexed="81"/>
            <rFont val="Tahoma"/>
            <family val="2"/>
          </rPr>
          <t xml:space="preserve">
</t>
        </r>
      </text>
    </comment>
    <comment ref="K2140" authorId="0" shapeId="0" xr:uid="{29741BCB-0A0B-4A69-8F5B-C9FEEE4571EB}">
      <text>
        <r>
          <rPr>
            <sz val="9"/>
            <color indexed="81"/>
            <rFont val="Tahoma"/>
            <family val="2"/>
          </rPr>
          <t>Face-on barred lenticular with beautiful complex structure, highlighted by stunning barlens and inner pseudo-ring</t>
        </r>
      </text>
    </comment>
    <comment ref="A2141" authorId="0" shapeId="0" xr:uid="{7AD215AF-3931-4F5C-AC28-97A4ABA3BFEA}">
      <text>
        <r>
          <rPr>
            <sz val="9"/>
            <color indexed="81"/>
            <rFont val="Tahoma"/>
            <family val="2"/>
          </rPr>
          <t xml:space="preserve">
</t>
        </r>
      </text>
    </comment>
    <comment ref="K2141" authorId="0" shapeId="0" xr:uid="{7B266F9D-9E2D-4D82-88F7-C9BD5C5F8CFF}">
      <text>
        <r>
          <rPr>
            <sz val="9"/>
            <color indexed="81"/>
            <rFont val="Tahoma"/>
            <family val="2"/>
          </rPr>
          <t>Lenticular with interesting brightness profile.  Located just 20' northeast of mag 3 Iota Centauri</t>
        </r>
      </text>
    </comment>
    <comment ref="A2142" authorId="0" shapeId="0" xr:uid="{EC9393F7-0A3F-4D4C-8A78-D66136630734}">
      <text>
        <r>
          <rPr>
            <sz val="9"/>
            <color indexed="81"/>
            <rFont val="Tahoma"/>
            <family val="2"/>
          </rPr>
          <t xml:space="preserve">
</t>
        </r>
      </text>
    </comment>
    <comment ref="K2142" authorId="0" shapeId="0" xr:uid="{B10B50A9-1F1A-4DB7-8211-9DD3C0991543}">
      <text>
        <r>
          <rPr>
            <sz val="9"/>
            <color indexed="81"/>
            <rFont val="Tahoma"/>
            <family val="2"/>
          </rPr>
          <t>Small barred spiral with numerous arms</t>
        </r>
      </text>
    </comment>
    <comment ref="A2143" authorId="0" shapeId="0" xr:uid="{76CBB171-F158-48C9-8144-62FD8FB0400B}">
      <text>
        <r>
          <rPr>
            <sz val="9"/>
            <color indexed="81"/>
            <rFont val="Tahoma"/>
            <family val="2"/>
          </rPr>
          <t xml:space="preserve">
</t>
        </r>
      </text>
    </comment>
    <comment ref="K2143" authorId="0" shapeId="0" xr:uid="{EF3AA013-8E9A-483C-A1CE-7AE9D6B1B533}">
      <text>
        <r>
          <rPr>
            <sz val="9"/>
            <color indexed="81"/>
            <rFont val="Tahoma"/>
            <family val="2"/>
          </rPr>
          <t xml:space="preserve">Magnificent polar ring galaxy, with long polar stream 3 times the length of the galaxy.  1/2 degree NW of Spica </t>
        </r>
      </text>
    </comment>
    <comment ref="A2144" authorId="0" shapeId="0" xr:uid="{BB0DA3F2-6B2F-4273-A284-FA44E74661AA}">
      <text>
        <r>
          <rPr>
            <sz val="9"/>
            <color indexed="81"/>
            <rFont val="Tahoma"/>
            <family val="2"/>
          </rPr>
          <t xml:space="preserve">
</t>
        </r>
      </text>
    </comment>
    <comment ref="K2144" authorId="0" shapeId="0" xr:uid="{3FFC63F5-8AF3-4398-919E-0253A0F96DD6}">
      <text>
        <r>
          <rPr>
            <sz val="9"/>
            <color indexed="81"/>
            <rFont val="Tahoma"/>
            <family val="2"/>
          </rPr>
          <t>Showcase object - 5th brightest galaxy.  Lenticular with fascinating dust lanes, likely from mergers.</t>
        </r>
      </text>
    </comment>
    <comment ref="A2145" authorId="0" shapeId="0" xr:uid="{899CA345-FF39-4961-AD00-DEDF52A18F46}">
      <text>
        <r>
          <rPr>
            <sz val="9"/>
            <color indexed="81"/>
            <rFont val="Tahoma"/>
            <family val="2"/>
          </rPr>
          <t xml:space="preserve">
</t>
        </r>
      </text>
    </comment>
    <comment ref="K2145" authorId="0" shapeId="0" xr:uid="{DF621E5B-1CE3-40C1-BE67-028820CAE400}">
      <text>
        <r>
          <rPr>
            <sz val="9"/>
            <color indexed="81"/>
            <rFont val="Tahoma"/>
            <family val="2"/>
          </rPr>
          <t>Showcase object - the largest globular cluster in the Milky Way.</t>
        </r>
      </text>
    </comment>
    <comment ref="A2146" authorId="0" shapeId="0" xr:uid="{B9ACFF8F-F6B0-4072-91A5-C55ACBDD16D9}">
      <text>
        <r>
          <rPr>
            <sz val="9"/>
            <color indexed="81"/>
            <rFont val="Tahoma"/>
            <family val="2"/>
          </rPr>
          <t xml:space="preserve">
</t>
        </r>
      </text>
    </comment>
    <comment ref="K2146" authorId="0" shapeId="0" xr:uid="{B5301D5D-E861-497F-92DB-498C1A0DF4D5}">
      <text>
        <r>
          <rPr>
            <sz val="9"/>
            <color indexed="81"/>
            <rFont val="Tahoma"/>
            <family val="2"/>
          </rPr>
          <t>Trio of large galaxies, anchored by large elliptical NGC 5153 but highlighted by disturbed spiral NGC5152</t>
        </r>
      </text>
    </comment>
    <comment ref="A2147" authorId="0" shapeId="0" xr:uid="{0035BE98-0DF0-4ED5-86AE-3599B902C769}">
      <text>
        <r>
          <rPr>
            <sz val="9"/>
            <color indexed="81"/>
            <rFont val="Tahoma"/>
            <family val="2"/>
          </rPr>
          <t xml:space="preserve">
</t>
        </r>
      </text>
    </comment>
    <comment ref="K2147" authorId="0" shapeId="0" xr:uid="{FB4B6420-C5CD-4411-A4B9-CE985A9D5B17}">
      <text>
        <r>
          <rPr>
            <sz val="9"/>
            <color indexed="81"/>
            <rFont val="Tahoma"/>
            <family val="2"/>
          </rPr>
          <t>Unusual structure - mid-region ring, diffuse outer disk, and single strong arm with star formation.  Image with NGC 5184</t>
        </r>
      </text>
    </comment>
    <comment ref="A2148" authorId="0" shapeId="0" xr:uid="{8CE4E821-8AA7-4AD7-BD18-DCC35C58602E}">
      <text>
        <r>
          <rPr>
            <sz val="9"/>
            <color indexed="81"/>
            <rFont val="Tahoma"/>
            <family val="2"/>
          </rPr>
          <t xml:space="preserve">
</t>
        </r>
      </text>
    </comment>
    <comment ref="K2148" authorId="0" shapeId="0" xr:uid="{411836C3-CD9C-4E7C-B455-B8FD4DED32E8}">
      <text>
        <r>
          <rPr>
            <sz val="9"/>
            <color indexed="81"/>
            <rFont val="Tahoma"/>
            <family val="2"/>
          </rPr>
          <t>Like the adjacent NGC 5183, disk is disturbed with hard to trace arms and some star clouds</t>
        </r>
      </text>
    </comment>
    <comment ref="A2149" authorId="0" shapeId="0" xr:uid="{82F2AF99-E67B-407E-B14F-08E199696A56}">
      <text>
        <r>
          <rPr>
            <sz val="9"/>
            <color indexed="81"/>
            <rFont val="Tahoma"/>
            <family val="2"/>
          </rPr>
          <t xml:space="preserve">
</t>
        </r>
      </text>
    </comment>
    <comment ref="K2149" authorId="0" shapeId="0" xr:uid="{232C215B-4EAF-463F-A596-3A06FD0AE112}">
      <text>
        <r>
          <rPr>
            <sz val="9"/>
            <color indexed="81"/>
            <rFont val="Tahoma"/>
            <family val="2"/>
          </rPr>
          <t>Striking PN that looks more like a barred spiral galaxy</t>
        </r>
      </text>
    </comment>
    <comment ref="A2150" authorId="0" shapeId="0" xr:uid="{BD84488E-F8CF-456B-B1C6-4E9E7FABFF8F}">
      <text>
        <r>
          <rPr>
            <sz val="9"/>
            <color indexed="81"/>
            <rFont val="Tahoma"/>
            <family val="2"/>
          </rPr>
          <t xml:space="preserve">
</t>
        </r>
      </text>
    </comment>
    <comment ref="K2150" authorId="0" shapeId="0" xr:uid="{95C9D048-C7CE-43E8-B588-D2F9017DEF17}">
      <text>
        <r>
          <rPr>
            <sz val="9"/>
            <color indexed="81"/>
            <rFont val="Tahoma"/>
            <family val="2"/>
          </rPr>
          <t>Companion to M51</t>
        </r>
      </text>
    </comment>
    <comment ref="A2151" authorId="0" shapeId="0" xr:uid="{B86CBAE3-20E2-4FEA-AE25-B9C85B4C2CFA}">
      <text>
        <r>
          <rPr>
            <sz val="9"/>
            <color indexed="81"/>
            <rFont val="Tahoma"/>
            <family val="2"/>
          </rPr>
          <t xml:space="preserve">
</t>
        </r>
      </text>
    </comment>
    <comment ref="K2151" authorId="0" shapeId="0" xr:uid="{7995DD42-613C-43A9-BF07-F82D1E9D19B3}">
      <text>
        <r>
          <rPr>
            <sz val="9"/>
            <color indexed="81"/>
            <rFont val="Tahoma"/>
            <family val="2"/>
          </rPr>
          <t>Huge distant galaxy (225,000 ly diameter) with arms that appear to spiral in opposite directions somehow.</t>
        </r>
      </text>
    </comment>
    <comment ref="A2152" authorId="0" shapeId="0" xr:uid="{41B52899-56C8-47A5-BE58-769FDAC719B8}">
      <text>
        <r>
          <rPr>
            <sz val="9"/>
            <color indexed="81"/>
            <rFont val="Tahoma"/>
            <family val="2"/>
          </rPr>
          <t xml:space="preserve">
</t>
        </r>
      </text>
    </comment>
    <comment ref="K2152" authorId="0" shapeId="0" xr:uid="{36EF7C8A-ADEA-4AB8-AABD-F04108A9242B}">
      <text>
        <r>
          <rPr>
            <sz val="9"/>
            <color indexed="81"/>
            <rFont val="Tahoma"/>
            <family val="2"/>
          </rPr>
          <t>Magellanic galaxy with white bar and blue star clouds</t>
        </r>
      </text>
    </comment>
    <comment ref="A2153" authorId="0" shapeId="0" xr:uid="{F41BB053-B582-4BDD-A34E-F1D23D33E95E}">
      <text>
        <r>
          <rPr>
            <sz val="9"/>
            <color indexed="81"/>
            <rFont val="Tahoma"/>
            <family val="2"/>
          </rPr>
          <t xml:space="preserve">
</t>
        </r>
      </text>
    </comment>
    <comment ref="K2153" authorId="0" shapeId="0" xr:uid="{9F393D5B-6499-4536-9B41-297950C968A1}">
      <text>
        <r>
          <rPr>
            <sz val="9"/>
            <color indexed="81"/>
            <rFont val="Tahoma"/>
            <family val="2"/>
          </rPr>
          <t>Bright core, faint bar, strong oval inner lens, and arms that extend out 180 degrees to form a pseudo-ring</t>
        </r>
      </text>
    </comment>
    <comment ref="A2154" authorId="0" shapeId="0" xr:uid="{C26D17C3-4A04-449D-ACE2-CDEE493BF526}">
      <text>
        <r>
          <rPr>
            <sz val="9"/>
            <color indexed="81"/>
            <rFont val="Tahoma"/>
            <family val="2"/>
          </rPr>
          <t xml:space="preserve">
</t>
        </r>
      </text>
    </comment>
    <comment ref="K2154" authorId="0" shapeId="0" xr:uid="{AFAF0E2C-DEA5-4E36-BA65-00FD8FF8F202}">
      <text>
        <r>
          <rPr>
            <sz val="9"/>
            <color indexed="81"/>
            <rFont val="Tahoma"/>
            <family val="2"/>
          </rPr>
          <t>Amazing similarity to M101, but NGC 5320 is 10x further away and 10x smaller in apparent size.</t>
        </r>
      </text>
    </comment>
    <comment ref="A2155" authorId="0" shapeId="0" xr:uid="{CFFAF1D3-336C-42F4-B125-40AA4DECD526}">
      <text>
        <r>
          <rPr>
            <sz val="9"/>
            <color indexed="81"/>
            <rFont val="Tahoma"/>
            <family val="2"/>
          </rPr>
          <t xml:space="preserve">
</t>
        </r>
      </text>
    </comment>
    <comment ref="K2155" authorId="0" shapeId="0" xr:uid="{781CE55C-11BA-421C-A8DF-37FAD5E2BA34}">
      <text>
        <r>
          <rPr>
            <sz val="9"/>
            <color indexed="81"/>
            <rFont val="Tahoma"/>
            <family val="2"/>
          </rPr>
          <t>Arms extend out for 270 degrees.  Each arm splits into 2 about halfway along length.  Many star clouds, HII regions and dust lanes.</t>
        </r>
      </text>
    </comment>
    <comment ref="A2156" authorId="0" shapeId="0" xr:uid="{8257875F-F0A8-4F65-B89A-5197B47F1DD1}">
      <text>
        <r>
          <rPr>
            <sz val="9"/>
            <color indexed="81"/>
            <rFont val="Tahoma"/>
            <family val="2"/>
          </rPr>
          <t xml:space="preserve">
</t>
        </r>
      </text>
    </comment>
    <comment ref="K2156" authorId="0" shapeId="0" xr:uid="{27A6E23C-3B94-4CCE-9467-CB46790B381E}">
      <text>
        <r>
          <rPr>
            <sz val="9"/>
            <color indexed="81"/>
            <rFont val="Tahoma"/>
            <family val="2"/>
          </rPr>
          <t>Clear detail of blue star clouds and pink HII regions.  6 bright star forming regions surround core</t>
        </r>
      </text>
    </comment>
    <comment ref="A2157" authorId="0" shapeId="0" xr:uid="{E43366C8-FBC5-4BFE-A230-D417826AB1CA}">
      <text>
        <r>
          <rPr>
            <sz val="9"/>
            <color indexed="81"/>
            <rFont val="Tahoma"/>
            <family val="2"/>
          </rPr>
          <t xml:space="preserve">
</t>
        </r>
      </text>
    </comment>
    <comment ref="K2157" authorId="0" shapeId="0" xr:uid="{353FFB3A-E6F6-4A81-85D4-6591DA07AA9A}">
      <text>
        <r>
          <rPr>
            <sz val="9"/>
            <color indexed="81"/>
            <rFont val="Tahoma"/>
            <family val="2"/>
          </rPr>
          <t>One of the nearest BCD (Blue Compact Dwarf) galaxies to earth</t>
        </r>
      </text>
    </comment>
    <comment ref="A2158" authorId="0" shapeId="0" xr:uid="{C9B7A382-E589-4D77-9574-7EBEC94E52D3}">
      <text>
        <r>
          <rPr>
            <sz val="9"/>
            <color indexed="81"/>
            <rFont val="Tahoma"/>
            <family val="2"/>
          </rPr>
          <t xml:space="preserve">
</t>
        </r>
      </text>
    </comment>
    <comment ref="K2158" authorId="0" shapeId="0" xr:uid="{868950CD-F088-4FA7-8D7D-1147DB56D218}">
      <text>
        <r>
          <rPr>
            <sz val="9"/>
            <color indexed="81"/>
            <rFont val="Tahoma"/>
            <family val="2"/>
          </rPr>
          <t>Lenticular with interesting spiral ring galaxy NGC 5276 to the southeast</t>
        </r>
      </text>
    </comment>
    <comment ref="A2159" authorId="0" shapeId="0" xr:uid="{2BE551CA-FD75-4E9F-AF88-B01E5DBED6DF}">
      <text>
        <r>
          <rPr>
            <sz val="9"/>
            <color indexed="81"/>
            <rFont val="Tahoma"/>
            <family val="2"/>
          </rPr>
          <t xml:space="preserve">
</t>
        </r>
      </text>
    </comment>
    <comment ref="K2159" authorId="0" shapeId="0" xr:uid="{8C39CFB7-F20F-4404-BDC1-8B35E9699E53}">
      <text>
        <r>
          <rPr>
            <sz val="9"/>
            <color indexed="81"/>
            <rFont val="Tahoma"/>
            <family val="2"/>
          </rPr>
          <t>6 galaxy group in 8' area with a number of interesting disk structures</t>
        </r>
      </text>
    </comment>
    <comment ref="A2160" authorId="0" shapeId="0" xr:uid="{56AEAA64-C271-4C62-B6BF-2FD5F5508E9D}">
      <text>
        <r>
          <rPr>
            <sz val="9"/>
            <color indexed="81"/>
            <rFont val="Tahoma"/>
            <family val="2"/>
          </rPr>
          <t xml:space="preserve">
</t>
        </r>
      </text>
    </comment>
    <comment ref="K2160" authorId="0" shapeId="0" xr:uid="{3812B70D-2D51-4DCA-A0D9-22BC9B68EA35}">
      <text>
        <r>
          <rPr>
            <sz val="9"/>
            <color indexed="81"/>
            <rFont val="Tahoma"/>
            <family val="2"/>
          </rPr>
          <t>Distinct and colorful open cluster with short linear alignment of bright blue and orange stars</t>
        </r>
      </text>
    </comment>
    <comment ref="A2161" authorId="0" shapeId="0" xr:uid="{AE4FA533-A635-40B8-85D9-EC9E60FA1A75}">
      <text>
        <r>
          <rPr>
            <sz val="9"/>
            <color indexed="81"/>
            <rFont val="Tahoma"/>
            <family val="2"/>
          </rPr>
          <t xml:space="preserve">
</t>
        </r>
      </text>
    </comment>
    <comment ref="K2161" authorId="0" shapeId="0" xr:uid="{4EBC6EBC-41F6-4EF1-8BE9-5504C4B3CC1D}">
      <text>
        <r>
          <rPr>
            <sz val="9"/>
            <color indexed="81"/>
            <rFont val="Tahoma"/>
            <family val="2"/>
          </rPr>
          <t>Globular cluster, designated Caldwell 84, in Centaurus</t>
        </r>
      </text>
    </comment>
    <comment ref="A2162" authorId="0" shapeId="0" xr:uid="{5C23308B-4050-4592-81F8-60D7A2F1429B}">
      <text>
        <r>
          <rPr>
            <sz val="9"/>
            <color indexed="81"/>
            <rFont val="Tahoma"/>
            <family val="2"/>
          </rPr>
          <t xml:space="preserve">
</t>
        </r>
      </text>
    </comment>
    <comment ref="K2162" authorId="0" shapeId="0" xr:uid="{CB6F516D-A1D7-464A-BB41-4797DE31FE32}">
      <text>
        <r>
          <rPr>
            <sz val="9"/>
            <color indexed="81"/>
            <rFont val="Tahoma"/>
            <family val="2"/>
          </rPr>
          <t>Large barred galaxy, almost edge-on, with bright star clouds and long disturbed upper arm.  Bridge conn. to companion NGC5296</t>
        </r>
      </text>
    </comment>
    <comment ref="A2163" authorId="0" shapeId="0" xr:uid="{28DB1D1E-C0CA-45D1-8A08-CA9D45F59C51}">
      <text>
        <r>
          <rPr>
            <sz val="9"/>
            <color indexed="81"/>
            <rFont val="Tahoma"/>
            <family val="2"/>
          </rPr>
          <t xml:space="preserve">
</t>
        </r>
      </text>
    </comment>
    <comment ref="K2163" authorId="0" shapeId="0" xr:uid="{65464838-5D85-4ADC-B45F-1E331BEE7896}">
      <text>
        <r>
          <rPr>
            <sz val="9"/>
            <color indexed="81"/>
            <rFont val="Tahoma"/>
            <family val="2"/>
          </rPr>
          <t>Slightly barred grand design spiral with VV rows and multiple arms in the outer disk</t>
        </r>
      </text>
    </comment>
    <comment ref="A2164" authorId="0" shapeId="0" xr:uid="{28C60E7F-2676-4271-9E4F-D88BF7BF2E6E}">
      <text>
        <r>
          <rPr>
            <sz val="9"/>
            <color indexed="81"/>
            <rFont val="Tahoma"/>
            <family val="2"/>
          </rPr>
          <t xml:space="preserve">
</t>
        </r>
      </text>
    </comment>
    <comment ref="K2164" authorId="0" shapeId="0" xr:uid="{4A28697F-4146-4B69-AF7C-B96216578229}">
      <text>
        <r>
          <rPr>
            <sz val="9"/>
            <color indexed="81"/>
            <rFont val="Tahoma"/>
            <family val="2"/>
          </rPr>
          <t>Lenticular with multiple parallel dust bands.  Image with NGC 5313</t>
        </r>
      </text>
    </comment>
    <comment ref="A2165" authorId="0" shapeId="0" xr:uid="{8F2172AA-1359-4D3F-9016-321736053CA8}">
      <text>
        <r>
          <rPr>
            <sz val="9"/>
            <color indexed="81"/>
            <rFont val="Tahoma"/>
            <family val="2"/>
          </rPr>
          <t xml:space="preserve">
</t>
        </r>
      </text>
    </comment>
    <comment ref="K2165" authorId="0" shapeId="0" xr:uid="{52BF6896-5C61-40C5-952C-AFF0A8F90870}">
      <text>
        <r>
          <rPr>
            <sz val="9"/>
            <color indexed="81"/>
            <rFont val="Tahoma"/>
            <family val="2"/>
          </rPr>
          <t>Spiral with blue star clouds, pink HII regions, bright yellow core, and pair of strong arms of unequal lengths.  Image with NGC5311</t>
        </r>
      </text>
    </comment>
    <comment ref="A2166" authorId="0" shapeId="0" xr:uid="{77F2AAD2-1214-40B9-9DEB-A77E9904AAF3}">
      <text>
        <r>
          <rPr>
            <sz val="9"/>
            <color indexed="81"/>
            <rFont val="Tahoma"/>
            <family val="2"/>
          </rPr>
          <t xml:space="preserve">
</t>
        </r>
      </text>
    </comment>
    <comment ref="K2166" authorId="0" shapeId="0" xr:uid="{561F7AD3-7DB1-4BA6-8289-A75ADE495350}">
      <text>
        <r>
          <rPr>
            <sz val="9"/>
            <color indexed="81"/>
            <rFont val="Tahoma"/>
            <family val="2"/>
          </rPr>
          <t>Seyfert grand design spiral with VV rows</t>
        </r>
      </text>
    </comment>
    <comment ref="A2167" authorId="0" shapeId="0" xr:uid="{F507E8AB-E223-4446-A1DA-46A5A717DC9C}">
      <text>
        <r>
          <rPr>
            <sz val="9"/>
            <color indexed="81"/>
            <rFont val="Tahoma"/>
            <family val="2"/>
          </rPr>
          <t xml:space="preserve">
</t>
        </r>
      </text>
    </comment>
    <comment ref="K2167" authorId="0" shapeId="0" xr:uid="{E1A78AA6-2445-448C-B965-44C70D1557CD}">
      <text>
        <r>
          <rPr>
            <sz val="9"/>
            <color indexed="81"/>
            <rFont val="Tahoma"/>
            <family val="2"/>
          </rPr>
          <t>Oval (E3) elliptical with peanut (X) shape of the core halo.</t>
        </r>
      </text>
    </comment>
    <comment ref="A2168" authorId="0" shapeId="0" xr:uid="{43F42851-C469-4CC5-8D23-565E04590893}">
      <text>
        <r>
          <rPr>
            <sz val="9"/>
            <color indexed="81"/>
            <rFont val="Tahoma"/>
            <family val="2"/>
          </rPr>
          <t xml:space="preserve">
</t>
        </r>
      </text>
    </comment>
    <comment ref="K2168" authorId="0" shapeId="0" xr:uid="{163E2F08-D135-4394-98E1-015719E20CC7}">
      <text>
        <r>
          <rPr>
            <sz val="9"/>
            <color indexed="81"/>
            <rFont val="Tahoma"/>
            <family val="2"/>
          </rPr>
          <t>Barred spiral with asymmetric disk.  Numerous arm fragments in northwest half of the disk</t>
        </r>
      </text>
    </comment>
    <comment ref="A2169" authorId="0" shapeId="0" xr:uid="{71D007C1-A1CF-424C-AE99-1120D3EAFE6F}">
      <text>
        <r>
          <rPr>
            <sz val="9"/>
            <color indexed="81"/>
            <rFont val="Tahoma"/>
            <family val="2"/>
          </rPr>
          <t xml:space="preserve">
</t>
        </r>
      </text>
    </comment>
    <comment ref="K2169" authorId="0" shapeId="0" xr:uid="{5AA91014-371E-4008-9A7A-663CFE6507A2}">
      <text>
        <r>
          <rPr>
            <sz val="9"/>
            <color indexed="81"/>
            <rFont val="Tahoma"/>
            <family val="2"/>
          </rPr>
          <t>Edge-on spiral with good color and dust lane detail.  Numerous background galaxies</t>
        </r>
      </text>
    </comment>
    <comment ref="A2170" authorId="0" shapeId="0" xr:uid="{5DD9AE78-6346-4C42-9766-1C9560BD56F2}">
      <text>
        <r>
          <rPr>
            <sz val="9"/>
            <color indexed="81"/>
            <rFont val="Tahoma"/>
            <family val="2"/>
          </rPr>
          <t xml:space="preserve">
</t>
        </r>
      </text>
    </comment>
    <comment ref="K2170" authorId="0" shapeId="0" xr:uid="{BE48AEF1-1E22-40E0-8441-E07DE62B98BE}">
      <text>
        <r>
          <rPr>
            <sz val="9"/>
            <color indexed="81"/>
            <rFont val="Tahoma"/>
            <family val="2"/>
          </rPr>
          <t xml:space="preserve">Complex structure, with multiple dust lanes and several foreground superimposed stars.  </t>
        </r>
      </text>
    </comment>
    <comment ref="A2171" authorId="0" shapeId="0" xr:uid="{81D63CC2-75F4-4995-971B-5F95CF2888C4}">
      <text>
        <r>
          <rPr>
            <sz val="9"/>
            <color indexed="81"/>
            <rFont val="Tahoma"/>
            <family val="2"/>
          </rPr>
          <t xml:space="preserve">
</t>
        </r>
      </text>
    </comment>
    <comment ref="K2171" authorId="0" shapeId="0" xr:uid="{317E5E57-B3E9-4B1A-94DA-DCC3AD673885}">
      <text>
        <r>
          <rPr>
            <sz val="9"/>
            <color indexed="81"/>
            <rFont val="Tahoma"/>
            <family val="2"/>
          </rPr>
          <t>Grand design spiral with 3 distinct arm regions - 2 tight arms that spiral 1 time around core, mid-region oval ring, and 2 arms that spiral 540 deg out from ring.</t>
        </r>
      </text>
    </comment>
    <comment ref="A2172" authorId="0" shapeId="0" xr:uid="{427CFB39-70D2-4CB3-9607-62504AFF83FC}">
      <text>
        <r>
          <rPr>
            <sz val="9"/>
            <color indexed="81"/>
            <rFont val="Tahoma"/>
            <family val="2"/>
          </rPr>
          <t xml:space="preserve">
</t>
        </r>
      </text>
    </comment>
    <comment ref="K2172" authorId="0" shapeId="0" xr:uid="{8470D21E-4AC8-4F18-99E2-A780BF6E86CD}">
      <text>
        <r>
          <rPr>
            <sz val="9"/>
            <color indexed="81"/>
            <rFont val="Tahoma"/>
            <family val="2"/>
          </rPr>
          <t>Dark nebula with embedded blue reflection nebula</t>
        </r>
      </text>
    </comment>
    <comment ref="A2173" authorId="0" shapeId="0" xr:uid="{C6277DF5-7B2B-4415-9ED4-6BD2A811CB18}">
      <text>
        <r>
          <rPr>
            <sz val="9"/>
            <color indexed="81"/>
            <rFont val="Tahoma"/>
            <family val="2"/>
          </rPr>
          <t xml:space="preserve">
</t>
        </r>
      </text>
    </comment>
    <comment ref="K2173" authorId="0" shapeId="0" xr:uid="{E63D0A28-A215-49C6-8E45-D3C2F51E321F}">
      <text>
        <r>
          <rPr>
            <sz val="9"/>
            <color indexed="81"/>
            <rFont val="Tahoma"/>
            <family val="2"/>
          </rPr>
          <t>Attractive slightly barred grand design spiral galaxy.  Arms are discontinuous and hard to trace.  Faint star streams beyond arms.</t>
        </r>
      </text>
    </comment>
    <comment ref="A2174" authorId="0" shapeId="0" xr:uid="{84B62C4E-DEB8-41F2-9B22-C6B162020031}">
      <text>
        <r>
          <rPr>
            <sz val="9"/>
            <color indexed="81"/>
            <rFont val="Tahoma"/>
            <family val="2"/>
          </rPr>
          <t xml:space="preserve">
</t>
        </r>
      </text>
    </comment>
    <comment ref="K2174" authorId="0" shapeId="0" xr:uid="{016E41CC-7F52-4A88-BFDA-FAF6E658885E}">
      <text>
        <r>
          <rPr>
            <sz val="9"/>
            <color indexed="81"/>
            <rFont val="Tahoma"/>
            <family val="2"/>
          </rPr>
          <t>Milky Way size barred grand spiral with barlens, bright ansae and symmetric disk</t>
        </r>
      </text>
    </comment>
    <comment ref="A2175" authorId="0" shapeId="0" xr:uid="{C01D7268-CFAB-49E6-A2F2-049FFBCA4D38}">
      <text>
        <r>
          <rPr>
            <sz val="9"/>
            <color indexed="81"/>
            <rFont val="Tahoma"/>
            <family val="2"/>
          </rPr>
          <t xml:space="preserve">
</t>
        </r>
      </text>
    </comment>
    <comment ref="K2175" authorId="0" shapeId="0" xr:uid="{57F67182-2CF0-45B2-9D57-3E01E47812CF}">
      <text>
        <r>
          <rPr>
            <sz val="9"/>
            <color indexed="81"/>
            <rFont val="Tahoma"/>
            <family val="2"/>
          </rPr>
          <t>Marvelous structure features bright core, complex inner region, and outer pseudo-ring.  Similar to M96, including dust lane streaming up and out of core</t>
        </r>
      </text>
    </comment>
    <comment ref="A2176" authorId="0" shapeId="0" xr:uid="{ACE0FFC5-0B24-4D36-86A1-FB59C6F002BA}">
      <text>
        <r>
          <rPr>
            <sz val="9"/>
            <color indexed="81"/>
            <rFont val="Tahoma"/>
            <family val="2"/>
          </rPr>
          <t xml:space="preserve">
</t>
        </r>
      </text>
    </comment>
    <comment ref="K2176" authorId="0" shapeId="0" xr:uid="{1A172111-FACB-4ADA-90BF-80CCE0E8FF32}">
      <text>
        <r>
          <rPr>
            <sz val="9"/>
            <color indexed="81"/>
            <rFont val="Tahoma"/>
            <family val="2"/>
          </rPr>
          <t>Barred spiral, almost face-on, with point symmetric blue star forming region around core, huge bar, dramatic dust lanes, and bright blue ansae</t>
        </r>
      </text>
    </comment>
    <comment ref="A2177" authorId="0" shapeId="0" xr:uid="{49C3D8CC-11D8-483D-B4E0-1D568099556D}">
      <text>
        <r>
          <rPr>
            <sz val="9"/>
            <color indexed="81"/>
            <rFont val="Tahoma"/>
            <family val="2"/>
          </rPr>
          <t xml:space="preserve">
</t>
        </r>
      </text>
    </comment>
    <comment ref="K2177" authorId="0" shapeId="0" xr:uid="{D1A2CB7B-1E97-43EA-A3F3-BEF8000C7700}">
      <text>
        <r>
          <rPr>
            <sz val="9"/>
            <color indexed="81"/>
            <rFont val="Tahoma"/>
            <family val="2"/>
          </rPr>
          <t>Lenticular, almost edge-on, with stunning dust lane.  Capture with NGC 5379, lenticular ring galaxy.</t>
        </r>
      </text>
    </comment>
    <comment ref="A2178" authorId="0" shapeId="0" xr:uid="{CB50E4D8-FD4D-40BA-BAF3-8F215503146D}">
      <text>
        <r>
          <rPr>
            <sz val="9"/>
            <color indexed="81"/>
            <rFont val="Tahoma"/>
            <family val="2"/>
          </rPr>
          <t xml:space="preserve">
</t>
        </r>
      </text>
    </comment>
    <comment ref="K2178" authorId="0" shapeId="0" xr:uid="{704C7203-95A9-47C8-8990-2E0C7A6FE9E0}">
      <text>
        <r>
          <rPr>
            <sz val="9"/>
            <color indexed="81"/>
            <rFont val="Tahoma"/>
            <family val="2"/>
          </rPr>
          <t>Large edge-on lenticular with perfect dust lane and warped disk, adjacent to UGC8919</t>
        </r>
      </text>
    </comment>
    <comment ref="A2179" authorId="0" shapeId="0" xr:uid="{C05512E7-C050-45B1-A40E-151C83FC9894}">
      <text>
        <r>
          <rPr>
            <sz val="9"/>
            <color indexed="81"/>
            <rFont val="Tahoma"/>
            <family val="2"/>
          </rPr>
          <t xml:space="preserve">
</t>
        </r>
      </text>
    </comment>
    <comment ref="K2179" authorId="0" shapeId="0" xr:uid="{6B60DDAA-4E24-4FAD-8E3E-0B3CC14A2F55}">
      <text>
        <r>
          <rPr>
            <sz val="9"/>
            <color indexed="81"/>
            <rFont val="Tahoma"/>
            <family val="2"/>
          </rPr>
          <t>Pair of barred interacting galaxies, connected with a star stream bridge</t>
        </r>
      </text>
    </comment>
    <comment ref="A2180" authorId="0" shapeId="0" xr:uid="{790EB74A-4309-4E7E-A651-69915515A9B1}">
      <text>
        <r>
          <rPr>
            <sz val="9"/>
            <color indexed="81"/>
            <rFont val="Tahoma"/>
            <family val="2"/>
          </rPr>
          <t xml:space="preserve">
</t>
        </r>
      </text>
    </comment>
    <comment ref="K2180" authorId="0" shapeId="0" xr:uid="{633FCBCE-6596-4EB4-AC08-C16BCC028F35}">
      <text>
        <r>
          <rPr>
            <sz val="9"/>
            <color indexed="81"/>
            <rFont val="Tahoma"/>
            <family val="2"/>
          </rPr>
          <t>Edge-on lenticular with center dust lane and central bulge</t>
        </r>
      </text>
    </comment>
    <comment ref="A2181" authorId="0" shapeId="0" xr:uid="{5110BCBE-9A3C-4451-ACCC-8531243FBE8E}">
      <text>
        <r>
          <rPr>
            <sz val="9"/>
            <color indexed="81"/>
            <rFont val="Tahoma"/>
            <family val="2"/>
          </rPr>
          <t xml:space="preserve">
</t>
        </r>
      </text>
    </comment>
    <comment ref="K2181" authorId="0" shapeId="0" xr:uid="{5635D69A-0C4A-45D8-AFC4-90261040F5AB}">
      <text>
        <r>
          <rPr>
            <sz val="9"/>
            <color indexed="81"/>
            <rFont val="Tahoma"/>
            <family val="2"/>
          </rPr>
          <t>Galaxy group of 10 galaxies, mostly spirals, anchored by the large 150,000 ly diameter elliptical NGC 5424</t>
        </r>
      </text>
    </comment>
    <comment ref="A2182" authorId="0" shapeId="0" xr:uid="{4C8F8B92-F9CF-4AD4-9A61-B811F6DF56FF}">
      <text>
        <r>
          <rPr>
            <sz val="9"/>
            <color indexed="81"/>
            <rFont val="Tahoma"/>
            <family val="2"/>
          </rPr>
          <t xml:space="preserve">
</t>
        </r>
      </text>
    </comment>
    <comment ref="K2182" authorId="0" shapeId="0" xr:uid="{F7C17FDF-C056-4E07-AAB5-FBEB37C8FDC2}">
      <text>
        <r>
          <rPr>
            <sz val="9"/>
            <color indexed="81"/>
            <rFont val="Tahoma"/>
            <family val="2"/>
          </rPr>
          <t>Barred distorted grand spiral.  Blue star-like object in bar is dwarf companion, likely causing the extensive disturbance.</t>
        </r>
      </text>
    </comment>
    <comment ref="A2183" authorId="0" shapeId="0" xr:uid="{BBF7DA02-A7DB-47B8-AEF7-EF4B515B568A}">
      <text>
        <r>
          <rPr>
            <sz val="9"/>
            <color indexed="81"/>
            <rFont val="Tahoma"/>
            <family val="2"/>
          </rPr>
          <t xml:space="preserve">
</t>
        </r>
      </text>
    </comment>
    <comment ref="K2183" authorId="0" shapeId="0" xr:uid="{96C5520E-A57B-4D80-9C3A-A48B2C04985A}">
      <text>
        <r>
          <rPr>
            <sz val="9"/>
            <color indexed="81"/>
            <rFont val="Tahoma"/>
            <family val="2"/>
          </rPr>
          <t>2 pseudo-rings, around mid-region and outer disk edge.  Two similar faint features appear to cross these rings, which is hard to understand.</t>
        </r>
      </text>
    </comment>
    <comment ref="A2184" authorId="0" shapeId="0" xr:uid="{DF2E0D38-F5DB-450F-81E9-0CC9A88BBF66}">
      <text>
        <r>
          <rPr>
            <sz val="9"/>
            <color indexed="81"/>
            <rFont val="Tahoma"/>
            <family val="2"/>
          </rPr>
          <t xml:space="preserve">
</t>
        </r>
      </text>
    </comment>
    <comment ref="K2184" authorId="0" shapeId="0" xr:uid="{AFC6ED8A-337C-4F67-B6AD-9C46E298ACF3}">
      <text>
        <r>
          <rPr>
            <sz val="9"/>
            <color indexed="81"/>
            <rFont val="Tahoma"/>
            <family val="2"/>
          </rPr>
          <t>Unusual sparse open cluster pattern</t>
        </r>
      </text>
    </comment>
    <comment ref="A2185" authorId="0" shapeId="0" xr:uid="{372B6F3D-2EC7-4244-8E97-EBBFE8DD03E2}">
      <text>
        <r>
          <rPr>
            <sz val="9"/>
            <color indexed="81"/>
            <rFont val="Tahoma"/>
            <family val="2"/>
          </rPr>
          <t xml:space="preserve">
</t>
        </r>
      </text>
    </comment>
    <comment ref="K2185" authorId="0" shapeId="0" xr:uid="{49A83F95-F264-4BAF-AC60-A6F07809436B}">
      <text>
        <r>
          <rPr>
            <sz val="9"/>
            <color indexed="81"/>
            <rFont val="Tahoma"/>
            <family val="2"/>
          </rPr>
          <t xml:space="preserve">Loose globular cluster with highest (XII) Shapley–Sawyer  rating </t>
        </r>
      </text>
    </comment>
    <comment ref="A2186" authorId="0" shapeId="0" xr:uid="{20191BB2-F703-4446-8BBE-85479517ACC9}">
      <text>
        <r>
          <rPr>
            <sz val="9"/>
            <color indexed="81"/>
            <rFont val="Tahoma"/>
            <family val="2"/>
          </rPr>
          <t xml:space="preserve">
</t>
        </r>
      </text>
    </comment>
    <comment ref="K2186" authorId="0" shapeId="0" xr:uid="{EFB69775-9DE1-4713-887A-08BD0F28F6A7}">
      <text>
        <r>
          <rPr>
            <sz val="9"/>
            <color indexed="81"/>
            <rFont val="Tahoma"/>
            <family val="2"/>
          </rPr>
          <t>Barred lenticular in Ursa Major</t>
        </r>
      </text>
    </comment>
    <comment ref="A2187" authorId="0" shapeId="0" xr:uid="{C3EC7516-ADE6-443B-B390-7960A9305C23}">
      <text>
        <r>
          <rPr>
            <sz val="9"/>
            <color indexed="81"/>
            <rFont val="Tahoma"/>
            <family val="2"/>
          </rPr>
          <t xml:space="preserve">
</t>
        </r>
      </text>
    </comment>
    <comment ref="K2187" authorId="0" shapeId="0" xr:uid="{152C38CB-81D4-4C9D-84DC-2063ABF99557}">
      <text>
        <r>
          <rPr>
            <sz val="9"/>
            <color indexed="81"/>
            <rFont val="Tahoma"/>
            <family val="2"/>
          </rPr>
          <t>Magellanic companion of M101.  Note offset core from gravitational interaction</t>
        </r>
      </text>
    </comment>
    <comment ref="A2188" authorId="0" shapeId="0" xr:uid="{73054360-9D5F-4A62-9235-FF5839DE6169}">
      <text>
        <r>
          <rPr>
            <sz val="9"/>
            <color indexed="81"/>
            <rFont val="Tahoma"/>
            <family val="2"/>
          </rPr>
          <t xml:space="preserve">
</t>
        </r>
      </text>
    </comment>
    <comment ref="K2188" authorId="0" shapeId="0" xr:uid="{848A40E2-5122-4A48-9338-D1AF75CDD451}">
      <text>
        <r>
          <rPr>
            <sz val="9"/>
            <color indexed="81"/>
            <rFont val="Tahoma"/>
            <family val="2"/>
          </rPr>
          <t>Odd dust band pattern - one band cuts across inner core while second band cuts across out disk.  Likely signs of a merger.</t>
        </r>
      </text>
    </comment>
    <comment ref="A2189" authorId="0" shapeId="0" xr:uid="{E8C57D27-5866-48BF-A18E-5283CE1D962E}">
      <text>
        <r>
          <rPr>
            <sz val="9"/>
            <color indexed="81"/>
            <rFont val="Tahoma"/>
            <family val="2"/>
          </rPr>
          <t xml:space="preserve">
</t>
        </r>
      </text>
    </comment>
    <comment ref="K2189" authorId="0" shapeId="0" xr:uid="{4010351C-3826-4279-8022-500179F474F5}">
      <text>
        <r>
          <rPr>
            <sz val="9"/>
            <color indexed="81"/>
            <rFont val="Tahoma"/>
            <family val="2"/>
          </rPr>
          <t>Magellanic galaxy, adjacent to NGC 5486</t>
        </r>
      </text>
    </comment>
    <comment ref="A2190" authorId="0" shapeId="0" xr:uid="{D1CF549D-64D5-47EB-B9D9-3E0B2BB08116}">
      <text>
        <r>
          <rPr>
            <sz val="9"/>
            <color indexed="81"/>
            <rFont val="Tahoma"/>
            <family val="2"/>
          </rPr>
          <t xml:space="preserve">
</t>
        </r>
      </text>
    </comment>
    <comment ref="K2190" authorId="0" shapeId="0" xr:uid="{1536BDA5-7AF9-4AE3-B879-FA4FD4EFF358}">
      <text>
        <r>
          <rPr>
            <sz val="9"/>
            <color indexed="81"/>
            <rFont val="Tahoma"/>
            <family val="2"/>
          </rPr>
          <t>Similar to the Antennae Galaxies, 2 merging galaxies with 2 cores and 400,000 ly long tail</t>
        </r>
      </text>
    </comment>
    <comment ref="A2191" authorId="0" shapeId="0" xr:uid="{8411FBB6-E38C-42D5-B3BB-44655628A365}">
      <text>
        <r>
          <rPr>
            <sz val="9"/>
            <color indexed="81"/>
            <rFont val="Tahoma"/>
            <family val="2"/>
          </rPr>
          <t xml:space="preserve">
</t>
        </r>
      </text>
    </comment>
    <comment ref="K2191" authorId="0" shapeId="0" xr:uid="{02A2F876-9B48-4CE7-9DE6-09D41E83A6D0}">
      <text>
        <r>
          <rPr>
            <sz val="9"/>
            <color indexed="81"/>
            <rFont val="Tahoma"/>
            <family val="2"/>
          </rPr>
          <t>Spiral, near edge-on, with offset core and star clouds throughout</t>
        </r>
      </text>
    </comment>
    <comment ref="A2192" authorId="0" shapeId="0" xr:uid="{2A2C2E70-FD5B-4DEE-88BD-9BAB779CDF31}">
      <text>
        <r>
          <rPr>
            <sz val="9"/>
            <color indexed="81"/>
            <rFont val="Tahoma"/>
            <family val="2"/>
          </rPr>
          <t xml:space="preserve">
</t>
        </r>
      </text>
    </comment>
    <comment ref="K2192" authorId="0" shapeId="0" xr:uid="{5FED6D7F-6674-4838-B73E-737A3067EEDF}">
      <text>
        <r>
          <rPr>
            <sz val="9"/>
            <color indexed="81"/>
            <rFont val="Tahoma"/>
            <family val="2"/>
          </rPr>
          <t>Huge superthin edge-on spiral with impressive dust lane, warped disk, and peanut-shaped ('X') core.  No central bulge</t>
        </r>
      </text>
    </comment>
    <comment ref="A2193" authorId="0" shapeId="0" xr:uid="{4CD378F3-17EC-4333-9EDA-D82A14EFA5B0}">
      <text>
        <r>
          <rPr>
            <sz val="9"/>
            <color indexed="81"/>
            <rFont val="Tahoma"/>
            <family val="2"/>
          </rPr>
          <t xml:space="preserve">
</t>
        </r>
      </text>
    </comment>
    <comment ref="K2193" authorId="0" shapeId="0" xr:uid="{819BCFAD-8AC4-4DE1-A311-13FFFDAF441A}">
      <text>
        <r>
          <rPr>
            <sz val="9"/>
            <color indexed="81"/>
            <rFont val="Tahoma"/>
            <family val="2"/>
          </rPr>
          <t>Massive Seyfert spiral with abundant star formation in arms and dust lanes around core</t>
        </r>
      </text>
    </comment>
    <comment ref="A2194" authorId="0" shapeId="0" xr:uid="{9F952A95-10EC-4D15-A877-A7EF0B22A9BD}">
      <text>
        <r>
          <rPr>
            <sz val="9"/>
            <color indexed="81"/>
            <rFont val="Tahoma"/>
            <family val="2"/>
          </rPr>
          <t xml:space="preserve">
</t>
        </r>
      </text>
    </comment>
    <comment ref="K2194" authorId="0" shapeId="0" xr:uid="{831C146D-2455-42BF-88C9-0BE4719C6EBF}">
      <text>
        <r>
          <rPr>
            <sz val="9"/>
            <color indexed="81"/>
            <rFont val="Tahoma"/>
            <family val="2"/>
          </rPr>
          <t xml:space="preserve">Barred grand design starburst spiral galaxy with bright ansae and an outer pseudo-ring.  3 small blue dwarf companions are likely causing the starburst behavior. </t>
        </r>
      </text>
    </comment>
    <comment ref="A2195" authorId="0" shapeId="0" xr:uid="{037C5D60-D311-472D-A2AE-C64E7C0D13BF}">
      <text>
        <r>
          <rPr>
            <sz val="9"/>
            <color indexed="81"/>
            <rFont val="Tahoma"/>
            <family val="2"/>
          </rPr>
          <t xml:space="preserve">
</t>
        </r>
      </text>
    </comment>
    <comment ref="K2195" authorId="0" shapeId="0" xr:uid="{55E69ED0-81DC-4885-AEDA-349A0EB7FF84}">
      <text>
        <r>
          <rPr>
            <sz val="9"/>
            <color indexed="81"/>
            <rFont val="Tahoma"/>
            <family val="2"/>
          </rPr>
          <t>Large lenticular in Bootes</t>
        </r>
      </text>
    </comment>
    <comment ref="A2196" authorId="0" shapeId="0" xr:uid="{A33C94AE-7646-4974-A457-F0E202396B77}">
      <text>
        <r>
          <rPr>
            <sz val="9"/>
            <color indexed="81"/>
            <rFont val="Tahoma"/>
            <family val="2"/>
          </rPr>
          <t xml:space="preserve">
</t>
        </r>
      </text>
    </comment>
    <comment ref="K2196" authorId="0" shapeId="0" xr:uid="{7C059454-AED6-457A-9475-9096B94B99C1}">
      <text>
        <r>
          <rPr>
            <sz val="9"/>
            <color indexed="81"/>
            <rFont val="Tahoma"/>
            <family val="2"/>
          </rPr>
          <t>Trio of galaxies in Virgo, anchored by the E3 elliptical NGC 5576</t>
        </r>
      </text>
    </comment>
    <comment ref="A2197" authorId="0" shapeId="0" xr:uid="{39E076D5-B84C-4009-AFCE-79ECEC143159}">
      <text>
        <r>
          <rPr>
            <sz val="9"/>
            <color indexed="81"/>
            <rFont val="Tahoma"/>
            <family val="2"/>
          </rPr>
          <t xml:space="preserve">
</t>
        </r>
      </text>
    </comment>
    <comment ref="K2197" authorId="0" shapeId="0" xr:uid="{547855CE-5897-4C90-8FF3-7DC924C4C539}">
      <text>
        <r>
          <rPr>
            <sz val="9"/>
            <color indexed="81"/>
            <rFont val="Tahoma"/>
            <family val="2"/>
          </rPr>
          <t>Mottled outer disk with short arms, blue star clouds and small bright core</t>
        </r>
      </text>
    </comment>
    <comment ref="A2198" authorId="0" shapeId="0" xr:uid="{FB4EC51A-EBA8-421F-8D8C-B4855D33D28D}">
      <text>
        <r>
          <rPr>
            <sz val="9"/>
            <color indexed="81"/>
            <rFont val="Tahoma"/>
            <family val="2"/>
          </rPr>
          <t xml:space="preserve">
</t>
        </r>
      </text>
    </comment>
    <comment ref="K2198" authorId="0" shapeId="0" xr:uid="{CB16D048-585B-447A-BF3C-BD95E3BF259B}">
      <text>
        <r>
          <rPr>
            <sz val="9"/>
            <color indexed="81"/>
            <rFont val="Tahoma"/>
            <family val="2"/>
          </rPr>
          <t>Magellanic galaxy with white bar, blue star clouds and single arm</t>
        </r>
      </text>
    </comment>
    <comment ref="A2199" authorId="0" shapeId="0" xr:uid="{326D358F-F381-4C19-A49F-245FF8627BC3}">
      <text>
        <r>
          <rPr>
            <sz val="9"/>
            <color indexed="81"/>
            <rFont val="Tahoma"/>
            <family val="2"/>
          </rPr>
          <t xml:space="preserve">
</t>
        </r>
      </text>
    </comment>
    <comment ref="K2199" authorId="0" shapeId="0" xr:uid="{8A8F7FBD-387A-4483-B64E-E1F5BFE9EF15}">
      <text>
        <r>
          <rPr>
            <sz val="9"/>
            <color indexed="81"/>
            <rFont val="Tahoma"/>
            <family val="2"/>
          </rPr>
          <t>Pair of interacting galaxies connected by a short star stream bridge</t>
        </r>
      </text>
    </comment>
    <comment ref="A2200" authorId="0" shapeId="0" xr:uid="{05AD81A3-2433-44E3-AC09-48C07BE12517}">
      <text>
        <r>
          <rPr>
            <sz val="9"/>
            <color indexed="81"/>
            <rFont val="Tahoma"/>
            <family val="2"/>
          </rPr>
          <t xml:space="preserve">
</t>
        </r>
      </text>
    </comment>
    <comment ref="K2200" authorId="0" shapeId="0" xr:uid="{0EF4D3E8-12D9-4EC5-BCCB-8CA435B1A859}">
      <text>
        <r>
          <rPr>
            <sz val="9"/>
            <color indexed="81"/>
            <rFont val="Tahoma"/>
            <family val="2"/>
          </rPr>
          <t>Interesting view, with Milky Way sized NGC 5599 at 300 million ly, and the rest of the group much further away at 700 million light years</t>
        </r>
      </text>
    </comment>
    <comment ref="A2201" authorId="0" shapeId="0" xr:uid="{5145BFBC-16DF-40F8-A0E2-4C2A76AD29D1}">
      <text>
        <r>
          <rPr>
            <sz val="9"/>
            <color indexed="81"/>
            <rFont val="Tahoma"/>
            <family val="2"/>
          </rPr>
          <t xml:space="preserve">
</t>
        </r>
      </text>
    </comment>
    <comment ref="K2201" authorId="0" shapeId="0" xr:uid="{0D9C7D1C-4B61-43EF-9790-38D93FAE159B}">
      <text>
        <r>
          <rPr>
            <sz val="9"/>
            <color indexed="81"/>
            <rFont val="Tahoma"/>
            <family val="2"/>
          </rPr>
          <t>Lenticular galaxy with both a lens inner disk and a lens outer disk.</t>
        </r>
      </text>
    </comment>
    <comment ref="A2202" authorId="0" shapeId="0" xr:uid="{D45696D3-754B-4DC8-B2B2-C7033AE44C92}">
      <text>
        <r>
          <rPr>
            <sz val="9"/>
            <color indexed="81"/>
            <rFont val="Tahoma"/>
            <family val="2"/>
          </rPr>
          <t xml:space="preserve">
</t>
        </r>
      </text>
    </comment>
    <comment ref="K2202" authorId="0" shapeId="0" xr:uid="{D15E9BAB-0D40-40CD-BB87-3A433A98F304}">
      <text>
        <r>
          <rPr>
            <sz val="9"/>
            <color indexed="81"/>
            <rFont val="Tahoma"/>
            <family val="2"/>
          </rPr>
          <t>Fine open cluster adjacent to Pismis 19</t>
        </r>
      </text>
    </comment>
    <comment ref="A2203" authorId="0" shapeId="0" xr:uid="{87F45427-2F08-469D-A33B-CF0111309E9D}">
      <text>
        <r>
          <rPr>
            <sz val="9"/>
            <color indexed="81"/>
            <rFont val="Tahoma"/>
            <family val="2"/>
          </rPr>
          <t xml:space="preserve">
</t>
        </r>
      </text>
    </comment>
    <comment ref="K2203" authorId="0" shapeId="0" xr:uid="{145CD68E-9A3F-4392-BBBD-56F5CB6A6909}">
      <text>
        <r>
          <rPr>
            <sz val="9"/>
            <color indexed="81"/>
            <rFont val="Tahoma"/>
            <family val="2"/>
          </rPr>
          <t xml:space="preserve">Barred spiral galaxy with 2 pseudo-rings - inner and outer.  </t>
        </r>
      </text>
    </comment>
    <comment ref="A2204" authorId="0" shapeId="0" xr:uid="{8F8D8FEE-114D-426D-AC02-C1DA3074303E}">
      <text>
        <r>
          <rPr>
            <sz val="9"/>
            <color indexed="81"/>
            <rFont val="Tahoma"/>
            <family val="2"/>
          </rPr>
          <t xml:space="preserve">
</t>
        </r>
      </text>
    </comment>
    <comment ref="K2204" authorId="0" shapeId="0" xr:uid="{25CDBCBE-BD7E-43C6-BE48-7AEA015697D9}">
      <text>
        <r>
          <rPr>
            <sz val="9"/>
            <color indexed="81"/>
            <rFont val="Tahoma"/>
            <family val="2"/>
          </rPr>
          <t>Face-on lenticular with dust lanes</t>
        </r>
      </text>
    </comment>
    <comment ref="A2205" authorId="0" shapeId="0" xr:uid="{E32CC2AA-2F0D-4A50-9195-D3C7711D5EE2}">
      <text>
        <r>
          <rPr>
            <sz val="9"/>
            <color indexed="81"/>
            <rFont val="Tahoma"/>
            <family val="2"/>
          </rPr>
          <t xml:space="preserve">
</t>
        </r>
      </text>
    </comment>
    <comment ref="K2205" authorId="0" shapeId="0" xr:uid="{F873A371-8E4B-4965-B7BB-1E0EB8489EB2}">
      <text>
        <r>
          <rPr>
            <sz val="9"/>
            <color indexed="81"/>
            <rFont val="Tahoma"/>
            <family val="2"/>
          </rPr>
          <t>Distant concentrated globular cluster in Virgo</t>
        </r>
      </text>
    </comment>
    <comment ref="A2206" authorId="0" shapeId="0" xr:uid="{18546EF3-17E1-4FF4-BD5F-9CE9BEE41BC4}">
      <text>
        <r>
          <rPr>
            <sz val="9"/>
            <color indexed="81"/>
            <rFont val="Tahoma"/>
            <family val="2"/>
          </rPr>
          <t xml:space="preserve">
</t>
        </r>
      </text>
    </comment>
    <comment ref="K2206" authorId="0" shapeId="0" xr:uid="{56EC994A-E945-42E6-A4C9-D39A89AFC844}">
      <text>
        <r>
          <rPr>
            <sz val="9"/>
            <color indexed="81"/>
            <rFont val="Tahoma"/>
            <family val="2"/>
          </rPr>
          <t>Pair of non-interacting galaxies in Virgo.</t>
        </r>
      </text>
    </comment>
    <comment ref="A2207" authorId="0" shapeId="0" xr:uid="{FF96A84B-E24C-4A84-B45C-E88CA23A648D}">
      <text>
        <r>
          <rPr>
            <sz val="9"/>
            <color indexed="81"/>
            <rFont val="Tahoma"/>
            <family val="2"/>
          </rPr>
          <t xml:space="preserve">
</t>
        </r>
      </text>
    </comment>
    <comment ref="K2207" authorId="0" shapeId="0" xr:uid="{191F74FC-EC65-45C7-B8B4-54DE587C7714}">
      <text>
        <r>
          <rPr>
            <sz val="9"/>
            <color indexed="81"/>
            <rFont val="Tahoma"/>
            <family val="2"/>
          </rPr>
          <t>Tight core, long bar, and several VV rows in this barred face-on spiral</t>
        </r>
      </text>
    </comment>
    <comment ref="A2208" authorId="0" shapeId="0" xr:uid="{D90A3179-7D6B-425E-848D-8C53DC44ECCC}">
      <text>
        <r>
          <rPr>
            <sz val="9"/>
            <color indexed="81"/>
            <rFont val="Tahoma"/>
            <family val="2"/>
          </rPr>
          <t xml:space="preserve">
</t>
        </r>
      </text>
    </comment>
    <comment ref="K2208" authorId="0" shapeId="0" xr:uid="{44A96D10-DEF0-461D-831F-327018E35DB4}">
      <text>
        <r>
          <rPr>
            <sz val="9"/>
            <color indexed="81"/>
            <rFont val="Tahoma"/>
            <family val="2"/>
          </rPr>
          <t>Open cluster in Centaurus</t>
        </r>
      </text>
    </comment>
    <comment ref="A2209" authorId="0" shapeId="0" xr:uid="{5B97BE2A-D1D8-4DFB-BB95-2CBC8D221F20}">
      <text>
        <r>
          <rPr>
            <sz val="9"/>
            <color indexed="81"/>
            <rFont val="Tahoma"/>
            <family val="2"/>
          </rPr>
          <t xml:space="preserve">
</t>
        </r>
      </text>
    </comment>
    <comment ref="K2209" authorId="0" shapeId="0" xr:uid="{63152932-E946-40BD-9E2F-EB4A2F2FB430}">
      <text>
        <r>
          <rPr>
            <sz val="9"/>
            <color indexed="81"/>
            <rFont val="Tahoma"/>
            <family val="2"/>
          </rPr>
          <t>Ragged disk and disrupted arm structure.  Blue disk color indicates star formation ongoing.  Star clouds visible throughout disk</t>
        </r>
      </text>
    </comment>
    <comment ref="A2210" authorId="0" shapeId="0" xr:uid="{C517B3B4-1B88-4C36-B5B1-E28D43F3208D}">
      <text>
        <r>
          <rPr>
            <sz val="9"/>
            <color indexed="81"/>
            <rFont val="Tahoma"/>
            <family val="2"/>
          </rPr>
          <t xml:space="preserve">
</t>
        </r>
      </text>
    </comment>
    <comment ref="K2210" authorId="0" shapeId="0" xr:uid="{85CF6DC2-1842-4F55-BFA4-7CE6DA611DF4}">
      <text>
        <r>
          <rPr>
            <sz val="9"/>
            <color indexed="81"/>
            <rFont val="Tahoma"/>
            <family val="2"/>
          </rPr>
          <t>Blue edge-on spiral.  Image with the brighter adjacent IC1029</t>
        </r>
      </text>
    </comment>
    <comment ref="A2211" authorId="0" shapeId="0" xr:uid="{15E06FF8-979F-4FB0-8629-CEC6101F2B75}">
      <text>
        <r>
          <rPr>
            <sz val="9"/>
            <color indexed="81"/>
            <rFont val="Tahoma"/>
            <family val="2"/>
          </rPr>
          <t xml:space="preserve">
</t>
        </r>
      </text>
    </comment>
    <comment ref="K2211" authorId="0" shapeId="0" xr:uid="{85D6D95C-7399-49D0-8FAE-C0CFC29D8F65}">
      <text>
        <r>
          <rPr>
            <sz val="9"/>
            <color indexed="81"/>
            <rFont val="Tahoma"/>
            <family val="2"/>
          </rPr>
          <t>Disturbed galaxy with offset core and asymmetric disk, dominated by long arm on one side of disk while the opposite side is void.</t>
        </r>
      </text>
    </comment>
    <comment ref="A2212" authorId="0" shapeId="0" xr:uid="{77379688-CBBF-41B0-BB1A-DCEDF7397EC5}">
      <text>
        <r>
          <rPr>
            <sz val="9"/>
            <color indexed="81"/>
            <rFont val="Tahoma"/>
            <family val="2"/>
          </rPr>
          <t xml:space="preserve">
</t>
        </r>
      </text>
    </comment>
    <comment ref="K2212" authorId="0" shapeId="0" xr:uid="{9B9E40BF-0328-4988-A6E1-3AAC2871E286}">
      <text>
        <r>
          <rPr>
            <sz val="9"/>
            <color indexed="81"/>
            <rFont val="Tahoma"/>
            <family val="2"/>
          </rPr>
          <t>Photogenic group of 4 galaxies, all at different distances, highlighted by NGC5689, an edge-on spiral with dual mid-line dust lanes, bright glowing core, and warped disk</t>
        </r>
      </text>
    </comment>
    <comment ref="A2213" authorId="0" shapeId="0" xr:uid="{C13ABE73-D158-4A19-8DDD-B796AFD3820E}">
      <text>
        <r>
          <rPr>
            <sz val="9"/>
            <color indexed="81"/>
            <rFont val="Tahoma"/>
            <family val="2"/>
          </rPr>
          <t xml:space="preserve">
</t>
        </r>
      </text>
    </comment>
    <comment ref="K2213" authorId="0" shapeId="0" xr:uid="{4130602E-33E8-43FE-AF12-C457E6CCD4D0}">
      <text>
        <r>
          <rPr>
            <sz val="9"/>
            <color indexed="81"/>
            <rFont val="Tahoma"/>
            <family val="2"/>
          </rPr>
          <t>Almost as far away as the diameter of our galaxy, this faint cluster is one of the most remote globular clusters.</t>
        </r>
      </text>
    </comment>
    <comment ref="A2214" authorId="0" shapeId="0" xr:uid="{7D42451A-F201-40AF-8AFF-8DDC9B7164E0}">
      <text>
        <r>
          <rPr>
            <sz val="9"/>
            <color indexed="81"/>
            <rFont val="Tahoma"/>
            <family val="2"/>
          </rPr>
          <t xml:space="preserve">
</t>
        </r>
      </text>
    </comment>
    <comment ref="K2214" authorId="0" shapeId="0" xr:uid="{384B04D2-7E3A-46B7-B49B-52C3A9FF6615}">
      <text>
        <r>
          <rPr>
            <sz val="9"/>
            <color indexed="81"/>
            <rFont val="Tahoma"/>
            <family val="2"/>
          </rPr>
          <t>Graceful barred lenticular.  Small galaxy seen through the disk is 10x further away.</t>
        </r>
      </text>
    </comment>
    <comment ref="A2215" authorId="0" shapeId="0" xr:uid="{7DB557B3-DF45-42EB-A7DA-F4689B23ECDD}">
      <text>
        <r>
          <rPr>
            <sz val="9"/>
            <color indexed="81"/>
            <rFont val="Tahoma"/>
            <family val="2"/>
          </rPr>
          <t xml:space="preserve">
</t>
        </r>
      </text>
    </comment>
    <comment ref="K2215" authorId="0" shapeId="0" xr:uid="{073A009C-107F-42DE-97B9-33B8738C8D11}">
      <text>
        <r>
          <rPr>
            <sz val="9"/>
            <color indexed="81"/>
            <rFont val="Tahoma"/>
            <family val="2"/>
          </rPr>
          <t>Disturbed barred spiral, close to face-on, with no distinct arm structure, a bright inner disk, an asymmetric core and large dust lane, purple HII regions, and the bottom half of the disk has a blue tint.  Image with NGC5719</t>
        </r>
      </text>
    </comment>
    <comment ref="A2216" authorId="0" shapeId="0" xr:uid="{D7728B28-D9AE-491B-94E0-6B6E2278686F}">
      <text>
        <r>
          <rPr>
            <sz val="9"/>
            <color indexed="81"/>
            <rFont val="Tahoma"/>
            <family val="2"/>
          </rPr>
          <t xml:space="preserve">
</t>
        </r>
      </text>
    </comment>
    <comment ref="K2216" authorId="0" shapeId="0" xr:uid="{09ECFB6D-7C5C-4A3D-9C2F-C15BD1F8DDB4}">
      <text>
        <r>
          <rPr>
            <sz val="9"/>
            <color indexed="81"/>
            <rFont val="Tahoma"/>
            <family val="2"/>
          </rPr>
          <t>Disturbed barred spiral disk, almost edge-on, with wide dark dust lane cutting across at an odd angle.  Image with NGC5719</t>
        </r>
      </text>
    </comment>
    <comment ref="A2217" authorId="0" shapeId="0" xr:uid="{1DC1B447-3650-41AE-98ED-C607090894B2}">
      <text>
        <r>
          <rPr>
            <sz val="9"/>
            <color indexed="81"/>
            <rFont val="Tahoma"/>
            <family val="2"/>
          </rPr>
          <t xml:space="preserve">
</t>
        </r>
      </text>
    </comment>
    <comment ref="K2217" authorId="0" shapeId="0" xr:uid="{49293CFD-CC25-4B2B-BA4A-FB61F47688C7}">
      <text>
        <r>
          <rPr>
            <sz val="9"/>
            <color indexed="81"/>
            <rFont val="Tahoma"/>
            <family val="2"/>
          </rPr>
          <t>Barred Seyfert spiral with huge bar and 4 ring structures, including nuclear ring</t>
        </r>
      </text>
    </comment>
    <comment ref="A2218" authorId="0" shapeId="0" xr:uid="{729DA841-F121-4178-9801-2B19196A85A3}">
      <text>
        <r>
          <rPr>
            <sz val="9"/>
            <color indexed="81"/>
            <rFont val="Tahoma"/>
            <family val="2"/>
          </rPr>
          <t xml:space="preserve">
</t>
        </r>
      </text>
    </comment>
    <comment ref="K2218" authorId="0" shapeId="0" xr:uid="{102E03AD-F6CB-45F6-81D4-5AD67F4BFB82}">
      <text>
        <r>
          <rPr>
            <sz val="9"/>
            <color indexed="81"/>
            <rFont val="Tahoma"/>
            <family val="2"/>
          </rPr>
          <t>Edge-on galaxy with peanut-shaped (X-shaped) core peaking just above dark mid-line dust lane</t>
        </r>
      </text>
    </comment>
    <comment ref="A2219" authorId="0" shapeId="0" xr:uid="{96BDA7FC-D4F3-47DA-90A0-9D80A5C0A606}">
      <text>
        <r>
          <rPr>
            <sz val="9"/>
            <color indexed="81"/>
            <rFont val="Tahoma"/>
            <family val="2"/>
          </rPr>
          <t xml:space="preserve">
</t>
        </r>
      </text>
    </comment>
    <comment ref="K2219" authorId="0" shapeId="0" xr:uid="{2002623F-AF6B-4002-9896-E703935429A8}">
      <text>
        <r>
          <rPr>
            <sz val="9"/>
            <color indexed="81"/>
            <rFont val="Tahoma"/>
            <family val="2"/>
          </rPr>
          <t>Unimpressive open cluster</t>
        </r>
      </text>
    </comment>
    <comment ref="A2220" authorId="0" shapeId="0" xr:uid="{81146ADF-684D-47E2-83E0-0FA3E11E03F0}">
      <text>
        <r>
          <rPr>
            <sz val="9"/>
            <color indexed="81"/>
            <rFont val="Tahoma"/>
            <family val="2"/>
          </rPr>
          <t xml:space="preserve">
</t>
        </r>
      </text>
    </comment>
    <comment ref="K2220" authorId="0" shapeId="0" xr:uid="{FA5E7147-5CD2-4BF0-9462-85FFC293BB01}">
      <text>
        <r>
          <rPr>
            <sz val="9"/>
            <color indexed="81"/>
            <rFont val="Tahoma"/>
            <family val="2"/>
          </rPr>
          <t>Barred spiral with bright small core that has a dark dust band cutting across the upper portion, a star-forming inner ring, and a diffuse outer disk with star plume</t>
        </r>
      </text>
    </comment>
    <comment ref="A2221" authorId="0" shapeId="0" xr:uid="{2629D555-6BE1-4EBA-B4EB-BEBE2621C7A4}">
      <text>
        <r>
          <rPr>
            <sz val="9"/>
            <color indexed="81"/>
            <rFont val="Tahoma"/>
            <family val="2"/>
          </rPr>
          <t xml:space="preserve">
</t>
        </r>
      </text>
    </comment>
    <comment ref="K2221" authorId="0" shapeId="0" xr:uid="{4C924879-F553-4D3D-8FB5-C5A5E66EC1E3}">
      <text>
        <r>
          <rPr>
            <sz val="9"/>
            <color indexed="81"/>
            <rFont val="Tahoma"/>
            <family val="2"/>
          </rPr>
          <t>Two merging galaxies connected by a star stream bridge.  Southern galaxy has fascinating wavy ring.</t>
        </r>
      </text>
    </comment>
    <comment ref="A2222" authorId="0" shapeId="0" xr:uid="{7D200F8C-CB1D-4B57-A956-03CAF246D813}">
      <text>
        <r>
          <rPr>
            <sz val="9"/>
            <color indexed="81"/>
            <rFont val="Tahoma"/>
            <family val="2"/>
          </rPr>
          <t xml:space="preserve">
</t>
        </r>
      </text>
    </comment>
    <comment ref="K2222" authorId="0" shapeId="0" xr:uid="{7A0E1F03-66C6-4640-8D36-75F4F834DCDE}">
      <text>
        <r>
          <rPr>
            <sz val="9"/>
            <color indexed="81"/>
            <rFont val="Tahoma"/>
            <family val="2"/>
          </rPr>
          <t>Interacting blue and yellow pair, with close cores and extended star stream tails</t>
        </r>
      </text>
    </comment>
    <comment ref="A2223" authorId="0" shapeId="0" xr:uid="{29AE9EED-D760-429F-9235-8C030B34F3F4}">
      <text>
        <r>
          <rPr>
            <sz val="9"/>
            <color indexed="81"/>
            <rFont val="Tahoma"/>
            <family val="2"/>
          </rPr>
          <t xml:space="preserve">
</t>
        </r>
      </text>
    </comment>
    <comment ref="K2223" authorId="0" shapeId="0" xr:uid="{894E96EB-55B3-41BA-AA85-79FA52BB949D}">
      <text>
        <r>
          <rPr>
            <sz val="9"/>
            <color indexed="81"/>
            <rFont val="Tahoma"/>
            <family val="2"/>
          </rPr>
          <t>Interacting pair of blue (face-on) and yellow (edge-on) galaxies.  No visible bridge yet</t>
        </r>
      </text>
    </comment>
    <comment ref="A2224" authorId="0" shapeId="0" xr:uid="{FF1DDE36-189B-4CCB-92A6-85722CD0B47F}">
      <text>
        <r>
          <rPr>
            <sz val="9"/>
            <color indexed="81"/>
            <rFont val="Tahoma"/>
            <family val="2"/>
          </rPr>
          <t xml:space="preserve">
</t>
        </r>
      </text>
    </comment>
    <comment ref="K2224" authorId="0" shapeId="0" xr:uid="{916AE0CF-3640-4099-9597-EF50A4BAE83B}">
      <text>
        <r>
          <rPr>
            <sz val="9"/>
            <color indexed="81"/>
            <rFont val="Tahoma"/>
            <family val="2"/>
          </rPr>
          <t>Barred grand design spiral, close to edge-on, with dramatic dust lanes and amazing 'H' disk shape</t>
        </r>
      </text>
    </comment>
    <comment ref="A2225" authorId="0" shapeId="0" xr:uid="{2A88F5F4-2AA1-4A97-BA1E-6DDD510A2D97}">
      <text>
        <r>
          <rPr>
            <sz val="9"/>
            <color indexed="81"/>
            <rFont val="Tahoma"/>
            <family val="2"/>
          </rPr>
          <t xml:space="preserve">
</t>
        </r>
      </text>
    </comment>
    <comment ref="K2225" authorId="0" shapeId="0" xr:uid="{625933A8-F01C-488B-9EE8-F5804785FFDE}">
      <text>
        <r>
          <rPr>
            <sz val="9"/>
            <color indexed="81"/>
            <rFont val="Tahoma"/>
            <family val="2"/>
          </rPr>
          <t>Elliptical with interesting shock fronts that are tough to capture in an image</t>
        </r>
      </text>
    </comment>
    <comment ref="A2226" authorId="0" shapeId="0" xr:uid="{3ED6A274-5BCB-4A17-B9BF-FC9B1F4BAF3D}">
      <text>
        <r>
          <rPr>
            <sz val="9"/>
            <color indexed="81"/>
            <rFont val="Tahoma"/>
            <family val="2"/>
          </rPr>
          <t xml:space="preserve">
</t>
        </r>
      </text>
    </comment>
    <comment ref="K2226" authorId="0" shapeId="0" xr:uid="{4EA5B57D-AA3C-4BE1-9489-FDA3AEAC1EA2}">
      <text>
        <r>
          <rPr>
            <sz val="9"/>
            <color indexed="81"/>
            <rFont val="Tahoma"/>
            <family val="2"/>
          </rPr>
          <t>Unassuming dispersed open cluster of similar magnitude stars</t>
        </r>
      </text>
    </comment>
    <comment ref="A2227" authorId="0" shapeId="0" xr:uid="{073BDC68-55AD-411D-9FFA-FAB302444D3B}">
      <text>
        <r>
          <rPr>
            <sz val="9"/>
            <color indexed="81"/>
            <rFont val="Tahoma"/>
            <family val="2"/>
          </rPr>
          <t xml:space="preserve">
</t>
        </r>
      </text>
    </comment>
    <comment ref="K2227" authorId="0" shapeId="0" xr:uid="{B4B9E017-F02D-4E43-BD07-5235BC28E842}">
      <text>
        <r>
          <rPr>
            <sz val="9"/>
            <color indexed="81"/>
            <rFont val="Tahoma"/>
            <family val="2"/>
          </rPr>
          <t>Uniform brightness circular open cluster that is not well distinguished from background</t>
        </r>
      </text>
    </comment>
    <comment ref="A2228" authorId="0" shapeId="0" xr:uid="{C12AC02C-2464-4486-95CD-B441D929131B}">
      <text>
        <r>
          <rPr>
            <sz val="9"/>
            <color indexed="81"/>
            <rFont val="Tahoma"/>
            <family val="2"/>
          </rPr>
          <t xml:space="preserve">
</t>
        </r>
      </text>
    </comment>
    <comment ref="K2228" authorId="0" shapeId="0" xr:uid="{170C255A-8B2A-4988-AE08-16C638FFAFF3}">
      <text>
        <r>
          <rPr>
            <sz val="9"/>
            <color indexed="81"/>
            <rFont val="Tahoma"/>
            <family val="2"/>
          </rPr>
          <t>Distant concentrated globular cluster</t>
        </r>
      </text>
    </comment>
    <comment ref="A2229" authorId="0" shapeId="0" xr:uid="{D3715A33-2B3B-43AC-9895-AF69E35EAC75}">
      <text>
        <r>
          <rPr>
            <sz val="9"/>
            <color indexed="81"/>
            <rFont val="Tahoma"/>
            <family val="2"/>
          </rPr>
          <t xml:space="preserve">
</t>
        </r>
      </text>
    </comment>
    <comment ref="K2229" authorId="0" shapeId="0" xr:uid="{3780BB0A-FFA2-4004-8D40-A4D347747AD0}">
      <text>
        <r>
          <rPr>
            <sz val="9"/>
            <color indexed="81"/>
            <rFont val="Tahoma"/>
            <family val="2"/>
          </rPr>
          <t>M27-like bipolar PN</t>
        </r>
      </text>
    </comment>
    <comment ref="A2230" authorId="0" shapeId="0" xr:uid="{6FC7C21C-8753-4F8F-8560-5EC5ED0051EA}">
      <text>
        <r>
          <rPr>
            <sz val="9"/>
            <color indexed="81"/>
            <rFont val="Tahoma"/>
            <family val="2"/>
          </rPr>
          <t xml:space="preserve">
</t>
        </r>
      </text>
    </comment>
    <comment ref="K2230" authorId="0" shapeId="0" xr:uid="{C289462C-AEB3-472E-B555-0AC7792D2A73}">
      <text>
        <r>
          <rPr>
            <sz val="9"/>
            <color indexed="81"/>
            <rFont val="Tahoma"/>
            <family val="2"/>
          </rPr>
          <t>Elliptical seen with companion, no interaction observed.  Image with NGC5850</t>
        </r>
      </text>
    </comment>
    <comment ref="A2231" authorId="0" shapeId="0" xr:uid="{6458C05C-80BC-460B-935F-8C18A6F6BD41}">
      <text>
        <r>
          <rPr>
            <sz val="9"/>
            <color indexed="81"/>
            <rFont val="Tahoma"/>
            <family val="2"/>
          </rPr>
          <t xml:space="preserve">
</t>
        </r>
      </text>
    </comment>
    <comment ref="K2231" authorId="0" shapeId="0" xr:uid="{B4EB81A6-766D-464F-83C0-E7D0B421CF14}">
      <text>
        <r>
          <rPr>
            <sz val="9"/>
            <color indexed="81"/>
            <rFont val="Tahoma"/>
            <family val="2"/>
          </rPr>
          <t>Barred spiral with tremendous long bar, including barlens, plus inn pseudo-ring.  Image with NGC5846</t>
        </r>
      </text>
    </comment>
    <comment ref="A2232" authorId="0" shapeId="0" xr:uid="{1A2CD50F-590A-4C2E-9F31-E46E58AB8CBF}">
      <text>
        <r>
          <rPr>
            <sz val="9"/>
            <color indexed="81"/>
            <rFont val="Tahoma"/>
            <family val="2"/>
          </rPr>
          <t xml:space="preserve">
</t>
        </r>
      </text>
    </comment>
    <comment ref="K2232" authorId="0" shapeId="0" xr:uid="{FD958B3F-50B0-46EF-A38A-A06CFA239D77}">
      <text>
        <r>
          <rPr>
            <sz val="9"/>
            <color indexed="81"/>
            <rFont val="Tahoma"/>
            <family val="2"/>
          </rPr>
          <t>Trio of Bootes galaxies, each about 100,000 ly in diameter, in a tight 3' circle</t>
        </r>
      </text>
    </comment>
    <comment ref="A2233" authorId="0" shapeId="0" xr:uid="{C68251C8-C909-4995-9EC5-E13723610944}">
      <text>
        <r>
          <rPr>
            <sz val="9"/>
            <color indexed="81"/>
            <rFont val="Tahoma"/>
            <family val="2"/>
          </rPr>
          <t xml:space="preserve">
</t>
        </r>
      </text>
    </comment>
    <comment ref="K2233" authorId="0" shapeId="0" xr:uid="{544B7EF3-0B40-4639-9727-080B7B288953}">
      <text>
        <r>
          <rPr>
            <sz val="9"/>
            <color indexed="81"/>
            <rFont val="Tahoma"/>
            <family val="2"/>
          </rPr>
          <t>Pair of similarly inclined barred spirals in Bootes, at much different distances.  NGC 5859 is larger and 160 million ly away.  NGC 5857 is much smaller and about half as far away.</t>
        </r>
      </text>
    </comment>
    <comment ref="A2234" authorId="0" shapeId="0" xr:uid="{596FECC0-9BE1-442A-8991-8FEE8FBD83AE}">
      <text>
        <r>
          <rPr>
            <sz val="9"/>
            <color indexed="81"/>
            <rFont val="Tahoma"/>
            <family val="2"/>
          </rPr>
          <t xml:space="preserve">
</t>
        </r>
      </text>
    </comment>
    <comment ref="K2234" authorId="0" shapeId="0" xr:uid="{9959A7D5-953D-47F2-87F3-DCC085886F3F}">
      <text>
        <r>
          <rPr>
            <sz val="9"/>
            <color indexed="81"/>
            <rFont val="Tahoma"/>
            <family val="2"/>
          </rPr>
          <t>Single galaxy disk with 2 cores, blue and yellow</t>
        </r>
      </text>
    </comment>
    <comment ref="A2235" authorId="0" shapeId="0" xr:uid="{AD1A60C2-35CD-474E-9CDD-26CDC072A826}">
      <text>
        <r>
          <rPr>
            <sz val="9"/>
            <color indexed="81"/>
            <rFont val="Tahoma"/>
            <family val="2"/>
          </rPr>
          <t xml:space="preserve">
</t>
        </r>
      </text>
    </comment>
    <comment ref="K2235" authorId="0" shapeId="0" xr:uid="{68F383A4-EA90-4CD5-A17C-6DF745E1557A}">
      <text>
        <r>
          <rPr>
            <sz val="9"/>
            <color indexed="81"/>
            <rFont val="Tahoma"/>
            <family val="2"/>
          </rPr>
          <t>Barred grand design spiral with some disturbance in the northwest disk quadrant</t>
        </r>
      </text>
    </comment>
    <comment ref="A2236" authorId="0" shapeId="0" xr:uid="{E534A72C-DF41-4875-B796-401B8837691A}">
      <text>
        <r>
          <rPr>
            <sz val="9"/>
            <color indexed="81"/>
            <rFont val="Tahoma"/>
            <family val="2"/>
          </rPr>
          <t xml:space="preserve">
</t>
        </r>
      </text>
    </comment>
    <comment ref="K2236" authorId="0" shapeId="0" xr:uid="{6EF50A22-EF63-4800-9332-BA9504E19B2F}">
      <text>
        <r>
          <rPr>
            <sz val="9"/>
            <color indexed="81"/>
            <rFont val="Tahoma"/>
            <family val="2"/>
          </rPr>
          <t>Some arm structure and dust bands, but most of disk flocculent.  Offset core.  Possible companion</t>
        </r>
      </text>
    </comment>
    <comment ref="A2237" authorId="0" shapeId="0" xr:uid="{594714C7-A2A8-46B4-805F-AA38989780AB}">
      <text>
        <r>
          <rPr>
            <sz val="9"/>
            <color indexed="81"/>
            <rFont val="Tahoma"/>
            <family val="2"/>
          </rPr>
          <t xml:space="preserve">
</t>
        </r>
      </text>
    </comment>
    <comment ref="K2237" authorId="0" shapeId="0" xr:uid="{57D902C8-9CAA-4B60-AC45-13A2B5C1EDC2}">
      <text>
        <r>
          <rPr>
            <sz val="9"/>
            <color indexed="81"/>
            <rFont val="Tahoma"/>
            <family val="2"/>
          </rPr>
          <t>Inner disk with bright lens, yellow core and slight spiral shape.  Faint outer disk with little detail</t>
        </r>
      </text>
    </comment>
    <comment ref="A2238" authorId="0" shapeId="0" xr:uid="{15BF4278-1B98-4100-B766-9C9964EB3838}">
      <text>
        <r>
          <rPr>
            <sz val="9"/>
            <color indexed="81"/>
            <rFont val="Tahoma"/>
            <family val="2"/>
          </rPr>
          <t xml:space="preserve">
</t>
        </r>
      </text>
    </comment>
    <comment ref="K2238" authorId="0" shapeId="0" xr:uid="{8ECDC822-DFD7-42E0-8374-CA90AE4E1A27}">
      <text>
        <r>
          <rPr>
            <sz val="9"/>
            <color indexed="81"/>
            <rFont val="Tahoma"/>
            <family val="2"/>
          </rPr>
          <t>Large loose globular cluster</t>
        </r>
      </text>
    </comment>
    <comment ref="A2239" authorId="0" shapeId="0" xr:uid="{7F82ADFD-18E3-40DF-8D50-3DC50F7AB8BF}">
      <text>
        <r>
          <rPr>
            <sz val="9"/>
            <color indexed="81"/>
            <rFont val="Tahoma"/>
            <family val="2"/>
          </rPr>
          <t xml:space="preserve">
</t>
        </r>
      </text>
    </comment>
    <comment ref="K2239" authorId="0" shapeId="0" xr:uid="{859688E1-0223-4536-9ED3-38E0EF9D0955}">
      <text>
        <r>
          <rPr>
            <sz val="9"/>
            <color indexed="81"/>
            <rFont val="Tahoma"/>
            <family val="2"/>
          </rPr>
          <t>Asymmetric barred disk structure with strong arm.  Image with NGC5900</t>
        </r>
      </text>
    </comment>
    <comment ref="A2240" authorId="0" shapeId="0" xr:uid="{6F1CE292-E934-450F-8949-A981DA3D7330}">
      <text>
        <r>
          <rPr>
            <sz val="9"/>
            <color indexed="81"/>
            <rFont val="Tahoma"/>
            <family val="2"/>
          </rPr>
          <t xml:space="preserve">
</t>
        </r>
      </text>
    </comment>
    <comment ref="K2240" authorId="0" shapeId="0" xr:uid="{94273A2C-05B6-4A26-93A2-C1B65CE23D80}">
      <text>
        <r>
          <rPr>
            <sz val="9"/>
            <color indexed="81"/>
            <rFont val="Tahoma"/>
            <family val="2"/>
          </rPr>
          <t>Edge-on spiral with core peaking out over dramatic dust lane.  Faint star stream arcs toward NGC5899</t>
        </r>
      </text>
    </comment>
    <comment ref="A2241" authorId="0" shapeId="0" xr:uid="{BFC9C0A6-E5FC-428C-9F60-CE96C66D47DA}">
      <text>
        <r>
          <rPr>
            <sz val="9"/>
            <color indexed="81"/>
            <rFont val="Tahoma"/>
            <family val="2"/>
          </rPr>
          <t xml:space="preserve">
</t>
        </r>
      </text>
    </comment>
    <comment ref="K2241" authorId="0" shapeId="0" xr:uid="{F03CD016-DF50-4368-A8CD-C01CC1EAF2EF}">
      <text>
        <r>
          <rPr>
            <sz val="9"/>
            <color indexed="81"/>
            <rFont val="Tahoma"/>
            <family val="2"/>
          </rPr>
          <t>Large barred ring galaxy with blue star clouds and 3 strong arms.  Image with NGC5908</t>
        </r>
      </text>
    </comment>
    <comment ref="A2242" authorId="0" shapeId="0" xr:uid="{089242C6-3983-4604-8666-9038D774C63D}">
      <text>
        <r>
          <rPr>
            <sz val="9"/>
            <color indexed="81"/>
            <rFont val="Tahoma"/>
            <family val="2"/>
          </rPr>
          <t xml:space="preserve">
</t>
        </r>
      </text>
    </comment>
    <comment ref="K2242" authorId="0" shapeId="0" xr:uid="{B37DB3B1-629F-4701-88A8-80634F36FF8A}">
      <text>
        <r>
          <rPr>
            <sz val="9"/>
            <color indexed="81"/>
            <rFont val="Tahoma"/>
            <family val="2"/>
          </rPr>
          <t>Large superthin galaxy with weak dust lane and weak central bulge.  Slight warped disk.</t>
        </r>
      </text>
    </comment>
    <comment ref="A2243" authorId="0" shapeId="0" xr:uid="{799362BF-E3DA-41E6-B4A7-8D1E9D74EC69}">
      <text>
        <r>
          <rPr>
            <sz val="9"/>
            <color indexed="81"/>
            <rFont val="Tahoma"/>
            <family val="2"/>
          </rPr>
          <t xml:space="preserve">
</t>
        </r>
      </text>
    </comment>
    <comment ref="K2243" authorId="0" shapeId="0" xr:uid="{7C42CF91-01D3-4A68-82A9-4DAEC8F321E2}">
      <text>
        <r>
          <rPr>
            <sz val="9"/>
            <color indexed="81"/>
            <rFont val="Tahoma"/>
            <family val="2"/>
          </rPr>
          <t>Sombrero Galaxy look-alike, although this galaxy is 5x further away.  Image with NGC 5905 - galaxies may be interacting</t>
        </r>
      </text>
    </comment>
    <comment ref="A2244" authorId="0" shapeId="0" xr:uid="{2F0333AB-0C77-4F44-BBB8-04D28DF17933}">
      <text>
        <r>
          <rPr>
            <sz val="9"/>
            <color indexed="81"/>
            <rFont val="Tahoma"/>
            <family val="2"/>
          </rPr>
          <t xml:space="preserve">
</t>
        </r>
      </text>
    </comment>
    <comment ref="K2244" authorId="0" shapeId="0" xr:uid="{8DE34D2D-9F85-4CDC-B953-72A729CFE38F}">
      <text>
        <r>
          <rPr>
            <sz val="9"/>
            <color indexed="81"/>
            <rFont val="Tahoma"/>
            <family val="2"/>
          </rPr>
          <t xml:space="preserve">Barred grand design spiral with tremendous star formation underway  Numerous star clouds and HII regions visible. </t>
        </r>
      </text>
    </comment>
    <comment ref="A2245" authorId="0" shapeId="0" xr:uid="{A38EF4AF-3D2A-4B72-A9DE-009E65D11402}">
      <text>
        <r>
          <rPr>
            <sz val="9"/>
            <color indexed="81"/>
            <rFont val="Tahoma"/>
            <family val="2"/>
          </rPr>
          <t xml:space="preserve">
</t>
        </r>
      </text>
    </comment>
    <comment ref="K2245" authorId="0" shapeId="0" xr:uid="{98DF6409-F428-4DDD-8F39-C2A606DDC220}">
      <text>
        <r>
          <rPr>
            <sz val="9"/>
            <color indexed="81"/>
            <rFont val="Tahoma"/>
            <family val="2"/>
          </rPr>
          <t>Barred grand spiral with strong arms, each ending in a plume.  Image with NGC5915</t>
        </r>
      </text>
    </comment>
    <comment ref="A2246" authorId="0" shapeId="0" xr:uid="{69E15C32-CFDF-415A-89D0-D40C5C88829E}">
      <text>
        <r>
          <rPr>
            <sz val="9"/>
            <color indexed="81"/>
            <rFont val="Tahoma"/>
            <family val="2"/>
          </rPr>
          <t xml:space="preserve">
</t>
        </r>
      </text>
    </comment>
    <comment ref="K2246" authorId="0" shapeId="0" xr:uid="{4FF26481-49D2-4EB8-A554-FB6F31E65D57}">
      <text>
        <r>
          <rPr>
            <sz val="9"/>
            <color indexed="81"/>
            <rFont val="Tahoma"/>
            <family val="2"/>
          </rPr>
          <t>Strongly barred spiral galaxy with long bar.  Fragmented outer arms contain numerous blue star clouds.</t>
        </r>
      </text>
    </comment>
    <comment ref="A2247" authorId="0" shapeId="0" xr:uid="{B08631F4-3A48-4564-A928-C173E9E5BBAB}">
      <text>
        <r>
          <rPr>
            <sz val="9"/>
            <color indexed="81"/>
            <rFont val="Tahoma"/>
            <family val="2"/>
          </rPr>
          <t xml:space="preserve">
</t>
        </r>
      </text>
    </comment>
    <comment ref="K2247" authorId="0" shapeId="0" xr:uid="{6FB3FBE3-4607-434D-8EFD-1A48B1DD584C}">
      <text>
        <r>
          <rPr>
            <sz val="9"/>
            <color indexed="81"/>
            <rFont val="Tahoma"/>
            <family val="2"/>
          </rPr>
          <t>Group of 7 galaxies highlighted by NGC 5945, a beautiful barred ring spiral with star plumes</t>
        </r>
      </text>
    </comment>
    <comment ref="A2248" authorId="0" shapeId="0" xr:uid="{44AF34E3-A725-4538-9A84-7FB1E311F39C}">
      <text>
        <r>
          <rPr>
            <sz val="9"/>
            <color indexed="81"/>
            <rFont val="Tahoma"/>
            <family val="2"/>
          </rPr>
          <t xml:space="preserve">
</t>
        </r>
      </text>
    </comment>
    <comment ref="K2248" authorId="0" shapeId="0" xr:uid="{049E0383-2C11-458C-9FC9-971AED37D255}">
      <text>
        <r>
          <rPr>
            <sz val="9"/>
            <color indexed="81"/>
            <rFont val="Tahoma"/>
            <family val="2"/>
          </rPr>
          <t>LSB galaxy, close to face-on.  Image with NGC5965</t>
        </r>
      </text>
    </comment>
    <comment ref="A2249" authorId="0" shapeId="0" xr:uid="{844B7FF4-DB06-4730-9AF1-8A00AF4C29F6}">
      <text>
        <r>
          <rPr>
            <sz val="9"/>
            <color indexed="81"/>
            <rFont val="Tahoma"/>
            <family val="2"/>
          </rPr>
          <t xml:space="preserve">
</t>
        </r>
      </text>
    </comment>
    <comment ref="K2249" authorId="0" shapeId="0" xr:uid="{35C80387-B61C-4D24-9CF1-27301F71DF8E}">
      <text>
        <r>
          <rPr>
            <sz val="9"/>
            <color indexed="81"/>
            <rFont val="Tahoma"/>
            <family val="2"/>
          </rPr>
          <t xml:space="preserve">Thin bright white bar, mottled arms that start from each bar end but go nowhere, and abundant blue star clouds </t>
        </r>
      </text>
    </comment>
    <comment ref="A2250" authorId="0" shapeId="0" xr:uid="{F30097B2-5B3E-4A25-82E9-F935F3240A34}">
      <text>
        <r>
          <rPr>
            <sz val="9"/>
            <color indexed="81"/>
            <rFont val="Tahoma"/>
            <family val="2"/>
          </rPr>
          <t xml:space="preserve">
</t>
        </r>
      </text>
    </comment>
    <comment ref="K2250" authorId="0" shapeId="0" xr:uid="{F09BED8B-91CE-4073-ADC1-1EA27E5DFB65}">
      <text>
        <r>
          <rPr>
            <sz val="9"/>
            <color indexed="81"/>
            <rFont val="Tahoma"/>
            <family val="2"/>
          </rPr>
          <t>Edge-on barred spiral with little bulge, peanut-shaped core, and warped disk.  Image with NGC 5963</t>
        </r>
      </text>
    </comment>
    <comment ref="A2251" authorId="0" shapeId="0" xr:uid="{B27748AC-CF81-4D72-BFB1-7B1FB80D79B1}">
      <text>
        <r>
          <rPr>
            <sz val="9"/>
            <color indexed="81"/>
            <rFont val="Tahoma"/>
            <family val="2"/>
          </rPr>
          <t xml:space="preserve">
</t>
        </r>
      </text>
    </comment>
    <comment ref="K2251" authorId="0" shapeId="0" xr:uid="{B5BD410F-24B2-4498-9208-D289095F0232}">
      <text>
        <r>
          <rPr>
            <sz val="9"/>
            <color indexed="81"/>
            <rFont val="Tahoma"/>
            <family val="2"/>
          </rPr>
          <t>Symmetric grand design spiral with blue star clouds.  Distant background galaxies</t>
        </r>
      </text>
    </comment>
    <comment ref="A2252" authorId="0" shapeId="0" xr:uid="{93A6D140-B2A6-43F9-ADDE-99B227BAC0DF}">
      <text>
        <r>
          <rPr>
            <sz val="9"/>
            <color indexed="81"/>
            <rFont val="Tahoma"/>
            <family val="2"/>
          </rPr>
          <t xml:space="preserve">
</t>
        </r>
      </text>
    </comment>
    <comment ref="K2252" authorId="0" shapeId="0" xr:uid="{623453DC-88C9-4D3A-9F4A-0765CD03325E}">
      <text>
        <r>
          <rPr>
            <sz val="9"/>
            <color indexed="81"/>
            <rFont val="Tahoma"/>
            <family val="2"/>
          </rPr>
          <t xml:space="preserve">Voorwerp object visible, the only green-hued galaxy feature.  </t>
        </r>
      </text>
    </comment>
    <comment ref="A2253" authorId="0" shapeId="0" xr:uid="{14E84002-4677-4167-B21B-707ACCB4D062}">
      <text>
        <r>
          <rPr>
            <sz val="9"/>
            <color indexed="81"/>
            <rFont val="Tahoma"/>
            <family val="2"/>
          </rPr>
          <t xml:space="preserve">
</t>
        </r>
      </text>
    </comment>
    <comment ref="K2253" authorId="0" shapeId="0" xr:uid="{CE58105B-A11B-482D-82BA-24B60978B734}">
      <text>
        <r>
          <rPr>
            <sz val="9"/>
            <color indexed="81"/>
            <rFont val="Tahoma"/>
            <family val="2"/>
          </rPr>
          <t>Edge-on warped spiral, west galaxy of the Draco Trio</t>
        </r>
      </text>
    </comment>
    <comment ref="A2254" authorId="0" shapeId="0" xr:uid="{9B2C0600-C03B-4FF9-ADFB-6EB270A28008}">
      <text>
        <r>
          <rPr>
            <sz val="9"/>
            <color indexed="81"/>
            <rFont val="Tahoma"/>
            <family val="2"/>
          </rPr>
          <t xml:space="preserve">
</t>
        </r>
      </text>
    </comment>
    <comment ref="K2254" authorId="0" shapeId="0" xr:uid="{F8573C6B-3929-4204-8D0D-D2220F775519}">
      <text>
        <r>
          <rPr>
            <sz val="9"/>
            <color indexed="81"/>
            <rFont val="Tahoma"/>
            <family val="2"/>
          </rPr>
          <t>Trio of galaxies, named the Draco Trio, anchored by the elliptical NGC 5982</t>
        </r>
      </text>
    </comment>
    <comment ref="A2255" authorId="0" shapeId="0" xr:uid="{4FC6999F-FFD2-4E8F-AA97-4EF7A25484D8}">
      <text>
        <r>
          <rPr>
            <sz val="9"/>
            <color indexed="81"/>
            <rFont val="Tahoma"/>
            <family val="2"/>
          </rPr>
          <t xml:space="preserve">
</t>
        </r>
      </text>
    </comment>
    <comment ref="K2255" authorId="0" shapeId="0" xr:uid="{F972DA49-66A4-43C6-BF28-A833426BC136}">
      <text>
        <r>
          <rPr>
            <sz val="9"/>
            <color indexed="81"/>
            <rFont val="Tahoma"/>
            <family val="2"/>
          </rPr>
          <t>Lovely barred grand design spiral, east galaxy of the Draco Trio</t>
        </r>
      </text>
    </comment>
    <comment ref="A2256" authorId="0" shapeId="0" xr:uid="{DFB65276-796C-4174-8A62-42623C30BD2F}">
      <text>
        <r>
          <rPr>
            <sz val="9"/>
            <color indexed="81"/>
            <rFont val="Tahoma"/>
            <family val="2"/>
          </rPr>
          <t xml:space="preserve">
</t>
        </r>
      </text>
    </comment>
    <comment ref="K2256" authorId="0" shapeId="0" xr:uid="{F07E1135-5742-4F53-8374-D1E00FDCFDC6}">
      <text>
        <r>
          <rPr>
            <sz val="9"/>
            <color indexed="81"/>
            <rFont val="Tahoma"/>
            <family val="2"/>
          </rPr>
          <t>Medium size globular cluster in Lupus</t>
        </r>
      </text>
    </comment>
    <comment ref="A2257" authorId="0" shapeId="0" xr:uid="{1DBA9E57-2A81-4F60-848D-11E232D5C479}">
      <text>
        <r>
          <rPr>
            <sz val="9"/>
            <color indexed="81"/>
            <rFont val="Tahoma"/>
            <family val="2"/>
          </rPr>
          <t xml:space="preserve">
</t>
        </r>
      </text>
    </comment>
    <comment ref="K2257" authorId="0" shapeId="0" xr:uid="{530BF8F9-3B8E-4516-80C1-A606B36C4F10}">
      <text>
        <r>
          <rPr>
            <sz val="9"/>
            <color indexed="81"/>
            <rFont val="Tahoma"/>
            <family val="2"/>
          </rPr>
          <t>Edge-on spiral with numerous dark dust lanes of different orientations</t>
        </r>
      </text>
    </comment>
    <comment ref="A2258" authorId="0" shapeId="0" xr:uid="{C9FC8E4D-0CEC-4856-AC77-7BF0776C26C6}">
      <text>
        <r>
          <rPr>
            <sz val="9"/>
            <color indexed="81"/>
            <rFont val="Tahoma"/>
            <family val="2"/>
          </rPr>
          <t xml:space="preserve">
</t>
        </r>
      </text>
    </comment>
    <comment ref="K2258" authorId="0" shapeId="0" xr:uid="{7E3B8AD3-FB97-4B7B-8098-A09CC3CDE016}">
      <text>
        <r>
          <rPr>
            <sz val="9"/>
            <color indexed="81"/>
            <rFont val="Tahoma"/>
            <family val="2"/>
          </rPr>
          <t>Pair of distant spirals (NGC 5992 and NGC 5993) in Bootes</t>
        </r>
      </text>
    </comment>
    <comment ref="A2259" authorId="0" shapeId="0" xr:uid="{A77C1AB4-B0DD-4000-9497-926FD1FC75CB}">
      <text>
        <r>
          <rPr>
            <sz val="9"/>
            <color indexed="81"/>
            <rFont val="Tahoma"/>
            <family val="2"/>
          </rPr>
          <t xml:space="preserve">
</t>
        </r>
      </text>
    </comment>
    <comment ref="K2259" authorId="0" shapeId="0" xr:uid="{24102E38-B824-455A-ACB4-0B0EFD0D3127}">
      <text>
        <r>
          <rPr>
            <sz val="9"/>
            <color indexed="81"/>
            <rFont val="Tahoma"/>
            <family val="2"/>
          </rPr>
          <t xml:space="preserve">Nice color contrast, with yellow core and blue arms and star clouds  The 2 bar segments, above and below core, are not aligned.  </t>
        </r>
      </text>
    </comment>
    <comment ref="A2260" authorId="0" shapeId="0" xr:uid="{FA838518-72EB-471C-84AB-91C84627A60B}">
      <text>
        <r>
          <rPr>
            <sz val="9"/>
            <color indexed="81"/>
            <rFont val="Tahoma"/>
            <family val="2"/>
          </rPr>
          <t xml:space="preserve">
</t>
        </r>
      </text>
    </comment>
    <comment ref="K2260" authorId="0" shapeId="0" xr:uid="{3549E442-768B-4D94-807E-785E16E0C1DD}">
      <text>
        <r>
          <rPr>
            <sz val="9"/>
            <color indexed="81"/>
            <rFont val="Tahoma"/>
            <family val="2"/>
          </rPr>
          <t>Large grand design spiral with unbarred core and 2 superimposed stars</t>
        </r>
      </text>
    </comment>
    <comment ref="A2261" authorId="0" shapeId="0" xr:uid="{45405F25-A25E-490F-B47B-C20718514030}">
      <text>
        <r>
          <rPr>
            <sz val="9"/>
            <color indexed="81"/>
            <rFont val="Tahoma"/>
            <family val="2"/>
          </rPr>
          <t xml:space="preserve">
</t>
        </r>
      </text>
    </comment>
    <comment ref="K2261" authorId="0" shapeId="0" xr:uid="{B6493A46-0DDB-4499-978C-FEEAE068FF73}">
      <text>
        <r>
          <rPr>
            <sz val="9"/>
            <color indexed="81"/>
            <rFont val="Tahoma"/>
            <family val="2"/>
          </rPr>
          <t>Transparent faint outer disk. Elongated irregular bright ring surround core area</t>
        </r>
      </text>
    </comment>
    <comment ref="A2262" authorId="0" shapeId="0" xr:uid="{E0C14177-0B1C-4A44-B9CC-41D5E9E8AA71}">
      <text>
        <r>
          <rPr>
            <sz val="9"/>
            <color indexed="81"/>
            <rFont val="Tahoma"/>
            <family val="2"/>
          </rPr>
          <t xml:space="preserve">
</t>
        </r>
      </text>
    </comment>
    <comment ref="K2262" authorId="0" shapeId="0" xr:uid="{55D3DA9B-ADF2-4B79-96CF-C91F9606EB98}">
      <text>
        <r>
          <rPr>
            <sz val="9"/>
            <color indexed="81"/>
            <rFont val="Tahoma"/>
            <family val="2"/>
          </rPr>
          <t>2 disk areas - bright inner region with dust lane, and dim outer region resembling faint star cloud</t>
        </r>
      </text>
    </comment>
    <comment ref="A2263" authorId="0" shapeId="0" xr:uid="{9A67E8E1-38F3-4D7B-9BBD-892CC23AED5A}">
      <text>
        <r>
          <rPr>
            <sz val="9"/>
            <color indexed="81"/>
            <rFont val="Tahoma"/>
            <family val="2"/>
          </rPr>
          <t xml:space="preserve">
</t>
        </r>
      </text>
    </comment>
    <comment ref="K2263" authorId="0" shapeId="0" xr:uid="{2DB8DF15-5400-43D5-9405-AE5BC36667DF}">
      <text>
        <r>
          <rPr>
            <sz val="9"/>
            <color indexed="81"/>
            <rFont val="Tahoma"/>
            <family val="2"/>
          </rPr>
          <t>Nice spacing and color - resembles backward "3"</t>
        </r>
      </text>
    </comment>
    <comment ref="A2264" authorId="0" shapeId="0" xr:uid="{FBE39943-D648-4B76-BB4C-1FF12C7D08AD}">
      <text>
        <r>
          <rPr>
            <sz val="9"/>
            <color indexed="81"/>
            <rFont val="Tahoma"/>
            <family val="2"/>
          </rPr>
          <t xml:space="preserve">
</t>
        </r>
      </text>
    </comment>
    <comment ref="K2264" authorId="0" shapeId="0" xr:uid="{A3C34BAD-284A-448A-B812-408AD7132E6D}">
      <text>
        <r>
          <rPr>
            <sz val="9"/>
            <color indexed="81"/>
            <rFont val="Tahoma"/>
            <family val="2"/>
          </rPr>
          <t>OIII PN with diffuse hexagon rim, hint of an inner ring, and some structure</t>
        </r>
      </text>
    </comment>
    <comment ref="A2265" authorId="0" shapeId="0" xr:uid="{AC7C55AA-D7E7-4DF5-9EE2-494CA9DE9D32}">
      <text>
        <r>
          <rPr>
            <sz val="9"/>
            <color indexed="81"/>
            <rFont val="Tahoma"/>
            <family val="2"/>
          </rPr>
          <t xml:space="preserve">
</t>
        </r>
      </text>
    </comment>
    <comment ref="K2265" authorId="0" shapeId="0" xr:uid="{44111019-CF63-4020-96EF-B0FEA37DF90D}">
      <text>
        <r>
          <rPr>
            <sz val="9"/>
            <color indexed="81"/>
            <rFont val="Tahoma"/>
            <family val="2"/>
          </rPr>
          <t>Multipolar OIII PN with progenitor</t>
        </r>
      </text>
    </comment>
    <comment ref="A2266" authorId="0" shapeId="0" xr:uid="{32EAC0F5-F24F-4DB3-BF37-93BAA1D09C0F}">
      <text>
        <r>
          <rPr>
            <sz val="9"/>
            <color indexed="81"/>
            <rFont val="Tahoma"/>
            <family val="2"/>
          </rPr>
          <t xml:space="preserve">
</t>
        </r>
      </text>
    </comment>
    <comment ref="K2266" authorId="0" shapeId="0" xr:uid="{CFD5B3E5-A286-4BDC-BA4D-B1BA795192E8}">
      <text>
        <r>
          <rPr>
            <sz val="9"/>
            <color indexed="81"/>
            <rFont val="Tahoma"/>
            <family val="2"/>
          </rPr>
          <t>Barred grand design spiral with unusual star forming in outer arm</t>
        </r>
      </text>
    </comment>
    <comment ref="A2267" authorId="0" shapeId="0" xr:uid="{DB12437B-C89A-4CCC-9C11-B08AFC943C3E}">
      <text>
        <r>
          <rPr>
            <sz val="9"/>
            <color indexed="81"/>
            <rFont val="Tahoma"/>
            <family val="2"/>
          </rPr>
          <t xml:space="preserve">
</t>
        </r>
      </text>
    </comment>
    <comment ref="K2267" authorId="0" shapeId="0" xr:uid="{4A9490F5-E939-4C2F-A623-80159D803484}">
      <text>
        <r>
          <rPr>
            <sz val="9"/>
            <color indexed="81"/>
            <rFont val="Tahoma"/>
            <family val="2"/>
          </rPr>
          <t>Dense colorful open cluster, nice grouping</t>
        </r>
      </text>
    </comment>
    <comment ref="A2268" authorId="0" shapeId="0" xr:uid="{7ECBA97E-9F4E-453F-B199-13A6564C9E04}">
      <text>
        <r>
          <rPr>
            <sz val="9"/>
            <color indexed="81"/>
            <rFont val="Tahoma"/>
            <family val="2"/>
          </rPr>
          <t xml:space="preserve">
</t>
        </r>
      </text>
    </comment>
    <comment ref="K2268" authorId="0" shapeId="0" xr:uid="{E38C9FA2-1C03-4CFB-B620-976FF807F3F8}">
      <text>
        <r>
          <rPr>
            <sz val="9"/>
            <color indexed="81"/>
            <rFont val="Tahoma"/>
            <family val="2"/>
          </rPr>
          <t>Nuclear ring with fragmented arms, VV rows, star clouds and HII regions</t>
        </r>
      </text>
    </comment>
    <comment ref="A2269" authorId="0" shapeId="0" xr:uid="{0736DA65-3994-4AA0-BBE0-E42AE5A3D999}">
      <text>
        <r>
          <rPr>
            <sz val="9"/>
            <color indexed="81"/>
            <rFont val="Tahoma"/>
            <family val="2"/>
          </rPr>
          <t xml:space="preserve">
</t>
        </r>
      </text>
    </comment>
    <comment ref="K2269" authorId="0" shapeId="0" xr:uid="{D9BA23CD-6326-42B9-815C-F6A38DBD981C}">
      <text>
        <r>
          <rPr>
            <sz val="9"/>
            <color indexed="81"/>
            <rFont val="Tahoma"/>
            <family val="2"/>
          </rPr>
          <t>Small bipolar PN with HII rim, OIII central region, and progenitor visible</t>
        </r>
      </text>
    </comment>
    <comment ref="A2270" authorId="0" shapeId="0" xr:uid="{354A6ED2-A326-4E82-954B-BE185AA2CD87}">
      <text>
        <r>
          <rPr>
            <sz val="9"/>
            <color indexed="81"/>
            <rFont val="Tahoma"/>
            <family val="2"/>
          </rPr>
          <t xml:space="preserve">
</t>
        </r>
      </text>
    </comment>
    <comment ref="K2270" authorId="0" shapeId="0" xr:uid="{A4D4453B-4070-4E64-8C15-0AF008EC9115}">
      <text>
        <r>
          <rPr>
            <sz val="9"/>
            <color indexed="81"/>
            <rFont val="Tahoma"/>
            <family val="2"/>
          </rPr>
          <t>Sparse open cluster with only a few stars spread east-west</t>
        </r>
      </text>
    </comment>
    <comment ref="A2271" authorId="0" shapeId="0" xr:uid="{4A03411C-A01B-4C23-8430-E549B3A21FB6}">
      <text>
        <r>
          <rPr>
            <sz val="9"/>
            <color indexed="81"/>
            <rFont val="Tahoma"/>
            <family val="2"/>
          </rPr>
          <t xml:space="preserve">
</t>
        </r>
      </text>
    </comment>
    <comment ref="K2271" authorId="0" shapeId="0" xr:uid="{807F2AE0-10C8-4C29-95BB-F3758757E91A}">
      <text>
        <r>
          <rPr>
            <sz val="9"/>
            <color indexed="81"/>
            <rFont val="Tahoma"/>
            <family val="2"/>
          </rPr>
          <t xml:space="preserve">Merging pair that is a smaller version of Antennae Galaxies.  Nice blue &amp; yellow color contrast of 2 cores.  2 long tails.  </t>
        </r>
      </text>
    </comment>
    <comment ref="A2272" authorId="0" shapeId="0" xr:uid="{A2C5AD45-122A-4AA2-929B-A026E3ACC43C}">
      <text>
        <r>
          <rPr>
            <sz val="9"/>
            <color indexed="81"/>
            <rFont val="Tahoma"/>
            <family val="2"/>
          </rPr>
          <t xml:space="preserve">
</t>
        </r>
      </text>
    </comment>
    <comment ref="K2272" authorId="0" shapeId="0" xr:uid="{8BC078CC-7AF5-43DA-BCB4-2545D6DA723C}">
      <text>
        <r>
          <rPr>
            <sz val="9"/>
            <color indexed="81"/>
            <rFont val="Tahoma"/>
            <family val="2"/>
          </rPr>
          <t>Small loose globular</t>
        </r>
      </text>
    </comment>
    <comment ref="A2273" authorId="0" shapeId="0" xr:uid="{D0E7DC0F-8B69-4D92-9EC3-A503F5235FC7}">
      <text>
        <r>
          <rPr>
            <sz val="9"/>
            <color indexed="81"/>
            <rFont val="Tahoma"/>
            <family val="2"/>
          </rPr>
          <t xml:space="preserve">
</t>
        </r>
      </text>
    </comment>
    <comment ref="K2273" authorId="0" shapeId="0" xr:uid="{617B1A1C-9443-4BEC-A8FB-B54EC626FAD9}">
      <text>
        <r>
          <rPr>
            <sz val="9"/>
            <color indexed="81"/>
            <rFont val="Tahoma"/>
            <family val="2"/>
          </rPr>
          <t>Chaotic arm structure.  3 arms in south half, no arms in north half.  Several blue star clouds</t>
        </r>
      </text>
    </comment>
    <comment ref="A2274" authorId="0" shapeId="0" xr:uid="{399E326B-6716-4373-80C4-1FAE39F3CD7E}">
      <text>
        <r>
          <rPr>
            <sz val="9"/>
            <color indexed="81"/>
            <rFont val="Tahoma"/>
            <family val="2"/>
          </rPr>
          <t xml:space="preserve">
</t>
        </r>
      </text>
    </comment>
    <comment ref="K2274" authorId="0" shapeId="0" xr:uid="{62199463-950C-4989-9DF9-C2E3E21F4197}">
      <text>
        <r>
          <rPr>
            <sz val="9"/>
            <color indexed="81"/>
            <rFont val="Tahoma"/>
            <family val="2"/>
          </rPr>
          <t xml:space="preserve">Grand design spiral with low brightness disk.  Interesting arm structure, which extends out more than 1 rotation with VV rows. </t>
        </r>
      </text>
    </comment>
    <comment ref="A2275" authorId="0" shapeId="0" xr:uid="{F4BE941B-812B-455F-82A3-1C0AABEA29AD}">
      <text>
        <r>
          <rPr>
            <sz val="9"/>
            <color indexed="81"/>
            <rFont val="Tahoma"/>
            <family val="2"/>
          </rPr>
          <t xml:space="preserve">
</t>
        </r>
      </text>
    </comment>
    <comment ref="K2275" authorId="0" shapeId="0" xr:uid="{04D4EAFB-A107-46AA-8580-0088B4A496C5}">
      <text>
        <r>
          <rPr>
            <sz val="9"/>
            <color indexed="81"/>
            <rFont val="Tahoma"/>
            <family val="2"/>
          </rPr>
          <t>Late stage merger, with coalesced core and no tails.  Adjacent edge-on spiral and disturbed spiral 1 bly away</t>
        </r>
      </text>
    </comment>
    <comment ref="A2276" authorId="0" shapeId="0" xr:uid="{F5F11F03-09E6-4039-89E6-FD16ABB6147E}">
      <text>
        <r>
          <rPr>
            <sz val="9"/>
            <color indexed="81"/>
            <rFont val="Tahoma"/>
            <family val="2"/>
          </rPr>
          <t xml:space="preserve">
</t>
        </r>
      </text>
    </comment>
    <comment ref="K2276" authorId="0" shapeId="0" xr:uid="{A0CCC8C2-1874-4C38-B40E-AE20519115D9}">
      <text>
        <r>
          <rPr>
            <sz val="9"/>
            <color indexed="81"/>
            <rFont val="Tahoma"/>
            <family val="2"/>
          </rPr>
          <t>Good color variation in this faint naked eye star cluster</t>
        </r>
      </text>
    </comment>
    <comment ref="A2277" authorId="0" shapeId="0" xr:uid="{1628E42C-2691-4EE8-A185-A2624E8DE850}">
      <text>
        <r>
          <rPr>
            <sz val="9"/>
            <color indexed="81"/>
            <rFont val="Tahoma"/>
            <family val="2"/>
          </rPr>
          <t xml:space="preserve">
</t>
        </r>
      </text>
    </comment>
    <comment ref="K2277" authorId="0" shapeId="0" xr:uid="{FA733AA2-CC93-474F-A8E3-4BC586FD2D44}">
      <text>
        <r>
          <rPr>
            <sz val="9"/>
            <color indexed="81"/>
            <rFont val="Tahoma"/>
            <family val="2"/>
          </rPr>
          <t>Barred spiral with curved off-center bar  Numerous star clouds and HII regions. Distorted arms with VV rows</t>
        </r>
      </text>
    </comment>
    <comment ref="A2278" authorId="0" shapeId="0" xr:uid="{44CBEB0D-4A16-4298-980B-40447D717B83}">
      <text>
        <r>
          <rPr>
            <sz val="9"/>
            <color indexed="81"/>
            <rFont val="Tahoma"/>
            <family val="2"/>
          </rPr>
          <t xml:space="preserve">
</t>
        </r>
      </text>
    </comment>
    <comment ref="K2278" authorId="0" shapeId="0" xr:uid="{FF576CBD-19A6-44A6-A3FF-2EBE77367C2D}">
      <text>
        <r>
          <rPr>
            <sz val="9"/>
            <color indexed="81"/>
            <rFont val="Tahoma"/>
            <family val="2"/>
          </rPr>
          <t>Loose globular cluster located between M4 and Antares.  Obscured somewhat by dusty Rho Ophiuchi cloud structure</t>
        </r>
      </text>
    </comment>
    <comment ref="A2279" authorId="0" shapeId="0" xr:uid="{19DD8268-D3C7-44FC-9D43-C23D2A477C60}">
      <text>
        <r>
          <rPr>
            <sz val="9"/>
            <color indexed="81"/>
            <rFont val="Tahoma"/>
            <family val="2"/>
          </rPr>
          <t xml:space="preserve">
</t>
        </r>
      </text>
    </comment>
    <comment ref="K2279" authorId="0" shapeId="0" xr:uid="{528340E6-74D0-4A53-B27C-2CB375FE09AA}">
      <text>
        <r>
          <rPr>
            <sz val="9"/>
            <color indexed="81"/>
            <rFont val="Tahoma"/>
            <family val="2"/>
          </rPr>
          <t>Small elliptical PN with faint torus ring</t>
        </r>
      </text>
    </comment>
    <comment ref="A2280" authorId="0" shapeId="0" xr:uid="{CD3CD2EA-1CC7-44BF-BC04-EB5B1B336D1E}">
      <text>
        <r>
          <rPr>
            <sz val="9"/>
            <color indexed="81"/>
            <rFont val="Tahoma"/>
            <family val="2"/>
          </rPr>
          <t xml:space="preserve">
</t>
        </r>
      </text>
    </comment>
    <comment ref="K2280" authorId="0" shapeId="0" xr:uid="{2AE09E90-42F1-421C-B8F4-ED080B1A8C99}">
      <text>
        <r>
          <rPr>
            <sz val="9"/>
            <color indexed="81"/>
            <rFont val="Tahoma"/>
            <family val="2"/>
          </rPr>
          <t>Grand design spiral with pink HII regions and blue star clouds.  Dust lanes in inner region.  Asymmetric disturbed disk</t>
        </r>
      </text>
    </comment>
    <comment ref="A2281" authorId="0" shapeId="0" xr:uid="{BB32E410-7934-4535-A79C-4245ABDF2925}">
      <text>
        <r>
          <rPr>
            <sz val="9"/>
            <color indexed="81"/>
            <rFont val="Tahoma"/>
            <family val="2"/>
          </rPr>
          <t xml:space="preserve">
</t>
        </r>
      </text>
    </comment>
    <comment ref="K2281" authorId="0" shapeId="0" xr:uid="{1EA6E4D7-CB55-4B26-A131-536735ABD12D}">
      <text>
        <r>
          <rPr>
            <sz val="9"/>
            <color indexed="81"/>
            <rFont val="Tahoma"/>
            <family val="2"/>
          </rPr>
          <t>Showcase nebula.  Large dust cloud eroded into billowing pillars, silhouetted against bright nebula</t>
        </r>
      </text>
    </comment>
    <comment ref="A2282" authorId="0" shapeId="0" xr:uid="{C681506A-F115-4D06-B772-77AA0C840D0D}">
      <text>
        <r>
          <rPr>
            <sz val="9"/>
            <color indexed="81"/>
            <rFont val="Tahoma"/>
            <family val="2"/>
          </rPr>
          <t xml:space="preserve">
</t>
        </r>
      </text>
    </comment>
    <comment ref="K2282" authorId="0" shapeId="0" xr:uid="{72780268-2786-4693-B8A7-246357178DD4}">
      <text>
        <r>
          <rPr>
            <sz val="9"/>
            <color indexed="81"/>
            <rFont val="Tahoma"/>
            <family val="2"/>
          </rPr>
          <t>Sparkling sparse central cluster of NGC6188, Dragons of Ara</t>
        </r>
      </text>
    </comment>
    <comment ref="A2283" authorId="0" shapeId="0" xr:uid="{B3EAA3D2-970E-4210-A567-ABE311C2BBDD}">
      <text>
        <r>
          <rPr>
            <sz val="9"/>
            <color indexed="81"/>
            <rFont val="Tahoma"/>
            <family val="2"/>
          </rPr>
          <t xml:space="preserve">
</t>
        </r>
      </text>
    </comment>
    <comment ref="K2283" authorId="0" shapeId="0" xr:uid="{2D2EF899-6C26-49F1-AE57-7A714D25C051}">
      <text>
        <r>
          <rPr>
            <sz val="9"/>
            <color indexed="81"/>
            <rFont val="Tahoma"/>
            <family val="2"/>
          </rPr>
          <t>Messy spiral with HII regions and star clouds</t>
        </r>
      </text>
    </comment>
    <comment ref="A2284" authorId="0" shapeId="0" xr:uid="{0047F464-FF05-4B0B-A365-244A849D0A39}">
      <text>
        <r>
          <rPr>
            <sz val="9"/>
            <color indexed="81"/>
            <rFont val="Tahoma"/>
            <family val="2"/>
          </rPr>
          <t xml:space="preserve">
</t>
        </r>
      </text>
    </comment>
    <comment ref="K2284" authorId="0" shapeId="0" xr:uid="{5F3EB915-BBE0-438E-89BF-43EB98448291}">
      <text>
        <r>
          <rPr>
            <sz val="9"/>
            <color indexed="81"/>
            <rFont val="Tahoma"/>
            <family val="2"/>
          </rPr>
          <t>Bipolar OIII PN with jets, ansae and filaments</t>
        </r>
      </text>
    </comment>
    <comment ref="A2285" authorId="0" shapeId="0" xr:uid="{D64FB2E2-4ECC-4E1E-96C0-9D4C74FC9C5D}">
      <text>
        <r>
          <rPr>
            <sz val="9"/>
            <color indexed="81"/>
            <rFont val="Tahoma"/>
            <family val="2"/>
          </rPr>
          <t xml:space="preserve">
</t>
        </r>
      </text>
    </comment>
    <comment ref="K2285" authorId="0" shapeId="0" xr:uid="{00D6F7DD-79FE-4683-A2B6-45A983D5BBEE}">
      <text>
        <r>
          <rPr>
            <sz val="9"/>
            <color indexed="81"/>
            <rFont val="Tahoma"/>
            <family val="2"/>
          </rPr>
          <t>One of the furthest Milky way globular clusters from earth</t>
        </r>
      </text>
    </comment>
    <comment ref="A2286" authorId="0" shapeId="0" xr:uid="{E44D19AD-3A49-4628-AC2E-9C11C31DC9B8}">
      <text>
        <r>
          <rPr>
            <sz val="9"/>
            <color indexed="81"/>
            <rFont val="Tahoma"/>
            <family val="2"/>
          </rPr>
          <t xml:space="preserve">
</t>
        </r>
      </text>
    </comment>
    <comment ref="K2286" authorId="0" shapeId="0" xr:uid="{5A68B861-8849-4E77-A601-34B936B1A858}">
      <text>
        <r>
          <rPr>
            <sz val="9"/>
            <color indexed="81"/>
            <rFont val="Tahoma"/>
            <family val="2"/>
          </rPr>
          <t>Forms head of 2 degree long False Comet in the Scorpion's Tail, the most comet-like naked eye object in the sky.</t>
        </r>
      </text>
    </comment>
    <comment ref="A2287" authorId="0" shapeId="0" xr:uid="{59FDCBC8-48D8-4C2E-B2D3-AE1E20F64C2B}">
      <text>
        <r>
          <rPr>
            <sz val="9"/>
            <color indexed="81"/>
            <rFont val="Tahoma"/>
            <family val="2"/>
          </rPr>
          <t xml:space="preserve">
</t>
        </r>
      </text>
    </comment>
    <comment ref="K2287" authorId="0" shapeId="0" xr:uid="{418CDB11-E123-43A9-93DE-428D9B12FA45}">
      <text>
        <r>
          <rPr>
            <sz val="9"/>
            <color indexed="81"/>
            <rFont val="Tahoma"/>
            <family val="2"/>
          </rPr>
          <t>Trio of small spiral galaxies in Draco</t>
        </r>
      </text>
    </comment>
    <comment ref="A2288" authorId="0" shapeId="0" xr:uid="{5F52EABE-6C96-4EDC-97B4-C6199509316D}">
      <text>
        <r>
          <rPr>
            <sz val="9"/>
            <color indexed="81"/>
            <rFont val="Tahoma"/>
            <family val="2"/>
          </rPr>
          <t xml:space="preserve">
</t>
        </r>
      </text>
    </comment>
    <comment ref="K2288" authorId="0" shapeId="0" xr:uid="{B5BD3244-F032-49C8-9B5D-A6F2EC9A62D5}">
      <text>
        <r>
          <rPr>
            <sz val="9"/>
            <color indexed="81"/>
            <rFont val="Tahoma"/>
            <family val="2"/>
          </rPr>
          <t>Loose globular cluster in dense Milky Way star background</t>
        </r>
      </text>
    </comment>
    <comment ref="A2289" authorId="0" shapeId="0" xr:uid="{EBA8D10D-0685-4E80-A60D-9F1E2AEB3D7F}">
      <text>
        <r>
          <rPr>
            <sz val="9"/>
            <color indexed="81"/>
            <rFont val="Tahoma"/>
            <family val="2"/>
          </rPr>
          <t xml:space="preserve">
</t>
        </r>
      </text>
    </comment>
    <comment ref="K2289" authorId="0" shapeId="0" xr:uid="{8001EB4E-A97C-457A-9521-A53DE31DFB2B}">
      <text>
        <r>
          <rPr>
            <sz val="9"/>
            <color indexed="81"/>
            <rFont val="Tahoma"/>
            <family val="2"/>
          </rPr>
          <t>Disturbed disk.  Star stream ring with faint streams, extending out in 2 parallel streams.  Messy core with 2 bright regions.</t>
        </r>
      </text>
    </comment>
    <comment ref="A2290" authorId="0" shapeId="0" xr:uid="{C5EB8208-09F9-4927-88C7-0446D9EBF9D2}">
      <text>
        <r>
          <rPr>
            <sz val="9"/>
            <color indexed="81"/>
            <rFont val="Tahoma"/>
            <family val="2"/>
          </rPr>
          <t xml:space="preserve">
</t>
        </r>
      </text>
    </comment>
    <comment ref="K2290" authorId="0" shapeId="0" xr:uid="{CAEB5343-F8DB-4C18-A282-3486893523AF}">
      <text>
        <r>
          <rPr>
            <sz val="9"/>
            <color indexed="81"/>
            <rFont val="Tahoma"/>
            <family val="2"/>
          </rPr>
          <t>Late stage merger.  Pink starburst region at center of merged galaxy, just to right of wide dark band that spans most of object</t>
        </r>
      </text>
    </comment>
    <comment ref="A2291" authorId="0" shapeId="0" xr:uid="{F8D9C9DA-CD8B-48D1-A968-2096EE5F21F7}">
      <text>
        <r>
          <rPr>
            <sz val="9"/>
            <color indexed="81"/>
            <rFont val="Tahoma"/>
            <family val="2"/>
          </rPr>
          <t xml:space="preserve">
</t>
        </r>
      </text>
    </comment>
    <comment ref="K2291" authorId="0" shapeId="0" xr:uid="{918B15F0-21B5-432A-8856-A24F1FF0FFC6}">
      <text>
        <r>
          <rPr>
            <sz val="9"/>
            <color indexed="81"/>
            <rFont val="Tahoma"/>
            <family val="2"/>
          </rPr>
          <t>Visually pleasing cluster with interesting star patterns within it.</t>
        </r>
      </text>
    </comment>
    <comment ref="A2292" authorId="0" shapeId="0" xr:uid="{16E3801C-DE7D-4654-B224-3175BB2CD8A4}">
      <text>
        <r>
          <rPr>
            <sz val="9"/>
            <color indexed="81"/>
            <rFont val="Tahoma"/>
            <family val="2"/>
          </rPr>
          <t xml:space="preserve">
</t>
        </r>
      </text>
    </comment>
    <comment ref="K2292" authorId="0" shapeId="0" xr:uid="{E2BD409D-77CE-4A7A-8FF6-013ADBECB565}">
      <text>
        <r>
          <rPr>
            <sz val="9"/>
            <color indexed="81"/>
            <rFont val="Tahoma"/>
            <family val="2"/>
          </rPr>
          <t>LSB grand design blue spiral, seen close to edge-on.  Offset central bar.  Blue star clouds visible throughout.</t>
        </r>
      </text>
    </comment>
    <comment ref="A2293" authorId="0" shapeId="0" xr:uid="{2E7C05C7-A537-4EED-8F3A-4764D9DC3A5F}">
      <text>
        <r>
          <rPr>
            <sz val="9"/>
            <color indexed="81"/>
            <rFont val="Tahoma"/>
            <family val="2"/>
          </rPr>
          <t xml:space="preserve">
</t>
        </r>
      </text>
    </comment>
    <comment ref="K2293" authorId="0" shapeId="0" xr:uid="{5F9273F1-DF54-48A0-8F2B-6154786C0110}">
      <text>
        <r>
          <rPr>
            <sz val="9"/>
            <color indexed="81"/>
            <rFont val="Tahoma"/>
            <family val="2"/>
          </rPr>
          <t>Small pair of interacting galaxies, adjacent to several other distant galaxies</t>
        </r>
      </text>
    </comment>
    <comment ref="A2294" authorId="0" shapeId="0" xr:uid="{9877CED3-1415-4F7D-BFAF-453DC907C642}">
      <text>
        <r>
          <rPr>
            <sz val="9"/>
            <color indexed="81"/>
            <rFont val="Tahoma"/>
            <family val="2"/>
          </rPr>
          <t xml:space="preserve">
</t>
        </r>
      </text>
    </comment>
    <comment ref="K2294" authorId="0" shapeId="0" xr:uid="{33B865CF-9447-47D3-A195-1566516BFD57}">
      <text>
        <r>
          <rPr>
            <sz val="9"/>
            <color indexed="81"/>
            <rFont val="Tahoma"/>
            <family val="2"/>
          </rPr>
          <t>Kite-shaped open cluster in Scorpius</t>
        </r>
      </text>
    </comment>
    <comment ref="A2295" authorId="0" shapeId="0" xr:uid="{88F05C4A-C6EB-4842-A811-2051F7DAA496}">
      <text>
        <r>
          <rPr>
            <sz val="9"/>
            <color indexed="81"/>
            <rFont val="Tahoma"/>
            <family val="2"/>
          </rPr>
          <t xml:space="preserve">
</t>
        </r>
      </text>
    </comment>
    <comment ref="K2295" authorId="0" shapeId="0" xr:uid="{1823EB1E-5E0C-4B20-96BA-6E35D11B4FE1}">
      <text>
        <r>
          <rPr>
            <sz val="9"/>
            <color indexed="81"/>
            <rFont val="Tahoma"/>
            <family val="2"/>
          </rPr>
          <t>Fairly loose globular cluster in Ophiuchus</t>
        </r>
      </text>
    </comment>
    <comment ref="A2296" authorId="0" shapeId="0" xr:uid="{BCB4C699-BACA-4807-8EAF-64CCD617DC6E}">
      <text>
        <r>
          <rPr>
            <sz val="9"/>
            <color indexed="81"/>
            <rFont val="Tahoma"/>
            <family val="2"/>
          </rPr>
          <t xml:space="preserve">
</t>
        </r>
      </text>
    </comment>
    <comment ref="K2296" authorId="0" shapeId="0" xr:uid="{C3B13DFB-F2E5-4FC4-99A4-BE630B5E8271}">
      <text>
        <r>
          <rPr>
            <sz val="9"/>
            <color indexed="81"/>
            <rFont val="Tahoma"/>
            <family val="2"/>
          </rPr>
          <t>Globular cluster in Ophiuchus of medium concentration</t>
        </r>
      </text>
    </comment>
    <comment ref="A2297" authorId="0" shapeId="0" xr:uid="{48BABF7D-9E9D-4ABC-8836-4139DF731D5C}">
      <text>
        <r>
          <rPr>
            <sz val="9"/>
            <color indexed="81"/>
            <rFont val="Tahoma"/>
            <family val="2"/>
          </rPr>
          <t xml:space="preserve">
</t>
        </r>
      </text>
    </comment>
    <comment ref="K2297" authorId="0" shapeId="0" xr:uid="{137F613D-8E8E-4A4F-8CB1-E2C5056E2022}">
      <text>
        <r>
          <rPr>
            <sz val="9"/>
            <color indexed="81"/>
            <rFont val="Tahoma"/>
            <family val="2"/>
          </rPr>
          <t>Fairly concentrated generic globular cluster</t>
        </r>
      </text>
    </comment>
    <comment ref="A2298" authorId="0" shapeId="0" xr:uid="{3C07CA24-2315-4D14-92B3-812E977B6CB2}">
      <text>
        <r>
          <rPr>
            <sz val="9"/>
            <color indexed="81"/>
            <rFont val="Tahoma"/>
            <family val="2"/>
          </rPr>
          <t xml:space="preserve">
</t>
        </r>
      </text>
    </comment>
    <comment ref="K2298" authorId="0" shapeId="0" xr:uid="{73C2F0C4-87D4-4AE9-BC9B-2811845B214B}">
      <text>
        <r>
          <rPr>
            <sz val="9"/>
            <color indexed="81"/>
            <rFont val="Tahoma"/>
            <family val="2"/>
          </rPr>
          <t>Multipolar outflow PN, with good results from SHO imaging</t>
        </r>
      </text>
    </comment>
    <comment ref="A2299" authorId="0" shapeId="0" xr:uid="{E6BED9F2-9342-4F2D-99AD-EAEB47E02F3A}">
      <text>
        <r>
          <rPr>
            <sz val="9"/>
            <color indexed="81"/>
            <rFont val="Tahoma"/>
            <family val="2"/>
          </rPr>
          <t xml:space="preserve">
</t>
        </r>
      </text>
    </comment>
    <comment ref="K2299" authorId="0" shapeId="0" xr:uid="{3AEF38B0-E26A-43F5-B1F6-5FD6203AEBF7}">
      <text>
        <r>
          <rPr>
            <sz val="9"/>
            <color indexed="81"/>
            <rFont val="Tahoma"/>
            <family val="2"/>
          </rPr>
          <t>Medium concentrated globular cluster, located near the Milky Way center</t>
        </r>
      </text>
    </comment>
    <comment ref="A2300" authorId="0" shapeId="0" xr:uid="{A7A06C2D-8646-4459-AD87-62667F15BBE1}">
      <text>
        <r>
          <rPr>
            <sz val="9"/>
            <color indexed="81"/>
            <rFont val="Tahoma"/>
            <family val="2"/>
          </rPr>
          <t xml:space="preserve">
</t>
        </r>
      </text>
    </comment>
    <comment ref="K2300" authorId="0" shapeId="0" xr:uid="{D830C60E-9807-4B64-B00C-AE142136E107}">
      <text>
        <r>
          <rPr>
            <sz val="9"/>
            <color indexed="81"/>
            <rFont val="Tahoma"/>
            <family val="2"/>
          </rPr>
          <t>2 spiral galaxies in Draco, no signs of interaction</t>
        </r>
      </text>
    </comment>
    <comment ref="A2301" authorId="0" shapeId="0" xr:uid="{A4C26301-DCF4-49F3-9AAD-CBCF0D4C205A}">
      <text>
        <r>
          <rPr>
            <sz val="9"/>
            <color indexed="81"/>
            <rFont val="Tahoma"/>
            <family val="2"/>
          </rPr>
          <t xml:space="preserve">
</t>
        </r>
      </text>
    </comment>
    <comment ref="K2301" authorId="0" shapeId="0" xr:uid="{0D3AD4D3-73AF-45C1-9277-4C54E1E730CE}">
      <text>
        <r>
          <rPr>
            <sz val="9"/>
            <color indexed="81"/>
            <rFont val="Tahoma"/>
            <family val="2"/>
          </rPr>
          <t>Bipolar PN with visible jets</t>
        </r>
      </text>
    </comment>
    <comment ref="A2302" authorId="0" shapeId="0" xr:uid="{312676C5-604C-45ED-A637-2B0E76D0872A}">
      <text>
        <r>
          <rPr>
            <sz val="9"/>
            <color indexed="81"/>
            <rFont val="Tahoma"/>
            <family val="2"/>
          </rPr>
          <t xml:space="preserve">
</t>
        </r>
      </text>
    </comment>
    <comment ref="K2302" authorId="0" shapeId="0" xr:uid="{427AFC5F-D430-471D-9A55-760AA0C0DFF3}">
      <text>
        <r>
          <rPr>
            <sz val="9"/>
            <color indexed="81"/>
            <rFont val="Tahoma"/>
            <family val="2"/>
          </rPr>
          <t>Concentrated globular cluster in Ophiuchus</t>
        </r>
      </text>
    </comment>
    <comment ref="A2303" authorId="0" shapeId="0" xr:uid="{12F1737E-C44E-497A-961E-810A4F54FB75}">
      <text>
        <r>
          <rPr>
            <sz val="9"/>
            <color indexed="81"/>
            <rFont val="Tahoma"/>
            <family val="2"/>
          </rPr>
          <t xml:space="preserve">
</t>
        </r>
      </text>
    </comment>
    <comment ref="K2303" authorId="0" shapeId="0" xr:uid="{552395EA-AE8B-4D09-BEF7-AF403ECC7BC5}">
      <text>
        <r>
          <rPr>
            <sz val="9"/>
            <color indexed="81"/>
            <rFont val="Tahoma"/>
            <family val="2"/>
          </rPr>
          <t>One of the closest large emission nebula to earth, this is also one of the most prolific star forming regions in the sky</t>
        </r>
      </text>
    </comment>
    <comment ref="A2304" authorId="0" shapeId="0" xr:uid="{527F3AA5-72C8-4440-8754-11039A4BC11C}">
      <text>
        <r>
          <rPr>
            <sz val="9"/>
            <color indexed="81"/>
            <rFont val="Tahoma"/>
            <family val="2"/>
          </rPr>
          <t xml:space="preserve">
</t>
        </r>
      </text>
    </comment>
    <comment ref="K2304" authorId="0" shapeId="0" xr:uid="{E4B415E6-7F29-4CC3-A8C0-3AC19C1C4F50}">
      <text>
        <r>
          <rPr>
            <sz val="9"/>
            <color indexed="81"/>
            <rFont val="Tahoma"/>
            <family val="2"/>
          </rPr>
          <t>Bipolar PN with bright torus ring and extended eye-shaped lobe region.  Great inner region with progenitor and other stars. Similar to NGC6369</t>
        </r>
      </text>
    </comment>
    <comment ref="A2305" authorId="0" shapeId="0" xr:uid="{D3E00BEA-7F0E-48B9-952E-AE80F9600CCF}">
      <text>
        <r>
          <rPr>
            <sz val="9"/>
            <color indexed="81"/>
            <rFont val="Tahoma"/>
            <family val="2"/>
          </rPr>
          <t xml:space="preserve">
</t>
        </r>
      </text>
    </comment>
    <comment ref="K2305" authorId="0" shapeId="0" xr:uid="{21A3A607-326E-4A20-95CD-D198C52C5D9C}">
      <text>
        <r>
          <rPr>
            <sz val="9"/>
            <color indexed="81"/>
            <rFont val="Tahoma"/>
            <family val="2"/>
          </rPr>
          <t xml:space="preserve">Galaxy group highlighted by NGC 6338, a large elliptical of 250,000 ly diameter </t>
        </r>
      </text>
    </comment>
    <comment ref="A2306" authorId="0" shapeId="0" xr:uid="{28CB4C1A-C1CC-4D70-B915-B78FFB7454B8}">
      <text>
        <r>
          <rPr>
            <sz val="9"/>
            <color indexed="81"/>
            <rFont val="Tahoma"/>
            <family val="2"/>
          </rPr>
          <t xml:space="preserve">
</t>
        </r>
      </text>
    </comment>
    <comment ref="K2306" authorId="0" shapeId="0" xr:uid="{3400DA98-7C06-4584-BFB3-E02737EFF279}">
      <text>
        <r>
          <rPr>
            <sz val="9"/>
            <color indexed="81"/>
            <rFont val="Tahoma"/>
            <family val="2"/>
          </rPr>
          <t>Faint small barred spiral with bright long central bar</t>
        </r>
      </text>
    </comment>
    <comment ref="A2307" authorId="0" shapeId="0" xr:uid="{63E7DAB2-246B-412A-913F-0AEBFAC118C6}">
      <text>
        <r>
          <rPr>
            <sz val="9"/>
            <color indexed="81"/>
            <rFont val="Tahoma"/>
            <family val="2"/>
          </rPr>
          <t xml:space="preserve">
</t>
        </r>
      </text>
    </comment>
    <comment ref="K2307" authorId="0" shapeId="0" xr:uid="{60CB2A04-8ADE-4998-B05E-A90FCFF6D5C0}">
      <text>
        <r>
          <rPr>
            <sz val="9"/>
            <color indexed="81"/>
            <rFont val="Tahoma"/>
            <family val="2"/>
          </rPr>
          <t>Lenticular with dust lanes and faint disk structure. Nearby interesting galaxies</t>
        </r>
      </text>
    </comment>
    <comment ref="A2308" authorId="0" shapeId="0" xr:uid="{C4E0CC35-5B16-453E-B742-4DFE89927571}">
      <text>
        <r>
          <rPr>
            <sz val="9"/>
            <color indexed="81"/>
            <rFont val="Tahoma"/>
            <family val="2"/>
          </rPr>
          <t xml:space="preserve">
</t>
        </r>
      </text>
    </comment>
    <comment ref="K2308" authorId="0" shapeId="0" xr:uid="{5F97EE15-B87C-4E8E-85A4-0DD49B13DAAD}">
      <text>
        <r>
          <rPr>
            <sz val="9"/>
            <color indexed="81"/>
            <rFont val="Tahoma"/>
            <family val="2"/>
          </rPr>
          <t>One of many globular clusters in Ophiuchus</t>
        </r>
      </text>
    </comment>
    <comment ref="A2309" authorId="0" shapeId="0" xr:uid="{DA953C24-93B3-4FAF-ABEC-C41D2D625E73}">
      <text>
        <r>
          <rPr>
            <sz val="9"/>
            <color indexed="81"/>
            <rFont val="Tahoma"/>
            <family val="2"/>
          </rPr>
          <t xml:space="preserve">
</t>
        </r>
      </text>
    </comment>
    <comment ref="K2309" authorId="0" shapeId="0" xr:uid="{EE48D25B-B9E2-4692-ABB1-F66D694AC83C}">
      <text>
        <r>
          <rPr>
            <sz val="9"/>
            <color indexed="81"/>
            <rFont val="Tahoma"/>
            <family val="2"/>
          </rPr>
          <t>Photogenic trio of small galaxies which are not interacting</t>
        </r>
      </text>
    </comment>
    <comment ref="A2310" authorId="0" shapeId="0" xr:uid="{3D42ECFD-41AF-4FC9-A939-BFF1F2D6F820}">
      <text>
        <r>
          <rPr>
            <sz val="9"/>
            <color indexed="81"/>
            <rFont val="Tahoma"/>
            <family val="2"/>
          </rPr>
          <t xml:space="preserve">
</t>
        </r>
      </text>
    </comment>
    <comment ref="K2310" authorId="0" shapeId="0" xr:uid="{EE25CAEE-A982-433D-A76B-B2C92E5C7775}">
      <text>
        <r>
          <rPr>
            <sz val="9"/>
            <color indexed="81"/>
            <rFont val="Tahoma"/>
            <family val="2"/>
          </rPr>
          <t>Distant galaxy pair, highlighted by NGC 6351, a polar ring galaxy with a disk that wraps around each pole.</t>
        </r>
      </text>
    </comment>
    <comment ref="A2311" authorId="0" shapeId="0" xr:uid="{7C58020D-D541-4911-A276-6C7798933860}">
      <text>
        <r>
          <rPr>
            <sz val="9"/>
            <color indexed="81"/>
            <rFont val="Tahoma"/>
            <family val="2"/>
          </rPr>
          <t xml:space="preserve">
</t>
        </r>
      </text>
    </comment>
    <comment ref="K2311" authorId="0" shapeId="0" xr:uid="{A65ACAA7-F323-4BD4-9530-A652E5CA297B}">
      <text>
        <r>
          <rPr>
            <sz val="9"/>
            <color indexed="81"/>
            <rFont val="Tahoma"/>
            <family val="2"/>
          </rPr>
          <t>Loosely concentrated globular cluster in Ara</t>
        </r>
      </text>
    </comment>
    <comment ref="A2312" authorId="0" shapeId="0" xr:uid="{574EF7AC-A1C0-4A9C-B432-90AD410A30E5}">
      <text>
        <r>
          <rPr>
            <sz val="9"/>
            <color indexed="81"/>
            <rFont val="Tahoma"/>
            <family val="2"/>
          </rPr>
          <t xml:space="preserve">
</t>
        </r>
      </text>
    </comment>
    <comment ref="B2312" authorId="0" shapeId="0" xr:uid="{F983E291-1189-4068-9895-0965054CD7BB}">
      <text>
        <r>
          <rPr>
            <sz val="9"/>
            <color indexed="81"/>
            <rFont val="Tahoma"/>
            <family val="2"/>
          </rPr>
          <t>Object not in SIMBAD</t>
        </r>
      </text>
    </comment>
    <comment ref="K2312" authorId="0" shapeId="0" xr:uid="{49312A29-E57D-4FFA-A0DC-8FA88464426C}">
      <text>
        <r>
          <rPr>
            <sz val="9"/>
            <color indexed="81"/>
            <rFont val="Tahoma"/>
            <family val="2"/>
          </rPr>
          <t>Tiny 5 star cluster in Hercules.  2 interesting 4 star clusters nearby</t>
        </r>
      </text>
    </comment>
    <comment ref="A2313" authorId="0" shapeId="0" xr:uid="{40A3CBB0-5DC5-483F-A143-C386323B3EC9}">
      <text>
        <r>
          <rPr>
            <sz val="9"/>
            <color indexed="81"/>
            <rFont val="Tahoma"/>
            <family val="2"/>
          </rPr>
          <t xml:space="preserve">
</t>
        </r>
      </text>
    </comment>
    <comment ref="K2313" authorId="0" shapeId="0" xr:uid="{DD9D5250-215C-4F26-A700-9899F5AF32AB}">
      <text>
        <r>
          <rPr>
            <sz val="9"/>
            <color indexed="81"/>
            <rFont val="Tahoma"/>
            <family val="2"/>
          </rPr>
          <t>Globular cluster in Ophiuchus</t>
        </r>
      </text>
    </comment>
    <comment ref="A2314" authorId="0" shapeId="0" xr:uid="{0945E633-3492-45F7-8250-5898A991F2C0}">
      <text>
        <r>
          <rPr>
            <sz val="9"/>
            <color indexed="81"/>
            <rFont val="Tahoma"/>
            <family val="2"/>
          </rPr>
          <t xml:space="preserve">
</t>
        </r>
      </text>
    </comment>
    <comment ref="K2314" authorId="0" shapeId="0" xr:uid="{3A134AE6-93E3-4360-9EA1-1129B8641880}">
      <text>
        <r>
          <rPr>
            <sz val="9"/>
            <color indexed="81"/>
            <rFont val="Tahoma"/>
            <family val="2"/>
          </rPr>
          <t>Distant concentrated globular cluster located just 1.5 degrees from M9.</t>
        </r>
      </text>
    </comment>
    <comment ref="A2315" authorId="0" shapeId="0" xr:uid="{CCC74877-AAFE-4345-A75F-1B3DB28D1893}">
      <text>
        <r>
          <rPr>
            <sz val="9"/>
            <color indexed="81"/>
            <rFont val="Tahoma"/>
            <family val="2"/>
          </rPr>
          <t xml:space="preserve">
</t>
        </r>
      </text>
    </comment>
    <comment ref="K2315" authorId="0" shapeId="0" xr:uid="{42548EE3-9256-458C-93DB-9D62035270BC}">
      <text>
        <r>
          <rPr>
            <sz val="9"/>
            <color indexed="81"/>
            <rFont val="Tahoma"/>
            <family val="2"/>
          </rPr>
          <t xml:space="preserve">Numerous bright emission nebulae surrounding bright open clusters, including Pismis 24.  </t>
        </r>
      </text>
    </comment>
    <comment ref="A2316" authorId="0" shapeId="0" xr:uid="{4C4D5A35-6B1D-46D3-B3BA-D3D8294E2387}">
      <text>
        <r>
          <rPr>
            <sz val="9"/>
            <color indexed="81"/>
            <rFont val="Tahoma"/>
            <family val="2"/>
          </rPr>
          <t xml:space="preserve">
</t>
        </r>
      </text>
    </comment>
    <comment ref="K2316" authorId="0" shapeId="0" xr:uid="{D03FB755-4FCB-4C9F-92E1-CF5E0D6D7C7F}">
      <text>
        <r>
          <rPr>
            <sz val="9"/>
            <color indexed="81"/>
            <rFont val="Tahoma"/>
            <family val="2"/>
          </rPr>
          <t>Large spiral which looks bridge connected to an elliptical companion below</t>
        </r>
      </text>
    </comment>
    <comment ref="A2317" authorId="0" shapeId="0" xr:uid="{0141D58A-7BEF-4041-BD01-A9D1A5C8A0FD}">
      <text>
        <r>
          <rPr>
            <sz val="9"/>
            <color indexed="81"/>
            <rFont val="Tahoma"/>
            <family val="2"/>
          </rPr>
          <t xml:space="preserve">
</t>
        </r>
      </text>
    </comment>
    <comment ref="K2317" authorId="0" shapeId="0" xr:uid="{7A2A72DC-CDAC-42FA-A8A7-FA8F47B061A1}">
      <text>
        <r>
          <rPr>
            <sz val="9"/>
            <color indexed="81"/>
            <rFont val="Tahoma"/>
            <family val="2"/>
          </rPr>
          <t>Elliptical with faint star stream tail extending south and west</t>
        </r>
      </text>
    </comment>
    <comment ref="A2318" authorId="0" shapeId="0" xr:uid="{C7C69831-F7B7-48D9-95FC-DAB33FC540F8}">
      <text>
        <r>
          <rPr>
            <sz val="9"/>
            <color indexed="81"/>
            <rFont val="Tahoma"/>
            <family val="2"/>
          </rPr>
          <t xml:space="preserve">
</t>
        </r>
      </text>
    </comment>
    <comment ref="K2318" authorId="0" shapeId="0" xr:uid="{73B75033-0E58-4374-92BD-6E31A4D421B9}">
      <text>
        <r>
          <rPr>
            <sz val="9"/>
            <color indexed="81"/>
            <rFont val="Tahoma"/>
            <family val="2"/>
          </rPr>
          <t>Slightly disturbed lenticular</t>
        </r>
      </text>
    </comment>
    <comment ref="A2319" authorId="0" shapeId="0" xr:uid="{B54FA51F-AD2A-4967-A9B4-AD9B1FEEC726}">
      <text>
        <r>
          <rPr>
            <sz val="9"/>
            <color indexed="81"/>
            <rFont val="Tahoma"/>
            <family val="2"/>
          </rPr>
          <t xml:space="preserve">
</t>
        </r>
      </text>
    </comment>
    <comment ref="K2319" authorId="0" shapeId="0" xr:uid="{502B6554-F384-471B-BF47-796D2567305E}">
      <text>
        <r>
          <rPr>
            <sz val="9"/>
            <color indexed="81"/>
            <rFont val="Tahoma"/>
            <family val="2"/>
          </rPr>
          <t>Bipolar PN, similar to NGC6337, with faint progenitor</t>
        </r>
      </text>
    </comment>
    <comment ref="A2320" authorId="0" shapeId="0" xr:uid="{C8A240DB-714C-4B94-8E21-A26DE9C19EE7}">
      <text>
        <r>
          <rPr>
            <sz val="9"/>
            <color indexed="81"/>
            <rFont val="Tahoma"/>
            <family val="2"/>
          </rPr>
          <t xml:space="preserve">
</t>
        </r>
      </text>
    </comment>
    <comment ref="K2320" authorId="0" shapeId="0" xr:uid="{29C804B7-5FF7-4800-94EE-AF062F7892E6}">
      <text>
        <r>
          <rPr>
            <sz val="9"/>
            <color indexed="81"/>
            <rFont val="Tahoma"/>
            <family val="2"/>
          </rPr>
          <t>Galaxy group anchored by NGC 6370, large 200,000 ly elliptical.  Favorite galaxy is the double ring galaxy PGC60230</t>
        </r>
      </text>
    </comment>
    <comment ref="A2321" authorId="0" shapeId="0" xr:uid="{799E7EE3-0CFF-4FE4-8E6E-D699D1208486}">
      <text>
        <r>
          <rPr>
            <sz val="9"/>
            <color indexed="81"/>
            <rFont val="Tahoma"/>
            <family val="2"/>
          </rPr>
          <t xml:space="preserve">
</t>
        </r>
      </text>
    </comment>
    <comment ref="K2321" authorId="0" shapeId="0" xr:uid="{304785D1-F075-435A-9D6D-A0B7BEFD6E91}">
      <text>
        <r>
          <rPr>
            <sz val="9"/>
            <color indexed="81"/>
            <rFont val="Tahoma"/>
            <family val="2"/>
          </rPr>
          <t>2 disturbed galaxies, blue and yellow, faintly connected by a star stream bridge</t>
        </r>
      </text>
    </comment>
    <comment ref="A2322" authorId="0" shapeId="0" xr:uid="{AEF1540B-3235-4D98-90A1-38281C5D1EAB}">
      <text>
        <r>
          <rPr>
            <sz val="9"/>
            <color indexed="81"/>
            <rFont val="Tahoma"/>
            <family val="2"/>
          </rPr>
          <t xml:space="preserve">
</t>
        </r>
      </text>
    </comment>
    <comment ref="K2322" authorId="0" shapeId="0" xr:uid="{096FA8D6-3804-42EB-9456-0D4144A5A3D8}">
      <text>
        <r>
          <rPr>
            <sz val="9"/>
            <color indexed="81"/>
            <rFont val="Tahoma"/>
            <family val="2"/>
          </rPr>
          <t>Large barred spiral with blue star clouds and dark dust lanes  Huge number of foreground stars (100) in front of galaxy</t>
        </r>
      </text>
    </comment>
    <comment ref="A2323" authorId="0" shapeId="0" xr:uid="{D913E616-264E-40CA-AC5A-8BAFF2A328CC}">
      <text>
        <r>
          <rPr>
            <sz val="9"/>
            <color indexed="81"/>
            <rFont val="Tahoma"/>
            <family val="2"/>
          </rPr>
          <t xml:space="preserve">
</t>
        </r>
      </text>
    </comment>
    <comment ref="K2323" authorId="0" shapeId="0" xr:uid="{EC10E3CF-5DBB-4B48-B745-A0E015D929C2}">
      <text>
        <r>
          <rPr>
            <sz val="9"/>
            <color indexed="81"/>
            <rFont val="Tahoma"/>
            <family val="2"/>
          </rPr>
          <t>Faint blue spiral.  Undefined arms and yellow bar</t>
        </r>
      </text>
    </comment>
    <comment ref="A2324" authorId="0" shapeId="0" xr:uid="{9BBC2C21-3FB6-4B3E-B3AB-84C8CAD5A869}">
      <text>
        <r>
          <rPr>
            <sz val="9"/>
            <color indexed="81"/>
            <rFont val="Tahoma"/>
            <family val="2"/>
          </rPr>
          <t xml:space="preserve">
</t>
        </r>
      </text>
    </comment>
    <comment ref="K2324" authorId="0" shapeId="0" xr:uid="{468D0243-F689-4635-8B5B-114F88032108}">
      <text>
        <r>
          <rPr>
            <sz val="9"/>
            <color indexed="81"/>
            <rFont val="Tahoma"/>
            <family val="2"/>
          </rPr>
          <t>One of the closest globulars, with a high number of blue supergiant stars.  Loosely concentrated</t>
        </r>
      </text>
    </comment>
    <comment ref="A2325" authorId="0" shapeId="0" xr:uid="{D3C45187-45DD-4F97-A36E-07E34BE94F14}">
      <text>
        <r>
          <rPr>
            <sz val="9"/>
            <color indexed="81"/>
            <rFont val="Tahoma"/>
            <family val="2"/>
          </rPr>
          <t xml:space="preserve">
</t>
        </r>
      </text>
    </comment>
    <comment ref="K2325" authorId="0" shapeId="0" xr:uid="{5DBF29FC-AAD8-450D-AC65-E2D9CD2E2690}">
      <text>
        <r>
          <rPr>
            <sz val="9"/>
            <color indexed="81"/>
            <rFont val="Tahoma"/>
            <family val="2"/>
          </rPr>
          <t>Eclectic shape, with stars arranged in seemingly straight lines instead of clusters</t>
        </r>
      </text>
    </comment>
    <comment ref="A2326" authorId="0" shapeId="0" xr:uid="{9163CCC0-3854-40ED-A8F7-6BB448502D68}">
      <text>
        <r>
          <rPr>
            <sz val="9"/>
            <color indexed="81"/>
            <rFont val="Tahoma"/>
            <family val="2"/>
          </rPr>
          <t xml:space="preserve">
</t>
        </r>
      </text>
    </comment>
    <comment ref="K2326" authorId="0" shapeId="0" xr:uid="{719230D1-C088-46A5-9B73-0BED388B5E32}">
      <text>
        <r>
          <rPr>
            <sz val="9"/>
            <color indexed="81"/>
            <rFont val="Tahoma"/>
            <family val="2"/>
          </rPr>
          <t>Globular cluster in Ophiuchus of average concentration</t>
        </r>
      </text>
    </comment>
    <comment ref="A2327" authorId="0" shapeId="0" xr:uid="{21A56DED-2EC9-483A-8753-928EF2BB5C57}">
      <text>
        <r>
          <rPr>
            <sz val="9"/>
            <color indexed="81"/>
            <rFont val="Tahoma"/>
            <family val="2"/>
          </rPr>
          <t xml:space="preserve">
</t>
        </r>
      </text>
    </comment>
    <comment ref="K2327" authorId="0" shapeId="0" xr:uid="{22397B1F-F063-4B8E-BA21-D74C51B7E721}">
      <text>
        <r>
          <rPr>
            <sz val="9"/>
            <color indexed="81"/>
            <rFont val="Tahoma"/>
            <family val="2"/>
          </rPr>
          <t>Distant loosely concentrated Ophiuchus globular cluster</t>
        </r>
      </text>
    </comment>
    <comment ref="A2328" authorId="0" shapeId="0" xr:uid="{05E568F9-0A8C-4043-BCC4-ECA588C4C576}">
      <text>
        <r>
          <rPr>
            <sz val="9"/>
            <color indexed="81"/>
            <rFont val="Tahoma"/>
            <family val="2"/>
          </rPr>
          <t xml:space="preserve">
</t>
        </r>
      </text>
    </comment>
    <comment ref="K2328" authorId="0" shapeId="0" xr:uid="{AB05EBEB-743D-43CD-B13F-D8AA8161A798}">
      <text>
        <r>
          <rPr>
            <sz val="9"/>
            <color indexed="81"/>
            <rFont val="Tahoma"/>
            <family val="2"/>
          </rPr>
          <t>Orange tint from abundant dust in region.  Outer extent is asymmetric, with void area seen on right side</t>
        </r>
      </text>
    </comment>
    <comment ref="A2329" authorId="0" shapeId="0" xr:uid="{862C3DBD-8AE8-4892-BF20-1CC203E743F9}">
      <text>
        <r>
          <rPr>
            <sz val="9"/>
            <color indexed="81"/>
            <rFont val="Tahoma"/>
            <family val="2"/>
          </rPr>
          <t xml:space="preserve">
</t>
        </r>
      </text>
    </comment>
    <comment ref="K2329" authorId="0" shapeId="0" xr:uid="{16E3E892-8B17-4740-A78B-50A2DD03FDDA}">
      <text>
        <r>
          <rPr>
            <sz val="9"/>
            <color indexed="81"/>
            <rFont val="Tahoma"/>
            <family val="2"/>
          </rPr>
          <t>Concentrated globular cluster next to the mag 3 star G Scorpii</t>
        </r>
      </text>
    </comment>
    <comment ref="A2330" authorId="0" shapeId="0" xr:uid="{716C1328-9B79-4899-BC73-145582E47700}">
      <text>
        <r>
          <rPr>
            <sz val="9"/>
            <color indexed="81"/>
            <rFont val="Tahoma"/>
            <family val="2"/>
          </rPr>
          <t xml:space="preserve">
</t>
        </r>
      </text>
    </comment>
    <comment ref="K2330" authorId="0" shapeId="0" xr:uid="{0ED8DCA6-6A6F-4DC2-AEDB-EA0026180884}">
      <text>
        <r>
          <rPr>
            <sz val="9"/>
            <color indexed="81"/>
            <rFont val="Tahoma"/>
            <family val="2"/>
          </rPr>
          <t xml:space="preserve">Similar to NGC40, with white box that is cross-section of torus material from multi-polar PN gas flow.  Viewing PN in side view  </t>
        </r>
      </text>
    </comment>
    <comment ref="A2331" authorId="0" shapeId="0" xr:uid="{074ED81F-1683-470E-BD70-47855185F941}">
      <text>
        <r>
          <rPr>
            <sz val="9"/>
            <color indexed="81"/>
            <rFont val="Tahoma"/>
            <family val="2"/>
          </rPr>
          <t xml:space="preserve">
</t>
        </r>
      </text>
    </comment>
    <comment ref="K2331" authorId="0" shapeId="0" xr:uid="{0F867FD4-1CA0-4714-AC1C-98D19F3999A9}">
      <text>
        <r>
          <rPr>
            <sz val="9"/>
            <color indexed="81"/>
            <rFont val="Tahoma"/>
            <family val="2"/>
          </rPr>
          <t>Grand design spiral galaxy, paired nicely with spiral NGC 6446</t>
        </r>
      </text>
    </comment>
    <comment ref="A2332" authorId="0" shapeId="0" xr:uid="{5754ED1E-238E-4B0E-9EE2-ADD8827C22C2}">
      <text>
        <r>
          <rPr>
            <sz val="9"/>
            <color indexed="81"/>
            <rFont val="Tahoma"/>
            <family val="2"/>
          </rPr>
          <t xml:space="preserve">
</t>
        </r>
      </text>
    </comment>
    <comment ref="K2332" authorId="0" shapeId="0" xr:uid="{FFE52E6E-1B24-405B-ABFC-1A02F5652EF4}">
      <text>
        <r>
          <rPr>
            <sz val="9"/>
            <color indexed="81"/>
            <rFont val="Tahoma"/>
            <family val="2"/>
          </rPr>
          <t>Distinctly non-circular open cluster with similar brightness stars</t>
        </r>
      </text>
    </comment>
    <comment ref="A2333" authorId="0" shapeId="0" xr:uid="{95120A2B-9A79-4F1A-AB60-9495B7872354}">
      <text>
        <r>
          <rPr>
            <sz val="9"/>
            <color indexed="81"/>
            <rFont val="Tahoma"/>
            <family val="2"/>
          </rPr>
          <t xml:space="preserve">
</t>
        </r>
      </text>
    </comment>
    <comment ref="K2333" authorId="0" shapeId="0" xr:uid="{0EDE344C-8785-4A4D-A39D-49857DF628CB}">
      <text>
        <r>
          <rPr>
            <sz val="9"/>
            <color indexed="81"/>
            <rFont val="Tahoma"/>
            <family val="2"/>
          </rPr>
          <t>Distant group of 8 galaxies, anchored by the large elliptical NGC 6463, 250,000 ly in diameter</t>
        </r>
      </text>
    </comment>
    <comment ref="A2334" authorId="0" shapeId="0" xr:uid="{88978D77-DB7D-454F-A987-54A26BF7CBC7}">
      <text>
        <r>
          <rPr>
            <sz val="9"/>
            <color indexed="81"/>
            <rFont val="Tahoma"/>
            <family val="2"/>
          </rPr>
          <t xml:space="preserve">
</t>
        </r>
      </text>
    </comment>
    <comment ref="K2334" authorId="0" shapeId="0" xr:uid="{AEFB1500-4BA6-4004-80CB-A2AA2A888442}">
      <text>
        <r>
          <rPr>
            <sz val="9"/>
            <color indexed="81"/>
            <rFont val="Tahoma"/>
            <family val="2"/>
          </rPr>
          <t>Group of 4 distant galaxies, highlighted by grand spiral NGC 6473</t>
        </r>
      </text>
    </comment>
    <comment ref="A2335" authorId="0" shapeId="0" xr:uid="{E7510D2B-D17F-40E1-A513-3B3CD7E8ECA7}">
      <text>
        <r>
          <rPr>
            <sz val="9"/>
            <color indexed="81"/>
            <rFont val="Tahoma"/>
            <family val="2"/>
          </rPr>
          <t xml:space="preserve">
</t>
        </r>
      </text>
    </comment>
    <comment ref="K2335" authorId="0" shapeId="0" xr:uid="{3F8BC745-A42C-4AC7-B487-F7B40DC97BE4}">
      <text>
        <r>
          <rPr>
            <sz val="9"/>
            <color indexed="81"/>
            <rFont val="Tahoma"/>
            <family val="2"/>
          </rPr>
          <t>Interested pair of NGC spirals.  But UGC 11007, just above in this image, is even better.</t>
        </r>
      </text>
    </comment>
    <comment ref="A2336" authorId="0" shapeId="0" xr:uid="{1F5C5BE8-BD05-4462-9854-F7D6FEBF450B}">
      <text>
        <r>
          <rPr>
            <sz val="9"/>
            <color indexed="81"/>
            <rFont val="Tahoma"/>
            <family val="2"/>
          </rPr>
          <t xml:space="preserve">
</t>
        </r>
      </text>
    </comment>
    <comment ref="K2336" authorId="0" shapeId="0" xr:uid="{58CB2483-E2F1-4046-824A-780843A2EBC8}">
      <text>
        <r>
          <rPr>
            <sz val="9"/>
            <color indexed="81"/>
            <rFont val="Tahoma"/>
            <family val="2"/>
          </rPr>
          <t>Barred double ring galaxy</t>
        </r>
      </text>
    </comment>
    <comment ref="A2337" authorId="0" shapeId="0" xr:uid="{EE0A58FB-FC79-4139-B098-9673EE32CFF5}">
      <text>
        <r>
          <rPr>
            <sz val="9"/>
            <color indexed="81"/>
            <rFont val="Tahoma"/>
            <family val="2"/>
          </rPr>
          <t xml:space="preserve">
</t>
        </r>
      </text>
    </comment>
    <comment ref="K2337" authorId="0" shapeId="0" xr:uid="{A5BA117E-612C-45EC-94D9-50991370EF01}">
      <text>
        <r>
          <rPr>
            <sz val="9"/>
            <color indexed="81"/>
            <rFont val="Tahoma"/>
            <family val="2"/>
          </rPr>
          <t>Spiral and lenticular at similar distance but just far enough apart not to be interacting</t>
        </r>
      </text>
    </comment>
    <comment ref="A2338" authorId="0" shapeId="0" xr:uid="{D01C6E7E-62C6-401A-8B18-472EBF976682}">
      <text>
        <r>
          <rPr>
            <sz val="9"/>
            <color indexed="81"/>
            <rFont val="Tahoma"/>
            <family val="2"/>
          </rPr>
          <t xml:space="preserve">
</t>
        </r>
      </text>
    </comment>
    <comment ref="K2338" authorId="0" shapeId="0" xr:uid="{BE11A3CB-EE2F-45EA-94DE-4FF4DF556F36}">
      <text>
        <r>
          <rPr>
            <sz val="9"/>
            <color indexed="81"/>
            <rFont val="Tahoma"/>
            <family val="2"/>
          </rPr>
          <t>Flocculent galaxy with faint HII regions and some blue star clouds.  Dark brown dust lanes also seen.</t>
        </r>
      </text>
    </comment>
    <comment ref="A2339" authorId="0" shapeId="0" xr:uid="{CC8A7964-890E-459D-AA2D-1BA38FA858AA}">
      <text>
        <r>
          <rPr>
            <sz val="9"/>
            <color indexed="81"/>
            <rFont val="Tahoma"/>
            <family val="2"/>
          </rPr>
          <t xml:space="preserve">
</t>
        </r>
      </text>
    </comment>
    <comment ref="K2339" authorId="0" shapeId="0" xr:uid="{A02DE27E-B93A-49F9-A678-3DADCF875F63}">
      <text>
        <r>
          <rPr>
            <sz val="9"/>
            <color indexed="81"/>
            <rFont val="Tahoma"/>
            <family val="2"/>
          </rPr>
          <t>Medium concentration globular cluster in Ophiuchus</t>
        </r>
      </text>
    </comment>
    <comment ref="A2340" authorId="0" shapeId="0" xr:uid="{A25DF210-1B7D-4A00-B2FE-19140670EAB2}">
      <text>
        <r>
          <rPr>
            <sz val="9"/>
            <color indexed="81"/>
            <rFont val="Tahoma"/>
            <family val="2"/>
          </rPr>
          <t xml:space="preserve">
</t>
        </r>
      </text>
    </comment>
    <comment ref="K2340" authorId="0" shapeId="0" xr:uid="{345E282E-151C-4266-9C99-304D47317B44}">
      <text>
        <r>
          <rPr>
            <sz val="9"/>
            <color indexed="81"/>
            <rFont val="Tahoma"/>
            <family val="2"/>
          </rPr>
          <t>Incredible view - brilliant cluster with dense Milky Way as backdrop, adjacent to Barnard86</t>
        </r>
      </text>
    </comment>
    <comment ref="A2341" authorId="0" shapeId="0" xr:uid="{00B6B149-2A51-4597-82C3-BA4E1A625F9C}">
      <text>
        <r>
          <rPr>
            <sz val="9"/>
            <color indexed="81"/>
            <rFont val="Tahoma"/>
            <family val="2"/>
          </rPr>
          <t xml:space="preserve">
</t>
        </r>
      </text>
    </comment>
    <comment ref="K2341" authorId="0" shapeId="0" xr:uid="{684663EE-4A5A-426A-9472-6712AE9ECF89}">
      <text>
        <r>
          <rPr>
            <sz val="9"/>
            <color indexed="81"/>
            <rFont val="Tahoma"/>
            <family val="2"/>
          </rPr>
          <t>Part of an amazing double cluster with NGC6522</t>
        </r>
      </text>
    </comment>
    <comment ref="A2342" authorId="0" shapeId="0" xr:uid="{22EC3DE1-4E10-4213-82F3-FFDD23E0F995}">
      <text>
        <r>
          <rPr>
            <sz val="9"/>
            <color indexed="81"/>
            <rFont val="Tahoma"/>
            <family val="2"/>
          </rPr>
          <t xml:space="preserve">
</t>
        </r>
      </text>
    </comment>
    <comment ref="K2342" authorId="0" shapeId="0" xr:uid="{7A1D30D3-3C15-47C0-BA78-22E2B5D740E3}">
      <text>
        <r>
          <rPr>
            <sz val="9"/>
            <color indexed="81"/>
            <rFont val="Tahoma"/>
            <family val="2"/>
          </rPr>
          <t>The slightly smaller and more concentrated cluster of the lovely double cluster pair with NGC6528</t>
        </r>
      </text>
    </comment>
    <comment ref="A2343" authorId="0" shapeId="0" xr:uid="{AF07745B-2DEE-4B49-8B68-F901724DDB6A}">
      <text>
        <r>
          <rPr>
            <sz val="9"/>
            <color indexed="81"/>
            <rFont val="Tahoma"/>
            <family val="2"/>
          </rPr>
          <t xml:space="preserve">
</t>
        </r>
      </text>
    </comment>
    <comment ref="K2343" authorId="0" shapeId="0" xr:uid="{FDE8A2B6-2B7F-4097-A90E-F0567105E6EE}">
      <text>
        <r>
          <rPr>
            <sz val="9"/>
            <color indexed="81"/>
            <rFont val="Tahoma"/>
            <family val="2"/>
          </rPr>
          <t>Marvelous bi-polar 2 lobed shape of this HII PN, with rippled filaments and lobe breakthrough.  Visible progenitor</t>
        </r>
      </text>
    </comment>
    <comment ref="A2344" authorId="0" shapeId="0" xr:uid="{87A91A72-0F75-46A6-9C10-832334344E16}">
      <text>
        <r>
          <rPr>
            <sz val="9"/>
            <color indexed="81"/>
            <rFont val="Tahoma"/>
            <family val="2"/>
          </rPr>
          <t xml:space="preserve">
</t>
        </r>
      </text>
    </comment>
    <comment ref="K2344" authorId="0" shapeId="0" xr:uid="{74A1D7B9-66AE-4BDF-A0A3-FFC3A1C24CA4}">
      <text>
        <r>
          <rPr>
            <sz val="9"/>
            <color indexed="81"/>
            <rFont val="Tahoma"/>
            <family val="2"/>
          </rPr>
          <t>Small arc-shaped globular cluster in Sagittarius</t>
        </r>
      </text>
    </comment>
    <comment ref="A2345" authorId="0" shapeId="0" xr:uid="{3964B433-F8F7-445B-935D-A32B4B5AAD2E}">
      <text>
        <r>
          <rPr>
            <sz val="9"/>
            <color indexed="81"/>
            <rFont val="Tahoma"/>
            <family val="2"/>
          </rPr>
          <t xml:space="preserve">
</t>
        </r>
      </text>
    </comment>
    <comment ref="K2345" authorId="0" shapeId="0" xr:uid="{4995143E-5A66-49DF-8A3F-E299D8DC9AB0}">
      <text>
        <r>
          <rPr>
            <sz val="9"/>
            <color indexed="81"/>
            <rFont val="Tahoma"/>
            <family val="2"/>
          </rPr>
          <t>Concentrated globular cluster in Corona Australis</t>
        </r>
      </text>
    </comment>
    <comment ref="A2346" authorId="0" shapeId="0" xr:uid="{5EDB0457-97D6-476A-AD04-2BE3B1A3AA38}">
      <text>
        <r>
          <rPr>
            <sz val="9"/>
            <color indexed="81"/>
            <rFont val="Tahoma"/>
            <family val="2"/>
          </rPr>
          <t xml:space="preserve">
</t>
        </r>
      </text>
    </comment>
    <comment ref="K2346" authorId="0" shapeId="0" xr:uid="{F4F604DF-C1D9-4DE3-803A-37DD0678A76C}">
      <text>
        <r>
          <rPr>
            <sz val="9"/>
            <color indexed="81"/>
            <rFont val="Tahoma"/>
            <family val="2"/>
          </rPr>
          <t>Showcase Cat's Eye PN, with inner namesake eye and wispy hexagon-shaped outer extent</t>
        </r>
      </text>
    </comment>
    <comment ref="A2347" authorId="0" shapeId="0" xr:uid="{71AF061A-07AC-4F56-88DC-8CF52CB91FED}">
      <text>
        <r>
          <rPr>
            <sz val="9"/>
            <color indexed="81"/>
            <rFont val="Tahoma"/>
            <family val="2"/>
          </rPr>
          <t xml:space="preserve">
</t>
        </r>
      </text>
    </comment>
    <comment ref="K2347" authorId="0" shapeId="0" xr:uid="{E9E7EE74-4A14-4745-B697-1C1F9F3A3A98}">
      <text>
        <r>
          <rPr>
            <sz val="9"/>
            <color indexed="81"/>
            <rFont val="Tahoma"/>
            <family val="2"/>
          </rPr>
          <t>One of the smallest globular clusters, with dark area to the northwest.  Located less than 1 degree southeast from M8.</t>
        </r>
      </text>
    </comment>
    <comment ref="A2348" authorId="0" shapeId="0" xr:uid="{CC8DF260-49CF-4D5B-B20B-4BF9A9440608}">
      <text>
        <r>
          <rPr>
            <sz val="9"/>
            <color indexed="81"/>
            <rFont val="Tahoma"/>
            <family val="2"/>
          </rPr>
          <t xml:space="preserve">
</t>
        </r>
      </text>
    </comment>
    <comment ref="K2348" authorId="0" shapeId="0" xr:uid="{901A88F7-B02E-4E6E-B51E-BD0C35E82631}">
      <text>
        <r>
          <rPr>
            <sz val="9"/>
            <color indexed="81"/>
            <rFont val="Tahoma"/>
            <family val="2"/>
          </rPr>
          <t>Face-on lenticular, with adjacent NGC 6550 a nice pair</t>
        </r>
      </text>
    </comment>
    <comment ref="A2349" authorId="0" shapeId="0" xr:uid="{AB7E5CB6-493B-4BCE-A5C4-2D64CD378298}">
      <text>
        <r>
          <rPr>
            <sz val="9"/>
            <color indexed="81"/>
            <rFont val="Tahoma"/>
            <family val="2"/>
          </rPr>
          <t xml:space="preserve">
</t>
        </r>
      </text>
    </comment>
    <comment ref="K2349" authorId="0" shapeId="0" xr:uid="{55866EB1-3399-4359-9AAC-4674EA1B7579}">
      <text>
        <r>
          <rPr>
            <sz val="9"/>
            <color indexed="81"/>
            <rFont val="Tahoma"/>
            <family val="2"/>
          </rPr>
          <t>Concentrated star-shaped globular cluster</t>
        </r>
      </text>
    </comment>
    <comment ref="A2350" authorId="0" shapeId="0" xr:uid="{FB78207E-838B-45D7-89E0-A695F8166F01}">
      <text>
        <r>
          <rPr>
            <sz val="9"/>
            <color indexed="81"/>
            <rFont val="Tahoma"/>
            <family val="2"/>
          </rPr>
          <t xml:space="preserve">
</t>
        </r>
      </text>
    </comment>
    <comment ref="K2350" authorId="0" shapeId="0" xr:uid="{FD77F5C8-FDE0-4A34-8D29-DAC015F4964D}">
      <text>
        <r>
          <rPr>
            <sz val="9"/>
            <color indexed="81"/>
            <rFont val="Tahoma"/>
            <family val="2"/>
          </rPr>
          <t>Sharp red arc of HII nebulosity, adjacent to reflection nebula and dust lanes</t>
        </r>
      </text>
    </comment>
    <comment ref="A2351" authorId="0" shapeId="0" xr:uid="{0A750843-6C1C-4531-BD4B-C25047CCFA5D}">
      <text>
        <r>
          <rPr>
            <sz val="9"/>
            <color indexed="81"/>
            <rFont val="Tahoma"/>
            <family val="2"/>
          </rPr>
          <t xml:space="preserve">
</t>
        </r>
      </text>
    </comment>
    <comment ref="K2351" authorId="0" shapeId="0" xr:uid="{A750EE49-C61C-428B-91D7-18C697A8B06F}">
      <text>
        <r>
          <rPr>
            <sz val="9"/>
            <color indexed="81"/>
            <rFont val="Tahoma"/>
            <family val="2"/>
          </rPr>
          <t>M57-like bipolar PN, viewed end-on with bright torus ring, HII rim, OIII central portion, and jet created lobes</t>
        </r>
      </text>
    </comment>
    <comment ref="A2352" authorId="0" shapeId="0" xr:uid="{111A3644-3DAE-44CA-BBFA-1652BF42D9ED}">
      <text>
        <r>
          <rPr>
            <sz val="9"/>
            <color indexed="81"/>
            <rFont val="Tahoma"/>
            <family val="2"/>
          </rPr>
          <t xml:space="preserve">
</t>
        </r>
      </text>
    </comment>
    <comment ref="K2352" authorId="0" shapeId="0" xr:uid="{881A7CEC-F2A2-4A7C-B8F8-7698F78AA03B}">
      <text>
        <r>
          <rPr>
            <sz val="9"/>
            <color indexed="81"/>
            <rFont val="Tahoma"/>
            <family val="2"/>
          </rPr>
          <t>Small OII PN</t>
        </r>
      </text>
    </comment>
    <comment ref="A2353" authorId="0" shapeId="0" xr:uid="{F1A82CFA-F199-4EC2-A854-76DFFB8A5435}">
      <text>
        <r>
          <rPr>
            <sz val="9"/>
            <color indexed="81"/>
            <rFont val="Tahoma"/>
            <family val="2"/>
          </rPr>
          <t xml:space="preserve">
</t>
        </r>
      </text>
    </comment>
    <comment ref="K2353" authorId="0" shapeId="0" xr:uid="{8166D9A7-419A-46D9-919A-0F9A415CAA10}">
      <text>
        <r>
          <rPr>
            <sz val="9"/>
            <color indexed="81"/>
            <rFont val="Tahoma"/>
            <family val="2"/>
          </rPr>
          <t>Hard to distinguish open cluster in Sagittarius</t>
        </r>
      </text>
    </comment>
    <comment ref="A2354" authorId="0" shapeId="0" xr:uid="{584F99C3-B307-4775-AB86-62941269261A}">
      <text>
        <r>
          <rPr>
            <sz val="9"/>
            <color indexed="81"/>
            <rFont val="Tahoma"/>
            <family val="2"/>
          </rPr>
          <t xml:space="preserve">
</t>
        </r>
      </text>
    </comment>
    <comment ref="K2354" authorId="0" shapeId="0" xr:uid="{CEAEA3A7-3E12-4EDB-8F89-7C49B8D560C9}">
      <text>
        <r>
          <rPr>
            <sz val="9"/>
            <color indexed="81"/>
            <rFont val="Tahoma"/>
            <family val="2"/>
          </rPr>
          <t>Globular cluster in Sagittarius</t>
        </r>
      </text>
    </comment>
    <comment ref="A2355" authorId="0" shapeId="0" xr:uid="{33F0BB3F-7D45-4073-BDFB-C7EEEA4E6F38}">
      <text>
        <r>
          <rPr>
            <sz val="9"/>
            <color indexed="81"/>
            <rFont val="Tahoma"/>
            <family val="2"/>
          </rPr>
          <t xml:space="preserve">
</t>
        </r>
      </text>
    </comment>
    <comment ref="K2355" authorId="0" shapeId="0" xr:uid="{95FA89ED-C42C-4AE4-939B-CF2F871887DE}">
      <text>
        <r>
          <rPr>
            <sz val="9"/>
            <color indexed="81"/>
            <rFont val="Tahoma"/>
            <family val="2"/>
          </rPr>
          <t>Magellanic galaxy with barred core, star clouds, and 1 strong arm</t>
        </r>
      </text>
    </comment>
    <comment ref="A2356" authorId="0" shapeId="0" xr:uid="{3B5DDC4A-F423-4C31-9328-5F4EBEF97BAE}">
      <text>
        <r>
          <rPr>
            <sz val="9"/>
            <color indexed="81"/>
            <rFont val="Tahoma"/>
            <family val="2"/>
          </rPr>
          <t xml:space="preserve">
</t>
        </r>
      </text>
    </comment>
    <comment ref="K2356" authorId="0" shapeId="0" xr:uid="{56868A25-0061-4854-844B-8BDBF6484886}">
      <text>
        <r>
          <rPr>
            <sz val="9"/>
            <color indexed="81"/>
            <rFont val="Tahoma"/>
            <family val="2"/>
          </rPr>
          <t>Tiny bipolar OIII PN with progenitor, 2 magnitudes brighter than M57 but 5 times smaller.</t>
        </r>
      </text>
    </comment>
    <comment ref="A2357" authorId="0" shapeId="0" xr:uid="{7928E21D-74C6-4A3F-907C-B7A8248EB8D7}">
      <text>
        <r>
          <rPr>
            <sz val="9"/>
            <color indexed="81"/>
            <rFont val="Tahoma"/>
            <family val="2"/>
          </rPr>
          <t xml:space="preserve">
</t>
        </r>
      </text>
    </comment>
    <comment ref="K2357" authorId="0" shapeId="0" xr:uid="{F0DDFC9B-EEF7-47E1-A926-C084A3E671BA}">
      <text>
        <r>
          <rPr>
            <sz val="9"/>
            <color indexed="81"/>
            <rFont val="Tahoma"/>
            <family val="2"/>
          </rPr>
          <t>Group of 7 galaxies highlighted by NGC 6580, an elliptical 90,000 ly in diameter</t>
        </r>
      </text>
    </comment>
    <comment ref="A2358" authorId="0" shapeId="0" xr:uid="{2C63C5CD-E23B-46DF-99F8-6DAD098630B8}">
      <text>
        <r>
          <rPr>
            <sz val="9"/>
            <color indexed="81"/>
            <rFont val="Tahoma"/>
            <family val="2"/>
          </rPr>
          <t xml:space="preserve">
</t>
        </r>
      </text>
    </comment>
    <comment ref="K2358" authorId="0" shapeId="0" xr:uid="{7513024C-37BD-4C00-95D8-4C377E5CF4F9}">
      <text>
        <r>
          <rPr>
            <sz val="9"/>
            <color indexed="81"/>
            <rFont val="Tahoma"/>
            <family val="2"/>
          </rPr>
          <t>Oval shaped open cluster in Sagittarius</t>
        </r>
      </text>
    </comment>
    <comment ref="A2359" authorId="0" shapeId="0" xr:uid="{319C4E8E-F0A1-4DA9-AE01-D412BE678137}">
      <text>
        <r>
          <rPr>
            <sz val="9"/>
            <color indexed="81"/>
            <rFont val="Tahoma"/>
            <family val="2"/>
          </rPr>
          <t xml:space="preserve">
</t>
        </r>
      </text>
    </comment>
    <comment ref="K2359" authorId="0" shapeId="0" xr:uid="{01E9491E-B387-44D4-A24D-4CDF1A6FADD2}">
      <text>
        <r>
          <rPr>
            <sz val="9"/>
            <color indexed="81"/>
            <rFont val="Tahoma"/>
            <family val="2"/>
          </rPr>
          <t>Medium concentration globular cluster</t>
        </r>
      </text>
    </comment>
    <comment ref="A2360" authorId="0" shapeId="0" xr:uid="{ABF79575-2D0E-4A5D-8723-2B73F306A34C}">
      <text>
        <r>
          <rPr>
            <sz val="9"/>
            <color indexed="81"/>
            <rFont val="Tahoma"/>
            <family val="2"/>
          </rPr>
          <t xml:space="preserve">
</t>
        </r>
      </text>
    </comment>
    <comment ref="K2360" authorId="0" shapeId="0" xr:uid="{96FC0512-6D35-4906-8279-E4B73374E209}">
      <text>
        <r>
          <rPr>
            <sz val="9"/>
            <color indexed="81"/>
            <rFont val="Tahoma"/>
            <family val="2"/>
          </rPr>
          <t>Looking like a small inclined Sombrero Galaxy, nice dust lane and extended star streams</t>
        </r>
      </text>
    </comment>
    <comment ref="A2361" authorId="0" shapeId="0" xr:uid="{F0BFF2DD-E20D-440F-8E0F-775A07FBF356}">
      <text>
        <r>
          <rPr>
            <sz val="9"/>
            <color indexed="81"/>
            <rFont val="Tahoma"/>
            <family val="2"/>
          </rPr>
          <t xml:space="preserve">
</t>
        </r>
      </text>
    </comment>
    <comment ref="K2361" authorId="0" shapeId="0" xr:uid="{6ED5AA54-7E3B-4F8A-BF8C-7DE9F8DDE2F1}">
      <text>
        <r>
          <rPr>
            <sz val="9"/>
            <color indexed="81"/>
            <rFont val="Tahoma"/>
            <family val="2"/>
          </rPr>
          <t>Sparkling open cluster in M24</t>
        </r>
      </text>
    </comment>
    <comment ref="A2362" authorId="0" shapeId="0" xr:uid="{96210860-6371-4FE7-AA4D-CB570848B167}">
      <text>
        <r>
          <rPr>
            <sz val="9"/>
            <color indexed="81"/>
            <rFont val="Tahoma"/>
            <family val="2"/>
          </rPr>
          <t xml:space="preserve">
</t>
        </r>
      </text>
    </comment>
    <comment ref="K2362" authorId="0" shapeId="0" xr:uid="{9A7B1EF8-E7F0-49F0-9B58-00D6EFD57219}">
      <text>
        <r>
          <rPr>
            <sz val="9"/>
            <color indexed="81"/>
            <rFont val="Tahoma"/>
            <family val="2"/>
          </rPr>
          <t>Open star cluster at the center of M16</t>
        </r>
      </text>
    </comment>
    <comment ref="A2363" authorId="0" shapeId="0" xr:uid="{DA980F88-7157-4CD4-852A-579D843BD0B7}">
      <text>
        <r>
          <rPr>
            <sz val="9"/>
            <color indexed="81"/>
            <rFont val="Tahoma"/>
            <family val="2"/>
          </rPr>
          <t xml:space="preserve">
</t>
        </r>
      </text>
    </comment>
    <comment ref="K2363" authorId="0" shapeId="0" xr:uid="{B1FD47E5-27AE-4BDD-9A1F-FA4F22122571}">
      <text>
        <r>
          <rPr>
            <sz val="9"/>
            <color indexed="81"/>
            <rFont val="Tahoma"/>
            <family val="2"/>
          </rPr>
          <t>Resplendent globular cluster, sitting in front of the dense starfield background of Sagittarius</t>
        </r>
      </text>
    </comment>
    <comment ref="A2364" authorId="0" shapeId="0" xr:uid="{9D48CA44-94B6-4768-8F44-4108ABA4B7D3}">
      <text>
        <r>
          <rPr>
            <sz val="9"/>
            <color indexed="81"/>
            <rFont val="Tahoma"/>
            <family val="2"/>
          </rPr>
          <t xml:space="preserve">
</t>
        </r>
      </text>
    </comment>
    <comment ref="K2364" authorId="0" shapeId="0" xr:uid="{D6932CD0-0102-4A87-B647-42DD7EBDD3ED}">
      <text>
        <r>
          <rPr>
            <sz val="9"/>
            <color indexed="81"/>
            <rFont val="Tahoma"/>
            <family val="2"/>
          </rPr>
          <t>Small bright OIII PN with asymmetric halo</t>
        </r>
      </text>
    </comment>
    <comment ref="A2365" authorId="0" shapeId="0" xr:uid="{4E95A777-08BE-46C6-BA7F-659A3E90A0F1}">
      <text>
        <r>
          <rPr>
            <sz val="9"/>
            <color indexed="81"/>
            <rFont val="Tahoma"/>
            <family val="2"/>
          </rPr>
          <t xml:space="preserve">
</t>
        </r>
      </text>
    </comment>
    <comment ref="K2365" authorId="0" shapeId="0" xr:uid="{D79EFA6D-E95E-46EB-A41F-F2F64902CA97}">
      <text>
        <r>
          <rPr>
            <sz val="9"/>
            <color indexed="81"/>
            <rFont val="Tahoma"/>
            <family val="2"/>
          </rPr>
          <t>Lovely disturbed spiral, with HII tones, warping, and blue star clouds</t>
        </r>
      </text>
    </comment>
    <comment ref="A2366" authorId="0" shapeId="0" xr:uid="{D9FBFB37-3FEA-418E-B97B-B4493F5880F0}">
      <text>
        <r>
          <rPr>
            <sz val="9"/>
            <color indexed="81"/>
            <rFont val="Tahoma"/>
            <family val="2"/>
          </rPr>
          <t xml:space="preserve">
</t>
        </r>
      </text>
    </comment>
    <comment ref="K2366" authorId="0" shapeId="0" xr:uid="{5F8333D8-3D18-4C2C-A314-55E4E8C5C781}">
      <text>
        <r>
          <rPr>
            <sz val="9"/>
            <color indexed="81"/>
            <rFont val="Tahoma"/>
            <family val="2"/>
          </rPr>
          <t>Attractive irregularly shaped open cluster in Ophiuchus</t>
        </r>
      </text>
    </comment>
    <comment ref="A2367" authorId="0" shapeId="0" xr:uid="{AC7962F6-73AB-43E5-B310-C21E829247DF}">
      <text>
        <r>
          <rPr>
            <sz val="9"/>
            <color indexed="81"/>
            <rFont val="Tahoma"/>
            <family val="2"/>
          </rPr>
          <t xml:space="preserve">
</t>
        </r>
      </text>
    </comment>
    <comment ref="K2367" authorId="0" shapeId="0" xr:uid="{1AC24A14-F53C-414B-BD06-4D58215D36AD}">
      <text>
        <r>
          <rPr>
            <sz val="9"/>
            <color indexed="81"/>
            <rFont val="Tahoma"/>
            <family val="2"/>
          </rPr>
          <t xml:space="preserve">Deformed edge-on colorful spiral, connected via star stream bridge to elliptical companion </t>
        </r>
      </text>
    </comment>
    <comment ref="A2368" authorId="0" shapeId="0" xr:uid="{3357181B-4329-4737-BC93-095816C2BE4E}">
      <text>
        <r>
          <rPr>
            <sz val="9"/>
            <color indexed="81"/>
            <rFont val="Tahoma"/>
            <family val="2"/>
          </rPr>
          <t xml:space="preserve">
</t>
        </r>
      </text>
    </comment>
    <comment ref="K2368" authorId="0" shapeId="0" xr:uid="{DDBB98B2-7537-40FB-9D67-091450D98A1D}">
      <text>
        <r>
          <rPr>
            <sz val="9"/>
            <color indexed="81"/>
            <rFont val="Tahoma"/>
            <family val="2"/>
          </rPr>
          <t>Resolvable globular cluster in the dense star field of Sagittarius</t>
        </r>
      </text>
    </comment>
    <comment ref="A2369" authorId="0" shapeId="0" xr:uid="{A9C0C805-9266-457B-8ECD-C62F800E18E3}">
      <text>
        <r>
          <rPr>
            <sz val="9"/>
            <color indexed="81"/>
            <rFont val="Tahoma"/>
            <family val="2"/>
          </rPr>
          <t xml:space="preserve">
</t>
        </r>
      </text>
    </comment>
    <comment ref="K2369" authorId="0" shapeId="0" xr:uid="{01D62D81-C464-44C3-945C-0963BFAEF603}">
      <text>
        <r>
          <rPr>
            <sz val="9"/>
            <color indexed="81"/>
            <rFont val="Tahoma"/>
            <family val="2"/>
          </rPr>
          <t>Fairly concentrated globular cluster in Sagittarius</t>
        </r>
      </text>
    </comment>
    <comment ref="A2370" authorId="0" shapeId="0" xr:uid="{466288B5-2345-4A72-8E2C-DEFCEB19B9B9}">
      <text>
        <r>
          <rPr>
            <sz val="9"/>
            <color indexed="81"/>
            <rFont val="Tahoma"/>
            <family val="2"/>
          </rPr>
          <t xml:space="preserve">
</t>
        </r>
      </text>
    </comment>
    <comment ref="K2370" authorId="0" shapeId="0" xr:uid="{7CF9E660-1690-42A7-AD17-6139F35AD76C}">
      <text>
        <r>
          <rPr>
            <sz val="9"/>
            <color indexed="81"/>
            <rFont val="Tahoma"/>
            <family val="2"/>
          </rPr>
          <t>Flocculent galaxy in Draco with odd strong arm</t>
        </r>
      </text>
    </comment>
    <comment ref="A2371" authorId="0" shapeId="0" xr:uid="{1FA7C799-8DF6-4BF6-9BE9-DAF30FD0955F}">
      <text>
        <r>
          <rPr>
            <sz val="9"/>
            <color indexed="81"/>
            <rFont val="Tahoma"/>
            <family val="2"/>
          </rPr>
          <t xml:space="preserve">
</t>
        </r>
      </text>
    </comment>
    <comment ref="K2371" authorId="0" shapeId="0" xr:uid="{EA9E2E61-A326-4002-BEFA-C9EADF5C0280}">
      <text>
        <r>
          <rPr>
            <sz val="9"/>
            <color indexed="81"/>
            <rFont val="Tahoma"/>
            <family val="2"/>
          </rPr>
          <t>Wedge-shaped open cluster that is hard to differentiate from dense Sagittarius background</t>
        </r>
      </text>
    </comment>
    <comment ref="A2372" authorId="0" shapeId="0" xr:uid="{23366221-0472-4C4D-A349-6FB5785128E5}">
      <text>
        <r>
          <rPr>
            <sz val="9"/>
            <color indexed="81"/>
            <rFont val="Tahoma"/>
            <family val="2"/>
          </rPr>
          <t xml:space="preserve">
</t>
        </r>
      </text>
    </comment>
    <comment ref="K2372" authorId="0" shapeId="0" xr:uid="{787ED424-8EF6-4FA4-AF36-06DEAB310CBD}">
      <text>
        <r>
          <rPr>
            <sz val="9"/>
            <color indexed="81"/>
            <rFont val="Tahoma"/>
            <family val="2"/>
          </rPr>
          <t>Face-on barred lenticular with ansae and faint asymmetric outer disk (dark area in northeast part of disk)</t>
        </r>
      </text>
    </comment>
    <comment ref="A2373" authorId="0" shapeId="0" xr:uid="{F0114ACF-8899-44AA-98D2-4D80693C175D}">
      <text>
        <r>
          <rPr>
            <sz val="9"/>
            <color indexed="81"/>
            <rFont val="Tahoma"/>
            <family val="2"/>
          </rPr>
          <t xml:space="preserve">
</t>
        </r>
      </text>
    </comment>
    <comment ref="K2373" authorId="0" shapeId="0" xr:uid="{8ABA7229-9D67-4ED8-8878-5D25CC557EB0}">
      <text>
        <r>
          <rPr>
            <sz val="9"/>
            <color indexed="81"/>
            <rFont val="Tahoma"/>
            <family val="2"/>
          </rPr>
          <t>Tough to see but red supergiants in cluster stand out</t>
        </r>
      </text>
    </comment>
    <comment ref="A2374" authorId="0" shapeId="0" xr:uid="{0A24BC63-0046-4510-8118-96A1BD76C65B}">
      <text>
        <r>
          <rPr>
            <sz val="9"/>
            <color indexed="81"/>
            <rFont val="Tahoma"/>
            <family val="2"/>
          </rPr>
          <t xml:space="preserve">
</t>
        </r>
      </text>
    </comment>
    <comment ref="K2374" authorId="0" shapeId="0" xr:uid="{4905DB30-5A6D-4C74-986B-F3D465A7A3F7}">
      <text>
        <r>
          <rPr>
            <sz val="9"/>
            <color indexed="81"/>
            <rFont val="Tahoma"/>
            <family val="2"/>
          </rPr>
          <t>Fascinating star streams in odd looping patterns, extending 200,000 ly.  Core obscured by dust lanes</t>
        </r>
      </text>
    </comment>
    <comment ref="A2375" authorId="0" shapeId="0" xr:uid="{433411D4-1A62-4269-975A-E79216409012}">
      <text>
        <r>
          <rPr>
            <sz val="9"/>
            <color indexed="81"/>
            <rFont val="Tahoma"/>
            <family val="2"/>
          </rPr>
          <t xml:space="preserve">
</t>
        </r>
      </text>
    </comment>
    <comment ref="K2375" authorId="0" shapeId="0" xr:uid="{E890C567-FA43-41CC-B854-DFA52B4325C8}">
      <text>
        <r>
          <rPr>
            <sz val="9"/>
            <color indexed="81"/>
            <rFont val="Tahoma"/>
            <family val="2"/>
          </rPr>
          <t>Bridge connected edge-on spirals in early merge stage</t>
        </r>
      </text>
    </comment>
    <comment ref="A2376" authorId="0" shapeId="0" xr:uid="{FC174F54-973D-4929-84ED-5F09FBD1126B}">
      <text>
        <r>
          <rPr>
            <sz val="9"/>
            <color indexed="81"/>
            <rFont val="Tahoma"/>
            <family val="2"/>
          </rPr>
          <t xml:space="preserve">
</t>
        </r>
      </text>
    </comment>
    <comment ref="K2376" authorId="0" shapeId="0" xr:uid="{7F3A4660-8112-4233-B5DD-B735E53CED9A}">
      <text>
        <r>
          <rPr>
            <sz val="9"/>
            <color indexed="81"/>
            <rFont val="Tahoma"/>
            <family val="2"/>
          </rPr>
          <t>Golden hued bar contrasts with dark regions left and right of core.  Lack of symmetry indicates interactions</t>
        </r>
      </text>
    </comment>
    <comment ref="A2377" authorId="0" shapeId="0" xr:uid="{E5E0DE92-B78D-42EC-BAF8-7980A0825D52}">
      <text>
        <r>
          <rPr>
            <sz val="9"/>
            <color indexed="81"/>
            <rFont val="Tahoma"/>
            <family val="2"/>
          </rPr>
          <t xml:space="preserve">
</t>
        </r>
      </text>
    </comment>
    <comment ref="K2377" authorId="0" shapeId="0" xr:uid="{B3D3C27F-6CA1-404A-93FC-8EF073726061}">
      <text>
        <r>
          <rPr>
            <sz val="9"/>
            <color indexed="81"/>
            <rFont val="Tahoma"/>
            <family val="2"/>
          </rPr>
          <t>Quintet of Draco galaxies in tight 12' FOV with interesting structures</t>
        </r>
      </text>
    </comment>
    <comment ref="A2378" authorId="0" shapeId="0" xr:uid="{BC09CF27-2F92-42DC-AFF8-77C807DB1D7A}">
      <text>
        <r>
          <rPr>
            <sz val="9"/>
            <color indexed="81"/>
            <rFont val="Tahoma"/>
            <family val="2"/>
          </rPr>
          <t xml:space="preserve">
</t>
        </r>
      </text>
    </comment>
    <comment ref="K2378" authorId="0" shapeId="0" xr:uid="{95054A6A-2BE9-44D1-A138-7F305C62C044}">
      <text>
        <r>
          <rPr>
            <sz val="9"/>
            <color indexed="81"/>
            <rFont val="Tahoma"/>
            <family val="2"/>
          </rPr>
          <t>Strange dust lane surrounds right side of core in arc.</t>
        </r>
      </text>
    </comment>
    <comment ref="A2379" authorId="0" shapeId="0" xr:uid="{8190E29A-0D6C-489C-9C7B-75DCA0DB515B}">
      <text>
        <r>
          <rPr>
            <sz val="9"/>
            <color indexed="81"/>
            <rFont val="Tahoma"/>
            <family val="2"/>
          </rPr>
          <t xml:space="preserve">
</t>
        </r>
      </text>
    </comment>
    <comment ref="K2379" authorId="0" shapeId="0" xr:uid="{FEABCB9B-18E1-4CF3-84DA-7FA742389745}">
      <text>
        <r>
          <rPr>
            <sz val="9"/>
            <color indexed="81"/>
            <rFont val="Tahoma"/>
            <family val="2"/>
          </rPr>
          <t>Elliptical which contrasts nicely in image with adjacent lenticular NC 6703</t>
        </r>
      </text>
    </comment>
    <comment ref="A2380" authorId="0" shapeId="0" xr:uid="{2C3E071A-68B3-46A4-BE09-4FED51AA3A45}">
      <text>
        <r>
          <rPr>
            <sz val="9"/>
            <color indexed="81"/>
            <rFont val="Tahoma"/>
            <family val="2"/>
          </rPr>
          <t xml:space="preserve">
</t>
        </r>
      </text>
    </comment>
    <comment ref="K2380" authorId="0" shapeId="0" xr:uid="{5B702B05-F143-45EA-95EA-3DA9A38F4F33}">
      <text>
        <r>
          <rPr>
            <sz val="9"/>
            <color indexed="81"/>
            <rFont val="Tahoma"/>
            <family val="2"/>
          </rPr>
          <t>Face-on lenticular which contrasts nicely in image with adjacent elliptical NC 6702</t>
        </r>
      </text>
    </comment>
    <comment ref="A2381" authorId="0" shapeId="0" xr:uid="{D912DC1A-7A46-486B-BF7D-E0D99E8C15CB}">
      <text>
        <r>
          <rPr>
            <sz val="9"/>
            <color indexed="81"/>
            <rFont val="Tahoma"/>
            <family val="2"/>
          </rPr>
          <t xml:space="preserve">
</t>
        </r>
      </text>
    </comment>
    <comment ref="K2381" authorId="0" shapeId="0" xr:uid="{D75A439A-53C4-4D06-87B8-72EB31A2F5C3}">
      <text>
        <r>
          <rPr>
            <sz val="9"/>
            <color indexed="81"/>
            <rFont val="Tahoma"/>
            <family val="2"/>
          </rPr>
          <t>Star shaped open cluster with good mix of orange and blue stars</t>
        </r>
      </text>
    </comment>
    <comment ref="A2382" authorId="0" shapeId="0" xr:uid="{03A7424D-73F6-470D-9B41-D74AB3CDC76F}">
      <text>
        <r>
          <rPr>
            <sz val="9"/>
            <color indexed="81"/>
            <rFont val="Tahoma"/>
            <family val="2"/>
          </rPr>
          <t xml:space="preserve">
</t>
        </r>
      </text>
    </comment>
    <comment ref="K2382" authorId="0" shapeId="0" xr:uid="{39F369B1-BCE4-491D-9934-2F449D69C06D}">
      <text>
        <r>
          <rPr>
            <sz val="9"/>
            <color indexed="81"/>
            <rFont val="Tahoma"/>
            <family val="2"/>
          </rPr>
          <t>Unique cluster - most of its stars are larger than our sun.  Comes closer to galactic center than any other globular, robbing it of lower mass stars</t>
        </r>
      </text>
    </comment>
    <comment ref="A2383" authorId="0" shapeId="0" xr:uid="{0053C628-8C56-406A-8E9D-5AB620CBB7EB}">
      <text>
        <r>
          <rPr>
            <sz val="9"/>
            <color indexed="81"/>
            <rFont val="Tahoma"/>
            <family val="2"/>
          </rPr>
          <t xml:space="preserve">
</t>
        </r>
      </text>
    </comment>
    <comment ref="K2383" authorId="0" shapeId="0" xr:uid="{A0E3894B-C933-47CC-ACD8-69DD5AD019D7}">
      <text>
        <r>
          <rPr>
            <sz val="9"/>
            <color indexed="81"/>
            <rFont val="Tahoma"/>
            <family val="2"/>
          </rPr>
          <t>Hidden in the glow of the mag 5 supergiant star Nu2 Sagittarii</t>
        </r>
      </text>
    </comment>
    <comment ref="A2384" authorId="0" shapeId="0" xr:uid="{08359BD2-6550-4F14-9263-CF0F6782656A}">
      <text>
        <r>
          <rPr>
            <sz val="9"/>
            <color indexed="81"/>
            <rFont val="Tahoma"/>
            <family val="2"/>
          </rPr>
          <t xml:space="preserve">
</t>
        </r>
      </text>
    </comment>
    <comment ref="K2384" authorId="0" shapeId="0" xr:uid="{53D7F2B7-1018-4C0B-B248-3C8F0B188369}">
      <text>
        <r>
          <rPr>
            <sz val="9"/>
            <color indexed="81"/>
            <rFont val="Tahoma"/>
            <family val="2"/>
          </rPr>
          <t>Open star cluster that is a superb compliment to the Anteater Nebula (NGC 6726)</t>
        </r>
      </text>
    </comment>
    <comment ref="A2385" authorId="0" shapeId="0" xr:uid="{3D9F69E1-A5B8-42A3-86EC-A5A7ECB2FE7D}">
      <text>
        <r>
          <rPr>
            <sz val="9"/>
            <color indexed="81"/>
            <rFont val="Tahoma"/>
            <family val="2"/>
          </rPr>
          <t xml:space="preserve">
</t>
        </r>
      </text>
    </comment>
    <comment ref="K2385" authorId="0" shapeId="0" xr:uid="{5F6D3BA0-7703-468D-9E7B-2C0FF3F74441}">
      <text>
        <r>
          <rPr>
            <sz val="9"/>
            <color indexed="81"/>
            <rFont val="Tahoma"/>
            <family val="2"/>
          </rPr>
          <t>Showcase object, including reflection nebulae, dark nebulae, HH objects and globular star cluster</t>
        </r>
      </text>
    </comment>
    <comment ref="A2386" authorId="0" shapeId="0" xr:uid="{1FE4E70C-4266-4A27-AF2B-545DDF96AA88}">
      <text>
        <r>
          <rPr>
            <sz val="9"/>
            <color indexed="81"/>
            <rFont val="Tahoma"/>
            <family val="2"/>
          </rPr>
          <t xml:space="preserve">
</t>
        </r>
      </text>
    </comment>
    <comment ref="K2386" authorId="0" shapeId="0" xr:uid="{CEB73F5E-C119-494C-A754-FF090ACBAEFB}">
      <text>
        <r>
          <rPr>
            <sz val="9"/>
            <color indexed="81"/>
            <rFont val="Tahoma"/>
            <family val="2"/>
          </rPr>
          <t>Tiny PN with bright rim in Aquila</t>
        </r>
      </text>
    </comment>
    <comment ref="A2387" authorId="0" shapeId="0" xr:uid="{53F3300E-E783-46AE-BFD0-E1157363CA79}">
      <text>
        <r>
          <rPr>
            <sz val="9"/>
            <color indexed="81"/>
            <rFont val="Tahoma"/>
            <family val="2"/>
          </rPr>
          <t xml:space="preserve">
</t>
        </r>
      </text>
    </comment>
    <comment ref="K2387" authorId="0" shapeId="0" xr:uid="{FAB566D6-B96C-473F-88F7-622C4DEB5825}">
      <text>
        <r>
          <rPr>
            <sz val="9"/>
            <color indexed="81"/>
            <rFont val="Tahoma"/>
            <family val="2"/>
          </rPr>
          <t>Lovely large multi-arm barred spiral</t>
        </r>
      </text>
    </comment>
    <comment ref="A2388" authorId="0" shapeId="0" xr:uid="{8C3CB1F6-AB6C-4FAB-8C33-A8D7D8E0B96F}">
      <text>
        <r>
          <rPr>
            <sz val="9"/>
            <color indexed="81"/>
            <rFont val="Tahoma"/>
            <family val="2"/>
          </rPr>
          <t xml:space="preserve">
</t>
        </r>
      </text>
    </comment>
    <comment ref="K2388" authorId="0" shapeId="0" xr:uid="{3C8B791E-3AC2-490F-AABD-1BD038EB3D2B}">
      <text>
        <r>
          <rPr>
            <sz val="9"/>
            <color indexed="81"/>
            <rFont val="Tahoma"/>
            <family val="2"/>
          </rPr>
          <t>One of only a few DSOs to show evidence of a direct collision between the ISM (gas, dust and magnetic fields) of each galaxy, not just gravitational interaction</t>
        </r>
      </text>
    </comment>
    <comment ref="A2389" authorId="0" shapeId="0" xr:uid="{E8FCBF73-11E6-4A64-973C-87AEA035565E}">
      <text>
        <r>
          <rPr>
            <sz val="9"/>
            <color indexed="81"/>
            <rFont val="Tahoma"/>
            <family val="2"/>
          </rPr>
          <t xml:space="preserve">
</t>
        </r>
      </text>
    </comment>
    <comment ref="K2389" authorId="0" shapeId="0" xr:uid="{4BD8D2BF-1319-4D19-99EE-2D5953380FB6}">
      <text>
        <r>
          <rPr>
            <sz val="9"/>
            <color indexed="81"/>
            <rFont val="Tahoma"/>
            <family val="2"/>
          </rPr>
          <t>Complex PN with 5 different regions, this bipolar nebula has outflow resulting in multiple shells.</t>
        </r>
      </text>
    </comment>
    <comment ref="A2390" authorId="0" shapeId="0" xr:uid="{CCDE7034-B321-4BE3-8D4F-B28BFF2B41B7}">
      <text>
        <r>
          <rPr>
            <sz val="9"/>
            <color indexed="81"/>
            <rFont val="Tahoma"/>
            <family val="2"/>
          </rPr>
          <t xml:space="preserve">
</t>
        </r>
      </text>
    </comment>
    <comment ref="K2390" authorId="0" shapeId="0" xr:uid="{579E6FD9-27B1-4F2F-8259-A9EE9BD11990}">
      <text>
        <r>
          <rPr>
            <sz val="9"/>
            <color indexed="81"/>
            <rFont val="Tahoma"/>
            <family val="2"/>
          </rPr>
          <t>The 3rd brightest globular in the sky</t>
        </r>
      </text>
    </comment>
    <comment ref="A2391" authorId="0" shapeId="0" xr:uid="{D70275D8-CD1C-4483-ABE9-2CFFA5E4663A}">
      <text>
        <r>
          <rPr>
            <sz val="9"/>
            <color indexed="81"/>
            <rFont val="Tahoma"/>
            <family val="2"/>
          </rPr>
          <t xml:space="preserve">
</t>
        </r>
      </text>
    </comment>
    <comment ref="K2391" authorId="0" shapeId="0" xr:uid="{AA479171-D6BF-4624-A63E-CC6C63DE5D20}">
      <text>
        <r>
          <rPr>
            <sz val="9"/>
            <color indexed="81"/>
            <rFont val="Tahoma"/>
            <family val="2"/>
          </rPr>
          <t>Hard to discern from dense background, nice pairing with NGC6756</t>
        </r>
      </text>
    </comment>
    <comment ref="A2392" authorId="0" shapeId="0" xr:uid="{74987745-DF4C-41E9-AFBF-E9CA29D558A1}">
      <text>
        <r>
          <rPr>
            <sz val="9"/>
            <color indexed="81"/>
            <rFont val="Tahoma"/>
            <family val="2"/>
          </rPr>
          <t xml:space="preserve">
</t>
        </r>
      </text>
    </comment>
    <comment ref="K2392" authorId="0" shapeId="0" xr:uid="{C564A572-DCDB-445C-8210-028DA6C75297}">
      <text>
        <r>
          <rPr>
            <sz val="9"/>
            <color indexed="81"/>
            <rFont val="Tahoma"/>
            <family val="2"/>
          </rPr>
          <t>Dense open cluster, globular like, helps to discern from starry background.  Nice pairing with NGC 6755</t>
        </r>
      </text>
    </comment>
    <comment ref="A2393" authorId="0" shapeId="0" xr:uid="{C6BD0882-CF79-45E9-BD88-B1A7E5060CE5}">
      <text>
        <r>
          <rPr>
            <sz val="9"/>
            <color indexed="81"/>
            <rFont val="Tahoma"/>
            <family val="2"/>
          </rPr>
          <t xml:space="preserve">
</t>
        </r>
      </text>
    </comment>
    <comment ref="K2393" authorId="0" shapeId="0" xr:uid="{2CD2C356-9457-4E63-9906-46FCE869A3F5}">
      <text>
        <r>
          <rPr>
            <sz val="9"/>
            <color indexed="81"/>
            <rFont val="Tahoma"/>
            <family val="2"/>
          </rPr>
          <t>Loose globular with resolved stars</t>
        </r>
      </text>
    </comment>
    <comment ref="A2394" authorId="0" shapeId="0" xr:uid="{82CF01B9-CAC0-4F17-AE73-5331B1F943F3}">
      <text>
        <r>
          <rPr>
            <sz val="9"/>
            <color indexed="81"/>
            <rFont val="Tahoma"/>
            <family val="2"/>
          </rPr>
          <t xml:space="preserve">
</t>
        </r>
      </text>
    </comment>
    <comment ref="K2394" authorId="0" shapeId="0" xr:uid="{7F7942FA-FE15-4184-BF3C-6C3D880FEDC8}">
      <text>
        <r>
          <rPr>
            <sz val="9"/>
            <color indexed="81"/>
            <rFont val="Tahoma"/>
            <family val="2"/>
          </rPr>
          <t>Stellar-like core, dust band on left side, blue star clouds and extended star streams.  Well defined S-shaped arms</t>
        </r>
      </text>
    </comment>
    <comment ref="A2395" authorId="0" shapeId="0" xr:uid="{F8A76728-EAD1-449F-9D31-27E1B4649E07}">
      <text>
        <r>
          <rPr>
            <sz val="9"/>
            <color indexed="81"/>
            <rFont val="Tahoma"/>
            <family val="2"/>
          </rPr>
          <t xml:space="preserve">
</t>
        </r>
      </text>
    </comment>
    <comment ref="K2395" authorId="0" shapeId="0" xr:uid="{069E25A2-7BEF-40B4-B04A-57792F8B92AE}">
      <text>
        <r>
          <rPr>
            <sz val="9"/>
            <color indexed="81"/>
            <rFont val="Tahoma"/>
            <family val="2"/>
          </rPr>
          <t>Strangely shaped OIII PN.</t>
        </r>
      </text>
    </comment>
    <comment ref="A2396" authorId="0" shapeId="0" xr:uid="{C9E336B2-9C21-4C30-93EE-1D7473DB5020}">
      <text>
        <r>
          <rPr>
            <sz val="9"/>
            <color indexed="81"/>
            <rFont val="Tahoma"/>
            <family val="2"/>
          </rPr>
          <t xml:space="preserve">
</t>
        </r>
      </text>
    </comment>
    <comment ref="K2396" authorId="0" shapeId="0" xr:uid="{A1232548-81AD-487D-84A7-ACF545C1A4BA}">
      <text>
        <r>
          <rPr>
            <sz val="9"/>
            <color indexed="81"/>
            <rFont val="Tahoma"/>
            <family val="2"/>
          </rPr>
          <t>Squarish shaped and diffuse outer edges suggest ISM interaction. Progenitor visible.</t>
        </r>
      </text>
    </comment>
    <comment ref="A2397" authorId="0" shapeId="0" xr:uid="{F649E950-2662-42D4-BB9A-539436AFC8A9}">
      <text>
        <r>
          <rPr>
            <sz val="9"/>
            <color indexed="81"/>
            <rFont val="Tahoma"/>
            <family val="2"/>
          </rPr>
          <t xml:space="preserve">
</t>
        </r>
      </text>
    </comment>
    <comment ref="K2397" authorId="0" shapeId="0" xr:uid="{CA808F46-BF36-4515-9970-15C689ABD29D}">
      <text>
        <r>
          <rPr>
            <sz val="9"/>
            <color indexed="81"/>
            <rFont val="Tahoma"/>
            <family val="2"/>
          </rPr>
          <t>Bipolar PN with lobes that have broken through.  Resembles M76, which is 10x larger</t>
        </r>
      </text>
    </comment>
    <comment ref="A2398" authorId="0" shapeId="0" xr:uid="{AB099DC5-A96F-4B44-B9A8-C9DBAA282DB0}">
      <text>
        <r>
          <rPr>
            <sz val="9"/>
            <color indexed="81"/>
            <rFont val="Tahoma"/>
            <family val="2"/>
          </rPr>
          <t xml:space="preserve">
</t>
        </r>
      </text>
    </comment>
    <comment ref="K2398" authorId="0" shapeId="0" xr:uid="{DEC27AC3-6AEC-4D83-8540-D6705FBC4108}">
      <text>
        <r>
          <rPr>
            <sz val="9"/>
            <color indexed="81"/>
            <rFont val="Tahoma"/>
            <family val="2"/>
          </rPr>
          <t>Bipolar PN just beginning to experience lobe breakout</t>
        </r>
      </text>
    </comment>
    <comment ref="A2399" authorId="0" shapeId="0" xr:uid="{4AB241DF-CDDC-4427-A3CA-5445C9553321}">
      <text>
        <r>
          <rPr>
            <sz val="9"/>
            <color indexed="81"/>
            <rFont val="Tahoma"/>
            <family val="2"/>
          </rPr>
          <t xml:space="preserve">
</t>
        </r>
      </text>
    </comment>
    <comment ref="K2399" authorId="0" shapeId="0" xr:uid="{0B6335DA-2946-4A63-91B7-307FDE4C5FC7}">
      <text>
        <r>
          <rPr>
            <sz val="9"/>
            <color indexed="81"/>
            <rFont val="Tahoma"/>
            <family val="2"/>
          </rPr>
          <t>Pair of galaxies - each has distorted spiral arms and is hiding behind foreground Milky Way star.  Likely bridge connected</t>
        </r>
      </text>
    </comment>
    <comment ref="A2400" authorId="0" shapeId="0" xr:uid="{A0C36067-A800-40E2-BB6F-355D4B6FF234}">
      <text>
        <r>
          <rPr>
            <sz val="9"/>
            <color indexed="81"/>
            <rFont val="Tahoma"/>
            <family val="2"/>
          </rPr>
          <t xml:space="preserve">
</t>
        </r>
      </text>
    </comment>
    <comment ref="K2400" authorId="0" shapeId="0" xr:uid="{FC735CB5-C7E5-44F2-B96A-4B57239E9E57}">
      <text>
        <r>
          <rPr>
            <sz val="9"/>
            <color indexed="81"/>
            <rFont val="Tahoma"/>
            <family val="2"/>
          </rPr>
          <t>Nearest BCD (Blue compact dwarf galaxy) to earth</t>
        </r>
      </text>
    </comment>
    <comment ref="A2401" authorId="0" shapeId="0" xr:uid="{33E331D9-3983-46A2-A697-F009183257F5}">
      <text>
        <r>
          <rPr>
            <sz val="9"/>
            <color indexed="81"/>
            <rFont val="Tahoma"/>
            <family val="2"/>
          </rPr>
          <t xml:space="preserve">
</t>
        </r>
      </text>
    </comment>
    <comment ref="K2401" authorId="0" shapeId="0" xr:uid="{9B026A29-76C4-4875-90A4-17312D2997A0}">
      <text>
        <r>
          <rPr>
            <sz val="9"/>
            <color indexed="81"/>
            <rFont val="Tahoma"/>
            <family val="2"/>
          </rPr>
          <t>Massive open cluster - resembles globular</t>
        </r>
      </text>
    </comment>
    <comment ref="A2402" authorId="0" shapeId="0" xr:uid="{6FDD2774-2903-4FCE-B25E-0245B0A8F449}">
      <text>
        <r>
          <rPr>
            <sz val="9"/>
            <color indexed="81"/>
            <rFont val="Tahoma"/>
            <family val="2"/>
          </rPr>
          <t xml:space="preserve">
</t>
        </r>
      </text>
    </comment>
    <comment ref="K2402" authorId="0" shapeId="0" xr:uid="{6AE34B79-8CEE-4F77-87E6-4AD4D90EF1E2}">
      <text>
        <r>
          <rPr>
            <sz val="9"/>
            <color indexed="81"/>
            <rFont val="Tahoma"/>
            <family val="2"/>
          </rPr>
          <t>Grand design spiral, with arms extending 1.5 rotations. Slight offset core and disturbed disk</t>
        </r>
      </text>
    </comment>
    <comment ref="A2403" authorId="0" shapeId="0" xr:uid="{3F35CC6D-599D-4253-8AC4-F7B0A2C8A36E}">
      <text>
        <r>
          <rPr>
            <sz val="9"/>
            <color indexed="81"/>
            <rFont val="Tahoma"/>
            <family val="2"/>
          </rPr>
          <t xml:space="preserve">
</t>
        </r>
      </text>
    </comment>
    <comment ref="K2403" authorId="0" shapeId="0" xr:uid="{6BF4F784-E3BE-4BD9-B436-E0D3998D3391}">
      <text>
        <r>
          <rPr>
            <sz val="9"/>
            <color indexed="81"/>
            <rFont val="Tahoma"/>
            <family val="2"/>
          </rPr>
          <t>Fragmented arm structure.  Pseudo-ring around core in mid-section</t>
        </r>
      </text>
    </comment>
    <comment ref="A2404" authorId="0" shapeId="0" xr:uid="{96BA4EF0-EE21-4C06-AA38-0CDA329CAE23}">
      <text>
        <r>
          <rPr>
            <sz val="9"/>
            <color indexed="81"/>
            <rFont val="Tahoma"/>
            <family val="2"/>
          </rPr>
          <t xml:space="preserve">
</t>
        </r>
      </text>
    </comment>
    <comment ref="K2404" authorId="0" shapeId="0" xr:uid="{7893FFB1-AEFB-4600-857D-856389885337}">
      <text>
        <r>
          <rPr>
            <sz val="9"/>
            <color indexed="81"/>
            <rFont val="Tahoma"/>
            <family val="2"/>
          </rPr>
          <t>Elongated open cluster in Vulpecula</t>
        </r>
      </text>
    </comment>
    <comment ref="A2405" authorId="0" shapeId="0" xr:uid="{DA5D1EA7-176D-417D-A0A4-53E48854DF60}">
      <text>
        <r>
          <rPr>
            <sz val="9"/>
            <color indexed="81"/>
            <rFont val="Tahoma"/>
            <family val="2"/>
          </rPr>
          <t xml:space="preserve">
</t>
        </r>
      </text>
    </comment>
    <comment ref="K2405" authorId="0" shapeId="0" xr:uid="{F6BD8996-4991-4617-9E17-DF63D5A4F6E0}">
      <text>
        <r>
          <rPr>
            <sz val="9"/>
            <color indexed="81"/>
            <rFont val="Tahoma"/>
            <family val="2"/>
          </rPr>
          <t>OIII PN with bright torus and progenitor</t>
        </r>
      </text>
    </comment>
    <comment ref="A2406" authorId="0" shapeId="0" xr:uid="{941EAB9D-AEB4-4B0B-BA7B-61F82B29CB16}">
      <text>
        <r>
          <rPr>
            <sz val="9"/>
            <color indexed="81"/>
            <rFont val="Tahoma"/>
            <family val="2"/>
          </rPr>
          <t xml:space="preserve">
</t>
        </r>
      </text>
    </comment>
    <comment ref="K2406" authorId="0" shapeId="0" xr:uid="{83C0112B-768B-4A6B-AEF2-AF4C30B391AF}">
      <text>
        <r>
          <rPr>
            <sz val="9"/>
            <color indexed="81"/>
            <rFont val="Tahoma"/>
            <family val="2"/>
          </rPr>
          <t>Open cluster with apparent voids throughout cluster</t>
        </r>
      </text>
    </comment>
    <comment ref="A2407" authorId="0" shapeId="0" xr:uid="{673CB762-C549-4B40-9B27-EE6FF4273E84}">
      <text>
        <r>
          <rPr>
            <sz val="9"/>
            <color indexed="81"/>
            <rFont val="Tahoma"/>
            <family val="2"/>
          </rPr>
          <t xml:space="preserve">
</t>
        </r>
      </text>
    </comment>
    <comment ref="K2407" authorId="0" shapeId="0" xr:uid="{B95C07B0-AD03-4B0B-AE2E-37F59381906E}">
      <text>
        <r>
          <rPr>
            <sz val="9"/>
            <color indexed="81"/>
            <rFont val="Tahoma"/>
            <family val="2"/>
          </rPr>
          <t>Emission with oddly symmetric curving just cloud just southeast of central bright core</t>
        </r>
      </text>
    </comment>
    <comment ref="A2408" authorId="0" shapeId="0" xr:uid="{57EADC51-1857-4E71-B3DF-2F6E88B3D25B}">
      <text>
        <r>
          <rPr>
            <sz val="9"/>
            <color indexed="81"/>
            <rFont val="Tahoma"/>
            <family val="2"/>
          </rPr>
          <t xml:space="preserve">
</t>
        </r>
      </text>
    </comment>
    <comment ref="K2408" authorId="0" shapeId="0" xr:uid="{8B790182-F284-44AF-9686-BFA84302FB69}">
      <text>
        <r>
          <rPr>
            <sz val="9"/>
            <color indexed="81"/>
            <rFont val="Tahoma"/>
            <family val="2"/>
          </rPr>
          <t>Seyfert spiral galaxy, almost face-on, with arms that are split in 2 in several places</t>
        </r>
      </text>
    </comment>
    <comment ref="A2409" authorId="0" shapeId="0" xr:uid="{DB887592-859E-4429-BC2D-A72478D072B2}">
      <text>
        <r>
          <rPr>
            <sz val="9"/>
            <color indexed="81"/>
            <rFont val="Tahoma"/>
            <family val="2"/>
          </rPr>
          <t xml:space="preserve">
</t>
        </r>
      </text>
    </comment>
    <comment ref="K2409" authorId="0" shapeId="0" xr:uid="{2AA7981D-87C1-457A-A228-739B9E230314}">
      <text>
        <r>
          <rPr>
            <sz val="9"/>
            <color indexed="81"/>
            <rFont val="Tahoma"/>
            <family val="2"/>
          </rPr>
          <t>Bipolar OIII PN with white torus ring and central star</t>
        </r>
      </text>
    </comment>
    <comment ref="A2410" authorId="0" shapeId="0" xr:uid="{ACCDAC9D-EE7D-4D33-8F99-EDAE2641EB10}">
      <text>
        <r>
          <rPr>
            <sz val="9"/>
            <color indexed="81"/>
            <rFont val="Tahoma"/>
            <family val="2"/>
          </rPr>
          <t xml:space="preserve">
</t>
        </r>
      </text>
    </comment>
    <comment ref="K2410" authorId="0" shapeId="0" xr:uid="{7F4C73CD-159C-4DC4-B504-5AC4CB3CF978}">
      <text>
        <r>
          <rPr>
            <sz val="9"/>
            <color indexed="81"/>
            <rFont val="Tahoma"/>
            <family val="2"/>
          </rPr>
          <t>Red supergiants outline U shape.  Void area at center</t>
        </r>
      </text>
    </comment>
    <comment ref="A2411" authorId="0" shapeId="0" xr:uid="{1E7B27EC-7D34-49CC-A759-D68A34514B44}">
      <text>
        <r>
          <rPr>
            <sz val="9"/>
            <color indexed="81"/>
            <rFont val="Tahoma"/>
            <family val="2"/>
          </rPr>
          <t xml:space="preserve">
</t>
        </r>
      </text>
    </comment>
    <comment ref="K2411" authorId="0" shapeId="0" xr:uid="{97E0E60D-79BA-46BB-B5CA-4CFC766EFDF5}">
      <text>
        <r>
          <rPr>
            <sz val="9"/>
            <color indexed="81"/>
            <rFont val="Tahoma"/>
            <family val="2"/>
          </rPr>
          <t>Beautiful emission nebula and star cluster, although NGC 6820 is actually only the small white reflection nebula</t>
        </r>
      </text>
    </comment>
    <comment ref="A2412" authorId="0" shapeId="0" xr:uid="{08C63E9B-40A3-46F2-80E6-93A2CE62738D}">
      <text>
        <r>
          <rPr>
            <sz val="9"/>
            <color indexed="81"/>
            <rFont val="Tahoma"/>
            <family val="2"/>
          </rPr>
          <t xml:space="preserve">
</t>
        </r>
      </text>
    </comment>
    <comment ref="K2412" authorId="0" shapeId="0" xr:uid="{35EBA616-DB17-432F-8997-6503A1B21128}">
      <text>
        <r>
          <rPr>
            <sz val="9"/>
            <color indexed="81"/>
            <rFont val="Tahoma"/>
            <family val="2"/>
          </rPr>
          <t>Magellanic galaxy with white bar, blue star clouds, and single arm</t>
        </r>
      </text>
    </comment>
    <comment ref="A2413" authorId="0" shapeId="0" xr:uid="{3D77F97C-9CA5-4D94-96FC-363264846B11}">
      <text>
        <r>
          <rPr>
            <sz val="9"/>
            <color indexed="81"/>
            <rFont val="Tahoma"/>
            <family val="2"/>
          </rPr>
          <t xml:space="preserve">
</t>
        </r>
      </text>
    </comment>
    <comment ref="K2413" authorId="0" shapeId="0" xr:uid="{21383A94-486A-4F39-8F01-14E9A8301E99}">
      <text>
        <r>
          <rPr>
            <sz val="9"/>
            <color indexed="81"/>
            <rFont val="Tahoma"/>
            <family val="2"/>
          </rPr>
          <t>Close small irregular dwarf galaxy with globular clusters that are resolvable</t>
        </r>
      </text>
    </comment>
    <comment ref="A2414" authorId="0" shapeId="0" xr:uid="{411EAF49-2067-4D2D-8750-275635E83553}">
      <text>
        <r>
          <rPr>
            <sz val="9"/>
            <color indexed="81"/>
            <rFont val="Tahoma"/>
            <family val="2"/>
          </rPr>
          <t xml:space="preserve">
</t>
        </r>
      </text>
    </comment>
    <comment ref="K2414" authorId="0" shapeId="0" xr:uid="{0246AA5A-F214-4356-8D44-6E2BD28F6120}">
      <text>
        <r>
          <rPr>
            <sz val="9"/>
            <color indexed="81"/>
            <rFont val="Tahoma"/>
            <family val="2"/>
          </rPr>
          <t>Open star cluster at the center of what is commonly called NGC 6820</t>
        </r>
      </text>
    </comment>
    <comment ref="A2415" authorId="0" shapeId="0" xr:uid="{07142036-2411-4513-9056-C81B31BCBB6E}">
      <text>
        <r>
          <rPr>
            <sz val="9"/>
            <color indexed="81"/>
            <rFont val="Tahoma"/>
            <family val="2"/>
          </rPr>
          <t xml:space="preserve">
</t>
        </r>
      </text>
    </comment>
    <comment ref="K2415" authorId="0" shapeId="0" xr:uid="{EF1F9D9D-9977-4759-BA83-8DE47E8E9CD2}">
      <text>
        <r>
          <rPr>
            <sz val="9"/>
            <color indexed="81"/>
            <rFont val="Tahoma"/>
            <family val="2"/>
          </rPr>
          <t>Interesting dark bands on half of disk.  Odd arm structure, with arms winding tightly and ending mid-disk.  Outer disk diffuse</t>
        </r>
      </text>
    </comment>
    <comment ref="A2416" authorId="0" shapeId="0" xr:uid="{670FF82B-17FC-4140-99BB-1427F7A6E88A}">
      <text>
        <r>
          <rPr>
            <sz val="9"/>
            <color indexed="81"/>
            <rFont val="Tahoma"/>
            <family val="2"/>
          </rPr>
          <t xml:space="preserve">
</t>
        </r>
      </text>
    </comment>
    <comment ref="K2416" authorId="0" shapeId="0" xr:uid="{3FE53CD4-ABC7-44D4-BD5A-65EF89F9B757}">
      <text>
        <r>
          <rPr>
            <sz val="9"/>
            <color indexed="81"/>
            <rFont val="Tahoma"/>
            <family val="2"/>
          </rPr>
          <t>OIII PN with visible progenitor and delicate faint outer ring</t>
        </r>
      </text>
    </comment>
    <comment ref="A2417" authorId="0" shapeId="0" xr:uid="{5C7FE302-E1EF-4A57-AD34-459F490A11D7}">
      <text>
        <r>
          <rPr>
            <sz val="9"/>
            <color indexed="81"/>
            <rFont val="Tahoma"/>
            <family val="2"/>
          </rPr>
          <t xml:space="preserve">
</t>
        </r>
      </text>
    </comment>
    <comment ref="K2417" authorId="0" shapeId="0" xr:uid="{E2E9AD5E-0340-473D-9EE9-8A012E4B594B}">
      <text>
        <r>
          <rPr>
            <sz val="9"/>
            <color indexed="81"/>
            <rFont val="Tahoma"/>
            <family val="2"/>
          </rPr>
          <t>Edge-on spiral with dramatic dust lane, sharing its stage nicely with nearby NGC 6831, a distorted elliptical</t>
        </r>
      </text>
    </comment>
    <comment ref="A2418" authorId="0" shapeId="0" xr:uid="{DD2A3060-745A-4613-8D0C-15F601660A2A}">
      <text>
        <r>
          <rPr>
            <sz val="9"/>
            <color indexed="81"/>
            <rFont val="Tahoma"/>
            <family val="2"/>
          </rPr>
          <t xml:space="preserve">
</t>
        </r>
      </text>
    </comment>
    <comment ref="K2418" authorId="0" shapeId="0" xr:uid="{31F41281-BC13-4A04-994C-35E4AFAD7A76}">
      <text>
        <r>
          <rPr>
            <sz val="9"/>
            <color indexed="81"/>
            <rFont val="Tahoma"/>
            <family val="2"/>
          </rPr>
          <t>Unusual linear patterns for this open cluster, which has a nice brightness mix</t>
        </r>
      </text>
    </comment>
    <comment ref="A2419" authorId="0" shapeId="0" xr:uid="{832FFB9D-773E-4B40-88FB-F0B25FCFB417}">
      <text>
        <r>
          <rPr>
            <sz val="9"/>
            <color indexed="81"/>
            <rFont val="Tahoma"/>
            <family val="2"/>
          </rPr>
          <t xml:space="preserve">
</t>
        </r>
      </text>
    </comment>
    <comment ref="K2419" authorId="0" shapeId="0" xr:uid="{FC343AA2-5ACF-450B-AC88-D7DF82EF55EC}">
      <text>
        <r>
          <rPr>
            <sz val="9"/>
            <color indexed="81"/>
            <rFont val="Tahoma"/>
            <family val="2"/>
          </rPr>
          <t>Non-circular pattern, stars of varied brightnesses</t>
        </r>
      </text>
    </comment>
    <comment ref="A2420" authorId="0" shapeId="0" xr:uid="{F65B2A51-73D6-4DCA-BE20-F244DFB2EE58}">
      <text>
        <r>
          <rPr>
            <sz val="9"/>
            <color indexed="81"/>
            <rFont val="Tahoma"/>
            <family val="2"/>
          </rPr>
          <t xml:space="preserve">
</t>
        </r>
      </text>
    </comment>
    <comment ref="K2420" authorId="0" shapeId="0" xr:uid="{2AC9C217-1DDB-4640-88F4-6C2E74D7F309}">
      <text>
        <r>
          <rPr>
            <sz val="9"/>
            <color indexed="81"/>
            <rFont val="Tahoma"/>
            <family val="2"/>
          </rPr>
          <t>Edge-on spiral with dark dust lanes, paired with faint face-on spiral</t>
        </r>
      </text>
    </comment>
    <comment ref="A2421" authorId="0" shapeId="0" xr:uid="{B2FFFC56-1044-4C0E-BDC8-204A48F40153}">
      <text>
        <r>
          <rPr>
            <sz val="9"/>
            <color indexed="81"/>
            <rFont val="Tahoma"/>
            <family val="2"/>
          </rPr>
          <t xml:space="preserve">
</t>
        </r>
      </text>
    </comment>
    <comment ref="K2421" authorId="0" shapeId="0" xr:uid="{D01662FB-185A-4C84-801D-A4B95FF660DD}">
      <text>
        <r>
          <rPr>
            <sz val="9"/>
            <color indexed="81"/>
            <rFont val="Tahoma"/>
            <family val="2"/>
          </rPr>
          <t>OIII PN with progenitor and texture that looks like a ball of snakes</t>
        </r>
      </text>
    </comment>
    <comment ref="A2422" authorId="0" shapeId="0" xr:uid="{D44A2D3A-D0AF-47B5-9B53-44BB2268269D}">
      <text>
        <r>
          <rPr>
            <sz val="9"/>
            <color indexed="81"/>
            <rFont val="Tahoma"/>
            <family val="2"/>
          </rPr>
          <t xml:space="preserve">
</t>
        </r>
      </text>
    </comment>
    <comment ref="K2422" authorId="0" shapeId="0" xr:uid="{97F2C56E-C620-4837-A273-08499716961D}">
      <text>
        <r>
          <rPr>
            <sz val="9"/>
            <color indexed="81"/>
            <rFont val="Tahoma"/>
            <family val="2"/>
          </rPr>
          <t>Tight (3' diameter) group of 4 galaxies, including wonderful grand design spiral</t>
        </r>
      </text>
    </comment>
    <comment ref="A2423" authorId="0" shapeId="0" xr:uid="{28402597-844D-4866-8CCF-7BEF3F026D48}">
      <text>
        <r>
          <rPr>
            <sz val="9"/>
            <color indexed="81"/>
            <rFont val="Tahoma"/>
            <family val="2"/>
          </rPr>
          <t xml:space="preserve">
</t>
        </r>
      </text>
    </comment>
    <comment ref="K2423" authorId="0" shapeId="0" xr:uid="{8484E278-4A3E-474F-86A9-EFF18562FEE2}">
      <text>
        <r>
          <rPr>
            <sz val="9"/>
            <color indexed="81"/>
            <rFont val="Tahoma"/>
            <family val="2"/>
          </rPr>
          <t>Similar to NGC6337.  OIII PN with bright torus ring, extended eye-shaped lobe region, and visible progenitor.</t>
        </r>
      </text>
    </comment>
    <comment ref="A2424" authorId="0" shapeId="0" xr:uid="{9B36D0E0-C8C2-4CA9-8108-53E65E139FA4}">
      <text>
        <r>
          <rPr>
            <sz val="9"/>
            <color indexed="81"/>
            <rFont val="Tahoma"/>
            <family val="2"/>
          </rPr>
          <t xml:space="preserve">
</t>
        </r>
      </text>
    </comment>
    <comment ref="K2424" authorId="0" shapeId="0" xr:uid="{8C34E85D-D59C-4256-9C2D-B94F3D6F69D3}">
      <text>
        <r>
          <rPr>
            <sz val="9"/>
            <color indexed="81"/>
            <rFont val="Tahoma"/>
            <family val="2"/>
          </rPr>
          <t>HII region which originally was thought to be a PN</t>
        </r>
      </text>
    </comment>
    <comment ref="A2425" authorId="0" shapeId="0" xr:uid="{BF32E2CF-AED7-4C24-94F7-9F352D81CF0A}">
      <text>
        <r>
          <rPr>
            <sz val="9"/>
            <color indexed="81"/>
            <rFont val="Tahoma"/>
            <family val="2"/>
          </rPr>
          <t xml:space="preserve">
</t>
        </r>
      </text>
    </comment>
    <comment ref="K2425" authorId="0" shapeId="0" xr:uid="{385E7A8C-D7F7-43F5-83FA-EECB19A4E5D9}">
      <text>
        <r>
          <rPr>
            <sz val="9"/>
            <color indexed="81"/>
            <rFont val="Tahoma"/>
            <family val="2"/>
          </rPr>
          <t>Odd non-circular pattern, Nice mix of blue and yellow stars</t>
        </r>
      </text>
    </comment>
    <comment ref="A2426" authorId="0" shapeId="0" xr:uid="{71A639A7-AA61-404E-9A79-4B9AAA5342AB}">
      <text>
        <r>
          <rPr>
            <sz val="9"/>
            <color indexed="81"/>
            <rFont val="Tahoma"/>
            <family val="2"/>
          </rPr>
          <t xml:space="preserve">
</t>
        </r>
      </text>
    </comment>
    <comment ref="K2426" authorId="0" shapeId="0" xr:uid="{04D8BC01-26A3-45AC-934B-92B470673503}">
      <text>
        <r>
          <rPr>
            <sz val="9"/>
            <color indexed="81"/>
            <rFont val="Tahoma"/>
            <family val="2"/>
          </rPr>
          <t>One of the largest known spirals at 380,000 ly diameter</t>
        </r>
      </text>
    </comment>
    <comment ref="A2427" authorId="0" shapeId="0" xr:uid="{68702155-0B4D-490B-BF8E-CBAFEED0313E}">
      <text>
        <r>
          <rPr>
            <sz val="9"/>
            <color indexed="81"/>
            <rFont val="Tahoma"/>
            <family val="2"/>
          </rPr>
          <t xml:space="preserve">
</t>
        </r>
      </text>
    </comment>
    <comment ref="K2427" authorId="0" shapeId="0" xr:uid="{8D90BBDB-1866-4BD7-A470-338BD17D1110}">
      <text>
        <r>
          <rPr>
            <sz val="9"/>
            <color indexed="81"/>
            <rFont val="Tahoma"/>
            <family val="2"/>
          </rPr>
          <t>May be same object as NGC 6885</t>
        </r>
      </text>
    </comment>
    <comment ref="A2428" authorId="0" shapeId="0" xr:uid="{A01051C4-7A5C-4C98-8139-B0A11DCBBFD1}">
      <text>
        <r>
          <rPr>
            <sz val="9"/>
            <color indexed="81"/>
            <rFont val="Tahoma"/>
            <family val="2"/>
          </rPr>
          <t xml:space="preserve">
</t>
        </r>
      </text>
    </comment>
    <comment ref="K2428" authorId="0" shapeId="0" xr:uid="{D0EE0D56-85AC-4177-B8A1-1F527D05BB95}">
      <text>
        <r>
          <rPr>
            <sz val="9"/>
            <color indexed="81"/>
            <rFont val="Tahoma"/>
            <family val="2"/>
          </rPr>
          <t>Sparse open cluster, tough to distinguish from background</t>
        </r>
      </text>
    </comment>
    <comment ref="A2429" authorId="0" shapeId="0" xr:uid="{277CD4E2-B797-4EE6-B21D-60FFC3834B28}">
      <text>
        <r>
          <rPr>
            <sz val="9"/>
            <color indexed="81"/>
            <rFont val="Tahoma"/>
            <family val="2"/>
          </rPr>
          <t xml:space="preserve">
</t>
        </r>
      </text>
    </comment>
    <comment ref="K2429" authorId="0" shapeId="0" xr:uid="{4F68E4F6-6889-4AB5-94AC-470230E38F81}">
      <text>
        <r>
          <rPr>
            <sz val="9"/>
            <color indexed="81"/>
            <rFont val="Tahoma"/>
            <family val="2"/>
          </rPr>
          <t>Sparse open cluster centered on mag 6 star 20 Vulpecula</t>
        </r>
      </text>
    </comment>
    <comment ref="A2430" authorId="0" shapeId="0" xr:uid="{E3389B91-139F-4B28-A746-4A4125913B91}">
      <text>
        <r>
          <rPr>
            <sz val="9"/>
            <color indexed="81"/>
            <rFont val="Tahoma"/>
            <family val="2"/>
          </rPr>
          <t xml:space="preserve">
</t>
        </r>
      </text>
    </comment>
    <comment ref="K2430" authorId="0" shapeId="0" xr:uid="{80E9B994-63BE-4C1E-9D06-3370223DA767}">
      <text>
        <r>
          <rPr>
            <sz val="9"/>
            <color indexed="81"/>
            <rFont val="Tahoma"/>
            <family val="2"/>
          </rPr>
          <t xml:space="preserve">Showcase Wolf-Rayet nebula, with visible WR136 as progenitor.  Billowing arcs of OIII at top and bottom are the highlight. </t>
        </r>
      </text>
    </comment>
    <comment ref="A2431" authorId="0" shapeId="0" xr:uid="{2646B140-D2F9-4A4D-A4BA-6E7FA912ECF4}">
      <text>
        <r>
          <rPr>
            <sz val="9"/>
            <color indexed="81"/>
            <rFont val="Tahoma"/>
            <family val="2"/>
          </rPr>
          <t xml:space="preserve">
</t>
        </r>
      </text>
    </comment>
    <comment ref="K2431" authorId="0" shapeId="0" xr:uid="{BF8435EE-1BF2-4B4F-9490-1E0B75BABAE8}">
      <text>
        <r>
          <rPr>
            <sz val="9"/>
            <color indexed="81"/>
            <rFont val="Tahoma"/>
            <family val="2"/>
          </rPr>
          <t xml:space="preserve">Similar to NGC 7354, this OIII PN has dim white progenitor, bright elliptical inner football shell, and circular outer shell. </t>
        </r>
      </text>
    </comment>
    <comment ref="A2432" authorId="0" shapeId="0" xr:uid="{A53EC14F-6724-485A-B64A-5153A7E4EA39}">
      <text>
        <r>
          <rPr>
            <sz val="9"/>
            <color indexed="81"/>
            <rFont val="Tahoma"/>
            <family val="2"/>
          </rPr>
          <t xml:space="preserve">
</t>
        </r>
      </text>
    </comment>
    <comment ref="K2432" authorId="0" shapeId="0" xr:uid="{BF7B15EC-DBE4-40E6-A979-75C19EC644D8}">
      <text>
        <r>
          <rPr>
            <sz val="9"/>
            <color indexed="81"/>
            <rFont val="Tahoma"/>
            <family val="2"/>
          </rPr>
          <t>Beautiful strong circular textured torus</t>
        </r>
      </text>
    </comment>
    <comment ref="A2433" authorId="0" shapeId="0" xr:uid="{0148A7B8-DA01-44B0-990C-EC46242DA15F}">
      <text>
        <r>
          <rPr>
            <sz val="9"/>
            <color indexed="81"/>
            <rFont val="Tahoma"/>
            <family val="2"/>
          </rPr>
          <t xml:space="preserve">
</t>
        </r>
      </text>
    </comment>
    <comment ref="K2433" authorId="0" shapeId="0" xr:uid="{7E771DA3-313B-414E-ABBC-A733C4AA1374}">
      <text>
        <r>
          <rPr>
            <sz val="9"/>
            <color indexed="81"/>
            <rFont val="Tahoma"/>
            <family val="2"/>
          </rPr>
          <t>Strong bipolar flow with ansae. Unusual football filamentary shape.  Progenitor visible</t>
        </r>
      </text>
    </comment>
    <comment ref="A2434" authorId="0" shapeId="0" xr:uid="{DE8E6F82-10B1-4481-99AF-10EACFBC3CD5}">
      <text>
        <r>
          <rPr>
            <sz val="9"/>
            <color indexed="81"/>
            <rFont val="Tahoma"/>
            <family val="2"/>
          </rPr>
          <t xml:space="preserve">
</t>
        </r>
      </text>
    </comment>
    <comment ref="K2434" authorId="0" shapeId="0" xr:uid="{D1D44C11-19AA-4835-9432-21344D9DB366}">
      <text>
        <r>
          <rPr>
            <sz val="9"/>
            <color indexed="81"/>
            <rFont val="Tahoma"/>
            <family val="2"/>
          </rPr>
          <t>Chaotic arm structure with yellow barlens.  Central pseudo-ring trying to form</t>
        </r>
      </text>
    </comment>
    <comment ref="A2435" authorId="0" shapeId="0" xr:uid="{BAC44A88-9802-47B1-9B42-C391D97003FA}">
      <text>
        <r>
          <rPr>
            <sz val="9"/>
            <color indexed="81"/>
            <rFont val="Tahoma"/>
            <family val="2"/>
          </rPr>
          <t xml:space="preserve">
</t>
        </r>
      </text>
    </comment>
    <comment ref="K2435" authorId="0" shapeId="0" xr:uid="{7AB54A28-CA2F-48BB-AD30-A8C3FF04458C}">
      <text>
        <r>
          <rPr>
            <sz val="9"/>
            <color indexed="81"/>
            <rFont val="Tahoma"/>
            <family val="2"/>
          </rPr>
          <t>Barred grand design spiral interacting with lenticular companion (NGC 6908), creating long star stream plume</t>
        </r>
      </text>
    </comment>
    <comment ref="A2436" authorId="0" shapeId="0" xr:uid="{630C7AE0-327F-4844-8ACF-A204F194ED8B}">
      <text>
        <r>
          <rPr>
            <sz val="9"/>
            <color indexed="81"/>
            <rFont val="Tahoma"/>
            <family val="2"/>
          </rPr>
          <t xml:space="preserve">
</t>
        </r>
      </text>
    </comment>
    <comment ref="K2436" authorId="0" shapeId="0" xr:uid="{A8F6BDC1-256B-491F-9F7F-835BDBE989A4}">
      <text>
        <r>
          <rPr>
            <sz val="9"/>
            <color indexed="81"/>
            <rFont val="Tahoma"/>
            <family val="2"/>
          </rPr>
          <t>Open cluster of various sizes and colors that stands out well.   Non-circular shape, resembling its Inchworm namesake</t>
        </r>
      </text>
    </comment>
    <comment ref="A2437" authorId="0" shapeId="0" xr:uid="{D67AFC7D-12F2-4361-9B20-84F1D4F63EDF}">
      <text>
        <r>
          <rPr>
            <sz val="9"/>
            <color indexed="81"/>
            <rFont val="Tahoma"/>
            <family val="2"/>
          </rPr>
          <t xml:space="preserve">
</t>
        </r>
      </text>
    </comment>
    <comment ref="K2437" authorId="0" shapeId="0" xr:uid="{0F80FFB5-2EB3-448B-8E5F-BA62B30A1141}">
      <text>
        <r>
          <rPr>
            <sz val="9"/>
            <color indexed="81"/>
            <rFont val="Tahoma"/>
            <family val="2"/>
          </rPr>
          <t>Two loose star stream rings, oval ring around core, and circular ring further out.  Long arm which extends to the left. </t>
        </r>
      </text>
    </comment>
    <comment ref="A2438" authorId="0" shapeId="0" xr:uid="{40531A42-D1D6-484E-AB78-8C9F1B51C654}">
      <text>
        <r>
          <rPr>
            <sz val="9"/>
            <color indexed="81"/>
            <rFont val="Tahoma"/>
            <family val="2"/>
          </rPr>
          <t xml:space="preserve">
</t>
        </r>
      </text>
    </comment>
    <comment ref="K2438" authorId="0" shapeId="0" xr:uid="{BA20F58A-00D2-4C4C-9546-2173B9A4261D}">
      <text>
        <r>
          <rPr>
            <sz val="9"/>
            <color indexed="81"/>
            <rFont val="Tahoma"/>
            <family val="2"/>
          </rPr>
          <t>Includes 3 blue reflection nebula, 4 white YSO objects, emission nebulae, dark nebulae and star clusters</t>
        </r>
      </text>
    </comment>
    <comment ref="A2439" authorId="0" shapeId="0" xr:uid="{641826F8-0E77-4560-8AF4-C735A61B95B4}">
      <text>
        <r>
          <rPr>
            <sz val="9"/>
            <color indexed="81"/>
            <rFont val="Tahoma"/>
            <family val="2"/>
          </rPr>
          <t xml:space="preserve">
</t>
        </r>
      </text>
    </comment>
    <comment ref="K2439" authorId="0" shapeId="0" xr:uid="{B7D008FB-BFF7-422A-BD94-D24D229DEFD1}">
      <text>
        <r>
          <rPr>
            <sz val="9"/>
            <color indexed="81"/>
            <rFont val="Tahoma"/>
            <family val="2"/>
          </rPr>
          <t>Barred core, odd offset bar, bright star clouds, and 2 strong asymmetric arms</t>
        </r>
      </text>
    </comment>
    <comment ref="A2440" authorId="0" shapeId="0" xr:uid="{405C825D-2529-4B15-B6A8-833F7FC4F0B5}">
      <text>
        <r>
          <rPr>
            <sz val="9"/>
            <color indexed="81"/>
            <rFont val="Tahoma"/>
            <family val="2"/>
          </rPr>
          <t xml:space="preserve">
</t>
        </r>
      </text>
    </comment>
    <comment ref="K2440" authorId="0" shapeId="0" xr:uid="{52528860-7B2A-4632-9232-5ABC4DDD8C48}">
      <text>
        <r>
          <rPr>
            <sz val="9"/>
            <color indexed="81"/>
            <rFont val="Tahoma"/>
            <family val="2"/>
          </rPr>
          <t>Disturbed disk with possible dwarf galaxy to the west of the core</t>
        </r>
      </text>
    </comment>
    <comment ref="A2441" authorId="0" shapeId="0" xr:uid="{19EAE76E-8D2D-4FC4-B3EF-EC03C77FBAB1}">
      <text>
        <r>
          <rPr>
            <sz val="9"/>
            <color indexed="81"/>
            <rFont val="Tahoma"/>
            <family val="2"/>
          </rPr>
          <t xml:space="preserve">
</t>
        </r>
      </text>
    </comment>
    <comment ref="K2441" authorId="0" shapeId="0" xr:uid="{F7AF6D77-F53E-42DB-BF14-78A420047F2F}">
      <text>
        <r>
          <rPr>
            <sz val="9"/>
            <color indexed="81"/>
            <rFont val="Tahoma"/>
            <family val="2"/>
          </rPr>
          <t>Asymmetric disk with bright core and mid-region pseudo-ring</t>
        </r>
      </text>
    </comment>
    <comment ref="A2442" authorId="0" shapeId="0" xr:uid="{85B6169A-7B50-48B1-B73D-3898364CDB11}">
      <text>
        <r>
          <rPr>
            <sz val="9"/>
            <color indexed="81"/>
            <rFont val="Tahoma"/>
            <family val="2"/>
          </rPr>
          <t xml:space="preserve">
</t>
        </r>
      </text>
    </comment>
    <comment ref="K2442" authorId="0" shapeId="0" xr:uid="{1291F55A-7A30-449A-9D8B-0B6B2D4FF095}">
      <text>
        <r>
          <rPr>
            <sz val="9"/>
            <color indexed="81"/>
            <rFont val="Tahoma"/>
            <family val="2"/>
          </rPr>
          <t>Seyfert disturbed spiral with strong arm, blue star clouds, and large void just south of core</t>
        </r>
      </text>
    </comment>
    <comment ref="A2443" authorId="0" shapeId="0" xr:uid="{C15FB2E8-93A2-4D23-A4ED-68ED9D3F23AD}">
      <text>
        <r>
          <rPr>
            <sz val="9"/>
            <color indexed="81"/>
            <rFont val="Tahoma"/>
            <family val="2"/>
          </rPr>
          <t xml:space="preserve">
</t>
        </r>
      </text>
    </comment>
    <comment ref="K2443" authorId="0" shapeId="0" xr:uid="{2B1B388D-8A54-4608-94E8-6440726AE80C}">
      <text>
        <r>
          <rPr>
            <sz val="9"/>
            <color indexed="81"/>
            <rFont val="Tahoma"/>
            <family val="2"/>
          </rPr>
          <t>Trio of galaxies highlighted by NGC6928, with fascinating disk structure, offset core, 2 bright arm extensions and a wide outer disk</t>
        </r>
      </text>
    </comment>
    <comment ref="A2444" authorId="0" shapeId="0" xr:uid="{61D6B89D-9E72-43AA-B193-FB8D65BE8DF9}">
      <text>
        <r>
          <rPr>
            <sz val="9"/>
            <color indexed="81"/>
            <rFont val="Tahoma"/>
            <family val="2"/>
          </rPr>
          <t xml:space="preserve">
</t>
        </r>
      </text>
    </comment>
    <comment ref="K2444" authorId="0" shapeId="0" xr:uid="{518AA14B-581A-4EB5-869B-60F3DC61FA71}">
      <text>
        <r>
          <rPr>
            <sz val="9"/>
            <color indexed="81"/>
            <rFont val="Tahoma"/>
            <family val="2"/>
          </rPr>
          <t>Moderately dense globular cluster in Delphinus</t>
        </r>
      </text>
    </comment>
    <comment ref="A2445" authorId="0" shapeId="0" xr:uid="{476F7DE8-07B5-423D-9B08-D6BDABCB0EE2}">
      <text>
        <r>
          <rPr>
            <sz val="9"/>
            <color indexed="81"/>
            <rFont val="Tahoma"/>
            <family val="2"/>
          </rPr>
          <t xml:space="preserve">
</t>
        </r>
      </text>
    </comment>
    <comment ref="K2445" authorId="0" shapeId="0" xr:uid="{D42A8420-FD34-4FF6-883E-F134456A8E24}">
      <text>
        <r>
          <rPr>
            <sz val="9"/>
            <color indexed="81"/>
            <rFont val="Tahoma"/>
            <family val="2"/>
          </rPr>
          <t>Open cluster contains 2 linear chains of bright stars, which intersect near cluster center at right angles</t>
        </r>
      </text>
    </comment>
    <comment ref="A2446" authorId="0" shapeId="0" xr:uid="{BE1B095F-9568-4B1B-8C1A-8CA1BF74381D}">
      <text>
        <r>
          <rPr>
            <sz val="9"/>
            <color indexed="81"/>
            <rFont val="Tahoma"/>
            <family val="2"/>
          </rPr>
          <t xml:space="preserve">
</t>
        </r>
      </text>
    </comment>
    <comment ref="K2446" authorId="0" shapeId="0" xr:uid="{1681320F-08FD-4323-8F87-A707D233685F}">
      <text>
        <r>
          <rPr>
            <sz val="9"/>
            <color indexed="81"/>
            <rFont val="Tahoma"/>
            <family val="2"/>
          </rPr>
          <t>Tough to distinguish this open cluster from the background</t>
        </r>
      </text>
    </comment>
    <comment ref="A2447" authorId="0" shapeId="0" xr:uid="{DE839F47-58E1-4187-8A7E-D746625467A1}">
      <text>
        <r>
          <rPr>
            <sz val="9"/>
            <color indexed="81"/>
            <rFont val="Tahoma"/>
            <family val="2"/>
          </rPr>
          <t xml:space="preserve">
</t>
        </r>
      </text>
    </comment>
    <comment ref="K2447" authorId="0" shapeId="0" xr:uid="{99379869-6E7E-4AD1-9E21-5B0B37A7CBF9}">
      <text>
        <r>
          <rPr>
            <sz val="9"/>
            <color indexed="81"/>
            <rFont val="Tahoma"/>
            <family val="2"/>
          </rPr>
          <t>Poorly developed bar and confused inner ring, with VV rows. Challenging to image well due to obscuring ISM.</t>
        </r>
      </text>
    </comment>
    <comment ref="A2448" authorId="0" shapeId="0" xr:uid="{2D613410-1EC8-4B38-8976-07778F221293}">
      <text>
        <r>
          <rPr>
            <sz val="9"/>
            <color indexed="81"/>
            <rFont val="Tahoma"/>
            <family val="2"/>
          </rPr>
          <t xml:space="preserve">
</t>
        </r>
      </text>
    </comment>
    <comment ref="K2448" authorId="0" shapeId="0" xr:uid="{1469031C-B0F8-46BC-9099-6E159994050A}">
      <text>
        <r>
          <rPr>
            <sz val="9"/>
            <color indexed="81"/>
            <rFont val="Tahoma"/>
            <family val="2"/>
          </rPr>
          <t>Barred galaxy with arms extending from the faint bar ends, out to over 1 revolution</t>
        </r>
      </text>
    </comment>
    <comment ref="A2449" authorId="0" shapeId="0" xr:uid="{820A18DB-1462-4017-9FF5-A09CBD8C9AE7}">
      <text>
        <r>
          <rPr>
            <sz val="9"/>
            <color indexed="81"/>
            <rFont val="Tahoma"/>
            <family val="2"/>
          </rPr>
          <t xml:space="preserve">
</t>
        </r>
      </text>
    </comment>
    <comment ref="K2449" authorId="0" shapeId="0" xr:uid="{633409C7-8F24-4055-BA05-0BB84C2937C9}">
      <text>
        <r>
          <rPr>
            <sz val="9"/>
            <color indexed="81"/>
            <rFont val="Tahoma"/>
            <family val="2"/>
          </rPr>
          <t>Barred Seyfert galaxy with nuclear ring, blue star clouds, VV rows, and 3 arms</t>
        </r>
      </text>
    </comment>
    <comment ref="A2450" authorId="0" shapeId="0" xr:uid="{BADC1335-BC3C-4C96-BFC5-7FA123A1DD9A}">
      <text>
        <r>
          <rPr>
            <sz val="9"/>
            <color indexed="81"/>
            <rFont val="Tahoma"/>
            <family val="2"/>
          </rPr>
          <t xml:space="preserve">
</t>
        </r>
      </text>
    </comment>
    <comment ref="K2450" authorId="0" shapeId="0" xr:uid="{A53B6CCA-31A1-482D-89C1-A0F9FD5D678D}">
      <text>
        <r>
          <rPr>
            <sz val="9"/>
            <color indexed="81"/>
            <rFont val="Tahoma"/>
            <family val="2"/>
          </rPr>
          <t>Trio of galaxies at similar distance, highlighted by NGC 6956.  All have interesting structures and 2 are disturbed.</t>
        </r>
      </text>
    </comment>
    <comment ref="A2451" authorId="0" shapeId="0" xr:uid="{E7DB24BF-23E1-44A7-BAC5-39782DE2F999}">
      <text>
        <r>
          <rPr>
            <sz val="9"/>
            <color indexed="81"/>
            <rFont val="Tahoma"/>
            <family val="2"/>
          </rPr>
          <t xml:space="preserve">
</t>
        </r>
      </text>
    </comment>
    <comment ref="K2451" authorId="0" shapeId="0" xr:uid="{B1D749AC-5216-4F80-B2A7-8B13973B5643}">
      <text>
        <r>
          <rPr>
            <sz val="9"/>
            <color indexed="81"/>
            <rFont val="Tahoma"/>
            <family val="2"/>
          </rPr>
          <t>Wonderful interplay of OIII and HII SNR filaments.  Bright star 52 Cygni adds to the beauty but is not related to the SNR</t>
        </r>
      </text>
    </comment>
    <comment ref="A2452" authorId="0" shapeId="0" xr:uid="{0F579CC1-1A4E-4297-ABAE-C8A867EF3119}">
      <text>
        <r>
          <rPr>
            <sz val="9"/>
            <color indexed="81"/>
            <rFont val="Tahoma"/>
            <family val="2"/>
          </rPr>
          <t xml:space="preserve">
</t>
        </r>
      </text>
    </comment>
    <comment ref="K2452" authorId="0" shapeId="0" xr:uid="{9B6C5793-8982-4542-8F98-5F74BFA7C73C}">
      <text>
        <r>
          <rPr>
            <sz val="9"/>
            <color indexed="81"/>
            <rFont val="Tahoma"/>
            <family val="2"/>
          </rPr>
          <t>Group of galaxies highlighted by NGC 6962, which appears to be interacting with NGC6964</t>
        </r>
      </text>
    </comment>
    <comment ref="A2453" authorId="0" shapeId="0" xr:uid="{0F920EA6-426C-4513-B998-F54BA72F4ED2}">
      <text>
        <r>
          <rPr>
            <sz val="9"/>
            <color indexed="81"/>
            <rFont val="Tahoma"/>
            <family val="2"/>
          </rPr>
          <t xml:space="preserve">
</t>
        </r>
      </text>
    </comment>
    <comment ref="K2453" authorId="0" shapeId="0" xr:uid="{A1F49559-B7B5-41D5-A591-8EBF89A2B6F8}">
      <text>
        <r>
          <rPr>
            <sz val="9"/>
            <color indexed="81"/>
            <rFont val="Tahoma"/>
            <family val="2"/>
          </rPr>
          <t xml:space="preserve">Two overlapping spiral galaxies, yellow and blue.  It is debatable whether the 2 galaxies are interacting.  </t>
        </r>
      </text>
    </comment>
    <comment ref="A2454" authorId="0" shapeId="0" xr:uid="{C61AC5CC-D450-42E3-9D3B-ECD63C280491}">
      <text>
        <r>
          <rPr>
            <sz val="9"/>
            <color indexed="81"/>
            <rFont val="Tahoma"/>
            <family val="2"/>
          </rPr>
          <t xml:space="preserve">
</t>
        </r>
      </text>
    </comment>
    <comment ref="K2454" authorId="0" shapeId="0" xr:uid="{E991172E-D6D2-428D-B43B-5B75AFCF2B23}">
      <text>
        <r>
          <rPr>
            <sz val="9"/>
            <color indexed="81"/>
            <rFont val="Tahoma"/>
            <family val="2"/>
          </rPr>
          <t>Stunning open star cluster and reflection nebula (IC5076), with dark nebula just west of the reflection nebula</t>
        </r>
      </text>
    </comment>
    <comment ref="A2455" authorId="0" shapeId="0" xr:uid="{7D36AA4B-1086-4FAE-A6A0-65237D46DD01}">
      <text>
        <r>
          <rPr>
            <sz val="9"/>
            <color indexed="81"/>
            <rFont val="Tahoma"/>
            <family val="2"/>
          </rPr>
          <t xml:space="preserve">
</t>
        </r>
      </text>
    </comment>
    <comment ref="K2455" authorId="0" shapeId="0" xr:uid="{A05D25A5-1B1C-4A63-9BE3-6CC0205867CB}">
      <text>
        <r>
          <rPr>
            <sz val="9"/>
            <color indexed="81"/>
            <rFont val="Tahoma"/>
            <family val="2"/>
          </rPr>
          <t>Magnificent SNR filamentary object on east side of Cygnus Loop</t>
        </r>
      </text>
    </comment>
    <comment ref="A2456" authorId="0" shapeId="0" xr:uid="{DCB015D8-FB4F-4EBD-B41F-D6CEF7306404}">
      <text>
        <r>
          <rPr>
            <sz val="9"/>
            <color indexed="81"/>
            <rFont val="Tahoma"/>
            <family val="2"/>
          </rPr>
          <t xml:space="preserve">
</t>
        </r>
      </text>
    </comment>
    <comment ref="K2456" authorId="0" shapeId="0" xr:uid="{6CF2A0BE-E505-46FB-ADB2-61AC7628E00C}">
      <text>
        <r>
          <rPr>
            <sz val="9"/>
            <color indexed="81"/>
            <rFont val="Tahoma"/>
            <family val="2"/>
          </rPr>
          <t>Portion of easter Cygnus Loop, just below NGC 6992</t>
        </r>
      </text>
    </comment>
    <comment ref="A2457" authorId="0" shapeId="0" xr:uid="{72A26134-1A08-4020-8825-98300BB79642}">
      <text>
        <r>
          <rPr>
            <sz val="9"/>
            <color indexed="81"/>
            <rFont val="Tahoma"/>
            <family val="2"/>
          </rPr>
          <t xml:space="preserve">
</t>
        </r>
      </text>
    </comment>
    <comment ref="K2457" authorId="0" shapeId="0" xr:uid="{A71B90AC-BAD8-4D02-90EA-971B7FFE296B}">
      <text>
        <r>
          <rPr>
            <sz val="9"/>
            <color indexed="81"/>
            <rFont val="Tahoma"/>
            <family val="2"/>
          </rPr>
          <t>Large emission nebula resembling North America.  Highlighted by The Wall, sculpted by radiation from region's massive stars.</t>
        </r>
      </text>
    </comment>
    <comment ref="A2458" authorId="0" shapeId="0" xr:uid="{09A636DE-0C36-4B5F-A7A5-A169981CCB35}">
      <text>
        <r>
          <rPr>
            <sz val="9"/>
            <color indexed="81"/>
            <rFont val="Tahoma"/>
            <family val="2"/>
          </rPr>
          <t xml:space="preserve">
</t>
        </r>
      </text>
    </comment>
    <comment ref="K2458" authorId="0" shapeId="0" xr:uid="{5D5A403F-CACB-467D-B078-1612A5916B70}">
      <text>
        <r>
          <rPr>
            <sz val="9"/>
            <color indexed="81"/>
            <rFont val="Tahoma"/>
            <family val="2"/>
          </rPr>
          <t>Older concentrated globular cluster containing 250,000 stars and located in our galaxy's outer halo.</t>
        </r>
      </text>
    </comment>
    <comment ref="A2459" authorId="0" shapeId="0" xr:uid="{6844F6FE-6EDD-485C-9CEE-904D59D5D556}">
      <text>
        <r>
          <rPr>
            <sz val="9"/>
            <color indexed="81"/>
            <rFont val="Tahoma"/>
            <family val="2"/>
          </rPr>
          <t xml:space="preserve">
</t>
        </r>
      </text>
    </comment>
    <comment ref="K2459" authorId="0" shapeId="0" xr:uid="{1F6D8C99-DB38-465E-8353-53864EF755CA}">
      <text>
        <r>
          <rPr>
            <sz val="9"/>
            <color indexed="81"/>
            <rFont val="Tahoma"/>
            <family val="2"/>
          </rPr>
          <t>Despite its nickname, this PN is in its final stage of life.  Many of the "stars" seen here are actually bright condensations</t>
        </r>
      </text>
    </comment>
    <comment ref="A2460" authorId="0" shapeId="0" xr:uid="{A753594C-C2A1-4098-AE1A-3B87133869C9}">
      <text>
        <r>
          <rPr>
            <sz val="9"/>
            <color indexed="81"/>
            <rFont val="Tahoma"/>
            <family val="2"/>
          </rPr>
          <t xml:space="preserve">
</t>
        </r>
      </text>
    </comment>
    <comment ref="K2460" authorId="0" shapeId="0" xr:uid="{79B9B630-3C29-4182-A323-E5E9FB1B56D5}">
      <text>
        <r>
          <rPr>
            <sz val="9"/>
            <color indexed="81"/>
            <rFont val="Tahoma"/>
            <family val="2"/>
          </rPr>
          <t xml:space="preserve">Small Saturn-like OIII PN with red ansae </t>
        </r>
      </text>
    </comment>
    <comment ref="A2461" authorId="0" shapeId="0" xr:uid="{BBF92026-2ACB-4C09-92C9-8EDAA8F09F8F}">
      <text>
        <r>
          <rPr>
            <sz val="9"/>
            <color indexed="81"/>
            <rFont val="Tahoma"/>
            <family val="2"/>
          </rPr>
          <t xml:space="preserve">
</t>
        </r>
      </text>
    </comment>
    <comment ref="K2461" authorId="0" shapeId="0" xr:uid="{906C08FE-096D-4592-9DF4-29B8B81F8D0B}">
      <text>
        <r>
          <rPr>
            <sz val="9"/>
            <color indexed="81"/>
            <rFont val="Tahoma"/>
            <family val="2"/>
          </rPr>
          <t>Spiral with mid-region ring and diffuse, lenticular-like outer disk</t>
        </r>
      </text>
    </comment>
    <comment ref="A2462" authorId="0" shapeId="0" xr:uid="{B2C75EC0-1C25-4E00-B7AD-5875BDEA2A62}">
      <text>
        <r>
          <rPr>
            <sz val="9"/>
            <color indexed="81"/>
            <rFont val="Tahoma"/>
            <family val="2"/>
          </rPr>
          <t xml:space="preserve">
</t>
        </r>
      </text>
    </comment>
    <comment ref="K2462" authorId="0" shapeId="0" xr:uid="{6620D511-4139-41DE-9ED2-16315CA2A08B}">
      <text>
        <r>
          <rPr>
            <sz val="9"/>
            <color indexed="81"/>
            <rFont val="Tahoma"/>
            <family val="2"/>
          </rPr>
          <t>Spectacular blue-purple reflection nebula with windows to the background sky and lovely white arcs in the center</t>
        </r>
      </text>
    </comment>
    <comment ref="A2463" authorId="0" shapeId="0" xr:uid="{067EF1E6-30C5-4676-8AE8-9ACAD34056D2}">
      <text>
        <r>
          <rPr>
            <sz val="9"/>
            <color indexed="81"/>
            <rFont val="Tahoma"/>
            <family val="2"/>
          </rPr>
          <t xml:space="preserve">
</t>
        </r>
      </text>
    </comment>
    <comment ref="K2463" authorId="0" shapeId="0" xr:uid="{26F0B091-F6A4-477F-8CA6-B6F2C41C643D}">
      <text>
        <r>
          <rPr>
            <sz val="9"/>
            <color indexed="81"/>
            <rFont val="Tahoma"/>
            <family val="2"/>
          </rPr>
          <t>One of the few Delphinus galaxies, highlighted by 3 dust bands outside of the core area.  Toadstool Asterism adjacent</t>
        </r>
      </text>
    </comment>
    <comment ref="A2464" authorId="0" shapeId="0" xr:uid="{0EE88147-563D-45DA-B7E4-AA1E82427BDB}">
      <text>
        <r>
          <rPr>
            <sz val="9"/>
            <color indexed="81"/>
            <rFont val="Tahoma"/>
            <family val="2"/>
          </rPr>
          <t xml:space="preserve">
</t>
        </r>
      </text>
    </comment>
    <comment ref="K2464" authorId="0" shapeId="0" xr:uid="{73284FD2-9E86-4DAB-9DC1-739E69AF1243}">
      <text>
        <r>
          <rPr>
            <sz val="9"/>
            <color indexed="81"/>
            <rFont val="Tahoma"/>
            <family val="2"/>
          </rPr>
          <t>Excellent multipolar PN with intact lobes and faint progenitor</t>
        </r>
      </text>
    </comment>
    <comment ref="A2465" authorId="0" shapeId="0" xr:uid="{E6FFFFAE-9E2C-4187-B8BA-AAB29BD532B5}">
      <text>
        <r>
          <rPr>
            <sz val="9"/>
            <color indexed="81"/>
            <rFont val="Tahoma"/>
            <family val="2"/>
          </rPr>
          <t xml:space="preserve">
</t>
        </r>
      </text>
    </comment>
    <comment ref="K2465" authorId="0" shapeId="0" xr:uid="{56CA92B8-C902-47C7-81D6-6AFAF9BA2CC1}">
      <text>
        <r>
          <rPr>
            <sz val="9"/>
            <color indexed="81"/>
            <rFont val="Tahoma"/>
            <family val="2"/>
          </rPr>
          <t>Small young PN with peculiar shape</t>
        </r>
      </text>
    </comment>
    <comment ref="A2466" authorId="0" shapeId="0" xr:uid="{A4CB9246-D30E-49F2-9939-29980A1F787D}">
      <text>
        <r>
          <rPr>
            <sz val="9"/>
            <color indexed="81"/>
            <rFont val="Tahoma"/>
            <family val="2"/>
          </rPr>
          <t xml:space="preserve">
</t>
        </r>
      </text>
    </comment>
    <comment ref="K2466" authorId="0" shapeId="0" xr:uid="{38481B92-C75B-4607-BAD2-9C068B90AB6B}">
      <text>
        <r>
          <rPr>
            <sz val="9"/>
            <color indexed="81"/>
            <rFont val="Tahoma"/>
            <family val="2"/>
          </rPr>
          <t>Disturbed disk with numerous arm fragments, including VV rows</t>
        </r>
      </text>
    </comment>
    <comment ref="A2467" authorId="0" shapeId="0" xr:uid="{012006A9-8038-4288-AA36-CCF6128D7DA9}">
      <text>
        <r>
          <rPr>
            <sz val="9"/>
            <color indexed="81"/>
            <rFont val="Tahoma"/>
            <family val="2"/>
          </rPr>
          <t xml:space="preserve">
</t>
        </r>
      </text>
    </comment>
    <comment ref="K2467" authorId="0" shapeId="0" xr:uid="{DF99128B-7E68-4C42-9CB9-A768EB56A746}">
      <text>
        <r>
          <rPr>
            <sz val="9"/>
            <color indexed="81"/>
            <rFont val="Tahoma"/>
            <family val="2"/>
          </rPr>
          <t>Older yellow open cluster with linear-like patterns of its many stars</t>
        </r>
      </text>
    </comment>
    <comment ref="A2468" authorId="0" shapeId="0" xr:uid="{0EC6BE23-4100-4B4F-90C5-161EA8E49975}">
      <text>
        <r>
          <rPr>
            <sz val="9"/>
            <color indexed="81"/>
            <rFont val="Tahoma"/>
            <family val="2"/>
          </rPr>
          <t xml:space="preserve">
</t>
        </r>
      </text>
    </comment>
    <comment ref="K2468" authorId="0" shapeId="0" xr:uid="{F99C3C0E-D373-4926-AEFC-BE716039FC4A}">
      <text>
        <r>
          <rPr>
            <sz val="9"/>
            <color indexed="81"/>
            <rFont val="Tahoma"/>
            <family val="2"/>
          </rPr>
          <t>Bipolar PN, HII rim and OIII interior, with lobe breakout starting and faint progenitor visible</t>
        </r>
      </text>
    </comment>
    <comment ref="A2469" authorId="0" shapeId="0" xr:uid="{D183DD2D-95F5-4420-BC1C-53ADF745C8CD}">
      <text>
        <r>
          <rPr>
            <sz val="9"/>
            <color indexed="81"/>
            <rFont val="Tahoma"/>
            <family val="2"/>
          </rPr>
          <t xml:space="preserve">
</t>
        </r>
      </text>
    </comment>
    <comment ref="K2469" authorId="0" shapeId="0" xr:uid="{42BA94E8-201E-4F3C-BE57-1804CEC9BE17}">
      <text>
        <r>
          <rPr>
            <sz val="9"/>
            <color indexed="81"/>
            <rFont val="Tahoma"/>
            <family val="2"/>
          </rPr>
          <t>Small grand design spiral with bright asymmetric ring/bar</t>
        </r>
      </text>
    </comment>
    <comment ref="A2470" authorId="0" shapeId="0" xr:uid="{2E401600-A9FE-4784-BC84-C0040D0DAFD9}">
      <text>
        <r>
          <rPr>
            <sz val="9"/>
            <color indexed="81"/>
            <rFont val="Tahoma"/>
            <family val="2"/>
          </rPr>
          <t xml:space="preserve">
</t>
        </r>
      </text>
    </comment>
    <comment ref="K2470" authorId="0" shapeId="0" xr:uid="{CA73C521-3F52-458D-AD2D-4AA2C7077043}">
      <text>
        <r>
          <rPr>
            <sz val="9"/>
            <color indexed="81"/>
            <rFont val="Tahoma"/>
            <family val="2"/>
          </rPr>
          <t>Star shaped open cluster in Cygnus</t>
        </r>
      </text>
    </comment>
    <comment ref="A2471" authorId="0" shapeId="0" xr:uid="{B69896D1-754C-436C-859C-EBF277295A71}">
      <text>
        <r>
          <rPr>
            <sz val="9"/>
            <color indexed="81"/>
            <rFont val="Tahoma"/>
            <family val="2"/>
          </rPr>
          <t xml:space="preserve">
</t>
        </r>
      </text>
    </comment>
    <comment ref="K2471" authorId="0" shapeId="0" xr:uid="{CA2B0206-3A30-484A-A1C4-3BEFB22BBD5A}">
      <text>
        <r>
          <rPr>
            <sz val="9"/>
            <color indexed="81"/>
            <rFont val="Tahoma"/>
            <family val="2"/>
          </rPr>
          <t>Mix of bright blue and yellow stars form a pleasing umbrella shape</t>
        </r>
      </text>
    </comment>
    <comment ref="A2472" authorId="0" shapeId="0" xr:uid="{C7E453FF-A393-42C8-A2F1-780D8A3C7A34}">
      <text>
        <r>
          <rPr>
            <sz val="9"/>
            <color indexed="81"/>
            <rFont val="Tahoma"/>
            <family val="2"/>
          </rPr>
          <t xml:space="preserve">
</t>
        </r>
      </text>
    </comment>
    <comment ref="K2472" authorId="0" shapeId="0" xr:uid="{728FB7B4-C2B3-435A-AF92-7F6C7460706E}">
      <text>
        <r>
          <rPr>
            <sz val="9"/>
            <color indexed="81"/>
            <rFont val="Tahoma"/>
            <family val="2"/>
          </rPr>
          <t>Long bar with ansae pair.  Pseudo-ring circles the inner region, with VV rows in the outer region</t>
        </r>
      </text>
    </comment>
    <comment ref="A2473" authorId="0" shapeId="0" xr:uid="{E71DCA21-FCE6-44CD-9F6B-3373E25EFA5D}">
      <text>
        <r>
          <rPr>
            <sz val="9"/>
            <color indexed="81"/>
            <rFont val="Tahoma"/>
            <family val="2"/>
          </rPr>
          <t xml:space="preserve">
</t>
        </r>
      </text>
    </comment>
    <comment ref="K2473" authorId="0" shapeId="0" xr:uid="{425A101C-CCE9-49CB-B4B8-2DDE969EC1EA}">
      <text>
        <r>
          <rPr>
            <sz val="9"/>
            <color indexed="81"/>
            <rFont val="Tahoma"/>
            <family val="2"/>
          </rPr>
          <t>Small disturbed disk with 3 arms and several bright star clouds</t>
        </r>
      </text>
    </comment>
    <comment ref="A2474" authorId="0" shapeId="0" xr:uid="{1E9AC855-C8B0-4949-B866-9ADAF899D338}">
      <text>
        <r>
          <rPr>
            <sz val="9"/>
            <color indexed="81"/>
            <rFont val="Tahoma"/>
            <family val="2"/>
          </rPr>
          <t xml:space="preserve">
</t>
        </r>
      </text>
    </comment>
    <comment ref="K2474" authorId="0" shapeId="0" xr:uid="{0C05AD30-EF15-44BA-A43D-A8C2E82B7B11}">
      <text>
        <r>
          <rPr>
            <sz val="9"/>
            <color indexed="81"/>
            <rFont val="Tahoma"/>
            <family val="2"/>
          </rPr>
          <t>Squarish open cluster with good variety of colorful stars</t>
        </r>
      </text>
    </comment>
    <comment ref="A2475" authorId="0" shapeId="0" xr:uid="{4059529A-05E3-4CF8-8C42-5E45FA499950}">
      <text>
        <r>
          <rPr>
            <sz val="9"/>
            <color indexed="81"/>
            <rFont val="Tahoma"/>
            <family val="2"/>
          </rPr>
          <t xml:space="preserve">
</t>
        </r>
      </text>
    </comment>
    <comment ref="K2475" authorId="0" shapeId="0" xr:uid="{E3095D79-2148-4B12-A17A-0BA8C7D93C1D}">
      <text>
        <r>
          <rPr>
            <sz val="9"/>
            <color indexed="81"/>
            <rFont val="Tahoma"/>
            <family val="2"/>
          </rPr>
          <t>OIII PN with filaments and bright blue progenitor</t>
        </r>
      </text>
    </comment>
    <comment ref="A2476" authorId="0" shapeId="0" xr:uid="{E29A9D32-ED96-4CF7-B398-E7CE4ACF386F}">
      <text>
        <r>
          <rPr>
            <sz val="9"/>
            <color indexed="81"/>
            <rFont val="Tahoma"/>
            <family val="2"/>
          </rPr>
          <t xml:space="preserve">
</t>
        </r>
      </text>
    </comment>
    <comment ref="K2476" authorId="0" shapeId="0" xr:uid="{A9DD658A-9B37-44D3-99E1-DB09A86F3669}">
      <text>
        <r>
          <rPr>
            <sz val="9"/>
            <color indexed="81"/>
            <rFont val="Tahoma"/>
            <family val="2"/>
          </rPr>
          <t>Barred ring spiral galaxy, nice color contrast</t>
        </r>
      </text>
    </comment>
    <comment ref="A2477" authorId="0" shapeId="0" xr:uid="{40AF2943-5BBC-41A8-97B8-BE3FD36847C4}">
      <text>
        <r>
          <rPr>
            <sz val="9"/>
            <color indexed="81"/>
            <rFont val="Tahoma"/>
            <family val="2"/>
          </rPr>
          <t xml:space="preserve">
</t>
        </r>
      </text>
    </comment>
    <comment ref="K2477" authorId="0" shapeId="0" xr:uid="{6B2B92B3-30A7-4850-85EB-8BC3F4CA715E}">
      <text>
        <r>
          <rPr>
            <sz val="9"/>
            <color indexed="81"/>
            <rFont val="Tahoma"/>
            <family val="2"/>
          </rPr>
          <t>Asymmetric disk with VV rows and star clouds</t>
        </r>
      </text>
    </comment>
    <comment ref="A2478" authorId="0" shapeId="0" xr:uid="{7AE7966C-C813-48EC-B66E-E28344AE10AB}">
      <text>
        <r>
          <rPr>
            <sz val="9"/>
            <color indexed="81"/>
            <rFont val="Tahoma"/>
            <family val="2"/>
          </rPr>
          <t xml:space="preserve">
</t>
        </r>
      </text>
    </comment>
    <comment ref="K2478" authorId="0" shapeId="0" xr:uid="{849E5F46-630D-4B13-B7CE-469CF61EB224}">
      <text>
        <r>
          <rPr>
            <sz val="9"/>
            <color indexed="81"/>
            <rFont val="Tahoma"/>
            <family val="2"/>
          </rPr>
          <t>Open cluster with unusual pair of concentrations, with none in the center.  Likely 2 separate smaller clusters</t>
        </r>
      </text>
    </comment>
    <comment ref="A2479" authorId="0" shapeId="0" xr:uid="{6F7820DB-7B51-44D8-AEC0-4D355980962E}">
      <text>
        <r>
          <rPr>
            <sz val="9"/>
            <color indexed="81"/>
            <rFont val="Tahoma"/>
            <family val="2"/>
          </rPr>
          <t xml:space="preserve">
</t>
        </r>
      </text>
    </comment>
    <comment ref="K2479" authorId="0" shapeId="0" xr:uid="{AF5C09DC-E120-404D-A6F3-A279C92574C6}">
      <text>
        <r>
          <rPr>
            <sz val="9"/>
            <color indexed="81"/>
            <rFont val="Tahoma"/>
            <family val="2"/>
          </rPr>
          <t>Tight colorful open cluster, highlighted by 3 orange supergiants</t>
        </r>
      </text>
    </comment>
    <comment ref="A2480" authorId="0" shapeId="0" xr:uid="{878E4456-8163-4142-86B2-9D1660BCC9B6}">
      <text>
        <r>
          <rPr>
            <sz val="9"/>
            <color indexed="81"/>
            <rFont val="Tahoma"/>
            <family val="2"/>
          </rPr>
          <t xml:space="preserve">
</t>
        </r>
      </text>
    </comment>
    <comment ref="K2480" authorId="0" shapeId="0" xr:uid="{9395A0BD-5E80-458F-B686-2310F56EBAC3}">
      <text>
        <r>
          <rPr>
            <sz val="9"/>
            <color indexed="81"/>
            <rFont val="Tahoma"/>
            <family val="2"/>
          </rPr>
          <t>Multi-hued reflection nebula surrounding cluster of 100 stars</t>
        </r>
      </text>
    </comment>
    <comment ref="A2481" authorId="0" shapeId="0" xr:uid="{6AA78A85-951C-4545-AB70-618C5B390AEA}">
      <text>
        <r>
          <rPr>
            <sz val="9"/>
            <color indexed="81"/>
            <rFont val="Tahoma"/>
            <family val="2"/>
          </rPr>
          <t xml:space="preserve">
</t>
        </r>
      </text>
    </comment>
    <comment ref="K2481" authorId="0" shapeId="0" xr:uid="{E4DD83C7-67F2-4DD1-88E9-406325E62B4E}">
      <text>
        <r>
          <rPr>
            <sz val="9"/>
            <color indexed="81"/>
            <rFont val="Tahoma"/>
            <family val="2"/>
          </rPr>
          <t>Likely merger object, with complex arm fragments and star streams</t>
        </r>
      </text>
    </comment>
    <comment ref="A2482" authorId="0" shapeId="0" xr:uid="{4DA8E581-68D0-46BA-A3F1-A5766F6460EB}">
      <text>
        <r>
          <rPr>
            <sz val="9"/>
            <color indexed="81"/>
            <rFont val="Tahoma"/>
            <family val="2"/>
          </rPr>
          <t xml:space="preserve">
</t>
        </r>
      </text>
    </comment>
    <comment ref="K2482" authorId="0" shapeId="0" xr:uid="{8C17A68F-8985-49D7-947B-4C6674212E34}">
      <text>
        <r>
          <rPr>
            <sz val="9"/>
            <color indexed="81"/>
            <rFont val="Tahoma"/>
            <family val="2"/>
          </rPr>
          <t>2 strong arms which extend out for 360 degrees, with VV rows.  Bottom 1/3 of disk is mysteriously faint</t>
        </r>
      </text>
    </comment>
    <comment ref="A2483" authorId="0" shapeId="0" xr:uid="{53F7B6B2-C3AA-4052-8241-736FE4C78BAD}">
      <text>
        <r>
          <rPr>
            <sz val="9"/>
            <color indexed="81"/>
            <rFont val="Tahoma"/>
            <family val="2"/>
          </rPr>
          <t xml:space="preserve">
</t>
        </r>
      </text>
    </comment>
    <comment ref="K2483" authorId="0" shapeId="0" xr:uid="{3707D2E4-6575-47E2-9CCF-41F00F81A43D}">
      <text>
        <r>
          <rPr>
            <sz val="9"/>
            <color indexed="81"/>
            <rFont val="Tahoma"/>
            <family val="2"/>
          </rPr>
          <t>Disturbed face-on elliptical, likely a merger object with several linear star stream extensions</t>
        </r>
      </text>
    </comment>
    <comment ref="A2484" authorId="0" shapeId="0" xr:uid="{8C480615-B647-41BE-938A-2933746452D9}">
      <text>
        <r>
          <rPr>
            <sz val="9"/>
            <color indexed="81"/>
            <rFont val="Tahoma"/>
            <family val="2"/>
          </rPr>
          <t xml:space="preserve">
</t>
        </r>
      </text>
    </comment>
    <comment ref="K2484" authorId="0" shapeId="0" xr:uid="{34299400-4471-4CD1-A9B1-259E9AECE1C1}">
      <text>
        <r>
          <rPr>
            <sz val="9"/>
            <color indexed="81"/>
            <rFont val="Tahoma"/>
            <family val="2"/>
          </rPr>
          <t>3 armed galaxy with VV rows</t>
        </r>
      </text>
    </comment>
    <comment ref="A2485" authorId="0" shapeId="0" xr:uid="{6089B7CB-BB1C-4DAB-8441-4C8BE17653D7}">
      <text>
        <r>
          <rPr>
            <sz val="9"/>
            <color indexed="81"/>
            <rFont val="Tahoma"/>
            <family val="2"/>
          </rPr>
          <t xml:space="preserve">
</t>
        </r>
      </text>
    </comment>
    <comment ref="K2485" authorId="0" shapeId="0" xr:uid="{0CF1716B-001F-46BE-99C0-B500E9B26BF1}">
      <text>
        <r>
          <rPr>
            <sz val="9"/>
            <color indexed="81"/>
            <rFont val="Tahoma"/>
            <family val="2"/>
          </rPr>
          <t>Hexagon shaped elliptical PN</t>
        </r>
      </text>
    </comment>
    <comment ref="A2486" authorId="0" shapeId="0" xr:uid="{BF385C96-C124-441F-AC7B-A57D4D7FA415}">
      <text>
        <r>
          <rPr>
            <sz val="9"/>
            <color indexed="81"/>
            <rFont val="Tahoma"/>
            <family val="2"/>
          </rPr>
          <t xml:space="preserve">
</t>
        </r>
      </text>
    </comment>
    <comment ref="K2486" authorId="0" shapeId="0" xr:uid="{6264B600-497E-48FF-98E8-70EC462D8291}">
      <text>
        <r>
          <rPr>
            <sz val="9"/>
            <color indexed="81"/>
            <rFont val="Tahoma"/>
            <family val="2"/>
          </rPr>
          <t>Open cluster in Cepheus, just southeast of NGC7129</t>
        </r>
      </text>
    </comment>
    <comment ref="A2487" authorId="0" shapeId="0" xr:uid="{13582092-A02A-46FC-8109-3C2B9ECFF282}">
      <text>
        <r>
          <rPr>
            <sz val="9"/>
            <color indexed="81"/>
            <rFont val="Tahoma"/>
            <family val="2"/>
          </rPr>
          <t xml:space="preserve">
</t>
        </r>
      </text>
    </comment>
    <comment ref="K2487" authorId="0" shapeId="0" xr:uid="{91B42904-2C2F-4BBA-80D7-D0AE7EAECE54}">
      <text>
        <r>
          <rPr>
            <sz val="9"/>
            <color indexed="81"/>
            <rFont val="Tahoma"/>
            <family val="2"/>
          </rPr>
          <t>6 galaxy group in Pegasus, all spirals including 2 bright barlenses.</t>
        </r>
      </text>
    </comment>
    <comment ref="A2488" authorId="0" shapeId="0" xr:uid="{4FB3C843-CA2D-4252-B958-6B0D8D163607}">
      <text>
        <r>
          <rPr>
            <sz val="9"/>
            <color indexed="81"/>
            <rFont val="Tahoma"/>
            <family val="2"/>
          </rPr>
          <t xml:space="preserve">
</t>
        </r>
      </text>
    </comment>
    <comment ref="K2488" authorId="0" shapeId="0" xr:uid="{76BB1AC0-BC28-4383-9A84-2357188D0964}">
      <text>
        <r>
          <rPr>
            <sz val="9"/>
            <color indexed="81"/>
            <rFont val="Tahoma"/>
            <family val="2"/>
          </rPr>
          <t>Large Magellanic galaxy in Piscis Austrinus</t>
        </r>
      </text>
    </comment>
    <comment ref="A2489" authorId="0" shapeId="0" xr:uid="{2DFD22E9-C228-4937-B39E-7D7903F72A92}">
      <text>
        <r>
          <rPr>
            <sz val="9"/>
            <color indexed="81"/>
            <rFont val="Tahoma"/>
            <family val="2"/>
          </rPr>
          <t xml:space="preserve">
</t>
        </r>
      </text>
    </comment>
    <comment ref="K2489" authorId="0" shapeId="0" xr:uid="{4C1511E7-0329-415C-BC30-9726CE5C830B}">
      <text>
        <r>
          <rPr>
            <sz val="9"/>
            <color indexed="81"/>
            <rFont val="Tahoma"/>
            <family val="2"/>
          </rPr>
          <t>Small barred grand design spiral with blue star clouds and possible companions</t>
        </r>
      </text>
    </comment>
    <comment ref="A2490" authorId="0" shapeId="0" xr:uid="{336C7803-1C57-4DD2-9DE8-5F335F679724}">
      <text>
        <r>
          <rPr>
            <sz val="9"/>
            <color indexed="81"/>
            <rFont val="Tahoma"/>
            <family val="2"/>
          </rPr>
          <t xml:space="preserve">
</t>
        </r>
      </text>
    </comment>
    <comment ref="K2490" authorId="0" shapeId="0" xr:uid="{8F82F58D-8FF5-469C-8F5F-9A4445F95B30}">
      <text>
        <r>
          <rPr>
            <sz val="9"/>
            <color indexed="81"/>
            <rFont val="Tahoma"/>
            <family val="2"/>
          </rPr>
          <t>Nice mix of stars in interesting wedge shape</t>
        </r>
      </text>
    </comment>
    <comment ref="A2491" authorId="0" shapeId="0" xr:uid="{08C9E355-A3D4-4019-AC9B-403A2221B601}">
      <text>
        <r>
          <rPr>
            <sz val="9"/>
            <color indexed="81"/>
            <rFont val="Tahoma"/>
            <family val="2"/>
          </rPr>
          <t xml:space="preserve">
</t>
        </r>
      </text>
    </comment>
    <comment ref="K2491" authorId="0" shapeId="0" xr:uid="{D1F31844-2CE2-44E1-801D-83B2E2BD80C3}">
      <text>
        <r>
          <rPr>
            <sz val="9"/>
            <color indexed="81"/>
            <rFont val="Tahoma"/>
            <family val="2"/>
          </rPr>
          <t>Disturbed barred grand spiral in Aquila</t>
        </r>
      </text>
    </comment>
    <comment ref="A2492" authorId="0" shapeId="0" xr:uid="{8D09F142-89E6-4AC1-A907-00CFEB32D935}">
      <text>
        <r>
          <rPr>
            <sz val="9"/>
            <color indexed="81"/>
            <rFont val="Tahoma"/>
            <family val="2"/>
          </rPr>
          <t xml:space="preserve">
</t>
        </r>
      </text>
    </comment>
    <comment ref="K2492" authorId="0" shapeId="0" xr:uid="{7D5BFE2A-4ADC-4EEB-852B-069C7DA39DC6}">
      <text>
        <r>
          <rPr>
            <sz val="9"/>
            <color indexed="81"/>
            <rFont val="Tahoma"/>
            <family val="2"/>
          </rPr>
          <t>Barred spiral ring galaxy with flocculent outer disk and interesting dust lane on left side of core</t>
        </r>
      </text>
    </comment>
    <comment ref="A2493" authorId="0" shapeId="0" xr:uid="{AF962326-7E32-4FC8-B1B2-74371DCB9FF7}">
      <text>
        <r>
          <rPr>
            <sz val="9"/>
            <color indexed="81"/>
            <rFont val="Tahoma"/>
            <family val="2"/>
          </rPr>
          <t xml:space="preserve">
</t>
        </r>
      </text>
    </comment>
    <comment ref="K2493" authorId="0" shapeId="0" xr:uid="{FA2F032B-C77D-4944-9FF6-8CCF79107580}">
      <text>
        <r>
          <rPr>
            <sz val="9"/>
            <color indexed="81"/>
            <rFont val="Tahoma"/>
            <family val="2"/>
          </rPr>
          <t>Edge-on spiral with strong dust lanes that envelop core</t>
        </r>
      </text>
    </comment>
    <comment ref="A2494" authorId="0" shapeId="0" xr:uid="{1C23AD14-7193-44A7-8005-CB372A02394D}">
      <text>
        <r>
          <rPr>
            <sz val="9"/>
            <color indexed="81"/>
            <rFont val="Tahoma"/>
            <family val="2"/>
          </rPr>
          <t xml:space="preserve">
</t>
        </r>
      </text>
    </comment>
    <comment ref="K2494" authorId="0" shapeId="0" xr:uid="{38F952FB-54EB-4652-8C7B-8B43B95C264B}">
      <text>
        <r>
          <rPr>
            <sz val="9"/>
            <color indexed="81"/>
            <rFont val="Tahoma"/>
            <family val="2"/>
          </rPr>
          <t>Barred spiral galaxy with bright inner ring</t>
        </r>
      </text>
    </comment>
    <comment ref="A2495" authorId="0" shapeId="0" xr:uid="{BE6BE571-05CA-46A2-9FAF-4D6317550DD4}">
      <text>
        <r>
          <rPr>
            <sz val="9"/>
            <color indexed="81"/>
            <rFont val="Tahoma"/>
            <family val="2"/>
          </rPr>
          <t xml:space="preserve">
</t>
        </r>
      </text>
    </comment>
    <comment ref="K2495" authorId="0" shapeId="0" xr:uid="{206F3765-5029-4E63-A81D-341D21BBE534}">
      <text>
        <r>
          <rPr>
            <sz val="9"/>
            <color indexed="81"/>
            <rFont val="Tahoma"/>
            <family val="2"/>
          </rPr>
          <t>Yellow face-on double ringed lenticular galaxy</t>
        </r>
      </text>
    </comment>
    <comment ref="A2496" authorId="0" shapeId="0" xr:uid="{A63B446A-2CEF-476C-A9FF-79E8BD77D444}">
      <text>
        <r>
          <rPr>
            <sz val="9"/>
            <color indexed="81"/>
            <rFont val="Tahoma"/>
            <family val="2"/>
          </rPr>
          <t xml:space="preserve">
</t>
        </r>
      </text>
    </comment>
    <comment ref="K2496" authorId="0" shapeId="0" xr:uid="{382F0509-B81A-4ED1-8931-1EE1166E6D4F}">
      <text>
        <r>
          <rPr>
            <sz val="9"/>
            <color indexed="81"/>
            <rFont val="Tahoma"/>
            <family val="2"/>
          </rPr>
          <t>Two interacting galaxies, bridge connected.  One appears to be a polar ring galaxy</t>
        </r>
      </text>
    </comment>
    <comment ref="A2497" authorId="0" shapeId="0" xr:uid="{62C0D737-8EE3-49A4-9AD0-7B886BAD331C}">
      <text>
        <r>
          <rPr>
            <sz val="9"/>
            <color indexed="81"/>
            <rFont val="Tahoma"/>
            <family val="2"/>
          </rPr>
          <t xml:space="preserve">
</t>
        </r>
      </text>
    </comment>
    <comment ref="K2497" authorId="0" shapeId="0" xr:uid="{506CECB9-EDDA-4CBB-A6D3-C6D09FC1B0F7}">
      <text>
        <r>
          <rPr>
            <sz val="9"/>
            <color indexed="81"/>
            <rFont val="Tahoma"/>
            <family val="2"/>
          </rPr>
          <t>Oblong cluster that does not differentiate well from the background at the edges</t>
        </r>
      </text>
    </comment>
    <comment ref="A2498" authorId="0" shapeId="0" xr:uid="{54F96DCB-A6A1-487B-974F-E4D3BF9B61DD}">
      <text>
        <r>
          <rPr>
            <sz val="9"/>
            <color indexed="81"/>
            <rFont val="Tahoma"/>
            <family val="2"/>
          </rPr>
          <t xml:space="preserve">
</t>
        </r>
      </text>
    </comment>
    <comment ref="K2498" authorId="0" shapeId="0" xr:uid="{AD2E6E47-89E2-4629-BB39-6E5E259C10D3}">
      <text>
        <r>
          <rPr>
            <sz val="9"/>
            <color indexed="81"/>
            <rFont val="Tahoma"/>
            <family val="2"/>
          </rPr>
          <t>Trio of merging galaxies, with looping and extended star streams</t>
        </r>
      </text>
    </comment>
    <comment ref="A2499" authorId="0" shapeId="0" xr:uid="{2655D4D4-EFF1-4034-9A74-6F91BDCE2549}">
      <text>
        <r>
          <rPr>
            <sz val="9"/>
            <color indexed="81"/>
            <rFont val="Tahoma"/>
            <family val="2"/>
          </rPr>
          <t xml:space="preserve">
</t>
        </r>
      </text>
    </comment>
    <comment ref="K2499" authorId="0" shapeId="0" xr:uid="{2EB70967-04D7-46E0-BFED-E6D086AB7B1D}">
      <text>
        <r>
          <rPr>
            <sz val="9"/>
            <color indexed="81"/>
            <rFont val="Tahoma"/>
            <family val="2"/>
          </rPr>
          <t>Unusual galaxy with both inner and outer blue star formation disks</t>
        </r>
      </text>
    </comment>
    <comment ref="A2500" authorId="0" shapeId="0" xr:uid="{DC015141-0302-488D-9A38-D470DF7EDF10}">
      <text>
        <r>
          <rPr>
            <sz val="9"/>
            <color indexed="81"/>
            <rFont val="Tahoma"/>
            <family val="2"/>
          </rPr>
          <t xml:space="preserve">
</t>
        </r>
      </text>
    </comment>
    <comment ref="K2500" authorId="0" shapeId="0" xr:uid="{EBDF9A1F-33E1-4335-9272-695837DFF8E8}">
      <text>
        <r>
          <rPr>
            <sz val="9"/>
            <color indexed="81"/>
            <rFont val="Tahoma"/>
            <family val="2"/>
          </rPr>
          <t>Nearly face-on barred spiral with chaotic arm structure and slightly asymmetric disk</t>
        </r>
      </text>
    </comment>
    <comment ref="A2501" authorId="0" shapeId="0" xr:uid="{D8965834-24FC-412B-94C9-BE09B2EBA2FB}">
      <text>
        <r>
          <rPr>
            <sz val="9"/>
            <color indexed="81"/>
            <rFont val="Tahoma"/>
            <family val="2"/>
          </rPr>
          <t xml:space="preserve">
</t>
        </r>
      </text>
    </comment>
    <comment ref="K2501" authorId="0" shapeId="0" xr:uid="{75B2F5BE-D5F9-487A-9FCF-337A83F627B9}">
      <text>
        <r>
          <rPr>
            <sz val="9"/>
            <color indexed="81"/>
            <rFont val="Tahoma"/>
            <family val="2"/>
          </rPr>
          <t>Edge-on lenticular with dramatic dark silhouetted dust lane</t>
        </r>
      </text>
    </comment>
    <comment ref="A2502" authorId="0" shapeId="0" xr:uid="{C211699B-4BE1-44EF-9397-3DB7F7927607}">
      <text>
        <r>
          <rPr>
            <sz val="9"/>
            <color indexed="81"/>
            <rFont val="Tahoma"/>
            <family val="2"/>
          </rPr>
          <t xml:space="preserve">
</t>
        </r>
      </text>
    </comment>
    <comment ref="K2502" authorId="0" shapeId="0" xr:uid="{1C191748-3648-49ED-9C55-074FF1492A5E}">
      <text>
        <r>
          <rPr>
            <sz val="9"/>
            <color indexed="81"/>
            <rFont val="Tahoma"/>
            <family val="2"/>
          </rPr>
          <t>Trio of galaxies highlighted by NGC 7228, beautifully symmetric grand spiral</t>
        </r>
      </text>
    </comment>
    <comment ref="A2503" authorId="0" shapeId="0" xr:uid="{BA812986-0BDA-492B-B2A4-8A41F16A2A57}">
      <text>
        <r>
          <rPr>
            <sz val="9"/>
            <color indexed="81"/>
            <rFont val="Tahoma"/>
            <family val="2"/>
          </rPr>
          <t xml:space="preserve">
</t>
        </r>
      </text>
    </comment>
    <comment ref="K2503" authorId="0" shapeId="0" xr:uid="{A948140F-4646-49A5-A4B1-FDD667673F28}">
      <text>
        <r>
          <rPr>
            <sz val="9"/>
            <color indexed="81"/>
            <rFont val="Tahoma"/>
            <family val="2"/>
          </rPr>
          <t>Gorgeous mix of colors and star sizes</t>
        </r>
      </text>
    </comment>
    <comment ref="A2504" authorId="0" shapeId="0" xr:uid="{2589EDCC-23CF-4D71-AD9D-1F7D86F5F7FA}">
      <text>
        <r>
          <rPr>
            <sz val="9"/>
            <color indexed="81"/>
            <rFont val="Tahoma"/>
            <family val="2"/>
          </rPr>
          <t xml:space="preserve">
</t>
        </r>
      </text>
    </comment>
    <comment ref="K2504" authorId="0" shapeId="0" xr:uid="{AFA82042-75FF-4339-B323-22A39C8FE0D9}">
      <text>
        <r>
          <rPr>
            <sz val="9"/>
            <color indexed="81"/>
            <rFont val="Tahoma"/>
            <family val="2"/>
          </rPr>
          <t>Edge-on spiral with dramatic dust lane and unique bright blue star clouds in front of the core</t>
        </r>
      </text>
    </comment>
    <comment ref="A2505" authorId="0" shapeId="0" xr:uid="{6BFA416A-E572-4DC1-A6C9-65BC4DB8D521}">
      <text>
        <r>
          <rPr>
            <sz val="9"/>
            <color indexed="81"/>
            <rFont val="Tahoma"/>
            <family val="2"/>
          </rPr>
          <t xml:space="preserve">
</t>
        </r>
      </text>
    </comment>
    <comment ref="K2505" authorId="0" shapeId="0" xr:uid="{83B3AF65-94C5-4B3C-A6C6-BB91EA7758DE}">
      <text>
        <r>
          <rPr>
            <sz val="9"/>
            <color indexed="81"/>
            <rFont val="Tahoma"/>
            <family val="2"/>
          </rPr>
          <t>10 galaxy group highlighted by NGC 7242, a huge 220,000 ly diameter elliptical</t>
        </r>
      </text>
    </comment>
    <comment ref="A2506" authorId="0" shapeId="0" xr:uid="{02913DDE-2399-4600-A23A-93F912BB7E97}">
      <text>
        <r>
          <rPr>
            <sz val="9"/>
            <color indexed="81"/>
            <rFont val="Tahoma"/>
            <family val="2"/>
          </rPr>
          <t xml:space="preserve">
</t>
        </r>
      </text>
    </comment>
    <comment ref="K2506" authorId="0" shapeId="0" xr:uid="{4F9B5221-3CDC-4D6B-9EED-6C2759302ECE}">
      <text>
        <r>
          <rPr>
            <sz val="9"/>
            <color indexed="81"/>
            <rFont val="Tahoma"/>
            <family val="2"/>
          </rPr>
          <t>Sparse open cluster.  Surprising that it was selected as a Caldwell object</t>
        </r>
      </text>
    </comment>
    <comment ref="A2507" authorId="0" shapeId="0" xr:uid="{83724238-7F0B-490E-B6BD-B30E76B262A3}">
      <text>
        <r>
          <rPr>
            <sz val="9"/>
            <color indexed="81"/>
            <rFont val="Tahoma"/>
            <family val="2"/>
          </rPr>
          <t xml:space="preserve">
</t>
        </r>
      </text>
    </comment>
    <comment ref="K2507" authorId="0" shapeId="0" xr:uid="{23BEE20F-E30D-4E9A-9C62-3C456724D49B}">
      <text>
        <r>
          <rPr>
            <sz val="9"/>
            <color indexed="81"/>
            <rFont val="Tahoma"/>
            <family val="2"/>
          </rPr>
          <t>Clearly defined, fragmented arms</t>
        </r>
      </text>
    </comment>
    <comment ref="A2508" authorId="0" shapeId="0" xr:uid="{5B472D55-0493-4583-8B32-6B353ED91993}">
      <text>
        <r>
          <rPr>
            <sz val="9"/>
            <color indexed="81"/>
            <rFont val="Tahoma"/>
            <family val="2"/>
          </rPr>
          <t xml:space="preserve">
</t>
        </r>
      </text>
    </comment>
    <comment ref="K2508" authorId="0" shapeId="0" xr:uid="{B5657EAC-9B71-4C65-9C7A-FB703665B3B2}">
      <text>
        <r>
          <rPr>
            <sz val="9"/>
            <color indexed="81"/>
            <rFont val="Tahoma"/>
            <family val="2"/>
          </rPr>
          <t>Starburst Magellanic galaxy with bright blue star clouds</t>
        </r>
      </text>
    </comment>
    <comment ref="A2509" authorId="0" shapeId="0" xr:uid="{11DD0B3A-81F8-4960-99AB-DB5AF354338A}">
      <text>
        <r>
          <rPr>
            <sz val="9"/>
            <color indexed="81"/>
            <rFont val="Tahoma"/>
            <family val="2"/>
          </rPr>
          <t xml:space="preserve">
</t>
        </r>
      </text>
    </comment>
    <comment ref="K2509" authorId="0" shapeId="0" xr:uid="{E3251171-4894-4044-9CD6-EB746A178E6B}">
      <text>
        <r>
          <rPr>
            <sz val="9"/>
            <color indexed="81"/>
            <rFont val="Tahoma"/>
            <family val="2"/>
          </rPr>
          <t>Faint barlense across core, with pseudo-ring around it.  Arms extend counterclockwise for 1 revolution with VV rows</t>
        </r>
      </text>
    </comment>
    <comment ref="A2510" authorId="0" shapeId="0" xr:uid="{4152F0AC-1856-417E-8948-B17F4B4B36FF}">
      <text>
        <r>
          <rPr>
            <sz val="9"/>
            <color indexed="81"/>
            <rFont val="Tahoma"/>
            <family val="2"/>
          </rPr>
          <t xml:space="preserve">
</t>
        </r>
      </text>
    </comment>
    <comment ref="K2510" authorId="0" shapeId="0" xr:uid="{CAB33B58-A031-4DD6-ADD1-1B8E4F970395}">
      <text>
        <r>
          <rPr>
            <sz val="9"/>
            <color indexed="81"/>
            <rFont val="Tahoma"/>
            <family val="2"/>
          </rPr>
          <t>6 galaxy group highlighted by NGC 7265, a large lenticular with 3 distinct brightness zones</t>
        </r>
      </text>
    </comment>
    <comment ref="A2511" authorId="0" shapeId="0" xr:uid="{FAA30096-E5AE-4A72-8DF5-211AFBA3101C}">
      <text>
        <r>
          <rPr>
            <sz val="9"/>
            <color indexed="81"/>
            <rFont val="Tahoma"/>
            <family val="2"/>
          </rPr>
          <t xml:space="preserve">
</t>
        </r>
      </text>
    </comment>
    <comment ref="K2511" authorId="0" shapeId="0" xr:uid="{7FFD5E27-8E55-44C3-BD0A-FA24106D6CB8}">
      <text>
        <r>
          <rPr>
            <sz val="9"/>
            <color indexed="81"/>
            <rFont val="Tahoma"/>
            <family val="2"/>
          </rPr>
          <t>Barred spiral with mid-region pseudo-ring and left side of disk disturbed</t>
        </r>
      </text>
    </comment>
    <comment ref="A2512" authorId="0" shapeId="0" xr:uid="{5241EC4E-502F-4744-9591-AC16CCF61A5D}">
      <text>
        <r>
          <rPr>
            <sz val="9"/>
            <color indexed="81"/>
            <rFont val="Tahoma"/>
            <family val="2"/>
          </rPr>
          <t xml:space="preserve">
</t>
        </r>
      </text>
    </comment>
    <comment ref="K2512" authorId="0" shapeId="0" xr:uid="{DC59984D-B1C4-4182-A069-184E5E04CE8A}">
      <text>
        <r>
          <rPr>
            <sz val="9"/>
            <color indexed="81"/>
            <rFont val="Tahoma"/>
            <family val="2"/>
          </rPr>
          <t>Small face-on Magellanic galaxy</t>
        </r>
      </text>
    </comment>
    <comment ref="A2513" authorId="0" shapeId="0" xr:uid="{A31CE992-17C5-4E53-828A-BE21C0835B04}">
      <text>
        <r>
          <rPr>
            <sz val="9"/>
            <color indexed="81"/>
            <rFont val="Tahoma"/>
            <family val="2"/>
          </rPr>
          <t xml:space="preserve">
</t>
        </r>
      </text>
    </comment>
    <comment ref="K2513" authorId="0" shapeId="0" xr:uid="{3C1340D3-5129-4CD8-87B7-85354002753E}">
      <text>
        <r>
          <rPr>
            <sz val="9"/>
            <color indexed="81"/>
            <rFont val="Tahoma"/>
            <family val="2"/>
          </rPr>
          <t>Showcase Helix nebula, one of the closest PN to earth.  Radial filaments point back to progenitor</t>
        </r>
      </text>
    </comment>
    <comment ref="A2514" authorId="0" shapeId="0" xr:uid="{76672A1C-CADC-456B-AB2F-56D22B9C2B88}">
      <text>
        <r>
          <rPr>
            <sz val="9"/>
            <color indexed="81"/>
            <rFont val="Tahoma"/>
            <family val="2"/>
          </rPr>
          <t xml:space="preserve">
</t>
        </r>
      </text>
    </comment>
    <comment ref="K2514" authorId="0" shapeId="0" xr:uid="{E06B5E01-8184-4278-83CE-4BB9B94D1C0C}">
      <text>
        <r>
          <rPr>
            <sz val="9"/>
            <color indexed="81"/>
            <rFont val="Tahoma"/>
            <family val="2"/>
          </rPr>
          <t>Triangle shaped open cluster in Lacerta</t>
        </r>
      </text>
    </comment>
    <comment ref="A2515" authorId="0" shapeId="0" xr:uid="{210572B2-EC55-4F21-B4F7-07959526F2BE}">
      <text>
        <r>
          <rPr>
            <sz val="9"/>
            <color indexed="81"/>
            <rFont val="Tahoma"/>
            <family val="2"/>
          </rPr>
          <t xml:space="preserve">
</t>
        </r>
      </text>
    </comment>
    <comment ref="K2515" authorId="0" shapeId="0" xr:uid="{5852C4F7-4AA8-48BF-B552-18C32B21343D}">
      <text>
        <r>
          <rPr>
            <sz val="9"/>
            <color indexed="81"/>
            <rFont val="Tahoma"/>
            <family val="2"/>
          </rPr>
          <t>Barred offset core, disturbed disk, dust lanes in top half of disk</t>
        </r>
      </text>
    </comment>
    <comment ref="A2516" authorId="0" shapeId="0" xr:uid="{8D723B04-9A05-415B-99FF-BCE05F76A123}">
      <text>
        <r>
          <rPr>
            <sz val="9"/>
            <color indexed="81"/>
            <rFont val="Tahoma"/>
            <family val="2"/>
          </rPr>
          <t xml:space="preserve">
</t>
        </r>
      </text>
    </comment>
    <comment ref="K2516" authorId="0" shapeId="0" xr:uid="{18A81721-84F6-4393-8EE7-48BF92A9824F}">
      <text>
        <r>
          <rPr>
            <sz val="9"/>
            <color indexed="81"/>
            <rFont val="Tahoma"/>
            <family val="2"/>
          </rPr>
          <t>Unusual arm structure - 3 primary arms and 3 secondary arms</t>
        </r>
      </text>
    </comment>
    <comment ref="A2517" authorId="0" shapeId="0" xr:uid="{B954220A-C037-40CE-954A-F8952611050D}">
      <text>
        <r>
          <rPr>
            <sz val="9"/>
            <color indexed="81"/>
            <rFont val="Tahoma"/>
            <family val="2"/>
          </rPr>
          <t xml:space="preserve">
</t>
        </r>
      </text>
    </comment>
    <comment ref="K2517" authorId="0" shapeId="0" xr:uid="{3282431E-2214-42C5-99FE-094805E189D2}">
      <text>
        <r>
          <rPr>
            <sz val="9"/>
            <color indexed="81"/>
            <rFont val="Tahoma"/>
            <family val="2"/>
          </rPr>
          <t>Disturbed barred ring spiral, with faint bar, pseudo-ring around inner region, and star clouds throughout</t>
        </r>
      </text>
    </comment>
    <comment ref="A2518" authorId="0" shapeId="0" xr:uid="{E0F25D19-07BD-4B3F-999F-26F8FE93A9E8}">
      <text>
        <r>
          <rPr>
            <sz val="9"/>
            <color indexed="81"/>
            <rFont val="Tahoma"/>
            <family val="2"/>
          </rPr>
          <t xml:space="preserve">
</t>
        </r>
      </text>
    </comment>
    <comment ref="K2518" authorId="0" shapeId="0" xr:uid="{E1685141-4382-46C2-B040-93BC664FA548}">
      <text>
        <r>
          <rPr>
            <sz val="9"/>
            <color indexed="81"/>
            <rFont val="Tahoma"/>
            <family val="2"/>
          </rPr>
          <t>One of the brightest non-Messier galaxies.  Tightly coiled arms, small offset core with little bulge, and flocculent outer disk</t>
        </r>
      </text>
    </comment>
    <comment ref="A2519" authorId="0" shapeId="0" xr:uid="{09012965-7951-4938-A491-F6BF9AA61BE4}">
      <text>
        <r>
          <rPr>
            <sz val="9"/>
            <color indexed="81"/>
            <rFont val="Tahoma"/>
            <family val="2"/>
          </rPr>
          <t xml:space="preserve">
</t>
        </r>
      </text>
    </comment>
    <comment ref="K2519" authorId="0" shapeId="0" xr:uid="{CBD99782-1E16-4A56-AD6D-248B94048539}">
      <text>
        <r>
          <rPr>
            <sz val="9"/>
            <color indexed="81"/>
            <rFont val="Tahoma"/>
            <family val="2"/>
          </rPr>
          <t>Bright edge-on galaxy with peanut shaped core (barlense).  No dust lanes.  Nice pairing with NGC7339</t>
        </r>
      </text>
    </comment>
    <comment ref="A2520" authorId="0" shapeId="0" xr:uid="{5875B971-19D4-4F3D-BF32-D9405E386844}">
      <text>
        <r>
          <rPr>
            <sz val="9"/>
            <color indexed="81"/>
            <rFont val="Tahoma"/>
            <family val="2"/>
          </rPr>
          <t xml:space="preserve">
</t>
        </r>
      </text>
    </comment>
    <comment ref="K2520" authorId="0" shapeId="0" xr:uid="{84766429-433C-4D19-888E-083189CDD144}">
      <text>
        <r>
          <rPr>
            <sz val="9"/>
            <color indexed="81"/>
            <rFont val="Tahoma"/>
            <family val="2"/>
          </rPr>
          <t>Bright white ring surrounds core, with fascinating dust lanes.  Nice pairing with NGC 7332</t>
        </r>
      </text>
    </comment>
    <comment ref="A2521" authorId="0" shapeId="0" xr:uid="{2A72B53A-1380-4ADF-BEB4-3F07389C3AFC}">
      <text>
        <r>
          <rPr>
            <sz val="9"/>
            <color indexed="81"/>
            <rFont val="Tahoma"/>
            <family val="2"/>
          </rPr>
          <t xml:space="preserve">
</t>
        </r>
      </text>
    </comment>
    <comment ref="K2521" authorId="0" shapeId="0" xr:uid="{6D7541B6-BFD6-4CD5-9A75-AD9633D67774}">
      <text>
        <r>
          <rPr>
            <sz val="9"/>
            <color indexed="81"/>
            <rFont val="Tahoma"/>
            <family val="2"/>
          </rPr>
          <t>Distant group of 6 galaxies in Pegasus</t>
        </r>
      </text>
    </comment>
    <comment ref="A2522" authorId="0" shapeId="0" xr:uid="{EF18D96F-4906-4D14-99B1-74E8E3D00646}">
      <text>
        <r>
          <rPr>
            <sz val="9"/>
            <color indexed="81"/>
            <rFont val="Tahoma"/>
            <family val="2"/>
          </rPr>
          <t xml:space="preserve">
</t>
        </r>
      </text>
    </comment>
    <comment ref="K2522" authorId="0" shapeId="0" xr:uid="{094B25FB-C128-4437-8734-17C21EAADE7E}">
      <text>
        <r>
          <rPr>
            <sz val="9"/>
            <color indexed="81"/>
            <rFont val="Tahoma"/>
            <family val="2"/>
          </rPr>
          <t>Similar to NGC 6891, this OIII PN has dim white progenitor, bright elliptical inner football shell, and circular outer shell.</t>
        </r>
      </text>
    </comment>
    <comment ref="A2523" authorId="0" shapeId="0" xr:uid="{766EBFA8-BF2C-42BA-84DB-9C71B020A296}">
      <text>
        <r>
          <rPr>
            <sz val="9"/>
            <color indexed="81"/>
            <rFont val="Tahoma"/>
            <family val="2"/>
          </rPr>
          <t xml:space="preserve">
</t>
        </r>
      </text>
    </comment>
    <comment ref="K2523" authorId="0" shapeId="0" xr:uid="{E661BBFB-5805-4B51-B54E-9D257392A9A7}">
      <text>
        <r>
          <rPr>
            <sz val="9"/>
            <color indexed="81"/>
            <rFont val="Tahoma"/>
            <family val="2"/>
          </rPr>
          <t>Faint edge-on galaxy with little definition</t>
        </r>
      </text>
    </comment>
    <comment ref="A2524" authorId="0" shapeId="0" xr:uid="{C6F901AD-DBF9-40F1-B556-2BB190804391}">
      <text>
        <r>
          <rPr>
            <sz val="9"/>
            <color indexed="81"/>
            <rFont val="Tahoma"/>
            <family val="2"/>
          </rPr>
          <t xml:space="preserve">
</t>
        </r>
      </text>
    </comment>
    <comment ref="K2524" authorId="0" shapeId="0" xr:uid="{63BB5EF1-88C5-4E1C-BF7D-4E769F79BCE2}">
      <text>
        <r>
          <rPr>
            <sz val="9"/>
            <color indexed="81"/>
            <rFont val="Tahoma"/>
            <family val="2"/>
          </rPr>
          <t>Lenticular with faint star streams</t>
        </r>
      </text>
    </comment>
    <comment ref="A2525" authorId="0" shapeId="0" xr:uid="{C23E367D-7DEA-4DCC-AA05-9739D37BCF10}">
      <text>
        <r>
          <rPr>
            <sz val="9"/>
            <color indexed="81"/>
            <rFont val="Tahoma"/>
            <family val="2"/>
          </rPr>
          <t xml:space="preserve">
</t>
        </r>
      </text>
    </comment>
    <comment ref="K2525" authorId="0" shapeId="0" xr:uid="{658605B2-1EF6-476A-B94A-91BF1C392FA1}">
      <text>
        <r>
          <rPr>
            <sz val="9"/>
            <color indexed="81"/>
            <rFont val="Tahoma"/>
            <family val="2"/>
          </rPr>
          <t>Wizard Nebula, with SHO emission nebula, dust clouds and pillars, and bright open cluster</t>
        </r>
      </text>
    </comment>
    <comment ref="A2526" authorId="0" shapeId="0" xr:uid="{DCC49244-E97E-4380-AB50-89E08AED7E65}">
      <text>
        <r>
          <rPr>
            <sz val="9"/>
            <color indexed="81"/>
            <rFont val="Tahoma"/>
            <family val="2"/>
          </rPr>
          <t xml:space="preserve">
</t>
        </r>
      </text>
    </comment>
    <comment ref="K2526" authorId="0" shapeId="0" xr:uid="{E8B3E17C-EB96-41F6-BD5D-AF95FE31716C}">
      <text>
        <r>
          <rPr>
            <sz val="9"/>
            <color indexed="81"/>
            <rFont val="Tahoma"/>
            <family val="2"/>
          </rPr>
          <t>Group of 8 galaxies anchored by NGC 7385, a large 225,000 ly diameter elliptical</t>
        </r>
      </text>
    </comment>
    <comment ref="A2527" authorId="0" shapeId="0" xr:uid="{2D9BA571-359D-4092-B068-7F16A917D6D0}">
      <text>
        <r>
          <rPr>
            <sz val="9"/>
            <color indexed="81"/>
            <rFont val="Tahoma"/>
            <family val="2"/>
          </rPr>
          <t xml:space="preserve">
</t>
        </r>
      </text>
    </comment>
    <comment ref="K2527" authorId="0" shapeId="0" xr:uid="{E0CFA499-CA4D-4CED-A1D4-D27CA4169F06}">
      <text>
        <r>
          <rPr>
            <sz val="9"/>
            <color indexed="81"/>
            <rFont val="Tahoma"/>
            <family val="2"/>
          </rPr>
          <t>One of the highest numbers of red supergiants (5) of any open cluster</t>
        </r>
      </text>
    </comment>
    <comment ref="A2528" authorId="0" shapeId="0" xr:uid="{C81E92EC-EE89-4B6D-9DAE-C2C855DB730C}">
      <text>
        <r>
          <rPr>
            <sz val="9"/>
            <color indexed="81"/>
            <rFont val="Tahoma"/>
            <family val="2"/>
          </rPr>
          <t xml:space="preserve">
</t>
        </r>
      </text>
    </comment>
    <comment ref="K2528" authorId="0" shapeId="0" xr:uid="{E94A0907-7A0D-4B67-9C23-D2AB7838E7FF}">
      <text>
        <r>
          <rPr>
            <sz val="9"/>
            <color indexed="81"/>
            <rFont val="Tahoma"/>
            <family val="2"/>
          </rPr>
          <t>Barred face-on grand spiral with strong bar, bright star clouds, 2 strong arms, and numerous short curvy arms</t>
        </r>
      </text>
    </comment>
    <comment ref="A2529" authorId="0" shapeId="0" xr:uid="{09D69E19-C276-4C08-93B0-9FA5F404B3DD}">
      <text>
        <r>
          <rPr>
            <sz val="9"/>
            <color indexed="81"/>
            <rFont val="Tahoma"/>
            <family val="2"/>
          </rPr>
          <t xml:space="preserve">
</t>
        </r>
      </text>
    </comment>
    <comment ref="K2529" authorId="0" shapeId="0" xr:uid="{C14ACFA7-FC36-4A29-9ECF-0732812A9741}">
      <text>
        <r>
          <rPr>
            <sz val="9"/>
            <color indexed="81"/>
            <rFont val="Tahoma"/>
            <family val="2"/>
          </rPr>
          <t>Barred double ring galaxy</t>
        </r>
      </text>
    </comment>
    <comment ref="A2530" authorId="0" shapeId="0" xr:uid="{C815CA17-2B24-4420-9C68-D4DA3E9E9FC7}">
      <text>
        <r>
          <rPr>
            <sz val="9"/>
            <color indexed="81"/>
            <rFont val="Tahoma"/>
            <family val="2"/>
          </rPr>
          <t xml:space="preserve">
</t>
        </r>
      </text>
    </comment>
    <comment ref="K2530" authorId="0" shapeId="0" xr:uid="{4379198E-2485-4BEF-BFFA-C5C05F992952}">
      <text>
        <r>
          <rPr>
            <sz val="9"/>
            <color indexed="81"/>
            <rFont val="Tahoma"/>
            <family val="2"/>
          </rPr>
          <t>6 galaxy group anchored by NGC 7436, a large elliptical.</t>
        </r>
      </text>
    </comment>
    <comment ref="A2531" authorId="0" shapeId="0" xr:uid="{EA961C6D-6BCD-4C8B-822E-9A9662B0F47E}">
      <text>
        <r>
          <rPr>
            <sz val="9"/>
            <color indexed="81"/>
            <rFont val="Tahoma"/>
            <family val="2"/>
          </rPr>
          <t xml:space="preserve">
</t>
        </r>
      </text>
    </comment>
    <comment ref="K2531" authorId="0" shapeId="0" xr:uid="{D8866E9F-2DFF-4695-89D7-47D8EF8310FD}">
      <text>
        <r>
          <rPr>
            <sz val="9"/>
            <color indexed="81"/>
            <rFont val="Tahoma"/>
            <family val="2"/>
          </rPr>
          <t>Chaotic LSB face-on spiral with 2 primary arms, many blue star clouds, HII regions, and arm fragments</t>
        </r>
      </text>
    </comment>
    <comment ref="A2532" authorId="0" shapeId="0" xr:uid="{0C18220B-3D36-4A8E-AA9F-C13F8204CB33}">
      <text>
        <r>
          <rPr>
            <sz val="9"/>
            <color indexed="81"/>
            <rFont val="Tahoma"/>
            <family val="2"/>
          </rPr>
          <t xml:space="preserve">
</t>
        </r>
      </text>
    </comment>
    <comment ref="K2532" authorId="0" shapeId="0" xr:uid="{9BE31856-D8B9-40FF-BB46-D0C7E19AF908}">
      <text>
        <r>
          <rPr>
            <sz val="9"/>
            <color indexed="81"/>
            <rFont val="Tahoma"/>
            <family val="2"/>
          </rPr>
          <t>Lenticular with some extragalactic globular clusters faintly visible</t>
        </r>
      </text>
    </comment>
    <comment ref="A2533" authorId="0" shapeId="0" xr:uid="{F943CAB2-D4A4-4E77-B2A0-B5063B260830}">
      <text>
        <r>
          <rPr>
            <sz val="9"/>
            <color indexed="81"/>
            <rFont val="Tahoma"/>
            <family val="2"/>
          </rPr>
          <t xml:space="preserve">
</t>
        </r>
      </text>
    </comment>
    <comment ref="K2533" authorId="0" shapeId="0" xr:uid="{40E8A54E-2CC3-473D-A97C-91CA47C04DB7}">
      <text>
        <r>
          <rPr>
            <sz val="9"/>
            <color indexed="81"/>
            <rFont val="Tahoma"/>
            <family val="2"/>
          </rPr>
          <t>Edge-on spiral with wavy disk</t>
        </r>
      </text>
    </comment>
    <comment ref="A2534" authorId="0" shapeId="0" xr:uid="{A3217E8F-3C0C-426A-B56B-C7D4BCC03BA4}">
      <text>
        <r>
          <rPr>
            <sz val="9"/>
            <color indexed="81"/>
            <rFont val="Tahoma"/>
            <family val="2"/>
          </rPr>
          <t xml:space="preserve">
</t>
        </r>
      </text>
    </comment>
    <comment ref="K2534" authorId="0" shapeId="0" xr:uid="{8D8966C8-57A8-4A06-9DCF-95DC2173D6C2}">
      <text>
        <r>
          <rPr>
            <sz val="9"/>
            <color indexed="81"/>
            <rFont val="Tahoma"/>
            <family val="2"/>
          </rPr>
          <t>Barred grand spiral with distorted arms.  Part of a pleasing trio</t>
        </r>
      </text>
    </comment>
    <comment ref="A2535" authorId="0" shapeId="0" xr:uid="{F81A4619-64B9-4B81-A3F4-62F0AFE1A026}">
      <text>
        <r>
          <rPr>
            <sz val="9"/>
            <color indexed="81"/>
            <rFont val="Tahoma"/>
            <family val="2"/>
          </rPr>
          <t xml:space="preserve">
</t>
        </r>
      </text>
    </comment>
    <comment ref="K2535" authorId="0" shapeId="0" xr:uid="{091C2F40-BCF4-4B94-9A32-3DF1B75AB168}">
      <text>
        <r>
          <rPr>
            <sz val="9"/>
            <color indexed="81"/>
            <rFont val="Tahoma"/>
            <family val="2"/>
          </rPr>
          <t>Asymmetric barred spiral with amazing arm structure, including star clouds, dust lanes, and VV rows</t>
        </r>
      </text>
    </comment>
    <comment ref="A2536" authorId="0" shapeId="0" xr:uid="{51B92970-D2A2-4662-AC43-2C721D3AEA2C}">
      <text>
        <r>
          <rPr>
            <sz val="9"/>
            <color indexed="81"/>
            <rFont val="Tahoma"/>
            <family val="2"/>
          </rPr>
          <t xml:space="preserve">
</t>
        </r>
      </text>
    </comment>
    <comment ref="K2536" authorId="0" shapeId="0" xr:uid="{56F12A7F-8C8C-44DF-943E-131E3E88D633}">
      <text>
        <r>
          <rPr>
            <sz val="9"/>
            <color indexed="81"/>
            <rFont val="Tahoma"/>
            <family val="2"/>
          </rPr>
          <t>Spiral with chaotic arm structure and VV rows.  Nice pairing with IC5285</t>
        </r>
      </text>
    </comment>
    <comment ref="A2537" authorId="0" shapeId="0" xr:uid="{885C413B-0180-442C-8A43-C4F344F9FCE9}">
      <text>
        <r>
          <rPr>
            <sz val="9"/>
            <color indexed="81"/>
            <rFont val="Tahoma"/>
            <family val="2"/>
          </rPr>
          <t xml:space="preserve">
</t>
        </r>
      </text>
    </comment>
    <comment ref="K2537" authorId="0" shapeId="0" xr:uid="{06AD22E6-81A0-4E10-9CA2-D2147E14A6B1}">
      <text>
        <r>
          <rPr>
            <sz val="9"/>
            <color indexed="81"/>
            <rFont val="Tahoma"/>
            <family val="2"/>
          </rPr>
          <t>Large face-on grand design galaxy with VV rows and possible companion</t>
        </r>
      </text>
    </comment>
    <comment ref="A2538" authorId="0" shapeId="0" xr:uid="{B9D41234-26FD-42DD-8318-550D7AE835EA}">
      <text>
        <r>
          <rPr>
            <sz val="9"/>
            <color indexed="81"/>
            <rFont val="Tahoma"/>
            <family val="2"/>
          </rPr>
          <t xml:space="preserve">
</t>
        </r>
      </text>
    </comment>
    <comment ref="K2538" authorId="0" shapeId="0" xr:uid="{02D628A0-04D2-4122-B7FD-6C52CB96271E}">
      <text>
        <r>
          <rPr>
            <sz val="9"/>
            <color indexed="81"/>
            <rFont val="Tahoma"/>
            <family val="2"/>
          </rPr>
          <t>With the sparest concentration rating of XII, this looks more like an open cluster than the globular that it is</t>
        </r>
      </text>
    </comment>
    <comment ref="A2539" authorId="0" shapeId="0" xr:uid="{B5896B04-64C7-4CF7-9486-D5D45ED0F400}">
      <text>
        <r>
          <rPr>
            <sz val="9"/>
            <color indexed="81"/>
            <rFont val="Tahoma"/>
            <family val="2"/>
          </rPr>
          <t xml:space="preserve">
</t>
        </r>
      </text>
    </comment>
    <comment ref="K2539" authorId="0" shapeId="0" xr:uid="{2014E85B-2DD5-4C99-BC74-E8751EA72EA2}">
      <text>
        <r>
          <rPr>
            <sz val="9"/>
            <color indexed="81"/>
            <rFont val="Tahoma"/>
            <family val="2"/>
          </rPr>
          <t>Spiral, almost edge-on, with offset core and some deformation, set in an amazing galactic cirrus field</t>
        </r>
      </text>
    </comment>
    <comment ref="A2540" authorId="0" shapeId="0" xr:uid="{3AB61383-274A-47C0-8F70-D34B3F9BFA84}">
      <text>
        <r>
          <rPr>
            <sz val="9"/>
            <color indexed="81"/>
            <rFont val="Tahoma"/>
            <family val="2"/>
          </rPr>
          <t xml:space="preserve">
</t>
        </r>
      </text>
    </comment>
    <comment ref="K2540" authorId="0" shapeId="0" xr:uid="{FE2D4914-BC13-445A-865D-3E9D925858AC}">
      <text>
        <r>
          <rPr>
            <sz val="9"/>
            <color indexed="81"/>
            <rFont val="Tahoma"/>
            <family val="2"/>
          </rPr>
          <t>Cluster of 50 galaxies in small 8' diameter, anchored by 3 large ellipticals led by the 300,000 ly diameter NGC7499</t>
        </r>
      </text>
    </comment>
    <comment ref="A2541" authorId="0" shapeId="0" xr:uid="{2E9C2B1B-A8AD-465B-A1BC-D8E5E5A6DEE4}">
      <text>
        <r>
          <rPr>
            <sz val="9"/>
            <color indexed="81"/>
            <rFont val="Tahoma"/>
            <family val="2"/>
          </rPr>
          <t xml:space="preserve">
</t>
        </r>
      </text>
    </comment>
    <comment ref="K2541" authorId="0" shapeId="0" xr:uid="{FC882181-4450-4D01-9FFF-C3C30C57E53C}">
      <text>
        <r>
          <rPr>
            <sz val="9"/>
            <color indexed="81"/>
            <rFont val="Tahoma"/>
            <family val="2"/>
          </rPr>
          <t>Appealing wedge-shaped open cluster with variety of colors and sizes</t>
        </r>
      </text>
    </comment>
    <comment ref="A2542" authorId="0" shapeId="0" xr:uid="{E3D9F694-CFE3-48B1-A9B2-716BA7BA3731}">
      <text>
        <r>
          <rPr>
            <sz val="9"/>
            <color indexed="81"/>
            <rFont val="Tahoma"/>
            <family val="2"/>
          </rPr>
          <t xml:space="preserve">
</t>
        </r>
      </text>
    </comment>
    <comment ref="K2542" authorId="0" shapeId="0" xr:uid="{72CDF26D-8DCA-44A5-888C-088388506362}">
      <text>
        <r>
          <rPr>
            <sz val="9"/>
            <color indexed="81"/>
            <rFont val="Tahoma"/>
            <family val="2"/>
          </rPr>
          <t>Barred spiral with pseudo-ring, wacky arm fragments, and outer arms that terminate in star plumes.  Image with UGC 12423</t>
        </r>
      </text>
    </comment>
    <comment ref="A2543" authorId="0" shapeId="0" xr:uid="{E2F44382-7230-4524-9643-19D4D377F55D}">
      <text>
        <r>
          <rPr>
            <sz val="9"/>
            <color indexed="81"/>
            <rFont val="Tahoma"/>
            <family val="2"/>
          </rPr>
          <t xml:space="preserve">
</t>
        </r>
      </text>
    </comment>
    <comment ref="K2543" authorId="0" shapeId="0" xr:uid="{311FDF41-A3CC-41D8-9781-FD2CE4A1BE8B}">
      <text>
        <r>
          <rPr>
            <sz val="9"/>
            <color indexed="81"/>
            <rFont val="Tahoma"/>
            <family val="2"/>
          </rPr>
          <t>Lovely pair, with 2 spirals that have good color and differences in structure</t>
        </r>
      </text>
    </comment>
    <comment ref="A2544" authorId="0" shapeId="0" xr:uid="{1F47404E-043E-49F6-B637-BC7FD5AB7D70}">
      <text>
        <r>
          <rPr>
            <sz val="9"/>
            <color indexed="81"/>
            <rFont val="Tahoma"/>
            <family val="2"/>
          </rPr>
          <t xml:space="preserve">
</t>
        </r>
      </text>
    </comment>
    <comment ref="K2544" authorId="0" shapeId="0" xr:uid="{C9D93C4D-2177-4DED-983F-63A18703F7FA}">
      <text>
        <r>
          <rPr>
            <sz val="9"/>
            <color indexed="81"/>
            <rFont val="Tahoma"/>
            <family val="2"/>
          </rPr>
          <t>Small group of 4 galaxies, anchored by the large elliptical NGC 7562</t>
        </r>
      </text>
    </comment>
    <comment ref="A2545" authorId="0" shapeId="0" xr:uid="{BE9946C0-9736-48E6-92CA-D4E681A139E9}">
      <text>
        <r>
          <rPr>
            <sz val="9"/>
            <color indexed="81"/>
            <rFont val="Tahoma"/>
            <family val="2"/>
          </rPr>
          <t xml:space="preserve">
</t>
        </r>
      </text>
    </comment>
    <comment ref="K2545" authorId="0" shapeId="0" xr:uid="{5199E285-276F-4B0A-8792-2DB75665CC6E}">
      <text>
        <r>
          <rPr>
            <sz val="9"/>
            <color indexed="81"/>
            <rFont val="Tahoma"/>
            <family val="2"/>
          </rPr>
          <t>5 galaxy group anchored by the only NGC object, NGC 7567.  The other 4 galaxies include mergers, rings &amp; grand spirals.</t>
        </r>
      </text>
    </comment>
    <comment ref="A2546" authorId="0" shapeId="0" xr:uid="{040769BD-5150-439E-AF06-0787511932FA}">
      <text>
        <r>
          <rPr>
            <sz val="9"/>
            <color indexed="81"/>
            <rFont val="Tahoma"/>
            <family val="2"/>
          </rPr>
          <t xml:space="preserve">
</t>
        </r>
      </text>
    </comment>
    <comment ref="K2546" authorId="0" shapeId="0" xr:uid="{AA328958-FBC1-4ABE-A2F3-C3CABD449AC5}">
      <text>
        <r>
          <rPr>
            <sz val="9"/>
            <color indexed="81"/>
            <rFont val="Tahoma"/>
            <family val="2"/>
          </rPr>
          <t>Merger with one coalesced core and multiple tails, similar to NGC6240</t>
        </r>
      </text>
    </comment>
    <comment ref="A2547" authorId="0" shapeId="0" xr:uid="{03FF7D3D-4AFF-4530-B1D1-ED7BBB8E6AED}">
      <text>
        <r>
          <rPr>
            <sz val="9"/>
            <color indexed="81"/>
            <rFont val="Tahoma"/>
            <family val="2"/>
          </rPr>
          <t xml:space="preserve">
</t>
        </r>
      </text>
    </comment>
    <comment ref="K2547" authorId="0" shapeId="0" xr:uid="{CD42ADEA-0A33-46AF-BC96-B49AE711745F}">
      <text>
        <r>
          <rPr>
            <sz val="9"/>
            <color indexed="81"/>
            <rFont val="Tahoma"/>
            <family val="2"/>
          </rPr>
          <t xml:space="preserve">3 large spirals in close proximity (within 1/3 degree).  </t>
        </r>
      </text>
    </comment>
    <comment ref="A2548" authorId="0" shapeId="0" xr:uid="{338E539A-3C8E-482B-B70C-61BF35C872D0}">
      <text>
        <r>
          <rPr>
            <sz val="9"/>
            <color indexed="81"/>
            <rFont val="Tahoma"/>
            <family val="2"/>
          </rPr>
          <t xml:space="preserve">
</t>
        </r>
      </text>
    </comment>
    <comment ref="K2548" authorId="0" shapeId="0" xr:uid="{12CF29E3-96A2-410A-997E-1A643220BBAF}">
      <text>
        <r>
          <rPr>
            <sz val="9"/>
            <color indexed="81"/>
            <rFont val="Tahoma"/>
            <family val="2"/>
          </rPr>
          <t>Large (200 ly diameter) Seyfert spiral with bright inner disk and dim outer disk</t>
        </r>
      </text>
    </comment>
    <comment ref="A2549" authorId="0" shapeId="0" xr:uid="{7ABC6A12-AE14-4B49-9636-9BA84EF31722}">
      <text>
        <r>
          <rPr>
            <sz val="9"/>
            <color indexed="81"/>
            <rFont val="Tahoma"/>
            <family val="2"/>
          </rPr>
          <t xml:space="preserve">
</t>
        </r>
      </text>
    </comment>
    <comment ref="K2549" authorId="0" shapeId="0" xr:uid="{4B619BC4-ED06-49DC-B173-DF6433E5E033}">
      <text>
        <r>
          <rPr>
            <sz val="9"/>
            <color indexed="81"/>
            <rFont val="Tahoma"/>
            <family val="2"/>
          </rPr>
          <t>Seyfert grand design spiral.  2 strong arms and chaotic rest of outer disk.  Companion influence likely</t>
        </r>
      </text>
    </comment>
    <comment ref="A2550" authorId="0" shapeId="0" xr:uid="{DEB8AACA-F2A4-4CA4-B007-9D6AF7FAFC06}">
      <text>
        <r>
          <rPr>
            <sz val="9"/>
            <color indexed="81"/>
            <rFont val="Tahoma"/>
            <family val="2"/>
          </rPr>
          <t xml:space="preserve">
</t>
        </r>
      </text>
    </comment>
    <comment ref="K2550" authorId="0" shapeId="0" xr:uid="{0CDF0CFD-5179-4581-81E2-B0FB0C08C399}">
      <text>
        <r>
          <rPr>
            <sz val="9"/>
            <color indexed="81"/>
            <rFont val="Tahoma"/>
            <family val="2"/>
          </rPr>
          <t>Merger with 2 distinct cores and dual long star stream tails</t>
        </r>
      </text>
    </comment>
    <comment ref="A2551" authorId="0" shapeId="0" xr:uid="{A22948D2-B1D0-4BD8-B939-B3395DB3EC3C}">
      <text>
        <r>
          <rPr>
            <sz val="9"/>
            <color indexed="81"/>
            <rFont val="Tahoma"/>
            <family val="2"/>
          </rPr>
          <t xml:space="preserve">
</t>
        </r>
      </text>
    </comment>
    <comment ref="K2551" authorId="0" shapeId="0" xr:uid="{1FD28B3C-D904-49F0-97D8-CFB66160DEF8}">
      <text>
        <r>
          <rPr>
            <sz val="9"/>
            <color indexed="81"/>
            <rFont val="Tahoma"/>
            <family val="2"/>
          </rPr>
          <t>4 galaxies, anchored by huge NGC 7594, a lovely grand spiral 200,000 ly in diameter</t>
        </r>
      </text>
    </comment>
    <comment ref="A2552" authorId="0" shapeId="0" xr:uid="{C68CDE1A-1215-4E76-A35E-A34B9A4F92BC}">
      <text>
        <r>
          <rPr>
            <sz val="9"/>
            <color indexed="81"/>
            <rFont val="Tahoma"/>
            <family val="2"/>
          </rPr>
          <t xml:space="preserve">
</t>
        </r>
      </text>
    </comment>
    <comment ref="K2552" authorId="0" shapeId="0" xr:uid="{8784D518-ACB1-470E-9CBB-322500443DEB}">
      <text>
        <r>
          <rPr>
            <sz val="9"/>
            <color indexed="81"/>
            <rFont val="Tahoma"/>
            <family val="2"/>
          </rPr>
          <t>Amazing grand design spiral with odd void (Cyclops) in outer disk</t>
        </r>
      </text>
    </comment>
    <comment ref="A2553" authorId="0" shapeId="0" xr:uid="{0BDE81A7-4010-4E84-911D-BF664B349D91}">
      <text>
        <r>
          <rPr>
            <sz val="9"/>
            <color indexed="81"/>
            <rFont val="Tahoma"/>
            <family val="2"/>
          </rPr>
          <t xml:space="preserve">
</t>
        </r>
      </text>
    </comment>
    <comment ref="K2553" authorId="0" shapeId="0" xr:uid="{0C993EBB-DC02-447E-9E65-C40C818CD018}">
      <text>
        <r>
          <rPr>
            <sz val="9"/>
            <color indexed="81"/>
            <rFont val="Tahoma"/>
            <family val="2"/>
          </rPr>
          <t>Striking blue barred galaxy with wild arms and VV rows, anchoring a 5 group cluster</t>
        </r>
      </text>
    </comment>
    <comment ref="A2554" authorId="0" shapeId="0" xr:uid="{C36CC937-23AC-448F-94B0-051CF16737AA}">
      <text>
        <r>
          <rPr>
            <sz val="9"/>
            <color indexed="81"/>
            <rFont val="Tahoma"/>
            <family val="2"/>
          </rPr>
          <t xml:space="preserve">
</t>
        </r>
      </text>
    </comment>
    <comment ref="K2554" authorId="0" shapeId="0" xr:uid="{DDB54EDF-02F0-4925-8FE5-8930822B1D3F}">
      <text>
        <r>
          <rPr>
            <sz val="9"/>
            <color indexed="81"/>
            <rFont val="Tahoma"/>
            <family val="2"/>
          </rPr>
          <t>4 group cluster anchored by 2 large ellipticals, NGC 7626 and NGC 7619, both 200,000 ly in diameter</t>
        </r>
      </text>
    </comment>
    <comment ref="A2555" authorId="0" shapeId="0" xr:uid="{A1FF2F42-802D-4BAF-8702-FA4DA087188E}">
      <text>
        <r>
          <rPr>
            <sz val="9"/>
            <color indexed="81"/>
            <rFont val="Tahoma"/>
            <family val="2"/>
          </rPr>
          <t xml:space="preserve">
</t>
        </r>
      </text>
    </comment>
    <comment ref="K2555" authorId="0" shapeId="0" xr:uid="{F79CB8C7-81F8-464A-84E3-5F687E1C94CF}">
      <text>
        <r>
          <rPr>
            <sz val="9"/>
            <color indexed="81"/>
            <rFont val="Tahoma"/>
            <family val="2"/>
          </rPr>
          <t>Showcase Bubble Nebula, an asymmetric bubble energized by a Wolf-Rayet star and influencing the surrounding cloud structure</t>
        </r>
      </text>
    </comment>
    <comment ref="A2556" authorId="0" shapeId="0" xr:uid="{7A3EEF89-935F-4977-B2E5-83FBB7BC8105}">
      <text>
        <r>
          <rPr>
            <sz val="9"/>
            <color indexed="81"/>
            <rFont val="Tahoma"/>
            <family val="2"/>
          </rPr>
          <t xml:space="preserve">
</t>
        </r>
      </text>
    </comment>
    <comment ref="K2556" authorId="0" shapeId="0" xr:uid="{1DD65933-C0E8-4838-AD2A-8B78F1B2E585}">
      <text>
        <r>
          <rPr>
            <sz val="9"/>
            <color indexed="81"/>
            <rFont val="Tahoma"/>
            <family val="2"/>
          </rPr>
          <t>Pair of galaxies connected by star stream bridge</t>
        </r>
      </text>
    </comment>
    <comment ref="A2557" authorId="0" shapeId="0" xr:uid="{7B1855E7-43A5-421F-95C1-EB7AF65691A8}">
      <text>
        <r>
          <rPr>
            <sz val="9"/>
            <color indexed="81"/>
            <rFont val="Tahoma"/>
            <family val="2"/>
          </rPr>
          <t xml:space="preserve">
</t>
        </r>
      </text>
    </comment>
    <comment ref="K2557" authorId="0" shapeId="0" xr:uid="{6B6BF401-FC33-44E3-8E6D-1809EF7E0C3C}">
      <text>
        <r>
          <rPr>
            <sz val="9"/>
            <color indexed="81"/>
            <rFont val="Tahoma"/>
            <family val="2"/>
          </rPr>
          <t>Barred spiral, almost edge-on, which is asymmetric with blue star clouds in the arms</t>
        </r>
      </text>
    </comment>
    <comment ref="A2558" authorId="0" shapeId="0" xr:uid="{F1301980-FDE4-46A9-A2D7-2E6B58D5E90E}">
      <text>
        <r>
          <rPr>
            <sz val="9"/>
            <color indexed="81"/>
            <rFont val="Tahoma"/>
            <family val="2"/>
          </rPr>
          <t xml:space="preserve">
</t>
        </r>
      </text>
    </comment>
    <comment ref="K2558" authorId="0" shapeId="0" xr:uid="{61471750-67C2-4C58-91FF-8F45E9AB5146}">
      <text>
        <r>
          <rPr>
            <sz val="9"/>
            <color indexed="81"/>
            <rFont val="Tahoma"/>
            <family val="2"/>
          </rPr>
          <t>Fantastic loop stream extending up from this lenticular</t>
        </r>
      </text>
    </comment>
    <comment ref="A2559" authorId="0" shapeId="0" xr:uid="{C12DAC93-ACF1-4DCA-979E-50E793887DAC}">
      <text>
        <r>
          <rPr>
            <sz val="9"/>
            <color indexed="81"/>
            <rFont val="Tahoma"/>
            <family val="2"/>
          </rPr>
          <t xml:space="preserve">
</t>
        </r>
      </text>
    </comment>
    <comment ref="K2559" authorId="0" shapeId="0" xr:uid="{2FDEB19B-C629-4FAE-8A87-AD3CEF740F59}">
      <text>
        <r>
          <rPr>
            <sz val="9"/>
            <color indexed="81"/>
            <rFont val="Tahoma"/>
            <family val="2"/>
          </rPr>
          <t>Similar to NGC6826, this is a bi-polar OIII nebula with torus and filaments, surrounded by faint outer sphere</t>
        </r>
      </text>
    </comment>
    <comment ref="A2560" authorId="0" shapeId="0" xr:uid="{94166902-9AEA-4FDE-95E6-F7538A075FC1}">
      <text>
        <r>
          <rPr>
            <sz val="9"/>
            <color indexed="81"/>
            <rFont val="Tahoma"/>
            <family val="2"/>
          </rPr>
          <t xml:space="preserve">
</t>
        </r>
      </text>
    </comment>
    <comment ref="K2560" authorId="0" shapeId="0" xr:uid="{4B43152C-2CB1-40BA-8C04-F16DE4C6DA1F}">
      <text>
        <r>
          <rPr>
            <sz val="9"/>
            <color indexed="81"/>
            <rFont val="Tahoma"/>
            <family val="2"/>
          </rPr>
          <t>Magellanic galaxy with white bar, single arm, and blue star clouds</t>
        </r>
      </text>
    </comment>
    <comment ref="A2561" authorId="0" shapeId="0" xr:uid="{3A5ECEC3-F587-45F3-AAAB-587667821D1F}">
      <text>
        <r>
          <rPr>
            <sz val="9"/>
            <color indexed="81"/>
            <rFont val="Tahoma"/>
            <family val="2"/>
          </rPr>
          <t xml:space="preserve">
</t>
        </r>
      </text>
    </comment>
    <comment ref="K2561" authorId="0" shapeId="0" xr:uid="{946049BD-DC91-4F81-9808-26C40859B0F0}">
      <text>
        <r>
          <rPr>
            <sz val="9"/>
            <color indexed="81"/>
            <rFont val="Tahoma"/>
            <family val="2"/>
          </rPr>
          <t>Highly disturbed spiral experiencing intense star formation, numerous blue star clouds, and extended star streams</t>
        </r>
      </text>
    </comment>
    <comment ref="A2562" authorId="0" shapeId="0" xr:uid="{DD7A878A-2A9C-45CB-A679-829D1323916C}">
      <text>
        <r>
          <rPr>
            <sz val="9"/>
            <color indexed="81"/>
            <rFont val="Tahoma"/>
            <family val="2"/>
          </rPr>
          <t xml:space="preserve">
</t>
        </r>
      </text>
    </comment>
    <comment ref="K2562" authorId="0" shapeId="0" xr:uid="{E0DCD9AA-6255-46CA-9F7E-F837D44E0E37}">
      <text>
        <r>
          <rPr>
            <sz val="9"/>
            <color indexed="81"/>
            <rFont val="Tahoma"/>
            <family val="2"/>
          </rPr>
          <t>Pretty barred grand spiral</t>
        </r>
      </text>
    </comment>
    <comment ref="A2563" authorId="0" shapeId="0" xr:uid="{BC8D861C-2CC2-4339-AB9B-5513289C102A}">
      <text>
        <r>
          <rPr>
            <sz val="9"/>
            <color indexed="81"/>
            <rFont val="Tahoma"/>
            <family val="2"/>
          </rPr>
          <t xml:space="preserve">
</t>
        </r>
      </text>
    </comment>
    <comment ref="K2563" authorId="0" shapeId="0" xr:uid="{2E93145D-BEF6-4E3F-8190-87CC9E88EEA7}">
      <text>
        <r>
          <rPr>
            <sz val="9"/>
            <color indexed="81"/>
            <rFont val="Tahoma"/>
            <family val="2"/>
          </rPr>
          <t>Bright cluster with great size and color distribution</t>
        </r>
      </text>
    </comment>
    <comment ref="A2564" authorId="0" shapeId="0" xr:uid="{7A8AA5E6-2B43-41F4-95FE-E429287A7129}">
      <text>
        <r>
          <rPr>
            <sz val="9"/>
            <color indexed="81"/>
            <rFont val="Tahoma"/>
            <family val="2"/>
          </rPr>
          <t xml:space="preserve">
</t>
        </r>
      </text>
    </comment>
    <comment ref="K2564" authorId="0" shapeId="0" xr:uid="{BC376C56-0BA9-4F66-B82F-8B38D415CB74}">
      <text>
        <r>
          <rPr>
            <sz val="9"/>
            <color indexed="81"/>
            <rFont val="Tahoma"/>
            <family val="2"/>
          </rPr>
          <t>Trio of galaxies in Pisces, anchored by NGC 7700, an edge-on lenticular with central bulge and bright inner lens disk</t>
        </r>
      </text>
    </comment>
    <comment ref="A2565" authorId="0" shapeId="0" xr:uid="{BBCB11D9-B2A0-4501-840F-47D80380AE90}">
      <text>
        <r>
          <rPr>
            <sz val="9"/>
            <color indexed="81"/>
            <rFont val="Tahoma"/>
            <family val="2"/>
          </rPr>
          <t xml:space="preserve">
</t>
        </r>
      </text>
    </comment>
    <comment ref="K2565" authorId="0" shapeId="0" xr:uid="{EC190F6B-75CE-47A6-9330-9F9895533457}">
      <text>
        <r>
          <rPr>
            <sz val="9"/>
            <color indexed="81"/>
            <rFont val="Tahoma"/>
            <family val="2"/>
          </rPr>
          <t>Large 215,000 ly diameter asymmetric spiral with faint dwarf companion</t>
        </r>
      </text>
    </comment>
    <comment ref="A2566" authorId="0" shapeId="0" xr:uid="{E616C5D0-AD63-4CA2-A11C-7D14D2392291}">
      <text>
        <r>
          <rPr>
            <sz val="9"/>
            <color indexed="81"/>
            <rFont val="Tahoma"/>
            <family val="2"/>
          </rPr>
          <t xml:space="preserve">
</t>
        </r>
      </text>
    </comment>
    <comment ref="K2566" authorId="0" shapeId="0" xr:uid="{22765BAF-B082-4F1D-A5F0-5CC655633162}">
      <text>
        <r>
          <rPr>
            <sz val="9"/>
            <color indexed="81"/>
            <rFont val="Tahoma"/>
            <family val="2"/>
          </rPr>
          <t>Colorful and textured galaxy disk, with spiraling dust lanes sprinkled with blue star clouds and HII regions</t>
        </r>
      </text>
    </comment>
    <comment ref="A2567" authorId="0" shapeId="0" xr:uid="{9564DCCC-4888-4120-90D8-5B12D6F169E8}">
      <text>
        <r>
          <rPr>
            <sz val="9"/>
            <color indexed="81"/>
            <rFont val="Tahoma"/>
            <family val="2"/>
          </rPr>
          <t xml:space="preserve">
</t>
        </r>
      </text>
    </comment>
    <comment ref="K2567" authorId="0" shapeId="0" xr:uid="{1862693D-30F5-4785-8CE7-E797D9EBE86B}">
      <text>
        <r>
          <rPr>
            <sz val="9"/>
            <color indexed="81"/>
            <rFont val="Tahoma"/>
            <family val="2"/>
          </rPr>
          <t>Barred spiral with yellow core and disk.  Arms quickly fragment after 90 degrees of revolution.  Diffuse outer disk</t>
        </r>
      </text>
    </comment>
    <comment ref="A2568" authorId="0" shapeId="0" xr:uid="{BFB01E06-FB8A-419D-9A04-2E5050B86534}">
      <text>
        <r>
          <rPr>
            <sz val="9"/>
            <color indexed="81"/>
            <rFont val="Tahoma"/>
            <family val="2"/>
          </rPr>
          <t xml:space="preserve">
</t>
        </r>
      </text>
    </comment>
    <comment ref="K2568" authorId="0" shapeId="0" xr:uid="{1AF130E6-A16D-4A2B-A85B-9A8AC6F9E767}">
      <text>
        <r>
          <rPr>
            <sz val="9"/>
            <color indexed="81"/>
            <rFont val="Tahoma"/>
            <family val="2"/>
          </rPr>
          <t>Yellow ring spiral galaxy with a pair of bright ansae.  Adjacent is NGC7732, an edge-on blue spiral with odd star cloud patterns</t>
        </r>
      </text>
    </comment>
    <comment ref="A2569" authorId="0" shapeId="0" xr:uid="{1401F387-98E3-4456-9CFA-8D3F552CC484}">
      <text>
        <r>
          <rPr>
            <sz val="9"/>
            <color indexed="81"/>
            <rFont val="Tahoma"/>
            <family val="2"/>
          </rPr>
          <t xml:space="preserve">
</t>
        </r>
      </text>
    </comment>
    <comment ref="K2569" authorId="0" shapeId="0" xr:uid="{27EF4313-32FE-4750-BAFA-187591414A48}">
      <text>
        <r>
          <rPr>
            <sz val="9"/>
            <color indexed="81"/>
            <rFont val="Tahoma"/>
            <family val="2"/>
          </rPr>
          <t>Barred spiral with bright bar, interesting dust lanes, faint HII regions, and short arms which degenerate into fragments</t>
        </r>
      </text>
    </comment>
    <comment ref="A2570" authorId="0" shapeId="0" xr:uid="{88BE04E1-05D4-4103-B1B8-F485D48BEE40}">
      <text>
        <r>
          <rPr>
            <sz val="9"/>
            <color indexed="81"/>
            <rFont val="Tahoma"/>
            <family val="2"/>
          </rPr>
          <t xml:space="preserve">
</t>
        </r>
      </text>
    </comment>
    <comment ref="K2570" authorId="0" shapeId="0" xr:uid="{2604E08C-6F79-471C-8355-A24D7BF6E25E}">
      <text>
        <r>
          <rPr>
            <sz val="9"/>
            <color indexed="81"/>
            <rFont val="Tahoma"/>
            <family val="2"/>
          </rPr>
          <t>Face-on lenticular with glorious blue star-forming ring mid-disk.  A nuclear core is seen at the center</t>
        </r>
      </text>
    </comment>
    <comment ref="A2571" authorId="0" shapeId="0" xr:uid="{150BEB76-D71C-4368-8904-0A833CC5F4C7}">
      <text>
        <r>
          <rPr>
            <sz val="9"/>
            <color indexed="81"/>
            <rFont val="Tahoma"/>
            <family val="2"/>
          </rPr>
          <t xml:space="preserve">
</t>
        </r>
      </text>
    </comment>
    <comment ref="K2571" authorId="0" shapeId="0" xr:uid="{20A0F8B8-0365-4E4D-9BE3-D87A857CF497}">
      <text>
        <r>
          <rPr>
            <sz val="9"/>
            <color indexed="81"/>
            <rFont val="Tahoma"/>
            <family val="2"/>
          </rPr>
          <t>Seyfert grand design spiral with blurry arms and faint outer star streams</t>
        </r>
      </text>
    </comment>
    <comment ref="A2572" authorId="0" shapeId="0" xr:uid="{55A1E8CF-0C19-48D6-BAD3-4B5E354C7D21}">
      <text>
        <r>
          <rPr>
            <sz val="9"/>
            <color indexed="81"/>
            <rFont val="Tahoma"/>
            <family val="2"/>
          </rPr>
          <t xml:space="preserve">
</t>
        </r>
      </text>
    </comment>
    <comment ref="K2572" authorId="0" shapeId="0" xr:uid="{B72DF3B7-340A-44FF-A3CE-CB46C1FB83C4}">
      <text>
        <r>
          <rPr>
            <sz val="9"/>
            <color indexed="81"/>
            <rFont val="Tahoma"/>
            <family val="2"/>
          </rPr>
          <t>Attractive grand design spiral with blue star forming ring</t>
        </r>
      </text>
    </comment>
    <comment ref="A2573" authorId="0" shapeId="0" xr:uid="{B2B45B06-973C-4BB4-93B7-B13508403CC5}">
      <text>
        <r>
          <rPr>
            <sz val="9"/>
            <color indexed="81"/>
            <rFont val="Tahoma"/>
            <family val="2"/>
          </rPr>
          <t xml:space="preserve">
</t>
        </r>
      </text>
    </comment>
    <comment ref="K2573" authorId="0" shapeId="0" xr:uid="{E32C5993-641C-4A83-AB5E-9A0C05D13A17}">
      <text>
        <r>
          <rPr>
            <sz val="9"/>
            <color indexed="81"/>
            <rFont val="Tahoma"/>
            <family val="2"/>
          </rPr>
          <t>Grand spiral interacting with companion, resulting in extended star streams</t>
        </r>
      </text>
    </comment>
    <comment ref="A2574" authorId="0" shapeId="0" xr:uid="{71F7E70E-D503-4E94-BE0F-655244044B16}">
      <text>
        <r>
          <rPr>
            <sz val="9"/>
            <color indexed="81"/>
            <rFont val="Tahoma"/>
            <family val="2"/>
          </rPr>
          <t xml:space="preserve">
</t>
        </r>
      </text>
    </comment>
    <comment ref="K2574" authorId="0" shapeId="0" xr:uid="{7619F26E-B507-4B22-B706-511C20F7E3C1}">
      <text>
        <r>
          <rPr>
            <sz val="9"/>
            <color indexed="81"/>
            <rFont val="Tahoma"/>
            <family val="2"/>
          </rPr>
          <t>4 galaxies with interesting structures.  Little disturbance seen</t>
        </r>
      </text>
    </comment>
    <comment ref="A2575" authorId="0" shapeId="0" xr:uid="{B9D630A9-291C-4A98-A1CC-2E42B4889CB9}">
      <text>
        <r>
          <rPr>
            <sz val="9"/>
            <color indexed="81"/>
            <rFont val="Tahoma"/>
            <family val="2"/>
          </rPr>
          <t xml:space="preserve">
</t>
        </r>
      </text>
    </comment>
    <comment ref="K2575" authorId="0" shapeId="0" xr:uid="{2174D5A3-63C7-4A0D-BAE8-C2B111AF0A5E}">
      <text>
        <r>
          <rPr>
            <sz val="9"/>
            <color indexed="81"/>
            <rFont val="Tahoma"/>
            <family val="2"/>
          </rPr>
          <t>Colorful cluster with disproportionate number of orange giants</t>
        </r>
      </text>
    </comment>
    <comment ref="A2576" authorId="0" shapeId="0" xr:uid="{798D8D80-1B6C-4017-B455-2D5A334684F4}">
      <text>
        <r>
          <rPr>
            <sz val="9"/>
            <color indexed="81"/>
            <rFont val="Tahoma"/>
            <family val="2"/>
          </rPr>
          <t xml:space="preserve">
</t>
        </r>
      </text>
    </comment>
    <comment ref="K2576" authorId="0" shapeId="0" xr:uid="{6FB82663-FFD1-41E1-9BC4-8FED54E917CE}">
      <text>
        <r>
          <rPr>
            <sz val="9"/>
            <color indexed="81"/>
            <rFont val="Tahoma"/>
            <family val="2"/>
          </rPr>
          <t>Forms a nice cluster pair with NGC 7788</t>
        </r>
      </text>
    </comment>
    <comment ref="A2577" authorId="0" shapeId="0" xr:uid="{529B2F72-463B-4E23-81D2-8F933FEBCF32}">
      <text>
        <r>
          <rPr>
            <sz val="9"/>
            <color indexed="81"/>
            <rFont val="Tahoma"/>
            <family val="2"/>
          </rPr>
          <t xml:space="preserve">
</t>
        </r>
      </text>
    </comment>
    <comment ref="K2577" authorId="0" shapeId="0" xr:uid="{FF132531-A0FC-407B-B097-A4794BB8CA53}">
      <text>
        <r>
          <rPr>
            <sz val="9"/>
            <color indexed="81"/>
            <rFont val="Tahoma"/>
            <family val="2"/>
          </rPr>
          <t>Disorganized spiral pattern.  Star clouds visible in outer arms  Core is muted with no central bulge</t>
        </r>
      </text>
    </comment>
    <comment ref="A2578" authorId="0" shapeId="0" xr:uid="{4EDC1604-8D75-4C04-9C05-FCBD727C7C3A}">
      <text>
        <r>
          <rPr>
            <sz val="9"/>
            <color indexed="81"/>
            <rFont val="Tahoma"/>
            <family val="2"/>
          </rPr>
          <t xml:space="preserve">
</t>
        </r>
      </text>
    </comment>
    <comment ref="K2578" authorId="0" shapeId="0" xr:uid="{BCE16DD2-6576-4B32-A32D-D08543976066}">
      <text>
        <r>
          <rPr>
            <sz val="9"/>
            <color indexed="81"/>
            <rFont val="Tahoma"/>
            <family val="2"/>
          </rPr>
          <t>Magellanic galaxy with distant galaxy seen through right disk edge</t>
        </r>
      </text>
    </comment>
    <comment ref="A2579" authorId="0" shapeId="0" xr:uid="{84001648-3A33-4504-9A48-203B8EDCBED9}">
      <text>
        <r>
          <rPr>
            <sz val="9"/>
            <color indexed="81"/>
            <rFont val="Tahoma"/>
            <family val="2"/>
          </rPr>
          <t xml:space="preserve">
</t>
        </r>
      </text>
    </comment>
    <comment ref="K2579" authorId="0" shapeId="0" xr:uid="{8C17090D-5678-4049-A1AC-707544A8326D}">
      <text>
        <r>
          <rPr>
            <sz val="9"/>
            <color indexed="81"/>
            <rFont val="Tahoma"/>
            <family val="2"/>
          </rPr>
          <t>Similar to M104, this edge-on spiral has a gold halo &amp; bright bulge, cut by a thin dust lane which is doubled in places</t>
        </r>
      </text>
    </comment>
    <comment ref="A2580" authorId="0" shapeId="0" xr:uid="{3769473A-FD52-43C3-AB0A-C92ACDACD170}">
      <text>
        <r>
          <rPr>
            <sz val="9"/>
            <color indexed="81"/>
            <rFont val="Tahoma"/>
            <family val="2"/>
          </rPr>
          <t xml:space="preserve">
</t>
        </r>
      </text>
    </comment>
    <comment ref="K2580" authorId="0" shapeId="0" xr:uid="{99F4115A-4823-4C11-BFD5-67145D23A602}">
      <text>
        <r>
          <rPr>
            <sz val="9"/>
            <color indexed="81"/>
            <rFont val="Tahoma"/>
            <family val="2"/>
          </rPr>
          <t>Large emission nebula with many elephant trunks pointing towards the Berkeley 59 star cluster</t>
        </r>
      </text>
    </comment>
    <comment ref="A2581" authorId="0" shapeId="0" xr:uid="{7D0FA243-647D-4AE4-ACF4-8A99EA87869F}">
      <text>
        <r>
          <rPr>
            <sz val="9"/>
            <color indexed="81"/>
            <rFont val="Tahoma"/>
            <family val="2"/>
          </rPr>
          <t xml:space="preserve">
</t>
        </r>
      </text>
    </comment>
    <comment ref="K2581" authorId="0" shapeId="0" xr:uid="{6CB76A48-F31F-4D60-BDB9-D3C2DA2198EC}">
      <text>
        <r>
          <rPr>
            <sz val="9"/>
            <color indexed="81"/>
            <rFont val="Tahoma"/>
            <family val="2"/>
          </rPr>
          <t>Naked eye dark nebula spanning 8 degrees known since antiquity</t>
        </r>
      </text>
    </comment>
    <comment ref="A2582" authorId="0" shapeId="0" xr:uid="{8469B4F1-A02B-4E90-B1A4-D125A207473D}">
      <text>
        <r>
          <rPr>
            <sz val="9"/>
            <color indexed="81"/>
            <rFont val="Tahoma"/>
            <family val="2"/>
          </rPr>
          <t xml:space="preserve">
</t>
        </r>
      </text>
    </comment>
    <comment ref="K2582" authorId="0" shapeId="0" xr:uid="{349EFE1A-E96E-4F4B-9B8F-67D086C67CF8}">
      <text>
        <r>
          <rPr>
            <sz val="9"/>
            <color indexed="81"/>
            <rFont val="Tahoma"/>
            <family val="2"/>
          </rPr>
          <t>Recently discovered OIII-dominated faint ring PN</t>
        </r>
      </text>
    </comment>
    <comment ref="A2583" authorId="0" shapeId="0" xr:uid="{922C19A9-7FAE-4FB5-813C-2C9107B06710}">
      <text>
        <r>
          <rPr>
            <sz val="9"/>
            <color indexed="81"/>
            <rFont val="Tahoma"/>
            <family val="2"/>
          </rPr>
          <t xml:space="preserve">
</t>
        </r>
      </text>
    </comment>
    <comment ref="K2583" authorId="0" shapeId="0" xr:uid="{85C2CE26-5851-4AFB-B53D-35FD8DE64FC8}">
      <text>
        <r>
          <rPr>
            <sz val="9"/>
            <color indexed="81"/>
            <rFont val="Tahoma"/>
            <family val="2"/>
          </rPr>
          <t>Beautiful unusual OIII-dominated multipolar emission nebula, discovered in 2011</t>
        </r>
      </text>
    </comment>
    <comment ref="A2584" authorId="0" shapeId="0" xr:uid="{55A58B39-0079-4425-96B7-11A9E9B7EB70}">
      <text>
        <r>
          <rPr>
            <sz val="9"/>
            <color indexed="81"/>
            <rFont val="Tahoma"/>
            <family val="2"/>
          </rPr>
          <t xml:space="preserve">
</t>
        </r>
      </text>
    </comment>
    <comment ref="B2584" authorId="0" shapeId="0" xr:uid="{909404EB-D0CC-4046-B17E-7AD10D6DDB86}">
      <text>
        <r>
          <rPr>
            <sz val="9"/>
            <color indexed="81"/>
            <rFont val="Tahoma"/>
            <family val="2"/>
          </rPr>
          <t>Object not in SIMBAD</t>
        </r>
      </text>
    </comment>
    <comment ref="K2584" authorId="0" shapeId="0" xr:uid="{9A4A85CB-97BA-45AA-8BAE-B64395E01154}">
      <text>
        <r>
          <rPr>
            <sz val="9"/>
            <color indexed="81"/>
            <rFont val="Tahoma"/>
            <family val="2"/>
          </rPr>
          <t>The number "3" in the sky</t>
        </r>
      </text>
    </comment>
    <comment ref="A2585" authorId="0" shapeId="0" xr:uid="{2AEC9FB2-AB60-4F86-8F96-E1B46D364A42}">
      <text>
        <r>
          <rPr>
            <sz val="9"/>
            <color indexed="81"/>
            <rFont val="Tahoma"/>
            <family val="2"/>
          </rPr>
          <t xml:space="preserve">
</t>
        </r>
      </text>
    </comment>
    <comment ref="K2585" authorId="0" shapeId="0" xr:uid="{9D167A41-FB99-499A-BD0B-10CD2EACD8DD}">
      <text>
        <r>
          <rPr>
            <sz val="9"/>
            <color indexed="81"/>
            <rFont val="Tahoma"/>
            <family val="2"/>
          </rPr>
          <t>Faint extragalactic globular cluster</t>
        </r>
      </text>
    </comment>
    <comment ref="A2586" authorId="0" shapeId="0" xr:uid="{8D3EE24F-19B0-46C2-918C-C4D9848621C9}">
      <text>
        <r>
          <rPr>
            <sz val="9"/>
            <color indexed="81"/>
            <rFont val="Tahoma"/>
            <family val="2"/>
          </rPr>
          <t xml:space="preserve">
</t>
        </r>
      </text>
    </comment>
    <comment ref="K2586" authorId="0" shapeId="0" xr:uid="{F6719FF6-AC8E-45AE-B7D4-57346DEBAEFA}">
      <text>
        <r>
          <rPr>
            <sz val="9"/>
            <color indexed="81"/>
            <rFont val="Tahoma"/>
            <family val="2"/>
          </rPr>
          <t>YSO that is the origin of an odd asymmetric loop-shaped reflection nebula</t>
        </r>
      </text>
    </comment>
    <comment ref="A2587" authorId="0" shapeId="0" xr:uid="{4062F25C-EDC7-4E67-82F7-FCC206B122D5}">
      <text>
        <r>
          <rPr>
            <sz val="9"/>
            <color indexed="81"/>
            <rFont val="Tahoma"/>
            <family val="2"/>
          </rPr>
          <t xml:space="preserve">
</t>
        </r>
      </text>
    </comment>
    <comment ref="K2587" authorId="0" shapeId="0" xr:uid="{CDEBEAEB-17C9-464B-88A2-93BA9051D41F}">
      <text>
        <r>
          <rPr>
            <sz val="9"/>
            <color indexed="81"/>
            <rFont val="Tahoma"/>
            <family val="2"/>
          </rPr>
          <t>YSO which is the source of a tiny bipolar reflection nebula</t>
        </r>
      </text>
    </comment>
    <comment ref="A2588" authorId="0" shapeId="0" xr:uid="{BEC5A061-A80D-4308-AF3C-BB95FAE21BB9}">
      <text>
        <r>
          <rPr>
            <sz val="9"/>
            <color indexed="81"/>
            <rFont val="Tahoma"/>
            <family val="2"/>
          </rPr>
          <t xml:space="preserve">
</t>
        </r>
      </text>
    </comment>
    <comment ref="K2588" authorId="0" shapeId="0" xr:uid="{41E96504-F407-4AB3-9674-5C86E8985FE0}">
      <text>
        <r>
          <rPr>
            <sz val="9"/>
            <color indexed="81"/>
            <rFont val="Tahoma"/>
            <family val="2"/>
          </rPr>
          <t>Multipolar OIII-dominated PN with faint lobes</t>
        </r>
      </text>
    </comment>
    <comment ref="A2589" authorId="0" shapeId="0" xr:uid="{8461947E-F429-45FA-BC5D-D74AAA5E679F}">
      <text>
        <r>
          <rPr>
            <sz val="9"/>
            <color indexed="81"/>
            <rFont val="Tahoma"/>
            <family val="2"/>
          </rPr>
          <t xml:space="preserve">
</t>
        </r>
      </text>
    </comment>
    <comment ref="K2589" authorId="0" shapeId="0" xr:uid="{EEE2686C-8187-4F6E-A247-B231603C6C7E}">
      <text>
        <r>
          <rPr>
            <sz val="9"/>
            <color indexed="81"/>
            <rFont val="Tahoma"/>
            <family val="2"/>
          </rPr>
          <t>Huge ancient PN, believed to be 70,000 years old</t>
        </r>
      </text>
    </comment>
    <comment ref="A2590" authorId="0" shapeId="0" xr:uid="{7FD01EBF-36B6-49A7-9307-4DEFAD5D9F88}">
      <text>
        <r>
          <rPr>
            <sz val="9"/>
            <color indexed="81"/>
            <rFont val="Tahoma"/>
            <family val="2"/>
          </rPr>
          <t xml:space="preserve">
</t>
        </r>
      </text>
    </comment>
    <comment ref="K2590" authorId="0" shapeId="0" xr:uid="{C91FE3BB-A255-4AB9-9A6C-6CC6F8AE7374}">
      <text>
        <r>
          <rPr>
            <sz val="9"/>
            <color indexed="81"/>
            <rFont val="Tahoma"/>
            <family val="2"/>
          </rPr>
          <t>Prototype collisional ring galaxy</t>
        </r>
      </text>
    </comment>
    <comment ref="A2591" authorId="0" shapeId="0" xr:uid="{29B49ADE-E0B6-48BC-9889-40C202F1B32E}">
      <text>
        <r>
          <rPr>
            <sz val="9"/>
            <color indexed="81"/>
            <rFont val="Tahoma"/>
            <family val="2"/>
          </rPr>
          <t xml:space="preserve">
</t>
        </r>
      </text>
    </comment>
    <comment ref="K2591" authorId="0" shapeId="0" xr:uid="{473448AC-CA0C-42E9-A7B7-F05791250405}">
      <text>
        <r>
          <rPr>
            <sz val="9"/>
            <color indexed="81"/>
            <rFont val="Tahoma"/>
            <family val="2"/>
          </rPr>
          <t>Faint small galaxy</t>
        </r>
      </text>
    </comment>
    <comment ref="A2592" authorId="0" shapeId="0" xr:uid="{111846F5-5DAA-4F5F-BEB5-EB4ADE75C501}">
      <text>
        <r>
          <rPr>
            <sz val="9"/>
            <color indexed="81"/>
            <rFont val="Tahoma"/>
            <family val="2"/>
          </rPr>
          <t xml:space="preserve">
</t>
        </r>
      </text>
    </comment>
    <comment ref="K2592" authorId="0" shapeId="0" xr:uid="{4E36CB85-117E-49E3-AFD4-F5C6E07E8212}">
      <text>
        <r>
          <rPr>
            <sz val="9"/>
            <color indexed="81"/>
            <rFont val="Tahoma"/>
            <family val="2"/>
          </rPr>
          <t>Pair of colliding galaxies with bridge and typical opposing plumes</t>
        </r>
      </text>
    </comment>
    <comment ref="A2593" authorId="0" shapeId="0" xr:uid="{FE947728-9BEB-4FA2-9771-0B32F9A89047}">
      <text>
        <r>
          <rPr>
            <sz val="9"/>
            <color indexed="81"/>
            <rFont val="Tahoma"/>
            <family val="2"/>
          </rPr>
          <t xml:space="preserve">
</t>
        </r>
      </text>
    </comment>
    <comment ref="K2593" authorId="0" shapeId="0" xr:uid="{67F3A853-0916-499E-9C50-D2A9EA34AD7C}">
      <text>
        <r>
          <rPr>
            <sz val="9"/>
            <color indexed="81"/>
            <rFont val="Tahoma"/>
            <family val="2"/>
          </rPr>
          <t>Local dwarf galaxy, a satellite of the Milky Way</t>
        </r>
      </text>
    </comment>
    <comment ref="A2594" authorId="0" shapeId="0" xr:uid="{7682041D-42EC-445D-A8F4-99869005F762}">
      <text>
        <r>
          <rPr>
            <sz val="9"/>
            <color indexed="81"/>
            <rFont val="Tahoma"/>
            <family val="2"/>
          </rPr>
          <t xml:space="preserve">
</t>
        </r>
      </text>
    </comment>
    <comment ref="K2594" authorId="0" shapeId="0" xr:uid="{18533AA3-406B-47AE-BBCC-4587A69B13B4}">
      <text>
        <r>
          <rPr>
            <sz val="9"/>
            <color indexed="81"/>
            <rFont val="Tahoma"/>
            <family val="2"/>
          </rPr>
          <t>Distant polar ring, yellow main galaxy surrounded by blue polar ring</t>
        </r>
      </text>
    </comment>
    <comment ref="A2595" authorId="0" shapeId="0" xr:uid="{FC816B97-69E3-4C3F-A78A-3E8CEEA214A0}">
      <text>
        <r>
          <rPr>
            <sz val="9"/>
            <color indexed="81"/>
            <rFont val="Tahoma"/>
            <family val="2"/>
          </rPr>
          <t xml:space="preserve">
</t>
        </r>
      </text>
    </comment>
    <comment ref="K2595" authorId="0" shapeId="0" xr:uid="{BBFC7F29-C89F-4064-8DF6-08868A85B97D}">
      <text>
        <r>
          <rPr>
            <sz val="9"/>
            <color indexed="81"/>
            <rFont val="Tahoma"/>
            <family val="2"/>
          </rPr>
          <t>Colorful galaxy with warped disk and no companions</t>
        </r>
      </text>
    </comment>
    <comment ref="A2596" authorId="0" shapeId="0" xr:uid="{AD002EE6-103A-40F0-A10E-7C000995A501}">
      <text>
        <r>
          <rPr>
            <sz val="9"/>
            <color indexed="81"/>
            <rFont val="Tahoma"/>
            <family val="2"/>
          </rPr>
          <t xml:space="preserve">
</t>
        </r>
      </text>
    </comment>
    <comment ref="K2596" authorId="0" shapeId="0" xr:uid="{DFE0F31D-74E2-4E1C-92EF-2F6E846FB2AB}">
      <text>
        <r>
          <rPr>
            <sz val="9"/>
            <color indexed="81"/>
            <rFont val="Tahoma"/>
            <family val="2"/>
          </rPr>
          <t>Wonderful collisional galaxy system, including likely culprit</t>
        </r>
      </text>
    </comment>
    <comment ref="A2597" authorId="0" shapeId="0" xr:uid="{45DCEF12-2D7C-451A-8776-6AD4709AF9DE}">
      <text>
        <r>
          <rPr>
            <sz val="9"/>
            <color indexed="81"/>
            <rFont val="Tahoma"/>
            <family val="2"/>
          </rPr>
          <t xml:space="preserve">
</t>
        </r>
      </text>
    </comment>
    <comment ref="K2597" authorId="0" shapeId="0" xr:uid="{074236CE-1B71-427F-86EF-273AF6D25B70}">
      <text>
        <r>
          <rPr>
            <sz val="9"/>
            <color indexed="81"/>
            <rFont val="Tahoma"/>
            <family val="2"/>
          </rPr>
          <t>Merger with single core, dust lanes, and small tail remnant</t>
        </r>
      </text>
    </comment>
    <comment ref="A2598" authorId="0" shapeId="0" xr:uid="{9351D635-2BAB-4B01-A094-46ED93BE4656}">
      <text>
        <r>
          <rPr>
            <sz val="9"/>
            <color indexed="81"/>
            <rFont val="Tahoma"/>
            <family val="2"/>
          </rPr>
          <t xml:space="preserve">
</t>
        </r>
      </text>
    </comment>
    <comment ref="K2598" authorId="0" shapeId="0" xr:uid="{996D5813-59E6-402F-8D3E-B4AF4828010A}">
      <text>
        <r>
          <rPr>
            <sz val="9"/>
            <color indexed="81"/>
            <rFont val="Tahoma"/>
            <family val="2"/>
          </rPr>
          <t>Large edge-on galaxy with bright core region</t>
        </r>
      </text>
    </comment>
    <comment ref="A2599" authorId="0" shapeId="0" xr:uid="{9C090BE9-4795-4947-AA50-29BFFE2BA619}">
      <text>
        <r>
          <rPr>
            <sz val="9"/>
            <color indexed="81"/>
            <rFont val="Tahoma"/>
            <family val="2"/>
          </rPr>
          <t xml:space="preserve">
</t>
        </r>
      </text>
    </comment>
    <comment ref="K2599" authorId="0" shapeId="0" xr:uid="{7B399EA8-2A56-46DA-85B8-D13E121ECF0D}">
      <text>
        <r>
          <rPr>
            <sz val="9"/>
            <color indexed="81"/>
            <rFont val="Tahoma"/>
            <family val="2"/>
          </rPr>
          <t>Small barred ring spiral</t>
        </r>
      </text>
    </comment>
    <comment ref="A2600" authorId="0" shapeId="0" xr:uid="{4D7A435B-6E61-40AB-B55E-AA309173A60B}">
      <text>
        <r>
          <rPr>
            <sz val="9"/>
            <color indexed="81"/>
            <rFont val="Tahoma"/>
            <family val="2"/>
          </rPr>
          <t xml:space="preserve">
</t>
        </r>
      </text>
    </comment>
    <comment ref="K2600" authorId="0" shapeId="0" xr:uid="{05C482B4-DAF5-48B7-8DE4-11B8556EDFE0}">
      <text>
        <r>
          <rPr>
            <sz val="9"/>
            <color indexed="81"/>
            <rFont val="Tahoma"/>
            <family val="2"/>
          </rPr>
          <t>Edge-on spiral with slightly warped disk</t>
        </r>
      </text>
    </comment>
    <comment ref="A2601" authorId="0" shapeId="0" xr:uid="{3B98A7FA-2EC8-4A34-BBFC-8B97FC115790}">
      <text>
        <r>
          <rPr>
            <sz val="9"/>
            <color indexed="81"/>
            <rFont val="Tahoma"/>
            <family val="2"/>
          </rPr>
          <t xml:space="preserve">
</t>
        </r>
      </text>
    </comment>
    <comment ref="K2601" authorId="0" shapeId="0" xr:uid="{8713AE43-6502-4362-B16F-DE2FA9CE2ACC}">
      <text>
        <r>
          <rPr>
            <sz val="9"/>
            <color indexed="81"/>
            <rFont val="Tahoma"/>
            <family val="2"/>
          </rPr>
          <t>Possible collisional ring galaxy</t>
        </r>
      </text>
    </comment>
    <comment ref="A2602" authorId="0" shapeId="0" xr:uid="{1ED0F97B-8ECE-4B63-B9B1-11D0CE6C4C9B}">
      <text>
        <r>
          <rPr>
            <sz val="9"/>
            <color indexed="81"/>
            <rFont val="Tahoma"/>
            <family val="2"/>
          </rPr>
          <t xml:space="preserve">
</t>
        </r>
      </text>
    </comment>
    <comment ref="K2602" authorId="0" shapeId="0" xr:uid="{92E3CFCF-F9C7-4B90-85E2-0698EA6AFFCE}">
      <text>
        <r>
          <rPr>
            <sz val="9"/>
            <color indexed="81"/>
            <rFont val="Tahoma"/>
            <family val="2"/>
          </rPr>
          <t>Faint inner and outer rings</t>
        </r>
      </text>
    </comment>
    <comment ref="A2603" authorId="0" shapeId="0" xr:uid="{415A5C27-8FF7-4777-9376-C1488BE759CA}">
      <text>
        <r>
          <rPr>
            <sz val="9"/>
            <color indexed="81"/>
            <rFont val="Tahoma"/>
            <family val="2"/>
          </rPr>
          <t xml:space="preserve">
</t>
        </r>
      </text>
    </comment>
    <comment ref="K2603" authorId="0" shapeId="0" xr:uid="{C00AC4FC-A653-4052-8970-4D11AE9C7CAF}">
      <text>
        <r>
          <rPr>
            <sz val="9"/>
            <color indexed="81"/>
            <rFont val="Tahoma"/>
            <family val="2"/>
          </rPr>
          <t>Odd comet-like blue galaxy shape</t>
        </r>
      </text>
    </comment>
    <comment ref="A2604" authorId="0" shapeId="0" xr:uid="{B1AFEDC7-E48C-4FD1-AB69-DCD61A258EDF}">
      <text>
        <r>
          <rPr>
            <sz val="9"/>
            <color indexed="81"/>
            <rFont val="Tahoma"/>
            <family val="2"/>
          </rPr>
          <t xml:space="preserve">
</t>
        </r>
      </text>
    </comment>
    <comment ref="K2604" authorId="0" shapeId="0" xr:uid="{B268A200-D654-48B1-A5A4-1A0EEDE80959}">
      <text>
        <r>
          <rPr>
            <sz val="9"/>
            <color indexed="81"/>
            <rFont val="Tahoma"/>
            <family val="2"/>
          </rPr>
          <t>Looks like collisional galaxy, although could be merger remnants</t>
        </r>
      </text>
    </comment>
    <comment ref="A2605" authorId="0" shapeId="0" xr:uid="{6885C023-393E-46D8-BFDF-34728112F696}">
      <text>
        <r>
          <rPr>
            <sz val="9"/>
            <color indexed="81"/>
            <rFont val="Tahoma"/>
            <family val="2"/>
          </rPr>
          <t xml:space="preserve">
</t>
        </r>
      </text>
    </comment>
    <comment ref="K2605" authorId="0" shapeId="0" xr:uid="{AD24B51E-09F0-476E-8412-B5F9B5EFD41E}">
      <text>
        <r>
          <rPr>
            <sz val="9"/>
            <color indexed="81"/>
            <rFont val="Tahoma"/>
            <family val="2"/>
          </rPr>
          <t>Nice edge-on spiral with offset core and nice dust lane</t>
        </r>
      </text>
    </comment>
    <comment ref="A2606" authorId="0" shapeId="0" xr:uid="{D321AE3D-D07F-4E28-861D-7EF1A0AB584E}">
      <text>
        <r>
          <rPr>
            <sz val="9"/>
            <color indexed="81"/>
            <rFont val="Tahoma"/>
            <family val="2"/>
          </rPr>
          <t xml:space="preserve">
</t>
        </r>
      </text>
    </comment>
    <comment ref="K2606" authorId="0" shapeId="0" xr:uid="{89F219AC-4249-4C82-AA91-AE9802F47E35}">
      <text>
        <r>
          <rPr>
            <sz val="9"/>
            <color indexed="81"/>
            <rFont val="Tahoma"/>
            <family val="2"/>
          </rPr>
          <t>Interacting galaxies with star clouds and dust lanes</t>
        </r>
      </text>
    </comment>
    <comment ref="A2607" authorId="0" shapeId="0" xr:uid="{41DC1DE7-E004-421F-9EDC-788970D73A48}">
      <text>
        <r>
          <rPr>
            <sz val="9"/>
            <color indexed="81"/>
            <rFont val="Tahoma"/>
            <family val="2"/>
          </rPr>
          <t xml:space="preserve">
</t>
        </r>
      </text>
    </comment>
    <comment ref="K2607" authorId="0" shapeId="0" xr:uid="{A880651B-191C-4EB6-B2E4-7D5A0113E43A}">
      <text>
        <r>
          <rPr>
            <sz val="9"/>
            <color indexed="81"/>
            <rFont val="Tahoma"/>
            <family val="2"/>
          </rPr>
          <t>Edge-on spiral with thick bisecting dust lane</t>
        </r>
      </text>
    </comment>
    <comment ref="A2608" authorId="0" shapeId="0" xr:uid="{8D8D7E5F-C5A6-4C23-A4D8-7E97AACA2306}">
      <text>
        <r>
          <rPr>
            <sz val="9"/>
            <color indexed="81"/>
            <rFont val="Tahoma"/>
            <family val="2"/>
          </rPr>
          <t xml:space="preserve">
</t>
        </r>
      </text>
    </comment>
    <comment ref="K2608" authorId="0" shapeId="0" xr:uid="{53B81C7C-2F26-4520-B0AE-D9DCDF868D7A}">
      <text>
        <r>
          <rPr>
            <sz val="9"/>
            <color indexed="81"/>
            <rFont val="Tahoma"/>
            <family val="2"/>
          </rPr>
          <t>Tough object to understand - could be Magellanic galaxy or a merger</t>
        </r>
      </text>
    </comment>
    <comment ref="A2609" authorId="0" shapeId="0" xr:uid="{2D09A388-4A64-45ED-A2BB-A06B6D99C7CE}">
      <text>
        <r>
          <rPr>
            <sz val="9"/>
            <color indexed="81"/>
            <rFont val="Tahoma"/>
            <family val="2"/>
          </rPr>
          <t xml:space="preserve">
</t>
        </r>
      </text>
    </comment>
    <comment ref="K2609" authorId="0" shapeId="0" xr:uid="{85C0C51A-F704-483F-BF4B-7EB77F9A82CE}">
      <text>
        <r>
          <rPr>
            <sz val="9"/>
            <color indexed="81"/>
            <rFont val="Tahoma"/>
            <family val="2"/>
          </rPr>
          <t>Late stage merger of 2 galaxies, in a rough bird shape</t>
        </r>
      </text>
    </comment>
    <comment ref="A2610" authorId="0" shapeId="0" xr:uid="{863E85B7-799B-452E-93DC-37E53414C58B}">
      <text>
        <r>
          <rPr>
            <sz val="9"/>
            <color indexed="81"/>
            <rFont val="Tahoma"/>
            <family val="2"/>
          </rPr>
          <t xml:space="preserve">
</t>
        </r>
      </text>
    </comment>
    <comment ref="K2610" authorId="0" shapeId="0" xr:uid="{4EEC77F7-3CD8-40C4-927A-BEB347CC6343}">
      <text>
        <r>
          <rPr>
            <sz val="9"/>
            <color indexed="81"/>
            <rFont val="Tahoma"/>
            <family val="2"/>
          </rPr>
          <t>Voorwerp object, the only type of DSO object to have a green tint</t>
        </r>
      </text>
    </comment>
    <comment ref="A2611" authorId="0" shapeId="0" xr:uid="{06C835B4-4642-4730-92EE-C64C2CA89496}">
      <text>
        <r>
          <rPr>
            <sz val="9"/>
            <color indexed="81"/>
            <rFont val="Tahoma"/>
            <family val="2"/>
          </rPr>
          <t xml:space="preserve">
</t>
        </r>
      </text>
    </comment>
    <comment ref="K2611" authorId="0" shapeId="0" xr:uid="{2F8B0A2D-E41D-47A9-BF27-CB02BBE655EB}">
      <text>
        <r>
          <rPr>
            <sz val="9"/>
            <color indexed="81"/>
            <rFont val="Tahoma"/>
            <family val="2"/>
          </rPr>
          <t xml:space="preserve">Fascinating blue barred grand design spiral, with star clouds, VV rows, and pseudo-ring </t>
        </r>
      </text>
    </comment>
    <comment ref="A2612" authorId="0" shapeId="0" xr:uid="{5363A0D3-FB17-4EC9-88A2-3DF9D7114B69}">
      <text>
        <r>
          <rPr>
            <sz val="9"/>
            <color indexed="81"/>
            <rFont val="Tahoma"/>
            <family val="2"/>
          </rPr>
          <t xml:space="preserve">
</t>
        </r>
      </text>
    </comment>
    <comment ref="K2612" authorId="0" shapeId="0" xr:uid="{44D56486-2C03-4647-8459-C9E41307CAE8}">
      <text>
        <r>
          <rPr>
            <sz val="9"/>
            <color indexed="81"/>
            <rFont val="Tahoma"/>
            <family val="2"/>
          </rPr>
          <t>Disturbed spiral with bright arms, star clouds, and plumes</t>
        </r>
      </text>
    </comment>
    <comment ref="A2613" authorId="0" shapeId="0" xr:uid="{CB208F79-7628-4D9D-A008-6FD94E2B470C}">
      <text>
        <r>
          <rPr>
            <sz val="9"/>
            <color indexed="81"/>
            <rFont val="Tahoma"/>
            <family val="2"/>
          </rPr>
          <t xml:space="preserve">
</t>
        </r>
      </text>
    </comment>
    <comment ref="K2613" authorId="0" shapeId="0" xr:uid="{49905096-7C4D-4033-923C-1DF777E21103}">
      <text>
        <r>
          <rPr>
            <sz val="9"/>
            <color indexed="81"/>
            <rFont val="Tahoma"/>
            <family val="2"/>
          </rPr>
          <t>Off center collisional ring</t>
        </r>
      </text>
    </comment>
    <comment ref="A2614" authorId="0" shapeId="0" xr:uid="{F43B6D48-7D71-4733-B2C0-D18C5C8B37D8}">
      <text>
        <r>
          <rPr>
            <sz val="9"/>
            <color indexed="81"/>
            <rFont val="Tahoma"/>
            <family val="2"/>
          </rPr>
          <t xml:space="preserve">
</t>
        </r>
      </text>
    </comment>
    <comment ref="K2614" authorId="0" shapeId="0" xr:uid="{C1779B6A-18B7-41D5-88A9-D72F35EB7040}">
      <text>
        <r>
          <rPr>
            <sz val="9"/>
            <color indexed="81"/>
            <rFont val="Tahoma"/>
            <family val="2"/>
          </rPr>
          <t>Amazing collisional ring with core still visible</t>
        </r>
      </text>
    </comment>
    <comment ref="A2615" authorId="0" shapeId="0" xr:uid="{E968D158-36F1-4820-AC44-D029DA600DFF}">
      <text>
        <r>
          <rPr>
            <sz val="9"/>
            <color indexed="81"/>
            <rFont val="Tahoma"/>
            <family val="2"/>
          </rPr>
          <t xml:space="preserve">
</t>
        </r>
      </text>
    </comment>
    <comment ref="K2615" authorId="0" shapeId="0" xr:uid="{EBDD0761-41C0-4BCA-803B-B638DD442888}">
      <text>
        <r>
          <rPr>
            <sz val="9"/>
            <color indexed="81"/>
            <rFont val="Tahoma"/>
            <family val="2"/>
          </rPr>
          <t>Interacting pair of distant galaxies with looping star streams</t>
        </r>
      </text>
    </comment>
    <comment ref="A2616" authorId="0" shapeId="0" xr:uid="{3D130A82-6D27-4626-A0CD-E80812A13DF7}">
      <text>
        <r>
          <rPr>
            <sz val="9"/>
            <color indexed="81"/>
            <rFont val="Tahoma"/>
            <family val="2"/>
          </rPr>
          <t xml:space="preserve">
</t>
        </r>
      </text>
    </comment>
    <comment ref="K2616" authorId="0" shapeId="0" xr:uid="{EC7E3BE9-BBFE-40BA-BDF3-014A43DDCE8C}">
      <text>
        <r>
          <rPr>
            <sz val="9"/>
            <color indexed="81"/>
            <rFont val="Tahoma"/>
            <family val="2"/>
          </rPr>
          <t>A faint HII-dominated emission nebula, not a PN but a Stromgren sphere</t>
        </r>
      </text>
    </comment>
    <comment ref="A2617" authorId="0" shapeId="0" xr:uid="{5C4BD89A-A4ED-409A-9855-28327A9BB94D}">
      <text>
        <r>
          <rPr>
            <sz val="9"/>
            <color indexed="81"/>
            <rFont val="Tahoma"/>
            <family val="2"/>
          </rPr>
          <t xml:space="preserve">
</t>
        </r>
      </text>
    </comment>
    <comment ref="B2617" authorId="0" shapeId="0" xr:uid="{11F18480-D5C7-4771-8E09-F03A82A6F479}">
      <text>
        <r>
          <rPr>
            <sz val="9"/>
            <color indexed="81"/>
            <rFont val="Tahoma"/>
            <family val="2"/>
          </rPr>
          <t>Object not in SIMBAD</t>
        </r>
      </text>
    </comment>
    <comment ref="K2617" authorId="0" shapeId="0" xr:uid="{683FDC1C-130C-419D-B510-A02C82CFB3EF}">
      <text>
        <r>
          <rPr>
            <sz val="9"/>
            <color indexed="81"/>
            <rFont val="Tahoma"/>
            <family val="2"/>
          </rPr>
          <t>Discovered by Williamina Fleming in 1904, this is a beautiful triangular filamentary portion of the Cygnus Loop SNR with strong HII and OIII signal.</t>
        </r>
      </text>
    </comment>
    <comment ref="A2618" authorId="0" shapeId="0" xr:uid="{2F2C745B-2AB4-49F3-9612-D318F0CD8D20}">
      <text>
        <r>
          <rPr>
            <sz val="9"/>
            <color indexed="81"/>
            <rFont val="Tahoma"/>
            <family val="2"/>
          </rPr>
          <t xml:space="preserve">
</t>
        </r>
      </text>
    </comment>
    <comment ref="B2618" authorId="0" shapeId="0" xr:uid="{8C9E7478-96FC-4E46-B24A-F7D8F9581725}">
      <text>
        <r>
          <rPr>
            <sz val="9"/>
            <color indexed="81"/>
            <rFont val="Tahoma"/>
            <family val="2"/>
          </rPr>
          <t>Object not in SIMBAD</t>
        </r>
      </text>
    </comment>
    <comment ref="K2618" authorId="0" shapeId="0" xr:uid="{29BD66F8-5BE9-46D4-9FFB-395E9E1E78FC}">
      <text>
        <r>
          <rPr>
            <sz val="9"/>
            <color indexed="81"/>
            <rFont val="Tahoma"/>
            <family val="2"/>
          </rPr>
          <t>Simple asterism in the same of Napolean's hat</t>
        </r>
      </text>
    </comment>
    <comment ref="A2619" authorId="0" shapeId="0" xr:uid="{0F4A7DD3-6A4C-47D1-AF5D-087DDCE8BEA7}">
      <text>
        <r>
          <rPr>
            <sz val="9"/>
            <color indexed="81"/>
            <rFont val="Tahoma"/>
            <family val="2"/>
          </rPr>
          <t xml:space="preserve">
</t>
        </r>
      </text>
    </comment>
    <comment ref="K2619" authorId="0" shapeId="0" xr:uid="{FD2385DE-5228-4080-B890-3E894299D2E8}">
      <text>
        <r>
          <rPr>
            <sz val="9"/>
            <color indexed="81"/>
            <rFont val="Tahoma"/>
            <family val="2"/>
          </rPr>
          <t>Small HII-dominated elliptical PN with progenitor</t>
        </r>
      </text>
    </comment>
    <comment ref="A2620" authorId="0" shapeId="0" xr:uid="{872AEB93-C455-4FF6-91F7-3DC818E69D54}">
      <text>
        <r>
          <rPr>
            <sz val="9"/>
            <color indexed="81"/>
            <rFont val="Tahoma"/>
            <family val="2"/>
          </rPr>
          <t xml:space="preserve">
</t>
        </r>
      </text>
    </comment>
    <comment ref="K2620" authorId="0" shapeId="0" xr:uid="{77D7ACAC-DEC4-4421-BCD0-2F4D629AE9A1}">
      <text>
        <r>
          <rPr>
            <sz val="9"/>
            <color indexed="81"/>
            <rFont val="Tahoma"/>
            <family val="2"/>
          </rPr>
          <t>The clouds and dust around Polaris, the North Pole</t>
        </r>
      </text>
    </comment>
    <comment ref="A2621" authorId="0" shapeId="0" xr:uid="{579FF9B1-92AF-4CCC-A236-BBC611D1B27F}">
      <text>
        <r>
          <rPr>
            <sz val="9"/>
            <color indexed="81"/>
            <rFont val="Tahoma"/>
            <family val="2"/>
          </rPr>
          <t xml:space="preserve">
</t>
        </r>
      </text>
    </comment>
    <comment ref="K2621" authorId="0" shapeId="0" xr:uid="{6B751D47-2CAF-49D8-8EE4-6B2B71ED4BE5}">
      <text>
        <r>
          <rPr>
            <sz val="9"/>
            <color indexed="81"/>
            <rFont val="Tahoma"/>
            <family val="2"/>
          </rPr>
          <t>Small bright nebula is Auriga, originally thought to be a PN</t>
        </r>
      </text>
    </comment>
    <comment ref="A2622" authorId="0" shapeId="0" xr:uid="{888977C7-A267-42A5-A8E1-BD1FA0D8EBDC}">
      <text>
        <r>
          <rPr>
            <sz val="9"/>
            <color indexed="81"/>
            <rFont val="Tahoma"/>
            <family val="2"/>
          </rPr>
          <t xml:space="preserve">
</t>
        </r>
      </text>
    </comment>
    <comment ref="K2622" authorId="0" shapeId="0" xr:uid="{AE26B894-9D8E-44EB-9953-F7A2EA6CA1E0}">
      <text>
        <r>
          <rPr>
            <sz val="9"/>
            <color indexed="81"/>
            <rFont val="Tahoma"/>
            <family val="2"/>
          </rPr>
          <t>HII-dominated elliptical PN</t>
        </r>
      </text>
    </comment>
    <comment ref="A2623" authorId="0" shapeId="0" xr:uid="{CA02F0E6-A53C-4BE1-87D9-8C681F0DBF6B}">
      <text>
        <r>
          <rPr>
            <sz val="9"/>
            <color indexed="81"/>
            <rFont val="Tahoma"/>
            <family val="2"/>
          </rPr>
          <t xml:space="preserve">
</t>
        </r>
      </text>
    </comment>
    <comment ref="K2623" authorId="0" shapeId="0" xr:uid="{1CB059E7-5EC5-48AE-96DE-1137E04C0A5C}">
      <text>
        <r>
          <rPr>
            <sz val="9"/>
            <color indexed="81"/>
            <rFont val="Tahoma"/>
            <family val="2"/>
          </rPr>
          <t>Faint SNR in Puppis, overlapping with the foreground Vela SNR</t>
        </r>
      </text>
    </comment>
    <comment ref="A2624" authorId="0" shapeId="0" xr:uid="{3489739B-52A4-4ED9-8080-81F392E09A86}">
      <text>
        <r>
          <rPr>
            <sz val="9"/>
            <color indexed="81"/>
            <rFont val="Tahoma"/>
            <family val="2"/>
          </rPr>
          <t xml:space="preserve">
</t>
        </r>
      </text>
    </comment>
    <comment ref="K2624" authorId="0" shapeId="0" xr:uid="{EC258D3E-2B48-4CE6-966B-28AEBB03011C}">
      <text>
        <r>
          <rPr>
            <sz val="9"/>
            <color indexed="81"/>
            <rFont val="Tahoma"/>
            <family val="2"/>
          </rPr>
          <t>YSO which is the source of the GM 1-29 object</t>
        </r>
      </text>
    </comment>
    <comment ref="A2625" authorId="0" shapeId="0" xr:uid="{38015D29-CB75-452E-BBDA-39DCEFD22BAC}">
      <text>
        <r>
          <rPr>
            <sz val="9"/>
            <color indexed="81"/>
            <rFont val="Tahoma"/>
            <family val="2"/>
          </rPr>
          <t xml:space="preserve">
</t>
        </r>
      </text>
    </comment>
    <comment ref="K2625" authorId="0" shapeId="0" xr:uid="{4265875E-3F09-4A89-BBB3-8BCD8FD041A5}">
      <text>
        <r>
          <rPr>
            <sz val="9"/>
            <color indexed="81"/>
            <rFont val="Tahoma"/>
            <family val="2"/>
          </rPr>
          <t>YSO emitting the Hubble Variable Nebula</t>
        </r>
      </text>
    </comment>
    <comment ref="A2626" authorId="0" shapeId="0" xr:uid="{26A73A38-AC83-49DE-9A01-962EC5D7A387}">
      <text>
        <r>
          <rPr>
            <sz val="9"/>
            <color indexed="81"/>
            <rFont val="Tahoma"/>
            <family val="2"/>
          </rPr>
          <t xml:space="preserve">
</t>
        </r>
      </text>
    </comment>
    <comment ref="K2626" authorId="0" shapeId="0" xr:uid="{04162CF0-72FE-45FF-8553-222E7957FB6A}">
      <text>
        <r>
          <rPr>
            <sz val="9"/>
            <color indexed="81"/>
            <rFont val="Tahoma"/>
            <family val="2"/>
          </rPr>
          <t>Recently discovered faint OIII-dominated PN</t>
        </r>
      </text>
    </comment>
    <comment ref="A2627" authorId="0" shapeId="0" xr:uid="{5FB16C11-6F82-44E0-8E07-AF5EF4104C25}">
      <text>
        <r>
          <rPr>
            <sz val="9"/>
            <color indexed="81"/>
            <rFont val="Tahoma"/>
            <family val="2"/>
          </rPr>
          <t xml:space="preserve">
</t>
        </r>
      </text>
    </comment>
    <comment ref="K2627" authorId="0" shapeId="0" xr:uid="{BE005404-9A23-4F10-9315-1D77F2CBDA1C}">
      <text>
        <r>
          <rPr>
            <sz val="9"/>
            <color indexed="81"/>
            <rFont val="Tahoma"/>
            <family val="2"/>
          </rPr>
          <t>Very faint SNR</t>
        </r>
      </text>
    </comment>
    <comment ref="A2628" authorId="0" shapeId="0" xr:uid="{BC22AC99-1997-4D80-95E5-28F0099FC67B}">
      <text>
        <r>
          <rPr>
            <sz val="9"/>
            <color indexed="81"/>
            <rFont val="Tahoma"/>
            <family val="2"/>
          </rPr>
          <t xml:space="preserve">
</t>
        </r>
      </text>
    </comment>
    <comment ref="K2628" authorId="0" shapeId="0" xr:uid="{FB030306-A5A8-4FED-92E1-CF8EDA8C9D85}">
      <text>
        <r>
          <rPr>
            <sz val="9"/>
            <color indexed="81"/>
            <rFont val="Tahoma"/>
            <family val="2"/>
          </rPr>
          <t>Faint HII emission nebulae</t>
        </r>
      </text>
    </comment>
    <comment ref="A2629" authorId="0" shapeId="0" xr:uid="{5E3382E3-B39D-4BE6-BB42-9BC5184085A5}">
      <text>
        <r>
          <rPr>
            <sz val="9"/>
            <color indexed="81"/>
            <rFont val="Tahoma"/>
            <family val="2"/>
          </rPr>
          <t xml:space="preserve">
</t>
        </r>
      </text>
    </comment>
    <comment ref="K2629" authorId="0" shapeId="0" xr:uid="{07F9DAC6-DA0B-4B22-B397-07C3974E5157}">
      <text>
        <r>
          <rPr>
            <sz val="9"/>
            <color indexed="81"/>
            <rFont val="Tahoma"/>
            <family val="2"/>
          </rPr>
          <t>Faint HII emission nebulae</t>
        </r>
      </text>
    </comment>
    <comment ref="A2630" authorId="0" shapeId="0" xr:uid="{272079DC-743B-4552-AC7F-450E75864B6B}">
      <text>
        <r>
          <rPr>
            <sz val="9"/>
            <color indexed="81"/>
            <rFont val="Tahoma"/>
            <family val="2"/>
          </rPr>
          <t xml:space="preserve">
</t>
        </r>
      </text>
    </comment>
    <comment ref="K2630" authorId="0" shapeId="0" xr:uid="{7D757CDB-49CF-432B-9061-AA93A1C4AD6B}">
      <text>
        <r>
          <rPr>
            <sz val="9"/>
            <color indexed="81"/>
            <rFont val="Tahoma"/>
            <family val="2"/>
          </rPr>
          <t>Faint complex ring Wolf-Rayet nebula from WR40</t>
        </r>
      </text>
    </comment>
    <comment ref="A2631" authorId="0" shapeId="0" xr:uid="{2C0B0246-6AD1-4F55-A269-7CF9C358E3D5}">
      <text>
        <r>
          <rPr>
            <sz val="9"/>
            <color indexed="81"/>
            <rFont val="Tahoma"/>
            <family val="2"/>
          </rPr>
          <t xml:space="preserve">
</t>
        </r>
      </text>
    </comment>
    <comment ref="K2631" authorId="0" shapeId="0" xr:uid="{3920156F-7C32-4FCD-8544-0F63EEF69AD5}">
      <text>
        <r>
          <rPr>
            <sz val="9"/>
            <color indexed="81"/>
            <rFont val="Tahoma"/>
            <family val="2"/>
          </rPr>
          <t>Oldest witnessed SNR in recorded history (185AD)</t>
        </r>
      </text>
    </comment>
    <comment ref="A2632" authorId="0" shapeId="0" xr:uid="{F282854E-A986-4D6E-8543-6E22E385F4CE}">
      <text>
        <r>
          <rPr>
            <sz val="9"/>
            <color indexed="81"/>
            <rFont val="Tahoma"/>
            <family val="2"/>
          </rPr>
          <t xml:space="preserve">
</t>
        </r>
      </text>
    </comment>
    <comment ref="K2632" authorId="0" shapeId="0" xr:uid="{0B732951-EBB9-4344-B6C3-239B4DC4B216}">
      <text>
        <r>
          <rPr>
            <sz val="9"/>
            <color indexed="81"/>
            <rFont val="Tahoma"/>
            <family val="2"/>
          </rPr>
          <t>HII nebula, with small RCW95 adjacent</t>
        </r>
      </text>
    </comment>
    <comment ref="A2633" authorId="0" shapeId="0" xr:uid="{B11B681A-D698-4651-8CC5-74ABA45FDF02}">
      <text>
        <r>
          <rPr>
            <sz val="9"/>
            <color indexed="81"/>
            <rFont val="Tahoma"/>
            <family val="2"/>
          </rPr>
          <t xml:space="preserve">
</t>
        </r>
      </text>
    </comment>
    <comment ref="K2633" authorId="0" shapeId="0" xr:uid="{59D22E31-E857-48B5-BAA6-A4AF3D90196C}">
      <text>
        <r>
          <rPr>
            <sz val="9"/>
            <color indexed="81"/>
            <rFont val="Tahoma"/>
            <family val="2"/>
          </rPr>
          <t>Ring emission nebula from Wolf-Rayet star</t>
        </r>
      </text>
    </comment>
    <comment ref="A2634" authorId="0" shapeId="0" xr:uid="{05DCDB7E-5E44-4F44-93A7-1FB360E2AE49}">
      <text>
        <r>
          <rPr>
            <sz val="9"/>
            <color indexed="81"/>
            <rFont val="Tahoma"/>
            <family val="2"/>
          </rPr>
          <t xml:space="preserve">
</t>
        </r>
      </text>
    </comment>
    <comment ref="K2634" authorId="0" shapeId="0" xr:uid="{613C2FC1-4106-4748-99F2-CE5DE338B189}">
      <text>
        <r>
          <rPr>
            <sz val="9"/>
            <color indexed="81"/>
            <rFont val="Tahoma"/>
            <family val="2"/>
          </rPr>
          <t>Protoplanetary nebula with X shape due to bipolar flows of gas and dust</t>
        </r>
      </text>
    </comment>
    <comment ref="A2635" authorId="0" shapeId="0" xr:uid="{9457A987-0980-46C7-A9EB-F40D9B2D502E}">
      <text>
        <r>
          <rPr>
            <sz val="9"/>
            <color indexed="81"/>
            <rFont val="Tahoma"/>
            <family val="2"/>
          </rPr>
          <t xml:space="preserve">
</t>
        </r>
      </text>
    </comment>
    <comment ref="K2635" authorId="0" shapeId="0" xr:uid="{ABFE51BB-F9E9-4933-9BCD-1AB83B768F98}">
      <text>
        <r>
          <rPr>
            <sz val="9"/>
            <color indexed="81"/>
            <rFont val="Tahoma"/>
            <family val="2"/>
          </rPr>
          <t>Colorful mosaic of deep sky objects around Rho Ophiuchi</t>
        </r>
      </text>
    </comment>
    <comment ref="A2636" authorId="0" shapeId="0" xr:uid="{FA101342-83B7-407D-9F89-856E094E1BFE}">
      <text>
        <r>
          <rPr>
            <sz val="9"/>
            <color indexed="81"/>
            <rFont val="Tahoma"/>
            <family val="2"/>
          </rPr>
          <t xml:space="preserve">
</t>
        </r>
      </text>
    </comment>
    <comment ref="K2636" authorId="0" shapeId="0" xr:uid="{83F4C878-8CF1-4B6F-8159-0C6622DE47C0}">
      <text>
        <r>
          <rPr>
            <sz val="9"/>
            <color indexed="81"/>
            <rFont val="Tahoma"/>
            <family val="2"/>
          </rPr>
          <t>YSO which is the origin of a butterfly shaped tiny reflection nebula</t>
        </r>
      </text>
    </comment>
    <comment ref="A2637" authorId="0" shapeId="0" xr:uid="{9F202E12-FC1C-4887-AB6C-224CEBAB6341}">
      <text>
        <r>
          <rPr>
            <sz val="9"/>
            <color indexed="81"/>
            <rFont val="Tahoma"/>
            <family val="2"/>
          </rPr>
          <t xml:space="preserve">
</t>
        </r>
      </text>
    </comment>
    <comment ref="K2637" authorId="0" shapeId="0" xr:uid="{B8BDE07D-473D-4434-A95D-0296440A4A13}">
      <text>
        <r>
          <rPr>
            <sz val="9"/>
            <color indexed="81"/>
            <rFont val="Tahoma"/>
            <family val="2"/>
          </rPr>
          <t>Elliptical PN very similar to the Owl Nebula, M97</t>
        </r>
      </text>
    </comment>
    <comment ref="A2638" authorId="0" shapeId="0" xr:uid="{7D36E6BA-AD59-4108-9EE7-67A7BAE55635}">
      <text>
        <r>
          <rPr>
            <sz val="9"/>
            <color indexed="81"/>
            <rFont val="Tahoma"/>
            <family val="2"/>
          </rPr>
          <t xml:space="preserve">
</t>
        </r>
      </text>
    </comment>
    <comment ref="K2638" authorId="0" shapeId="0" xr:uid="{6ABBBB61-5575-460C-916C-ABED6939E3AD}">
      <text>
        <r>
          <rPr>
            <sz val="9"/>
            <color indexed="81"/>
            <rFont val="Tahoma"/>
            <family val="2"/>
          </rPr>
          <t>Faint extragalactic open cluster</t>
        </r>
      </text>
    </comment>
    <comment ref="A2639" authorId="0" shapeId="0" xr:uid="{90D4821B-4823-4C88-83E6-30FB19F08F03}">
      <text>
        <r>
          <rPr>
            <sz val="9"/>
            <color indexed="81"/>
            <rFont val="Tahoma"/>
            <family val="2"/>
          </rPr>
          <t xml:space="preserve">
</t>
        </r>
      </text>
    </comment>
    <comment ref="K2639" authorId="0" shapeId="0" xr:uid="{23A3FB48-6599-4F45-97FB-04608937E5BA}">
      <text>
        <r>
          <rPr>
            <sz val="9"/>
            <color indexed="81"/>
            <rFont val="Tahoma"/>
            <family val="2"/>
          </rPr>
          <t>Peculiar HII-dominated PN</t>
        </r>
      </text>
    </comment>
    <comment ref="A2640" authorId="0" shapeId="0" xr:uid="{358B04FC-7F11-4DA9-BB98-82733B1A933B}">
      <text>
        <r>
          <rPr>
            <sz val="9"/>
            <color indexed="81"/>
            <rFont val="Tahoma"/>
            <family val="2"/>
          </rPr>
          <t xml:space="preserve">
</t>
        </r>
      </text>
    </comment>
    <comment ref="K2640" authorId="0" shapeId="0" xr:uid="{BBC9B696-3E3D-4E4D-951F-CE8FD7D9D9ED}">
      <text>
        <r>
          <rPr>
            <sz val="9"/>
            <color indexed="81"/>
            <rFont val="Tahoma"/>
            <family val="2"/>
          </rPr>
          <t>OIII-dominated elliptical PN with progenitor</t>
        </r>
      </text>
    </comment>
    <comment ref="A2641" authorId="0" shapeId="0" xr:uid="{E7CBC514-474F-4A8B-BEB0-7F0114787BE2}">
      <text>
        <r>
          <rPr>
            <sz val="9"/>
            <color indexed="81"/>
            <rFont val="Tahoma"/>
            <family val="2"/>
          </rPr>
          <t xml:space="preserve">
</t>
        </r>
      </text>
    </comment>
    <comment ref="B2641" authorId="0" shapeId="0" xr:uid="{BA0FBF88-3B4E-4AB0-A8CD-6681644E01E5}">
      <text>
        <r>
          <rPr>
            <sz val="9"/>
            <color indexed="81"/>
            <rFont val="Tahoma"/>
            <family val="2"/>
          </rPr>
          <t>Object not in SIMBAD</t>
        </r>
      </text>
    </comment>
    <comment ref="K2641" authorId="0" shapeId="0" xr:uid="{61665359-AF68-405F-A962-74BE2F12F50A}">
      <text>
        <r>
          <rPr>
            <sz val="9"/>
            <color indexed="81"/>
            <rFont val="Tahoma"/>
            <family val="2"/>
          </rPr>
          <t>Dark nebula in Scorpius with no official designation</t>
        </r>
      </text>
    </comment>
    <comment ref="A2642" authorId="0" shapeId="0" xr:uid="{B49FBFD1-4059-4531-A39D-E698571DFA1E}">
      <text>
        <r>
          <rPr>
            <sz val="9"/>
            <color indexed="81"/>
            <rFont val="Tahoma"/>
            <family val="2"/>
          </rPr>
          <t xml:space="preserve">
</t>
        </r>
      </text>
    </comment>
    <comment ref="B2642" authorId="0" shapeId="0" xr:uid="{1CE1BBAD-8AC0-4794-9F41-5C0D6C29852D}">
      <text>
        <r>
          <rPr>
            <sz val="9"/>
            <color indexed="81"/>
            <rFont val="Tahoma"/>
            <family val="2"/>
          </rPr>
          <t>Object not in SIMBAD</t>
        </r>
      </text>
    </comment>
    <comment ref="K2642" authorId="0" shapeId="0" xr:uid="{E61891FB-B501-4FA1-A784-6ACA1ED26808}">
      <text>
        <r>
          <rPr>
            <sz val="9"/>
            <color indexed="81"/>
            <rFont val="Tahoma"/>
            <family val="2"/>
          </rPr>
          <t>Magnificent showcase object - the Seagull Nebula</t>
        </r>
      </text>
    </comment>
    <comment ref="A2643" authorId="0" shapeId="0" xr:uid="{CA7B8021-524B-4DE0-AF4B-87A5BB0B1915}">
      <text>
        <r>
          <rPr>
            <sz val="9"/>
            <color indexed="81"/>
            <rFont val="Tahoma"/>
            <family val="2"/>
          </rPr>
          <t xml:space="preserve">
</t>
        </r>
      </text>
    </comment>
    <comment ref="K2643" authorId="0" shapeId="0" xr:uid="{5BEE41E3-4D98-4358-8556-1905B8F09839}">
      <text>
        <r>
          <rPr>
            <sz val="9"/>
            <color indexed="81"/>
            <rFont val="Tahoma"/>
            <family val="2"/>
          </rPr>
          <t>Square shaped dwarf galaxy with HII regions</t>
        </r>
      </text>
    </comment>
    <comment ref="A2644" authorId="0" shapeId="0" xr:uid="{45611F34-47E1-4268-8EDE-65D8162D1273}">
      <text>
        <r>
          <rPr>
            <sz val="9"/>
            <color indexed="81"/>
            <rFont val="Tahoma"/>
            <family val="2"/>
          </rPr>
          <t xml:space="preserve">
</t>
        </r>
      </text>
    </comment>
    <comment ref="K2644" authorId="0" shapeId="0" xr:uid="{59AE417A-CF00-4EFC-BA70-D37F56C20166}">
      <text>
        <r>
          <rPr>
            <sz val="9"/>
            <color indexed="81"/>
            <rFont val="Tahoma"/>
            <family val="2"/>
          </rPr>
          <t>Bipolar PN with some lobe breakout</t>
        </r>
      </text>
    </comment>
    <comment ref="A2645" authorId="0" shapeId="0" xr:uid="{E59D9086-9FDE-4D1B-BAD7-E78A0F2B2D80}">
      <text>
        <r>
          <rPr>
            <sz val="9"/>
            <color indexed="81"/>
            <rFont val="Tahoma"/>
            <family val="2"/>
          </rPr>
          <t xml:space="preserve">
</t>
        </r>
      </text>
    </comment>
    <comment ref="K2645" authorId="0" shapeId="0" xr:uid="{C859B05A-9DC4-472F-9712-F90647EBC6C8}">
      <text>
        <r>
          <rPr>
            <sz val="9"/>
            <color indexed="81"/>
            <rFont val="Tahoma"/>
            <family val="2"/>
          </rPr>
          <t>Identified as a PN but I believe it is a HII region</t>
        </r>
      </text>
    </comment>
    <comment ref="A2646" authorId="0" shapeId="0" xr:uid="{6209931C-7F85-48F6-A5DF-14077DD4ED76}">
      <text>
        <r>
          <rPr>
            <sz val="9"/>
            <color indexed="81"/>
            <rFont val="Tahoma"/>
            <family val="2"/>
          </rPr>
          <t xml:space="preserve">
</t>
        </r>
      </text>
    </comment>
    <comment ref="K2646" authorId="0" shapeId="0" xr:uid="{41BDF223-6D84-4AD1-A450-14568E3B85E5}">
      <text>
        <r>
          <rPr>
            <sz val="9"/>
            <color indexed="81"/>
            <rFont val="Tahoma"/>
            <family val="2"/>
          </rPr>
          <t>Faint nebulosity around Pi Scorpii, with some refl. nebulae</t>
        </r>
      </text>
    </comment>
    <comment ref="A2647" authorId="0" shapeId="0" xr:uid="{037FDB4F-F852-4AE1-AD1B-E44CB4BF830E}">
      <text>
        <r>
          <rPr>
            <sz val="9"/>
            <color indexed="81"/>
            <rFont val="Tahoma"/>
            <family val="2"/>
          </rPr>
          <t xml:space="preserve">
</t>
        </r>
      </text>
    </comment>
    <comment ref="K2647" authorId="0" shapeId="0" xr:uid="{BC166EF2-2B4B-45CA-9321-BE9C2949EBC5}">
      <text>
        <r>
          <rPr>
            <sz val="9"/>
            <color indexed="81"/>
            <rFont val="Tahoma"/>
            <family val="2"/>
          </rPr>
          <t>Circular HII region with several dust lanes</t>
        </r>
      </text>
    </comment>
    <comment ref="A2648" authorId="0" shapeId="0" xr:uid="{4D2459D5-2821-4CA9-8C6E-18A912690D0F}">
      <text>
        <r>
          <rPr>
            <sz val="9"/>
            <color indexed="81"/>
            <rFont val="Tahoma"/>
            <family val="2"/>
          </rPr>
          <t xml:space="preserve">
</t>
        </r>
      </text>
    </comment>
    <comment ref="K2648" authorId="0" shapeId="0" xr:uid="{ED7FEB43-F662-4A2D-A2D3-B9DE5D26716F}">
      <text>
        <r>
          <rPr>
            <sz val="9"/>
            <color indexed="81"/>
            <rFont val="Tahoma"/>
            <family val="2"/>
          </rPr>
          <t>Irregular HII region in Scorpius</t>
        </r>
      </text>
    </comment>
    <comment ref="A2649" authorId="0" shapeId="0" xr:uid="{9406E90F-EF93-4CA5-9F26-2B0F5964034B}">
      <text>
        <r>
          <rPr>
            <sz val="9"/>
            <color indexed="81"/>
            <rFont val="Tahoma"/>
            <family val="2"/>
          </rPr>
          <t xml:space="preserve">
</t>
        </r>
      </text>
    </comment>
    <comment ref="K2649" authorId="0" shapeId="0" xr:uid="{40508BC0-CAA5-4D50-A0B0-1CB84C2168C6}">
      <text>
        <r>
          <rPr>
            <sz val="9"/>
            <color indexed="81"/>
            <rFont val="Tahoma"/>
            <family val="2"/>
          </rPr>
          <t>Dim HII region</t>
        </r>
      </text>
    </comment>
    <comment ref="A2650" authorId="0" shapeId="0" xr:uid="{AA261D26-E723-4783-B760-D29AF2A1A095}">
      <text>
        <r>
          <rPr>
            <sz val="9"/>
            <color indexed="81"/>
            <rFont val="Tahoma"/>
            <family val="2"/>
          </rPr>
          <t xml:space="preserve">
</t>
        </r>
      </text>
    </comment>
    <comment ref="K2650" authorId="0" shapeId="0" xr:uid="{B09D3F54-00B5-4575-B48C-50C15B8FD0A4}">
      <text>
        <r>
          <rPr>
            <sz val="9"/>
            <color indexed="81"/>
            <rFont val="Tahoma"/>
            <family val="2"/>
          </rPr>
          <t>Dim HII region</t>
        </r>
      </text>
    </comment>
    <comment ref="A2651" authorId="0" shapeId="0" xr:uid="{1C687979-9773-472F-99A7-6AEC4D6DF838}">
      <text>
        <r>
          <rPr>
            <sz val="9"/>
            <color indexed="81"/>
            <rFont val="Tahoma"/>
            <family val="2"/>
          </rPr>
          <t xml:space="preserve">
</t>
        </r>
      </text>
    </comment>
    <comment ref="K2651" authorId="0" shapeId="0" xr:uid="{8DA307EF-E87E-4EFF-BA1F-DA8AAD06BFD8}">
      <text>
        <r>
          <rPr>
            <sz val="9"/>
            <color indexed="81"/>
            <rFont val="Tahoma"/>
            <family val="2"/>
          </rPr>
          <t>Dim HII region directly west of the Lobster Nebula</t>
        </r>
      </text>
    </comment>
    <comment ref="A2652" authorId="0" shapeId="0" xr:uid="{47A59513-FE46-4EC4-B6D7-4F110D333A11}">
      <text>
        <r>
          <rPr>
            <sz val="9"/>
            <color indexed="81"/>
            <rFont val="Tahoma"/>
            <family val="2"/>
          </rPr>
          <t xml:space="preserve">
</t>
        </r>
      </text>
    </comment>
    <comment ref="K2652" authorId="0" shapeId="0" xr:uid="{59F1C2FA-887B-47C8-A1AC-84C794755E57}">
      <text>
        <r>
          <rPr>
            <sz val="9"/>
            <color indexed="81"/>
            <rFont val="Tahoma"/>
            <family val="2"/>
          </rPr>
          <t>Very faint blue haze, questionable object</t>
        </r>
      </text>
    </comment>
    <comment ref="A2653" authorId="0" shapeId="0" xr:uid="{EBEF6555-2403-4E6D-952A-9FF8F7A21472}">
      <text>
        <r>
          <rPr>
            <sz val="9"/>
            <color indexed="81"/>
            <rFont val="Tahoma"/>
            <family val="2"/>
          </rPr>
          <t xml:space="preserve">
</t>
        </r>
      </text>
    </comment>
    <comment ref="K2653" authorId="0" shapeId="0" xr:uid="{64950D41-2EBD-4F2D-99C8-75F3D5A65CF2}">
      <text>
        <r>
          <rPr>
            <sz val="9"/>
            <color indexed="81"/>
            <rFont val="Tahoma"/>
            <family val="2"/>
          </rPr>
          <t>Circular HII region with several small dark nebulae</t>
        </r>
      </text>
    </comment>
    <comment ref="A2654" authorId="0" shapeId="0" xr:uid="{44B5344E-24BC-43F0-8302-03CA6122F1B8}">
      <text>
        <r>
          <rPr>
            <sz val="9"/>
            <color indexed="81"/>
            <rFont val="Tahoma"/>
            <family val="2"/>
          </rPr>
          <t xml:space="preserve">
</t>
        </r>
      </text>
    </comment>
    <comment ref="K2654" authorId="0" shapeId="0" xr:uid="{561958F0-4FC1-40C2-9300-D74B6C84E42E}">
      <text>
        <r>
          <rPr>
            <sz val="9"/>
            <color indexed="81"/>
            <rFont val="Tahoma"/>
            <family val="2"/>
          </rPr>
          <t>Squarish with nice dust lanes. Brightest of 3 adjacent HII regions with Sh2-18 and 19</t>
        </r>
      </text>
    </comment>
    <comment ref="A2655" authorId="0" shapeId="0" xr:uid="{2CCB9A10-75F0-4DE6-88C3-E8FB6CF25554}">
      <text>
        <r>
          <rPr>
            <sz val="9"/>
            <color indexed="81"/>
            <rFont val="Tahoma"/>
            <family val="2"/>
          </rPr>
          <t xml:space="preserve">
</t>
        </r>
      </text>
    </comment>
    <comment ref="K2655" authorId="0" shapeId="0" xr:uid="{279C3C9D-2C57-4CC2-A673-4AF8CABFAD38}">
      <text>
        <r>
          <rPr>
            <sz val="9"/>
            <color indexed="81"/>
            <rFont val="Tahoma"/>
            <family val="2"/>
          </rPr>
          <t>Faint boxy HII region</t>
        </r>
      </text>
    </comment>
    <comment ref="A2656" authorId="0" shapeId="0" xr:uid="{A9D8249B-EDAB-4A51-AF57-54770B7B7794}">
      <text>
        <r>
          <rPr>
            <sz val="9"/>
            <color indexed="81"/>
            <rFont val="Tahoma"/>
            <family val="2"/>
          </rPr>
          <t xml:space="preserve">
</t>
        </r>
      </text>
    </comment>
    <comment ref="K2656" authorId="0" shapeId="0" xr:uid="{2CBED728-236F-4CB5-B4B8-B58600DEB9EB}">
      <text>
        <r>
          <rPr>
            <sz val="9"/>
            <color indexed="81"/>
            <rFont val="Tahoma"/>
            <family val="2"/>
          </rPr>
          <t>Faint round HII region between Sh2-16 and Sh2-19</t>
        </r>
      </text>
    </comment>
    <comment ref="A2657" authorId="0" shapeId="0" xr:uid="{E2B1E598-13F2-481D-BE6F-7E0D757A72DD}">
      <text>
        <r>
          <rPr>
            <sz val="9"/>
            <color indexed="81"/>
            <rFont val="Tahoma"/>
            <family val="2"/>
          </rPr>
          <t xml:space="preserve">
</t>
        </r>
      </text>
    </comment>
    <comment ref="K2657" authorId="0" shapeId="0" xr:uid="{54B465D7-F5EC-40D1-9DCB-A85D59B78999}">
      <text>
        <r>
          <rPr>
            <sz val="9"/>
            <color indexed="81"/>
            <rFont val="Tahoma"/>
            <family val="2"/>
          </rPr>
          <t>Large squarish HII region northeast of Sh2-16 and Sh2-18</t>
        </r>
      </text>
    </comment>
    <comment ref="A2658" authorId="0" shapeId="0" xr:uid="{FA8AD668-99B8-4D35-86F0-59793986009F}">
      <text>
        <r>
          <rPr>
            <sz val="9"/>
            <color indexed="81"/>
            <rFont val="Tahoma"/>
            <family val="2"/>
          </rPr>
          <t xml:space="preserve">
</t>
        </r>
      </text>
    </comment>
    <comment ref="K2658" authorId="0" shapeId="0" xr:uid="{3257A36A-CA67-4C6F-8B2F-E1F1739B2DCE}">
      <text>
        <r>
          <rPr>
            <sz val="9"/>
            <color indexed="81"/>
            <rFont val="Tahoma"/>
            <family val="2"/>
          </rPr>
          <t>2 small adjacent HII regions</t>
        </r>
      </text>
    </comment>
    <comment ref="A2659" authorId="0" shapeId="0" xr:uid="{4BAE0965-4F6A-497F-A314-D1D54DA0239D}">
      <text>
        <r>
          <rPr>
            <sz val="9"/>
            <color indexed="81"/>
            <rFont val="Tahoma"/>
            <family val="2"/>
          </rPr>
          <t xml:space="preserve">
</t>
        </r>
      </text>
    </comment>
    <comment ref="K2659" authorId="0" shapeId="0" xr:uid="{258B0FE9-4AE2-40D1-80D6-7551EBC17232}">
      <text>
        <r>
          <rPr>
            <sz val="9"/>
            <color indexed="81"/>
            <rFont val="Tahoma"/>
            <family val="2"/>
          </rPr>
          <t>Small, detailed HII patch</t>
        </r>
      </text>
    </comment>
    <comment ref="A2660" authorId="0" shapeId="0" xr:uid="{CB9943DB-5AFD-477B-ADE0-F0CF14677C28}">
      <text>
        <r>
          <rPr>
            <sz val="9"/>
            <color indexed="81"/>
            <rFont val="Tahoma"/>
            <family val="2"/>
          </rPr>
          <t xml:space="preserve">
</t>
        </r>
      </text>
    </comment>
    <comment ref="K2660" authorId="0" shapeId="0" xr:uid="{F9703F45-DED2-4B50-80C9-3E61360C1937}">
      <text>
        <r>
          <rPr>
            <sz val="9"/>
            <color indexed="81"/>
            <rFont val="Tahoma"/>
            <family val="2"/>
          </rPr>
          <t>Large HII ring nebula</t>
        </r>
      </text>
    </comment>
    <comment ref="A2661" authorId="0" shapeId="0" xr:uid="{6DEB81E0-CF90-416F-95C1-5E3F1BEC65F5}">
      <text>
        <r>
          <rPr>
            <sz val="9"/>
            <color indexed="81"/>
            <rFont val="Tahoma"/>
            <family val="2"/>
          </rPr>
          <t xml:space="preserve">
</t>
        </r>
      </text>
    </comment>
    <comment ref="K2661" authorId="0" shapeId="0" xr:uid="{35AC4FDE-A55B-44D0-986F-33CBD1BEE8C3}">
      <text>
        <r>
          <rPr>
            <sz val="9"/>
            <color indexed="81"/>
            <rFont val="Tahoma"/>
            <family val="2"/>
          </rPr>
          <t>Questionable object, may be faint molecular cloud</t>
        </r>
      </text>
    </comment>
    <comment ref="A2662" authorId="0" shapeId="0" xr:uid="{BE5B0CD4-CFEE-4F6F-840C-1065695E3121}">
      <text>
        <r>
          <rPr>
            <sz val="9"/>
            <color indexed="81"/>
            <rFont val="Tahoma"/>
            <family val="2"/>
          </rPr>
          <t xml:space="preserve">
</t>
        </r>
      </text>
    </comment>
    <comment ref="K2662" authorId="0" shapeId="0" xr:uid="{32B5D64D-16BC-4670-9D63-E42C50097295}">
      <text>
        <r>
          <rPr>
            <sz val="9"/>
            <color indexed="81"/>
            <rFont val="Tahoma"/>
            <family val="2"/>
          </rPr>
          <t>Faint molecular cloud</t>
        </r>
      </text>
    </comment>
    <comment ref="A2663" authorId="0" shapeId="0" xr:uid="{1E8442B3-98E0-42EE-9AEC-4F71A049C63E}">
      <text>
        <r>
          <rPr>
            <sz val="9"/>
            <color indexed="81"/>
            <rFont val="Tahoma"/>
            <family val="2"/>
          </rPr>
          <t xml:space="preserve">
</t>
        </r>
      </text>
    </comment>
    <comment ref="K2663" authorId="0" shapeId="0" xr:uid="{EB078005-903E-49E9-944E-A01F06630855}">
      <text>
        <r>
          <rPr>
            <sz val="9"/>
            <color indexed="81"/>
            <rFont val="Tahoma"/>
            <family val="2"/>
          </rPr>
          <t>Diffuse region near the Trifid nebula</t>
        </r>
      </text>
    </comment>
    <comment ref="A2664" authorId="0" shapeId="0" xr:uid="{6CAF161A-8EBF-4D9E-A1E2-6BDED1A7B47E}">
      <text>
        <r>
          <rPr>
            <sz val="9"/>
            <color indexed="81"/>
            <rFont val="Tahoma"/>
            <family val="2"/>
          </rPr>
          <t xml:space="preserve">
</t>
        </r>
      </text>
    </comment>
    <comment ref="K2664" authorId="0" shapeId="0" xr:uid="{F5B7B9AC-A711-40D1-97F4-6E9178AD331D}">
      <text>
        <r>
          <rPr>
            <sz val="9"/>
            <color indexed="81"/>
            <rFont val="Tahoma"/>
            <family val="2"/>
          </rPr>
          <t>A spectacular region including NGC 6559 and IC 4685</t>
        </r>
      </text>
    </comment>
    <comment ref="A2665" authorId="0" shapeId="0" xr:uid="{5A7DAEC4-9BA4-470E-B97B-102CD6007C38}">
      <text>
        <r>
          <rPr>
            <sz val="9"/>
            <color indexed="81"/>
            <rFont val="Tahoma"/>
            <family val="2"/>
          </rPr>
          <t xml:space="preserve">
</t>
        </r>
      </text>
    </comment>
    <comment ref="K2665" authorId="0" shapeId="0" xr:uid="{E2EB2B99-56D1-4971-B58E-9B8EEB9A55B4}">
      <text>
        <r>
          <rPr>
            <sz val="9"/>
            <color indexed="81"/>
            <rFont val="Tahoma"/>
            <family val="2"/>
          </rPr>
          <t>The smaller circular HII region just above and right of Sh2-29.  Includes IC1275</t>
        </r>
      </text>
    </comment>
    <comment ref="A2666" authorId="0" shapeId="0" xr:uid="{790CD4A2-7969-4645-9EC7-F5BAD19646B1}">
      <text>
        <r>
          <rPr>
            <sz val="9"/>
            <color indexed="81"/>
            <rFont val="Tahoma"/>
            <family val="2"/>
          </rPr>
          <t xml:space="preserve">
</t>
        </r>
      </text>
    </comment>
    <comment ref="K2666" authorId="0" shapeId="0" xr:uid="{B946A273-0469-474D-8DBC-D6C50E1B9190}">
      <text>
        <r>
          <rPr>
            <sz val="9"/>
            <color indexed="81"/>
            <rFont val="Tahoma"/>
            <family val="2"/>
          </rPr>
          <t>The smaller circular HII region to the right of Sh2-31 and Sh2-29.  Includes IC1274</t>
        </r>
      </text>
    </comment>
    <comment ref="A2667" authorId="0" shapeId="0" xr:uid="{39B111B4-288A-45BD-B656-80D2DB7ECF53}">
      <text>
        <r>
          <rPr>
            <sz val="9"/>
            <color indexed="81"/>
            <rFont val="Tahoma"/>
            <family val="2"/>
          </rPr>
          <t xml:space="preserve">
</t>
        </r>
      </text>
    </comment>
    <comment ref="K2667" authorId="0" shapeId="0" xr:uid="{F9BF36B4-D8DE-48D4-A7C8-9C069C80324E}">
      <text>
        <r>
          <rPr>
            <sz val="9"/>
            <color indexed="81"/>
            <rFont val="Tahoma"/>
            <family val="2"/>
          </rPr>
          <t>Faint molecular cloud with interesting protrusions</t>
        </r>
      </text>
    </comment>
    <comment ref="A2668" authorId="0" shapeId="0" xr:uid="{E88349C9-8318-44BA-9A9A-F083DF31C134}">
      <text>
        <r>
          <rPr>
            <sz val="9"/>
            <color indexed="81"/>
            <rFont val="Tahoma"/>
            <family val="2"/>
          </rPr>
          <t xml:space="preserve">
</t>
        </r>
      </text>
    </comment>
    <comment ref="K2668" authorId="0" shapeId="0" xr:uid="{BC00E414-103D-40D5-B248-B9CADCF6D65E}">
      <text>
        <r>
          <rPr>
            <sz val="9"/>
            <color indexed="81"/>
            <rFont val="Tahoma"/>
            <family val="2"/>
          </rPr>
          <t>Long rectangular HII region including vdB113 and PN M1-40</t>
        </r>
      </text>
    </comment>
    <comment ref="A2669" authorId="0" shapeId="0" xr:uid="{5FE0A4BD-3903-4753-8254-1CA3FB5E637D}">
      <text>
        <r>
          <rPr>
            <sz val="9"/>
            <color indexed="81"/>
            <rFont val="Tahoma"/>
            <family val="2"/>
          </rPr>
          <t xml:space="preserve">
</t>
        </r>
      </text>
    </comment>
    <comment ref="K2669" authorId="0" shapeId="0" xr:uid="{489A2BBD-B91E-47BE-8C91-D31E5CEA7C8E}">
      <text>
        <r>
          <rPr>
            <sz val="9"/>
            <color indexed="81"/>
            <rFont val="Tahoma"/>
            <family val="2"/>
          </rPr>
          <t>Large faint HII region just south of Sh2-37</t>
        </r>
      </text>
    </comment>
    <comment ref="A2670" authorId="0" shapeId="0" xr:uid="{7E6B90B3-0ED5-4DB6-8A34-0CFB3EB15B25}">
      <text>
        <r>
          <rPr>
            <sz val="9"/>
            <color indexed="81"/>
            <rFont val="Tahoma"/>
            <family val="2"/>
          </rPr>
          <t xml:space="preserve">
</t>
        </r>
      </text>
    </comment>
    <comment ref="K2670" authorId="0" shapeId="0" xr:uid="{2E4ABF4C-1045-4924-9716-BA2482C32412}">
      <text>
        <r>
          <rPr>
            <sz val="9"/>
            <color indexed="81"/>
            <rFont val="Tahoma"/>
            <family val="2"/>
          </rPr>
          <t>Faint molecular cloud with angular features</t>
        </r>
      </text>
    </comment>
    <comment ref="A2671" authorId="0" shapeId="0" xr:uid="{A0A1AA70-71F4-44B3-94EF-CEF0985348F2}">
      <text>
        <r>
          <rPr>
            <sz val="9"/>
            <color indexed="81"/>
            <rFont val="Tahoma"/>
            <family val="2"/>
          </rPr>
          <t xml:space="preserve">
</t>
        </r>
      </text>
    </comment>
    <comment ref="K2671" authorId="0" shapeId="0" xr:uid="{CC42AAC7-0074-4DA3-BB34-933FFACAECAF}">
      <text>
        <r>
          <rPr>
            <sz val="9"/>
            <color indexed="81"/>
            <rFont val="Tahoma"/>
            <family val="2"/>
          </rPr>
          <t>Vista of large HII region, dark nebula, blue-purple reflection nebula and colorful star field</t>
        </r>
      </text>
    </comment>
    <comment ref="BA2671" authorId="0" shapeId="0" xr:uid="{E2257835-EAA0-458D-A73B-EC9CD7083D46}">
      <text>
        <r>
          <rPr>
            <b/>
            <sz val="9"/>
            <color indexed="81"/>
            <rFont val="Tahoma"/>
            <family val="2"/>
          </rPr>
          <t>153a</t>
        </r>
      </text>
    </comment>
    <comment ref="A2672" authorId="0" shapeId="0" xr:uid="{8FD08212-2101-486F-AB4A-1D22B8844EBE}">
      <text>
        <r>
          <rPr>
            <sz val="9"/>
            <color indexed="81"/>
            <rFont val="Tahoma"/>
            <family val="2"/>
          </rPr>
          <t xml:space="preserve">
</t>
        </r>
      </text>
    </comment>
    <comment ref="K2672" authorId="0" shapeId="0" xr:uid="{06BF4337-C356-4F37-B069-EBE696D954D4}">
      <text>
        <r>
          <rPr>
            <sz val="9"/>
            <color indexed="81"/>
            <rFont val="Tahoma"/>
            <family val="2"/>
          </rPr>
          <t>Faint tiny uninteresting speck of HII</t>
        </r>
      </text>
    </comment>
    <comment ref="A2673" authorId="0" shapeId="0" xr:uid="{7A0E2116-57E9-44B9-A8B0-BE473AB46188}">
      <text>
        <r>
          <rPr>
            <sz val="9"/>
            <color indexed="81"/>
            <rFont val="Tahoma"/>
            <family val="2"/>
          </rPr>
          <t xml:space="preserve">
</t>
        </r>
      </text>
    </comment>
    <comment ref="K2673" authorId="0" shapeId="0" xr:uid="{547D8BCB-958E-45AB-A937-C5D4F102B924}">
      <text>
        <r>
          <rPr>
            <sz val="9"/>
            <color indexed="81"/>
            <rFont val="Tahoma"/>
            <family val="2"/>
          </rPr>
          <t>Faint tiny speck of HII</t>
        </r>
      </text>
    </comment>
    <comment ref="A2674" authorId="0" shapeId="0" xr:uid="{E4EEA322-C61D-4427-91CC-0F3D7533D117}">
      <text>
        <r>
          <rPr>
            <sz val="9"/>
            <color indexed="81"/>
            <rFont val="Tahoma"/>
            <family val="2"/>
          </rPr>
          <t xml:space="preserve">
</t>
        </r>
      </text>
    </comment>
    <comment ref="K2674" authorId="0" shapeId="0" xr:uid="{AB12B9F9-6005-40A8-8076-AAA44EF33AF8}">
      <text>
        <r>
          <rPr>
            <sz val="9"/>
            <color indexed="81"/>
            <rFont val="Tahoma"/>
            <family val="2"/>
          </rPr>
          <t>Small HII region reminiscent of the Trifid Nebula</t>
        </r>
      </text>
    </comment>
    <comment ref="A2675" authorId="0" shapeId="0" xr:uid="{BA4FAE44-C563-4639-B50D-9CB56192762C}">
      <text>
        <r>
          <rPr>
            <sz val="9"/>
            <color indexed="81"/>
            <rFont val="Tahoma"/>
            <family val="2"/>
          </rPr>
          <t xml:space="preserve">
</t>
        </r>
      </text>
    </comment>
    <comment ref="K2675" authorId="0" shapeId="0" xr:uid="{443122A6-797A-4364-8B59-404714BDF408}">
      <text>
        <r>
          <rPr>
            <sz val="9"/>
            <color indexed="81"/>
            <rFont val="Tahoma"/>
            <family val="2"/>
          </rPr>
          <t>Broad HII emission in dense MW star field, part of M24</t>
        </r>
      </text>
    </comment>
    <comment ref="A2676" authorId="0" shapeId="0" xr:uid="{CE2456B5-71F0-4A92-A33B-020E0C61422A}">
      <text>
        <r>
          <rPr>
            <sz val="9"/>
            <color indexed="81"/>
            <rFont val="Tahoma"/>
            <family val="2"/>
          </rPr>
          <t xml:space="preserve">
</t>
        </r>
      </text>
    </comment>
    <comment ref="K2676" authorId="0" shapeId="0" xr:uid="{53C6D32C-2D00-4A61-9A40-BBA0FF9E6F80}">
      <text>
        <r>
          <rPr>
            <sz val="9"/>
            <color indexed="81"/>
            <rFont val="Tahoma"/>
            <family val="2"/>
          </rPr>
          <t>Faint ancient PN, HII-dominated</t>
        </r>
      </text>
    </comment>
    <comment ref="A2677" authorId="0" shapeId="0" xr:uid="{74D4FD41-416E-4F54-80D1-31B8C0FDD6BD}">
      <text>
        <r>
          <rPr>
            <sz val="9"/>
            <color indexed="81"/>
            <rFont val="Tahoma"/>
            <family val="2"/>
          </rPr>
          <t xml:space="preserve">
</t>
        </r>
      </text>
    </comment>
    <comment ref="K2677" authorId="0" shapeId="0" xr:uid="{7FE1288A-4C1D-4C17-9F29-635235528C05}">
      <text>
        <r>
          <rPr>
            <sz val="9"/>
            <color indexed="81"/>
            <rFont val="Tahoma"/>
            <family val="2"/>
          </rPr>
          <t>Faint irregular HII region</t>
        </r>
      </text>
    </comment>
    <comment ref="A2678" authorId="0" shapeId="0" xr:uid="{C040AC16-76B1-49F0-A27E-E3E998C6D667}">
      <text>
        <r>
          <rPr>
            <sz val="9"/>
            <color indexed="81"/>
            <rFont val="Tahoma"/>
            <family val="2"/>
          </rPr>
          <t xml:space="preserve">
</t>
        </r>
      </text>
    </comment>
    <comment ref="K2678" authorId="0" shapeId="0" xr:uid="{4191DA2A-D9D3-43E6-A761-5D3F6BA68D08}">
      <text>
        <r>
          <rPr>
            <sz val="9"/>
            <color indexed="81"/>
            <rFont val="Tahoma"/>
            <family val="2"/>
          </rPr>
          <t>Large circular HII region with prominent dark dust lanes</t>
        </r>
      </text>
    </comment>
    <comment ref="A2679" authorId="0" shapeId="0" xr:uid="{FD29B629-C9C8-443A-90DF-BF1CDB88CFA1}">
      <text>
        <r>
          <rPr>
            <sz val="9"/>
            <color indexed="81"/>
            <rFont val="Tahoma"/>
            <family val="2"/>
          </rPr>
          <t xml:space="preserve">
</t>
        </r>
      </text>
    </comment>
    <comment ref="K2679" authorId="0" shapeId="0" xr:uid="{E48C7BED-4EDA-49FE-A68A-50400280F6D6}">
      <text>
        <r>
          <rPr>
            <sz val="9"/>
            <color indexed="81"/>
            <rFont val="Tahoma"/>
            <family val="2"/>
          </rPr>
          <t>Bright HII region with interesting texture</t>
        </r>
      </text>
    </comment>
    <comment ref="A2680" authorId="0" shapeId="0" xr:uid="{85FAA225-6AEE-4FE2-9A8A-E2358FDF2C1B}">
      <text>
        <r>
          <rPr>
            <sz val="9"/>
            <color indexed="81"/>
            <rFont val="Tahoma"/>
            <family val="2"/>
          </rPr>
          <t xml:space="preserve">
</t>
        </r>
      </text>
    </comment>
    <comment ref="K2680" authorId="0" shapeId="0" xr:uid="{82139DFF-49CE-4C24-B00B-A82DB71D2B99}">
      <text>
        <r>
          <rPr>
            <sz val="9"/>
            <color indexed="81"/>
            <rFont val="Tahoma"/>
            <family val="2"/>
          </rPr>
          <t>Small irregular HII region with 3 bright foreground stars</t>
        </r>
      </text>
    </comment>
    <comment ref="A2681" authorId="0" shapeId="0" xr:uid="{C1073666-88B3-4031-9BD1-055149BC37AD}">
      <text>
        <r>
          <rPr>
            <sz val="9"/>
            <color indexed="81"/>
            <rFont val="Tahoma"/>
            <family val="2"/>
          </rPr>
          <t xml:space="preserve">
</t>
        </r>
      </text>
    </comment>
    <comment ref="K2681" authorId="0" shapeId="0" xr:uid="{DBDFBBC5-6419-424B-914A-C6C52F19C0AF}">
      <text>
        <r>
          <rPr>
            <sz val="9"/>
            <color indexed="81"/>
            <rFont val="Tahoma"/>
            <family val="2"/>
          </rPr>
          <t>Faint textured HII region</t>
        </r>
      </text>
    </comment>
    <comment ref="A2682" authorId="0" shapeId="0" xr:uid="{FC8B842A-4EE0-42EC-9A5F-DC275DEAE71A}">
      <text>
        <r>
          <rPr>
            <sz val="9"/>
            <color indexed="81"/>
            <rFont val="Tahoma"/>
            <family val="2"/>
          </rPr>
          <t xml:space="preserve">
</t>
        </r>
      </text>
    </comment>
    <comment ref="K2682" authorId="0" shapeId="0" xr:uid="{6D6AC863-76A7-4E74-B4EC-14DCB4216E34}">
      <text>
        <r>
          <rPr>
            <sz val="9"/>
            <color indexed="81"/>
            <rFont val="Tahoma"/>
            <family val="2"/>
          </rPr>
          <t>Diffuse HII region</t>
        </r>
      </text>
    </comment>
    <comment ref="A2683" authorId="0" shapeId="0" xr:uid="{6224E972-69D6-48C2-B7BB-00A9AE35CABC}">
      <text>
        <r>
          <rPr>
            <sz val="9"/>
            <color indexed="81"/>
            <rFont val="Tahoma"/>
            <family val="2"/>
          </rPr>
          <t xml:space="preserve">
</t>
        </r>
      </text>
    </comment>
    <comment ref="K2683" authorId="0" shapeId="0" xr:uid="{7A6886CE-CC76-41A6-98CE-EB508A5C99D0}">
      <text>
        <r>
          <rPr>
            <sz val="9"/>
            <color indexed="81"/>
            <rFont val="Tahoma"/>
            <family val="2"/>
          </rPr>
          <t>Faint HII region with sharp northern border</t>
        </r>
      </text>
    </comment>
    <comment ref="A2684" authorId="0" shapeId="0" xr:uid="{E2A8BE5C-5BC8-4832-AAEB-F0F26A59B25C}">
      <text>
        <r>
          <rPr>
            <sz val="9"/>
            <color indexed="81"/>
            <rFont val="Tahoma"/>
            <family val="2"/>
          </rPr>
          <t xml:space="preserve">
</t>
        </r>
      </text>
    </comment>
    <comment ref="K2684" authorId="0" shapeId="0" xr:uid="{A0239489-3567-499D-A4B5-FC1085C29980}">
      <text>
        <r>
          <rPr>
            <sz val="9"/>
            <color indexed="81"/>
            <rFont val="Tahoma"/>
            <family val="2"/>
          </rPr>
          <t>Comprised of 5 to 6 smaller HII regions</t>
        </r>
      </text>
    </comment>
    <comment ref="A2685" authorId="0" shapeId="0" xr:uid="{F2B59529-010A-40AB-A4AB-C7188B5D9EF5}">
      <text>
        <r>
          <rPr>
            <sz val="9"/>
            <color indexed="81"/>
            <rFont val="Tahoma"/>
            <family val="2"/>
          </rPr>
          <t xml:space="preserve">
</t>
        </r>
      </text>
    </comment>
    <comment ref="K2685" authorId="0" shapeId="0" xr:uid="{B70F79CB-B692-4C49-8727-69A6B524AE01}">
      <text>
        <r>
          <rPr>
            <sz val="9"/>
            <color indexed="81"/>
            <rFont val="Tahoma"/>
            <family val="2"/>
          </rPr>
          <t>Includes both the large faint HII region (the Nest) and the smaller inset bright HII region (the Egg)</t>
        </r>
      </text>
    </comment>
    <comment ref="A2686" authorId="0" shapeId="0" xr:uid="{873FD199-4284-469B-BA37-A6D5DDEFBA10}">
      <text>
        <r>
          <rPr>
            <sz val="9"/>
            <color indexed="81"/>
            <rFont val="Tahoma"/>
            <family val="2"/>
          </rPr>
          <t xml:space="preserve">
</t>
        </r>
      </text>
    </comment>
    <comment ref="K2686" authorId="0" shapeId="0" xr:uid="{4399190F-1814-4789-B620-FC8B31FD7FF2}">
      <text>
        <r>
          <rPr>
            <sz val="9"/>
            <color indexed="81"/>
            <rFont val="Tahoma"/>
            <family val="2"/>
          </rPr>
          <t>Faint irregular HII region</t>
        </r>
      </text>
    </comment>
    <comment ref="A2687" authorId="0" shapeId="0" xr:uid="{88AB2C0E-112C-4112-8FA6-576E04BB97AD}">
      <text>
        <r>
          <rPr>
            <sz val="9"/>
            <color indexed="81"/>
            <rFont val="Tahoma"/>
            <family val="2"/>
          </rPr>
          <t xml:space="preserve">
</t>
        </r>
      </text>
    </comment>
    <comment ref="K2687" authorId="0" shapeId="0" xr:uid="{A0BDBA16-B345-4D6E-B3C8-A4A01D0527B4}">
      <text>
        <r>
          <rPr>
            <sz val="9"/>
            <color indexed="81"/>
            <rFont val="Tahoma"/>
            <family val="2"/>
          </rPr>
          <t>Faint complex HII shape in Scutum</t>
        </r>
      </text>
    </comment>
    <comment ref="A2688" authorId="0" shapeId="0" xr:uid="{CAD9F7B7-EF89-4266-8E81-98EBA49C26E0}">
      <text>
        <r>
          <rPr>
            <sz val="9"/>
            <color indexed="81"/>
            <rFont val="Tahoma"/>
            <family val="2"/>
          </rPr>
          <t xml:space="preserve">
</t>
        </r>
      </text>
    </comment>
    <comment ref="K2688" authorId="0" shapeId="0" xr:uid="{6A19B5B0-CEB2-41B3-925F-F73665FA471E}">
      <text>
        <r>
          <rPr>
            <sz val="9"/>
            <color indexed="81"/>
            <rFont val="Tahoma"/>
            <family val="2"/>
          </rPr>
          <t>Very dim irregular HII spot</t>
        </r>
      </text>
    </comment>
    <comment ref="A2689" authorId="0" shapeId="0" xr:uid="{B2389DA1-1988-4BCC-8BBC-898B74AB6FD6}">
      <text>
        <r>
          <rPr>
            <sz val="9"/>
            <color indexed="81"/>
            <rFont val="Tahoma"/>
            <family val="2"/>
          </rPr>
          <t xml:space="preserve">
</t>
        </r>
      </text>
    </comment>
    <comment ref="K2689" authorId="0" shapeId="0" xr:uid="{40870707-B664-46B1-A750-5A3DA5718FBE}">
      <text>
        <r>
          <rPr>
            <sz val="9"/>
            <color indexed="81"/>
            <rFont val="Tahoma"/>
            <family val="2"/>
          </rPr>
          <t>Next to Sh2-57, small HII region</t>
        </r>
      </text>
    </comment>
    <comment ref="A2690" authorId="0" shapeId="0" xr:uid="{2AAD9A94-803E-4494-96EB-CAD27AA78C4B}">
      <text>
        <r>
          <rPr>
            <sz val="9"/>
            <color indexed="81"/>
            <rFont val="Tahoma"/>
            <family val="2"/>
          </rPr>
          <t xml:space="preserve">
</t>
        </r>
      </text>
    </comment>
    <comment ref="K2690" authorId="0" shapeId="0" xr:uid="{967A3262-F252-4398-8B3C-7F67947758B7}">
      <text>
        <r>
          <rPr>
            <sz val="9"/>
            <color indexed="81"/>
            <rFont val="Tahoma"/>
            <family val="2"/>
          </rPr>
          <t>Faint complex HII region</t>
        </r>
      </text>
    </comment>
    <comment ref="A2691" authorId="0" shapeId="0" xr:uid="{E55F8C6D-D495-4953-ACFF-C30E01B70D3D}">
      <text>
        <r>
          <rPr>
            <sz val="9"/>
            <color indexed="81"/>
            <rFont val="Tahoma"/>
            <family val="2"/>
          </rPr>
          <t xml:space="preserve">
</t>
        </r>
      </text>
    </comment>
    <comment ref="K2691" authorId="0" shapeId="0" xr:uid="{ECA5550F-7B03-4633-B43F-C5046E2F4E9C}">
      <text>
        <r>
          <rPr>
            <sz val="9"/>
            <color indexed="81"/>
            <rFont val="Tahoma"/>
            <family val="2"/>
          </rPr>
          <t>Interesting HII region in Scutum</t>
        </r>
      </text>
    </comment>
    <comment ref="A2692" authorId="0" shapeId="0" xr:uid="{6973902C-24BA-4FA1-BF21-AFC951173210}">
      <text>
        <r>
          <rPr>
            <sz val="9"/>
            <color indexed="81"/>
            <rFont val="Tahoma"/>
            <family val="2"/>
          </rPr>
          <t xml:space="preserve">
</t>
        </r>
      </text>
    </comment>
    <comment ref="K2692" authorId="0" shapeId="0" xr:uid="{AF262A52-9EF9-43C4-8E07-2DFC30D57956}">
      <text>
        <r>
          <rPr>
            <sz val="9"/>
            <color indexed="81"/>
            <rFont val="Tahoma"/>
            <family val="2"/>
          </rPr>
          <t>Tiny bright PN-like HII region</t>
        </r>
      </text>
    </comment>
    <comment ref="A2693" authorId="0" shapeId="0" xr:uid="{53B058FC-D374-499D-90DA-3B6F6E4EB182}">
      <text>
        <r>
          <rPr>
            <sz val="9"/>
            <color indexed="81"/>
            <rFont val="Tahoma"/>
            <family val="2"/>
          </rPr>
          <t xml:space="preserve">
</t>
        </r>
      </text>
    </comment>
    <comment ref="K2693" authorId="0" shapeId="0" xr:uid="{1FC49044-1FD0-4A2B-9DE9-C9C38AD88909}">
      <text>
        <r>
          <rPr>
            <sz val="9"/>
            <color indexed="81"/>
            <rFont val="Tahoma"/>
            <family val="2"/>
          </rPr>
          <t>Small faint HII region</t>
        </r>
      </text>
    </comment>
    <comment ref="A2694" authorId="0" shapeId="0" xr:uid="{D4D0E55F-5A44-4986-8954-CC0076FF242A}">
      <text>
        <r>
          <rPr>
            <sz val="9"/>
            <color indexed="81"/>
            <rFont val="Tahoma"/>
            <family val="2"/>
          </rPr>
          <t xml:space="preserve">
</t>
        </r>
      </text>
    </comment>
    <comment ref="K2694" authorId="0" shapeId="0" xr:uid="{83AFDA3C-4E89-4704-8D02-3785C8949967}">
      <text>
        <r>
          <rPr>
            <sz val="9"/>
            <color indexed="81"/>
            <rFont val="Tahoma"/>
            <family val="2"/>
          </rPr>
          <t>Faint molecular cloud shaped like an arrowhead</t>
        </r>
      </text>
    </comment>
    <comment ref="A2695" authorId="0" shapeId="0" xr:uid="{C27BB1A9-F84C-4FA7-94B1-46B9C7E7B935}">
      <text>
        <r>
          <rPr>
            <sz val="9"/>
            <color indexed="81"/>
            <rFont val="Tahoma"/>
            <family val="2"/>
          </rPr>
          <t xml:space="preserve">
</t>
        </r>
      </text>
    </comment>
    <comment ref="K2695" authorId="0" shapeId="0" xr:uid="{C19A8647-4852-449B-A2EF-1439471DE182}">
      <text>
        <r>
          <rPr>
            <sz val="9"/>
            <color indexed="81"/>
            <rFont val="Tahoma"/>
            <family val="2"/>
          </rPr>
          <t>Faint HII nebula with dark lanes</t>
        </r>
      </text>
    </comment>
    <comment ref="A2696" authorId="0" shapeId="0" xr:uid="{5198C2C2-B040-469F-873A-0BA2B184C776}">
      <text>
        <r>
          <rPr>
            <sz val="9"/>
            <color indexed="81"/>
            <rFont val="Tahoma"/>
            <family val="2"/>
          </rPr>
          <t xml:space="preserve">
</t>
        </r>
      </text>
    </comment>
    <comment ref="K2696" authorId="0" shapeId="0" xr:uid="{0F7ED26C-6529-4239-8E95-CE4780E5903D}">
      <text>
        <r>
          <rPr>
            <sz val="9"/>
            <color indexed="81"/>
            <rFont val="Tahoma"/>
            <family val="2"/>
          </rPr>
          <t>Unusually shaped faint HII region in Aquila</t>
        </r>
      </text>
    </comment>
    <comment ref="A2697" authorId="0" shapeId="0" xr:uid="{DA479F65-DD2E-4FB7-8741-3B7674598BF7}">
      <text>
        <r>
          <rPr>
            <sz val="9"/>
            <color indexed="81"/>
            <rFont val="Tahoma"/>
            <family val="2"/>
          </rPr>
          <t xml:space="preserve">
</t>
        </r>
      </text>
    </comment>
    <comment ref="K2697" authorId="0" shapeId="0" xr:uid="{E3BF7C52-AC80-41AC-979C-BFF19655503F}">
      <text>
        <r>
          <rPr>
            <sz val="9"/>
            <color indexed="81"/>
            <rFont val="Tahoma"/>
            <family val="2"/>
          </rPr>
          <t>HII region behind foreground dust cloud</t>
        </r>
      </text>
    </comment>
    <comment ref="A2698" authorId="0" shapeId="0" xr:uid="{F2930579-56BB-4466-BC78-400F24A42C98}">
      <text>
        <r>
          <rPr>
            <sz val="9"/>
            <color indexed="81"/>
            <rFont val="Tahoma"/>
            <family val="2"/>
          </rPr>
          <t xml:space="preserve">
</t>
        </r>
      </text>
    </comment>
    <comment ref="K2698" authorId="0" shapeId="0" xr:uid="{E6AA9E03-344C-48B7-88D6-DA22CFD79E4D}">
      <text>
        <r>
          <rPr>
            <sz val="9"/>
            <color indexed="81"/>
            <rFont val="Tahoma"/>
            <family val="2"/>
          </rPr>
          <t>Very faint HII region</t>
        </r>
      </text>
    </comment>
    <comment ref="A2699" authorId="0" shapeId="0" xr:uid="{B6001415-9D43-485C-AE46-C9F96FE9BD5A}">
      <text>
        <r>
          <rPr>
            <sz val="9"/>
            <color indexed="81"/>
            <rFont val="Tahoma"/>
            <family val="2"/>
          </rPr>
          <t xml:space="preserve">
</t>
        </r>
      </text>
    </comment>
    <comment ref="K2699" authorId="0" shapeId="0" xr:uid="{7B8BFDAE-1853-4A21-8AA4-86D76EAB0DEE}">
      <text>
        <r>
          <rPr>
            <sz val="9"/>
            <color indexed="81"/>
            <rFont val="Tahoma"/>
            <family val="2"/>
          </rPr>
          <t>Large faint PN with HII and OIII contribution and significant ISM interaction</t>
        </r>
      </text>
    </comment>
    <comment ref="A2700" authorId="0" shapeId="0" xr:uid="{A850BCD7-4103-4EC8-A633-BEB1BAE73F7A}">
      <text>
        <r>
          <rPr>
            <sz val="9"/>
            <color indexed="81"/>
            <rFont val="Tahoma"/>
            <family val="2"/>
          </rPr>
          <t xml:space="preserve">
</t>
        </r>
      </text>
    </comment>
    <comment ref="K2700" authorId="0" shapeId="0" xr:uid="{F090BAE5-8390-40B7-94FE-2D3CBED28AEA}">
      <text>
        <r>
          <rPr>
            <sz val="9"/>
            <color indexed="81"/>
            <rFont val="Tahoma"/>
            <family val="2"/>
          </rPr>
          <t>Complex HII area with bright regions, a foreground cluster, and hints of reflection on the right side</t>
        </r>
      </text>
    </comment>
    <comment ref="A2701" authorId="0" shapeId="0" xr:uid="{16BB7269-AB3B-499D-AB4F-4EF24848B96C}">
      <text>
        <r>
          <rPr>
            <sz val="9"/>
            <color indexed="81"/>
            <rFont val="Tahoma"/>
            <family val="2"/>
          </rPr>
          <t xml:space="preserve">
</t>
        </r>
      </text>
    </comment>
    <comment ref="K2701" authorId="0" shapeId="0" xr:uid="{6E19A8B0-CDE2-4ABA-AE91-24197DC47E1C}">
      <text>
        <r>
          <rPr>
            <sz val="9"/>
            <color indexed="81"/>
            <rFont val="Tahoma"/>
            <family val="2"/>
          </rPr>
          <t>Faint molecular cloud</t>
        </r>
      </text>
    </comment>
    <comment ref="A2702" authorId="0" shapeId="0" xr:uid="{E1C853EE-C964-4CE0-85B1-1D070960558B}">
      <text>
        <r>
          <rPr>
            <sz val="9"/>
            <color indexed="81"/>
            <rFont val="Tahoma"/>
            <family val="2"/>
          </rPr>
          <t xml:space="preserve">
</t>
        </r>
      </text>
    </comment>
    <comment ref="K2702" authorId="0" shapeId="0" xr:uid="{E4516CDF-4A45-4885-8B3D-73A8F369C6AD}">
      <text>
        <r>
          <rPr>
            <sz val="9"/>
            <color indexed="81"/>
            <rFont val="Tahoma"/>
            <family val="2"/>
          </rPr>
          <t>Multipolar HI-dominated PN with unusual, complex asymmetric shape</t>
        </r>
      </text>
    </comment>
    <comment ref="A2703" authorId="0" shapeId="0" xr:uid="{76931E1A-BB0F-4E0A-BAB9-67DFA1DE74B0}">
      <text>
        <r>
          <rPr>
            <sz val="9"/>
            <color indexed="81"/>
            <rFont val="Tahoma"/>
            <family val="2"/>
          </rPr>
          <t xml:space="preserve">
</t>
        </r>
      </text>
    </comment>
    <comment ref="K2703" authorId="0" shapeId="0" xr:uid="{DB7BFD54-EA44-4D7E-8D99-9BF643A0DD01}">
      <text>
        <r>
          <rPr>
            <sz val="9"/>
            <color indexed="81"/>
            <rFont val="Tahoma"/>
            <family val="2"/>
          </rPr>
          <t>Very dim HII region in Aquila</t>
        </r>
      </text>
    </comment>
    <comment ref="A2704" authorId="0" shapeId="0" xr:uid="{DF5FD011-2215-439B-94F8-66D5E00D1BCB}">
      <text>
        <r>
          <rPr>
            <sz val="9"/>
            <color indexed="81"/>
            <rFont val="Tahoma"/>
            <family val="2"/>
          </rPr>
          <t xml:space="preserve">
</t>
        </r>
      </text>
    </comment>
    <comment ref="K2704" authorId="0" shapeId="0" xr:uid="{1FF4085B-7A5B-4231-87BD-4018C520F619}">
      <text>
        <r>
          <rPr>
            <sz val="9"/>
            <color indexed="81"/>
            <rFont val="Tahoma"/>
            <family val="2"/>
          </rPr>
          <t>One of the closest molecular clouds to earth</t>
        </r>
      </text>
    </comment>
    <comment ref="A2705" authorId="0" shapeId="0" xr:uid="{1826194F-34B4-4897-9767-18D53092A7B2}">
      <text>
        <r>
          <rPr>
            <sz val="9"/>
            <color indexed="81"/>
            <rFont val="Tahoma"/>
            <family val="2"/>
          </rPr>
          <t xml:space="preserve">
</t>
        </r>
      </text>
    </comment>
    <comment ref="K2705" authorId="0" shapeId="0" xr:uid="{2E2A667D-F824-45EA-A26F-E8184E2E377B}">
      <text>
        <r>
          <rPr>
            <sz val="9"/>
            <color indexed="81"/>
            <rFont val="Tahoma"/>
            <family val="2"/>
          </rPr>
          <t>Faint HII region</t>
        </r>
      </text>
    </comment>
    <comment ref="A2706" authorId="0" shapeId="0" xr:uid="{CEC6D184-403C-471B-B01C-A405CD02CE46}">
      <text>
        <r>
          <rPr>
            <sz val="9"/>
            <color indexed="81"/>
            <rFont val="Tahoma"/>
            <family val="2"/>
          </rPr>
          <t xml:space="preserve">
</t>
        </r>
      </text>
    </comment>
    <comment ref="K2706" authorId="0" shapeId="0" xr:uid="{91D64241-A12D-4614-8087-EB5E30B6839A}">
      <text>
        <r>
          <rPr>
            <sz val="9"/>
            <color indexed="81"/>
            <rFont val="Tahoma"/>
            <family val="2"/>
          </rPr>
          <t>Very dim HII region</t>
        </r>
      </text>
    </comment>
    <comment ref="A2707" authorId="0" shapeId="0" xr:uid="{916036A5-5874-4798-819A-2520243317D0}">
      <text>
        <r>
          <rPr>
            <sz val="9"/>
            <color indexed="81"/>
            <rFont val="Tahoma"/>
            <family val="2"/>
          </rPr>
          <t xml:space="preserve">
</t>
        </r>
      </text>
    </comment>
    <comment ref="K2707" authorId="0" shapeId="0" xr:uid="{E9A6A14C-33AB-4DF0-A155-E949619755C0}">
      <text>
        <r>
          <rPr>
            <sz val="9"/>
            <color indexed="81"/>
            <rFont val="Tahoma"/>
            <family val="2"/>
          </rPr>
          <t>Very dim HII region</t>
        </r>
      </text>
    </comment>
    <comment ref="A2708" authorId="0" shapeId="0" xr:uid="{ECD65173-FA74-46A1-A5B4-12F3B4184975}">
      <text>
        <r>
          <rPr>
            <sz val="9"/>
            <color indexed="81"/>
            <rFont val="Tahoma"/>
            <family val="2"/>
          </rPr>
          <t xml:space="preserve">
</t>
        </r>
      </text>
    </comment>
    <comment ref="K2708" authorId="0" shapeId="0" xr:uid="{D8385BF3-56E3-4044-9DBC-FC921D7B97D4}">
      <text>
        <r>
          <rPr>
            <sz val="9"/>
            <color indexed="81"/>
            <rFont val="Tahoma"/>
            <family val="2"/>
          </rPr>
          <t>Faint molecular cloud</t>
        </r>
      </text>
    </comment>
    <comment ref="A2709" authorId="0" shapeId="0" xr:uid="{88D7A18C-C4C6-4CDA-8E46-BAE401909F21}">
      <text>
        <r>
          <rPr>
            <sz val="9"/>
            <color indexed="81"/>
            <rFont val="Tahoma"/>
            <family val="2"/>
          </rPr>
          <t xml:space="preserve">
</t>
        </r>
      </text>
    </comment>
    <comment ref="K2709" authorId="0" shapeId="0" xr:uid="{5FBBA016-6985-45FC-84A7-1154DA66FDCE}">
      <text>
        <r>
          <rPr>
            <sz val="9"/>
            <color indexed="81"/>
            <rFont val="Tahoma"/>
            <family val="2"/>
          </rPr>
          <t>Faint ancient PN</t>
        </r>
      </text>
    </comment>
    <comment ref="A2710" authorId="0" shapeId="0" xr:uid="{6C2377D7-C4F2-41C6-BF96-EC87C404FB39}">
      <text>
        <r>
          <rPr>
            <sz val="9"/>
            <color indexed="81"/>
            <rFont val="Tahoma"/>
            <family val="2"/>
          </rPr>
          <t xml:space="preserve">
</t>
        </r>
      </text>
    </comment>
    <comment ref="K2710" authorId="0" shapeId="0" xr:uid="{054B083B-ED95-46DA-A296-B31540869C05}">
      <text>
        <r>
          <rPr>
            <sz val="9"/>
            <color indexed="81"/>
            <rFont val="Tahoma"/>
            <family val="2"/>
          </rPr>
          <t>Very faint HII region</t>
        </r>
      </text>
    </comment>
    <comment ref="A2711" authorId="0" shapeId="0" xr:uid="{6C4B8EF8-49CE-44AD-A36E-D08D3552EDC7}">
      <text>
        <r>
          <rPr>
            <sz val="9"/>
            <color indexed="81"/>
            <rFont val="Tahoma"/>
            <family val="2"/>
          </rPr>
          <t xml:space="preserve">
</t>
        </r>
      </text>
    </comment>
    <comment ref="K2711" authorId="0" shapeId="0" xr:uid="{A32F37C3-BFBE-4647-B5FD-23C8862A57B5}">
      <text>
        <r>
          <rPr>
            <sz val="9"/>
            <color indexed="81"/>
            <rFont val="Tahoma"/>
            <family val="2"/>
          </rPr>
          <t>Small bright HII region, often mistaken for a PN</t>
        </r>
      </text>
    </comment>
    <comment ref="A2712" authorId="0" shapeId="0" xr:uid="{144E25D9-397D-4C57-B9D8-448E36FA2DE1}">
      <text>
        <r>
          <rPr>
            <sz val="9"/>
            <color indexed="81"/>
            <rFont val="Tahoma"/>
            <family val="2"/>
          </rPr>
          <t xml:space="preserve">
</t>
        </r>
      </text>
    </comment>
    <comment ref="K2712" authorId="0" shapeId="0" xr:uid="{A875B923-C9D7-47B6-98B4-433255F9D55D}">
      <text>
        <r>
          <rPr>
            <sz val="9"/>
            <color indexed="81"/>
            <rFont val="Tahoma"/>
            <family val="2"/>
          </rPr>
          <t>Faint molecular cloud</t>
        </r>
      </text>
    </comment>
    <comment ref="A2713" authorId="0" shapeId="0" xr:uid="{2BF73216-C996-4B4A-84BE-FC39FFAAC136}">
      <text>
        <r>
          <rPr>
            <sz val="9"/>
            <color indexed="81"/>
            <rFont val="Tahoma"/>
            <family val="2"/>
          </rPr>
          <t xml:space="preserve">
</t>
        </r>
      </text>
    </comment>
    <comment ref="K2713" authorId="0" shapeId="0" xr:uid="{EE12DD04-5E5A-48CD-81C9-8B2860DE1861}">
      <text>
        <r>
          <rPr>
            <sz val="9"/>
            <color indexed="81"/>
            <rFont val="Tahoma"/>
            <family val="2"/>
          </rPr>
          <t>Faint emission and reflection nebula, with nice dark lanes</t>
        </r>
      </text>
    </comment>
    <comment ref="A2714" authorId="0" shapeId="0" xr:uid="{86351FBC-9F48-4C1A-A51E-E0EC455D0431}">
      <text>
        <r>
          <rPr>
            <sz val="9"/>
            <color indexed="81"/>
            <rFont val="Tahoma"/>
            <family val="2"/>
          </rPr>
          <t xml:space="preserve">
</t>
        </r>
      </text>
    </comment>
    <comment ref="K2714" authorId="0" shapeId="0" xr:uid="{05F91AEF-51D7-4E69-86F5-43D3A6FF5A1C}">
      <text>
        <r>
          <rPr>
            <sz val="9"/>
            <color indexed="81"/>
            <rFont val="Tahoma"/>
            <family val="2"/>
          </rPr>
          <t>Tiny HII region surrounding star cluster</t>
        </r>
      </text>
    </comment>
    <comment ref="A2715" authorId="0" shapeId="0" xr:uid="{344CAA7C-3044-455F-B475-4200111FA683}">
      <text>
        <r>
          <rPr>
            <sz val="9"/>
            <color indexed="81"/>
            <rFont val="Tahoma"/>
            <family val="2"/>
          </rPr>
          <t xml:space="preserve">
</t>
        </r>
      </text>
    </comment>
    <comment ref="K2715" authorId="0" shapeId="0" xr:uid="{08E0456C-2033-4778-81CC-652B89BE8543}">
      <text>
        <r>
          <rPr>
            <sz val="9"/>
            <color indexed="81"/>
            <rFont val="Tahoma"/>
            <family val="2"/>
          </rPr>
          <t>Small faint HII region</t>
        </r>
      </text>
    </comment>
    <comment ref="A2716" authorId="0" shapeId="0" xr:uid="{B144719E-9589-4FFE-ADFE-4F5558C84D1A}">
      <text>
        <r>
          <rPr>
            <sz val="9"/>
            <color indexed="81"/>
            <rFont val="Tahoma"/>
            <family val="2"/>
          </rPr>
          <t xml:space="preserve">
</t>
        </r>
      </text>
    </comment>
    <comment ref="K2716" authorId="0" shapeId="0" xr:uid="{405F5315-D853-4FF5-8185-BEDF0E65888F}">
      <text>
        <r>
          <rPr>
            <sz val="9"/>
            <color indexed="81"/>
            <rFont val="Tahoma"/>
            <family val="2"/>
          </rPr>
          <t>Faint reflection nebula</t>
        </r>
      </text>
    </comment>
    <comment ref="A2717" authorId="0" shapeId="0" xr:uid="{2A5FAACB-22FF-4615-B6E5-22B304874581}">
      <text>
        <r>
          <rPr>
            <sz val="9"/>
            <color indexed="81"/>
            <rFont val="Tahoma"/>
            <family val="2"/>
          </rPr>
          <t xml:space="preserve">
</t>
        </r>
      </text>
    </comment>
    <comment ref="K2717" authorId="0" shapeId="0" xr:uid="{F069D58D-D9AC-4300-8D9F-B16EAFA40C80}">
      <text>
        <r>
          <rPr>
            <sz val="9"/>
            <color indexed="81"/>
            <rFont val="Tahoma"/>
            <family val="2"/>
          </rPr>
          <t>Faint emission nebula with 2 obscured star clusters</t>
        </r>
      </text>
    </comment>
    <comment ref="A2718" authorId="0" shapeId="0" xr:uid="{B23F9BB5-48C6-4E91-B26E-44BD3005C24F}">
      <text>
        <r>
          <rPr>
            <sz val="9"/>
            <color indexed="81"/>
            <rFont val="Tahoma"/>
            <family val="2"/>
          </rPr>
          <t xml:space="preserve">
</t>
        </r>
      </text>
    </comment>
    <comment ref="K2718" authorId="0" shapeId="0" xr:uid="{36DB2EBC-FCC3-42C3-8394-9B1196B0B165}">
      <text>
        <r>
          <rPr>
            <sz val="9"/>
            <color indexed="81"/>
            <rFont val="Tahoma"/>
            <family val="2"/>
          </rPr>
          <t>Typical faint emission nebula adjacent to 2 smaller brighter emission regions (Sh2-88A and B)</t>
        </r>
      </text>
    </comment>
    <comment ref="A2719" authorId="0" shapeId="0" xr:uid="{82AE3B4F-C8A7-40BF-98CF-81D1B083E26B}">
      <text>
        <r>
          <rPr>
            <sz val="9"/>
            <color indexed="81"/>
            <rFont val="Tahoma"/>
            <family val="2"/>
          </rPr>
          <t xml:space="preserve">
</t>
        </r>
      </text>
    </comment>
    <comment ref="K2719" authorId="0" shapeId="0" xr:uid="{70B6EC5B-1280-456E-B83C-569D75DA1E53}">
      <text>
        <r>
          <rPr>
            <sz val="9"/>
            <color indexed="81"/>
            <rFont val="Tahoma"/>
            <family val="2"/>
          </rPr>
          <t>Faint HII region in Vulpecula</t>
        </r>
      </text>
    </comment>
    <comment ref="A2720" authorId="0" shapeId="0" xr:uid="{E6BBD143-1675-4689-91BE-B29ACFFBF1C1}">
      <text>
        <r>
          <rPr>
            <sz val="9"/>
            <color indexed="81"/>
            <rFont val="Tahoma"/>
            <family val="2"/>
          </rPr>
          <t xml:space="preserve">
</t>
        </r>
      </text>
    </comment>
    <comment ref="K2720" authorId="0" shapeId="0" xr:uid="{30D6046F-8765-492B-9145-762A063A804B}">
      <text>
        <r>
          <rPr>
            <sz val="9"/>
            <color indexed="81"/>
            <rFont val="Tahoma"/>
            <family val="2"/>
          </rPr>
          <t>Faint, nicely textured HII region</t>
        </r>
      </text>
    </comment>
    <comment ref="A2721" authorId="0" shapeId="0" xr:uid="{D657928A-DBCA-44C0-BC9B-538D51295621}">
      <text>
        <r>
          <rPr>
            <sz val="9"/>
            <color indexed="81"/>
            <rFont val="Tahoma"/>
            <family val="2"/>
          </rPr>
          <t xml:space="preserve">
</t>
        </r>
      </text>
    </comment>
    <comment ref="K2721" authorId="0" shapeId="0" xr:uid="{6FF5E17D-684C-4048-8786-CA9FD3A866C3}">
      <text>
        <r>
          <rPr>
            <sz val="9"/>
            <color indexed="81"/>
            <rFont val="Tahoma"/>
            <family val="2"/>
          </rPr>
          <t xml:space="preserve">HII and OIII filaments, remnants of a huge old SNR. </t>
        </r>
      </text>
    </comment>
    <comment ref="A2722" authorId="0" shapeId="0" xr:uid="{DF2D4BBD-225D-43C8-BB12-B138D320CC22}">
      <text>
        <r>
          <rPr>
            <sz val="9"/>
            <color indexed="81"/>
            <rFont val="Tahoma"/>
            <family val="2"/>
          </rPr>
          <t xml:space="preserve">
</t>
        </r>
      </text>
    </comment>
    <comment ref="K2722" authorId="0" shapeId="0" xr:uid="{DA91D24C-F6EB-4CBE-A88A-1C562DBE8826}">
      <text>
        <r>
          <rPr>
            <sz val="9"/>
            <color indexed="81"/>
            <rFont val="Tahoma"/>
            <family val="2"/>
          </rPr>
          <t>Faint HII region</t>
        </r>
      </text>
    </comment>
    <comment ref="A2723" authorId="0" shapeId="0" xr:uid="{BD853B44-2C98-47CF-AE1C-21EAC9AB60B6}">
      <text>
        <r>
          <rPr>
            <sz val="9"/>
            <color indexed="81"/>
            <rFont val="Tahoma"/>
            <family val="2"/>
          </rPr>
          <t xml:space="preserve">
</t>
        </r>
      </text>
    </comment>
    <comment ref="K2723" authorId="0" shapeId="0" xr:uid="{FE1399B5-69D6-457A-8319-7CEB534778C1}">
      <text>
        <r>
          <rPr>
            <sz val="9"/>
            <color indexed="81"/>
            <rFont val="Tahoma"/>
            <family val="2"/>
          </rPr>
          <t>Small, bright HII region</t>
        </r>
      </text>
    </comment>
    <comment ref="A2724" authorId="0" shapeId="0" xr:uid="{5080DE31-57A0-47D4-ACC0-2F8D23A6DF60}">
      <text>
        <r>
          <rPr>
            <sz val="9"/>
            <color indexed="81"/>
            <rFont val="Tahoma"/>
            <family val="2"/>
          </rPr>
          <t xml:space="preserve">
</t>
        </r>
      </text>
    </comment>
    <comment ref="K2724" authorId="0" shapeId="0" xr:uid="{5DDE7DB0-8CA0-4AC6-A669-86D8F4EB9AE7}">
      <text>
        <r>
          <rPr>
            <sz val="9"/>
            <color indexed="81"/>
            <rFont val="Tahoma"/>
            <family val="2"/>
          </rPr>
          <t>Faint SNR filament, same SNR as SH2-91 &amp; 96</t>
        </r>
      </text>
    </comment>
    <comment ref="A2725" authorId="0" shapeId="0" xr:uid="{E92F51E0-C5BE-4194-B3F9-59AEF103F3BE}">
      <text>
        <r>
          <rPr>
            <sz val="9"/>
            <color indexed="81"/>
            <rFont val="Tahoma"/>
            <family val="2"/>
          </rPr>
          <t xml:space="preserve">
</t>
        </r>
      </text>
    </comment>
    <comment ref="K2725" authorId="0" shapeId="0" xr:uid="{612C7CC7-7015-4732-A448-89C6840C5F39}">
      <text>
        <r>
          <rPr>
            <sz val="9"/>
            <color indexed="81"/>
            <rFont val="Tahoma"/>
            <family val="2"/>
          </rPr>
          <t>Faint SNR filament, same SNR as Sh2-91 &amp; 94</t>
        </r>
      </text>
    </comment>
    <comment ref="A2726" authorId="0" shapeId="0" xr:uid="{A71E933D-1AF5-453A-A832-7922CFF5FDBB}">
      <text>
        <r>
          <rPr>
            <sz val="9"/>
            <color indexed="81"/>
            <rFont val="Tahoma"/>
            <family val="2"/>
          </rPr>
          <t xml:space="preserve">
</t>
        </r>
      </text>
    </comment>
    <comment ref="K2726" authorId="0" shapeId="0" xr:uid="{7374D8FE-80CC-44E4-8F0A-CFE493945B6C}">
      <text>
        <r>
          <rPr>
            <sz val="9"/>
            <color indexed="81"/>
            <rFont val="Tahoma"/>
            <family val="2"/>
          </rPr>
          <t>Dim HII emission</t>
        </r>
      </text>
    </comment>
    <comment ref="A2727" authorId="0" shapeId="0" xr:uid="{CDAF70B1-4039-4624-9BAB-EDAB64656705}">
      <text>
        <r>
          <rPr>
            <sz val="9"/>
            <color indexed="81"/>
            <rFont val="Tahoma"/>
            <family val="2"/>
          </rPr>
          <t xml:space="preserve">
</t>
        </r>
      </text>
    </comment>
    <comment ref="K2727" authorId="0" shapeId="0" xr:uid="{233D462D-CA51-4650-8136-AFAB975A7D76}">
      <text>
        <r>
          <rPr>
            <sz val="9"/>
            <color indexed="81"/>
            <rFont val="Tahoma"/>
            <family val="2"/>
          </rPr>
          <t>Faint HII emission ring, void of any emission in the center</t>
        </r>
      </text>
    </comment>
    <comment ref="A2728" authorId="0" shapeId="0" xr:uid="{73C01014-1DB8-43DC-9D7A-9B361AA23634}">
      <text>
        <r>
          <rPr>
            <sz val="9"/>
            <color indexed="81"/>
            <rFont val="Tahoma"/>
            <family val="2"/>
          </rPr>
          <t xml:space="preserve">
</t>
        </r>
      </text>
    </comment>
    <comment ref="K2728" authorId="0" shapeId="0" xr:uid="{22408013-C57C-4E47-A077-E663BF6D062F}">
      <text>
        <r>
          <rPr>
            <sz val="9"/>
            <color indexed="81"/>
            <rFont val="Tahoma"/>
            <family val="2"/>
          </rPr>
          <t>Faint HII region</t>
        </r>
      </text>
    </comment>
    <comment ref="A2729" authorId="0" shapeId="0" xr:uid="{C4074360-DFF6-4DA8-B70B-87772B92881D}">
      <text>
        <r>
          <rPr>
            <sz val="9"/>
            <color indexed="81"/>
            <rFont val="Tahoma"/>
            <family val="2"/>
          </rPr>
          <t xml:space="preserve">
</t>
        </r>
      </text>
    </comment>
    <comment ref="K2729" authorId="0" shapeId="0" xr:uid="{14C0AA5D-AA17-4D9D-9CF2-B8DE5C2FA99B}">
      <text>
        <r>
          <rPr>
            <sz val="9"/>
            <color indexed="81"/>
            <rFont val="Tahoma"/>
            <family val="2"/>
          </rPr>
          <t>Beautiful cosmic flower with 2 dark pillars at the center</t>
        </r>
      </text>
    </comment>
    <comment ref="A2730" authorId="0" shapeId="0" xr:uid="{8891280F-45EF-44F5-910B-0C29DB8CE90D}">
      <text>
        <r>
          <rPr>
            <sz val="9"/>
            <color indexed="81"/>
            <rFont val="Tahoma"/>
            <family val="2"/>
          </rPr>
          <t xml:space="preserve">
</t>
        </r>
      </text>
    </comment>
    <comment ref="K2730" authorId="0" shapeId="0" xr:uid="{4EDA3130-126E-4B33-AD52-2562D7F25002}">
      <text>
        <r>
          <rPr>
            <sz val="9"/>
            <color indexed="81"/>
            <rFont val="Tahoma"/>
            <family val="2"/>
          </rPr>
          <t>Unimpressive long strip of HII</t>
        </r>
      </text>
    </comment>
    <comment ref="A2731" authorId="0" shapeId="0" xr:uid="{F7A23D89-3906-467F-8E32-1810A89B4A81}">
      <text>
        <r>
          <rPr>
            <sz val="9"/>
            <color indexed="81"/>
            <rFont val="Tahoma"/>
            <family val="2"/>
          </rPr>
          <t xml:space="preserve">
</t>
        </r>
      </text>
    </comment>
    <comment ref="K2731" authorId="0" shapeId="0" xr:uid="{3C84D452-342E-437D-B7B3-88208442165F}">
      <text>
        <r>
          <rPr>
            <sz val="9"/>
            <color indexed="81"/>
            <rFont val="Tahoma"/>
            <family val="2"/>
          </rPr>
          <t>Surprisingly pleasing narrowband object with dust lanes and bright stars</t>
        </r>
      </text>
    </comment>
    <comment ref="A2732" authorId="0" shapeId="0" xr:uid="{24CEB0EA-9965-4F7A-8215-7C9662790E95}">
      <text>
        <r>
          <rPr>
            <sz val="9"/>
            <color indexed="81"/>
            <rFont val="Tahoma"/>
            <family val="2"/>
          </rPr>
          <t xml:space="preserve">
</t>
        </r>
      </text>
    </comment>
    <comment ref="K2732" authorId="0" shapeId="0" xr:uid="{D420B435-3587-4D45-944F-FAC99D00D5C6}">
      <text>
        <r>
          <rPr>
            <sz val="9"/>
            <color indexed="81"/>
            <rFont val="Tahoma"/>
            <family val="2"/>
          </rPr>
          <t>Detailed bipolar PN with 2 blown out lobes</t>
        </r>
      </text>
    </comment>
    <comment ref="A2733" authorId="0" shapeId="0" xr:uid="{A6FE538E-4C7C-4466-AD8D-B8EAE2936601}">
      <text>
        <r>
          <rPr>
            <sz val="9"/>
            <color indexed="81"/>
            <rFont val="Tahoma"/>
            <family val="2"/>
          </rPr>
          <t xml:space="preserve">
</t>
        </r>
      </text>
    </comment>
    <comment ref="K2733" authorId="0" shapeId="0" xr:uid="{C0547726-FF52-4152-805D-4A1AF21D00F4}">
      <text>
        <r>
          <rPr>
            <sz val="9"/>
            <color indexed="81"/>
            <rFont val="Tahoma"/>
            <family val="2"/>
          </rPr>
          <t>Faint squarish HII patch</t>
        </r>
      </text>
    </comment>
    <comment ref="A2734" authorId="0" shapeId="0" xr:uid="{5D9FFCE4-9467-4D5C-8EF8-3259DBF86147}">
      <text>
        <r>
          <rPr>
            <sz val="9"/>
            <color indexed="81"/>
            <rFont val="Tahoma"/>
            <family val="2"/>
          </rPr>
          <t xml:space="preserve">
</t>
        </r>
      </text>
    </comment>
    <comment ref="K2734" authorId="0" shapeId="0" xr:uid="{4CCECB01-B8DA-4ACB-843C-0BD5F2FB7F4E}">
      <text>
        <r>
          <rPr>
            <sz val="9"/>
            <color indexed="81"/>
            <rFont val="Tahoma"/>
            <family val="2"/>
          </rPr>
          <t>The entire Cygnus HII region - 18 degrees in diameter</t>
        </r>
      </text>
    </comment>
    <comment ref="A2735" authorId="0" shapeId="0" xr:uid="{E0363347-B504-4C35-B02C-F99CFD4D41B9}">
      <text>
        <r>
          <rPr>
            <sz val="9"/>
            <color indexed="81"/>
            <rFont val="Tahoma"/>
            <family val="2"/>
          </rPr>
          <t xml:space="preserve">
</t>
        </r>
      </text>
    </comment>
    <comment ref="K2735" authorId="0" shapeId="0" xr:uid="{1910BBB1-46F5-4CAE-9EDB-5EB8A2E89599}">
      <text>
        <r>
          <rPr>
            <sz val="9"/>
            <color indexed="81"/>
            <rFont val="Tahoma"/>
            <family val="2"/>
          </rPr>
          <t>Very faint HII nebulosity</t>
        </r>
      </text>
    </comment>
    <comment ref="A2736" authorId="0" shapeId="0" xr:uid="{1599C518-8F6A-46AF-8781-BB868345EEF2}">
      <text>
        <r>
          <rPr>
            <sz val="9"/>
            <color indexed="81"/>
            <rFont val="Tahoma"/>
            <family val="2"/>
          </rPr>
          <t xml:space="preserve">
</t>
        </r>
      </text>
    </comment>
    <comment ref="K2736" authorId="0" shapeId="0" xr:uid="{1E9C9D71-C606-4FDB-8B17-4A358A9013B6}">
      <text>
        <r>
          <rPr>
            <sz val="9"/>
            <color indexed="81"/>
            <rFont val="Tahoma"/>
            <family val="2"/>
          </rPr>
          <t>Extremely dim arc of HII</t>
        </r>
      </text>
    </comment>
    <comment ref="A2737" authorId="0" shapeId="0" xr:uid="{AD70C3B1-3A39-4EAD-B440-2D7E2B234DF7}">
      <text>
        <r>
          <rPr>
            <sz val="9"/>
            <color indexed="81"/>
            <rFont val="Tahoma"/>
            <family val="2"/>
          </rPr>
          <t xml:space="preserve">
</t>
        </r>
      </text>
    </comment>
    <comment ref="K2737" authorId="0" shapeId="0" xr:uid="{0493EB0D-3494-49CD-A464-EA2DB0D686F7}">
      <text>
        <r>
          <rPr>
            <sz val="9"/>
            <color indexed="81"/>
            <rFont val="Tahoma"/>
            <family val="2"/>
          </rPr>
          <t>Underappreciated narrowband object with interesting dust lanes and nice OIII center</t>
        </r>
      </text>
    </comment>
    <comment ref="A2738" authorId="0" shapeId="0" xr:uid="{2852A387-7186-4196-BD5B-40AF63A1C059}">
      <text>
        <r>
          <rPr>
            <sz val="9"/>
            <color indexed="81"/>
            <rFont val="Tahoma"/>
            <family val="2"/>
          </rPr>
          <t xml:space="preserve">
</t>
        </r>
      </text>
    </comment>
    <comment ref="K2738" authorId="0" shapeId="0" xr:uid="{C93032C6-02ED-4BAA-9A6C-EDC671558BEB}">
      <text>
        <r>
          <rPr>
            <sz val="9"/>
            <color indexed="81"/>
            <rFont val="Tahoma"/>
            <family val="2"/>
          </rPr>
          <t>Irregular HII region next to, and part of Sh2-114</t>
        </r>
      </text>
    </comment>
    <comment ref="A2739" authorId="0" shapeId="0" xr:uid="{5A297907-83E8-42B7-B241-4F48A5C01E36}">
      <text>
        <r>
          <rPr>
            <sz val="9"/>
            <color indexed="81"/>
            <rFont val="Tahoma"/>
            <family val="2"/>
          </rPr>
          <t xml:space="preserve">
</t>
        </r>
      </text>
    </comment>
    <comment ref="K2739" authorId="0" shapeId="0" xr:uid="{0B3051ED-77A7-4716-BEBF-7596E3428B7B}">
      <text>
        <r>
          <rPr>
            <sz val="9"/>
            <color indexed="81"/>
            <rFont val="Tahoma"/>
            <family val="2"/>
          </rPr>
          <t>Long wispy HII filaments suggesting a SNR but no such object has been identified here.</t>
        </r>
      </text>
    </comment>
    <comment ref="A2740" authorId="0" shapeId="0" xr:uid="{1A7B6A72-35CF-46CE-B74E-78F74CFEB2DA}">
      <text>
        <r>
          <rPr>
            <sz val="9"/>
            <color indexed="81"/>
            <rFont val="Tahoma"/>
            <family val="2"/>
          </rPr>
          <t xml:space="preserve">
</t>
        </r>
      </text>
    </comment>
    <comment ref="K2740" authorId="0" shapeId="0" xr:uid="{C3B12A14-0E58-4B16-AFFC-9E888926D398}">
      <text>
        <r>
          <rPr>
            <sz val="9"/>
            <color indexed="81"/>
            <rFont val="Tahoma"/>
            <family val="2"/>
          </rPr>
          <t>Mostly HII signal - not enough narrowband signal to make an interesting NB image</t>
        </r>
      </text>
    </comment>
    <comment ref="A2741" authorId="0" shapeId="0" xr:uid="{8865755E-1F98-4E5B-B206-C09BB4BE68C7}">
      <text>
        <r>
          <rPr>
            <sz val="9"/>
            <color indexed="81"/>
            <rFont val="Tahoma"/>
            <family val="2"/>
          </rPr>
          <t xml:space="preserve">
</t>
        </r>
      </text>
    </comment>
    <comment ref="K2741" authorId="0" shapeId="0" xr:uid="{80A12C87-54B0-48E3-A315-F0E986A5CA23}">
      <text>
        <r>
          <rPr>
            <sz val="9"/>
            <color indexed="81"/>
            <rFont val="Tahoma"/>
            <family val="2"/>
          </rPr>
          <t>One of largest HII regions, poor definition</t>
        </r>
      </text>
    </comment>
    <comment ref="A2742" authorId="0" shapeId="0" xr:uid="{74954C08-B8F5-4C8C-A37C-33E5839DF292}">
      <text>
        <r>
          <rPr>
            <sz val="9"/>
            <color indexed="81"/>
            <rFont val="Tahoma"/>
            <family val="2"/>
          </rPr>
          <t xml:space="preserve">
</t>
        </r>
      </text>
    </comment>
    <comment ref="K2742" authorId="0" shapeId="0" xr:uid="{30458ED7-12AF-47E5-B7FE-028181B10AB0}">
      <text>
        <r>
          <rPr>
            <sz val="9"/>
            <color indexed="81"/>
            <rFont val="Tahoma"/>
            <family val="2"/>
          </rPr>
          <t>Thick ring of HII nebulosity (Stromgren sphere) around OIII region</t>
        </r>
      </text>
    </comment>
    <comment ref="A2743" authorId="0" shapeId="0" xr:uid="{0024896D-9D94-4D1B-9896-35AE05D4B51B}">
      <text>
        <r>
          <rPr>
            <sz val="9"/>
            <color indexed="81"/>
            <rFont val="Tahoma"/>
            <family val="2"/>
          </rPr>
          <t xml:space="preserve">
</t>
        </r>
      </text>
    </comment>
    <comment ref="K2743" authorId="0" shapeId="0" xr:uid="{F0A157A3-BE61-43CB-AA31-88CA2D8B3656}">
      <text>
        <r>
          <rPr>
            <sz val="9"/>
            <color indexed="81"/>
            <rFont val="Tahoma"/>
            <family val="2"/>
          </rPr>
          <t>Tiny HII spot</t>
        </r>
      </text>
    </comment>
    <comment ref="A2744" authorId="0" shapeId="0" xr:uid="{862C1B69-DF6D-49C7-AC05-9CEC26B076E4}">
      <text>
        <r>
          <rPr>
            <sz val="9"/>
            <color indexed="81"/>
            <rFont val="Tahoma"/>
            <family val="2"/>
          </rPr>
          <t xml:space="preserve">
</t>
        </r>
      </text>
    </comment>
    <comment ref="K2744" authorId="0" shapeId="0" xr:uid="{9A5FEB51-9EA0-44AB-93B0-FD59488F9721}">
      <text>
        <r>
          <rPr>
            <sz val="9"/>
            <color indexed="81"/>
            <rFont val="Tahoma"/>
            <family val="2"/>
          </rPr>
          <t>Small HII spot</t>
        </r>
      </text>
    </comment>
    <comment ref="A2745" authorId="0" shapeId="0" xr:uid="{2992265E-F85A-4934-80E7-D5F558DE26AA}">
      <text>
        <r>
          <rPr>
            <sz val="9"/>
            <color indexed="81"/>
            <rFont val="Tahoma"/>
            <family val="2"/>
          </rPr>
          <t xml:space="preserve">
</t>
        </r>
      </text>
    </comment>
    <comment ref="K2745" authorId="0" shapeId="0" xr:uid="{7677D0A9-45A0-41D7-BC09-6DC3809CCA93}">
      <text>
        <r>
          <rPr>
            <sz val="9"/>
            <color indexed="81"/>
            <rFont val="Tahoma"/>
            <family val="2"/>
          </rPr>
          <t>Faint molecular cloud, a difficult imaging object</t>
        </r>
      </text>
    </comment>
    <comment ref="A2746" authorId="0" shapeId="0" xr:uid="{13C51205-CE24-49FE-A0F5-D8F8DACED7D3}">
      <text>
        <r>
          <rPr>
            <sz val="9"/>
            <color indexed="81"/>
            <rFont val="Tahoma"/>
            <family val="2"/>
          </rPr>
          <t xml:space="preserve">
</t>
        </r>
      </text>
    </comment>
    <comment ref="K2746" authorId="0" shapeId="0" xr:uid="{874B773E-72BF-4EF2-97F7-3255B9C19F05}">
      <text>
        <r>
          <rPr>
            <sz val="9"/>
            <color indexed="81"/>
            <rFont val="Tahoma"/>
            <family val="2"/>
          </rPr>
          <t>Medium size dim HII region</t>
        </r>
      </text>
    </comment>
    <comment ref="A2747" authorId="0" shapeId="0" xr:uid="{2DBC914F-48F3-49A4-8843-B8D3DF65437F}">
      <text>
        <r>
          <rPr>
            <sz val="9"/>
            <color indexed="81"/>
            <rFont val="Tahoma"/>
            <family val="2"/>
          </rPr>
          <t xml:space="preserve">
</t>
        </r>
      </text>
    </comment>
    <comment ref="K2747" authorId="0" shapeId="0" xr:uid="{3EAA2EBE-851B-43CA-A222-C4C97FAA71AD}">
      <text>
        <r>
          <rPr>
            <sz val="9"/>
            <color indexed="81"/>
            <rFont val="Tahoma"/>
            <family val="2"/>
          </rPr>
          <t>Round HII region with numerous dark dust lanes</t>
        </r>
      </text>
    </comment>
    <comment ref="A2748" authorId="0" shapeId="0" xr:uid="{F7CBF72E-EAB4-41DF-B6E3-1A9923EBD277}">
      <text>
        <r>
          <rPr>
            <sz val="9"/>
            <color indexed="81"/>
            <rFont val="Tahoma"/>
            <family val="2"/>
          </rPr>
          <t xml:space="preserve">
</t>
        </r>
      </text>
    </comment>
    <comment ref="K2748" authorId="0" shapeId="0" xr:uid="{D23D9627-87CC-4F3C-81C7-2534CD2006D4}">
      <text>
        <r>
          <rPr>
            <sz val="9"/>
            <color indexed="81"/>
            <rFont val="Tahoma"/>
            <family val="2"/>
          </rPr>
          <t>One of the more distant HII regions</t>
        </r>
      </text>
    </comment>
    <comment ref="A2749" authorId="0" shapeId="0" xr:uid="{199B64CB-B157-4C90-AA62-82A855EB46C4}">
      <text>
        <r>
          <rPr>
            <sz val="9"/>
            <color indexed="81"/>
            <rFont val="Tahoma"/>
            <family val="2"/>
          </rPr>
          <t xml:space="preserve">
</t>
        </r>
      </text>
    </comment>
    <comment ref="K2749" authorId="0" shapeId="0" xr:uid="{F1F8DECD-C3D3-45E7-983B-A48C682ED233}">
      <text>
        <r>
          <rPr>
            <sz val="9"/>
            <color indexed="81"/>
            <rFont val="Tahoma"/>
            <family val="2"/>
          </rPr>
          <t>Very faint HII region behind a blue star</t>
        </r>
      </text>
    </comment>
    <comment ref="A2750" authorId="0" shapeId="0" xr:uid="{545F2613-F1C3-4339-9AE6-E4D5F7689C01}">
      <text>
        <r>
          <rPr>
            <sz val="9"/>
            <color indexed="81"/>
            <rFont val="Tahoma"/>
            <family val="2"/>
          </rPr>
          <t xml:space="preserve">
</t>
        </r>
      </text>
    </comment>
    <comment ref="K2750" authorId="0" shapeId="0" xr:uid="{1C32BE1D-0B98-4E94-9139-0DB17B1F54EB}">
      <text>
        <r>
          <rPr>
            <sz val="9"/>
            <color indexed="81"/>
            <rFont val="Tahoma"/>
            <family val="2"/>
          </rPr>
          <t>Beautiful complex large emission region ionized by 2 Wolf-Rayet stars</t>
        </r>
      </text>
    </comment>
    <comment ref="A2751" authorId="0" shapeId="0" xr:uid="{A889EE70-31B0-4A71-880E-4D00F7EF975D}">
      <text>
        <r>
          <rPr>
            <sz val="9"/>
            <color indexed="81"/>
            <rFont val="Tahoma"/>
            <family val="2"/>
          </rPr>
          <t xml:space="preserve">
</t>
        </r>
      </text>
    </comment>
    <comment ref="K2751" authorId="0" shapeId="0" xr:uid="{10F7B11C-1371-4F01-842B-EBC33E52541F}">
      <text>
        <r>
          <rPr>
            <sz val="9"/>
            <color indexed="81"/>
            <rFont val="Tahoma"/>
            <family val="2"/>
          </rPr>
          <t>Very faint HII region</t>
        </r>
      </text>
    </comment>
    <comment ref="A2752" authorId="0" shapeId="0" xr:uid="{B354D6C2-B698-4EFA-B61B-3A542083BB4A}">
      <text>
        <r>
          <rPr>
            <sz val="9"/>
            <color indexed="81"/>
            <rFont val="Tahoma"/>
            <family val="2"/>
          </rPr>
          <t xml:space="preserve">
</t>
        </r>
      </text>
    </comment>
    <comment ref="K2752" authorId="0" shapeId="0" xr:uid="{585D0840-1FC9-4BA9-88C5-E5181D592BC2}">
      <text>
        <r>
          <rPr>
            <sz val="9"/>
            <color indexed="81"/>
            <rFont val="Tahoma"/>
            <family val="2"/>
          </rPr>
          <t>Large 3 degree region of faint HII with bright arcs</t>
        </r>
      </text>
    </comment>
    <comment ref="A2753" authorId="0" shapeId="0" xr:uid="{1B1FA8E4-10E1-4C57-B24A-ADCD2878AAB8}">
      <text>
        <r>
          <rPr>
            <sz val="9"/>
            <color indexed="81"/>
            <rFont val="Tahoma"/>
            <family val="2"/>
          </rPr>
          <t xml:space="preserve">
</t>
        </r>
      </text>
    </comment>
    <comment ref="K2753" authorId="0" shapeId="0" xr:uid="{4D0B210E-BF13-4680-88E2-670068B9B28B}">
      <text>
        <r>
          <rPr>
            <sz val="9"/>
            <color indexed="81"/>
            <rFont val="Tahoma"/>
            <family val="2"/>
          </rPr>
          <t>HII arc front ionized by the Juchert 21 cluster</t>
        </r>
      </text>
    </comment>
    <comment ref="A2754" authorId="0" shapeId="0" xr:uid="{543FE870-3621-4F6A-BDFA-77145BF25E4D}">
      <text>
        <r>
          <rPr>
            <sz val="9"/>
            <color indexed="81"/>
            <rFont val="Tahoma"/>
            <family val="2"/>
          </rPr>
          <t xml:space="preserve">
</t>
        </r>
      </text>
    </comment>
    <comment ref="K2754" authorId="0" shapeId="0" xr:uid="{702ECAA3-DA43-4409-8FEE-0F1AE567E424}">
      <text>
        <r>
          <rPr>
            <sz val="9"/>
            <color indexed="81"/>
            <rFont val="Tahoma"/>
            <family val="2"/>
          </rPr>
          <t>Very dim HII region</t>
        </r>
      </text>
    </comment>
    <comment ref="A2755" authorId="0" shapeId="0" xr:uid="{E0F3B3F3-5644-479D-BDB1-C05D4C0D6496}">
      <text>
        <r>
          <rPr>
            <sz val="9"/>
            <color indexed="81"/>
            <rFont val="Tahoma"/>
            <family val="2"/>
          </rPr>
          <t xml:space="preserve">
</t>
        </r>
      </text>
    </comment>
    <comment ref="K2755" authorId="0" shapeId="0" xr:uid="{8D4F3FE4-2DF4-42E9-A060-2C6E629B25BA}">
      <text>
        <r>
          <rPr>
            <sz val="9"/>
            <color indexed="81"/>
            <rFont val="Tahoma"/>
            <family val="2"/>
          </rPr>
          <t>Small HII emission nebula with obscured star cluster and several dark dust lanes</t>
        </r>
      </text>
    </comment>
    <comment ref="A2756" authorId="0" shapeId="0" xr:uid="{52797756-F475-413E-B940-9054CD62ABF2}">
      <text>
        <r>
          <rPr>
            <sz val="9"/>
            <color indexed="81"/>
            <rFont val="Tahoma"/>
            <family val="2"/>
          </rPr>
          <t xml:space="preserve">
</t>
        </r>
      </text>
    </comment>
    <comment ref="K2756" authorId="0" shapeId="0" xr:uid="{4F752A59-334A-440B-98D7-74D4A4CE326F}">
      <text>
        <r>
          <rPr>
            <sz val="9"/>
            <color indexed="81"/>
            <rFont val="Tahoma"/>
            <family val="2"/>
          </rPr>
          <t>Faint HII region with small brighter arc</t>
        </r>
      </text>
    </comment>
    <comment ref="A2757" authorId="0" shapeId="0" xr:uid="{C117B80F-37F7-4C36-8AAF-0C403219E60C}">
      <text>
        <r>
          <rPr>
            <sz val="9"/>
            <color indexed="81"/>
            <rFont val="Tahoma"/>
            <family val="2"/>
          </rPr>
          <t xml:space="preserve">
</t>
        </r>
      </text>
    </comment>
    <comment ref="K2757" authorId="0" shapeId="0" xr:uid="{CF1D3FF0-AA66-4B21-92F1-A2ECC4802673}">
      <text>
        <r>
          <rPr>
            <sz val="9"/>
            <color indexed="81"/>
            <rFont val="Tahoma"/>
            <family val="2"/>
          </rPr>
          <t>HII arc front ionized by the Pismis-Moreno 1 star cluster</t>
        </r>
      </text>
    </comment>
    <comment ref="A2758" authorId="0" shapeId="0" xr:uid="{6BF02644-09B2-434E-8471-90A8FC14F6F5}">
      <text>
        <r>
          <rPr>
            <sz val="9"/>
            <color indexed="81"/>
            <rFont val="Tahoma"/>
            <family val="2"/>
          </rPr>
          <t xml:space="preserve">
</t>
        </r>
      </text>
    </comment>
    <comment ref="K2758" authorId="0" shapeId="0" xr:uid="{FB890223-5E10-4DE7-B4A5-3BD7101BB7F8}">
      <text>
        <r>
          <rPr>
            <sz val="9"/>
            <color indexed="81"/>
            <rFont val="Tahoma"/>
            <family val="2"/>
          </rPr>
          <t>Faint circular HII region</t>
        </r>
      </text>
    </comment>
    <comment ref="A2759" authorId="0" shapeId="0" xr:uid="{4740EA85-0EC2-42A9-BF3A-D57C7B40FB4A}">
      <text>
        <r>
          <rPr>
            <sz val="9"/>
            <color indexed="81"/>
            <rFont val="Tahoma"/>
            <family val="2"/>
          </rPr>
          <t xml:space="preserve">
</t>
        </r>
      </text>
    </comment>
    <comment ref="K2759" authorId="0" shapeId="0" xr:uid="{A64A3696-1681-43B9-84A2-48FE98A8EAAD}">
      <text>
        <r>
          <rPr>
            <sz val="9"/>
            <color indexed="81"/>
            <rFont val="Tahoma"/>
            <family val="2"/>
          </rPr>
          <t>Dim HII region just southeast of the Wizard</t>
        </r>
      </text>
    </comment>
    <comment ref="A2760" authorId="0" shapeId="0" xr:uid="{B1EBA78B-AE99-49CB-872C-86125D1E3D5A}">
      <text>
        <r>
          <rPr>
            <sz val="9"/>
            <color indexed="81"/>
            <rFont val="Tahoma"/>
            <family val="2"/>
          </rPr>
          <t xml:space="preserve">
</t>
        </r>
      </text>
    </comment>
    <comment ref="K2760" authorId="0" shapeId="0" xr:uid="{878F4954-2FD4-425F-8EBD-4671E75369B5}">
      <text>
        <r>
          <rPr>
            <sz val="9"/>
            <color indexed="81"/>
            <rFont val="Tahoma"/>
            <family val="2"/>
          </rPr>
          <t>Very faint HII region</t>
        </r>
      </text>
    </comment>
    <comment ref="A2761" authorId="0" shapeId="0" xr:uid="{D0D1FA56-C0B6-4A43-A89B-C6EF0DADA761}">
      <text>
        <r>
          <rPr>
            <sz val="9"/>
            <color indexed="81"/>
            <rFont val="Tahoma"/>
            <family val="2"/>
          </rPr>
          <t xml:space="preserve">
</t>
        </r>
      </text>
    </comment>
    <comment ref="K2761" authorId="0" shapeId="0" xr:uid="{D206367D-2963-4361-9C4F-692B31BC617D}">
      <text>
        <r>
          <rPr>
            <sz val="9"/>
            <color indexed="81"/>
            <rFont val="Tahoma"/>
            <family val="2"/>
          </rPr>
          <t>Large HII region adjacent to Sh2-150 and several interesting objects</t>
        </r>
      </text>
    </comment>
    <comment ref="A2762" authorId="0" shapeId="0" xr:uid="{8286F915-9B96-4063-8D26-41A40EC336F9}">
      <text>
        <r>
          <rPr>
            <sz val="9"/>
            <color indexed="81"/>
            <rFont val="Tahoma"/>
            <family val="2"/>
          </rPr>
          <t xml:space="preserve">
</t>
        </r>
      </text>
    </comment>
    <comment ref="K2762" authorId="0" shapeId="0" xr:uid="{9959384E-AC14-4B99-8BAD-D3A733F32A33}">
      <text>
        <r>
          <rPr>
            <sz val="9"/>
            <color indexed="81"/>
            <rFont val="Tahoma"/>
            <family val="2"/>
          </rPr>
          <t>Small bright PN-like HII region</t>
        </r>
      </text>
    </comment>
    <comment ref="A2763" authorId="0" shapeId="0" xr:uid="{B4E26C60-39B5-419A-81C6-047FC8C830A1}">
      <text>
        <r>
          <rPr>
            <sz val="9"/>
            <color indexed="81"/>
            <rFont val="Tahoma"/>
            <family val="2"/>
          </rPr>
          <t xml:space="preserve">
</t>
        </r>
      </text>
    </comment>
    <comment ref="K2763" authorId="0" shapeId="0" xr:uid="{1C212C8C-C586-4FC3-A0CF-D345D7B2CAE4}">
      <text>
        <r>
          <rPr>
            <sz val="9"/>
            <color indexed="81"/>
            <rFont val="Tahoma"/>
            <family val="2"/>
          </rPr>
          <t>Very faint HII region</t>
        </r>
      </text>
    </comment>
    <comment ref="A2764" authorId="0" shapeId="0" xr:uid="{89F7BFF1-49AA-454D-8F15-C049D23FC2FA}">
      <text>
        <r>
          <rPr>
            <sz val="9"/>
            <color indexed="81"/>
            <rFont val="Tahoma"/>
            <family val="2"/>
          </rPr>
          <t xml:space="preserve">
</t>
        </r>
      </text>
    </comment>
    <comment ref="K2764" authorId="0" shapeId="0" xr:uid="{4231DA36-0D95-4664-BFEB-8C12D62DD680}">
      <text>
        <r>
          <rPr>
            <sz val="9"/>
            <color indexed="81"/>
            <rFont val="Tahoma"/>
            <family val="2"/>
          </rPr>
          <t>Small HII area</t>
        </r>
      </text>
    </comment>
    <comment ref="A2765" authorId="0" shapeId="0" xr:uid="{A0756A53-1DF5-487B-95DA-2BF7548A6AEB}">
      <text>
        <r>
          <rPr>
            <sz val="9"/>
            <color indexed="81"/>
            <rFont val="Tahoma"/>
            <family val="2"/>
          </rPr>
          <t xml:space="preserve">
</t>
        </r>
      </text>
    </comment>
    <comment ref="K2765" authorId="0" shapeId="0" xr:uid="{D8B9D3DE-8AD8-4C0A-9591-48797B044D6B}">
      <text>
        <r>
          <rPr>
            <sz val="9"/>
            <color indexed="81"/>
            <rFont val="Tahoma"/>
            <family val="2"/>
          </rPr>
          <t>Bright small HII area with several dust lanes</t>
        </r>
      </text>
    </comment>
    <comment ref="A2766" authorId="0" shapeId="0" xr:uid="{44A18780-4EBE-4ED7-8725-2FE014F95986}">
      <text>
        <r>
          <rPr>
            <sz val="9"/>
            <color indexed="81"/>
            <rFont val="Tahoma"/>
            <family val="2"/>
          </rPr>
          <t xml:space="preserve">
</t>
        </r>
      </text>
    </comment>
    <comment ref="K2766" authorId="0" shapeId="0" xr:uid="{B0F62369-1413-4015-B445-7E6BFD5E2D06}">
      <text>
        <r>
          <rPr>
            <sz val="9"/>
            <color indexed="81"/>
            <rFont val="Tahoma"/>
            <family val="2"/>
          </rPr>
          <t>Bright patch of HII emission with vdB154</t>
        </r>
      </text>
    </comment>
    <comment ref="A2767" authorId="0" shapeId="0" xr:uid="{7A0E9113-BE1B-473A-99A2-9AD576614B6E}">
      <text>
        <r>
          <rPr>
            <sz val="9"/>
            <color indexed="81"/>
            <rFont val="Tahoma"/>
            <family val="2"/>
          </rPr>
          <t xml:space="preserve">
</t>
        </r>
      </text>
    </comment>
    <comment ref="K2767" authorId="0" shapeId="0" xr:uid="{2889C107-548E-4A5D-9567-28C21BCD9EC1}">
      <text>
        <r>
          <rPr>
            <sz val="9"/>
            <color indexed="81"/>
            <rFont val="Tahoma"/>
            <family val="2"/>
          </rPr>
          <t>Faint emission area</t>
        </r>
      </text>
    </comment>
    <comment ref="A2768" authorId="0" shapeId="0" xr:uid="{6DB5FDED-716D-40B9-A1A2-719B016A4DB7}">
      <text>
        <r>
          <rPr>
            <sz val="9"/>
            <color indexed="81"/>
            <rFont val="Tahoma"/>
            <family val="2"/>
          </rPr>
          <t xml:space="preserve">
</t>
        </r>
      </text>
    </comment>
    <comment ref="K2768" authorId="0" shapeId="0" xr:uid="{D6EA46C5-9CE3-4926-BDDE-C365A81CF7D5}">
      <text>
        <r>
          <rPr>
            <sz val="9"/>
            <color indexed="81"/>
            <rFont val="Tahoma"/>
            <family val="2"/>
          </rPr>
          <t>Small bright PN-like HII region with texture and dark lanes</t>
        </r>
      </text>
    </comment>
    <comment ref="A2769" authorId="0" shapeId="0" xr:uid="{385FA00E-A010-4059-A025-2B0BFCA9C71E}">
      <text>
        <r>
          <rPr>
            <sz val="9"/>
            <color indexed="81"/>
            <rFont val="Tahoma"/>
            <family val="2"/>
          </rPr>
          <t xml:space="preserve">
</t>
        </r>
      </text>
    </comment>
    <comment ref="K2769" authorId="0" shapeId="0" xr:uid="{17FA9643-1038-4525-97C4-81785AAA646E}">
      <text>
        <r>
          <rPr>
            <sz val="9"/>
            <color indexed="81"/>
            <rFont val="Tahoma"/>
            <family val="2"/>
          </rPr>
          <t>Uninteresting HII region just west of Sh2-152</t>
        </r>
      </text>
    </comment>
    <comment ref="A2770" authorId="0" shapeId="0" xr:uid="{3FB06A7B-43C5-4343-9734-44E69F799E69}">
      <text>
        <r>
          <rPr>
            <sz val="9"/>
            <color indexed="81"/>
            <rFont val="Tahoma"/>
            <family val="2"/>
          </rPr>
          <t xml:space="preserve">
</t>
        </r>
      </text>
    </comment>
    <comment ref="K2770" authorId="0" shapeId="0" xr:uid="{DB3E286D-3C81-4CF1-BE24-7B7F600A481F}">
      <text>
        <r>
          <rPr>
            <sz val="9"/>
            <color indexed="81"/>
            <rFont val="Tahoma"/>
            <family val="2"/>
          </rPr>
          <t>Faint rectangular HII region in Cassiopeia</t>
        </r>
      </text>
    </comment>
    <comment ref="A2771" authorId="0" shapeId="0" xr:uid="{4C673CD9-B21F-43CE-A47B-365B15F30A45}">
      <text>
        <r>
          <rPr>
            <sz val="9"/>
            <color indexed="81"/>
            <rFont val="Tahoma"/>
            <family val="2"/>
          </rPr>
          <t xml:space="preserve">
</t>
        </r>
      </text>
    </comment>
    <comment ref="K2771" authorId="0" shapeId="0" xr:uid="{91996BB8-843E-4176-95D9-E1D2BEAA2DEC}">
      <text>
        <r>
          <rPr>
            <sz val="9"/>
            <color indexed="81"/>
            <rFont val="Tahoma"/>
            <family val="2"/>
          </rPr>
          <t>Beautiful complex HII region with bright arcs and reflection nebulae</t>
        </r>
      </text>
    </comment>
    <comment ref="A2772" authorId="0" shapeId="0" xr:uid="{9F7DFEEF-9441-47A3-A4E4-95A059AD032B}">
      <text>
        <r>
          <rPr>
            <sz val="9"/>
            <color indexed="81"/>
            <rFont val="Tahoma"/>
            <family val="2"/>
          </rPr>
          <t xml:space="preserve">
</t>
        </r>
      </text>
    </comment>
    <comment ref="K2772" authorId="0" shapeId="0" xr:uid="{278908D3-F5B6-40F0-8FE6-D9DB962B5215}">
      <text>
        <r>
          <rPr>
            <sz val="9"/>
            <color indexed="81"/>
            <rFont val="Tahoma"/>
            <family val="2"/>
          </rPr>
          <t>Small bright emission region that makes for an interesting narrowband object</t>
        </r>
      </text>
    </comment>
    <comment ref="A2773" authorId="0" shapeId="0" xr:uid="{125CD8C0-EAAF-440A-85C8-4D5E034FC535}">
      <text>
        <r>
          <rPr>
            <sz val="9"/>
            <color indexed="81"/>
            <rFont val="Tahoma"/>
            <family val="2"/>
          </rPr>
          <t xml:space="preserve">
</t>
        </r>
      </text>
    </comment>
    <comment ref="K2773" authorId="0" shapeId="0" xr:uid="{58691005-436B-4211-8E06-76852F93E9E1}">
      <text>
        <r>
          <rPr>
            <sz val="9"/>
            <color indexed="81"/>
            <rFont val="Tahoma"/>
            <family val="2"/>
          </rPr>
          <t>Emission ring nebula surrounding the Wolf-Rayet star WR157</t>
        </r>
      </text>
    </comment>
    <comment ref="A2774" authorId="0" shapeId="0" xr:uid="{23547D47-9512-4F38-BA49-6812BDF870F2}">
      <text>
        <r>
          <rPr>
            <sz val="9"/>
            <color indexed="81"/>
            <rFont val="Tahoma"/>
            <family val="2"/>
          </rPr>
          <t xml:space="preserve">
</t>
        </r>
      </text>
    </comment>
    <comment ref="K2774" authorId="0" shapeId="0" xr:uid="{EDBF99E0-0E97-4F70-8594-87BBF261674A}">
      <text>
        <r>
          <rPr>
            <sz val="9"/>
            <color indexed="81"/>
            <rFont val="Tahoma"/>
            <family val="2"/>
          </rPr>
          <t>Small, interesting narrowband object with dust clouds and a dark pillar</t>
        </r>
      </text>
    </comment>
    <comment ref="A2775" authorId="0" shapeId="0" xr:uid="{6E6E70A4-CB87-410C-A5CC-CD16F7C1DBC9}">
      <text>
        <r>
          <rPr>
            <sz val="9"/>
            <color indexed="81"/>
            <rFont val="Tahoma"/>
            <family val="2"/>
          </rPr>
          <t xml:space="preserve">
</t>
        </r>
      </text>
    </comment>
    <comment ref="K2775" authorId="0" shapeId="0" xr:uid="{84D13E1F-0C1C-4BCF-88D3-E27AFB818D1F}">
      <text>
        <r>
          <rPr>
            <sz val="9"/>
            <color indexed="81"/>
            <rFont val="Tahoma"/>
            <family val="2"/>
          </rPr>
          <t>Faint HII region with small dust lanes</t>
        </r>
      </text>
    </comment>
    <comment ref="A2776" authorId="0" shapeId="0" xr:uid="{0E517852-6B69-4D08-A15D-F220F71421EA}">
      <text>
        <r>
          <rPr>
            <sz val="9"/>
            <color indexed="81"/>
            <rFont val="Tahoma"/>
            <family val="2"/>
          </rPr>
          <t xml:space="preserve">
</t>
        </r>
      </text>
    </comment>
    <comment ref="K2776" authorId="0" shapeId="0" xr:uid="{6CEE411D-0AD4-4F18-B272-1FB322BAD8B1}">
      <text>
        <r>
          <rPr>
            <sz val="9"/>
            <color indexed="81"/>
            <rFont val="Tahoma"/>
            <family val="2"/>
          </rPr>
          <t>Faint larger curving HII area</t>
        </r>
      </text>
    </comment>
    <comment ref="A2777" authorId="0" shapeId="0" xr:uid="{01C727B4-AB17-459E-97DC-9B3D951B4B8E}">
      <text>
        <r>
          <rPr>
            <sz val="9"/>
            <color indexed="81"/>
            <rFont val="Tahoma"/>
            <family val="2"/>
          </rPr>
          <t xml:space="preserve">
</t>
        </r>
      </text>
    </comment>
    <comment ref="K2777" authorId="0" shapeId="0" xr:uid="{886F1FBB-7787-485B-96C5-6A598F6C87CE}">
      <text>
        <r>
          <rPr>
            <sz val="9"/>
            <color indexed="81"/>
            <rFont val="Tahoma"/>
            <family val="2"/>
          </rPr>
          <t>Dim HII region with dust lanes, surrounding Sh2-158 (at bottom right)</t>
        </r>
      </text>
    </comment>
    <comment ref="A2778" authorId="0" shapeId="0" xr:uid="{ADFDEAA0-52EA-464C-9E48-E8974AF14FBE}">
      <text>
        <r>
          <rPr>
            <sz val="9"/>
            <color indexed="81"/>
            <rFont val="Tahoma"/>
            <family val="2"/>
          </rPr>
          <t xml:space="preserve">
</t>
        </r>
      </text>
    </comment>
    <comment ref="K2778" authorId="0" shapeId="0" xr:uid="{5A4D46A3-ACA3-4246-B7D4-9AB0E0562672}">
      <text>
        <r>
          <rPr>
            <sz val="9"/>
            <color indexed="81"/>
            <rFont val="Tahoma"/>
            <family val="2"/>
          </rPr>
          <t>HII nebula with a bright arc front and dust lanes</t>
        </r>
      </text>
    </comment>
    <comment ref="A2779" authorId="0" shapeId="0" xr:uid="{B65A98BD-4447-4F9F-87DD-4FA5F1729D6B}">
      <text>
        <r>
          <rPr>
            <sz val="9"/>
            <color indexed="81"/>
            <rFont val="Tahoma"/>
            <family val="2"/>
          </rPr>
          <t xml:space="preserve">
</t>
        </r>
      </text>
    </comment>
    <comment ref="K2779" authorId="0" shapeId="0" xr:uid="{58862C81-2854-4796-849A-DAB420DBA2E0}">
      <text>
        <r>
          <rPr>
            <sz val="9"/>
            <color indexed="81"/>
            <rFont val="Tahoma"/>
            <family val="2"/>
          </rPr>
          <t>Small faint squarish HII region</t>
        </r>
      </text>
    </comment>
    <comment ref="A2780" authorId="0" shapeId="0" xr:uid="{7EDEDA31-B73A-47A6-A498-A866920BF84C}">
      <text>
        <r>
          <rPr>
            <sz val="9"/>
            <color indexed="81"/>
            <rFont val="Tahoma"/>
            <family val="2"/>
          </rPr>
          <t xml:space="preserve">
</t>
        </r>
      </text>
    </comment>
    <comment ref="K2780" authorId="0" shapeId="0" xr:uid="{7D5C2AFF-F712-406E-958E-30C0AECDDB1A}">
      <text>
        <r>
          <rPr>
            <sz val="9"/>
            <color indexed="81"/>
            <rFont val="Tahoma"/>
            <family val="2"/>
          </rPr>
          <t>Faint circular HII region</t>
        </r>
      </text>
    </comment>
    <comment ref="A2781" authorId="0" shapeId="0" xr:uid="{75A03BFF-ADB0-4CAB-863A-C7014F61D6FE}">
      <text>
        <r>
          <rPr>
            <sz val="9"/>
            <color indexed="81"/>
            <rFont val="Tahoma"/>
            <family val="2"/>
          </rPr>
          <t xml:space="preserve">
</t>
        </r>
      </text>
    </comment>
    <comment ref="K2781" authorId="0" shapeId="0" xr:uid="{279F7B46-5A48-4134-BABA-6DA5BA9462B3}">
      <text>
        <r>
          <rPr>
            <sz val="9"/>
            <color indexed="81"/>
            <rFont val="Tahoma"/>
            <family val="2"/>
          </rPr>
          <t>Very dim circular HII region</t>
        </r>
      </text>
    </comment>
    <comment ref="A2782" authorId="0" shapeId="0" xr:uid="{4AE82E79-5F58-4EB4-B1B8-3EF19BCAC530}">
      <text>
        <r>
          <rPr>
            <sz val="9"/>
            <color indexed="81"/>
            <rFont val="Tahoma"/>
            <family val="2"/>
          </rPr>
          <t xml:space="preserve">
</t>
        </r>
      </text>
    </comment>
    <comment ref="K2782" authorId="0" shapeId="0" xr:uid="{89162AF1-D1D9-456F-A15C-C8245F35A2CC}">
      <text>
        <r>
          <rPr>
            <sz val="9"/>
            <color indexed="81"/>
            <rFont val="Tahoma"/>
            <family val="2"/>
          </rPr>
          <t>Faint circular HII region</t>
        </r>
      </text>
    </comment>
    <comment ref="A2783" authorId="0" shapeId="0" xr:uid="{303A30DD-584D-4FE0-8B06-CC4B4681BA7D}">
      <text>
        <r>
          <rPr>
            <sz val="9"/>
            <color indexed="81"/>
            <rFont val="Tahoma"/>
            <family val="2"/>
          </rPr>
          <t xml:space="preserve">
</t>
        </r>
      </text>
    </comment>
    <comment ref="K2783" authorId="0" shapeId="0" xr:uid="{CBF78FEB-4097-48E9-9B5C-2E9D9A64B1E3}">
      <text>
        <r>
          <rPr>
            <sz val="9"/>
            <color indexed="81"/>
            <rFont val="Tahoma"/>
            <family val="2"/>
          </rPr>
          <t>HII region with unusual bright and dark regions within the nebula</t>
        </r>
      </text>
    </comment>
    <comment ref="A2784" authorId="0" shapeId="0" xr:uid="{97629C12-05AF-49B6-B476-ADA8394397FE}">
      <text>
        <r>
          <rPr>
            <sz val="9"/>
            <color indexed="81"/>
            <rFont val="Tahoma"/>
            <family val="2"/>
          </rPr>
          <t xml:space="preserve">
</t>
        </r>
      </text>
    </comment>
    <comment ref="K2784" authorId="0" shapeId="0" xr:uid="{6B360998-04E9-4F5E-A1EE-B730B965DA68}">
      <text>
        <r>
          <rPr>
            <sz val="9"/>
            <color indexed="81"/>
            <rFont val="Tahoma"/>
            <family val="2"/>
          </rPr>
          <t>Extremely faint circular HII region, just south east of Sh2-168</t>
        </r>
      </text>
    </comment>
    <comment ref="A2785" authorId="0" shapeId="0" xr:uid="{552815FB-3515-4CDD-95DE-B531E04C0432}">
      <text>
        <r>
          <rPr>
            <sz val="9"/>
            <color indexed="81"/>
            <rFont val="Tahoma"/>
            <family val="2"/>
          </rPr>
          <t xml:space="preserve">
</t>
        </r>
      </text>
    </comment>
    <comment ref="K2785" authorId="0" shapeId="0" xr:uid="{C0277DA1-752C-44D0-A300-6EE4EA0093A4}">
      <text>
        <r>
          <rPr>
            <sz val="9"/>
            <color indexed="81"/>
            <rFont val="Tahoma"/>
            <family val="2"/>
          </rPr>
          <t>Dimmer version of the Rosette Nebula</t>
        </r>
      </text>
    </comment>
    <comment ref="A2786" authorId="0" shapeId="0" xr:uid="{0C20EC79-9DC9-42F2-9CBE-D43BD81F3188}">
      <text>
        <r>
          <rPr>
            <sz val="9"/>
            <color indexed="81"/>
            <rFont val="Tahoma"/>
            <family val="2"/>
          </rPr>
          <t xml:space="preserve">
</t>
        </r>
      </text>
    </comment>
    <comment ref="K2786" authorId="0" shapeId="0" xr:uid="{752D6306-D7FC-4CD2-B2DA-59357459E107}">
      <text>
        <r>
          <rPr>
            <sz val="9"/>
            <color indexed="81"/>
            <rFont val="Tahoma"/>
            <family val="2"/>
          </rPr>
          <t>Faint nebulosity around 2 stars</t>
        </r>
      </text>
    </comment>
    <comment ref="A2787" authorId="0" shapeId="0" xr:uid="{37B1BCE6-A633-4FD0-80A9-ABB26BEA96F5}">
      <text>
        <r>
          <rPr>
            <sz val="9"/>
            <color indexed="81"/>
            <rFont val="Tahoma"/>
            <family val="2"/>
          </rPr>
          <t xml:space="preserve">
</t>
        </r>
      </text>
    </comment>
    <comment ref="K2787" authorId="0" shapeId="0" xr:uid="{44C8DDDC-6019-4BF2-A5A8-D98E2AE33721}">
      <text>
        <r>
          <rPr>
            <sz val="9"/>
            <color indexed="81"/>
            <rFont val="Tahoma"/>
            <family val="2"/>
          </rPr>
          <t>Round HII region with 3 dark voids, bright stars, and faint reflection nebulae</t>
        </r>
      </text>
    </comment>
    <comment ref="A2788" authorId="0" shapeId="0" xr:uid="{F302FF1B-1CCB-45FD-958F-A0E7876DE833}">
      <text>
        <r>
          <rPr>
            <sz val="9"/>
            <color indexed="81"/>
            <rFont val="Tahoma"/>
            <family val="2"/>
          </rPr>
          <t xml:space="preserve">
</t>
        </r>
      </text>
    </comment>
    <comment ref="K2788" authorId="0" shapeId="0" xr:uid="{96633EAF-BB42-4C10-AB0F-55B2482A95B7}">
      <text>
        <r>
          <rPr>
            <sz val="9"/>
            <color indexed="81"/>
            <rFont val="Tahoma"/>
            <family val="2"/>
          </rPr>
          <t>Faint ancient PN, unusually asymmetric, with both HII and OIII signal</t>
        </r>
      </text>
    </comment>
    <comment ref="A2789" authorId="0" shapeId="0" xr:uid="{09F13B71-F12B-4191-8592-11956A9C9FCC}">
      <text>
        <r>
          <rPr>
            <sz val="9"/>
            <color indexed="81"/>
            <rFont val="Tahoma"/>
            <family val="2"/>
          </rPr>
          <t xml:space="preserve">
</t>
        </r>
      </text>
    </comment>
    <comment ref="K2789" authorId="0" shapeId="0" xr:uid="{578F44C1-AB7F-44AC-AAC0-B7105F18D312}">
      <text>
        <r>
          <rPr>
            <sz val="9"/>
            <color indexed="81"/>
            <rFont val="Tahoma"/>
            <family val="2"/>
          </rPr>
          <t>Small bright HII region</t>
        </r>
      </text>
    </comment>
    <comment ref="A2790" authorId="0" shapeId="0" xr:uid="{09754070-4D21-45CC-A672-E269108F4BB6}">
      <text>
        <r>
          <rPr>
            <sz val="9"/>
            <color indexed="81"/>
            <rFont val="Tahoma"/>
            <family val="2"/>
          </rPr>
          <t xml:space="preserve">
</t>
        </r>
      </text>
    </comment>
    <comment ref="K2790" authorId="0" shapeId="0" xr:uid="{398EF7BC-4AFA-4E7B-ADA9-0C5DD195C402}">
      <text>
        <r>
          <rPr>
            <sz val="9"/>
            <color indexed="81"/>
            <rFont val="Tahoma"/>
            <family val="2"/>
          </rPr>
          <t>Categorized as HII region but seems more like a PN</t>
        </r>
      </text>
    </comment>
    <comment ref="A2791" authorId="0" shapeId="0" xr:uid="{307809EA-2D16-4D43-87F5-3A291D944BAA}">
      <text>
        <r>
          <rPr>
            <sz val="9"/>
            <color indexed="81"/>
            <rFont val="Tahoma"/>
            <family val="2"/>
          </rPr>
          <t xml:space="preserve">
</t>
        </r>
      </text>
    </comment>
    <comment ref="K2791" authorId="0" shapeId="0" xr:uid="{CDA24B5C-3D81-4CFF-97E1-8AA860B62EA8}">
      <text>
        <r>
          <rPr>
            <sz val="9"/>
            <color indexed="81"/>
            <rFont val="Tahoma"/>
            <family val="2"/>
          </rPr>
          <t>Very dim HII region</t>
        </r>
      </text>
    </comment>
    <comment ref="A2792" authorId="0" shapeId="0" xr:uid="{77C68091-F307-48CF-A7BD-E7F29605683E}">
      <text>
        <r>
          <rPr>
            <sz val="9"/>
            <color indexed="81"/>
            <rFont val="Tahoma"/>
            <family val="2"/>
          </rPr>
          <t xml:space="preserve">
</t>
        </r>
      </text>
    </comment>
    <comment ref="K2792" authorId="0" shapeId="0" xr:uid="{CD535DF9-1F7A-4E48-8C4E-090FD106FA31}">
      <text>
        <r>
          <rPr>
            <sz val="9"/>
            <color indexed="81"/>
            <rFont val="Tahoma"/>
            <family val="2"/>
          </rPr>
          <t>Faint molecular cloud surrounding star HD 5848</t>
        </r>
      </text>
    </comment>
    <comment ref="A2793" authorId="0" shapeId="0" xr:uid="{07C9AD6B-EE2E-460F-8107-DD4CF09F5416}">
      <text>
        <r>
          <rPr>
            <sz val="9"/>
            <color indexed="81"/>
            <rFont val="Tahoma"/>
            <family val="2"/>
          </rPr>
          <t xml:space="preserve">
</t>
        </r>
      </text>
    </comment>
    <comment ref="K2793" authorId="0" shapeId="0" xr:uid="{A641D3F1-0D8F-4710-81B7-3218E31D7658}">
      <text>
        <r>
          <rPr>
            <sz val="9"/>
            <color indexed="81"/>
            <rFont val="Tahoma"/>
            <family val="2"/>
          </rPr>
          <t>Small beautiful PN with unique shape, cut off by a dark nebula</t>
        </r>
      </text>
    </comment>
    <comment ref="A2794" authorId="0" shapeId="0" xr:uid="{682E62C6-0CB6-4DA7-9C16-F8DFB1DDF9AE}">
      <text>
        <r>
          <rPr>
            <sz val="9"/>
            <color indexed="81"/>
            <rFont val="Tahoma"/>
            <family val="2"/>
          </rPr>
          <t xml:space="preserve">
</t>
        </r>
      </text>
    </comment>
    <comment ref="K2794" authorId="0" shapeId="0" xr:uid="{7BDD7B7E-9C14-4DBA-AE24-59B7EEB40613}">
      <text>
        <r>
          <rPr>
            <sz val="9"/>
            <color indexed="81"/>
            <rFont val="Tahoma"/>
            <family val="2"/>
          </rPr>
          <t>Unusual ring-shaped HII emission</t>
        </r>
      </text>
    </comment>
    <comment ref="A2795" authorId="0" shapeId="0" xr:uid="{C50282F2-BE44-4087-96C9-A76789F2DA1E}">
      <text>
        <r>
          <rPr>
            <sz val="9"/>
            <color indexed="81"/>
            <rFont val="Tahoma"/>
            <family val="2"/>
          </rPr>
          <t xml:space="preserve">
</t>
        </r>
      </text>
    </comment>
    <comment ref="K2795" authorId="0" shapeId="0" xr:uid="{05A6A616-2599-49EA-A010-FA3931DEE226}">
      <text>
        <r>
          <rPr>
            <sz val="9"/>
            <color indexed="81"/>
            <rFont val="Tahoma"/>
            <family val="2"/>
          </rPr>
          <t>Extremely faint arc of HII nebulosity</t>
        </r>
      </text>
    </comment>
    <comment ref="A2796" authorId="0" shapeId="0" xr:uid="{87B3AA8B-385B-4E3A-A8BE-186B96242870}">
      <text>
        <r>
          <rPr>
            <sz val="9"/>
            <color indexed="81"/>
            <rFont val="Tahoma"/>
            <family val="2"/>
          </rPr>
          <t xml:space="preserve">
</t>
        </r>
      </text>
    </comment>
    <comment ref="K2796" authorId="0" shapeId="0" xr:uid="{15F192BA-3B71-4016-A85B-0C8022C33338}">
      <text>
        <r>
          <rPr>
            <sz val="9"/>
            <color indexed="81"/>
            <rFont val="Tahoma"/>
            <family val="2"/>
          </rPr>
          <t>Faint reflection nebula</t>
        </r>
      </text>
    </comment>
    <comment ref="A2797" authorId="0" shapeId="0" xr:uid="{4D2D908A-0815-48E7-898D-FC1DD401FE47}">
      <text>
        <r>
          <rPr>
            <sz val="9"/>
            <color indexed="81"/>
            <rFont val="Tahoma"/>
            <family val="2"/>
          </rPr>
          <t xml:space="preserve">
</t>
        </r>
      </text>
    </comment>
    <comment ref="K2797" authorId="0" shapeId="0" xr:uid="{162E798B-777C-424F-82CB-094926166E68}">
      <text>
        <r>
          <rPr>
            <sz val="9"/>
            <color indexed="81"/>
            <rFont val="Tahoma"/>
            <family val="2"/>
          </rPr>
          <t>Extremely dim HII region</t>
        </r>
      </text>
    </comment>
    <comment ref="A2798" authorId="0" shapeId="0" xr:uid="{BA70F810-B067-4977-B910-4729F7C4FF6E}">
      <text>
        <r>
          <rPr>
            <sz val="9"/>
            <color indexed="81"/>
            <rFont val="Tahoma"/>
            <family val="2"/>
          </rPr>
          <t xml:space="preserve">
</t>
        </r>
      </text>
    </comment>
    <comment ref="K2798" authorId="0" shapeId="0" xr:uid="{B4B36281-4FFE-458F-9A4C-4EF5D38D0B26}">
      <text>
        <r>
          <rPr>
            <sz val="9"/>
            <color indexed="81"/>
            <rFont val="Tahoma"/>
            <family val="2"/>
          </rPr>
          <t>Tiny HII region</t>
        </r>
      </text>
    </comment>
    <comment ref="A2799" authorId="0" shapeId="0" xr:uid="{A6703CFB-8FBF-4F98-9C8A-ADCE572114A7}">
      <text>
        <r>
          <rPr>
            <sz val="9"/>
            <color indexed="81"/>
            <rFont val="Tahoma"/>
            <family val="2"/>
          </rPr>
          <t xml:space="preserve">
</t>
        </r>
      </text>
    </comment>
    <comment ref="K2799" authorId="0" shapeId="0" xr:uid="{440D8965-7B2E-4A97-BF25-9EDBFBA684FF}">
      <text>
        <r>
          <rPr>
            <sz val="9"/>
            <color indexed="81"/>
            <rFont val="Tahoma"/>
            <family val="2"/>
          </rPr>
          <t>Small, interesting HII region with dramatic dust lanes</t>
        </r>
      </text>
    </comment>
    <comment ref="A2800" authorId="0" shapeId="0" xr:uid="{0C3641ED-48F1-4AFC-9248-783EEC5451B0}">
      <text>
        <r>
          <rPr>
            <sz val="9"/>
            <color indexed="81"/>
            <rFont val="Tahoma"/>
            <family val="2"/>
          </rPr>
          <t xml:space="preserve">
</t>
        </r>
      </text>
    </comment>
    <comment ref="K2800" authorId="0" shapeId="0" xr:uid="{2D776579-A1FC-48E4-A387-6621B4E6A3D7}">
      <text>
        <r>
          <rPr>
            <sz val="9"/>
            <color indexed="81"/>
            <rFont val="Tahoma"/>
            <family val="2"/>
          </rPr>
          <t>Beautiful filamentary PN and asymmetric shape</t>
        </r>
      </text>
    </comment>
    <comment ref="A2801" authorId="0" shapeId="0" xr:uid="{2BCCDBE3-A342-45F9-B634-486E7B816195}">
      <text>
        <r>
          <rPr>
            <sz val="9"/>
            <color indexed="81"/>
            <rFont val="Tahoma"/>
            <family val="2"/>
          </rPr>
          <t xml:space="preserve">
</t>
        </r>
      </text>
    </comment>
    <comment ref="K2801" authorId="0" shapeId="0" xr:uid="{852F177D-DCA3-447F-B28D-74911EB1B196}">
      <text>
        <r>
          <rPr>
            <sz val="9"/>
            <color indexed="81"/>
            <rFont val="Tahoma"/>
            <family val="2"/>
          </rPr>
          <t>Brightest of 3 faint adjacent circular HII regions</t>
        </r>
      </text>
    </comment>
    <comment ref="A2802" authorId="0" shapeId="0" xr:uid="{15C85037-EDC6-4B68-9728-C9C1E48D6112}">
      <text>
        <r>
          <rPr>
            <sz val="9"/>
            <color indexed="81"/>
            <rFont val="Tahoma"/>
            <family val="2"/>
          </rPr>
          <t xml:space="preserve">
</t>
        </r>
      </text>
    </comment>
    <comment ref="K2802" authorId="0" shapeId="0" xr:uid="{48DF59AD-5769-42D5-A80E-2D1B0F912D91}">
      <text>
        <r>
          <rPr>
            <sz val="9"/>
            <color indexed="81"/>
            <rFont val="Tahoma"/>
            <family val="2"/>
          </rPr>
          <t>One of 3 faint adjacent circular HII regions</t>
        </r>
      </text>
    </comment>
    <comment ref="A2803" authorId="0" shapeId="0" xr:uid="{CAC41AF4-62BD-446F-BC7E-BF699EADF424}">
      <text>
        <r>
          <rPr>
            <sz val="9"/>
            <color indexed="81"/>
            <rFont val="Tahoma"/>
            <family val="2"/>
          </rPr>
          <t xml:space="preserve">
</t>
        </r>
      </text>
    </comment>
    <comment ref="K2803" authorId="0" shapeId="0" xr:uid="{621C94A8-74BB-4583-9DA2-79832836D90E}">
      <text>
        <r>
          <rPr>
            <sz val="9"/>
            <color indexed="81"/>
            <rFont val="Tahoma"/>
            <family val="2"/>
          </rPr>
          <t>Faintest of 3 faint adjacent circular HII regions</t>
        </r>
      </text>
    </comment>
    <comment ref="A2804" authorId="0" shapeId="0" xr:uid="{116707AA-CBFB-4E25-B708-527E5FC57548}">
      <text>
        <r>
          <rPr>
            <sz val="9"/>
            <color indexed="81"/>
            <rFont val="Tahoma"/>
            <family val="2"/>
          </rPr>
          <t xml:space="preserve">
</t>
        </r>
      </text>
    </comment>
    <comment ref="K2804" authorId="0" shapeId="0" xr:uid="{F34ED20B-4F3A-4FC8-9076-089F2803FBE9}">
      <text>
        <r>
          <rPr>
            <sz val="9"/>
            <color indexed="81"/>
            <rFont val="Tahoma"/>
            <family val="2"/>
          </rPr>
          <t>same object as Sh2-197</t>
        </r>
      </text>
    </comment>
    <comment ref="A2805" authorId="0" shapeId="0" xr:uid="{B6E48442-663D-4FB9-8A26-27C56190D0B4}">
      <text>
        <r>
          <rPr>
            <sz val="9"/>
            <color indexed="81"/>
            <rFont val="Tahoma"/>
            <family val="2"/>
          </rPr>
          <t xml:space="preserve">
</t>
        </r>
      </text>
    </comment>
    <comment ref="K2805" authorId="0" shapeId="0" xr:uid="{622E1B1B-F811-453D-AA6E-143E7E467A2D}">
      <text>
        <r>
          <rPr>
            <sz val="9"/>
            <color indexed="81"/>
            <rFont val="Tahoma"/>
            <family val="2"/>
          </rPr>
          <t>Faint HII region</t>
        </r>
      </text>
    </comment>
    <comment ref="A2806" authorId="0" shapeId="0" xr:uid="{0BC00EF3-24B2-435C-B543-1828E32A1229}">
      <text>
        <r>
          <rPr>
            <sz val="9"/>
            <color indexed="81"/>
            <rFont val="Tahoma"/>
            <family val="2"/>
          </rPr>
          <t xml:space="preserve">
</t>
        </r>
      </text>
    </comment>
    <comment ref="K2806" authorId="0" shapeId="0" xr:uid="{D9144EE8-92B2-4449-B3F3-17D24BC3ABE6}">
      <text>
        <r>
          <rPr>
            <sz val="9"/>
            <color indexed="81"/>
            <rFont val="Tahoma"/>
            <family val="2"/>
          </rPr>
          <t>Arc of HII nebulosity</t>
        </r>
      </text>
    </comment>
    <comment ref="A2807" authorId="0" shapeId="0" xr:uid="{91DCB4A8-D6FB-413B-95CE-65BDAEB2FFC3}">
      <text>
        <r>
          <rPr>
            <sz val="9"/>
            <color indexed="81"/>
            <rFont val="Tahoma"/>
            <family val="2"/>
          </rPr>
          <t xml:space="preserve">
</t>
        </r>
      </text>
    </comment>
    <comment ref="K2807" authorId="0" shapeId="0" xr:uid="{2A41EB31-2808-4D5E-9685-DFC01C358E30}">
      <text>
        <r>
          <rPr>
            <sz val="9"/>
            <color indexed="81"/>
            <rFont val="Tahoma"/>
            <family val="2"/>
          </rPr>
          <t>Large faint ancient PN, with nice texture and OIII-dominated throughout</t>
        </r>
      </text>
    </comment>
    <comment ref="A2808" authorId="0" shapeId="0" xr:uid="{0A8DF0F8-EFF9-4BB5-90B9-49E93740CA85}">
      <text>
        <r>
          <rPr>
            <sz val="9"/>
            <color indexed="81"/>
            <rFont val="Tahoma"/>
            <family val="2"/>
          </rPr>
          <t xml:space="preserve">
</t>
        </r>
      </text>
    </comment>
    <comment ref="K2808" authorId="0" shapeId="0" xr:uid="{0897B429-4C4D-4EDA-AE4A-865872E62A03}">
      <text>
        <r>
          <rPr>
            <sz val="9"/>
            <color indexed="81"/>
            <rFont val="Tahoma"/>
            <family val="2"/>
          </rPr>
          <t>Emission region just east of Soul Nebula</t>
        </r>
      </text>
    </comment>
    <comment ref="A2809" authorId="0" shapeId="0" xr:uid="{45D4C204-9355-4982-AA46-4DF7D3DA73B5}">
      <text>
        <r>
          <rPr>
            <sz val="9"/>
            <color indexed="81"/>
            <rFont val="Tahoma"/>
            <family val="2"/>
          </rPr>
          <t xml:space="preserve">
</t>
        </r>
      </text>
    </comment>
    <comment ref="K2809" authorId="0" shapeId="0" xr:uid="{B42B8510-7A91-4012-85AD-73CBE6ED384A}">
      <text>
        <r>
          <rPr>
            <sz val="9"/>
            <color indexed="81"/>
            <rFont val="Tahoma"/>
            <family val="2"/>
          </rPr>
          <t>Large HII region with dust lanes and 2 vdB blue reflection nebula</t>
        </r>
      </text>
    </comment>
    <comment ref="A2810" authorId="0" shapeId="0" xr:uid="{200A61D4-6E7A-4A7F-B0A9-1E60454BE3FD}">
      <text>
        <r>
          <rPr>
            <sz val="9"/>
            <color indexed="81"/>
            <rFont val="Tahoma"/>
            <family val="2"/>
          </rPr>
          <t xml:space="preserve">
</t>
        </r>
      </text>
    </comment>
    <comment ref="K2810" authorId="0" shapeId="0" xr:uid="{78B35DFA-D588-4423-A412-321812C18C10}">
      <text>
        <r>
          <rPr>
            <sz val="9"/>
            <color indexed="81"/>
            <rFont val="Tahoma"/>
            <family val="2"/>
          </rPr>
          <t>Very faint HII region</t>
        </r>
      </text>
    </comment>
    <comment ref="A2811" authorId="0" shapeId="0" xr:uid="{5654FF47-BC76-48AA-B12C-A7B87510B196}">
      <text>
        <r>
          <rPr>
            <sz val="9"/>
            <color indexed="81"/>
            <rFont val="Tahoma"/>
            <family val="2"/>
          </rPr>
          <t xml:space="preserve">
</t>
        </r>
      </text>
    </comment>
    <comment ref="K2811" authorId="0" shapeId="0" xr:uid="{1D46B36C-3163-4374-9261-D9E92CB52DDE}">
      <text>
        <r>
          <rPr>
            <sz val="9"/>
            <color indexed="81"/>
            <rFont val="Tahoma"/>
            <family val="2"/>
          </rPr>
          <t>Bright HII arc of nebulosity resembling a brontosaurus</t>
        </r>
      </text>
    </comment>
    <comment ref="A2812" authorId="0" shapeId="0" xr:uid="{2C05A3E2-4FA3-42C9-AE89-E2EAC45725BC}">
      <text>
        <r>
          <rPr>
            <sz val="9"/>
            <color indexed="81"/>
            <rFont val="Tahoma"/>
            <family val="2"/>
          </rPr>
          <t xml:space="preserve">
</t>
        </r>
      </text>
    </comment>
    <comment ref="K2812" authorId="0" shapeId="0" xr:uid="{9314F3F5-62B8-4B30-A735-11C32BDEF3EB}">
      <text>
        <r>
          <rPr>
            <sz val="9"/>
            <color indexed="81"/>
            <rFont val="Tahoma"/>
            <family val="2"/>
          </rPr>
          <t>Bright HII regions with some dust lanes</t>
        </r>
      </text>
    </comment>
    <comment ref="A2813" authorId="0" shapeId="0" xr:uid="{9A9C1117-F568-474C-8EB3-8F26A3CB132D}">
      <text>
        <r>
          <rPr>
            <sz val="9"/>
            <color indexed="81"/>
            <rFont val="Tahoma"/>
            <family val="2"/>
          </rPr>
          <t xml:space="preserve">
</t>
        </r>
      </text>
    </comment>
    <comment ref="K2813" authorId="0" shapeId="0" xr:uid="{7C4EC599-CE2B-4702-A87F-F061E5A3A34F}">
      <text>
        <r>
          <rPr>
            <sz val="9"/>
            <color indexed="81"/>
            <rFont val="Tahoma"/>
            <family val="2"/>
          </rPr>
          <t>Round HII region with some texture,  Foreground Mayer 2 open star cluster</t>
        </r>
      </text>
    </comment>
    <comment ref="A2814" authorId="0" shapeId="0" xr:uid="{C757FB3E-1C0E-4407-B145-7471A3B6A183}">
      <text>
        <r>
          <rPr>
            <sz val="9"/>
            <color indexed="81"/>
            <rFont val="Tahoma"/>
            <family val="2"/>
          </rPr>
          <t xml:space="preserve">
</t>
        </r>
      </text>
    </comment>
    <comment ref="K2814" authorId="0" shapeId="0" xr:uid="{2AAEF7B2-6551-4C03-A43E-B66642E82B9B}">
      <text>
        <r>
          <rPr>
            <sz val="9"/>
            <color indexed="81"/>
            <rFont val="Tahoma"/>
            <family val="2"/>
          </rPr>
          <t>Small bright oblong HII region with the size of a PN</t>
        </r>
      </text>
    </comment>
    <comment ref="A2815" authorId="0" shapeId="0" xr:uid="{D4A5A7EC-9303-4E6C-8184-EBCBEB41E647}">
      <text>
        <r>
          <rPr>
            <sz val="9"/>
            <color indexed="81"/>
            <rFont val="Tahoma"/>
            <family val="2"/>
          </rPr>
          <t xml:space="preserve">
</t>
        </r>
      </text>
    </comment>
    <comment ref="K2815" authorId="0" shapeId="0" xr:uid="{BB28DBBE-B8FC-4A9A-853A-933E5E6DF002}">
      <text>
        <r>
          <rPr>
            <sz val="9"/>
            <color indexed="81"/>
            <rFont val="Tahoma"/>
            <family val="2"/>
          </rPr>
          <t>Distant HII region</t>
        </r>
      </text>
    </comment>
    <comment ref="A2816" authorId="0" shapeId="0" xr:uid="{B2567B9A-A93A-4A9D-9C10-1F6CBA5F8EAF}">
      <text>
        <r>
          <rPr>
            <sz val="9"/>
            <color indexed="81"/>
            <rFont val="Tahoma"/>
            <family val="2"/>
          </rPr>
          <t xml:space="preserve">
</t>
        </r>
      </text>
    </comment>
    <comment ref="K2816" authorId="0" shapeId="0" xr:uid="{4F6ADAED-A592-480E-AC59-E6EDD0A545A3}">
      <text>
        <r>
          <rPr>
            <sz val="9"/>
            <color indexed="81"/>
            <rFont val="Tahoma"/>
            <family val="2"/>
          </rPr>
          <t>Faint HII region</t>
        </r>
      </text>
    </comment>
    <comment ref="A2817" authorId="0" shapeId="0" xr:uid="{81F496D2-C1F5-4A37-88BF-123AE0B3A49D}">
      <text>
        <r>
          <rPr>
            <sz val="9"/>
            <color indexed="81"/>
            <rFont val="Tahoma"/>
            <family val="2"/>
          </rPr>
          <t xml:space="preserve">
</t>
        </r>
      </text>
    </comment>
    <comment ref="K2817" authorId="0" shapeId="0" xr:uid="{2CF9ABFC-D5C9-4256-9AE2-FCC8B16B3FC2}">
      <text>
        <r>
          <rPr>
            <sz val="9"/>
            <color indexed="81"/>
            <rFont val="Tahoma"/>
            <family val="2"/>
          </rPr>
          <t>Unusual rough edged HII region with foreground small star cluster</t>
        </r>
      </text>
    </comment>
    <comment ref="A2818" authorId="0" shapeId="0" xr:uid="{281207E0-FDE7-4FE1-AB5B-A23CEA5C20D6}">
      <text>
        <r>
          <rPr>
            <sz val="9"/>
            <color indexed="81"/>
            <rFont val="Tahoma"/>
            <family val="2"/>
          </rPr>
          <t xml:space="preserve">
</t>
        </r>
      </text>
    </comment>
    <comment ref="K2818" authorId="0" shapeId="0" xr:uid="{BCAB749A-D181-4B1D-AC1B-247EEF42D9A8}">
      <text>
        <r>
          <rPr>
            <sz val="9"/>
            <color indexed="81"/>
            <rFont val="Tahoma"/>
            <family val="2"/>
          </rPr>
          <t>Round HII region with the star cluster NGC 1624 at center</t>
        </r>
      </text>
    </comment>
    <comment ref="A2819" authorId="0" shapeId="0" xr:uid="{1B54B90A-BFF3-48EF-80A6-3853934225DA}">
      <text>
        <r>
          <rPr>
            <sz val="9"/>
            <color indexed="81"/>
            <rFont val="Tahoma"/>
            <family val="2"/>
          </rPr>
          <t xml:space="preserve">
</t>
        </r>
      </text>
    </comment>
    <comment ref="K2819" authorId="0" shapeId="0" xr:uid="{002C9E41-5144-4313-A55E-8B435C4FA652}">
      <text>
        <r>
          <rPr>
            <sz val="9"/>
            <color indexed="81"/>
            <rFont val="Tahoma"/>
            <family val="2"/>
          </rPr>
          <t>Faint complex region of HII nebulosity</t>
        </r>
      </text>
    </comment>
    <comment ref="A2820" authorId="0" shapeId="0" xr:uid="{D09D0AF8-B704-4751-801A-8239BF38F1D8}">
      <text>
        <r>
          <rPr>
            <sz val="9"/>
            <color indexed="81"/>
            <rFont val="Tahoma"/>
            <family val="2"/>
          </rPr>
          <t xml:space="preserve">
</t>
        </r>
      </text>
    </comment>
    <comment ref="K2820" authorId="0" shapeId="0" xr:uid="{D5D5C828-61AE-49AA-A6E6-CD250B0C9EB6}">
      <text>
        <r>
          <rPr>
            <sz val="9"/>
            <color indexed="81"/>
            <rFont val="Tahoma"/>
            <family val="2"/>
          </rPr>
          <t>Nothing seen - either very faint or false object</t>
        </r>
      </text>
    </comment>
    <comment ref="A2821" authorId="0" shapeId="0" xr:uid="{750894FB-AF12-4DF3-9B73-DC167758282E}">
      <text>
        <r>
          <rPr>
            <sz val="9"/>
            <color indexed="81"/>
            <rFont val="Tahoma"/>
            <family val="2"/>
          </rPr>
          <t xml:space="preserve">
</t>
        </r>
      </text>
    </comment>
    <comment ref="K2821" authorId="0" shapeId="0" xr:uid="{2ADA55EE-9A87-4CB8-83FF-DA1BD6C1513F}">
      <text>
        <r>
          <rPr>
            <sz val="9"/>
            <color indexed="81"/>
            <rFont val="Tahoma"/>
            <family val="2"/>
          </rPr>
          <t>Faint hairpin shaped HII emission</t>
        </r>
      </text>
    </comment>
    <comment ref="A2822" authorId="0" shapeId="0" xr:uid="{2A8E74E0-5C05-4459-887D-FA14A04FC118}">
      <text>
        <r>
          <rPr>
            <sz val="9"/>
            <color indexed="81"/>
            <rFont val="Tahoma"/>
            <family val="2"/>
          </rPr>
          <t xml:space="preserve">
</t>
        </r>
      </text>
    </comment>
    <comment ref="K2822" authorId="0" shapeId="0" xr:uid="{E548B86F-D537-490D-888B-D300245E4BA3}">
      <text>
        <r>
          <rPr>
            <sz val="9"/>
            <color indexed="81"/>
            <rFont val="Tahoma"/>
            <family val="2"/>
          </rPr>
          <t>Largest PN and closest to earth.  Very faint.</t>
        </r>
      </text>
    </comment>
    <comment ref="A2823" authorId="0" shapeId="0" xr:uid="{B6396284-EFAA-489F-91A8-B8934CDE3B41}">
      <text>
        <r>
          <rPr>
            <sz val="9"/>
            <color indexed="81"/>
            <rFont val="Tahoma"/>
            <family val="2"/>
          </rPr>
          <t xml:space="preserve">
</t>
        </r>
      </text>
    </comment>
    <comment ref="K2823" authorId="0" shapeId="0" xr:uid="{15330B79-9603-4F21-A02F-44DEBB91F5BA}">
      <text>
        <r>
          <rPr>
            <sz val="9"/>
            <color indexed="81"/>
            <rFont val="Tahoma"/>
            <family val="2"/>
          </rPr>
          <t>Elliptical HII region with dust lane</t>
        </r>
      </text>
    </comment>
    <comment ref="A2824" authorId="0" shapeId="0" xr:uid="{AF9C0AC5-47CC-4DFB-892D-A015711D0824}">
      <text>
        <r>
          <rPr>
            <sz val="9"/>
            <color indexed="81"/>
            <rFont val="Tahoma"/>
            <family val="2"/>
          </rPr>
          <t xml:space="preserve">
</t>
        </r>
      </text>
    </comment>
    <comment ref="K2824" authorId="0" shapeId="0" xr:uid="{CC235C79-66F5-44DC-AE60-5B88E19D179C}">
      <text>
        <r>
          <rPr>
            <sz val="9"/>
            <color indexed="81"/>
            <rFont val="Tahoma"/>
            <family val="2"/>
          </rPr>
          <t>Very faint molecular cloud</t>
        </r>
      </text>
    </comment>
    <comment ref="A2825" authorId="0" shapeId="0" xr:uid="{70AC199C-C90E-4302-9B66-02CF53F9F5E5}">
      <text>
        <r>
          <rPr>
            <sz val="9"/>
            <color indexed="81"/>
            <rFont val="Tahoma"/>
            <family val="2"/>
          </rPr>
          <t xml:space="preserve">
</t>
        </r>
      </text>
    </comment>
    <comment ref="K2825" authorId="0" shapeId="0" xr:uid="{779E9660-A22E-4627-806D-D6D1C515DA20}">
      <text>
        <r>
          <rPr>
            <sz val="9"/>
            <color indexed="81"/>
            <rFont val="Tahoma"/>
            <family val="2"/>
          </rPr>
          <t>Dim circular HII region with slight dust lanes</t>
        </r>
      </text>
    </comment>
    <comment ref="A2826" authorId="0" shapeId="0" xr:uid="{E28B4BD5-2F9A-46CC-B779-89D6705142DD}">
      <text>
        <r>
          <rPr>
            <sz val="9"/>
            <color indexed="81"/>
            <rFont val="Tahoma"/>
            <family val="2"/>
          </rPr>
          <t xml:space="preserve">
</t>
        </r>
      </text>
    </comment>
    <comment ref="K2826" authorId="0" shapeId="0" xr:uid="{0809E0B0-0CCE-4A04-8A0B-AF0DBBC82C1B}">
      <text>
        <r>
          <rPr>
            <sz val="9"/>
            <color indexed="81"/>
            <rFont val="Tahoma"/>
            <family val="2"/>
          </rPr>
          <t>Very faint SNR arc</t>
        </r>
      </text>
    </comment>
    <comment ref="A2827" authorId="0" shapeId="0" xr:uid="{DDF0C27D-37BE-44DD-937D-664285EFD78E}">
      <text>
        <r>
          <rPr>
            <sz val="9"/>
            <color indexed="81"/>
            <rFont val="Tahoma"/>
            <family val="2"/>
          </rPr>
          <t xml:space="preserve">
</t>
        </r>
      </text>
    </comment>
    <comment ref="K2827" authorId="0" shapeId="0" xr:uid="{7098689C-3623-48F4-9972-0136D0197860}">
      <text>
        <r>
          <rPr>
            <sz val="9"/>
            <color indexed="81"/>
            <rFont val="Tahoma"/>
            <family val="2"/>
          </rPr>
          <t>Large HII region which originally was thought to be a SNR.</t>
        </r>
      </text>
    </comment>
    <comment ref="A2828" authorId="0" shapeId="0" xr:uid="{8A33B21B-3A17-401B-8195-40A8AD4B8033}">
      <text>
        <r>
          <rPr>
            <sz val="9"/>
            <color indexed="81"/>
            <rFont val="Tahoma"/>
            <family val="2"/>
          </rPr>
          <t xml:space="preserve">
</t>
        </r>
      </text>
    </comment>
    <comment ref="K2828" authorId="0" shapeId="0" xr:uid="{71D765AE-B7B3-45DA-A720-D1CB4B4B7419}">
      <text>
        <r>
          <rPr>
            <sz val="9"/>
            <color indexed="81"/>
            <rFont val="Tahoma"/>
            <family val="2"/>
          </rPr>
          <t>Unusual SNR with two different cavities</t>
        </r>
      </text>
    </comment>
    <comment ref="A2829" authorId="0" shapeId="0" xr:uid="{50E76062-B3AF-4EB5-998A-B7A083B3AAEF}">
      <text>
        <r>
          <rPr>
            <sz val="9"/>
            <color indexed="81"/>
            <rFont val="Tahoma"/>
            <family val="2"/>
          </rPr>
          <t xml:space="preserve">
</t>
        </r>
      </text>
    </comment>
    <comment ref="K2829" authorId="0" shapeId="0" xr:uid="{9F017522-5361-4D07-ABF8-C11332BE7EB8}">
      <text>
        <r>
          <rPr>
            <sz val="9"/>
            <color indexed="81"/>
            <rFont val="Tahoma"/>
            <family val="2"/>
          </rPr>
          <t>Dim HII emission arc</t>
        </r>
      </text>
    </comment>
    <comment ref="A2830" authorId="0" shapeId="0" xr:uid="{FE5A0308-01CC-40F6-B31C-F4EB50CCE110}">
      <text>
        <r>
          <rPr>
            <sz val="9"/>
            <color indexed="81"/>
            <rFont val="Tahoma"/>
            <family val="2"/>
          </rPr>
          <t xml:space="preserve">
</t>
        </r>
      </text>
    </comment>
    <comment ref="K2830" authorId="0" shapeId="0" xr:uid="{C3CF54D0-E818-483E-BDB1-3EA2D78978B1}">
      <text>
        <r>
          <rPr>
            <sz val="9"/>
            <color indexed="81"/>
            <rFont val="Tahoma"/>
            <family val="2"/>
          </rPr>
          <t>Circular HII region with dust lanes</t>
        </r>
      </text>
    </comment>
    <comment ref="A2831" authorId="0" shapeId="0" xr:uid="{CF2C9D44-9C2A-4E0C-8EEC-D3DA8634900B}">
      <text>
        <r>
          <rPr>
            <sz val="9"/>
            <color indexed="81"/>
            <rFont val="Tahoma"/>
            <family val="2"/>
          </rPr>
          <t xml:space="preserve">
</t>
        </r>
      </text>
    </comment>
    <comment ref="K2831" authorId="0" shapeId="0" xr:uid="{F5BC77AC-B1AF-4D22-8459-C1D286446DEE}">
      <text>
        <r>
          <rPr>
            <sz val="9"/>
            <color indexed="81"/>
            <rFont val="Tahoma"/>
            <family val="2"/>
          </rPr>
          <t>Dim half-circle of HII nebulosity</t>
        </r>
      </text>
    </comment>
    <comment ref="A2832" authorId="0" shapeId="0" xr:uid="{FCAAA72B-8208-4E9A-8226-42D7593F2BF1}">
      <text>
        <r>
          <rPr>
            <sz val="9"/>
            <color indexed="81"/>
            <rFont val="Tahoma"/>
            <family val="2"/>
          </rPr>
          <t xml:space="preserve">
</t>
        </r>
      </text>
    </comment>
    <comment ref="K2832" authorId="0" shapeId="0" xr:uid="{EF157506-7C8C-455D-9D07-EA525219C70F}">
      <text>
        <r>
          <rPr>
            <sz val="9"/>
            <color indexed="81"/>
            <rFont val="Tahoma"/>
            <family val="2"/>
          </rPr>
          <t>Beautiful small bright Hii region with dust pillars</t>
        </r>
      </text>
    </comment>
    <comment ref="A2833" authorId="0" shapeId="0" xr:uid="{B8AC306C-FB13-4F92-BD97-86CACE3F4829}">
      <text>
        <r>
          <rPr>
            <sz val="9"/>
            <color indexed="81"/>
            <rFont val="Tahoma"/>
            <family val="2"/>
          </rPr>
          <t xml:space="preserve">
</t>
        </r>
      </text>
    </comment>
    <comment ref="K2833" authorId="0" shapeId="0" xr:uid="{90463148-5F46-43FA-B12A-A70736CFE44F}">
      <text>
        <r>
          <rPr>
            <sz val="9"/>
            <color indexed="81"/>
            <rFont val="Tahoma"/>
            <family val="2"/>
          </rPr>
          <t>Enormous HII region that includes familiar objects like IC 405 &amp; IC 410</t>
        </r>
      </text>
    </comment>
    <comment ref="A2834" authorId="0" shapeId="0" xr:uid="{0D199C40-1B17-4AC1-8D60-1738C2A4BA07}">
      <text>
        <r>
          <rPr>
            <sz val="9"/>
            <color indexed="81"/>
            <rFont val="Tahoma"/>
            <family val="2"/>
          </rPr>
          <t xml:space="preserve">
</t>
        </r>
      </text>
    </comment>
    <comment ref="K2834" authorId="0" shapeId="0" xr:uid="{D9319311-3023-4290-9C07-7B4D3F49A729}">
      <text>
        <r>
          <rPr>
            <sz val="9"/>
            <color indexed="81"/>
            <rFont val="Tahoma"/>
            <family val="2"/>
          </rPr>
          <t>Kidney bean shaped faint HII emission, incorrect location in Aladin</t>
        </r>
      </text>
    </comment>
    <comment ref="A2835" authorId="0" shapeId="0" xr:uid="{84CFEF4B-CDDE-41AC-AA64-2B700C61E063}">
      <text>
        <r>
          <rPr>
            <sz val="9"/>
            <color indexed="81"/>
            <rFont val="Tahoma"/>
            <family val="2"/>
          </rPr>
          <t xml:space="preserve">
</t>
        </r>
      </text>
    </comment>
    <comment ref="K2835" authorId="0" shapeId="0" xr:uid="{C8C14411-E93D-4717-BDEC-A5B2526EE9FF}">
      <text>
        <r>
          <rPr>
            <sz val="9"/>
            <color indexed="81"/>
            <rFont val="Tahoma"/>
            <family val="2"/>
          </rPr>
          <t xml:space="preserve">Large bright HII region with interesting dark lanes </t>
        </r>
      </text>
    </comment>
    <comment ref="A2836" authorId="0" shapeId="0" xr:uid="{3E41E96F-6512-433C-98F7-6B90E33D6EB5}">
      <text>
        <r>
          <rPr>
            <sz val="9"/>
            <color indexed="81"/>
            <rFont val="Tahoma"/>
            <family val="2"/>
          </rPr>
          <t xml:space="preserve">
</t>
        </r>
      </text>
    </comment>
    <comment ref="K2836" authorId="0" shapeId="0" xr:uid="{F0E7D1D6-7214-4D3C-9C62-CBB7477E9453}">
      <text>
        <r>
          <rPr>
            <sz val="9"/>
            <color indexed="81"/>
            <rFont val="Tahoma"/>
            <family val="2"/>
          </rPr>
          <t>Least impressive of 4 adjacent circular HII regions in Auriga</t>
        </r>
      </text>
    </comment>
    <comment ref="A2837" authorId="0" shapeId="0" xr:uid="{8CBF6C0F-FE30-41AE-91F2-814A2578DA24}">
      <text>
        <r>
          <rPr>
            <sz val="9"/>
            <color indexed="81"/>
            <rFont val="Tahoma"/>
            <family val="2"/>
          </rPr>
          <t xml:space="preserve">
</t>
        </r>
      </text>
    </comment>
    <comment ref="K2837" authorId="0" shapeId="0" xr:uid="{A015D937-2E86-47F7-A657-1F316260DF80}">
      <text>
        <r>
          <rPr>
            <sz val="9"/>
            <color indexed="81"/>
            <rFont val="Tahoma"/>
            <family val="2"/>
          </rPr>
          <t>The brightest of 4 adjacent HII regions in Auriga</t>
        </r>
      </text>
    </comment>
    <comment ref="A2838" authorId="0" shapeId="0" xr:uid="{A7645B47-0C30-483D-86D1-EF8E708F6BE6}">
      <text>
        <r>
          <rPr>
            <sz val="9"/>
            <color indexed="81"/>
            <rFont val="Tahoma"/>
            <family val="2"/>
          </rPr>
          <t xml:space="preserve">
</t>
        </r>
      </text>
    </comment>
    <comment ref="K2838" authorId="0" shapeId="0" xr:uid="{5E666D76-BB0C-48EA-B7CA-3E07BD4F0BA8}">
      <text>
        <r>
          <rPr>
            <sz val="9"/>
            <color indexed="81"/>
            <rFont val="Tahoma"/>
            <family val="2"/>
          </rPr>
          <t>With the adjacent dark nebula, a lovely bright nebula with many HH objects</t>
        </r>
      </text>
    </comment>
    <comment ref="A2839" authorId="0" shapeId="0" xr:uid="{A078776B-ECB8-4C63-A81C-FC47916A935F}">
      <text>
        <r>
          <rPr>
            <sz val="9"/>
            <color indexed="81"/>
            <rFont val="Tahoma"/>
            <family val="2"/>
          </rPr>
          <t xml:space="preserve">
</t>
        </r>
      </text>
    </comment>
    <comment ref="K2839" authorId="0" shapeId="0" xr:uid="{F97ADB5A-C901-4697-93C6-5001D62A033D}">
      <text>
        <r>
          <rPr>
            <sz val="9"/>
            <color indexed="81"/>
            <rFont val="Tahoma"/>
            <family val="2"/>
          </rPr>
          <t>Huge SNR with bright filaments in both HII and OII</t>
        </r>
      </text>
    </comment>
    <comment ref="A2840" authorId="0" shapeId="0" xr:uid="{C56D96D8-A4C9-47C1-9CB6-1720CAA0BA16}">
      <text>
        <r>
          <rPr>
            <sz val="9"/>
            <color indexed="81"/>
            <rFont val="Tahoma"/>
            <family val="2"/>
          </rPr>
          <t xml:space="preserve">
</t>
        </r>
      </text>
    </comment>
    <comment ref="K2840" authorId="0" shapeId="0" xr:uid="{96A6666F-AC7A-4819-9155-D82334D41B3C}">
      <text>
        <r>
          <rPr>
            <sz val="9"/>
            <color indexed="81"/>
            <rFont val="Tahoma"/>
            <family val="2"/>
          </rPr>
          <t>Faint emission nebula, fortunately located next to a blue reflection nebula</t>
        </r>
      </text>
    </comment>
    <comment ref="A2841" authorId="0" shapeId="0" xr:uid="{0752A9AC-AEAF-4D21-99F9-B0C4E86A8A86}">
      <text>
        <r>
          <rPr>
            <sz val="9"/>
            <color indexed="81"/>
            <rFont val="Tahoma"/>
            <family val="2"/>
          </rPr>
          <t xml:space="preserve">
</t>
        </r>
      </text>
    </comment>
    <comment ref="K2841" authorId="0" shapeId="0" xr:uid="{0BBAA7D1-7931-44DD-B2A3-38D694526DBE}">
      <text>
        <r>
          <rPr>
            <sz val="9"/>
            <color indexed="81"/>
            <rFont val="Tahoma"/>
            <family val="2"/>
          </rPr>
          <t>Small bright red HII region, looks puny right next to Sh2-240</t>
        </r>
      </text>
    </comment>
    <comment ref="A2842" authorId="0" shapeId="0" xr:uid="{9FA6641D-9F94-4CDD-BCE0-737D4CCA038D}">
      <text>
        <r>
          <rPr>
            <sz val="9"/>
            <color indexed="81"/>
            <rFont val="Tahoma"/>
            <family val="2"/>
          </rPr>
          <t xml:space="preserve">
</t>
        </r>
      </text>
    </comment>
    <comment ref="K2842" authorId="0" shapeId="0" xr:uid="{46837FE4-A69F-42E0-B3DB-0F5445BB0C00}">
      <text>
        <r>
          <rPr>
            <sz val="9"/>
            <color indexed="81"/>
            <rFont val="Tahoma"/>
            <family val="2"/>
          </rPr>
          <t>Faint, massive Fishhook nebula, 25 degrees long</t>
        </r>
      </text>
    </comment>
    <comment ref="A2843" authorId="0" shapeId="0" xr:uid="{0DE880E5-7ACC-4E78-A937-4B6255DAE610}">
      <text>
        <r>
          <rPr>
            <sz val="9"/>
            <color indexed="81"/>
            <rFont val="Tahoma"/>
            <family val="2"/>
          </rPr>
          <t xml:space="preserve">
</t>
        </r>
      </text>
    </comment>
    <comment ref="K2843" authorId="0" shapeId="0" xr:uid="{5C4A15E6-B382-47EC-BF85-CBA4E79629F0}">
      <text>
        <r>
          <rPr>
            <sz val="9"/>
            <color indexed="81"/>
            <rFont val="Tahoma"/>
            <family val="2"/>
          </rPr>
          <t>Faint molecular cloud in comet shape</t>
        </r>
      </text>
    </comment>
    <comment ref="A2844" authorId="0" shapeId="0" xr:uid="{0B8FD169-01FC-4AA7-B1B5-830D57150DF0}">
      <text>
        <r>
          <rPr>
            <sz val="9"/>
            <color indexed="81"/>
            <rFont val="Tahoma"/>
            <family val="2"/>
          </rPr>
          <t xml:space="preserve">
</t>
        </r>
      </text>
    </comment>
    <comment ref="K2844" authorId="0" shapeId="0" xr:uid="{6DD00D53-8274-4937-B46C-734431F98282}">
      <text>
        <r>
          <rPr>
            <sz val="9"/>
            <color indexed="81"/>
            <rFont val="Tahoma"/>
            <family val="2"/>
          </rPr>
          <t>Circular faint HII region</t>
        </r>
      </text>
    </comment>
    <comment ref="A2845" authorId="0" shapeId="0" xr:uid="{A9E94B94-FFFF-4B5B-9517-977C6852EF53}">
      <text>
        <r>
          <rPr>
            <sz val="9"/>
            <color indexed="81"/>
            <rFont val="Tahoma"/>
            <family val="2"/>
          </rPr>
          <t xml:space="preserve">
</t>
        </r>
      </text>
    </comment>
    <comment ref="K2845" authorId="0" shapeId="0" xr:uid="{C38B2593-A629-4790-BAC9-F42AF233B877}">
      <text>
        <r>
          <rPr>
            <sz val="9"/>
            <color indexed="81"/>
            <rFont val="Tahoma"/>
            <family val="2"/>
          </rPr>
          <t>Bright HII emission with 2 dark nebulae, just east of the Jellyfish</t>
        </r>
      </text>
    </comment>
    <comment ref="A2846" authorId="0" shapeId="0" xr:uid="{534B6342-06E8-49B6-AB03-65E730AC0772}">
      <text>
        <r>
          <rPr>
            <sz val="9"/>
            <color indexed="81"/>
            <rFont val="Tahoma"/>
            <family val="2"/>
          </rPr>
          <t xml:space="preserve">
</t>
        </r>
      </text>
    </comment>
    <comment ref="K2846" authorId="0" shapeId="0" xr:uid="{42523FED-27F8-482F-8C8E-F331D1239BE8}">
      <text>
        <r>
          <rPr>
            <sz val="9"/>
            <color indexed="81"/>
            <rFont val="Tahoma"/>
            <family val="2"/>
          </rPr>
          <t>Faint strip of HII emission</t>
        </r>
      </text>
    </comment>
    <comment ref="A2847" authorId="0" shapeId="0" xr:uid="{6456BAF1-1A8A-4CBF-8FE5-313CC8C11362}">
      <text>
        <r>
          <rPr>
            <sz val="9"/>
            <color indexed="81"/>
            <rFont val="Tahoma"/>
            <family val="2"/>
          </rPr>
          <t xml:space="preserve">
</t>
        </r>
      </text>
    </comment>
    <comment ref="K2847" authorId="0" shapeId="0" xr:uid="{0075214F-D737-4C97-8037-CE09036234CA}">
      <text>
        <r>
          <rPr>
            <sz val="9"/>
            <color indexed="81"/>
            <rFont val="Tahoma"/>
            <family val="2"/>
          </rPr>
          <t>Complex faint ring of HII nebula</t>
        </r>
      </text>
    </comment>
    <comment ref="A2848" authorId="0" shapeId="0" xr:uid="{2A563096-9821-449A-9F4E-D00A75F3B215}">
      <text>
        <r>
          <rPr>
            <sz val="9"/>
            <color indexed="81"/>
            <rFont val="Tahoma"/>
            <family val="2"/>
          </rPr>
          <t xml:space="preserve">
</t>
        </r>
      </text>
    </comment>
    <comment ref="K2848" authorId="0" shapeId="0" xr:uid="{6FBA3EB9-F48B-4B52-A21B-9509B6FBE8E0}">
      <text>
        <r>
          <rPr>
            <sz val="9"/>
            <color indexed="81"/>
            <rFont val="Tahoma"/>
            <family val="2"/>
          </rPr>
          <t>Comet-like swath of HII nebulosity</t>
        </r>
      </text>
    </comment>
    <comment ref="A2849" authorId="0" shapeId="0" xr:uid="{7FFA57AD-D778-493D-B055-DEB492186B7C}">
      <text>
        <r>
          <rPr>
            <sz val="9"/>
            <color indexed="81"/>
            <rFont val="Tahoma"/>
            <family val="2"/>
          </rPr>
          <t xml:space="preserve">
</t>
        </r>
      </text>
    </comment>
    <comment ref="K2849" authorId="0" shapeId="0" xr:uid="{F9039014-ABE0-4B9F-856A-AE9FFF2B2075}">
      <text>
        <r>
          <rPr>
            <sz val="9"/>
            <color indexed="81"/>
            <rFont val="Tahoma"/>
            <family val="2"/>
          </rPr>
          <t>Largest HII region in a 5 HII cluster in Orion</t>
        </r>
      </text>
    </comment>
    <comment ref="A2850" authorId="0" shapeId="0" xr:uid="{C598AC49-0834-45A4-ADEC-D272611D004F}">
      <text>
        <r>
          <rPr>
            <sz val="9"/>
            <color indexed="81"/>
            <rFont val="Tahoma"/>
            <family val="2"/>
          </rPr>
          <t xml:space="preserve">
</t>
        </r>
      </text>
    </comment>
    <comment ref="K2850" authorId="0" shapeId="0" xr:uid="{4AD2014B-0089-4614-A427-37F3B9AF9733}">
      <text>
        <r>
          <rPr>
            <sz val="9"/>
            <color indexed="81"/>
            <rFont val="Tahoma"/>
            <family val="2"/>
          </rPr>
          <t>Interesting dust lanes, a bit like the Trifid nebula</t>
        </r>
      </text>
    </comment>
    <comment ref="A2851" authorId="0" shapeId="0" xr:uid="{C9DA3469-C630-4ED0-B13A-2E75680E8CE1}">
      <text>
        <r>
          <rPr>
            <sz val="9"/>
            <color indexed="81"/>
            <rFont val="Tahoma"/>
            <family val="2"/>
          </rPr>
          <t xml:space="preserve">
</t>
        </r>
      </text>
    </comment>
    <comment ref="K2851" authorId="0" shapeId="0" xr:uid="{D7524DC6-FD6F-4231-AF7E-1851FB37F24C}">
      <text>
        <r>
          <rPr>
            <sz val="9"/>
            <color indexed="81"/>
            <rFont val="Tahoma"/>
            <family val="2"/>
          </rPr>
          <t>Often overlooked member of the 5 HII region Orion complex</t>
        </r>
      </text>
    </comment>
    <comment ref="A2852" authorId="0" shapeId="0" xr:uid="{DF4FFCF2-DD0F-43B7-8FCB-C801E851FE9E}">
      <text>
        <r>
          <rPr>
            <sz val="9"/>
            <color indexed="81"/>
            <rFont val="Tahoma"/>
            <family val="2"/>
          </rPr>
          <t xml:space="preserve">
</t>
        </r>
      </text>
    </comment>
    <comment ref="K2852" authorId="0" shapeId="0" xr:uid="{ED17AFD2-8537-4804-8F2A-E3A77ED603CF}">
      <text>
        <r>
          <rPr>
            <sz val="9"/>
            <color indexed="81"/>
            <rFont val="Tahoma"/>
            <family val="2"/>
          </rPr>
          <t>Central HII region in the Orion cluster of 5 HII regions.</t>
        </r>
      </text>
    </comment>
    <comment ref="A2853" authorId="0" shapeId="0" xr:uid="{E0B286D2-7AB4-45EC-A428-6BB6EE1C51FC}">
      <text>
        <r>
          <rPr>
            <sz val="9"/>
            <color indexed="81"/>
            <rFont val="Tahoma"/>
            <family val="2"/>
          </rPr>
          <t xml:space="preserve">
</t>
        </r>
      </text>
    </comment>
    <comment ref="K2853" authorId="0" shapeId="0" xr:uid="{D3D9879A-E022-424B-91E2-15A779C237F0}">
      <text>
        <r>
          <rPr>
            <sz val="9"/>
            <color indexed="81"/>
            <rFont val="Tahoma"/>
            <family val="2"/>
          </rPr>
          <t>Tiny PN-like HII region</t>
        </r>
      </text>
    </comment>
    <comment ref="A2854" authorId="0" shapeId="0" xr:uid="{7070DE97-184B-4140-9D7A-D79046C3A775}">
      <text>
        <r>
          <rPr>
            <sz val="9"/>
            <color indexed="81"/>
            <rFont val="Tahoma"/>
            <family val="2"/>
          </rPr>
          <t xml:space="preserve">
</t>
        </r>
      </text>
    </comment>
    <comment ref="K2854" authorId="0" shapeId="0" xr:uid="{12E497CB-2C10-4575-BA27-D9C5CF7E35EB}">
      <text>
        <r>
          <rPr>
            <sz val="9"/>
            <color indexed="81"/>
            <rFont val="Tahoma"/>
            <family val="2"/>
          </rPr>
          <t>Small faint circular HII spot</t>
        </r>
      </text>
    </comment>
    <comment ref="A2855" authorId="0" shapeId="0" xr:uid="{0909CE65-CE10-4374-A094-6C3215EBBE9E}">
      <text>
        <r>
          <rPr>
            <sz val="9"/>
            <color indexed="81"/>
            <rFont val="Tahoma"/>
            <family val="2"/>
          </rPr>
          <t xml:space="preserve">
</t>
        </r>
      </text>
    </comment>
    <comment ref="K2855" authorId="0" shapeId="0" xr:uid="{752011F3-4526-49C3-80C6-C61CFA6190F7}">
      <text>
        <r>
          <rPr>
            <sz val="9"/>
            <color indexed="81"/>
            <rFont val="Tahoma"/>
            <family val="2"/>
          </rPr>
          <t>Dim dumb-bell shaped HII region</t>
        </r>
      </text>
    </comment>
    <comment ref="A2856" authorId="0" shapeId="0" xr:uid="{A5A6FCFB-D3D9-4263-80D5-361E4EE65361}">
      <text>
        <r>
          <rPr>
            <sz val="9"/>
            <color indexed="81"/>
            <rFont val="Tahoma"/>
            <family val="2"/>
          </rPr>
          <t xml:space="preserve">
</t>
        </r>
      </text>
    </comment>
    <comment ref="K2856" authorId="0" shapeId="0" xr:uid="{5EF79581-44D8-4452-8546-D73B144A720B}">
      <text>
        <r>
          <rPr>
            <sz val="9"/>
            <color indexed="81"/>
            <rFont val="Tahoma"/>
            <family val="2"/>
          </rPr>
          <t>Nicely textured bright HII region with a small mysterious OII "mushroom" in the center</t>
        </r>
      </text>
    </comment>
    <comment ref="A2857" authorId="0" shapeId="0" xr:uid="{01A1CCDC-B8D7-485A-A0AC-084828E17246}">
      <text>
        <r>
          <rPr>
            <sz val="9"/>
            <color indexed="81"/>
            <rFont val="Tahoma"/>
            <family val="2"/>
          </rPr>
          <t xml:space="preserve">
</t>
        </r>
      </text>
    </comment>
    <comment ref="K2857" authorId="0" shapeId="0" xr:uid="{F7AEA96E-B1B6-4889-B84E-B743765B4BEC}">
      <text>
        <r>
          <rPr>
            <sz val="9"/>
            <color indexed="81"/>
            <rFont val="Tahoma"/>
            <family val="2"/>
          </rPr>
          <t>Faint HII emission arc</t>
        </r>
      </text>
    </comment>
    <comment ref="A2858" authorId="0" shapeId="0" xr:uid="{DAEFB237-88ED-4F90-9A62-DEA2C8DF035B}">
      <text>
        <r>
          <rPr>
            <sz val="9"/>
            <color indexed="81"/>
            <rFont val="Tahoma"/>
            <family val="2"/>
          </rPr>
          <t xml:space="preserve">
</t>
        </r>
      </text>
    </comment>
    <comment ref="K2858" authorId="0" shapeId="0" xr:uid="{A5D9E185-42F0-499A-A8D5-61F5D865A07E}">
      <text>
        <r>
          <rPr>
            <sz val="9"/>
            <color indexed="81"/>
            <rFont val="Tahoma"/>
            <family val="2"/>
          </rPr>
          <t xml:space="preserve">Resplendent pairing of emission and reflection nebulae, the Moldy Strawberry </t>
        </r>
      </text>
    </comment>
    <comment ref="A2859" authorId="0" shapeId="0" xr:uid="{D7418BF8-A443-4DDA-9BA4-DF3A8FDE16C5}">
      <text>
        <r>
          <rPr>
            <sz val="9"/>
            <color indexed="81"/>
            <rFont val="Tahoma"/>
            <family val="2"/>
          </rPr>
          <t xml:space="preserve">
</t>
        </r>
      </text>
    </comment>
    <comment ref="K2859" authorId="0" shapeId="0" xr:uid="{B340168D-0049-4643-A813-5BE36E88C996}">
      <text>
        <r>
          <rPr>
            <sz val="9"/>
            <color indexed="81"/>
            <rFont val="Tahoma"/>
            <family val="2"/>
          </rPr>
          <t>Beautiful large HII nebula at Orion's Head</t>
        </r>
      </text>
    </comment>
    <comment ref="A2860" authorId="0" shapeId="0" xr:uid="{209EBF24-BB18-4302-B588-D7218CC7EC4B}">
      <text>
        <r>
          <rPr>
            <sz val="9"/>
            <color indexed="81"/>
            <rFont val="Tahoma"/>
            <family val="2"/>
          </rPr>
          <t xml:space="preserve">
</t>
        </r>
      </text>
    </comment>
    <comment ref="K2860" authorId="0" shapeId="0" xr:uid="{74434DBA-B161-459A-9A0F-268CE5ACA886}">
      <text>
        <r>
          <rPr>
            <sz val="9"/>
            <color indexed="81"/>
            <rFont val="Tahoma"/>
            <family val="2"/>
          </rPr>
          <t>Very faint, pales in comparison to its neighbors</t>
        </r>
      </text>
    </comment>
    <comment ref="A2861" authorId="0" shapeId="0" xr:uid="{C002D79C-4CA8-4FC1-989C-2CF33B6F9C67}">
      <text>
        <r>
          <rPr>
            <sz val="9"/>
            <color indexed="81"/>
            <rFont val="Tahoma"/>
            <family val="2"/>
          </rPr>
          <t xml:space="preserve">
</t>
        </r>
      </text>
    </comment>
    <comment ref="K2861" authorId="0" shapeId="0" xr:uid="{BF02519D-77D7-4626-ADEA-05D0ACA70758}">
      <text>
        <r>
          <rPr>
            <sz val="9"/>
            <color indexed="81"/>
            <rFont val="Tahoma"/>
            <family val="2"/>
          </rPr>
          <t>Easily mistaken for a PN, this HII region has a bright ring, a central star and nice texture.</t>
        </r>
      </text>
    </comment>
    <comment ref="A2862" authorId="0" shapeId="0" xr:uid="{0E40BE62-5EE2-45C6-BC12-A50027DDFFB2}">
      <text>
        <r>
          <rPr>
            <sz val="9"/>
            <color indexed="81"/>
            <rFont val="Tahoma"/>
            <family val="2"/>
          </rPr>
          <t xml:space="preserve">
</t>
        </r>
      </text>
    </comment>
    <comment ref="K2862" authorId="0" shapeId="0" xr:uid="{6A226905-7D6E-4DB9-A54D-7F305A53C0B9}">
      <text>
        <r>
          <rPr>
            <sz val="9"/>
            <color indexed="81"/>
            <rFont val="Tahoma"/>
            <family val="2"/>
          </rPr>
          <t>Faint HII region</t>
        </r>
      </text>
    </comment>
    <comment ref="A2863" authorId="0" shapeId="0" xr:uid="{65317927-E6E0-4169-BEF7-A7A8D685C761}">
      <text>
        <r>
          <rPr>
            <sz val="9"/>
            <color indexed="81"/>
            <rFont val="Tahoma"/>
            <family val="2"/>
          </rPr>
          <t xml:space="preserve">
</t>
        </r>
      </text>
    </comment>
    <comment ref="K2863" authorId="0" shapeId="0" xr:uid="{C2AB593A-5D6D-44C6-BEB2-D15F039B018D}">
      <text>
        <r>
          <rPr>
            <sz val="9"/>
            <color indexed="81"/>
            <rFont val="Tahoma"/>
            <family val="2"/>
          </rPr>
          <t>Poorly defined faint HII nebula</t>
        </r>
      </text>
    </comment>
    <comment ref="A2864" authorId="0" shapeId="0" xr:uid="{13DE2A25-3FE0-4899-8A55-EABC1B9A2575}">
      <text>
        <r>
          <rPr>
            <sz val="9"/>
            <color indexed="81"/>
            <rFont val="Tahoma"/>
            <family val="2"/>
          </rPr>
          <t xml:space="preserve">
</t>
        </r>
      </text>
    </comment>
    <comment ref="K2864" authorId="0" shapeId="0" xr:uid="{917A1090-2B41-466E-9CDF-7389994E3490}">
      <text>
        <r>
          <rPr>
            <sz val="9"/>
            <color indexed="81"/>
            <rFont val="Tahoma"/>
            <family val="2"/>
          </rPr>
          <t>Bright small HII region with dust lanes</t>
        </r>
      </text>
    </comment>
    <comment ref="A2865" authorId="0" shapeId="0" xr:uid="{25AC8181-E8DE-433F-801B-06E5AF98DA7E}">
      <text>
        <r>
          <rPr>
            <sz val="9"/>
            <color indexed="81"/>
            <rFont val="Tahoma"/>
            <family val="2"/>
          </rPr>
          <t xml:space="preserve">
</t>
        </r>
      </text>
    </comment>
    <comment ref="K2865" authorId="0" shapeId="0" xr:uid="{60B6208C-2072-4F1D-A07C-573C489A5FF5}">
      <text>
        <r>
          <rPr>
            <sz val="9"/>
            <color indexed="81"/>
            <rFont val="Tahoma"/>
            <family val="2"/>
          </rPr>
          <t>Tiny HII spot</t>
        </r>
      </text>
    </comment>
    <comment ref="A2866" authorId="0" shapeId="0" xr:uid="{80603B55-3A54-4873-AC2C-EAC0B50F1010}">
      <text>
        <r>
          <rPr>
            <sz val="9"/>
            <color indexed="81"/>
            <rFont val="Tahoma"/>
            <family val="2"/>
          </rPr>
          <t xml:space="preserve">
</t>
        </r>
      </text>
    </comment>
    <comment ref="K2866" authorId="0" shapeId="0" xr:uid="{48640761-8C90-4193-A9A2-3672CCCF68A3}">
      <text>
        <r>
          <rPr>
            <sz val="9"/>
            <color indexed="81"/>
            <rFont val="Tahoma"/>
            <family val="2"/>
          </rPr>
          <t>Bright HII nebulosity with dust lanes</t>
        </r>
      </text>
    </comment>
    <comment ref="A2867" authorId="0" shapeId="0" xr:uid="{A8EFE45D-4C8D-49F6-8847-F4698A88F154}">
      <text>
        <r>
          <rPr>
            <sz val="9"/>
            <color indexed="81"/>
            <rFont val="Tahoma"/>
            <family val="2"/>
          </rPr>
          <t xml:space="preserve">
</t>
        </r>
      </text>
    </comment>
    <comment ref="K2867" authorId="0" shapeId="0" xr:uid="{9D3DCBD9-BB82-4B55-92EA-2899B1DA693B}">
      <text>
        <r>
          <rPr>
            <sz val="9"/>
            <color indexed="81"/>
            <rFont val="Tahoma"/>
            <family val="2"/>
          </rPr>
          <t>Tiny HII dot just southeast of Sh2-271</t>
        </r>
      </text>
    </comment>
    <comment ref="A2868" authorId="0" shapeId="0" xr:uid="{21063C3C-1B77-4211-B084-12BBD12AD86A}">
      <text>
        <r>
          <rPr>
            <sz val="9"/>
            <color indexed="81"/>
            <rFont val="Tahoma"/>
            <family val="2"/>
          </rPr>
          <t xml:space="preserve">
</t>
        </r>
      </text>
    </comment>
    <comment ref="K2868" authorId="0" shapeId="0" xr:uid="{630EFFE1-6F67-4AB8-8407-4F1BE4394A4B}">
      <text>
        <r>
          <rPr>
            <sz val="9"/>
            <color indexed="81"/>
            <rFont val="Tahoma"/>
            <family val="2"/>
          </rPr>
          <t>Splendid vista with an emission, dark, and reflection nebulae all present</t>
        </r>
      </text>
    </comment>
    <comment ref="A2869" authorId="0" shapeId="0" xr:uid="{B5636FC2-DE3B-4372-B456-660DCC55C9E5}">
      <text>
        <r>
          <rPr>
            <sz val="9"/>
            <color indexed="81"/>
            <rFont val="Tahoma"/>
            <family val="2"/>
          </rPr>
          <t xml:space="preserve">
</t>
        </r>
      </text>
    </comment>
    <comment ref="K2869" authorId="0" shapeId="0" xr:uid="{BFD1DE1F-BC7A-4588-8AF7-2DFE49A53C24}">
      <text>
        <r>
          <rPr>
            <sz val="9"/>
            <color indexed="81"/>
            <rFont val="Tahoma"/>
            <family val="2"/>
          </rPr>
          <t>Complex narrowband object with a blue bow shock</t>
        </r>
      </text>
    </comment>
    <comment ref="A2870" authorId="0" shapeId="0" xr:uid="{83918F2A-4E35-4835-9A18-6A9E3080C2EA}">
      <text>
        <r>
          <rPr>
            <sz val="9"/>
            <color indexed="81"/>
            <rFont val="Tahoma"/>
            <family val="2"/>
          </rPr>
          <t xml:space="preserve">
</t>
        </r>
      </text>
    </comment>
    <comment ref="K2870" authorId="0" shapeId="0" xr:uid="{842B68E8-6AF7-42B6-BC8F-E087AAAC268B}">
      <text>
        <r>
          <rPr>
            <sz val="9"/>
            <color indexed="81"/>
            <rFont val="Tahoma"/>
            <family val="2"/>
          </rPr>
          <t>Irregular HII region south of the Rosette Nebula</t>
        </r>
      </text>
    </comment>
    <comment ref="A2871" authorId="0" shapeId="0" xr:uid="{3BD6C0BA-6C83-4209-B82B-A8030D4F5852}">
      <text>
        <r>
          <rPr>
            <sz val="9"/>
            <color indexed="81"/>
            <rFont val="Tahoma"/>
            <family val="2"/>
          </rPr>
          <t xml:space="preserve">
</t>
        </r>
      </text>
    </comment>
    <comment ref="K2871" authorId="0" shapeId="0" xr:uid="{6B9C3A52-5A01-49BC-B900-F00C47BD85D3}">
      <text>
        <r>
          <rPr>
            <sz val="9"/>
            <color indexed="81"/>
            <rFont val="Tahoma"/>
            <family val="2"/>
          </rPr>
          <t>Faint complex HII shape</t>
        </r>
      </text>
    </comment>
    <comment ref="A2872" authorId="0" shapeId="0" xr:uid="{F85656FF-3B46-4C6D-B59B-2A4499C34337}">
      <text>
        <r>
          <rPr>
            <sz val="9"/>
            <color indexed="81"/>
            <rFont val="Tahoma"/>
            <family val="2"/>
          </rPr>
          <t xml:space="preserve">
</t>
        </r>
      </text>
    </comment>
    <comment ref="K2872" authorId="0" shapeId="0" xr:uid="{DE6E9486-588C-47D6-B98A-82CA3607C881}">
      <text>
        <r>
          <rPr>
            <sz val="9"/>
            <color indexed="81"/>
            <rFont val="Tahoma"/>
            <family val="2"/>
          </rPr>
          <t xml:space="preserve">Rose shaped HII region with several nice pillars and dark lanes. </t>
        </r>
      </text>
    </comment>
    <comment ref="A2873" authorId="0" shapeId="0" xr:uid="{710C5671-AAF9-4A91-ACC6-3B1E7C0FB726}">
      <text>
        <r>
          <rPr>
            <sz val="9"/>
            <color indexed="81"/>
            <rFont val="Tahoma"/>
            <family val="2"/>
          </rPr>
          <t xml:space="preserve">
</t>
        </r>
      </text>
    </comment>
    <comment ref="K2873" authorId="0" shapeId="0" xr:uid="{AC3A4CBC-CB77-4BE0-91B5-68D0E6C8ED50}">
      <text>
        <r>
          <rPr>
            <sz val="9"/>
            <color indexed="81"/>
            <rFont val="Tahoma"/>
            <family val="2"/>
          </rPr>
          <t>Star cluster with HII emission</t>
        </r>
      </text>
    </comment>
    <comment ref="A2874" authorId="0" shapeId="0" xr:uid="{0F0C5A6E-E086-485D-93C4-971C62DAB5C9}">
      <text>
        <r>
          <rPr>
            <sz val="9"/>
            <color indexed="81"/>
            <rFont val="Tahoma"/>
            <family val="2"/>
          </rPr>
          <t xml:space="preserve">
</t>
        </r>
      </text>
    </comment>
    <comment ref="K2874" authorId="0" shapeId="0" xr:uid="{A2D81D6E-2CFF-46D4-B8DF-637E87A05A95}">
      <text>
        <r>
          <rPr>
            <sz val="9"/>
            <color indexed="81"/>
            <rFont val="Tahoma"/>
            <family val="2"/>
          </rPr>
          <t>Very faint circular HII patch</t>
        </r>
      </text>
    </comment>
    <comment ref="A2875" authorId="0" shapeId="0" xr:uid="{B9EB242E-8000-4E12-8938-BFE086963D56}">
      <text>
        <r>
          <rPr>
            <sz val="9"/>
            <color indexed="81"/>
            <rFont val="Tahoma"/>
            <family val="2"/>
          </rPr>
          <t xml:space="preserve">
</t>
        </r>
      </text>
    </comment>
    <comment ref="K2875" authorId="0" shapeId="0" xr:uid="{56BB8B27-E97F-4CF4-9B7B-89A309A5F164}">
      <text>
        <r>
          <rPr>
            <sz val="9"/>
            <color indexed="81"/>
            <rFont val="Tahoma"/>
            <family val="2"/>
          </rPr>
          <t>Faint mushroom-shaped HII region</t>
        </r>
      </text>
    </comment>
    <comment ref="A2876" authorId="0" shapeId="0" xr:uid="{D2C078FD-FA5F-4739-B3BA-C8566D4EC276}">
      <text>
        <r>
          <rPr>
            <sz val="9"/>
            <color indexed="81"/>
            <rFont val="Tahoma"/>
            <family val="2"/>
          </rPr>
          <t xml:space="preserve">
</t>
        </r>
      </text>
    </comment>
    <comment ref="K2876" authorId="0" shapeId="0" xr:uid="{8E83CADB-BB7B-42DE-A447-6E6D1DBE1142}">
      <text>
        <r>
          <rPr>
            <sz val="9"/>
            <color indexed="81"/>
            <rFont val="Tahoma"/>
            <family val="2"/>
          </rPr>
          <t>Bright PN-like HII nebulosity</t>
        </r>
      </text>
    </comment>
    <comment ref="A2877" authorId="0" shapeId="0" xr:uid="{3BE96FC1-0055-4895-8E32-1305B6D8E7E5}">
      <text>
        <r>
          <rPr>
            <sz val="9"/>
            <color indexed="81"/>
            <rFont val="Tahoma"/>
            <family val="2"/>
          </rPr>
          <t xml:space="preserve">
</t>
        </r>
      </text>
    </comment>
    <comment ref="K2877" authorId="0" shapeId="0" xr:uid="{B2FB3736-8952-4160-BB9A-C01AD30B062E}">
      <text>
        <r>
          <rPr>
            <sz val="9"/>
            <color indexed="81"/>
            <rFont val="Tahoma"/>
            <family val="2"/>
          </rPr>
          <t>Very faint PN region</t>
        </r>
      </text>
    </comment>
    <comment ref="A2878" authorId="0" shapeId="0" xr:uid="{60BA28F1-284E-44F2-836F-21D98F83FB25}">
      <text>
        <r>
          <rPr>
            <sz val="9"/>
            <color indexed="81"/>
            <rFont val="Tahoma"/>
            <family val="2"/>
          </rPr>
          <t xml:space="preserve">
</t>
        </r>
      </text>
    </comment>
    <comment ref="K2878" authorId="0" shapeId="0" xr:uid="{431B1B84-929A-4711-841E-6626CD952893}">
      <text>
        <r>
          <rPr>
            <sz val="9"/>
            <color indexed="81"/>
            <rFont val="Tahoma"/>
            <family val="2"/>
          </rPr>
          <t>Faint circular HII nebulosity</t>
        </r>
      </text>
    </comment>
    <comment ref="A2879" authorId="0" shapeId="0" xr:uid="{D1BEE7DA-4E18-4555-95F6-9B9CE9778399}">
      <text>
        <r>
          <rPr>
            <sz val="9"/>
            <color indexed="81"/>
            <rFont val="Tahoma"/>
            <family val="2"/>
          </rPr>
          <t xml:space="preserve">
</t>
        </r>
      </text>
    </comment>
    <comment ref="K2879" authorId="0" shapeId="0" xr:uid="{CFE69AF4-4504-4DB4-B00B-2F4B91923BEA}">
      <text>
        <r>
          <rPr>
            <sz val="9"/>
            <color indexed="81"/>
            <rFont val="Tahoma"/>
            <family val="2"/>
          </rPr>
          <t>Reddish-purple emission/reflection region that is the most western component of the Seagull Nebula</t>
        </r>
      </text>
    </comment>
    <comment ref="A2880" authorId="0" shapeId="0" xr:uid="{0D89BFA3-E56C-4806-8676-D47D17CAA4F4}">
      <text>
        <r>
          <rPr>
            <sz val="9"/>
            <color indexed="81"/>
            <rFont val="Tahoma"/>
            <family val="2"/>
          </rPr>
          <t xml:space="preserve">
</t>
        </r>
      </text>
    </comment>
    <comment ref="K2880" authorId="0" shapeId="0" xr:uid="{33509960-AF69-4BFD-B80C-7F0F70AE5DE3}">
      <text>
        <r>
          <rPr>
            <sz val="9"/>
            <color indexed="81"/>
            <rFont val="Tahoma"/>
            <family val="2"/>
          </rPr>
          <t>Small bright HII region with numerous dark dust lanes</t>
        </r>
      </text>
    </comment>
    <comment ref="A2881" authorId="0" shapeId="0" xr:uid="{A43B4C49-10BF-43B9-84D4-77EE56E0230C}">
      <text>
        <r>
          <rPr>
            <sz val="9"/>
            <color indexed="81"/>
            <rFont val="Tahoma"/>
            <family val="2"/>
          </rPr>
          <t xml:space="preserve">
</t>
        </r>
      </text>
    </comment>
    <comment ref="K2881" authorId="0" shapeId="0" xr:uid="{13B57440-2591-47C5-B2D4-F92795C5F5EE}">
      <text>
        <r>
          <rPr>
            <sz val="9"/>
            <color indexed="81"/>
            <rFont val="Tahoma"/>
            <family val="2"/>
          </rPr>
          <t>Reflection and emission nebulae right above the southern shoulder of the Seagull Nebula</t>
        </r>
      </text>
    </comment>
    <comment ref="A2882" authorId="0" shapeId="0" xr:uid="{33CCE03D-5147-49E4-811A-9B430F11C9C9}">
      <text>
        <r>
          <rPr>
            <sz val="9"/>
            <color indexed="81"/>
            <rFont val="Tahoma"/>
            <family val="2"/>
          </rPr>
          <t xml:space="preserve">
</t>
        </r>
      </text>
    </comment>
    <comment ref="K2882" authorId="0" shapeId="0" xr:uid="{252433EC-82F0-4030-8F06-450F604EBDF0}">
      <text>
        <r>
          <rPr>
            <sz val="9"/>
            <color indexed="81"/>
            <rFont val="Tahoma"/>
            <family val="2"/>
          </rPr>
          <t>HII region that is the southernmost component of the Seagull Nebula</t>
        </r>
      </text>
    </comment>
    <comment ref="A2883" authorId="0" shapeId="0" xr:uid="{06F7B8E8-0717-476F-8B24-E54C6C900CED}">
      <text>
        <r>
          <rPr>
            <sz val="9"/>
            <color indexed="81"/>
            <rFont val="Tahoma"/>
            <family val="2"/>
          </rPr>
          <t xml:space="preserve">
</t>
        </r>
      </text>
    </comment>
    <comment ref="K2883" authorId="0" shapeId="0" xr:uid="{7755ECF3-D604-4BBB-8100-D62C5AB39EC3}">
      <text>
        <r>
          <rPr>
            <sz val="9"/>
            <color indexed="81"/>
            <rFont val="Tahoma"/>
            <family val="2"/>
          </rPr>
          <t>Dim Hii region</t>
        </r>
      </text>
    </comment>
    <comment ref="A2884" authorId="0" shapeId="0" xr:uid="{3F7ACD1C-A135-47D6-B6CD-1E2818C94F3B}">
      <text>
        <r>
          <rPr>
            <sz val="9"/>
            <color indexed="81"/>
            <rFont val="Tahoma"/>
            <family val="2"/>
          </rPr>
          <t xml:space="preserve">
</t>
        </r>
      </text>
    </comment>
    <comment ref="K2884" authorId="0" shapeId="0" xr:uid="{DF9E8304-777B-4CA9-86DA-F28CC4EFFAA1}">
      <text>
        <r>
          <rPr>
            <sz val="9"/>
            <color indexed="81"/>
            <rFont val="Tahoma"/>
            <family val="2"/>
          </rPr>
          <t>Faint circular HII region</t>
        </r>
      </text>
    </comment>
    <comment ref="A2885" authorId="0" shapeId="0" xr:uid="{3BD9BE77-57D9-4CD8-9E35-B11950B15029}">
      <text>
        <r>
          <rPr>
            <sz val="9"/>
            <color indexed="81"/>
            <rFont val="Tahoma"/>
            <family val="2"/>
          </rPr>
          <t xml:space="preserve">
</t>
        </r>
      </text>
    </comment>
    <comment ref="K2885" authorId="0" shapeId="0" xr:uid="{349B8679-AFF7-4A61-B989-4955D49F5EAB}">
      <text>
        <r>
          <rPr>
            <sz val="9"/>
            <color indexed="81"/>
            <rFont val="Tahoma"/>
            <family val="2"/>
          </rPr>
          <t>Surprisingly beautiful narrowband object that resembles a teapot</t>
        </r>
      </text>
    </comment>
    <comment ref="A2886" authorId="0" shapeId="0" xr:uid="{8691DDAF-287E-4743-A59F-F01CAD99A0F2}">
      <text>
        <r>
          <rPr>
            <sz val="9"/>
            <color indexed="81"/>
            <rFont val="Tahoma"/>
            <family val="2"/>
          </rPr>
          <t xml:space="preserve">
</t>
        </r>
      </text>
    </comment>
    <comment ref="K2886" authorId="0" shapeId="0" xr:uid="{B710D9A3-3286-45D8-A097-C074B134FC8D}">
      <text>
        <r>
          <rPr>
            <sz val="9"/>
            <color indexed="81"/>
            <rFont val="Tahoma"/>
            <family val="2"/>
          </rPr>
          <t>Small blue reflection nebula on the edge of Sh2-302 (Snowman Nebula)</t>
        </r>
      </text>
    </comment>
    <comment ref="A2887" authorId="0" shapeId="0" xr:uid="{8F8343C0-A429-468D-850E-6ED7591692B9}">
      <text>
        <r>
          <rPr>
            <sz val="9"/>
            <color indexed="81"/>
            <rFont val="Tahoma"/>
            <family val="2"/>
          </rPr>
          <t xml:space="preserve">
</t>
        </r>
      </text>
    </comment>
    <comment ref="K2887" authorId="0" shapeId="0" xr:uid="{5A3E8457-2E6E-40A0-B54D-5EB8975E75E3}">
      <text>
        <r>
          <rPr>
            <sz val="9"/>
            <color indexed="81"/>
            <rFont val="Tahoma"/>
            <family val="2"/>
          </rPr>
          <t>Complex faint HII nebulosity</t>
        </r>
      </text>
    </comment>
    <comment ref="A2888" authorId="0" shapeId="0" xr:uid="{CB65924A-89EF-4B7E-9825-F6D99CE7BFA5}">
      <text>
        <r>
          <rPr>
            <sz val="9"/>
            <color indexed="81"/>
            <rFont val="Tahoma"/>
            <family val="2"/>
          </rPr>
          <t xml:space="preserve">
</t>
        </r>
      </text>
    </comment>
    <comment ref="K2888" authorId="0" shapeId="0" xr:uid="{036285C6-6B6D-47C2-9F0D-D715778C340E}">
      <text>
        <r>
          <rPr>
            <sz val="9"/>
            <color indexed="81"/>
            <rFont val="Tahoma"/>
            <family val="2"/>
          </rPr>
          <t>Rough ring shape of HII nebulosity</t>
        </r>
      </text>
    </comment>
    <comment ref="A2889" authorId="0" shapeId="0" xr:uid="{2F3A4269-01D3-453D-8798-284024AB2C93}">
      <text>
        <r>
          <rPr>
            <sz val="9"/>
            <color indexed="81"/>
            <rFont val="Tahoma"/>
            <family val="2"/>
          </rPr>
          <t xml:space="preserve">
</t>
        </r>
      </text>
    </comment>
    <comment ref="K2889" authorId="0" shapeId="0" xr:uid="{09C0BB36-68D0-4C92-A4A3-9B11D127C51A}">
      <text>
        <r>
          <rPr>
            <sz val="9"/>
            <color indexed="81"/>
            <rFont val="Tahoma"/>
            <family val="2"/>
          </rPr>
          <t>Nice bright HII region and star cluster</t>
        </r>
      </text>
    </comment>
    <comment ref="A2890" authorId="0" shapeId="0" xr:uid="{C28850FD-F70E-4E28-A69D-55AD1BAA2FBD}">
      <text>
        <r>
          <rPr>
            <sz val="9"/>
            <color indexed="81"/>
            <rFont val="Tahoma"/>
            <family val="2"/>
          </rPr>
          <t xml:space="preserve">
</t>
        </r>
      </text>
    </comment>
    <comment ref="K2890" authorId="0" shapeId="0" xr:uid="{5E9E79E8-B910-4BC1-ADB6-54AEB459B2D4}">
      <text>
        <r>
          <rPr>
            <sz val="9"/>
            <color indexed="81"/>
            <rFont val="Tahoma"/>
            <family val="2"/>
          </rPr>
          <t>Faint complex HII nebula, medium size, in Monoceros</t>
        </r>
      </text>
    </comment>
    <comment ref="A2891" authorId="0" shapeId="0" xr:uid="{3ED850A7-6DDD-4B8D-84EF-8C807117F870}">
      <text>
        <r>
          <rPr>
            <sz val="9"/>
            <color indexed="81"/>
            <rFont val="Tahoma"/>
            <family val="2"/>
          </rPr>
          <t xml:space="preserve">
</t>
        </r>
      </text>
    </comment>
    <comment ref="K2891" authorId="0" shapeId="0" xr:uid="{5861F5FA-BF75-4642-B67E-6884508783C1}">
      <text>
        <r>
          <rPr>
            <sz val="9"/>
            <color indexed="81"/>
            <rFont val="Tahoma"/>
            <family val="2"/>
          </rPr>
          <t>HII region with distinct bright and dim components</t>
        </r>
      </text>
    </comment>
    <comment ref="A2892" authorId="0" shapeId="0" xr:uid="{2D04D589-CF75-4877-982D-5200798CB02E}">
      <text>
        <r>
          <rPr>
            <sz val="9"/>
            <color indexed="81"/>
            <rFont val="Tahoma"/>
            <family val="2"/>
          </rPr>
          <t xml:space="preserve">
</t>
        </r>
      </text>
    </comment>
    <comment ref="K2892" authorId="0" shapeId="0" xr:uid="{21625D86-E94E-48BD-B0B8-649E8D63EE37}">
      <text>
        <r>
          <rPr>
            <sz val="9"/>
            <color indexed="81"/>
            <rFont val="Tahoma"/>
            <family val="2"/>
          </rPr>
          <t>Fantastic OIII-dominated Wolf-Rayet nebula, with axis flow clearly seen</t>
        </r>
      </text>
    </comment>
    <comment ref="A2893" authorId="0" shapeId="0" xr:uid="{6804E998-0E96-4949-AB7D-C3A10B6F02AF}">
      <text>
        <r>
          <rPr>
            <sz val="9"/>
            <color indexed="81"/>
            <rFont val="Tahoma"/>
            <family val="2"/>
          </rPr>
          <t xml:space="preserve">
</t>
        </r>
      </text>
    </comment>
    <comment ref="K2893" authorId="0" shapeId="0" xr:uid="{423BCE6A-A0DE-4674-BF7D-BC250659F1BE}">
      <text>
        <r>
          <rPr>
            <sz val="9"/>
            <color indexed="81"/>
            <rFont val="Tahoma"/>
            <family val="2"/>
          </rPr>
          <t>Elliptical faint HII nebula with small cluster to northwest</t>
        </r>
      </text>
    </comment>
    <comment ref="A2894" authorId="0" shapeId="0" xr:uid="{CFDC9C34-A38A-46FF-BF5A-AA26039B1144}">
      <text>
        <r>
          <rPr>
            <sz val="9"/>
            <color indexed="81"/>
            <rFont val="Tahoma"/>
            <family val="2"/>
          </rPr>
          <t xml:space="preserve">
</t>
        </r>
      </text>
    </comment>
    <comment ref="K2894" authorId="0" shapeId="0" xr:uid="{F5A494DA-4E7C-4919-9159-556FF2CB162C}">
      <text>
        <r>
          <rPr>
            <sz val="9"/>
            <color indexed="81"/>
            <rFont val="Tahoma"/>
            <family val="2"/>
          </rPr>
          <t>Huge HII region with 2 brighter arcs and significant texture</t>
        </r>
      </text>
    </comment>
    <comment ref="A2895" authorId="0" shapeId="0" xr:uid="{8BDC26F1-E993-4A6F-A9B4-6712F96CF555}">
      <text>
        <r>
          <rPr>
            <sz val="9"/>
            <color indexed="81"/>
            <rFont val="Tahoma"/>
            <family val="2"/>
          </rPr>
          <t xml:space="preserve">
</t>
        </r>
      </text>
    </comment>
    <comment ref="K2895" authorId="0" shapeId="0" xr:uid="{D8BEE80F-B4CE-42BF-AFEA-B76AFBAF2F86}">
      <text>
        <r>
          <rPr>
            <sz val="9"/>
            <color indexed="81"/>
            <rFont val="Tahoma"/>
            <family val="2"/>
          </rPr>
          <t>Huge HII region with sharp northern boundary</t>
        </r>
      </text>
    </comment>
    <comment ref="A2896" authorId="0" shapeId="0" xr:uid="{F3AE8AE0-84D6-41CE-9407-679A6C725DA6}">
      <text>
        <r>
          <rPr>
            <sz val="9"/>
            <color indexed="81"/>
            <rFont val="Tahoma"/>
            <family val="2"/>
          </rPr>
          <t xml:space="preserve">
</t>
        </r>
      </text>
    </comment>
    <comment ref="K2896" authorId="0" shapeId="0" xr:uid="{535D0FC1-B333-4948-92B2-29BB12FCE3E8}">
      <text>
        <r>
          <rPr>
            <sz val="9"/>
            <color indexed="81"/>
            <rFont val="Tahoma"/>
            <family val="2"/>
          </rPr>
          <t>Distant tight galaxy cluster which resembles a star cluster</t>
        </r>
      </text>
    </comment>
    <comment ref="A2897" authorId="0" shapeId="0" xr:uid="{673656F7-38C8-44CD-A66F-4290E49922D3}">
      <text>
        <r>
          <rPr>
            <sz val="9"/>
            <color indexed="81"/>
            <rFont val="Tahoma"/>
            <family val="2"/>
          </rPr>
          <t xml:space="preserve">
</t>
        </r>
      </text>
    </comment>
    <comment ref="K2897" authorId="0" shapeId="0" xr:uid="{67BB3F89-6A3E-4B02-A5E2-2B7C4DA344D9}">
      <text>
        <r>
          <rPr>
            <sz val="9"/>
            <color indexed="81"/>
            <rFont val="Tahoma"/>
            <family val="2"/>
          </rPr>
          <t>One of my favorite clusters, numerous bright galaxies with detail</t>
        </r>
      </text>
    </comment>
    <comment ref="A2898" authorId="0" shapeId="0" xr:uid="{708FFBBF-78E9-4499-8503-BE8BE3BEC572}">
      <text>
        <r>
          <rPr>
            <sz val="9"/>
            <color indexed="81"/>
            <rFont val="Tahoma"/>
            <family val="2"/>
          </rPr>
          <t xml:space="preserve">
</t>
        </r>
      </text>
    </comment>
    <comment ref="K2898" authorId="0" shapeId="0" xr:uid="{A46A418F-4F1C-4131-AE13-CD4987858909}">
      <text>
        <r>
          <rPr>
            <sz val="9"/>
            <color indexed="81"/>
            <rFont val="Tahoma"/>
            <family val="2"/>
          </rPr>
          <t>Bright face-on ring nebula</t>
        </r>
      </text>
    </comment>
    <comment ref="A2899" authorId="0" shapeId="0" xr:uid="{FE081AA9-9C14-45E5-A77F-CA64AD45FBBA}">
      <text>
        <r>
          <rPr>
            <sz val="9"/>
            <color indexed="81"/>
            <rFont val="Tahoma"/>
            <family val="2"/>
          </rPr>
          <t xml:space="preserve">
</t>
        </r>
      </text>
    </comment>
    <comment ref="K2899" authorId="0" shapeId="0" xr:uid="{0790FCC2-069A-4563-819C-75F7F8AA0CC6}">
      <text>
        <r>
          <rPr>
            <sz val="9"/>
            <color indexed="81"/>
            <rFont val="Tahoma"/>
            <family val="2"/>
          </rPr>
          <t>Fascinating unusual point symmetric HII nebula</t>
        </r>
      </text>
    </comment>
    <comment ref="A2900" authorId="0" shapeId="0" xr:uid="{A82D1EE1-27C4-496E-8BE7-F33534A9DE5C}">
      <text>
        <r>
          <rPr>
            <sz val="9"/>
            <color indexed="81"/>
            <rFont val="Tahoma"/>
            <family val="2"/>
          </rPr>
          <t xml:space="preserve">
</t>
        </r>
      </text>
    </comment>
    <comment ref="K2900" authorId="0" shapeId="0" xr:uid="{3F192A03-CB08-4055-9426-5B92A0E54F26}">
      <text>
        <r>
          <rPr>
            <sz val="9"/>
            <color indexed="81"/>
            <rFont val="Tahoma"/>
            <family val="2"/>
          </rPr>
          <t>Famous SMC, Small Magellanic Cloud</t>
        </r>
      </text>
    </comment>
    <comment ref="A2901" authorId="0" shapeId="0" xr:uid="{8067DCC1-7B7A-4C13-AF82-A6AF39F12602}">
      <text>
        <r>
          <rPr>
            <sz val="9"/>
            <color indexed="81"/>
            <rFont val="Tahoma"/>
            <family val="2"/>
          </rPr>
          <t xml:space="preserve">
</t>
        </r>
      </text>
    </comment>
    <comment ref="K2901" authorId="0" shapeId="0" xr:uid="{A2E891F9-1F5B-43DD-A4DA-5A0ABA14889B}">
      <text>
        <r>
          <rPr>
            <sz val="9"/>
            <color indexed="81"/>
            <rFont val="Tahoma"/>
            <family val="2"/>
          </rPr>
          <t>Recently discovered faint PN with brighter rim</t>
        </r>
      </text>
    </comment>
    <comment ref="A2902" authorId="0" shapeId="0" xr:uid="{B10D079F-DE18-48DB-A2A7-1A380859F6C7}">
      <text>
        <r>
          <rPr>
            <sz val="9"/>
            <color indexed="81"/>
            <rFont val="Tahoma"/>
            <family val="2"/>
          </rPr>
          <t xml:space="preserve">
</t>
        </r>
      </text>
    </comment>
    <comment ref="K2902" authorId="0" shapeId="0" xr:uid="{2AF14894-6EDF-4A7C-B166-330CEB2D03EE}">
      <text>
        <r>
          <rPr>
            <sz val="9"/>
            <color indexed="81"/>
            <rFont val="Tahoma"/>
            <family val="2"/>
          </rPr>
          <t>Extremely dim molecular cloud with odd shapes</t>
        </r>
      </text>
    </comment>
    <comment ref="A2903" authorId="0" shapeId="0" xr:uid="{2129F01C-9E26-40A8-92D9-BAC6921C551A}">
      <text>
        <r>
          <rPr>
            <sz val="9"/>
            <color indexed="81"/>
            <rFont val="Tahoma"/>
            <family val="2"/>
          </rPr>
          <t xml:space="preserve">
</t>
        </r>
      </text>
    </comment>
    <comment ref="B2903" authorId="0" shapeId="0" xr:uid="{F426F76C-33C7-41BA-83B7-8F7DBC77D2C7}">
      <text>
        <r>
          <rPr>
            <sz val="9"/>
            <color indexed="81"/>
            <rFont val="Tahoma"/>
            <family val="2"/>
          </rPr>
          <t>Object not in SIMBAD</t>
        </r>
      </text>
    </comment>
    <comment ref="K2903" authorId="0" shapeId="0" xr:uid="{A9231CDF-F35D-469F-B9F4-420A7A630813}">
      <text>
        <r>
          <rPr>
            <sz val="9"/>
            <color indexed="81"/>
            <rFont val="Tahoma"/>
            <family val="2"/>
          </rPr>
          <t>Stars form vertices of two nested triangles, like the portal device featured in the Buck Rogers TV show.</t>
        </r>
      </text>
    </comment>
    <comment ref="A2904" authorId="0" shapeId="0" xr:uid="{74E9BF55-6A4B-4190-A8FF-23CA8CE038DA}">
      <text>
        <r>
          <rPr>
            <sz val="9"/>
            <color indexed="81"/>
            <rFont val="Tahoma"/>
            <family val="2"/>
          </rPr>
          <t xml:space="preserve">
</t>
        </r>
      </text>
    </comment>
    <comment ref="K2904" authorId="0" shapeId="0" xr:uid="{A2F133CA-45E1-4A29-9C1A-B5727269746B}">
      <text>
        <r>
          <rPr>
            <sz val="9"/>
            <color indexed="81"/>
            <rFont val="Tahoma"/>
            <family val="2"/>
          </rPr>
          <t>Large, loose, difficult open cluster</t>
        </r>
      </text>
    </comment>
    <comment ref="A2905" authorId="0" shapeId="0" xr:uid="{0A277D86-1995-4703-AA72-F3F624D773BA}">
      <text>
        <r>
          <rPr>
            <sz val="9"/>
            <color indexed="81"/>
            <rFont val="Tahoma"/>
            <family val="2"/>
          </rPr>
          <t xml:space="preserve">
</t>
        </r>
      </text>
    </comment>
    <comment ref="K2905" authorId="0" shapeId="0" xr:uid="{841296E8-7D51-4F7A-A8E9-EA3DB58F7256}">
      <text>
        <r>
          <rPr>
            <sz val="9"/>
            <color indexed="81"/>
            <rFont val="Tahoma"/>
            <family val="2"/>
          </rPr>
          <t>YSO that is the origin of a wispy yellow nebula</t>
        </r>
      </text>
    </comment>
    <comment ref="A2906" authorId="0" shapeId="0" xr:uid="{D51AD45F-960F-46D6-83FB-B4F623CD3EF6}">
      <text>
        <r>
          <rPr>
            <sz val="9"/>
            <color indexed="81"/>
            <rFont val="Tahoma"/>
            <family val="2"/>
          </rPr>
          <t xml:space="preserve">
</t>
        </r>
      </text>
    </comment>
    <comment ref="K2906" authorId="0" shapeId="0" xr:uid="{092E8A19-DBED-4B4F-A5A1-5F25E718530D}">
      <text>
        <r>
          <rPr>
            <sz val="9"/>
            <color indexed="81"/>
            <rFont val="Tahoma"/>
            <family val="2"/>
          </rPr>
          <t>YSO that is the source of a small orange nebula</t>
        </r>
      </text>
    </comment>
    <comment ref="A2907" authorId="0" shapeId="0" xr:uid="{36070164-AF08-4FC5-8D10-7D0288D62F3F}">
      <text>
        <r>
          <rPr>
            <sz val="9"/>
            <color indexed="81"/>
            <rFont val="Tahoma"/>
            <family val="2"/>
          </rPr>
          <t xml:space="preserve">
</t>
        </r>
      </text>
    </comment>
    <comment ref="K2907" authorId="0" shapeId="0" xr:uid="{4842299B-1CFA-430B-8896-238C4FDC8196}">
      <text>
        <r>
          <rPr>
            <sz val="9"/>
            <color indexed="81"/>
            <rFont val="Tahoma"/>
            <family val="2"/>
          </rPr>
          <t>Small extragalactic globular cluster, believed to be from the Sag. Dwf. Sph. Galaxy</t>
        </r>
      </text>
    </comment>
    <comment ref="A2908" authorId="0" shapeId="0" xr:uid="{96B7573D-BA01-4844-B3A7-685C0DA194A7}">
      <text>
        <r>
          <rPr>
            <sz val="9"/>
            <color indexed="81"/>
            <rFont val="Tahoma"/>
            <family val="2"/>
          </rPr>
          <t xml:space="preserve">
</t>
        </r>
      </text>
    </comment>
    <comment ref="K2908" authorId="0" shapeId="0" xr:uid="{473B74D0-33E1-4591-B4F6-3797F435E6D8}">
      <text>
        <r>
          <rPr>
            <sz val="9"/>
            <color indexed="81"/>
            <rFont val="Tahoma"/>
            <family val="2"/>
          </rPr>
          <t>Small extragalactic globular cluster, believed to be from the Sag. Dwf. Sph. Galaxy</t>
        </r>
      </text>
    </comment>
    <comment ref="A2909" authorId="0" shapeId="0" xr:uid="{B96E2ABA-39D6-41CF-A97A-102E336A1065}">
      <text>
        <r>
          <rPr>
            <sz val="9"/>
            <color indexed="81"/>
            <rFont val="Tahoma"/>
            <family val="2"/>
          </rPr>
          <t xml:space="preserve">
</t>
        </r>
      </text>
    </comment>
    <comment ref="B2909" authorId="0" shapeId="0" xr:uid="{6C0DDFD7-30A7-4755-AA46-DF4D2F3209B1}">
      <text>
        <r>
          <rPr>
            <sz val="9"/>
            <color indexed="81"/>
            <rFont val="Tahoma"/>
            <family val="2"/>
          </rPr>
          <t>Object not in SIMBAD</t>
        </r>
      </text>
    </comment>
    <comment ref="K2909" authorId="0" shapeId="0" xr:uid="{A6DD1CD3-3601-49D7-ACB5-CC54F6A76D14}">
      <text>
        <r>
          <rPr>
            <sz val="9"/>
            <color indexed="81"/>
            <rFont val="Tahoma"/>
            <family val="2"/>
          </rPr>
          <t>Small version of the Big Dipper</t>
        </r>
      </text>
    </comment>
    <comment ref="A2910" authorId="0" shapeId="0" xr:uid="{81D715AC-F92D-48E4-8159-5B8241AE420D}">
      <text>
        <r>
          <rPr>
            <sz val="9"/>
            <color indexed="81"/>
            <rFont val="Tahoma"/>
            <family val="2"/>
          </rPr>
          <t xml:space="preserve">
</t>
        </r>
      </text>
    </comment>
    <comment ref="K2910" authorId="0" shapeId="0" xr:uid="{E524EC93-505C-4CC3-ABC3-BAE834E2A47A}">
      <text>
        <r>
          <rPr>
            <sz val="9"/>
            <color indexed="81"/>
            <rFont val="Tahoma"/>
            <family val="2"/>
          </rPr>
          <t>Toadstool shape just west of galaxy NGC7025</t>
        </r>
      </text>
    </comment>
    <comment ref="A2911" authorId="0" shapeId="0" xr:uid="{B7739642-6E9D-4C0B-B395-6E8E61BE6C3B}">
      <text>
        <r>
          <rPr>
            <sz val="9"/>
            <color indexed="81"/>
            <rFont val="Tahoma"/>
            <family val="2"/>
          </rPr>
          <t xml:space="preserve">
</t>
        </r>
      </text>
    </comment>
    <comment ref="K2911" authorId="0" shapeId="0" xr:uid="{DB803C6A-1D99-4B6E-9599-716E9003A9B1}">
      <text>
        <r>
          <rPr>
            <sz val="9"/>
            <color indexed="81"/>
            <rFont val="Tahoma"/>
            <family val="2"/>
          </rPr>
          <t>Old open cluster which looks a bit like a globular</t>
        </r>
      </text>
    </comment>
    <comment ref="A2912" authorId="0" shapeId="0" xr:uid="{49079AC5-A964-4563-A997-53553DFBDD85}">
      <text>
        <r>
          <rPr>
            <sz val="9"/>
            <color indexed="81"/>
            <rFont val="Tahoma"/>
            <family val="2"/>
          </rPr>
          <t xml:space="preserve">
</t>
        </r>
      </text>
    </comment>
    <comment ref="K2912" authorId="0" shapeId="0" xr:uid="{3B53582C-A63B-4848-B0A5-4285B0F1F2E8}">
      <text>
        <r>
          <rPr>
            <sz val="9"/>
            <color indexed="81"/>
            <rFont val="Tahoma"/>
            <family val="2"/>
          </rPr>
          <t>Famous open cluster discovered by Galileo in the heart of Orion</t>
        </r>
      </text>
    </comment>
    <comment ref="A2913" authorId="0" shapeId="0" xr:uid="{DE5D8668-D459-4015-8307-906D44FDD39B}">
      <text>
        <r>
          <rPr>
            <sz val="9"/>
            <color indexed="81"/>
            <rFont val="Tahoma"/>
            <family val="2"/>
          </rPr>
          <t xml:space="preserve">
</t>
        </r>
      </text>
    </comment>
    <comment ref="K2913" authorId="0" shapeId="0" xr:uid="{EE79ECA7-2849-4968-9431-52128E69BF5C}">
      <text>
        <r>
          <rPr>
            <sz val="9"/>
            <color indexed="81"/>
            <rFont val="Tahoma"/>
            <family val="2"/>
          </rPr>
          <t>Appears to be late stage merger object, with a single combined core and several tails</t>
        </r>
      </text>
    </comment>
    <comment ref="A2914" authorId="0" shapeId="0" xr:uid="{BE947188-BC95-4774-9F1C-0CE87FA1F337}">
      <text>
        <r>
          <rPr>
            <sz val="9"/>
            <color indexed="81"/>
            <rFont val="Tahoma"/>
            <family val="2"/>
          </rPr>
          <t xml:space="preserve">
</t>
        </r>
      </text>
    </comment>
    <comment ref="K2914" authorId="0" shapeId="0" xr:uid="{3621B628-D600-46CE-B9F3-314EC32FF157}">
      <text>
        <r>
          <rPr>
            <sz val="9"/>
            <color indexed="81"/>
            <rFont val="Tahoma"/>
            <family val="2"/>
          </rPr>
          <t>Superthin edge-on spiral with no central bulge</t>
        </r>
      </text>
    </comment>
    <comment ref="A2915" authorId="0" shapeId="0" xr:uid="{A5C5A4C5-D6D3-4077-B7B4-76183CDB2AAC}">
      <text>
        <r>
          <rPr>
            <sz val="9"/>
            <color indexed="81"/>
            <rFont val="Tahoma"/>
            <family val="2"/>
          </rPr>
          <t xml:space="preserve">
</t>
        </r>
      </text>
    </comment>
    <comment ref="K2915" authorId="0" shapeId="0" xr:uid="{818393C9-A2DB-41B7-A3E0-DBDFD578ECC4}">
      <text>
        <r>
          <rPr>
            <sz val="9"/>
            <color indexed="81"/>
            <rFont val="Tahoma"/>
            <family val="2"/>
          </rPr>
          <t>Looks like a tiny version of the Antennae Galaxies</t>
        </r>
      </text>
    </comment>
    <comment ref="A2916" authorId="0" shapeId="0" xr:uid="{0302D6BF-E49D-4673-BC02-0FC94D3AD103}">
      <text>
        <r>
          <rPr>
            <sz val="9"/>
            <color indexed="81"/>
            <rFont val="Tahoma"/>
            <family val="2"/>
          </rPr>
          <t xml:space="preserve">
</t>
        </r>
      </text>
    </comment>
    <comment ref="K2916" authorId="0" shapeId="0" xr:uid="{91E26A60-F768-4D6B-9410-723513B2C4DF}">
      <text>
        <r>
          <rPr>
            <sz val="9"/>
            <color indexed="81"/>
            <rFont val="Tahoma"/>
            <family val="2"/>
          </rPr>
          <t>Elliptical with strong pair of jets</t>
        </r>
      </text>
    </comment>
    <comment ref="A2917" authorId="0" shapeId="0" xr:uid="{B1EC6982-6AE3-436F-8AB1-170AF64E3B66}">
      <text>
        <r>
          <rPr>
            <sz val="9"/>
            <color indexed="81"/>
            <rFont val="Tahoma"/>
            <family val="2"/>
          </rPr>
          <t xml:space="preserve">
</t>
        </r>
      </text>
    </comment>
    <comment ref="K2917" authorId="0" shapeId="0" xr:uid="{A077BAA9-8FF4-4B32-9853-E03707DDD1CC}">
      <text>
        <r>
          <rPr>
            <sz val="9"/>
            <color indexed="81"/>
            <rFont val="Tahoma"/>
            <family val="2"/>
          </rPr>
          <t>Contrasting blue and yellow colors of merging galaxy pair, with both cores in close contact</t>
        </r>
      </text>
    </comment>
    <comment ref="A2918" authorId="0" shapeId="0" xr:uid="{04FED7EA-6D3D-40EE-A925-72C6E911A9F1}">
      <text>
        <r>
          <rPr>
            <sz val="9"/>
            <color indexed="81"/>
            <rFont val="Tahoma"/>
            <family val="2"/>
          </rPr>
          <t xml:space="preserve">
</t>
        </r>
      </text>
    </comment>
    <comment ref="K2918" authorId="0" shapeId="0" xr:uid="{28EA2D94-36D0-48B3-AEFF-1971EDF02F74}">
      <text>
        <r>
          <rPr>
            <sz val="9"/>
            <color indexed="81"/>
            <rFont val="Tahoma"/>
            <family val="2"/>
          </rPr>
          <t>Faint superthin edge-on galaxy</t>
        </r>
      </text>
    </comment>
    <comment ref="A2919" authorId="0" shapeId="0" xr:uid="{9415DCD7-4B0D-40CA-BE61-5A846C88218A}">
      <text>
        <r>
          <rPr>
            <sz val="9"/>
            <color indexed="81"/>
            <rFont val="Tahoma"/>
            <family val="2"/>
          </rPr>
          <t xml:space="preserve">
</t>
        </r>
      </text>
    </comment>
    <comment ref="K2919" authorId="0" shapeId="0" xr:uid="{94B74386-782E-4241-994C-B1C48D7F202B}">
      <text>
        <r>
          <rPr>
            <sz val="9"/>
            <color indexed="81"/>
            <rFont val="Tahoma"/>
            <family val="2"/>
          </rPr>
          <t>Stunning 9 galaxy tight "nonet" cluster.</t>
        </r>
      </text>
    </comment>
    <comment ref="A2920" authorId="0" shapeId="0" xr:uid="{9B24B492-DA48-46D7-821F-8544C92CDF72}">
      <text>
        <r>
          <rPr>
            <sz val="9"/>
            <color indexed="81"/>
            <rFont val="Tahoma"/>
            <family val="2"/>
          </rPr>
          <t xml:space="preserve">
</t>
        </r>
      </text>
    </comment>
    <comment ref="K2920" authorId="0" shapeId="0" xr:uid="{0352F0EC-468A-4FDC-B148-1E6B819B4FC4}">
      <text>
        <r>
          <rPr>
            <sz val="9"/>
            <color indexed="81"/>
            <rFont val="Tahoma"/>
            <family val="2"/>
          </rPr>
          <t>Giant spiral with some warping</t>
        </r>
      </text>
    </comment>
    <comment ref="A2921" authorId="0" shapeId="0" xr:uid="{0EE9BB2A-607D-41D8-A312-3D0AA8C9DFC6}">
      <text>
        <r>
          <rPr>
            <sz val="9"/>
            <color indexed="81"/>
            <rFont val="Tahoma"/>
            <family val="2"/>
          </rPr>
          <t xml:space="preserve">
</t>
        </r>
      </text>
    </comment>
    <comment ref="K2921" authorId="0" shapeId="0" xr:uid="{157AA07A-37E8-4F21-A267-151E9D7637CD}">
      <text>
        <r>
          <rPr>
            <sz val="9"/>
            <color indexed="81"/>
            <rFont val="Tahoma"/>
            <family val="2"/>
          </rPr>
          <t>Edge-on warped galaxy</t>
        </r>
      </text>
    </comment>
    <comment ref="A2922" authorId="0" shapeId="0" xr:uid="{582DB100-7AB4-4822-AA79-39A8F691C26F}">
      <text>
        <r>
          <rPr>
            <sz val="9"/>
            <color indexed="81"/>
            <rFont val="Tahoma"/>
            <family val="2"/>
          </rPr>
          <t xml:space="preserve">
</t>
        </r>
      </text>
    </comment>
    <comment ref="K2922" authorId="0" shapeId="0" xr:uid="{24B161DF-67CA-4FFC-A869-3963521C8146}">
      <text>
        <r>
          <rPr>
            <sz val="9"/>
            <color indexed="81"/>
            <rFont val="Tahoma"/>
            <family val="2"/>
          </rPr>
          <t>Unusual spiral ring galaxy</t>
        </r>
      </text>
    </comment>
    <comment ref="A2923" authorId="0" shapeId="0" xr:uid="{129F1F9A-B904-45A9-A824-B75657920777}">
      <text>
        <r>
          <rPr>
            <sz val="9"/>
            <color indexed="81"/>
            <rFont val="Tahoma"/>
            <family val="2"/>
          </rPr>
          <t xml:space="preserve">
</t>
        </r>
      </text>
    </comment>
    <comment ref="K2923" authorId="0" shapeId="0" xr:uid="{6AED1034-DCA3-4D96-AA88-582164A04297}">
      <text>
        <r>
          <rPr>
            <sz val="9"/>
            <color indexed="81"/>
            <rFont val="Tahoma"/>
            <family val="2"/>
          </rPr>
          <t>Distant pair that are too far away to be interacting</t>
        </r>
      </text>
    </comment>
    <comment ref="A2924" authorId="0" shapeId="0" xr:uid="{D9AE52F4-B7B7-488F-B002-2BE91D0474EE}">
      <text>
        <r>
          <rPr>
            <sz val="9"/>
            <color indexed="81"/>
            <rFont val="Tahoma"/>
            <family val="2"/>
          </rPr>
          <t xml:space="preserve">
</t>
        </r>
      </text>
    </comment>
    <comment ref="K2924" authorId="0" shapeId="0" xr:uid="{479965B7-2849-42DD-9191-1D58B46D1690}">
      <text>
        <r>
          <rPr>
            <sz val="9"/>
            <color indexed="81"/>
            <rFont val="Tahoma"/>
            <family val="2"/>
          </rPr>
          <t>Large superthin edge-on spiral</t>
        </r>
      </text>
    </comment>
    <comment ref="A2925" authorId="0" shapeId="0" xr:uid="{B770076E-81E3-4C95-84A3-FF6F9F339756}">
      <text>
        <r>
          <rPr>
            <sz val="9"/>
            <color indexed="81"/>
            <rFont val="Tahoma"/>
            <family val="2"/>
          </rPr>
          <t xml:space="preserve">
</t>
        </r>
      </text>
    </comment>
    <comment ref="K2925" authorId="0" shapeId="0" xr:uid="{7A423B80-C40E-4E35-B974-5B0F28FFDA7B}">
      <text>
        <r>
          <rPr>
            <sz val="9"/>
            <color indexed="81"/>
            <rFont val="Tahoma"/>
            <family val="2"/>
          </rPr>
          <t>Yellow edge-on spiral with unique shape of twisting galaxy and dust lane</t>
        </r>
      </text>
    </comment>
    <comment ref="A2926" authorId="0" shapeId="0" xr:uid="{59DC2A55-57BD-42B9-B6A1-08C0A0565DCE}">
      <text>
        <r>
          <rPr>
            <sz val="9"/>
            <color indexed="81"/>
            <rFont val="Tahoma"/>
            <family val="2"/>
          </rPr>
          <t xml:space="preserve">
</t>
        </r>
      </text>
    </comment>
    <comment ref="K2926" authorId="0" shapeId="0" xr:uid="{70862BFC-6895-4578-AE77-3C7148D0175D}">
      <text>
        <r>
          <rPr>
            <sz val="9"/>
            <color indexed="81"/>
            <rFont val="Tahoma"/>
            <family val="2"/>
          </rPr>
          <t>Elliptical galaxy surrounding by faint circular ring</t>
        </r>
      </text>
    </comment>
    <comment ref="A2927" authorId="0" shapeId="0" xr:uid="{6415574C-373E-479A-824B-FA965A7DD7D0}">
      <text>
        <r>
          <rPr>
            <sz val="9"/>
            <color indexed="81"/>
            <rFont val="Tahoma"/>
            <family val="2"/>
          </rPr>
          <t xml:space="preserve">
</t>
        </r>
      </text>
    </comment>
    <comment ref="K2927" authorId="0" shapeId="0" xr:uid="{F12A5EAB-93FE-42ED-A311-705B57E767FC}">
      <text>
        <r>
          <rPr>
            <sz val="9"/>
            <color indexed="81"/>
            <rFont val="Tahoma"/>
            <family val="2"/>
          </rPr>
          <t>Pair of faint galaxies connected by 80,000 ly bridge</t>
        </r>
      </text>
    </comment>
    <comment ref="A2928" authorId="0" shapeId="0" xr:uid="{AE18B76A-E959-46B0-B12E-FA71DCFC235A}">
      <text>
        <r>
          <rPr>
            <sz val="9"/>
            <color indexed="81"/>
            <rFont val="Tahoma"/>
            <family val="2"/>
          </rPr>
          <t xml:space="preserve">
</t>
        </r>
      </text>
    </comment>
    <comment ref="K2928" authorId="0" shapeId="0" xr:uid="{49958BBD-8F2B-4CC5-89E7-0BE6B525622A}">
      <text>
        <r>
          <rPr>
            <sz val="9"/>
            <color indexed="81"/>
            <rFont val="Tahoma"/>
            <family val="2"/>
          </rPr>
          <t>Disturbed galaxy with no nearby companion</t>
        </r>
      </text>
    </comment>
    <comment ref="A2929" authorId="0" shapeId="0" xr:uid="{7A916AFE-BD5D-4169-BFCB-78F7EEBB5AD1}">
      <text>
        <r>
          <rPr>
            <sz val="9"/>
            <color indexed="81"/>
            <rFont val="Tahoma"/>
            <family val="2"/>
          </rPr>
          <t xml:space="preserve">
</t>
        </r>
      </text>
    </comment>
    <comment ref="K2929" authorId="0" shapeId="0" xr:uid="{A8229076-D5D2-4053-B480-10D0D7F8DBD3}">
      <text>
        <r>
          <rPr>
            <sz val="9"/>
            <color indexed="81"/>
            <rFont val="Tahoma"/>
            <family val="2"/>
          </rPr>
          <t>Face-on barred galaxy with hexagonal pseudo-ring</t>
        </r>
      </text>
    </comment>
    <comment ref="A2930" authorId="0" shapeId="0" xr:uid="{BB84BEBB-3459-437B-8429-EFA5452D2789}">
      <text>
        <r>
          <rPr>
            <sz val="9"/>
            <color indexed="81"/>
            <rFont val="Tahoma"/>
            <family val="2"/>
          </rPr>
          <t xml:space="preserve">
</t>
        </r>
      </text>
    </comment>
    <comment ref="K2930" authorId="0" shapeId="0" xr:uid="{AE3C2915-0FDB-4DEF-B93B-BE2C9F9F2321}">
      <text>
        <r>
          <rPr>
            <sz val="9"/>
            <color indexed="81"/>
            <rFont val="Tahoma"/>
            <family val="2"/>
          </rPr>
          <t>Merged galaxy with single core and star stream loop and tail</t>
        </r>
      </text>
    </comment>
    <comment ref="A2931" authorId="0" shapeId="0" xr:uid="{8DBC072D-7E5D-4D77-8C08-BDC353270A61}">
      <text>
        <r>
          <rPr>
            <sz val="9"/>
            <color indexed="81"/>
            <rFont val="Tahoma"/>
            <family val="2"/>
          </rPr>
          <t xml:space="preserve">
</t>
        </r>
      </text>
    </comment>
    <comment ref="K2931" authorId="0" shapeId="0" xr:uid="{F414AB1F-62FF-4BFA-9509-AB41FC7C0D08}">
      <text>
        <r>
          <rPr>
            <sz val="9"/>
            <color indexed="81"/>
            <rFont val="Tahoma"/>
            <family val="2"/>
          </rPr>
          <t>Pair of Magellan galaxies without much interaction</t>
        </r>
      </text>
    </comment>
    <comment ref="A2932" authorId="0" shapeId="0" xr:uid="{2169AFDC-D8F5-45AD-B90F-5724DF9AD4DE}">
      <text>
        <r>
          <rPr>
            <sz val="9"/>
            <color indexed="81"/>
            <rFont val="Tahoma"/>
            <family val="2"/>
          </rPr>
          <t xml:space="preserve">
</t>
        </r>
      </text>
    </comment>
    <comment ref="K2932" authorId="0" shapeId="0" xr:uid="{768C1EC6-E35D-4A62-9AC9-7207B0A0B203}">
      <text>
        <r>
          <rPr>
            <sz val="9"/>
            <color indexed="81"/>
            <rFont val="Tahoma"/>
            <family val="2"/>
          </rPr>
          <t>Barred disturbed galaxy with yellow core, blue star clouds and pink HII regions</t>
        </r>
      </text>
    </comment>
    <comment ref="A2933" authorId="0" shapeId="0" xr:uid="{2CCB306C-2B27-412F-ACA5-77D54BD931C8}">
      <text>
        <r>
          <rPr>
            <sz val="9"/>
            <color indexed="81"/>
            <rFont val="Tahoma"/>
            <family val="2"/>
          </rPr>
          <t xml:space="preserve">
</t>
        </r>
      </text>
    </comment>
    <comment ref="K2933" authorId="0" shapeId="0" xr:uid="{9F5C2B67-AC56-447A-AA24-295D8C8DB289}">
      <text>
        <r>
          <rPr>
            <sz val="9"/>
            <color indexed="81"/>
            <rFont val="Tahoma"/>
            <family val="2"/>
          </rPr>
          <t>Small elliptical with 300,000 ly diameter outer ring</t>
        </r>
      </text>
    </comment>
    <comment ref="A2934" authorId="0" shapeId="0" xr:uid="{733A9894-0ECA-489F-8C21-5F64E06ABC1E}">
      <text>
        <r>
          <rPr>
            <sz val="9"/>
            <color indexed="81"/>
            <rFont val="Tahoma"/>
            <family val="2"/>
          </rPr>
          <t xml:space="preserve">
</t>
        </r>
      </text>
    </comment>
    <comment ref="K2934" authorId="0" shapeId="0" xr:uid="{4FE1E5C9-3157-42CE-BF16-5581D3907C88}">
      <text>
        <r>
          <rPr>
            <sz val="9"/>
            <color indexed="81"/>
            <rFont val="Tahoma"/>
            <family val="2"/>
          </rPr>
          <t>Superthin galaxy</t>
        </r>
      </text>
    </comment>
    <comment ref="A2935" authorId="0" shapeId="0" xr:uid="{F09BFC12-1AE7-4E3F-A70A-A2F9D2E867C6}">
      <text>
        <r>
          <rPr>
            <sz val="9"/>
            <color indexed="81"/>
            <rFont val="Tahoma"/>
            <family val="2"/>
          </rPr>
          <t xml:space="preserve">
</t>
        </r>
      </text>
    </comment>
    <comment ref="K2935" authorId="0" shapeId="0" xr:uid="{1408C753-5F7A-4CC4-A893-8B76D430D178}">
      <text>
        <r>
          <rPr>
            <sz val="9"/>
            <color indexed="81"/>
            <rFont val="Tahoma"/>
            <family val="2"/>
          </rPr>
          <t>Merger with single core and 300,000 ly tails</t>
        </r>
      </text>
    </comment>
    <comment ref="A2936" authorId="0" shapeId="0" xr:uid="{A0FC9E9C-5A5E-4473-A91E-9223071D8D92}">
      <text>
        <r>
          <rPr>
            <sz val="9"/>
            <color indexed="81"/>
            <rFont val="Tahoma"/>
            <family val="2"/>
          </rPr>
          <t xml:space="preserve">
</t>
        </r>
      </text>
    </comment>
    <comment ref="K2936" authorId="0" shapeId="0" xr:uid="{3B3420E7-43BD-46A7-B5B0-7F7E18B378CB}">
      <text>
        <r>
          <rPr>
            <sz val="9"/>
            <color indexed="81"/>
            <rFont val="Tahoma"/>
            <family val="2"/>
          </rPr>
          <t>Superthin galaxy</t>
        </r>
      </text>
    </comment>
    <comment ref="A2937" authorId="0" shapeId="0" xr:uid="{9590C84B-BECA-49ED-B4D8-B8D339B5F364}">
      <text>
        <r>
          <rPr>
            <sz val="9"/>
            <color indexed="81"/>
            <rFont val="Tahoma"/>
            <family val="2"/>
          </rPr>
          <t xml:space="preserve">
</t>
        </r>
      </text>
    </comment>
    <comment ref="K2937" authorId="0" shapeId="0" xr:uid="{B01202F3-287B-4DAC-B819-D3D307AB1753}">
      <text>
        <r>
          <rPr>
            <sz val="9"/>
            <color indexed="81"/>
            <rFont val="Tahoma"/>
            <family val="2"/>
          </rPr>
          <t>Symmetric grand spiral with slight vv rows</t>
        </r>
      </text>
    </comment>
    <comment ref="A2938" authorId="0" shapeId="0" xr:uid="{7A13ECE4-146B-438D-B666-158D818B84EF}">
      <text>
        <r>
          <rPr>
            <sz val="9"/>
            <color indexed="81"/>
            <rFont val="Tahoma"/>
            <family val="2"/>
          </rPr>
          <t xml:space="preserve">
</t>
        </r>
      </text>
    </comment>
    <comment ref="K2938" authorId="0" shapeId="0" xr:uid="{6B0D52CC-02B1-48EA-BC09-AC549568961C}">
      <text>
        <r>
          <rPr>
            <sz val="9"/>
            <color indexed="81"/>
            <rFont val="Tahoma"/>
            <family val="2"/>
          </rPr>
          <t>Small close blue dwarf galaxy</t>
        </r>
      </text>
    </comment>
    <comment ref="A2939" authorId="0" shapeId="0" xr:uid="{AE1405E6-5921-49A4-BA91-5AA7E8CB6FAB}">
      <text>
        <r>
          <rPr>
            <sz val="9"/>
            <color indexed="81"/>
            <rFont val="Tahoma"/>
            <family val="2"/>
          </rPr>
          <t xml:space="preserve">
</t>
        </r>
      </text>
    </comment>
    <comment ref="K2939" authorId="0" shapeId="0" xr:uid="{1F224F3F-84C0-45F0-AE77-ECD0B54B95C1}">
      <text>
        <r>
          <rPr>
            <sz val="9"/>
            <color indexed="81"/>
            <rFont val="Tahoma"/>
            <family val="2"/>
          </rPr>
          <t>Irregular galaxy with star cloud, HII regions and odd shape</t>
        </r>
      </text>
    </comment>
    <comment ref="A2940" authorId="0" shapeId="0" xr:uid="{47CD069F-BB53-4312-B72B-FB7952EDAC3B}">
      <text>
        <r>
          <rPr>
            <sz val="9"/>
            <color indexed="81"/>
            <rFont val="Tahoma"/>
            <family val="2"/>
          </rPr>
          <t xml:space="preserve">
</t>
        </r>
      </text>
    </comment>
    <comment ref="K2940" authorId="0" shapeId="0" xr:uid="{DD4E6681-5DEC-49CF-ACF3-3B68AE8C3668}">
      <text>
        <r>
          <rPr>
            <sz val="9"/>
            <color indexed="81"/>
            <rFont val="Tahoma"/>
            <family val="2"/>
          </rPr>
          <t>Late stage merger, 1 of 4 nearby galaxies at the same distance</t>
        </r>
      </text>
    </comment>
    <comment ref="A2941" authorId="0" shapeId="0" xr:uid="{94D9F848-8FA8-4D5B-8321-27493AABAC11}">
      <text>
        <r>
          <rPr>
            <sz val="9"/>
            <color indexed="81"/>
            <rFont val="Tahoma"/>
            <family val="2"/>
          </rPr>
          <t xml:space="preserve">
</t>
        </r>
      </text>
    </comment>
    <comment ref="K2941" authorId="0" shapeId="0" xr:uid="{C08942F1-7EA5-467F-94F9-F5B57289614B}">
      <text>
        <r>
          <rPr>
            <sz val="9"/>
            <color indexed="81"/>
            <rFont val="Tahoma"/>
            <family val="2"/>
          </rPr>
          <t>Close small edge-on spiral</t>
        </r>
      </text>
    </comment>
    <comment ref="A2942" authorId="0" shapeId="0" xr:uid="{20F54C7F-CBB6-40B2-B1B1-E7B162027C81}">
      <text>
        <r>
          <rPr>
            <sz val="9"/>
            <color indexed="81"/>
            <rFont val="Tahoma"/>
            <family val="2"/>
          </rPr>
          <t xml:space="preserve">
</t>
        </r>
      </text>
    </comment>
    <comment ref="K2942" authorId="0" shapeId="0" xr:uid="{C55E6C91-7C3F-40AB-A6B9-676BD3956261}">
      <text>
        <r>
          <rPr>
            <sz val="9"/>
            <color indexed="81"/>
            <rFont val="Tahoma"/>
            <family val="2"/>
          </rPr>
          <t>Superthin edge-on galaxy, no central bulge, almost 20x longer than wide</t>
        </r>
      </text>
    </comment>
    <comment ref="A2943" authorId="0" shapeId="0" xr:uid="{55B5BC96-666A-4821-A777-1DD76DCEC5D9}">
      <text>
        <r>
          <rPr>
            <sz val="9"/>
            <color indexed="81"/>
            <rFont val="Tahoma"/>
            <family val="2"/>
          </rPr>
          <t xml:space="preserve">
</t>
        </r>
      </text>
    </comment>
    <comment ref="K2943" authorId="0" shapeId="0" xr:uid="{F4E5BBCE-73B0-462D-BDDB-98D2F65EED95}">
      <text>
        <r>
          <rPr>
            <sz val="9"/>
            <color indexed="81"/>
            <rFont val="Tahoma"/>
            <family val="2"/>
          </rPr>
          <t>Incredible huge elliptical in early merger stage with 3 smaller galaxies</t>
        </r>
      </text>
    </comment>
    <comment ref="A2944" authorId="0" shapeId="0" xr:uid="{396E2A19-CA76-4EE2-85C5-B0C44ACF9376}">
      <text>
        <r>
          <rPr>
            <sz val="9"/>
            <color indexed="81"/>
            <rFont val="Tahoma"/>
            <family val="2"/>
          </rPr>
          <t xml:space="preserve">
</t>
        </r>
      </text>
    </comment>
    <comment ref="K2944" authorId="0" shapeId="0" xr:uid="{5C881DAA-3B69-4547-BA1A-F6549FCC8EBF}">
      <text>
        <r>
          <rPr>
            <sz val="9"/>
            <color indexed="81"/>
            <rFont val="Tahoma"/>
            <family val="2"/>
          </rPr>
          <t>Fascinating polar ring galaxy</t>
        </r>
      </text>
    </comment>
    <comment ref="A2945" authorId="0" shapeId="0" xr:uid="{80203A51-7671-475C-8A39-DF992075F366}">
      <text>
        <r>
          <rPr>
            <sz val="9"/>
            <color indexed="81"/>
            <rFont val="Tahoma"/>
            <family val="2"/>
          </rPr>
          <t xml:space="preserve">
</t>
        </r>
      </text>
    </comment>
    <comment ref="K2945" authorId="0" shapeId="0" xr:uid="{42CB3CCD-B59E-4366-A023-9062A97325FC}">
      <text>
        <r>
          <rPr>
            <sz val="9"/>
            <color indexed="81"/>
            <rFont val="Tahoma"/>
            <family val="2"/>
          </rPr>
          <t>Faint Milky Way satellite galaxy, only 200,000 ly away</t>
        </r>
      </text>
    </comment>
    <comment ref="A2946" authorId="0" shapeId="0" xr:uid="{C7B932E6-0F0C-4518-A79B-6916AF969903}">
      <text>
        <r>
          <rPr>
            <sz val="9"/>
            <color indexed="81"/>
            <rFont val="Tahoma"/>
            <family val="2"/>
          </rPr>
          <t xml:space="preserve">
</t>
        </r>
      </text>
    </comment>
    <comment ref="K2946" authorId="0" shapeId="0" xr:uid="{70D04347-30D8-4511-8B20-B1E43499A1B7}">
      <text>
        <r>
          <rPr>
            <sz val="9"/>
            <color indexed="81"/>
            <rFont val="Tahoma"/>
            <family val="2"/>
          </rPr>
          <t>Tiny, one of the best polar ring galaxies in the sky.</t>
        </r>
      </text>
    </comment>
    <comment ref="A2947" authorId="0" shapeId="0" xr:uid="{5B84F2D2-DCC0-4650-A43C-376ADC9A3490}">
      <text>
        <r>
          <rPr>
            <sz val="9"/>
            <color indexed="81"/>
            <rFont val="Tahoma"/>
            <family val="2"/>
          </rPr>
          <t xml:space="preserve">
</t>
        </r>
      </text>
    </comment>
    <comment ref="K2947" authorId="0" shapeId="0" xr:uid="{BE620E5F-8D23-4062-84F4-F892CABCD0A0}">
      <text>
        <r>
          <rPr>
            <sz val="9"/>
            <color indexed="81"/>
            <rFont val="Tahoma"/>
            <family val="2"/>
          </rPr>
          <t>Looks like collisional galaxy but no confirmation</t>
        </r>
      </text>
    </comment>
    <comment ref="A2948" authorId="0" shapeId="0" xr:uid="{C9672E00-7A52-48D1-807D-46017C63534F}">
      <text>
        <r>
          <rPr>
            <sz val="9"/>
            <color indexed="81"/>
            <rFont val="Tahoma"/>
            <family val="2"/>
          </rPr>
          <t xml:space="preserve">
</t>
        </r>
      </text>
    </comment>
    <comment ref="K2948" authorId="0" shapeId="0" xr:uid="{7995A80E-05A0-49E6-897E-7683F4DA2AB4}">
      <text>
        <r>
          <rPr>
            <sz val="9"/>
            <color indexed="81"/>
            <rFont val="Tahoma"/>
            <family val="2"/>
          </rPr>
          <t>Edge-on spiral</t>
        </r>
      </text>
    </comment>
    <comment ref="A2949" authorId="0" shapeId="0" xr:uid="{1CC6F5E6-8517-4BE7-A2C9-AB69377B753B}">
      <text>
        <r>
          <rPr>
            <sz val="9"/>
            <color indexed="81"/>
            <rFont val="Tahoma"/>
            <family val="2"/>
          </rPr>
          <t xml:space="preserve">
</t>
        </r>
      </text>
    </comment>
    <comment ref="K2949" authorId="0" shapeId="0" xr:uid="{09A822CE-E784-4DC7-A96E-2AC9666B9823}">
      <text>
        <r>
          <rPr>
            <sz val="9"/>
            <color indexed="81"/>
            <rFont val="Tahoma"/>
            <family val="2"/>
          </rPr>
          <t>Edge-on superthin spiral with bright bulge</t>
        </r>
      </text>
    </comment>
    <comment ref="A2950" authorId="0" shapeId="0" xr:uid="{3CE69197-1C4E-4B5F-B6E4-E454796C39FD}">
      <text>
        <r>
          <rPr>
            <sz val="9"/>
            <color indexed="81"/>
            <rFont val="Tahoma"/>
            <family val="2"/>
          </rPr>
          <t xml:space="preserve">
</t>
        </r>
      </text>
    </comment>
    <comment ref="K2950" authorId="0" shapeId="0" xr:uid="{B7A853AE-D307-4DE0-8B3B-A5FCEB4CBCD6}">
      <text>
        <r>
          <rPr>
            <sz val="9"/>
            <color indexed="81"/>
            <rFont val="Tahoma"/>
            <family val="2"/>
          </rPr>
          <t>Large colorful edge-on spiral likely interacting with nearby small galaxies</t>
        </r>
      </text>
    </comment>
    <comment ref="A2951" authorId="0" shapeId="0" xr:uid="{74E4449C-BAD8-487A-95CA-3F35456D8EA8}">
      <text>
        <r>
          <rPr>
            <sz val="9"/>
            <color indexed="81"/>
            <rFont val="Tahoma"/>
            <family val="2"/>
          </rPr>
          <t xml:space="preserve">
</t>
        </r>
      </text>
    </comment>
    <comment ref="K2951" authorId="0" shapeId="0" xr:uid="{6270EF89-90A5-4EE0-9114-81A155A528A3}">
      <text>
        <r>
          <rPr>
            <sz val="9"/>
            <color indexed="81"/>
            <rFont val="Tahoma"/>
            <family val="2"/>
          </rPr>
          <t>Edge-on spiral with bright core</t>
        </r>
      </text>
    </comment>
    <comment ref="A2952" authorId="0" shapeId="0" xr:uid="{E275D1E4-3721-419A-9295-2D0C0948D5EB}">
      <text>
        <r>
          <rPr>
            <sz val="9"/>
            <color indexed="81"/>
            <rFont val="Tahoma"/>
            <family val="2"/>
          </rPr>
          <t xml:space="preserve">
</t>
        </r>
      </text>
    </comment>
    <comment ref="K2952" authorId="0" shapeId="0" xr:uid="{A7FF9B86-FFAA-432E-A1D5-BCAB74516F86}">
      <text>
        <r>
          <rPr>
            <sz val="9"/>
            <color indexed="81"/>
            <rFont val="Tahoma"/>
            <family val="2"/>
          </rPr>
          <t>Grand design spiral with some details despite the 0.5 bly distance</t>
        </r>
      </text>
    </comment>
    <comment ref="A2953" authorId="0" shapeId="0" xr:uid="{C4903C42-B971-48C6-AF2D-1121B5785EB5}">
      <text>
        <r>
          <rPr>
            <sz val="9"/>
            <color indexed="81"/>
            <rFont val="Tahoma"/>
            <family val="2"/>
          </rPr>
          <t xml:space="preserve">
</t>
        </r>
      </text>
    </comment>
    <comment ref="K2953" authorId="0" shapeId="0" xr:uid="{F097C8C2-6935-43E2-B794-E1DD0F89A3F4}">
      <text>
        <r>
          <rPr>
            <sz val="9"/>
            <color indexed="81"/>
            <rFont val="Tahoma"/>
            <family val="2"/>
          </rPr>
          <t>Distorted small blue spiral</t>
        </r>
      </text>
    </comment>
    <comment ref="A2954" authorId="0" shapeId="0" xr:uid="{A9BF7CF8-0E8F-40A4-8724-0235EDD42938}">
      <text>
        <r>
          <rPr>
            <sz val="9"/>
            <color indexed="81"/>
            <rFont val="Tahoma"/>
            <family val="2"/>
          </rPr>
          <t xml:space="preserve">
</t>
        </r>
      </text>
    </comment>
    <comment ref="K2954" authorId="0" shapeId="0" xr:uid="{2E03CA83-4AEA-4A40-BE59-850273E37AA7}">
      <text>
        <r>
          <rPr>
            <sz val="9"/>
            <color indexed="81"/>
            <rFont val="Tahoma"/>
            <family val="2"/>
          </rPr>
          <t>Dim dwarf satellite Milky Way galaxy, only 270,000 ly away</t>
        </r>
      </text>
    </comment>
    <comment ref="A2955" authorId="0" shapeId="0" xr:uid="{8970802C-085C-439B-87DF-A447C2F65422}">
      <text>
        <r>
          <rPr>
            <sz val="9"/>
            <color indexed="81"/>
            <rFont val="Tahoma"/>
            <family val="2"/>
          </rPr>
          <t xml:space="preserve">
</t>
        </r>
      </text>
    </comment>
    <comment ref="K2955" authorId="0" shapeId="0" xr:uid="{FDD2E421-A30E-457F-B601-61E805CE27D0}">
      <text>
        <r>
          <rPr>
            <sz val="9"/>
            <color indexed="81"/>
            <rFont val="Tahoma"/>
            <family val="2"/>
          </rPr>
          <t>Pair of galaxies shows hint of a Voorwerp object, giant clouds of greenish gas ionized by an active nucleus</t>
        </r>
      </text>
    </comment>
    <comment ref="A2956" authorId="0" shapeId="0" xr:uid="{DBD41F6C-73C5-4ADB-BAF4-16CDE0C99E29}">
      <text>
        <r>
          <rPr>
            <sz val="9"/>
            <color indexed="81"/>
            <rFont val="Tahoma"/>
            <family val="2"/>
          </rPr>
          <t xml:space="preserve">
</t>
        </r>
      </text>
    </comment>
    <comment ref="K2956" authorId="0" shapeId="0" xr:uid="{6E23D0F0-B356-4B84-844D-BDFC822AA6AF}">
      <text>
        <r>
          <rPr>
            <sz val="9"/>
            <color indexed="81"/>
            <rFont val="Tahoma"/>
            <family val="2"/>
          </rPr>
          <t>Interesting disturbed grand design galaxy</t>
        </r>
      </text>
    </comment>
    <comment ref="A2957" authorId="0" shapeId="0" xr:uid="{71ADB7E8-A100-4DEF-A18F-9DD52733D7B5}">
      <text>
        <r>
          <rPr>
            <sz val="9"/>
            <color indexed="81"/>
            <rFont val="Tahoma"/>
            <family val="2"/>
          </rPr>
          <t xml:space="preserve">
</t>
        </r>
      </text>
    </comment>
    <comment ref="K2957" authorId="0" shapeId="0" xr:uid="{BD5CC4A2-046F-4F5A-8E72-34F77A47961D}">
      <text>
        <r>
          <rPr>
            <sz val="9"/>
            <color indexed="81"/>
            <rFont val="Tahoma"/>
            <family val="2"/>
          </rPr>
          <t>Merger remnant with single core and looping tail</t>
        </r>
      </text>
    </comment>
    <comment ref="A2958" authorId="0" shapeId="0" xr:uid="{C2B9B992-FF8F-4F0B-B050-05FF46AF3232}">
      <text>
        <r>
          <rPr>
            <sz val="9"/>
            <color indexed="81"/>
            <rFont val="Tahoma"/>
            <family val="2"/>
          </rPr>
          <t xml:space="preserve">
</t>
        </r>
      </text>
    </comment>
    <comment ref="K2958" authorId="0" shapeId="0" xr:uid="{A12FA749-CC2F-4EEB-AF04-650B47807C93}">
      <text>
        <r>
          <rPr>
            <sz val="9"/>
            <color indexed="81"/>
            <rFont val="Tahoma"/>
            <family val="2"/>
          </rPr>
          <t>Late stage merger with single coalesced core and extended star streams</t>
        </r>
      </text>
    </comment>
    <comment ref="A2959" authorId="0" shapeId="0" xr:uid="{7E08915B-BAC1-4CA7-9B20-C8D9F590D5E9}">
      <text>
        <r>
          <rPr>
            <sz val="9"/>
            <color indexed="81"/>
            <rFont val="Tahoma"/>
            <family val="2"/>
          </rPr>
          <t xml:space="preserve">
</t>
        </r>
      </text>
    </comment>
    <comment ref="K2959" authorId="0" shapeId="0" xr:uid="{6479E90D-3A30-4D16-98FA-481DA8D57A2C}">
      <text>
        <r>
          <rPr>
            <sz val="9"/>
            <color indexed="81"/>
            <rFont val="Tahoma"/>
            <family val="2"/>
          </rPr>
          <t>Spiral galaxy with barlens, ansae and an outer pseudo-ring</t>
        </r>
      </text>
    </comment>
    <comment ref="A2960" authorId="0" shapeId="0" xr:uid="{12E60A43-0302-416C-922B-5E112FD3CD06}">
      <text>
        <r>
          <rPr>
            <sz val="9"/>
            <color indexed="81"/>
            <rFont val="Tahoma"/>
            <family val="2"/>
          </rPr>
          <t xml:space="preserve">
</t>
        </r>
      </text>
    </comment>
    <comment ref="K2960" authorId="0" shapeId="0" xr:uid="{52907D59-FB95-4FE2-98E6-FDA1C5D4C292}">
      <text>
        <r>
          <rPr>
            <sz val="9"/>
            <color indexed="81"/>
            <rFont val="Tahoma"/>
            <family val="2"/>
          </rPr>
          <t>Distant spiral somewhat disturbed with a possible 2nd core</t>
        </r>
      </text>
    </comment>
    <comment ref="A2961" authorId="0" shapeId="0" xr:uid="{F1F6404E-AA88-451B-8EFD-96D83AEA8A03}">
      <text>
        <r>
          <rPr>
            <sz val="9"/>
            <color indexed="81"/>
            <rFont val="Tahoma"/>
            <family val="2"/>
          </rPr>
          <t xml:space="preserve">
</t>
        </r>
      </text>
    </comment>
    <comment ref="K2961" authorId="0" shapeId="0" xr:uid="{D106AB9A-618B-46C0-9C84-8FD7AFB269A2}">
      <text>
        <r>
          <rPr>
            <sz val="9"/>
            <color indexed="81"/>
            <rFont val="Tahoma"/>
            <family val="2"/>
          </rPr>
          <t>Grand design spiral galaxy, slightly disturbed with VV rows</t>
        </r>
      </text>
    </comment>
    <comment ref="A2962" authorId="0" shapeId="0" xr:uid="{7F2E2B58-1B29-4360-8368-A9CDD10C3028}">
      <text>
        <r>
          <rPr>
            <sz val="9"/>
            <color indexed="81"/>
            <rFont val="Tahoma"/>
            <family val="2"/>
          </rPr>
          <t xml:space="preserve">
</t>
        </r>
      </text>
    </comment>
    <comment ref="K2962" authorId="0" shapeId="0" xr:uid="{C190698D-C162-4801-9215-9A8667765126}">
      <text>
        <r>
          <rPr>
            <sz val="9"/>
            <color indexed="81"/>
            <rFont val="Tahoma"/>
            <family val="2"/>
          </rPr>
          <t>Contrasting color in this pair of merging galaxies with long tails</t>
        </r>
      </text>
    </comment>
    <comment ref="A2963" authorId="0" shapeId="0" xr:uid="{4B79CEAD-6DDF-4DAB-BD4A-8F2B13265E6C}">
      <text>
        <r>
          <rPr>
            <sz val="9"/>
            <color indexed="81"/>
            <rFont val="Tahoma"/>
            <family val="2"/>
          </rPr>
          <t xml:space="preserve">
</t>
        </r>
      </text>
    </comment>
    <comment ref="K2963" authorId="0" shapeId="0" xr:uid="{CD1565DD-3D24-41FE-8D18-965A5062A197}">
      <text>
        <r>
          <rPr>
            <sz val="9"/>
            <color indexed="81"/>
            <rFont val="Tahoma"/>
            <family val="2"/>
          </rPr>
          <t>Large edge-on superthin galaxy, just 2 degrees from perfectly edge-on, with some disk warp</t>
        </r>
      </text>
    </comment>
    <comment ref="A2964" authorId="0" shapeId="0" xr:uid="{DFCB555E-CDA4-4DAD-834D-BBBB9CA2530D}">
      <text>
        <r>
          <rPr>
            <sz val="9"/>
            <color indexed="81"/>
            <rFont val="Tahoma"/>
            <family val="2"/>
          </rPr>
          <t xml:space="preserve">
</t>
        </r>
      </text>
    </comment>
    <comment ref="K2964" authorId="0" shapeId="0" xr:uid="{E6E16BB4-067E-4662-A4DD-97B66B390A23}">
      <text>
        <r>
          <rPr>
            <sz val="9"/>
            <color indexed="81"/>
            <rFont val="Tahoma"/>
            <family val="2"/>
          </rPr>
          <t>Trio of distant spiral galaxies.  A faint plume suggests some possible interaction.</t>
        </r>
      </text>
    </comment>
    <comment ref="A2965" authorId="0" shapeId="0" xr:uid="{BCA0A3E3-CEF1-4222-9F67-C8AA93EE8EFB}">
      <text>
        <r>
          <rPr>
            <sz val="9"/>
            <color indexed="81"/>
            <rFont val="Tahoma"/>
            <family val="2"/>
          </rPr>
          <t xml:space="preserve">
</t>
        </r>
      </text>
    </comment>
    <comment ref="K2965" authorId="0" shapeId="0" xr:uid="{D5FB96B6-32CA-4E85-AD73-68900C68D41B}">
      <text>
        <r>
          <rPr>
            <sz val="9"/>
            <color indexed="81"/>
            <rFont val="Tahoma"/>
            <family val="2"/>
          </rPr>
          <t xml:space="preserve">Puzzling spiral galaxy, too small (15 ly dia) for the amount of structure </t>
        </r>
      </text>
    </comment>
    <comment ref="A2966" authorId="0" shapeId="0" xr:uid="{4765E1E3-D3F3-49D0-B94F-8DF5B160BF79}">
      <text>
        <r>
          <rPr>
            <sz val="9"/>
            <color indexed="81"/>
            <rFont val="Tahoma"/>
            <family val="2"/>
          </rPr>
          <t xml:space="preserve">
</t>
        </r>
      </text>
    </comment>
    <comment ref="K2966" authorId="0" shapeId="0" xr:uid="{C7D6239C-8E73-4AB5-8AC2-AA79697C488F}">
      <text>
        <r>
          <rPr>
            <sz val="9"/>
            <color indexed="81"/>
            <rFont val="Tahoma"/>
            <family val="2"/>
          </rPr>
          <t>Two nicely detailed spiral galaxies beginning their merger tango with a faint bridge and some disturbance</t>
        </r>
      </text>
    </comment>
    <comment ref="A2967" authorId="0" shapeId="0" xr:uid="{4EDB23D2-C139-4067-B760-8C6CF626E741}">
      <text>
        <r>
          <rPr>
            <sz val="9"/>
            <color indexed="81"/>
            <rFont val="Tahoma"/>
            <family val="2"/>
          </rPr>
          <t xml:space="preserve">
</t>
        </r>
      </text>
    </comment>
    <comment ref="K2967" authorId="0" shapeId="0" xr:uid="{16F5F1E9-CEC4-4205-B8E3-6E5B2DEF4330}">
      <text>
        <r>
          <rPr>
            <sz val="9"/>
            <color indexed="81"/>
            <rFont val="Tahoma"/>
            <family val="2"/>
          </rPr>
          <t>YSO that is the source of the tiny intricate white reflection nebula in the head of the Gecko.</t>
        </r>
      </text>
    </comment>
    <comment ref="A2968" authorId="0" shapeId="0" xr:uid="{6862ACDE-7CED-43A3-9F5F-191D587A3715}">
      <text>
        <r>
          <rPr>
            <sz val="9"/>
            <color indexed="81"/>
            <rFont val="Tahoma"/>
            <family val="2"/>
          </rPr>
          <t xml:space="preserve">
</t>
        </r>
      </text>
    </comment>
    <comment ref="K2968" authorId="0" shapeId="0" xr:uid="{3AD0078F-25B7-451B-A68E-C724DE806129}">
      <text>
        <r>
          <rPr>
            <sz val="9"/>
            <color indexed="81"/>
            <rFont val="Tahoma"/>
            <family val="2"/>
          </rPr>
          <t>YSO emitting the small white reflection nebula around the star V376 Cassiopeiae, which includes HH162</t>
        </r>
      </text>
    </comment>
    <comment ref="A2969" authorId="0" shapeId="0" xr:uid="{3DD03598-7A97-4091-AFB7-FAD9D4D00699}">
      <text>
        <r>
          <rPr>
            <sz val="9"/>
            <color indexed="81"/>
            <rFont val="Tahoma"/>
            <family val="2"/>
          </rPr>
          <t xml:space="preserve">
</t>
        </r>
      </text>
    </comment>
    <comment ref="K2969" authorId="0" shapeId="0" xr:uid="{DC43FD10-E971-497F-8FA3-8997C7CACA73}">
      <text>
        <r>
          <rPr>
            <sz val="9"/>
            <color indexed="81"/>
            <rFont val="Tahoma"/>
            <family val="2"/>
          </rPr>
          <t>The multiple variable YSO star system at the center of the Rubber Stamp Nebula</t>
        </r>
      </text>
    </comment>
    <comment ref="A2970" authorId="0" shapeId="0" xr:uid="{C82F668C-BC67-4CE5-B59C-371D368EBC65}">
      <text>
        <r>
          <rPr>
            <sz val="9"/>
            <color indexed="81"/>
            <rFont val="Tahoma"/>
            <family val="2"/>
          </rPr>
          <t xml:space="preserve">
</t>
        </r>
      </text>
    </comment>
    <comment ref="K2970" authorId="0" shapeId="0" xr:uid="{60973247-9383-4440-8C24-39A892AB4F8F}">
      <text>
        <r>
          <rPr>
            <sz val="9"/>
            <color indexed="81"/>
            <rFont val="Tahoma"/>
            <family val="2"/>
          </rPr>
          <t>YSO that is the origin of a small cometary nebula</t>
        </r>
      </text>
    </comment>
    <comment ref="A2971" authorId="0" shapeId="0" xr:uid="{514FEBFB-5DE3-4E80-B778-487E48283464}">
      <text>
        <r>
          <rPr>
            <sz val="9"/>
            <color indexed="81"/>
            <rFont val="Tahoma"/>
            <family val="2"/>
          </rPr>
          <t xml:space="preserve">
</t>
        </r>
      </text>
    </comment>
    <comment ref="K2971" authorId="0" shapeId="0" xr:uid="{14CB6862-621C-426C-981F-76AC5BA07910}">
      <text>
        <r>
          <rPr>
            <sz val="9"/>
            <color indexed="81"/>
            <rFont val="Tahoma"/>
            <family val="2"/>
          </rPr>
          <t>YSO that emits a small pretty orange reflection nebula</t>
        </r>
      </text>
    </comment>
    <comment ref="A2972" authorId="0" shapeId="0" xr:uid="{0E50E68F-472F-4059-969F-C8794DDDDEE8}">
      <text>
        <r>
          <rPr>
            <sz val="9"/>
            <color indexed="81"/>
            <rFont val="Tahoma"/>
            <family val="2"/>
          </rPr>
          <t xml:space="preserve">
</t>
        </r>
      </text>
    </comment>
    <comment ref="K2972" authorId="0" shapeId="0" xr:uid="{333B46D4-F683-4445-A41E-9DFF8832DA6B}">
      <text>
        <r>
          <rPr>
            <sz val="9"/>
            <color indexed="81"/>
            <rFont val="Tahoma"/>
            <family val="2"/>
          </rPr>
          <t>YSO at the origin of a horseshoe-shaped reflection nebula, along with HH161 &amp; HH164</t>
        </r>
      </text>
    </comment>
    <comment ref="A2973" authorId="0" shapeId="0" xr:uid="{1A64A31C-A420-457F-B511-AA5BBE285CE5}">
      <text>
        <r>
          <rPr>
            <sz val="9"/>
            <color indexed="81"/>
            <rFont val="Tahoma"/>
            <family val="2"/>
          </rPr>
          <t xml:space="preserve">
</t>
        </r>
      </text>
    </comment>
    <comment ref="K2973" authorId="0" shapeId="0" xr:uid="{751F4378-44F0-4C78-933F-61B60B23F679}">
      <text>
        <r>
          <rPr>
            <sz val="9"/>
            <color indexed="81"/>
            <rFont val="Tahoma"/>
            <family val="2"/>
          </rPr>
          <t>YSO that is the source of a blue reflection nebula</t>
        </r>
      </text>
    </comment>
    <comment ref="A2974" authorId="0" shapeId="0" xr:uid="{D7408D81-6801-49D2-8417-020B4BE1E106}">
      <text>
        <r>
          <rPr>
            <sz val="9"/>
            <color indexed="81"/>
            <rFont val="Tahoma"/>
            <family val="2"/>
          </rPr>
          <t xml:space="preserve">
</t>
        </r>
      </text>
    </comment>
    <comment ref="K2974" authorId="0" shapeId="0" xr:uid="{9AD25ACC-BAB0-472B-97AC-1178ED34FD0C}">
      <text>
        <r>
          <rPr>
            <sz val="9"/>
            <color indexed="81"/>
            <rFont val="Tahoma"/>
            <family val="2"/>
          </rPr>
          <t>YSO emitting a lovely arc-shaped white reflection nebula</t>
        </r>
      </text>
    </comment>
    <comment ref="A2975" authorId="0" shapeId="0" xr:uid="{3281A357-105E-4BF6-B721-67FCA6E87543}">
      <text>
        <r>
          <rPr>
            <sz val="9"/>
            <color indexed="81"/>
            <rFont val="Tahoma"/>
            <family val="2"/>
          </rPr>
          <t xml:space="preserve">
</t>
        </r>
      </text>
    </comment>
    <comment ref="K2975" authorId="0" shapeId="0" xr:uid="{F204471E-F096-4922-A061-93BDE260FB23}">
      <text>
        <r>
          <rPr>
            <sz val="9"/>
            <color indexed="81"/>
            <rFont val="Tahoma"/>
            <family val="2"/>
          </rPr>
          <t>YSO at the center of a lovely reflection nebula</t>
        </r>
      </text>
    </comment>
    <comment ref="A2976" authorId="0" shapeId="0" xr:uid="{C600279E-5F85-4A1C-B649-7A6135B39E0F}">
      <text>
        <r>
          <rPr>
            <sz val="9"/>
            <color indexed="81"/>
            <rFont val="Tahoma"/>
            <family val="2"/>
          </rPr>
          <t xml:space="preserve">
</t>
        </r>
      </text>
    </comment>
    <comment ref="K2976" authorId="0" shapeId="0" xr:uid="{92B7E048-2127-4CEA-827E-0E412113773E}">
      <text>
        <r>
          <rPr>
            <sz val="9"/>
            <color indexed="81"/>
            <rFont val="Tahoma"/>
            <family val="2"/>
          </rPr>
          <t>YSO that is at the eye of the Boogeyman</t>
        </r>
      </text>
    </comment>
    <comment ref="A2977" authorId="0" shapeId="0" xr:uid="{638FEF7B-2317-43F9-8AC1-CE9A2EF7CBDE}">
      <text>
        <r>
          <rPr>
            <sz val="9"/>
            <color indexed="81"/>
            <rFont val="Tahoma"/>
            <family val="2"/>
          </rPr>
          <t xml:space="preserve">
</t>
        </r>
      </text>
    </comment>
    <comment ref="K2977" authorId="0" shapeId="0" xr:uid="{A6C83FB4-4F6A-4B81-8A2F-EA6E3916F441}">
      <text>
        <r>
          <rPr>
            <sz val="9"/>
            <color indexed="81"/>
            <rFont val="Tahoma"/>
            <family val="2"/>
          </rPr>
          <t>YSO emitting an asymmetric white reflection nebula</t>
        </r>
      </text>
    </comment>
    <comment ref="A2978" authorId="0" shapeId="0" xr:uid="{2CDAB10F-75D3-4281-9659-454ED2FF5F85}">
      <text>
        <r>
          <rPr>
            <sz val="9"/>
            <color indexed="81"/>
            <rFont val="Tahoma"/>
            <family val="2"/>
          </rPr>
          <t xml:space="preserve">
</t>
        </r>
      </text>
    </comment>
    <comment ref="K2978" authorId="0" shapeId="0" xr:uid="{928EEBC4-54D4-4B75-A7C3-178857C95DE8}">
      <text>
        <r>
          <rPr>
            <sz val="9"/>
            <color indexed="81"/>
            <rFont val="Tahoma"/>
            <family val="2"/>
          </rPr>
          <t>Like a mini 3-star Pleiades, a blue reflection nebulae surrounding a multiple star system, near V633 Cas young stellar object</t>
        </r>
      </text>
    </comment>
    <comment ref="A2979" authorId="0" shapeId="0" xr:uid="{9C8B405F-A550-4207-8CFB-1EC8EA8C09D5}">
      <text>
        <r>
          <rPr>
            <sz val="9"/>
            <color indexed="81"/>
            <rFont val="Tahoma"/>
            <family val="2"/>
          </rPr>
          <t xml:space="preserve">
</t>
        </r>
      </text>
    </comment>
    <comment ref="K2979" authorId="0" shapeId="0" xr:uid="{B811277F-AB9D-48BB-B26E-8F3019532D95}">
      <text>
        <r>
          <rPr>
            <sz val="9"/>
            <color indexed="81"/>
            <rFont val="Tahoma"/>
            <family val="2"/>
          </rPr>
          <t>Faint blue reflection nebula, slightly square shape</t>
        </r>
      </text>
    </comment>
    <comment ref="A2980" authorId="0" shapeId="0" xr:uid="{9D34B5ED-6AA3-4272-8AA6-FB8254F6B994}">
      <text>
        <r>
          <rPr>
            <sz val="9"/>
            <color indexed="81"/>
            <rFont val="Tahoma"/>
            <family val="2"/>
          </rPr>
          <t xml:space="preserve">
</t>
        </r>
      </text>
    </comment>
    <comment ref="K2980" authorId="0" shapeId="0" xr:uid="{6E7E520C-7003-46B3-92BB-446F1F9EB916}">
      <text>
        <r>
          <rPr>
            <sz val="9"/>
            <color indexed="81"/>
            <rFont val="Tahoma"/>
            <family val="2"/>
          </rPr>
          <t>Orange reflection nebula with interesting cylinder shape</t>
        </r>
      </text>
    </comment>
    <comment ref="A2981" authorId="0" shapeId="0" xr:uid="{F1D5BCE8-F932-4A83-A836-CCE5614B8C11}">
      <text>
        <r>
          <rPr>
            <sz val="9"/>
            <color indexed="81"/>
            <rFont val="Tahoma"/>
            <family val="2"/>
          </rPr>
          <t xml:space="preserve">
</t>
        </r>
      </text>
    </comment>
    <comment ref="K2981" authorId="0" shapeId="0" xr:uid="{3ABD673D-35B6-4347-A2AE-AB4178DF2BFC}">
      <text>
        <r>
          <rPr>
            <sz val="9"/>
            <color indexed="81"/>
            <rFont val="Tahoma"/>
            <family val="2"/>
          </rPr>
          <t>Faint blue reflection nebula complemented by bright adjacent open star cluster NGC 225, forming the Sailboat Cluster</t>
        </r>
      </text>
    </comment>
    <comment ref="A2982" authorId="0" shapeId="0" xr:uid="{73E93D9D-5E5A-4496-96A3-485F6492BF1F}">
      <text>
        <r>
          <rPr>
            <sz val="9"/>
            <color indexed="81"/>
            <rFont val="Tahoma"/>
            <family val="2"/>
          </rPr>
          <t xml:space="preserve">
</t>
        </r>
      </text>
    </comment>
    <comment ref="K2982" authorId="0" shapeId="0" xr:uid="{CC7B53F0-2D7F-410B-B453-F18BC3B50000}">
      <text>
        <r>
          <rPr>
            <sz val="9"/>
            <color indexed="81"/>
            <rFont val="Tahoma"/>
            <family val="2"/>
          </rPr>
          <t>Bright blue star Gamma Cassiopeiae is ionizing 2 large emission/reflection objects (IC59&amp;63) 15 arc-minutes to NE</t>
        </r>
      </text>
    </comment>
    <comment ref="A2983" authorId="0" shapeId="0" xr:uid="{32E36BC8-BA88-40B0-891B-FCC0ECF3D230}">
      <text>
        <r>
          <rPr>
            <sz val="9"/>
            <color indexed="81"/>
            <rFont val="Tahoma"/>
            <family val="2"/>
          </rPr>
          <t xml:space="preserve">
</t>
        </r>
      </text>
    </comment>
    <comment ref="K2983" authorId="0" shapeId="0" xr:uid="{84F63BC4-ADFB-4929-9D10-6D0EE93BF669}">
      <text>
        <r>
          <rPr>
            <sz val="9"/>
            <color indexed="81"/>
            <rFont val="Tahoma"/>
            <family val="2"/>
          </rPr>
          <t>Faint white reflection nebula adjacent to bright open star cluster NGC 654 &amp; bright orange 7.3 mag star HD 10494</t>
        </r>
      </text>
    </comment>
    <comment ref="A2984" authorId="0" shapeId="0" xr:uid="{F5676A73-A68B-44C7-9BB4-34E7A5C24CA7}">
      <text>
        <r>
          <rPr>
            <sz val="9"/>
            <color indexed="81"/>
            <rFont val="Tahoma"/>
            <family val="2"/>
          </rPr>
          <t xml:space="preserve">
</t>
        </r>
      </text>
    </comment>
    <comment ref="K2984" authorId="0" shapeId="0" xr:uid="{60E5B7C8-99A9-4650-8D85-3EAAC62419E2}">
      <text>
        <r>
          <rPr>
            <sz val="9"/>
            <color indexed="81"/>
            <rFont val="Tahoma"/>
            <family val="2"/>
          </rPr>
          <t>Orange and white reflection nebula in the glow of the bright blue star HD 17138</t>
        </r>
      </text>
    </comment>
    <comment ref="A2985" authorId="0" shapeId="0" xr:uid="{996E754F-EB51-4D46-A49B-C0704752FEA9}">
      <text>
        <r>
          <rPr>
            <sz val="9"/>
            <color indexed="81"/>
            <rFont val="Tahoma"/>
            <family val="2"/>
          </rPr>
          <t xml:space="preserve">
</t>
        </r>
      </text>
    </comment>
    <comment ref="K2985" authorId="0" shapeId="0" xr:uid="{C001DD63-2161-43C2-9CDB-77E76304C797}">
      <text>
        <r>
          <rPr>
            <sz val="9"/>
            <color indexed="81"/>
            <rFont val="Tahoma"/>
            <family val="2"/>
          </rPr>
          <t>Fascinating, unique elongated shape for this blue reflection nebula</t>
        </r>
      </text>
    </comment>
    <comment ref="A2986" authorId="0" shapeId="0" xr:uid="{99040F3F-F06B-4FDD-B157-27E8806125A8}">
      <text>
        <r>
          <rPr>
            <sz val="9"/>
            <color indexed="81"/>
            <rFont val="Tahoma"/>
            <family val="2"/>
          </rPr>
          <t xml:space="preserve">
</t>
        </r>
      </text>
    </comment>
    <comment ref="K2986" authorId="0" shapeId="0" xr:uid="{BD069942-9101-415E-9B5F-0B03698F9FEF}">
      <text>
        <r>
          <rPr>
            <sz val="9"/>
            <color indexed="81"/>
            <rFont val="Tahoma"/>
            <family val="2"/>
          </rPr>
          <t>White reflection nebula with bright adjacent streak just to south, dark nebula LDN 1355/1357 just to west</t>
        </r>
      </text>
    </comment>
    <comment ref="A2987" authorId="0" shapeId="0" xr:uid="{37E0484A-CE6B-4965-BBDB-760071A5C38E}">
      <text>
        <r>
          <rPr>
            <sz val="9"/>
            <color indexed="81"/>
            <rFont val="Tahoma"/>
            <family val="2"/>
          </rPr>
          <t xml:space="preserve">
</t>
        </r>
      </text>
    </comment>
    <comment ref="K2987" authorId="0" shapeId="0" xr:uid="{CD18A1C1-4164-4905-BB62-730E50608736}">
      <text>
        <r>
          <rPr>
            <sz val="9"/>
            <color indexed="81"/>
            <rFont val="Tahoma"/>
            <family val="2"/>
          </rPr>
          <t>Faint white reflection nebula with brighter "L-shaped" section to the west</t>
        </r>
      </text>
    </comment>
    <comment ref="A2988" authorId="0" shapeId="0" xr:uid="{DF701298-4960-4DD5-BB51-29CB536351A5}">
      <text>
        <r>
          <rPr>
            <sz val="9"/>
            <color indexed="81"/>
            <rFont val="Tahoma"/>
            <family val="2"/>
          </rPr>
          <t xml:space="preserve">
</t>
        </r>
      </text>
    </comment>
    <comment ref="K2988" authorId="0" shapeId="0" xr:uid="{94D6CEBA-7A3D-4E0A-A5ED-E41653444985}">
      <text>
        <r>
          <rPr>
            <sz val="9"/>
            <color indexed="81"/>
            <rFont val="Tahoma"/>
            <family val="2"/>
          </rPr>
          <t>Faint blue reflection nebula, brightest to southeast</t>
        </r>
      </text>
    </comment>
    <comment ref="A2989" authorId="0" shapeId="0" xr:uid="{E70A52FD-20DB-4EA0-AF56-3E0947DCFC23}">
      <text>
        <r>
          <rPr>
            <sz val="9"/>
            <color indexed="81"/>
            <rFont val="Tahoma"/>
            <family val="2"/>
          </rPr>
          <t xml:space="preserve">
</t>
        </r>
      </text>
    </comment>
    <comment ref="K2989" authorId="0" shapeId="0" xr:uid="{913D2694-1CED-4C3D-8AEF-0757045E39C5}">
      <text>
        <r>
          <rPr>
            <sz val="9"/>
            <color indexed="81"/>
            <rFont val="Tahoma"/>
            <family val="2"/>
          </rPr>
          <t>Interesting oddly shaped (point symmetric-like) orange reflection nebula</t>
        </r>
      </text>
    </comment>
    <comment ref="A2990" authorId="0" shapeId="0" xr:uid="{63AAC12B-38E8-413D-AB49-3DD8FECDCB8C}">
      <text>
        <r>
          <rPr>
            <sz val="9"/>
            <color indexed="81"/>
            <rFont val="Tahoma"/>
            <family val="2"/>
          </rPr>
          <t xml:space="preserve">
</t>
        </r>
      </text>
    </comment>
    <comment ref="K2990" authorId="0" shapeId="0" xr:uid="{F8CA1180-4742-407B-A038-211DEE154C2D}">
      <text>
        <r>
          <rPr>
            <sz val="9"/>
            <color indexed="81"/>
            <rFont val="Tahoma"/>
            <family val="2"/>
          </rPr>
          <t>Delicate blue reflection nebula among dust clouds with much texture</t>
        </r>
      </text>
    </comment>
    <comment ref="A2991" authorId="0" shapeId="0" xr:uid="{25C80DCC-C486-4364-A2B3-29E9A9824081}">
      <text>
        <r>
          <rPr>
            <sz val="9"/>
            <color indexed="81"/>
            <rFont val="Tahoma"/>
            <family val="2"/>
          </rPr>
          <t xml:space="preserve">
</t>
        </r>
      </text>
    </comment>
    <comment ref="K2991" authorId="0" shapeId="0" xr:uid="{CA02FB38-275E-444D-8088-EB210C71DCE7}">
      <text>
        <r>
          <rPr>
            <sz val="9"/>
            <color indexed="81"/>
            <rFont val="Tahoma"/>
            <family val="2"/>
          </rPr>
          <t>Bright blue star is illuminating long cloud 15 arc-minutes to the southeast.  Sh2-202 is 1 degree to west</t>
        </r>
      </text>
    </comment>
    <comment ref="A2992" authorId="0" shapeId="0" xr:uid="{9F116856-98C4-4D8A-8EF5-492B01853435}">
      <text>
        <r>
          <rPr>
            <sz val="9"/>
            <color indexed="81"/>
            <rFont val="Tahoma"/>
            <family val="2"/>
          </rPr>
          <t xml:space="preserve">
</t>
        </r>
      </text>
    </comment>
    <comment ref="K2992" authorId="0" shapeId="0" xr:uid="{912F66D6-8409-40D0-B94A-EED95BBF586B}">
      <text>
        <r>
          <rPr>
            <sz val="9"/>
            <color indexed="81"/>
            <rFont val="Tahoma"/>
            <family val="2"/>
          </rPr>
          <t>Detailed blue reflection nebula around the bright star HD21389.  Sh2-202 is 1 degree to west</t>
        </r>
      </text>
    </comment>
    <comment ref="A2993" authorId="0" shapeId="0" xr:uid="{89E4AB4A-500D-4231-AF23-C2EF1DABCECA}">
      <text>
        <r>
          <rPr>
            <sz val="9"/>
            <color indexed="81"/>
            <rFont val="Tahoma"/>
            <family val="2"/>
          </rPr>
          <t xml:space="preserve">
</t>
        </r>
      </text>
    </comment>
    <comment ref="K2993" authorId="0" shapeId="0" xr:uid="{9AA9D7AA-F323-429F-BFD2-CC2401064F93}">
      <text>
        <r>
          <rPr>
            <sz val="9"/>
            <color indexed="81"/>
            <rFont val="Tahoma"/>
            <family val="2"/>
          </rPr>
          <t>Pretty blue reflection nebula surrounded by wispy clouds and dark voids</t>
        </r>
      </text>
    </comment>
    <comment ref="A2994" authorId="0" shapeId="0" xr:uid="{9DDCC21D-5D1D-43E3-BC9D-2FDA690B4816}">
      <text>
        <r>
          <rPr>
            <sz val="9"/>
            <color indexed="81"/>
            <rFont val="Tahoma"/>
            <family val="2"/>
          </rPr>
          <t xml:space="preserve">
</t>
        </r>
      </text>
    </comment>
    <comment ref="K2994" authorId="0" shapeId="0" xr:uid="{7FA8EAD5-16DA-41BE-8CF6-A25315005714}">
      <text>
        <r>
          <rPr>
            <sz val="9"/>
            <color indexed="81"/>
            <rFont val="Tahoma"/>
            <family val="2"/>
          </rPr>
          <t>Faint blue reflection nebula</t>
        </r>
      </text>
    </comment>
    <comment ref="A2995" authorId="0" shapeId="0" xr:uid="{7C0D9DBE-C52B-4D48-9A95-6684B1DDA1BE}">
      <text>
        <r>
          <rPr>
            <sz val="9"/>
            <color indexed="81"/>
            <rFont val="Tahoma"/>
            <family val="2"/>
          </rPr>
          <t xml:space="preserve">
</t>
        </r>
      </text>
    </comment>
    <comment ref="K2995" authorId="0" shapeId="0" xr:uid="{FE688305-D064-4C9F-AAE0-6B6C4D83F51B}">
      <text>
        <r>
          <rPr>
            <sz val="9"/>
            <color indexed="81"/>
            <rFont val="Tahoma"/>
            <family val="2"/>
          </rPr>
          <t>The blue reflection nebula around the right star of Pleaides</t>
        </r>
      </text>
    </comment>
    <comment ref="A2996" authorId="0" shapeId="0" xr:uid="{A70CAEA2-0CA4-41F6-8C18-1F4C8FF75991}">
      <text>
        <r>
          <rPr>
            <sz val="9"/>
            <color indexed="81"/>
            <rFont val="Tahoma"/>
            <family val="2"/>
          </rPr>
          <t xml:space="preserve">
</t>
        </r>
      </text>
    </comment>
    <comment ref="K2996" authorId="0" shapeId="0" xr:uid="{301A7D28-98B8-4792-A4CA-AAE0C14656D3}">
      <text>
        <r>
          <rPr>
            <sz val="9"/>
            <color indexed="81"/>
            <rFont val="Tahoma"/>
            <family val="2"/>
          </rPr>
          <t>The blue reflection nebula around the top bright star of Pleaides</t>
        </r>
      </text>
    </comment>
    <comment ref="A2997" authorId="0" shapeId="0" xr:uid="{355E2EFF-FDDF-4574-8FF1-51B6564E02EA}">
      <text>
        <r>
          <rPr>
            <sz val="9"/>
            <color indexed="81"/>
            <rFont val="Tahoma"/>
            <family val="2"/>
          </rPr>
          <t xml:space="preserve">
</t>
        </r>
      </text>
    </comment>
    <comment ref="K2997" authorId="0" shapeId="0" xr:uid="{2ACD782D-7BB5-4494-9E00-2C5585FB8B0E}">
      <text>
        <r>
          <rPr>
            <sz val="9"/>
            <color indexed="81"/>
            <rFont val="Tahoma"/>
            <family val="2"/>
          </rPr>
          <t>The blue reflection nebula around the bottom bright star of Pleaides</t>
        </r>
      </text>
    </comment>
    <comment ref="A2998" authorId="0" shapeId="0" xr:uid="{D1C8D4E9-EB97-4C62-A42A-51E6C8D986E5}">
      <text>
        <r>
          <rPr>
            <sz val="9"/>
            <color indexed="81"/>
            <rFont val="Tahoma"/>
            <family val="2"/>
          </rPr>
          <t xml:space="preserve">
</t>
        </r>
      </text>
    </comment>
    <comment ref="K2998" authorId="0" shapeId="0" xr:uid="{C6CFB2B5-E94E-4DF2-87C0-0C29BC284999}">
      <text>
        <r>
          <rPr>
            <sz val="9"/>
            <color indexed="81"/>
            <rFont val="Tahoma"/>
            <family val="2"/>
          </rPr>
          <t>The blue reflection nebula around the center bright star of Pleaides</t>
        </r>
      </text>
    </comment>
    <comment ref="A2999" authorId="0" shapeId="0" xr:uid="{3C85179E-370E-4813-932E-A09D2A2F6921}">
      <text>
        <r>
          <rPr>
            <sz val="9"/>
            <color indexed="81"/>
            <rFont val="Tahoma"/>
            <family val="2"/>
          </rPr>
          <t xml:space="preserve">
</t>
        </r>
      </text>
    </comment>
    <comment ref="K2999" authorId="0" shapeId="0" xr:uid="{CE92C07A-7E27-418D-9441-54B6992DFB08}">
      <text>
        <r>
          <rPr>
            <sz val="9"/>
            <color indexed="81"/>
            <rFont val="Tahoma"/>
            <family val="2"/>
          </rPr>
          <t>Complex blue and white reflection nebula with dust lanes, one of which is LDN 1442</t>
        </r>
      </text>
    </comment>
    <comment ref="A3000" authorId="0" shapeId="0" xr:uid="{3F2133A4-08ED-486B-8219-C5C2AFA13AA1}">
      <text>
        <r>
          <rPr>
            <sz val="9"/>
            <color indexed="81"/>
            <rFont val="Tahoma"/>
            <family val="2"/>
          </rPr>
          <t xml:space="preserve">
</t>
        </r>
      </text>
    </comment>
    <comment ref="K3000" authorId="0" shapeId="0" xr:uid="{5FDE44F4-8971-4A89-BE01-AA1BBE12BE7D}">
      <text>
        <r>
          <rPr>
            <sz val="9"/>
            <color indexed="81"/>
            <rFont val="Tahoma"/>
            <family val="2"/>
          </rPr>
          <t>Faint white reflection nebula</t>
        </r>
      </text>
    </comment>
    <comment ref="A3001" authorId="0" shapeId="0" xr:uid="{D3E99F18-3700-49DD-9206-D4B6D1AEC4E0}">
      <text>
        <r>
          <rPr>
            <sz val="9"/>
            <color indexed="81"/>
            <rFont val="Tahoma"/>
            <family val="2"/>
          </rPr>
          <t xml:space="preserve">
</t>
        </r>
      </text>
    </comment>
    <comment ref="K3001" authorId="0" shapeId="0" xr:uid="{5851593A-0643-4806-ACF9-BFC1237F30F2}">
      <text>
        <r>
          <rPr>
            <sz val="9"/>
            <color indexed="81"/>
            <rFont val="Tahoma"/>
            <family val="2"/>
          </rPr>
          <t>Lovely blue reflection nebula with tremendous texture, like a Pleiades RN</t>
        </r>
      </text>
    </comment>
    <comment ref="A3002" authorId="0" shapeId="0" xr:uid="{50C3012A-8B29-4B6B-AC86-6C9F4EDB3004}">
      <text>
        <r>
          <rPr>
            <sz val="9"/>
            <color indexed="81"/>
            <rFont val="Tahoma"/>
            <family val="2"/>
          </rPr>
          <t xml:space="preserve">
</t>
        </r>
      </text>
    </comment>
    <comment ref="K3002" authorId="0" shapeId="0" xr:uid="{41237631-D64B-4E60-BCC1-C0F55A4662EA}">
      <text>
        <r>
          <rPr>
            <sz val="9"/>
            <color indexed="81"/>
            <rFont val="Tahoma"/>
            <family val="2"/>
          </rPr>
          <t>Brown dusty reflection nebula bisected by fascinating transparent dust lane (LDN 1495)</t>
        </r>
      </text>
    </comment>
    <comment ref="A3003" authorId="0" shapeId="0" xr:uid="{B2DC7A55-6E7C-4554-A0F3-9D9AB4BDCA57}">
      <text>
        <r>
          <rPr>
            <sz val="9"/>
            <color indexed="81"/>
            <rFont val="Tahoma"/>
            <family val="2"/>
          </rPr>
          <t xml:space="preserve">
</t>
        </r>
      </text>
    </comment>
    <comment ref="K3003" authorId="0" shapeId="0" xr:uid="{E17EEC99-5F45-4208-965E-7205CDB69FC0}">
      <text>
        <r>
          <rPr>
            <sz val="9"/>
            <color indexed="81"/>
            <rFont val="Tahoma"/>
            <family val="2"/>
          </rPr>
          <t>Wispy blue reflection nebula</t>
        </r>
      </text>
    </comment>
    <comment ref="A3004" authorId="0" shapeId="0" xr:uid="{D46B083A-955E-4974-8F09-C8BE081F5D2D}">
      <text>
        <r>
          <rPr>
            <sz val="9"/>
            <color indexed="81"/>
            <rFont val="Tahoma"/>
            <family val="2"/>
          </rPr>
          <t xml:space="preserve">
</t>
        </r>
      </text>
    </comment>
    <comment ref="K3004" authorId="0" shapeId="0" xr:uid="{E003F985-E327-4682-A984-58A6FEFB8622}">
      <text>
        <r>
          <rPr>
            <sz val="9"/>
            <color indexed="81"/>
            <rFont val="Tahoma"/>
            <family val="2"/>
          </rPr>
          <t>Large emission arc which also has reflection components</t>
        </r>
      </text>
    </comment>
    <comment ref="A3005" authorId="0" shapeId="0" xr:uid="{D5D9FEA2-AA8A-499B-8A65-EC488F9C4460}">
      <text>
        <r>
          <rPr>
            <sz val="9"/>
            <color indexed="81"/>
            <rFont val="Tahoma"/>
            <family val="2"/>
          </rPr>
          <t xml:space="preserve">
</t>
        </r>
      </text>
    </comment>
    <comment ref="K3005" authorId="0" shapeId="0" xr:uid="{85E2B14A-494C-4FA1-8E3A-F27587329299}">
      <text>
        <r>
          <rPr>
            <sz val="9"/>
            <color indexed="81"/>
            <rFont val="Tahoma"/>
            <family val="2"/>
          </rPr>
          <t>Beautiful blue reflection nebula adjacent to a yellow reflection nebula and several dark nebulae</t>
        </r>
      </text>
    </comment>
    <comment ref="A3006" authorId="0" shapeId="0" xr:uid="{54F1546E-6F99-4996-A627-9396FAF5E99B}">
      <text>
        <r>
          <rPr>
            <sz val="9"/>
            <color indexed="81"/>
            <rFont val="Tahoma"/>
            <family val="2"/>
          </rPr>
          <t xml:space="preserve">
</t>
        </r>
      </text>
    </comment>
    <comment ref="K3006" authorId="0" shapeId="0" xr:uid="{ADDA20B6-D59C-4C31-B15B-911F72C36016}">
      <text>
        <r>
          <rPr>
            <sz val="9"/>
            <color indexed="81"/>
            <rFont val="Tahoma"/>
            <family val="2"/>
          </rPr>
          <t>Dim small blue reflection nebula</t>
        </r>
      </text>
    </comment>
    <comment ref="A3007" authorId="0" shapeId="0" xr:uid="{0262876C-5695-4893-A0C0-56E4994B0CBB}">
      <text>
        <r>
          <rPr>
            <sz val="9"/>
            <color indexed="81"/>
            <rFont val="Tahoma"/>
            <family val="2"/>
          </rPr>
          <t xml:space="preserve">
</t>
        </r>
      </text>
    </comment>
    <comment ref="K3007" authorId="0" shapeId="0" xr:uid="{8898B411-3E96-467A-AA52-338A5E94F5FD}">
      <text>
        <r>
          <rPr>
            <sz val="9"/>
            <color indexed="81"/>
            <rFont val="Tahoma"/>
            <family val="2"/>
          </rPr>
          <t>Whitish-blue reflection nebula surrounding an orange star</t>
        </r>
      </text>
    </comment>
    <comment ref="A3008" authorId="0" shapeId="0" xr:uid="{21777F9D-2B12-4E9F-BD0E-24CFAA1A2B41}">
      <text>
        <r>
          <rPr>
            <sz val="9"/>
            <color indexed="81"/>
            <rFont val="Tahoma"/>
            <family val="2"/>
          </rPr>
          <t xml:space="preserve">
</t>
        </r>
      </text>
    </comment>
    <comment ref="K3008" authorId="0" shapeId="0" xr:uid="{016289F6-88BF-49E1-A9D4-102F5C155AB0}">
      <text>
        <r>
          <rPr>
            <sz val="9"/>
            <color indexed="81"/>
            <rFont val="Tahoma"/>
            <family val="2"/>
          </rPr>
          <t>The Witch Head, a massive bright blue reflection nebula illuminated by Rigel, which is off frame lower right</t>
        </r>
      </text>
    </comment>
    <comment ref="A3009" authorId="0" shapeId="0" xr:uid="{C4B127F7-427D-4994-B910-349919EE39B8}">
      <text>
        <r>
          <rPr>
            <sz val="9"/>
            <color indexed="81"/>
            <rFont val="Tahoma"/>
            <family val="2"/>
          </rPr>
          <t xml:space="preserve">
</t>
        </r>
      </text>
    </comment>
    <comment ref="K3009" authorId="0" shapeId="0" xr:uid="{78850397-DA63-4DB8-A158-B24E68537BB2}">
      <text>
        <r>
          <rPr>
            <sz val="9"/>
            <color indexed="81"/>
            <rFont val="Tahoma"/>
            <family val="2"/>
          </rPr>
          <t>Orange reflection nebula with significant texture</t>
        </r>
      </text>
    </comment>
    <comment ref="A3010" authorId="0" shapeId="0" xr:uid="{4B074EB0-30DB-4722-BA47-BF469459B16B}">
      <text>
        <r>
          <rPr>
            <sz val="9"/>
            <color indexed="81"/>
            <rFont val="Tahoma"/>
            <family val="2"/>
          </rPr>
          <t xml:space="preserve">
</t>
        </r>
      </text>
    </comment>
    <comment ref="K3010" authorId="0" shapeId="0" xr:uid="{6F29162D-5B63-464C-ADEA-94520645D621}">
      <text>
        <r>
          <rPr>
            <sz val="9"/>
            <color indexed="81"/>
            <rFont val="Tahoma"/>
            <family val="2"/>
          </rPr>
          <t>Tiny faint blue reflection nebula in Taurus</t>
        </r>
      </text>
    </comment>
    <comment ref="A3011" authorId="0" shapeId="0" xr:uid="{45550F39-C04A-4F48-AACB-C3445A8ADB72}">
      <text>
        <r>
          <rPr>
            <sz val="9"/>
            <color indexed="81"/>
            <rFont val="Tahoma"/>
            <family val="2"/>
          </rPr>
          <t xml:space="preserve">
</t>
        </r>
      </text>
    </comment>
    <comment ref="K3011" authorId="0" shapeId="0" xr:uid="{A2C60DBC-6400-44E9-8FE0-D57EE1D547D8}">
      <text>
        <r>
          <rPr>
            <sz val="9"/>
            <color indexed="81"/>
            <rFont val="Tahoma"/>
            <family val="2"/>
          </rPr>
          <t>Faint small blue reflection nebula in the glare of the bright Orion star Bellatrix (γ Ori)</t>
        </r>
      </text>
    </comment>
    <comment ref="A3012" authorId="0" shapeId="0" xr:uid="{6028ECCC-0A67-492D-A454-DB257869C965}">
      <text>
        <r>
          <rPr>
            <sz val="9"/>
            <color indexed="81"/>
            <rFont val="Tahoma"/>
            <family val="2"/>
          </rPr>
          <t xml:space="preserve">
</t>
        </r>
      </text>
    </comment>
    <comment ref="K3012" authorId="0" shapeId="0" xr:uid="{C397D408-1BA7-4945-9A3F-043C041D66A2}">
      <text>
        <r>
          <rPr>
            <sz val="9"/>
            <color indexed="81"/>
            <rFont val="Tahoma"/>
            <family val="2"/>
          </rPr>
          <t>Tiny faint blue reflection nebula in Taurus</t>
        </r>
      </text>
    </comment>
    <comment ref="A3013" authorId="0" shapeId="0" xr:uid="{871327E4-EDEA-4444-A985-3C8BF65C7D50}">
      <text>
        <r>
          <rPr>
            <sz val="9"/>
            <color indexed="81"/>
            <rFont val="Tahoma"/>
            <family val="2"/>
          </rPr>
          <t xml:space="preserve">
</t>
        </r>
      </text>
    </comment>
    <comment ref="K3013" authorId="0" shapeId="0" xr:uid="{CB3089E0-7326-4A58-90FF-4AB3F6FEE4B1}">
      <text>
        <r>
          <rPr>
            <sz val="9"/>
            <color indexed="81"/>
            <rFont val="Tahoma"/>
            <family val="2"/>
          </rPr>
          <t>Reflection nebula and dust, in vicinity of Orion Nebula</t>
        </r>
      </text>
    </comment>
    <comment ref="A3014" authorId="0" shapeId="0" xr:uid="{81D9F9BB-64D9-43E8-82AF-2B815FF38B50}">
      <text>
        <r>
          <rPr>
            <sz val="9"/>
            <color indexed="81"/>
            <rFont val="Tahoma"/>
            <family val="2"/>
          </rPr>
          <t xml:space="preserve">
</t>
        </r>
      </text>
    </comment>
    <comment ref="K3014" authorId="0" shapeId="0" xr:uid="{6E5F6E88-2028-4D03-8CC4-08102B04F826}">
      <text>
        <r>
          <rPr>
            <sz val="9"/>
            <color indexed="81"/>
            <rFont val="Tahoma"/>
            <family val="2"/>
          </rPr>
          <t>Small blue reflection nebula</t>
        </r>
      </text>
    </comment>
    <comment ref="A3015" authorId="0" shapeId="0" xr:uid="{196E3D7B-21F8-42E4-AC00-0B1637FB6F2F}">
      <text>
        <r>
          <rPr>
            <sz val="9"/>
            <color indexed="81"/>
            <rFont val="Tahoma"/>
            <family val="2"/>
          </rPr>
          <t xml:space="preserve">
</t>
        </r>
      </text>
    </comment>
    <comment ref="K3015" authorId="0" shapeId="0" xr:uid="{104BC717-F854-4AFA-B3E6-20F0953CD299}">
      <text>
        <r>
          <rPr>
            <sz val="9"/>
            <color indexed="81"/>
            <rFont val="Tahoma"/>
            <family val="2"/>
          </rPr>
          <t>Medium-sized faint blue and orange reflection nebula in the Orion Nebula vicinity</t>
        </r>
      </text>
    </comment>
    <comment ref="A3016" authorId="0" shapeId="0" xr:uid="{427CFE26-6804-408F-B911-2B293CAEE2B3}">
      <text>
        <r>
          <rPr>
            <sz val="9"/>
            <color indexed="81"/>
            <rFont val="Tahoma"/>
            <family val="2"/>
          </rPr>
          <t xml:space="preserve">
</t>
        </r>
      </text>
    </comment>
    <comment ref="K3016" authorId="0" shapeId="0" xr:uid="{46192855-CAEC-4A7B-BDC1-06D8809D7D8B}">
      <text>
        <r>
          <rPr>
            <sz val="9"/>
            <color indexed="81"/>
            <rFont val="Tahoma"/>
            <family val="2"/>
          </rPr>
          <t>Small blue-white reflection nebula near NGC 1985</t>
        </r>
      </text>
    </comment>
    <comment ref="A3017" authorId="0" shapeId="0" xr:uid="{7C661BA1-EE01-49B1-BFB7-1EFDC3A1A5D5}">
      <text>
        <r>
          <rPr>
            <sz val="9"/>
            <color indexed="81"/>
            <rFont val="Tahoma"/>
            <family val="2"/>
          </rPr>
          <t xml:space="preserve">
</t>
        </r>
      </text>
    </comment>
    <comment ref="K3017" authorId="0" shapeId="0" xr:uid="{695F9943-E6EF-4FE4-A462-0BA0EB867FC7}">
      <text>
        <r>
          <rPr>
            <sz val="9"/>
            <color indexed="81"/>
            <rFont val="Tahoma"/>
            <family val="2"/>
          </rPr>
          <t>Nicely textured yellow reflection nebula</t>
        </r>
      </text>
    </comment>
    <comment ref="A3018" authorId="0" shapeId="0" xr:uid="{91B450EE-EDD2-4DB9-98F6-B714D2EDBCAA}">
      <text>
        <r>
          <rPr>
            <sz val="9"/>
            <color indexed="81"/>
            <rFont val="Tahoma"/>
            <family val="2"/>
          </rPr>
          <t xml:space="preserve">
</t>
        </r>
      </text>
    </comment>
    <comment ref="K3018" authorId="0" shapeId="0" xr:uid="{BE77EE3F-F1CF-4B7D-A659-F4FDB3A0BAD4}">
      <text>
        <r>
          <rPr>
            <sz val="9"/>
            <color indexed="81"/>
            <rFont val="Tahoma"/>
            <family val="2"/>
          </rPr>
          <t>Faint blue reflection nebula illuminated by 4 blue stars near IC426</t>
        </r>
      </text>
    </comment>
    <comment ref="A3019" authorId="0" shapeId="0" xr:uid="{C4504AC5-7C58-4421-B819-ADE4F3FC1601}">
      <text>
        <r>
          <rPr>
            <sz val="9"/>
            <color indexed="81"/>
            <rFont val="Tahoma"/>
            <family val="2"/>
          </rPr>
          <t xml:space="preserve">
</t>
        </r>
      </text>
    </comment>
    <comment ref="K3019" authorId="0" shapeId="0" xr:uid="{AA1DC4F0-800B-45A4-99C4-CDD60D9DB304}">
      <text>
        <r>
          <rPr>
            <sz val="9"/>
            <color indexed="81"/>
            <rFont val="Tahoma"/>
            <family val="2"/>
          </rPr>
          <t>Blue reflection nebula with some texture to north</t>
        </r>
      </text>
    </comment>
    <comment ref="A3020" authorId="0" shapeId="0" xr:uid="{8529485B-3DEC-47DB-A7E5-2A17528BAD3E}">
      <text>
        <r>
          <rPr>
            <sz val="9"/>
            <color indexed="81"/>
            <rFont val="Tahoma"/>
            <family val="2"/>
          </rPr>
          <t xml:space="preserve">
</t>
        </r>
      </text>
    </comment>
    <comment ref="K3020" authorId="0" shapeId="0" xr:uid="{ACBB66BF-33C0-4D28-AAA3-87118B989326}">
      <text>
        <r>
          <rPr>
            <sz val="9"/>
            <color indexed="81"/>
            <rFont val="Tahoma"/>
            <family val="2"/>
          </rPr>
          <t>Blue reflection nebula about 1 degree north of the Horsehead Nebula</t>
        </r>
      </text>
    </comment>
    <comment ref="A3021" authorId="0" shapeId="0" xr:uid="{C2D1D6AB-93AB-43EF-88FD-1CBEC40B662A}">
      <text>
        <r>
          <rPr>
            <sz val="9"/>
            <color indexed="81"/>
            <rFont val="Tahoma"/>
            <family val="2"/>
          </rPr>
          <t xml:space="preserve">
</t>
        </r>
      </text>
    </comment>
    <comment ref="K3021" authorId="0" shapeId="0" xr:uid="{029C0A5F-516F-470D-83EA-F406BFF3859E}">
      <text>
        <r>
          <rPr>
            <sz val="9"/>
            <color indexed="81"/>
            <rFont val="Tahoma"/>
            <family val="2"/>
          </rPr>
          <t>Blue reflection nebula surrounded by emission nebulosity, just east of vdB 50</t>
        </r>
      </text>
    </comment>
    <comment ref="A3022" authorId="0" shapeId="0" xr:uid="{6B51AA71-C37D-4513-8A5C-5E59A0A269C2}">
      <text>
        <r>
          <rPr>
            <sz val="9"/>
            <color indexed="81"/>
            <rFont val="Tahoma"/>
            <family val="2"/>
          </rPr>
          <t xml:space="preserve">
</t>
        </r>
      </text>
    </comment>
    <comment ref="K3022" authorId="0" shapeId="0" xr:uid="{688DA88C-3435-4481-A273-B06129D0E7E0}">
      <text>
        <r>
          <rPr>
            <sz val="9"/>
            <color indexed="81"/>
            <rFont val="Tahoma"/>
            <family val="2"/>
          </rPr>
          <t>Tremendous multihued reflection nebula, just northeast of the Horsehead</t>
        </r>
      </text>
    </comment>
    <comment ref="A3023" authorId="0" shapeId="0" xr:uid="{1715C3EF-6066-4328-BD23-0AC68C622CC9}">
      <text>
        <r>
          <rPr>
            <sz val="9"/>
            <color indexed="81"/>
            <rFont val="Tahoma"/>
            <family val="2"/>
          </rPr>
          <t xml:space="preserve">
</t>
        </r>
      </text>
    </comment>
    <comment ref="K3023" authorId="0" shapeId="0" xr:uid="{42DF7BBA-C101-4395-BD12-A5CAC6D37BDF}">
      <text>
        <r>
          <rPr>
            <sz val="9"/>
            <color indexed="81"/>
            <rFont val="Tahoma"/>
            <family val="2"/>
          </rPr>
          <t>Very faint small reflection nebula, barely visible, one of the faintest vdB objects</t>
        </r>
      </text>
    </comment>
    <comment ref="A3024" authorId="0" shapeId="0" xr:uid="{847E06C7-61F8-427A-9F18-56727AF86462}">
      <text>
        <r>
          <rPr>
            <sz val="9"/>
            <color indexed="81"/>
            <rFont val="Tahoma"/>
            <family val="2"/>
          </rPr>
          <t xml:space="preserve">
</t>
        </r>
      </text>
    </comment>
    <comment ref="K3024" authorId="0" shapeId="0" xr:uid="{6D50AF6A-1134-4AC1-B07A-3205311E27E4}">
      <text>
        <r>
          <rPr>
            <sz val="9"/>
            <color indexed="81"/>
            <rFont val="Tahoma"/>
            <family val="2"/>
          </rPr>
          <t>White reflection nebula with diagonal dust streaks</t>
        </r>
      </text>
    </comment>
    <comment ref="A3025" authorId="0" shapeId="0" xr:uid="{39218D55-0F46-42FE-BDEC-869BFECBF82E}">
      <text>
        <r>
          <rPr>
            <sz val="9"/>
            <color indexed="81"/>
            <rFont val="Tahoma"/>
            <family val="2"/>
          </rPr>
          <t xml:space="preserve">
</t>
        </r>
      </text>
    </comment>
    <comment ref="K3025" authorId="0" shapeId="0" xr:uid="{BBFA03EC-2D78-4EF6-8032-28E7BB36C002}">
      <text>
        <r>
          <rPr>
            <sz val="9"/>
            <color indexed="81"/>
            <rFont val="Tahoma"/>
            <family val="2"/>
          </rPr>
          <t>Faint but interesting blue and orange nebula with dark dust lanes</t>
        </r>
      </text>
    </comment>
    <comment ref="A3026" authorId="0" shapeId="0" xr:uid="{67AD2524-E87F-43AE-B11A-0B6FEF7DDC05}">
      <text>
        <r>
          <rPr>
            <sz val="9"/>
            <color indexed="81"/>
            <rFont val="Tahoma"/>
            <family val="2"/>
          </rPr>
          <t xml:space="preserve">
</t>
        </r>
      </text>
    </comment>
    <comment ref="K3026" authorId="0" shapeId="0" xr:uid="{8D6A77BB-5EB2-4E00-90C2-C317E4087253}">
      <text>
        <r>
          <rPr>
            <sz val="9"/>
            <color indexed="81"/>
            <rFont val="Tahoma"/>
            <family val="2"/>
          </rPr>
          <t>Small and very faint blue nebula</t>
        </r>
      </text>
    </comment>
    <comment ref="A3027" authorId="0" shapeId="0" xr:uid="{D633A464-F5D2-4A9C-A6FE-AA96784AA998}">
      <text>
        <r>
          <rPr>
            <sz val="9"/>
            <color indexed="81"/>
            <rFont val="Tahoma"/>
            <family val="2"/>
          </rPr>
          <t xml:space="preserve">
</t>
        </r>
      </text>
    </comment>
    <comment ref="K3027" authorId="0" shapeId="0" xr:uid="{0572E8E6-2158-4183-980B-DD8DBFD84970}">
      <text>
        <r>
          <rPr>
            <sz val="9"/>
            <color indexed="81"/>
            <rFont val="Tahoma"/>
            <family val="2"/>
          </rPr>
          <t>Blue reflection nebula east of vdB 52 and the Horsehead</t>
        </r>
      </text>
    </comment>
    <comment ref="A3028" authorId="0" shapeId="0" xr:uid="{A16E04C4-3CE9-4E61-BA46-6FF557CD2771}">
      <text>
        <r>
          <rPr>
            <sz val="9"/>
            <color indexed="81"/>
            <rFont val="Tahoma"/>
            <family val="2"/>
          </rPr>
          <t xml:space="preserve">
</t>
        </r>
      </text>
    </comment>
    <comment ref="K3028" authorId="0" shapeId="0" xr:uid="{41B49611-F7F4-4D4B-ABD2-648973FD3AAF}">
      <text>
        <r>
          <rPr>
            <sz val="9"/>
            <color indexed="81"/>
            <rFont val="Tahoma"/>
            <family val="2"/>
          </rPr>
          <t>Tiny and faint orange reflection nebula, 1 degree southwest of vdB 55</t>
        </r>
      </text>
    </comment>
    <comment ref="A3029" authorId="0" shapeId="0" xr:uid="{DD16B630-151A-413D-AAF9-4AD9341427CF}">
      <text>
        <r>
          <rPr>
            <sz val="9"/>
            <color indexed="81"/>
            <rFont val="Tahoma"/>
            <family val="2"/>
          </rPr>
          <t xml:space="preserve">
</t>
        </r>
      </text>
    </comment>
    <comment ref="K3029" authorId="0" shapeId="0" xr:uid="{EBD3414E-75C4-4F74-BE35-DCAB80D9B090}">
      <text>
        <r>
          <rPr>
            <sz val="9"/>
            <color indexed="81"/>
            <rFont val="Tahoma"/>
            <family val="2"/>
          </rPr>
          <t>Striking multihued blue-purple-white reflection nebula in M78</t>
        </r>
      </text>
    </comment>
    <comment ref="A3030" authorId="0" shapeId="0" xr:uid="{38E84E19-ED22-4CF9-8A09-1DA27804DBD1}">
      <text>
        <r>
          <rPr>
            <sz val="9"/>
            <color indexed="81"/>
            <rFont val="Tahoma"/>
            <family val="2"/>
          </rPr>
          <t xml:space="preserve">
</t>
        </r>
      </text>
    </comment>
    <comment ref="K3030" authorId="0" shapeId="0" xr:uid="{9328F812-9BEE-407E-A1E8-26279A3417F4}">
      <text>
        <r>
          <rPr>
            <sz val="9"/>
            <color indexed="81"/>
            <rFont val="Tahoma"/>
            <family val="2"/>
          </rPr>
          <t>Similar to the wonderful vdb59, just a bit smaller and less colorful</t>
        </r>
      </text>
    </comment>
    <comment ref="A3031" authorId="0" shapeId="0" xr:uid="{94E93CB6-089E-4CD1-AA11-03ABF6B83F6D}">
      <text>
        <r>
          <rPr>
            <sz val="9"/>
            <color indexed="81"/>
            <rFont val="Tahoma"/>
            <family val="2"/>
          </rPr>
          <t xml:space="preserve">
</t>
        </r>
      </text>
    </comment>
    <comment ref="K3031" authorId="0" shapeId="0" xr:uid="{30490C9B-1C53-4D0F-8BE8-8AD9A042F8A2}">
      <text>
        <r>
          <rPr>
            <sz val="9"/>
            <color indexed="81"/>
            <rFont val="Tahoma"/>
            <family val="2"/>
          </rPr>
          <t>Faint blue reflection nebula in the form of a near-vertical streak</t>
        </r>
      </text>
    </comment>
    <comment ref="A3032" authorId="0" shapeId="0" xr:uid="{6730AFEA-10FF-4172-BAFD-EABDD53C11E4}">
      <text>
        <r>
          <rPr>
            <sz val="9"/>
            <color indexed="81"/>
            <rFont val="Tahoma"/>
            <family val="2"/>
          </rPr>
          <t xml:space="preserve">
</t>
        </r>
      </text>
    </comment>
    <comment ref="K3032" authorId="0" shapeId="0" xr:uid="{3CD59B45-5F39-4D75-B21C-0C22915EBF0F}">
      <text>
        <r>
          <rPr>
            <sz val="9"/>
            <color indexed="81"/>
            <rFont val="Tahoma"/>
            <family val="2"/>
          </rPr>
          <t>Yellow-white reflection nebula that is the head of the Boogeyman Nebula, surrounds pre-main sequence star HBC515</t>
        </r>
      </text>
    </comment>
    <comment ref="A3033" authorId="0" shapeId="0" xr:uid="{B9507E2A-452C-4DA1-87B8-68CC2B503070}">
      <text>
        <r>
          <rPr>
            <sz val="9"/>
            <color indexed="81"/>
            <rFont val="Tahoma"/>
            <family val="2"/>
          </rPr>
          <t xml:space="preserve">
</t>
        </r>
      </text>
    </comment>
    <comment ref="K3033" authorId="0" shapeId="0" xr:uid="{9A0C4312-5ABE-4340-B616-3EF8F4B84C88}">
      <text>
        <r>
          <rPr>
            <sz val="9"/>
            <color indexed="81"/>
            <rFont val="Tahoma"/>
            <family val="2"/>
          </rPr>
          <t>Yellow reflection nebula that, with vdB 62, is part of the Boogeyman Nebula in Orion</t>
        </r>
      </text>
    </comment>
    <comment ref="A3034" authorId="0" shapeId="0" xr:uid="{98EE1B8E-9009-4D98-ABF7-258A8DC7AA64}">
      <text>
        <r>
          <rPr>
            <sz val="9"/>
            <color indexed="81"/>
            <rFont val="Tahoma"/>
            <family val="2"/>
          </rPr>
          <t xml:space="preserve">
</t>
        </r>
      </text>
    </comment>
    <comment ref="K3034" authorId="0" shapeId="0" xr:uid="{74209702-D955-4256-85BA-293AC95C65D2}">
      <text>
        <r>
          <rPr>
            <sz val="9"/>
            <color indexed="81"/>
            <rFont val="Tahoma"/>
            <family val="2"/>
          </rPr>
          <t>Small blue reflection nebula in close proximity to other lovely Lupus reflection and dark nebulae</t>
        </r>
      </text>
    </comment>
    <comment ref="A3035" authorId="0" shapeId="0" xr:uid="{76048E2A-72AA-4DC1-9638-5193C907752D}">
      <text>
        <r>
          <rPr>
            <sz val="9"/>
            <color indexed="81"/>
            <rFont val="Tahoma"/>
            <family val="2"/>
          </rPr>
          <t xml:space="preserve">
</t>
        </r>
      </text>
    </comment>
    <comment ref="K3035" authorId="0" shapeId="0" xr:uid="{023A9CCF-4ABF-4CBD-9217-76AE699C54EE}">
      <text>
        <r>
          <rPr>
            <sz val="9"/>
            <color indexed="81"/>
            <rFont val="Tahoma"/>
            <family val="2"/>
          </rPr>
          <t>Small blue reflection nebula with multiple bright regions and hints of emission</t>
        </r>
      </text>
    </comment>
    <comment ref="A3036" authorId="0" shapeId="0" xr:uid="{0A890C1E-37DA-47DD-9F00-34F12AFAC604}">
      <text>
        <r>
          <rPr>
            <sz val="9"/>
            <color indexed="81"/>
            <rFont val="Tahoma"/>
            <family val="2"/>
          </rPr>
          <t xml:space="preserve">
</t>
        </r>
      </text>
    </comment>
    <comment ref="K3036" authorId="0" shapeId="0" xr:uid="{5CD32E87-EC60-4326-BD5A-3031EABC2FEF}">
      <text>
        <r>
          <rPr>
            <sz val="9"/>
            <color indexed="81"/>
            <rFont val="Tahoma"/>
            <family val="2"/>
          </rPr>
          <t>Faint blue reflection nebula just west of NGC 2149</t>
        </r>
      </text>
    </comment>
    <comment ref="A3037" authorId="0" shapeId="0" xr:uid="{904CD693-CDB4-4B99-959B-CDCB7EF2A9AA}">
      <text>
        <r>
          <rPr>
            <sz val="9"/>
            <color indexed="81"/>
            <rFont val="Tahoma"/>
            <family val="2"/>
          </rPr>
          <t xml:space="preserve">
</t>
        </r>
      </text>
    </comment>
    <comment ref="K3037" authorId="0" shapeId="0" xr:uid="{C8F3744D-3DEC-4801-ADAE-2790095E34DF}">
      <text>
        <r>
          <rPr>
            <sz val="9"/>
            <color indexed="81"/>
            <rFont val="Tahoma"/>
            <family val="2"/>
          </rPr>
          <t>Brilliant blue reflection nebula near NGC 2170</t>
        </r>
      </text>
    </comment>
    <comment ref="A3038" authorId="0" shapeId="0" xr:uid="{B66823F3-6EAA-4A7C-A224-3548C1CEC463}">
      <text>
        <r>
          <rPr>
            <sz val="9"/>
            <color indexed="81"/>
            <rFont val="Tahoma"/>
            <family val="2"/>
          </rPr>
          <t xml:space="preserve">
</t>
        </r>
      </text>
    </comment>
    <comment ref="K3038" authorId="0" shapeId="0" xr:uid="{2F9379D9-12DE-4A7C-AE60-5F85A798012E}">
      <text>
        <r>
          <rPr>
            <sz val="9"/>
            <color indexed="81"/>
            <rFont val="Tahoma"/>
            <family val="2"/>
          </rPr>
          <t>A favorite, larger reflection nebula, with shimmering texture, great color, and an emission component</t>
        </r>
      </text>
    </comment>
    <comment ref="A3039" authorId="0" shapeId="0" xr:uid="{235A5E67-1369-46C2-B534-AD050DE0CDE0}">
      <text>
        <r>
          <rPr>
            <sz val="9"/>
            <color indexed="81"/>
            <rFont val="Tahoma"/>
            <family val="2"/>
          </rPr>
          <t xml:space="preserve">
</t>
        </r>
      </text>
    </comment>
    <comment ref="K3039" authorId="0" shapeId="0" xr:uid="{3DBAA9C9-8E3B-440B-A5D1-D0D95D9ED2CF}">
      <text>
        <r>
          <rPr>
            <sz val="9"/>
            <color indexed="81"/>
            <rFont val="Tahoma"/>
            <family val="2"/>
          </rPr>
          <t>Stunning asymmetric bright blue reflection nebula in Monoceros</t>
        </r>
      </text>
    </comment>
    <comment ref="A3040" authorId="0" shapeId="0" xr:uid="{3518A023-9335-4967-80C1-53B1C6750B3C}">
      <text>
        <r>
          <rPr>
            <sz val="9"/>
            <color indexed="81"/>
            <rFont val="Tahoma"/>
            <family val="2"/>
          </rPr>
          <t xml:space="preserve">
</t>
        </r>
      </text>
    </comment>
    <comment ref="K3040" authorId="0" shapeId="0" xr:uid="{80A56304-4770-4B6D-A33B-18F3A800210A}">
      <text>
        <r>
          <rPr>
            <sz val="9"/>
            <color indexed="81"/>
            <rFont val="Tahoma"/>
            <family val="2"/>
          </rPr>
          <t>Faint nebula which has both emission and reflection components, 1 deg north of NGC2170</t>
        </r>
      </text>
    </comment>
    <comment ref="A3041" authorId="0" shapeId="0" xr:uid="{6E393081-4C49-43C8-86C1-B98648082478}">
      <text>
        <r>
          <rPr>
            <sz val="9"/>
            <color indexed="81"/>
            <rFont val="Tahoma"/>
            <family val="2"/>
          </rPr>
          <t xml:space="preserve">
</t>
        </r>
      </text>
    </comment>
    <comment ref="K3041" authorId="0" shapeId="0" xr:uid="{1D08B801-5698-4C70-B23C-21FDCC0C92A8}">
      <text>
        <r>
          <rPr>
            <sz val="9"/>
            <color indexed="81"/>
            <rFont val="Tahoma"/>
            <family val="2"/>
          </rPr>
          <t>Very faint blue reflection nebula</t>
        </r>
      </text>
    </comment>
    <comment ref="A3042" authorId="0" shapeId="0" xr:uid="{50C5B411-CD9E-4E36-8FAD-26FD3D7856B0}">
      <text>
        <r>
          <rPr>
            <sz val="9"/>
            <color indexed="81"/>
            <rFont val="Tahoma"/>
            <family val="2"/>
          </rPr>
          <t xml:space="preserve">
</t>
        </r>
      </text>
    </comment>
    <comment ref="K3042" authorId="0" shapeId="0" xr:uid="{B427F5D8-2745-45FA-8E78-6D50352A2092}">
      <text>
        <r>
          <rPr>
            <sz val="9"/>
            <color indexed="81"/>
            <rFont val="Tahoma"/>
            <family val="2"/>
          </rPr>
          <t>One of 5 resplendent blue reflection nebula, part of the Angel Nebula</t>
        </r>
      </text>
    </comment>
    <comment ref="A3043" authorId="0" shapeId="0" xr:uid="{83667220-7E10-442C-895B-93FF85707D76}">
      <text>
        <r>
          <rPr>
            <sz val="9"/>
            <color indexed="81"/>
            <rFont val="Tahoma"/>
            <family val="2"/>
          </rPr>
          <t xml:space="preserve">
</t>
        </r>
      </text>
    </comment>
    <comment ref="K3043" authorId="0" shapeId="0" xr:uid="{3543F315-4C08-4118-B90B-DEC7DEEF480F}">
      <text>
        <r>
          <rPr>
            <sz val="9"/>
            <color indexed="81"/>
            <rFont val="Tahoma"/>
            <family val="2"/>
          </rPr>
          <t>Wonderfully complex and colorful reflection and emission nebula</t>
        </r>
      </text>
    </comment>
    <comment ref="A3044" authorId="0" shapeId="0" xr:uid="{72D60B49-CCBA-4631-9E22-099AEE733E78}">
      <text>
        <r>
          <rPr>
            <sz val="9"/>
            <color indexed="81"/>
            <rFont val="Tahoma"/>
            <family val="2"/>
          </rPr>
          <t xml:space="preserve">
</t>
        </r>
      </text>
    </comment>
    <comment ref="K3044" authorId="0" shapeId="0" xr:uid="{FC740C90-A4BC-443F-BEA6-44B23563A399}">
      <text>
        <r>
          <rPr>
            <sz val="9"/>
            <color indexed="81"/>
            <rFont val="Tahoma"/>
            <family val="2"/>
          </rPr>
          <t>Reflection nebula at the westernmost end of the Angel Nebula (NGC 2170)</t>
        </r>
      </text>
    </comment>
    <comment ref="A3045" authorId="0" shapeId="0" xr:uid="{914080F6-550A-4378-95CF-50D5BD21CF15}">
      <text>
        <r>
          <rPr>
            <sz val="9"/>
            <color indexed="81"/>
            <rFont val="Tahoma"/>
            <family val="2"/>
          </rPr>
          <t xml:space="preserve">
</t>
        </r>
      </text>
    </comment>
    <comment ref="K3045" authorId="0" shapeId="0" xr:uid="{448A5C07-E68D-4CB1-BCF4-91685ED07DDF}">
      <text>
        <r>
          <rPr>
            <sz val="9"/>
            <color indexed="81"/>
            <rFont val="Tahoma"/>
            <family val="2"/>
          </rPr>
          <t xml:space="preserve">Bright blue reflection nebula near IC 444, one of the largest vdB nebulae in actual diameter </t>
        </r>
      </text>
    </comment>
    <comment ref="A3046" authorId="0" shapeId="0" xr:uid="{F4E8B533-4014-41B6-8145-85903A376222}">
      <text>
        <r>
          <rPr>
            <sz val="9"/>
            <color indexed="81"/>
            <rFont val="Tahoma"/>
            <family val="2"/>
          </rPr>
          <t xml:space="preserve">
</t>
        </r>
      </text>
    </comment>
    <comment ref="K3046" authorId="0" shapeId="0" xr:uid="{2A4BF935-5725-4CD5-BF0E-BB1DB23F54F6}">
      <text>
        <r>
          <rPr>
            <sz val="9"/>
            <color indexed="81"/>
            <rFont val="Tahoma"/>
            <family val="2"/>
          </rPr>
          <t>Small, nicely textured blue reflection nebula, part of IC447</t>
        </r>
      </text>
    </comment>
    <comment ref="A3047" authorId="0" shapeId="0" xr:uid="{74ADBE58-C7EE-40A3-8597-AC74C6F13D8C}">
      <text>
        <r>
          <rPr>
            <sz val="9"/>
            <color indexed="81"/>
            <rFont val="Tahoma"/>
            <family val="2"/>
          </rPr>
          <t xml:space="preserve">
</t>
        </r>
      </text>
    </comment>
    <comment ref="K3047" authorId="0" shapeId="0" xr:uid="{996C3D53-79BD-4DCB-9FA8-759E893BECFB}">
      <text>
        <r>
          <rPr>
            <sz val="9"/>
            <color indexed="81"/>
            <rFont val="Tahoma"/>
            <family val="2"/>
          </rPr>
          <t>Blue reflection nebula, part of IC447</t>
        </r>
      </text>
    </comment>
    <comment ref="A3048" authorId="0" shapeId="0" xr:uid="{1B978BB5-D416-447D-9BB5-52BC7081B6BC}">
      <text>
        <r>
          <rPr>
            <sz val="9"/>
            <color indexed="81"/>
            <rFont val="Tahoma"/>
            <family val="2"/>
          </rPr>
          <t xml:space="preserve">
</t>
        </r>
      </text>
    </comment>
    <comment ref="K3048" authorId="0" shapeId="0" xr:uid="{A244FECF-9EC3-4FB3-980C-2ABACAF4D3E2}">
      <text>
        <r>
          <rPr>
            <sz val="9"/>
            <color indexed="81"/>
            <rFont val="Tahoma"/>
            <family val="2"/>
          </rPr>
          <t>Part of 3 vdB nebula complex that comprises IC447</t>
        </r>
      </text>
    </comment>
    <comment ref="A3049" authorId="0" shapeId="0" xr:uid="{32157D90-2B3D-499E-8A11-B7C94E2A0C23}">
      <text>
        <r>
          <rPr>
            <sz val="9"/>
            <color indexed="81"/>
            <rFont val="Tahoma"/>
            <family val="2"/>
          </rPr>
          <t xml:space="preserve">
</t>
        </r>
      </text>
    </comment>
    <comment ref="K3049" authorId="0" shapeId="0" xr:uid="{A6004717-62C4-47C3-AB3E-AE48837A1EF8}">
      <text>
        <r>
          <rPr>
            <sz val="9"/>
            <color indexed="81"/>
            <rFont val="Tahoma"/>
            <family val="2"/>
          </rPr>
          <t>Small blue reflection nebula, near IC447</t>
        </r>
      </text>
    </comment>
    <comment ref="A3050" authorId="0" shapeId="0" xr:uid="{FADA22BA-DDA5-4A63-B9FB-3D1BB046E2C2}">
      <text>
        <r>
          <rPr>
            <sz val="9"/>
            <color indexed="81"/>
            <rFont val="Tahoma"/>
            <family val="2"/>
          </rPr>
          <t xml:space="preserve">
</t>
        </r>
      </text>
    </comment>
    <comment ref="K3050" authorId="0" shapeId="0" xr:uid="{D6D7963C-B331-4653-BE6E-F088BCCE444E}">
      <text>
        <r>
          <rPr>
            <sz val="9"/>
            <color indexed="81"/>
            <rFont val="Tahoma"/>
            <family val="2"/>
          </rPr>
          <t>Faint but interesting reflection and emission nebula in Monoceros</t>
        </r>
      </text>
    </comment>
    <comment ref="A3051" authorId="0" shapeId="0" xr:uid="{EA68C563-072F-4E2C-9CB4-F24754109F3E}">
      <text>
        <r>
          <rPr>
            <sz val="9"/>
            <color indexed="81"/>
            <rFont val="Tahoma"/>
            <family val="2"/>
          </rPr>
          <t xml:space="preserve">
</t>
        </r>
      </text>
    </comment>
    <comment ref="K3051" authorId="0" shapeId="0" xr:uid="{C8462DE4-A0DC-4D27-9F99-8790C41CF0D8}">
      <text>
        <r>
          <rPr>
            <sz val="9"/>
            <color indexed="81"/>
            <rFont val="Tahoma"/>
            <family val="2"/>
          </rPr>
          <t>Faint large blue reflection and emission nebula</t>
        </r>
      </text>
    </comment>
    <comment ref="A3052" authorId="0" shapeId="0" xr:uid="{B99735C5-CF0F-416E-BB34-246043125838}">
      <text>
        <r>
          <rPr>
            <sz val="9"/>
            <color indexed="81"/>
            <rFont val="Tahoma"/>
            <family val="2"/>
          </rPr>
          <t xml:space="preserve">
</t>
        </r>
      </text>
    </comment>
    <comment ref="K3052" authorId="0" shapeId="0" xr:uid="{51237E12-D551-4A60-A2FD-3631D24690BF}">
      <text>
        <r>
          <rPr>
            <sz val="9"/>
            <color indexed="81"/>
            <rFont val="Tahoma"/>
            <family val="2"/>
          </rPr>
          <t>White reflection nebula surrounding 3 stars</t>
        </r>
      </text>
    </comment>
    <comment ref="A3053" authorId="0" shapeId="0" xr:uid="{32724CA6-118B-4599-8D6E-F41FE542133A}">
      <text>
        <r>
          <rPr>
            <sz val="9"/>
            <color indexed="81"/>
            <rFont val="Tahoma"/>
            <family val="2"/>
          </rPr>
          <t xml:space="preserve">
</t>
        </r>
      </text>
    </comment>
    <comment ref="K3053" authorId="0" shapeId="0" xr:uid="{F9E8ED9A-42B0-4DB0-9137-AA66F0D68742}">
      <text>
        <r>
          <rPr>
            <sz val="9"/>
            <color indexed="81"/>
            <rFont val="Tahoma"/>
            <family val="2"/>
          </rPr>
          <t>With vdB 83, one of 2 reflection nebula in Canis Major molecular cloud.  Fainter and larger than vdB 83</t>
        </r>
      </text>
    </comment>
    <comment ref="A3054" authorId="0" shapeId="0" xr:uid="{9DBFF766-71DD-49A6-A244-6915578C1FF5}">
      <text>
        <r>
          <rPr>
            <sz val="9"/>
            <color indexed="81"/>
            <rFont val="Tahoma"/>
            <family val="2"/>
          </rPr>
          <t xml:space="preserve">
</t>
        </r>
      </text>
    </comment>
    <comment ref="K3054" authorId="0" shapeId="0" xr:uid="{55AF74B0-BBEF-4229-9ED7-8332BE195C2C}">
      <text>
        <r>
          <rPr>
            <sz val="9"/>
            <color indexed="81"/>
            <rFont val="Tahoma"/>
            <family val="2"/>
          </rPr>
          <t>Asymmetric blue reflection nebula</t>
        </r>
      </text>
    </comment>
    <comment ref="A3055" authorId="0" shapeId="0" xr:uid="{DC2E9DC7-4604-4E85-B60B-4838992A6887}">
      <text>
        <r>
          <rPr>
            <sz val="9"/>
            <color indexed="81"/>
            <rFont val="Tahoma"/>
            <family val="2"/>
          </rPr>
          <t xml:space="preserve">
</t>
        </r>
      </text>
    </comment>
    <comment ref="K3055" authorId="0" shapeId="0" xr:uid="{A0A03D7E-6CE8-4A5D-A4F4-7F476AA4BA93}">
      <text>
        <r>
          <rPr>
            <sz val="9"/>
            <color indexed="81"/>
            <rFont val="Tahoma"/>
            <family val="2"/>
          </rPr>
          <t>Circular reflection and emission nebula, 2 degrees NW of the Seagull Nebula</t>
        </r>
      </text>
    </comment>
    <comment ref="A3056" authorId="0" shapeId="0" xr:uid="{F13437D3-3135-4E47-BD96-43156CBB396C}">
      <text>
        <r>
          <rPr>
            <sz val="9"/>
            <color indexed="81"/>
            <rFont val="Tahoma"/>
            <family val="2"/>
          </rPr>
          <t xml:space="preserve">
</t>
        </r>
      </text>
    </comment>
    <comment ref="K3056" authorId="0" shapeId="0" xr:uid="{4BFC5A67-E73C-493C-8C10-997C0DFA1646}">
      <text>
        <r>
          <rPr>
            <sz val="9"/>
            <color indexed="81"/>
            <rFont val="Tahoma"/>
            <family val="2"/>
          </rPr>
          <t>Very faint reflection nebula</t>
        </r>
      </text>
    </comment>
    <comment ref="A3057" authorId="0" shapeId="0" xr:uid="{328434DD-F3F6-453D-9B25-AB6F2350D80F}">
      <text>
        <r>
          <rPr>
            <sz val="9"/>
            <color indexed="81"/>
            <rFont val="Tahoma"/>
            <family val="2"/>
          </rPr>
          <t xml:space="preserve">
</t>
        </r>
      </text>
    </comment>
    <comment ref="K3057" authorId="0" shapeId="0" xr:uid="{90741842-3EA6-4642-8BA8-51FF462B36C8}">
      <text>
        <r>
          <rPr>
            <sz val="9"/>
            <color indexed="81"/>
            <rFont val="Tahoma"/>
            <family val="2"/>
          </rPr>
          <t>Faint blue reflection nebula</t>
        </r>
      </text>
    </comment>
    <comment ref="A3058" authorId="0" shapeId="0" xr:uid="{92278205-2B9D-4596-87B5-6DAFAB07EEF8}">
      <text>
        <r>
          <rPr>
            <sz val="9"/>
            <color indexed="81"/>
            <rFont val="Tahoma"/>
            <family val="2"/>
          </rPr>
          <t xml:space="preserve">
</t>
        </r>
      </text>
    </comment>
    <comment ref="K3058" authorId="0" shapeId="0" xr:uid="{B7618CA7-8C7B-4A5B-8558-13FAA214B6DD}">
      <text>
        <r>
          <rPr>
            <sz val="9"/>
            <color indexed="81"/>
            <rFont val="Tahoma"/>
            <family val="2"/>
          </rPr>
          <t>Small reflection nebula in the right wing of the Seagull nebula</t>
        </r>
      </text>
    </comment>
    <comment ref="A3059" authorId="0" shapeId="0" xr:uid="{DD699C93-F643-4A9C-8297-DBADF1BCF446}">
      <text>
        <r>
          <rPr>
            <sz val="9"/>
            <color indexed="81"/>
            <rFont val="Tahoma"/>
            <family val="2"/>
          </rPr>
          <t xml:space="preserve">
</t>
        </r>
      </text>
    </comment>
    <comment ref="K3059" authorId="0" shapeId="0" xr:uid="{7B08C09B-43BD-415B-8F1C-900F7A01570E}">
      <text>
        <r>
          <rPr>
            <sz val="9"/>
            <color indexed="81"/>
            <rFont val="Tahoma"/>
            <family val="2"/>
          </rPr>
          <t>Bright reflection and emission nebula, part of Seagull complex</t>
        </r>
      </text>
    </comment>
    <comment ref="A3060" authorId="0" shapeId="0" xr:uid="{D39F3C1D-8FC2-4F7E-8E1A-0EEDAD644C4A}">
      <text>
        <r>
          <rPr>
            <sz val="9"/>
            <color indexed="81"/>
            <rFont val="Tahoma"/>
            <family val="2"/>
          </rPr>
          <t xml:space="preserve">
</t>
        </r>
      </text>
    </comment>
    <comment ref="K3060" authorId="0" shapeId="0" xr:uid="{1BCC6B7F-0570-4B91-905A-CC9C15225237}">
      <text>
        <r>
          <rPr>
            <sz val="9"/>
            <color indexed="81"/>
            <rFont val="Tahoma"/>
            <family val="2"/>
          </rPr>
          <t>Interesting reflection and dark nebulae complex</t>
        </r>
      </text>
    </comment>
    <comment ref="A3061" authorId="0" shapeId="0" xr:uid="{B1042B6D-96AD-4062-A1F1-F96BA8617C2F}">
      <text>
        <r>
          <rPr>
            <sz val="9"/>
            <color indexed="81"/>
            <rFont val="Tahoma"/>
            <family val="2"/>
          </rPr>
          <t xml:space="preserve">
</t>
        </r>
      </text>
    </comment>
    <comment ref="K3061" authorId="0" shapeId="0" xr:uid="{1A4E2EF0-C80B-455E-BF98-58EEDDCD453E}">
      <text>
        <r>
          <rPr>
            <sz val="9"/>
            <color indexed="81"/>
            <rFont val="Tahoma"/>
            <family val="2"/>
          </rPr>
          <t>Faint blue reflection nebula with good detail</t>
        </r>
      </text>
    </comment>
    <comment ref="A3062" authorId="0" shapeId="0" xr:uid="{87537A2F-3251-458C-ADCF-7C4A79B055D9}">
      <text>
        <r>
          <rPr>
            <sz val="9"/>
            <color indexed="81"/>
            <rFont val="Tahoma"/>
            <family val="2"/>
          </rPr>
          <t xml:space="preserve">
</t>
        </r>
      </text>
    </comment>
    <comment ref="K3062" authorId="0" shapeId="0" xr:uid="{E9CD0290-7EAC-45B8-823F-CB3EE4B225E5}">
      <text>
        <r>
          <rPr>
            <sz val="9"/>
            <color indexed="81"/>
            <rFont val="Tahoma"/>
            <family val="2"/>
          </rPr>
          <t>Large reflection and emission nebulae around the bright blue 2.9 mag star Pi Scorpii, located 600 light years away.</t>
        </r>
      </text>
    </comment>
    <comment ref="A3063" authorId="0" shapeId="0" xr:uid="{64B07E41-7A8E-4241-A084-AA9F146BC479}">
      <text>
        <r>
          <rPr>
            <sz val="9"/>
            <color indexed="81"/>
            <rFont val="Tahoma"/>
            <family val="2"/>
          </rPr>
          <t xml:space="preserve">
</t>
        </r>
      </text>
    </comment>
    <comment ref="K3063" authorId="0" shapeId="0" xr:uid="{205DF8E9-44A3-4543-AC96-FD8C0C465E30}">
      <text>
        <r>
          <rPr>
            <sz val="9"/>
            <color indexed="81"/>
            <rFont val="Tahoma"/>
            <family val="2"/>
          </rPr>
          <t>Striking blue reflection nebula within larger reflection cloud</t>
        </r>
      </text>
    </comment>
    <comment ref="A3064" authorId="0" shapeId="0" xr:uid="{18E87381-6327-4613-993C-5163AC695B72}">
      <text>
        <r>
          <rPr>
            <sz val="9"/>
            <color indexed="81"/>
            <rFont val="Tahoma"/>
            <family val="2"/>
          </rPr>
          <t xml:space="preserve">
</t>
        </r>
      </text>
    </comment>
    <comment ref="K3064" authorId="0" shapeId="0" xr:uid="{AA5E6C0A-C9EB-4635-9953-37E6A8A41D68}">
      <text>
        <r>
          <rPr>
            <sz val="9"/>
            <color indexed="81"/>
            <rFont val="Tahoma"/>
            <family val="2"/>
          </rPr>
          <t>Pleasing yellow reflection nebula that contrasts nicely with surrounding blue nebula</t>
        </r>
      </text>
    </comment>
    <comment ref="A3065" authorId="0" shapeId="0" xr:uid="{ABAAC667-9D65-4497-B928-9500C124B2CE}">
      <text>
        <r>
          <rPr>
            <sz val="9"/>
            <color indexed="81"/>
            <rFont val="Tahoma"/>
            <family val="2"/>
          </rPr>
          <t xml:space="preserve">
</t>
        </r>
      </text>
    </comment>
    <comment ref="K3065" authorId="0" shapeId="0" xr:uid="{3E4D101B-8E1C-49CF-A4E1-91851F717004}">
      <text>
        <r>
          <rPr>
            <sz val="9"/>
            <color indexed="81"/>
            <rFont val="Tahoma"/>
            <family val="2"/>
          </rPr>
          <t>Blue reflection nebula in lovely setting, adjacent to vdB 103</t>
        </r>
      </text>
    </comment>
    <comment ref="A3066" authorId="0" shapeId="0" xr:uid="{97C72BB5-3158-4F36-BE13-4C91CBF98DCE}">
      <text>
        <r>
          <rPr>
            <sz val="9"/>
            <color indexed="81"/>
            <rFont val="Tahoma"/>
            <family val="2"/>
          </rPr>
          <t xml:space="preserve">
</t>
        </r>
      </text>
    </comment>
    <comment ref="K3066" authorId="0" shapeId="0" xr:uid="{F21B8596-60A5-48B6-B809-E860C1E32720}">
      <text>
        <r>
          <rPr>
            <sz val="9"/>
            <color indexed="81"/>
            <rFont val="Tahoma"/>
            <family val="2"/>
          </rPr>
          <t>Textured blue reflection nebula surrounding double star</t>
        </r>
      </text>
    </comment>
    <comment ref="A3067" authorId="0" shapeId="0" xr:uid="{01F0BE11-27EF-4A39-A010-C844EA15A213}">
      <text>
        <r>
          <rPr>
            <sz val="9"/>
            <color indexed="81"/>
            <rFont val="Tahoma"/>
            <family val="2"/>
          </rPr>
          <t xml:space="preserve">
</t>
        </r>
      </text>
    </comment>
    <comment ref="K3067" authorId="0" shapeId="0" xr:uid="{633F70A2-A186-4CEA-A7FD-64927D509FB6}">
      <text>
        <r>
          <rPr>
            <sz val="9"/>
            <color indexed="81"/>
            <rFont val="Tahoma"/>
            <family val="2"/>
          </rPr>
          <t>Blue reflection nebula around Sigma Scorpii, ionizing Sh2-9 to the west</t>
        </r>
      </text>
    </comment>
    <comment ref="A3068" authorId="0" shapeId="0" xr:uid="{1C2B46BA-FDE4-4E1E-8749-12ADA8E132CC}">
      <text>
        <r>
          <rPr>
            <sz val="9"/>
            <color indexed="81"/>
            <rFont val="Tahoma"/>
            <family val="2"/>
          </rPr>
          <t xml:space="preserve">
</t>
        </r>
      </text>
    </comment>
    <comment ref="K3068" authorId="0" shapeId="0" xr:uid="{B6916C01-4D36-4183-AC69-7C82E8C59014}">
      <text>
        <r>
          <rPr>
            <sz val="9"/>
            <color indexed="81"/>
            <rFont val="Tahoma"/>
            <family val="2"/>
          </rPr>
          <t>Magnificent multihued reflection nebula with numerous dust lanes</t>
        </r>
      </text>
    </comment>
    <comment ref="A3069" authorId="0" shapeId="0" xr:uid="{6AC86FC2-0AB2-4C3E-845C-E56116D73F94}">
      <text>
        <r>
          <rPr>
            <sz val="9"/>
            <color indexed="81"/>
            <rFont val="Tahoma"/>
            <family val="2"/>
          </rPr>
          <t xml:space="preserve">
</t>
        </r>
      </text>
    </comment>
    <comment ref="K3069" authorId="0" shapeId="0" xr:uid="{5CE01DD9-972D-4E31-946A-56FF46FB70A1}">
      <text>
        <r>
          <rPr>
            <sz val="9"/>
            <color indexed="81"/>
            <rFont val="Tahoma"/>
            <family val="2"/>
          </rPr>
          <t>Wonderful blue tones in this Rho Ophiuchi region reflection nebula surrounding 3 stars</t>
        </r>
      </text>
    </comment>
    <comment ref="A3070" authorId="0" shapeId="0" xr:uid="{98E3FC0C-4C6B-40E0-912E-BE92245EEA0D}">
      <text>
        <r>
          <rPr>
            <sz val="9"/>
            <color indexed="81"/>
            <rFont val="Tahoma"/>
            <family val="2"/>
          </rPr>
          <t xml:space="preserve">
</t>
        </r>
      </text>
    </comment>
    <comment ref="K3070" authorId="0" shapeId="0" xr:uid="{7E01B9E7-BB3F-4E52-A99E-F4E535E63001}">
      <text>
        <r>
          <rPr>
            <sz val="9"/>
            <color indexed="81"/>
            <rFont val="Tahoma"/>
            <family val="2"/>
          </rPr>
          <t>Huge orange reflection nebula surrounding Antares</t>
        </r>
      </text>
    </comment>
    <comment ref="A3071" authorId="0" shapeId="0" xr:uid="{BAD0EF89-2D9D-4139-A2EF-C18E538ACCB9}">
      <text>
        <r>
          <rPr>
            <sz val="9"/>
            <color indexed="81"/>
            <rFont val="Tahoma"/>
            <family val="2"/>
          </rPr>
          <t xml:space="preserve">
</t>
        </r>
      </text>
    </comment>
    <comment ref="K3071" authorId="0" shapeId="0" xr:uid="{CE96987D-DDBD-4411-89D2-99B7D941D2AF}">
      <text>
        <r>
          <rPr>
            <sz val="9"/>
            <color indexed="81"/>
            <rFont val="Tahoma"/>
            <family val="2"/>
          </rPr>
          <t>Blue reflection nebula embedded in orange Antares glow</t>
        </r>
      </text>
    </comment>
    <comment ref="A3072" authorId="0" shapeId="0" xr:uid="{157F26CA-3159-4DBF-98D5-BD93B3A6E5E6}">
      <text>
        <r>
          <rPr>
            <sz val="9"/>
            <color indexed="81"/>
            <rFont val="Tahoma"/>
            <family val="2"/>
          </rPr>
          <t xml:space="preserve">
</t>
        </r>
      </text>
    </comment>
    <comment ref="K3072" authorId="0" shapeId="0" xr:uid="{6EB28FCE-722E-441A-9BD0-9D3E72CE1F20}">
      <text>
        <r>
          <rPr>
            <sz val="9"/>
            <color indexed="81"/>
            <rFont val="Tahoma"/>
            <family val="2"/>
          </rPr>
          <t>Faint yellow reflection nebula where star is illuminating significant background nebulosity</t>
        </r>
      </text>
    </comment>
    <comment ref="A3073" authorId="0" shapeId="0" xr:uid="{CD55E95A-5CAF-41F6-B650-5275CB4003EC}">
      <text>
        <r>
          <rPr>
            <sz val="9"/>
            <color indexed="81"/>
            <rFont val="Tahoma"/>
            <family val="2"/>
          </rPr>
          <t xml:space="preserve">
</t>
        </r>
      </text>
    </comment>
    <comment ref="K3073" authorId="0" shapeId="0" xr:uid="{835D0122-7BBE-4B9E-B44C-640A89DA7916}">
      <text>
        <r>
          <rPr>
            <sz val="9"/>
            <color indexed="81"/>
            <rFont val="Tahoma"/>
            <family val="2"/>
          </rPr>
          <t>Small faint blue nebulosity just south of Barnard 62 dark nebula</t>
        </r>
      </text>
    </comment>
    <comment ref="A3074" authorId="0" shapeId="0" xr:uid="{7B5CD318-CA62-453E-BDAD-A069B4A3BE90}">
      <text>
        <r>
          <rPr>
            <sz val="9"/>
            <color indexed="81"/>
            <rFont val="Tahoma"/>
            <family val="2"/>
          </rPr>
          <t xml:space="preserve">
</t>
        </r>
      </text>
    </comment>
    <comment ref="K3074" authorId="0" shapeId="0" xr:uid="{420E2B5A-15CC-4EEE-A75E-9BF4EEA1C900}">
      <text>
        <r>
          <rPr>
            <sz val="9"/>
            <color indexed="81"/>
            <rFont val="Tahoma"/>
            <family val="2"/>
          </rPr>
          <t>Faint blue reflection nebula extending primarily north to south</t>
        </r>
      </text>
    </comment>
    <comment ref="A3075" authorId="0" shapeId="0" xr:uid="{0F9C0DB7-E9B4-444D-8B17-BDE35723BD80}">
      <text>
        <r>
          <rPr>
            <sz val="9"/>
            <color indexed="81"/>
            <rFont val="Tahoma"/>
            <family val="2"/>
          </rPr>
          <t xml:space="preserve">
</t>
        </r>
      </text>
    </comment>
    <comment ref="K3075" authorId="0" shapeId="0" xr:uid="{274E9465-DAE7-4BF0-A566-399FF9B02257}">
      <text>
        <r>
          <rPr>
            <sz val="9"/>
            <color indexed="81"/>
            <rFont val="Tahoma"/>
            <family val="2"/>
          </rPr>
          <t>Faint orange reflection nebula northwest of orange source star</t>
        </r>
      </text>
    </comment>
    <comment ref="A3076" authorId="0" shapeId="0" xr:uid="{5E9CAE28-9591-4348-B143-CCE1F7D1ABE0}">
      <text>
        <r>
          <rPr>
            <sz val="9"/>
            <color indexed="81"/>
            <rFont val="Tahoma"/>
            <family val="2"/>
          </rPr>
          <t xml:space="preserve">
</t>
        </r>
      </text>
    </comment>
    <comment ref="K3076" authorId="0" shapeId="0" xr:uid="{82A794C6-5508-4417-9AA0-B00DDEB385E5}">
      <text>
        <r>
          <rPr>
            <sz val="9"/>
            <color indexed="81"/>
            <rFont val="Tahoma"/>
            <family val="2"/>
          </rPr>
          <t>Faint blue-white reflection nebula in emission region, just northwest of Sh2-34 nebula</t>
        </r>
      </text>
    </comment>
    <comment ref="A3077" authorId="0" shapeId="0" xr:uid="{72979990-C958-41F8-BA0E-D3FF98114761}">
      <text>
        <r>
          <rPr>
            <sz val="9"/>
            <color indexed="81"/>
            <rFont val="Tahoma"/>
            <family val="2"/>
          </rPr>
          <t xml:space="preserve">
</t>
        </r>
      </text>
    </comment>
    <comment ref="K3077" authorId="0" shapeId="0" xr:uid="{7BB5F696-45C3-4F9A-936D-F5513D39CD2D}">
      <text>
        <r>
          <rPr>
            <sz val="9"/>
            <color indexed="81"/>
            <rFont val="Tahoma"/>
            <family val="2"/>
          </rPr>
          <t>Very faint blue reflection nebula</t>
        </r>
      </text>
    </comment>
    <comment ref="A3078" authorId="0" shapeId="0" xr:uid="{1F3DE79C-ECFF-4AC2-8266-8C4F608193B6}">
      <text>
        <r>
          <rPr>
            <sz val="9"/>
            <color indexed="81"/>
            <rFont val="Tahoma"/>
            <family val="2"/>
          </rPr>
          <t xml:space="preserve">
</t>
        </r>
      </text>
    </comment>
    <comment ref="K3078" authorId="0" shapeId="0" xr:uid="{1AE7BB99-DEDD-4D56-A27F-EF3E1A6ACF42}">
      <text>
        <r>
          <rPr>
            <sz val="9"/>
            <color indexed="81"/>
            <rFont val="Tahoma"/>
            <family val="2"/>
          </rPr>
          <t>Small bright blue reflection nebula 12' NW of bright emission region IC1274</t>
        </r>
      </text>
    </comment>
    <comment ref="A3079" authorId="0" shapeId="0" xr:uid="{94EE6E4A-6AB1-434A-BC3C-884526D54D07}">
      <text>
        <r>
          <rPr>
            <sz val="9"/>
            <color indexed="81"/>
            <rFont val="Tahoma"/>
            <family val="2"/>
          </rPr>
          <t xml:space="preserve">
</t>
        </r>
      </text>
    </comment>
    <comment ref="K3079" authorId="0" shapeId="0" xr:uid="{2916C503-F635-4C92-AFCB-6751B47C9A32}">
      <text>
        <r>
          <rPr>
            <sz val="9"/>
            <color indexed="81"/>
            <rFont val="Tahoma"/>
            <family val="2"/>
          </rPr>
          <t>Very small and faint</t>
        </r>
      </text>
    </comment>
    <comment ref="A3080" authorId="0" shapeId="0" xr:uid="{1F1D5C44-A10F-4BE8-B792-EAA5BD5E4609}">
      <text>
        <r>
          <rPr>
            <sz val="9"/>
            <color indexed="81"/>
            <rFont val="Tahoma"/>
            <family val="2"/>
          </rPr>
          <t xml:space="preserve">
</t>
        </r>
      </text>
    </comment>
    <comment ref="K3080" authorId="0" shapeId="0" xr:uid="{6A87230F-2A83-43ED-BBDA-408AFAF58532}">
      <text>
        <r>
          <rPr>
            <sz val="9"/>
            <color indexed="81"/>
            <rFont val="Tahoma"/>
            <family val="2"/>
          </rPr>
          <t>Small blue reflection nebula</t>
        </r>
      </text>
    </comment>
    <comment ref="A3081" authorId="0" shapeId="0" xr:uid="{E76AC299-6420-4881-B226-34E34141D036}">
      <text>
        <r>
          <rPr>
            <sz val="9"/>
            <color indexed="81"/>
            <rFont val="Tahoma"/>
            <family val="2"/>
          </rPr>
          <t xml:space="preserve">
</t>
        </r>
      </text>
    </comment>
    <comment ref="K3081" authorId="0" shapeId="0" xr:uid="{C44891D2-3562-40C5-BCCA-AABEE3F62A1A}">
      <text>
        <r>
          <rPr>
            <sz val="9"/>
            <color indexed="81"/>
            <rFont val="Tahoma"/>
            <family val="2"/>
          </rPr>
          <t>Reflection &amp; emission nebula in close proximity to vdB 119 &amp; Sh2-37</t>
        </r>
      </text>
    </comment>
    <comment ref="A3082" authorId="0" shapeId="0" xr:uid="{6AAB9ACA-A236-483A-BE34-128299460BF3}">
      <text>
        <r>
          <rPr>
            <sz val="9"/>
            <color indexed="81"/>
            <rFont val="Tahoma"/>
            <family val="2"/>
          </rPr>
          <t xml:space="preserve">
</t>
        </r>
      </text>
    </comment>
    <comment ref="K3082" authorId="0" shapeId="0" xr:uid="{B799CE2B-2651-4450-BAE9-C7C6CF91EB9A}">
      <text>
        <r>
          <rPr>
            <sz val="9"/>
            <color indexed="81"/>
            <rFont val="Tahoma"/>
            <family val="2"/>
          </rPr>
          <t>Reflection &amp; emission nebula with 2 bright stars and an interesting central dark dust spot</t>
        </r>
      </text>
    </comment>
    <comment ref="A3083" authorId="0" shapeId="0" xr:uid="{4ACAB530-E5F1-4243-B81B-F415B687122E}">
      <text>
        <r>
          <rPr>
            <sz val="9"/>
            <color indexed="81"/>
            <rFont val="Tahoma"/>
            <family val="2"/>
          </rPr>
          <t xml:space="preserve">
</t>
        </r>
      </text>
    </comment>
    <comment ref="K3083" authorId="0" shapeId="0" xr:uid="{8BB71D90-4079-44E5-8BC7-D5B71C220305}">
      <text>
        <r>
          <rPr>
            <sz val="9"/>
            <color indexed="81"/>
            <rFont val="Tahoma"/>
            <family val="2"/>
          </rPr>
          <t>Small orange reflection nebula with interesting texture, just southeast of Sh2-44 (IC 4701)</t>
        </r>
      </text>
    </comment>
    <comment ref="A3084" authorId="0" shapeId="0" xr:uid="{7FB75A36-D053-4177-A525-2EEE7D6453AA}">
      <text>
        <r>
          <rPr>
            <sz val="9"/>
            <color indexed="81"/>
            <rFont val="Tahoma"/>
            <family val="2"/>
          </rPr>
          <t xml:space="preserve">
</t>
        </r>
      </text>
    </comment>
    <comment ref="K3084" authorId="0" shapeId="0" xr:uid="{E026E008-9AAE-4F4E-AAC5-366476BCA078}">
      <text>
        <r>
          <rPr>
            <sz val="9"/>
            <color indexed="81"/>
            <rFont val="Tahoma"/>
            <family val="2"/>
          </rPr>
          <t>Small and very faint blue reflection nebula just northeast of M18</t>
        </r>
      </text>
    </comment>
    <comment ref="A3085" authorId="0" shapeId="0" xr:uid="{8B587377-951A-402B-B8B0-D0152454678E}">
      <text>
        <r>
          <rPr>
            <sz val="9"/>
            <color indexed="81"/>
            <rFont val="Tahoma"/>
            <family val="2"/>
          </rPr>
          <t xml:space="preserve">
</t>
        </r>
      </text>
    </comment>
    <comment ref="K3085" authorId="0" shapeId="0" xr:uid="{EEC47F48-47A5-4616-831C-791F17A152F3}">
      <text>
        <r>
          <rPr>
            <sz val="9"/>
            <color indexed="81"/>
            <rFont val="Tahoma"/>
            <family val="2"/>
          </rPr>
          <t>Dim orange reflection nebula in Scutum, located on west side of source star</t>
        </r>
      </text>
    </comment>
    <comment ref="A3086" authorId="0" shapeId="0" xr:uid="{B7C246D2-7D35-4A38-B337-06758AB3C627}">
      <text>
        <r>
          <rPr>
            <sz val="9"/>
            <color indexed="81"/>
            <rFont val="Tahoma"/>
            <family val="2"/>
          </rPr>
          <t xml:space="preserve">
</t>
        </r>
      </text>
    </comment>
    <comment ref="K3086" authorId="0" shapeId="0" xr:uid="{D4083BB6-37E0-4EF3-9CA4-2B1E3A6391E4}">
      <text>
        <r>
          <rPr>
            <sz val="9"/>
            <color indexed="81"/>
            <rFont val="Tahoma"/>
            <family val="2"/>
          </rPr>
          <t>Intricate blue reflection nebula just east of Serpens dark cloud and lovely orange reflection nebula</t>
        </r>
      </text>
    </comment>
    <comment ref="A3087" authorId="0" shapeId="0" xr:uid="{C4A5FFD6-94FA-4D16-9327-199A62625E6F}">
      <text>
        <r>
          <rPr>
            <sz val="9"/>
            <color indexed="81"/>
            <rFont val="Tahoma"/>
            <family val="2"/>
          </rPr>
          <t xml:space="preserve">
</t>
        </r>
      </text>
    </comment>
    <comment ref="K3087" authorId="0" shapeId="0" xr:uid="{B16374A3-12CB-4CF2-824D-6963E380F476}">
      <text>
        <r>
          <rPr>
            <sz val="9"/>
            <color indexed="81"/>
            <rFont val="Tahoma"/>
            <family val="2"/>
          </rPr>
          <t>Mottled, with different shades of blue, illuminated by the magnitude 5.5 star HD 170740</t>
        </r>
      </text>
    </comment>
    <comment ref="A3088" authorId="0" shapeId="0" xr:uid="{BAA11FBB-6846-4537-B295-0B6F27A15FAD}">
      <text>
        <r>
          <rPr>
            <sz val="9"/>
            <color indexed="81"/>
            <rFont val="Tahoma"/>
            <family val="2"/>
          </rPr>
          <t xml:space="preserve">
</t>
        </r>
      </text>
    </comment>
    <comment ref="K3088" authorId="0" shapeId="0" xr:uid="{1EA05E75-7F01-46C1-B8E8-B14FDBF04D75}">
      <text>
        <r>
          <rPr>
            <sz val="9"/>
            <color indexed="81"/>
            <rFont val="Tahoma"/>
            <family val="2"/>
          </rPr>
          <t>Faint blue reflection nebula</t>
        </r>
      </text>
    </comment>
    <comment ref="A3089" authorId="0" shapeId="0" xr:uid="{FB75499A-825E-4986-912A-C5D40011F149}">
      <text>
        <r>
          <rPr>
            <sz val="9"/>
            <color indexed="81"/>
            <rFont val="Tahoma"/>
            <family val="2"/>
          </rPr>
          <t xml:space="preserve">
</t>
        </r>
      </text>
    </comment>
    <comment ref="K3089" authorId="0" shapeId="0" xr:uid="{F8A429AD-8E4E-447E-AA8F-A033A10334FA}">
      <text>
        <r>
          <rPr>
            <sz val="9"/>
            <color indexed="81"/>
            <rFont val="Tahoma"/>
            <family val="2"/>
          </rPr>
          <t>Intense blue reflection nebula in extraordinary dark nebulae field of the Loch Ness Nebula</t>
        </r>
      </text>
    </comment>
    <comment ref="A3090" authorId="0" shapeId="0" xr:uid="{36B96F80-1ECB-454B-9D86-DCBECE4139A7}">
      <text>
        <r>
          <rPr>
            <sz val="9"/>
            <color indexed="81"/>
            <rFont val="Tahoma"/>
            <family val="2"/>
          </rPr>
          <t xml:space="preserve">
</t>
        </r>
      </text>
    </comment>
    <comment ref="K3090" authorId="0" shapeId="0" xr:uid="{2BB45B03-3C11-4963-A33B-80B6538F45A6}">
      <text>
        <r>
          <rPr>
            <sz val="9"/>
            <color indexed="81"/>
            <rFont val="Tahoma"/>
            <family val="2"/>
          </rPr>
          <t>Bright orange star with faint emission/reflection nebula 50' to east, objects not related</t>
        </r>
      </text>
    </comment>
    <comment ref="A3091" authorId="0" shapeId="0" xr:uid="{2A2C313F-B945-417C-8A02-A9039032E1D2}">
      <text>
        <r>
          <rPr>
            <sz val="9"/>
            <color indexed="81"/>
            <rFont val="Tahoma"/>
            <family val="2"/>
          </rPr>
          <t xml:space="preserve">
</t>
        </r>
      </text>
    </comment>
    <comment ref="K3091" authorId="0" shapeId="0" xr:uid="{2947F6F0-F9EF-4B5A-B272-2C2E4A2FA8CD}">
      <text>
        <r>
          <rPr>
            <sz val="9"/>
            <color indexed="81"/>
            <rFont val="Tahoma"/>
            <family val="2"/>
          </rPr>
          <t>Faint but interesting whitish-blue reflection nebula with arc on south side</t>
        </r>
      </text>
    </comment>
    <comment ref="A3092" authorId="0" shapeId="0" xr:uid="{59961FAB-ECF1-4693-9A52-4434E1D25A6C}">
      <text>
        <r>
          <rPr>
            <sz val="9"/>
            <color indexed="81"/>
            <rFont val="Tahoma"/>
            <family val="2"/>
          </rPr>
          <t xml:space="preserve">
</t>
        </r>
      </text>
    </comment>
    <comment ref="K3092" authorId="0" shapeId="0" xr:uid="{58ED7A57-B296-45E0-AF85-803F6A167330}">
      <text>
        <r>
          <rPr>
            <sz val="9"/>
            <color indexed="81"/>
            <rFont val="Tahoma"/>
            <family val="2"/>
          </rPr>
          <t>Molecular clouds 30' east of blue star, likely IFN illuminated not by star but by Milky Way</t>
        </r>
      </text>
    </comment>
    <comment ref="A3093" authorId="0" shapeId="0" xr:uid="{B247091B-3574-4A1B-8635-33D376D6E3B6}">
      <text>
        <r>
          <rPr>
            <sz val="9"/>
            <color indexed="81"/>
            <rFont val="Tahoma"/>
            <family val="2"/>
          </rPr>
          <t xml:space="preserve">
</t>
        </r>
      </text>
    </comment>
    <comment ref="K3093" authorId="0" shapeId="0" xr:uid="{1FA7777E-ADE6-4AA8-889F-AE1ACEFAF61D}">
      <text>
        <r>
          <rPr>
            <sz val="9"/>
            <color indexed="81"/>
            <rFont val="Tahoma"/>
            <family val="2"/>
          </rPr>
          <t>Small faint orange reflection nebula in an emission field between the Crescent and Gamma Sygni Nebulae</t>
        </r>
      </text>
    </comment>
    <comment ref="A3094" authorId="0" shapeId="0" xr:uid="{F4FA5AC8-9836-400B-A024-3213FD44B5AD}">
      <text>
        <r>
          <rPr>
            <sz val="9"/>
            <color indexed="81"/>
            <rFont val="Tahoma"/>
            <family val="2"/>
          </rPr>
          <t xml:space="preserve">
</t>
        </r>
      </text>
    </comment>
    <comment ref="K3094" authorId="0" shapeId="0" xr:uid="{1A931C67-89E2-4D8E-88FF-D2EEAB114459}">
      <text>
        <r>
          <rPr>
            <sz val="9"/>
            <color indexed="81"/>
            <rFont val="Tahoma"/>
            <family val="2"/>
          </rPr>
          <t>Appealing blue reflection nebula in a dark nebula and adjacent to a sea of HII nebulosity</t>
        </r>
      </text>
    </comment>
    <comment ref="A3095" authorId="0" shapeId="0" xr:uid="{33DA071B-7BFC-4939-ADAF-904B758A5D21}">
      <text>
        <r>
          <rPr>
            <sz val="9"/>
            <color indexed="81"/>
            <rFont val="Tahoma"/>
            <family val="2"/>
          </rPr>
          <t xml:space="preserve">
</t>
        </r>
      </text>
    </comment>
    <comment ref="K3095" authorId="0" shapeId="0" xr:uid="{767A21E2-D899-4F51-B432-B8B2DE3AD351}">
      <text>
        <r>
          <rPr>
            <sz val="9"/>
            <color indexed="81"/>
            <rFont val="Tahoma"/>
            <family val="2"/>
          </rPr>
          <t>Like vdB 131, this reflection nebula lies adjacent to dark and emission nebulae for a lovely composition</t>
        </r>
      </text>
    </comment>
    <comment ref="A3096" authorId="0" shapeId="0" xr:uid="{F553CC25-0471-4E06-9298-41F147BF8589}">
      <text>
        <r>
          <rPr>
            <sz val="9"/>
            <color indexed="81"/>
            <rFont val="Tahoma"/>
            <family val="2"/>
          </rPr>
          <t xml:space="preserve">
</t>
        </r>
      </text>
    </comment>
    <comment ref="K3096" authorId="0" shapeId="0" xr:uid="{C40132E9-74E6-46DF-9867-99D1DBCBD9B4}">
      <text>
        <r>
          <rPr>
            <sz val="9"/>
            <color indexed="81"/>
            <rFont val="Tahoma"/>
            <family val="2"/>
          </rPr>
          <t>Nicely textured white reflection nebula</t>
        </r>
      </text>
    </comment>
    <comment ref="A3097" authorId="0" shapeId="0" xr:uid="{C04A50C2-12F2-488F-BF1A-265CA56B750D}">
      <text>
        <r>
          <rPr>
            <sz val="9"/>
            <color indexed="81"/>
            <rFont val="Tahoma"/>
            <family val="2"/>
          </rPr>
          <t xml:space="preserve">
</t>
        </r>
      </text>
    </comment>
    <comment ref="K3097" authorId="0" shapeId="0" xr:uid="{CB0E40A7-CD25-4ED0-B2EF-16BBFC373274}">
      <text>
        <r>
          <rPr>
            <sz val="9"/>
            <color indexed="81"/>
            <rFont val="Tahoma"/>
            <family val="2"/>
          </rPr>
          <t>Faint blue nebulosity is seen but the main attraction is the emission nebula and the soap bubble-like PN 40' to the east</t>
        </r>
      </text>
    </comment>
    <comment ref="A3098" authorId="0" shapeId="0" xr:uid="{679C6900-9B09-49C3-BC27-7CE6EF0B4ED2}">
      <text>
        <r>
          <rPr>
            <sz val="9"/>
            <color indexed="81"/>
            <rFont val="Tahoma"/>
            <family val="2"/>
          </rPr>
          <t xml:space="preserve">
</t>
        </r>
      </text>
    </comment>
    <comment ref="K3098" authorId="0" shapeId="0" xr:uid="{392679FD-6B01-4E96-96E8-1CD0C5FC72AC}">
      <text>
        <r>
          <rPr>
            <sz val="9"/>
            <color indexed="81"/>
            <rFont val="Tahoma"/>
            <family val="2"/>
          </rPr>
          <t>Faint orange reflection nebula with streak to north</t>
        </r>
      </text>
    </comment>
    <comment ref="A3099" authorId="0" shapeId="0" xr:uid="{0A3D717A-BCAB-46E2-AE55-23A005D0C7A2}">
      <text>
        <r>
          <rPr>
            <sz val="9"/>
            <color indexed="81"/>
            <rFont val="Tahoma"/>
            <family val="2"/>
          </rPr>
          <t xml:space="preserve">
</t>
        </r>
      </text>
    </comment>
    <comment ref="K3099" authorId="0" shapeId="0" xr:uid="{18178B27-FC8C-422F-A963-F37B610B76C6}">
      <text>
        <r>
          <rPr>
            <sz val="9"/>
            <color indexed="81"/>
            <rFont val="Tahoma"/>
            <family val="2"/>
          </rPr>
          <t>Striking orange reflection nebula adjacent to a sea of nebulosity</t>
        </r>
      </text>
    </comment>
    <comment ref="A3100" authorId="0" shapeId="0" xr:uid="{343C0C78-36B0-4CED-B5CC-0B0A60AFC681}">
      <text>
        <r>
          <rPr>
            <sz val="9"/>
            <color indexed="81"/>
            <rFont val="Tahoma"/>
            <family val="2"/>
          </rPr>
          <t xml:space="preserve">
</t>
        </r>
      </text>
    </comment>
    <comment ref="K3100" authorId="0" shapeId="0" xr:uid="{16801CD7-2FA5-4E2A-84B0-5E9F53D29792}">
      <text>
        <r>
          <rPr>
            <sz val="9"/>
            <color indexed="81"/>
            <rFont val="Tahoma"/>
            <family val="2"/>
          </rPr>
          <t>Bright blue nebula adjacent to drak nebula and part of star cluster</t>
        </r>
      </text>
    </comment>
    <comment ref="A3101" authorId="0" shapeId="0" xr:uid="{6997F989-1CDD-43E3-8E60-043F2A2A87C2}">
      <text>
        <r>
          <rPr>
            <sz val="9"/>
            <color indexed="81"/>
            <rFont val="Tahoma"/>
            <family val="2"/>
          </rPr>
          <t xml:space="preserve">
</t>
        </r>
      </text>
    </comment>
    <comment ref="K3101" authorId="0" shapeId="0" xr:uid="{8C0700CD-1D37-4665-AE48-A4D765C853AF}">
      <text>
        <r>
          <rPr>
            <sz val="9"/>
            <color indexed="81"/>
            <rFont val="Tahoma"/>
            <family val="2"/>
          </rPr>
          <t>Faint blue reflection nebula with tail towards the southwest</t>
        </r>
      </text>
    </comment>
    <comment ref="A3102" authorId="0" shapeId="0" xr:uid="{7F804BBC-3E5E-4ED1-961D-A467DD6BC3C0}">
      <text>
        <r>
          <rPr>
            <sz val="9"/>
            <color indexed="81"/>
            <rFont val="Tahoma"/>
            <family val="2"/>
          </rPr>
          <t xml:space="preserve">
</t>
        </r>
      </text>
    </comment>
    <comment ref="K3102" authorId="0" shapeId="0" xr:uid="{43DE2EC0-440F-4A20-AC95-BDFA5B9148FF}">
      <text>
        <r>
          <rPr>
            <sz val="9"/>
            <color indexed="81"/>
            <rFont val="Tahoma"/>
            <family val="2"/>
          </rPr>
          <t>Attractive faint blue-purple reflection nebula</t>
        </r>
      </text>
    </comment>
    <comment ref="A3103" authorId="0" shapeId="0" xr:uid="{A20F05CC-4235-4561-B716-FE64FD152F30}">
      <text>
        <r>
          <rPr>
            <sz val="9"/>
            <color indexed="81"/>
            <rFont val="Tahoma"/>
            <family val="2"/>
          </rPr>
          <t xml:space="preserve">
</t>
        </r>
      </text>
    </comment>
    <comment ref="K3103" authorId="0" shapeId="0" xr:uid="{98768D9A-847D-4E9F-A05E-72586A537E30}">
      <text>
        <r>
          <rPr>
            <sz val="9"/>
            <color indexed="81"/>
            <rFont val="Tahoma"/>
            <family val="2"/>
          </rPr>
          <t>Stunning white ghostly reflection nebula</t>
        </r>
      </text>
    </comment>
    <comment ref="A3104" authorId="0" shapeId="0" xr:uid="{C4D7B3DF-2105-40C6-99E7-938525159E0A}">
      <text>
        <r>
          <rPr>
            <sz val="9"/>
            <color indexed="81"/>
            <rFont val="Tahoma"/>
            <family val="2"/>
          </rPr>
          <t xml:space="preserve">
</t>
        </r>
      </text>
    </comment>
    <comment ref="K3104" authorId="0" shapeId="0" xr:uid="{EDEC0F94-7BFE-412C-8F5F-ACAA47F1D745}">
      <text>
        <r>
          <rPr>
            <sz val="9"/>
            <color indexed="81"/>
            <rFont val="Tahoma"/>
            <family val="2"/>
          </rPr>
          <t>Small blue reflection nebula in the head of the Elephant Trunk</t>
        </r>
      </text>
    </comment>
    <comment ref="A3105" authorId="0" shapeId="0" xr:uid="{8529E0A6-6FDB-4425-8B3E-576FB12A6E1E}">
      <text>
        <r>
          <rPr>
            <sz val="9"/>
            <color indexed="81"/>
            <rFont val="Tahoma"/>
            <family val="2"/>
          </rPr>
          <t xml:space="preserve">
</t>
        </r>
      </text>
    </comment>
    <comment ref="K3105" authorId="0" shapeId="0" xr:uid="{14D5CEF9-EDF8-45F2-8B00-7483938A63BC}">
      <text>
        <r>
          <rPr>
            <sz val="9"/>
            <color indexed="81"/>
            <rFont val="Tahoma"/>
            <family val="2"/>
          </rPr>
          <t>Wonderfully textured blue reflection nebula</t>
        </r>
      </text>
    </comment>
    <comment ref="A3106" authorId="0" shapeId="0" xr:uid="{19ADF5C1-E548-4700-AD9A-13B3E7CCBECE}">
      <text>
        <r>
          <rPr>
            <sz val="9"/>
            <color indexed="81"/>
            <rFont val="Tahoma"/>
            <family val="2"/>
          </rPr>
          <t xml:space="preserve">
</t>
        </r>
      </text>
    </comment>
    <comment ref="K3106" authorId="0" shapeId="0" xr:uid="{EA453424-4152-48C2-8A88-FFC4B723741D}">
      <text>
        <r>
          <rPr>
            <sz val="9"/>
            <color indexed="81"/>
            <rFont val="Tahoma"/>
            <family val="2"/>
          </rPr>
          <t>Faint orange reflection nebula with slight tail to southeast</t>
        </r>
      </text>
    </comment>
    <comment ref="A3107" authorId="0" shapeId="0" xr:uid="{C86BE0AD-DC2F-40A2-B6AF-5249D3AFE0D1}">
      <text>
        <r>
          <rPr>
            <sz val="9"/>
            <color indexed="81"/>
            <rFont val="Tahoma"/>
            <family val="2"/>
          </rPr>
          <t xml:space="preserve">
</t>
        </r>
      </text>
    </comment>
    <comment ref="K3107" authorId="0" shapeId="0" xr:uid="{74119680-FEE9-4F8A-8196-15E24F672865}">
      <text>
        <r>
          <rPr>
            <sz val="9"/>
            <color indexed="81"/>
            <rFont val="Tahoma"/>
            <family val="2"/>
          </rPr>
          <t>Small faint white nebula</t>
        </r>
      </text>
    </comment>
    <comment ref="A3108" authorId="0" shapeId="0" xr:uid="{5C5FC761-9D32-4796-95F8-C3C2B89EB89C}">
      <text>
        <r>
          <rPr>
            <sz val="9"/>
            <color indexed="81"/>
            <rFont val="Tahoma"/>
            <family val="2"/>
          </rPr>
          <t xml:space="preserve">
</t>
        </r>
      </text>
    </comment>
    <comment ref="K3108" authorId="0" shapeId="0" xr:uid="{1D4E6353-B0B2-4684-ACBB-EC644D20617C}">
      <text>
        <r>
          <rPr>
            <sz val="9"/>
            <color indexed="81"/>
            <rFont val="Tahoma"/>
            <family val="2"/>
          </rPr>
          <t>Blue reflection nebula in a sea of blue and orange colorful stars and nebulae</t>
        </r>
      </text>
    </comment>
    <comment ref="A3109" authorId="0" shapeId="0" xr:uid="{4ABBD0E3-0A75-413E-8DE9-36BE40DA6ACB}">
      <text>
        <r>
          <rPr>
            <sz val="9"/>
            <color indexed="81"/>
            <rFont val="Tahoma"/>
            <family val="2"/>
          </rPr>
          <t xml:space="preserve">
</t>
        </r>
      </text>
    </comment>
    <comment ref="K3109" authorId="0" shapeId="0" xr:uid="{94ADB1A5-D370-41B5-8956-693F56936FCA}">
      <text>
        <r>
          <rPr>
            <sz val="9"/>
            <color indexed="81"/>
            <rFont val="Tahoma"/>
            <family val="2"/>
          </rPr>
          <t>Small faint blue reflection nebula 10' west of Cocoon Nebula (IC5146)</t>
        </r>
      </text>
    </comment>
    <comment ref="A3110" authorId="0" shapeId="0" xr:uid="{113F44C9-72C1-45A3-A2FD-5AE9F82291F4}">
      <text>
        <r>
          <rPr>
            <sz val="9"/>
            <color indexed="81"/>
            <rFont val="Tahoma"/>
            <family val="2"/>
          </rPr>
          <t xml:space="preserve">
</t>
        </r>
      </text>
    </comment>
    <comment ref="K3110" authorId="0" shapeId="0" xr:uid="{781CC641-3C6B-4854-8D9D-FA386A1C663C}">
      <text>
        <r>
          <rPr>
            <sz val="9"/>
            <color indexed="81"/>
            <rFont val="Tahoma"/>
            <family val="2"/>
          </rPr>
          <t>Faint white reflection nebula</t>
        </r>
      </text>
    </comment>
    <comment ref="A3111" authorId="0" shapeId="0" xr:uid="{3C8B49EA-DB95-48A0-99E0-4E89E7B91475}">
      <text>
        <r>
          <rPr>
            <sz val="9"/>
            <color indexed="81"/>
            <rFont val="Tahoma"/>
            <family val="2"/>
          </rPr>
          <t xml:space="preserve">
</t>
        </r>
      </text>
    </comment>
    <comment ref="K3111" authorId="0" shapeId="0" xr:uid="{20E3D790-B166-46E4-97D3-5AD6259C7191}">
      <text>
        <r>
          <rPr>
            <sz val="9"/>
            <color indexed="81"/>
            <rFont val="Tahoma"/>
            <family val="2"/>
          </rPr>
          <t>Pretty blue reflection nebula on the chest of the Shark Nebula, with vdB 150</t>
        </r>
      </text>
    </comment>
    <comment ref="A3112" authorId="0" shapeId="0" xr:uid="{F07BE950-D4A7-4C59-9F0E-ECC56599B3A4}">
      <text>
        <r>
          <rPr>
            <sz val="9"/>
            <color indexed="81"/>
            <rFont val="Tahoma"/>
            <family val="2"/>
          </rPr>
          <t xml:space="preserve">
</t>
        </r>
      </text>
    </comment>
    <comment ref="K3112" authorId="0" shapeId="0" xr:uid="{74684DFE-8901-46BC-A1BF-604630139D31}">
      <text>
        <r>
          <rPr>
            <sz val="9"/>
            <color indexed="81"/>
            <rFont val="Tahoma"/>
            <family val="2"/>
          </rPr>
          <t>Gorgeous complex blue reflection nebula that is on the top of the head of the Shark Nebula</t>
        </r>
      </text>
    </comment>
    <comment ref="A3113" authorId="0" shapeId="0" xr:uid="{38971D3A-C8FF-460E-BA48-AEE267A43F81}">
      <text>
        <r>
          <rPr>
            <sz val="9"/>
            <color indexed="81"/>
            <rFont val="Tahoma"/>
            <family val="2"/>
          </rPr>
          <t xml:space="preserve">
</t>
        </r>
      </text>
    </comment>
    <comment ref="K3113" authorId="0" shapeId="0" xr:uid="{7C82EECE-5D84-4337-8EA8-826069D254C4}">
      <text>
        <r>
          <rPr>
            <sz val="9"/>
            <color indexed="81"/>
            <rFont val="Tahoma"/>
            <family val="2"/>
          </rPr>
          <t>Faint orange reflection nebula on northwest side of orange source star</t>
        </r>
      </text>
    </comment>
    <comment ref="A3114" authorId="0" shapeId="0" xr:uid="{11F5E5A4-E5F3-4559-B87C-4B51F5B4A10B}">
      <text>
        <r>
          <rPr>
            <sz val="9"/>
            <color indexed="81"/>
            <rFont val="Tahoma"/>
            <family val="2"/>
          </rPr>
          <t xml:space="preserve">
</t>
        </r>
      </text>
    </comment>
    <comment ref="K3114" authorId="0" shapeId="0" xr:uid="{5222C81E-1158-4BBF-B9FE-865A5507E223}">
      <text>
        <r>
          <rPr>
            <sz val="9"/>
            <color indexed="81"/>
            <rFont val="Tahoma"/>
            <family val="2"/>
          </rPr>
          <t>This lovely blue reflection nebula, from a blue star passing thru the cloud, is the eye of the 2 degree long Wolf's Cave Nebula</t>
        </r>
      </text>
    </comment>
    <comment ref="A3115" authorId="0" shapeId="0" xr:uid="{D5ADBD17-9C10-4041-B36A-33378E671FB5}">
      <text>
        <r>
          <rPr>
            <sz val="9"/>
            <color indexed="81"/>
            <rFont val="Tahoma"/>
            <family val="2"/>
          </rPr>
          <t xml:space="preserve">
</t>
        </r>
      </text>
    </comment>
    <comment ref="K3115" authorId="0" shapeId="0" xr:uid="{3D70BD68-5EFD-4325-B4CA-B4A7D2AFB8E0}">
      <text>
        <r>
          <rPr>
            <sz val="9"/>
            <color indexed="81"/>
            <rFont val="Tahoma"/>
            <family val="2"/>
          </rPr>
          <t>Faint blue reflection nebula with detailed structure</t>
        </r>
      </text>
    </comment>
    <comment ref="A3116" authorId="0" shapeId="0" xr:uid="{5B5ED773-DC21-442B-8AB5-E46FFDD97A1B}">
      <text>
        <r>
          <rPr>
            <sz val="9"/>
            <color indexed="81"/>
            <rFont val="Tahoma"/>
            <family val="2"/>
          </rPr>
          <t xml:space="preserve">
</t>
        </r>
      </text>
    </comment>
    <comment ref="K3116" authorId="0" shapeId="0" xr:uid="{50D748BD-2DA9-427E-A874-D8370B7A12E8}">
      <text>
        <r>
          <rPr>
            <sz val="9"/>
            <color indexed="81"/>
            <rFont val="Tahoma"/>
            <family val="2"/>
          </rPr>
          <t>Blue reflection nebula just north of odd tornado-like emission structure in a sea of HII nebulosity</t>
        </r>
      </text>
    </comment>
    <comment ref="A3117" authorId="0" shapeId="0" xr:uid="{FE31D078-79E7-4AA9-8FE4-C76F7389C60F}">
      <text>
        <r>
          <rPr>
            <sz val="9"/>
            <color indexed="81"/>
            <rFont val="Tahoma"/>
            <family val="2"/>
          </rPr>
          <t xml:space="preserve">
</t>
        </r>
      </text>
    </comment>
    <comment ref="K3117" authorId="0" shapeId="0" xr:uid="{64DD726C-AE5A-44CB-B50B-AB5DB4AF406A}">
      <text>
        <r>
          <rPr>
            <sz val="9"/>
            <color indexed="81"/>
            <rFont val="Tahoma"/>
            <family val="2"/>
          </rPr>
          <t>Awesome blue reflection nebula, somewhat point-symmteric, just 30' southwest of the Cave Nebula</t>
        </r>
      </text>
    </comment>
    <comment ref="A3118" authorId="0" shapeId="0" xr:uid="{E4236E27-CFF1-42AC-8514-B04662CE2622}">
      <text>
        <r>
          <rPr>
            <sz val="9"/>
            <color indexed="81"/>
            <rFont val="Tahoma"/>
            <family val="2"/>
          </rPr>
          <t xml:space="preserve">
</t>
        </r>
      </text>
    </comment>
    <comment ref="K3118" authorId="0" shapeId="0" xr:uid="{34DE008A-F7E5-47AE-9E3D-4B7578143E7D}">
      <text>
        <r>
          <rPr>
            <sz val="9"/>
            <color indexed="81"/>
            <rFont val="Tahoma"/>
            <family val="2"/>
          </rPr>
          <t>Molecular clouds 1.5 deg east &amp; west of bright blue star Omicron Andromedae, likely IFN illuminated not by star but by Milky Way</t>
        </r>
      </text>
    </comment>
    <comment ref="A3119" authorId="0" shapeId="0" xr:uid="{321A19CB-0454-4FD1-8C19-FD0F558B974C}">
      <text>
        <r>
          <rPr>
            <sz val="9"/>
            <color indexed="81"/>
            <rFont val="Tahoma"/>
            <family val="2"/>
          </rPr>
          <t xml:space="preserve">
</t>
        </r>
      </text>
    </comment>
    <comment ref="K3119" authorId="0" shapeId="0" xr:uid="{71C84F61-58D3-4B07-983E-0AFAB91E1383}">
      <text>
        <r>
          <rPr>
            <sz val="9"/>
            <color indexed="81"/>
            <rFont val="Tahoma"/>
            <family val="2"/>
          </rPr>
          <t>Faint molecular cloud to SE of the bright star 1 Andromeda, on the opposite side of the 3 156-a,b&amp;c molecular clouds</t>
        </r>
      </text>
    </comment>
    <comment ref="A3120" authorId="0" shapeId="0" xr:uid="{518FEB83-537A-44F4-9FA7-E25195BA51AC}">
      <text>
        <r>
          <rPr>
            <sz val="9"/>
            <color indexed="81"/>
            <rFont val="Tahoma"/>
            <family val="2"/>
          </rPr>
          <t xml:space="preserve">
</t>
        </r>
      </text>
    </comment>
    <comment ref="K3120" authorId="0" shapeId="0" xr:uid="{98AD78A9-55C1-4678-A25D-E5EE94E4244D}">
      <text>
        <r>
          <rPr>
            <sz val="9"/>
            <color indexed="81"/>
            <rFont val="Tahoma"/>
            <family val="2"/>
          </rPr>
          <t>A unique blue reflection nebula with fantastic zig zag streaks throughout the southern half</t>
        </r>
      </text>
    </comment>
    <comment ref="A3121" authorId="0" shapeId="0" xr:uid="{17C5EC25-7D4E-49F7-BE10-02FC1DFBCFD8}">
      <text>
        <r>
          <rPr>
            <sz val="9"/>
            <color indexed="81"/>
            <rFont val="Tahoma"/>
            <family val="2"/>
          </rPr>
          <t xml:space="preserve">
</t>
        </r>
      </text>
    </comment>
    <comment ref="K3121" authorId="0" shapeId="0" xr:uid="{09E1B2CB-DD68-43E5-B02A-6EF4A7717630}">
      <text>
        <r>
          <rPr>
            <sz val="9"/>
            <color indexed="81"/>
            <rFont val="Tahoma"/>
            <family val="2"/>
          </rPr>
          <t>Fantastic blue reflection nebula embedded in the 1.5 degree long LBN 534 molecular cloud</t>
        </r>
      </text>
    </comment>
    <comment ref="A3122" authorId="0" shapeId="0" xr:uid="{AB7AE40C-D5BC-4F65-B427-09CF3B76D440}">
      <text>
        <r>
          <rPr>
            <sz val="9"/>
            <color indexed="81"/>
            <rFont val="Tahoma"/>
            <family val="2"/>
          </rPr>
          <t xml:space="preserve">
</t>
        </r>
      </text>
    </comment>
    <comment ref="K3122" authorId="0" shapeId="0" xr:uid="{835BAC70-0C07-4352-986D-67A8E5281F13}">
      <text>
        <r>
          <rPr>
            <sz val="9"/>
            <color indexed="81"/>
            <rFont val="Tahoma"/>
            <family val="2"/>
          </rPr>
          <t>Faint blue reflection nebula located 30' southwest of Abell 85 (CTB1), object added 2 years later by Rene Racine</t>
        </r>
      </text>
    </comment>
    <comment ref="A3123" authorId="0" shapeId="0" xr:uid="{DF749AF1-2397-48CD-8728-2F897D24A7DA}">
      <text>
        <r>
          <rPr>
            <sz val="9"/>
            <color indexed="81"/>
            <rFont val="Tahoma"/>
            <family val="2"/>
          </rPr>
          <t xml:space="preserve">
</t>
        </r>
      </text>
    </comment>
    <comment ref="B3123" authorId="0" shapeId="0" xr:uid="{57BB538D-CC08-478A-A45A-0AE0862AE49D}">
      <text>
        <r>
          <rPr>
            <sz val="9"/>
            <color indexed="81"/>
            <rFont val="Tahoma"/>
            <family val="2"/>
          </rPr>
          <t>Object not in SIMBAD</t>
        </r>
      </text>
    </comment>
    <comment ref="K3123" authorId="0" shapeId="0" xr:uid="{CF5E4DC6-257B-46AD-8C6A-EB5E27F5572C}">
      <text>
        <r>
          <rPr>
            <sz val="9"/>
            <color indexed="81"/>
            <rFont val="Tahoma"/>
            <family val="2"/>
          </rPr>
          <t>The brightest main section of the Vela SNR</t>
        </r>
      </text>
    </comment>
    <comment ref="A3124" authorId="0" shapeId="0" xr:uid="{812B2D17-757E-42CD-8541-489369946719}">
      <text>
        <r>
          <rPr>
            <sz val="9"/>
            <color indexed="81"/>
            <rFont val="Tahoma"/>
            <family val="2"/>
          </rPr>
          <t xml:space="preserve">
</t>
        </r>
      </text>
    </comment>
    <comment ref="B3124" authorId="0" shapeId="0" xr:uid="{B51AEDC2-DF1D-49B4-9CAC-AA385A764BBC}">
      <text>
        <r>
          <rPr>
            <sz val="9"/>
            <color indexed="81"/>
            <rFont val="Tahoma"/>
            <family val="2"/>
          </rPr>
          <t>Object not in SIMBAD</t>
        </r>
      </text>
    </comment>
    <comment ref="K3124" authorId="0" shapeId="0" xr:uid="{E4C3E8DB-1DA2-4717-8641-2D9077A7C35C}">
      <text>
        <r>
          <rPr>
            <sz val="9"/>
            <color indexed="81"/>
            <rFont val="Tahoma"/>
            <family val="2"/>
          </rPr>
          <t>Intersecting SNR filaments of OIII and HII</t>
        </r>
      </text>
    </comment>
    <comment ref="A3125" authorId="0" shapeId="0" xr:uid="{A3E88E32-4929-44D2-A718-FFA2C1B57D29}">
      <text>
        <r>
          <rPr>
            <sz val="9"/>
            <color indexed="81"/>
            <rFont val="Tahoma"/>
            <family val="2"/>
          </rPr>
          <t xml:space="preserve">
</t>
        </r>
      </text>
    </comment>
    <comment ref="K3125" authorId="0" shapeId="0" xr:uid="{A366FE41-CBA3-4326-8716-4231C84E59B9}">
      <text>
        <r>
          <rPr>
            <sz val="9"/>
            <color indexed="81"/>
            <rFont val="Tahoma"/>
            <family val="2"/>
          </rPr>
          <t>Showcase object, large SNT with vivid shock fronts</t>
        </r>
      </text>
    </comment>
    <comment ref="A3126" authorId="0" shapeId="0" xr:uid="{97EE9A25-2BFF-4D5D-B921-3292EB23EF76}">
      <text>
        <r>
          <rPr>
            <sz val="9"/>
            <color indexed="81"/>
            <rFont val="Tahoma"/>
            <family val="2"/>
          </rPr>
          <t xml:space="preserve">
</t>
        </r>
      </text>
    </comment>
    <comment ref="B3126" authorId="0" shapeId="0" xr:uid="{5E09C986-A040-4B13-91D7-4EA75E4BDC13}">
      <text>
        <r>
          <rPr>
            <sz val="9"/>
            <color indexed="81"/>
            <rFont val="Tahoma"/>
            <family val="2"/>
          </rPr>
          <t>Object not in SIMBAD</t>
        </r>
      </text>
    </comment>
    <comment ref="K3126" authorId="0" shapeId="0" xr:uid="{7F370229-353C-437A-9985-951D6BAB15CF}">
      <text>
        <r>
          <rPr>
            <sz val="9"/>
            <color indexed="81"/>
            <rFont val="Tahoma"/>
            <family val="2"/>
          </rPr>
          <t>Spiraling helical length of twisting OIII filaments.</t>
        </r>
      </text>
    </comment>
    <comment ref="A3127" authorId="0" shapeId="0" xr:uid="{E1488472-7E58-4172-BA4D-85A102387D45}">
      <text>
        <r>
          <rPr>
            <sz val="9"/>
            <color indexed="81"/>
            <rFont val="Tahoma"/>
            <family val="2"/>
          </rPr>
          <t xml:space="preserve">
</t>
        </r>
      </text>
    </comment>
    <comment ref="B3127" authorId="0" shapeId="0" xr:uid="{1B001915-75E5-49A7-AFB8-9A757D4395C3}">
      <text>
        <r>
          <rPr>
            <sz val="9"/>
            <color indexed="81"/>
            <rFont val="Tahoma"/>
            <family val="2"/>
          </rPr>
          <t>Object not in SIMBAD</t>
        </r>
      </text>
    </comment>
    <comment ref="K3127" authorId="0" shapeId="0" xr:uid="{4C384464-42BF-423D-8218-5BCB533B0A9E}">
      <text>
        <r>
          <rPr>
            <sz val="9"/>
            <color indexed="81"/>
            <rFont val="Tahoma"/>
            <family val="2"/>
          </rPr>
          <t>One of the dimmer SNR sections, this includes 2 arcs of OIII nebulosity</t>
        </r>
      </text>
    </comment>
    <comment ref="A3128" authorId="0" shapeId="0" xr:uid="{2BDB0F10-814D-4AD9-AD3F-9CD37BA59A6A}">
      <text>
        <r>
          <rPr>
            <sz val="9"/>
            <color indexed="81"/>
            <rFont val="Tahoma"/>
            <family val="2"/>
          </rPr>
          <t xml:space="preserve">
</t>
        </r>
      </text>
    </comment>
    <comment ref="K3128" authorId="0" shapeId="0" xr:uid="{8B09DB19-8051-4C9C-8567-B847D92B18E1}">
      <text>
        <r>
          <rPr>
            <sz val="9"/>
            <color indexed="81"/>
            <rFont val="Tahoma"/>
            <family val="2"/>
          </rPr>
          <t>Beautiful collisional ring galaxy with culprit nearby. Ring has nice blue star formation</t>
        </r>
      </text>
    </comment>
    <comment ref="A3129" authorId="0" shapeId="0" xr:uid="{D4E51643-B7CC-4F7E-B5FC-4F1B8B7F88D3}">
      <text>
        <r>
          <rPr>
            <sz val="9"/>
            <color indexed="81"/>
            <rFont val="Tahoma"/>
            <family val="2"/>
          </rPr>
          <t xml:space="preserve">
</t>
        </r>
      </text>
    </comment>
    <comment ref="K3129" authorId="0" shapeId="0" xr:uid="{D9B6B1A0-2AE1-4CCF-A63E-13FDBA7ED03A}">
      <text>
        <r>
          <rPr>
            <sz val="9"/>
            <color indexed="81"/>
            <rFont val="Tahoma"/>
            <family val="2"/>
          </rPr>
          <t>Merging galaxy pair with 2 close cores and opposing long tail star streams</t>
        </r>
      </text>
    </comment>
    <comment ref="A3130" authorId="0" shapeId="0" xr:uid="{B5A356FF-EF6D-499B-B0C2-CA90609D5C70}">
      <text>
        <r>
          <rPr>
            <sz val="9"/>
            <color indexed="81"/>
            <rFont val="Tahoma"/>
            <family val="2"/>
          </rPr>
          <t xml:space="preserve">
</t>
        </r>
      </text>
    </comment>
    <comment ref="K3130" authorId="0" shapeId="0" xr:uid="{9A1A428E-FDC0-4681-BD40-9B815D6C6D96}">
      <text>
        <r>
          <rPr>
            <sz val="9"/>
            <color indexed="81"/>
            <rFont val="Tahoma"/>
            <family val="2"/>
          </rPr>
          <t>Tiny hexagon shaped HII PN</t>
        </r>
      </text>
    </comment>
    <comment ref="A3131" authorId="0" shapeId="0" xr:uid="{ADFA7F8E-323C-40C8-9814-960BF7539FE3}">
      <text>
        <r>
          <rPr>
            <sz val="9"/>
            <color indexed="81"/>
            <rFont val="Tahoma"/>
            <family val="2"/>
          </rPr>
          <t xml:space="preserve">
</t>
        </r>
      </text>
    </comment>
    <comment ref="K3131" authorId="0" shapeId="0" xr:uid="{AF18084A-D5BC-4DDE-BF5F-8AA515C0075B}">
      <text>
        <r>
          <rPr>
            <sz val="9"/>
            <color indexed="81"/>
            <rFont val="Tahoma"/>
            <family val="2"/>
          </rPr>
          <t>Bipolar HII PN with lobes blown out</t>
        </r>
      </text>
    </comment>
    <comment ref="A3132" authorId="0" shapeId="0" xr:uid="{0835A2DE-63EF-4D54-87F8-8B4628A0FA9D}">
      <text>
        <r>
          <rPr>
            <sz val="9"/>
            <color indexed="81"/>
            <rFont val="Tahoma"/>
            <family val="2"/>
          </rPr>
          <t xml:space="preserve">
</t>
        </r>
      </text>
    </comment>
    <comment ref="K3132" authorId="0" shapeId="0" xr:uid="{262BE92E-40C3-4E56-9866-1C23A0FB3C9A}">
      <text>
        <r>
          <rPr>
            <sz val="9"/>
            <color indexed="81"/>
            <rFont val="Tahoma"/>
            <family val="2"/>
          </rPr>
          <t>Elliptical HII PN with progenitor visible</t>
        </r>
      </text>
    </comment>
    <comment ref="A3133" authorId="0" shapeId="0" xr:uid="{010F5E80-5B0E-4141-BC9F-B3BA1D2111BC}">
      <text>
        <r>
          <rPr>
            <sz val="9"/>
            <color indexed="81"/>
            <rFont val="Tahoma"/>
            <family val="2"/>
          </rPr>
          <t xml:space="preserve">
</t>
        </r>
      </text>
    </comment>
    <comment ref="K3133" authorId="0" shapeId="0" xr:uid="{CBD07AE8-7267-4664-A1E8-7B55F598F310}">
      <text>
        <r>
          <rPr>
            <sz val="9"/>
            <color indexed="81"/>
            <rFont val="Tahoma"/>
            <family val="2"/>
          </rPr>
          <t>Small faint PN of unknown distance</t>
        </r>
      </text>
    </comment>
    <comment ref="A3134" authorId="0" shapeId="0" xr:uid="{A062C82D-9034-46B6-BD51-10288E952D91}">
      <text>
        <r>
          <rPr>
            <sz val="9"/>
            <color indexed="81"/>
            <rFont val="Tahoma"/>
            <family val="2"/>
          </rPr>
          <t xml:space="preserve">
</t>
        </r>
      </text>
    </comment>
    <comment ref="K3134" authorId="0" shapeId="0" xr:uid="{EB94F4D7-1C85-4E46-9847-248DD626EAFB}">
      <text>
        <r>
          <rPr>
            <sz val="9"/>
            <color indexed="81"/>
            <rFont val="Tahoma"/>
            <family val="2"/>
          </rPr>
          <t>Small HII PN ring of unknown distance</t>
        </r>
      </text>
    </comment>
    <comment ref="A3135" authorId="0" shapeId="0" xr:uid="{F8CDB04A-5963-4647-B144-E823668A42FB}">
      <text>
        <r>
          <rPr>
            <sz val="9"/>
            <color indexed="81"/>
            <rFont val="Tahoma"/>
            <family val="2"/>
          </rPr>
          <t xml:space="preserve">
</t>
        </r>
      </text>
    </comment>
    <comment ref="K3135" authorId="0" shapeId="0" xr:uid="{D1B918D7-A9EE-42DB-89F9-FE2B942EDDA0}">
      <text>
        <r>
          <rPr>
            <sz val="9"/>
            <color indexed="81"/>
            <rFont val="Tahoma"/>
            <family val="2"/>
          </rPr>
          <t>Soap bubble like appearance for this PN with unknown distance</t>
        </r>
      </text>
    </comment>
    <comment ref="A3136" authorId="0" shapeId="0" xr:uid="{F39F0405-0B6C-431F-8C4D-F56FDBF931A7}">
      <text>
        <r>
          <rPr>
            <sz val="9"/>
            <color indexed="81"/>
            <rFont val="Tahoma"/>
            <family val="2"/>
          </rPr>
          <t xml:space="preserve">
</t>
        </r>
      </text>
    </comment>
    <comment ref="K3136" authorId="0" shapeId="0" xr:uid="{9177C926-124C-40C6-83D1-C98F8C2E184C}">
      <text>
        <r>
          <rPr>
            <sz val="9"/>
            <color indexed="81"/>
            <rFont val="Tahoma"/>
            <family val="2"/>
          </rPr>
          <t>Elliptical HII PN of unknown distance</t>
        </r>
      </text>
    </comment>
    <comment ref="A3137" authorId="0" shapeId="0" xr:uid="{E043E9CC-7F9C-4603-8528-F1CB010E8F85}">
      <text>
        <r>
          <rPr>
            <sz val="9"/>
            <color indexed="81"/>
            <rFont val="Tahoma"/>
            <family val="2"/>
          </rPr>
          <t xml:space="preserve">
</t>
        </r>
      </text>
    </comment>
    <comment ref="K3137" authorId="0" shapeId="0" xr:uid="{865A2725-29C1-49A0-A4EC-AD9210795D3E}">
      <text>
        <r>
          <rPr>
            <sz val="9"/>
            <color indexed="81"/>
            <rFont val="Tahoma"/>
            <family val="2"/>
          </rPr>
          <t>Very faint HII complex PN of unknown distance</t>
        </r>
      </text>
    </comment>
    <comment ref="A3138" authorId="0" shapeId="0" xr:uid="{FE4DD98A-EC82-451E-B906-C4164E032536}">
      <text>
        <r>
          <rPr>
            <sz val="9"/>
            <color indexed="81"/>
            <rFont val="Tahoma"/>
            <family val="2"/>
          </rPr>
          <t xml:space="preserve">
</t>
        </r>
      </text>
    </comment>
    <comment ref="K3138" authorId="0" shapeId="0" xr:uid="{A3D998CC-ADC5-4690-B838-8CEA01FFC63A}">
      <text>
        <r>
          <rPr>
            <sz val="9"/>
            <color indexed="81"/>
            <rFont val="Tahoma"/>
            <family val="2"/>
          </rPr>
          <t>Very faint spherical PN of unknown distance</t>
        </r>
      </text>
    </comment>
    <comment ref="A3139" authorId="0" shapeId="0" xr:uid="{F94E28F1-DCEA-4D86-905A-5BB5AEBDF970}">
      <text>
        <r>
          <rPr>
            <sz val="9"/>
            <color indexed="81"/>
            <rFont val="Tahoma"/>
            <family val="2"/>
          </rPr>
          <t xml:space="preserve">
</t>
        </r>
      </text>
    </comment>
    <comment ref="K3139" authorId="0" shapeId="0" xr:uid="{2D8D00F7-D24E-4A80-8695-FF92FAF94F50}">
      <text>
        <r>
          <rPr>
            <sz val="9"/>
            <color indexed="81"/>
            <rFont val="Tahoma"/>
            <family val="2"/>
          </rPr>
          <t>Interesting elliptical HII ring PN</t>
        </r>
      </text>
    </comment>
    <comment ref="A3140" authorId="0" shapeId="0" xr:uid="{43A7445D-BE8D-4BD7-95AB-33BC56C087E6}">
      <text>
        <r>
          <rPr>
            <sz val="9"/>
            <color indexed="81"/>
            <rFont val="Tahoma"/>
            <family val="2"/>
          </rPr>
          <t xml:space="preserve">
</t>
        </r>
      </text>
    </comment>
    <comment ref="K3140" authorId="0" shapeId="0" xr:uid="{B9DA8345-C41D-484F-B5B3-43B4227870D9}">
      <text>
        <r>
          <rPr>
            <sz val="9"/>
            <color indexed="81"/>
            <rFont val="Tahoma"/>
            <family val="2"/>
          </rPr>
          <t>Very faint ancient PN</t>
        </r>
      </text>
    </comment>
    <comment ref="A3141" authorId="0" shapeId="0" xr:uid="{8C04B9A3-8365-4E09-BAA9-E888050B0E40}">
      <text>
        <r>
          <rPr>
            <sz val="9"/>
            <color indexed="81"/>
            <rFont val="Tahoma"/>
            <family val="2"/>
          </rPr>
          <t xml:space="preserve">
</t>
        </r>
      </text>
    </comment>
    <comment ref="K3141" authorId="0" shapeId="0" xr:uid="{1DB32C70-E956-46FA-B0DD-A361A01E629E}">
      <text>
        <r>
          <rPr>
            <sz val="9"/>
            <color indexed="81"/>
            <rFont val="Tahoma"/>
            <family val="2"/>
          </rPr>
          <t>Very faint HII elliptical PN</t>
        </r>
      </text>
    </comment>
    <comment ref="A3142" authorId="0" shapeId="0" xr:uid="{EE8FF007-7580-417A-AA9E-FB0CF5979182}">
      <text>
        <r>
          <rPr>
            <sz val="9"/>
            <color indexed="81"/>
            <rFont val="Tahoma"/>
            <family val="2"/>
          </rPr>
          <t xml:space="preserve">
</t>
        </r>
      </text>
    </comment>
    <comment ref="K3142" authorId="0" shapeId="0" xr:uid="{12FAC8FD-5343-4778-ACC8-00DEEA1AD8F5}">
      <text>
        <r>
          <rPr>
            <sz val="9"/>
            <color indexed="81"/>
            <rFont val="Tahoma"/>
            <family val="2"/>
          </rPr>
          <t>Faint elliptical OIII PN</t>
        </r>
      </text>
    </comment>
    <comment ref="A3143" authorId="0" shapeId="0" xr:uid="{7FF2C35D-6907-4DCF-B5CE-B3559BDB9387}">
      <text>
        <r>
          <rPr>
            <sz val="9"/>
            <color indexed="81"/>
            <rFont val="Tahoma"/>
            <family val="2"/>
          </rPr>
          <t xml:space="preserve">
</t>
        </r>
      </text>
    </comment>
    <comment ref="K3143" authorId="0" shapeId="0" xr:uid="{FD20B319-8506-445A-9D56-69C60359160C}">
      <text>
        <r>
          <rPr>
            <sz val="9"/>
            <color indexed="81"/>
            <rFont val="Tahoma"/>
            <family val="2"/>
          </rPr>
          <t>Wonderful multipolar PN in Aquila</t>
        </r>
      </text>
    </comment>
    <comment ref="A3144" authorId="0" shapeId="0" xr:uid="{C9204C36-A184-49E6-9024-17CBB2A02802}">
      <text>
        <r>
          <rPr>
            <sz val="9"/>
            <color indexed="81"/>
            <rFont val="Tahoma"/>
            <family val="2"/>
          </rPr>
          <t xml:space="preserve">
</t>
        </r>
      </text>
    </comment>
    <comment ref="K3144" authorId="0" shapeId="0" xr:uid="{BD35732E-5CBD-43D7-AAB4-507BEF086F7A}">
      <text>
        <r>
          <rPr>
            <sz val="9"/>
            <color indexed="81"/>
            <rFont val="Tahoma"/>
            <family val="2"/>
          </rPr>
          <t>Very faint circular PN in Sagitta</t>
        </r>
      </text>
    </comment>
    <comment ref="A3145" authorId="0" shapeId="0" xr:uid="{FA54F5D5-CE9C-4024-9890-E5269AC8753B}">
      <text>
        <r>
          <rPr>
            <sz val="9"/>
            <color indexed="81"/>
            <rFont val="Tahoma"/>
            <family val="2"/>
          </rPr>
          <t xml:space="preserve">
</t>
        </r>
      </text>
    </comment>
    <comment ref="K3145" authorId="0" shapeId="0" xr:uid="{9E73D54F-29B3-46EB-AFF9-F42A5D11D38E}">
      <text>
        <r>
          <rPr>
            <sz val="9"/>
            <color indexed="81"/>
            <rFont val="Tahoma"/>
            <family val="2"/>
          </rPr>
          <t>Extragalactic distant faint globular cluster</t>
        </r>
      </text>
    </comment>
    <comment ref="A3146" authorId="0" shapeId="0" xr:uid="{ADA8E42E-F612-4BA0-B6D2-A52982A85949}">
      <text>
        <r>
          <rPr>
            <sz val="9"/>
            <color indexed="81"/>
            <rFont val="Tahoma"/>
            <family val="2"/>
          </rPr>
          <t xml:space="preserve">
</t>
        </r>
      </text>
    </comment>
    <comment ref="K3146" authorId="0" shapeId="0" xr:uid="{1BF2259D-98C7-4AA7-BF32-A963AF803681}">
      <text>
        <r>
          <rPr>
            <sz val="9"/>
            <color indexed="81"/>
            <rFont val="Tahoma"/>
            <family val="2"/>
          </rPr>
          <t>Small dwarf irregular galaxy a bit further away than Andromeda</t>
        </r>
      </text>
    </comment>
    <comment ref="A3147" authorId="0" shapeId="0" xr:uid="{AF0C9E6D-1A77-48EE-873C-659B0E291F5C}">
      <text>
        <r>
          <rPr>
            <sz val="9"/>
            <color indexed="81"/>
            <rFont val="Tahoma"/>
            <family val="2"/>
          </rPr>
          <t xml:space="preserve">
</t>
        </r>
      </text>
    </comment>
    <comment ref="K3147" authorId="0" shapeId="0" xr:uid="{418F40E2-B3E7-458D-B891-7283F11BEF7C}">
      <text>
        <r>
          <rPr>
            <sz val="9"/>
            <color indexed="81"/>
            <rFont val="Tahoma"/>
            <family val="2"/>
          </rPr>
          <t>Faint intricate spherical HII bubble surrounding WR16</t>
        </r>
      </text>
    </comment>
    <comment ref="A3148" authorId="0" shapeId="0" xr:uid="{C707DB5C-FF00-465D-BB89-BE04D8D48038}">
      <text>
        <r>
          <rPr>
            <sz val="9"/>
            <color indexed="81"/>
            <rFont val="Tahoma"/>
            <family val="2"/>
          </rPr>
          <t xml:space="preserve">
</t>
        </r>
      </text>
    </comment>
    <comment ref="K3148" authorId="0" shapeId="0" xr:uid="{76275A2C-79F2-49DF-8AA8-B117A809D249}">
      <text>
        <r>
          <rPr>
            <sz val="9"/>
            <color indexed="81"/>
            <rFont val="Tahoma"/>
            <family val="2"/>
          </rPr>
          <t>Wolf-Rayet OIII nebula with HII emission background</t>
        </r>
      </text>
    </comment>
    <comment ref="A3149" authorId="0" shapeId="0" xr:uid="{B3F07C5E-267D-4C25-AE57-BDD48F6CE1EF}">
      <text>
        <r>
          <rPr>
            <sz val="9"/>
            <color indexed="81"/>
            <rFont val="Tahoma"/>
            <family val="2"/>
          </rPr>
          <t xml:space="preserve">
</t>
        </r>
      </text>
    </comment>
    <comment ref="K3149" authorId="0" shapeId="0" xr:uid="{8A83EAF9-18F5-4E79-BE53-F4F964128355}">
      <text>
        <r>
          <rPr>
            <sz val="9"/>
            <color indexed="81"/>
            <rFont val="Tahoma"/>
            <family val="2"/>
          </rPr>
          <t>YSO at the source of a striking blue-white reflection nebula</t>
        </r>
      </text>
    </comment>
    <comment ref="A3150" authorId="0" shapeId="0" xr:uid="{6A6A70A6-7CA6-4CAA-8606-290A348E81DD}">
      <text>
        <r>
          <rPr>
            <sz val="9"/>
            <color indexed="81"/>
            <rFont val="Tahoma"/>
            <family val="2"/>
          </rPr>
          <t xml:space="preserve">
</t>
        </r>
      </text>
    </comment>
    <comment ref="K3150" authorId="0" shapeId="0" xr:uid="{060CDA93-3850-40C8-92CA-8A4486FB2830}">
      <text>
        <r>
          <rPr>
            <sz val="9"/>
            <color indexed="81"/>
            <rFont val="Tahoma"/>
            <family val="2"/>
          </rPr>
          <t>Stunning elliptical HII PN</t>
        </r>
      </text>
    </comment>
    <comment ref="A3151" authorId="0" shapeId="0" xr:uid="{A840E4FC-E71D-43E5-A96E-48AA47BEFC6B}">
      <text>
        <r>
          <rPr>
            <sz val="9"/>
            <color indexed="81"/>
            <rFont val="Tahoma"/>
            <family val="2"/>
          </rPr>
          <t xml:space="preserve">
</t>
        </r>
      </text>
    </comment>
    <comment ref="K3151" authorId="0" shapeId="0" xr:uid="{16EA2BC0-C15B-4480-A3B6-F86173F036EA}">
      <text>
        <r>
          <rPr>
            <sz val="9"/>
            <color indexed="81"/>
            <rFont val="Tahoma"/>
            <family val="2"/>
          </rPr>
          <t>Pair of contrasting blue and yellow merging galaxies with disturbance and a connecting bridge</t>
        </r>
      </text>
    </comment>
    <comment ref="A3152" authorId="0" shapeId="0" xr:uid="{3B9AFC71-C95C-4DAF-8ABD-5912FB429EAF}">
      <text>
        <r>
          <rPr>
            <sz val="9"/>
            <color indexed="81"/>
            <rFont val="Tahoma"/>
            <family val="2"/>
          </rPr>
          <t xml:space="preserve">
</t>
        </r>
      </text>
    </comment>
    <comment ref="K3152" authorId="0" shapeId="0" xr:uid="{31ADCC28-D758-4062-BAA1-BAE46F2CA48B}">
      <text>
        <r>
          <rPr>
            <sz val="9"/>
            <color indexed="81"/>
            <rFont val="Tahoma"/>
            <family val="2"/>
          </rPr>
          <t>Small blue compact dwarf galaxy with a nearby companion that may or may not be interacting</t>
        </r>
      </text>
    </comment>
    <comment ref="A3153" authorId="0" shapeId="0" xr:uid="{5F44BA8B-44EE-4341-B8CE-EA3B23971F13}">
      <text>
        <r>
          <rPr>
            <sz val="9"/>
            <color indexed="81"/>
            <rFont val="Tahoma"/>
            <family val="2"/>
          </rPr>
          <t xml:space="preserve">
</t>
        </r>
      </text>
    </comment>
    <comment ref="K3153" authorId="0" shapeId="0" xr:uid="{E14F3EDB-328C-48CC-8E5C-0BD765ED8999}">
      <text>
        <r>
          <rPr>
            <sz val="9"/>
            <color indexed="81"/>
            <rFont val="Tahoma"/>
            <family val="2"/>
          </rPr>
          <t>Merging galaxies with 2 cores &amp; opposing tails. The most extreme starburst region in the sky (besides galaxy core)</t>
        </r>
      </text>
    </comment>
    <comment ref="A3154" authorId="0" shapeId="0" xr:uid="{1A55518A-AF07-4BD0-800D-724B18A4BB3D}">
      <text>
        <r>
          <rPr>
            <sz val="9"/>
            <color indexed="81"/>
            <rFont val="Tahoma"/>
            <family val="2"/>
          </rPr>
          <t xml:space="preserve">
</t>
        </r>
      </text>
    </comment>
    <comment ref="K3154" authorId="0" shapeId="0" xr:uid="{7D4EC094-2845-44D8-8934-6628AEAE8E2E}">
      <text>
        <r>
          <rPr>
            <sz val="9"/>
            <color indexed="81"/>
            <rFont val="Tahoma"/>
            <family val="2"/>
          </rPr>
          <t>Collision ring galaxy, one of the harder ones to interpret.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Gary Imm</author>
  </authors>
  <commentList>
    <comment ref="B3" authorId="0" shapeId="0" xr:uid="{011CED83-0B1E-429A-8B56-5E53AC9CD4CA}">
      <text>
        <r>
          <rPr>
            <sz val="9"/>
            <color indexed="81"/>
            <rFont val="Tahoma"/>
            <family val="2"/>
          </rPr>
          <t xml:space="preserve"> &gt; 3 Galaxies in a roughly linear line-of-sight alignment</t>
        </r>
      </text>
    </comment>
    <comment ref="B4" authorId="0" shapeId="0" xr:uid="{836E532D-50F5-403E-A990-33293D13A110}">
      <text>
        <r>
          <rPr>
            <sz val="9"/>
            <color indexed="81"/>
            <rFont val="Tahoma"/>
            <family val="2"/>
          </rPr>
          <t xml:space="preserve"> &gt;12 Galaxies</t>
        </r>
      </text>
    </comment>
    <comment ref="B5" authorId="0" shapeId="0" xr:uid="{AE9096C4-F375-49E2-ACAF-B69DE7A8A37E}">
      <text>
        <r>
          <rPr>
            <sz val="9"/>
            <color indexed="81"/>
            <rFont val="Tahoma"/>
            <family val="2"/>
          </rPr>
          <t>From 4 to 11 Galaxies</t>
        </r>
      </text>
    </comment>
    <comment ref="B6" authorId="0" shapeId="0" xr:uid="{C26B84C3-33EC-4A2F-97AD-52906EF7C3C1}">
      <text>
        <r>
          <rPr>
            <sz val="9"/>
            <color indexed="81"/>
            <rFont val="Tahoma"/>
            <family val="2"/>
          </rPr>
          <t>Galaxies in the process of merging.</t>
        </r>
      </text>
    </comment>
    <comment ref="B7" authorId="0" shapeId="0" xr:uid="{AD582E68-33AB-4B53-84EB-A3B050882E95}">
      <text>
        <r>
          <rPr>
            <sz val="9"/>
            <color indexed="81"/>
            <rFont val="Tahoma"/>
            <family val="2"/>
          </rPr>
          <t>Galaxy pair by line of sight.
Not actively merging.
May or may not be interacting.</t>
        </r>
      </text>
    </comment>
    <comment ref="B8" authorId="0" shapeId="0" xr:uid="{DDA1C911-4710-49A9-BBF3-152EE502179B}">
      <text>
        <r>
          <rPr>
            <sz val="9"/>
            <color indexed="81"/>
            <rFont val="Tahoma"/>
            <family val="2"/>
          </rPr>
          <t>Galaxy trio by line of sight.
Not actively merging.
May or may not be interacting.</t>
        </r>
      </text>
    </comment>
    <comment ref="B10" authorId="0" shapeId="0" xr:uid="{0CE74BD1-C184-453E-883F-7BA1BF16285D}">
      <text>
        <r>
          <rPr>
            <sz val="9"/>
            <color indexed="81"/>
            <rFont val="Tahoma"/>
            <family val="2"/>
          </rPr>
          <t xml:space="preserve">BCD - Blue Compact Dwarf - blue, nearby, and small
</t>
        </r>
      </text>
    </comment>
    <comment ref="B11" authorId="0" shapeId="0" xr:uid="{C7FA1A19-24BB-42A2-9776-48D703827C74}">
      <text>
        <r>
          <rPr>
            <sz val="9"/>
            <color indexed="81"/>
            <rFont val="Tahoma"/>
            <family val="2"/>
          </rPr>
          <t xml:space="preserve">Collisional ring galaxy -  object created when a larger galaxy experiences a direct head-on collision along its polar axis with a smaller galaxy. </t>
        </r>
      </text>
    </comment>
    <comment ref="B12" authorId="0" shapeId="0" xr:uid="{7D7F0A53-CF1C-4443-9642-C7DA9E2E48AA}">
      <text>
        <r>
          <rPr>
            <sz val="9"/>
            <color indexed="81"/>
            <rFont val="Tahoma"/>
            <family val="2"/>
          </rPr>
          <t xml:space="preserve">Dwarf galaxy - small, very faint and nearby
</t>
        </r>
      </text>
    </comment>
    <comment ref="B16" authorId="0" shapeId="0" xr:uid="{F8938867-8E88-4780-8848-1B8AAD4ACA6B}">
      <text>
        <r>
          <rPr>
            <sz val="9"/>
            <color indexed="81"/>
            <rFont val="Tahoma"/>
            <family val="2"/>
          </rPr>
          <t xml:space="preserve">Magellanic (SBm) - Asymmetric, off-center bar, 1 dominant arm, blue star formation areas, small
</t>
        </r>
      </text>
    </comment>
    <comment ref="B17" authorId="0" shapeId="0" xr:uid="{D8A29EF9-A5D3-4EBA-86DE-492AFE4CCF78}">
      <text>
        <r>
          <rPr>
            <sz val="9"/>
            <color indexed="81"/>
            <rFont val="Tahoma"/>
            <family val="2"/>
          </rPr>
          <t xml:space="preserve">Polar ring galaxiy -Multi-spin galaxy with 2 axes of rotation.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Gary Imm</author>
  </authors>
  <commentList>
    <comment ref="B30" authorId="0" shapeId="0" xr:uid="{46E76CC2-ECF1-4D51-9DCE-E32F1290756C}">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Gary Imm</author>
  </authors>
  <commentList>
    <comment ref="A5" authorId="0" shapeId="0" xr:uid="{51A536D5-8AEB-4C95-8EDF-48CB9EADEFA1}">
      <text>
        <r>
          <rPr>
            <sz val="9"/>
            <color indexed="81"/>
            <rFont val="Tahoma"/>
            <family val="2"/>
          </rPr>
          <t>SIMBAD is a huge, daily updated database of millions of deep sky objects, with detailed technical information about each object.</t>
        </r>
      </text>
    </comment>
    <comment ref="A6" authorId="0" shapeId="0" xr:uid="{743F2670-DE10-4C43-AA34-44B86BC5C8A2}">
      <text>
        <r>
          <rPr>
            <sz val="9"/>
            <color indexed="81"/>
            <rFont val="Tahoma"/>
            <family val="2"/>
          </rPr>
          <t>ALADIN is an interactive sky atlas which allows users to see low resolution images of any deep sky object.</t>
        </r>
      </text>
    </comment>
  </commentList>
</comments>
</file>

<file path=xl/sharedStrings.xml><?xml version="1.0" encoding="utf-8"?>
<sst xmlns="http://schemas.openxmlformats.org/spreadsheetml/2006/main" count="29529" uniqueCount="9591">
  <si>
    <t>Galaxy</t>
  </si>
  <si>
    <t>Planetary Nebulae</t>
  </si>
  <si>
    <t>Nebulae</t>
  </si>
  <si>
    <t>Groups</t>
  </si>
  <si>
    <t>IC</t>
  </si>
  <si>
    <t>Hickson</t>
  </si>
  <si>
    <t>UGC</t>
  </si>
  <si>
    <t>Abell</t>
  </si>
  <si>
    <t>LBN</t>
  </si>
  <si>
    <t>Sh2</t>
  </si>
  <si>
    <t>HT</t>
  </si>
  <si>
    <t>OB</t>
  </si>
  <si>
    <t>Ansae</t>
  </si>
  <si>
    <t>Dwarf</t>
  </si>
  <si>
    <t>Chains</t>
  </si>
  <si>
    <t>Clusters</t>
  </si>
  <si>
    <t>SNR</t>
  </si>
  <si>
    <t>Nova</t>
  </si>
  <si>
    <t>Type</t>
  </si>
  <si>
    <t>Size</t>
  </si>
  <si>
    <t>NGC</t>
  </si>
  <si>
    <t>Arp</t>
  </si>
  <si>
    <t>PGC</t>
  </si>
  <si>
    <t>Gum</t>
  </si>
  <si>
    <t>LDN</t>
  </si>
  <si>
    <t>vdB</t>
  </si>
  <si>
    <t>SD</t>
  </si>
  <si>
    <t>SP</t>
  </si>
  <si>
    <t>Polar</t>
  </si>
  <si>
    <t>BCD</t>
  </si>
  <si>
    <t>Ancient</t>
  </si>
  <si>
    <t>YSO</t>
  </si>
  <si>
    <t>HH</t>
  </si>
  <si>
    <t>AbellG 2218</t>
  </si>
  <si>
    <t>Dra</t>
  </si>
  <si>
    <t>Andromeda's Parachute</t>
  </si>
  <si>
    <t>And</t>
  </si>
  <si>
    <t>UMa</t>
  </si>
  <si>
    <t>Einstein Cross</t>
  </si>
  <si>
    <t>Peg</t>
  </si>
  <si>
    <t>HH 002</t>
  </si>
  <si>
    <t>Ori</t>
  </si>
  <si>
    <t>HH 012</t>
  </si>
  <si>
    <t>Per</t>
  </si>
  <si>
    <t>HH 100</t>
  </si>
  <si>
    <t>CrA</t>
  </si>
  <si>
    <t>HH 124</t>
  </si>
  <si>
    <t>Mon</t>
  </si>
  <si>
    <t>HH 161</t>
  </si>
  <si>
    <t>Cas</t>
  </si>
  <si>
    <t>HH 162</t>
  </si>
  <si>
    <t>HH 168</t>
  </si>
  <si>
    <t>Cep</t>
  </si>
  <si>
    <t>HH 215</t>
  </si>
  <si>
    <t>HH 222</t>
  </si>
  <si>
    <t>HH 264</t>
  </si>
  <si>
    <t>Tau</t>
  </si>
  <si>
    <t>HH 398</t>
  </si>
  <si>
    <t>Lac</t>
  </si>
  <si>
    <t>HH 555</t>
  </si>
  <si>
    <t>Cyg</t>
  </si>
  <si>
    <t>Vir</t>
  </si>
  <si>
    <t>Aur</t>
  </si>
  <si>
    <t>Abell 01</t>
  </si>
  <si>
    <t>Abell 02</t>
  </si>
  <si>
    <t>Abell 03</t>
  </si>
  <si>
    <t>Abell 04</t>
  </si>
  <si>
    <t>Abell 05</t>
  </si>
  <si>
    <t>Abell 06</t>
  </si>
  <si>
    <t>Abell 07</t>
  </si>
  <si>
    <t>Lep</t>
  </si>
  <si>
    <t>Abell 08</t>
  </si>
  <si>
    <t>Abell 09</t>
  </si>
  <si>
    <t>Abell 10</t>
  </si>
  <si>
    <t>Abell 11</t>
  </si>
  <si>
    <t>Cet</t>
  </si>
  <si>
    <t>Abell 12</t>
  </si>
  <si>
    <t>Abell 13</t>
  </si>
  <si>
    <t>Abell 14</t>
  </si>
  <si>
    <t>Abell 15</t>
  </si>
  <si>
    <t>CMa</t>
  </si>
  <si>
    <t>Abell 16</t>
  </si>
  <si>
    <t>Lyn</t>
  </si>
  <si>
    <t>Abell 18</t>
  </si>
  <si>
    <t>Abell 19</t>
  </si>
  <si>
    <t>Gem</t>
  </si>
  <si>
    <t>Abell 20</t>
  </si>
  <si>
    <t>CMi</t>
  </si>
  <si>
    <t>Abell 21</t>
  </si>
  <si>
    <t>Abell 22</t>
  </si>
  <si>
    <t>Abell 23</t>
  </si>
  <si>
    <t>Pup</t>
  </si>
  <si>
    <t>Abell 24</t>
  </si>
  <si>
    <t>Abell 25</t>
  </si>
  <si>
    <t>Abell 26</t>
  </si>
  <si>
    <t>Abell 27</t>
  </si>
  <si>
    <t>Pyx</t>
  </si>
  <si>
    <t>Abell 28</t>
  </si>
  <si>
    <t>Abell 29</t>
  </si>
  <si>
    <t>Abell 30</t>
  </si>
  <si>
    <t>Cnc</t>
  </si>
  <si>
    <t>Abell 31</t>
  </si>
  <si>
    <t>Abell 33</t>
  </si>
  <si>
    <t>Hya</t>
  </si>
  <si>
    <t>Abell 34</t>
  </si>
  <si>
    <t>Abell 35</t>
  </si>
  <si>
    <t>Abell 36</t>
  </si>
  <si>
    <t>Abell 37</t>
  </si>
  <si>
    <t>Abell 38</t>
  </si>
  <si>
    <t>Sco</t>
  </si>
  <si>
    <t>Abell 39</t>
  </si>
  <si>
    <t>Her</t>
  </si>
  <si>
    <t>Abell 40</t>
  </si>
  <si>
    <t>Oph</t>
  </si>
  <si>
    <t>Abell 41</t>
  </si>
  <si>
    <t>Ser</t>
  </si>
  <si>
    <t>Abell 42</t>
  </si>
  <si>
    <t>Abell 43</t>
  </si>
  <si>
    <t>Abell 44</t>
  </si>
  <si>
    <t>Sgr</t>
  </si>
  <si>
    <t>Abell 45</t>
  </si>
  <si>
    <t>Sct</t>
  </si>
  <si>
    <t>Abell 46</t>
  </si>
  <si>
    <t>Lyr</t>
  </si>
  <si>
    <t>Abell 47</t>
  </si>
  <si>
    <t>Abell 48</t>
  </si>
  <si>
    <t>Aql</t>
  </si>
  <si>
    <t>Abell 49</t>
  </si>
  <si>
    <t>Abell 50</t>
  </si>
  <si>
    <t>Abell 51</t>
  </si>
  <si>
    <t>Abell 52</t>
  </si>
  <si>
    <t>Abell 53</t>
  </si>
  <si>
    <t>Abell 54</t>
  </si>
  <si>
    <t>Vul</t>
  </si>
  <si>
    <t>Abell 55</t>
  </si>
  <si>
    <t>Abell 56</t>
  </si>
  <si>
    <t>Abell 57</t>
  </si>
  <si>
    <t>Abell 58</t>
  </si>
  <si>
    <t>Abell 59</t>
  </si>
  <si>
    <t>Sge</t>
  </si>
  <si>
    <t>Abell 60</t>
  </si>
  <si>
    <t>Abell 61</t>
  </si>
  <si>
    <t>Abell 62</t>
  </si>
  <si>
    <t>Abell 63</t>
  </si>
  <si>
    <t>Abell 64</t>
  </si>
  <si>
    <t>Abell 65</t>
  </si>
  <si>
    <t>Abell 66</t>
  </si>
  <si>
    <t>Abell 67</t>
  </si>
  <si>
    <t>Abell 68</t>
  </si>
  <si>
    <t>Abell 69</t>
  </si>
  <si>
    <t>Abell 70</t>
  </si>
  <si>
    <t>Abell 71</t>
  </si>
  <si>
    <t>Abell 72</t>
  </si>
  <si>
    <t>Del</t>
  </si>
  <si>
    <t>Abell 73</t>
  </si>
  <si>
    <t>Abell 74</t>
  </si>
  <si>
    <t>Abell 75</t>
  </si>
  <si>
    <t>Abell 76</t>
  </si>
  <si>
    <t>Psc</t>
  </si>
  <si>
    <t>Abell 77</t>
  </si>
  <si>
    <t>Abell 78</t>
  </si>
  <si>
    <t>Abell 79</t>
  </si>
  <si>
    <t>Abell 80</t>
  </si>
  <si>
    <t>Abell 81</t>
  </si>
  <si>
    <t>Abell 82</t>
  </si>
  <si>
    <t>Abell 83</t>
  </si>
  <si>
    <t>Abell 84</t>
  </si>
  <si>
    <t>Abell 85</t>
  </si>
  <si>
    <t>Abell 86</t>
  </si>
  <si>
    <t>AbellG 0119</t>
  </si>
  <si>
    <t>AbellG 0151</t>
  </si>
  <si>
    <t>AbellG 0194</t>
  </si>
  <si>
    <t>AbellG 0262</t>
  </si>
  <si>
    <t>AbellG 0347</t>
  </si>
  <si>
    <t>AbellG 0407</t>
  </si>
  <si>
    <t>Zwicky's Nonet Galaxy Cluster</t>
  </si>
  <si>
    <t>AbellG 0426</t>
  </si>
  <si>
    <t>AbellG 0539</t>
  </si>
  <si>
    <t>AbellG 0569</t>
  </si>
  <si>
    <t>AbellG 0634</t>
  </si>
  <si>
    <t>AbellG 0754</t>
  </si>
  <si>
    <t>AbellG 0779</t>
  </si>
  <si>
    <t>AbellG 1060</t>
  </si>
  <si>
    <t>Leo</t>
  </si>
  <si>
    <t>AbellG 1185</t>
  </si>
  <si>
    <t>AbellG 1213</t>
  </si>
  <si>
    <t>AbellG 1228</t>
  </si>
  <si>
    <t>AbellG 1314</t>
  </si>
  <si>
    <t>AbellG 1367</t>
  </si>
  <si>
    <t>AbellG 1495</t>
  </si>
  <si>
    <t>Com</t>
  </si>
  <si>
    <t>AbellG 1631</t>
  </si>
  <si>
    <t>Crv</t>
  </si>
  <si>
    <t>AbellG 1656</t>
  </si>
  <si>
    <t>AbellG 1689</t>
  </si>
  <si>
    <t>AbellG 2052</t>
  </si>
  <si>
    <t>AbellG 2063</t>
  </si>
  <si>
    <t>AbellG 2065</t>
  </si>
  <si>
    <t>CrB</t>
  </si>
  <si>
    <t>AbellG 2079</t>
  </si>
  <si>
    <t>AbellG 2147</t>
  </si>
  <si>
    <t>AbellG 2151</t>
  </si>
  <si>
    <t>AbellG 2152</t>
  </si>
  <si>
    <t>AbellG 2162</t>
  </si>
  <si>
    <t>AbellG 2197</t>
  </si>
  <si>
    <t>AbellG 2199</t>
  </si>
  <si>
    <t>AbellG 2247</t>
  </si>
  <si>
    <t>Shakhbazian 166</t>
  </si>
  <si>
    <t>UMi</t>
  </si>
  <si>
    <t>AbellG 2256</t>
  </si>
  <si>
    <t>AbellG 2572</t>
  </si>
  <si>
    <t>AbellG 2593</t>
  </si>
  <si>
    <t>AbellG 2634</t>
  </si>
  <si>
    <t>AbellG 2666</t>
  </si>
  <si>
    <t>AbellG S 0373</t>
  </si>
  <si>
    <t>For</t>
  </si>
  <si>
    <t>S373</t>
  </si>
  <si>
    <t>Arp 001</t>
  </si>
  <si>
    <t>Arp 002</t>
  </si>
  <si>
    <t>Arp 003</t>
  </si>
  <si>
    <t>Arp 004</t>
  </si>
  <si>
    <t>Arp 005</t>
  </si>
  <si>
    <t>Arp 006</t>
  </si>
  <si>
    <t>Arp 007</t>
  </si>
  <si>
    <t>Arp 008</t>
  </si>
  <si>
    <t>Arp 009</t>
  </si>
  <si>
    <t>Cam</t>
  </si>
  <si>
    <t>Arp 010</t>
  </si>
  <si>
    <t>Arp 011</t>
  </si>
  <si>
    <t>Arp 012</t>
  </si>
  <si>
    <t>Arp 013</t>
  </si>
  <si>
    <t>Arp 014</t>
  </si>
  <si>
    <t>PsA</t>
  </si>
  <si>
    <t>Arp 015</t>
  </si>
  <si>
    <t>Arp 017</t>
  </si>
  <si>
    <t>Arp 018</t>
  </si>
  <si>
    <t>Arp 019</t>
  </si>
  <si>
    <t>Arp 020</t>
  </si>
  <si>
    <t>Arp 021</t>
  </si>
  <si>
    <t>LMi</t>
  </si>
  <si>
    <t>Arp 022</t>
  </si>
  <si>
    <t>Arp 023</t>
  </si>
  <si>
    <t>CVn</t>
  </si>
  <si>
    <t>Arp 024</t>
  </si>
  <si>
    <t>Arp 025</t>
  </si>
  <si>
    <t>Arp 027</t>
  </si>
  <si>
    <t>Arp 028</t>
  </si>
  <si>
    <t>Arp 030</t>
  </si>
  <si>
    <t>Arp 031</t>
  </si>
  <si>
    <t>Ari</t>
  </si>
  <si>
    <t>Arp 032</t>
  </si>
  <si>
    <t>Arp 033</t>
  </si>
  <si>
    <t>Arp 034</t>
  </si>
  <si>
    <t>Arp 035</t>
  </si>
  <si>
    <t>Arp 036</t>
  </si>
  <si>
    <t>Arp 038</t>
  </si>
  <si>
    <t>Arp 039</t>
  </si>
  <si>
    <t>Eri</t>
  </si>
  <si>
    <t>Arp 040</t>
  </si>
  <si>
    <t>Arp 042</t>
  </si>
  <si>
    <t>Boo</t>
  </si>
  <si>
    <t>Arp 043</t>
  </si>
  <si>
    <t>Arp 044</t>
  </si>
  <si>
    <t>Sex</t>
  </si>
  <si>
    <t>Arp 045</t>
  </si>
  <si>
    <t>Arp 046</t>
  </si>
  <si>
    <t>Arp 047</t>
  </si>
  <si>
    <t>Arp 048</t>
  </si>
  <si>
    <t>Arp 049</t>
  </si>
  <si>
    <t>Arp 050</t>
  </si>
  <si>
    <t>Arp 051</t>
  </si>
  <si>
    <t>Arp 052</t>
  </si>
  <si>
    <t>Arp 053</t>
  </si>
  <si>
    <t>Arp 054</t>
  </si>
  <si>
    <t>Arp 055</t>
  </si>
  <si>
    <t>Arp 056</t>
  </si>
  <si>
    <t>Arp 057</t>
  </si>
  <si>
    <t>Arp 058</t>
  </si>
  <si>
    <t>Arp 059</t>
  </si>
  <si>
    <t>Arp 060</t>
  </si>
  <si>
    <t>Arp 061</t>
  </si>
  <si>
    <t>Arp 062</t>
  </si>
  <si>
    <t>Arp 063</t>
  </si>
  <si>
    <t>Arp 064</t>
  </si>
  <si>
    <t>Arp 065</t>
  </si>
  <si>
    <t>Arp 066</t>
  </si>
  <si>
    <t>Arp 067</t>
  </si>
  <si>
    <t>Arp 068</t>
  </si>
  <si>
    <t>Arp 069</t>
  </si>
  <si>
    <t>Arp 070</t>
  </si>
  <si>
    <t>Arp 071</t>
  </si>
  <si>
    <t>Arp 072</t>
  </si>
  <si>
    <t>Arp 073</t>
  </si>
  <si>
    <t>Arp 074</t>
  </si>
  <si>
    <t>Arp 075</t>
  </si>
  <si>
    <t>Arp 079</t>
  </si>
  <si>
    <t>Arp 080</t>
  </si>
  <si>
    <t>Arp 081</t>
  </si>
  <si>
    <t>Arp 082</t>
  </si>
  <si>
    <t>Arp 083</t>
  </si>
  <si>
    <t>Arp 084</t>
  </si>
  <si>
    <t>Arp 086</t>
  </si>
  <si>
    <t>Arp 087</t>
  </si>
  <si>
    <t>Arp 088</t>
  </si>
  <si>
    <t>Arp 089</t>
  </si>
  <si>
    <t>Arp 090</t>
  </si>
  <si>
    <t>Arp 091</t>
  </si>
  <si>
    <t>Arp 092</t>
  </si>
  <si>
    <t>Arp 093</t>
  </si>
  <si>
    <t>Arp 094</t>
  </si>
  <si>
    <t>Arp 095</t>
  </si>
  <si>
    <t>Arp 096</t>
  </si>
  <si>
    <t>Arp 097</t>
  </si>
  <si>
    <t>Arp 098</t>
  </si>
  <si>
    <t>Tri</t>
  </si>
  <si>
    <t>Arp 099</t>
  </si>
  <si>
    <t>Arp 100</t>
  </si>
  <si>
    <t>Arp 101</t>
  </si>
  <si>
    <t>Arp 102</t>
  </si>
  <si>
    <t>Arp 103</t>
  </si>
  <si>
    <t>Arp 104</t>
  </si>
  <si>
    <t xml:space="preserve">Keenan's System </t>
  </si>
  <si>
    <t>Arp 105</t>
  </si>
  <si>
    <t>Ambartsumian's Knot</t>
  </si>
  <si>
    <t>Arp 106</t>
  </si>
  <si>
    <t>Arp 107</t>
  </si>
  <si>
    <t>Arp 108</t>
  </si>
  <si>
    <t>Arp 109</t>
  </si>
  <si>
    <t>Arp 110</t>
  </si>
  <si>
    <t>Arp 111</t>
  </si>
  <si>
    <t>Arp 112</t>
  </si>
  <si>
    <t>Arp 113</t>
  </si>
  <si>
    <t>Arp 114</t>
  </si>
  <si>
    <t>Arp 115</t>
  </si>
  <si>
    <t>Arp 116</t>
  </si>
  <si>
    <t>M60 companion</t>
  </si>
  <si>
    <t>Arp 117</t>
  </si>
  <si>
    <t>Arp 118</t>
  </si>
  <si>
    <t>Arp 119</t>
  </si>
  <si>
    <t>Arp 120</t>
  </si>
  <si>
    <t>Arp 121</t>
  </si>
  <si>
    <t>Arp 122</t>
  </si>
  <si>
    <t>Arp 123</t>
  </si>
  <si>
    <t>Arp 124</t>
  </si>
  <si>
    <t>Arp 125</t>
  </si>
  <si>
    <t>Arp 126</t>
  </si>
  <si>
    <t>Arp 127</t>
  </si>
  <si>
    <t>Arp 128</t>
  </si>
  <si>
    <t>Arp 129</t>
  </si>
  <si>
    <t>Arp 130</t>
  </si>
  <si>
    <t>Arp 131</t>
  </si>
  <si>
    <t>Arp 132</t>
  </si>
  <si>
    <t>Arp 133</t>
  </si>
  <si>
    <t>Minkowski's Object</t>
  </si>
  <si>
    <t>Arp 135</t>
  </si>
  <si>
    <t>Arp 136</t>
  </si>
  <si>
    <t>Arp 137</t>
  </si>
  <si>
    <t>Arp 138</t>
  </si>
  <si>
    <t>Arp 139</t>
  </si>
  <si>
    <t>Arp 140</t>
  </si>
  <si>
    <t>Arp 141</t>
  </si>
  <si>
    <t>Arp 142</t>
  </si>
  <si>
    <t>Arp 143</t>
  </si>
  <si>
    <t>Arp 144</t>
  </si>
  <si>
    <t>Arp 145</t>
  </si>
  <si>
    <t>Arp 146</t>
  </si>
  <si>
    <t>Arp 147</t>
  </si>
  <si>
    <t>Arp 148</t>
  </si>
  <si>
    <t>Mayall's Object</t>
  </si>
  <si>
    <t>Arp 149</t>
  </si>
  <si>
    <t>Arp 150</t>
  </si>
  <si>
    <t>Arp 151</t>
  </si>
  <si>
    <t>Arp 155</t>
  </si>
  <si>
    <t>Arp 156</t>
  </si>
  <si>
    <t>Arp 157</t>
  </si>
  <si>
    <t>Arp 158</t>
  </si>
  <si>
    <t>Arp 159</t>
  </si>
  <si>
    <t>Arp 160</t>
  </si>
  <si>
    <t>Arp 161</t>
  </si>
  <si>
    <t>Arp 162</t>
  </si>
  <si>
    <t>Arp 163</t>
  </si>
  <si>
    <t>Arp 164</t>
  </si>
  <si>
    <t>Arp 165</t>
  </si>
  <si>
    <t>Arp 166</t>
  </si>
  <si>
    <t>Arp 167</t>
  </si>
  <si>
    <t>Arp 169</t>
  </si>
  <si>
    <t>Arp 170</t>
  </si>
  <si>
    <t>Arp 171</t>
  </si>
  <si>
    <t>Arp 172</t>
  </si>
  <si>
    <t>Arp 173</t>
  </si>
  <si>
    <t>Arp 174</t>
  </si>
  <si>
    <t>Arp 175</t>
  </si>
  <si>
    <t>Arp 176</t>
  </si>
  <si>
    <t>Arp 177</t>
  </si>
  <si>
    <t>Arp 178</t>
  </si>
  <si>
    <t>Arp 179</t>
  </si>
  <si>
    <t>Arp 180</t>
  </si>
  <si>
    <t>Arp 181</t>
  </si>
  <si>
    <t>Arp 182</t>
  </si>
  <si>
    <t>Arp 183</t>
  </si>
  <si>
    <t>Arp 184</t>
  </si>
  <si>
    <t>Arp 185</t>
  </si>
  <si>
    <t>Arp 186</t>
  </si>
  <si>
    <t>Arp 187</t>
  </si>
  <si>
    <t>Arp 188</t>
  </si>
  <si>
    <t>Arp 189</t>
  </si>
  <si>
    <t>Arp 190</t>
  </si>
  <si>
    <t>Arp 191</t>
  </si>
  <si>
    <t>Arp 192</t>
  </si>
  <si>
    <t>Arp 193</t>
  </si>
  <si>
    <t>Arp 194</t>
  </si>
  <si>
    <t>Arp 195</t>
  </si>
  <si>
    <t>Arp 196</t>
  </si>
  <si>
    <t>Arp 197</t>
  </si>
  <si>
    <t>Arp 198</t>
  </si>
  <si>
    <t>Arp 199</t>
  </si>
  <si>
    <t>Arp 200</t>
  </si>
  <si>
    <t>Arp 201</t>
  </si>
  <si>
    <t>Arp 202</t>
  </si>
  <si>
    <t>Arp 203</t>
  </si>
  <si>
    <t>Arp 204</t>
  </si>
  <si>
    <t>Arp 205</t>
  </si>
  <si>
    <t>Arp 206</t>
  </si>
  <si>
    <t>Arp 207</t>
  </si>
  <si>
    <t>Arp 208</t>
  </si>
  <si>
    <t>Arp 209</t>
  </si>
  <si>
    <t>Arp 210</t>
  </si>
  <si>
    <t>Arp 211</t>
  </si>
  <si>
    <t>Arp 212</t>
  </si>
  <si>
    <t>Arp 213</t>
  </si>
  <si>
    <t>Arp 214</t>
  </si>
  <si>
    <t>Arp 215</t>
  </si>
  <si>
    <t>Arp 216</t>
  </si>
  <si>
    <t>Arp 217</t>
  </si>
  <si>
    <t>Arp 218</t>
  </si>
  <si>
    <t>Arp 219</t>
  </si>
  <si>
    <t>Arp 220</t>
  </si>
  <si>
    <t>Arp 221</t>
  </si>
  <si>
    <t>Arp 222</t>
  </si>
  <si>
    <t>Arp 223</t>
  </si>
  <si>
    <t>Arp 224</t>
  </si>
  <si>
    <t>Arp 225</t>
  </si>
  <si>
    <t>Arp 226</t>
  </si>
  <si>
    <t>Arp 227</t>
  </si>
  <si>
    <t>Arp 228</t>
  </si>
  <si>
    <t>Arp 229</t>
  </si>
  <si>
    <t>Arp 230</t>
  </si>
  <si>
    <t>Arp 231</t>
  </si>
  <si>
    <t>Arp 232</t>
  </si>
  <si>
    <t>Arp 233</t>
  </si>
  <si>
    <t>Arp 234</t>
  </si>
  <si>
    <t>Arp 235</t>
  </si>
  <si>
    <t>Arp 236</t>
  </si>
  <si>
    <t>Arp 237</t>
  </si>
  <si>
    <t>Arp 238</t>
  </si>
  <si>
    <t>Arp 239</t>
  </si>
  <si>
    <t>Arp 240</t>
  </si>
  <si>
    <t>Arp 241</t>
  </si>
  <si>
    <t>Arp 242</t>
  </si>
  <si>
    <t>Mice Galaxies</t>
  </si>
  <si>
    <t>Arp 243</t>
  </si>
  <si>
    <t>Arp 244</t>
  </si>
  <si>
    <t>Arp 245</t>
  </si>
  <si>
    <t>Arp 246</t>
  </si>
  <si>
    <t>Arp 247</t>
  </si>
  <si>
    <t>Arp 248</t>
  </si>
  <si>
    <t>Wild's Triplet</t>
  </si>
  <si>
    <t>Arp 249</t>
  </si>
  <si>
    <t>Arp 250</t>
  </si>
  <si>
    <t>Arp 251</t>
  </si>
  <si>
    <t>Arp 252</t>
  </si>
  <si>
    <t>Arp 253</t>
  </si>
  <si>
    <t>Arp 254</t>
  </si>
  <si>
    <t>Lib</t>
  </si>
  <si>
    <t>Arp 255</t>
  </si>
  <si>
    <t>Arp 256</t>
  </si>
  <si>
    <t>Arp 257</t>
  </si>
  <si>
    <t>Arp 258</t>
  </si>
  <si>
    <t>Arp 259</t>
  </si>
  <si>
    <t>Arp 260</t>
  </si>
  <si>
    <t>Arp 261</t>
  </si>
  <si>
    <t>Arp 262</t>
  </si>
  <si>
    <t>Arp 263</t>
  </si>
  <si>
    <t>Arp 264</t>
  </si>
  <si>
    <t>Arp 265</t>
  </si>
  <si>
    <t>Arp 266</t>
  </si>
  <si>
    <t>Arp 267</t>
  </si>
  <si>
    <t>Arp 268</t>
  </si>
  <si>
    <t>Arp 269</t>
  </si>
  <si>
    <t>Arp 270</t>
  </si>
  <si>
    <t>Arp 271</t>
  </si>
  <si>
    <t>Arp 272</t>
  </si>
  <si>
    <t>Arp 273</t>
  </si>
  <si>
    <t>Arp 274</t>
  </si>
  <si>
    <t>Arp 275</t>
  </si>
  <si>
    <t>Arp 276</t>
  </si>
  <si>
    <t>Arp 277</t>
  </si>
  <si>
    <t>Arp 278</t>
  </si>
  <si>
    <t>Arp 279</t>
  </si>
  <si>
    <t>Arp 280</t>
  </si>
  <si>
    <t>Arp 281</t>
  </si>
  <si>
    <t>Arp 282</t>
  </si>
  <si>
    <t>Arp 283</t>
  </si>
  <si>
    <t>Arp 284</t>
  </si>
  <si>
    <t>Arp 285</t>
  </si>
  <si>
    <t>Arp 286</t>
  </si>
  <si>
    <t>Arp 287</t>
  </si>
  <si>
    <t>Arp 288</t>
  </si>
  <si>
    <t>Arp 289</t>
  </si>
  <si>
    <t>Crt</t>
  </si>
  <si>
    <t>Arp 290</t>
  </si>
  <si>
    <t>Arp 291</t>
  </si>
  <si>
    <t>Arp 292</t>
  </si>
  <si>
    <t>Arp 293</t>
  </si>
  <si>
    <t>Arp 294</t>
  </si>
  <si>
    <t>Arp 295</t>
  </si>
  <si>
    <t>Arp 296</t>
  </si>
  <si>
    <t>Arp 297</t>
  </si>
  <si>
    <t>Arp 298</t>
  </si>
  <si>
    <t>Arp 299</t>
  </si>
  <si>
    <t>Arp 300</t>
  </si>
  <si>
    <t>Arp 301</t>
  </si>
  <si>
    <t>Arp 302</t>
  </si>
  <si>
    <t>Arp 303</t>
  </si>
  <si>
    <t>Arp 304</t>
  </si>
  <si>
    <t>Arp 305</t>
  </si>
  <si>
    <t>Arp 306</t>
  </si>
  <si>
    <t>Arp 307</t>
  </si>
  <si>
    <t>Arp 308</t>
  </si>
  <si>
    <t>Arp 309</t>
  </si>
  <si>
    <t>Arp 310</t>
  </si>
  <si>
    <t>Arp 311</t>
  </si>
  <si>
    <t>Arp 312</t>
  </si>
  <si>
    <t>Arp 313</t>
  </si>
  <si>
    <t>Arp 314</t>
  </si>
  <si>
    <t>Arp 315</t>
  </si>
  <si>
    <t>Arp 316</t>
  </si>
  <si>
    <t>Arp 317</t>
  </si>
  <si>
    <t xml:space="preserve">Leo Triplet </t>
  </si>
  <si>
    <t>Arp 318</t>
  </si>
  <si>
    <t>Arp 319</t>
  </si>
  <si>
    <t>Arp 320</t>
  </si>
  <si>
    <t>Copeland's Septet</t>
  </si>
  <si>
    <t>Arp 321</t>
  </si>
  <si>
    <t>Arp 322</t>
  </si>
  <si>
    <t>Arp 323</t>
  </si>
  <si>
    <t>Arp 324</t>
  </si>
  <si>
    <t>Arp 325</t>
  </si>
  <si>
    <t>Arp 326</t>
  </si>
  <si>
    <t>Arp 327</t>
  </si>
  <si>
    <t>Arp 328</t>
  </si>
  <si>
    <t>Arp 329</t>
  </si>
  <si>
    <t>Arp 330</t>
  </si>
  <si>
    <t>Shakhbazian 16</t>
  </si>
  <si>
    <t>Arp 331</t>
  </si>
  <si>
    <t>Arp 332</t>
  </si>
  <si>
    <t>Arp 333</t>
  </si>
  <si>
    <t>Arp 334</t>
  </si>
  <si>
    <t>Arp 335</t>
  </si>
  <si>
    <t>Arp 336</t>
  </si>
  <si>
    <t>Arp 338</t>
  </si>
  <si>
    <t>ArpGC 2</t>
  </si>
  <si>
    <t>Barnard 001</t>
  </si>
  <si>
    <t>Barnard 002</t>
  </si>
  <si>
    <t>Barnard 003</t>
  </si>
  <si>
    <t>Barnard 004</t>
  </si>
  <si>
    <t>Barnard 005</t>
  </si>
  <si>
    <t>Barnard 006</t>
  </si>
  <si>
    <t>Barnard 007</t>
  </si>
  <si>
    <t>Barnard 008</t>
  </si>
  <si>
    <t>Barnard 009</t>
  </si>
  <si>
    <t>Barnard 011</t>
  </si>
  <si>
    <t>Barnard 012</t>
  </si>
  <si>
    <t>Barnard 013</t>
  </si>
  <si>
    <t>Barnard 014</t>
  </si>
  <si>
    <t>Barnard 015</t>
  </si>
  <si>
    <t>Barnard 016</t>
  </si>
  <si>
    <t>Barnard 017</t>
  </si>
  <si>
    <t>Barnard 018</t>
  </si>
  <si>
    <t>Barnard 019</t>
  </si>
  <si>
    <t>Barnard 020</t>
  </si>
  <si>
    <t>Barnard 021</t>
  </si>
  <si>
    <t>Barnard 022</t>
  </si>
  <si>
    <t>Barnard 023</t>
  </si>
  <si>
    <t>Barnard 024</t>
  </si>
  <si>
    <t>Barnard 025</t>
  </si>
  <si>
    <t>Barnard 026</t>
  </si>
  <si>
    <t>Barnard 027</t>
  </si>
  <si>
    <t>Barnard 028</t>
  </si>
  <si>
    <t>Barnard 029</t>
  </si>
  <si>
    <t>Barnard 030</t>
  </si>
  <si>
    <t>Barnard 031</t>
  </si>
  <si>
    <t>Barnard 032</t>
  </si>
  <si>
    <t>Barnard 034</t>
  </si>
  <si>
    <t>Barnard 035</t>
  </si>
  <si>
    <t>Barnard 036</t>
  </si>
  <si>
    <t>Barnard 037</t>
  </si>
  <si>
    <t>Barnard 038</t>
  </si>
  <si>
    <t>Barnard 039</t>
  </si>
  <si>
    <t>Barnard 040</t>
  </si>
  <si>
    <t>Barnard 041</t>
  </si>
  <si>
    <t>Barnard 042</t>
  </si>
  <si>
    <t>Barnard 043</t>
  </si>
  <si>
    <t>Barnard 044</t>
  </si>
  <si>
    <t>Barnard 044a</t>
  </si>
  <si>
    <t>Barnard 045</t>
  </si>
  <si>
    <t>Barnard 046</t>
  </si>
  <si>
    <t>Barnard 047</t>
  </si>
  <si>
    <t>Barnard 048</t>
  </si>
  <si>
    <t>Barnard 049</t>
  </si>
  <si>
    <t>Barnard 050</t>
  </si>
  <si>
    <t>Barnard 051</t>
  </si>
  <si>
    <t>Barnard 053</t>
  </si>
  <si>
    <t>Barnard 054</t>
  </si>
  <si>
    <t>Barnard 055</t>
  </si>
  <si>
    <t>Barnard 056</t>
  </si>
  <si>
    <t>Barnard 057</t>
  </si>
  <si>
    <t>Barnard 058</t>
  </si>
  <si>
    <t>Barnard 059</t>
  </si>
  <si>
    <t>Stem of Pipe Nebula</t>
  </si>
  <si>
    <t>Barnard 060</t>
  </si>
  <si>
    <t>Barnard 061</t>
  </si>
  <si>
    <t>Barnard 062</t>
  </si>
  <si>
    <t>Barnard 063</t>
  </si>
  <si>
    <t>Barnard 064</t>
  </si>
  <si>
    <t>Barnard 065</t>
  </si>
  <si>
    <t>Barnard 066</t>
  </si>
  <si>
    <t>Barnard 067</t>
  </si>
  <si>
    <t>Barnard 067a</t>
  </si>
  <si>
    <t>Barnard 068</t>
  </si>
  <si>
    <t>Barnard 069</t>
  </si>
  <si>
    <t>Barnard 070</t>
  </si>
  <si>
    <t>Barnard 071</t>
  </si>
  <si>
    <t>Barnard 072</t>
  </si>
  <si>
    <t>Barnard 073</t>
  </si>
  <si>
    <t>Barnard 074</t>
  </si>
  <si>
    <t>Barnard 075</t>
  </si>
  <si>
    <t>Barnard 076</t>
  </si>
  <si>
    <t>Barnard 077</t>
  </si>
  <si>
    <t>Barnard 078</t>
  </si>
  <si>
    <t>Bowl of Pipe Nebula</t>
  </si>
  <si>
    <t>Barnard 079</t>
  </si>
  <si>
    <t>Barnard 080</t>
  </si>
  <si>
    <t>Barnard 081</t>
  </si>
  <si>
    <t>Barnard 082</t>
  </si>
  <si>
    <t>Barnard 083</t>
  </si>
  <si>
    <t>Barnard 083a</t>
  </si>
  <si>
    <t>Barnard 084</t>
  </si>
  <si>
    <t>Barnard 084a</t>
  </si>
  <si>
    <t>Barnard 085</t>
  </si>
  <si>
    <t>Barnard 086</t>
  </si>
  <si>
    <t>Barnard 087</t>
  </si>
  <si>
    <t>Barnard 088</t>
  </si>
  <si>
    <t>Barnard 089</t>
  </si>
  <si>
    <t>Barnard 090</t>
  </si>
  <si>
    <t>Barnard 091</t>
  </si>
  <si>
    <t>Barnard 092</t>
  </si>
  <si>
    <t>Barnard 093</t>
  </si>
  <si>
    <t>Barnard 094</t>
  </si>
  <si>
    <t>Barnard 095</t>
  </si>
  <si>
    <t>Barnard 096</t>
  </si>
  <si>
    <t>Barnard 097</t>
  </si>
  <si>
    <t>Barnard 098</t>
  </si>
  <si>
    <t>Barnard 099</t>
  </si>
  <si>
    <t>Barnard 100</t>
  </si>
  <si>
    <t>Barnard 101</t>
  </si>
  <si>
    <t>Barnard 102</t>
  </si>
  <si>
    <t>Barnard 103</t>
  </si>
  <si>
    <t>Barnard 104</t>
  </si>
  <si>
    <t>Barnard 105</t>
  </si>
  <si>
    <t>Barnard 106</t>
  </si>
  <si>
    <t>Barnard 107</t>
  </si>
  <si>
    <t>Barnard 108</t>
  </si>
  <si>
    <t>Barnard 109</t>
  </si>
  <si>
    <t>Barnard 110</t>
  </si>
  <si>
    <t>Barnard 111</t>
  </si>
  <si>
    <t>Barnard 112</t>
  </si>
  <si>
    <t>Barnard 113</t>
  </si>
  <si>
    <t>Barnard 114</t>
  </si>
  <si>
    <t>Barnard 115</t>
  </si>
  <si>
    <t>Barnard 116</t>
  </si>
  <si>
    <t>Barnard 117</t>
  </si>
  <si>
    <t>Barnard 117a</t>
  </si>
  <si>
    <t>Barnard 118</t>
  </si>
  <si>
    <t>Barnard 119</t>
  </si>
  <si>
    <t>Barnard 119a</t>
  </si>
  <si>
    <t>Barnard 120</t>
  </si>
  <si>
    <t>Barnard 121</t>
  </si>
  <si>
    <t>Barnard 122</t>
  </si>
  <si>
    <t>Barnard 123</t>
  </si>
  <si>
    <t>Barnard 124</t>
  </si>
  <si>
    <t>Barnard 125</t>
  </si>
  <si>
    <t>Barnard 126</t>
  </si>
  <si>
    <t>Barnard 127</t>
  </si>
  <si>
    <t>Barnard 128</t>
  </si>
  <si>
    <t>Barnard 129</t>
  </si>
  <si>
    <t>Barnard 130</t>
  </si>
  <si>
    <t>Barnard 131</t>
  </si>
  <si>
    <t>Barnard 132</t>
  </si>
  <si>
    <t>Barnard 133</t>
  </si>
  <si>
    <t>Barnard 134</t>
  </si>
  <si>
    <t>Barnard 135</t>
  </si>
  <si>
    <t>Barnard 136</t>
  </si>
  <si>
    <t>Barnard 137</t>
  </si>
  <si>
    <t>Barnard 138</t>
  </si>
  <si>
    <t>Barnard 139</t>
  </si>
  <si>
    <t>Barnard 140</t>
  </si>
  <si>
    <t>Barnard 141</t>
  </si>
  <si>
    <t>Barnard 142</t>
  </si>
  <si>
    <t>Barnard 143</t>
  </si>
  <si>
    <t>Barnard 144</t>
  </si>
  <si>
    <t>Barnard 145</t>
  </si>
  <si>
    <t>Barnard 146</t>
  </si>
  <si>
    <t>Barnard 147</t>
  </si>
  <si>
    <t>Barnard 148</t>
  </si>
  <si>
    <t>Barnard 149</t>
  </si>
  <si>
    <t>Barnard 150</t>
  </si>
  <si>
    <t>Barnard 151</t>
  </si>
  <si>
    <t>Barnard 152</t>
  </si>
  <si>
    <t>Barnard 153</t>
  </si>
  <si>
    <t>Barnard 154</t>
  </si>
  <si>
    <t>Barnard 155</t>
  </si>
  <si>
    <t>Barnard 156</t>
  </si>
  <si>
    <t>Barnard 157</t>
  </si>
  <si>
    <t>Barnard 158</t>
  </si>
  <si>
    <t>Barnard 159</t>
  </si>
  <si>
    <t>Barnard 160</t>
  </si>
  <si>
    <t>Barnard 161</t>
  </si>
  <si>
    <t>Barnard 162</t>
  </si>
  <si>
    <t>Barnard 163</t>
  </si>
  <si>
    <t>Barnard 164</t>
  </si>
  <si>
    <t>Barnard 165</t>
  </si>
  <si>
    <t>Barnard 166</t>
  </si>
  <si>
    <t>Barnard 167</t>
  </si>
  <si>
    <t>Barnard 168</t>
  </si>
  <si>
    <t>Barnard 169</t>
  </si>
  <si>
    <t>Barnard 170</t>
  </si>
  <si>
    <t>Barnard 171</t>
  </si>
  <si>
    <t>Barnard 173</t>
  </si>
  <si>
    <t>Barnard 174</t>
  </si>
  <si>
    <t>Barnard 201</t>
  </si>
  <si>
    <t>Barnard 202</t>
  </si>
  <si>
    <t>Barnard 203</t>
  </si>
  <si>
    <t>Barnard 204</t>
  </si>
  <si>
    <t>Barnard 205</t>
  </si>
  <si>
    <t>Barnard 206</t>
  </si>
  <si>
    <t>Barnard 208</t>
  </si>
  <si>
    <t>Barnard 209</t>
  </si>
  <si>
    <t>Barnard 210</t>
  </si>
  <si>
    <t>Barnard 211</t>
  </si>
  <si>
    <t>Barnard 212</t>
  </si>
  <si>
    <t>Barnard 213</t>
  </si>
  <si>
    <t>Barnard 214</t>
  </si>
  <si>
    <t>Barnard 215</t>
  </si>
  <si>
    <t>Barnard 216</t>
  </si>
  <si>
    <t>Barnard 217</t>
  </si>
  <si>
    <t>Barnard 218</t>
  </si>
  <si>
    <t>Barnard 219</t>
  </si>
  <si>
    <t>Barnard 220</t>
  </si>
  <si>
    <t>Barnard 221</t>
  </si>
  <si>
    <t>Barnard 222</t>
  </si>
  <si>
    <t>Barnard 223</t>
  </si>
  <si>
    <t>Barnard 224</t>
  </si>
  <si>
    <t>Barnard 225</t>
  </si>
  <si>
    <t>Barnard 226</t>
  </si>
  <si>
    <t>Barnard 227</t>
  </si>
  <si>
    <t>Barnard 228</t>
  </si>
  <si>
    <t>Lup</t>
  </si>
  <si>
    <t>Barnard 229</t>
  </si>
  <si>
    <t>Barnard 230</t>
  </si>
  <si>
    <t>Barnard 231</t>
  </si>
  <si>
    <t>Barnard 232</t>
  </si>
  <si>
    <t>Barnard 233</t>
  </si>
  <si>
    <t>Barnard 234</t>
  </si>
  <si>
    <t>Barnard 235</t>
  </si>
  <si>
    <t>Barnard 236</t>
  </si>
  <si>
    <t>Barnard 237</t>
  </si>
  <si>
    <t>Barnard 238</t>
  </si>
  <si>
    <t>Barnard 239</t>
  </si>
  <si>
    <t>Barnard 240</t>
  </si>
  <si>
    <t>Barnard 241</t>
  </si>
  <si>
    <t>Barnard 242</t>
  </si>
  <si>
    <t>Barnard 243</t>
  </si>
  <si>
    <t>Barnard 244</t>
  </si>
  <si>
    <t>Barnard 245</t>
  </si>
  <si>
    <t>Barnard 246</t>
  </si>
  <si>
    <t>Barnard 247</t>
  </si>
  <si>
    <t>Barnard 248</t>
  </si>
  <si>
    <t>Barnard 249</t>
  </si>
  <si>
    <t>Barnard 250</t>
  </si>
  <si>
    <t>Barnard 251</t>
  </si>
  <si>
    <t>Barnard 252</t>
  </si>
  <si>
    <t>Barnard 253</t>
  </si>
  <si>
    <t>Barnard 254</t>
  </si>
  <si>
    <t>Barnard 255</t>
  </si>
  <si>
    <t>Barnard 256</t>
  </si>
  <si>
    <t>Barnard 257</t>
  </si>
  <si>
    <t>Barnard 258</t>
  </si>
  <si>
    <t>Barnard 259</t>
  </si>
  <si>
    <t>Barnard 260</t>
  </si>
  <si>
    <t>Barnard 261</t>
  </si>
  <si>
    <t>Barnard 262</t>
  </si>
  <si>
    <t>Barnard 263</t>
  </si>
  <si>
    <t>Barnard 264</t>
  </si>
  <si>
    <t>Barnard 265</t>
  </si>
  <si>
    <t>Barnard 266</t>
  </si>
  <si>
    <t>Barnard 267</t>
  </si>
  <si>
    <t>Barnard 268</t>
  </si>
  <si>
    <t>Barnard 269</t>
  </si>
  <si>
    <t>Barnard 270</t>
  </si>
  <si>
    <t>Barnard 271</t>
  </si>
  <si>
    <t>Barnard 272</t>
  </si>
  <si>
    <t>Barnard 273</t>
  </si>
  <si>
    <t>Barnard 274</t>
  </si>
  <si>
    <t>Barnard 275</t>
  </si>
  <si>
    <t>Barnard 276</t>
  </si>
  <si>
    <t>Barnard 277</t>
  </si>
  <si>
    <t>Barnard 278</t>
  </si>
  <si>
    <t>Barnard 279</t>
  </si>
  <si>
    <t>Barnard 280</t>
  </si>
  <si>
    <t>Barnard 281</t>
  </si>
  <si>
    <t>Barnard 282</t>
  </si>
  <si>
    <t>Barnard 283</t>
  </si>
  <si>
    <t>Barnard 284</t>
  </si>
  <si>
    <t>Barnard 285</t>
  </si>
  <si>
    <t>Barnard 286</t>
  </si>
  <si>
    <t>Barnard 287</t>
  </si>
  <si>
    <t>Barnard 288</t>
  </si>
  <si>
    <t>Barnard 289</t>
  </si>
  <si>
    <t>Barnard 290</t>
  </si>
  <si>
    <t>Barnard 291</t>
  </si>
  <si>
    <t>Barnard 292</t>
  </si>
  <si>
    <t>Barnard 293</t>
  </si>
  <si>
    <t>Barnard 294</t>
  </si>
  <si>
    <t>Barnard 295</t>
  </si>
  <si>
    <t>Barnard 296</t>
  </si>
  <si>
    <t>Barnard 297</t>
  </si>
  <si>
    <t>Barnard 298</t>
  </si>
  <si>
    <t>Barnard 299</t>
  </si>
  <si>
    <t>Barnard 300</t>
  </si>
  <si>
    <t>Barnard 301</t>
  </si>
  <si>
    <t>Barnard 302</t>
  </si>
  <si>
    <t>Barnard 303</t>
  </si>
  <si>
    <t>Barnard 304</t>
  </si>
  <si>
    <t>Barnard 305</t>
  </si>
  <si>
    <t>Barnard 306</t>
  </si>
  <si>
    <t>Barnard 307</t>
  </si>
  <si>
    <t>Barnard 308</t>
  </si>
  <si>
    <t>Barnard 309</t>
  </si>
  <si>
    <t>Barnard 310</t>
  </si>
  <si>
    <t>Barnard 311</t>
  </si>
  <si>
    <t>Barnard 312</t>
  </si>
  <si>
    <t>Barnard 313</t>
  </si>
  <si>
    <t>Barnard 314</t>
  </si>
  <si>
    <t>Barnard 315</t>
  </si>
  <si>
    <t>Barnard 316</t>
  </si>
  <si>
    <t>Barnard 317</t>
  </si>
  <si>
    <t>Barnard 318</t>
  </si>
  <si>
    <t>Barnard 319</t>
  </si>
  <si>
    <t>Barnard 320</t>
  </si>
  <si>
    <t>Barnard 321</t>
  </si>
  <si>
    <t>Barnard 322</t>
  </si>
  <si>
    <t>Barnard 323</t>
  </si>
  <si>
    <t>Barnard 324</t>
  </si>
  <si>
    <t>Barnard 325</t>
  </si>
  <si>
    <t>Barnard 326</t>
  </si>
  <si>
    <t>Barnard 327</t>
  </si>
  <si>
    <t>Barnard 328</t>
  </si>
  <si>
    <t>Barnard 329</t>
  </si>
  <si>
    <t>Barnard 330</t>
  </si>
  <si>
    <t>Barnard 331</t>
  </si>
  <si>
    <t>Barnard 332</t>
  </si>
  <si>
    <t>Barnard 333</t>
  </si>
  <si>
    <t>Barnard 334</t>
  </si>
  <si>
    <t>Barnard 335</t>
  </si>
  <si>
    <t>Barnard 336</t>
  </si>
  <si>
    <t>Barnard 337</t>
  </si>
  <si>
    <t>Barnard 338</t>
  </si>
  <si>
    <t>Barnard 339</t>
  </si>
  <si>
    <t>Barnard 340</t>
  </si>
  <si>
    <t>Barnard 341</t>
  </si>
  <si>
    <t>Barnard 342</t>
  </si>
  <si>
    <t>Barnard 343</t>
  </si>
  <si>
    <t>Barnard 344</t>
  </si>
  <si>
    <t>Barnard 345</t>
  </si>
  <si>
    <t>Barnard 346</t>
  </si>
  <si>
    <t>Barnard 347</t>
  </si>
  <si>
    <t>Barnard 348</t>
  </si>
  <si>
    <t>Barnard 349</t>
  </si>
  <si>
    <t>Barnard 350</t>
  </si>
  <si>
    <t>Barnard 351</t>
  </si>
  <si>
    <t>Barnard 352</t>
  </si>
  <si>
    <t>Barnard 353</t>
  </si>
  <si>
    <t>Barnard 354</t>
  </si>
  <si>
    <t>Barnard 355</t>
  </si>
  <si>
    <t>Barnard 356</t>
  </si>
  <si>
    <t>Barnard 357</t>
  </si>
  <si>
    <t>Barnard 358</t>
  </si>
  <si>
    <t>Barnard 359</t>
  </si>
  <si>
    <t>Barnard 360</t>
  </si>
  <si>
    <t>Barnard 361</t>
  </si>
  <si>
    <t>Barnard 362</t>
  </si>
  <si>
    <t>Barnard 363</t>
  </si>
  <si>
    <t>Barnard 364</t>
  </si>
  <si>
    <t>Barnard 365</t>
  </si>
  <si>
    <t>Barnard 366</t>
  </si>
  <si>
    <t>Barnard 367</t>
  </si>
  <si>
    <t>Barnard 368</t>
  </si>
  <si>
    <t>Barnard 369</t>
  </si>
  <si>
    <t>Barnard 370</t>
  </si>
  <si>
    <t>Barnard's Star</t>
  </si>
  <si>
    <t>Berkeley 29</t>
  </si>
  <si>
    <t xml:space="preserve">Berkeley 68 </t>
  </si>
  <si>
    <t>Bernes 149</t>
  </si>
  <si>
    <t>Lupus 3</t>
  </si>
  <si>
    <t>BFS 63</t>
  </si>
  <si>
    <t>BoBn 1</t>
  </si>
  <si>
    <t>Böhm-Vitense 5-1</t>
  </si>
  <si>
    <t>Böhm-Vitense 5-3</t>
  </si>
  <si>
    <t xml:space="preserve">Campbell's Star </t>
  </si>
  <si>
    <t>HD184738</t>
  </si>
  <si>
    <t>Cannon 1-5</t>
  </si>
  <si>
    <t>Cas A</t>
  </si>
  <si>
    <t>Cederblad 051</t>
  </si>
  <si>
    <t>Cederblad 211</t>
  </si>
  <si>
    <t>R Aquarii</t>
  </si>
  <si>
    <t>CG 12</t>
  </si>
  <si>
    <t>Cen</t>
  </si>
  <si>
    <t>Cru</t>
  </si>
  <si>
    <t>Collinder 021</t>
  </si>
  <si>
    <t>Collinder 069</t>
  </si>
  <si>
    <t>Collinder 070</t>
  </si>
  <si>
    <t>Orion's Belt Asterism</t>
  </si>
  <si>
    <t>Collinder 399</t>
  </si>
  <si>
    <t>Collinder 463</t>
  </si>
  <si>
    <t>CRL 618</t>
  </si>
  <si>
    <t>PPN</t>
  </si>
  <si>
    <t>CTSS 3</t>
  </si>
  <si>
    <t>CW Tau</t>
  </si>
  <si>
    <t>Cyg X-1</t>
  </si>
  <si>
    <t>Cygnus Fairy Ring</t>
  </si>
  <si>
    <t>Cygnus Kite Asterism</t>
  </si>
  <si>
    <t>Cygnus Loop</t>
  </si>
  <si>
    <t xml:space="preserve">Dark Tower </t>
  </si>
  <si>
    <t>DeHt 1</t>
  </si>
  <si>
    <t>DeHt 2</t>
  </si>
  <si>
    <t>DeHt 3</t>
  </si>
  <si>
    <t>DeHt 4</t>
  </si>
  <si>
    <t>DeHt 5</t>
  </si>
  <si>
    <t>Dobashi 0042</t>
  </si>
  <si>
    <t>Dobashi 3771</t>
  </si>
  <si>
    <t>DQ Her</t>
  </si>
  <si>
    <t>Dwingeloo 1</t>
  </si>
  <si>
    <t>Dwingeloo 2</t>
  </si>
  <si>
    <t>EGB 1</t>
  </si>
  <si>
    <t>HDW 1</t>
  </si>
  <si>
    <t>EGB 4</t>
  </si>
  <si>
    <t>EGB 6</t>
  </si>
  <si>
    <t>Egg Nebula</t>
  </si>
  <si>
    <t>ESO 550-IG025</t>
  </si>
  <si>
    <t>ESO 603-21</t>
  </si>
  <si>
    <t>ETHOS 1</t>
  </si>
  <si>
    <t>Ferrero 6</t>
  </si>
  <si>
    <t>Fishhook Galaxy</t>
  </si>
  <si>
    <t>Fornax Dwarf</t>
  </si>
  <si>
    <t>Frosty Leo</t>
  </si>
  <si>
    <t>FS Tau</t>
  </si>
  <si>
    <t>FU Ori</t>
  </si>
  <si>
    <t>G1</t>
  </si>
  <si>
    <t>Mayall II</t>
  </si>
  <si>
    <t>G100.4+04.6</t>
  </si>
  <si>
    <t>G206.9+2.3</t>
  </si>
  <si>
    <t>GK Per</t>
  </si>
  <si>
    <t>GM 1-29</t>
  </si>
  <si>
    <t>GN 04.41.8</t>
  </si>
  <si>
    <t>GN 06.16.4</t>
  </si>
  <si>
    <t>GN 22.55.2</t>
  </si>
  <si>
    <t>Gum 02</t>
  </si>
  <si>
    <t>Gum 10</t>
  </si>
  <si>
    <t>Gum 12</t>
  </si>
  <si>
    <t>Vel</t>
  </si>
  <si>
    <t>Gum 13</t>
  </si>
  <si>
    <t>Gum 14</t>
  </si>
  <si>
    <t>Gum 15</t>
  </si>
  <si>
    <t>Gum 16</t>
  </si>
  <si>
    <t>Gum 17</t>
  </si>
  <si>
    <t>Gum 18</t>
  </si>
  <si>
    <t>Gum 19</t>
  </si>
  <si>
    <t>Gum 20</t>
  </si>
  <si>
    <t>Gum 21</t>
  </si>
  <si>
    <t>WR14</t>
  </si>
  <si>
    <t>Gum 22</t>
  </si>
  <si>
    <t>Gum 23</t>
  </si>
  <si>
    <t>Gum 24</t>
  </si>
  <si>
    <t>Gum 25</t>
  </si>
  <si>
    <t>Gum 26</t>
  </si>
  <si>
    <t>Gum 27</t>
  </si>
  <si>
    <t>Gum 30</t>
  </si>
  <si>
    <t>Gum 31</t>
  </si>
  <si>
    <t>Gum 32</t>
  </si>
  <si>
    <t>Car</t>
  </si>
  <si>
    <t>Gum 35</t>
  </si>
  <si>
    <t>Gum 36</t>
  </si>
  <si>
    <t>Gum 37</t>
  </si>
  <si>
    <t>Gum 39</t>
  </si>
  <si>
    <t>Gum 40</t>
  </si>
  <si>
    <t>Gum 41</t>
  </si>
  <si>
    <t>Gum 42</t>
  </si>
  <si>
    <t>Gum 43</t>
  </si>
  <si>
    <t>Gum 44</t>
  </si>
  <si>
    <t>Gum 45</t>
  </si>
  <si>
    <t>Gum 46</t>
  </si>
  <si>
    <t>Nor</t>
  </si>
  <si>
    <t>Gum 50</t>
  </si>
  <si>
    <t>Gum 51</t>
  </si>
  <si>
    <t>Gum 52</t>
  </si>
  <si>
    <t>Gum 54</t>
  </si>
  <si>
    <t>Gum 55</t>
  </si>
  <si>
    <t>Gum 61</t>
  </si>
  <si>
    <t>Gum 62</t>
  </si>
  <si>
    <t>Gum 63</t>
  </si>
  <si>
    <t>Gum 65</t>
  </si>
  <si>
    <t>Gum 67</t>
  </si>
  <si>
    <t>Gum 68</t>
  </si>
  <si>
    <t>Gum 73</t>
  </si>
  <si>
    <t>Gum 75</t>
  </si>
  <si>
    <t>Gum 85</t>
  </si>
  <si>
    <t>Gyulbudaghian 98-171</t>
  </si>
  <si>
    <t>H 2-08</t>
  </si>
  <si>
    <t>H 3-29</t>
  </si>
  <si>
    <t>H 3-75</t>
  </si>
  <si>
    <t>HaTr 10</t>
  </si>
  <si>
    <t>HaTr 11</t>
  </si>
  <si>
    <t>Hb 04</t>
  </si>
  <si>
    <t>HBC 547</t>
  </si>
  <si>
    <t>HDW 03</t>
  </si>
  <si>
    <t>HDW 05</t>
  </si>
  <si>
    <t>HDW 07</t>
  </si>
  <si>
    <t>HDW 08</t>
  </si>
  <si>
    <t>HDW 11</t>
  </si>
  <si>
    <t>HDW 12</t>
  </si>
  <si>
    <t>He 1-004</t>
  </si>
  <si>
    <t>He 1-005</t>
  </si>
  <si>
    <t>HFG 1</t>
  </si>
  <si>
    <t>Heckathorn-Fesen-Gull 1</t>
  </si>
  <si>
    <t>Hickson 001</t>
  </si>
  <si>
    <t>Hickson 002</t>
  </si>
  <si>
    <t>Hickson 003</t>
  </si>
  <si>
    <t>Hickson 004</t>
  </si>
  <si>
    <t>Hickson 005</t>
  </si>
  <si>
    <t>Hickson 006</t>
  </si>
  <si>
    <t>Hickson 007</t>
  </si>
  <si>
    <t>Hickson 008</t>
  </si>
  <si>
    <t>Hickson 009</t>
  </si>
  <si>
    <t>Hickson 010</t>
  </si>
  <si>
    <t>Hickson 011</t>
  </si>
  <si>
    <t>Hickson 012</t>
  </si>
  <si>
    <t>Hickson 013</t>
  </si>
  <si>
    <t>Hickson 014</t>
  </si>
  <si>
    <t>Hickson 015</t>
  </si>
  <si>
    <t>Hickson 017</t>
  </si>
  <si>
    <t>Hickson 019</t>
  </si>
  <si>
    <t>Hickson 020</t>
  </si>
  <si>
    <t>Hickson 021</t>
  </si>
  <si>
    <t>Hickson 022</t>
  </si>
  <si>
    <t>Hickson 023</t>
  </si>
  <si>
    <t>Hickson 024</t>
  </si>
  <si>
    <t>Hickson 025</t>
  </si>
  <si>
    <t>Hickson 026</t>
  </si>
  <si>
    <t>Hickson 027</t>
  </si>
  <si>
    <t>Hickson 028</t>
  </si>
  <si>
    <t>Hickson 029</t>
  </si>
  <si>
    <t>Hickson 030</t>
  </si>
  <si>
    <t>Hickson 032</t>
  </si>
  <si>
    <t>Hickson 033</t>
  </si>
  <si>
    <t>Hickson 035</t>
  </si>
  <si>
    <t>Hickson 036</t>
  </si>
  <si>
    <t>Hickson 037</t>
  </si>
  <si>
    <t>Hickson 039</t>
  </si>
  <si>
    <t>Hickson 041</t>
  </si>
  <si>
    <t>Hickson 042</t>
  </si>
  <si>
    <t>Hickson 043</t>
  </si>
  <si>
    <t>Hickson 045</t>
  </si>
  <si>
    <t>Hickson 046</t>
  </si>
  <si>
    <t>Hickson 047</t>
  </si>
  <si>
    <t>Hickson 048</t>
  </si>
  <si>
    <t>Hickson 049</t>
  </si>
  <si>
    <t>Hickson 050</t>
  </si>
  <si>
    <t>Hickson 051</t>
  </si>
  <si>
    <t>Hickson 052</t>
  </si>
  <si>
    <t>Hickson 053</t>
  </si>
  <si>
    <t>Hickson 054</t>
  </si>
  <si>
    <t>Hickson 058</t>
  </si>
  <si>
    <t>Hickson 059</t>
  </si>
  <si>
    <t>Hickson 060</t>
  </si>
  <si>
    <t>Hickson 061</t>
  </si>
  <si>
    <t>The Box</t>
  </si>
  <si>
    <t>Hickson 062</t>
  </si>
  <si>
    <t>Hickson 063</t>
  </si>
  <si>
    <t>Hickson 064</t>
  </si>
  <si>
    <t>Hickson 065</t>
  </si>
  <si>
    <t>Hickson 066</t>
  </si>
  <si>
    <t>Hickson 067</t>
  </si>
  <si>
    <t>Hickson 068</t>
  </si>
  <si>
    <t>Hickson 069</t>
  </si>
  <si>
    <t>Hickson 070</t>
  </si>
  <si>
    <t>Hickson 071</t>
  </si>
  <si>
    <t>Hickson 074</t>
  </si>
  <si>
    <t>Hickson 075</t>
  </si>
  <si>
    <t>Hickson 076</t>
  </si>
  <si>
    <t>Hickson 077</t>
  </si>
  <si>
    <t>Hickson 078</t>
  </si>
  <si>
    <t>Hickson 080</t>
  </si>
  <si>
    <t>Hickson 081</t>
  </si>
  <si>
    <t>Hickson 082</t>
  </si>
  <si>
    <t>Hickson 083</t>
  </si>
  <si>
    <t>Hickson 084</t>
  </si>
  <si>
    <t>Hickson 085</t>
  </si>
  <si>
    <t>Hickson 086</t>
  </si>
  <si>
    <t>Hickson 087</t>
  </si>
  <si>
    <t>Cap</t>
  </si>
  <si>
    <t>Hickson 088</t>
  </si>
  <si>
    <t>Hickson 089</t>
  </si>
  <si>
    <t>Hickson 090</t>
  </si>
  <si>
    <t>Hickson 091</t>
  </si>
  <si>
    <t>Hickson 097</t>
  </si>
  <si>
    <t>Hickson 099</t>
  </si>
  <si>
    <t>Hickson 100</t>
  </si>
  <si>
    <t>HK Ori</t>
  </si>
  <si>
    <t>Hoag's Object</t>
  </si>
  <si>
    <t>Holmberg 800</t>
  </si>
  <si>
    <t>HP 1</t>
  </si>
  <si>
    <t>HP Tau</t>
  </si>
  <si>
    <t>V1025 Tau</t>
  </si>
  <si>
    <t>Hu 1-2</t>
  </si>
  <si>
    <t>Hubble Deep Field</t>
  </si>
  <si>
    <t>IC 0010</t>
  </si>
  <si>
    <t>IC 0063</t>
  </si>
  <si>
    <t>IC 0226</t>
  </si>
  <si>
    <t>IC 0227</t>
  </si>
  <si>
    <t>IC 0239</t>
  </si>
  <si>
    <t>IC 0289</t>
  </si>
  <si>
    <t>IC 0311</t>
  </si>
  <si>
    <t>IC 0334</t>
  </si>
  <si>
    <t>IC 0342</t>
  </si>
  <si>
    <t>Star Veiled Galaxy</t>
  </si>
  <si>
    <t>IC 0348</t>
  </si>
  <si>
    <t>IC 0351</t>
  </si>
  <si>
    <t>IC 0405</t>
  </si>
  <si>
    <t>IC 0410</t>
  </si>
  <si>
    <t>IC 0412</t>
  </si>
  <si>
    <t>IC 0414</t>
  </si>
  <si>
    <t>IC 0417</t>
  </si>
  <si>
    <t>IC 0418</t>
  </si>
  <si>
    <t>IC 0421</t>
  </si>
  <si>
    <t>IC 0426</t>
  </si>
  <si>
    <t>IC 0434</t>
  </si>
  <si>
    <t>IC 0443</t>
  </si>
  <si>
    <t>IC 0444</t>
  </si>
  <si>
    <t>IC 0447</t>
  </si>
  <si>
    <t>IC 0467</t>
  </si>
  <si>
    <t>IC 0520</t>
  </si>
  <si>
    <t>IC 0529</t>
  </si>
  <si>
    <t>IC 0673</t>
  </si>
  <si>
    <t>IC 0791</t>
  </si>
  <si>
    <t>IC 1029</t>
  </si>
  <si>
    <t>IC 1168</t>
  </si>
  <si>
    <t>IC 1182</t>
  </si>
  <si>
    <t>IC 1261</t>
  </si>
  <si>
    <t>IC 1276</t>
  </si>
  <si>
    <t>IC 1291</t>
  </si>
  <si>
    <t>IC 1295</t>
  </si>
  <si>
    <t>IC 1318</t>
  </si>
  <si>
    <t>IC 1318b</t>
  </si>
  <si>
    <t>IC 1369</t>
  </si>
  <si>
    <t>IC 1370</t>
  </si>
  <si>
    <t>IC 1396</t>
  </si>
  <si>
    <t>IC 1413</t>
  </si>
  <si>
    <t>IC 1438</t>
  </si>
  <si>
    <t>Gru</t>
  </si>
  <si>
    <t>IC 1464</t>
  </si>
  <si>
    <t>Scl</t>
  </si>
  <si>
    <t>IC 1551</t>
  </si>
  <si>
    <t>IC 1613</t>
  </si>
  <si>
    <t>IC 1727</t>
  </si>
  <si>
    <t>IC 1747</t>
  </si>
  <si>
    <t>IC 1795</t>
  </si>
  <si>
    <t>IC 1805</t>
  </si>
  <si>
    <t>IC 1830</t>
  </si>
  <si>
    <t>IC 1848</t>
  </si>
  <si>
    <t>IC 1870</t>
  </si>
  <si>
    <t>IC 2003</t>
  </si>
  <si>
    <t>IC 2067</t>
  </si>
  <si>
    <t>IC 2087</t>
  </si>
  <si>
    <t>IC 2118</t>
  </si>
  <si>
    <t>IC 2149</t>
  </si>
  <si>
    <t>IC 2157</t>
  </si>
  <si>
    <t>IC 2177</t>
  </si>
  <si>
    <t>IC 2184</t>
  </si>
  <si>
    <t>IC 2233</t>
  </si>
  <si>
    <t>IC 2247</t>
  </si>
  <si>
    <t>IC 2248</t>
  </si>
  <si>
    <t>IC 2375</t>
  </si>
  <si>
    <t>IC 2391</t>
  </si>
  <si>
    <t>IC 2431</t>
  </si>
  <si>
    <t>IC 2488</t>
  </si>
  <si>
    <t>IC 2497</t>
  </si>
  <si>
    <t>Hanny's Voorwerp</t>
  </si>
  <si>
    <t>Lmi</t>
  </si>
  <si>
    <t>IC 2520</t>
  </si>
  <si>
    <t>Ant</t>
  </si>
  <si>
    <t>IC 2574</t>
  </si>
  <si>
    <t>Coddington's Nebula</t>
  </si>
  <si>
    <t>IC 2602</t>
  </si>
  <si>
    <t>IC 2627</t>
  </si>
  <si>
    <t>IC 3568</t>
  </si>
  <si>
    <t>IC 3799</t>
  </si>
  <si>
    <t>IC 4290</t>
  </si>
  <si>
    <t>IC 4329</t>
  </si>
  <si>
    <t>IC 4406</t>
  </si>
  <si>
    <t>IC 4592</t>
  </si>
  <si>
    <t>IC 4593</t>
  </si>
  <si>
    <t>IC 4601</t>
  </si>
  <si>
    <t>IC 4628</t>
  </si>
  <si>
    <t>IC 4665</t>
  </si>
  <si>
    <t>IC 4685</t>
  </si>
  <si>
    <t>IC 4756</t>
  </si>
  <si>
    <t>IC 4954</t>
  </si>
  <si>
    <t>IC 4996</t>
  </si>
  <si>
    <t>IC 5011</t>
  </si>
  <si>
    <t>IC5013</t>
  </si>
  <si>
    <t>Mic</t>
  </si>
  <si>
    <t>IC 5020</t>
  </si>
  <si>
    <t>IC 5039</t>
  </si>
  <si>
    <t>IC 5041</t>
  </si>
  <si>
    <t>IC 5068</t>
  </si>
  <si>
    <t>IC 5070</t>
  </si>
  <si>
    <t>IC 5076</t>
  </si>
  <si>
    <t>IC 5146</t>
  </si>
  <si>
    <t>IC 5148</t>
  </si>
  <si>
    <t>IC 5217</t>
  </si>
  <si>
    <t>IC 5240</t>
  </si>
  <si>
    <t>IC 5285</t>
  </si>
  <si>
    <t>II Hz 4</t>
  </si>
  <si>
    <t>IsWe 1</t>
  </si>
  <si>
    <t>IsWe 2</t>
  </si>
  <si>
    <t>Jacoby 1</t>
  </si>
  <si>
    <t>Jones 1</t>
  </si>
  <si>
    <t>Jones-Emberson 1</t>
  </si>
  <si>
    <t>Kemble 1</t>
  </si>
  <si>
    <t>Kemble's Cascade Asterism</t>
  </si>
  <si>
    <t>Kemble 2</t>
  </si>
  <si>
    <t>Kemble's Kite</t>
  </si>
  <si>
    <t>KW 8</t>
  </si>
  <si>
    <t>KjPn 8</t>
  </si>
  <si>
    <t>Kohoutek 1-02</t>
  </si>
  <si>
    <t>Kohoutek 1-04</t>
  </si>
  <si>
    <t>Kohoutek 1-09</t>
  </si>
  <si>
    <t>Kohoutek 1-10</t>
  </si>
  <si>
    <t>Kohoutek 1-12</t>
  </si>
  <si>
    <t>Kohoutek 1-14</t>
  </si>
  <si>
    <t>Kohoutek 1-16</t>
  </si>
  <si>
    <t>Kohoutek 1-17</t>
  </si>
  <si>
    <t>Kohoutek 1-20</t>
  </si>
  <si>
    <t>Kohoutek 1-28</t>
  </si>
  <si>
    <t>Kohoutek 2-01</t>
  </si>
  <si>
    <t>Kohoutek 2-02</t>
  </si>
  <si>
    <t>Kohoutek 2-03</t>
  </si>
  <si>
    <t>Kohoutek 2-05</t>
  </si>
  <si>
    <t>Kohoutek 2-07</t>
  </si>
  <si>
    <t>Kohoutek 2-16</t>
  </si>
  <si>
    <t>Kohoutek 3-04</t>
  </si>
  <si>
    <t>Kohoutek 3-17</t>
  </si>
  <si>
    <t>Kohoutek 3-46</t>
  </si>
  <si>
    <t>Kohoutek 3-91</t>
  </si>
  <si>
    <t>Kohoutek 3-92</t>
  </si>
  <si>
    <t>Kohoutek 3-93</t>
  </si>
  <si>
    <t>Kohoutek 3-94</t>
  </si>
  <si>
    <t>Kohoutek 4-05</t>
  </si>
  <si>
    <t>Kohoutek 4-53</t>
  </si>
  <si>
    <t>Kohoutek 4-55</t>
  </si>
  <si>
    <t>Kronberger 61</t>
  </si>
  <si>
    <t>LBN 0325</t>
  </si>
  <si>
    <t>LBN 0331</t>
  </si>
  <si>
    <t>LBN 0437</t>
  </si>
  <si>
    <t>LBN 0438</t>
  </si>
  <si>
    <t>LBN 0440</t>
  </si>
  <si>
    <t>LBN 0458</t>
  </si>
  <si>
    <t>LBN 0468</t>
  </si>
  <si>
    <t>LBN 0477</t>
  </si>
  <si>
    <t>vbB156d</t>
  </si>
  <si>
    <t>LBN 0532</t>
  </si>
  <si>
    <t>LBN 0534</t>
  </si>
  <si>
    <t>LBN 0552</t>
  </si>
  <si>
    <t>LBN 0564</t>
  </si>
  <si>
    <t>LBN 0575</t>
  </si>
  <si>
    <t>LBN 0640</t>
  </si>
  <si>
    <t>LBN 0673</t>
  </si>
  <si>
    <t>LBN 0777</t>
  </si>
  <si>
    <t>LBN 0906</t>
  </si>
  <si>
    <t>LBN 0917</t>
  </si>
  <si>
    <t>LBN 1036</t>
  </si>
  <si>
    <t>LBN 1122</t>
  </si>
  <si>
    <t>LBN 0535</t>
  </si>
  <si>
    <t>LDN 0204</t>
  </si>
  <si>
    <t>LDN 0604</t>
  </si>
  <si>
    <t>LDN 0673</t>
  </si>
  <si>
    <t>LDN 0778</t>
  </si>
  <si>
    <t>LDN 0810</t>
  </si>
  <si>
    <t>LDN 1218</t>
  </si>
  <si>
    <t>LDN 1251</t>
  </si>
  <si>
    <t>LDN 1333</t>
  </si>
  <si>
    <t>LDN 1495</t>
  </si>
  <si>
    <t>Taurus Dark Nebulae Region</t>
  </si>
  <si>
    <t>LDN 1622</t>
  </si>
  <si>
    <t>Bogeyman Nebula</t>
  </si>
  <si>
    <t>Leo 1</t>
  </si>
  <si>
    <t>LkHa 120</t>
  </si>
  <si>
    <t>LkHa 208</t>
  </si>
  <si>
    <t>Longmore 13</t>
  </si>
  <si>
    <t>LoTr 5</t>
  </si>
  <si>
    <t>LTNF 1</t>
  </si>
  <si>
    <t>M 001</t>
  </si>
  <si>
    <t>M 002</t>
  </si>
  <si>
    <t>M 003</t>
  </si>
  <si>
    <t>M 004</t>
  </si>
  <si>
    <t>M 005</t>
  </si>
  <si>
    <t>M 006</t>
  </si>
  <si>
    <t>M 007</t>
  </si>
  <si>
    <t>Ptolemy's Cluster, Scorpion's Tail</t>
  </si>
  <si>
    <t>M 008</t>
  </si>
  <si>
    <t>M 009</t>
  </si>
  <si>
    <t>M 010</t>
  </si>
  <si>
    <t>M 011</t>
  </si>
  <si>
    <t>M 012</t>
  </si>
  <si>
    <t>M 013</t>
  </si>
  <si>
    <t>M 014</t>
  </si>
  <si>
    <t>M 015</t>
  </si>
  <si>
    <t>M 016</t>
  </si>
  <si>
    <t>M 017</t>
  </si>
  <si>
    <t>M 018</t>
  </si>
  <si>
    <t>M 019</t>
  </si>
  <si>
    <t>M 020</t>
  </si>
  <si>
    <t>M 021</t>
  </si>
  <si>
    <t>M 022</t>
  </si>
  <si>
    <t>M 023</t>
  </si>
  <si>
    <t>M 024</t>
  </si>
  <si>
    <t>M 025</t>
  </si>
  <si>
    <t>M 026</t>
  </si>
  <si>
    <t>M 027</t>
  </si>
  <si>
    <t>M 028</t>
  </si>
  <si>
    <t>M 029</t>
  </si>
  <si>
    <t>M 030</t>
  </si>
  <si>
    <t>M 031</t>
  </si>
  <si>
    <t>M 032</t>
  </si>
  <si>
    <t>M 033</t>
  </si>
  <si>
    <t>M 034</t>
  </si>
  <si>
    <t>M 035</t>
  </si>
  <si>
    <t>M 036</t>
  </si>
  <si>
    <t>M 037</t>
  </si>
  <si>
    <t>M 038</t>
  </si>
  <si>
    <t>M 039</t>
  </si>
  <si>
    <t>M 040</t>
  </si>
  <si>
    <t>Winnecke 4 Double Star</t>
  </si>
  <si>
    <t>M 041</t>
  </si>
  <si>
    <t>M 042</t>
  </si>
  <si>
    <t>M 043</t>
  </si>
  <si>
    <t>De Mairan's Nebula</t>
  </si>
  <si>
    <t>M 044</t>
  </si>
  <si>
    <t>M 045</t>
  </si>
  <si>
    <t>Pleiades, Seven Sisters, Subaru</t>
  </si>
  <si>
    <t>M 046</t>
  </si>
  <si>
    <t>M 047</t>
  </si>
  <si>
    <t>M 048</t>
  </si>
  <si>
    <t>M 049</t>
  </si>
  <si>
    <t>M 050</t>
  </si>
  <si>
    <t>M 051</t>
  </si>
  <si>
    <t>M 052</t>
  </si>
  <si>
    <t>M 053</t>
  </si>
  <si>
    <t>M 054</t>
  </si>
  <si>
    <t>M 055</t>
  </si>
  <si>
    <t>M 056</t>
  </si>
  <si>
    <t>M 057</t>
  </si>
  <si>
    <t>M 058</t>
  </si>
  <si>
    <t>M 059</t>
  </si>
  <si>
    <t>M 060</t>
  </si>
  <si>
    <t>M 061</t>
  </si>
  <si>
    <t>M 062</t>
  </si>
  <si>
    <t>M 063</t>
  </si>
  <si>
    <t>M 064</t>
  </si>
  <si>
    <t>M 065</t>
  </si>
  <si>
    <t>Part of Leo Triplet</t>
  </si>
  <si>
    <t>M 066</t>
  </si>
  <si>
    <t>M 067</t>
  </si>
  <si>
    <t>M 068</t>
  </si>
  <si>
    <t>M 069</t>
  </si>
  <si>
    <t>M 070</t>
  </si>
  <si>
    <t>M 071</t>
  </si>
  <si>
    <t>M 072</t>
  </si>
  <si>
    <t>M 073</t>
  </si>
  <si>
    <t>M 074</t>
  </si>
  <si>
    <t>M 075</t>
  </si>
  <si>
    <t>M 076</t>
  </si>
  <si>
    <t>M 077</t>
  </si>
  <si>
    <t>M 078</t>
  </si>
  <si>
    <t>M 079</t>
  </si>
  <si>
    <t>M 080</t>
  </si>
  <si>
    <t>M 081</t>
  </si>
  <si>
    <t>Bode's Galaxy</t>
  </si>
  <si>
    <t>M 082</t>
  </si>
  <si>
    <t>M 083</t>
  </si>
  <si>
    <t>M 084</t>
  </si>
  <si>
    <t>Markarian's Chain</t>
  </si>
  <si>
    <t>M 085</t>
  </si>
  <si>
    <t>M 086</t>
  </si>
  <si>
    <t>M 087</t>
  </si>
  <si>
    <t>M 088</t>
  </si>
  <si>
    <t>M 089</t>
  </si>
  <si>
    <t>M 090</t>
  </si>
  <si>
    <t>M 091</t>
  </si>
  <si>
    <t>M 092</t>
  </si>
  <si>
    <t>M 093</t>
  </si>
  <si>
    <t>M 094</t>
  </si>
  <si>
    <t>M 095</t>
  </si>
  <si>
    <t>M 096</t>
  </si>
  <si>
    <t>M 097</t>
  </si>
  <si>
    <t>M 098</t>
  </si>
  <si>
    <t>M 099</t>
  </si>
  <si>
    <t>M 100</t>
  </si>
  <si>
    <t>M 101</t>
  </si>
  <si>
    <t>M 102</t>
  </si>
  <si>
    <t>M 103</t>
  </si>
  <si>
    <t>M 104</t>
  </si>
  <si>
    <t>M 105</t>
  </si>
  <si>
    <t>Leo Galaxy Trio</t>
  </si>
  <si>
    <t>M 106</t>
  </si>
  <si>
    <t>M 107</t>
  </si>
  <si>
    <t>M 108</t>
  </si>
  <si>
    <t>M 109</t>
  </si>
  <si>
    <t>M 110</t>
  </si>
  <si>
    <t>Maffei 1</t>
  </si>
  <si>
    <t>Maffei 2</t>
  </si>
  <si>
    <t>M86, M84</t>
  </si>
  <si>
    <t>MCG +00-29-017</t>
  </si>
  <si>
    <t>MCG -02-08-033</t>
  </si>
  <si>
    <t>Melotte 015</t>
  </si>
  <si>
    <t>Melotte 020</t>
  </si>
  <si>
    <t>Melotte 025</t>
  </si>
  <si>
    <t>Melotte 111</t>
  </si>
  <si>
    <t>Minkowski 1-07</t>
  </si>
  <si>
    <t>Minkowski 1-08</t>
  </si>
  <si>
    <t>Minkowski 1-18</t>
  </si>
  <si>
    <t>Minkowski 1-28</t>
  </si>
  <si>
    <t>Minkowski 1-41</t>
  </si>
  <si>
    <t>Minkowski 1-42</t>
  </si>
  <si>
    <t>Minkowski 1-57</t>
  </si>
  <si>
    <t>Minkowski 1-59</t>
  </si>
  <si>
    <t>Minkowski 1-64</t>
  </si>
  <si>
    <t>Minkowski 1-75</t>
  </si>
  <si>
    <t>Minkowski 1-79</t>
  </si>
  <si>
    <t>Minkowski 1-91</t>
  </si>
  <si>
    <t>Minkowski 1-92</t>
  </si>
  <si>
    <t>Minkowski's Footprint</t>
  </si>
  <si>
    <t>Minkowski 2-09</t>
  </si>
  <si>
    <t>Minkowski 2-46</t>
  </si>
  <si>
    <t>Minkowski 2-48</t>
  </si>
  <si>
    <t>Minkowski 2-51</t>
  </si>
  <si>
    <t>Minkowski 2-52</t>
  </si>
  <si>
    <t>Minkowski 2-55</t>
  </si>
  <si>
    <t>Minkowski 3-01</t>
  </si>
  <si>
    <t>Minkowski 3-03</t>
  </si>
  <si>
    <t>Minkowski 3-09</t>
  </si>
  <si>
    <t>Minkowski 3-28</t>
  </si>
  <si>
    <t>Minkowski 3-30</t>
  </si>
  <si>
    <t>Minkowski 3-55</t>
  </si>
  <si>
    <t>Minkowski 4-09</t>
  </si>
  <si>
    <t>Minkowski 4-11</t>
  </si>
  <si>
    <t>Minkowski 4-14</t>
  </si>
  <si>
    <t>Minkowski 4-17</t>
  </si>
  <si>
    <t>Mrk 0273</t>
  </si>
  <si>
    <t>MWP 1</t>
  </si>
  <si>
    <t>Necklace Nebula</t>
  </si>
  <si>
    <t>NGC 0017</t>
  </si>
  <si>
    <t>NGC 0023</t>
  </si>
  <si>
    <t>NGC 0024</t>
  </si>
  <si>
    <t>NGC 0026</t>
  </si>
  <si>
    <t>NGC 0040</t>
  </si>
  <si>
    <t>NGC 0045</t>
  </si>
  <si>
    <t>NGC 0055</t>
  </si>
  <si>
    <t>NGC 0100</t>
  </si>
  <si>
    <t>NGC 0104</t>
  </si>
  <si>
    <t>Tuc</t>
  </si>
  <si>
    <t>NGC 0128</t>
  </si>
  <si>
    <t>NGC 0129</t>
  </si>
  <si>
    <t>NGC 0134</t>
  </si>
  <si>
    <t>NGC 0136</t>
  </si>
  <si>
    <t>NGC 0147</t>
  </si>
  <si>
    <t>NGC 0150</t>
  </si>
  <si>
    <t>NGC 0151</t>
  </si>
  <si>
    <t>NGC 0157</t>
  </si>
  <si>
    <t>NGC 0178</t>
  </si>
  <si>
    <t>NGC 0185</t>
  </si>
  <si>
    <t>NGC 0188</t>
  </si>
  <si>
    <t>NGC 0189</t>
  </si>
  <si>
    <t>NGC 0206</t>
  </si>
  <si>
    <t>NGC 0210</t>
  </si>
  <si>
    <t>NGC 0218</t>
  </si>
  <si>
    <t>NGC 0225</t>
  </si>
  <si>
    <t>NGC 0246</t>
  </si>
  <si>
    <t>NGC 0247</t>
  </si>
  <si>
    <t>NGC 0253</t>
  </si>
  <si>
    <t>NGC 0255</t>
  </si>
  <si>
    <t>NGC 0262</t>
  </si>
  <si>
    <t>NGC 0266</t>
  </si>
  <si>
    <t>NGC 0278</t>
  </si>
  <si>
    <t>NGC 0281</t>
  </si>
  <si>
    <t>NGC 0288</t>
  </si>
  <si>
    <t>NGC 0289</t>
  </si>
  <si>
    <t>NGC 0296</t>
  </si>
  <si>
    <t>NGC 0300</t>
  </si>
  <si>
    <t>NGC 0309</t>
  </si>
  <si>
    <t>NGC 0317</t>
  </si>
  <si>
    <t>NGC 0337</t>
  </si>
  <si>
    <t>NGC 0362</t>
  </si>
  <si>
    <t>NGC 0381</t>
  </si>
  <si>
    <t>NGC 0404</t>
  </si>
  <si>
    <t>NGC 0428</t>
  </si>
  <si>
    <t>NGC 0436</t>
  </si>
  <si>
    <t>NGC 0450</t>
  </si>
  <si>
    <t>NGC 0457</t>
  </si>
  <si>
    <t>NGC 0488</t>
  </si>
  <si>
    <t>NGC 0514</t>
  </si>
  <si>
    <t>NGC 0521</t>
  </si>
  <si>
    <t>NGC 0522</t>
  </si>
  <si>
    <t>NGC 0524</t>
  </si>
  <si>
    <t>NGC 0533</t>
  </si>
  <si>
    <t>NGC 0559</t>
  </si>
  <si>
    <t>NGC 0578</t>
  </si>
  <si>
    <t>NGC 0584</t>
  </si>
  <si>
    <t>NGC 0596</t>
  </si>
  <si>
    <t>NGC 0604</t>
  </si>
  <si>
    <t>NGC 0613</t>
  </si>
  <si>
    <t>NGC 0615</t>
  </si>
  <si>
    <t>NGC 0637</t>
  </si>
  <si>
    <t>NGC 0654</t>
  </si>
  <si>
    <t>NGC 0659</t>
  </si>
  <si>
    <t>NGC 0660</t>
  </si>
  <si>
    <t>NGC 0663</t>
  </si>
  <si>
    <t>NGC 0669</t>
  </si>
  <si>
    <t>NGC 0672</t>
  </si>
  <si>
    <t>NGC 0674</t>
  </si>
  <si>
    <t>NGC 0676</t>
  </si>
  <si>
    <t>NGC 0678</t>
  </si>
  <si>
    <t>NGC 0681</t>
  </si>
  <si>
    <t>NGC 0718</t>
  </si>
  <si>
    <t>NGC 0720</t>
  </si>
  <si>
    <t>NGC 0752</t>
  </si>
  <si>
    <t>NGC 0753</t>
  </si>
  <si>
    <t>NGC 0772</t>
  </si>
  <si>
    <t>NGC 0779</t>
  </si>
  <si>
    <t>NGC 0784</t>
  </si>
  <si>
    <t>NGC 0799</t>
  </si>
  <si>
    <t>NGC 0812</t>
  </si>
  <si>
    <t>NGC 0828</t>
  </si>
  <si>
    <t>NGC 0829</t>
  </si>
  <si>
    <t>NGC 0864</t>
  </si>
  <si>
    <t>NGC 0869</t>
  </si>
  <si>
    <t>NGC 0877</t>
  </si>
  <si>
    <t>NGC 0891</t>
  </si>
  <si>
    <t>NGC 0908</t>
  </si>
  <si>
    <t>NGC 0918</t>
  </si>
  <si>
    <t>NGC 0922</t>
  </si>
  <si>
    <t>NGC 0925</t>
  </si>
  <si>
    <t>NGC 0936</t>
  </si>
  <si>
    <t>NGC 0972</t>
  </si>
  <si>
    <t>NGC 0973</t>
  </si>
  <si>
    <t>NGC 0974</t>
  </si>
  <si>
    <t>NGC 0985</t>
  </si>
  <si>
    <t>NGC 0986</t>
  </si>
  <si>
    <t>NGC 1003</t>
  </si>
  <si>
    <t>NGC 1022</t>
  </si>
  <si>
    <t>NGC 1027</t>
  </si>
  <si>
    <t>NGC 1042</t>
  </si>
  <si>
    <t>NGC 1052</t>
  </si>
  <si>
    <t>NGC 1055</t>
  </si>
  <si>
    <t>NGC 1060</t>
  </si>
  <si>
    <t>NGC 1070</t>
  </si>
  <si>
    <t>NGC 1073</t>
  </si>
  <si>
    <t>NGC 1079</t>
  </si>
  <si>
    <t>NGC 1084</t>
  </si>
  <si>
    <t>NGC 1087</t>
  </si>
  <si>
    <t>NGC 1090</t>
  </si>
  <si>
    <t>NGC 1097</t>
  </si>
  <si>
    <t>NGC 1129</t>
  </si>
  <si>
    <t>NGC 1140</t>
  </si>
  <si>
    <t>NGC 1154</t>
  </si>
  <si>
    <t>NGC 1156</t>
  </si>
  <si>
    <t>NGC 1160</t>
  </si>
  <si>
    <t>NGC 1161</t>
  </si>
  <si>
    <t>NGC 1169</t>
  </si>
  <si>
    <t>NGC 1174</t>
  </si>
  <si>
    <t>NGC 1179</t>
  </si>
  <si>
    <t>NGC 1187</t>
  </si>
  <si>
    <t>NGC 1194</t>
  </si>
  <si>
    <t>NGC 1200</t>
  </si>
  <si>
    <t>NGC 1207</t>
  </si>
  <si>
    <t>NGC 1211</t>
  </si>
  <si>
    <t>NGC 1232</t>
  </si>
  <si>
    <t>NGC 1245</t>
  </si>
  <si>
    <t>NGC 1261</t>
  </si>
  <si>
    <t>Hor</t>
  </si>
  <si>
    <t>NGC 1291</t>
  </si>
  <si>
    <t>NGC 1300</t>
  </si>
  <si>
    <t>NGC 1316</t>
  </si>
  <si>
    <t>NGC 1325</t>
  </si>
  <si>
    <t>NGC 1326</t>
  </si>
  <si>
    <t>NGC 1333</t>
  </si>
  <si>
    <t>NGC 1337</t>
  </si>
  <si>
    <t>NGC 1342</t>
  </si>
  <si>
    <t>NGC 1343</t>
  </si>
  <si>
    <t>NGC 1346</t>
  </si>
  <si>
    <t>NGC 1350</t>
  </si>
  <si>
    <t>NGC 1353</t>
  </si>
  <si>
    <t>NGC 1355</t>
  </si>
  <si>
    <t>NGC 1357</t>
  </si>
  <si>
    <t>NGC 1358</t>
  </si>
  <si>
    <t>NGC 1359</t>
  </si>
  <si>
    <t>NGC 1360</t>
  </si>
  <si>
    <t>NGC 1365</t>
  </si>
  <si>
    <t>NGC 1371</t>
  </si>
  <si>
    <t>NGC 1386</t>
  </si>
  <si>
    <t>NGC 1398</t>
  </si>
  <si>
    <t>NGC 1399</t>
  </si>
  <si>
    <t>NGC 1400</t>
  </si>
  <si>
    <t>NGC 1404</t>
  </si>
  <si>
    <t>NGC 1407</t>
  </si>
  <si>
    <t>NGC 1415</t>
  </si>
  <si>
    <t>NGC 1417</t>
  </si>
  <si>
    <t>NGC 1421</t>
  </si>
  <si>
    <t>NGC 1425</t>
  </si>
  <si>
    <t>NGC 1433</t>
  </si>
  <si>
    <t>NGC 1444</t>
  </si>
  <si>
    <t>NGC 1482</t>
  </si>
  <si>
    <t>NGC 1491</t>
  </si>
  <si>
    <t>NGC 1497</t>
  </si>
  <si>
    <t>NGC 1499</t>
  </si>
  <si>
    <t>NGC 1501</t>
  </si>
  <si>
    <t>NGC 1502</t>
  </si>
  <si>
    <t>NGC 1507</t>
  </si>
  <si>
    <t>NGC 1512</t>
  </si>
  <si>
    <t>NGC 1513</t>
  </si>
  <si>
    <t>NGC 1514</t>
  </si>
  <si>
    <t>NGC 1528</t>
  </si>
  <si>
    <t>NGC 1530</t>
  </si>
  <si>
    <t>NGC 1532</t>
  </si>
  <si>
    <t>NGC 1535</t>
  </si>
  <si>
    <t>NGC 1540</t>
  </si>
  <si>
    <t>NGC 1545</t>
  </si>
  <si>
    <t>NGC 1555</t>
  </si>
  <si>
    <t>NGC 1560</t>
  </si>
  <si>
    <t>NGC 1568</t>
  </si>
  <si>
    <t>NGC 1579</t>
  </si>
  <si>
    <t>NGC 1589</t>
  </si>
  <si>
    <t>NGC 1592</t>
  </si>
  <si>
    <t>NGC 1622</t>
  </si>
  <si>
    <t>NGC 1637</t>
  </si>
  <si>
    <t>NGC 1640</t>
  </si>
  <si>
    <t>NGC 1646</t>
  </si>
  <si>
    <t>NGC 1647</t>
  </si>
  <si>
    <t>NGC 1662</t>
  </si>
  <si>
    <t>NGC 1664</t>
  </si>
  <si>
    <t>NGC 1721</t>
  </si>
  <si>
    <t>NGC 1723</t>
  </si>
  <si>
    <t>NGC 1750</t>
  </si>
  <si>
    <t>NGC 1752</t>
  </si>
  <si>
    <t>NGC 1784</t>
  </si>
  <si>
    <t>NGC 1788</t>
  </si>
  <si>
    <t>NGC 1792</t>
  </si>
  <si>
    <t>Col</t>
  </si>
  <si>
    <t>NGC 1807</t>
  </si>
  <si>
    <t>Poor Man's Double Cluster</t>
  </si>
  <si>
    <t>NGC 1808</t>
  </si>
  <si>
    <t>NGC 1817</t>
  </si>
  <si>
    <t>NGC 1819</t>
  </si>
  <si>
    <t>NGC 1851</t>
  </si>
  <si>
    <t>NGC 1857</t>
  </si>
  <si>
    <t>NGC 1907</t>
  </si>
  <si>
    <t>NGC 1931</t>
  </si>
  <si>
    <t>NGC 1954</t>
  </si>
  <si>
    <t>NGC 1964</t>
  </si>
  <si>
    <t>NGC 1977</t>
  </si>
  <si>
    <t>NGC 1980</t>
  </si>
  <si>
    <t>NGC 1981</t>
  </si>
  <si>
    <t>NGC 1985</t>
  </si>
  <si>
    <t>NGC 1999</t>
  </si>
  <si>
    <t>NGC 2024</t>
  </si>
  <si>
    <t>NGC 2070</t>
  </si>
  <si>
    <t>Dor</t>
  </si>
  <si>
    <t>NGC 2090</t>
  </si>
  <si>
    <t>NGC 2146</t>
  </si>
  <si>
    <t>NGC 2149</t>
  </si>
  <si>
    <t>NGC 2158</t>
  </si>
  <si>
    <t>NGC 2163</t>
  </si>
  <si>
    <t>NGC 2169</t>
  </si>
  <si>
    <t>NGC 2170</t>
  </si>
  <si>
    <t>NGC 2174</t>
  </si>
  <si>
    <t>NGC 2185</t>
  </si>
  <si>
    <t>NGC 2196</t>
  </si>
  <si>
    <t>NGC 2207</t>
  </si>
  <si>
    <t>NGC 2217</t>
  </si>
  <si>
    <t>NGC 2223</t>
  </si>
  <si>
    <t>NGC 2232</t>
  </si>
  <si>
    <t>NGC 2237</t>
  </si>
  <si>
    <t>NGC 2242</t>
  </si>
  <si>
    <t>NGC 2245</t>
  </si>
  <si>
    <t>NGC 2247</t>
  </si>
  <si>
    <t>NGC 2251</t>
  </si>
  <si>
    <t>NGC 2261</t>
  </si>
  <si>
    <t>NGC 2264</t>
  </si>
  <si>
    <t>NGC 2268</t>
  </si>
  <si>
    <t>NGC 2273</t>
  </si>
  <si>
    <t>NGC 2274</t>
  </si>
  <si>
    <t>NGC 2280</t>
  </si>
  <si>
    <t>NGC 2281</t>
  </si>
  <si>
    <t>NGC 2282</t>
  </si>
  <si>
    <t>NGC 2290</t>
  </si>
  <si>
    <t>NGC 2298</t>
  </si>
  <si>
    <t>NGC 2301</t>
  </si>
  <si>
    <t>NGC 2313</t>
  </si>
  <si>
    <t>NGC 2316</t>
  </si>
  <si>
    <t>NGC 2327</t>
  </si>
  <si>
    <t>NGC 2335</t>
  </si>
  <si>
    <t>NGC 2336</t>
  </si>
  <si>
    <t>NGC 2339</t>
  </si>
  <si>
    <t>NGC 2340</t>
  </si>
  <si>
    <t>NGC 2343</t>
  </si>
  <si>
    <t>NGC 2346</t>
  </si>
  <si>
    <t>NGC 2353</t>
  </si>
  <si>
    <t>NGC 2357</t>
  </si>
  <si>
    <t>NGC 2359</t>
  </si>
  <si>
    <t>NGC 2360</t>
  </si>
  <si>
    <t>NGC 2362</t>
  </si>
  <si>
    <t>NGC 2366</t>
  </si>
  <si>
    <t>NGC 2371</t>
  </si>
  <si>
    <t>NGC 2392</t>
  </si>
  <si>
    <t>NGC 2403</t>
  </si>
  <si>
    <t>NGC 2415</t>
  </si>
  <si>
    <t>NGC 2419</t>
  </si>
  <si>
    <t>NGC 2420</t>
  </si>
  <si>
    <t>NGC 2421</t>
  </si>
  <si>
    <t>NGC 2439</t>
  </si>
  <si>
    <t>NGC 2440</t>
  </si>
  <si>
    <t>NGC 2451</t>
  </si>
  <si>
    <t>NGC 2452</t>
  </si>
  <si>
    <t>NGC 2453</t>
  </si>
  <si>
    <t>NGC 2460</t>
  </si>
  <si>
    <t>NGC 2467</t>
  </si>
  <si>
    <t>NGC 2477</t>
  </si>
  <si>
    <t>NGC 2489</t>
  </si>
  <si>
    <t>NGC 2500</t>
  </si>
  <si>
    <t>NGC 2506</t>
  </si>
  <si>
    <t>NGC 2516</t>
  </si>
  <si>
    <t>NGC 2527</t>
  </si>
  <si>
    <t>NGC 2532</t>
  </si>
  <si>
    <t>NGC 2539</t>
  </si>
  <si>
    <t>NGC 2541</t>
  </si>
  <si>
    <t>NGC 2543</t>
  </si>
  <si>
    <t>NGC 2546</t>
  </si>
  <si>
    <t>NGC 2547</t>
  </si>
  <si>
    <t>NGC 2552</t>
  </si>
  <si>
    <t>NGC 2560</t>
  </si>
  <si>
    <t>NGC 2579</t>
  </si>
  <si>
    <t>NGC 2595</t>
  </si>
  <si>
    <t>NGC 2610</t>
  </si>
  <si>
    <t>NGC 2613</t>
  </si>
  <si>
    <t>NGC 2654</t>
  </si>
  <si>
    <t>NGC 2665</t>
  </si>
  <si>
    <t>NGC 2681</t>
  </si>
  <si>
    <t>NGC 2683</t>
  </si>
  <si>
    <t>NGC 2684</t>
  </si>
  <si>
    <t>NGC 2713</t>
  </si>
  <si>
    <t>NGC 2715</t>
  </si>
  <si>
    <t>NGC 2718</t>
  </si>
  <si>
    <t>NGC 2724</t>
  </si>
  <si>
    <t>NGC 2736</t>
  </si>
  <si>
    <t>NGC 2742</t>
  </si>
  <si>
    <t>NGC 2744</t>
  </si>
  <si>
    <t>NGC 2750</t>
  </si>
  <si>
    <t>NGC 2768</t>
  </si>
  <si>
    <t>NGC 2775</t>
  </si>
  <si>
    <t>NGC 2787</t>
  </si>
  <si>
    <t>NGC 2793</t>
  </si>
  <si>
    <t>NGC 2818</t>
  </si>
  <si>
    <t>NGC 2835</t>
  </si>
  <si>
    <t>NGC 2841</t>
  </si>
  <si>
    <t>NGC 2859</t>
  </si>
  <si>
    <t>NGC 2867</t>
  </si>
  <si>
    <t>NGC 2876</t>
  </si>
  <si>
    <t>NGC 2884</t>
  </si>
  <si>
    <t>NGC 2903</t>
  </si>
  <si>
    <t>NGC 2935</t>
  </si>
  <si>
    <t>NGC 2943</t>
  </si>
  <si>
    <t>NGC 2950</t>
  </si>
  <si>
    <t>NGC 2968</t>
  </si>
  <si>
    <t>NGC 2976</t>
  </si>
  <si>
    <t>NGC 2983</t>
  </si>
  <si>
    <t>NGC 2985</t>
  </si>
  <si>
    <t>NGC 2997</t>
  </si>
  <si>
    <t>NGC 2998</t>
  </si>
  <si>
    <t>NGC 3020</t>
  </si>
  <si>
    <t>NGC 3023</t>
  </si>
  <si>
    <t>NGC 3044</t>
  </si>
  <si>
    <t>NGC 3049</t>
  </si>
  <si>
    <t>NGC 3077</t>
  </si>
  <si>
    <t>NGC 3079</t>
  </si>
  <si>
    <t>NGC 3081</t>
  </si>
  <si>
    <t>NGC 3109</t>
  </si>
  <si>
    <t>NGC 3110</t>
  </si>
  <si>
    <t>NGC 3115</t>
  </si>
  <si>
    <t>NGC 3124</t>
  </si>
  <si>
    <t>NGC 3132</t>
  </si>
  <si>
    <t>NGC 3147</t>
  </si>
  <si>
    <t>NGC 3162</t>
  </si>
  <si>
    <t>NGC 3166</t>
  </si>
  <si>
    <t>NGC 3169</t>
  </si>
  <si>
    <t>NGC 3184</t>
  </si>
  <si>
    <t>NGC 3195</t>
  </si>
  <si>
    <t>Cha</t>
  </si>
  <si>
    <t>NGC 3198</t>
  </si>
  <si>
    <t>NGC 3201</t>
  </si>
  <si>
    <t>NGC 3205</t>
  </si>
  <si>
    <t>NGC 3221</t>
  </si>
  <si>
    <t>NGC 3223</t>
  </si>
  <si>
    <t>NGC 3226</t>
  </si>
  <si>
    <t>NGC 3228</t>
  </si>
  <si>
    <t>NGC 3242</t>
  </si>
  <si>
    <t>NGC 3254</t>
  </si>
  <si>
    <t>NGC 3256</t>
  </si>
  <si>
    <t>NGC 3261</t>
  </si>
  <si>
    <t>NGC 3269</t>
  </si>
  <si>
    <t>NGC 3293</t>
  </si>
  <si>
    <t>NGC 3294</t>
  </si>
  <si>
    <t>NGC 3313</t>
  </si>
  <si>
    <t>NGC 3319</t>
  </si>
  <si>
    <t>NGC 3332</t>
  </si>
  <si>
    <t>NGC 3338</t>
  </si>
  <si>
    <t>NGC 3344</t>
  </si>
  <si>
    <t>NGC 3346</t>
  </si>
  <si>
    <t>NGC 3347</t>
  </si>
  <si>
    <t>NGC 3356</t>
  </si>
  <si>
    <t>NGC 3358</t>
  </si>
  <si>
    <t>NGC 3359</t>
  </si>
  <si>
    <t>NGC 3370</t>
  </si>
  <si>
    <t>NGC 3372</t>
  </si>
  <si>
    <t>NGC 3384</t>
  </si>
  <si>
    <t>M105 Trio</t>
  </si>
  <si>
    <t>NGC 3389</t>
  </si>
  <si>
    <t>NGC 3423</t>
  </si>
  <si>
    <t>NGC 3424</t>
  </si>
  <si>
    <t>NGC 3433</t>
  </si>
  <si>
    <t>NGC 3447</t>
  </si>
  <si>
    <t>NGC 3455</t>
  </si>
  <si>
    <t>NGC 3486</t>
  </si>
  <si>
    <t>NGC 3489</t>
  </si>
  <si>
    <t>NGC 3501</t>
  </si>
  <si>
    <t>NGC 3504</t>
  </si>
  <si>
    <t>NGC 3507</t>
  </si>
  <si>
    <t>NGC 3510</t>
  </si>
  <si>
    <t>NGC 3511</t>
  </si>
  <si>
    <t>NGC 3512</t>
  </si>
  <si>
    <t>NGC 3513</t>
  </si>
  <si>
    <t>NGC 3521</t>
  </si>
  <si>
    <t>NGC 3532</t>
  </si>
  <si>
    <t>NGC 3583</t>
  </si>
  <si>
    <t>NGC 3593</t>
  </si>
  <si>
    <t>NGC 3596</t>
  </si>
  <si>
    <t>NGC 3607</t>
  </si>
  <si>
    <t>NGC 3614</t>
  </si>
  <si>
    <t>NGC 3621</t>
  </si>
  <si>
    <t>NGC 3626</t>
  </si>
  <si>
    <t>NGC 3628</t>
  </si>
  <si>
    <t>NGC 3640</t>
  </si>
  <si>
    <t>NGC 3642</t>
  </si>
  <si>
    <t>NGC 3646</t>
  </si>
  <si>
    <t>NGC 3672</t>
  </si>
  <si>
    <t>NGC 3675</t>
  </si>
  <si>
    <t>NGC 3683</t>
  </si>
  <si>
    <t>NGC 3686</t>
  </si>
  <si>
    <t>NGC 3717</t>
  </si>
  <si>
    <t>NGC 3726</t>
  </si>
  <si>
    <t>NGC 3733</t>
  </si>
  <si>
    <t>NGC 3766</t>
  </si>
  <si>
    <t>NGC 3780</t>
  </si>
  <si>
    <t>NGC 3810</t>
  </si>
  <si>
    <t>NGC 3877</t>
  </si>
  <si>
    <t>NGC 3884</t>
  </si>
  <si>
    <t>NGC 3887</t>
  </si>
  <si>
    <t>NGC 3888</t>
  </si>
  <si>
    <t>NGC 3893</t>
  </si>
  <si>
    <t>NGC 3898</t>
  </si>
  <si>
    <t>NGC 3900</t>
  </si>
  <si>
    <t>NGC 3912</t>
  </si>
  <si>
    <t>NGC 3913</t>
  </si>
  <si>
    <t>NGC 3917</t>
  </si>
  <si>
    <t>NGC 3923</t>
  </si>
  <si>
    <t>NGC 3938</t>
  </si>
  <si>
    <t>NGC 3945</t>
  </si>
  <si>
    <t>NGC 3949</t>
  </si>
  <si>
    <t>NGC 3953</t>
  </si>
  <si>
    <t>NGC 3955</t>
  </si>
  <si>
    <t>NGC 3972</t>
  </si>
  <si>
    <t>NGC 3982</t>
  </si>
  <si>
    <t>NGC 4010</t>
  </si>
  <si>
    <t>NGC 4013</t>
  </si>
  <si>
    <t>NGC 4026</t>
  </si>
  <si>
    <t>NGC 4030</t>
  </si>
  <si>
    <t>NGC 4036</t>
  </si>
  <si>
    <t>NGC 4041</t>
  </si>
  <si>
    <t>NGC 4045</t>
  </si>
  <si>
    <t>NGC 4050</t>
  </si>
  <si>
    <t>NGC 4051</t>
  </si>
  <si>
    <t>NGC 4062</t>
  </si>
  <si>
    <t>NGC 4068</t>
  </si>
  <si>
    <t>NGC 4096</t>
  </si>
  <si>
    <t>NGC 4100</t>
  </si>
  <si>
    <t>NGC 4102</t>
  </si>
  <si>
    <t>NGC 4111</t>
  </si>
  <si>
    <t>NGC 4125</t>
  </si>
  <si>
    <t>NGC 4136</t>
  </si>
  <si>
    <t>NGC 4138</t>
  </si>
  <si>
    <t>NGC 4145</t>
  </si>
  <si>
    <t>NGC 4147</t>
  </si>
  <si>
    <t>NGC 4151</t>
  </si>
  <si>
    <t>NGC 4157</t>
  </si>
  <si>
    <t>NGC 4178</t>
  </si>
  <si>
    <t>NGC 4183</t>
  </si>
  <si>
    <t>NGC 4212</t>
  </si>
  <si>
    <t>NGC 4214</t>
  </si>
  <si>
    <t>NGC 4216</t>
  </si>
  <si>
    <t>NGC 4217</t>
  </si>
  <si>
    <t>NGC 4220</t>
  </si>
  <si>
    <t>NGC 4236</t>
  </si>
  <si>
    <t>NGC 4242</t>
  </si>
  <si>
    <t>NGC 4244</t>
  </si>
  <si>
    <t>NGC 4245</t>
  </si>
  <si>
    <t>NGC 4260</t>
  </si>
  <si>
    <t>NGC 4273</t>
  </si>
  <si>
    <t>NGC 4274</t>
  </si>
  <si>
    <t>NGC 4278</t>
  </si>
  <si>
    <t>NGC 4289</t>
  </si>
  <si>
    <t>NGC 4293</t>
  </si>
  <si>
    <t>NGC 4298</t>
  </si>
  <si>
    <t>NGC 4312</t>
  </si>
  <si>
    <t>NGC 4314</t>
  </si>
  <si>
    <t>NGC 4319</t>
  </si>
  <si>
    <t>NGC 4330</t>
  </si>
  <si>
    <t>NGC 4331</t>
  </si>
  <si>
    <t>NGC 4340</t>
  </si>
  <si>
    <t>Holmberg 391 galaxy duo</t>
  </si>
  <si>
    <t>NGC 4359</t>
  </si>
  <si>
    <t>NGC 4361</t>
  </si>
  <si>
    <t>NGC 4365</t>
  </si>
  <si>
    <t>NGC 4371</t>
  </si>
  <si>
    <t>NGC 4372</t>
  </si>
  <si>
    <t>Mus</t>
  </si>
  <si>
    <t>NGC 4388</t>
  </si>
  <si>
    <t>NGC 4394</t>
  </si>
  <si>
    <t>NGC 4395</t>
  </si>
  <si>
    <t>NGC 4402</t>
  </si>
  <si>
    <t>NGC 4410</t>
  </si>
  <si>
    <t>NGC 4411</t>
  </si>
  <si>
    <t>NGC 4414</t>
  </si>
  <si>
    <t>NGC 4419</t>
  </si>
  <si>
    <t>NGC 4424</t>
  </si>
  <si>
    <t>NGC 4429</t>
  </si>
  <si>
    <t>NGC 4441</t>
  </si>
  <si>
    <t>NGC 4442</t>
  </si>
  <si>
    <t>NGC 4448</t>
  </si>
  <si>
    <t>NGC 4449</t>
  </si>
  <si>
    <t>NGC 4450</t>
  </si>
  <si>
    <t>NGC 4461</t>
  </si>
  <si>
    <t>NGC 4473</t>
  </si>
  <si>
    <t>NGC 4477</t>
  </si>
  <si>
    <t>NGC 4494</t>
  </si>
  <si>
    <t>NGC 4496</t>
  </si>
  <si>
    <t>NGC 4504</t>
  </si>
  <si>
    <t>NGC 4513</t>
  </si>
  <si>
    <t>NGC 4517</t>
  </si>
  <si>
    <t>NGC 4522</t>
  </si>
  <si>
    <t>NGC 4526</t>
  </si>
  <si>
    <t>NGC 4527</t>
  </si>
  <si>
    <t>NGC 4531</t>
  </si>
  <si>
    <t>NGC 4532</t>
  </si>
  <si>
    <t>NGC 4535</t>
  </si>
  <si>
    <t>NGC 4536</t>
  </si>
  <si>
    <t>NGC 4559</t>
  </si>
  <si>
    <t>NGC 4565</t>
  </si>
  <si>
    <t>NGC 4567</t>
  </si>
  <si>
    <t>NGC 4571</t>
  </si>
  <si>
    <t>NGC 4593</t>
  </si>
  <si>
    <t>NGC 4596</t>
  </si>
  <si>
    <t>NGC 4602</t>
  </si>
  <si>
    <t>NGC 4605</t>
  </si>
  <si>
    <t>NGC 4609</t>
  </si>
  <si>
    <t>NGC 4623</t>
  </si>
  <si>
    <t>NGC 4636</t>
  </si>
  <si>
    <t>NGC 4639</t>
  </si>
  <si>
    <t>NGC 4643</t>
  </si>
  <si>
    <t>NGC 4654</t>
  </si>
  <si>
    <t>NGC 4656</t>
  </si>
  <si>
    <t>NGC 4665</t>
  </si>
  <si>
    <t>NGC 4666</t>
  </si>
  <si>
    <t>NGC 4689</t>
  </si>
  <si>
    <t>NGC 4691</t>
  </si>
  <si>
    <t>NGC 4697</t>
  </si>
  <si>
    <t>NGC 4698</t>
  </si>
  <si>
    <t>NGC 4699</t>
  </si>
  <si>
    <t>NGC 4710</t>
  </si>
  <si>
    <t>NGC 4725</t>
  </si>
  <si>
    <t>NGC 4731</t>
  </si>
  <si>
    <t>NGC 4753</t>
  </si>
  <si>
    <t>NGC 4754</t>
  </si>
  <si>
    <t>NGC 4755</t>
  </si>
  <si>
    <t>NGC 4762</t>
  </si>
  <si>
    <t>NGC 4774</t>
  </si>
  <si>
    <t>NGC 4781</t>
  </si>
  <si>
    <t>NGC 4800</t>
  </si>
  <si>
    <t>NGC 4818</t>
  </si>
  <si>
    <t>NGC 4833</t>
  </si>
  <si>
    <t>NGC 4845</t>
  </si>
  <si>
    <t>NGC 4856</t>
  </si>
  <si>
    <t>NGC 4866</t>
  </si>
  <si>
    <t>NGC 4900</t>
  </si>
  <si>
    <t>NGC 4930</t>
  </si>
  <si>
    <t>NGC 4939</t>
  </si>
  <si>
    <t>NGC 4945</t>
  </si>
  <si>
    <t>NGC 4958</t>
  </si>
  <si>
    <t>NGC 5002</t>
  </si>
  <si>
    <t>NGC 5005</t>
  </si>
  <si>
    <t>NGC 5023</t>
  </si>
  <si>
    <t>NGC 5033</t>
  </si>
  <si>
    <t>NGC 5054</t>
  </si>
  <si>
    <t>NGC 5068</t>
  </si>
  <si>
    <t>NGC 5078</t>
  </si>
  <si>
    <t>NGC 5084</t>
  </si>
  <si>
    <t>NGC 5101</t>
  </si>
  <si>
    <t>NGC 5102</t>
  </si>
  <si>
    <t>NGC 5112</t>
  </si>
  <si>
    <t>NGC 5122</t>
  </si>
  <si>
    <t>NGC 5128</t>
  </si>
  <si>
    <t>NGC 5139</t>
  </si>
  <si>
    <t>NGC 5153</t>
  </si>
  <si>
    <t>NGC 5195</t>
  </si>
  <si>
    <t>Companion to M51</t>
  </si>
  <si>
    <t>NGC 5201</t>
  </si>
  <si>
    <t>NGC 5204</t>
  </si>
  <si>
    <t>NGC 5230</t>
  </si>
  <si>
    <t>NGC 5247</t>
  </si>
  <si>
    <t>NGC 5248</t>
  </si>
  <si>
    <t>NGC 5253</t>
  </si>
  <si>
    <t>NGC 5280</t>
  </si>
  <si>
    <t>NGC 5281</t>
  </si>
  <si>
    <t>NGC 5286</t>
  </si>
  <si>
    <t>NGC 5297</t>
  </si>
  <si>
    <t>NGC 5300</t>
  </si>
  <si>
    <t>NGC 5311</t>
  </si>
  <si>
    <t>NGC 5313</t>
  </si>
  <si>
    <t>NGC 5322</t>
  </si>
  <si>
    <t>NGC 5363</t>
  </si>
  <si>
    <t>NGC 5364</t>
  </si>
  <si>
    <t>NGC 5367</t>
  </si>
  <si>
    <t>NGC 5371</t>
  </si>
  <si>
    <t>NGC 5375</t>
  </si>
  <si>
    <t>NGC 5377</t>
  </si>
  <si>
    <t>NGC 5383</t>
  </si>
  <si>
    <t>NGC 5403</t>
  </si>
  <si>
    <t>NGC 5410</t>
  </si>
  <si>
    <t>NGC 5423</t>
  </si>
  <si>
    <t>NGC 5430</t>
  </si>
  <si>
    <t>NGC 5448</t>
  </si>
  <si>
    <t>NGC 5466</t>
  </si>
  <si>
    <t>NGC 5474</t>
  </si>
  <si>
    <t xml:space="preserve">M101 Companion   </t>
  </si>
  <si>
    <t>NGC 5485</t>
  </si>
  <si>
    <t>NGC 5486</t>
  </si>
  <si>
    <t>NGC 5514</t>
  </si>
  <si>
    <t>NGC 5523</t>
  </si>
  <si>
    <t>NGC 5529</t>
  </si>
  <si>
    <t>NGC 5533</t>
  </si>
  <si>
    <t>NGC 5534</t>
  </si>
  <si>
    <t>NGC 5576</t>
  </si>
  <si>
    <t>NGC 5585</t>
  </si>
  <si>
    <t>dwarf satellite of M101</t>
  </si>
  <si>
    <t>NGC 5591</t>
  </si>
  <si>
    <t>NGC 5599</t>
  </si>
  <si>
    <t>NGC 5602</t>
  </si>
  <si>
    <t>NGC 5619</t>
  </si>
  <si>
    <t>NGC 5634</t>
  </si>
  <si>
    <t>NGC 5638</t>
  </si>
  <si>
    <t>NGC 5643</t>
  </si>
  <si>
    <t>NGC 5662</t>
  </si>
  <si>
    <t>NGC 5668</t>
  </si>
  <si>
    <t>NGC 5673</t>
  </si>
  <si>
    <t>NGC 5676</t>
  </si>
  <si>
    <t>NGC 5689</t>
  </si>
  <si>
    <t>NGC 5694</t>
  </si>
  <si>
    <t>NGC 5701</t>
  </si>
  <si>
    <t>NGC 5713</t>
  </si>
  <si>
    <t>NGC 5719</t>
  </si>
  <si>
    <t>NGC 5728</t>
  </si>
  <si>
    <t>NGC 5746</t>
  </si>
  <si>
    <t>NGC 5750</t>
  </si>
  <si>
    <t>NGC 5759</t>
  </si>
  <si>
    <t>NGC 5765</t>
  </si>
  <si>
    <t>NGC 5774</t>
  </si>
  <si>
    <t>NGC 5775</t>
  </si>
  <si>
    <t>NGC 5792</t>
  </si>
  <si>
    <t>NGC 5813</t>
  </si>
  <si>
    <t>NGC 5823</t>
  </si>
  <si>
    <t>Cir</t>
  </si>
  <si>
    <t>NGC 5824</t>
  </si>
  <si>
    <t>NGC 5846</t>
  </si>
  <si>
    <t>NGC 5850</t>
  </si>
  <si>
    <t>NGC 5860</t>
  </si>
  <si>
    <t>NGC 5878</t>
  </si>
  <si>
    <t>NGC 5879</t>
  </si>
  <si>
    <t>NGC 5897</t>
  </si>
  <si>
    <t>NGC 5899</t>
  </si>
  <si>
    <t>NGC 5900</t>
  </si>
  <si>
    <t>NGC 5905</t>
  </si>
  <si>
    <t>NGC 5907</t>
  </si>
  <si>
    <t>NGC 5908</t>
  </si>
  <si>
    <t>NGC 5915</t>
  </si>
  <si>
    <t>NGC 5916</t>
  </si>
  <si>
    <t>NGC 5921</t>
  </si>
  <si>
    <t>NGC 5945</t>
  </si>
  <si>
    <t>NGC 5963</t>
  </si>
  <si>
    <t>NGC 5964</t>
  </si>
  <si>
    <t>NGC 5965</t>
  </si>
  <si>
    <t>NGC 5970</t>
  </si>
  <si>
    <t>NGC 5972</t>
  </si>
  <si>
    <t>NGC 5981</t>
  </si>
  <si>
    <t>NGC 5982</t>
  </si>
  <si>
    <t>Draco Galaxy Trio</t>
  </si>
  <si>
    <t>NGC 5985</t>
  </si>
  <si>
    <t>NGC 5986</t>
  </si>
  <si>
    <t>NGC 5987</t>
  </si>
  <si>
    <t>NGC 6012</t>
  </si>
  <si>
    <t>NGC 6015</t>
  </si>
  <si>
    <t>NGC 6025</t>
  </si>
  <si>
    <t>TrA</t>
  </si>
  <si>
    <t>NGC 6026</t>
  </si>
  <si>
    <t>NGC 6058</t>
  </si>
  <si>
    <t>NGC 6070</t>
  </si>
  <si>
    <t>NGC 6072</t>
  </si>
  <si>
    <t>NGC 6087</t>
  </si>
  <si>
    <t>NGC 6090</t>
  </si>
  <si>
    <t>NGC 6101</t>
  </si>
  <si>
    <t>Aps</t>
  </si>
  <si>
    <t>NGC 6106</t>
  </si>
  <si>
    <t>NGC 6118</t>
  </si>
  <si>
    <t>NGC 6120</t>
  </si>
  <si>
    <t>NGC 6124</t>
  </si>
  <si>
    <t>NGC 6140</t>
  </si>
  <si>
    <t>NGC 6144</t>
  </si>
  <si>
    <t>NGC 6153</t>
  </si>
  <si>
    <t>NGC 6181</t>
  </si>
  <si>
    <t>NGC 6188</t>
  </si>
  <si>
    <t>Ara</t>
  </si>
  <si>
    <t>NGC 6207</t>
  </si>
  <si>
    <t>NGC 6210</t>
  </si>
  <si>
    <t>NGC 6229</t>
  </si>
  <si>
    <t>NGC 6231</t>
  </si>
  <si>
    <t>NGC 6232</t>
  </si>
  <si>
    <t>NGC 6239</t>
  </si>
  <si>
    <t>NGC 6240</t>
  </si>
  <si>
    <t>NGC 6242</t>
  </si>
  <si>
    <t>NGC 6255</t>
  </si>
  <si>
    <t>NGC 6274</t>
  </si>
  <si>
    <t>NGC 6281</t>
  </si>
  <si>
    <t>NGC 6287</t>
  </si>
  <si>
    <t>NGC 6293</t>
  </si>
  <si>
    <t>NGC 6302</t>
  </si>
  <si>
    <t>NGC 6304</t>
  </si>
  <si>
    <t>NGC 6306</t>
  </si>
  <si>
    <t>NGC 6309</t>
  </si>
  <si>
    <t>NGC 6334</t>
  </si>
  <si>
    <t>NGC 6337</t>
  </si>
  <si>
    <t>NGC 6338</t>
  </si>
  <si>
    <t>NGC 6339</t>
  </si>
  <si>
    <t>NGC 6340</t>
  </si>
  <si>
    <t>NGC 6352</t>
  </si>
  <si>
    <t>NGC 6353</t>
  </si>
  <si>
    <t>NGC 6356</t>
  </si>
  <si>
    <t>NGC 6357</t>
  </si>
  <si>
    <t>NGC 6363</t>
  </si>
  <si>
    <t>NGC 6367</t>
  </si>
  <si>
    <t>NGC 6369</t>
  </si>
  <si>
    <t>NGC 6370</t>
  </si>
  <si>
    <t>NGC 6377</t>
  </si>
  <si>
    <t>NGC 6384</t>
  </si>
  <si>
    <t>NGC 6395</t>
  </si>
  <si>
    <t>NGC 6397</t>
  </si>
  <si>
    <t>NGC 6400</t>
  </si>
  <si>
    <t>NGC 6426</t>
  </si>
  <si>
    <t>NGC 6440</t>
  </si>
  <si>
    <t>NGC 6441</t>
  </si>
  <si>
    <t>NGC 6445</t>
  </si>
  <si>
    <t>NGC 6446</t>
  </si>
  <si>
    <t>NGC 6447</t>
  </si>
  <si>
    <t>NGC 6463</t>
  </si>
  <si>
    <t>NGC 6491</t>
  </si>
  <si>
    <t>NGC 6497</t>
  </si>
  <si>
    <t>NGC 6500</t>
  </si>
  <si>
    <t>NGC 6501</t>
  </si>
  <si>
    <t>NGC 6503</t>
  </si>
  <si>
    <t>NGC 6520</t>
  </si>
  <si>
    <t>NGC 6522</t>
  </si>
  <si>
    <t>Baades WIndow</t>
  </si>
  <si>
    <t>NGC 6528</t>
  </si>
  <si>
    <t>NGC 6537</t>
  </si>
  <si>
    <t>NGC 6541</t>
  </si>
  <si>
    <t>NGC 6543</t>
  </si>
  <si>
    <t>NGC 6544</t>
  </si>
  <si>
    <t>NGC 6548</t>
  </si>
  <si>
    <t>NGC 6553</t>
  </si>
  <si>
    <t>NGC 6559</t>
  </si>
  <si>
    <t>NGC 6563</t>
  </si>
  <si>
    <t>NGC 6565</t>
  </si>
  <si>
    <t>NGC 6570</t>
  </si>
  <si>
    <t>NGC 6572</t>
  </si>
  <si>
    <t>NGC 6577</t>
  </si>
  <si>
    <t>NGC 6598</t>
  </si>
  <si>
    <t>NGC 6603</t>
  </si>
  <si>
    <t>NGC 6611</t>
  </si>
  <si>
    <t>NGC 6624</t>
  </si>
  <si>
    <t>NGC 6629</t>
  </si>
  <si>
    <t>NGC 6632</t>
  </si>
  <si>
    <t>NGC 6633</t>
  </si>
  <si>
    <t>NGC 6636</t>
  </si>
  <si>
    <t>NGC 6638</t>
  </si>
  <si>
    <t>NGC 6643</t>
  </si>
  <si>
    <t>NGC 6654</t>
  </si>
  <si>
    <t>NGC 6664</t>
  </si>
  <si>
    <t>NGC 6667</t>
  </si>
  <si>
    <t>NGC 6670</t>
  </si>
  <si>
    <t>NGC 6674</t>
  </si>
  <si>
    <t>NGC 6676</t>
  </si>
  <si>
    <t>NGC 6689</t>
  </si>
  <si>
    <t>NGC 6703</t>
  </si>
  <si>
    <t>NGC 6709</t>
  </si>
  <si>
    <t>NGC 6712</t>
  </si>
  <si>
    <t>NGC 6717</t>
  </si>
  <si>
    <t>Palomar 9</t>
  </si>
  <si>
    <t>NGC 6723</t>
  </si>
  <si>
    <t>NGC 6726</t>
  </si>
  <si>
    <t>NGC 6741</t>
  </si>
  <si>
    <t>NGC 6744</t>
  </si>
  <si>
    <t>Pav</t>
  </si>
  <si>
    <t>NGC 6745</t>
  </si>
  <si>
    <t>NGC 6751</t>
  </si>
  <si>
    <t>NGC 6752</t>
  </si>
  <si>
    <t>NGC 6755</t>
  </si>
  <si>
    <t>NGC 6756</t>
  </si>
  <si>
    <t>NGC 6760</t>
  </si>
  <si>
    <t>NGC 6764</t>
  </si>
  <si>
    <t>NGC 6765</t>
  </si>
  <si>
    <t>NGC 6772</t>
  </si>
  <si>
    <t>NGC 6778</t>
  </si>
  <si>
    <t>NGC 6781</t>
  </si>
  <si>
    <t>NGC 6786</t>
  </si>
  <si>
    <t>NGC 6789</t>
  </si>
  <si>
    <t>NGC 6791</t>
  </si>
  <si>
    <t>NGC 6792</t>
  </si>
  <si>
    <t>NGC 6801</t>
  </si>
  <si>
    <t>NGC 6802</t>
  </si>
  <si>
    <t>NGC 6804</t>
  </si>
  <si>
    <t>NGC 6811</t>
  </si>
  <si>
    <t>NGC 6813</t>
  </si>
  <si>
    <t>NGC 6814</t>
  </si>
  <si>
    <t>NGC 6818</t>
  </si>
  <si>
    <t>NGC 6819</t>
  </si>
  <si>
    <t>NGC 6820</t>
  </si>
  <si>
    <t>NGC 6822</t>
  </si>
  <si>
    <t>Barnard's Galaxy</t>
  </si>
  <si>
    <t>NGC 6824</t>
  </si>
  <si>
    <t>NGC 6826</t>
  </si>
  <si>
    <t>NGC 6829</t>
  </si>
  <si>
    <t>NGC 6835</t>
  </si>
  <si>
    <t>NGC 6842</t>
  </si>
  <si>
    <t>NGC 6845</t>
  </si>
  <si>
    <t>Tel</t>
  </si>
  <si>
    <t>NGC 6852</t>
  </si>
  <si>
    <t>NGC 6857</t>
  </si>
  <si>
    <t>NGC 6866</t>
  </si>
  <si>
    <t>NGC 6883</t>
  </si>
  <si>
    <t>NGC 6885</t>
  </si>
  <si>
    <t>NGC 6888</t>
  </si>
  <si>
    <t>NGC 6891</t>
  </si>
  <si>
    <t>NGC 6894</t>
  </si>
  <si>
    <t>NGC 6905</t>
  </si>
  <si>
    <t>NGC 6907</t>
  </si>
  <si>
    <t>NGC 6910</t>
  </si>
  <si>
    <t>NGC 6911</t>
  </si>
  <si>
    <t>NGC 6914</t>
  </si>
  <si>
    <t>NGC 6922</t>
  </si>
  <si>
    <t>NGC 6925</t>
  </si>
  <si>
    <t>NGC 6926</t>
  </si>
  <si>
    <t>NGC 6928</t>
  </si>
  <si>
    <t>NGC 6934</t>
  </si>
  <si>
    <t>NGC 6939</t>
  </si>
  <si>
    <t>NGC 6940</t>
  </si>
  <si>
    <t>NGC 6946</t>
  </si>
  <si>
    <t>NGC 6949</t>
  </si>
  <si>
    <t>NGC 6951</t>
  </si>
  <si>
    <t>NGC 6956</t>
  </si>
  <si>
    <t>NGC 6960</t>
  </si>
  <si>
    <t>NGC 6962</t>
  </si>
  <si>
    <t>NGC 6985</t>
  </si>
  <si>
    <t>NGC 6991</t>
  </si>
  <si>
    <t>NGC 6992</t>
  </si>
  <si>
    <t>NGC 6995</t>
  </si>
  <si>
    <t>NGC 7000</t>
  </si>
  <si>
    <t>NGC 7006</t>
  </si>
  <si>
    <t>NGC 7008</t>
  </si>
  <si>
    <t>NGC 7009</t>
  </si>
  <si>
    <t>NGC 7013</t>
  </si>
  <si>
    <t>NGC 7023</t>
  </si>
  <si>
    <t>NGC 7025</t>
  </si>
  <si>
    <t>NGC 7026</t>
  </si>
  <si>
    <t>NGC 7027</t>
  </si>
  <si>
    <t>NGC 7044</t>
  </si>
  <si>
    <t>NGC 7048</t>
  </si>
  <si>
    <t>NGC 7063</t>
  </si>
  <si>
    <t>NGC 7080</t>
  </si>
  <si>
    <t>NGC 7081</t>
  </si>
  <si>
    <t>NGC 7094</t>
  </si>
  <si>
    <t>NGC 7102</t>
  </si>
  <si>
    <t>NGC 7127</t>
  </si>
  <si>
    <t>NGC 7129</t>
  </si>
  <si>
    <t>NGC 7130</t>
  </si>
  <si>
    <t>NGC 7135</t>
  </si>
  <si>
    <t>NGC 7137</t>
  </si>
  <si>
    <t>NGC 7139</t>
  </si>
  <si>
    <t>NGC 7160</t>
  </si>
  <si>
    <t>NGC 7171</t>
  </si>
  <si>
    <t>NGC 7177</t>
  </si>
  <si>
    <t>NGC 7183</t>
  </si>
  <si>
    <t>NGC 7184</t>
  </si>
  <si>
    <t>NGC 7187</t>
  </si>
  <si>
    <t>NGC 7204</t>
  </si>
  <si>
    <t>NGC 7209</t>
  </si>
  <si>
    <t>NGC 7212</t>
  </si>
  <si>
    <t>NGC 7217</t>
  </si>
  <si>
    <t>NGC 7225</t>
  </si>
  <si>
    <t>NGC 7228</t>
  </si>
  <si>
    <t>NGC 7235</t>
  </si>
  <si>
    <t>NGC 7241</t>
  </si>
  <si>
    <t>NGC 7242</t>
  </si>
  <si>
    <t>NGC 7243</t>
  </si>
  <si>
    <t>NGC 7250</t>
  </si>
  <si>
    <t>NGC 7265</t>
  </si>
  <si>
    <t>NGC 7282</t>
  </si>
  <si>
    <t>NGC 7292</t>
  </si>
  <si>
    <t>NGC 7293</t>
  </si>
  <si>
    <t>NGC 7303</t>
  </si>
  <si>
    <t>NGC 7309</t>
  </si>
  <si>
    <t>NGC 7321</t>
  </si>
  <si>
    <t>NGC 7331</t>
  </si>
  <si>
    <t>Deer Lick Galaxy Group</t>
  </si>
  <si>
    <t>NGC 7332</t>
  </si>
  <si>
    <t>NGC 7339</t>
  </si>
  <si>
    <t>NGC 7342</t>
  </si>
  <si>
    <t>WBL 685</t>
  </si>
  <si>
    <t>NGC 7354</t>
  </si>
  <si>
    <t>NGC 7361</t>
  </si>
  <si>
    <t>NGC 7377</t>
  </si>
  <si>
    <t>NGC 7380</t>
  </si>
  <si>
    <t>NGC 7385</t>
  </si>
  <si>
    <t>NGC 7424</t>
  </si>
  <si>
    <t>NGC 7428</t>
  </si>
  <si>
    <t>NGC 7436</t>
  </si>
  <si>
    <t>NGC 7457</t>
  </si>
  <si>
    <t>NGC 7462</t>
  </si>
  <si>
    <t>NGC 7463</t>
  </si>
  <si>
    <t>NGC 7479</t>
  </si>
  <si>
    <t>NGC 7489</t>
  </si>
  <si>
    <t>NGC 7490</t>
  </si>
  <si>
    <t>NGC 7492</t>
  </si>
  <si>
    <t>NGC 7497</t>
  </si>
  <si>
    <t>NGC 7499</t>
  </si>
  <si>
    <t>NGC 7510</t>
  </si>
  <si>
    <t>NGC 7518</t>
  </si>
  <si>
    <t>NGC 7541</t>
  </si>
  <si>
    <t>NGC 7569</t>
  </si>
  <si>
    <t>NGC 7582</t>
  </si>
  <si>
    <t xml:space="preserve">Grus Trio </t>
  </si>
  <si>
    <t>NGC 7589</t>
  </si>
  <si>
    <t>NGC 7591</t>
  </si>
  <si>
    <t>NGC 7592</t>
  </si>
  <si>
    <t>NGC 7594</t>
  </si>
  <si>
    <t>NGC 7606</t>
  </si>
  <si>
    <t>NGC 7610</t>
  </si>
  <si>
    <t>NGC 7626</t>
  </si>
  <si>
    <t>NGC 7635</t>
  </si>
  <si>
    <t>Bubble Nebula</t>
  </si>
  <si>
    <t>NGC 7638</t>
  </si>
  <si>
    <t>NGC 7640</t>
  </si>
  <si>
    <t>NGC 7656</t>
  </si>
  <si>
    <t>NGC 7662</t>
  </si>
  <si>
    <t>NGC 7667</t>
  </si>
  <si>
    <t>NGC 7673</t>
  </si>
  <si>
    <t>NGC 7677</t>
  </si>
  <si>
    <t>NGC 7686</t>
  </si>
  <si>
    <t>NGC 7700</t>
  </si>
  <si>
    <t>NGC 7711</t>
  </si>
  <si>
    <t>NGC 7721</t>
  </si>
  <si>
    <t>NGC 7723</t>
  </si>
  <si>
    <t>NGC 7732</t>
  </si>
  <si>
    <t>NGC 7741</t>
  </si>
  <si>
    <t>NGC 7742</t>
  </si>
  <si>
    <t>NGC 7743</t>
  </si>
  <si>
    <t>NGC 7769</t>
  </si>
  <si>
    <t>NGC 7771</t>
  </si>
  <si>
    <t>NGC 7782</t>
  </si>
  <si>
    <t>NGC 7789</t>
  </si>
  <si>
    <t>NGC 7790</t>
  </si>
  <si>
    <t>NGC 7793</t>
  </si>
  <si>
    <t>Bond's Galaxy</t>
  </si>
  <si>
    <t>NGC 7800</t>
  </si>
  <si>
    <t>NGC 7814</t>
  </si>
  <si>
    <t>NGC 7822</t>
  </si>
  <si>
    <t>Northern Coalsack</t>
  </si>
  <si>
    <t>OU 4</t>
  </si>
  <si>
    <t>Pakan's 3</t>
  </si>
  <si>
    <t>Palomar 12</t>
  </si>
  <si>
    <t>Parsamian 21</t>
  </si>
  <si>
    <t>Parsamian 22</t>
  </si>
  <si>
    <t>PC 22</t>
  </si>
  <si>
    <t>PFP 1</t>
  </si>
  <si>
    <t>II ZW 28</t>
  </si>
  <si>
    <t>VV705</t>
  </si>
  <si>
    <t>PHL 932</t>
  </si>
  <si>
    <t>Picot 1</t>
  </si>
  <si>
    <t>Napoleon's Hat Asterism</t>
  </si>
  <si>
    <t>PM 1-295</t>
  </si>
  <si>
    <t>PP40</t>
  </si>
  <si>
    <t>Pu 1</t>
  </si>
  <si>
    <t>Puppis A</t>
  </si>
  <si>
    <t>PV Cep</t>
  </si>
  <si>
    <t>R Mon</t>
  </si>
  <si>
    <t>Red Rectangle</t>
  </si>
  <si>
    <t>HD 44179</t>
  </si>
  <si>
    <t>Rho Ophiuchi</t>
  </si>
  <si>
    <t>RY Tau</t>
  </si>
  <si>
    <t>Sa 2-21</t>
  </si>
  <si>
    <t>Saurer 1</t>
  </si>
  <si>
    <t>SaWe 3</t>
  </si>
  <si>
    <t>SaWe 4</t>
  </si>
  <si>
    <t>SCG2 0045-2043</t>
  </si>
  <si>
    <t>Scorpius Dark Nebula</t>
  </si>
  <si>
    <t>Seyfert's Sextet</t>
  </si>
  <si>
    <t>Sh1-089</t>
  </si>
  <si>
    <t>Sh1-118</t>
  </si>
  <si>
    <t>Sh2-003</t>
  </si>
  <si>
    <t>Sh2-004</t>
  </si>
  <si>
    <t>Sh2-005</t>
  </si>
  <si>
    <t>Sh2-007</t>
  </si>
  <si>
    <t>Sh2-010</t>
  </si>
  <si>
    <t>Sh2-014</t>
  </si>
  <si>
    <t>Sh2-015</t>
  </si>
  <si>
    <t>Sh2-016</t>
  </si>
  <si>
    <t>Sh2-017</t>
  </si>
  <si>
    <t>Sh2-018</t>
  </si>
  <si>
    <t>Sh2-019</t>
  </si>
  <si>
    <t>Sh2-020</t>
  </si>
  <si>
    <t>Sh2-021</t>
  </si>
  <si>
    <t>Sh2-022</t>
  </si>
  <si>
    <t>Sh2-023</t>
  </si>
  <si>
    <t>Sh2-024</t>
  </si>
  <si>
    <t>Sh2-029</t>
  </si>
  <si>
    <t>Sh2-031</t>
  </si>
  <si>
    <t>Sh2-032</t>
  </si>
  <si>
    <t>Sh2-033</t>
  </si>
  <si>
    <t>Sh2-034</t>
  </si>
  <si>
    <t>Sh2-035</t>
  </si>
  <si>
    <t>Sh2-036</t>
  </si>
  <si>
    <t>Sh2-037</t>
  </si>
  <si>
    <t>Sh2-038</t>
  </si>
  <si>
    <t>Sh2-039</t>
  </si>
  <si>
    <t>Sh2-040</t>
  </si>
  <si>
    <t>Sh2-041</t>
  </si>
  <si>
    <t>Sh2-042</t>
  </si>
  <si>
    <t>Sh2-043</t>
  </si>
  <si>
    <t>Sh2-044</t>
  </si>
  <si>
    <t>Sh2-046</t>
  </si>
  <si>
    <t>Sh2-047</t>
  </si>
  <si>
    <t>Sh2-048</t>
  </si>
  <si>
    <t>Sh2-050</t>
  </si>
  <si>
    <t>Sh2-051</t>
  </si>
  <si>
    <t>Sh2-054</t>
  </si>
  <si>
    <t>Sh2-055</t>
  </si>
  <si>
    <t>Sh2-056</t>
  </si>
  <si>
    <t>Sh2-057</t>
  </si>
  <si>
    <t>Sh2-058</t>
  </si>
  <si>
    <t>Sh2-059</t>
  </si>
  <si>
    <t>Sh2-060</t>
  </si>
  <si>
    <t>Sh2-061</t>
  </si>
  <si>
    <t>Sh2-062</t>
  </si>
  <si>
    <t>Sh2-063</t>
  </si>
  <si>
    <t>Sh2-064</t>
  </si>
  <si>
    <t>Sh2-065</t>
  </si>
  <si>
    <t>Sh2-066</t>
  </si>
  <si>
    <t>Sh2-067</t>
  </si>
  <si>
    <t>Sh2-068</t>
  </si>
  <si>
    <t>Sh2-069</t>
  </si>
  <si>
    <t>Sh2-070</t>
  </si>
  <si>
    <t>Sh2-071</t>
  </si>
  <si>
    <t>Sh2-072</t>
  </si>
  <si>
    <t>Sh2-073</t>
  </si>
  <si>
    <t>Sh2-074</t>
  </si>
  <si>
    <t>Sh2-075</t>
  </si>
  <si>
    <t>Sh2-076</t>
  </si>
  <si>
    <t>Sh2-077</t>
  </si>
  <si>
    <t>Sh2-078</t>
  </si>
  <si>
    <t>Sh2-079</t>
  </si>
  <si>
    <t>Sh2-080</t>
  </si>
  <si>
    <t>Sh2-081</t>
  </si>
  <si>
    <t>Sh2-082</t>
  </si>
  <si>
    <t>Sh2-083</t>
  </si>
  <si>
    <t>Sh2-084</t>
  </si>
  <si>
    <t>Sh2-085</t>
  </si>
  <si>
    <t>Sh2-087</t>
  </si>
  <si>
    <t>Sh2-088</t>
  </si>
  <si>
    <t>Sh2-089</t>
  </si>
  <si>
    <t>Sh2-090</t>
  </si>
  <si>
    <t>Sh2-091</t>
  </si>
  <si>
    <t>Sh2-092</t>
  </si>
  <si>
    <t>Sh2-093</t>
  </si>
  <si>
    <t>Sh2-094</t>
  </si>
  <si>
    <t>Sh2-096</t>
  </si>
  <si>
    <t>Sh2-097</t>
  </si>
  <si>
    <t>Sh2-098</t>
  </si>
  <si>
    <t>Sh2-099</t>
  </si>
  <si>
    <t>Sh2-101</t>
  </si>
  <si>
    <t>Sh2-102</t>
  </si>
  <si>
    <t>Sh2-104</t>
  </si>
  <si>
    <t>Sh2-106</t>
  </si>
  <si>
    <t>Sh2-107</t>
  </si>
  <si>
    <t>Sh2-109</t>
  </si>
  <si>
    <t>Cygnus Area</t>
  </si>
  <si>
    <t>Sh2-110</t>
  </si>
  <si>
    <t>Sh2-111</t>
  </si>
  <si>
    <t>Sh2-112</t>
  </si>
  <si>
    <t>Sh2-113</t>
  </si>
  <si>
    <t>Sh2-114</t>
  </si>
  <si>
    <t>Sh2-115</t>
  </si>
  <si>
    <t>Sh2-118</t>
  </si>
  <si>
    <t>Sh2-119</t>
  </si>
  <si>
    <t>Sh2-120</t>
  </si>
  <si>
    <t>Sh2-121</t>
  </si>
  <si>
    <t>Sh2-122</t>
  </si>
  <si>
    <t>Sh2-123</t>
  </si>
  <si>
    <t>Sh2-124</t>
  </si>
  <si>
    <t>Sh2-127</t>
  </si>
  <si>
    <t>Sh2-130</t>
  </si>
  <si>
    <t>Sh2-132</t>
  </si>
  <si>
    <t>Sh2-133</t>
  </si>
  <si>
    <t>Sh2-134</t>
  </si>
  <si>
    <t>Sh2-135</t>
  </si>
  <si>
    <t>Sh2-137</t>
  </si>
  <si>
    <t>Sh2-138</t>
  </si>
  <si>
    <t>Sh2-139</t>
  </si>
  <si>
    <t>Sh2-140</t>
  </si>
  <si>
    <t>Sh2-141</t>
  </si>
  <si>
    <t>Sh2-143</t>
  </si>
  <si>
    <t>Sh2-144</t>
  </si>
  <si>
    <t>Sh2-145</t>
  </si>
  <si>
    <t>Sh2-146</t>
  </si>
  <si>
    <t>Sh2-147</t>
  </si>
  <si>
    <t>Sh2-148</t>
  </si>
  <si>
    <t>Sh2-149</t>
  </si>
  <si>
    <t>Sh2-150</t>
  </si>
  <si>
    <t>Sh2-151</t>
  </si>
  <si>
    <t>Sh2-152</t>
  </si>
  <si>
    <t>Sh2-153</t>
  </si>
  <si>
    <t>Sh2-154</t>
  </si>
  <si>
    <t>Sh2-155</t>
  </si>
  <si>
    <t>Sh2-156</t>
  </si>
  <si>
    <t>Sh2-157</t>
  </si>
  <si>
    <t>Sh2-158</t>
  </si>
  <si>
    <t>Sh2-159</t>
  </si>
  <si>
    <t>Sh2-160</t>
  </si>
  <si>
    <t>Sh2-161</t>
  </si>
  <si>
    <t>Sh2-163</t>
  </si>
  <si>
    <t>Sh2-164</t>
  </si>
  <si>
    <t>Sh2-165</t>
  </si>
  <si>
    <t>Sh2-166</t>
  </si>
  <si>
    <t>Sh2-167</t>
  </si>
  <si>
    <t>Sh2-168</t>
  </si>
  <si>
    <t>Sh2-169</t>
  </si>
  <si>
    <t>Sh2-170</t>
  </si>
  <si>
    <t>Sh2-172</t>
  </si>
  <si>
    <t>Sh2-173</t>
  </si>
  <si>
    <t>Sh2-174</t>
  </si>
  <si>
    <t>Sh2-175</t>
  </si>
  <si>
    <t>Sh2-176</t>
  </si>
  <si>
    <t>Sh2-177</t>
  </si>
  <si>
    <t>Sh2-178</t>
  </si>
  <si>
    <t>Sh2-179</t>
  </si>
  <si>
    <t>Böhm-Vitense 5-2</t>
  </si>
  <si>
    <t>Sh2-180</t>
  </si>
  <si>
    <t>Sh2-181</t>
  </si>
  <si>
    <t>Sh2-182</t>
  </si>
  <si>
    <t>Sh2-183</t>
  </si>
  <si>
    <t>Sh2-186</t>
  </si>
  <si>
    <t>Sh2-187</t>
  </si>
  <si>
    <t>Sh2-188</t>
  </si>
  <si>
    <t>Sh2-192</t>
  </si>
  <si>
    <t>Sh2-193</t>
  </si>
  <si>
    <t>Sh2-194</t>
  </si>
  <si>
    <t>Sh2-195</t>
  </si>
  <si>
    <t>Sh2-196</t>
  </si>
  <si>
    <t>Sh2-198</t>
  </si>
  <si>
    <t>Sh2-200</t>
  </si>
  <si>
    <t>HDW 2</t>
  </si>
  <si>
    <t>Sh2-201</t>
  </si>
  <si>
    <t>Sh2-202</t>
  </si>
  <si>
    <t>Sh2-203</t>
  </si>
  <si>
    <t>Sh2-204</t>
  </si>
  <si>
    <t>Sh2-205</t>
  </si>
  <si>
    <t>Sh2-207</t>
  </si>
  <si>
    <t>Sh2-208</t>
  </si>
  <si>
    <t>Sh2-209</t>
  </si>
  <si>
    <t>Sh2-210</t>
  </si>
  <si>
    <t>Sh2-211</t>
  </si>
  <si>
    <t>Sh2-212</t>
  </si>
  <si>
    <t>Sh2-213</t>
  </si>
  <si>
    <t>Sh2-214</t>
  </si>
  <si>
    <t>Sh2-215</t>
  </si>
  <si>
    <t>Sh2-216</t>
  </si>
  <si>
    <t>Simeiz 288</t>
  </si>
  <si>
    <t>Sh2-217</t>
  </si>
  <si>
    <t>Sh2-218</t>
  </si>
  <si>
    <t>Sh2-219</t>
  </si>
  <si>
    <t>Sh2-221</t>
  </si>
  <si>
    <t>Sh2-223</t>
  </si>
  <si>
    <t>Sh2-224</t>
  </si>
  <si>
    <t>Sh2-225</t>
  </si>
  <si>
    <t>Sh2-226</t>
  </si>
  <si>
    <t>Sh2-227</t>
  </si>
  <si>
    <t>Sh2-228</t>
  </si>
  <si>
    <t>Sh2-230</t>
  </si>
  <si>
    <t>Sh2-231</t>
  </si>
  <si>
    <t>Sh2-232</t>
  </si>
  <si>
    <t>Sh2-233</t>
  </si>
  <si>
    <t>Sh2-235</t>
  </si>
  <si>
    <t>Sh2-239</t>
  </si>
  <si>
    <t>Sh2-240</t>
  </si>
  <si>
    <t>Sh2-241</t>
  </si>
  <si>
    <t>Sh2-242</t>
  </si>
  <si>
    <t>Sh2-245</t>
  </si>
  <si>
    <t>Sh2-246</t>
  </si>
  <si>
    <t>Sh2-247</t>
  </si>
  <si>
    <t>Sh2-249</t>
  </si>
  <si>
    <t>Sh2-250</t>
  </si>
  <si>
    <t>Sh2-251</t>
  </si>
  <si>
    <t>Sh2-253</t>
  </si>
  <si>
    <t>Sh2-254</t>
  </si>
  <si>
    <t>Sh2-255</t>
  </si>
  <si>
    <t>Sh2-256</t>
  </si>
  <si>
    <t>Sh2-257</t>
  </si>
  <si>
    <t>Sh2-258</t>
  </si>
  <si>
    <t>Sh2-259</t>
  </si>
  <si>
    <t>Sh2-260</t>
  </si>
  <si>
    <t>Sh2-261</t>
  </si>
  <si>
    <t>Sh2-262</t>
  </si>
  <si>
    <t>Sh2-263</t>
  </si>
  <si>
    <t>Sh2-264</t>
  </si>
  <si>
    <t>Sh2-265</t>
  </si>
  <si>
    <t>Sh2-266</t>
  </si>
  <si>
    <t>Sh2-267</t>
  </si>
  <si>
    <t>Sh2-268</t>
  </si>
  <si>
    <t>Sh2-269</t>
  </si>
  <si>
    <t>Sh2-270</t>
  </si>
  <si>
    <t>Sh2-271</t>
  </si>
  <si>
    <t>Sh2-272</t>
  </si>
  <si>
    <t>Sh2-276</t>
  </si>
  <si>
    <t>Sh2-278</t>
  </si>
  <si>
    <t>Sh2-280</t>
  </si>
  <si>
    <t>Sh2-282</t>
  </si>
  <si>
    <t>Sh2-283</t>
  </si>
  <si>
    <t>Sh2-284</t>
  </si>
  <si>
    <t>Sh2-285</t>
  </si>
  <si>
    <t>Sh2-286</t>
  </si>
  <si>
    <t>Sh2-287</t>
  </si>
  <si>
    <t>Sh2-288</t>
  </si>
  <si>
    <t>Sh2-289</t>
  </si>
  <si>
    <t>Sh2-291</t>
  </si>
  <si>
    <t>Sh2-293</t>
  </si>
  <si>
    <t>Sh2-294</t>
  </si>
  <si>
    <t>Sh2-295</t>
  </si>
  <si>
    <t>Sh2-297</t>
  </si>
  <si>
    <t>Sh2-299</t>
  </si>
  <si>
    <t>Sh2-300</t>
  </si>
  <si>
    <t>Sh2-301</t>
  </si>
  <si>
    <t>Sh2-302</t>
  </si>
  <si>
    <t>Sh2-303</t>
  </si>
  <si>
    <t>Sh2-304</t>
  </si>
  <si>
    <t>Sh2-305</t>
  </si>
  <si>
    <t>Sh2-306</t>
  </si>
  <si>
    <t>Sh2-307</t>
  </si>
  <si>
    <t>Sh2-308</t>
  </si>
  <si>
    <t>Sh2-309</t>
  </si>
  <si>
    <t>Sh2-310</t>
  </si>
  <si>
    <t>Sh2-312</t>
  </si>
  <si>
    <t>Shakhbazian 001</t>
  </si>
  <si>
    <t>Shakhbazian 049</t>
  </si>
  <si>
    <t>Simeis 57</t>
  </si>
  <si>
    <t>Soap Bubble</t>
  </si>
  <si>
    <t>Stargate</t>
  </si>
  <si>
    <t>Stock 2</t>
  </si>
  <si>
    <t>SU Aur</t>
  </si>
  <si>
    <t>T Tau</t>
  </si>
  <si>
    <t>Terzan 7</t>
  </si>
  <si>
    <t>Terzan 8</t>
  </si>
  <si>
    <t>Tiny Dipper</t>
  </si>
  <si>
    <t>Tr 5</t>
  </si>
  <si>
    <t>Trapezium</t>
  </si>
  <si>
    <t>UGC 00711</t>
  </si>
  <si>
    <t>UGC 00829</t>
  </si>
  <si>
    <t>UGC 02411</t>
  </si>
  <si>
    <t>UGC 02885</t>
  </si>
  <si>
    <t>UGC 03697</t>
  </si>
  <si>
    <t>UGC 03789</t>
  </si>
  <si>
    <t>VII Zw 140</t>
  </si>
  <si>
    <t>UGC 04133</t>
  </si>
  <si>
    <t>UGC 04277</t>
  </si>
  <si>
    <t>UGC 04332</t>
  </si>
  <si>
    <t>UGC 04599</t>
  </si>
  <si>
    <t>UGC 04703</t>
  </si>
  <si>
    <t>UGC 04722</t>
  </si>
  <si>
    <t>UGC 05055</t>
  </si>
  <si>
    <t>UGC 05101</t>
  </si>
  <si>
    <t>UGC 05609</t>
  </si>
  <si>
    <t>UGC 06309</t>
  </si>
  <si>
    <t>UGC 06614</t>
  </si>
  <si>
    <t>UGC 07321</t>
  </si>
  <si>
    <t>UGC 08058</t>
  </si>
  <si>
    <t>UGC 08146</t>
  </si>
  <si>
    <t>UGC 08303</t>
  </si>
  <si>
    <t>UGC 08696</t>
  </si>
  <si>
    <t>UGC 09169</t>
  </si>
  <si>
    <t>UGC 09242</t>
  </si>
  <si>
    <t>UGC 09511</t>
  </si>
  <si>
    <t>I Zw 96</t>
  </si>
  <si>
    <t>UGC 09562</t>
  </si>
  <si>
    <t>UGC 09749</t>
  </si>
  <si>
    <t>Ursa Minor Dwarf Galaxy</t>
  </si>
  <si>
    <t>UGC 09796</t>
  </si>
  <si>
    <t xml:space="preserve">II Zw 073  </t>
  </si>
  <si>
    <t>UGC 09977</t>
  </si>
  <si>
    <t>UGC 10043</t>
  </si>
  <si>
    <t>UGC 10273</t>
  </si>
  <si>
    <t>UGC 10288</t>
  </si>
  <si>
    <t>UGC 10548</t>
  </si>
  <si>
    <t>UGC 10822</t>
  </si>
  <si>
    <t xml:space="preserve">Draco Dwarf Galaxy   </t>
  </si>
  <si>
    <t>UGC 11185</t>
  </si>
  <si>
    <t>UGC 11871</t>
  </si>
  <si>
    <t>UGC 11905</t>
  </si>
  <si>
    <t>UGC 12071</t>
  </si>
  <si>
    <t>UGC 12137</t>
  </si>
  <si>
    <t>UGC 12342</t>
  </si>
  <si>
    <t>UGC 12423</t>
  </si>
  <si>
    <t>UGC 12915</t>
  </si>
  <si>
    <t>V0375 Lac</t>
  </si>
  <si>
    <t>V0376 Cas</t>
  </si>
  <si>
    <t>V0380 Ori</t>
  </si>
  <si>
    <t>V0565 Mon</t>
  </si>
  <si>
    <t>V0628 Cas</t>
  </si>
  <si>
    <t>V0633 Cas</t>
  </si>
  <si>
    <t>V1023 Tau</t>
  </si>
  <si>
    <t>V1331 Cyg</t>
  </si>
  <si>
    <t>V1352 Aql</t>
  </si>
  <si>
    <t>V1793 Ori</t>
  </si>
  <si>
    <t>V1982 Cyg</t>
  </si>
  <si>
    <t>vdB 001</t>
  </si>
  <si>
    <t>vdB 002</t>
  </si>
  <si>
    <t>vdB 003</t>
  </si>
  <si>
    <t>vdB 004</t>
  </si>
  <si>
    <t>vdB 005</t>
  </si>
  <si>
    <t>vdB 007</t>
  </si>
  <si>
    <t>vdB 008</t>
  </si>
  <si>
    <t>vdB 009</t>
  </si>
  <si>
    <t>vdB 010</t>
  </si>
  <si>
    <t>vdB 011</t>
  </si>
  <si>
    <t>vdB 012</t>
  </si>
  <si>
    <t>vdB 013</t>
  </si>
  <si>
    <t>vdB 014</t>
  </si>
  <si>
    <t>vdB 015</t>
  </si>
  <si>
    <t>vdB 016</t>
  </si>
  <si>
    <t>vdB 020</t>
  </si>
  <si>
    <t>vdB 021</t>
  </si>
  <si>
    <t>vdB 022</t>
  </si>
  <si>
    <t>vdB 023</t>
  </si>
  <si>
    <t>vdB 024</t>
  </si>
  <si>
    <t>vdB 025</t>
  </si>
  <si>
    <t>vdB 026</t>
  </si>
  <si>
    <t>vdB 027</t>
  </si>
  <si>
    <t>vdB 029</t>
  </si>
  <si>
    <t>vdB 030</t>
  </si>
  <si>
    <t>vdB 031</t>
  </si>
  <si>
    <t>vdB 032</t>
  </si>
  <si>
    <t>vdB 035</t>
  </si>
  <si>
    <t>vdB 036</t>
  </si>
  <si>
    <t>vdB 037</t>
  </si>
  <si>
    <t>vdB 039</t>
  </si>
  <si>
    <t>vdB 040</t>
  </si>
  <si>
    <t>vdB 041</t>
  </si>
  <si>
    <t>vdB 042</t>
  </si>
  <si>
    <t>vdB 043</t>
  </si>
  <si>
    <t>vdB 044</t>
  </si>
  <si>
    <t>vdB 045</t>
  </si>
  <si>
    <t>vdB 047</t>
  </si>
  <si>
    <t>vdB 048</t>
  </si>
  <si>
    <t>vdB 049</t>
  </si>
  <si>
    <t>vdB 050</t>
  </si>
  <si>
    <t>vdB 051</t>
  </si>
  <si>
    <t>vdB 052</t>
  </si>
  <si>
    <t>vdB 053</t>
  </si>
  <si>
    <t>vdB 054</t>
  </si>
  <si>
    <t>vdB 055</t>
  </si>
  <si>
    <t>vdB 056</t>
  </si>
  <si>
    <t>vdB 057</t>
  </si>
  <si>
    <t>vdB 058</t>
  </si>
  <si>
    <t>vdB 059</t>
  </si>
  <si>
    <t>vdB 060</t>
  </si>
  <si>
    <t>vdB 061</t>
  </si>
  <si>
    <t>vdB 062</t>
  </si>
  <si>
    <t>vdB 063</t>
  </si>
  <si>
    <t>vdB 064</t>
  </si>
  <si>
    <t>vdB 065</t>
  </si>
  <si>
    <t>vdB 066</t>
  </si>
  <si>
    <t>vdB 067</t>
  </si>
  <si>
    <t>vdB 068</t>
  </si>
  <si>
    <t>vdB 069</t>
  </si>
  <si>
    <t>vdB 070</t>
  </si>
  <si>
    <t>vdB 071</t>
  </si>
  <si>
    <t>vdb 072</t>
  </si>
  <si>
    <t>vdB 073</t>
  </si>
  <si>
    <t>vdB 074</t>
  </si>
  <si>
    <t>vdB 075</t>
  </si>
  <si>
    <t>vdB 076</t>
  </si>
  <si>
    <t>vdB 077</t>
  </si>
  <si>
    <t>vdB 078</t>
  </si>
  <si>
    <t>vdB 079</t>
  </si>
  <si>
    <t>vdB 080</t>
  </si>
  <si>
    <t>vdB 081</t>
  </si>
  <si>
    <t>vdB 083</t>
  </si>
  <si>
    <t>vdB 084</t>
  </si>
  <si>
    <t>vdB 086</t>
  </si>
  <si>
    <t>vdB 087</t>
  </si>
  <si>
    <t>vdB 089</t>
  </si>
  <si>
    <t>vdB 091</t>
  </si>
  <si>
    <t>vdB 092</t>
  </si>
  <si>
    <t>vdB 095</t>
  </si>
  <si>
    <t>vdB 096</t>
  </si>
  <si>
    <t>vdB 098</t>
  </si>
  <si>
    <t>vdB 099</t>
  </si>
  <si>
    <t>vdB 100</t>
  </si>
  <si>
    <t>vdB 101</t>
  </si>
  <si>
    <t>vdB 102</t>
  </si>
  <si>
    <t>vdB 103</t>
  </si>
  <si>
    <t>vdB 104</t>
  </si>
  <si>
    <t>vdB 105</t>
  </si>
  <si>
    <t>vdB 106</t>
  </si>
  <si>
    <t>vdB 107</t>
  </si>
  <si>
    <t>vdB 108</t>
  </si>
  <si>
    <t>vdB 109</t>
  </si>
  <si>
    <t>vdB 110</t>
  </si>
  <si>
    <t>vdB 111</t>
  </si>
  <si>
    <t>vdB 112</t>
  </si>
  <si>
    <t>vdB 113</t>
  </si>
  <si>
    <t>vdB 114</t>
  </si>
  <si>
    <t>vdB 115</t>
  </si>
  <si>
    <t>vdB 116</t>
  </si>
  <si>
    <t>vdB 117</t>
  </si>
  <si>
    <t>vdB 118</t>
  </si>
  <si>
    <t>vdB 119</t>
  </si>
  <si>
    <t>vdB 120</t>
  </si>
  <si>
    <t>vdB 121</t>
  </si>
  <si>
    <t>vdB 122</t>
  </si>
  <si>
    <t>vdB 123</t>
  </si>
  <si>
    <t>Serpens Cloud</t>
  </si>
  <si>
    <t>vdB 124</t>
  </si>
  <si>
    <t>vdB 125</t>
  </si>
  <si>
    <t>vdB 126</t>
  </si>
  <si>
    <t>vdB 127</t>
  </si>
  <si>
    <t>vdB 128</t>
  </si>
  <si>
    <t>vdB 129</t>
  </si>
  <si>
    <t>vdB 130</t>
  </si>
  <si>
    <t>vdB 131</t>
  </si>
  <si>
    <t>vdB 132</t>
  </si>
  <si>
    <t>vdB 133</t>
  </si>
  <si>
    <t>vdB 134</t>
  </si>
  <si>
    <t>vdB 135</t>
  </si>
  <si>
    <t>vdB 136</t>
  </si>
  <si>
    <t>vdB 137</t>
  </si>
  <si>
    <t>vdB 138</t>
  </si>
  <si>
    <t>vdB 140</t>
  </si>
  <si>
    <t>vdB 141</t>
  </si>
  <si>
    <t>vdB 142</t>
  </si>
  <si>
    <t>vdB 143</t>
  </si>
  <si>
    <t>vdB 144</t>
  </si>
  <si>
    <t>vdB 145</t>
  </si>
  <si>
    <t>vdB 146</t>
  </si>
  <si>
    <t>vdB 147</t>
  </si>
  <si>
    <t>vdB 148</t>
  </si>
  <si>
    <t>vdB 149</t>
  </si>
  <si>
    <t>vdB 150</t>
  </si>
  <si>
    <t>vdB 151</t>
  </si>
  <si>
    <t>vdB 152</t>
  </si>
  <si>
    <t>vdB 153</t>
  </si>
  <si>
    <t>vdB 154</t>
  </si>
  <si>
    <t>vdB 155</t>
  </si>
  <si>
    <t>vdB 156</t>
  </si>
  <si>
    <t>vdB 156d</t>
  </si>
  <si>
    <t>LBN477</t>
  </si>
  <si>
    <t>vdB 157</t>
  </si>
  <si>
    <t>vdB 158</t>
  </si>
  <si>
    <t>LBN534</t>
  </si>
  <si>
    <t>vdB 159</t>
  </si>
  <si>
    <t>vdB 18</t>
  </si>
  <si>
    <t>Vela Bridge</t>
  </si>
  <si>
    <t>Vela Highway</t>
  </si>
  <si>
    <t>Vela Spiral Flame</t>
  </si>
  <si>
    <t>Vela SNR</t>
  </si>
  <si>
    <t>VII Zw 466</t>
  </si>
  <si>
    <t>VV 788</t>
  </si>
  <si>
    <t>We 1-01</t>
  </si>
  <si>
    <t>We 1-04</t>
  </si>
  <si>
    <t>We 1-06</t>
  </si>
  <si>
    <t>We 1-07</t>
  </si>
  <si>
    <t>We 1-09</t>
  </si>
  <si>
    <t>We 1-10</t>
  </si>
  <si>
    <t>We 1-11</t>
  </si>
  <si>
    <t>We 2-245</t>
  </si>
  <si>
    <t>We 3-01</t>
  </si>
  <si>
    <t>WeBo 1</t>
  </si>
  <si>
    <t>WeDe 1</t>
  </si>
  <si>
    <t>WeSb 2</t>
  </si>
  <si>
    <t>WeSb 4</t>
  </si>
  <si>
    <t>WeSb 5</t>
  </si>
  <si>
    <t>Whiting 1</t>
  </si>
  <si>
    <t>WLM</t>
  </si>
  <si>
    <t>Wolf–Lundmark–Melotte</t>
  </si>
  <si>
    <t>WR 134</t>
  </si>
  <si>
    <t>XY Per</t>
  </si>
  <si>
    <t>YM 16</t>
  </si>
  <si>
    <t>Zw I 136</t>
  </si>
  <si>
    <t>ZW II 33</t>
  </si>
  <si>
    <t>ZW II 96</t>
  </si>
  <si>
    <t>ZW III 33</t>
  </si>
  <si>
    <t>Declination</t>
  </si>
  <si>
    <t>Right Ascension</t>
  </si>
  <si>
    <t>NGC 2126</t>
  </si>
  <si>
    <t>NGC 2129</t>
  </si>
  <si>
    <t>NGC 2186</t>
  </si>
  <si>
    <t>NGC 2194</t>
  </si>
  <si>
    <t>NGC 2204</t>
  </si>
  <si>
    <t>NGC 2215</t>
  </si>
  <si>
    <t>NGC 2266</t>
  </si>
  <si>
    <t>NGC 2286</t>
  </si>
  <si>
    <t>NGC 2304</t>
  </si>
  <si>
    <t>NGC 2311</t>
  </si>
  <si>
    <t>NGC 2324</t>
  </si>
  <si>
    <t>NGC 2355</t>
  </si>
  <si>
    <t>NGC 2395</t>
  </si>
  <si>
    <t>NGC 2482</t>
  </si>
  <si>
    <t>NGC 2509</t>
  </si>
  <si>
    <t>NGC 2567</t>
  </si>
  <si>
    <t>NGC 2571</t>
  </si>
  <si>
    <t>NGC 2627</t>
  </si>
  <si>
    <t>NGC 2811</t>
  </si>
  <si>
    <t>NGC 2974</t>
  </si>
  <si>
    <t>NGC 3245</t>
  </si>
  <si>
    <t>NGC 3277</t>
  </si>
  <si>
    <t>NGC 3377</t>
  </si>
  <si>
    <t>NGC 3412</t>
  </si>
  <si>
    <t>NGC 3610</t>
  </si>
  <si>
    <t>NGC 3613</t>
  </si>
  <si>
    <t>NGC 3619</t>
  </si>
  <si>
    <t>NGC 3655</t>
  </si>
  <si>
    <t>NGC 3665</t>
  </si>
  <si>
    <t>NGC 3813</t>
  </si>
  <si>
    <t>NGC 3941</t>
  </si>
  <si>
    <t>NGC 3998</t>
  </si>
  <si>
    <t>NGC 4143</t>
  </si>
  <si>
    <t>NGC 4150</t>
  </si>
  <si>
    <t>NGC 4179</t>
  </si>
  <si>
    <t>NGC 4203</t>
  </si>
  <si>
    <t>NGC 4251</t>
  </si>
  <si>
    <t>NGC 4261</t>
  </si>
  <si>
    <t>NGC 4346</t>
  </si>
  <si>
    <t>NGC 4459</t>
  </si>
  <si>
    <t>NGC 4546</t>
  </si>
  <si>
    <t>NGC 4550</t>
  </si>
  <si>
    <t>NGC 4570</t>
  </si>
  <si>
    <t>NGC 4995</t>
  </si>
  <si>
    <t>NGC 5273</t>
  </si>
  <si>
    <t>NGC 5473</t>
  </si>
  <si>
    <t>NGC 5557</t>
  </si>
  <si>
    <t>NGC 5631</t>
  </si>
  <si>
    <t>NGC 6235</t>
  </si>
  <si>
    <t>NGC 6284</t>
  </si>
  <si>
    <t>NGC 6316</t>
  </si>
  <si>
    <t>NGC 6342</t>
  </si>
  <si>
    <t>NGC 6355</t>
  </si>
  <si>
    <t>NGC 6401</t>
  </si>
  <si>
    <t>NGC 6451</t>
  </si>
  <si>
    <t>NGC 6517</t>
  </si>
  <si>
    <t>NGC 6540</t>
  </si>
  <si>
    <t>NGC 6568</t>
  </si>
  <si>
    <t>NGC 6569</t>
  </si>
  <si>
    <t>NGC 6583</t>
  </si>
  <si>
    <t>NGC 6642</t>
  </si>
  <si>
    <t>NGC 6645</t>
  </si>
  <si>
    <t>NGC 6823</t>
  </si>
  <si>
    <t>NGC 6830</t>
  </si>
  <si>
    <t>NGC 6834</t>
  </si>
  <si>
    <t>NGC 7062</t>
  </si>
  <si>
    <t>NGC 7086</t>
  </si>
  <si>
    <t>NGC 7128</t>
  </si>
  <si>
    <t>NGC 7142</t>
  </si>
  <si>
    <t>NGC 7296</t>
  </si>
  <si>
    <t>NGC 1058</t>
  </si>
  <si>
    <t>NGC 1186</t>
  </si>
  <si>
    <t>NGC 1201</t>
  </si>
  <si>
    <t>NGC 0474</t>
  </si>
  <si>
    <t>NGC 0493</t>
  </si>
  <si>
    <t>NGC 0160</t>
  </si>
  <si>
    <t>NGC 0173</t>
  </si>
  <si>
    <t>NGC 0315</t>
  </si>
  <si>
    <t>NGC 0536</t>
  </si>
  <si>
    <t>NGC 0658</t>
  </si>
  <si>
    <t>NGC 0801</t>
  </si>
  <si>
    <t>NGC 0803</t>
  </si>
  <si>
    <t>Shells</t>
  </si>
  <si>
    <t>116.9+0.2</t>
  </si>
  <si>
    <t>111.7-2.1</t>
  </si>
  <si>
    <t>206.9+2.3</t>
  </si>
  <si>
    <t>184.6-5.8</t>
  </si>
  <si>
    <t>260.4-3.4</t>
  </si>
  <si>
    <t>263.9-3.3a</t>
  </si>
  <si>
    <t>263.9-3.3b</t>
  </si>
  <si>
    <t>263.9-3.3c</t>
  </si>
  <si>
    <t>263.9-3.3d</t>
  </si>
  <si>
    <t>180.0-1.7</t>
  </si>
  <si>
    <t>263.9-3.3e</t>
  </si>
  <si>
    <t>189.1+3.0</t>
  </si>
  <si>
    <t>166.0+4.3</t>
  </si>
  <si>
    <t>065.2+5.7a</t>
  </si>
  <si>
    <t>065.2+5.7b</t>
  </si>
  <si>
    <t>065.2+5.7c</t>
  </si>
  <si>
    <t>074.0-8.5</t>
  </si>
  <si>
    <t>074.0-8.5a</t>
  </si>
  <si>
    <t>074.0-8.5b</t>
  </si>
  <si>
    <t>074.0-8.5c</t>
  </si>
  <si>
    <t>082.2+5.3</t>
  </si>
  <si>
    <t>Ear Nebula</t>
  </si>
  <si>
    <t>NGC 5320</t>
  </si>
  <si>
    <t>NGC 5334</t>
  </si>
  <si>
    <t>NGC 5348</t>
  </si>
  <si>
    <t>NGC 5389</t>
  </si>
  <si>
    <t>NGC 5422</t>
  </si>
  <si>
    <t>NGC 5859</t>
  </si>
  <si>
    <t>ISM</t>
  </si>
  <si>
    <t>Object Data</t>
  </si>
  <si>
    <t>Catalogues</t>
  </si>
  <si>
    <t>DST?</t>
  </si>
  <si>
    <t>Age:</t>
  </si>
  <si>
    <t>Illum:</t>
  </si>
  <si>
    <t>Moon Phases</t>
  </si>
  <si>
    <t>Moon</t>
  </si>
  <si>
    <t>Objects</t>
  </si>
  <si>
    <t>Time</t>
  </si>
  <si>
    <t>Date</t>
  </si>
  <si>
    <t>Index</t>
  </si>
  <si>
    <t>New</t>
  </si>
  <si>
    <t>1Q</t>
  </si>
  <si>
    <t>Full</t>
  </si>
  <si>
    <t>LQ</t>
  </si>
  <si>
    <t>Age</t>
  </si>
  <si>
    <t>True Value</t>
  </si>
  <si>
    <t>lQ</t>
  </si>
  <si>
    <t>Illum-True Value</t>
  </si>
  <si>
    <t>RA:</t>
  </si>
  <si>
    <t>Dec:</t>
  </si>
  <si>
    <t>Resources for Main Worksheet</t>
  </si>
  <si>
    <t>(Deg)</t>
  </si>
  <si>
    <t xml:space="preserve">(H / M / S)   </t>
  </si>
  <si>
    <t xml:space="preserve">(D / M / S)   </t>
  </si>
  <si>
    <t>IC 4351</t>
  </si>
  <si>
    <t>IC 1515</t>
  </si>
  <si>
    <t>IC 5156</t>
  </si>
  <si>
    <t>NGC 0027</t>
  </si>
  <si>
    <t>NGC 0051</t>
  </si>
  <si>
    <t>NGC 3721</t>
  </si>
  <si>
    <t>NGC 3801</t>
  </si>
  <si>
    <t>NGC 7042</t>
  </si>
  <si>
    <t>NGC 7223</t>
  </si>
  <si>
    <t>NGC 6916</t>
  </si>
  <si>
    <t>NGC 6350</t>
  </si>
  <si>
    <t>NGC 6351</t>
  </si>
  <si>
    <t>NGC 6473</t>
  </si>
  <si>
    <t>NGC 7132</t>
  </si>
  <si>
    <t>NGC 7567</t>
  </si>
  <si>
    <t>IC 1433</t>
  </si>
  <si>
    <t>Aqr</t>
  </si>
  <si>
    <t>IC 1510</t>
  </si>
  <si>
    <t>NGC 1516</t>
  </si>
  <si>
    <t>NGC 1110</t>
  </si>
  <si>
    <t>NGC 1452</t>
  </si>
  <si>
    <t>NGC 7246</t>
  </si>
  <si>
    <t>NGC 7260</t>
  </si>
  <si>
    <t>NGC 7437</t>
  </si>
  <si>
    <t>UGC 11585</t>
  </si>
  <si>
    <t>UGC 12040</t>
  </si>
  <si>
    <t>UGC 12588</t>
  </si>
  <si>
    <t>IC 0171</t>
  </si>
  <si>
    <t>NGC 0279</t>
  </si>
  <si>
    <t>IC 0391</t>
  </si>
  <si>
    <t>IC 0277</t>
  </si>
  <si>
    <t>NGC 1210</t>
  </si>
  <si>
    <t>NGC 1397</t>
  </si>
  <si>
    <t>NGC 2139</t>
  </si>
  <si>
    <t>NGC 2347</t>
  </si>
  <si>
    <t>NGC 4250</t>
  </si>
  <si>
    <t>NGC 5211</t>
  </si>
  <si>
    <t>NGC 6358</t>
  </si>
  <si>
    <t>NGC 6906</t>
  </si>
  <si>
    <t>NGC 7156</t>
  </si>
  <si>
    <t>Uma</t>
  </si>
  <si>
    <t>IC 1015</t>
  </si>
  <si>
    <t>IC 1151</t>
  </si>
  <si>
    <t>IC 4634</t>
  </si>
  <si>
    <t>NGC 0001</t>
  </si>
  <si>
    <t>NGC 1436</t>
  </si>
  <si>
    <t>NGC 1620</t>
  </si>
  <si>
    <t>NGC 5584</t>
  </si>
  <si>
    <t>NGC 6004</t>
  </si>
  <si>
    <t>NGC 6821</t>
  </si>
  <si>
    <t>NGC 7051</t>
  </si>
  <si>
    <t>NGC 7154</t>
  </si>
  <si>
    <t>NGC 7419</t>
  </si>
  <si>
    <t>NGC 7562</t>
  </si>
  <si>
    <t>UGC 00006</t>
  </si>
  <si>
    <t>UGC 01651</t>
  </si>
  <si>
    <t>UGC 02369</t>
  </si>
  <si>
    <t>UGC 12525</t>
  </si>
  <si>
    <t>IC 0200</t>
  </si>
  <si>
    <t>Notes</t>
  </si>
  <si>
    <t>IC 0658</t>
  </si>
  <si>
    <t>NGC 1085</t>
  </si>
  <si>
    <t>NGC 1334</t>
  </si>
  <si>
    <t>NGC 1376</t>
  </si>
  <si>
    <t>NGC 1453</t>
  </si>
  <si>
    <t>NGC 3611</t>
  </si>
  <si>
    <t>NGC 3660</t>
  </si>
  <si>
    <t>NGC 4262</t>
  </si>
  <si>
    <t>NGC 4457</t>
  </si>
  <si>
    <t>NGC 4909</t>
  </si>
  <si>
    <t>NGC 4921</t>
  </si>
  <si>
    <t>NGC 4922</t>
  </si>
  <si>
    <t>NGC 4984</t>
  </si>
  <si>
    <t>NGC 5100</t>
  </si>
  <si>
    <t>NGC 5183</t>
  </si>
  <si>
    <t>UGC 08155</t>
  </si>
  <si>
    <t>X</t>
  </si>
  <si>
    <t>EGB 10</t>
  </si>
  <si>
    <t>CTA 1</t>
  </si>
  <si>
    <t>G119.5+10.2</t>
  </si>
  <si>
    <t>The Shock Bows</t>
  </si>
  <si>
    <t>LBN 0380</t>
  </si>
  <si>
    <t>LBN 0569</t>
  </si>
  <si>
    <t>LBN 0639</t>
  </si>
  <si>
    <t>LBN 0644</t>
  </si>
  <si>
    <t>LDN 0043</t>
  </si>
  <si>
    <t>NGC 1220</t>
  </si>
  <si>
    <t>IC 0749</t>
  </si>
  <si>
    <t>SNR G119.5+10.2</t>
  </si>
  <si>
    <t>NGC 2888</t>
  </si>
  <si>
    <t>G132.8+2.0</t>
  </si>
  <si>
    <t>LBN 0603</t>
  </si>
  <si>
    <t>LDN 1455</t>
  </si>
  <si>
    <t>LBN 0762</t>
  </si>
  <si>
    <t>Polaris IFN</t>
  </si>
  <si>
    <t>Westerhout 63</t>
  </si>
  <si>
    <t>NGC 0271</t>
  </si>
  <si>
    <t>LDN 1089</t>
  </si>
  <si>
    <t>Kohoutek 2-15</t>
  </si>
  <si>
    <t>IC 2169</t>
  </si>
  <si>
    <t>G179.0+02.6</t>
  </si>
  <si>
    <t>179+2.6</t>
  </si>
  <si>
    <t>UGC 09936</t>
  </si>
  <si>
    <t>NGC 0662</t>
  </si>
  <si>
    <t>NGC 0884</t>
  </si>
  <si>
    <t>Barnard 010</t>
  </si>
  <si>
    <t>NGC 3430</t>
  </si>
  <si>
    <t>NGC 1340</t>
  </si>
  <si>
    <t>PGC 0006101</t>
  </si>
  <si>
    <t>PGC 0033083</t>
  </si>
  <si>
    <t>PGC 0036252</t>
  </si>
  <si>
    <t>PGC 0067860</t>
  </si>
  <si>
    <t>PGC 0067880</t>
  </si>
  <si>
    <t>PGC 0093851</t>
  </si>
  <si>
    <t>PGC 0139235</t>
  </si>
  <si>
    <t>PGC 2076843</t>
  </si>
  <si>
    <t>PGC 0002248</t>
  </si>
  <si>
    <t>PGC 0002493</t>
  </si>
  <si>
    <t>PGC 0003182</t>
  </si>
  <si>
    <t>PGC 0003589</t>
  </si>
  <si>
    <t>PGC 0008896</t>
  </si>
  <si>
    <t>PGC 0016572</t>
  </si>
  <si>
    <t>PGC 0017588</t>
  </si>
  <si>
    <t>PGC 0025926</t>
  </si>
  <si>
    <t>PGC 0032550</t>
  </si>
  <si>
    <t>PGC 0036122</t>
  </si>
  <si>
    <t>PGC 0037680</t>
  </si>
  <si>
    <t>PGC 0046461</t>
  </si>
  <si>
    <t>PGC 0049473</t>
  </si>
  <si>
    <t>PGC 0053134</t>
  </si>
  <si>
    <t>PGC 0062946</t>
  </si>
  <si>
    <t>PGC 0090367</t>
  </si>
  <si>
    <t>NGC 5861</t>
  </si>
  <si>
    <t>NGC 6007</t>
  </si>
  <si>
    <t>NGC 5053</t>
  </si>
  <si>
    <t>LBN 0629</t>
  </si>
  <si>
    <t>NGC 2626</t>
  </si>
  <si>
    <t>NGC 5106</t>
  </si>
  <si>
    <t>IC 2469</t>
  </si>
  <si>
    <t>NGC 5866</t>
  </si>
  <si>
    <t>NGC 6060</t>
  </si>
  <si>
    <t>Kohoutek 1-22</t>
  </si>
  <si>
    <t>UGC 08201</t>
  </si>
  <si>
    <t>NGC 0810</t>
  </si>
  <si>
    <t>with LBN 550</t>
  </si>
  <si>
    <t>UGC 10806</t>
  </si>
  <si>
    <t>NGC 4608</t>
  </si>
  <si>
    <t>with LBN 438</t>
  </si>
  <si>
    <t>Sagittarius Star Cloud, Delle Caustiche</t>
  </si>
  <si>
    <t>Perseus A Galaxy Cluster</t>
  </si>
  <si>
    <t>Double Cluster (with NGC 869)</t>
  </si>
  <si>
    <t>Double Cluster (with NGC 884)</t>
  </si>
  <si>
    <t>Markarian's Chain Member</t>
  </si>
  <si>
    <t>NGC 6027</t>
  </si>
  <si>
    <t>Stephan's Quintet Member</t>
  </si>
  <si>
    <t>Visual</t>
  </si>
  <si>
    <t>Mag</t>
  </si>
  <si>
    <t>Bright</t>
  </si>
  <si>
    <t>NGC 14</t>
  </si>
  <si>
    <t>Lat:</t>
  </si>
  <si>
    <t>Long:</t>
  </si>
  <si>
    <t>Sunset:</t>
  </si>
  <si>
    <t>Naut. Set:</t>
  </si>
  <si>
    <t>Sunrise:</t>
  </si>
  <si>
    <t>Sun</t>
  </si>
  <si>
    <t>Moonrise:</t>
  </si>
  <si>
    <t>Moonset:</t>
  </si>
  <si>
    <t>Naut. Rise:</t>
  </si>
  <si>
    <t>G120.4-01.3</t>
  </si>
  <si>
    <t>IC 1516</t>
  </si>
  <si>
    <t>Spider Cirrus Nebula</t>
  </si>
  <si>
    <t>IC 0750</t>
  </si>
  <si>
    <t>NGC 5085</t>
  </si>
  <si>
    <t>PGC 0046423</t>
  </si>
  <si>
    <t>Sh2-053</t>
  </si>
  <si>
    <t>NGC 7147</t>
  </si>
  <si>
    <t>NGC 5993</t>
  </si>
  <si>
    <t>NGC 5184</t>
  </si>
  <si>
    <t>Mrk 331</t>
  </si>
  <si>
    <t>NGC 4438</t>
  </si>
  <si>
    <t>NGC 3718</t>
  </si>
  <si>
    <t>Sh2-001</t>
  </si>
  <si>
    <t>LDN 587</t>
  </si>
  <si>
    <t>IC 4566</t>
  </si>
  <si>
    <t>f</t>
  </si>
  <si>
    <t>Status</t>
  </si>
  <si>
    <t>NGC 2</t>
  </si>
  <si>
    <t>Const.</t>
  </si>
  <si>
    <t>Leo Triplet</t>
  </si>
  <si>
    <t>Cetus A</t>
  </si>
  <si>
    <t xml:space="preserve"> </t>
  </si>
  <si>
    <t>Disturbed look, with arm fragments and an extended outer disk.</t>
  </si>
  <si>
    <t>NGC 34</t>
  </si>
  <si>
    <t>NGC 23</t>
  </si>
  <si>
    <t>NGC 35</t>
  </si>
  <si>
    <t>NGC 26</t>
  </si>
  <si>
    <t>Bright core, interesting arm structure</t>
  </si>
  <si>
    <t>S0</t>
  </si>
  <si>
    <t>III</t>
  </si>
  <si>
    <t>II2p</t>
  </si>
  <si>
    <t>E3</t>
  </si>
  <si>
    <t>E2</t>
  </si>
  <si>
    <t>E4</t>
  </si>
  <si>
    <t>S</t>
  </si>
  <si>
    <t>E0</t>
  </si>
  <si>
    <t>XII</t>
  </si>
  <si>
    <t>E5</t>
  </si>
  <si>
    <t>II</t>
  </si>
  <si>
    <t>E1</t>
  </si>
  <si>
    <t>VI</t>
  </si>
  <si>
    <t>E6</t>
  </si>
  <si>
    <t>VIII</t>
  </si>
  <si>
    <t>XI</t>
  </si>
  <si>
    <t>V</t>
  </si>
  <si>
    <t>IV</t>
  </si>
  <si>
    <t>VII</t>
  </si>
  <si>
    <t>I</t>
  </si>
  <si>
    <t>IX</t>
  </si>
  <si>
    <t>Central star barely visible. Structure similar to M97 – round, OIII, 2 dark circular inner region voids.</t>
  </si>
  <si>
    <t>Sh2-189</t>
  </si>
  <si>
    <t>Progenitor star clearly visible. Nebula is not quite round - perhaps interaction between nebula and ISM.</t>
  </si>
  <si>
    <t>Mainly HII. No central star. Oval banded shape.</t>
  </si>
  <si>
    <t>Mainly OIII.  Faint central star.  Bright rim.</t>
  </si>
  <si>
    <t>K 1-7</t>
  </si>
  <si>
    <t>Scalloped HII outer rim surrounding brighter OIII inner region.  Blue progenitor star faintly visible.</t>
  </si>
  <si>
    <t>Bipolar PN. Viewing torus from near side-on view. Bright blue central star with unseen progenitor companion.</t>
  </si>
  <si>
    <t>Strong HII rim.  Little OIII signal.  ISM likely interacting with nebula and blurring edges. Faint blue progenitor star.</t>
  </si>
  <si>
    <t>Strong HII rim.  Breakthrough at 12 o'clock.</t>
  </si>
  <si>
    <t>Part of Bica 6 open cluster.  No central star.  No inner structure.</t>
  </si>
  <si>
    <t>HII much stronger than OIII. Outer edge of PN resembles hexagon.  No progenitor star.</t>
  </si>
  <si>
    <t>Central star barely visible. Structure similar to M97 – round, OIII, dark inner voids. Many galaxies in background.</t>
  </si>
  <si>
    <t xml:space="preserve">Outer rim strong in HII.  Slight dimming at 12 o'clock.  </t>
  </si>
  <si>
    <t xml:space="preserve">OIII dominant rim &amp; HII dominant inner region.  Rim is brighter on left than right.  Bright progenitor. </t>
  </si>
  <si>
    <t xml:space="preserve">Very faint.  The progenitor star is visible as the tiny blue star just left of center. </t>
  </si>
  <si>
    <t xml:space="preserve">Outer rim stronger in HII while inner stronger in OIII. Elliptical PN, pinched at the 5 and 11 o’clock. No progenitor.  </t>
  </si>
  <si>
    <t>K 1-11</t>
  </si>
  <si>
    <t xml:space="preserve">Side-on view of bi-polar PN. Bright central torus is only part of nebula that can be seen visually.  No progenitor. </t>
  </si>
  <si>
    <t>Very faint.  Circular and primarily OIII signal.  Rim is slightly stronger in Ha. Little structure is apparent.</t>
  </si>
  <si>
    <t xml:space="preserve">HII-dominated.  Looked more like HII region than PN.  Progenitor star appears to be the small blue star at center. </t>
  </si>
  <si>
    <t xml:space="preserve">PN is OIII-dominant &amp; elliptical in shape. Strong signal in the 2 opposite rim segments. Progenitor star visible. </t>
  </si>
  <si>
    <t xml:space="preserve">Hint of hexagon shape to rim.  No progenitor star.   Like many PN, the outer rim is stronger in HII.  </t>
  </si>
  <si>
    <t xml:space="preserve">HII-dominant.  No progenitor.  2 pairs of opposing bright regions. Could be bi-polar PN with 2 outflow axes. </t>
  </si>
  <si>
    <t>Extremely dim and large. HII-dominant. Brilliant blue progenitor.  Concentric set of arcs at lower right.</t>
  </si>
  <si>
    <t>Outer HII rim. Inner section stronger in OIII. 18.2 mag blue central star. Bright regions at 4 &amp; 10 o'clock.</t>
  </si>
  <si>
    <t>Central star easily seen.  Interesting OIII emissions seen in inner region, forming pinwheel-type patterns.</t>
  </si>
  <si>
    <t>IC 523</t>
  </si>
  <si>
    <t>Sh2-290</t>
  </si>
  <si>
    <t>Sh2-313</t>
  </si>
  <si>
    <t>Foreground rim star is 7.2 mag star HD 83535.  Progenitor star, just above and right of center, is a double star.</t>
  </si>
  <si>
    <t>OIII-dominated.  2 limbs seen at 4 and 11 o'clock. Tiny galaxy seen in rim at 3 o'clock. Central star visible.</t>
  </si>
  <si>
    <t>IC 972</t>
  </si>
  <si>
    <t>NGC 6742</t>
  </si>
  <si>
    <t>Sh2-116</t>
  </si>
  <si>
    <t>Sh2-128</t>
  </si>
  <si>
    <t>NGC 7076</t>
  </si>
  <si>
    <t>IC 1454</t>
  </si>
  <si>
    <t>Virgo A, Arp 152</t>
  </si>
  <si>
    <t>Alcyone</t>
  </si>
  <si>
    <t>Andromeda</t>
  </si>
  <si>
    <t>Burbidge's Chain</t>
  </si>
  <si>
    <t>Caroline's Cluster</t>
  </si>
  <si>
    <t>Cassowary 02L1</t>
  </si>
  <si>
    <t>Electra</t>
  </si>
  <si>
    <t>Eta Carinae</t>
  </si>
  <si>
    <t xml:space="preserve">Gamma Cygni  </t>
  </si>
  <si>
    <t xml:space="preserve">Little Gem, Green Mars  </t>
  </si>
  <si>
    <t xml:space="preserve">Maia  </t>
  </si>
  <si>
    <t xml:space="preserve">Merope  </t>
  </si>
  <si>
    <t xml:space="preserve">Thor’s Helmet, Duck  </t>
  </si>
  <si>
    <t xml:space="preserve">Lambda Centauri  </t>
  </si>
  <si>
    <t xml:space="preserve">Libra Globular  </t>
  </si>
  <si>
    <t xml:space="preserve">Omega Centauri  </t>
  </si>
  <si>
    <t xml:space="preserve">Omicron Velorum  </t>
  </si>
  <si>
    <t xml:space="preserve">Holmberg II  </t>
  </si>
  <si>
    <t xml:space="preserve">Holmberg VI  </t>
  </si>
  <si>
    <t xml:space="preserve">Holmberg VIII  </t>
  </si>
  <si>
    <t xml:space="preserve">Little Pinwheel  </t>
  </si>
  <si>
    <t xml:space="preserve">Mirach's Ghost  </t>
  </si>
  <si>
    <t xml:space="preserve">Triangulum Duo, Bent  </t>
  </si>
  <si>
    <t xml:space="preserve">Triangulum Duo, Shrimp  </t>
  </si>
  <si>
    <t>UGCA 258</t>
  </si>
  <si>
    <t>Arp 78</t>
  </si>
  <si>
    <t>CTB 1</t>
  </si>
  <si>
    <t>Sh2-274</t>
  </si>
  <si>
    <t>Sh2-73</t>
  </si>
  <si>
    <t>Simeis 147</t>
  </si>
  <si>
    <t>Fornax A, Arp 154</t>
  </si>
  <si>
    <t>HII-dominated with very little OIII present.  No progenitor.  HII elliptical ring distorted, likely by interaction with ISM.</t>
  </si>
  <si>
    <t>Nice diamond-shaped double ring structure.  Strong HII signal.  Progenitor star not likely seen.</t>
  </si>
  <si>
    <t>PN Vy 1-4</t>
  </si>
  <si>
    <t>Very dim.  Hii rim while inner section is stronger in OIII.  Star at center but not likely the progenitor star.</t>
  </si>
  <si>
    <t>Faint progenitor star.  HII rim with OII inner section.  Large PN size.</t>
  </si>
  <si>
    <t xml:space="preserve">Nice HII structure, but not likely a PN - too big in diameter (12 ly) and edges are unlike a PN. </t>
  </si>
  <si>
    <t xml:space="preserve">Beautiful OIII donut shape.  Most northern of all Abell PNs.  The central star is barely visible. </t>
  </si>
  <si>
    <t>Faint.  HII rim with OIII inner section.  No progenitor star.</t>
  </si>
  <si>
    <t xml:space="preserve">HII rim with OIII inner region. A bluish central star is faintly visible. Some subtle structure is evident in the nebula. </t>
  </si>
  <si>
    <t>Dominant HII.  No progenitor star.</t>
  </si>
  <si>
    <t>OIII-dominated. Central star visible. Nebula has thin rim and texture.  Galaxy at 2 o’clock inside nebula, 1.7 bly away.</t>
  </si>
  <si>
    <t>Bi-polar in nature and looking like a short cylinder.  Strong HII rim, no progenitor star.</t>
  </si>
  <si>
    <t>Looks like Hii region. No progenitor or OIII signal.  I could not confirm that this object is a PN.</t>
  </si>
  <si>
    <t>Similar strengths of HII &amp; OIII signal. Central progenitor star is bright, quite a contrast to the much fainter nebula.</t>
  </si>
  <si>
    <t>Looks like bi-polar PN with axis running from upper left to lower right.  Torus section is constricting the jet flow.  No progenitor.</t>
  </si>
  <si>
    <t>HII rim with faint OIII inner region. Shape is not a ring but more like a short tube.  Faint progenitor.</t>
  </si>
  <si>
    <t>Unique looping PN structure. HII dominated.  Arcing gas fronts and tiny lobes. Progenitor visible.</t>
  </si>
  <si>
    <t xml:space="preserve">Odd structure - appears to be two major gas ejections, resulting in bright knots and filaments. Central star. </t>
  </si>
  <si>
    <t xml:space="preserve">Progenitor star visible. Nebula squashed due to impact from ISM, which has affected the inner bright torus. </t>
  </si>
  <si>
    <t xml:space="preserve">HII rim and OIII inner section. PN distorted.  2 point-symmetric lobes of HII.  Very faint progenitor. 
</t>
  </si>
  <si>
    <t xml:space="preserve">Smallest Abell PN in apparent size, and one of the furthest away from us. HII rim. </t>
  </si>
  <si>
    <t xml:space="preserve">One of smallest Abell PN in apparent size.  Beautiful color and some structure is seen. </t>
  </si>
  <si>
    <t xml:space="preserve">OIII-dominated.  The blue central progenitor star is clearly visible.  The spherical nebula has a thick textured ring. </t>
  </si>
  <si>
    <t>Odd, unique U-shape structure which is tough to interpret. OIII-dominated.  Faint blue progenitor star is visible.</t>
  </si>
  <si>
    <t>OIII-dominated filamentary structure. Oblong nebula, likely a bi-polar PN. Faint galaxy at 6 o'clock.</t>
  </si>
  <si>
    <t xml:space="preserve">Could be PN or HII region. Nebula has spiral shape, with arms seen at the top and bottom. 
</t>
  </si>
  <si>
    <t>Unusual in both color &amp; structure. Wide, bright circular ring. Bi-polar, even multi-polar, structure seen.</t>
  </si>
  <si>
    <t xml:space="preserve">Odd shape, perhaps due to ISM. "3” shape.  Strong red color is due the dominant HII signal, with little OIII.  </t>
  </si>
  <si>
    <t xml:space="preserve">Looks like HII region, with bright red asymmetric arc at the top.  Arc is not a typical PN structure. </t>
  </si>
  <si>
    <t xml:space="preserve">Faint thin OIII-dominated rim around the outside edge of the top half of the nebula. </t>
  </si>
  <si>
    <t>Strong HII hexagon rim while the inner section is stronger in OIII. PN is distorted.  Small progenitor.</t>
  </si>
  <si>
    <t>Unique shape, like a broad X superimposed over circular shape.  HII signal slightly stronger than OIII.</t>
  </si>
  <si>
    <t xml:space="preserve">HII rim.  OIII irregular inner section.  OIII strongest in 2 lobes, upper and lower.  Some breakthrough at 12 o'clock. </t>
  </si>
  <si>
    <t>NGC 190</t>
  </si>
  <si>
    <t>NGC 192</t>
  </si>
  <si>
    <t>NGC 1099</t>
  </si>
  <si>
    <t>NGC 1199</t>
  </si>
  <si>
    <t>NGC 1214</t>
  </si>
  <si>
    <t>NGC 3091</t>
  </si>
  <si>
    <t>NGC 3651</t>
  </si>
  <si>
    <t>NGC 3697</t>
  </si>
  <si>
    <t>NGC 3825</t>
  </si>
  <si>
    <t>NGC 4169</t>
  </si>
  <si>
    <t>NGC 6162</t>
  </si>
  <si>
    <t>NGC 6978</t>
  </si>
  <si>
    <t>NGC 7176</t>
  </si>
  <si>
    <t>NGC 7214</t>
  </si>
  <si>
    <t>NGC 7803</t>
  </si>
  <si>
    <t>One of 2 Hickson groups with 5 spirals.</t>
  </si>
  <si>
    <t>6th galaxy in proximity but a bit too small for group.</t>
  </si>
  <si>
    <t>NGC 536</t>
  </si>
  <si>
    <t>All galaxies are spirals and at the same distance.</t>
  </si>
  <si>
    <t>Hickson 18</t>
  </si>
  <si>
    <t>Hickson 31</t>
  </si>
  <si>
    <t>Hickson 34</t>
  </si>
  <si>
    <t>Hickson 38</t>
  </si>
  <si>
    <t>Hickson 40</t>
  </si>
  <si>
    <t>Hickson 55</t>
  </si>
  <si>
    <t>Hickson 56</t>
  </si>
  <si>
    <t>Hickson 72</t>
  </si>
  <si>
    <t>NGC 341</t>
  </si>
  <si>
    <t>IC 18</t>
  </si>
  <si>
    <t>NGC 68</t>
  </si>
  <si>
    <t>NGC 90</t>
  </si>
  <si>
    <t>NGC 145</t>
  </si>
  <si>
    <t>NGC 205</t>
  </si>
  <si>
    <t>NGC 221</t>
  </si>
  <si>
    <t>NGC 224</t>
  </si>
  <si>
    <t>NGC 275</t>
  </si>
  <si>
    <t>NGC 386</t>
  </si>
  <si>
    <t>NGC 455</t>
  </si>
  <si>
    <t>NGC 467</t>
  </si>
  <si>
    <t>NGC 497</t>
  </si>
  <si>
    <t>NGC 507</t>
  </si>
  <si>
    <t>NGC 520</t>
  </si>
  <si>
    <t>NGC 523</t>
  </si>
  <si>
    <t>NGC 541</t>
  </si>
  <si>
    <t>NGC 547</t>
  </si>
  <si>
    <t>NGC 581</t>
  </si>
  <si>
    <t>NGC 598</t>
  </si>
  <si>
    <t>NGC 628</t>
  </si>
  <si>
    <t>NGC 650</t>
  </si>
  <si>
    <t>NGC 702</t>
  </si>
  <si>
    <t>NGC 750</t>
  </si>
  <si>
    <t>NGC 935</t>
  </si>
  <si>
    <t>NGC 942</t>
  </si>
  <si>
    <t>NGC 1023</t>
  </si>
  <si>
    <t>NGC 1024</t>
  </si>
  <si>
    <t>NGC 1039</t>
  </si>
  <si>
    <t>NGC 1134</t>
  </si>
  <si>
    <t>NGC 1143</t>
  </si>
  <si>
    <t>NGC 1241</t>
  </si>
  <si>
    <t>NGC 1253</t>
  </si>
  <si>
    <t>NGC 1347</t>
  </si>
  <si>
    <t>NGC 1569</t>
  </si>
  <si>
    <t>NGC 1614</t>
  </si>
  <si>
    <t>NGC 1624</t>
  </si>
  <si>
    <t>NGC 1904</t>
  </si>
  <si>
    <t>NGC 1912</t>
  </si>
  <si>
    <t>NGC 1952</t>
  </si>
  <si>
    <t>NGC 1960</t>
  </si>
  <si>
    <t>NGC 1961</t>
  </si>
  <si>
    <t>NGC 1976</t>
  </si>
  <si>
    <t>NGC 1982</t>
  </si>
  <si>
    <t>NGC 2068</t>
  </si>
  <si>
    <t>NGC 2099</t>
  </si>
  <si>
    <t>NGC 2168</t>
  </si>
  <si>
    <t>NGC 2276</t>
  </si>
  <si>
    <t>NGC 2287</t>
  </si>
  <si>
    <t>NGC 2300</t>
  </si>
  <si>
    <t>NGC 2323</t>
  </si>
  <si>
    <t>NGC 2418</t>
  </si>
  <si>
    <t>NGC 2423</t>
  </si>
  <si>
    <t>NGC 2437</t>
  </si>
  <si>
    <t>NGC 244</t>
  </si>
  <si>
    <t>NGC 2447</t>
  </si>
  <si>
    <t>NGC 2523</t>
  </si>
  <si>
    <t>NGC 2536</t>
  </si>
  <si>
    <t>NGC 2537</t>
  </si>
  <si>
    <t>NGC 2548</t>
  </si>
  <si>
    <t>NGC 2608</t>
  </si>
  <si>
    <t>NGC 2623</t>
  </si>
  <si>
    <t>NGC 2632</t>
  </si>
  <si>
    <t>NGC 2633</t>
  </si>
  <si>
    <t>NGC 2648</t>
  </si>
  <si>
    <t>NGC 2655</t>
  </si>
  <si>
    <t>NGC 2673</t>
  </si>
  <si>
    <t>NGC 2682</t>
  </si>
  <si>
    <t>NGC 2685</t>
  </si>
  <si>
    <t>NGC 2719</t>
  </si>
  <si>
    <t>NGC 2735</t>
  </si>
  <si>
    <t>NGC 2782</t>
  </si>
  <si>
    <t>NGC 2799</t>
  </si>
  <si>
    <t>NGC 2805</t>
  </si>
  <si>
    <t>NGC 2830</t>
  </si>
  <si>
    <t>NGC 2854</t>
  </si>
  <si>
    <t>NGC 2857</t>
  </si>
  <si>
    <t>NGC 2872</t>
  </si>
  <si>
    <t>NGC 2881</t>
  </si>
  <si>
    <t>NGC 2899</t>
  </si>
  <si>
    <t>NGC 2911</t>
  </si>
  <si>
    <t>NGC 2914</t>
  </si>
  <si>
    <t>NGC 2937</t>
  </si>
  <si>
    <t>NGC 3031</t>
  </si>
  <si>
    <t>NGC 3034</t>
  </si>
  <si>
    <t>NGC 3068</t>
  </si>
  <si>
    <t>NGC 3104</t>
  </si>
  <si>
    <t>NGC 2992</t>
  </si>
  <si>
    <t>NGC 3215</t>
  </si>
  <si>
    <t>NGC 3227</t>
  </si>
  <si>
    <t>NGC 3239</t>
  </si>
  <si>
    <t>NGC 3290</t>
  </si>
  <si>
    <t>NGC 3303</t>
  </si>
  <si>
    <t>NGC 3310</t>
  </si>
  <si>
    <t>NGC 3351</t>
  </si>
  <si>
    <t>NGC 3368</t>
  </si>
  <si>
    <t>NGC 3379</t>
  </si>
  <si>
    <t>NGC 3414</t>
  </si>
  <si>
    <t>NGC 3432</t>
  </si>
  <si>
    <t>NGC 3445</t>
  </si>
  <si>
    <t>NGC 3448</t>
  </si>
  <si>
    <t>NGC 3509</t>
  </si>
  <si>
    <t>NGC 3556</t>
  </si>
  <si>
    <t>NGC 3561</t>
  </si>
  <si>
    <t>NGC 3587</t>
  </si>
  <si>
    <t>NGC 3623</t>
  </si>
  <si>
    <t>NGC 3627</t>
  </si>
  <si>
    <t>NGC 3631</t>
  </si>
  <si>
    <t>NGC 3656</t>
  </si>
  <si>
    <t>NGC 3664</t>
  </si>
  <si>
    <t>NGC 3690</t>
  </si>
  <si>
    <t>NGC 3712</t>
  </si>
  <si>
    <t>NGC 3738</t>
  </si>
  <si>
    <t>NGC 3769</t>
  </si>
  <si>
    <t>NGC 3786</t>
  </si>
  <si>
    <t>NGC 3800</t>
  </si>
  <si>
    <t>NGC 3808</t>
  </si>
  <si>
    <t>NGC 3921</t>
  </si>
  <si>
    <t>NGC 3981</t>
  </si>
  <si>
    <t>NGC 3992</t>
  </si>
  <si>
    <t>NGC 3995</t>
  </si>
  <si>
    <t>NGC 4015</t>
  </si>
  <si>
    <t>NGC 4016</t>
  </si>
  <si>
    <t>NGC 4027</t>
  </si>
  <si>
    <t>NGC 4088</t>
  </si>
  <si>
    <t>NGC 4194</t>
  </si>
  <si>
    <t>NGC 4211</t>
  </si>
  <si>
    <t>NGC 4254</t>
  </si>
  <si>
    <t>NGC 4258</t>
  </si>
  <si>
    <t>NGC 4303</t>
  </si>
  <si>
    <t>NGC 4321</t>
  </si>
  <si>
    <t>NGC 4374</t>
  </si>
  <si>
    <t>NGC 4382</t>
  </si>
  <si>
    <t>NGC 4406</t>
  </si>
  <si>
    <t>NGC 4472, Arp 134</t>
  </si>
  <si>
    <t>NGC 4501</t>
  </si>
  <si>
    <t>NGC 4548</t>
  </si>
  <si>
    <t>NGC 4552</t>
  </si>
  <si>
    <t>NGC 4569</t>
  </si>
  <si>
    <t>NGC 4579</t>
  </si>
  <si>
    <t>NGC 4590</t>
  </si>
  <si>
    <t>NGC 4594</t>
  </si>
  <si>
    <t>NGC 4613</t>
  </si>
  <si>
    <t>NGC 4618</t>
  </si>
  <si>
    <t>NGC 4621</t>
  </si>
  <si>
    <t>NGC 4647</t>
  </si>
  <si>
    <t>NGC 4649</t>
  </si>
  <si>
    <t>NGC 4651</t>
  </si>
  <si>
    <t>NGC 4670</t>
  </si>
  <si>
    <t>NGC 4676</t>
  </si>
  <si>
    <t>NGC 4736</t>
  </si>
  <si>
    <t>NGC 4747</t>
  </si>
  <si>
    <t>NGC 4809</t>
  </si>
  <si>
    <t>NGC 4826</t>
  </si>
  <si>
    <t>NGC 4861</t>
  </si>
  <si>
    <t>NGC 4933</t>
  </si>
  <si>
    <t>NGC 5024</t>
  </si>
  <si>
    <t>NGC 5055</t>
  </si>
  <si>
    <t>NGC 5189</t>
  </si>
  <si>
    <t>NGC 5194, Arp 85</t>
  </si>
  <si>
    <t>NGC 5218</t>
  </si>
  <si>
    <t>NGC 5222</t>
  </si>
  <si>
    <t>NGC 5236</t>
  </si>
  <si>
    <t>NGC 5258</t>
  </si>
  <si>
    <t>NGC 5272</t>
  </si>
  <si>
    <t>NGC 5278</t>
  </si>
  <si>
    <t>NGC 5394</t>
  </si>
  <si>
    <t>NGC 5421</t>
  </si>
  <si>
    <t>NGC 5426</t>
  </si>
  <si>
    <t>NGC 5457</t>
  </si>
  <si>
    <t>NGC 5544</t>
  </si>
  <si>
    <t>NGC 5566</t>
  </si>
  <si>
    <t>NGC 5579</t>
  </si>
  <si>
    <t>NGC 5614</t>
  </si>
  <si>
    <t>NGC 5665</t>
  </si>
  <si>
    <t>NGC 5679</t>
  </si>
  <si>
    <t>NGC 5718</t>
  </si>
  <si>
    <t>NGC 5754</t>
  </si>
  <si>
    <t>NGC 5820</t>
  </si>
  <si>
    <t>NGC 5904</t>
  </si>
  <si>
    <t>NGC 5917</t>
  </si>
  <si>
    <t>NGC 5929</t>
  </si>
  <si>
    <t>NGC 5953</t>
  </si>
  <si>
    <t>NGC 5994</t>
  </si>
  <si>
    <t>NGC 6040</t>
  </si>
  <si>
    <t>NGC 6045</t>
  </si>
  <si>
    <t>NGC 6050</t>
  </si>
  <si>
    <t>NGC 6052</t>
  </si>
  <si>
    <t>NGC 6085</t>
  </si>
  <si>
    <t>NGC 6093</t>
  </si>
  <si>
    <t>NGC 6121</t>
  </si>
  <si>
    <t>NGC 6166</t>
  </si>
  <si>
    <t>NGC 6171</t>
  </si>
  <si>
    <t>NGC 6175</t>
  </si>
  <si>
    <t>NGC 6205</t>
  </si>
  <si>
    <t>NGC 6217</t>
  </si>
  <si>
    <t>NGC 6218</t>
  </si>
  <si>
    <t>NGC 6254</t>
  </si>
  <si>
    <t>NGC 6266</t>
  </si>
  <si>
    <t>NGC 6273</t>
  </si>
  <si>
    <t>NGC 6286</t>
  </si>
  <si>
    <t>NGC 6333</t>
  </si>
  <si>
    <t>NGC 6341</t>
  </si>
  <si>
    <t>NGC 6361</t>
  </si>
  <si>
    <t>NGC 6365</t>
  </si>
  <si>
    <t>NGC 6402</t>
  </si>
  <si>
    <t>NGC 6405</t>
  </si>
  <si>
    <t>NGC 6412</t>
  </si>
  <si>
    <t>NGC 6475</t>
  </si>
  <si>
    <t>NGC 6494</t>
  </si>
  <si>
    <t>NGC 6523</t>
  </si>
  <si>
    <t>NGC 6531</t>
  </si>
  <si>
    <t>NGC 6589</t>
  </si>
  <si>
    <t>NGC 6595</t>
  </si>
  <si>
    <t>NGC 6613</t>
  </si>
  <si>
    <t>NGC 6621</t>
  </si>
  <si>
    <t>NGC 6626</t>
  </si>
  <si>
    <t>NGC 6637</t>
  </si>
  <si>
    <t>NGC 6656</t>
  </si>
  <si>
    <t>NGC 6665</t>
  </si>
  <si>
    <t>NGC 6681</t>
  </si>
  <si>
    <t>NGC 6694</t>
  </si>
  <si>
    <t>NGC 6705</t>
  </si>
  <si>
    <t>NGC 6720</t>
  </si>
  <si>
    <t>NGC 6715</t>
  </si>
  <si>
    <t>NGC 6809</t>
  </si>
  <si>
    <t>NGC 6838</t>
  </si>
  <si>
    <t>NGC 6853</t>
  </si>
  <si>
    <t>NGC 6864</t>
  </si>
  <si>
    <t>NGC 6981</t>
  </si>
  <si>
    <t>NGC 6994</t>
  </si>
  <si>
    <t>NGC 6779</t>
  </si>
  <si>
    <t>NGC 6908</t>
  </si>
  <si>
    <t>NGC 6913</t>
  </si>
  <si>
    <t>NGC 7078</t>
  </si>
  <si>
    <t>NGC 7089</t>
  </si>
  <si>
    <t>NGC 7092</t>
  </si>
  <si>
    <t>NGC 7099</t>
  </si>
  <si>
    <t>NGC 7236</t>
  </si>
  <si>
    <t>NGC 7252</t>
  </si>
  <si>
    <t>NGC 7253</t>
  </si>
  <si>
    <t>NGC 7284</t>
  </si>
  <si>
    <t>NGC 7314</t>
  </si>
  <si>
    <t>NGC 7393</t>
  </si>
  <si>
    <t>NGC 7448</t>
  </si>
  <si>
    <t>NGC 7538</t>
  </si>
  <si>
    <t>NGC 7585</t>
  </si>
  <si>
    <t>NGC 7603</t>
  </si>
  <si>
    <t>NGC 7625</t>
  </si>
  <si>
    <t>NGC 7649</t>
  </si>
  <si>
    <t>NGC 7654</t>
  </si>
  <si>
    <t>NGC 7678</t>
  </si>
  <si>
    <t>NGC 7682</t>
  </si>
  <si>
    <t>NGC 7714</t>
  </si>
  <si>
    <t>NGC 7727</t>
  </si>
  <si>
    <t>NGC 7753</t>
  </si>
  <si>
    <t>NGC 7757</t>
  </si>
  <si>
    <t>NGC 7805</t>
  </si>
  <si>
    <t>NGC 7828</t>
  </si>
  <si>
    <t>NGC 7838</t>
  </si>
  <si>
    <t>IC 51</t>
  </si>
  <si>
    <t>IC 162</t>
  </si>
  <si>
    <t>IC 167</t>
  </si>
  <si>
    <t>IC 195</t>
  </si>
  <si>
    <t>IC 298</t>
  </si>
  <si>
    <t>IC 356</t>
  </si>
  <si>
    <t>IC 466</t>
  </si>
  <si>
    <t>IC 563</t>
  </si>
  <si>
    <t>IC 575</t>
  </si>
  <si>
    <t>IC 607</t>
  </si>
  <si>
    <t>IC 609</t>
  </si>
  <si>
    <t>IC 701</t>
  </si>
  <si>
    <t>IC 803</t>
  </si>
  <si>
    <t>IC 883</t>
  </si>
  <si>
    <t>IC 983</t>
  </si>
  <si>
    <t>IC 1181</t>
  </si>
  <si>
    <t>IC 1222</t>
  </si>
  <si>
    <t>IC 1259</t>
  </si>
  <si>
    <t>IC 1260</t>
  </si>
  <si>
    <t>IC 1274</t>
  </si>
  <si>
    <t>IC 1275</t>
  </si>
  <si>
    <t>IC 1287</t>
  </si>
  <si>
    <t>IC 1470</t>
  </si>
  <si>
    <t>IC 1520</t>
  </si>
  <si>
    <t>IC 1559</t>
  </si>
  <si>
    <t>IC 1563</t>
  </si>
  <si>
    <t>IC 1575</t>
  </si>
  <si>
    <t>IC 1623</t>
  </si>
  <si>
    <t>IC 1871</t>
  </si>
  <si>
    <t>IC 2338</t>
  </si>
  <si>
    <t>IC 2172</t>
  </si>
  <si>
    <t>IC 3483</t>
  </si>
  <si>
    <t>IC 3862</t>
  </si>
  <si>
    <t>IC 4271</t>
  </si>
  <si>
    <t>IC 4461</t>
  </si>
  <si>
    <t>IC 4553</t>
  </si>
  <si>
    <t>IC 4604</t>
  </si>
  <si>
    <t>IC 4715</t>
  </si>
  <si>
    <t>IC 4725</t>
  </si>
  <si>
    <t>IC 5283</t>
  </si>
  <si>
    <t>IC 5378</t>
  </si>
  <si>
    <t>NGC 1432, IC 349</t>
  </si>
  <si>
    <t xml:space="preserve">Full </t>
  </si>
  <si>
    <t xml:space="preserve">  New</t>
  </si>
  <si>
    <t xml:space="preserve">New  </t>
  </si>
  <si>
    <t xml:space="preserve">  1Q</t>
  </si>
  <si>
    <t xml:space="preserve">LQ   </t>
  </si>
  <si>
    <t>None near to each other.  All 5 are NGC galaxies in a tight view.</t>
  </si>
  <si>
    <t>a is a beautiful barred spiral that appears a bit disturbed.</t>
  </si>
  <si>
    <t>Visually appealing arrangement of these 6 galaxies.</t>
  </si>
  <si>
    <t>One of the few Hicksons where all galaxies appear disturbed and to be interacting.</t>
  </si>
  <si>
    <t>Tied for having the second most galaxies (7) of any Hickson group.</t>
  </si>
  <si>
    <t>All galaxies at same distance, almost 1 billion ly away.</t>
  </si>
  <si>
    <t>All galaxies at same distance.  Group lies in a nice galaxy field.</t>
  </si>
  <si>
    <t>All galaxies are ellipticals and are at the same distance.  Nice chain arrangement.</t>
  </si>
  <si>
    <t>Interesting blue/yellow color contrast between the 2 pairs of galaxies.</t>
  </si>
  <si>
    <t>Small and distant ellipticals do not make for an interesting image.</t>
  </si>
  <si>
    <t xml:space="preserve">Galaxy a has an interesting dust lane that appears as a single lane on the right and a triple lane on the left. </t>
  </si>
  <si>
    <t>The brightest Hickson group. All galaxies are at the same distance.</t>
  </si>
  <si>
    <t>All galaxies at same distance.  Interesting interactions and disk deformations seen.</t>
  </si>
  <si>
    <t>NGC 708,753</t>
  </si>
  <si>
    <t>NGC 910</t>
  </si>
  <si>
    <t>UGC 2489, 2491</t>
  </si>
  <si>
    <t>UGC 3274</t>
  </si>
  <si>
    <t>NGC 2329</t>
  </si>
  <si>
    <t>IC 708, 709</t>
  </si>
  <si>
    <t>IC 2738</t>
  </si>
  <si>
    <t>NGC 3550,3552</t>
  </si>
  <si>
    <t>NGC 3309</t>
  </si>
  <si>
    <t>Interesting objects at cluster center, including Arp 133 &amp; Minkowski's Object</t>
  </si>
  <si>
    <t>One of the better clusters to image.  Highlights are NGC 705 and 710.</t>
  </si>
  <si>
    <t>NGC 891, Arp 145</t>
  </si>
  <si>
    <t>UGC 3275</t>
  </si>
  <si>
    <t>This object is believed to be 2 colliding galaxy clusters and one of the biggest objects in the universe.</t>
  </si>
  <si>
    <t>The best objects are not part of the cluster - NGC 891 and Arp 145.</t>
  </si>
  <si>
    <t>View is highlighted by a non-cluster galaxy, the edge-on spiral UGC 3275.  This galaxy is huge at 200,000 ly in diameter.</t>
  </si>
  <si>
    <t>Highlight is IC 708, nicknamed Papillion (French for butterfly).</t>
  </si>
  <si>
    <t xml:space="preserve">The Leo Cluster has the densest number of bright galaxies anywhere in our sky </t>
  </si>
  <si>
    <t>Hickson 61</t>
  </si>
  <si>
    <t>The Coma cluster is a brilliant collection of distant bright galaxies.</t>
  </si>
  <si>
    <t>Incredibly dense 200 galaxy cluster located 1 billion ly away.</t>
  </si>
  <si>
    <t>Hercules Cluster</t>
  </si>
  <si>
    <t>Coma Cluster</t>
  </si>
  <si>
    <t>Many incredible objects in this large cluster, including 4 Arp objects in the tightest Arp grouping.</t>
  </si>
  <si>
    <t>Cluster is highlighted by NGC 6085 and 6086.</t>
  </si>
  <si>
    <t>Adjacent to Abell 2199.  Both clusters are of average appearance.</t>
  </si>
  <si>
    <t>Includes fascinating chain of 10 galaxies.</t>
  </si>
  <si>
    <t>Highlighted by Hickson 94 and Arp 170</t>
  </si>
  <si>
    <t>Hickson 94</t>
  </si>
  <si>
    <t>Dense galaxy field highlighted by NGC 7649.</t>
  </si>
  <si>
    <t>Many interesting spirals in this cluster, which is unusual.</t>
  </si>
  <si>
    <t>Melotte 15</t>
  </si>
  <si>
    <t>NGC 2022</t>
  </si>
  <si>
    <t xml:space="preserve">Asymmetric disk and nice blue star cloud adjacent to core. 35th brightest galaxy.  </t>
  </si>
  <si>
    <t>ARP: LOW BRIGHTNESS - Galaxy shows no signs of disturbance - just perfectly formed arms and symmetry.</t>
  </si>
  <si>
    <t>ARP: LOW BRIGHTNESS -  Face-on barred spiral galaxy with star clouds sprinkled throughout its disk.</t>
  </si>
  <si>
    <t>ARP: LOW BRIGHTNESS -  Like Arp 2, a face-on barred spiral galaxy with star clouds sprinkled throughout its disk.</t>
  </si>
  <si>
    <t>ARP: LOW BRIGHTNESS -  Small face-on blue galaxy, seeming to be in transition from irregular to spiral shape.</t>
  </si>
  <si>
    <t>ARP: LOW BRIGHTNESS -  Blue spiral with white bar off to one side and star formation in outer disk.</t>
  </si>
  <si>
    <t>ARP: LOW BRIGHTNESS -  Tiny blue dwarf irregular galaxy.</t>
  </si>
  <si>
    <t>ARP: SPLIT ARM -  Face-on spiral with a potential companion at the end of one arm.</t>
  </si>
  <si>
    <t>ARP: SPLIT ARM -  Odd fascinating disturbed arm structure</t>
  </si>
  <si>
    <t>ARP: SPLIT ARM -  Strongly barred spiral, likely a barlens.</t>
  </si>
  <si>
    <t>ARP: SPLIT ARM -  A face-on collisional ring galaxy.</t>
  </si>
  <si>
    <t>ARP: SPLIT ARM -  Huge double ring galaxy, part of a cluster.</t>
  </si>
  <si>
    <t>ARP: SPLIT ARM -  Spiral galaxy with VV rows and a fake double core.</t>
  </si>
  <si>
    <t>ARP: DETACHED SEGMENTS - No arm structure, wide dust lanes, small core and blue star clouds.</t>
  </si>
  <si>
    <t>ARP: DETACHED SEGMENTS - Odd structure, with large blue star clouds and half an arm.</t>
  </si>
  <si>
    <t>ARP: DETACHED SEGMENTS - 2 odd bright blue areas - could be 2 separate galaxies</t>
  </si>
  <si>
    <t>ARP: DETACHED SEGMENTS - Beautiful colorful grand design spiral, with slight disk warp.</t>
  </si>
  <si>
    <t>ARP: 3 ARMED - Asymmetric disk with fragmented arms and many star clouds.</t>
  </si>
  <si>
    <t>ARP: 3 ARMED - a 2 strong armed grand spiral with some distortion.</t>
  </si>
  <si>
    <t>ARP: 1 ARMED - Typical Magellan galaxy - asymmetric, off-center bar, one arm, blue star formation areas.</t>
  </si>
  <si>
    <t>ARP: 1 ARMED - Two Magellanic galaxies with nice colorful regions.</t>
  </si>
  <si>
    <t>ARP: 1 ARMED - Magellanic galaxy with significant disturbance.</t>
  </si>
  <si>
    <t>ARP: 1 HEAVY ARM -  Face-on spiral with displaced core and asymmetric disk, including VV rows.</t>
  </si>
  <si>
    <t>ARP: 1 HEAVY ARM -  Lovely grand spiral with VV rows.</t>
  </si>
  <si>
    <t>ARP: 1 HEAVY ARM -  Active galaxy with bright nucleus and wonderful color and structure.</t>
  </si>
  <si>
    <t>ARP: 1 HEAVY ARM -  A pair of galaxies that are not likely interacting.</t>
  </si>
  <si>
    <t>ARP: INTEGRAL SIGN - Strongly barred core, several bright clusters and 2 strong arms with VV rows.</t>
  </si>
  <si>
    <t>ARP: INTEGRAL SIGN - Pair of small dwarf galaxies, possible slightly interacting.</t>
  </si>
  <si>
    <t>ARP: INTEGRAL SIGN - Disturbed blue edge-on galaxy</t>
  </si>
  <si>
    <t>ARP: INTEGRAL SIGN - Distorted grand design spiral with brilliant star formation in the arms.</t>
  </si>
  <si>
    <t>ARP: INTEGRAL SIGN - Disturbed barred spiral, possible interacting with a companion.</t>
  </si>
  <si>
    <t>ARP: INTEGRAL SIGN - Odd star clouds in this disturbed galaxy, including one with a green tint.</t>
  </si>
  <si>
    <t>Showcase galaxy with asymmetric disk, VV rows, HII regions and star clouds.</t>
  </si>
  <si>
    <t>Beautiful face-on grand design spiral with VV rows and some disturbance.</t>
  </si>
  <si>
    <t>3 arms spiral out of barred core.  Distinct arms and star clouds.</t>
  </si>
  <si>
    <t>ARP: LSB COMPANION - Face-on spiral with no companion</t>
  </si>
  <si>
    <t>ARP: LSB COMPANION - Faint face-on spiral with star clouds and no companion</t>
  </si>
  <si>
    <t>ARP: LSB COMPANION - Strong bar with inner ring and no companion.</t>
  </si>
  <si>
    <t>ARP: LSB COMPANION - Beautiful disturbed galaxy with 2 rings and no likely companion.</t>
  </si>
  <si>
    <t>ARP: LSB COMPANION - Barred with 2 bright ansae and a possible companion.</t>
  </si>
  <si>
    <t>ARP: LSB COMPANION - Disturbed spiral with interacting companion.</t>
  </si>
  <si>
    <t xml:space="preserve">ARP: LSB COMPANION - Grand design spiral with 2 possible companions, though no disturbance is seen. </t>
  </si>
  <si>
    <t xml:space="preserve">ARP: SMALL HSB COMP. - Small disturbed face-on galaxy with strong arms.  </t>
  </si>
  <si>
    <t>ARP: SMALL HSB COMP. - My least favorite Arp object.  Faint and small with little detail. No distance available.</t>
  </si>
  <si>
    <t>ARP: SMALL HSB COMP. - Distant galaxy with some detail and a possible companion.</t>
  </si>
  <si>
    <t>ARP: SMALL HSB COMP. - Nice detail visible for such a distant galaxy.  2 possible companions seen.</t>
  </si>
  <si>
    <t>ARP: SMALL HSB COMP. - Barred face-on grand design galaxy with numerous star clouds.</t>
  </si>
  <si>
    <t>ARP: SMALL HSB COMP - Spiral galaxy with strong arm, slight bar and VV rows.</t>
  </si>
  <si>
    <t>ARP: SMALL HSB COMP - Very small grand design galaxy with a companion.</t>
  </si>
  <si>
    <t>ARP: SMALL HSB COMP - Beautiful grand design spiral with star stream, interacting with companion.</t>
  </si>
  <si>
    <t>ARP: SMALL HSB COMP - Nice face-on spiral interacting with companion.</t>
  </si>
  <si>
    <t>ARP: SMALL HSB COMP - Barred spiral with interaction with companion.</t>
  </si>
  <si>
    <t>ARP: SMALL HSB COMP - Grand design spiral with asymmetric disk and companion interaction.</t>
  </si>
  <si>
    <t>ARP: SMALL HSB COMP - Wonderful trio of interacting galaxies, including star streams.</t>
  </si>
  <si>
    <t>ARP: SMALL HSB COMP - Spiral with 2 strong arms, blue clouds and 2 companions.</t>
  </si>
  <si>
    <t>ARP: SMALL HSB COMP - Great pair of bright disturbed galaxies.</t>
  </si>
  <si>
    <t>ARP: SMALL HSB COMP - Grand design spiral with blue disjointed arms and VV rows.</t>
  </si>
  <si>
    <t>ARP: SMALL HSB COMP - Double ring barred galaxy with 2 likely fake companions.</t>
  </si>
  <si>
    <t>ARP: SMALL HSB COMP - Wonderful disk with VV rows and star clouds, companion likely fake.</t>
  </si>
  <si>
    <t xml:space="preserve">ARP: SMALL HSB COMP - Severely disturbed 3 armed barred spiral, with fake companion. </t>
  </si>
  <si>
    <t>ARP: SMALL HSB COMP - Large disturbed grand design spiral with possible companion.</t>
  </si>
  <si>
    <t>ARP: SMALL HSB COMP - Wavy edge-on spiral with 2 companions.</t>
  </si>
  <si>
    <t>ARP: SMALL HSB COMP - Bright disturbed starburst barred galaxy with long bar and VV rows and companion.</t>
  </si>
  <si>
    <t>ARP: SMALL HSB COMP - Disturbed grand design spiral with companion and star stream.</t>
  </si>
  <si>
    <t>ARP: SMALL HSB COMP - Face-on barred grand design spiral with nice arm plume.</t>
  </si>
  <si>
    <t>Seyfert spiral anemic galaxy, nice star clouds and dust lanes around core.</t>
  </si>
  <si>
    <t xml:space="preserve">Large asymmetric disk with strong star-forming arm and VV rows.  Resembles nautilus seashell. </t>
  </si>
  <si>
    <t>http://simbad.u-strasbg.fr/simbad/sim-id?Ident=</t>
  </si>
  <si>
    <t>&amp;submit=submit+id</t>
  </si>
  <si>
    <t>Abell 0119</t>
  </si>
  <si>
    <t>Abell 0151</t>
  </si>
  <si>
    <t>Abell 0194</t>
  </si>
  <si>
    <t>Abell 0262</t>
  </si>
  <si>
    <t>Abell 0347</t>
  </si>
  <si>
    <t>Abell 0407</t>
  </si>
  <si>
    <t>Abell 0426</t>
  </si>
  <si>
    <t>Abell 0539</t>
  </si>
  <si>
    <t>Abell 0569</t>
  </si>
  <si>
    <t>Abell 0634</t>
  </si>
  <si>
    <t>Abell 0754</t>
  </si>
  <si>
    <t>Abell 0779</t>
  </si>
  <si>
    <t>Abell 1060</t>
  </si>
  <si>
    <t>Abell 1126</t>
  </si>
  <si>
    <t>Abell 1185</t>
  </si>
  <si>
    <t>Abell 1213</t>
  </si>
  <si>
    <t>Abell 1228</t>
  </si>
  <si>
    <t>Abell 1314</t>
  </si>
  <si>
    <t>Abell 1367</t>
  </si>
  <si>
    <t>Abell 1495</t>
  </si>
  <si>
    <t>Abell 1631</t>
  </si>
  <si>
    <t>Abell 1656</t>
  </si>
  <si>
    <t>Abell 1689</t>
  </si>
  <si>
    <t>Abell 2052</t>
  </si>
  <si>
    <t>Abell 2063</t>
  </si>
  <si>
    <t>Abell 2065</t>
  </si>
  <si>
    <t>Abell 2079</t>
  </si>
  <si>
    <t>Abell 2147</t>
  </si>
  <si>
    <t>Abell 2151</t>
  </si>
  <si>
    <t>Abell 2152</t>
  </si>
  <si>
    <t>Abell 2162</t>
  </si>
  <si>
    <t>Abell 2197</t>
  </si>
  <si>
    <t>Abell 2199</t>
  </si>
  <si>
    <t>Abell 2218</t>
  </si>
  <si>
    <t>Abell 2247</t>
  </si>
  <si>
    <t>Abell 2256</t>
  </si>
  <si>
    <t>Abell 2572</t>
  </si>
  <si>
    <t>Abell 2593</t>
  </si>
  <si>
    <t>Abell 2634</t>
  </si>
  <si>
    <t>Abell 2666</t>
  </si>
  <si>
    <t>Abell S 0373</t>
  </si>
  <si>
    <t>SIMBAD</t>
  </si>
  <si>
    <t>PN A66 01</t>
  </si>
  <si>
    <t>PN A66 02</t>
  </si>
  <si>
    <t>PN A66 03</t>
  </si>
  <si>
    <t>PN A66 04</t>
  </si>
  <si>
    <t>PN A66 05</t>
  </si>
  <si>
    <t>PN A66 06</t>
  </si>
  <si>
    <t>PN A66 07</t>
  </si>
  <si>
    <t>PN A66 08</t>
  </si>
  <si>
    <t>PN A66 09</t>
  </si>
  <si>
    <t>PN A66 10</t>
  </si>
  <si>
    <t>PN A66 11</t>
  </si>
  <si>
    <t>PN A66 12</t>
  </si>
  <si>
    <t>PN A66 13</t>
  </si>
  <si>
    <t>PN A66 14</t>
  </si>
  <si>
    <t>PN A66 15</t>
  </si>
  <si>
    <t>PN A66 16</t>
  </si>
  <si>
    <t>PN A66 18</t>
  </si>
  <si>
    <t>PN A66 19</t>
  </si>
  <si>
    <t>PN A66 20</t>
  </si>
  <si>
    <t>PN A66 21</t>
  </si>
  <si>
    <t>PN A66 22</t>
  </si>
  <si>
    <t>PN A66 23</t>
  </si>
  <si>
    <t>PN A66 24</t>
  </si>
  <si>
    <t>PN A66 25</t>
  </si>
  <si>
    <t>PN A66 26</t>
  </si>
  <si>
    <t>PN A66 27</t>
  </si>
  <si>
    <t>PN A66 28</t>
  </si>
  <si>
    <t>PN A66 29</t>
  </si>
  <si>
    <t>PN A66 30</t>
  </si>
  <si>
    <t>PN A66 31</t>
  </si>
  <si>
    <t>PN A66 33</t>
  </si>
  <si>
    <t>PN A66 34</t>
  </si>
  <si>
    <t>PN A66 35</t>
  </si>
  <si>
    <t>PN A66 36</t>
  </si>
  <si>
    <t>PN A66 37</t>
  </si>
  <si>
    <t>PN A66 38</t>
  </si>
  <si>
    <t>PN A66 39</t>
  </si>
  <si>
    <t>PN A66 40</t>
  </si>
  <si>
    <t>PN A66 41</t>
  </si>
  <si>
    <t>PN A66 42</t>
  </si>
  <si>
    <t>PN A66 43</t>
  </si>
  <si>
    <t>PN A66 44</t>
  </si>
  <si>
    <t>PN A66 45</t>
  </si>
  <si>
    <t>PN A66 46</t>
  </si>
  <si>
    <t>PN A66 47</t>
  </si>
  <si>
    <t>PN A66 48</t>
  </si>
  <si>
    <t>PN A66 49</t>
  </si>
  <si>
    <t>PN A66 50</t>
  </si>
  <si>
    <t>PN A66 51</t>
  </si>
  <si>
    <t>PN A66 52</t>
  </si>
  <si>
    <t>PN A66 53</t>
  </si>
  <si>
    <t>PN A66 54</t>
  </si>
  <si>
    <t>PN A66 55</t>
  </si>
  <si>
    <t>PN A66 56</t>
  </si>
  <si>
    <t>PN A66 57</t>
  </si>
  <si>
    <t>PN A66 58</t>
  </si>
  <si>
    <t>PN A66 59</t>
  </si>
  <si>
    <t>PN A66 60</t>
  </si>
  <si>
    <t>PN A66 61</t>
  </si>
  <si>
    <t>PN A66 62</t>
  </si>
  <si>
    <t>PN A66 63</t>
  </si>
  <si>
    <t>PN A66 64</t>
  </si>
  <si>
    <t>PN A66 65</t>
  </si>
  <si>
    <t>PN A66 66</t>
  </si>
  <si>
    <t>PN A66 67</t>
  </si>
  <si>
    <t>PN A66 68</t>
  </si>
  <si>
    <t>PN A66 69</t>
  </si>
  <si>
    <t>PN A66 70</t>
  </si>
  <si>
    <t>PN A66 71</t>
  </si>
  <si>
    <t>PN A66 72</t>
  </si>
  <si>
    <t>PN A66 73</t>
  </si>
  <si>
    <t>PN A66 74</t>
  </si>
  <si>
    <t>PN A66 75</t>
  </si>
  <si>
    <t>PN A66 76</t>
  </si>
  <si>
    <t>PN A66 77</t>
  </si>
  <si>
    <t>PN A66 78</t>
  </si>
  <si>
    <t>PN A66 79</t>
  </si>
  <si>
    <t>PN A66 80</t>
  </si>
  <si>
    <t>PN A66 81</t>
  </si>
  <si>
    <t>PN A66 82</t>
  </si>
  <si>
    <t>PN A66 83</t>
  </si>
  <si>
    <t>PN A66 84</t>
  </si>
  <si>
    <t>PN A66 85</t>
  </si>
  <si>
    <t>PN A66 86</t>
  </si>
  <si>
    <t>HCG 1</t>
  </si>
  <si>
    <t>HCG 2</t>
  </si>
  <si>
    <t>HCG 3</t>
  </si>
  <si>
    <t>HCG 4</t>
  </si>
  <si>
    <t>HCG 5</t>
  </si>
  <si>
    <t>HCG 6</t>
  </si>
  <si>
    <t>HCG 7</t>
  </si>
  <si>
    <t>HCG 8</t>
  </si>
  <si>
    <t>HCG 9</t>
  </si>
  <si>
    <t>HCG 10</t>
  </si>
  <si>
    <t>HCG 11</t>
  </si>
  <si>
    <t>HCG 12</t>
  </si>
  <si>
    <t>HCG 13</t>
  </si>
  <si>
    <t>HCG 14</t>
  </si>
  <si>
    <t>HCG 15</t>
  </si>
  <si>
    <t>HCG 16</t>
  </si>
  <si>
    <t>HCG 17</t>
  </si>
  <si>
    <t>HCG 18</t>
  </si>
  <si>
    <t>HCG 19</t>
  </si>
  <si>
    <t>HCG 20</t>
  </si>
  <si>
    <t>HCG 21</t>
  </si>
  <si>
    <t>HCG 22</t>
  </si>
  <si>
    <t>HCG 23</t>
  </si>
  <si>
    <t>HCG 24</t>
  </si>
  <si>
    <t>HCG 25</t>
  </si>
  <si>
    <t>HCG 26</t>
  </si>
  <si>
    <t>HCG 27</t>
  </si>
  <si>
    <t>HCG 28</t>
  </si>
  <si>
    <t>HCG 29</t>
  </si>
  <si>
    <t>HCG 30</t>
  </si>
  <si>
    <t>HCG 31</t>
  </si>
  <si>
    <t>HCG 32</t>
  </si>
  <si>
    <t>HCG 33</t>
  </si>
  <si>
    <t>HCG 34</t>
  </si>
  <si>
    <t>HCG 35</t>
  </si>
  <si>
    <t>HCG 36</t>
  </si>
  <si>
    <t>HCG 37</t>
  </si>
  <si>
    <t>HCG 38</t>
  </si>
  <si>
    <t>HCG 39</t>
  </si>
  <si>
    <t>HCG 40</t>
  </si>
  <si>
    <t>HCG 41</t>
  </si>
  <si>
    <t>HCG 42</t>
  </si>
  <si>
    <t>HCG 43</t>
  </si>
  <si>
    <t>HCG 44</t>
  </si>
  <si>
    <t>HCG 45</t>
  </si>
  <si>
    <t>HCG 46</t>
  </si>
  <si>
    <t>HCG 47</t>
  </si>
  <si>
    <t>HCG 48</t>
  </si>
  <si>
    <t>HCG 49</t>
  </si>
  <si>
    <t>HCG 50</t>
  </si>
  <si>
    <t>HCG 51</t>
  </si>
  <si>
    <t>HCG 52</t>
  </si>
  <si>
    <t>HCG 53</t>
  </si>
  <si>
    <t>HCG 54</t>
  </si>
  <si>
    <t>HCG 55</t>
  </si>
  <si>
    <t>HCG 56</t>
  </si>
  <si>
    <t>HCG 57</t>
  </si>
  <si>
    <t>HCG 58</t>
  </si>
  <si>
    <t>HCG 59</t>
  </si>
  <si>
    <t>HCG 60</t>
  </si>
  <si>
    <t>HCG 61</t>
  </si>
  <si>
    <t>HCG 62</t>
  </si>
  <si>
    <t>HCG 63</t>
  </si>
  <si>
    <t>HCG 64</t>
  </si>
  <si>
    <t>HCG 65</t>
  </si>
  <si>
    <t>HCG 66</t>
  </si>
  <si>
    <t>HCG 67</t>
  </si>
  <si>
    <t>HCG 68</t>
  </si>
  <si>
    <t>HCG 69</t>
  </si>
  <si>
    <t>HCG 70</t>
  </si>
  <si>
    <t>HCG 71</t>
  </si>
  <si>
    <t>HCG 72</t>
  </si>
  <si>
    <t>HCG 73</t>
  </si>
  <si>
    <t>HCG 74</t>
  </si>
  <si>
    <t>HCG 75</t>
  </si>
  <si>
    <t>HCG 76</t>
  </si>
  <si>
    <t>HCG 77</t>
  </si>
  <si>
    <t>HCG 78</t>
  </si>
  <si>
    <t>HCG 79</t>
  </si>
  <si>
    <t>HCG 80</t>
  </si>
  <si>
    <t>HCG 81</t>
  </si>
  <si>
    <t>HCG 82</t>
  </si>
  <si>
    <t>HCG 83</t>
  </si>
  <si>
    <t>HCG 84</t>
  </si>
  <si>
    <t>HCG 85</t>
  </si>
  <si>
    <t>HCG 86</t>
  </si>
  <si>
    <t>HCG 87</t>
  </si>
  <si>
    <t>HCG 88</t>
  </si>
  <si>
    <t>HCG 89</t>
  </si>
  <si>
    <t>HCG 90</t>
  </si>
  <si>
    <t>HCG 91</t>
  </si>
  <si>
    <t>HCG 92</t>
  </si>
  <si>
    <t>HCG 93</t>
  </si>
  <si>
    <t>HCG 94</t>
  </si>
  <si>
    <t>HCG 95</t>
  </si>
  <si>
    <t>HCG 96</t>
  </si>
  <si>
    <t>HCG 97</t>
  </si>
  <si>
    <t>HCG 98</t>
  </si>
  <si>
    <t>HCG 99</t>
  </si>
  <si>
    <t>HCG 100</t>
  </si>
  <si>
    <t>AbellG 1126</t>
  </si>
  <si>
    <t>PN BoBn 1</t>
  </si>
  <si>
    <t>PN DeHt 1</t>
  </si>
  <si>
    <t>PN DeHt 2</t>
  </si>
  <si>
    <t>PN DeHt 3</t>
  </si>
  <si>
    <t>PN DeHt 4</t>
  </si>
  <si>
    <t>PN DeHt 5</t>
  </si>
  <si>
    <t>PN H 2-08</t>
  </si>
  <si>
    <t>PN H 3-29</t>
  </si>
  <si>
    <t>PN H 3-75</t>
  </si>
  <si>
    <t>PN HaTr 10</t>
  </si>
  <si>
    <t>PN HaTr 11</t>
  </si>
  <si>
    <t>PN Hb 04</t>
  </si>
  <si>
    <t>PN HDW 03</t>
  </si>
  <si>
    <t>PN HDW 05</t>
  </si>
  <si>
    <t>PN HDW 07</t>
  </si>
  <si>
    <t>PN HDW 08</t>
  </si>
  <si>
    <t>PN HDW 11</t>
  </si>
  <si>
    <t>PN HDW 12</t>
  </si>
  <si>
    <t>PN HFG 1</t>
  </si>
  <si>
    <t>PN Hu 1-2</t>
  </si>
  <si>
    <t>PN IsWe 1</t>
  </si>
  <si>
    <t>PN IsWe 2</t>
  </si>
  <si>
    <t>PN KjPn 8</t>
  </si>
  <si>
    <t>PN Kronberger 61</t>
  </si>
  <si>
    <t>PN LoTr 5</t>
  </si>
  <si>
    <t>PN PC 22</t>
  </si>
  <si>
    <t>PN PM 1-295</t>
  </si>
  <si>
    <t>PN Pu 1</t>
  </si>
  <si>
    <t>PN Sa 2-21</t>
  </si>
  <si>
    <t>PN SaWe 3</t>
  </si>
  <si>
    <t>PN SaWe 4</t>
  </si>
  <si>
    <t>PN We 1-01</t>
  </si>
  <si>
    <t>PN We 1-04</t>
  </si>
  <si>
    <t>PN We 1-06</t>
  </si>
  <si>
    <t>PN We 1-07</t>
  </si>
  <si>
    <t>PN We 1-09</t>
  </si>
  <si>
    <t>PN We 1-10</t>
  </si>
  <si>
    <t>PN We 1-11</t>
  </si>
  <si>
    <t>PN We 2-245</t>
  </si>
  <si>
    <t>PN We 3-01</t>
  </si>
  <si>
    <t>PN WeDe 1</t>
  </si>
  <si>
    <t>PN WeSb 2</t>
  </si>
  <si>
    <t>PN WeSb 4</t>
  </si>
  <si>
    <t>PN WeSb 5</t>
  </si>
  <si>
    <t>PN YM 16</t>
  </si>
  <si>
    <t>ARP: LARGE HSB COMP - 2 beautiful interacting galaxies with star-forming regions and a long star stream.</t>
  </si>
  <si>
    <t>ARP: LARGE HSB COMP - Pair of interacting galaxies.  Nice detail but little disturbance.</t>
  </si>
  <si>
    <t>ARP: LARGE HSB COMP - One of the best Arps - 3 galaxies, 2 interacting, with good detail and color.</t>
  </si>
  <si>
    <t>ARP: LARGE HSB COMP - Amazing arrangement of 2 bright colorful galaxies.</t>
  </si>
  <si>
    <t>ARP: LARGE HSB COMP - Pair of spiral galaxies with incredible star stream bridge.</t>
  </si>
  <si>
    <t>ARP: LARGE HSB COMP - Tiny pair of interacting galaxies - hard to see much detail here.</t>
  </si>
  <si>
    <t>ARP: LARGE HSB COMP - Fantastic pair with nice color contrast, disk warping and interaction.</t>
  </si>
  <si>
    <t>ARP: LARGE HSB COMP - Nice pair with interesting color, but not likely interacting.</t>
  </si>
  <si>
    <t>ARP: LARGE HSB COMP - 2 superimposed galaxies, blue and yellow with nice detail.</t>
  </si>
  <si>
    <t>ARP: ELLIPTICAL COMP - Nice pair with connecting bridge.  Good color and detail in spiral.</t>
  </si>
  <si>
    <t>ARP: ELLIPTICAL COMP - Beautiful dancing pair with deformations and star streams.</t>
  </si>
  <si>
    <t>ARP: ELLIPTICAL COMP -  Trio of galaxies with little visible interaction.</t>
  </si>
  <si>
    <t>ARP: ELLIPTICAL COMP - Bright pair, fairly wide apart, with distinct star stream bridge</t>
  </si>
  <si>
    <t>ARP: ELLIPTICAL COMP - Great alignment with star stream bridge connecting them.</t>
  </si>
  <si>
    <t>ARP: ELLIPTICAL COMP - Widely separated distant pair with star stream bridge between them.</t>
  </si>
  <si>
    <t>All 5 galaxies of group at same distance.  Beautiful faint star streams and structures in this group.</t>
  </si>
  <si>
    <t>ARP: ELLIPTICAL COMP - Incredible pair with star streams extending over 300,000 ly.</t>
  </si>
  <si>
    <t>ARP: ELLIPTICAL COMP - Striking 200,000 ly bridge connecting this pair.</t>
  </si>
  <si>
    <t>ARP: ELLIPTICAL/SPIRAL PAIR - Trio of galaxies with long star stream bridge.</t>
  </si>
  <si>
    <t>ARP: ELLIPTICAL/SPIRAL PAIR - Pair of interacting galaxies with lovely 200,000 ly star stream bridge.</t>
  </si>
  <si>
    <t>ARP: ELLIPTICAL/SPIRAL PAIR - Amazing vista of 5 galaxies highlighted by 700,000 ly star stream.</t>
  </si>
  <si>
    <t>ARP: ELLIPTICAL/SPIRAL PAIR - Interacting pair with long star streams and shells.</t>
  </si>
  <si>
    <t>ARP: ELLIPTICAL/SPIRAL PAIR - Disturbed 3 arm spiral galaxy.  Interaction with elliptical is not clear.</t>
  </si>
  <si>
    <t>ARP: ELLIPTICAL/SPIRAL PAIR - Twin star streams of spiral extending away from elliptical for 100,000 ly.</t>
  </si>
  <si>
    <t>ARP: ELLIPTICAL/SPIRAL PAIR - Severely disturbed spiral with large plume, may be interacting with other 2 galaxies.</t>
  </si>
  <si>
    <t>ARP: ELLIPTICAL/SPIRAL PAIR - 3 to 5 interacting galaxies with faint plumes.</t>
  </si>
  <si>
    <t>ARP: ELLIPTICAL/SPIRAL PAIR - Trio of galaxies with plumes and a bridge.</t>
  </si>
  <si>
    <t>ARP: ELLIPTICAL/SPIRAL PAIR - Group of 8 galaxies but little disturbance seen.</t>
  </si>
  <si>
    <t>Arp 25</t>
  </si>
  <si>
    <t>Arp 99</t>
  </si>
  <si>
    <t>Arp 48,119</t>
  </si>
  <si>
    <t>Arp 88,119</t>
  </si>
  <si>
    <t>Arp 48,88</t>
  </si>
  <si>
    <t>Arp 51</t>
  </si>
  <si>
    <t>Arp 67</t>
  </si>
  <si>
    <t>Arp 8</t>
  </si>
  <si>
    <t>Arp 1</t>
  </si>
  <si>
    <t>Arp 43</t>
  </si>
  <si>
    <t>Arp 63</t>
  </si>
  <si>
    <t>Arp 16</t>
  </si>
  <si>
    <t>Arp 87</t>
  </si>
  <si>
    <t>Arp 36</t>
  </si>
  <si>
    <t>Arp 60</t>
  </si>
  <si>
    <t>Arp 69</t>
  </si>
  <si>
    <t>Arp 79</t>
  </si>
  <si>
    <t>Arp 47,64</t>
  </si>
  <si>
    <t>Arp 47,328</t>
  </si>
  <si>
    <t>Arp 64,328</t>
  </si>
  <si>
    <t>Arp 122,172,272</t>
  </si>
  <si>
    <t>Arp 71,172,272</t>
  </si>
  <si>
    <t>Arp 71,122,272</t>
  </si>
  <si>
    <t>Arp 71,122,172</t>
  </si>
  <si>
    <t>Arp 33</t>
  </si>
  <si>
    <t>ARP: ELLIPTICAL/SPIRAL PAIR - Trio of galaxies with little interaction.</t>
  </si>
  <si>
    <t>ARP: ELLIPTICAL/SPIRAL PAIR - Bright elliptical next to interesting spiral - no interaction seen.</t>
  </si>
  <si>
    <t>ARP: ELLIPTICAL/SPIRAL PAIR - Beautiful huge barred spiral, interesting structure and star clouds.</t>
  </si>
  <si>
    <t>ARP: ELLIPTICAL/SPIRAL PAIR - Interacting pair includes double ring galaxy with blue clusters.</t>
  </si>
  <si>
    <t>ARP: ELLIPTICAL/SPIRAL PAIR - Large galaxy is severely warped with fantastic star streams.</t>
  </si>
  <si>
    <t>ARP: ELLIPTICAL/SPIRAL PAIR - Lovely disturbed edge-on spiral, clearly interacting with elliptical.</t>
  </si>
  <si>
    <t>ARP: ELLIPTICAL/SPIRAL PAIR - Spiral ring galaxy is disturbed  with warped disk and star plumes.</t>
  </si>
  <si>
    <t>ARP: ELLIPTICAL/SPIRAL PAIR - Asymmetric spiral disk with some warping and interaction with elliptical.</t>
  </si>
  <si>
    <t xml:space="preserve">ARP: ELLIPTICAL/SPIRAL PAIR - Warped spiral disk with wavy dust lanes. </t>
  </si>
  <si>
    <t>ARP: ELLIPTICAL/SPIRAL PAIR - Collisional ring galaxy with impacting companion still present.</t>
  </si>
  <si>
    <t>ARP: ELLIPTICAL/SPIRAL PAIR - Pair of galaxies, one irregular, that are unlikely interacting.</t>
  </si>
  <si>
    <t>ARP: ELLIPTICAL/SPIRAL PAIR - Superimposed pair of galaxies, not interacting.</t>
  </si>
  <si>
    <t>ARP: ELLIPTICAL/SPIRAL PAIR - 2 overlapping galaxies, not interacting</t>
  </si>
  <si>
    <t>ARP: ELLIPTICAL/SPIRAL PAIR - Interacting pair, with disturbance and star formation in the spiral.</t>
  </si>
  <si>
    <t>ARP: ELLIPTICAL/SPIRAL PAIR - Disturbed spiral with looping star streams.</t>
  </si>
  <si>
    <t>ARP: ELLIPTICAL/SPIRAL PAIR - Spiral somewhat disturbed, but pair unlikely to be interacting.</t>
  </si>
  <si>
    <t>ARP: ELLIPTICAL/SPIRAL PAIR - Small galaxies.  Spiral looks like polar ring galaxy.</t>
  </si>
  <si>
    <t>ARP: FRAGMENTED ELLIPTICAL - Fascinating blue peculiar galaxy been driving by a radio elliptical jet.</t>
  </si>
  <si>
    <t>ARP: FRAGMENTED ELLIPTICAL - Lenticular has plume that extends down and to the left.</t>
  </si>
  <si>
    <t>ARP: ELLIP. EMANATING MATERIAL - Grand design spiral - somewhat distorted.</t>
  </si>
  <si>
    <t>ARP: ELLIP. EMANATING MATERIAL - 2 superimposed galaxies, not unusual.</t>
  </si>
  <si>
    <t>ARP: ELLIP. EMANATING MATERIAL - Looks like 3 small interacting galaxies</t>
  </si>
  <si>
    <t>ARP: ELLIP. EMANATING MATERIAL - Fascinating interacting pair, with bright blue star clouds</t>
  </si>
  <si>
    <t>ARP: ELLIP. EMANATING MATERIAL - Spiral severely distorted with blue star clouds</t>
  </si>
  <si>
    <t>ARP: ELLIP. EMANATING MATERIAL - Beautifully distorted colorful spiral.</t>
  </si>
  <si>
    <t>ARP: ELLIP. EMANATING MATERIAL - Wonderfully distorted colorful pair.</t>
  </si>
  <si>
    <t>ARP: ELLIP. EMANATING MATERIAL - Wildly distorted blue spiral with looping star streams.</t>
  </si>
  <si>
    <t>ARP: ELLIP. EMANATING MATERIAL - Distorted blue ring spiral, with bright star clouds.</t>
  </si>
  <si>
    <t>ARP: RINGS - Collisional ring galaxy with star clouds around the impacted rim.</t>
  </si>
  <si>
    <t>ARP: RINGS - Collisional ring galaxy, impacting companion is larger than usual.</t>
  </si>
  <si>
    <t>ARP: JETS - Pair of interacting galaxies with star stream bridge, no jets.</t>
  </si>
  <si>
    <t>ARP: JETS -  Trio of galaxies with straight 100,000 ly long star stream.  No jet.</t>
  </si>
  <si>
    <t>ARP: DISTURBED WITH ABSORPTION -  Interesting dust lanes and star streams.</t>
  </si>
  <si>
    <t>ARP: DISTURBED WITH ABSORPTION -  Disturbed spiral with strong dust lane and extended star streams.</t>
  </si>
  <si>
    <t>ARP: DISTURBED WITH ABSORPTION -  Pair of colliding galaxies with remnants of both cores still visible.</t>
  </si>
  <si>
    <t>ARP: DIFFUSE FILAMENTS - Lenticular galaxy with spherical halo and bright disk.</t>
  </si>
  <si>
    <t>ARP: DIFFUSE FILAMENTS - Small dwarf blue galaxy with star clouds.</t>
  </si>
  <si>
    <t>ARP: DIFFUSE FILAMENTS - Large lenticular with extended and looping star streams.</t>
  </si>
  <si>
    <t>ARP: DIFFUSE FILAMENTS - Elliptical with unusually long star stream tail.</t>
  </si>
  <si>
    <t>ARP: DIFFUSE FILAMENTS - Unusual barbell-like structure, with 2 bright galaxies bridge connected.</t>
  </si>
  <si>
    <t>ARP: DIFFUSE COUNTER-TAILS - Pair of ellipticals with some distortion, likely are interacting.</t>
  </si>
  <si>
    <t>M31,110</t>
  </si>
  <si>
    <t>M32, M110</t>
  </si>
  <si>
    <t>M31,32</t>
  </si>
  <si>
    <t>M95</t>
  </si>
  <si>
    <t>M96</t>
  </si>
  <si>
    <t>M60</t>
  </si>
  <si>
    <t>M84</t>
  </si>
  <si>
    <t>M86</t>
  </si>
  <si>
    <t xml:space="preserve">Featureless elliptical galaxy satellite of Andromeda.  </t>
  </si>
  <si>
    <t>ARP: DIFFUSE COUNTER-TAILS - Trio of small ellipticals in a somewhat distorted star stream halo.</t>
  </si>
  <si>
    <t>ARP: DIFFUSE COUNTER-TAILS - Pair of bright ellipticals with wonderful complimentary deformed star halos.</t>
  </si>
  <si>
    <t>ARP: DIFFUSE COUNTER-TAILS -  Like Arp 171, a pair of ellipticals with complimentary deformed star halos.</t>
  </si>
  <si>
    <t>ARP: NARROW COUNTER-TAILS - 2 galaxies with a nice star stream bridge and tail.</t>
  </si>
  <si>
    <t>ARP: NARROW COUNTER-TAILS - 2 galaxies with short bridge and long 300,000 ly star stream tail.</t>
  </si>
  <si>
    <t>ARP: NARROW COUNTER-TAILS - Short star stream bridge and long tail, related to 2 distant galaxies</t>
  </si>
  <si>
    <t>ARP: NARROW COUNTER-TAILS - Trio of galaxies with a star stream tail.</t>
  </si>
  <si>
    <t>ARP: NARROW FILAMENTS -  A small spiral with a long tidal plume.  No companions around.</t>
  </si>
  <si>
    <t>ARP: NARROW FILAMENTS -  Pair of interacting galaxies with 150,000 ly star stream.</t>
  </si>
  <si>
    <t xml:space="preserve">ARP: NARROW FILAMENTS - Pair of face-on galaxies in contrasting colors and long star streams. </t>
  </si>
  <si>
    <t>ARP: NARROW FILAMENTS -  Face-on grand design spiral - filaments are simply disk disturbance.</t>
  </si>
  <si>
    <t>ARP: NARROW FILAMENTS -  Chaotic disk structure with off-center core, dark dust lanes, and star clouds.</t>
  </si>
  <si>
    <t>ARP: NARROW FILAMENTS -  Unusual arm structure but no narrow filaments.</t>
  </si>
  <si>
    <t>ARP: NARROW FILAMENTS -  Spiral with two unique star streams, a broad plume and a long tail.</t>
  </si>
  <si>
    <t>ARP: NARROW FILAMENTS -  Some disk disturbance and a long faint star stream, but no companion.</t>
  </si>
  <si>
    <t>ARP: NARROW FILAMENTS -  Deformed disk and 300,000 ly long tail, with visible companion.</t>
  </si>
  <si>
    <t>ARP: NARROW FILAMENTS -  Detailed disk structure and faint 200,000 ly long straight star stream.</t>
  </si>
  <si>
    <t xml:space="preserve">ARP: NARROW FILAMENTS -  Trio of galaxies, 1 blue and 2 yellow.  One has a 300,000 ly long star stream tail. </t>
  </si>
  <si>
    <t>ARP: NARROW FILAMENTS - Pair of galaxies, one with 200,000 ly long tail.</t>
  </si>
  <si>
    <t xml:space="preserve">ARP: EJECTED MATERIAL - </t>
  </si>
  <si>
    <t>ARP: EJECTED MATERIAL - Pair of interacting galaxies, one wildly disturbed, with a bridge between.</t>
  </si>
  <si>
    <t>ARP: EJECTED MATERIAL - Small galaxy triplet with long extended 200,000 ly tail</t>
  </si>
  <si>
    <t>ARP: EJECTED MATERIAL - Pair of galaxies with long linear tail.</t>
  </si>
  <si>
    <t>ARP: EJECTED MATERIAL - Two superimposed galaxies, blue and yellow.  Assumed jet is simply an edge-on galaxy.</t>
  </si>
  <si>
    <t>ARP: EJECTED MATERIAL - Slightly disturbed spiral with no sign of ejected material.</t>
  </si>
  <si>
    <t>ARP: EJECTED MATERIAL - Pair of distant galaxies surrounded by faint plume.</t>
  </si>
  <si>
    <t>ARP: EJECTED MATERIAL - Pair of odd bright blue interacting galaxies.</t>
  </si>
  <si>
    <t>ARP: EJECTED MATERIAL - Edge-on barred galaxy with faint extended star streams.</t>
  </si>
  <si>
    <t>ARP: EJECTED MATERIAL - Pair of likely interacting galaxies, bridged by star clumps</t>
  </si>
  <si>
    <t>ARP: EJECTED MATERIAL - Pair of interacting galaxies with many bright blue star clouds</t>
  </si>
  <si>
    <t>ARP: EJECTED MATERIAL - Single yellow galaxy obscured by foreground blue star.</t>
  </si>
  <si>
    <t>ARP: IRREGULARITIES -  Starburst dwarf irregular galaxy with star clouds and HII regions.</t>
  </si>
  <si>
    <t>ARP: IRREGULARITIES - Some dwarf galaxy with bright blue star clouds.</t>
  </si>
  <si>
    <t>ARP: IRREGULARITIES -  Odd mottled galaxy with 2 bright cores</t>
  </si>
  <si>
    <t>ARP: IRREGULARITIES - Stunning polar ring galaxy, close enough to show nice detail.</t>
  </si>
  <si>
    <t xml:space="preserve">ARP: LOOPS -  Disturbed galaxy with star plumes </t>
  </si>
  <si>
    <t>ARP: LOOPS -  Grand design starburst galaxy with disturbed disk and faint streams.</t>
  </si>
  <si>
    <t>ARP: AMORPHOUS ARMS - Triple galaxy system with nice color and star streams in different directions.</t>
  </si>
  <si>
    <t>ARP: AMORPHOUS ARMS - Lenticular Seyfert galaxy with lovely asymmetric dust lanes and star streams</t>
  </si>
  <si>
    <t>ARP: FISSION - Large lenticular with fascinating dust cloud structures</t>
  </si>
  <si>
    <t>E</t>
  </si>
  <si>
    <t>ARP: FRAGMENTED ELLIPTICAL - Lenticular has small dwarf blue companion that is causing some disturbance.</t>
  </si>
  <si>
    <t>ARP: FISSION - Blue compact dwarf with signs of polar ring formation</t>
  </si>
  <si>
    <t>ARP: FISSION - Blue compact dwarf with bright blue star clouds</t>
  </si>
  <si>
    <t>ARP: FISSION - Magellanic galaxy with blue star clouds and HII regions.</t>
  </si>
  <si>
    <t>Floc</t>
  </si>
  <si>
    <t>Hickson 079</t>
  </si>
  <si>
    <t>Hickson 16, NGC 835,</t>
  </si>
  <si>
    <t>Hickson 44,NGC 3189</t>
  </si>
  <si>
    <t xml:space="preserve">Hickson 57,NGC 3745 </t>
  </si>
  <si>
    <t>Hickson 73,NGC 5829</t>
  </si>
  <si>
    <t xml:space="preserve">Hickson 92,NGC 7320 </t>
  </si>
  <si>
    <t>Hickson 93,NGC 7549</t>
  </si>
  <si>
    <t>Hickson 94,NGC 7578</t>
  </si>
  <si>
    <t>Hickson 95,NGC 7609</t>
  </si>
  <si>
    <t>Hickson 96,NGC 7674</t>
  </si>
  <si>
    <t>ARP: FISSION - Pair of interacting galaxies with star stream bridge and many other streams.</t>
  </si>
  <si>
    <t>ARP: FISSION - Pair of interacting galaxies with bridge and bright star clouds.</t>
  </si>
  <si>
    <t>ARP: FISSION - Pair of contrasting color interacting galaxies with bridge and star clouds</t>
  </si>
  <si>
    <t>ARP: FISSION - Pair of interacting galaxies with bridge and dual long tails</t>
  </si>
  <si>
    <t xml:space="preserve">ARP: FISSION - Showcase pair of interacting galaxies with intense HII regions and superlong tails. </t>
  </si>
  <si>
    <t>ARP: FISSION - Pair of interacting galaxies with bridge and long star streams</t>
  </si>
  <si>
    <t>ARP: FISSION -  Pair of superimposed galaxies - no interaction seen</t>
  </si>
  <si>
    <t>ARP: FISSION - Pair of interacting galaxies with bridge and superlong tail.</t>
  </si>
  <si>
    <t>ARP: FISSION - Pair of interacting galaxies with superlong bridge</t>
  </si>
  <si>
    <t>ARP: FISSION - Pair of interacting ellipticals with star stream bridge and tails</t>
  </si>
  <si>
    <t>ARP: FISSION - Three small interacting galaxies with a star stream bridge and tails</t>
  </si>
  <si>
    <t>ARP: EJECTED MATERIAL - Pair of small galaxies with bridge.  Tied for furthest Arp object at 1 billion ly.</t>
  </si>
  <si>
    <t>ARP: FISSION - Dual interacting galaxies with bridge and wild long arcing streams.</t>
  </si>
  <si>
    <t xml:space="preserve">ARP: FISSION - Interacting pair of edge-on galaxies with bridge and blue star clouds. </t>
  </si>
  <si>
    <t>ARP: FISSION - Barred spiral with long star streams, likely interacting with an irregular companion.</t>
  </si>
  <si>
    <t>ARP: FISSION - Interacting pair with contrasting colors, bridge and tails.</t>
  </si>
  <si>
    <t>ARP: FISSION - Galaxy trio, with star stream bridge between 2.  Tied for furthest Arp object at 1 billion ly.</t>
  </si>
  <si>
    <t>ARP: CLUMPS - Interacting blue pair with faint bridge, complex streams and star clouds.</t>
  </si>
  <si>
    <t>ARP: CLUMPS - Looks like 2 galaxies, not 4.  Probably not interacting.</t>
  </si>
  <si>
    <t>ARP: CLUMPS - Complex. Tied for having the second most galaxies (7) of any Hickson group.</t>
  </si>
  <si>
    <t>ARP: CLUMPS - Faint blue galaxy with fascinating HII bubble regions</t>
  </si>
  <si>
    <t>ARP: CLUMPS - Likely Magellanic galaxy, small and dim with comet-like shape</t>
  </si>
  <si>
    <t>ARP: CLUMPS - Comet-like blue irregular galaxy with star clouds and long tail</t>
  </si>
  <si>
    <t>ARP: CLUMPS - Interacting pair of blue galaxies with plumes and strong arms</t>
  </si>
  <si>
    <t>ARP: CLUMPS - Pair of blue interacting galaxies with bridge and plumes</t>
  </si>
  <si>
    <t>ARP: CLUMPS - Mess of 2 likely superimposed blue galaxies, with star plumes</t>
  </si>
  <si>
    <t>ARP: CLUMPS - Irregular galaxy with blue star clouds, HII regions, and large plumes</t>
  </si>
  <si>
    <t xml:space="preserve">ARP: CLUMPS - Likely blue Magellanic galaxy with many blue star clouds </t>
  </si>
  <si>
    <t>ARP: CLUMPS - Complex faint blue arm galaxy with odd 3 arm central region.</t>
  </si>
  <si>
    <t>ARP: CONNECTED ARMS - Showcase pair of bright blue interacting galaxies with HII regions</t>
  </si>
  <si>
    <t>ARP: CONNECTED ARMS - Pair of interacting blue galaxies with bridge and star clouds</t>
  </si>
  <si>
    <t xml:space="preserve">ARP: CONNECTED ARMS - Pair of lovely grand spirals with bridge and nice structure. </t>
  </si>
  <si>
    <t xml:space="preserve">ARP: CONNECTED ARMS - Pair of interacting face-on spirals with likely companion </t>
  </si>
  <si>
    <t>ARP: CONNECTED ARMS - Showcase object of 2 interacting grand design spirals, with bridge and plumes</t>
  </si>
  <si>
    <t>ARP: CONNECTED ARMS - Two superimposed distant galaxies</t>
  </si>
  <si>
    <t>ARP: INTERACTING - Likely interacting blue pair with star clouds and plumes</t>
  </si>
  <si>
    <t>ARP: INTERACTING - Likely superimposed pair, no disturbance seen.</t>
  </si>
  <si>
    <t>ARP: INTERACTING - Interacting pair of blue irregular galaxies with bridge and star clouds.</t>
  </si>
  <si>
    <t>ARP: INTERACTING - Interacting pair of similar spiral galaxies with bridge and nice color.</t>
  </si>
  <si>
    <t>ARP: INTERACTING - Pair of likely interacting galaxies.  Star plumes but not much deformation.</t>
  </si>
  <si>
    <t>ARP: INFILL &amp; ATTRACTION - Showcase yellow spiral with bridged companion.  Nice color and detail.</t>
  </si>
  <si>
    <t>ARP: INFILL &amp; ATTRACTION - Pair of likely interacting galaxies with contrasting color and plumes</t>
  </si>
  <si>
    <t>ARP: INFILL &amp; ATTRACTION - Interacting pair obscured by bright star</t>
  </si>
  <si>
    <t>ARP: INFILL &amp; ATTRACTION - Likely interacting pair with slight star streams</t>
  </si>
  <si>
    <t>ARP: INFILL &amp; ATTRACTION - Trio of likely interacting galaxies with nice color and detail.</t>
  </si>
  <si>
    <t>ARP: WIND EFFECTS - Double ring galaxy with 0.5 billion long star streams</t>
  </si>
  <si>
    <t xml:space="preserve">ARP: WIND EFFECTS - Grand design spiral with star plumes </t>
  </si>
  <si>
    <t>ARP: WIND EFFECTS - Spiral galaxy with star streams, possibly interacting with companion</t>
  </si>
  <si>
    <t>ARP: WIND EFFECTS - Typical Magellan galaxy</t>
  </si>
  <si>
    <t>ARP: WIND EFFECTS - Edge-on spiral with no "wind effects" seen.</t>
  </si>
  <si>
    <t>ARP: WIND EFFECTS - Pair of interacting galaxies with contrasting colors and  faint star stream bridge.</t>
  </si>
  <si>
    <t>ARP: LONG FILAMENTS - 2 interacting galaxies with extended star streams</t>
  </si>
  <si>
    <t>ARP: LONG FILAMENTS - Interacting pair with bridge, part of incredible 0.8 billion long star stream.</t>
  </si>
  <si>
    <t>ARP: LONG FILAMENTS - Galaxy pair connected by long thin star stream</t>
  </si>
  <si>
    <t>ARP: LONG FILAMENTS - 2 galaxies each likely interacting with a companion</t>
  </si>
  <si>
    <t>ARP: DOUBLE GALAXIES - Two colorful, likely superimposed galaxies</t>
  </si>
  <si>
    <t>ARP: DOUBLE GALAXIES - Interacting close pair with blue star clouds and HII regions</t>
  </si>
  <si>
    <t>ARP: DOUBLE GALAXIES - Two close galaxies with interesting structure, may be interacting</t>
  </si>
  <si>
    <t>ARP: DOUBLE GALAXIES - 2 interacting galaxies with contrasting color and minimal disturbance.</t>
  </si>
  <si>
    <t>ARP: DOUBLE GALAXIES - Barred spiral with some disturbance, not likely interacting with background galaxy</t>
  </si>
  <si>
    <t>ARP: DOUBLE GALAXIES - Grand spiral with star clouds, possible interacting with nearby irregular</t>
  </si>
  <si>
    <t>ARP: DOUBLE GALAXIES - Magellan galaxy possibly interacting with another background Magellan galaxy</t>
  </si>
  <si>
    <t>ARP: DOUBLE GALAXIES - Lovely pair with contrasting structures, may not be interacting</t>
  </si>
  <si>
    <t>ARP: DOUBLE GALAXIES - Pair of interacting ellipticals, part of larger group</t>
  </si>
  <si>
    <t>ARP: DOUBLE GALAXIES - Pair of lenticulars that, although close, are not likely interacting</t>
  </si>
  <si>
    <t>ARP: DOUBLE GALAXIES - Galaxy pair with shared galactic halo</t>
  </si>
  <si>
    <t>ARP: GROUPS - Showcase Leo triplet</t>
  </si>
  <si>
    <t>ARP: GROUPS - Galaxy group which includes Arp 310</t>
  </si>
  <si>
    <t>ARP: GROUPS - Trio of galaxies, likely at different distances.</t>
  </si>
  <si>
    <t>ARP: GROUPS - Interesting interacting group of small blue galaxies with star streams</t>
  </si>
  <si>
    <t>ARP: GROUPS - Galaxies at the center of Abell 779.  Little disturbance seen.</t>
  </si>
  <si>
    <t>Hickson 98,NGC 7783</t>
  </si>
  <si>
    <t>All galaxies at same distance. Right 4 galaxies appear disturbed and to be interacting with each other.</t>
  </si>
  <si>
    <t>All galaxies at same distance.  2 of the 4 galaxies appear to be interacting.</t>
  </si>
  <si>
    <t>ARP: GROUPS - Group of small ellipticals</t>
  </si>
  <si>
    <t>ARP: CHAINS - Line-of-sight chain anchored by 2 large ellipticals</t>
  </si>
  <si>
    <t xml:space="preserve">   (')</t>
  </si>
  <si>
    <t>ARP: CHAINS - Short chain of distant ellipticals</t>
  </si>
  <si>
    <t>ARP: CHAINS - Curving line-of-sight chain of spirals</t>
  </si>
  <si>
    <t>ARP: CHAINS - Interesting vertical zig-zag of 9 galaxies</t>
  </si>
  <si>
    <t>ARP: CHAINS - Chain of 12 NGC galaxies, perhaps the densest collection of NGC objects in the sky.</t>
  </si>
  <si>
    <t>ARP: CHAINS - Rambling line-of-sight "chain"</t>
  </si>
  <si>
    <t>ARP: MISC. - Beautiful double ring spiral with no disturbance</t>
  </si>
  <si>
    <t>ARP: MISC. - Wonderful colorful disturbed galaxy with long curving tail</t>
  </si>
  <si>
    <t>ARP: MISC. - Showcase Seyfert polar ring galaxy with dust lanes and good color.</t>
  </si>
  <si>
    <t>Spectacular showcase starburst galaxy, with dramatic dust lanes and HII regions</t>
  </si>
  <si>
    <t>ARP: MISC. - Superposition of 2 unimpressive distant galaxies</t>
  </si>
  <si>
    <t>Beautiful barred grand design spiral with nuclear ring and companion.</t>
  </si>
  <si>
    <t xml:space="preserve">Extragalactic globular cluster, torn away from the Sagittarius Dwarf Spheroidal Galaxy </t>
  </si>
  <si>
    <t>Dominant OIII, progenitor star and bright mid-region rim</t>
  </si>
  <si>
    <t>LDN 0587</t>
  </si>
  <si>
    <t>LDN 1471</t>
  </si>
  <si>
    <t>Cedarblad 51</t>
  </si>
  <si>
    <t>PN Ba 1</t>
  </si>
  <si>
    <t>Baade 1</t>
  </si>
  <si>
    <t>LBN878</t>
  </si>
  <si>
    <t>NGC2245,2247</t>
  </si>
  <si>
    <t>IC4592</t>
  </si>
  <si>
    <t>NGC6293,6316</t>
  </si>
  <si>
    <t>vdB110</t>
  </si>
  <si>
    <t>Iconic Snake Nebula, one of the best dark nebula to image.</t>
  </si>
  <si>
    <t>M20</t>
  </si>
  <si>
    <t>IC1274,1275</t>
  </si>
  <si>
    <t>LDN497</t>
  </si>
  <si>
    <t>Abell48,TR35</t>
  </si>
  <si>
    <t>NGC6871</t>
  </si>
  <si>
    <t>IC5146</t>
  </si>
  <si>
    <t>vdB27</t>
  </si>
  <si>
    <t>B216</t>
  </si>
  <si>
    <t>LDN 185,192</t>
  </si>
  <si>
    <t>M7</t>
  </si>
  <si>
    <t>NGC6522,6528</t>
  </si>
  <si>
    <t>IC4685,B302</t>
  </si>
  <si>
    <t>IC1318</t>
  </si>
  <si>
    <t>NGC 6996</t>
  </si>
  <si>
    <t>I-2-20</t>
  </si>
  <si>
    <t>III-1-60</t>
  </si>
  <si>
    <t>Tough cluster to pick out from background.</t>
  </si>
  <si>
    <t>Darkest nebula (opacity=6) plus beautiful blue reflection nebula.</t>
  </si>
  <si>
    <t>Dim emission nebula</t>
  </si>
  <si>
    <t>RNO 78</t>
  </si>
  <si>
    <t>Tiny blue stellar PN</t>
  </si>
  <si>
    <t>PN BV 1</t>
  </si>
  <si>
    <t>PN BV 3</t>
  </si>
  <si>
    <t>Oddly shaped PN with bright linear arcs</t>
  </si>
  <si>
    <t xml:space="preserve">Dim hydrogen emission nebula with several extended dust pillars </t>
  </si>
  <si>
    <t>Tiny stellar PN surrounding WC star (WC9-type) with strong hydrogen spectrum</t>
  </si>
  <si>
    <t>PN Cn 1-5</t>
  </si>
  <si>
    <t>B30</t>
  </si>
  <si>
    <t>V* R Aqr</t>
  </si>
  <si>
    <t>Cometary globule seen next to the NGC 5367 blue reflection nebula</t>
  </si>
  <si>
    <t>LEDA 1631504</t>
  </si>
  <si>
    <t>Pis</t>
  </si>
  <si>
    <t>Distant galaxy trio with little interaction seen</t>
  </si>
  <si>
    <t>Faint arcs of light are distant 10 bly away galaxies lensed by a 4.5 bly away galaxy cluster</t>
  </si>
  <si>
    <t>IC1731</t>
  </si>
  <si>
    <t>III-3-20</t>
  </si>
  <si>
    <t>III-3-100</t>
  </si>
  <si>
    <t>III-2-80</t>
  </si>
  <si>
    <t>Collinder 249</t>
  </si>
  <si>
    <t>Tiny bi-polar protoplanetary nebula.  Progenitor star not visible.</t>
  </si>
  <si>
    <t>NGC 40</t>
  </si>
  <si>
    <t>IC359,B10,B7</t>
  </si>
  <si>
    <t>An asterism in Cygnus.  Not found in the SIMBAD database.</t>
  </si>
  <si>
    <t>Delicate crescent-moon shaped PN.  Progenitor visible.</t>
  </si>
  <si>
    <t>Above the dark nebula is star cluster, reflection nebula and emission nebula</t>
  </si>
  <si>
    <t>Too faint to be seen in any optical image, at least not yet</t>
  </si>
  <si>
    <t>NAME PN Ra 10</t>
  </si>
  <si>
    <t xml:space="preserve"> Ra 10</t>
  </si>
  <si>
    <t>Recently discovered complex faint PN</t>
  </si>
  <si>
    <t>EGB 04</t>
  </si>
  <si>
    <t>EGB 01</t>
  </si>
  <si>
    <t>EGB 06</t>
  </si>
  <si>
    <t xml:space="preserve">Deformed elliptical PN with progenitor visible and some likely ISM influence </t>
  </si>
  <si>
    <t>NAME Ethos 1</t>
  </si>
  <si>
    <t>NAME PN Fe 6</t>
  </si>
  <si>
    <t>AGC 181313</t>
  </si>
  <si>
    <t xml:space="preserve">Tiny, unusually distorted starburst galaxy  </t>
  </si>
  <si>
    <t xml:space="preserve">NAME Fornax Dwarf Spheroidal </t>
  </si>
  <si>
    <t xml:space="preserve">Bipolar protoplanetary nebula. We have side-on view of the torus. </t>
  </si>
  <si>
    <t xml:space="preserve">YSO appearing as a tiny yellow reflection nebula in Barnard 35 </t>
  </si>
  <si>
    <t>PM 1-333, LBN 325</t>
  </si>
  <si>
    <t xml:space="preserve"> AJG 105</t>
  </si>
  <si>
    <t>NAME Mayall II</t>
  </si>
  <si>
    <t>Extragalactic globular cluster in Andromeda</t>
  </si>
  <si>
    <t xml:space="preserve"> PN PM 1-333</t>
  </si>
  <si>
    <t xml:space="preserve"> TIC 357668187</t>
  </si>
  <si>
    <t>Extremely faint large SNR, OIII dominated.</t>
  </si>
  <si>
    <t>Reflection nebula changes shape year-to-year</t>
  </si>
  <si>
    <t xml:space="preserve">Reflection nebula is primarily blue but has hints of red, purple and yellow on the right side </t>
  </si>
  <si>
    <t>IC444</t>
  </si>
  <si>
    <t xml:space="preserve">Bright blue reflection nebula surrounding the 7th magnitude star 12 Gem.  </t>
  </si>
  <si>
    <t>Textured light orange reflection nebula</t>
  </si>
  <si>
    <t>Large nebula forms the wings of the Seagull Nebula</t>
  </si>
  <si>
    <t>Gum17,Collinder197</t>
  </si>
  <si>
    <t>Gum15,K2-15</t>
  </si>
  <si>
    <t>Spiral Flame</t>
  </si>
  <si>
    <t>Located just west of the Vela Spiral Flame SNR</t>
  </si>
  <si>
    <t>RCW34</t>
  </si>
  <si>
    <t>RCW36</t>
  </si>
  <si>
    <t>RCW33</t>
  </si>
  <si>
    <t>RCW35</t>
  </si>
  <si>
    <t>RCW38</t>
  </si>
  <si>
    <t>RCW40</t>
  </si>
  <si>
    <t>RCW42</t>
  </si>
  <si>
    <t>RCW54c</t>
  </si>
  <si>
    <t>RCW110/111</t>
  </si>
  <si>
    <t>RCW195</t>
  </si>
  <si>
    <t>RCW99</t>
  </si>
  <si>
    <t>RCW71</t>
  </si>
  <si>
    <t>RCW69</t>
  </si>
  <si>
    <t>RCW66</t>
  </si>
  <si>
    <t>RCW52</t>
  </si>
  <si>
    <t>RCW54b</t>
  </si>
  <si>
    <t>RCW54a</t>
  </si>
  <si>
    <t>RCW54d</t>
  </si>
  <si>
    <t>RCW60b</t>
  </si>
  <si>
    <t>RCW61</t>
  </si>
  <si>
    <t>RCW65</t>
  </si>
  <si>
    <t>HII region that is part of the Vela Molecular Ridge</t>
  </si>
  <si>
    <t>NGC6164,RCW107</t>
  </si>
  <si>
    <t>The lower right bubble of the Cat's Paw nebula complex</t>
  </si>
  <si>
    <t>The lower left bubble of the Cat's Paw nebula complex</t>
  </si>
  <si>
    <t>The largest, upper right bubble of the Cat's Paw nebula complex</t>
  </si>
  <si>
    <t>Gum 64a</t>
  </si>
  <si>
    <t>Gum 64b</t>
  </si>
  <si>
    <t>Gum 64c</t>
  </si>
  <si>
    <t>The fragment at the center of the 3 paws of the Cat's Paw nebula complex</t>
  </si>
  <si>
    <t>The obscured "4th paw" of the Cat's Paw nebula complex, above the center of the other 3 paws.</t>
  </si>
  <si>
    <t>The upper left bubble of the Cat's Paw nebula complex</t>
  </si>
  <si>
    <t>Sh2-9</t>
  </si>
  <si>
    <t>The combination reflection nebula and HII region around Alniyat in Rho Ophiuchi</t>
  </si>
  <si>
    <t>The nebula complex around IC 4685</t>
  </si>
  <si>
    <t>Gum 84</t>
  </si>
  <si>
    <t>Small HII region surrounded by Gum 84</t>
  </si>
  <si>
    <t>Tiny cometary nebula surrounding the star V1982 Cyg</t>
  </si>
  <si>
    <t>EM* LkHA 324</t>
  </si>
  <si>
    <t>Tiny PN resembling the much large Headphones Nebula</t>
  </si>
  <si>
    <t>Unusual object, likely a PN but asymmetric.</t>
  </si>
  <si>
    <t>Bright progenitor, typical Ha rim / OIII inner signal</t>
  </si>
  <si>
    <t>YSO at the center of NGC 2316.</t>
  </si>
  <si>
    <t>Looks multipolar, dominant HII composition.  Faint wide HII stream reaching up.  No progenitor.</t>
  </si>
  <si>
    <t>Hen 1-5</t>
  </si>
  <si>
    <t>Hen 1-4</t>
  </si>
  <si>
    <t>One of the first HH objects to be identified.  Located just south of NGC 1999 (Keyhole Nebula)</t>
  </si>
  <si>
    <t>Bright pair of faint red jet flows just north of the Cone Nebula</t>
  </si>
  <si>
    <t>Reddish nebulae adjacent to a "keyhole", west of GN 22.55.2</t>
  </si>
  <si>
    <t>Comet-like object to the west of the white reflection nebula in NGC 6726</t>
  </si>
  <si>
    <t>White horseshoe loop near the star V633 Cassiopeiae, just northeast of vdB 1</t>
  </si>
  <si>
    <t>White arc near the star Cassiopeiae, just northeast of vdB1</t>
  </si>
  <si>
    <t>Gyulbudaghian's Nebula</t>
  </si>
  <si>
    <t xml:space="preserve">Beautiful jet-formed nebula, cause by the distant V380 Orionis jet. </t>
  </si>
  <si>
    <t>vdb1</t>
  </si>
  <si>
    <t xml:space="preserve"> GN 22.55.2</t>
  </si>
  <si>
    <t>Sh2-239,LDN1551</t>
  </si>
  <si>
    <t>Striking red outflow jet nebula in Sh2-239</t>
  </si>
  <si>
    <t>The white wisp in the head of the Gecko Nebula (LBN 437)</t>
  </si>
  <si>
    <t>LBN437</t>
  </si>
  <si>
    <t>IC5070</t>
  </si>
  <si>
    <t>One of the most famous HH objects, a bi-polar jet at the tip of the towering trunk seen in the Pelican Nebula (IC5070)</t>
  </si>
  <si>
    <t>Ced 51</t>
  </si>
  <si>
    <t>YSO is associated with the blue reflection nebula Ced 51 as well as Barnard 30</t>
  </si>
  <si>
    <t>Famous and mysterious tiny ring galaxy, looking like a PN</t>
  </si>
  <si>
    <t>Group of 4 galaxies, highlighted by the messy LSB galaxy NGC 2805, all with interesting structures</t>
  </si>
  <si>
    <t>Haute-Provence 1</t>
  </si>
  <si>
    <t xml:space="preserve">The only known starburst galaxy in our Local Group, with many pink HII regions </t>
  </si>
  <si>
    <t>IC59</t>
  </si>
  <si>
    <t xml:space="preserve">Sh2-185,Gamma Cassiopeia  </t>
  </si>
  <si>
    <t>IC227</t>
  </si>
  <si>
    <t>IC226</t>
  </si>
  <si>
    <t>Disturbed small barred galaxy with a large star plume and many distant background galaxies</t>
  </si>
  <si>
    <t>Small edge-on spiral with multiple dark mid-line dust lanes</t>
  </si>
  <si>
    <t>Fascinating arm structure, include VV rows, but obscured by Milky Way dust and stars</t>
  </si>
  <si>
    <t>vdB19</t>
  </si>
  <si>
    <t>vdB34</t>
  </si>
  <si>
    <t>NGC1893</t>
  </si>
  <si>
    <t>IC413</t>
  </si>
  <si>
    <t>Tiny asymmetric spiral ring galaxy with offset core and some disturbance.</t>
  </si>
  <si>
    <t>Stock 8</t>
  </si>
  <si>
    <t>Sh2-234</t>
  </si>
  <si>
    <t>Tiny stellar-like bright PN, progenitor visible</t>
  </si>
  <si>
    <t>Disturbed faint face-on barred spiral, with broken arms and a few nearby companions.</t>
  </si>
  <si>
    <t>Colorful reflection nebula, illuminated by the bright stars in Orion's Belt.</t>
  </si>
  <si>
    <t>Sh2-248</t>
  </si>
  <si>
    <t>IC443</t>
  </si>
  <si>
    <t>vdB77,78</t>
  </si>
  <si>
    <t>NGC750</t>
  </si>
  <si>
    <t>NGC749</t>
  </si>
  <si>
    <t>Yellow barred core, blue disk, and some pink HII regions. Crazy looking arms.</t>
  </si>
  <si>
    <t>Spectacular slightly barred grand design spiral with blue star clouds and arms which extend out 270 degrees</t>
  </si>
  <si>
    <t>Controversial Arp "jet" galaxy which has a tail but no jet in this image</t>
  </si>
  <si>
    <t>Pair of ellipticals amongst many other background galaxies</t>
  </si>
  <si>
    <t>Beautiful odd shaped Magellanic galaxy with many blue star clouds</t>
  </si>
  <si>
    <t>Object Transit</t>
  </si>
  <si>
    <t>Separ.</t>
  </si>
  <si>
    <t>Alt.</t>
  </si>
  <si>
    <t>WR</t>
  </si>
  <si>
    <t>M51</t>
  </si>
  <si>
    <t xml:space="preserve">  Link</t>
  </si>
  <si>
    <t>Asymmetric, likely due to ISM. Faint arcs lower right mirror the brighter arcs at upper left.</t>
  </si>
  <si>
    <t>Bipolar</t>
  </si>
  <si>
    <t>NGC6910</t>
  </si>
  <si>
    <t>Nice full narrowband object, with cluster NGC6910</t>
  </si>
  <si>
    <t>IC1311</t>
  </si>
  <si>
    <t>Small line-of-sight chain of 5 galaxies</t>
  </si>
  <si>
    <t>Beautiful emission nebula and star cluster.  Main trunk is 20 ly long.  Nice narrowband target</t>
  </si>
  <si>
    <t>Bright edge-on spiral, also called PGC 1076468, in a group of unrelated galaxies.</t>
  </si>
  <si>
    <t>2 distant galaxies connected with a star stream bridge, with a long tail.</t>
  </si>
  <si>
    <t>Barred face-on double ring galaxy, with several nearby galaxies</t>
  </si>
  <si>
    <t>2 edge-on spirals, possibly connected with a star stream bridge</t>
  </si>
  <si>
    <t>Contrasting yellow and blue pair of interacting galaxies, engulfed in a common star stream halo.</t>
  </si>
  <si>
    <t>Medium sized, slightly disturbed spiral with a bit of a bar</t>
  </si>
  <si>
    <t>Graceful faint spiral with delicate arms that extend out 2 revolutions</t>
  </si>
  <si>
    <t>Beautiful grand design spiral with VV rows, bright star clouds and some disturbance</t>
  </si>
  <si>
    <t>Beautiful complex SNR, consisting of 2 shells and an obscuring molecular cloud</t>
  </si>
  <si>
    <t>Small textured reflection nebula that also has an emission component.</t>
  </si>
  <si>
    <t>Seyfert barred spiral with bright ansae at each bar end</t>
  </si>
  <si>
    <t>Highest proper motion of any star, seen year to year.  2nd closest star to our sun.</t>
  </si>
  <si>
    <t>The most well-known black-hole candidate.  Not visible to us, but its 9th mag companion is visible.</t>
  </si>
  <si>
    <t>Well disturbed spiral with several companion candidates and faint extended star plumes</t>
  </si>
  <si>
    <t>NGC 672</t>
  </si>
  <si>
    <t>IC1515</t>
  </si>
  <si>
    <t>IC1516</t>
  </si>
  <si>
    <t>Looks like Magellanic galaxy, with white bar and blue star clouds</t>
  </si>
  <si>
    <t>Emission nebula with dark dust lanes, glowing gas fronts and young massive stars</t>
  </si>
  <si>
    <t>IC1795</t>
  </si>
  <si>
    <t>IC1805</t>
  </si>
  <si>
    <t>Star cluster with 2 showcase emission nebula lobes and many dark nebulae</t>
  </si>
  <si>
    <t>Classic Magellanic galaxy with white bar and blue star clouds</t>
  </si>
  <si>
    <t>Stellar-like OIII-dominated PN with a bit of inner detail</t>
  </si>
  <si>
    <t xml:space="preserve">Small colorful reflection nebula adjacent to dark Barnard 22 </t>
  </si>
  <si>
    <t>Barnard 22</t>
  </si>
  <si>
    <t>Gravitationally lensed quasar at 10 bly that is located exactly behind a closer galaxy.</t>
  </si>
  <si>
    <t>2 billion ly away cluster is surprisingly interesting, especially right next to Hickson 61.</t>
  </si>
  <si>
    <t>3 form a true cluster - the 4th is 1.4 billion ly away.</t>
  </si>
  <si>
    <t>4 small but bright galaxies which are a true group but not close enough to be disturbing each other.</t>
  </si>
  <si>
    <t>a and b are the most interesting interacting Hickson pair, with lovely star streams.</t>
  </si>
  <si>
    <t>Adjacent to Abell 2197.  Both clusters are of average appearance.</t>
  </si>
  <si>
    <t>ARP: RINGS - Elliptical galaxy with faint shells</t>
  </si>
  <si>
    <t>ARP: RINGS - Elliptical with faint shells, in nice galaxy field.</t>
  </si>
  <si>
    <t>ARP: RINGS - May be only place in sky with two shell galaxies in same view.</t>
  </si>
  <si>
    <t>ARP: RINGS - Small polar ring galaxy with good color and detailed dust lanes.</t>
  </si>
  <si>
    <t>Beautiful complex nebula, with thin dust pillar that is about 1.5 ly long</t>
  </si>
  <si>
    <t>Beautiful small complex blue PN</t>
  </si>
  <si>
    <t xml:space="preserve">Bright Herbig-Haro object at the center of NGC 1333. </t>
  </si>
  <si>
    <t>Colorful kite shape in Cygnus.  Not contained in the SIMBAD database.</t>
  </si>
  <si>
    <t>Colorful open cluster in the shape of Texas</t>
  </si>
  <si>
    <t xml:space="preserve">d is a fascinating irregular galaxy with numerous bright blue star-forming clouds.  </t>
  </si>
  <si>
    <t>Dim irregular open cluster</t>
  </si>
  <si>
    <t>Dim nova, showing up slightly in an Ha image.</t>
  </si>
  <si>
    <t>Dim SNR with unusual structure</t>
  </si>
  <si>
    <t>Failed attempt to replicate the Hubble Deep field image</t>
  </si>
  <si>
    <t>Faint globular cluster that is one of the oldest GC in our Milky Way</t>
  </si>
  <si>
    <t>Faint PN, no distance known. Progenitor visible.</t>
  </si>
  <si>
    <t>Giant featureless elliptical except for tiny blue jet outflow from massive black hole.</t>
  </si>
  <si>
    <t>HII with OIII central region.  Some breakout seems to appear at 5 and 11 o’clock. No progenitor star.</t>
  </si>
  <si>
    <t>Huge elliptical with a blue arc halfway around the outer galaxy halo</t>
  </si>
  <si>
    <t>Huge oblong elliptical with many background galaxies nearby</t>
  </si>
  <si>
    <t>Illuminated by NGC1893 cluster.  Tadpole pillars are 15 ly long.</t>
  </si>
  <si>
    <t>Ionized by V391Velorum, nebula has unusual sharp dark top edge</t>
  </si>
  <si>
    <t>Large featureless elliptical, except for small companion in outer disk.</t>
  </si>
  <si>
    <t>Large HII region, ionized by HD75759</t>
  </si>
  <si>
    <t>Looks like a PN, but is an emission nebula from a rare massive hot bi-polar star</t>
  </si>
  <si>
    <t>Lovely barred ring spiral with ansae and star plumes in the outer disk</t>
  </si>
  <si>
    <t>Multi-polar PN with HII outflows.</t>
  </si>
  <si>
    <t>No bulge, poor arm structure</t>
  </si>
  <si>
    <t>No progenitor here but shows up on SIMBAD.  It is a variable star (FG Sge) that changes rapidly.</t>
  </si>
  <si>
    <t>Non-interacting pair, edge-on spiral and polar ring galaxy of contrasting colors.</t>
  </si>
  <si>
    <t>Nova exploded in 1901 and reached 0.2 magnitude</t>
  </si>
  <si>
    <t>Object shape changes dramatically from year to year.</t>
  </si>
  <si>
    <t>Oblong OIII-dominated SNR, likely impacted by ISM</t>
  </si>
  <si>
    <t xml:space="preserve">OIII-dominating SNR, appearing cyan in the image foreground. </t>
  </si>
  <si>
    <t>One of the dimmest and smallest Hickson groups.  All galaxies at same distance.</t>
  </si>
  <si>
    <t>One of the dimmest Hickson groups.</t>
  </si>
  <si>
    <t>Open cluster marking Orion's Belt</t>
  </si>
  <si>
    <t>Outflow jets from this Mira variable star create a hydrogen nova</t>
  </si>
  <si>
    <t>Pair of interacting spiral galaxies of contrasting colors, with bridge and tail.</t>
  </si>
  <si>
    <t>Progenitor visible.  OIII-dominated with filamentary arcing structures weaving through the nebula.</t>
  </si>
  <si>
    <t>Recently discovered bipolar PN.  PN has both spherical and nested bipolar outflows. Progenitor visible.</t>
  </si>
  <si>
    <t>Several interesting objects in this field, highlighted by NGC 3312 &amp; 3314.</t>
  </si>
  <si>
    <t xml:space="preserve">Showcase bright large SNR containing many objects, including the Veil and Witch's Broom </t>
  </si>
  <si>
    <t>Small bright PN, no progenitor.</t>
  </si>
  <si>
    <t xml:space="preserve">Strong HII rim, brightest on left and right sides.  Central star is likely in foreground and not the progenitor.  </t>
  </si>
  <si>
    <t>The bright colorful open cluster nicknamed the Coathanger</t>
  </si>
  <si>
    <t>The furthest south Hickson.  B is a graceful grand spiral galaxy with fascinating arm asymmetry.</t>
  </si>
  <si>
    <t xml:space="preserve">The most distant OC from the core of our galaxy.  It lies 70,000 ly from the galactic center.  </t>
  </si>
  <si>
    <t>This open cluster is the fuzzy spot seen with the naked eye marking the head of Orion</t>
  </si>
  <si>
    <t>Tiny stellar-like PN, but some detail seen in inner region. No progenitor.</t>
  </si>
  <si>
    <t>Unusual view of 3 edge-on Hickson spirals plus a 4th faint background edge-on spiral.</t>
  </si>
  <si>
    <t>Tremendous structure and detail for such a small (20,000ly) diameter galaxy.</t>
  </si>
  <si>
    <t>Very faint close galaxy, dimmed by Milky Way dust</t>
  </si>
  <si>
    <t>Tiny bi-polar OIII-dominated PN with red ansae</t>
  </si>
  <si>
    <t>Tiny bi-polar OIII-dominated PN with red ansae and visible progenitor</t>
  </si>
  <si>
    <t>Blue superthin galaxy with slight disk warp</t>
  </si>
  <si>
    <t>Edge-on spiral with no bulge and mid-line dust lane</t>
  </si>
  <si>
    <t>Faint outer disk, bright inner lens</t>
  </si>
  <si>
    <t>II-3-30</t>
  </si>
  <si>
    <t>IV-2-500</t>
  </si>
  <si>
    <t>Moving 30 star open cluster named after its biggest star</t>
  </si>
  <si>
    <t>Dim nearby dwarf galaxy with star clouds and HII regions</t>
  </si>
  <si>
    <t>Grand design spiral with bright arms and core, slightly barred</t>
  </si>
  <si>
    <t>Tiny OIII-dominated PN with progenitor and inner shell</t>
  </si>
  <si>
    <t>Massive edge-on spiral with nice disk structure visible</t>
  </si>
  <si>
    <t>Side-on view of bipolar PN, no progenitor, no lobe breakthrough</t>
  </si>
  <si>
    <t>5 galaxies with the 2 smaller spirals disturbed and possibly interacting.</t>
  </si>
  <si>
    <t>IC4601</t>
  </si>
  <si>
    <t>Blue reflection nebula that is the "eye" of the Horse</t>
  </si>
  <si>
    <t>Stellar-like blue PN with progenitor visible</t>
  </si>
  <si>
    <t>Dramatic narrowband nebula with Ha ridges and dark dust clouds</t>
  </si>
  <si>
    <t>III-2-50</t>
  </si>
  <si>
    <t>Wide blue 50 star open cluster</t>
  </si>
  <si>
    <t>NGC6559</t>
  </si>
  <si>
    <t>Graff's Cluster</t>
  </si>
  <si>
    <t>80 star open cluster, not that distinct from Milky Way background</t>
  </si>
  <si>
    <t>IC4955,Roslund4</t>
  </si>
  <si>
    <t>2 small reflection nebulae and the star cluster Roslund 4</t>
  </si>
  <si>
    <t>NGC6888</t>
  </si>
  <si>
    <t>II-3-60</t>
  </si>
  <si>
    <t>Edge-on lenticular bridge connected to nearby elliptical</t>
  </si>
  <si>
    <t>Lenticular with faint outer disk</t>
  </si>
  <si>
    <t>Faint HII nebula, oddly rectangular, with 3 brighter bands</t>
  </si>
  <si>
    <t>HH555,NGC7000</t>
  </si>
  <si>
    <t>Showcase bright emission nebula with towering dust trunk and bipolar HH555 jets at tip</t>
  </si>
  <si>
    <t>NGC6991</t>
  </si>
  <si>
    <t>Small blue reflection nebula with adjacent star cluster and dust cloud</t>
  </si>
  <si>
    <t>Barnard168</t>
  </si>
  <si>
    <t>Bright circular HII region with dark lanes and long dust trail</t>
  </si>
  <si>
    <t>Beautiful textured white circular ring with progenitor</t>
  </si>
  <si>
    <t>PGC67907</t>
  </si>
  <si>
    <t>Tiny stellar OIII-dominated PN</t>
  </si>
  <si>
    <t>NGC7489</t>
  </si>
  <si>
    <t>Collisional ring galaxy with likely disrupter still visible</t>
  </si>
  <si>
    <t>Very faint OIII-dominated ancient PN with progenitor visible</t>
  </si>
  <si>
    <t>Faint large ancient HII-dominated PN, one of the oldest PN at 50,000 years</t>
  </si>
  <si>
    <t>Lovely OIII-dominated elliptical PN with progenitor and some texture</t>
  </si>
  <si>
    <t>HIII-dominated ring-shaped elliptical PN with progenitor and nice texture</t>
  </si>
  <si>
    <t>PN Jn 1</t>
  </si>
  <si>
    <t>PN ARO 121</t>
  </si>
  <si>
    <t>PN KW 8</t>
  </si>
  <si>
    <t>KeWe3</t>
  </si>
  <si>
    <t>Faint HII-dominated elliptical PN with ISM interaction</t>
  </si>
  <si>
    <t>Unique multipolar HII-dominated PN with fantastic structure</t>
  </si>
  <si>
    <t>OIII-dominated PN with rare visible bi-polar jet from progenitor</t>
  </si>
  <si>
    <t>Faint HII-dominated bipolar PN with no progenitor</t>
  </si>
  <si>
    <t>PN K 1-02</t>
  </si>
  <si>
    <t>PN K 1-04</t>
  </si>
  <si>
    <t>PN K 1-09</t>
  </si>
  <si>
    <t>PN K 1-10</t>
  </si>
  <si>
    <t>PN K 1-12</t>
  </si>
  <si>
    <t>PN K 1-14</t>
  </si>
  <si>
    <t>PN K 1-16</t>
  </si>
  <si>
    <t>PN K 1-17</t>
  </si>
  <si>
    <t>PN K 1-20</t>
  </si>
  <si>
    <t>PN K 1-22</t>
  </si>
  <si>
    <t>PN K 1-28</t>
  </si>
  <si>
    <t>PN K 1-8</t>
  </si>
  <si>
    <t>PN K 2-01</t>
  </si>
  <si>
    <t>PN K 2-02</t>
  </si>
  <si>
    <t>PN K 2-03</t>
  </si>
  <si>
    <t>PN K 2-05</t>
  </si>
  <si>
    <t>PN K 2-07</t>
  </si>
  <si>
    <t>PN K 2-15</t>
  </si>
  <si>
    <t>PN K 2-16</t>
  </si>
  <si>
    <t>PN K 3-04</t>
  </si>
  <si>
    <t>PN K 3-17</t>
  </si>
  <si>
    <t>PN K 3-46</t>
  </si>
  <si>
    <t>PN K 3-91</t>
  </si>
  <si>
    <t>PN K 3-92</t>
  </si>
  <si>
    <t>PN K 3-93</t>
  </si>
  <si>
    <t>PN K 3-94</t>
  </si>
  <si>
    <t>PN K 4-05</t>
  </si>
  <si>
    <t>PN K 4-53</t>
  </si>
  <si>
    <t>PN K 4-55</t>
  </si>
  <si>
    <t>PN M 1-07</t>
  </si>
  <si>
    <t>PN M 1-08</t>
  </si>
  <si>
    <t>PN M 1-18</t>
  </si>
  <si>
    <t>PN M 1-28</t>
  </si>
  <si>
    <t>PN M 1-41</t>
  </si>
  <si>
    <t>PN M 1-42</t>
  </si>
  <si>
    <t>PN M 1-57</t>
  </si>
  <si>
    <t>PN M 1-59</t>
  </si>
  <si>
    <t>PN M 1-64</t>
  </si>
  <si>
    <t>PN M 1-75</t>
  </si>
  <si>
    <t>PN M 1-79</t>
  </si>
  <si>
    <t>PN M 2-46</t>
  </si>
  <si>
    <t>PN M 2-48</t>
  </si>
  <si>
    <t>PN M 2-51</t>
  </si>
  <si>
    <t>PN M 2-52</t>
  </si>
  <si>
    <t>PN M 2-55</t>
  </si>
  <si>
    <t>PN M 3-01</t>
  </si>
  <si>
    <t>PN M 3-03</t>
  </si>
  <si>
    <t>PN M 3-09</t>
  </si>
  <si>
    <t>PN M 3-28</t>
  </si>
  <si>
    <t>PN M 3-30</t>
  </si>
  <si>
    <t>PN M 3-55</t>
  </si>
  <si>
    <t>PN M 4-09</t>
  </si>
  <si>
    <t>PN M 4-11</t>
  </si>
  <si>
    <t>PN M 4-14</t>
  </si>
  <si>
    <t>PN M 4-17</t>
  </si>
  <si>
    <t>Elliptical PN with HII rim and no progenitor</t>
  </si>
  <si>
    <t>OIII-dominating ring PN with like ISM interaction</t>
  </si>
  <si>
    <t>OIII-dominated elliptical PN with ring appearance and no progenitor</t>
  </si>
  <si>
    <t>Lovely OIII-dominant PN with thin rim and inner texture</t>
  </si>
  <si>
    <t>Kohoutek 1-08</t>
  </si>
  <si>
    <t xml:space="preserve">Faint PN with progenitor.  Bright rim arc at 11 o'clock </t>
  </si>
  <si>
    <t>Appears to be reflection nebula - no signal in NB filters</t>
  </si>
  <si>
    <t>Faint large ancient PN, faint progenitor visible</t>
  </si>
  <si>
    <t>A HII region and not a PN</t>
  </si>
  <si>
    <t>Nice bi-polar HII PN, viewed side-on.  Both lobes broke through</t>
  </si>
  <si>
    <t>SHN</t>
  </si>
  <si>
    <t>EHN</t>
  </si>
  <si>
    <t>SOY</t>
  </si>
  <si>
    <t>ERN</t>
  </si>
  <si>
    <t>ERY</t>
  </si>
  <si>
    <t>PHN</t>
  </si>
  <si>
    <t>EOY</t>
  </si>
  <si>
    <t>PCY</t>
  </si>
  <si>
    <t>PHY</t>
  </si>
  <si>
    <t>XON</t>
  </si>
  <si>
    <t>XHY</t>
  </si>
  <si>
    <t>BCN</t>
  </si>
  <si>
    <t>AOY</t>
  </si>
  <si>
    <t>XOY</t>
  </si>
  <si>
    <t>AHY</t>
  </si>
  <si>
    <t>One of the furthest PN at a distance of almost 30,000 light years</t>
  </si>
  <si>
    <t>XHN</t>
  </si>
  <si>
    <t>Bipolar PN with some lobe breakout</t>
  </si>
  <si>
    <t>Dim PN with rim stronger in HII.  No progenitor.</t>
  </si>
  <si>
    <t>XRN</t>
  </si>
  <si>
    <t>Distant PN similar to Ring Nebula, but 10x further away.</t>
  </si>
  <si>
    <t>BRN</t>
  </si>
  <si>
    <t xml:space="preserve">Beautiful small bipolar PN with point symmetric wings </t>
  </si>
  <si>
    <t>Faint spherical PN</t>
  </si>
  <si>
    <t>6 stars of mag 7 to 8 in the shape of a W</t>
  </si>
  <si>
    <t>SNR G82.2+5.3</t>
  </si>
  <si>
    <t xml:space="preserve">2 degree long HII nebula with well defined shock front, looking more like a SNR </t>
  </si>
  <si>
    <t>Bright 2 degree long HII nebula lying behind an OIII SNR</t>
  </si>
  <si>
    <t>Striking molecular cloud in front of Hii nebula, highlighted by a YSO and a BRC.</t>
  </si>
  <si>
    <t>Small odd U-shaped molecular cloud</t>
  </si>
  <si>
    <t>vdB156b</t>
  </si>
  <si>
    <t>LBN460,462</t>
  </si>
  <si>
    <t>3 faint molecular clouds around the bright blue star 16 Lac</t>
  </si>
  <si>
    <t>Showcase SNR, the only Messier object whose birth was witness by man.</t>
  </si>
  <si>
    <t>LDN1147, 1158</t>
  </si>
  <si>
    <t>Faint oblong molecular cloud in field of colorful and bright stars</t>
  </si>
  <si>
    <t>Unusual L-shaped molecular cloud in a bright star field</t>
  </si>
  <si>
    <t>Beautiful complex of a dark, bright, and 2 reflection nebula.</t>
  </si>
  <si>
    <t>LDN1235,vdB149,150</t>
  </si>
  <si>
    <t>B204</t>
  </si>
  <si>
    <t>B7 to B218</t>
  </si>
  <si>
    <t>LBN559,560,561</t>
  </si>
  <si>
    <t>Mix of faint reflection nebulae and molecular clouds</t>
  </si>
  <si>
    <t>LDN1262</t>
  </si>
  <si>
    <t>Dark nebula silhouetted by lighter molecular cloud</t>
  </si>
  <si>
    <t>Dark nebula and molecular cloud with nice color</t>
  </si>
  <si>
    <t>LBN639</t>
  </si>
  <si>
    <t>LBN644</t>
  </si>
  <si>
    <t>Faint molecular cloud adjacent to LBN 639</t>
  </si>
  <si>
    <t>Faint molecular cloud adjacent to LBN 644</t>
  </si>
  <si>
    <t>UBC188</t>
  </si>
  <si>
    <t>Lovely dim reflection nebula with faint HII region and star cluster</t>
  </si>
  <si>
    <t>IC1848</t>
  </si>
  <si>
    <t>Silhouetted dark pillars in the center of the Soul Nebula</t>
  </si>
  <si>
    <t>Close dim dwarf galaxy near the bright star Regulus</t>
  </si>
  <si>
    <t>Z 64-73</t>
  </si>
  <si>
    <t>One of the best known LBN objects because of its striking shape</t>
  </si>
  <si>
    <t>NGC2353,We2-37</t>
  </si>
  <si>
    <t>Bright HII region adjacent to open cluster NGC 2353</t>
  </si>
  <si>
    <t>Dim triangle-shaped molecular cloud</t>
  </si>
  <si>
    <t>LBN7</t>
  </si>
  <si>
    <t>LDN191,234</t>
  </si>
  <si>
    <t>LBN95,LDN583,586</t>
  </si>
  <si>
    <t>Mildly interesting field with several dark and reflection nebulae</t>
  </si>
  <si>
    <t>GGD30</t>
  </si>
  <si>
    <t>Interesting dark nebula shape adjacent to small white reflection nebula</t>
  </si>
  <si>
    <t>V1352Aql,RNO109,GD218</t>
  </si>
  <si>
    <t>Wonderfully complex dark nebula with many small bright objects in the field</t>
  </si>
  <si>
    <t>Long dark nebula highlighted by a small white reflection nebula.</t>
  </si>
  <si>
    <t>Dark nebula surrounded by bright stars and containing a small white reflection nebula</t>
  </si>
  <si>
    <t>Shapely dark nebula with bright colorful stars</t>
  </si>
  <si>
    <t>vdB13,vdB16</t>
  </si>
  <si>
    <t>Sprawling intriguing vista of dark and reflection nebulae</t>
  </si>
  <si>
    <t>Wonderful dark nebula with HII emission components and yellow reflection nebula</t>
  </si>
  <si>
    <t>vdB62</t>
  </si>
  <si>
    <t xml:space="preserve">Small reflection nebula in dust cloud surrounding a young star </t>
  </si>
  <si>
    <t>Cederblad62</t>
  </si>
  <si>
    <t>Owl-shaped OIII-dominated PN with bright progenitor that looks like foreground star</t>
  </si>
  <si>
    <t>Large globular with colorful outlying stars and nice resolution to the core</t>
  </si>
  <si>
    <t>One of the closest Messier globulars and also one of the least concentrated.</t>
  </si>
  <si>
    <t>Nicknamed the Rose cluster, this globular has a high number of blue stars around the core.</t>
  </si>
  <si>
    <t>Well spaced cluster of 80 stars located 1500 light years away</t>
  </si>
  <si>
    <t>II-2-80</t>
  </si>
  <si>
    <t>Bright mag 3.3 80 star cluster, the most southerly Messier object. Located adjacent to Barnard 287</t>
  </si>
  <si>
    <t>Bright globular with blue stars dominating half of the cluster.</t>
  </si>
  <si>
    <t>I-2-3000</t>
  </si>
  <si>
    <t>A beautiful and populated cluster, with over 3000 stars.</t>
  </si>
  <si>
    <t>A loosely concentrated mag 6.1 globular of about 200,000 stars.</t>
  </si>
  <si>
    <t xml:space="preserve">The dimmest of all Abell PN which have a magnitude estimated.  Faint progenitor star at the center. </t>
  </si>
  <si>
    <t>The brightest and closest Abell object.  A large Stromgren sphere, not a PN.  Bow shock wave at center.</t>
  </si>
  <si>
    <t>The closest Abell PN.  Large, very faint, odd non-PN like structure. OIII-dominated in outer shell.</t>
  </si>
  <si>
    <t xml:space="preserve">Smallest Abell PN in actual diameter. HII-dominated rim of the nebula.  Star superimposed on rim at 10 o’clock. </t>
  </si>
  <si>
    <t xml:space="preserve">Most distant Abell PN and smallest in apparent size.  Tiny, HII-dominated.  Strong outer rim. </t>
  </si>
  <si>
    <t>One of brightest Abell clusters. The second richest cluster in the sky but far south at -36 deg dec.</t>
  </si>
  <si>
    <t>At 2.3 billion ly away, one of the most distant and dimmest objects that can be imaged with an interesting result.</t>
  </si>
  <si>
    <t>Largest Hickson group in size.  Galaxy a has several straight VV rows along with blue star clouds.</t>
  </si>
  <si>
    <t>Showcase object, one of the finest globular clusters in the northern hemisphere.</t>
  </si>
  <si>
    <t>Distant globular cluster with the core a bit elongated.</t>
  </si>
  <si>
    <t>Distant, relative compact globular cluster with a dense core.</t>
  </si>
  <si>
    <t>NGC6611,IC4703</t>
  </si>
  <si>
    <t>My favorite deep sky object, highlighted by the Pillars of Creation</t>
  </si>
  <si>
    <t>Complex bright narrowband nebula with many nicknames</t>
  </si>
  <si>
    <t>II3-p-40</t>
  </si>
  <si>
    <t>Dim Messier cluster but with several large bright blue, yellow and orange stars.</t>
  </si>
  <si>
    <t>Oblong globular which is partially obscured by dust</t>
  </si>
  <si>
    <t>I-3-60</t>
  </si>
  <si>
    <t>Concentrated 60 star open cluster, fairly bright</t>
  </si>
  <si>
    <t>Brightest globular cluster in the Messier catalog</t>
  </si>
  <si>
    <t>III-1-200</t>
  </si>
  <si>
    <t>primarily blue 200 star open cluster, spread out</t>
  </si>
  <si>
    <t>NGC6603</t>
  </si>
  <si>
    <t>Only star cloud in the Messier catalog, second brightest Messier object</t>
  </si>
  <si>
    <t>I-2-80</t>
  </si>
  <si>
    <t>Pretty concentrated oblong cluster with colorful bright stars.</t>
  </si>
  <si>
    <t>I-1-100</t>
  </si>
  <si>
    <t>The dimmest open cluster in the Messier catalog.</t>
  </si>
  <si>
    <t>Showcase PN with fascinating dumbbell-like structure with expanding halos</t>
  </si>
  <si>
    <t>III-3-50</t>
  </si>
  <si>
    <t>Sparse cluster of 50 stars with several nice bright purple-blue stars</t>
  </si>
  <si>
    <t>Showcase galaxy, closest spiral to earth, with 2 satellite galaxies, dust lanes, and star clouds</t>
  </si>
  <si>
    <t>2nd closest spiral to earth, nice HII regions and patchy dust lanes</t>
  </si>
  <si>
    <t>II-3-100</t>
  </si>
  <si>
    <t>100 star typical open cluster</t>
  </si>
  <si>
    <t>NGC2158</t>
  </si>
  <si>
    <t>III-2-200</t>
  </si>
  <si>
    <t>Pretty 200 star distributed cluster, contrasting with adjacent cluster NGC 2158.</t>
  </si>
  <si>
    <t>II-3-50</t>
  </si>
  <si>
    <t>Comprised of 50 stars located 3800 light years away, this is one of the fainter Messier open clusters.</t>
  </si>
  <si>
    <t>II-1-500</t>
  </si>
  <si>
    <t>The most spectacular of the 3 open clusters in Auriga.</t>
  </si>
  <si>
    <t>II-2-100</t>
  </si>
  <si>
    <t>III-2-40</t>
  </si>
  <si>
    <t>Sparse cluster of 40 stars and one of the nearest Messier objects to earth.</t>
  </si>
  <si>
    <t>Messier double star, not deserving of a place in Messier's catalogue</t>
  </si>
  <si>
    <t>A beautiful 100 star cluster with a nice mix of colors and brightnesses.</t>
  </si>
  <si>
    <t>M43,Trapezium</t>
  </si>
  <si>
    <t>Showcase nebula, highlighted by the 4 star trapezium and the brightest nebula in the sky.</t>
  </si>
  <si>
    <t>M42</t>
  </si>
  <si>
    <t>A lovely nebula overshadowed by its showy neighbor</t>
  </si>
  <si>
    <t>II-2-1000</t>
  </si>
  <si>
    <t>3rd brightest Messier object and one of the nearest</t>
  </si>
  <si>
    <t>II-3-1000</t>
  </si>
  <si>
    <t>Brightest object in the Messier catalog and one of the best naked eye objects</t>
  </si>
  <si>
    <t>NGC2438</t>
  </si>
  <si>
    <t>III-2-500</t>
  </si>
  <si>
    <t>IV-2-50</t>
  </si>
  <si>
    <t>One of the least concentrated of the Messier open clusters</t>
  </si>
  <si>
    <t>Despite its class, a spread out cluster that is one of the least impressive Messier clusters.</t>
  </si>
  <si>
    <t>Heart-shaped Cluster</t>
  </si>
  <si>
    <t>II-3-200</t>
  </si>
  <si>
    <t>Pleasing Messier open cluster with nice spacing and color</t>
  </si>
  <si>
    <t>I-2-200</t>
  </si>
  <si>
    <t>Typical Messier open cluster</t>
  </si>
  <si>
    <t>One of the furthest and most concentrated Messier globular clusters</t>
  </si>
  <si>
    <t>One of the largest diameter Messier globular clusters</t>
  </si>
  <si>
    <t>One of the least concentrated Messier globular clusters</t>
  </si>
  <si>
    <t>There are many ring-shaped planetary nebulae in the sky but only one Ring Nebula.</t>
  </si>
  <si>
    <t>Barred Seyfert spiral galaxy with faint disk and blue star clouds</t>
  </si>
  <si>
    <t>NGC4647,M59</t>
  </si>
  <si>
    <t>Milky Way sized elliptical interacting with its neighbor, NGC 4647</t>
  </si>
  <si>
    <t>Bright white core, 2 symmetric dust lanes spiraling out of core, and VV rows.</t>
  </si>
  <si>
    <t>Unusual irregular shape for globular cluster</t>
  </si>
  <si>
    <t>Flocculent galaxy with 3-D appearance and interesting dust lanes</t>
  </si>
  <si>
    <t>Striking meandering wide dust lane on near side of core</t>
  </si>
  <si>
    <t>Not bright and showy but interesting with star clouds and dust lanes</t>
  </si>
  <si>
    <t>II-2-500</t>
  </si>
  <si>
    <t>Typical Messier cluster, fairly concentrated</t>
  </si>
  <si>
    <t>Globular cluster of 125,000 stars with some obscuring dust</t>
  </si>
  <si>
    <t>Dense central core region, overall a nice mix of bright and dim stars</t>
  </si>
  <si>
    <t>Dim, one of the least concentrated Messier clusters</t>
  </si>
  <si>
    <t>Second faintest Messier globular cluster, nice density, resolvable core</t>
  </si>
  <si>
    <t>Unimpressive Messier object of a 4 star asterism</t>
  </si>
  <si>
    <t>Low surface brightness, Lovely grand design spiral</t>
  </si>
  <si>
    <t>The most concentrated Messier globular cluster</t>
  </si>
  <si>
    <t>Beautiful PN, Dimmest object in the Messier catalogue</t>
  </si>
  <si>
    <t>Lovely blue and purple reflection nebulae with dramatic dust lanes in the foreground</t>
  </si>
  <si>
    <t>One of only 2 extragalactic globular clusters, coming from our neighboring Canis Major Dwarf Galaxy</t>
  </si>
  <si>
    <t>One of the most densely populated globular clusters</t>
  </si>
  <si>
    <t>Magnificent grand design spiral, with blue star clouds and pink HII regions</t>
  </si>
  <si>
    <t>Barred starburst galaxy with bright core</t>
  </si>
  <si>
    <t>Featureless elliptical, part of Markarian's Chain</t>
  </si>
  <si>
    <t>Large elliptical that is the anchor of Markarian's Chain</t>
  </si>
  <si>
    <t>NGC4394</t>
  </si>
  <si>
    <t>Seyfert spiral galaxy with well structured disk</t>
  </si>
  <si>
    <t>Almost spherical elliptical</t>
  </si>
  <si>
    <t>One of the oldest globulars, a lovely intense mix of bright and dim colorful stars.</t>
  </si>
  <si>
    <t>Messier open cluster with interesting mix of 80 orange and blue stars</t>
  </si>
  <si>
    <t>Incredible Seyfert spiral ring galaxy with bright blue starburst ring</t>
  </si>
  <si>
    <t>Barred spiral galaxy, near M96, with blue star clouds, HII regions, and bright nuclear ring</t>
  </si>
  <si>
    <t>Spiral with blue star-forming ring and dust lane spiraling into core</t>
  </si>
  <si>
    <t>Showcase PN, big and bright with inner void areas and HII rim accents</t>
  </si>
  <si>
    <t>NGC4192</t>
  </si>
  <si>
    <t>Almost edge-on spiral with likely outer pseudo-ring and nice dust lanes</t>
  </si>
  <si>
    <t>Almost perfectly circular, with strong OIII rim.  Progenitor star is centered exactly and beaming bright blue.</t>
  </si>
  <si>
    <t>HII rim and OIII interior. Nice structure for small object. Upper left quadrant diffuse. Faint central star.</t>
  </si>
  <si>
    <t xml:space="preserve">HII rim, strong along left &amp; right edges. OIII strongest in central region. May be bipolar nebula with breakthrough. </t>
  </si>
  <si>
    <t xml:space="preserve">HII rim. No progenitor. A faint outer halo is seen extending to about twice the diameter of the PN. </t>
  </si>
  <si>
    <t>ARP: 3 ARMED - Disturbed barred spiral with many star clouds.</t>
  </si>
  <si>
    <t>ARP: LSB COMPANION - Bright armed spiral with long star stream and a likely companion.</t>
  </si>
  <si>
    <t>ARP: SMALL HSB COMP - Farthest ARP galaxy and smallest in apparent size.</t>
  </si>
  <si>
    <t>ARP: ELLIPTICAL COMP - Nance M51-type pair.  Mottled spiral with distinct arms.</t>
  </si>
  <si>
    <t>ARP: ELLIPTICAL/SPIRAL PAIR - Interacting galaxies with incredible 700,000 ly star stream length.</t>
  </si>
  <si>
    <t>ARP: RINGS - Collisional ring galaxy, with companion still present.</t>
  </si>
  <si>
    <t>ARP: NARROW COUNTER-TAILS - 2 faint small galaxies with a disturbed halo and a tail.</t>
  </si>
  <si>
    <t xml:space="preserve">ARP: EJECTED MATERIAL - Trio of interacting edge-on galaxies with long star stream bridge </t>
  </si>
  <si>
    <t>ARP: LOOPS -  Wonderful collisional ring galaxy with loop and tail</t>
  </si>
  <si>
    <t>ARP: FISSION - Pair of interacting grand design spirals with bridge, nice color and plumes</t>
  </si>
  <si>
    <t>ARP: INTERACTING - Two galaxies of different color which are likely not interacting</t>
  </si>
  <si>
    <t>ARP: WIND EFFECTS - Galaxy with companion, bridge, and start of star stream tail</t>
  </si>
  <si>
    <t>ARP: DOUBLE GALAXIES - Two close galaxies with nice detail, not likely interacting</t>
  </si>
  <si>
    <t>All galaxies are ellipticals.  Bridging seen between galaxies a and b.</t>
  </si>
  <si>
    <t>The 1st preplanetary nebula to be identified.  4 jets emanate from the progenitor star.</t>
  </si>
  <si>
    <t>HII nebula with strong reflection component, resulting in red/purple hue</t>
  </si>
  <si>
    <t>Faint reflection nebula  with bluish cast from Rigel</t>
  </si>
  <si>
    <t>3 galaxies with interesting structures, slightly interacting</t>
  </si>
  <si>
    <t>Straight line of 25 5th to 9th mag stars, identified by Father Kemble in 1980.</t>
  </si>
  <si>
    <t>Complex network of bright, dark, and reflection nebula, including HH215 and GM3-12</t>
  </si>
  <si>
    <t>Beautiful showcase emission and reflection nebula with silhouetted dust lanes</t>
  </si>
  <si>
    <t>Beautiful star-shaped globular cluster with a dense Milky Way star background.</t>
  </si>
  <si>
    <t>Oldest Messier open cluster</t>
  </si>
  <si>
    <t>Large barred spiral and the brightest Seyfert galaxy in the sky. Many star clouds and HII regions.</t>
  </si>
  <si>
    <t>Milky Way size elliptical with some interaction with a companion, NGC 4394</t>
  </si>
  <si>
    <t>Large complex showcase emission nebula, looking like a Lagoon especially when processed with the NB SHO palette.</t>
  </si>
  <si>
    <t>Asymmetric spiral with off-center core and VV rows</t>
  </si>
  <si>
    <t>Edge-on lenticular revealing a warped mid-line dust lane.</t>
  </si>
  <si>
    <t>One of the smallest, youngest and most remote Messier open clusters</t>
  </si>
  <si>
    <t>Edge-on spiral, striking because of the contrast between the thick dust ring and the bright central bulge</t>
  </si>
  <si>
    <t>Featureless slightly oblong elliptical galaxy, part of Leo galaxy Trio</t>
  </si>
  <si>
    <t>Spiral with wonderful inner region dust lanes, HII regions, and star clouds, plus a closed outer ring</t>
  </si>
  <si>
    <t xml:space="preserve">Strong central bar and sweeping spiral arms that extend out 360 degrees. </t>
  </si>
  <si>
    <t>M31 oblong (E5) elliptical companion</t>
  </si>
  <si>
    <t>Sh2-197</t>
  </si>
  <si>
    <t>Sh2-191</t>
  </si>
  <si>
    <t>Faint elliptical, dimmed by significant Milky Way intervening dust</t>
  </si>
  <si>
    <t>Czernik11</t>
  </si>
  <si>
    <t>Impressive Virgo galaxy group</t>
  </si>
  <si>
    <t>Grand design spiral with VV rows</t>
  </si>
  <si>
    <t>III-3-60</t>
  </si>
  <si>
    <t>Brilliant cluster surrounded by a towering, twisting pillar of dust.</t>
  </si>
  <si>
    <t>Bright naked eye cluster, one of the earliest known deep sky objects</t>
  </si>
  <si>
    <t>Alpha Persei Moving Cluster, Saxophone Cluster</t>
  </si>
  <si>
    <t>The nearest open cluster to earth and one of the brightest</t>
  </si>
  <si>
    <t>Caldwell 41</t>
  </si>
  <si>
    <t>Naked eye cluster looking like a cobweb in the sky</t>
  </si>
  <si>
    <t>II-3-40</t>
  </si>
  <si>
    <t>Small bipolar PN with odd OIII glow</t>
  </si>
  <si>
    <t>M46</t>
  </si>
  <si>
    <t>Small PN with interesting hole punch look and red HII rim</t>
  </si>
  <si>
    <t>Bipolar HII-dominated PN with blown out lobes</t>
  </si>
  <si>
    <t>Multipolar HII-dominated PN</t>
  </si>
  <si>
    <t>Tiny bipolar PN with blown out lobes</t>
  </si>
  <si>
    <t>White circular PN with HII rim</t>
  </si>
  <si>
    <t>Multipolar PN with bright white torus</t>
  </si>
  <si>
    <t>Multipolar PN with burst out lobes and strong ISM influence</t>
  </si>
  <si>
    <t>PN M 1-91</t>
  </si>
  <si>
    <t>PN M 1-92</t>
  </si>
  <si>
    <t>PN M 2-09</t>
  </si>
  <si>
    <t>Hen2-437,M4-15</t>
  </si>
  <si>
    <t>Tiny protoplanetary nebula with twin HII jets</t>
  </si>
  <si>
    <t xml:space="preserve"> CRL2688</t>
  </si>
  <si>
    <t>Tiny protoplanetary nebula, with the jet outflows in the shape of a footprint</t>
  </si>
  <si>
    <t>Twin Jet Nebula, Minkowski's Butterfly</t>
  </si>
  <si>
    <t>Tiny protoplanetary nebula, with HII-dominated opposing jet outflows</t>
  </si>
  <si>
    <t>Unique bipolar HII-dominated PN with seemingly powerful jet influence</t>
  </si>
  <si>
    <t>Bipolar PN in faint ring shape</t>
  </si>
  <si>
    <t>MRN</t>
  </si>
  <si>
    <t>Unique Texas-shaped PN, likely multipolar</t>
  </si>
  <si>
    <t>Bipolar HII-dominated PN with interesting inner void structure</t>
  </si>
  <si>
    <t>Bipolar PN with ansae from the jet outflows</t>
  </si>
  <si>
    <t>Distant small bipolar PN with HII-dominated edges</t>
  </si>
  <si>
    <t>Bipolar PN with both end lobes blown out</t>
  </si>
  <si>
    <t>Distant bipolar PN with blown out lobes</t>
  </si>
  <si>
    <t>Elliptical ring PN with visible progenitor</t>
  </si>
  <si>
    <t>Bipolar PN with lobes and bright torus</t>
  </si>
  <si>
    <t>Huge ancient PN with OIII-dominated signal and faint lobe arcs</t>
  </si>
  <si>
    <t>NAME Necklace</t>
  </si>
  <si>
    <t>Tiny OIII-dominated PN with knots of gas around the ring</t>
  </si>
  <si>
    <t>PN Lo 13</t>
  </si>
  <si>
    <t>NAME PN Ou 2</t>
  </si>
  <si>
    <t>NAME PN Ou 4</t>
  </si>
  <si>
    <t>OU 2</t>
  </si>
  <si>
    <t>Recently discovered OIII-dominated faint ring PN</t>
  </si>
  <si>
    <t>Beautiful unusual OIII-dominated multipolar emission nebula, discovered in 2011</t>
  </si>
  <si>
    <t>Faint extragalactic globular cluster</t>
  </si>
  <si>
    <t>Multipolar OIII-dominated PN with faint lobes</t>
  </si>
  <si>
    <t>ARY</t>
  </si>
  <si>
    <t>Huge ancient PN, believed to be 70,000 years old</t>
  </si>
  <si>
    <t>Prototype collisional ring galaxy</t>
  </si>
  <si>
    <t>Faint small galaxy</t>
  </si>
  <si>
    <t>Pair of colliding galaxies with bridge and typical opposing plumes</t>
  </si>
  <si>
    <t>Local dwarf galaxy, a satellite of the Milky Way</t>
  </si>
  <si>
    <t>Distant polar ring, yellow main galaxy surrounded by blue polar ring</t>
  </si>
  <si>
    <t>Wonderful collisional galaxy system, including likely culprit</t>
  </si>
  <si>
    <t>KEY</t>
  </si>
  <si>
    <t>Nice edge-on spiral with offset core and nice dust lane</t>
  </si>
  <si>
    <t>NGC5085</t>
  </si>
  <si>
    <t>Interacting galaxies with star clouds and dust lanes</t>
  </si>
  <si>
    <t>Edge-on spiral with thick bisecting dust lane</t>
  </si>
  <si>
    <t>Voorwerp object, the only type of DSO object to have a green tint</t>
  </si>
  <si>
    <t>NGC7187</t>
  </si>
  <si>
    <t xml:space="preserve">Fascinating blue barred grand design spiral, with star clouds, VV rows, and pseudo-ring </t>
  </si>
  <si>
    <t>Disturbed spiral with bright arms, star clouds, and plumes</t>
  </si>
  <si>
    <t>NGC5529</t>
  </si>
  <si>
    <t>Interacting pair of distant galaxies with looping star streams</t>
  </si>
  <si>
    <t>A faint HII-dominated emission nebula, not a PN but a Stromgren sphere</t>
  </si>
  <si>
    <t>Simple asterism in the same of Napolean's hat</t>
  </si>
  <si>
    <t>The clouds and dust around Polaris, the North Pole</t>
  </si>
  <si>
    <t>Sh2-235a</t>
  </si>
  <si>
    <t>Small bright nebula is Auriga, originally thought to be a PN</t>
  </si>
  <si>
    <t>Faint SNR in Puppis, overlapping with the foreground Vela SNR</t>
  </si>
  <si>
    <t>YSO which is the source of the GM 1-29 object</t>
  </si>
  <si>
    <t>NGC2261</t>
  </si>
  <si>
    <t>Protoplanetary nebula with X shape due to bipolar flows of gas and dust</t>
  </si>
  <si>
    <t>B214,vdB27</t>
  </si>
  <si>
    <t>Elliptical PN very similar to the Owl Nebula, M97</t>
  </si>
  <si>
    <t>Faint extragalactic open cluster</t>
  </si>
  <si>
    <t>II-2-40</t>
  </si>
  <si>
    <t>Dark nebula in Scorpius with no official designation</t>
  </si>
  <si>
    <t>vdB99</t>
  </si>
  <si>
    <t>Circular HII region with several dust lanes</t>
  </si>
  <si>
    <t>Gum69,RCW134</t>
  </si>
  <si>
    <t>NGC6425</t>
  </si>
  <si>
    <t>Circular HII region with several small dark nebulae</t>
  </si>
  <si>
    <t>Gum70,RCW137</t>
  </si>
  <si>
    <t>A spectacular region including NGC 6559 and IC 4685</t>
  </si>
  <si>
    <t>Sh2-31, Sh2-32</t>
  </si>
  <si>
    <t>The smaller circular HII region just above and right of Sh2-29.  Includes IC1275</t>
  </si>
  <si>
    <t>The smaller circular HII region to the right of Sh2-31 and Sh2-29.  Includes IC1274</t>
  </si>
  <si>
    <t>vdB113</t>
  </si>
  <si>
    <t>Sh2-29</t>
  </si>
  <si>
    <t>SH2-29</t>
  </si>
  <si>
    <t>Long rectangular HII region including vdB113 and PN M1-40</t>
  </si>
  <si>
    <t>vdB118,119</t>
  </si>
  <si>
    <t>Vista of large HII region, dark nebula, blue-purple reflection nebula and colorful star field</t>
  </si>
  <si>
    <t>Gum80,RCW158</t>
  </si>
  <si>
    <t>Comprised of 5 to 6 smaller HII regions</t>
  </si>
  <si>
    <t>Gum84,85</t>
  </si>
  <si>
    <t>Sh2-54</t>
  </si>
  <si>
    <t>Includes both the large faint HII region (the Nest) and the smaller inset bright HII region (the Egg)</t>
  </si>
  <si>
    <t>The large faint HII region (the Nest) which surrounds much smaller Gum 85 (the Egg)</t>
  </si>
  <si>
    <t>Faint molecular cloud shaped like an arrowhead</t>
  </si>
  <si>
    <t>Large faint PN with HII and OIII contribution and significant ISM interaction</t>
  </si>
  <si>
    <t>RCW177</t>
  </si>
  <si>
    <t>PC20</t>
  </si>
  <si>
    <t>Multipolar HI-dominated PN with unusual, complex asymmetric shape</t>
  </si>
  <si>
    <t>MHY</t>
  </si>
  <si>
    <t>One of the closest molecular clouds to earth</t>
  </si>
  <si>
    <t>M1-67,WR124</t>
  </si>
  <si>
    <t>Small bright HII region, often mistaken for a PN</t>
  </si>
  <si>
    <t>Faint emission and reflection nebula, with nice dark lanes</t>
  </si>
  <si>
    <t>Typical faint emission nebula adjacent to 2 smaller brighter emission regions (Sh2-88A and B)</t>
  </si>
  <si>
    <t>Faint HII emission ring, void of any emission in the center</t>
  </si>
  <si>
    <t>Beautiful cosmic flower with 2 dark pillars at the center</t>
  </si>
  <si>
    <t>Cygnus X-1</t>
  </si>
  <si>
    <t>Unimpressive long strip of HII</t>
  </si>
  <si>
    <t>Surprisingly pleasing narrowband object with dust lanes and bright stars</t>
  </si>
  <si>
    <t>Detailed bipolar PN with 2 blown out lobes</t>
  </si>
  <si>
    <t>Underappreciated narrowband object with interesting dust lanes and nice OIII center</t>
  </si>
  <si>
    <t>Kn26</t>
  </si>
  <si>
    <t>Long wispy HII filaments suggesting a SNR but no such object has been identified here.</t>
  </si>
  <si>
    <t>Mostly HII signal - not enough narrowband signal to make an interesting NB image</t>
  </si>
  <si>
    <t>Campbell's Star</t>
  </si>
  <si>
    <t>Cheshire Cat</t>
  </si>
  <si>
    <t>BowTie Nebula</t>
  </si>
  <si>
    <t>Skull Nebula</t>
  </si>
  <si>
    <t>Sailboat Cluster</t>
  </si>
  <si>
    <t>Faint molecular cloud, a difficult imaging object</t>
  </si>
  <si>
    <t>Beautiful complex large emission region ionized by 2 Wolf-Rayet stars</t>
  </si>
  <si>
    <t>HII arc front ionized by the Juchert 21 cluster</t>
  </si>
  <si>
    <t>Juchert 21</t>
  </si>
  <si>
    <t>Small HII emission nebula with obscured star cluster and several dark dust lanes</t>
  </si>
  <si>
    <t>HII arc front ionized by the Pismis-Moreno 1 star cluster</t>
  </si>
  <si>
    <t>SH2-150</t>
  </si>
  <si>
    <t>vdb154</t>
  </si>
  <si>
    <t>Small bright PN-like HII region with texture and dark lanes</t>
  </si>
  <si>
    <t>Uninteresting HII region just west of Sh2-152</t>
  </si>
  <si>
    <t>Cave Nebula</t>
  </si>
  <si>
    <t>Beautiful complex HII region with bright arcs and reflection nebulae</t>
  </si>
  <si>
    <t>Small bright emission region that makes for an interesting narrowband object</t>
  </si>
  <si>
    <t>Emission ring nebula surrounding the Wolf-Rayet star WR157</t>
  </si>
  <si>
    <t>NGC7635</t>
  </si>
  <si>
    <t>HII nebula with a bright arc front and dust lanes</t>
  </si>
  <si>
    <t>HII region with unusual bright and dark regions within the nebula</t>
  </si>
  <si>
    <t>Stock18</t>
  </si>
  <si>
    <t>Dimmer version of the Rosette Nebula</t>
  </si>
  <si>
    <t>Superthin edge-on spiral with no central bulge</t>
  </si>
  <si>
    <t>Pair</t>
  </si>
  <si>
    <t>Dark</t>
  </si>
  <si>
    <t>HII</t>
  </si>
  <si>
    <t>PN</t>
  </si>
  <si>
    <t>Lent</t>
  </si>
  <si>
    <t>Em</t>
  </si>
  <si>
    <t>GC</t>
  </si>
  <si>
    <t>OC</t>
  </si>
  <si>
    <t>Refl</t>
  </si>
  <si>
    <t>Neb</t>
  </si>
  <si>
    <t>GMT:</t>
  </si>
  <si>
    <t>Surf.</t>
  </si>
  <si>
    <t>Inclin.</t>
  </si>
  <si>
    <t>(deg)</t>
  </si>
  <si>
    <t>Spiral</t>
  </si>
  <si>
    <t>Ellip</t>
  </si>
  <si>
    <t>Trio</t>
  </si>
  <si>
    <t>One of the largest galaxy clusters</t>
  </si>
  <si>
    <t>NGC3608</t>
  </si>
  <si>
    <t>Superthin</t>
  </si>
  <si>
    <t>UGC10337</t>
  </si>
  <si>
    <t>PGC1000714</t>
  </si>
  <si>
    <t>NGC797</t>
  </si>
  <si>
    <t>NGC3794</t>
  </si>
  <si>
    <t>NGC3349</t>
  </si>
  <si>
    <t>SOY/o</t>
  </si>
  <si>
    <t>SCY/t</t>
  </si>
  <si>
    <t>SRN/i</t>
  </si>
  <si>
    <t>EHY/ir</t>
  </si>
  <si>
    <t>SCY/i</t>
  </si>
  <si>
    <t>ERN/r</t>
  </si>
  <si>
    <t>SOY/r</t>
  </si>
  <si>
    <t>ARN/if</t>
  </si>
  <si>
    <t>BHN/c</t>
  </si>
  <si>
    <t>SRN/r</t>
  </si>
  <si>
    <t>AHY/i</t>
  </si>
  <si>
    <t>SOY/f</t>
  </si>
  <si>
    <t>ARY/o</t>
  </si>
  <si>
    <t>PRY/f</t>
  </si>
  <si>
    <t>EHN/f</t>
  </si>
  <si>
    <t>SOY/ot</t>
  </si>
  <si>
    <t>EOY/r</t>
  </si>
  <si>
    <t>ECY/r</t>
  </si>
  <si>
    <t>SOY/ft</t>
  </si>
  <si>
    <t>PHN/f</t>
  </si>
  <si>
    <t>EOY/o</t>
  </si>
  <si>
    <t>SOY/t</t>
  </si>
  <si>
    <t>ERY/r</t>
  </si>
  <si>
    <t>EHN/r</t>
  </si>
  <si>
    <t>ARY/r</t>
  </si>
  <si>
    <t>PHY/f</t>
  </si>
  <si>
    <t>Round HII region with 3 dark voids, bright stars, and faint reflection nebulae</t>
  </si>
  <si>
    <t>Faint ancient PN, unusually asymmetric, with both HII and OIII signal</t>
  </si>
  <si>
    <t>ARY/i</t>
  </si>
  <si>
    <t>Categorized as HII region but seems more like a PN</t>
  </si>
  <si>
    <t>Small beautiful PN with unique shape, cut off by a dark nebula</t>
  </si>
  <si>
    <t>PRN/i</t>
  </si>
  <si>
    <t>Unusual ring-shaped HII emission</t>
  </si>
  <si>
    <t>LBN 630</t>
  </si>
  <si>
    <t>Beautiful filamentary PN and asymmetric shape</t>
  </si>
  <si>
    <t>Large faint ancient PN, with nice texture and OIII-dominated throughout</t>
  </si>
  <si>
    <t>AON/io</t>
  </si>
  <si>
    <t>vdb14,15</t>
  </si>
  <si>
    <t>Small bright oblong HII region with the size of a PN</t>
  </si>
  <si>
    <t>Round HII region with some texture,  Foreground Mayer 2 open star cluster</t>
  </si>
  <si>
    <t>Mayer 2</t>
  </si>
  <si>
    <t>Nearby</t>
  </si>
  <si>
    <t>LBN 717</t>
  </si>
  <si>
    <t>Unusual rough edged HII region with foreground small star cluster</t>
  </si>
  <si>
    <t>Open star cluster at the center of Sh2-212</t>
  </si>
  <si>
    <t>I-2-40</t>
  </si>
  <si>
    <t>Round HII region with the star cluster NGC 1624 at center</t>
  </si>
  <si>
    <t>Largest PN and closest to earth.  Very faint.</t>
  </si>
  <si>
    <t>ARN/i</t>
  </si>
  <si>
    <t>Unusual SNR with two different cavities</t>
  </si>
  <si>
    <t>Large HII region which originally was thought to be a SNR.</t>
  </si>
  <si>
    <t>LBN784</t>
  </si>
  <si>
    <t>Beautiful small bright Hii region with dust pillars</t>
  </si>
  <si>
    <t>Least impressive of 4 adjacent circular HII regions in Auriga</t>
  </si>
  <si>
    <t>The brightest of 4 adjacent HII regions in Auriga</t>
  </si>
  <si>
    <t>Sh2-232, 233, 235</t>
  </si>
  <si>
    <t>Sh2-231,233, 235</t>
  </si>
  <si>
    <t>Sh2-231,232, 235</t>
  </si>
  <si>
    <t>Sh2-231,232,233</t>
  </si>
  <si>
    <t>LDN1551</t>
  </si>
  <si>
    <t>With the adjacent dark nebula, a lovely bright nebula with many HH objects</t>
  </si>
  <si>
    <t>Huge SNR with bright filaments in both HII and OII</t>
  </si>
  <si>
    <t>vdB65</t>
  </si>
  <si>
    <t>Faint emission nebula, fortunately located next to a blue reflection nebula</t>
  </si>
  <si>
    <t>Small bright red HII region, looks puny right next to Sh2-240</t>
  </si>
  <si>
    <t>Largest HII region in a 5 HII cluster in Orion</t>
  </si>
  <si>
    <t>Tiny PN-like HII region</t>
  </si>
  <si>
    <t>Central HII region in the Orion cluster of 5 HII regions.</t>
  </si>
  <si>
    <t>Often overlooked member of the 5 HII region Orion complex</t>
  </si>
  <si>
    <t>Dim dumb-bell shaped HII region</t>
  </si>
  <si>
    <t>Nicely textured bright HII region with a small mysterious OII "mushroom" in the center</t>
  </si>
  <si>
    <t>vdb38</t>
  </si>
  <si>
    <t>Very faint, pales in comparison to its neighbors</t>
  </si>
  <si>
    <t>Easily mistaken for a PN, this HII region has a bright ring, a central star and nice texture.</t>
  </si>
  <si>
    <t>Barnard's Loop</t>
  </si>
  <si>
    <t>M78</t>
  </si>
  <si>
    <t>Reddish-purple emission/reflection region that is the most western component of the Seagull Nebula</t>
  </si>
  <si>
    <t>Small bright HII region with numerous dark dust lanes</t>
  </si>
  <si>
    <t>HII region that is the southernmost component of the Seagull Nebula</t>
  </si>
  <si>
    <t>Surprisingly beautiful narrowband object that resembles a teapot</t>
  </si>
  <si>
    <t>NGC2409,vdB97</t>
  </si>
  <si>
    <t>Meyer3</t>
  </si>
  <si>
    <t>Nice bright HII region and star cluster</t>
  </si>
  <si>
    <t>HII region with distinct bright and dim components</t>
  </si>
  <si>
    <t>Fantastic OIII-dominated Wolf-Rayet nebula, with axis flow clearly seen</t>
  </si>
  <si>
    <t>MLCG81</t>
  </si>
  <si>
    <t>MLCG 0081</t>
  </si>
  <si>
    <t>Distant tight galaxy cluster which resembles a star cluster</t>
  </si>
  <si>
    <t>MLCG 1572</t>
  </si>
  <si>
    <t>One of my favorite clusters, numerous bright galaxies with detail</t>
  </si>
  <si>
    <t>DWB111,118,119</t>
  </si>
  <si>
    <t>Fascinating unusual point symmetric HII nebula</t>
  </si>
  <si>
    <t>DWB 111</t>
  </si>
  <si>
    <t>PN Ju 1</t>
  </si>
  <si>
    <t>Ju1,G75.5+1.7</t>
  </si>
  <si>
    <t>Recently discovered faint PN with brighter rim</t>
  </si>
  <si>
    <t>SON/t</t>
  </si>
  <si>
    <t>Large, loose, difficult open cluster</t>
  </si>
  <si>
    <t>vdB31</t>
  </si>
  <si>
    <t>Small extragalactic globular cluster, believed to be from the Sag. Dwf. Sph. Galaxy</t>
  </si>
  <si>
    <t>Small version of the Big Dipper</t>
  </si>
  <si>
    <t>Famous open cluster discovered by Galileo in the heart of Orion</t>
  </si>
  <si>
    <t>The brightest main section of the Vela SNR</t>
  </si>
  <si>
    <t>Looks like a tiny version of the Antennae Galaxies</t>
  </si>
  <si>
    <t>Elliptical with strong pair of jets</t>
  </si>
  <si>
    <t>Giant spiral with some warping</t>
  </si>
  <si>
    <t>S/w</t>
  </si>
  <si>
    <t>Edge-on warped galaxy</t>
  </si>
  <si>
    <t>Unusual spiral ring galaxy</t>
  </si>
  <si>
    <t>UGC4134</t>
  </si>
  <si>
    <t>Distant pair that are too far away to be interacting</t>
  </si>
  <si>
    <t>Large superthin edge-on spiral</t>
  </si>
  <si>
    <t>Yellow edge-on spiral with unique shape of twisting galaxy and dust lane</t>
  </si>
  <si>
    <t>Elliptical galaxy surrounding by faint circular ring</t>
  </si>
  <si>
    <t>Pair of faint galaxies connected by 80,000 ly bridge</t>
  </si>
  <si>
    <t>Disturbed galaxy with no nearby companion</t>
  </si>
  <si>
    <t>Face-on barred galaxy with hexagonal pseudo-ring</t>
  </si>
  <si>
    <t>UGC5600</t>
  </si>
  <si>
    <t>Pair of Magellan galaxies without much interaction</t>
  </si>
  <si>
    <t>Barred disturbed galaxy with yellow core, blue star clouds and pink HII regions</t>
  </si>
  <si>
    <t>Small elliptical with 300,000 ly diameter outer ring</t>
  </si>
  <si>
    <t>Irregular galaxy with star cloud, HII regions and odd shape</t>
  </si>
  <si>
    <t>Superthin edge-on galaxy, no central bulge, almost 20x longer than wide</t>
  </si>
  <si>
    <t>UGC9560</t>
  </si>
  <si>
    <t>Fascinating polar ring galaxy</t>
  </si>
  <si>
    <t>Faint Milky Way satellite galaxy, only 200,000 ly away</t>
  </si>
  <si>
    <t>Edge-on superthin spiral with bright bulge</t>
  </si>
  <si>
    <t>Large colorful edge-on spiral likely interacting with nearby small galaxies</t>
  </si>
  <si>
    <t>Grand design spiral with some details despite the 0.5 bly distance</t>
  </si>
  <si>
    <t>Dim dwarf satellite Milky Way galaxy, only 270,000 ly away</t>
  </si>
  <si>
    <t>Interesting disturbed grand design galaxy</t>
  </si>
  <si>
    <t>Nebula</t>
  </si>
  <si>
    <t>Stars</t>
  </si>
  <si>
    <t>Cluster</t>
  </si>
  <si>
    <t>Merger</t>
  </si>
  <si>
    <t>Elliptical</t>
  </si>
  <si>
    <t>Flocculent</t>
  </si>
  <si>
    <t>Star Cloud</t>
  </si>
  <si>
    <t>Lenticular</t>
  </si>
  <si>
    <t>Emission</t>
  </si>
  <si>
    <t>Reflection</t>
  </si>
  <si>
    <t>Molecular Cloud</t>
  </si>
  <si>
    <t>Asterism</t>
  </si>
  <si>
    <t>Stromgren Sphere</t>
  </si>
  <si>
    <t>Protoplanetary</t>
  </si>
  <si>
    <t>Spiral galaxy with barlens, ansae and an outer pseudo-ring</t>
  </si>
  <si>
    <t>Distant spiral somewhat disturbed with a possible 2nd core</t>
  </si>
  <si>
    <t>Grand design spiral galaxy, slightly disturbed with VV rows</t>
  </si>
  <si>
    <t>Large edge-on superthin galaxy, just 2 degrees from perfectly edge-on, with some disk warp</t>
  </si>
  <si>
    <t>Trio of distant spiral galaxies.  A faint plume suggests some possible interaction.</t>
  </si>
  <si>
    <t xml:space="preserve">Puzzling spiral galaxy, too small (15 ly dia) for the amount of structure </t>
  </si>
  <si>
    <t>UGC12914</t>
  </si>
  <si>
    <t>NGC4513</t>
  </si>
  <si>
    <t>Small blue compact dwarf galaxy with a nearby companion that may or may not be interacting</t>
  </si>
  <si>
    <t>vdB1</t>
  </si>
  <si>
    <t>NGC1999</t>
  </si>
  <si>
    <t>NGC2313</t>
  </si>
  <si>
    <t>LDN1495</t>
  </si>
  <si>
    <t>LkHa120</t>
  </si>
  <si>
    <t>LDN1622</t>
  </si>
  <si>
    <t>Gyul98-171</t>
  </si>
  <si>
    <t>NAME WLM Galaxy</t>
  </si>
  <si>
    <t>B35</t>
  </si>
  <si>
    <t>YSO within Barnard 216, powered by a variable star and obscured by dust clouds as a orange reflection nebula.</t>
  </si>
  <si>
    <t>B213,216</t>
  </si>
  <si>
    <t>YSO contained in Barnard 7 and source of a yellow reflection nebula</t>
  </si>
  <si>
    <t>YSO that is the origin of an odd asymmetric loop-shaped reflection nebula</t>
  </si>
  <si>
    <t>YSO which is the source of a tiny bipolar reflection nebula</t>
  </si>
  <si>
    <t>YSO that is the origin of a wispy yellow nebula</t>
  </si>
  <si>
    <t>YSO that is the source of a small orange nebula</t>
  </si>
  <si>
    <t>YSO at the origin of a horseshoe-shaped reflection nebula, along with HH161 &amp; HH164</t>
  </si>
  <si>
    <t>YSO that is the origin of a small cometary nebula</t>
  </si>
  <si>
    <t>YSO that emits a small pretty orange reflection nebula</t>
  </si>
  <si>
    <t>YSO which is the origin of a butterfly shaped tiny reflection nebula</t>
  </si>
  <si>
    <t>GM1-29</t>
  </si>
  <si>
    <t>NGC1555</t>
  </si>
  <si>
    <t>vdB24</t>
  </si>
  <si>
    <t>YSO that is the source of a blue reflection nebula</t>
  </si>
  <si>
    <t>YSO that is the source of the tiny intricate white reflection nebula in the head of the Gecko.</t>
  </si>
  <si>
    <t>YSO emitting the small white reflection nebula around the star V376 Cassiopeiae, which includes HH162</t>
  </si>
  <si>
    <t>YSO emitting the Hubble Variable Nebula</t>
  </si>
  <si>
    <t>YSO emitting a small intricate blue reflection nebula</t>
  </si>
  <si>
    <t>The multiple variable YSO star system at the center of the Rubber Stamp Nebula</t>
  </si>
  <si>
    <t>YSO emitting a lovely arc-shaped white reflection nebula</t>
  </si>
  <si>
    <t>LDN673</t>
  </si>
  <si>
    <t>YSO at the center of a lovely reflection nebula</t>
  </si>
  <si>
    <t>YSO that is at the eye of the Boogeyman</t>
  </si>
  <si>
    <t>YSO emitting an asymmetric white reflection nebula</t>
  </si>
  <si>
    <t>YSO at the source of a striking blue-white reflection nebula</t>
  </si>
  <si>
    <t>NGC225</t>
  </si>
  <si>
    <t>vdb9,LDN1355</t>
  </si>
  <si>
    <t>vdB7,LDN1355</t>
  </si>
  <si>
    <t>vdB16,LDN1455</t>
  </si>
  <si>
    <t>vdB13,LDN1455</t>
  </si>
  <si>
    <t>Pretty blue reflection nebula surrounded by wispy clouds and dark voids</t>
  </si>
  <si>
    <t>The blue reflection nebula around the right star of Pleaides</t>
  </si>
  <si>
    <t>Pleiades</t>
  </si>
  <si>
    <t>The blue reflection nebula around the top bright star of Pleaides</t>
  </si>
  <si>
    <t>The blue reflection nebula around the bottom bright star of Pleaides</t>
  </si>
  <si>
    <t>The blue reflection nebula around the center bright star of Pleaides</t>
  </si>
  <si>
    <t>Large HII region adjacent to Sh2-150 and several interesting objects</t>
  </si>
  <si>
    <t>LDN1442</t>
  </si>
  <si>
    <t>Lovely blue reflection nebula with tremendous texture, like a Pleiades RN</t>
  </si>
  <si>
    <t>Whitish-blue reflection nebula surrounding an orange star</t>
  </si>
  <si>
    <t>Orange reflection nebula with significant texture</t>
  </si>
  <si>
    <t>LDN1082</t>
  </si>
  <si>
    <t>http://aladin.cds.unistra.fr/AladinLite/?target=</t>
  </si>
  <si>
    <t>A</t>
  </si>
  <si>
    <t>&amp;fov=</t>
  </si>
  <si>
    <t>ALADIN</t>
  </si>
  <si>
    <t>Rating</t>
  </si>
  <si>
    <t>SIMBAD &amp;</t>
  </si>
  <si>
    <t>FOV</t>
  </si>
  <si>
    <t>Ra 7</t>
  </si>
  <si>
    <t xml:space="preserve">NAME PN Ra 7 </t>
  </si>
  <si>
    <t>Recently discovered faint OIII-dominated PN</t>
  </si>
  <si>
    <t xml:space="preserve"> WHTZ 1</t>
  </si>
  <si>
    <t>SNR G206.9%2B2.3</t>
  </si>
  <si>
    <t>PG 1520%2B525</t>
  </si>
  <si>
    <t>SNR G179.0%2B2.6</t>
  </si>
  <si>
    <t>Alt. ID</t>
  </si>
  <si>
    <t>Nick.</t>
  </si>
  <si>
    <t>I-1-130</t>
  </si>
  <si>
    <t>Beautiful mix of colorful bright and faint stars</t>
  </si>
  <si>
    <t>Barnard33</t>
  </si>
  <si>
    <t>NGC2071</t>
  </si>
  <si>
    <t>NGC 2071</t>
  </si>
  <si>
    <t>Commonly imaged with M78, like M78 but smaller</t>
  </si>
  <si>
    <t>Melotte40</t>
  </si>
  <si>
    <t>M35</t>
  </si>
  <si>
    <t>Older cluster commonly imaged with M35</t>
  </si>
  <si>
    <t>Not a PN but a spiral galaxy, wrongly catalogued by Abell</t>
  </si>
  <si>
    <t>Not a PN but a bright tiny spiral galaxy, wrongly catalogued by Abell</t>
  </si>
  <si>
    <t>Flying Jaw Nebula</t>
  </si>
  <si>
    <t>Multipolar PN with lobe breakout</t>
  </si>
  <si>
    <t>IC 2220</t>
  </si>
  <si>
    <t>Toby Jug Nebula</t>
  </si>
  <si>
    <t>Brilliant orange jet outflow nebula from star HD 65750</t>
  </si>
  <si>
    <t>NGC 2808</t>
  </si>
  <si>
    <t>Melotte95</t>
  </si>
  <si>
    <t>A massive, extremely concentrated globular cluster of over 1 million stars</t>
  </si>
  <si>
    <t>IC2220</t>
  </si>
  <si>
    <t>I-3-100</t>
  </si>
  <si>
    <t>RCW 58</t>
  </si>
  <si>
    <t>Faint complex ring Wolf-Rayet nebula from WR40</t>
  </si>
  <si>
    <t>Banana Nebula</t>
  </si>
  <si>
    <t>Gum28, WR18</t>
  </si>
  <si>
    <t>NGC 3199</t>
  </si>
  <si>
    <t>Ring of Wolf-Rayet nebula with brighter yellow arc</t>
  </si>
  <si>
    <t>NGC 3247</t>
  </si>
  <si>
    <t>Whirling Dervish Nebula</t>
  </si>
  <si>
    <t>Westerlund 2</t>
  </si>
  <si>
    <t>HII nebula surrounding partially hidden open cluster</t>
  </si>
  <si>
    <t>One of the best southern open clusters</t>
  </si>
  <si>
    <t>I-3-85</t>
  </si>
  <si>
    <t>Huge naked eye colorful open cluster</t>
  </si>
  <si>
    <t>Gabriela Mistral Nebula</t>
  </si>
  <si>
    <t>NGC 3324</t>
  </si>
  <si>
    <t>Emission nebula just southeast of Eta Carina</t>
  </si>
  <si>
    <t>Eta Carina</t>
  </si>
  <si>
    <t>Brightest nebula in the sky</t>
  </si>
  <si>
    <t xml:space="preserve">Southern Pleiades,Theta Carinae </t>
  </si>
  <si>
    <t>Similar to Pleiades but without the blue reflection nebulosity</t>
  </si>
  <si>
    <t>II-3-75</t>
  </si>
  <si>
    <t>II-1-150</t>
  </si>
  <si>
    <t>Outstanding open cluster of 150 stars of even mag 7 brightness</t>
  </si>
  <si>
    <t>NGC 3576</t>
  </si>
  <si>
    <t>NGC 3603</t>
  </si>
  <si>
    <t>Beautiful loops and dark clouds looking like Statue of Liberty</t>
  </si>
  <si>
    <t>Gum42</t>
  </si>
  <si>
    <t>IC 2948</t>
  </si>
  <si>
    <t>NGC3603</t>
  </si>
  <si>
    <t>NGC3576</t>
  </si>
  <si>
    <t>Coal Sack</t>
  </si>
  <si>
    <t>Most famous naked eye dark nebula in the Milky Way</t>
  </si>
  <si>
    <t>Dark Doodad</t>
  </si>
  <si>
    <t>Sandqvist149</t>
  </si>
  <si>
    <t>Brilliant open cluster with a variety of star magnitudes</t>
  </si>
  <si>
    <t>Bernes 145</t>
  </si>
  <si>
    <t>Sandqvist 165</t>
  </si>
  <si>
    <t>Challenging dark nebula with bright blue star at one end</t>
  </si>
  <si>
    <t>Very loose class XII globular cluster with nearby bright blue star</t>
  </si>
  <si>
    <t>Excellent distributions of color and magnitude in this globular cluster</t>
  </si>
  <si>
    <t>Striking PN that looks more like a barred spiral galaxy</t>
  </si>
  <si>
    <t>NGC 5844</t>
  </si>
  <si>
    <t>PRY</t>
  </si>
  <si>
    <t>M27-like bipolar PN</t>
  </si>
  <si>
    <t>Shapley 1</t>
  </si>
  <si>
    <t>PN Sp 1</t>
  </si>
  <si>
    <t>Bright face-on ring nebula</t>
  </si>
  <si>
    <t>RCW</t>
  </si>
  <si>
    <t>Gum29,RCW49</t>
  </si>
  <si>
    <t>K 1-13</t>
  </si>
  <si>
    <t>K 1-01</t>
  </si>
  <si>
    <t>Sh2-52</t>
  </si>
  <si>
    <t>Sh2-126</t>
  </si>
  <si>
    <t>M1-90</t>
  </si>
  <si>
    <t>NGC1624</t>
  </si>
  <si>
    <t>NGC3158</t>
  </si>
  <si>
    <t>NGC2023</t>
  </si>
  <si>
    <t>RCW 86</t>
  </si>
  <si>
    <t>Oldest witnessed SNR in recorded history (185AD)</t>
  </si>
  <si>
    <t>RCW 103</t>
  </si>
  <si>
    <t>Very faint SNR</t>
  </si>
  <si>
    <t>NGC 5822</t>
  </si>
  <si>
    <t>III-2-100</t>
  </si>
  <si>
    <t>Unassuming dispersed open cluster of similar magnitude stars</t>
  </si>
  <si>
    <t>NGC 5617</t>
  </si>
  <si>
    <t>Cent</t>
  </si>
  <si>
    <t>Pismis19</t>
  </si>
  <si>
    <t>Fine open cluster adjacent to Pismis 19</t>
  </si>
  <si>
    <t>CG12</t>
  </si>
  <si>
    <t>Dark nebula with embedded blue reflection nebula</t>
  </si>
  <si>
    <t>RCW 104</t>
  </si>
  <si>
    <t>Faint HII emission nebulae</t>
  </si>
  <si>
    <t>RCW 106</t>
  </si>
  <si>
    <t>NGC 4103</t>
  </si>
  <si>
    <t>Crux</t>
  </si>
  <si>
    <t>I-3-400</t>
  </si>
  <si>
    <t>Strongly concentrated open cluster with diverse brightnesses</t>
  </si>
  <si>
    <t>RCW 94</t>
  </si>
  <si>
    <t>HII nebula, with small RCW95 adjacent</t>
  </si>
  <si>
    <t>RCW 98</t>
  </si>
  <si>
    <t>Gum49</t>
  </si>
  <si>
    <t>Ring emission nebula from Wolf-Rayet star</t>
  </si>
  <si>
    <t>Sa 2-123</t>
  </si>
  <si>
    <t>PN MZ 1</t>
  </si>
  <si>
    <t>Menzel 1</t>
  </si>
  <si>
    <t>Bipolar PN with intact end lobes</t>
  </si>
  <si>
    <t>Menzel 2</t>
  </si>
  <si>
    <t>PN MZ 2</t>
  </si>
  <si>
    <t>Bipolar nebulae with bright white torus ring</t>
  </si>
  <si>
    <t>NGC 7098</t>
  </si>
  <si>
    <t>Oct</t>
  </si>
  <si>
    <t>NGC 1672</t>
  </si>
  <si>
    <t>Seyfert starburst spiral with one strong arm</t>
  </si>
  <si>
    <t>Small loose globular</t>
  </si>
  <si>
    <t>Small bipolar PN with nice detail</t>
  </si>
  <si>
    <t>The 3rd brightest globular in the sky</t>
  </si>
  <si>
    <t>NGC 6872</t>
  </si>
  <si>
    <t>One of the largest known spirals at 380,000 ly diameter</t>
  </si>
  <si>
    <t>MW9</t>
  </si>
  <si>
    <t>NAME Spider Cirrus</t>
  </si>
  <si>
    <t>IC 4635</t>
  </si>
  <si>
    <t>Large faint molecular cloud, Mandel-Wilson 9</t>
  </si>
  <si>
    <t>Apu</t>
  </si>
  <si>
    <t>Perhaps the finest globular cluster</t>
  </si>
  <si>
    <t>Glorious cluster often overlooked due to its neighbor, 47 Tucanae</t>
  </si>
  <si>
    <t>NGC 1313</t>
  </si>
  <si>
    <t>Ret</t>
  </si>
  <si>
    <t>Topsy Turvy Galaxy</t>
  </si>
  <si>
    <t>Small barred spiral looking like a Magellanic galaxy</t>
  </si>
  <si>
    <t>NGC 1566</t>
  </si>
  <si>
    <t>Grand design spiral similar to M99</t>
  </si>
  <si>
    <t>NGC 2442</t>
  </si>
  <si>
    <t>Vol</t>
  </si>
  <si>
    <t>Showy distorted grand spiral with VV rows</t>
  </si>
  <si>
    <t>Chamaeleon I</t>
  </si>
  <si>
    <t>Molecular cloud with 3 bright reflection nebulae</t>
  </si>
  <si>
    <t>Chamaeleon II</t>
  </si>
  <si>
    <t>Chamaeleon III</t>
  </si>
  <si>
    <t>Molecular cloud riddled with Bok globules</t>
  </si>
  <si>
    <t>NAME Cha I</t>
  </si>
  <si>
    <t>NAME Cha II</t>
  </si>
  <si>
    <t>NAME Cha III</t>
  </si>
  <si>
    <t>Faint molecular cloud including small Thumbprint Nebula and Moa Nebula</t>
  </si>
  <si>
    <t>Thumbprint and Moa</t>
  </si>
  <si>
    <t>NGC 292</t>
  </si>
  <si>
    <t>Small Magellanic Cloud</t>
  </si>
  <si>
    <t>Famous SMC, Small Magellanic Cloud</t>
  </si>
  <si>
    <t>NGC 267</t>
  </si>
  <si>
    <t>NGC 456</t>
  </si>
  <si>
    <t>NGC 346</t>
  </si>
  <si>
    <t>Best nebula in the SMC</t>
  </si>
  <si>
    <t>Numerous small emission nebulae in a tight 20 arc-minute region within SMC</t>
  </si>
  <si>
    <t>Irregular emission regions bisected by dark dust lanes, within the SMC</t>
  </si>
  <si>
    <t>LMC</t>
  </si>
  <si>
    <t>The wonder that is the Large Magellanic Cloud</t>
  </si>
  <si>
    <t>NGC2070</t>
  </si>
  <si>
    <t>Bean Nebula</t>
  </si>
  <si>
    <t>Gorgeous mix of bright nebulae with star clusters</t>
  </si>
  <si>
    <t>LHA 120-N 44</t>
  </si>
  <si>
    <t>NGC1929</t>
  </si>
  <si>
    <t>Numerous bright nebulae surrounding large open cluster in the LMC</t>
  </si>
  <si>
    <t>SMC</t>
  </si>
  <si>
    <t>NGC 1760, 1761</t>
  </si>
  <si>
    <t>N11 (LMC)</t>
  </si>
  <si>
    <t>N44 (LMC)</t>
  </si>
  <si>
    <t>LHA 115-N 36</t>
  </si>
  <si>
    <t>N36 (SMC)</t>
  </si>
  <si>
    <t>N37</t>
  </si>
  <si>
    <t>Bright nebulae in the SMC</t>
  </si>
  <si>
    <t xml:space="preserve">Neb </t>
  </si>
  <si>
    <t>LHA 120-N 11</t>
  </si>
  <si>
    <t>LHA 120-N 51</t>
  </si>
  <si>
    <t>N51 (LMC)</t>
  </si>
  <si>
    <t>NGC1955</t>
  </si>
  <si>
    <t>Bright flower-like series of emission nebulae in the LMC</t>
  </si>
  <si>
    <t>NGC 1910 (LMC)</t>
  </si>
  <si>
    <t>Gorgeous combination of S-shaped nebulae and bright open cluster</t>
  </si>
  <si>
    <t>NGC 1910</t>
  </si>
  <si>
    <t>NGC 2018 (LMC)</t>
  </si>
  <si>
    <t>Chalice Nebula</t>
  </si>
  <si>
    <t>Men</t>
  </si>
  <si>
    <t>NGC 2018</t>
  </si>
  <si>
    <t>Overflowing nebula chalice of bright stars</t>
  </si>
  <si>
    <t>NGC 2029 (LMC)</t>
  </si>
  <si>
    <t>Dragon's Head Nebula</t>
  </si>
  <si>
    <t>NGC 2029</t>
  </si>
  <si>
    <t>Brilliant OIII-dominated emission nebula looking like a dragon's head</t>
  </si>
  <si>
    <t>LHA 120-N 70</t>
  </si>
  <si>
    <t>Faint spherical HII-dominated SNR</t>
  </si>
  <si>
    <t>N70 (LMC)</t>
  </si>
  <si>
    <t>NGC 1962 (LMC)</t>
  </si>
  <si>
    <t>NGC 1962</t>
  </si>
  <si>
    <t>Splendid emission nebulae in a tulip shape, surrounding an open cluster</t>
  </si>
  <si>
    <t>Tarantula Nebula</t>
  </si>
  <si>
    <t>One of the best DSOs in the night sky</t>
  </si>
  <si>
    <t>NGC 2070 (LMC)</t>
  </si>
  <si>
    <t>NAME Barnard's Loop</t>
  </si>
  <si>
    <t>Gum58,RCW120</t>
  </si>
  <si>
    <t>Sh2-100</t>
  </si>
  <si>
    <t>Group</t>
  </si>
  <si>
    <t>Chain</t>
  </si>
  <si>
    <t>Class</t>
  </si>
  <si>
    <t>Sub</t>
  </si>
  <si>
    <t>Object Name &amp; Image</t>
  </si>
  <si>
    <t>Astrobin</t>
  </si>
  <si>
    <t>Link</t>
  </si>
  <si>
    <t>One of the best Abell clusters to image - dense and fairly close.</t>
  </si>
  <si>
    <t>Largest nebula in the Milky Way in actual size</t>
  </si>
  <si>
    <t>RCW106</t>
  </si>
  <si>
    <t>RCW103</t>
  </si>
  <si>
    <t>0 - Low</t>
  </si>
  <si>
    <t>5 - High</t>
  </si>
  <si>
    <t>Gal</t>
  </si>
  <si>
    <t>S0/o</t>
  </si>
  <si>
    <t>S0/n</t>
  </si>
  <si>
    <t>NGC 0346 (SMC)</t>
  </si>
  <si>
    <t>S0/r</t>
  </si>
  <si>
    <t>General</t>
  </si>
  <si>
    <t>H 400</t>
  </si>
  <si>
    <t>H400</t>
  </si>
  <si>
    <t>Other</t>
  </si>
  <si>
    <r>
      <rPr>
        <b/>
        <sz val="11"/>
        <color theme="1"/>
        <rFont val="Calibri"/>
        <family val="2"/>
        <scheme val="minor"/>
      </rPr>
      <t>New General Catalogue</t>
    </r>
    <r>
      <rPr>
        <sz val="11"/>
        <color theme="1"/>
        <rFont val="Calibri"/>
        <family val="2"/>
        <scheme val="minor"/>
      </rPr>
      <t xml:space="preserve"> (7840 objects circa 1888).   The primary catalog for deep sky objects.</t>
    </r>
  </si>
  <si>
    <r>
      <rPr>
        <b/>
        <sz val="11"/>
        <color theme="1"/>
        <rFont val="Calibri"/>
        <family val="2"/>
        <scheme val="minor"/>
      </rPr>
      <t>Index Catalogue</t>
    </r>
    <r>
      <rPr>
        <sz val="11"/>
        <color theme="1"/>
        <rFont val="Calibri"/>
        <family val="2"/>
        <scheme val="minor"/>
      </rPr>
      <t xml:space="preserve"> (5386 objects circa 1912).   The first major update to the NGC catalog, serving as a supplement of DSO discoveries between 1888 and 1907.</t>
    </r>
  </si>
  <si>
    <r>
      <rPr>
        <b/>
        <sz val="11"/>
        <color theme="1"/>
        <rFont val="Calibri"/>
        <family val="2"/>
        <scheme val="minor"/>
      </rPr>
      <t>Messier Catalogue</t>
    </r>
    <r>
      <rPr>
        <sz val="11"/>
        <color theme="1"/>
        <rFont val="Calibri"/>
        <family val="2"/>
        <scheme val="minor"/>
      </rPr>
      <t xml:space="preserve"> (110 objects circa 1774).  The oldest and most popular catalog in astronomy.   The Messier Catalog was never intended to be a list of the best objects in the sky to observe, but as a list of objects to avoid when looking for comets. Messier did not include many of the sky's brightest deep-sky objects, and only included objects he could see from Paris (down to -35 deg declination). </t>
    </r>
  </si>
  <si>
    <r>
      <rPr>
        <b/>
        <sz val="11"/>
        <color theme="1"/>
        <rFont val="Calibri"/>
        <family val="2"/>
        <scheme val="minor"/>
      </rPr>
      <t>Caldwell Catalogue</t>
    </r>
    <r>
      <rPr>
        <sz val="11"/>
        <color theme="1"/>
        <rFont val="Calibri"/>
        <family val="2"/>
        <scheme val="minor"/>
      </rPr>
      <t xml:space="preserve"> (109 objects circa 1995).  The Caldwell Catalog was published by Patrick Moore in 1995 as a complement to the most famous astronomy catalog, the Messier Catalog.  Moore used his other surname (Caldwell) as the name for the catalog, since the initial of "M" was already used for the Messier catalogue.  The Caldwell Catalog includes the best and most interesting objects which are not on Messier's list, covering the entire sky from north (C1 is +85) to south (C109 is -80). </t>
    </r>
  </si>
  <si>
    <r>
      <rPr>
        <b/>
        <sz val="11"/>
        <color theme="1"/>
        <rFont val="Calibri"/>
        <family val="2"/>
        <scheme val="minor"/>
      </rPr>
      <t>Arp Atlas of Peculiar Galaxies</t>
    </r>
    <r>
      <rPr>
        <sz val="11"/>
        <color theme="1"/>
        <rFont val="Calibri"/>
        <family val="2"/>
        <scheme val="minor"/>
      </rPr>
      <t xml:space="preserve"> (338 galaxy objects circa 1966).  The Atlas of Peculiar Galaxies is a catalog of 338 peculiar galaxies produced by Halton Arp in 1966. They are "peculiar" because they often are interacting gravitationally with other nearby galaxies.  Although most are tiny and hard to image clearly, they are some of the most interesting looking galaxies in the universe. </t>
    </r>
  </si>
  <si>
    <r>
      <rPr>
        <b/>
        <sz val="11"/>
        <color theme="1"/>
        <rFont val="Calibri"/>
        <family val="2"/>
        <scheme val="minor"/>
      </rPr>
      <t>Hickson Catalogue of Small Galaxy Groups</t>
    </r>
    <r>
      <rPr>
        <sz val="11"/>
        <color theme="1"/>
        <rFont val="Calibri"/>
        <family val="2"/>
        <scheme val="minor"/>
      </rPr>
      <t xml:space="preserve"> (100 galaxy groups circa 1982).  The Hickson catalog is a collection of 100 galaxy groups published by Paul Hickson in 1982. Hickson compact galaxy groups are tightly spaced relative to other space objects. A typical Hickson group has 4 galaxies, but can have up to 8.</t>
    </r>
  </si>
  <si>
    <r>
      <rPr>
        <b/>
        <sz val="11"/>
        <color theme="1"/>
        <rFont val="Calibri"/>
        <family val="2"/>
        <scheme val="minor"/>
      </rPr>
      <t>Abell Catalogue of Galaxy Clusters</t>
    </r>
    <r>
      <rPr>
        <sz val="11"/>
        <color theme="1"/>
        <rFont val="Calibri"/>
        <family val="2"/>
        <scheme val="minor"/>
      </rPr>
      <t xml:space="preserve"> (4073 galaxy clusters circa 1958).  Abell galaxy clusters encompass massive space and distance and are the largest known gravitationally bound structures in the universe.  The Abell catalog consists of 4073 objects - the original 2712 clusters of the original George O. Abell "Northern Survey" of 1958, supplemented with an additional 1361 clusters from the "Southern Survey" in 1989.  Each cluster typically consist of 30 to 200 galaxies.   Abell also published a PN catalog and the numbered objects of the 2 catalogs are easily confused, although the PN catalog only consists of 86 objects.</t>
    </r>
  </si>
  <si>
    <r>
      <rPr>
        <b/>
        <sz val="11"/>
        <color theme="1"/>
        <rFont val="Calibri"/>
        <family val="2"/>
        <scheme val="minor"/>
      </rPr>
      <t>Uppsala General Catalogue of Galaxies</t>
    </r>
    <r>
      <rPr>
        <sz val="11"/>
        <color theme="1"/>
        <rFont val="Calibri"/>
        <family val="2"/>
        <scheme val="minor"/>
      </rPr>
      <t xml:space="preserve"> (12921 northern hemisphere galaxies circa 1973).</t>
    </r>
  </si>
  <si>
    <r>
      <rPr>
        <b/>
        <sz val="11"/>
        <color theme="1"/>
        <rFont val="Calibri"/>
        <family val="2"/>
        <scheme val="minor"/>
      </rPr>
      <t>Catalogue of Principal Galaxies</t>
    </r>
    <r>
      <rPr>
        <sz val="11"/>
        <color theme="1"/>
        <rFont val="Calibri"/>
        <family val="2"/>
        <scheme val="minor"/>
      </rPr>
      <t xml:space="preserve"> (73,197 galaxies circa 1995).</t>
    </r>
  </si>
  <si>
    <r>
      <rPr>
        <b/>
        <sz val="11"/>
        <color theme="1"/>
        <rFont val="Calibri"/>
        <family val="2"/>
        <scheme val="minor"/>
      </rPr>
      <t>Abell Catalogue of Old Planetary Nebulae</t>
    </r>
    <r>
      <rPr>
        <sz val="11"/>
        <color theme="1"/>
        <rFont val="Calibri"/>
        <family val="2"/>
        <scheme val="minor"/>
      </rPr>
      <t xml:space="preserve"> (86 planetary nebulae circa 1966).  This catalogue was created in 1966 by Dr. George Abell from new objects discovered on the photographs taken for the Palomar Sky Survey. The catalogue consists of 86 total entries, although only 79 of these entries are truly planetary nebulae. The 7 non-PN objects are plate flaws (17 &amp; 32), reflection nebula (11), galaxies (64 &amp; 76), SNR (85) and a stromgren sphere (35).</t>
    </r>
  </si>
  <si>
    <r>
      <rPr>
        <b/>
        <sz val="11"/>
        <color theme="1"/>
        <rFont val="Calibri"/>
        <family val="2"/>
        <scheme val="minor"/>
      </rPr>
      <t>Griffiths Catalogue of Planetary Nebulae</t>
    </r>
    <r>
      <rPr>
        <sz val="11"/>
        <color theme="1"/>
        <rFont val="Calibri"/>
        <family val="2"/>
        <scheme val="minor"/>
      </rPr>
      <t xml:space="preserve"> (45 planetary nebulae circa 2012).  The Griffiths Planetary List consists of 45 non-Messier PN ranging from +82 to -24 declination. In his words, he picked these PN “to strike a balance between brightness, size and observability by concentrating on exciting and challenging nebulae that the author has personally seen in almost 40 years of examining the skies. Purposely ignored are the 4 Messier PN objects.” </t>
    </r>
  </si>
  <si>
    <r>
      <rPr>
        <b/>
        <sz val="11"/>
        <color theme="1"/>
        <rFont val="Calibri"/>
        <family val="2"/>
        <scheme val="minor"/>
      </rPr>
      <t>Kohoutek Catalogue of Planetary Nebulae</t>
    </r>
    <r>
      <rPr>
        <sz val="11"/>
        <color theme="1"/>
        <rFont val="Calibri"/>
        <family val="2"/>
        <scheme val="minor"/>
      </rPr>
      <t xml:space="preserve"> (1500 planetary nebulae circa 1967).  PNe discovered by the Czech astronomer Dr. Luboš Kohoutek.  He discovered over 300 new PNe over his lifetime, many of which now bear his name. Many of the Kohoutek PNe are stellar in size.</t>
    </r>
  </si>
  <si>
    <r>
      <rPr>
        <b/>
        <sz val="11"/>
        <color theme="1"/>
        <rFont val="Calibri"/>
        <family val="2"/>
        <scheme val="minor"/>
      </rPr>
      <t>Minkowski Catalogue of Planetary Nebulae</t>
    </r>
    <r>
      <rPr>
        <sz val="11"/>
        <color theme="1"/>
        <rFont val="Calibri"/>
        <family val="2"/>
        <scheme val="minor"/>
      </rPr>
      <t xml:space="preserve"> (207 planetary nebulae circa 1946).  During his work in the 1940s at the Mount Wilson Observatory, Dr. Rudolph Minkowski published 3 papers which doubled the number of planetary nebulae known at that time. Interestingly, Dr. Minkowski did not number these objects.  Instead, in later years, the PNe listed in these three papers were recognized by the designators M 1-xx, M 2-xx, and M 3-xx.  Later, in 1965, Perek and Kohoutek added additional objects from Minkowski's observations which became known as the M 4-xx list.  The Minkowski catalogue contains mostly PNe (207), but also includes large nebula (40) such as the Pelican and Fishhead Nebulae, 1 galaxy, 1 supernova remnant, and 7 stars.  Some of the objects also have NGC, IC, and SH2 designations.
Many of the Minkowski PNe are stellar in size. </t>
    </r>
  </si>
  <si>
    <r>
      <rPr>
        <b/>
        <sz val="11"/>
        <color theme="1"/>
        <rFont val="Calibri"/>
        <family val="2"/>
        <scheme val="minor"/>
      </rPr>
      <t>Barnard Dark Nebulae Catalogue</t>
    </r>
    <r>
      <rPr>
        <sz val="11"/>
        <color theme="1"/>
        <rFont val="Calibri"/>
        <family val="2"/>
        <scheme val="minor"/>
      </rPr>
      <t xml:space="preserve"> (349 dark nebulae circa 1927).  Astronomer Edward Emerson (E.E.) Barnard was one of the greatest astronomers of the 19th century.  He was known as "The Man Who Never Slept."   One of his greatest accomplishments is his atlas of 369 dark nebulae known as the Barnard Catalogue of Dark Markings in the Sky. These nebulae were once thought to be holes in the Milky Way. After further study, they were discovered not to be holes but interstellar dust clouds which block the background Milky Way stars from our view.  Barnard died in 1923 at the age of 65.  Due to his meticulous work on the Atlas, it was not completed while he was still alive.  It was published after his death, in 1927, with the last aspects of publishing the Atlas being handled by his niece Mary Calvert.  The dark nebulae vary tremendously in their density, size and beauty.  Due to various reasons, the 349 objects have numbers ranging from 1 to 379, with some numbers unassigned.</t>
    </r>
  </si>
  <si>
    <r>
      <rPr>
        <b/>
        <sz val="11"/>
        <color theme="1"/>
        <rFont val="Calibri"/>
        <family val="2"/>
        <scheme val="minor"/>
      </rPr>
      <t>Gum Emission Nebulae Catalgue of Southern Hemisphere</t>
    </r>
    <r>
      <rPr>
        <sz val="11"/>
        <color theme="1"/>
        <rFont val="Calibri"/>
        <family val="2"/>
        <scheme val="minor"/>
      </rPr>
      <t xml:space="preserve"> (85 emission nebulae circa 1955).  Astronomer Dr. Colin Gum published the first catalogue of southern hemisphere HII regions in 1955.  Most of these objects are located deep in the southern hemisphere but some of the best can be reached from northern hemisphere locations. </t>
    </r>
  </si>
  <si>
    <r>
      <rPr>
        <b/>
        <sz val="11"/>
        <color theme="1"/>
        <rFont val="Calibri"/>
        <family val="2"/>
        <scheme val="minor"/>
      </rPr>
      <t xml:space="preserve">Lynds Bright Nebulae Catalogue </t>
    </r>
    <r>
      <rPr>
        <sz val="11"/>
        <color theme="1"/>
        <rFont val="Calibri"/>
        <family val="2"/>
        <scheme val="minor"/>
      </rPr>
      <t xml:space="preserve">(1025 bright nebulae circa 1965).  This catalog was published by US astronomer Beverly Turner Lynds in 1965.  The survey used the 48-inch Palomar telescope and includes all significant bright nebulosity (excluding PN) down to the -33 degrees declination limit of the telescope, which amounts to 1025 objects.  The LBN catalogue includes many objects from more popular catalogues such as Sh-2.  </t>
    </r>
  </si>
  <si>
    <r>
      <rPr>
        <b/>
        <sz val="11"/>
        <color theme="1"/>
        <rFont val="Calibri"/>
        <family val="2"/>
        <scheme val="minor"/>
      </rPr>
      <t>Lynds Dark Nebulae Catalogue</t>
    </r>
    <r>
      <rPr>
        <sz val="11"/>
        <color theme="1"/>
        <rFont val="Calibri"/>
        <family val="2"/>
        <scheme val="minor"/>
      </rPr>
      <t xml:space="preserve"> (1802 dark nebulae circa 1962).
This catalogue was published by US astronomer Beverly Turner Lynds in 1962. The survey used the 48-inch Palomar telescope and includes 1802 dark nebulae down to the -33 degrees declination limit of the telescope.  The LDN catalogue overlaps with the more popular (but much smaller) Barnard Dark Nebulae Catalogue. </t>
    </r>
  </si>
  <si>
    <r>
      <rPr>
        <b/>
        <sz val="11"/>
        <color theme="1"/>
        <rFont val="Calibri"/>
        <family val="2"/>
        <scheme val="minor"/>
      </rPr>
      <t>RCW Emission Nebulae Catalogue</t>
    </r>
    <r>
      <rPr>
        <sz val="11"/>
        <color theme="1"/>
        <rFont val="Calibri"/>
        <family val="2"/>
        <scheme val="minor"/>
      </rPr>
      <t xml:space="preserve"> (182 emission nebulae circa 1960).   Overlapping somewhat with the Sh-2 and Gum catalogues, this catalog by Rodgers, Campbell and Whiteoak focuses exclusivley on southern hemisphere emission nebulae.</t>
    </r>
  </si>
  <si>
    <r>
      <rPr>
        <b/>
        <sz val="11"/>
        <color theme="1"/>
        <rFont val="Calibri"/>
        <family val="2"/>
        <scheme val="minor"/>
      </rPr>
      <t>Sharpless Emission Nebulae Catalogue</t>
    </r>
    <r>
      <rPr>
        <sz val="11"/>
        <color theme="1"/>
        <rFont val="Calibri"/>
        <family val="2"/>
        <scheme val="minor"/>
      </rPr>
      <t xml:space="preserve"> (313 emission nebulae circa 1959).  Dr. Stewart Sharpless published his first “Catalogue of HII regions” in 1953. His second (Sh2) and final list was published in 1959.  The list includes 313 objects north of declination −40°.  The Sharpless Catalogue contains some of the strongest emission nebulae in the night sky.  In many cases, narrowband filters are used to bring out the faint details of the emission nebulae.  These filters are typically hydrogen (HII), oxygen (OIII), and sulfur (SII).  The resulting narrowband subs can be assigned to the RGB color channels in many different ways. The Sh-2 object poster in the cell below show filter recommendations for 75 favorite Sh2 objects.  The recommendations fall into 3 categories (SHO, HOO, and H).</t>
    </r>
  </si>
  <si>
    <r>
      <rPr>
        <b/>
        <sz val="11"/>
        <color theme="1"/>
        <rFont val="Calibri"/>
        <family val="2"/>
        <scheme val="minor"/>
      </rPr>
      <t>Galactic Supernova Remnant Catalogue</t>
    </r>
    <r>
      <rPr>
        <sz val="11"/>
        <color theme="1"/>
        <rFont val="Calibri"/>
        <family val="2"/>
        <scheme val="minor"/>
      </rPr>
      <t xml:space="preserve"> (294 SNRs circa 1984).  Dr. D.A. Green publsihes and maintains this SNR catalogue.  Supernova remnants (SNR) are some of the most fantastic objects in the sky.  The fine tendrils seen throughout each nebula are ionized gas fronts, ejected as shock waves in the supernova explosion. The different colors reflect the variations in the strengths and compositions of these gas shock waves. Each SNR continues to expand outward, changing the details of its appearance slightly each year. These SNRs are typically thousands of years old. </t>
    </r>
  </si>
  <si>
    <r>
      <rPr>
        <b/>
        <sz val="11"/>
        <color theme="1"/>
        <rFont val="Calibri"/>
        <family val="2"/>
        <scheme val="minor"/>
      </rPr>
      <t>van den Bergh Reflection Nebulae Catalogue</t>
    </r>
    <r>
      <rPr>
        <sz val="11"/>
        <color theme="1"/>
        <rFont val="Calibri"/>
        <family val="2"/>
        <scheme val="minor"/>
      </rPr>
      <t xml:space="preserve"> (159 reflection nebulae circa 1966). Dr. Sidney van den Bergh published his vdB catalogue of reflection nebulae in 1966. It was later expanded by one for a total of 159.  Although many catalogues exist for bright emission and planetary nebulae, this is the only significant catalogue for reflection nebulae.  The collection encompassed all reflection nebulosity visible on the Palomar Sky Survey north of -33 degrees latitude.  These nebulae are difficult visual targets but most make for excellent imaging targets.  The dust of reflection nebulae scatters shorter wavelength blue light more efficiently than longer wavelength red light, so most of these reflection nebulae appear blue.  The images here are captured primarily with LRGB filters and presented in “true color”.</t>
    </r>
  </si>
  <si>
    <r>
      <rPr>
        <b/>
        <sz val="11"/>
        <color theme="1"/>
        <rFont val="Calibri"/>
        <family val="2"/>
        <scheme val="minor"/>
      </rPr>
      <t>Hidden Treasures Catalogue</t>
    </r>
    <r>
      <rPr>
        <sz val="11"/>
        <color theme="1"/>
        <rFont val="Calibri"/>
        <family val="2"/>
        <scheme val="minor"/>
      </rPr>
      <t xml:space="preserve"> (109 objects circa 2007).  Astronomer Stephen James O'Meara in 2007 published a list of 109 objects called the Hidden Treasures.  None of these objects are included in either the Messier or the Caldwell catalogs. Together, all 3 of these catalogs contain every deep sky object discovered prior to 1782, when Herschel began his deep sky survey.  O'Meara selected these 109 Hidden Treasure objects after culling over many other lists and consulting other experienced astronomers. Many of the objects selected by O'Meara are bright and beautiful, but others are included because of their astronomical uniqueness or their historical significance. The list consists of 38 open star clusters, 35 galaxies, 8 globular star clusters, 8 bright nebulae, 14 planetary nebulae, 4 asterisms, 1 dark nebula and 1 star. </t>
    </r>
  </si>
  <si>
    <r>
      <rPr>
        <b/>
        <sz val="11"/>
        <color theme="1"/>
        <rFont val="Calibri"/>
        <family val="2"/>
        <scheme val="minor"/>
      </rPr>
      <t xml:space="preserve">Secret Deep Catalogue </t>
    </r>
    <r>
      <rPr>
        <sz val="11"/>
        <color theme="1"/>
        <rFont val="Calibri"/>
        <family val="2"/>
        <scheme val="minor"/>
      </rPr>
      <t>(109 objects circa 2011).  In 2011, astronomer Stephen James O'Meara published a catalogue of 109 objects called the Secret Deep. This list contains 109 interesting deep sky objects which are not already included in the Messier, Caldwell, and Hidden Treasures catalogs.  To think of these Secret Deep objects as the 329th to 437th "best" sky objects in the sky would be inappropriate. Some of these objects, such as Thor's Helmet, are amongst the very best deep sky objects that the sky has to offer. The list consists of 23 open star clusters, 38 galaxies, 11 globular star clusters, 15 bright nebulae, 18 planetary nebulae, 1 asterism, 1 supernova remnant, 1 quasar and 1 black hole.</t>
    </r>
  </si>
  <si>
    <r>
      <rPr>
        <b/>
        <sz val="11"/>
        <color theme="1"/>
        <rFont val="Calibri"/>
        <family val="2"/>
        <scheme val="minor"/>
      </rPr>
      <t xml:space="preserve">Small Packages Catalogue </t>
    </r>
    <r>
      <rPr>
        <sz val="11"/>
        <color theme="1"/>
        <rFont val="Calibri"/>
        <family val="2"/>
        <scheme val="minor"/>
      </rPr>
      <t>(109 objects circa 2020).  Small DSO objects are often overlooked but are some of the most interesting objects in the sky to image.  The above 5  catalogues contain over 500 of the most interesting objects in the heavens. The majority of them are large in apparent size. For this Small Package (SP) catalogue, I have assembled the best 109 small objects which have not appeared in any of the previous 5 catalogues.  This collection numbers 109 objects to be consistent with the previous catalogues.  All of these objects have an apparent individual size no greater than about 4 arc-minutes, which is 4 times the largest apparent size of Venus.   The majority of the objects on this list are fairly obscure, without nicknames. This catalogue contains 75 galaxies, 12 galaxy clusters, 11 planetary nebulae, 10 HII regions, and 1 reflection nebula.</t>
    </r>
  </si>
  <si>
    <r>
      <rPr>
        <b/>
        <sz val="11"/>
        <color theme="1"/>
        <rFont val="Calibri"/>
        <family val="2"/>
        <scheme val="minor"/>
      </rPr>
      <t xml:space="preserve">Orphaned Beauties Catalogue </t>
    </r>
    <r>
      <rPr>
        <sz val="11"/>
        <color theme="1"/>
        <rFont val="Calibri"/>
        <family val="2"/>
        <scheme val="minor"/>
      </rPr>
      <t>(109 objects circa 2020).  The above 4 catalogues contain 437 of the most interesting objects in the heavens.  Although each of the above 4 catalogues contain some great astrophotography targets, the genesis of the 4 above catalogues was in visual astronomy and not astrophotography. Unfortunately, many of the best and most interesting objects in the sky never found a home in these 4 catalogs, since their beauty is seen and appreciated through astrophotography and not eyepiece viewing.  In order to find these beautiful but ignored objects a home, I have assembled the best of these remaining objects into this catalogue, which I have entitled Orphaned Beauties (OB for short). None of these 109 OB objects are included in the previous catalogues. All of these OB objects are at least 4 arc-minutes in size and usually are much larger, enabling these targets to be accessible by anyone with scopes in the common focal length range of 400 to 1000 mm.  This catalogue has more diversity than any of the other 4 catalogs, containing 28 galaxies, 16 emission nebulae, 11 HII regions, 10 dark nebulae, 12 reflection nebulae, 9 supernova remnants, 7 galaxy clusters, 6 planetary nebulae, 4 open star clusters, 5 Wolf-Rayet nebulae, and 1 globular star cluster.</t>
    </r>
  </si>
  <si>
    <t>General Catalogues</t>
  </si>
  <si>
    <t>Galaxy Catalogues</t>
  </si>
  <si>
    <t>Planetary Nebulae Catalogues</t>
  </si>
  <si>
    <t>Nebulae Catalogues</t>
  </si>
  <si>
    <t>Other Catalogues</t>
  </si>
  <si>
    <t>Galaxy chains are fascinating in their alignment and appearance.  They are typically a visually striking, mostly linear alignment of 4 or more galaxies, preferably with some visible disturbance to confirm that they are indeed related instead of just visually aligned.  The chains here usually range from 300 to 800 million light years away.  The galaxies within each chain are sometimes at the same distance away, but often not.</t>
  </si>
  <si>
    <t>Large galaxy clusters are almost incomprehensible in scale. These objects contain anywhere from 12 to hundreds of galaxies. Some catalogs refer to such objects as "rich" clusters.</t>
  </si>
  <si>
    <t>Small galaxy clusters contain anywhere from 4 to 11 galaxies. Some catalogs refer to them as "poor" clusters.</t>
  </si>
  <si>
    <t>Elliptical galaxies are usually larger than spiral galaxies, containing billions of stars, but are often featureless, looking like giant fuzzy balls.</t>
  </si>
  <si>
    <t>Grand Design</t>
  </si>
  <si>
    <t>Nuclear Ring</t>
  </si>
  <si>
    <t>VV Rows</t>
  </si>
  <si>
    <t>Voorwerp</t>
  </si>
  <si>
    <t>Spherical</t>
  </si>
  <si>
    <t>Stellar</t>
  </si>
  <si>
    <t>Multipolar</t>
  </si>
  <si>
    <t>Outer Ring</t>
  </si>
  <si>
    <t>Starforming Ring</t>
  </si>
  <si>
    <t>A lenticular galaxy has a hybrid galaxy structure. The disk has an overall shape like that of a spiral galaxy, but with a lack of galaxy arm structure (like an elliptical galaxy).</t>
  </si>
  <si>
    <t>These galaxies are classified as Barred Magellanic Spirals (SBm). The prototype and namesake is the Large Magellanic Cloud (LMC). In addition to being asymmetric, SBm galaxies usually have the following characteristics: off-center white stellar bar, 1 dominant arm, blue star formation areas, and a diameter between 15,000 and 40,000 light years.</t>
  </si>
  <si>
    <t>Magellanic</t>
  </si>
  <si>
    <t>Dwarf galaxies are small, dim and nearby to us.  Most of the objects below are within 3 million light years away.</t>
  </si>
  <si>
    <t>Blue compact dwarf galaxies (BCDs) are small, faint, and blue star-forming galaxies.  They are blue because they contain massive young stars that emit high energy radiation. They have little dust and a distinct compact structure.  Gas (hydrogen plus helium) contributes between 40% and 95% of the mass of BCDs.  Many scientists believe that these small, active galaxies have served as the building blocks for larger galaxy formation.</t>
  </si>
  <si>
    <t xml:space="preserve">The word "flocculent" comes from the Latin word floccus, which means “flock of wool”. Flocculent galaxies have discontinuous spiral arms and do not look like your classic spiral galaxy. Spiral arms are very difficult to trace in the flocculent galaxies, often starting and stopping seemingly at random. </t>
  </si>
  <si>
    <t>Galaxies with length-to-width ratios of 10 and above, ranging all the way up to 18.  The formation mechanism for superthin galaxies is not well understood.  They are fairly rare.  Their formation seems to require an absence of disturbance from outside galaxies.</t>
  </si>
  <si>
    <t>About 10% of elliptical galaxies have faint shell structures. Shell structures are difficult to see and can easily be “lost” through overprocessing.  Ironically, they can also be created, as artifacts, by overprocessing.  When shell structures are present, image processing should be applied conservatively.  Shell structures are pretty much impossible to detect through the eyepiece, instead requiring photographic images to detect them.  As such, they were discovered only recently, in 1980.  They can easily be confused with star streams or loops.   Shells often look like faint concentric arcs in our two dimensional images but are believed to be three dimensional shells.  These shell structures are usually massive, sometimes spanning hundreds of thousands of light years.  The shell structures are thought to be generated through compressive waves from galaxy mergers.</t>
  </si>
  <si>
    <t>Ansae (Latin for "handles") most often occur in galaxies at each end of a long bar in a barred spiral. These bright areas have a high star density.</t>
  </si>
  <si>
    <t>Nuclear Rings are believed to occur in about 20% of all spiral galaxies and are usually found in barred galaxies.   The nuclear ring is the smallest of the galaxy ring structures.  They are often hidden in astrophotography images because of their small size and because they are easily lost in an overexposed bright core.   These ring features are called nuclear rings because of their close proximity to the nucleus of the galaxy.  The size of these rings is surprisingly consistent from galaxy to galaxy, about 3,000 light years in diameter.  Note that these rings are internal within the bar and are not connected to the galaxy ring structure.  One characteristic of nuclear rings is a significant amount of starburst activity.</t>
  </si>
  <si>
    <t>A closed outer ring is usually twice the size of the bar. Closed means looking like a "O", with a void area along the circumference of the inner and outer edges.  Rare cases of double outer ring galaxies occur, where two detached outer rings are seen.</t>
  </si>
  <si>
    <t>Polar Ring</t>
  </si>
  <si>
    <t>Collisional Ring</t>
  </si>
  <si>
    <t>Polar ring galaxies are multi-spin galaxies with 2 axes of rotation.  The multi-spin is believed to be the result of a galaxy merger, in which the host galaxy accretes stars, dust and gas from a nearby companion galaxy.  Sometimes these companions are still present, sometimes not.  Typically, the accreted material forms a large, almost perpendicular ring around the host galaxy.  Often the host galaxy appears yellow (older stars) and the accreted ring appears blue (recently formed stars).  Unlike other merger results, polar ring galaxies are believed to be a relatively stable configuration, in a quasi-equilibrium state.</t>
  </si>
  <si>
    <t>The collisional ring theory, developed by Arp and others, is that these objects are created when a larger galaxy experiences a direct a head-on collision, along its polar axis, with a smaller galaxy. The collision creates an expanding density wave of star formation, resulting in a ring in the larger galaxy. The smaller galaxy is usually significantly disturbed after the collision.  In some object, the rim of the ring becomes bright, and often blue, due to the resulting star formation. Remnants of the smaller galaxy are often seen nearby the ring, although in some of these cases I believe that the smaller galaxies are more distant and not necessarily related to the event.</t>
  </si>
  <si>
    <t>Vorontsov-Velyaminov (VV) rows are straight-line segments which occur within spiral arms of grand design galaxies.  The rows are named after the first scientist who studied them 60 years ago – Dr. Boris Vorontsov-Velyaminov of Russia.  The angle between two adjacent segments of a row is 120 degrees on average (with a standard deviation of 10 degrees).  The length of a row increases linearly with its distance from the core.</t>
  </si>
  <si>
    <t xml:space="preserve">About 10% of PNe are believed to be spherical.  Because of the symmetry, the progenitor in these cases is believed to be a single star (no companion).  It is believed that single stars do not have the required rotational speeds late in their life to form bipolar and elliptical PNe.   Spherical PNe have no internal structure, a faint (if any) rim, and a circular projection.  The inner region can either be clear or somewhat occluded.  </t>
  </si>
  <si>
    <t xml:space="preserve">The majority of PNe are believed to be elliptical. The progenitor is believed to be a binary star system where the companion star orbits close to the progenitor star so that it lies within its envelope for at least a portion of the formation time.  The resulting nebula then takes on more of an elliptical shape. 2 types of elliptical PNE are seen here - ring type which have a thick circumferential ring around the rim, and disk type where the disk has a thinner rim and the inner region is occluded. </t>
  </si>
  <si>
    <t>These PN are older and have expanded to become a large but faint object.  The typical PNe are 1 arc-minute or smaller.  These range from 3 to 16 arc-minutes. Most are located close to us.</t>
  </si>
  <si>
    <t xml:space="preserve">About 20% of PNe are believed to be bipolar. These PNe have the most interesting shapes. To create such an axisymmetric and complex system, it is believed that the progenitor is likely a binary star system. One of the stars, late in its life during its AGB phase, grows so large that its outer envelope forms a swirling equatorial disk (torus) around the companion. The disk constrains the companion’s bi-polar flow, forming two polar lobes which expand (and sometimes break through) over time.  While the 2 companions are interacting, they avoid the common envelope phase for most of the interaction time (which would form a simpler elliptical PN). The "common envelope phase" is when both companion stars of the binary system share the same ejected gas envelope of the late life AGB star. This collection shows bipolar PN that we see from a side-on view, where the torus appears as a rectangle. In this view, it is easy to see the hourglass shape of the lobes. Some of the PN are experiencing lobe breakout at their ends. </t>
  </si>
  <si>
    <t>These Pne appear to have multiple bipolar flows occurring from the progenitor binary star system. It is believed that this is due to changes in the polar axis orientation of the binary star system over time.</t>
  </si>
  <si>
    <t>The tiny stellar-like size of these Pne (6 arc-seconds or less) make it difficult to determine their morphology.</t>
  </si>
  <si>
    <t>Ansae, or "handles", sometimes appear on each side of the progenitor star of a PN. Scientists have found that these ansae are expanding faster than the nebula shell itself. They have been nicknamed FLIERs, or Fast Low Ionization Emission Regions. They are tiny and are much easier to see on Hubble images. These ansae are often found in PN which have fast rotating binary central star systems.</t>
  </si>
  <si>
    <t>These Pne exhibit "wind impact" from the interstellar medium (ISM). The ISM is responsible for evolution and shaping of about 20% of PNe.</t>
  </si>
  <si>
    <t>Herbig-Haro objects are small, wispy arcs of nebulosity formed when jets of gas from newborn stars collide with nearby clouds of gas and dust at high speeds.  Of all deep space objects, they are among the smallest and fastest changing in shape.  Changes in nebulae appearance can be seen from year to year in some objects.  The first astronomers to study these objects in detail were George Herbig and Guillermo Haro, after whom they have been named.</t>
  </si>
  <si>
    <t>A YSO is a star in its early stage of evolution. This early stage includes objects in both the first (protostar) stage and the second (pre-main sequence) stage.  Most stars spend only a small fraction of their lives in this early YSO stage.</t>
  </si>
  <si>
    <t>A protoplanetary nebula is the result of a star that is near the end of its life, just before the final planetary nebula (PN) phase.   They are considered to be a type of reflection nebula, although some also have characteristics of emission nebulae.</t>
  </si>
  <si>
    <t>The Rosette Nebula is the most famous example of a Strömgren sphere, where a sphere of ionized hydrogen (H II) stabilizes around a young star of the spectral classes O or B. The theory for these spheres was derived by Dr. Bengt Strömgren in 1937 and later named Strömgren sphere after him.</t>
  </si>
  <si>
    <t>Supernova remnants (SNR) are some of the most fantastic objects in the sky. The fine tendrils seen throughout each nebula are ionized hydrogen, oxygen and sulfur gas fronts, ejected in the supernova explosion. The different colors are reflective of the variation in the strengths of these gas shock waves. Each SNR continues to expand outward, changing the details of its appearance slightly each year. Over 300 SNRs have been catalogued in our Milky Way.</t>
  </si>
  <si>
    <t>An asterism is simply a pattern of stars in the sky.  Some asterisms are simple geometric shapes comprised of just a few stars in a small area, while others consist of many stars in a large region which are supposed to represent a complex shape.  Typically, stars in an asterism are not related and are only lined up at this point in time to our apparent view by superposition.</t>
  </si>
  <si>
    <t>These small objects, named nova which is Latin for new, are the result of star ejections which both flare up and dissipate relatively quickly.  The stars become bright us for a short time, causing the stars to be visible or "new".</t>
  </si>
  <si>
    <t>Inner galaxy rings, where a ring envelopes each end of the bar, are by far the most commonly seen galaxy ring. The ring may be circular, oval, or even pointed at each end. Extensive star formation is usually occurring in the ring and sometimes can be seen in a vivid blue color.</t>
  </si>
  <si>
    <t>Voorwerp objects are the only galaxy objects which have a greenish glow.  Voorwerps have been described as the ghosts of quasars.  Scientists have identified 20 of these voorwerp galaxies so far.  The fantastic green tails of gas seen in Hubble images are difficult to capture using amateur equipment.  The OIII signal appears green in images instead of its normal teal color due to cosmological redshift. Because of this redshift, our OIII filters are not able to capture the signal and broadband imaging must be used, making it a challenge to capture these small and faint objects.</t>
  </si>
  <si>
    <t>An open star cluster is an irregular group of stars all having the same recent origin, comprised of dozens to hundreds of young, hot stars mutually bound by gravitation. The gravitation forces within an open cluster are generally less than that of a globular cluster, so that over time the stars of an open cluster will eventually drift apart due to gravitational encounters with other clusters and clouds of gas as they orbit the Milky Way galactic center. There have been more than 1000 open clusters identified in our Milky Way galaxy.</t>
  </si>
  <si>
    <t>Unusually dense patch of Milky Way stars</t>
  </si>
  <si>
    <t>Barred</t>
  </si>
  <si>
    <t>Bars appear in about 35% of all galaxies. Bars are found more often in older "red" galaxies than in younger "blue" galaxies. Bars vary greatly in relative length and brightness.  The letter B is used to designate a bar in the galaxy designation.</t>
  </si>
  <si>
    <t xml:space="preserve">The Wolf-Rayet catalogue is maintained by the Lund observatory.  Wolf-Rayet (WR) stars are massive but rare, making stars like our sun look tiny. They can be hundreds of times more massive, millions of times brighter, and tens of thousands of degrees hotter. In addition to being massive, WR stars are losing their mass at a very high rate.  WR stars are identified by their unusual spectra, showing prominent broad emission lines of ionised helium and highly ionised nitrogen or carbon.  This was first discovered by astronomers Charles Wolf and Georges Rayet in 1867.  Wolf- Rayet stars are thought to end their lives spectacularly as either a Type Ib or Type Ic supernova explosion.  The massive radiation, heat and gas spewed out by these WR stars create some of the most interesting nebulae in the night sky.  Many WR stars have associated bubble nebulosity, centered around the WR star.  </t>
  </si>
  <si>
    <t>Galaxies</t>
  </si>
  <si>
    <t>SHN/i</t>
  </si>
  <si>
    <t>SOY/it</t>
  </si>
  <si>
    <t>EHY/i</t>
  </si>
  <si>
    <t>EHN/i</t>
  </si>
  <si>
    <t>MHN/i</t>
  </si>
  <si>
    <t>PCN/fi</t>
  </si>
  <si>
    <t>PRN/fi</t>
  </si>
  <si>
    <t>BOY/fj</t>
  </si>
  <si>
    <t>BOY/r</t>
  </si>
  <si>
    <t>EON/r</t>
  </si>
  <si>
    <t>BRN/c</t>
  </si>
  <si>
    <t>BRY/c</t>
  </si>
  <si>
    <t>ERN/ir</t>
  </si>
  <si>
    <t>PHN/c</t>
  </si>
  <si>
    <t>MRN/c</t>
  </si>
  <si>
    <t>BRN/r</t>
  </si>
  <si>
    <t>BRN/o</t>
  </si>
  <si>
    <t>BRN/cr</t>
  </si>
  <si>
    <t>AOY/c</t>
  </si>
  <si>
    <t>AOY/o</t>
  </si>
  <si>
    <t>ARY/fi</t>
  </si>
  <si>
    <t>NGC2372</t>
  </si>
  <si>
    <t>BRY/r</t>
  </si>
  <si>
    <t>BOY/f</t>
  </si>
  <si>
    <t>BCY</t>
  </si>
  <si>
    <t>EOY/i</t>
  </si>
  <si>
    <t>Cluster dominated by 2 ellipticals and containing a nice number of spirals</t>
  </si>
  <si>
    <t>Stunning 9 galaxy tight "nonet" cluster.</t>
  </si>
  <si>
    <t>Unusual number of prominent spirals</t>
  </si>
  <si>
    <t>Amazing view, with more galaxies than stars.  Arp 105 is the highlight.</t>
  </si>
  <si>
    <t>Sparse galaxy cluster</t>
  </si>
  <si>
    <t>Dominated by large elliptical</t>
  </si>
  <si>
    <t>Dominated by several large ellipticals</t>
  </si>
  <si>
    <t>Pleasing geometric alignment around the largest galaxy</t>
  </si>
  <si>
    <t>Not much to see here</t>
  </si>
  <si>
    <t>Interesting line of brightness as 2 main ellipticals align</t>
  </si>
  <si>
    <t>Uninspiring mix of distant galaxies</t>
  </si>
  <si>
    <t>Too far away to be interesting</t>
  </si>
  <si>
    <t>A few nice larger objects amongst the distant cluster</t>
  </si>
  <si>
    <t>Dark nebulosity immediately west of blue reflection nebula vdB31 and 2 YSOs</t>
  </si>
  <si>
    <t>Dark nebulosity immediately north of vdB31</t>
  </si>
  <si>
    <t>In east end of long thin dark cloud that also contains B210 and 212</t>
  </si>
  <si>
    <t>In center of long thin dark cloud that also contains B210 and 215</t>
  </si>
  <si>
    <t>At west end of long thin dark cloud that also contains B212 and 215</t>
  </si>
  <si>
    <t>B207</t>
  </si>
  <si>
    <t>B175</t>
  </si>
  <si>
    <t>NGC6401</t>
  </si>
  <si>
    <t>Isolated dark spot SE of B 11; irregularly round with extension E. from the NE side</t>
  </si>
  <si>
    <t>Very faint - Irregular vacancy. This seems to refer to a portion of B 37.</t>
  </si>
  <si>
    <t>Distinct small dust cloud - Irregular; definite; a string of small stars in the middle.</t>
  </si>
  <si>
    <t>Long dust lane in Ophiuchus - Irregular; definite; connected with B 51 by two sharp lanes.</t>
  </si>
  <si>
    <t>Faint patch of dark nebulosity - Large; diffuse; extended N and S by 30'; curved toward the E at N end.</t>
  </si>
  <si>
    <t>Very faint - Small; round; close S. of magnitude 11 star</t>
  </si>
  <si>
    <t>Faint dark nebula - Irregular; best defined SE.; CD -31 13582 (magnitude 8.9) near the center.</t>
  </si>
  <si>
    <t>Faint - Elongated NE and SW</t>
  </si>
  <si>
    <t>Faint - Slightly extended N and S; a darker core at NE side</t>
  </si>
  <si>
    <t>Faint - Definite; elongated; 12' E and W</t>
  </si>
  <si>
    <t>Faint - Definite; extended E and W; CD -26 12082 (magnitude 8.7) 5' from SE edge</t>
  </si>
  <si>
    <t>Dark nebulosity in bright Milky Way field - Definite; extended N and S; connects B 65 and 66</t>
  </si>
  <si>
    <t>Faint - Irregular; definite; BD -21 4591 (magnitude 9.5) in spot, near SE edge</t>
  </si>
  <si>
    <t>Dark nebulosity next to B72, the Snake - Small; irregular; sharply defined; about 20' SW of B 72</t>
  </si>
  <si>
    <t>Dark nebulosity next to B72, the Snake - Very small; irregular; sharply defined; extends N and S 4'</t>
  </si>
  <si>
    <t>Dark nebulosity next to B72, the Snake - Sharply defined on W side</t>
  </si>
  <si>
    <t>Tiny object - Very small; extends 1.25', plus or minus</t>
  </si>
  <si>
    <t>Small - Very small; extended N and S 4'</t>
  </si>
  <si>
    <t>Faint - Irregular, narrow black strip, 30' long E and W</t>
  </si>
  <si>
    <t>Just north of famous B78 nebula - Indefinite; connected by a vacant strip with B 78</t>
  </si>
  <si>
    <t>Line of nebulosity - 30' long SE and NW; narrow; sharply defined</t>
  </si>
  <si>
    <t>Very faint - Small, definite; 3' x 1', SW and NE; close SE of BD -21 4674 (magnitude 80 8.1).</t>
  </si>
  <si>
    <t>Faint - Irregular; elongated; 3' N and S</t>
  </si>
  <si>
    <t>Positioned between 2 bright HII nebulae - Diam. 5'; edge of diffused nebulosity</t>
  </si>
  <si>
    <t>Very faint - Roundish; diam. 15'; indefinite</t>
  </si>
  <si>
    <t>Very faint - Large; indefinite; diam. 30'; elongated</t>
  </si>
  <si>
    <t>Very faint - Small; indefinite; elongated E and W</t>
  </si>
  <si>
    <t>Faint and nondescript - Very small; black; sharply defined; diam . 3'</t>
  </si>
  <si>
    <t>Very faint - Definite; 11' long E. and W., 3' wide; E end is the larger, with a faint star in it.</t>
  </si>
  <si>
    <t>Very faint - Rather definite; elongated NE and SW, 8' x 3'</t>
  </si>
  <si>
    <t>Dark nebula shows up well in bright field - Irregular; diam. 4'; one small star in it</t>
  </si>
  <si>
    <t>Small region - Diam. 2'; extended N and S; free of stars</t>
  </si>
  <si>
    <t>Odd shaped dark nebulosity in Scutum - Irregular; diam. 5'; free of stars</t>
  </si>
  <si>
    <t>Small - Irregular; diam. .7'; close E of BD -07 4726 (magnitude 8.0)</t>
  </si>
  <si>
    <t>Dark nebulosity southwest of the Checkmark (B104) - Irregular; diam. 11';</t>
  </si>
  <si>
    <t>Faint - Irregular; diam. 16'; small star in W part</t>
  </si>
  <si>
    <t>Winding dust lane, very faint - Narrow, semi-vacant region extending 20' S from BD -7 4755 (magnitude 9.1)</t>
  </si>
  <si>
    <t>Small and faint - Round; very black; diam. 1'; sharply defined</t>
  </si>
  <si>
    <t>Very faint - Black; irregular; diam. 7'</t>
  </si>
  <si>
    <t>Small and faint - Definite; diam. 2'; more definite and blacker than B 117</t>
  </si>
  <si>
    <t>Very faint - Very small; close NW of BD -4 4623 (magnitude 9.2)</t>
  </si>
  <si>
    <t>Very faint - Very small; close SE of BD -4 4623 (magnitude 9.2); E side bounded by a curve of very small stars</t>
  </si>
  <si>
    <t>Very faint - Small dusky spot; magnitude 12 star in center</t>
  </si>
  <si>
    <t>Very faint - Small; diam. 4'; narrow extension 4' N</t>
  </si>
  <si>
    <t>Very faint - Small, dark spot; diam. 3'</t>
  </si>
  <si>
    <t>Very faint - Dark; lune shaped; 9' E and W; fairly well-defined on N border; some faint stars in it</t>
  </si>
  <si>
    <t>Very faint - Dusky; round; rather definite; diam. 8'</t>
  </si>
  <si>
    <t>Dark nebula just north of orange star I Aql - Irregular; diam. 4.5'</t>
  </si>
  <si>
    <t>Very faint - Irregular; dusky; fairly well defined; diam. 10'</t>
  </si>
  <si>
    <t>Dark nebula just north of orange star I Aql - Very black; sharply defined; diam. 5'; a small star at the W end</t>
  </si>
  <si>
    <t>Very faint - dusky; not well defined; length 7'</t>
  </si>
  <si>
    <t>Very faint - Black spot, about 2'x4'</t>
  </si>
  <si>
    <t>No Milky Way stars visible in nebula center - Cometary; close W of BD -7 4852 (magnitude 9.2)</t>
  </si>
  <si>
    <t>Very faint - Dusky spot; diam. 13'; BD -4 4698 (magnitude 9.2) on N border; BD -4 4702 (magnitude 9.2) on SE edge</t>
  </si>
  <si>
    <t>Very faint - Dusky spot; diam. 8'; 10 mag. star near middle</t>
  </si>
  <si>
    <t>Faint - Projection near S end of B 138</t>
  </si>
  <si>
    <t>Faint dark nebulosity just west of B143 - Large; irregular; about 40' E and W; BD +10 4016 in E part</t>
  </si>
  <si>
    <t>Uniquely shaped dark nebula - Sharply defined; 3/4 degree long E and W</t>
  </si>
  <si>
    <t>Faint - Small; 15'x3' SE and NW</t>
  </si>
  <si>
    <t>Faint - Black; irregular; diam. 1 degree; 5' S of BD +55 2565 (magnitude 7.4)</t>
  </si>
  <si>
    <t>Faint - Narrow; 8' long NE and SW; BD +55 2565 (magnitude 7.4) at the S end</t>
  </si>
  <si>
    <t>Very faint - Round; diam. 13'; indefinite; four small stars in a line crossing it E and W</t>
  </si>
  <si>
    <t>Very faint nebula near bright orange star - Diam. 8'; sharp pointed to N; BD +44 3865 (magnitude 4.1) in center</t>
  </si>
  <si>
    <t>Faint - Irregular partially vacant region; diam. 25'</t>
  </si>
  <si>
    <t>Faint - V-shaped vacancy; 20' N and S</t>
  </si>
  <si>
    <t>Faint - Length E and W 18', width 1'; BD +59 2424 (magnitude 7.8) near the E end</t>
  </si>
  <si>
    <t>Faint - Round; diam 5'; small star on SW edge</t>
  </si>
  <si>
    <t>Faint - Small; irregularly round; diam 5'; about 7' N of BD +59 2427 (magnitude 7.7)</t>
  </si>
  <si>
    <t>Dark nebula to east of B169 - Irregular, broken region; diam. 19'; at the E end of the "island" of small stars.</t>
  </si>
  <si>
    <t>Very faint - Diam. 4'; rather definite; a small star on N edge and one on SW edge</t>
  </si>
  <si>
    <t>Flowing dark lane to east of Ba69 - Narrow; irregular; 19' long NE and SW</t>
  </si>
  <si>
    <t>Nice dark nebula near B204 - Elongated NW and SE, 33'x12'</t>
  </si>
  <si>
    <t>Nice dark nebula near B204 - Elongated E and W; BD +30 539 (magnitude 9.0) in N ed</t>
  </si>
  <si>
    <t>Dark nebula north of vdB16 - Diffused; diam. 5' plus or minus</t>
  </si>
  <si>
    <t>Faint - Center of a broad extension from B 7, toward the W</t>
  </si>
  <si>
    <t>Nebulosity just southeast of B216, surrounds refection nebula - Southeast end of dark lane running from B 7</t>
  </si>
  <si>
    <t>Dark nebulosity just east of B217 - Triangular; diam. 15'; extension to the S</t>
  </si>
  <si>
    <t>Very faint - Partly vacant space; 55' x 3 degrees, NE and SW</t>
  </si>
  <si>
    <t>Very faint - Indefinite; diam. 20'</t>
  </si>
  <si>
    <t>Faint - South end of extension running S for 35' from B 30</t>
  </si>
  <si>
    <t>Faint - Dark spot; diam. 17'; S of M 36</t>
  </si>
  <si>
    <t>Faint - Round, diam. 12'; one or two faint stars in it</t>
  </si>
  <si>
    <t>Very faint - Indefinite, partially vacant region; diam. 3/4 deg</t>
  </si>
  <si>
    <t>Very faint - Round; diam. about 1 degree</t>
  </si>
  <si>
    <t>Interesting dark structure next to bright orange star - Dusky; diam. 30'; sharpest on W side, diffuses to the E</t>
  </si>
  <si>
    <t>Faint - Dusky; 10' N and S; 2 small stars in it</t>
  </si>
  <si>
    <t>Faint - Diffused; 55' N and S; 20' wide</t>
  </si>
  <si>
    <t>Very faint - Narrow; nearly 1/2 degree long, 6' wide</t>
  </si>
  <si>
    <t>Small dark region - Diam. 7'; elongated NE and SW; darkest part at SW end</t>
  </si>
  <si>
    <t>Teardrop shaped faint dark nebula - Irregular; diam. 13'; BD -22 4323 (magnitude 8.0) on NW edge</t>
  </si>
  <si>
    <t>Very faint - Curved; 15' long; very black and narrow; rimmed with stars on S and E sides.</t>
  </si>
  <si>
    <t>Complex dark region stands out well from star background - Black; diam. 20'</t>
  </si>
  <si>
    <t>Very faint - Dusky; diffused; 18' long E and W, 6' wide; about 20' W of M 62</t>
  </si>
  <si>
    <t>Faint - Dusky; elongated E and W, 30'x8'</t>
  </si>
  <si>
    <t>Very faint - Round; diffused; diam. 8'; several bright stars in it</t>
  </si>
  <si>
    <t>Dark nebulosity just south of B60 - Irregular; diam. about 15'</t>
  </si>
  <si>
    <t>Spot of dark nebulosity - Black; diam. 4'</t>
  </si>
  <si>
    <t>Small faint region - Irregular; 10' E and W</t>
  </si>
  <si>
    <t>Very faint - Diffused; diam. 15'</t>
  </si>
  <si>
    <t>Very faint - Dusky; elongated NE and SW, 20'x5'</t>
  </si>
  <si>
    <t>Faint - Irregular dark region; diam. nearly 1 degree; BD -22 4307 (magnitude 8.8) in W part.</t>
  </si>
  <si>
    <t>Fish-shaped dark nebulae in Ophiuchus - Irregular; diffused; elongated E and W, 1 degree x 20'</t>
  </si>
  <si>
    <t>Faint - Dusky; diam. 5'</t>
  </si>
  <si>
    <t>Dark nebula near NGC 6334 (Cat's Paw) - Dusky spot; diam. 15'; about 10' NW of CD -35 11505 (magnitude 6.7)</t>
  </si>
  <si>
    <t>Dark circular dark region between NGC 6334 and NGC 6357 - Irregular area of dark markings; diam. 40' plus or minus</t>
  </si>
  <si>
    <t>Faint nebula near B78 - Diffused; elongated N and S, 12'x7'</t>
  </si>
  <si>
    <t>Dark nebulosity with interesting shape - Diam. 30' NE and SW</t>
  </si>
  <si>
    <t>Faint - Narrow; black; 10' E and W; bends N at E end; 15' W of CD -25 12179 (magnitude 7.3)</t>
  </si>
  <si>
    <t>Faint - Irregular; 18' N and S; 7' wide; diffused on E side; about 5' W of CD -25 12171 (magnitude 9.2)</t>
  </si>
  <si>
    <t>Faint - Curved; 30' long NE and SW; BD -20 4775 (magnitude 7.8) just S of S edge</t>
  </si>
  <si>
    <t>Dark nebulosity next to B266 - Small; very black; elongated NW and SE, 5'x3'; CD -25 12177 (magnitude 9.3) at NW end</t>
  </si>
  <si>
    <t>Faint - Dusky region, 1 degree long NW and SE; BD -22 4369 (magnitude 7.5) near SE end</t>
  </si>
  <si>
    <t>Faint - Round; diam. 11'; in NE part of B 268</t>
  </si>
  <si>
    <t>Nondescript dark nebula in Scorpius - Dark spot at N end of B 271; diam. 15'</t>
  </si>
  <si>
    <t>Vase-like dark nebula shape - Triangular; definite; 18' N and S; BD -22 4383 (magnitude 7.5) in N end</t>
  </si>
  <si>
    <t>Dark circular patch of nebulosity just west of M6 - Round; diam. 13'; about 20' W of M6.</t>
  </si>
  <si>
    <t>Dark nebulosity just east of M6 - Round; diam. 15'; about 30' E of M 6</t>
  </si>
  <si>
    <t>Resplendent dark nebulosity in Sagittarius - Irregular dusky area; diam. 1 degree plus or minus</t>
  </si>
  <si>
    <t>Faint - Dark loop close E of CD -23 13548 (magnitude 8.1)</t>
  </si>
  <si>
    <t>Faint - Diffused; diam. 15'</t>
  </si>
  <si>
    <t>Faint - Black; diam. 2'; diffuses toward NE; 25' SW of CD -36 12060 (magnitude 6.3)</t>
  </si>
  <si>
    <t>Faint - Dusky; curved; like an inverted U, 18' across; CD -35 21259 (magnitude 8.5) near the center.</t>
  </si>
  <si>
    <t>A light dark nebula, next to 2 globular clusters - Small; diam. 4'; 5' SE of NGC 6528</t>
  </si>
  <si>
    <t>Faint - Several small spots in star cloud, each about 3' in diameter</t>
  </si>
  <si>
    <t>Faint - Broken dark region about 30' E of B 87</t>
  </si>
  <si>
    <t>Small dark nebula in IC 4685 - Dark spot; diam. about 1/2 degree; close N of CD -24 13962 (magnitude 7.8)</t>
  </si>
  <si>
    <t>Very faint - Dusky lanes in star cloud extending toward the SW from B 92 for 1 1/2 degrees</t>
  </si>
  <si>
    <t>Very faint - SW of W end; similar to B 249</t>
  </si>
  <si>
    <t>Faint - Curved; dusky; 7' E and W, 5' wide</t>
  </si>
  <si>
    <t>Faint - Irregular; dusky; diam. 5'</t>
  </si>
  <si>
    <t>Very faint - Diam. 2'; small star near center; 20' SW of BD -18 4988 (magnitude 6.0</t>
  </si>
  <si>
    <t>Very faint - Black; elliptical; diam. 6' NE and SW; in a semi-vacant strip 35' long</t>
  </si>
  <si>
    <t>Very faint - Narrow; curved; 15' E and W</t>
  </si>
  <si>
    <t>Faint with impressive structure - Irregular, dusky marking; 35' long NE and SW</t>
  </si>
  <si>
    <t>Very faint - Round; dark; diam. 5'</t>
  </si>
  <si>
    <t>Faint - Dark; diam. 6'; sharp on its S end, gradually diffusing to the N into a wide open space</t>
  </si>
  <si>
    <t>Faint - Dusky; 30' NE and SW, 5' wide</t>
  </si>
  <si>
    <t>Faint - Thin, curved, dark marking; length 7'; BD -1 3586 (magnitude 9.5) at the NE end.</t>
  </si>
  <si>
    <t>Faint - Dusky; 15' long E and W, 7' wide; BD -11 4795 (magnitude 7.8) near W end</t>
  </si>
  <si>
    <t>Faint - Very small; black; diam. 2'; at NE end of the "crescent", B 111</t>
  </si>
  <si>
    <t>Faint - A dark parallelogram, 17' N and S; BD -3 4423 (magnitude 9.2) in W part</t>
  </si>
  <si>
    <t>Very faint - Irregular; dusky; 15' NW and SE</t>
  </si>
  <si>
    <t>Faint - Narrow; 25' long E and W; 3' wide</t>
  </si>
  <si>
    <t>Very faint - Curved, dusky lane; 30' N and S; 3' wide</t>
  </si>
  <si>
    <t>Faint, near B132 - Small, black; diam. 4'; 13' S of BD -4 4684 (magnitude 5.7)</t>
  </si>
  <si>
    <t>Faint - Dusky spot in star cloud; diam. 6' plus or minus; BD +2 3789 (magnitude 9.0) near E edge</t>
  </si>
  <si>
    <t>Large faint region - Dark; round; diam. 30'; BD +7 4028 (magnitude 7.8) on NE border</t>
  </si>
  <si>
    <t>Very faint - Dusky, narrow lane 1 degree long NW and SE, 3' wide</t>
  </si>
  <si>
    <t>Small and faint - Dark; diam. 1'-2'; in a slightly larger vacant space; BD +11 3912 (magnitude 8.6) in SW part</t>
  </si>
  <si>
    <t>Faint - Dusky; diam. 8'; just S of BD +7 4191 (magnitude 8.8); in S part of B 339</t>
  </si>
  <si>
    <t>Very faint - Broken, dusky region covering more than 1 degree</t>
  </si>
  <si>
    <t>Light nebula - Irregular, curved; diam. 7'; 25' S of BD +11 3994 (magnitude 5.8); a narrow extension for 15' to the N</t>
  </si>
  <si>
    <t>Very faint - Small, round, dusky; diam. 3'; 14' S of BD +45 3291 (magnitude 5.6)</t>
  </si>
  <si>
    <t>Faint - Crooked, dusky lane, 3' wide, 25' long NE and SW; 1/2 degree W of BD +46 3111 (magnitude 6.0)</t>
  </si>
  <si>
    <t>Faint dark nebula surrounding the lovely NGC 6996 cluster - Definite; dusky; 12' N and S; 6' wide</t>
  </si>
  <si>
    <t>Very faint - Dusky; irregular; 1 degree NE and SW</t>
  </si>
  <si>
    <t>Faint - Irregular; dusky; diam. 30; BD +55 2495 (magnitude 7.9) in NW edge; BD +54 2455 (magnitude 9.0) near center</t>
  </si>
  <si>
    <t>Very faint - Narrow; dusky; 20' long NE and SW; BD +56 2527 (magnitude 8.7) about 7' W of SW end.</t>
  </si>
  <si>
    <t>Faint - Elongated; 15' NE and SW; BD +49 3517 (magnitude 9.0) on NE edge</t>
  </si>
  <si>
    <t>Faint - Irregular; dusky; 40' long NE and SW; BD +48 3390 (magnitude 5.5) 7' plus or minus E of SE side</t>
  </si>
  <si>
    <t>Faint - Region of many small dark lanes; diam. 1 1/4 degree</t>
  </si>
  <si>
    <t>Faint - Roundish; dusky; diam. 10'; 12' S of BD +59 2409 (magnitude 6.9); two small stars on N border</t>
  </si>
  <si>
    <t>Small dark nebula near IC1396 - Small; dark; 5' NW and SE; about 5' NW of BD +56 2635 (magnitude 9.5)</t>
  </si>
  <si>
    <t>Faint - Dusky spot, 14' long NE and SW; a row of small stars in it; about 4' SW of BD +58 2340 (magnitude 9.0)</t>
  </si>
  <si>
    <t>Faint - Round; dusky; diam. 5'; about 13' NE of BD +55 2709 (magnitude 7.8)</t>
  </si>
  <si>
    <t>Large and very faint just east of NGC 1333</t>
  </si>
  <si>
    <t>Very faint; elongated SE and NW</t>
  </si>
  <si>
    <t>Very large and faint</t>
  </si>
  <si>
    <t>Next to lovely IC348.  Bright strip of nebulosity in SW side</t>
  </si>
  <si>
    <t>Faint and round</t>
  </si>
  <si>
    <t>Seen through the dust are galaxies 200 mly away. Near blue 5th mag star Eta Persei. Elongated NE and SW</t>
  </si>
  <si>
    <t>Dark nebulosity around the blue reflection nebula Cederblad 30.  The brightest part of B 7</t>
  </si>
  <si>
    <t>Irregularly darker inside with a rather sharp, short, narrow extension toward the S.</t>
  </si>
  <si>
    <t>Faint, large, and indefinite</t>
  </si>
  <si>
    <t>Very faint, indefinite, irregularly round</t>
  </si>
  <si>
    <t>Faint, sharply pointed to the S</t>
  </si>
  <si>
    <t>Very faint, irregularly round</t>
  </si>
  <si>
    <t>Dark nebulosity west of vdB31.</t>
  </si>
  <si>
    <t>Faint, round, indefinite</t>
  </si>
  <si>
    <t xml:space="preserve">Surrounds Cederblad 51. Large dark area with few stars. </t>
  </si>
  <si>
    <t>Faint nebulosity north of Cederblad 30. Extended NE and SW; the E. and darkest part of B 30</t>
  </si>
  <si>
    <t xml:space="preserve">The most recognized dark nebula in the sky, silhouetted by a curtain of red HII signal. </t>
  </si>
  <si>
    <t>Faint, round</t>
  </si>
  <si>
    <t xml:space="preserve">Nice contrast to NGC2245 and NGC2247. - Irregular, semi-vacant region. </t>
  </si>
  <si>
    <t xml:space="preserve">Dark nebulosity northwest of Rho Ophiuchi </t>
  </si>
  <si>
    <t>Faint dark spot east of IC4601, large dark region</t>
  </si>
  <si>
    <t xml:space="preserve">Interesting dark nebulosity in a nice star field - Irregular; sharpest on SE side; CD -40 10662 (mag 9.0) close N. </t>
  </si>
  <si>
    <t>Dark nebulosity in Scorpius - Fairly well defined; 15' W and N of CD -40 11088 (magnitude 8)</t>
  </si>
  <si>
    <t>Small dark nebulosity in bright star field - close SE of and involving CD -33 11668 (magnitude 9.3).</t>
  </si>
  <si>
    <t>Interesting dark nebulosity shape - an irregular square, sharply defined on the east side and diffused on the west.</t>
  </si>
  <si>
    <t xml:space="preserve">Dark nebula just east of B55 - Small; close E of CD -31 13609 (magnitude 9.0). </t>
  </si>
  <si>
    <t xml:space="preserve">The stem of the famous Pipe Nebula. Image with globular clusters NGC 6293 &amp; 6316, plus small orange YSO </t>
  </si>
  <si>
    <t xml:space="preserve">Image with vdB110 - Very black in NW part; brightest of three stars in S part is BD -20 4690 (magnitude 9.4). </t>
  </si>
  <si>
    <t xml:space="preserve">Interesting scalloped dark nebula pattern - BD -21 4598 (magnitude 8.3) on N edge </t>
  </si>
  <si>
    <t>Faint dark lanes just west of globular cluster NGC 6401 - Very small; diffused</t>
  </si>
  <si>
    <t>Faint dark small nebulosity, angular; well defined; 8' N of NGC 6401</t>
  </si>
  <si>
    <t>Small faint dark nebula - definite; diam. 4', N and S; about 5' SE of BD -19 4698 (magnitude 9.5)</t>
  </si>
  <si>
    <t>Faint - Round; diam. 16', with extension 45' S; BD -17 4967 (magnitude 9.1) in center</t>
  </si>
  <si>
    <t>Central dark nebula in M20 - Trifid nebula.</t>
  </si>
  <si>
    <t>Appears very dark because of its position in bright Milky Way field - Diam. 5'; edge of diffused nebulosity</t>
  </si>
  <si>
    <t>Small dark nebula in M8 (Lagoon Nebula) - Extended N and S; 2.7'x0.5';</t>
  </si>
  <si>
    <t>Dark nebula in M8 (Lagoon Nebula) - Very small, diam. 0.5';</t>
  </si>
  <si>
    <t>Adjacent to B101, very faint - Definite; irregular; curved; 16' long NW and SE</t>
  </si>
  <si>
    <t>Small and faint - diam. .5'; close NE of BD -7 4710 (magnitude 8.9)</t>
  </si>
  <si>
    <t>Small and faint - diam. 3'; not black; two narrow diverging lanes extending to the N; some small stars in it</t>
  </si>
  <si>
    <t xml:space="preserve">Very faint </t>
  </si>
  <si>
    <t xml:space="preserve">Dark nebula just south of M11 - Diffused dark region; diam. 18' </t>
  </si>
  <si>
    <t>Faint, just south of M11 - Very small and black. Very narrow, running N and S for 7'; width 1.4'. In a small vacant region.</t>
  </si>
  <si>
    <t>Faint, round; diam. 6'; not sharply defined; a small star on S edge; a similar one on N edge</t>
  </si>
  <si>
    <t>Faint - curved, semi-vacant lane over 3 degrees in length</t>
  </si>
  <si>
    <t>More dusty than dark, with a distinguishing orange color.  10 mag star on SE edge</t>
  </si>
  <si>
    <t>Very faint region; diam. 1 degree</t>
  </si>
  <si>
    <t>Very faint region; N of the N end of B 138; diam. 20'</t>
  </si>
  <si>
    <t>Large dark area northeast of Sh2-101 - 6 x 3 degrees, NE and SW; rather definite at NE end; diffused to the SE</t>
  </si>
  <si>
    <t>Faint and small - diam. 1 degree; about 14' N of BD +55 2529 (magnitude 7.5)</t>
  </si>
  <si>
    <t>Faint - Dark spot; diam. 3'; similar to those in the region of B 159. Some others N and W of this</t>
  </si>
  <si>
    <t>Complex dark nebula structure - Large, irregular; diam. 31' NE and SW</t>
  </si>
  <si>
    <t>Small arc-like dark nebula - 13' N and S; a curve of small stars on the SW end.</t>
  </si>
  <si>
    <t>Small dark structure near IC1396; pointed to the S; two dark streams running from this to the N</t>
  </si>
  <si>
    <t>Dark nebulosity just west of the Double Cluster (NGC869) - Small; diam. 10'</t>
  </si>
  <si>
    <t>Faint dark cloud south of Cederblad 30 - North end of dark lane running SE from B 7</t>
  </si>
  <si>
    <t xml:space="preserve">Winding textured dark lane </t>
  </si>
  <si>
    <t xml:space="preserve">In a lovely field with B213, B217, B218 and a few YSOs </t>
  </si>
  <si>
    <t>Very faint - diam. about 3/4 degree</t>
  </si>
  <si>
    <t>Very faint - Round; indefinite; diam. 10'</t>
  </si>
  <si>
    <t xml:space="preserve">Dark nebulosity streaks in reflection nebula - nebula is close southwest of BD +8 933 (magnitude 6.5). </t>
  </si>
  <si>
    <t>Very very faint  - center of system of indistinct dark lanes</t>
  </si>
  <si>
    <t>Irregular dark nebulosity - diam. 25'</t>
  </si>
  <si>
    <t>Small faint region - Very thin, short, black line, 5' long, 20' wide 25' NW of NGC 6304; small star at NE end</t>
  </si>
  <si>
    <t>Lovely iconic dark dolphin nebula in a bright Milky Way field - Star CD -31 13763 (magnitude 7.7) near northeast end.</t>
  </si>
  <si>
    <t>Irregular shaped dark nebulosity - 50' E and W; BD -28 13101 (magnitude 7.7) near E end.</t>
  </si>
  <si>
    <t>Very faint - Dusky; curved; 2 degrees N and S; 10' plus or minus wide; CD -33 12241 (magnitude 8.7) near N end</t>
  </si>
  <si>
    <t>Faint - Diffused; diam. 15' ; CD -35 12013 (magnitude 7.1) in SW part</t>
  </si>
  <si>
    <t>Faint - Very small; diam. 3' ; extends N faintly for 25' to and beyond CD -36 12060 (magnitude 6.3)</t>
  </si>
  <si>
    <t>Irregular collection of dark nebulosity - broken, dark region; diam. 1 degree</t>
  </si>
  <si>
    <t>Unusual dark nebulosity shape - Irregular, dark region, diam. 50'; full of rich, soft details</t>
  </si>
  <si>
    <t>Dark nebula within M8 (Lagoon Nebula) - Narrow; black; 6'x1'</t>
  </si>
  <si>
    <t>Very faint - dusky lane; 45' long NE and SW; 2' wide</t>
  </si>
  <si>
    <t>Faint dark nebula arc - Small, dark marking; diam. 3'</t>
  </si>
  <si>
    <t>Small and dark -  very black; diam. 6'; in a slightly larger dusky area; BD +7 4151 (magnitude 7.8) near its SW edge</t>
  </si>
  <si>
    <t>Small and faint - dark marking; 4' E and W</t>
  </si>
  <si>
    <t>Dark "hole" in IC1318 nebula complex - less than 1' wide, extending 10' SW from BD +39 4206 (magnitude 8.8)</t>
  </si>
  <si>
    <t>Bird shaped dark nebulosity close to NGC 7000  - Dark; definite; 5' E and W</t>
  </si>
  <si>
    <t>Very faint - Region of narrow dark lanes</t>
  </si>
  <si>
    <t>IC2087</t>
  </si>
  <si>
    <t>IC348</t>
  </si>
  <si>
    <t>vdB13,Vdb16</t>
  </si>
  <si>
    <t>LDN1499</t>
  </si>
  <si>
    <t>Small stellar-like PN</t>
  </si>
  <si>
    <t>Beautiful cluster in the Running Chicken nebula (IC2948)</t>
  </si>
  <si>
    <t>Faint round OIII-dominated PN</t>
  </si>
  <si>
    <t>SOY/i</t>
  </si>
  <si>
    <t>Small oval with texture</t>
  </si>
  <si>
    <t>Ear-shaped, HII-dominated</t>
  </si>
  <si>
    <t>PHN/i</t>
  </si>
  <si>
    <t>Peculiar HII ring shape with some OIII signal</t>
  </si>
  <si>
    <t>Recently discovered large OIII-dominated emission nebula</t>
  </si>
  <si>
    <t>Faint PN with interesting texture, next to bright star</t>
  </si>
  <si>
    <t>Huge Gum Nebula SNR.  Too big for astro cameras</t>
  </si>
  <si>
    <t>Filaments from Puppis A SNR</t>
  </si>
  <si>
    <t>RCW27</t>
  </si>
  <si>
    <t>RCW29</t>
  </si>
  <si>
    <t>RCW19</t>
  </si>
  <si>
    <t>Emission, reflection and dust lane components</t>
  </si>
  <si>
    <t>Gum 3, RCW1</t>
  </si>
  <si>
    <t>Sh2-292,Gum1,RCW2</t>
  </si>
  <si>
    <t>RCW3</t>
  </si>
  <si>
    <t>Sh2-298,RCW5</t>
  </si>
  <si>
    <t>Gum 5,RCW6</t>
  </si>
  <si>
    <t>RCW7</t>
  </si>
  <si>
    <t>LBN1048,RCW8</t>
  </si>
  <si>
    <t>RCW9</t>
  </si>
  <si>
    <t>RCW10</t>
  </si>
  <si>
    <t>RCW11</t>
  </si>
  <si>
    <t>Gum7,RCW12</t>
  </si>
  <si>
    <t>RCW13</t>
  </si>
  <si>
    <t>RCW16</t>
  </si>
  <si>
    <t>RCW32</t>
  </si>
  <si>
    <t>Gum 38,RCW57</t>
  </si>
  <si>
    <t>RCW75</t>
  </si>
  <si>
    <t>RCW86</t>
  </si>
  <si>
    <t>RCW94</t>
  </si>
  <si>
    <t>RCW119</t>
  </si>
  <si>
    <t>RCW121</t>
  </si>
  <si>
    <t>RCW123</t>
  </si>
  <si>
    <t>RCW127</t>
  </si>
  <si>
    <t>RCW130</t>
  </si>
  <si>
    <t>RCW131</t>
  </si>
  <si>
    <t>RCW132</t>
  </si>
  <si>
    <t>RCW133</t>
  </si>
  <si>
    <t>RCW138</t>
  </si>
  <si>
    <t>RCW139</t>
  </si>
  <si>
    <t>RCW140</t>
  </si>
  <si>
    <t>RCW141</t>
  </si>
  <si>
    <t>RCW142</t>
  </si>
  <si>
    <t>RCW144</t>
  </si>
  <si>
    <t>NGC 6514,RCW147</t>
  </si>
  <si>
    <t>Gum 77b,RCW151</t>
  </si>
  <si>
    <t>RCW155</t>
  </si>
  <si>
    <t>RCW60a,IC 2872</t>
  </si>
  <si>
    <t>RCW146</t>
  </si>
  <si>
    <t>Sh2-29,31,32, RCW146</t>
  </si>
  <si>
    <t>RCW153</t>
  </si>
  <si>
    <t>RCW156</t>
  </si>
  <si>
    <t>NGC 6618,RCW160</t>
  </si>
  <si>
    <t>RCW162</t>
  </si>
  <si>
    <t>RCW164</t>
  </si>
  <si>
    <t>IC 4703,RCW165</t>
  </si>
  <si>
    <t>RCW166</t>
  </si>
  <si>
    <t>RCW169</t>
  </si>
  <si>
    <t>RCW171</t>
  </si>
  <si>
    <t>RCW172</t>
  </si>
  <si>
    <t>RCW173</t>
  </si>
  <si>
    <t>RCW174</t>
  </si>
  <si>
    <t>RCW175</t>
  </si>
  <si>
    <t>RCW176</t>
  </si>
  <si>
    <t>RCW179</t>
  </si>
  <si>
    <t>RCW182</t>
  </si>
  <si>
    <t>Gum 16 includes both the Gum Nebula and Vela SNR</t>
  </si>
  <si>
    <t>Includes both the WR14 nebula and portions of the Gum nebula</t>
  </si>
  <si>
    <t xml:space="preserve">Gum 22 is a subset of Gum 23, the brightest part of the nebula just below &amp; left of center.  </t>
  </si>
  <si>
    <t>Fascinating HII emission nebula with dark circular "holes"</t>
  </si>
  <si>
    <t>Brilliant HII region with bright areas and dark dust lanes</t>
  </si>
  <si>
    <t>Bright HII with many stars, one of the best star forming regions in the sky</t>
  </si>
  <si>
    <t>Striking nebula-cluster combination</t>
  </si>
  <si>
    <t>Resplendent object with nebulosity arcs and bright stars in an asymmetric yet pleasing arrangement</t>
  </si>
  <si>
    <t>Gum 34a</t>
  </si>
  <si>
    <t>Gum 34b</t>
  </si>
  <si>
    <t>Filaments that make up part of a shell surrounding NGC 3503</t>
  </si>
  <si>
    <t>Similar to Gum 34a, filaments that make up part of a shell surrounding NGC 3503</t>
  </si>
  <si>
    <t>Asymmetric emission region with arcs and bright stars</t>
  </si>
  <si>
    <t>Similar to Gum 36 but a bit better, a splendid asymmetric emission region with arcs and bright stars</t>
  </si>
  <si>
    <t>Large HII emission region that is the head of the Running Chicken nebula.</t>
  </si>
  <si>
    <t>Seen below Gum 39, this HII region is the lower portion of the Running Chicken object.</t>
  </si>
  <si>
    <t>Forms the feet of the Running Chicken object.</t>
  </si>
  <si>
    <t>Pair of mildly interesting HII regions</t>
  </si>
  <si>
    <t>Several small bright HII regions with nearby bright stars</t>
  </si>
  <si>
    <t>Large HII-dominated bipolar PN</t>
  </si>
  <si>
    <t>Small bright Hii region</t>
  </si>
  <si>
    <t>Gum47</t>
  </si>
  <si>
    <t>Gum 48a</t>
  </si>
  <si>
    <t>Gum 48b</t>
  </si>
  <si>
    <t>Gum 48c</t>
  </si>
  <si>
    <t>Gum 48d</t>
  </si>
  <si>
    <t>Asymmetric emission object with reflection nebula, and dust on southeast half</t>
  </si>
  <si>
    <t>RCW78</t>
  </si>
  <si>
    <t>Faint large HII region</t>
  </si>
  <si>
    <t>RCW79</t>
  </si>
  <si>
    <t>HII ring, brightest on the south side</t>
  </si>
  <si>
    <t>RCW80</t>
  </si>
  <si>
    <t>Faint HII region</t>
  </si>
  <si>
    <t>Bright asymmetric HII region with cluster at center</t>
  </si>
  <si>
    <t>Complex faint large HII region with dust lanes</t>
  </si>
  <si>
    <t>Two bright HII spherical regions and remnants of a 3rd</t>
  </si>
  <si>
    <t>Massive (7 degree wide) region of HII nebulosity</t>
  </si>
  <si>
    <t>Gum 57a</t>
  </si>
  <si>
    <t>Gum 57b</t>
  </si>
  <si>
    <t>Large region of HII nebulosity just west of Gum57b</t>
  </si>
  <si>
    <t>Large region of HII nebulosity just east of Gum57a</t>
  </si>
  <si>
    <t>Large HII region just west of M6</t>
  </si>
  <si>
    <t>Gum 74a</t>
  </si>
  <si>
    <t>Gum 74b</t>
  </si>
  <si>
    <t>Large faint HII region</t>
  </si>
  <si>
    <t>Typical Gum HII region</t>
  </si>
  <si>
    <t>Bipolar HII-dominated PN</t>
  </si>
  <si>
    <t xml:space="preserve">Multipolar PN </t>
  </si>
  <si>
    <t>Small bipolar PN with inner bright torus ring</t>
  </si>
  <si>
    <t>Small asymmetric PN</t>
  </si>
  <si>
    <t>Faint spherical PN with offset progenitor</t>
  </si>
  <si>
    <t>SHY</t>
  </si>
  <si>
    <t>Small bright HII-dominated bipolar PN</t>
  </si>
  <si>
    <t>Sextans A</t>
  </si>
  <si>
    <t>NAME Sex A</t>
  </si>
  <si>
    <t>Square shaped dwarf galaxy with HII regions</t>
  </si>
  <si>
    <t>Striking star stream loop from an elliptical</t>
  </si>
  <si>
    <t>Ring spiral galaxy</t>
  </si>
  <si>
    <t>Barred spiral with bright inner ring and faint outer disk</t>
  </si>
  <si>
    <t>Very dispersed globular cluster</t>
  </si>
  <si>
    <t>Palomar7</t>
  </si>
  <si>
    <t>I-1-40</t>
  </si>
  <si>
    <t>Moderate open cluster, doesn't stand out from background</t>
  </si>
  <si>
    <t>Lenticular with bright inner region</t>
  </si>
  <si>
    <t>Kite shaped asterism in Cassiopeia</t>
  </si>
  <si>
    <t>Faint reflection nebula just north of NGC1579 (Northern Trifid)</t>
  </si>
  <si>
    <t>III-2-20</t>
  </si>
  <si>
    <t>Blue reflection nebula with nice dust lane</t>
  </si>
  <si>
    <t>Pleasing open cluster in Vela</t>
  </si>
  <si>
    <t>S/g</t>
  </si>
  <si>
    <t>Edge-on spiral</t>
  </si>
  <si>
    <t>Striking barred ring galaxy with faint outer disk</t>
  </si>
  <si>
    <t>Group of 8 galaxies led by large elliptical</t>
  </si>
  <si>
    <t>Gum 79,IC4701,RCW157</t>
  </si>
  <si>
    <t>Splendid barred ring galaxy</t>
  </si>
  <si>
    <t>Faint molecular cloud just northwest of the Gecko</t>
  </si>
  <si>
    <t>Very faint ancient planetary nebula, discovered in 1987.</t>
  </si>
  <si>
    <t>Bipolar PN with some disturbance</t>
  </si>
  <si>
    <t>BCN/bi</t>
  </si>
  <si>
    <t>SCN</t>
  </si>
  <si>
    <t>PCY/i</t>
  </si>
  <si>
    <t>ACN/i</t>
  </si>
  <si>
    <t>ACY/i</t>
  </si>
  <si>
    <t>Dim Ha-dominated elliptical ring</t>
  </si>
  <si>
    <t>Ancient, distorted PN, OIII-dominated</t>
  </si>
  <si>
    <t>Supposedly an HII region, but has many PN characteristics</t>
  </si>
  <si>
    <t>OIII-dominated PN with progenitor</t>
  </si>
  <si>
    <t>A half-ring HII-dominated faint PN</t>
  </si>
  <si>
    <t>Faint elliptical PN with HII rim</t>
  </si>
  <si>
    <t>Small HII-dominated PN</t>
  </si>
  <si>
    <t>Dim distant bipolar PN</t>
  </si>
  <si>
    <t>Twisting bipolar HII-dominated PN</t>
  </si>
  <si>
    <t>MRY/c</t>
  </si>
  <si>
    <t>MON/c</t>
  </si>
  <si>
    <t>ERN/o</t>
  </si>
  <si>
    <t>PBN/i</t>
  </si>
  <si>
    <t>Distant balanced PN with odd shape</t>
  </si>
  <si>
    <t>Unusual PN shape, like a tiny Cat's Paw</t>
  </si>
  <si>
    <t>Sh2-115,Sh2-116</t>
  </si>
  <si>
    <t>Nicknamed the Shock Waves, a series of faint SNR arc fronts</t>
  </si>
  <si>
    <t>Faint molecular cloud in Cepheus</t>
  </si>
  <si>
    <t>Mix of dark nebula, bright stars and dense star fields</t>
  </si>
  <si>
    <t>Faint molecular cloud in Camelopardalis</t>
  </si>
  <si>
    <t>Great cloud shapes and some dusty brown color</t>
  </si>
  <si>
    <t>Faint molecular cloud in Eridanus</t>
  </si>
  <si>
    <t>LBN 917</t>
  </si>
  <si>
    <t>Textured molecular cloud adjacent to LBN 906</t>
  </si>
  <si>
    <t>Series of 3 resplendent winding dark nebulae</t>
  </si>
  <si>
    <t>Beautifully complex molecular cloud in Cepheus</t>
  </si>
  <si>
    <t>LDN1400</t>
  </si>
  <si>
    <t>Faint long dark cloud</t>
  </si>
  <si>
    <t>Spherical OII-dominated PN with progenitor</t>
  </si>
  <si>
    <t>Longmore 18</t>
  </si>
  <si>
    <t>Fascinating HII-dominated PN shape</t>
  </si>
  <si>
    <t>PN Lo 18</t>
  </si>
  <si>
    <t>Lo13</t>
  </si>
  <si>
    <t>Lo18</t>
  </si>
  <si>
    <t>Very faint ancient PN, OIII-dominated</t>
  </si>
  <si>
    <t>BOY</t>
  </si>
  <si>
    <t>One of the largest globulars, with am overall shape that is more elliptical than usual, concentrated</t>
  </si>
  <si>
    <t>Typical Messier globular cluster nicknamed the Jellyfish</t>
  </si>
  <si>
    <t>Oblong elliptical galaxy (E5).  Nice pairing with M60</t>
  </si>
  <si>
    <t>Small multipolar PN with HII rim.</t>
  </si>
  <si>
    <t>Small bipolar HII-dominated PN with white torus</t>
  </si>
  <si>
    <t>Multipolar PN with amazing structure</t>
  </si>
  <si>
    <t>Bipolar OIII-dominated PN with torus</t>
  </si>
  <si>
    <t>Small PN with interesting filaments</t>
  </si>
  <si>
    <t>ECY/f</t>
  </si>
  <si>
    <t>EHY</t>
  </si>
  <si>
    <t>Elliptical HII-dominated ring PN</t>
  </si>
  <si>
    <t>Graceful HII-dominated bipolar PN with bright torus</t>
  </si>
  <si>
    <t>BHN</t>
  </si>
  <si>
    <t>Trio of small, colorful interesting galaxy structures</t>
  </si>
  <si>
    <t>The number "3" in the sky</t>
  </si>
  <si>
    <t>Exciting galaxy chain - all 6 galaxies are in a straight line.</t>
  </si>
  <si>
    <t>Beautiful arrangement of 5 galaxies.  One of 2 smallest Hickson groups in overall size.  All galaxies at same distance.</t>
  </si>
  <si>
    <t>Amazing short chain of 5 distant galaxies.</t>
  </si>
  <si>
    <t>Largest group in areal extent, second closest, second brightest, and most beautiful.</t>
  </si>
  <si>
    <t>Only Hickson group with 8 galaxies.  All galaxies at same distance.  Amazing group.  Copeland's Septet.</t>
  </si>
  <si>
    <t>One of the brightest Hickson groups with some of the best color of any Hickson group.</t>
  </si>
  <si>
    <t>One of the closest and best Hicksons, Stephan's Quintet, with spectacular structures and colors.</t>
  </si>
  <si>
    <t>ARP: JETS - Interacting galaxy trio with linear star streams but no jets.</t>
  </si>
  <si>
    <t>Large edge-on galaxy with bright core region</t>
  </si>
  <si>
    <t>Edge-on spiral with slightly warped disk</t>
  </si>
  <si>
    <t>Collisional</t>
  </si>
  <si>
    <t>Possible collisional ring galaxy</t>
  </si>
  <si>
    <t>Faint inner and outer rings</t>
  </si>
  <si>
    <t>Small HII-dominated elliptical PN with progenitor</t>
  </si>
  <si>
    <t>HII-dominated elliptical PN</t>
  </si>
  <si>
    <t>POY/f</t>
  </si>
  <si>
    <t>Burbidge's tiny 5 galaxy chain</t>
  </si>
  <si>
    <t>Peculiar HII-dominated PN</t>
  </si>
  <si>
    <t>OIII-dominated elliptical PN with progenitor</t>
  </si>
  <si>
    <t>Irregular HII region in Scorpius</t>
  </si>
  <si>
    <t>Dim HII region</t>
  </si>
  <si>
    <t>Very faint blue haze, questionable object</t>
  </si>
  <si>
    <t>Very dim HII region</t>
  </si>
  <si>
    <t>Faint boxy HII region</t>
  </si>
  <si>
    <t>Squarish with nice dust lanes. Brightest of 3 adjacent HII regions with Sh2-18 and 19</t>
  </si>
  <si>
    <t>Faint round HII region between Sh2-16 and Sh2-19</t>
  </si>
  <si>
    <t>Large squarish HII region northeast of Sh2-16 and Sh2-18</t>
  </si>
  <si>
    <t>2 small adjacent HII regions</t>
  </si>
  <si>
    <t>Dim HII region directly west of the Lobster Nebula</t>
  </si>
  <si>
    <t>Large HII ring nebula</t>
  </si>
  <si>
    <t>Faint molecular cloud</t>
  </si>
  <si>
    <t>MBM57</t>
  </si>
  <si>
    <t>Gigantic nebula, Includes bow shock around star Zeta Ophiuchi</t>
  </si>
  <si>
    <t>Distance</t>
  </si>
  <si>
    <t>Diameter</t>
  </si>
  <si>
    <t>LBN37</t>
  </si>
  <si>
    <t>Questionable object, may be faint molecular cloud</t>
  </si>
  <si>
    <t>Large faint HII region just south of Sh2-37</t>
  </si>
  <si>
    <t>Sh2-37</t>
  </si>
  <si>
    <t>Faint tiny uninteresting speck of HII</t>
  </si>
  <si>
    <t>Faint tiny speck of HII</t>
  </si>
  <si>
    <t>Small HII region reminiscent of the Trifid Nebula</t>
  </si>
  <si>
    <t>M24</t>
  </si>
  <si>
    <t>Broad HII emission in dense MW star field, part of M24</t>
  </si>
  <si>
    <t>Dark nebula in Sagittarius - Black spot; 15' N and S, 9' E and W, part of M24</t>
  </si>
  <si>
    <t>Faint ancient PN</t>
  </si>
  <si>
    <t>Faint ancient PN, HII-dominated</t>
  </si>
  <si>
    <t>Faint irregular HII region</t>
  </si>
  <si>
    <t>Large circular HII region with prominent dark dust lanes</t>
  </si>
  <si>
    <t>Small irregular HII region with 3 bright foreground stars</t>
  </si>
  <si>
    <t>Faint textured HII region</t>
  </si>
  <si>
    <t>Diffuse HII region</t>
  </si>
  <si>
    <t>Faint HII region with sharp northern border</t>
  </si>
  <si>
    <t>Faint complex HII shape in Scutum</t>
  </si>
  <si>
    <t>Sh2-57</t>
  </si>
  <si>
    <t>Sh2-58</t>
  </si>
  <si>
    <t>Very dim irregular HII spot</t>
  </si>
  <si>
    <t>Next to Sh2-57, small HII region</t>
  </si>
  <si>
    <t>Faint complex HII region</t>
  </si>
  <si>
    <t>Interesting HII region in Scutum</t>
  </si>
  <si>
    <t>Small bright PN-like HII region</t>
  </si>
  <si>
    <t>Tiny bright PN-like HII region</t>
  </si>
  <si>
    <t>Small faint HII region</t>
  </si>
  <si>
    <t>Faint HII nebula with dark lanes</t>
  </si>
  <si>
    <t>Unusually shaped faint HII region in Aquila</t>
  </si>
  <si>
    <t>HII region behind foreground dust cloud</t>
  </si>
  <si>
    <t>Very faint HII region</t>
  </si>
  <si>
    <t>Complex HII area with bright regions, a foreground cluster, and hints of reflection on the right side</t>
  </si>
  <si>
    <t>Very dim HII region in Aquila</t>
  </si>
  <si>
    <t>Tiny HII region surrounding star cluster</t>
  </si>
  <si>
    <t>Faint reflection nebula</t>
  </si>
  <si>
    <t>Faint HII region in Vulpecula</t>
  </si>
  <si>
    <t>Faint SNR filament, same SNR as SH2-91 &amp; 96</t>
  </si>
  <si>
    <t>Faint SNR filament, same SNR as Sh2-91 &amp; 94</t>
  </si>
  <si>
    <t>Dim HII emission</t>
  </si>
  <si>
    <t>Faint squarish HII patch</t>
  </si>
  <si>
    <t>The entire Cygnus HII region - 18 degrees in diameter</t>
  </si>
  <si>
    <t>Very faint HII nebulosity</t>
  </si>
  <si>
    <t>Extremely dim arc of HII</t>
  </si>
  <si>
    <t>Irregular HII region next to, and part of Sh2-114</t>
  </si>
  <si>
    <t>One of largest HII regions, poor definition</t>
  </si>
  <si>
    <t>Tiny HII spot</t>
  </si>
  <si>
    <t>Small HII spot</t>
  </si>
  <si>
    <t>Medium size dim HII region</t>
  </si>
  <si>
    <t>Round HII region with numerous dark dust lanes</t>
  </si>
  <si>
    <t>One of the more distant HII regions</t>
  </si>
  <si>
    <t>Very faint HII region behind a blue star</t>
  </si>
  <si>
    <t>Faint HII region with small brighter arc</t>
  </si>
  <si>
    <t>Faint circular HII region</t>
  </si>
  <si>
    <t>Dim HII region just southeast of the Wizard</t>
  </si>
  <si>
    <t>NGC7380</t>
  </si>
  <si>
    <t>Bright small HII area with several dust lanes</t>
  </si>
  <si>
    <t>Small HII area</t>
  </si>
  <si>
    <t>Faint emission area</t>
  </si>
  <si>
    <t>Faint rectangular HII region in Cassiopeia</t>
  </si>
  <si>
    <t>Faint HII region with small dust lanes</t>
  </si>
  <si>
    <t>Faint larger curving HII area</t>
  </si>
  <si>
    <t>Dim HII region with dust lanes, surrounding Sh2-158 (at bottom right)</t>
  </si>
  <si>
    <t>Small faint squarish HII region</t>
  </si>
  <si>
    <t>Very dim circular HII region</t>
  </si>
  <si>
    <t>Extremely faint circular HII region, just south east of Sh2-168</t>
  </si>
  <si>
    <t>Faint nebulosity around 2 stars</t>
  </si>
  <si>
    <t>Small bright HII region</t>
  </si>
  <si>
    <t>Faint molecular cloud surrounding star HD 5848</t>
  </si>
  <si>
    <t>Extremely faint arc of HII nebulosity</t>
  </si>
  <si>
    <t>Extremely dim HII region</t>
  </si>
  <si>
    <t>Tiny HII region</t>
  </si>
  <si>
    <t>Brightest of 3 faint adjacent circular HII regions</t>
  </si>
  <si>
    <t>Faintest of 3 faint adjacent circular HII regions</t>
  </si>
  <si>
    <t>One of 3 faint adjacent circular HII regions</t>
  </si>
  <si>
    <t>same object as Sh2-197</t>
  </si>
  <si>
    <t>Arc of HII nebulosity</t>
  </si>
  <si>
    <t>Emission region just east of Soul Nebula</t>
  </si>
  <si>
    <t>Bright HII regions with some dust lanes</t>
  </si>
  <si>
    <t>Distant HII region</t>
  </si>
  <si>
    <t>Faint complex region of HII nebulosity</t>
  </si>
  <si>
    <t>Nothing seen - either very faint or false object</t>
  </si>
  <si>
    <t>Faint hairpin shaped HII emission</t>
  </si>
  <si>
    <t>Elliptical HII region with dust lane</t>
  </si>
  <si>
    <t>Very faint molecular cloud</t>
  </si>
  <si>
    <t>Dim circular HII region with slight dust lanes</t>
  </si>
  <si>
    <t>Very faint SNR arc</t>
  </si>
  <si>
    <t>Dim HII emission arc</t>
  </si>
  <si>
    <t>Circular HII region with dust lanes</t>
  </si>
  <si>
    <t>Dim half-circle of HII nebulosity</t>
  </si>
  <si>
    <t>Enormous HII region that includes familiar objects like IC 405 &amp; IC 410</t>
  </si>
  <si>
    <t>Kidney bean shaped faint HII emission, incorrect location in Aladin</t>
  </si>
  <si>
    <t>Faint, massive Fishhook nebula, 25 degrees long</t>
  </si>
  <si>
    <t>Circular faint HII region</t>
  </si>
  <si>
    <t>Faint strip of HII emission</t>
  </si>
  <si>
    <t>Complex faint ring of HII nebula</t>
  </si>
  <si>
    <t>Comet-like swath of HII nebulosity</t>
  </si>
  <si>
    <t>Small faint circular HII spot</t>
  </si>
  <si>
    <t>Faint HII emission arc</t>
  </si>
  <si>
    <t>Beautiful large HII nebula at Orion's Head</t>
  </si>
  <si>
    <t>Poorly defined faint HII nebula</t>
  </si>
  <si>
    <t>Bright small HII region with dust lanes</t>
  </si>
  <si>
    <t>Splendid vista with an emission, dark, and reflection nebulae all present</t>
  </si>
  <si>
    <t>Bright HII nebulosity with dust lanes</t>
  </si>
  <si>
    <t>Tiny HII dot just southeast of Sh2-271</t>
  </si>
  <si>
    <t>Irregular HII region south of the Rosette Nebula</t>
  </si>
  <si>
    <t>Faint complex HII shape</t>
  </si>
  <si>
    <t>Star cluster with HII emission</t>
  </si>
  <si>
    <t>Very faint circular HII patch</t>
  </si>
  <si>
    <t>Faint mushroom-shaped HII region</t>
  </si>
  <si>
    <t>Bright PN-like HII nebulosity</t>
  </si>
  <si>
    <t>Very faint PN region</t>
  </si>
  <si>
    <t>Faint circular HII nebulosity</t>
  </si>
  <si>
    <t>Dim Hii region</t>
  </si>
  <si>
    <t>Complex faint HII nebulosity</t>
  </si>
  <si>
    <t>Rough ring shape of HII nebulosity</t>
  </si>
  <si>
    <t>Faint complex HII nebula, medium size, in Monoceros</t>
  </si>
  <si>
    <t>Elliptical faint HII nebula with small cluster to northwest</t>
  </si>
  <si>
    <t>Gorgeous region of dark, reflection and emission nebula</t>
  </si>
  <si>
    <t>Striking position next to vdB27 - Diam. 5'; close N of BD +28 645 (magnitude 9.1)</t>
  </si>
  <si>
    <t>Showy mix of bright stars, glowing interstellar gas and dark dust clouds.</t>
  </si>
  <si>
    <t>Delicate M97-type PN, strong OIII with voids and a thin rim</t>
  </si>
  <si>
    <t>Bright small open cluster with nice mix of stars</t>
  </si>
  <si>
    <t>Circular with trailing lane - Round; diam. 20'; irreg. extension to W for 1/2 degree</t>
  </si>
  <si>
    <t>Beautifully textured emission nebula with Bok globules</t>
  </si>
  <si>
    <t>Complex nebula texture, ionized by HD74804</t>
  </si>
  <si>
    <t>Interesting mix of ellipticals and spirals, with good detail.</t>
  </si>
  <si>
    <t>EBY/r</t>
  </si>
  <si>
    <t>Cr105</t>
  </si>
  <si>
    <t>II-3-120</t>
  </si>
  <si>
    <t>Old open cluster which looks a bit like a globular</t>
  </si>
  <si>
    <t>Superthin galaxy</t>
  </si>
  <si>
    <t>UGC7576</t>
  </si>
  <si>
    <t>Symmetric grand spiral with slight vv rows</t>
  </si>
  <si>
    <t>Small close blue dwarf galaxy</t>
  </si>
  <si>
    <t>Close small edge-on spiral</t>
  </si>
  <si>
    <t>Looks like collisional galaxy but no confirmation</t>
  </si>
  <si>
    <t>Faint superthin edge-on galaxy</t>
  </si>
  <si>
    <t>Edge-on spiral with bright core</t>
  </si>
  <si>
    <t>Distorted small blue spiral</t>
  </si>
  <si>
    <t>Faint white reflection nebula</t>
  </si>
  <si>
    <t>Faint blue reflection nebula</t>
  </si>
  <si>
    <t>Dim small blue reflection nebula</t>
  </si>
  <si>
    <t>Faint small blue reflection nebula in the glare of the bright Orion star Bellatrix (γ Ori)</t>
  </si>
  <si>
    <t>Tiny faint blue reflection nebula in Taurus</t>
  </si>
  <si>
    <t>Reflection nebula and dust, in vicinity of Orion Nebula</t>
  </si>
  <si>
    <t>Small blue reflection nebula</t>
  </si>
  <si>
    <t>Small blue-white reflection nebula near NGC 1985</t>
  </si>
  <si>
    <t>Sh2-243</t>
  </si>
  <si>
    <t>Nicely textured yellow reflection nebula</t>
  </si>
  <si>
    <t>IC426</t>
  </si>
  <si>
    <t>vdb51</t>
  </si>
  <si>
    <t xml:space="preserve">Parsamian 3 </t>
  </si>
  <si>
    <t>Small blue reflection nebula in close proximity to other lovely Lupus reflection and dark nebulae</t>
  </si>
  <si>
    <t>Brilliant blue reflection nebula near NGC 2170</t>
  </si>
  <si>
    <t>Stunning asymmetric bright blue reflection nebula in Monoceros</t>
  </si>
  <si>
    <t>NGC2182</t>
  </si>
  <si>
    <t>A favorite, larger reflection nebula, with shimmering texture, great color, and an emission component</t>
  </si>
  <si>
    <t>Very faint blue reflection nebula</t>
  </si>
  <si>
    <t>NGC2185</t>
  </si>
  <si>
    <t>NGC1985</t>
  </si>
  <si>
    <t>NGC2170</t>
  </si>
  <si>
    <t>IC448</t>
  </si>
  <si>
    <t>IC447</t>
  </si>
  <si>
    <t>Blue reflection nebula, part of IC447</t>
  </si>
  <si>
    <t>Asymmetric blue reflection nebula</t>
  </si>
  <si>
    <t>Very faint reflection nebula</t>
  </si>
  <si>
    <t>Bright reflection and emission nebula, part of Seagull complex</t>
  </si>
  <si>
    <t>vdB 018</t>
  </si>
  <si>
    <t>Seagull Nebula</t>
  </si>
  <si>
    <t>vdB88</t>
  </si>
  <si>
    <t>LBN1094</t>
  </si>
  <si>
    <t>Blue Horsehead Nebula</t>
  </si>
  <si>
    <t>Pleasing yellow reflection nebula that contrasts nicely with surrounding blue nebula</t>
  </si>
  <si>
    <t>Textured blue reflection nebula surrounding double star</t>
  </si>
  <si>
    <t>Rho Ophiuchi complex</t>
  </si>
  <si>
    <t>Antares</t>
  </si>
  <si>
    <t>Huge orange reflection nebula surrounding Antares</t>
  </si>
  <si>
    <t>Blue reflection nebula embedded in orange Antares glow</t>
  </si>
  <si>
    <t>IC4605</t>
  </si>
  <si>
    <t>IC4604</t>
  </si>
  <si>
    <t>IC4603</t>
  </si>
  <si>
    <t>Barnard62</t>
  </si>
  <si>
    <t>Sh2-34</t>
  </si>
  <si>
    <t>Very small and faint</t>
  </si>
  <si>
    <t>Sh2-44</t>
  </si>
  <si>
    <t>M18</t>
  </si>
  <si>
    <t>Mottled, with different shades of blue, illuminated by the magnitude 5.5 star HD 170740</t>
  </si>
  <si>
    <t>NGC6914</t>
  </si>
  <si>
    <t>Appealing blue reflection nebula in a dark nebula and adjacent to a sea of HII nebulosity</t>
  </si>
  <si>
    <t>Like vdB 131, this reflection nebula lies adjacent to dark and emission nebulae for a lovely composition</t>
  </si>
  <si>
    <t>Nicely textured white reflection nebula</t>
  </si>
  <si>
    <t>IC5076</t>
  </si>
  <si>
    <t>Stunning white ghostly reflection nebula</t>
  </si>
  <si>
    <t>Small blue reflection nebula in the head of the Elephant Trunk</t>
  </si>
  <si>
    <t>Wonderfully textured blue reflection nebula</t>
  </si>
  <si>
    <t>NGC7129</t>
  </si>
  <si>
    <t>LBN535</t>
  </si>
  <si>
    <t>Abell 85 / CTB1</t>
  </si>
  <si>
    <t xml:space="preserve"> NAME Vela</t>
  </si>
  <si>
    <t>Tiny hexagon shaped HII PN</t>
  </si>
  <si>
    <t>Elliptical HII PN with progenitor visible</t>
  </si>
  <si>
    <t>Bipolar HII PN with lobes blown out</t>
  </si>
  <si>
    <t>SBN/t</t>
  </si>
  <si>
    <t>Soap bubble like appearance for this PN with unknown distance</t>
  </si>
  <si>
    <t>EBN</t>
  </si>
  <si>
    <t>Small faint PN of unknown distance</t>
  </si>
  <si>
    <t>Small HII PN ring of unknown distance</t>
  </si>
  <si>
    <t>Very faint HII complex PN of unknown distance</t>
  </si>
  <si>
    <t>SBY/ir</t>
  </si>
  <si>
    <t>Very faint spherical PN of unknown distance</t>
  </si>
  <si>
    <t>Interesting elliptical HII ring PN</t>
  </si>
  <si>
    <t>RCW181</t>
  </si>
  <si>
    <t>Stunning elliptical HII PN</t>
  </si>
  <si>
    <t>127.5-44.77</t>
  </si>
  <si>
    <t>129.4-43.0</t>
  </si>
  <si>
    <t>131-44.9</t>
  </si>
  <si>
    <t>133.6-43.8</t>
  </si>
  <si>
    <t>301+38.17</t>
  </si>
  <si>
    <t>301.33+47.53</t>
  </si>
  <si>
    <t>269.2-30.5</t>
  </si>
  <si>
    <t>59.35+63.07</t>
  </si>
  <si>
    <t>278.75+72.38</t>
  </si>
  <si>
    <t>52+72</t>
  </si>
  <si>
    <t>260.3+15.69</t>
  </si>
  <si>
    <t>103.25-10.12</t>
  </si>
  <si>
    <t>355.18+7.95</t>
  </si>
  <si>
    <t>213.67+18.55</t>
  </si>
  <si>
    <t>188.93-12.03</t>
  </si>
  <si>
    <t>Vela Twin Crescents</t>
  </si>
  <si>
    <t>NGC2659</t>
  </si>
  <si>
    <t>One of the dimmer SNR sections, this includes 2 arcs of OIII nebulosity</t>
  </si>
  <si>
    <t>Showcase object, large SNT with vivid shock fronts</t>
  </si>
  <si>
    <t>Intersecting SNR filaments of OIII and HII</t>
  </si>
  <si>
    <t>Spiraling helical length of twisting OIII filaments.</t>
  </si>
  <si>
    <t>Very faint ancient PN</t>
  </si>
  <si>
    <t>Very faint HII elliptical PN</t>
  </si>
  <si>
    <t>u</t>
  </si>
  <si>
    <t>EON</t>
  </si>
  <si>
    <t>MHN</t>
  </si>
  <si>
    <t>Wonderful multipolar PN in Aquila</t>
  </si>
  <si>
    <t>SBN</t>
  </si>
  <si>
    <t>Very faint circular PN in Sagitta</t>
  </si>
  <si>
    <t>Extragalactic distant faint globular cluster</t>
  </si>
  <si>
    <t>NGC6883</t>
  </si>
  <si>
    <t>Wolf-Rayet OIII nebula with HII emission background</t>
  </si>
  <si>
    <t>Spiral with oddly asymmetric outer disk</t>
  </si>
  <si>
    <t>UGC95</t>
  </si>
  <si>
    <t>BHY/cf</t>
  </si>
  <si>
    <t>Bright small HII bipolar PM with filaments and bright progenitor</t>
  </si>
  <si>
    <t>Faint LSB galaxy with little structure, faint core, &amp; numerous blue star regions</t>
  </si>
  <si>
    <t>NGC 0051 Group</t>
  </si>
  <si>
    <t>Lovely galaxy group somehow left out of the Hickson group collection</t>
  </si>
  <si>
    <t>May be largest non-Messier galaxy in apparent size</t>
  </si>
  <si>
    <t>Dim superthin LSB galaxy</t>
  </si>
  <si>
    <t xml:space="preserve">Amazing edge-on lenticular, part of trio, with X-shaped (peanut) core </t>
  </si>
  <si>
    <t>IV-2-35</t>
  </si>
  <si>
    <t>Open cluster  highlighted by triangle of 8th magnitude stars at center.</t>
  </si>
  <si>
    <t>II-2-20</t>
  </si>
  <si>
    <t>Pentagon shaped open cluster</t>
  </si>
  <si>
    <t>Faint close dwarf elliptical with visible globular clusters</t>
  </si>
  <si>
    <t>Fascinating arm structure, more complex than a grand spiral</t>
  </si>
  <si>
    <t>Barred spiral galaxy with companion and wide arm gap</t>
  </si>
  <si>
    <t>Barred grand spiral with VV rows</t>
  </si>
  <si>
    <t>Large lenticular with bright core</t>
  </si>
  <si>
    <t>Large graceful grand spiral with bright yellow core</t>
  </si>
  <si>
    <t>Typical Magellan galaxy, viewed more towards edge-on</t>
  </si>
  <si>
    <t>Faint dwarf elliptical, a satellite of the Andromeda galaxy</t>
  </si>
  <si>
    <t>II-2-200</t>
  </si>
  <si>
    <t>The first (most northern) Caldwell object</t>
  </si>
  <si>
    <t>Very small open cluster, only 4 light years in diameter</t>
  </si>
  <si>
    <t>Brightest star cloud in Andromeda galaxy</t>
  </si>
  <si>
    <t>Striking barred grand spiral</t>
  </si>
  <si>
    <t>PGC 2720</t>
  </si>
  <si>
    <t>Pair of interacting galaxies with faint star stream bridge</t>
  </si>
  <si>
    <t>PGC2726</t>
  </si>
  <si>
    <t>III-1-30</t>
  </si>
  <si>
    <t>Open cluster (Sailboat) with faint reflection nebula and dark nebula</t>
  </si>
  <si>
    <t>vdb4,LDN1302</t>
  </si>
  <si>
    <t>BOY/o</t>
  </si>
  <si>
    <t>One of the largest non-Messier galaxies in apparent size</t>
  </si>
  <si>
    <t>One of the brightest galaxies in the sky</t>
  </si>
  <si>
    <t>Barred spiral with arm fragments and slightly disturbed disk</t>
  </si>
  <si>
    <t>Symmetric lenticular with numerous background galaxies</t>
  </si>
  <si>
    <t>Large grand spiral with eye-shaped barred core and companion</t>
  </si>
  <si>
    <t>Barred grand design spiral, including a core barlense</t>
  </si>
  <si>
    <t>Lenticular with odd asymmetric disk</t>
  </si>
  <si>
    <t>Spectacular bright emission nebula with elephant trunk projections and Bok globules</t>
  </si>
  <si>
    <t>Loose globular cluster with good color and background galaxy</t>
  </si>
  <si>
    <t>Barred asymmetric grand design spiral with long star curling star stream and companion</t>
  </si>
  <si>
    <t>Elegant spiral with star clouds and HII regions</t>
  </si>
  <si>
    <t>Amazing barred grand spiral, with VV rows and many blue star clouds</t>
  </si>
  <si>
    <t>Pair of galaxies which appear to be connected by faint bridge</t>
  </si>
  <si>
    <t>Colorful galaxy with yellow core, blue star clouds and pink HII regions</t>
  </si>
  <si>
    <t>Fair open cluster which doesn't stand out well from the background star field</t>
  </si>
  <si>
    <t>Nearest lenticular to earth, adjacent to bright mag 2 star Mirach</t>
  </si>
  <si>
    <t>Magellanic galaxy with robust color</t>
  </si>
  <si>
    <t>Nice variety of orange, blue and white stars, only 1 degree from more famous Owl Cluster (NGC 457)</t>
  </si>
  <si>
    <t>Small blue spiral adjacent to photogenic background galaxy</t>
  </si>
  <si>
    <t>I-3-70</t>
  </si>
  <si>
    <t>Wonderful pairing of lenticular, with shells, next to bright spiral galaxy</t>
  </si>
  <si>
    <t>Amazing arm structure - inner ring with single arm that spirals outward for 4 revolutions</t>
  </si>
  <si>
    <t>Faintly barred, with 4 fragmented arms</t>
  </si>
  <si>
    <t>NGC533</t>
  </si>
  <si>
    <t>NGC521</t>
  </si>
  <si>
    <t>Elegant near face-on barred spiral</t>
  </si>
  <si>
    <t>Oval elliptical that is namesake of NGC533 galaxy group</t>
  </si>
  <si>
    <t>Near face-on lenticular that anchors small galaxy group</t>
  </si>
  <si>
    <t>Edge-on spiral with central bulge, surrounded by numerous background galaxies</t>
  </si>
  <si>
    <t>S0/f</t>
  </si>
  <si>
    <t>Hickson10</t>
  </si>
  <si>
    <t>Resplendent barred grand spiral, large in actual size and part of Hickson 10</t>
  </si>
  <si>
    <t>II-2-50</t>
  </si>
  <si>
    <t>One of the nicest non-Messier open star clusters</t>
  </si>
  <si>
    <t>Disturbed disk with disjointed arms, scattered blue star cloud regions and offset core</t>
  </si>
  <si>
    <t>E4 elliptical which anchors group of 6 galaxies</t>
  </si>
  <si>
    <t>Unremarkable E4 elliptical</t>
  </si>
  <si>
    <t>Large HII Region in M33, with the 2nd largest number of young stars of any region in our Local Group</t>
  </si>
  <si>
    <t>Marvelous colorful barred spiral with nuclear core and VV rows</t>
  </si>
  <si>
    <t>Gorgeous disk structure with outer ring</t>
  </si>
  <si>
    <t>Average cluster but stands out well from background, just west of Heart &amp; Soul Nebulae</t>
  </si>
  <si>
    <t>I-3-25</t>
  </si>
  <si>
    <t>vdB6,LDN1332</t>
  </si>
  <si>
    <t>II-3-80</t>
  </si>
  <si>
    <t>Well structured spiral disk with bright core</t>
  </si>
  <si>
    <t>Stunning polar galaxy, located close enough to reveal excellent disk detail</t>
  </si>
  <si>
    <t>III-2-400</t>
  </si>
  <si>
    <t>Bright cluster which stands out well from background stars</t>
  </si>
  <si>
    <t>IC1727</t>
  </si>
  <si>
    <t>Magellanic galaxy that forms a nice pair with IC1727</t>
  </si>
  <si>
    <t>NGC697</t>
  </si>
  <si>
    <t>Disturbed disk, with offset core, warping, and asymmetric dust lanes</t>
  </si>
  <si>
    <t>Seyfert (bright core) galaxy, which amazingly has a foreground bright star superimposed over the bright core.</t>
  </si>
  <si>
    <t>NGC680,691</t>
  </si>
  <si>
    <t>Large barred edge-on spiral with nice dust lane</t>
  </si>
  <si>
    <t>Small, more complex version of the Sombrero galaxy</t>
  </si>
  <si>
    <t>Barred grand design spiral with inner and outer pseudo-rings</t>
  </si>
  <si>
    <t>III-1-90</t>
  </si>
  <si>
    <t>One of the oldest open clusters, with few blue stars</t>
  </si>
  <si>
    <t>Fragmented arm structure with asymmetric disk</t>
  </si>
  <si>
    <t>LSB</t>
  </si>
  <si>
    <t>Low Surface Brightness, diffuse galaxies with a surface brightness that is at least one magnitude lower than the night sky.</t>
  </si>
  <si>
    <t>LSB blue galaxy with numerous star clouds</t>
  </si>
  <si>
    <t>NGC800</t>
  </si>
  <si>
    <t>Seen with NGC800, this barred grand design spiral has an off-center core</t>
  </si>
  <si>
    <t>Large near edge-on spiral</t>
  </si>
  <si>
    <t>Bright yellow core, wide dust lane, bright white region below core, extended star streams, and lack of arm structure</t>
  </si>
  <si>
    <t>The Magellanic galaxy NGC 829 anchors this 5 galaxy group</t>
  </si>
  <si>
    <t>Barred starburst galaxy with star clouds and HII regions</t>
  </si>
  <si>
    <t>NGC869</t>
  </si>
  <si>
    <t>NGC884</t>
  </si>
  <si>
    <t>I-3-200</t>
  </si>
  <si>
    <t>Together with NGC891, a colorful and sparkling pair of open clusters</t>
  </si>
  <si>
    <t>Together with NGC869, a colorful and sparkling pair of open clusters</t>
  </si>
  <si>
    <t xml:space="preserve">LSB barred galaxy that anchors a lovely group of 8 galaxies </t>
  </si>
  <si>
    <t>One of the best and largest (in apparent view) edge-on spirals in the sky</t>
  </si>
  <si>
    <t>Starburst</t>
  </si>
  <si>
    <t>Galaxy with an exceptionally high rate of star formation.</t>
  </si>
  <si>
    <t>Starburst galaxy with many star clouds and HII regions</t>
  </si>
  <si>
    <t>Slightly barred, with beautiful arms and dust lanes, in a wide field of galactic cirrus</t>
  </si>
  <si>
    <t>Collisional ring galaxy with bright outer rim, spoke-like arm fragments, off center bar and tidal plume</t>
  </si>
  <si>
    <t>Large apparent size, nice color, long bar and graceful arms</t>
  </si>
  <si>
    <t>Darth Vader's Galaxy</t>
  </si>
  <si>
    <t>One of many 'TIE starfighter' type of barred ring lenticular galaxies</t>
  </si>
  <si>
    <t>No arm structure and strong dark dust lanes</t>
  </si>
  <si>
    <t>Edge-on with dramatic dark dust lane</t>
  </si>
  <si>
    <t>6 galaxy group anchored by the face-on ringed spiral NGC 974</t>
  </si>
  <si>
    <t>Collisional ring galaxy with interesting core remnants</t>
  </si>
  <si>
    <t>Lovely barred grand design spiral with unusual core and nice dust lanes</t>
  </si>
  <si>
    <t>Slightly offset core, numerous blue star clouds visible</t>
  </si>
  <si>
    <t>III-2-30</t>
  </si>
  <si>
    <t>NGC1052</t>
  </si>
  <si>
    <t>NGC1042</t>
  </si>
  <si>
    <t>Disturbed grand spiral with blue star clouds and pink HII regions.  Nice par with NGC1052</t>
  </si>
  <si>
    <t>E$ elliptical which defers the stage to adjacent NGC1042</t>
  </si>
  <si>
    <t>Special edge-on spiral, with glowing core and textured dust lane</t>
  </si>
  <si>
    <t>Seyfert</t>
  </si>
  <si>
    <t>Quasars</t>
  </si>
  <si>
    <t>Resembling faint, star-like points of light, these are extremely luminous active galactic nuclei (AGN) powered by a supermassive black hole with a huge mass. Powerful quasars have luminosities thousands of times greater than that of galaxies like our own.  Usually billions of light years away.</t>
  </si>
  <si>
    <t>15 galaxy group anchored by NGC 1060, a large elliptical</t>
  </si>
  <si>
    <t>Near face-on spiral with faint arm structure</t>
  </si>
  <si>
    <t>Near face-on spiral with long bar and asymmetric arms, forming a left-handed "Mark of Zorro"</t>
  </si>
  <si>
    <t>Double ring spiral with bright ansae</t>
  </si>
  <si>
    <t>Large spiral with asymmetric disk, core offset to north</t>
  </si>
  <si>
    <t>NGC1090</t>
  </si>
  <si>
    <t>NGC1087</t>
  </si>
  <si>
    <t>Colorful galaxy with yellow core, blue star clouds and pink HII regions, with VV rows</t>
  </si>
  <si>
    <t>Barred flocculent with star clouds and HII regions</t>
  </si>
  <si>
    <t>Barred grand design spiral with arms extending out for 360 degrees</t>
  </si>
  <si>
    <t>Edge-on small blue spiral with no dark dust bands</t>
  </si>
  <si>
    <t>Irregular starburst dwarf galaxy, numerous HII regions</t>
  </si>
  <si>
    <t>NGC1155</t>
  </si>
  <si>
    <t>Pair of small galaxies connected by faint star stream bridge</t>
  </si>
  <si>
    <t>Small Magellanic galaxy</t>
  </si>
  <si>
    <t>Lenticular galaxy with interesting inner ring dust band</t>
  </si>
  <si>
    <t>Barred ring spiral</t>
  </si>
  <si>
    <t>Barred spiral with fascinating asymmetric inner ring</t>
  </si>
  <si>
    <t>LSB spiral, almost face-on, with a disturbed disk structure and VV rows</t>
  </si>
  <si>
    <t>Colorful grand design spiral with disturbance and a companion</t>
  </si>
  <si>
    <t>NGC1174</t>
  </si>
  <si>
    <t>Large near face-on lenticular with other galaxies</t>
  </si>
  <si>
    <t>Lenticular in Eridanus</t>
  </si>
  <si>
    <t>II-2-30</t>
  </si>
  <si>
    <t>Colorful small group of stars</t>
  </si>
  <si>
    <t>Concentrated globular in Horologium</t>
  </si>
  <si>
    <t>Faint near face-on barred spiral with barlens core and faint outer pseudoring</t>
  </si>
  <si>
    <t>Arrowhead open cluster shape</t>
  </si>
  <si>
    <t>III-1-150</t>
  </si>
  <si>
    <t>NGC1269</t>
  </si>
  <si>
    <t>Face-on double barred double ringed spiral</t>
  </si>
  <si>
    <t>Barred grand design spiral with tiny ring around core, long bar, nice color, bright star clouds and curving arms</t>
  </si>
  <si>
    <t>NGC1317</t>
  </si>
  <si>
    <t>Lenticular galaxy with large brown dust lanes snaking through inner disk, adjacent to NGC 1317</t>
  </si>
  <si>
    <t>Bright core surrounded by yellow lens, flocculated disk</t>
  </si>
  <si>
    <t>Lenticular quadruple ring galaxy</t>
  </si>
  <si>
    <t>Edge-on view of odd wedge-shaped barred spiral</t>
  </si>
  <si>
    <t>Amazing grand design spiral with odd void (Cyclops) in outer disk</t>
  </si>
  <si>
    <t>Striking blue barred galaxy with wild arms and VV rows, anchoring a 5 group cluster</t>
  </si>
  <si>
    <t>Standard elliptical (E5) galaxy</t>
  </si>
  <si>
    <t>Good color and size distribution, distinct from background</t>
  </si>
  <si>
    <t>III-3-25</t>
  </si>
  <si>
    <t>Amazing spiral with nuclear ring, strong graceful arms and diffuse outer disk</t>
  </si>
  <si>
    <t>LEDA13005</t>
  </si>
  <si>
    <t>Mildly interesting distant pair</t>
  </si>
  <si>
    <t>Graceful barred grand design spiral with showy arms and a star formation inner ring</t>
  </si>
  <si>
    <t>Grand design spiral with flocculent components</t>
  </si>
  <si>
    <t>NGC1358</t>
  </si>
  <si>
    <t>NGC1355</t>
  </si>
  <si>
    <t>Edge-on lenticular with warp disk and peanut-shaped (X-shaped) core, Paired with NGC 1358</t>
  </si>
  <si>
    <t>Asymmetric lenticular disk with bright rim portions, Nice pairing with NGC 1355</t>
  </si>
  <si>
    <t>Near face-on grand design spiral with distinct dark lanes and bright blue star clouds</t>
  </si>
  <si>
    <t>Classic Magellanic galaxy with white bar, small size, single arm, and blue star clouds</t>
  </si>
  <si>
    <t>Beautifully delicate OIII PN with unique diffuse oblong appearance, small winding dust lanes and bright progenitor</t>
  </si>
  <si>
    <t>Large barred grand design spiral with nuclear core, dramatic dust lanes, bright star clouds and strong arms</t>
  </si>
  <si>
    <t>Dipterous Galaxy</t>
  </si>
  <si>
    <t>NGC1367</t>
  </si>
  <si>
    <t>Fascinating disk structure, with 3 concentric rings and arms that brightly spiral into the core</t>
  </si>
  <si>
    <t>Double ring barlense spiral</t>
  </si>
  <si>
    <t>Barred spiral with bright core, barlense, inner ring, and diffuse outer disk</t>
  </si>
  <si>
    <t>Face-on grand spiral with slightly disturbed disk</t>
  </si>
  <si>
    <t>Inclined lenticular with some disk detail</t>
  </si>
  <si>
    <t>NGC1404</t>
  </si>
  <si>
    <t>NGC1399</t>
  </si>
  <si>
    <t>Elliptical, paired with NGC1404</t>
  </si>
  <si>
    <t>Elliptical, paired with NGC1399</t>
  </si>
  <si>
    <t>NGC1400</t>
  </si>
  <si>
    <t>NGC1407</t>
  </si>
  <si>
    <t>Small lenticular, paired with NGC 1407</t>
  </si>
  <si>
    <t>NGC1416</t>
  </si>
  <si>
    <t>Lenticular with dust lane that skirts the right side of the core and snakes out to outer disk</t>
  </si>
  <si>
    <t>NGC1418</t>
  </si>
  <si>
    <t>Fragmented arm structure with numerous star clouds</t>
  </si>
  <si>
    <t>Large E1 elliptical, paired with NGC1400</t>
  </si>
  <si>
    <t>Asymmetric disk with offset core and unusually long left side arm</t>
  </si>
  <si>
    <t>Diffuse spiral disk with faint arms.  Partially disturbed disk with offset core and pseudo-rings</t>
  </si>
  <si>
    <t>NGC1437</t>
  </si>
  <si>
    <t>Small galaxy with occluded disk and faint spiral structure</t>
  </si>
  <si>
    <t>Stunning barred grand spiral with pseudo-ring</t>
  </si>
  <si>
    <t>Bright open cluster hiding behind foreground star</t>
  </si>
  <si>
    <t>IV-1-25</t>
  </si>
  <si>
    <t>NGC1455</t>
  </si>
  <si>
    <t>Barred lenticular with barlense, ansae and inner ring</t>
  </si>
  <si>
    <t>Group of 8 small galaxies in Eridanus</t>
  </si>
  <si>
    <t>II-1-60</t>
  </si>
  <si>
    <t>Tight circular shape resembles large globular cluster</t>
  </si>
  <si>
    <t>NGC1481</t>
  </si>
  <si>
    <t>Small galaxy group anchored by the lenticular NGC 1497</t>
  </si>
  <si>
    <t>Kemble's Cascade</t>
  </si>
  <si>
    <t xml:space="preserve">Edge-on view of warped Magellanic galaxy </t>
  </si>
  <si>
    <t>Barred spiral with nuclear ring and inner pseudo-ring, faint bridge with NGC1510 companion</t>
  </si>
  <si>
    <t>NGC1510</t>
  </si>
  <si>
    <t>Impressive OIII PN with owl-type interior and bright progenitor</t>
  </si>
  <si>
    <t>2 face-on spiral galaxies, faintly bridge connected, with single NGC designation</t>
  </si>
  <si>
    <t>Triangle shape with vivid colors and bright stars, good distinction from background</t>
  </si>
  <si>
    <t>II-2-70</t>
  </si>
  <si>
    <t>Splendid barred grand design galaxy - long broad bar, complex core, distinct arms with star plume</t>
  </si>
  <si>
    <t>NGC1531</t>
  </si>
  <si>
    <t>Huge grand design spiral with remarkable interaction with NGC 1531 companion</t>
  </si>
  <si>
    <t>OIII bipolar PN with bright scalloped torus</t>
  </si>
  <si>
    <t>Cluster of varied brightnesses highlighted by 3 bright blue, orange and yellow stars near center</t>
  </si>
  <si>
    <t>Molecular cloud with wonderful HH objects and orange reflection nebula at center</t>
  </si>
  <si>
    <t>IC 2062</t>
  </si>
  <si>
    <t>Nearly edge-on faint spiral with blue star clouds</t>
  </si>
  <si>
    <t>UGC3031</t>
  </si>
  <si>
    <t>Superlong 200,000 light year bridge connecting this pair</t>
  </si>
  <si>
    <t xml:space="preserve">Dust lanes silhouetted by bright emission nebula </t>
  </si>
  <si>
    <t>NGC1587,1588</t>
  </si>
  <si>
    <t>Large symmetric inclined spiral with star clouds and arm fragments</t>
  </si>
  <si>
    <t>NGC1618,1625</t>
  </si>
  <si>
    <t>The highlight of a galaxy trio, a huge galaxy with yellow central bulge, inner ring, and 2 graceful sweeping arms</t>
  </si>
  <si>
    <t>Barred grand design with offset core and fragments in the outer disk</t>
  </si>
  <si>
    <t>Barlense with ansae and inner ring</t>
  </si>
  <si>
    <t>Disturbed lenticular with small elliptical companion, anchoring a small galaxy group</t>
  </si>
  <si>
    <t>Colorful mix of stars, roughly circular in pattern</t>
  </si>
  <si>
    <t>True to its nickname, has a bit of a kite shape</t>
  </si>
  <si>
    <t>III-1-40</t>
  </si>
  <si>
    <t>II-2-60</t>
  </si>
  <si>
    <t>Barred spiral with ansae, strong inner ring, 2 long arms and a highly disturbed lower section</t>
  </si>
  <si>
    <t>NGC1758</t>
  </si>
  <si>
    <t>Grand design spiral with incredible arm structure</t>
  </si>
  <si>
    <t>Long bar, central pseudo-ring and wind-blown outer disk</t>
  </si>
  <si>
    <t>Small starburst galaxy - colorful with yellow core, blue star clouds and pink HII regions</t>
  </si>
  <si>
    <t>III-1-300</t>
  </si>
  <si>
    <t>Together with NGC1807, a lovely open cluster pair</t>
  </si>
  <si>
    <t>Together with NGC1817, a lovely open cluster pair.  Many orange supergiants.</t>
  </si>
  <si>
    <t>Glowing core surrounded by disk with interesting dust lanes</t>
  </si>
  <si>
    <t>Concentrated globular cluster</t>
  </si>
  <si>
    <t>Pleasing view, although most colorful stars are not part of the cluster</t>
  </si>
  <si>
    <t>II-2-90</t>
  </si>
  <si>
    <t>Oblong bright cluster with nebula background</t>
  </si>
  <si>
    <t>IC417</t>
  </si>
  <si>
    <t>Vivid nebula surrounding tight open cluster</t>
  </si>
  <si>
    <t>Dim galaxy with interesting structure, including outer rim</t>
  </si>
  <si>
    <t>Barred grand spiral with distinct dust lanes</t>
  </si>
  <si>
    <t>Strong emission nebula with bright stars and dark nebulae</t>
  </si>
  <si>
    <t>Collinder72</t>
  </si>
  <si>
    <t>Bright open cluster next to M42</t>
  </si>
  <si>
    <t>Collinder 73</t>
  </si>
  <si>
    <t>Topmost of 4 DSO objects which define Orion's Sword</t>
  </si>
  <si>
    <t>Cederblad57</t>
  </si>
  <si>
    <t>Small reflection nebula in Auriga</t>
  </si>
  <si>
    <t>Key-hole shaped dark area in front of white reflection nebula</t>
  </si>
  <si>
    <t>Bipolar OIII PN with scalloped torus</t>
  </si>
  <si>
    <t>Bright HII emission nebula, with most source stars hidden, behind a dark and branching dust lane</t>
  </si>
  <si>
    <t xml:space="preserve">Small grand design spiral </t>
  </si>
  <si>
    <t>II-1-40</t>
  </si>
  <si>
    <t>Uniformly bright open cluster behind bright blue foreground star</t>
  </si>
  <si>
    <t>III-3-35</t>
  </si>
  <si>
    <t>Small open cluster with brilliant mix of brightnesses and color</t>
  </si>
  <si>
    <t>vdb66</t>
  </si>
  <si>
    <t>Tremendous multihued reflection nebula adjacent to dark nebula Dobashi 5004</t>
  </si>
  <si>
    <t>Cederblad 62</t>
  </si>
  <si>
    <t>I-3-30</t>
  </si>
  <si>
    <t>Striking "37" open cluster with no nebulosity and vividly colored stars</t>
  </si>
  <si>
    <t>Angel Nebula</t>
  </si>
  <si>
    <t>Large oval emission nebula with interesting dust clouds and star clusters</t>
  </si>
  <si>
    <t>NGC 2183</t>
  </si>
  <si>
    <t>A dim copy of the NGC 2170 nebula</t>
  </si>
  <si>
    <t>Anvil shaped cluster of varying brightness stars</t>
  </si>
  <si>
    <t>III-1-120</t>
  </si>
  <si>
    <t>Odd outer disk - star formation in galaxy rim, and void area in the lower half</t>
  </si>
  <si>
    <t>III-3-80</t>
  </si>
  <si>
    <t>H-shaped cluster of many uniform stars</t>
  </si>
  <si>
    <t xml:space="preserve">X-shaped distant cluster with bright orange star just north </t>
  </si>
  <si>
    <t>IC2163</t>
  </si>
  <si>
    <t>Paired with IC2163 in the background.  Galaxies may be interacting.</t>
  </si>
  <si>
    <t>Rough circular shape of small open cluster stars</t>
  </si>
  <si>
    <t>IV-3-30</t>
  </si>
  <si>
    <t>Barred lenticular ring galaxy with both nuclear and outer rings</t>
  </si>
  <si>
    <t>Irregularly shaped open cluster with several nice bright stars</t>
  </si>
  <si>
    <t>Rosette Nebula, most famous example of Stromgren sphere.  The state DSO of Oklahoma.</t>
  </si>
  <si>
    <t>OIII owl-type PN</t>
  </si>
  <si>
    <t>NGC2244</t>
  </si>
  <si>
    <t>NGC2247</t>
  </si>
  <si>
    <t>NGC2245</t>
  </si>
  <si>
    <t>Blue and white reflection nebula, a lovely pair with NGC 2247.</t>
  </si>
  <si>
    <t>Arrowhead shape of cluster which is not well differentiated</t>
  </si>
  <si>
    <t>The best variable reflection nebula in the sky, with changes seen year to year</t>
  </si>
  <si>
    <t>Showcase cluster + nebula, including Cone Nebula and Fox Fur Nebula</t>
  </si>
  <si>
    <t>Triangle shaped open cluster</t>
  </si>
  <si>
    <t>Stubby arms and an outer disk that has a hexagon shape</t>
  </si>
  <si>
    <t>One of the most interesting small galaxy groups in the sky with interesting galaxy structures</t>
  </si>
  <si>
    <t>Grand design spiral with each arm spiraling out more than 1 revolution</t>
  </si>
  <si>
    <t>Varying colors and brightnesses, in a fairly dust free region of the sky</t>
  </si>
  <si>
    <t>Multihued object includes several reflection nebula, an emission nebula, and a star cluster</t>
  </si>
  <si>
    <t>Indistinct from background</t>
  </si>
  <si>
    <t>IV-3-60</t>
  </si>
  <si>
    <t>Pleasing group, including 3 spirals, which was somehow not included in the Hickson catalogue</t>
  </si>
  <si>
    <t>I-3-80</t>
  </si>
  <si>
    <t>Pleasing arrangement of colorful and multisized stars</t>
  </si>
  <si>
    <t>Unique diamond shaped cluster arrangement</t>
  </si>
  <si>
    <t>II-1-50</t>
  </si>
  <si>
    <t>Seen just southwest of a line of 3 brighter stars</t>
  </si>
  <si>
    <t>Small cometary nebula, with orange color due to orange source star</t>
  </si>
  <si>
    <t>Small cometary nebula, one of the reddish known</t>
  </si>
  <si>
    <t>II-2-120</t>
  </si>
  <si>
    <t>Many stars of this open cluster, but cluster doesn't stand out</t>
  </si>
  <si>
    <t>Magnificent showcase object - the Seagull Nebula</t>
  </si>
  <si>
    <t>Lensing</t>
  </si>
  <si>
    <t>Gravitational lensing is the bending of light from a distant light source by a massive foreground object. The amount of bending is one of the predictions of Albert Einstein's general theory of relativity.  The most visible example of gravitational lensing for us to see is when the light from a galaxy many billions of light years away is bent by a massive foreground galaxy cluster, typically located about half as far away. The lensing usually appears as thin curving arcs of light surrounding the galaxy cluster.</t>
  </si>
  <si>
    <t>Broken Heart Galaxy</t>
  </si>
  <si>
    <t>Cartwheel Galaxy</t>
  </si>
  <si>
    <t>Cocoon Galaxy</t>
  </si>
  <si>
    <t>Comet Galaxy</t>
  </si>
  <si>
    <t>Cigar Galaxy (1 of 2)</t>
  </si>
  <si>
    <t>Cigar Galaxy (2 of 2)</t>
  </si>
  <si>
    <t>Crab Galaxy (1 of 2)</t>
  </si>
  <si>
    <t>Crab Galaxy (2 of 2)</t>
  </si>
  <si>
    <t>Satellite Of Andromeda (1 of 2)</t>
  </si>
  <si>
    <t>Zwickys Triplet (1 of 2)</t>
  </si>
  <si>
    <t>Zwickys Triplet (2 of 2)</t>
  </si>
  <si>
    <t>Antennae  Galaxies</t>
  </si>
  <si>
    <t>Atom For Peace Galaxy</t>
  </si>
  <si>
    <t>Bear Paw Galaxy</t>
  </si>
  <si>
    <t>Black-browed Galaxy</t>
  </si>
  <si>
    <t>Black Eye Galaxy (1 of 2)</t>
  </si>
  <si>
    <t>Black Eye Galaxy (2 of 2)</t>
  </si>
  <si>
    <t>Blade and Pearl Galaxy</t>
  </si>
  <si>
    <t>Bubble Galaxy</t>
  </si>
  <si>
    <t>Crumb Galaxy</t>
  </si>
  <si>
    <t>Croc's Eye Galaxy, Cat's Eye Galaxy</t>
  </si>
  <si>
    <t>Cyclops Galaxy</t>
  </si>
  <si>
    <t>Electric Arc Galaxy</t>
  </si>
  <si>
    <t>Eye of God Galaxy</t>
  </si>
  <si>
    <t>Eye of Sauron Galaxy</t>
  </si>
  <si>
    <t>Eyes Galaxies</t>
  </si>
  <si>
    <t>Fiddlehead Galaxy, Nautilus Galaxy</t>
  </si>
  <si>
    <t>Fireworks Galaxy</t>
  </si>
  <si>
    <t>Flock Galaxy</t>
  </si>
  <si>
    <t>Fried Egg Galaxy</t>
  </si>
  <si>
    <t>Giant Squid Galaxy</t>
  </si>
  <si>
    <t>Grasshopper Galaxy (1 of 2)</t>
  </si>
  <si>
    <t>Grasshopper Galaxy (2 of 2)</t>
  </si>
  <si>
    <t>Hamburger Galaxy</t>
  </si>
  <si>
    <t xml:space="preserve">Helix Galaxy  </t>
  </si>
  <si>
    <t xml:space="preserve">Heron Galaxy  </t>
  </si>
  <si>
    <t xml:space="preserve">Integral Sign Galaxy </t>
  </si>
  <si>
    <t xml:space="preserve">Kidney Bean Galaxy  </t>
  </si>
  <si>
    <t xml:space="preserve">Knitting Needle Galaxy  </t>
  </si>
  <si>
    <t>Lexus Galaxy</t>
  </si>
  <si>
    <t>Little Sombrero Galaxy</t>
  </si>
  <si>
    <t xml:space="preserve">Little Spindle Galaxy  </t>
  </si>
  <si>
    <t xml:space="preserve">Lonely Galaxy, Lost-in-Space Galaxy  </t>
  </si>
  <si>
    <t xml:space="preserve">Long Arm Galaxy  </t>
  </si>
  <si>
    <t>Meat Hook Galaxy, Cobra &amp; Mouse Galaxy</t>
  </si>
  <si>
    <t xml:space="preserve">Mirror Galaxy  </t>
  </si>
  <si>
    <t xml:space="preserve">Needle Galaxy  </t>
  </si>
  <si>
    <t xml:space="preserve">Needle's Eye Galaxy  </t>
  </si>
  <si>
    <t xml:space="preserve">Olive Galaxy  </t>
  </si>
  <si>
    <t xml:space="preserve">Outer Limits Galaxy  </t>
  </si>
  <si>
    <t xml:space="preserve">One Heavy Arm Galaxy  </t>
  </si>
  <si>
    <t>Penguin &amp; Egg Galaxy</t>
  </si>
  <si>
    <t>Pinwheel Galaxy</t>
  </si>
  <si>
    <t xml:space="preserve">Radiant Galaxy, Tiger's Eye Galaxy  </t>
  </si>
  <si>
    <t xml:space="preserve">Rose Galaxy  </t>
  </si>
  <si>
    <t>Sculptor Dwarf Galaxy</t>
  </si>
  <si>
    <t>Sculptor Galaxy, Silver Dollar Galaxy, Silver Coin Galaxy</t>
  </si>
  <si>
    <t xml:space="preserve">Seagull Galaxy  </t>
  </si>
  <si>
    <t>Segner's Wheel Galaxy</t>
  </si>
  <si>
    <t xml:space="preserve">Sextans Ring Galaxy  </t>
  </si>
  <si>
    <t xml:space="preserve">Silver Needle Galaxy  </t>
  </si>
  <si>
    <t xml:space="preserve">Snow Collar Galaxy  </t>
  </si>
  <si>
    <t xml:space="preserve">Sombrero Galaxy  </t>
  </si>
  <si>
    <t xml:space="preserve">Southern Pinwheel Galaxy  </t>
  </si>
  <si>
    <t>Spanish Dancer Galaxy</t>
  </si>
  <si>
    <t>Spindle Galaxy (1 of 3)</t>
  </si>
  <si>
    <t>Spindle Galaxy (2 of 3)</t>
  </si>
  <si>
    <t xml:space="preserve">St. Catherine's Wheel Galaxy  </t>
  </si>
  <si>
    <t xml:space="preserve">String of Pearls Galaxy  </t>
  </si>
  <si>
    <t xml:space="preserve">Sunflower Galaxy  </t>
  </si>
  <si>
    <t xml:space="preserve">Surfboard Galaxy  </t>
  </si>
  <si>
    <t>Tadpole Galaxy (1 of 2)</t>
  </si>
  <si>
    <t xml:space="preserve">Tadpole Galaxy (2 of 2) </t>
  </si>
  <si>
    <t>Taffy Galaxy</t>
  </si>
  <si>
    <t>The Bird Galaxies</t>
  </si>
  <si>
    <t>Triangulum Galaxy</t>
  </si>
  <si>
    <t>Truffle Galaxy</t>
  </si>
  <si>
    <t xml:space="preserve">UFO Galaxy  </t>
  </si>
  <si>
    <t>Umbrella Galaxy</t>
  </si>
  <si>
    <t xml:space="preserve">Whale Galaxy  </t>
  </si>
  <si>
    <t xml:space="preserve">Whirligig Galaxy  </t>
  </si>
  <si>
    <t>Whirlpool Galaxy</t>
  </si>
  <si>
    <t>Toadstool</t>
  </si>
  <si>
    <t>Chaple's Arc Asterism</t>
  </si>
  <si>
    <t>Kemble's Kite Asterism</t>
  </si>
  <si>
    <t>Little Cassiopeia Asterism, Little Queen Asterism</t>
  </si>
  <si>
    <t>Toadstool  Asterism</t>
  </si>
  <si>
    <t>Pakan's 3 Asterism</t>
  </si>
  <si>
    <t>Stargate Asterism</t>
  </si>
  <si>
    <t>Tiny Dipper Asterism</t>
  </si>
  <si>
    <t>Trapezium Asterism</t>
  </si>
  <si>
    <t>Toadstool shape just west of galaxy NGC7025</t>
  </si>
  <si>
    <t>Albino Butterfly Nebula, Kiss Nebula</t>
  </si>
  <si>
    <t>Angelfish Nebula,Orions Head Nebula</t>
  </si>
  <si>
    <t>Anteater Nebula</t>
  </si>
  <si>
    <t>Baby Dumbbell Nebula</t>
  </si>
  <si>
    <t>Baby Eagle Nebula</t>
  </si>
  <si>
    <t>Bat Nebula</t>
  </si>
  <si>
    <t>Bird's Nest Nebula</t>
  </si>
  <si>
    <t>Blackbird Nebula</t>
  </si>
  <si>
    <t>Blue Flash Nebula</t>
  </si>
  <si>
    <t>Blue Horsehead Nebula, Jabbah</t>
  </si>
  <si>
    <t>Blue Racquetball Nebula</t>
  </si>
  <si>
    <t>Blue Snowball Nebula</t>
  </si>
  <si>
    <t>Box Nebula</t>
  </si>
  <si>
    <t>Brontosaurus Nebula</t>
  </si>
  <si>
    <t>California Nebula</t>
  </si>
  <si>
    <t>Butterfly Nebula (1of 3)</t>
  </si>
  <si>
    <t>Butterfly Nebula (3 of 3)</t>
  </si>
  <si>
    <t>Casper's Nebula</t>
  </si>
  <si>
    <t>Cat's Eye Nebula</t>
  </si>
  <si>
    <t>Cat's Paw Nebula</t>
  </si>
  <si>
    <t>Cheerio Nebula</t>
  </si>
  <si>
    <t>Cleopatra's Eye Nebula</t>
  </si>
  <si>
    <t>Cocoon Nebula</t>
  </si>
  <si>
    <t>Coffee Bean Nebula</t>
  </si>
  <si>
    <t>Cosmic Bat Nebula</t>
  </si>
  <si>
    <t>Cosmic Rosebud Nebula</t>
  </si>
  <si>
    <t>Crab Nebula</t>
  </si>
  <si>
    <t>Crescent Nebula</t>
  </si>
  <si>
    <t>Crystal Ball Nebula</t>
  </si>
  <si>
    <t>Dandelion Puff Ball Nebula</t>
  </si>
  <si>
    <t>Dark Checkmark Nebula</t>
  </si>
  <si>
    <t>Dark Wolf Nebula</t>
  </si>
  <si>
    <t>Diamond Ring Nebula (1 of 3)</t>
  </si>
  <si>
    <t>Diamond RIng Nebula (2 of 3)</t>
  </si>
  <si>
    <t>Diamond Ring Nebula (3 of 3)</t>
  </si>
  <si>
    <t>Dolphin Nebula (1 of 2)</t>
  </si>
  <si>
    <t>Dolphin Nebula (2 of 2)</t>
  </si>
  <si>
    <t>Double Bubble Nebula</t>
  </si>
  <si>
    <t>Dragons of Ara Nebula, Rim Nebula</t>
  </si>
  <si>
    <t>Drunken Dragon Nebula</t>
  </si>
  <si>
    <t>Dumbbell Nebula, Apple Core Nebula</t>
  </si>
  <si>
    <t>Eagle Nebula, Starqueen Nebula</t>
  </si>
  <si>
    <t>Eastern Veil Nebula</t>
  </si>
  <si>
    <t>Egg Nebula (1 of 2)</t>
  </si>
  <si>
    <t>Egg Nebula (2 of 2)</t>
  </si>
  <si>
    <t>Elephant Trunk Nebula</t>
  </si>
  <si>
    <t>Embryo Nebula</t>
  </si>
  <si>
    <t>Eye of Horus Nebula</t>
  </si>
  <si>
    <t>Fetus Nebula</t>
  </si>
  <si>
    <t>Fine Ring Nebula</t>
  </si>
  <si>
    <t xml:space="preserve">Firework Nebula </t>
  </si>
  <si>
    <t>Eskimo Nebula, Clownface Nebula, Lion Nebula</t>
  </si>
  <si>
    <t>Fishhead Nebula</t>
  </si>
  <si>
    <t xml:space="preserve">Flame Nebula  </t>
  </si>
  <si>
    <t>Flaming Skull Nebula</t>
  </si>
  <si>
    <t>Flaming Star Nebula</t>
  </si>
  <si>
    <t>Flying Dragon Nebula</t>
  </si>
  <si>
    <t xml:space="preserve">Fossil Footprint Nebula  </t>
  </si>
  <si>
    <t>Foxface Nebula</t>
  </si>
  <si>
    <t>Garlic Nebula</t>
  </si>
  <si>
    <t xml:space="preserve">Gecko Nebula  </t>
  </si>
  <si>
    <t xml:space="preserve">Ghost Nebula  </t>
  </si>
  <si>
    <t xml:space="preserve">Ghost of Jupiter Nebula, CBS Eye Nebula  </t>
  </si>
  <si>
    <t>Gourd Nebula, Dolphin's Head Nebula</t>
  </si>
  <si>
    <t xml:space="preserve">Gyulbudaghian's Nebula  </t>
  </si>
  <si>
    <t>Haast Eagle Nebula, Possum Nebula</t>
  </si>
  <si>
    <t xml:space="preserve">Headphones Nebula  </t>
  </si>
  <si>
    <t>Heart Nebula</t>
  </si>
  <si>
    <t xml:space="preserve">Hermit Crab Nebula  </t>
  </si>
  <si>
    <t xml:space="preserve">Hinds Variable Nebula    </t>
  </si>
  <si>
    <t xml:space="preserve">Holepunch Nebula  </t>
  </si>
  <si>
    <t xml:space="preserve">Horsehead Nebula    </t>
  </si>
  <si>
    <t xml:space="preserve">Hourglass Nebula    </t>
  </si>
  <si>
    <t xml:space="preserve">Hubble's Variable Nebula    </t>
  </si>
  <si>
    <t xml:space="preserve">Human Head Nebula  </t>
  </si>
  <si>
    <t xml:space="preserve">Ink Spot Nebula  </t>
  </si>
  <si>
    <t xml:space="preserve">Iris Nebula    </t>
  </si>
  <si>
    <t xml:space="preserve">Jelly Doughnut Nebula    </t>
  </si>
  <si>
    <t xml:space="preserve">Jellyfish Nebula    </t>
  </si>
  <si>
    <t xml:space="preserve">Kissing Crescents Nebula    </t>
  </si>
  <si>
    <t xml:space="preserve">Lagoon Nebula    </t>
  </si>
  <si>
    <t xml:space="preserve">Lemon Slice Nebula     </t>
  </si>
  <si>
    <t xml:space="preserve">Lion Nebula   </t>
  </si>
  <si>
    <t xml:space="preserve">Little Cocoon Nebula    </t>
  </si>
  <si>
    <t xml:space="preserve">Little Dumbbell Nebula    </t>
  </si>
  <si>
    <t xml:space="preserve">Little Gem Nebula, Box Nebula    </t>
  </si>
  <si>
    <t xml:space="preserve">Little Ghost Nebula     </t>
  </si>
  <si>
    <t xml:space="preserve">Lobster Claw Nebula    </t>
  </si>
  <si>
    <t xml:space="preserve">Lobster Nebula, War and Peace Nebula    </t>
  </si>
  <si>
    <t xml:space="preserve">Loch Ness Nebula    </t>
  </si>
  <si>
    <t xml:space="preserve">Lower's Nebula    </t>
  </si>
  <si>
    <t xml:space="preserve">Lupus 3 Nebula  </t>
  </si>
  <si>
    <t xml:space="preserve">Magic Carpet Nebula    </t>
  </si>
  <si>
    <t xml:space="preserve">Magnificent Seven Nebula  </t>
  </si>
  <si>
    <t xml:space="preserve">Medusa Nebula  </t>
  </si>
  <si>
    <t xml:space="preserve">Mini Dumbbell Nebula    </t>
  </si>
  <si>
    <t xml:space="preserve">Miniature Witch's Head Nebula    </t>
  </si>
  <si>
    <t xml:space="preserve">Moldy Strawberry Nebula    </t>
  </si>
  <si>
    <t xml:space="preserve">Monkey Head Nebula    </t>
  </si>
  <si>
    <t xml:space="preserve">Mushroom Nebula    </t>
  </si>
  <si>
    <t xml:space="preserve">Nest Nebula  </t>
  </si>
  <si>
    <t xml:space="preserve">Nest &amp; Egg Nebula  </t>
  </si>
  <si>
    <t xml:space="preserve">North America Nebula    </t>
  </si>
  <si>
    <t xml:space="preserve">Northern Lagoon Nebula    </t>
  </si>
  <si>
    <t xml:space="preserve">Northern Trifid Nebula    </t>
  </si>
  <si>
    <t xml:space="preserve">Omega Nebula,Swan Nebula,Horseshoe Nebula,Checkmark Nebula  </t>
  </si>
  <si>
    <t xml:space="preserve">Orion Nebula    </t>
  </si>
  <si>
    <t xml:space="preserve">Owl Nebula    </t>
  </si>
  <si>
    <t xml:space="preserve">Oyster Nebula    </t>
  </si>
  <si>
    <t xml:space="preserve">PacMan Nebula    </t>
  </si>
  <si>
    <t xml:space="preserve">Parrot's Head Nebula    </t>
  </si>
  <si>
    <t xml:space="preserve">Peanut Nebula    </t>
  </si>
  <si>
    <t xml:space="preserve">Pelican Nebula    </t>
  </si>
  <si>
    <t xml:space="preserve">Phantom of the Opera Nebula   </t>
  </si>
  <si>
    <t xml:space="preserve">Phantom Streak Nebula  </t>
  </si>
  <si>
    <t xml:space="preserve">Prawn Nebula    </t>
  </si>
  <si>
    <t xml:space="preserve">Propeller Nebula    </t>
  </si>
  <si>
    <t xml:space="preserve">Reaching Hand Nebula    </t>
  </si>
  <si>
    <t xml:space="preserve">Red Spider Nebula   </t>
  </si>
  <si>
    <t xml:space="preserve">Retina Nebula, Box Nebula  </t>
  </si>
  <si>
    <t>Ring Nebula</t>
  </si>
  <si>
    <t xml:space="preserve">Robins Egg Nebula  </t>
  </si>
  <si>
    <t xml:space="preserve">Rosette Nebula  </t>
  </si>
  <si>
    <t xml:space="preserve">Rubber Stamp Nebula, Keyhole Nebula  </t>
  </si>
  <si>
    <t xml:space="preserve">Running Chicken Nebula  </t>
  </si>
  <si>
    <t xml:space="preserve">Running Man Nebula  </t>
  </si>
  <si>
    <t xml:space="preserve">Saturn Nebula  </t>
  </si>
  <si>
    <t xml:space="preserve">Seahorse Nebula  </t>
  </si>
  <si>
    <t>Shadow of the Cross Nebula</t>
  </si>
  <si>
    <t xml:space="preserve">Shark Nebula  </t>
  </si>
  <si>
    <t xml:space="preserve">Skeleton Hand Nebula  </t>
  </si>
  <si>
    <t xml:space="preserve">Skull and Crossbones Nebula  </t>
  </si>
  <si>
    <t xml:space="preserve">Snake Nebula   </t>
  </si>
  <si>
    <t xml:space="preserve">Snowball Nebula  </t>
  </si>
  <si>
    <t>Snowglobe Nebula, Ghost of the Moon Nebula</t>
  </si>
  <si>
    <t xml:space="preserve">Snowman Nebula  </t>
  </si>
  <si>
    <t xml:space="preserve">Soccer Ball Nebula   </t>
  </si>
  <si>
    <t xml:space="preserve">Soul Nebula  </t>
  </si>
  <si>
    <t>South Celestrial Serpant Nebula</t>
  </si>
  <si>
    <t>Southern Ring Nebula</t>
  </si>
  <si>
    <t xml:space="preserve">Spaghetti Nebula   </t>
  </si>
  <si>
    <t xml:space="preserve">Spare Tire Nebula  </t>
  </si>
  <si>
    <t xml:space="preserve">Spider Nebula  </t>
  </si>
  <si>
    <t>Spiral Planetary Nebula</t>
  </si>
  <si>
    <t xml:space="preserve">Spirograph Nebula  </t>
  </si>
  <si>
    <t>Squid,Flying Bat Nebula</t>
  </si>
  <si>
    <t>Statue of Liberty Nebula</t>
  </si>
  <si>
    <t xml:space="preserve">Tadpole Emission Nebula  </t>
  </si>
  <si>
    <t xml:space="preserve">Teapot Nebula  </t>
  </si>
  <si>
    <t>The Blinking Eye Nebula</t>
  </si>
  <si>
    <t xml:space="preserve">Trifid Nebula  </t>
  </si>
  <si>
    <t>Tulip Nebula (1 of 2)</t>
  </si>
  <si>
    <t>Turtle Nebula</t>
  </si>
  <si>
    <t xml:space="preserve">Valentine Rose Nebula  </t>
  </si>
  <si>
    <t xml:space="preserve">White Eyed Pea Nebula </t>
  </si>
  <si>
    <t xml:space="preserve">Witch Head Nebula  </t>
  </si>
  <si>
    <t xml:space="preserve">Wizard Nebula  </t>
  </si>
  <si>
    <t>Wolf's Cave Nebula</t>
  </si>
  <si>
    <t>Angelfish Cluster</t>
  </si>
  <si>
    <t>"37","LE", Shopping Cart Cluster</t>
  </si>
  <si>
    <t>Beehive Cluster, Praesepe, Manger Cluster</t>
  </si>
  <si>
    <t>Black Swan Cluster</t>
  </si>
  <si>
    <t>Blue Straggler Cluster</t>
  </si>
  <si>
    <t>Broken Heart Cluster</t>
  </si>
  <si>
    <t>Butterfly Cluster</t>
  </si>
  <si>
    <t>Captain Hook Cluster</t>
  </si>
  <si>
    <t>Caroline's Rose Cluster</t>
  </si>
  <si>
    <t>Coal Car Cluster</t>
  </si>
  <si>
    <t>Coathanger Cluster</t>
  </si>
  <si>
    <t>Coma Berenices Hair Cluster</t>
  </si>
  <si>
    <t>Cooling Tower Cluster</t>
  </si>
  <si>
    <t xml:space="preserve">Dish Cluster  </t>
  </si>
  <si>
    <t>Dormouse Cluster</t>
  </si>
  <si>
    <t>Eagle Nebula  Cluster</t>
  </si>
  <si>
    <t>ET Cluster, Owl Cluster, Dragonfly Cluster</t>
  </si>
  <si>
    <t>Flying Geese Cluster</t>
  </si>
  <si>
    <t xml:space="preserve">Flying Unicorn Cluster  </t>
  </si>
  <si>
    <t xml:space="preserve">Fox Head Cluster, Octopus Cluster  </t>
  </si>
  <si>
    <t xml:space="preserve">Frigate (Pirate) Bird Cluster  </t>
  </si>
  <si>
    <t>Gem Cluster, Pendant Cluster</t>
  </si>
  <si>
    <t xml:space="preserve">Great Hercules Cluster  </t>
  </si>
  <si>
    <t xml:space="preserve">Great Pegasus Cluster  </t>
  </si>
  <si>
    <t xml:space="preserve">Great Sagittarius Cluster   </t>
  </si>
  <si>
    <t xml:space="preserve">Hagrid's Dragon Cluster  </t>
  </si>
  <si>
    <t>Haute Provence 1 Cluster</t>
  </si>
  <si>
    <t xml:space="preserve">Heart &amp; Dagger Cluster, Wounded Heart Cluster </t>
  </si>
  <si>
    <t>Heart Cluster</t>
  </si>
  <si>
    <t xml:space="preserve">Hercules Globular Cluster  </t>
  </si>
  <si>
    <t>Hole in a Cluster, Smoke Ring Cluster</t>
  </si>
  <si>
    <t xml:space="preserve">Hyades Cluster  </t>
  </si>
  <si>
    <t xml:space="preserve">Inchworm Cluster  </t>
  </si>
  <si>
    <t xml:space="preserve">Intergalactic Wanderer Cluster  </t>
  </si>
  <si>
    <t xml:space="preserve">Jellyfish Cluster  </t>
  </si>
  <si>
    <t xml:space="preserve">Jewel Box Cluster  </t>
  </si>
  <si>
    <t xml:space="preserve">Jolly Roger Cluster  </t>
  </si>
  <si>
    <t xml:space="preserve">King Cobra Cluster  </t>
  </si>
  <si>
    <t xml:space="preserve">Kite Cluster  </t>
  </si>
  <si>
    <t xml:space="preserve">Little Beehive Cluster  </t>
  </si>
  <si>
    <t xml:space="preserve">Loch Ness Cluster  </t>
  </si>
  <si>
    <t xml:space="preserve">Moth Wing Cluster  </t>
  </si>
  <si>
    <t xml:space="preserve">Mothra Cluster  </t>
  </si>
  <si>
    <t>Orion's Head Cluster</t>
  </si>
  <si>
    <t xml:space="preserve">Phantom Cluster  </t>
  </si>
  <si>
    <t>Pincushion Cluster, Black Arrow Cluster</t>
  </si>
  <si>
    <t xml:space="preserve">Pinwheel Cluster  </t>
  </si>
  <si>
    <t xml:space="preserve">Pirate Moon Cluster  </t>
  </si>
  <si>
    <t xml:space="preserve">Queen's Cache Cluster   </t>
  </si>
  <si>
    <t xml:space="preserve">Rose Cluster  </t>
  </si>
  <si>
    <t xml:space="preserve">Salt and Pepper Cluster </t>
  </si>
  <si>
    <t xml:space="preserve">Santa's Sleigh Cluster, Teacup Cluster  </t>
  </si>
  <si>
    <t xml:space="preserve">Scorpion Cluster  </t>
  </si>
  <si>
    <t xml:space="preserve">Shoe-Buckle Cluster  </t>
  </si>
  <si>
    <t xml:space="preserve">Silver Nugget Cluster  </t>
  </si>
  <si>
    <t xml:space="preserve">Snow Globe Cluster, Ghost Globular Cluster  </t>
  </si>
  <si>
    <t>Southern Beehive, Sprinter Cluster</t>
  </si>
  <si>
    <t xml:space="preserve">Southern Butterfly Cluster  </t>
  </si>
  <si>
    <t xml:space="preserve">Specter Cluster  </t>
  </si>
  <si>
    <t>Starfish Cluster (1 of 2)</t>
  </si>
  <si>
    <t>Starfish Cluster (2 of 2), Peacock Cluster</t>
  </si>
  <si>
    <t xml:space="preserve">Stinging Scorpion Cluster </t>
  </si>
  <si>
    <t xml:space="preserve">Stingray Cluster, Little Scorpion Cluster  </t>
  </si>
  <si>
    <t xml:space="preserve">Strong Man Cluster  </t>
  </si>
  <si>
    <t>Summer Beehive Cluster</t>
  </si>
  <si>
    <t xml:space="preserve">Swimming Alligator Cluster, Bruce Lee Cluster  </t>
  </si>
  <si>
    <t xml:space="preserve">Texas Cluster  </t>
  </si>
  <si>
    <t xml:space="preserve">Twinkling Comet Cluster </t>
  </si>
  <si>
    <t xml:space="preserve">Waterfall Cluster </t>
  </si>
  <si>
    <t xml:space="preserve">Webb's Cross Cluster  </t>
  </si>
  <si>
    <t xml:space="preserve">Wild Duck Cluster  </t>
  </si>
  <si>
    <t>Vela Bridge SNR</t>
  </si>
  <si>
    <t xml:space="preserve">Vela Highway &amp; Spur SNR </t>
  </si>
  <si>
    <t>Vela Spiral Flame SNR</t>
  </si>
  <si>
    <t>Vela Twin Crescents &amp; Bypass SNR</t>
  </si>
  <si>
    <t>IC4592, IC4601</t>
  </si>
  <si>
    <t>244.16-19.28</t>
  </si>
  <si>
    <t>Dark nebulosity northeast of IC4592 - Diffused dark spot; small star in it.  The cheek of the Blue Horsehead Nebula.</t>
  </si>
  <si>
    <t>Blue reflection nebula that is the "ear" of the Blue Horsehead Nebula, including vdB 101, 102 &amp; 103</t>
  </si>
  <si>
    <t>Blue reflection nebula that is the "eye" of the Blue Horsehead Nebula</t>
  </si>
  <si>
    <t>Dark nebulosity northeast of IC4601 - Diffused dark spot.   The neck of the Blue Horsehead Nebula.</t>
  </si>
  <si>
    <t>The wings of the showcase Seagull Nebula</t>
  </si>
  <si>
    <t>Emission region that is the Seagull head, ionized by HD 53367.  Nice dust lanes</t>
  </si>
  <si>
    <t>The cluster on the left shoulder of the Seagull Nebula</t>
  </si>
  <si>
    <t>IC467</t>
  </si>
  <si>
    <t>Spider's Web Galaxy</t>
  </si>
  <si>
    <t>Very large spiral with nuclear ring and VV rows</t>
  </si>
  <si>
    <t>Barred grand design spiral with nice color</t>
  </si>
  <si>
    <t>Small FOV which contains 10 NGC and IC galaxies</t>
  </si>
  <si>
    <t>Sparse squarish concentration of stars</t>
  </si>
  <si>
    <t>Butterfly Nebula (2 of 3), Hourglass Nebula</t>
  </si>
  <si>
    <t>Complex bipolar PN with HII rim and OIII center, progenitor is visible</t>
  </si>
  <si>
    <t>IC2179</t>
  </si>
  <si>
    <t>Cluster seen with background nebulosity and foreground bright blue mag 6 star</t>
  </si>
  <si>
    <t>Slight spiral cluster shape, with stars of uniform brightness</t>
  </si>
  <si>
    <t>Edge-on spiral with warped disk</t>
  </si>
  <si>
    <t>Showcase WR nebula which makes for a beautiful image in both HOO and SHO.</t>
  </si>
  <si>
    <t>Sparse rectangular shaped cluster in Gemini</t>
  </si>
  <si>
    <t>Colorful circular cluster in Canis Major</t>
  </si>
  <si>
    <t>Brilliant tight open cluster, highlighted by the brightest star, Tau Canis Majoris</t>
  </si>
  <si>
    <t>NGC2363</t>
  </si>
  <si>
    <t>Pair of Magellanic galaxies</t>
  </si>
  <si>
    <t>Bipolar OIII PN with blown out lobes and a visible progenitor.</t>
  </si>
  <si>
    <t>BHY/f</t>
  </si>
  <si>
    <t>Tremendous detail throughout this bipolar PN with balanced OIII and HII signals.</t>
  </si>
  <si>
    <t>Somewhat like M33.  Many HII regions.  A few of its brightest globular clusters can be captured</t>
  </si>
  <si>
    <t>Very distant globular nicknamed the Intergalactic Wanderer</t>
  </si>
  <si>
    <t>I-2-500</t>
  </si>
  <si>
    <t>Vivid mix of stars in this Gemini jewel.</t>
  </si>
  <si>
    <t>Oval cluster in Puppis</t>
  </si>
  <si>
    <t>III-2-60</t>
  </si>
  <si>
    <t>Sparking mix of brightnesses in a colorful field</t>
  </si>
  <si>
    <t>Brilliant diamond ring look, with ring of stars and one bright star</t>
  </si>
  <si>
    <t>Complex multipolar PN with HII rim and OII center.  No progenitor</t>
  </si>
  <si>
    <t>NGC2477</t>
  </si>
  <si>
    <t>Wonderful mix of color, brightness and shape. Nice pairing contrast with NGC 2477</t>
  </si>
  <si>
    <t>NGC2451</t>
  </si>
  <si>
    <t>So dense it appears to be a globular cluster at first glance</t>
  </si>
  <si>
    <t>PON</t>
  </si>
  <si>
    <t>Peculiar PN, with bright white "S" in center of OIII-dominated PN</t>
  </si>
  <si>
    <t>NGC2453</t>
  </si>
  <si>
    <t>NGC2452</t>
  </si>
  <si>
    <t>I-2-50</t>
  </si>
  <si>
    <t>Excellent brightness variance and non-circular shape</t>
  </si>
  <si>
    <t>IC2209</t>
  </si>
  <si>
    <t>Barred spiral with faint outer disk</t>
  </si>
  <si>
    <t>Well balanced SHO signals, great mix of clusters and nebulae</t>
  </si>
  <si>
    <t>Unimpressive open cluster in Puppis</t>
  </si>
  <si>
    <t>III-1-50</t>
  </si>
  <si>
    <t>Face-on Magellanic galaxy</t>
  </si>
  <si>
    <t>I-2-150</t>
  </si>
  <si>
    <t>Many stars but distance diminishes the visual impact of the cluster</t>
  </si>
  <si>
    <t>Oddly shaped cluster of uniform stars</t>
  </si>
  <si>
    <t>Fan shaped cluster which stand out from background nicely</t>
  </si>
  <si>
    <t>Hexagon disk outline with disturbed arms</t>
  </si>
  <si>
    <t>II-1-100</t>
  </si>
  <si>
    <t>Rough oval shape of cluster which subtly stands out from the background</t>
  </si>
  <si>
    <t>Odd arm structure, numerous star clouds and slight purple tint</t>
  </si>
  <si>
    <t>Lovely barred grand design spiral with bright distinct arms, blue star clouds, and extended star plumes</t>
  </si>
  <si>
    <t>Irregular shape in nice star field, which makes separation from background difficult</t>
  </si>
  <si>
    <t>Beautiful T shaped cluster, with nebulosity</t>
  </si>
  <si>
    <t>Magellanic galaxy with yellow central region, blue outer region, and blue star clusters throughout</t>
  </si>
  <si>
    <t>Group of 4 galaxies at different distances, highlighted by odd edge-on spiral</t>
  </si>
  <si>
    <t>IV-1-20</t>
  </si>
  <si>
    <t>Small open cluster, nice distribution of sizes</t>
  </si>
  <si>
    <t>Collision ring galaxy, one of the harder ones to interpret.</t>
  </si>
  <si>
    <t>Tiny, one of the best polar ring galaxies in the sky.</t>
  </si>
  <si>
    <t>Small, interesting HII region with dramatic dust lanes</t>
  </si>
  <si>
    <t>Small, interesting narrowband object with dust clouds and a dark pillar</t>
  </si>
  <si>
    <t>Faint, nicely textured HII region</t>
  </si>
  <si>
    <t>Small, bright HII region</t>
  </si>
  <si>
    <t>Small, detailed HII patch</t>
  </si>
  <si>
    <t>Colorful galaxy with warped disk and no companions</t>
  </si>
  <si>
    <t>Small, colorful and attractive open cluster</t>
  </si>
  <si>
    <t>Average open cluster color and brightness, unique triangular shape</t>
  </si>
  <si>
    <t>Small galaxy with nice color, star clouds, HII regions, and strange yellow glow</t>
  </si>
  <si>
    <t>Small and dim with incredible multipolar structure</t>
  </si>
  <si>
    <t>The dimmest Messier object and a beautiful grand design spiral</t>
  </si>
  <si>
    <t>Small with nice inner detail, OIII dominated, progenitor seen.</t>
  </si>
  <si>
    <t>Close galaxy, bright in magnitude, and spread out.  HII regions and resolved stars are seen</t>
  </si>
  <si>
    <t>Small, interesting PN with disrupted bright white torus and visible progenitor.</t>
  </si>
  <si>
    <t xml:space="preserve">Slightly barred galaxy with star clouds behind a small and colorful Milky Way cluster. </t>
  </si>
  <si>
    <t>YSO at the source of a dim and beautiful white reflection nebula</t>
  </si>
  <si>
    <t>Interesting structures with no apparent interaction.</t>
  </si>
  <si>
    <t>Galaxies are visually superimposed and do not appear to be interacting.</t>
  </si>
  <si>
    <t>Faint and interesting dark nebula in Scorpius - Dark space between clouds, about 7'x35'</t>
  </si>
  <si>
    <t>Small and fascinating object, highlighted by the 9 galaxy tight "nonet" cluster.</t>
  </si>
  <si>
    <t>Small with good variety of structure</t>
  </si>
  <si>
    <t>Rich and faint distant cluster</t>
  </si>
  <si>
    <t>ARP: SMALL HSB COMP. - Yellow core, HII regions, and star clouds, with no companion</t>
  </si>
  <si>
    <t>ARP: LARGE HSB COMP - Barred grand spiral with 2 strong arms &amp; 2 bright star clouds, with no companion.</t>
  </si>
  <si>
    <t>ARP: LARGE HSB COMP -  Grand design spiral with bright core and star clouds, with no companion.</t>
  </si>
  <si>
    <t>Small and distinct dark nebula - elongated E and W</t>
  </si>
  <si>
    <t>Gum11,RCW20</t>
  </si>
  <si>
    <t>Rose-type bloom of HII emission nebula</t>
  </si>
  <si>
    <t>UGC4414</t>
  </si>
  <si>
    <t>Slightly barred with bright blue clouds, ring-shaped central region, and VV rows</t>
  </si>
  <si>
    <t>Small OIII PN offers significant detail, including unusual inner HII signal</t>
  </si>
  <si>
    <t xml:space="preserve">Flocculent yellow symmetric disk with mottled arms and lack of a central bulge </t>
  </si>
  <si>
    <t>Attractive pairing of blue reflection nebula with dark clouds</t>
  </si>
  <si>
    <t>Arrowhead shape of open cluster with similar brightnesses</t>
  </si>
  <si>
    <t>Barred spiral with barlense core and outer pseudo-ring</t>
  </si>
  <si>
    <t>Unique galaxy with unusual color and 4 bars</t>
  </si>
  <si>
    <t>Multiple concentric ragged dust lanes on the lower right side of the core</t>
  </si>
  <si>
    <t>NGC 2716</t>
  </si>
  <si>
    <t>Nice pairing with NGC2716.  Wonderfully detailed disk structure, especially star formation in the outer rim.</t>
  </si>
  <si>
    <t>Odd inner region, with asymmetric long bar</t>
  </si>
  <si>
    <t>Complex structure with asymmetric barred core and ansae, and star forming regions throughout disk</t>
  </si>
  <si>
    <t>Pencil Nebula, Herschel's Ray Nebula</t>
  </si>
  <si>
    <t>Spiral with distinct arm structure and many arms</t>
  </si>
  <si>
    <t>Disturbed triangle-like structure, with VV rows and star clusters</t>
  </si>
  <si>
    <t>Bright elliptical</t>
  </si>
  <si>
    <t>Barred lenticular with barlense and ansae</t>
  </si>
  <si>
    <t>Amazing collisional ring - rectangular offset core, surrounded by a diffuse disk which contains half of a star cloud ring</t>
  </si>
  <si>
    <t>Medium sized spiral galaxy in Hydra, with diffuse disk</t>
  </si>
  <si>
    <t>Bipolar nebula with HII rim and OIII interior</t>
  </si>
  <si>
    <t>NGC2820, 2814</t>
  </si>
  <si>
    <t>Grand spiral with blue star clouds and many arms</t>
  </si>
  <si>
    <t>Flocculent with different dust lane brightness on left and right disk halves</t>
  </si>
  <si>
    <t>Lenticular with barlense and ansae, as well as inner lens and outer ring</t>
  </si>
  <si>
    <t>Bright central region of this PN, with detail filaments, surrounded by a faint outer ring</t>
  </si>
  <si>
    <t>BBN/f</t>
  </si>
  <si>
    <t>NGC2889</t>
  </si>
  <si>
    <t>Colorful barred spiral galaxy with many pink HII regions, blue star clouds, brown dust lanes and an obscured yellow core.</t>
  </si>
  <si>
    <t>Group of 5 NGC galaxies, highlighted by NGC 2943, a 300,000 ly diameter elliptical</t>
  </si>
  <si>
    <t>Group of 5 galaxies is headed up by NGC 2998, a 300,000 ly diameter elliptical</t>
  </si>
  <si>
    <t>Lenticular with 4 foreground stars superimposed over the outer disk</t>
  </si>
  <si>
    <t>Lenticular near mag 10 bright star</t>
  </si>
  <si>
    <t>Dwarf satellite of M81, a jumbled mess of dust lanes, star clouds and HII regions</t>
  </si>
  <si>
    <t>Lenticular with barlense and ansae</t>
  </si>
  <si>
    <t>Wonderful color and asymmetric 2 arm structure</t>
  </si>
  <si>
    <t>Severely disturbed barred spiral with a blue star cloud, Mrk1236</t>
  </si>
  <si>
    <t>Fantastic edge-on spiral with odd off-axis star plume</t>
  </si>
  <si>
    <t>Tremendously long bar and short stubby arms</t>
  </si>
  <si>
    <t xml:space="preserve">Small nearby disrupted starburst elliptical </t>
  </si>
  <si>
    <t>NGC 0688</t>
  </si>
  <si>
    <t>Attractive barred Milky Way sized grand spiral</t>
  </si>
  <si>
    <t>Oblong elliptical with interesting extended halo brightness pattern</t>
  </si>
  <si>
    <t>Edge-on faint Magellanic blue galaxy</t>
  </si>
  <si>
    <t>Disturbed barred spiral galaxy, with companion</t>
  </si>
  <si>
    <t>Bright edge-on lenticular galaxy</t>
  </si>
  <si>
    <t>Rare case of visual confirmation of counter-rotating inner and outer disks</t>
  </si>
  <si>
    <t>One of the most spectacular PN in the sky, nicknamed the Southern Ring and the Eight-Burst Nebula</t>
  </si>
  <si>
    <t>Eight-burst Nebula, Southern Ring Nebula</t>
  </si>
  <si>
    <t>Splendid Seyfert face-on spiral with blue star clouds and arms which break up and become diffuse in the outer disk</t>
  </si>
  <si>
    <t>Barred spiral with 1 strong arm and other signs of disk disturbance</t>
  </si>
  <si>
    <t>NGC3169</t>
  </si>
  <si>
    <t>NGC3166</t>
  </si>
  <si>
    <t>Bright barred core and unique bright arm of the inner region which wraps around the core.</t>
  </si>
  <si>
    <t>Small bright core, large central bulge and wide dust lanes silhouetted against the core.</t>
  </si>
  <si>
    <t>Small core and bar.  Mottled dust areas and arms which wispfully extend out from center</t>
  </si>
  <si>
    <t>Caldwell1</t>
  </si>
  <si>
    <t>Caldwell</t>
  </si>
  <si>
    <t>Caldwell2</t>
  </si>
  <si>
    <t>Caldwell3</t>
  </si>
  <si>
    <t>Caldwell4</t>
  </si>
  <si>
    <t>Caldwell5</t>
  </si>
  <si>
    <t>Caldwell6</t>
  </si>
  <si>
    <t>Caldwell7</t>
  </si>
  <si>
    <t>Caldwell8</t>
  </si>
  <si>
    <t>Caldwell9</t>
  </si>
  <si>
    <t>Caldwell10</t>
  </si>
  <si>
    <t>Caldwell11</t>
  </si>
  <si>
    <t>Caldwell12</t>
  </si>
  <si>
    <t>Caldwell13</t>
  </si>
  <si>
    <t>Caldwell14</t>
  </si>
  <si>
    <t>Caldwell15</t>
  </si>
  <si>
    <t>Caldwell16</t>
  </si>
  <si>
    <t>Caldwell17</t>
  </si>
  <si>
    <t>Caldwell18</t>
  </si>
  <si>
    <t>Caldwell19</t>
  </si>
  <si>
    <t>Caldwell20</t>
  </si>
  <si>
    <t>Caldwell21</t>
  </si>
  <si>
    <t>Caldwell22</t>
  </si>
  <si>
    <t>Caldwell23</t>
  </si>
  <si>
    <t>NGC 1275,Caldwell24</t>
  </si>
  <si>
    <t>Caldwell25</t>
  </si>
  <si>
    <t>Caldwell26</t>
  </si>
  <si>
    <t>Caldwell27</t>
  </si>
  <si>
    <t>Caldwell28</t>
  </si>
  <si>
    <t>Caldwell29</t>
  </si>
  <si>
    <t>Caldwell30</t>
  </si>
  <si>
    <t>Caldwell31</t>
  </si>
  <si>
    <t>NGC 4631,Caldwell32</t>
  </si>
  <si>
    <t>Caldwell33</t>
  </si>
  <si>
    <t>Caldwell34</t>
  </si>
  <si>
    <t>NGC 4889,Caldwell35</t>
  </si>
  <si>
    <t xml:space="preserve"> Caldwell36</t>
  </si>
  <si>
    <t>Caldwell38</t>
  </si>
  <si>
    <t xml:space="preserve"> Caldwell39</t>
  </si>
  <si>
    <t xml:space="preserve"> Caldwell40</t>
  </si>
  <si>
    <t>Caldwell42</t>
  </si>
  <si>
    <t>Caldwell43</t>
  </si>
  <si>
    <t>Caldwell44</t>
  </si>
  <si>
    <t>Caldwell45</t>
  </si>
  <si>
    <t>Caldwell46</t>
  </si>
  <si>
    <t>Caldwell47</t>
  </si>
  <si>
    <t>Caldwell48</t>
  </si>
  <si>
    <t>Caldwell49</t>
  </si>
  <si>
    <t>Caldwell51</t>
  </si>
  <si>
    <t>NGC 4038, 4039,Caldwell60</t>
  </si>
  <si>
    <t>Caldwell62</t>
  </si>
  <si>
    <t xml:space="preserve"> Caldwell63</t>
  </si>
  <si>
    <t xml:space="preserve"> Caldwell64</t>
  </si>
  <si>
    <t xml:space="preserve"> Caldwell65</t>
  </si>
  <si>
    <t xml:space="preserve"> Caldwell66</t>
  </si>
  <si>
    <t>Arp 77,Caldwell67</t>
  </si>
  <si>
    <t xml:space="preserve"> Caldwell68</t>
  </si>
  <si>
    <t>RCW124,Caldwell69</t>
  </si>
  <si>
    <t>Caldwell70</t>
  </si>
  <si>
    <t>Caldwell71</t>
  </si>
  <si>
    <t>Caldwell72</t>
  </si>
  <si>
    <t>Caldwell73</t>
  </si>
  <si>
    <t>Caldwell74</t>
  </si>
  <si>
    <t>Caldwell75</t>
  </si>
  <si>
    <t>Caldwell76</t>
  </si>
  <si>
    <t>Centaurus A, Arp 153,Caldwell77</t>
  </si>
  <si>
    <t>Caldwell78</t>
  </si>
  <si>
    <t>Caldwell79</t>
  </si>
  <si>
    <t>Caldwell80</t>
  </si>
  <si>
    <t>Caldwell81</t>
  </si>
  <si>
    <t>Caldwell82</t>
  </si>
  <si>
    <t>Caldwell83</t>
  </si>
  <si>
    <t>Caldwell84</t>
  </si>
  <si>
    <t>Caldwell85</t>
  </si>
  <si>
    <t>Caldwell86</t>
  </si>
  <si>
    <t>Caldwell87</t>
  </si>
  <si>
    <t>Caldwell88</t>
  </si>
  <si>
    <t>Caldwell89</t>
  </si>
  <si>
    <t>Caldwell90</t>
  </si>
  <si>
    <t>Caldwell91</t>
  </si>
  <si>
    <t>RCW53,Caldwell92</t>
  </si>
  <si>
    <t>Caldwell93</t>
  </si>
  <si>
    <t>Caldwell94</t>
  </si>
  <si>
    <t>Caldwell95</t>
  </si>
  <si>
    <t>Caldwell96</t>
  </si>
  <si>
    <t>Caldwell97</t>
  </si>
  <si>
    <t>Caldwell98</t>
  </si>
  <si>
    <t>Caldwell99</t>
  </si>
  <si>
    <t>Caldwell100</t>
  </si>
  <si>
    <t>Caldwell101</t>
  </si>
  <si>
    <t>Caldwell102</t>
  </si>
  <si>
    <t>Caldwell103</t>
  </si>
  <si>
    <t>Caldwell104</t>
  </si>
  <si>
    <t>Caldwell105</t>
  </si>
  <si>
    <t>47 Tucana,Caldwell106</t>
  </si>
  <si>
    <t>Caldwell107</t>
  </si>
  <si>
    <t>Caldwell108</t>
  </si>
  <si>
    <t>Caldwell109</t>
  </si>
  <si>
    <t>Arrowhead like core of this concentrated globular cluster</t>
  </si>
  <si>
    <t>Trio of small galaxies in Ursa Major</t>
  </si>
  <si>
    <t>Hazy disk of this unremarkable galaxy</t>
  </si>
  <si>
    <t>I-1-25</t>
  </si>
  <si>
    <t>One of the earliest southern DSOs, predating the Messier list</t>
  </si>
  <si>
    <t>Bright OIII PN, likely bipolar, with visible progenitor</t>
  </si>
  <si>
    <t>Lenticular in Leo Minor with striking dust band across the core</t>
  </si>
  <si>
    <t>Large Seyfert spiral with some disturbance in the outer disk</t>
  </si>
  <si>
    <t>Barred grand spiral with VV rows and HII regions</t>
  </si>
  <si>
    <t>Northern half of Antlia Cluster, the 3rd closest cluster system to earth</t>
  </si>
  <si>
    <t>Lenticular with visible winding dust lanes in the inner region</t>
  </si>
  <si>
    <t>Mottled arms and several visible faint HII regions</t>
  </si>
  <si>
    <t>Barred grand spiral multi-ring galaxy, with long bar and nuclear ring core</t>
  </si>
  <si>
    <t>Long bar and fragmented arms for this Seyfert galaxy</t>
  </si>
  <si>
    <t>Faint extended shell out to 400,000 ly diameter</t>
  </si>
  <si>
    <t xml:space="preserve">Small unbarred core and flocculent inner region.  2 grand design spiral arms in outer region.  Star clouds throughout </t>
  </si>
  <si>
    <t>Slightly barred galaxy with the appearance of many arms, several foreground stars</t>
  </si>
  <si>
    <t>Barred spiral with fragmented arms</t>
  </si>
  <si>
    <t>NGC3358</t>
  </si>
  <si>
    <t>NGC3347</t>
  </si>
  <si>
    <t>Odd asymmetric core.  2 graceful outer spiral arms.  Nice pairing with NGC 3358</t>
  </si>
  <si>
    <t>Slightly barred galaxy with diffuse outer disk and bright inner region.  Nice pairing with NGC3347</t>
  </si>
  <si>
    <t>Fantastic "tornado" galaxy shape, very asymmetric</t>
  </si>
  <si>
    <t>Beautiful barred spiral, with blue star clouds, pink HII regions,  and 2 strong and slightly disturbed arms</t>
  </si>
  <si>
    <t>Symmetric spiral with many VV rows</t>
  </si>
  <si>
    <t>Bright elliptical in Leo</t>
  </si>
  <si>
    <t>Lenticular with few features, part of M105 trio</t>
  </si>
  <si>
    <t>Disturbed spiral, part of M105 trio</t>
  </si>
  <si>
    <t>Small featureless barred lenticular</t>
  </si>
  <si>
    <t>Faint face-on spiral with star clouds and HII regions</t>
  </si>
  <si>
    <t>Large E2 elliptical</t>
  </si>
  <si>
    <t>Older concentrated globular cluster containing 250,000 stars and located in our galaxy's outer halo.</t>
  </si>
  <si>
    <t>PBY</t>
  </si>
  <si>
    <t xml:space="preserve">Small Saturn-like OIII PN with red ansae </t>
  </si>
  <si>
    <t>Spiral with mid-region ring and diffuse, lenticular-like outer disk</t>
  </si>
  <si>
    <t>Toadstool Asterism</t>
  </si>
  <si>
    <t>Cheeseburger Nebula, Burnham's Nebula</t>
  </si>
  <si>
    <t>Excellent multipolar PN with intact lobes and faint progenitor</t>
  </si>
  <si>
    <t>Small young PN with peculiar shape</t>
  </si>
  <si>
    <t>PBN</t>
  </si>
  <si>
    <t>NGC7043</t>
  </si>
  <si>
    <t>Disturbed disk with numerous arm fragments, including VV rows</t>
  </si>
  <si>
    <t>Older yellow open cluster with linear-like patterns of its many stars</t>
  </si>
  <si>
    <t>II-2-300</t>
  </si>
  <si>
    <t>Disk Ghost Nebula, Peek-a-Boo Nebula</t>
  </si>
  <si>
    <t>Bipolar PN, HII rim and OIII interior, with lobe breakout starting and faint progenitor visible</t>
  </si>
  <si>
    <t>Small grand design spiral with bright asymmetric ring/bar</t>
  </si>
  <si>
    <t>Star shaped open cluster in Cygnus</t>
  </si>
  <si>
    <t>Umbrella Cluster</t>
  </si>
  <si>
    <t>Mix of bright blue and yellow stars form a pleasing umbrella shape</t>
  </si>
  <si>
    <t>Long bar with ansae pair.  Pseudo-ring circles the inner region, with VV rows in the outer region</t>
  </si>
  <si>
    <t>Small disturbed disk with 3 arms and several bright star clouds</t>
  </si>
  <si>
    <t>Squarish open cluster with good variety of colorful stars</t>
  </si>
  <si>
    <t>EOY/f</t>
  </si>
  <si>
    <t>OIII PN with filaments and bright blue progenitor</t>
  </si>
  <si>
    <t>Asymmetric disk with VV rows and star clouds</t>
  </si>
  <si>
    <t>vdB144</t>
  </si>
  <si>
    <t>Open cluster with unusual pair of concentrations, with none in the center.  Likely 2 separate smaller clusters</t>
  </si>
  <si>
    <t>Tight colorful open cluster, highlighted by 3 orange supergiants</t>
  </si>
  <si>
    <t>Multi-hued reflection nebula surrounding cluster of 100 stars</t>
  </si>
  <si>
    <t>2 strong arms which extend out for 360 degrees, with VV rows.  Bottom 1/3 of disk is mysteriously faint</t>
  </si>
  <si>
    <t>3 armed galaxy with VV rows</t>
  </si>
  <si>
    <t>Hexagon shaped elliptical PN</t>
  </si>
  <si>
    <t>SHN/h</t>
  </si>
  <si>
    <t>SOY/ho</t>
  </si>
  <si>
    <t>SHY/hi</t>
  </si>
  <si>
    <t>SRY/h</t>
  </si>
  <si>
    <t>ERN/hr</t>
  </si>
  <si>
    <t>SRN/ho</t>
  </si>
  <si>
    <t>SRN/hr</t>
  </si>
  <si>
    <t>ERY/h</t>
  </si>
  <si>
    <t>EHY/hr</t>
  </si>
  <si>
    <t>EHY/hi</t>
  </si>
  <si>
    <t>ERY/hr</t>
  </si>
  <si>
    <t>PHY/h</t>
  </si>
  <si>
    <t>ERN/h</t>
  </si>
  <si>
    <t>II-2-150</t>
  </si>
  <si>
    <t>Open cluster in Cepheus, just southeast of NGC7129</t>
  </si>
  <si>
    <t>6 galaxy group in Pegasus, all spirals including 2 bright barlenses.</t>
  </si>
  <si>
    <t>Large Magellanic galaxy in Piscis Austrinus</t>
  </si>
  <si>
    <t>Small barred grand design spiral with blue star clouds and possible companions</t>
  </si>
  <si>
    <t>Nice mix of stars in interesting wedge shape</t>
  </si>
  <si>
    <t>Disturbed barred grand spiral in Aquila</t>
  </si>
  <si>
    <t>Barred spiral ring galaxy with flocculent outer disk and interesting dust lane on left side of core</t>
  </si>
  <si>
    <t>Edge-on spiral with strong dust lanes that envelop core</t>
  </si>
  <si>
    <t>Barred spiral galaxy with bright inner ring</t>
  </si>
  <si>
    <t>Yellow face-on double ringed lenticular galaxy</t>
  </si>
  <si>
    <t>Two interacting galaxies, bridge connected.  One appears to be a polar ring galaxy</t>
  </si>
  <si>
    <t>Unusual galaxy with both inner and outer blue star formation disks</t>
  </si>
  <si>
    <t>UGC11927</t>
  </si>
  <si>
    <t>LEDA67880</t>
  </si>
  <si>
    <t>Trio of galaxies highlighted by NGC 7228, beautifully symmetric grand spiral</t>
  </si>
  <si>
    <t>NGC7227</t>
  </si>
  <si>
    <t>Bulgeless disk mottled with star clouds. Poor arm definition,. Nice pair with IC5041</t>
  </si>
  <si>
    <t>NGC6927,6930</t>
  </si>
  <si>
    <t>LEDA65281,65293</t>
  </si>
  <si>
    <t>NGC7234</t>
  </si>
  <si>
    <t>Gorgeous mix of colors and star sizes</t>
  </si>
  <si>
    <t>Edge-on spiral with dramatic dust lane and unique bright blue star clouds in front of the core</t>
  </si>
  <si>
    <t xml:space="preserve">Group </t>
  </si>
  <si>
    <t>Mol Cld</t>
  </si>
  <si>
    <t>Star Cld</t>
  </si>
  <si>
    <t>10 galaxy group highlighted by NGC 7242, a huge 220,000 ly diameter elliptical</t>
  </si>
  <si>
    <t>IV-2-40</t>
  </si>
  <si>
    <t>Sparse open cluster.  Surprising that it was selected as a Caldwell object</t>
  </si>
  <si>
    <t>Clearly defined, fragmented arms</t>
  </si>
  <si>
    <t>Starburst Magellanic galaxy with bright blue star clouds</t>
  </si>
  <si>
    <t>Faint barlense across core, with pseudo-ring around it.  Arms extend counterclockwise for 1 revolution with VV rows</t>
  </si>
  <si>
    <t>6 galaxy group highlighted by NGC 7265, a large lenticular with 3 distinct brightness zones</t>
  </si>
  <si>
    <t>Barred spiral with mid-region pseudo-ring and left side of disk disturbed</t>
  </si>
  <si>
    <t>Small face-on Magellanic galaxy</t>
  </si>
  <si>
    <t>Helix Nebula, Eye of God Nebula</t>
  </si>
  <si>
    <t>Triangle shaped open cluster in Lacerta</t>
  </si>
  <si>
    <t>Barred offset core, disturbed disk, dust lanes in top half of disk</t>
  </si>
  <si>
    <t>Unusual arm structure - 3 primary arms and 3 secondary arms</t>
  </si>
  <si>
    <t>Disturbed barred ring spiral, with faint bar, pseudo-ring around inner region, and star clouds throughout</t>
  </si>
  <si>
    <t xml:space="preserve">Spiral </t>
  </si>
  <si>
    <t>NGC7339</t>
  </si>
  <si>
    <t>NGC7332</t>
  </si>
  <si>
    <t>Bright edge-on galaxy with peanut shaped core (barlense).  No dust lanes.  Nice pairing with NGC7339</t>
  </si>
  <si>
    <t>Bright white ring surrounds core, with fascinating dust lanes.  Nice pairing with NGC 7332</t>
  </si>
  <si>
    <t>Distant group of 6 galaxies in Pegasus</t>
  </si>
  <si>
    <t>Similar to NGC 6891, this OIII PN has dim white progenitor, bright elliptical inner football shell, and circular outer shell.</t>
  </si>
  <si>
    <t>IC 5237</t>
  </si>
  <si>
    <t>Faint edge-on galaxy with little definition</t>
  </si>
  <si>
    <t>Lenticular with faint star streams</t>
  </si>
  <si>
    <t>Group of 8 galaxies anchored by NGC 7385, a large 225,000 ly diameter elliptical</t>
  </si>
  <si>
    <t>Collinder453</t>
  </si>
  <si>
    <t>One of the highest numbers of red supergiants (5) of any open cluster</t>
  </si>
  <si>
    <t>Barred double ring galaxy</t>
  </si>
  <si>
    <t>6 galaxy group anchored by NGC 7436, a large elliptical.</t>
  </si>
  <si>
    <t>Chaotic LSB face-on spiral with 2 primary arms, many blue star clouds, HII regions, and arm fragments</t>
  </si>
  <si>
    <t>Lenticular with some extragalactic globular clusters faintly visible</t>
  </si>
  <si>
    <t>Barred grand spiral with distorted arms.  Part of a pleasing trio</t>
  </si>
  <si>
    <t>Asymmetric barred spiral with amazing arm structure, including star clouds, dust lanes, and VV rows</t>
  </si>
  <si>
    <t>Snake Galaxy, Propeller Galaxy, Superman Galaxy</t>
  </si>
  <si>
    <t>IC5285</t>
  </si>
  <si>
    <t>Spiral with chaotic arm structure and VV rows.  Nice pairing with IC5285</t>
  </si>
  <si>
    <t>Large face-on grand design galaxy with VV rows and possible companion</t>
  </si>
  <si>
    <t>With the sparest concentration rating of XII, this looks more like an open cluster than the globular that it is</t>
  </si>
  <si>
    <t>Pegasus II</t>
  </si>
  <si>
    <t>Appealing wedge-shaped open cluster with variety of colors and sizes</t>
  </si>
  <si>
    <t>Lovely pair, with 2 spirals that have good color and differences in structure</t>
  </si>
  <si>
    <t>Small group of 4 galaxies, anchored by the large elliptical NGC 7562</t>
  </si>
  <si>
    <t>NGC 1060 Cluster</t>
  </si>
  <si>
    <t>NGC 7499 Cluster</t>
  </si>
  <si>
    <t>IC 1370 Chain</t>
  </si>
  <si>
    <t>IC 1168 Group</t>
  </si>
  <si>
    <t>IC 4329 Group</t>
  </si>
  <si>
    <t>IC 4566 Group</t>
  </si>
  <si>
    <t>NGC 0829 Group</t>
  </si>
  <si>
    <t>NGC 0974 Group</t>
  </si>
  <si>
    <t>NGC 1453 Group</t>
  </si>
  <si>
    <t>NGC 1497 Group</t>
  </si>
  <si>
    <t>NGC 1721 Group</t>
  </si>
  <si>
    <t>NGC 2274 Group</t>
  </si>
  <si>
    <t>NGC 2290 Group</t>
  </si>
  <si>
    <t>NGC 2340 Group</t>
  </si>
  <si>
    <t>NGC 2560 Group</t>
  </si>
  <si>
    <t>NGC 2684 Group</t>
  </si>
  <si>
    <t>NGC 2805 Group</t>
  </si>
  <si>
    <t>NGC 2943 Group</t>
  </si>
  <si>
    <t>NGC 3269 Group</t>
  </si>
  <si>
    <t>NGC 3721 Group</t>
  </si>
  <si>
    <t>NGC 5280 Group</t>
  </si>
  <si>
    <t>NGC 5423 Group</t>
  </si>
  <si>
    <t>NGC 5599 Group</t>
  </si>
  <si>
    <t>NGC 5689 Group</t>
  </si>
  <si>
    <t>NGC 5945 Group</t>
  </si>
  <si>
    <t>NGC 6463 Group</t>
  </si>
  <si>
    <t>NGC 6473 Group</t>
  </si>
  <si>
    <t>NGC 6577 Group</t>
  </si>
  <si>
    <t>NGC 6845 Group</t>
  </si>
  <si>
    <t>NGC 7147 Group</t>
  </si>
  <si>
    <t>NGC 7242 Group</t>
  </si>
  <si>
    <t>NGC 7265 Group</t>
  </si>
  <si>
    <t>NGC 7342 Group</t>
  </si>
  <si>
    <t>NGC 7385 Group</t>
  </si>
  <si>
    <t>NGC 7436 Group</t>
  </si>
  <si>
    <t>NGC 7562 Group</t>
  </si>
  <si>
    <t>NGC 7567 Group</t>
  </si>
  <si>
    <t>NGC 7594 Group</t>
  </si>
  <si>
    <t>NGC 7782 Group</t>
  </si>
  <si>
    <t xml:space="preserve">A true cluster - the 6 galaxies are all at approximately the same distance. </t>
  </si>
  <si>
    <t>All 5 galaxies are ellipticals and at same distance.</t>
  </si>
  <si>
    <t>All 5 galaxies are spirals.  One of 2 Hickson groups with 5 spirals.  All galaxies at same distance.</t>
  </si>
  <si>
    <t>All 5 galaxies at same distance. None of these 5 galaxies appear to be elliptical, which would be unusual.</t>
  </si>
  <si>
    <t>All 4 galaxies at same distance.</t>
  </si>
  <si>
    <t>All 4 galaxies are spirals.</t>
  </si>
  <si>
    <t>All 4 galaxies are spirals and at the same distance.</t>
  </si>
  <si>
    <t>All 4 galaxies at same distance, 7 in total, but only 4 meet the Hickson criteria to be in the group</t>
  </si>
  <si>
    <t>All 4galaxies at same distance.  Warped disks suggest interaction.</t>
  </si>
  <si>
    <t>All 5 galaxies at same distance.</t>
  </si>
  <si>
    <t>All 4 galaxies are spirals and are at same distance.  All 4 galaxies show signs of disturbance.</t>
  </si>
  <si>
    <t>All 4 galaxies at same distance.  Tied for having the second most galaxies (7) of any Hickson group.</t>
  </si>
  <si>
    <t>All 4 galaxies at same distance.  Some signs of possible interaction.</t>
  </si>
  <si>
    <t>All 6 galaxies at same distance.</t>
  </si>
  <si>
    <t>All 4 galaxies are spirals.  a is a beautiful double ring galaxy.</t>
  </si>
  <si>
    <t>All 5 galaxies at same distance. View also includes 2 nearby bright blue star pairs.</t>
  </si>
  <si>
    <t>All 4 galaxies are ellipticals. All galaxies at same distance.  2nd dimmest Hickson "a" galaxy at 15.1 mag.</t>
  </si>
  <si>
    <t>All 4 galaxies at same distance.  One of the brightest Hickson a galaxies at mag 10.9.</t>
  </si>
  <si>
    <t>All 5 galaxies at same distance.  Some disturbance seen.</t>
  </si>
  <si>
    <t>All 4 galaxies at same distance - 1 bly.  'a' is the largest Hickson galaxy in actual size at 290,000 ly diameter.</t>
  </si>
  <si>
    <t>All 4 galaxies are ellipticals and are at same distance. b and c are interacting.</t>
  </si>
  <si>
    <t>All 4 galaxies at same distance.  Small size and a beautiful group.</t>
  </si>
  <si>
    <t>All 4 galaxies are spirals.  a is a beautiful mag 14 double ring barred galaxy.</t>
  </si>
  <si>
    <t>All 4 galaxies at same distance.  Not an interesting group.</t>
  </si>
  <si>
    <t>All 5 galaxies are ellipticals and at same distance, with some interaction seen.</t>
  </si>
  <si>
    <t>All 4 galaxies at same distance.  Galaxy a appears to be 2 objects, while b is a nice edge-on spiral.</t>
  </si>
  <si>
    <t>All 4 galaxies are ellipticals and are at the same distance.  A dim and distant group.</t>
  </si>
  <si>
    <t>All 5 galaxies are ellipticals and are at the same distance.  Not an inspiring group.</t>
  </si>
  <si>
    <t>All 6 galaxies at same distance.  A tight arrangement but no disturbance seen.</t>
  </si>
  <si>
    <t>All 5 galaxies at same distance.  Tied for having the second most galaxies (7) of any Hickson group.</t>
  </si>
  <si>
    <t>All 4 galaxies are spirals.  Galaxy a is barred with a graceful pseudo-ring.</t>
  </si>
  <si>
    <t>All 4 galaxies are spirals and are at the same distance. Signs of disturbance in 3 of 4 galaxies.</t>
  </si>
  <si>
    <t>All 6 galaxies at same distance.  Interesting tiny object seen near galaxy a.  Furthest north Hickson.</t>
  </si>
  <si>
    <t>All 4 galaxies are ellipticals and are at the same distance.</t>
  </si>
  <si>
    <t>All 4 galaxies are ellipticals and at the same distance.  Interesting triangular arrangement.</t>
  </si>
  <si>
    <t>All 4 galaxies are spirals and are at the same distance.  All of the disks are slight asymmetric and possibly interacting.</t>
  </si>
  <si>
    <t>All 4 galaxies are spirals and all are at the same distance.</t>
  </si>
  <si>
    <t>All 5 galaxies at same distance.  Many galaxies seen in the background.</t>
  </si>
  <si>
    <t>All 4 galaxies at same distance.  Galaxies b and c have outer rim pseudo-rings.</t>
  </si>
  <si>
    <t>All 4 galaxies are spirals and are at the same distance.  Galaxy b shows some disturbance.</t>
  </si>
  <si>
    <t>5 galaxy group anchored by the only NGC object, NGC 7567.  The other 4 galaxies include mergers, rings &amp; grand spirals.</t>
  </si>
  <si>
    <t>Merger with one coalesced core and multiple tails, similar to NGC6240</t>
  </si>
  <si>
    <t>IC 2375 Trio</t>
  </si>
  <si>
    <t>Mrk 0331 Trio</t>
  </si>
  <si>
    <t>NGC 0027 Group</t>
  </si>
  <si>
    <t>4 spirals, all with interesting structure, highlighted by huge UGC95</t>
  </si>
  <si>
    <t>NGC 3205 Trio</t>
  </si>
  <si>
    <t>UGC 12525 Trio</t>
  </si>
  <si>
    <t>NGC 6350 Trio</t>
  </si>
  <si>
    <t>NGC 5153 Trio</t>
  </si>
  <si>
    <t>IC 1261 Pair</t>
  </si>
  <si>
    <t>IC 1464 Pair</t>
  </si>
  <si>
    <t>IC 1510 Pair</t>
  </si>
  <si>
    <t>NGC 1346 Pair</t>
  </si>
  <si>
    <t>NGC 2207 Pair</t>
  </si>
  <si>
    <t>NGC 3607 Pair</t>
  </si>
  <si>
    <t>NGC 5638 Pair</t>
  </si>
  <si>
    <t>NGC 7541 Pair</t>
  </si>
  <si>
    <t>PGC 0046461 Pair</t>
  </si>
  <si>
    <t>PGC 2076843 Pair</t>
  </si>
  <si>
    <t>UGC 04133 Pair</t>
  </si>
  <si>
    <t>UGC 05609 Pair</t>
  </si>
  <si>
    <t>Mid-region ring surrounds core and fragmented arms extend out chaotically.  Nice pair with PGC67907</t>
  </si>
  <si>
    <t>Stunning double ring galaxy. Nice pair with disturbed spiral NGC 7489</t>
  </si>
  <si>
    <t>NGC 7582 Trio</t>
  </si>
  <si>
    <t xml:space="preserve">3 large spirals in close proximity (within 1/3 degree).  </t>
  </si>
  <si>
    <t>Large (200 ly diameter) Seyfert spiral with bright inner disk and dim outer disk</t>
  </si>
  <si>
    <t>Seyfert grand design spiral.  2 strong arms and chaotic rest of outer disk.  Companion influence likely</t>
  </si>
  <si>
    <t>Merger with 2 distinct cores and dual long star stream tails</t>
  </si>
  <si>
    <t>4 galaxies, anchored by huge NGC 7594, a lovely grand spiral 200,000 ly in diameter</t>
  </si>
  <si>
    <t>NGC 7626 Group</t>
  </si>
  <si>
    <t>NGC7619,7631</t>
  </si>
  <si>
    <t>4 group cluster anchored by 2 large ellipticals, NGC 7626 and NGC 7619, both 200,000 ly in diameter</t>
  </si>
  <si>
    <t>Showcase Bubble Nebula, an asymmetric bubble energized by a Wolf-Rayet star and influencing the surrounding cloud structure</t>
  </si>
  <si>
    <t>Pair of galaxies connected by star stream bridge</t>
  </si>
  <si>
    <t>ESO 605-4</t>
  </si>
  <si>
    <t>Fantastic loop stream extending up from this lenticular</t>
  </si>
  <si>
    <t>Similar to NGC6826, this is a bi-polar OIII nebula with torus and filaments, surrounded by faint outer sphere</t>
  </si>
  <si>
    <t>UGC12589</t>
  </si>
  <si>
    <t>Magellanic galaxy with white bar, single arm, and blue star clouds</t>
  </si>
  <si>
    <t>NGC7673</t>
  </si>
  <si>
    <t>NGC7677</t>
  </si>
  <si>
    <t>Highly disturbed spiral experiencing intense star formation, numerous blue star clouds, and extended star streams</t>
  </si>
  <si>
    <t>Pretty barred grand spiral</t>
  </si>
  <si>
    <t>IV-1-30</t>
  </si>
  <si>
    <t>Bright cluster with great size and color distribution</t>
  </si>
  <si>
    <t>NGC 7700 Trio</t>
  </si>
  <si>
    <t>Trio of galaxies in Pisces, anchored by NGC 7700, an edge-on lenticular with central bulge and bright inner lens disk</t>
  </si>
  <si>
    <t>Large 215,000 ly diameter asymmetric spiral with faint dwarf companion</t>
  </si>
  <si>
    <t>Colorful and textured galaxy disk, with spiraling dust lanes sprinkled with blue star clouds and HII regions</t>
  </si>
  <si>
    <t>Barred spiral with yellow core and disk.  Arms quickly fragment after 90 degrees of revolution.  Diffuse outer disk</t>
  </si>
  <si>
    <t>NGC 7731 Pair</t>
  </si>
  <si>
    <t>Barred spiral with bright bar, interesting dust lanes, faint HII regions, and short arms which degenerate into fragments</t>
  </si>
  <si>
    <t>Face-on lenticular with glorious blue star-forming ring mid-disk.  A nuclear core is seen at the center</t>
  </si>
  <si>
    <t>Seyfert grand design spiral with blurry arms and faint outer star streams</t>
  </si>
  <si>
    <t>NGC7771</t>
  </si>
  <si>
    <t>NGC7769</t>
  </si>
  <si>
    <t>Grand spiral interacting with companion, resulting in extended star streams</t>
  </si>
  <si>
    <t>Attractive grand design spiral with blue star forming ring</t>
  </si>
  <si>
    <t>4 galaxies with interesting structures.  Little disturbance seen</t>
  </si>
  <si>
    <t>Disorganized spiral pattern.  Star clouds visible in outer arms  Core is muted with no central bulge</t>
  </si>
  <si>
    <t>Magellanic galaxy with distant galaxy seen through right disk edge</t>
  </si>
  <si>
    <t>NGC 3430 Pair</t>
  </si>
  <si>
    <t>Along with NGC3424, a nice pair of blue spiral galaxies</t>
  </si>
  <si>
    <t xml:space="preserve">Pair </t>
  </si>
  <si>
    <t>Face-on grand spiral with 2 graceful arms spiraling out from the core, with VV rows</t>
  </si>
  <si>
    <t>3 small interacting galaxies, although only 1 white bar is seen</t>
  </si>
  <si>
    <t>NGC 3455 Pair</t>
  </si>
  <si>
    <t>Pair of spiral galaxies in Leo with contrasting blue and yellow colors, not interacting</t>
  </si>
  <si>
    <t>Elegant spiral with barlense, many fragmented arms, and numerous blue star clouds and pink HII regions</t>
  </si>
  <si>
    <t>Lenticular with bright AGN core and amazing dust lanes</t>
  </si>
  <si>
    <t>NGC3507</t>
  </si>
  <si>
    <t>NGC3501</t>
  </si>
  <si>
    <t>Superthin edge-on spiral with mottled dust lanes.  A nice pair with NGC 3507.</t>
  </si>
  <si>
    <t>NGC3512</t>
  </si>
  <si>
    <t>NGC3504</t>
  </si>
  <si>
    <t>NGC3513</t>
  </si>
  <si>
    <t>NGC3511</t>
  </si>
  <si>
    <t>Large Magellanic galaxy with white bar and warped disk</t>
  </si>
  <si>
    <t>Bright white core connected by yellow bar to inner ring which has bright blue ansae.  Pseudo-ring in outer disk. Adjacent to NGC3512</t>
  </si>
  <si>
    <t>Odd spiral arm structure and asymmetric disk. Adjacent to NGC3504</t>
  </si>
  <si>
    <t>Small barred grand spiral with VV rows.  Image with NGC3511</t>
  </si>
  <si>
    <t>NGC3577</t>
  </si>
  <si>
    <t>Disturbed disk, with irregular dust lanes, star clouds throughout, overall S-shape, and prominent VV row right of core.  Image with NGC 3577</t>
  </si>
  <si>
    <t>Face-on spiral galaxy in Leo</t>
  </si>
  <si>
    <t>Together with NGC 3608, a striking pair of large ellipticals in Leo</t>
  </si>
  <si>
    <t>Oblong elliptical in Ursa Major</t>
  </si>
  <si>
    <t>Unusual small, fluffy and bright galaxy, near face-on</t>
  </si>
  <si>
    <t>Massive E3 elliptical with numerous smaller galaxies around it</t>
  </si>
  <si>
    <t>Oblong E6 elliptical with disturbed star halo.</t>
  </si>
  <si>
    <t>Large grand spiral with small core and well defined arms. Possible companion to southwest</t>
  </si>
  <si>
    <t>Face-on lenticular with extended star streams and complex dark dust lanes</t>
  </si>
  <si>
    <t>Irregular arms and dust lanes encircling a bulgeless core and surrounded by many bright colorful stars</t>
  </si>
  <si>
    <t>M65,M66</t>
  </si>
  <si>
    <t>Showcase edge-on galaxy, with complex dust lane and extended star stream.  Outshines the 2 nearby Messier objects.</t>
  </si>
  <si>
    <t>Amazing distorted elliptical, with many background galaxies</t>
  </si>
  <si>
    <t>Disturbed face-on spiral with faint star streams that extend out to 180,000 ly in diameter</t>
  </si>
  <si>
    <t>Small Seyfert spiral with many arms</t>
  </si>
  <si>
    <t>Large Seyfert spiral with inner pseudo-ring, many arms, and VV rows</t>
  </si>
  <si>
    <t>Large lenticular with detailed dust lane spanning core</t>
  </si>
  <si>
    <t>Small core with no bulge, graceful flowing arms</t>
  </si>
  <si>
    <t>Small bright core surrounded by faint ring.  Flocculent outer region and 3D-type dust lanes</t>
  </si>
  <si>
    <t>Edge-on HII galaxy (dwarf starburst). Structure is difficult to understand.</t>
  </si>
  <si>
    <t>Barred grand spiral with an abundance of background galaxies</t>
  </si>
  <si>
    <t>Edge-on spiral with broad detailed dust lane</t>
  </si>
  <si>
    <t>USGC S171</t>
  </si>
  <si>
    <t>10 galaxy group, anchored by NGC 3721</t>
  </si>
  <si>
    <t>Grand spiral galaxy hidden the glare of the mag 6.5 star HD100615</t>
  </si>
  <si>
    <t>Unusual triangle-shaped spiral with many blue arms and yellow core</t>
  </si>
  <si>
    <t>Group of 6 galaxies headlines by NGC 3801, a merger object with crossing dust lanes and looping star streams</t>
  </si>
  <si>
    <t>Arms start from a flocculent inner region and spiral out to a faint outer disk, with many arms seen.  Hexagon shape to disk and inner region.</t>
  </si>
  <si>
    <t>Small colorful galaxy with mottled disk</t>
  </si>
  <si>
    <t>Disk contains dark dust lanes and blue star clouds.  Disk is slightly warped.  Some HII glow present</t>
  </si>
  <si>
    <t>Large spiral with blue star-formation ring in mid-region</t>
  </si>
  <si>
    <t>Spiral with chaotic arm structure in outer disk</t>
  </si>
  <si>
    <t>Double ring galaxy, one of the few with 2 closed outer rings.  Image with NGC 3888</t>
  </si>
  <si>
    <t>NGC 3896</t>
  </si>
  <si>
    <t>Lenticular with blue star-forming ring</t>
  </si>
  <si>
    <t>Magellanic galaxy with white bar and blue star clouds</t>
  </si>
  <si>
    <t xml:space="preserve">Beautiful symmetric face-on grand spiral with great color and many star clouds </t>
  </si>
  <si>
    <t>Elliptical galaxy with many faint shells but tough to capture without extremely long exposures</t>
  </si>
  <si>
    <t>Wonderful face-on grand spiral with star clouds and HII regions.  Arms are intoxicatingly asymmetric</t>
  </si>
  <si>
    <t>Unusual Seyfert double ringed lenticular galaxy</t>
  </si>
  <si>
    <t>Double ring lenticular with ansae</t>
  </si>
  <si>
    <t>Jumbled disk of dust lanes, star clouds and HII regions.  Yellow core looks clam by comparison</t>
  </si>
  <si>
    <t>Marvelous object, with great color and blue star clouds. Bar is yellow barlense.  Excellent symmetric arm structure.</t>
  </si>
  <si>
    <t>Odd disk structure, with fantastically wild dust lanes and bright arm segments.</t>
  </si>
  <si>
    <t>Uneventful symmetric spiral in Ursa Major</t>
  </si>
  <si>
    <t>Seyfert slightly barred face-on spiral with hexagon shape and star streams</t>
  </si>
  <si>
    <t>NGC3990</t>
  </si>
  <si>
    <t>Seyfert lenticular with companion NGC3990</t>
  </si>
  <si>
    <t>Edge-on spiral with offset core</t>
  </si>
  <si>
    <t>Stunning dark lane along mid-line of this edge-on spiral</t>
  </si>
  <si>
    <t>Edge-on lenticular with slightly warped disk</t>
  </si>
  <si>
    <t>Elegant symmetric grand spiral</t>
  </si>
  <si>
    <t>NGC4041</t>
  </si>
  <si>
    <t>NGC4036</t>
  </si>
  <si>
    <t>Shows some detail in inner region including presence of a bar and a few dust lanes.  Image with NGC4041</t>
  </si>
  <si>
    <t>Messy Seyfert slightly barred face-on spiral</t>
  </si>
  <si>
    <t>Strong inner region arm structure, diffuse outer disk.</t>
  </si>
  <si>
    <t>Colorful disturbed Seyfert slightly barred galaxy, with HII region, star clouds and VV rows</t>
  </si>
  <si>
    <t>Rough fragmented spiral arm structure.  Decoupled galaxy, comprised of 2 different (old and young) stellar populations</t>
  </si>
  <si>
    <t xml:space="preserve">Small BCD (Blue Compact Dwarf) galaxy with many blue star clouds seen throughout the galaxy.  </t>
  </si>
  <si>
    <t>Offset core and numerous arms seen.  The arms appear fragmented and become diffuse in the outer disk.  No core bulge.  Several star clouds.</t>
  </si>
  <si>
    <t>Amazing galaxy - dust lanes swirling into core, HII glow, and mid-region star forming ring</t>
  </si>
  <si>
    <t>Edge-on view of this lenticular shows peanut-shaped (X-shaped) core</t>
  </si>
  <si>
    <t>Small barred face-on spiral with star clouds and VV rows</t>
  </si>
  <si>
    <t>Seyfert lenticular with inner dust lanes and mid-region star forming ring</t>
  </si>
  <si>
    <t>Small barred lenticular in Canes Venatici</t>
  </si>
  <si>
    <t>Barred colorful spiral with yellow core and star cloud lined arms</t>
  </si>
  <si>
    <t>Dim globular cluster with most stars resolved.</t>
  </si>
  <si>
    <t>Small lenticular in Coma Berenices</t>
  </si>
  <si>
    <t>Highlight is the extended 150,000 ly star stream.  Dust lanes and bright star forming areas are also fascinating.</t>
  </si>
  <si>
    <t>Edge-on spiral with glowing orange offset core and dramatic dark dust lanes</t>
  </si>
  <si>
    <t>Nearly edge-on barred grand design spiral with many star clouds in the arms.</t>
  </si>
  <si>
    <t>Edge-on lenticular with small bulge</t>
  </si>
  <si>
    <t>Edge-on spiral with bar but no central bulge or peanut shaped core</t>
  </si>
  <si>
    <t>Face-on barred lenticular in Coma Benenices</t>
  </si>
  <si>
    <t>Spindle Galaxy (3 of 3), Silver Streak Galaxy, Stairway to Heaven</t>
  </si>
  <si>
    <t>NGC4206,4222</t>
  </si>
  <si>
    <t>NGC 4216 Trio</t>
  </si>
  <si>
    <t>Small spiral in Coma Benenices</t>
  </si>
  <si>
    <t>Dwarf barred irregular galaxy, same size as the Large Magellanic Cloud but 100 times further away</t>
  </si>
  <si>
    <t>Edge-on spiral, just 1/2 degree west of M106.  Dramatic uneven dust lane</t>
  </si>
  <si>
    <t>Brilliant inner ring lenticular with intriguing dust lane patterns</t>
  </si>
  <si>
    <t>Close barred spiral, 1 of the 3 largest members of the M81 Group of Galaxies.</t>
  </si>
  <si>
    <t>Magellanic galaxy - small size with white bar, blue star clouds and single arm</t>
  </si>
  <si>
    <t>Resplendent edge-on spiral.  No bulge, showy dust lanes</t>
  </si>
  <si>
    <t>Barred ring lenticular with faint outer disk</t>
  </si>
  <si>
    <t>Barred double ring lenticular with barlense, inner oval ring, and faint circular outer ring</t>
  </si>
  <si>
    <t>Edge-on lenticular with barlense</t>
  </si>
  <si>
    <t>Barred grand spiral with 2 strong smooth arms</t>
  </si>
  <si>
    <t>Elliptical in Virgo with many background galaxies</t>
  </si>
  <si>
    <t>Face-on barred lenticular in Coma Berenices, with barlense</t>
  </si>
  <si>
    <t>NGC4281</t>
  </si>
  <si>
    <t>NGC 4273 Group</t>
  </si>
  <si>
    <t>8 Galaxy group in Virgo, including NGC 4273 and 4281</t>
  </si>
  <si>
    <t>NGC4283,4286</t>
  </si>
  <si>
    <t>Small elliptical in Virgo, with NGC 4283 and 4286</t>
  </si>
  <si>
    <t>White barred core with dust lanes spiraling in.  Blue star-forming ring mid-region.  Diffuse outer disk</t>
  </si>
  <si>
    <t>Large edge-on spiral with slightly offset dust lane</t>
  </si>
  <si>
    <t>NGC 4298 Pair</t>
  </si>
  <si>
    <t>NGC4302</t>
  </si>
  <si>
    <t>Attractive pair with contrasting yellow and blue colors.   NGC4302 is further away at 60 mly</t>
  </si>
  <si>
    <t>Lenticular with stunning dust lane and blue star-forming ring</t>
  </si>
  <si>
    <t>Feature-filled galaxy - nuclear ring, bar lens, unusually long bar, sweeping arms.</t>
  </si>
  <si>
    <t>Lovely disturbed spiral, with the famous Arp object Markarian 205 just right of its core.</t>
  </si>
  <si>
    <t>Edge-on spiral with detailed dust lanes, No core bulge or disk warp</t>
  </si>
  <si>
    <t>NGC4350</t>
  </si>
  <si>
    <t>NGC 4340 Pair</t>
  </si>
  <si>
    <t xml:space="preserve">Pair of galaxies (Holmberg 391) at slightly different distances. Each is about 60,000 ly diameter  </t>
  </si>
  <si>
    <t>Small barred spiral with dust lanes and slight bulge</t>
  </si>
  <si>
    <t>Small OIII PN with polar jets and visible progenitor</t>
  </si>
  <si>
    <t>BOY/j</t>
  </si>
  <si>
    <t>Milky Way sized elliptical with many background cluster galaxies</t>
  </si>
  <si>
    <t>Barred lenticular with barlens and inner ring, Many tiny background galaxies</t>
  </si>
  <si>
    <t>Seyfert barred lenticular with fantastic inner dust lanes.  Many background galaxies seen through disk</t>
  </si>
  <si>
    <t>Face-on barred grand design spiral with barlens</t>
  </si>
  <si>
    <t>Amazing edge-on spiral with wide dust lane obscuring cure</t>
  </si>
  <si>
    <t>4 interacting galaxies connected by star streams</t>
  </si>
  <si>
    <t>UGC7546</t>
  </si>
  <si>
    <t>NGC 4411 Pair</t>
  </si>
  <si>
    <t>Lenticular disk with tremendous dust lane patterns obscuring the core</t>
  </si>
  <si>
    <t>Thick brown inner dust ring and X-shaped pattern in the bright disk lens, which is hexagon-shaped</t>
  </si>
  <si>
    <t>NGC4435</t>
  </si>
  <si>
    <t>Bizarrely wonderful distorted merger object - inner region is spiral-like while outer region has amazing star stream loops</t>
  </si>
  <si>
    <t>Lenticular with barlens and star-forming ring.  Just northwest, an amazing assortment of distant galaxies</t>
  </si>
  <si>
    <t>Occluded disk without much structure except for dark dust lanes which spiral into the bright core</t>
  </si>
  <si>
    <t>Fascinating lenticular with inner star forming arcs and 2 outer closed rings</t>
  </si>
  <si>
    <t>Face-on lenticular with bright orange star to southeast</t>
  </si>
  <si>
    <t>NGC4458</t>
  </si>
  <si>
    <t xml:space="preserve">3 distinct regions - bright core, mid-region disk with detail, and faint outer ring </t>
  </si>
  <si>
    <t>Oblong elliptical without much detail</t>
  </si>
  <si>
    <t>Barred lenticular with barlens</t>
  </si>
  <si>
    <t>NGC4479</t>
  </si>
  <si>
    <t>Bright elliptical in Coma Berenices</t>
  </si>
  <si>
    <t>Pair of distorted spirals in Virgo.  The smaller galaxy is almost 5 times further away.</t>
  </si>
  <si>
    <t>Glorious barred grand spiral with star clouds and dust lanes</t>
  </si>
  <si>
    <t>Incredible pairing of 2 ring galaxies in a tight framing</t>
  </si>
  <si>
    <t>NGC 4437</t>
  </si>
  <si>
    <t>Edge-on spiral with thick dust lane and no bulge.  Offset core</t>
  </si>
  <si>
    <t>Flocculent galaxy with dark lanes running throughout disk</t>
  </si>
  <si>
    <t>Lenticular galaxy with small core and some dust lanes visible</t>
  </si>
  <si>
    <t>NGC6003</t>
  </si>
  <si>
    <t>Large grand design spiral with unbarred core and 2 superimposed stars</t>
  </si>
  <si>
    <t>Transparent faint outer disk. Elongated irregular bright ring surround core area</t>
  </si>
  <si>
    <t>2 disk areas - bright inner region with dust lane, and dim outer region resembling faint star cloud</t>
  </si>
  <si>
    <t>II-2-25</t>
  </si>
  <si>
    <t>OIII PN with diffuse hexagon rim, hint of an inner ring, and some structure</t>
  </si>
  <si>
    <t>EOY/hr</t>
  </si>
  <si>
    <t>Multipolar OIII PN with progenitor</t>
  </si>
  <si>
    <t>Barred grand design spiral with unusual star forming in outer arm</t>
  </si>
  <si>
    <t>Nuclear ring with fragmented arms, VV rows, star clouds and HII regions</t>
  </si>
  <si>
    <t>BRY</t>
  </si>
  <si>
    <t>Small bipolar PN with HII rim, OIII central region, and progenitor visible</t>
  </si>
  <si>
    <t>Sparse open cluster with only a few stars spread east-west</t>
  </si>
  <si>
    <t xml:space="preserve">Merging pair that is a smaller version of Antennae Galaxies.  Nice blue &amp; yellow color contrast of 2 cores.  2 long tails.  </t>
  </si>
  <si>
    <t>Chaotic arm structure.  3 arms in south half, no arms in north half.  Several blue star clouds</t>
  </si>
  <si>
    <t>NGC6119,6122</t>
  </si>
  <si>
    <t>Good color variation in this faint naked eye star cluster</t>
  </si>
  <si>
    <t>Loose globular cluster located between M4 and Antares.  Obscured somewhat by dusty Rho Ophiuchi cloud structure</t>
  </si>
  <si>
    <t>EBN/r</t>
  </si>
  <si>
    <t>Small elliptical PN with faint torus ring</t>
  </si>
  <si>
    <t>Messy spiral with HII regions and star clouds</t>
  </si>
  <si>
    <t>Bipolar OIII PN with jets, ansae and filaments</t>
  </si>
  <si>
    <t>One of the furthest Milky way globular clusters from earth</t>
  </si>
  <si>
    <t>Table of Scorpius Cluster, False Comet, Northern Jewel Box</t>
  </si>
  <si>
    <t>Forms head of 2 degree long False Comet in the Scorpion's Tail, the most comet-like naked eye object in the sky.</t>
  </si>
  <si>
    <t>NGC 6232 Trio</t>
  </si>
  <si>
    <t>Trio of small spiral galaxies in Draco</t>
  </si>
  <si>
    <t>Loose globular cluster in dense Milky Way star background</t>
  </si>
  <si>
    <t>Late stage merger.  Pink starburst region at center of merged galaxy, just to right of wide dark band that spans most of object</t>
  </si>
  <si>
    <t>I-3-40</t>
  </si>
  <si>
    <t>Visually pleasing cluster with interesting star patterns within it.</t>
  </si>
  <si>
    <t>NGC6236,6248</t>
  </si>
  <si>
    <t>LSB grand design blue spiral, seen close to edge-on.  Offset central bar.  Blue star clouds visible throughout.</t>
  </si>
  <si>
    <t>NGC 6274 Pair</t>
  </si>
  <si>
    <t>Small pair of interacting galaxies, adjacent to several other distant galaxies</t>
  </si>
  <si>
    <t>Kite-shaped open cluster in Scorpius</t>
  </si>
  <si>
    <t>Fairly loose globular cluster in Ophiuchus</t>
  </si>
  <si>
    <t>Globular cluster in Ophiuchus of medium concentration</t>
  </si>
  <si>
    <t>Fairly concentrated generic globular cluster</t>
  </si>
  <si>
    <t>Medium concentrated globular cluster, located near the Milky Way center</t>
  </si>
  <si>
    <t>NGC6307</t>
  </si>
  <si>
    <t>NGC 6306 Pair</t>
  </si>
  <si>
    <t>2 spiral galaxies in Draco, no signs of interaction</t>
  </si>
  <si>
    <t>Bipolar PN with visible jets</t>
  </si>
  <si>
    <t>BON/j</t>
  </si>
  <si>
    <t>Concentrated globular cluster in Ophiuchus</t>
  </si>
  <si>
    <t>One of the closest large emission nebula to earth, this is also one of the most prolific star forming regions in the sky</t>
  </si>
  <si>
    <t>NGC6345,6346</t>
  </si>
  <si>
    <t>NGC 6338 Group</t>
  </si>
  <si>
    <t>Faint small barred spiral with bright long central bar</t>
  </si>
  <si>
    <t>Lenticular with dust lanes and faint disk structure. Nearby interesting galaxies</t>
  </si>
  <si>
    <t>IC1251,1254</t>
  </si>
  <si>
    <t>One of many globular clusters in Ophiuchus</t>
  </si>
  <si>
    <t>Photogenic trio of small galaxies which are not interacting</t>
  </si>
  <si>
    <t>NGC 6351 Pair</t>
  </si>
  <si>
    <t>Distant galaxy pair, highlighted by NGC 6351, a polar ring galaxy with a disk that wraps around each pole.</t>
  </si>
  <si>
    <t>Loosely concentrated globular cluster in Ara</t>
  </si>
  <si>
    <t>Tiny 5 star cluster in Hercules.  2 interesting 4 star clusters nearby</t>
  </si>
  <si>
    <t>Globular cluster in Ophiuchus</t>
  </si>
  <si>
    <t>Distant concentrated globular cluster located just 1.5 degrees from M9.</t>
  </si>
  <si>
    <t>Large spiral which looks bridge connected to an elliptical companion below</t>
  </si>
  <si>
    <t>Elliptical with faint star stream tail extending south and west</t>
  </si>
  <si>
    <t>Slightly disturbed lenticular</t>
  </si>
  <si>
    <t>Bipolar PN, similar to NGC6337, with faint progenitor</t>
  </si>
  <si>
    <t>NGC 6370 Group</t>
  </si>
  <si>
    <t>Galaxy group anchored by NGC 6370, large 200,000 ly elliptical.  Favorite galaxy is the double ring galaxy PGC60230</t>
  </si>
  <si>
    <t>2 disturbed galaxies, blue and yellow, faintly connected by a star stream bridge</t>
  </si>
  <si>
    <t>Large barred spiral with blue star clouds and dark dust lanes  Huge number of foreground stars (100) in front of galaxy</t>
  </si>
  <si>
    <t>IC1261</t>
  </si>
  <si>
    <t>Faint blue spiral.  Undefined arms and yellow bar</t>
  </si>
  <si>
    <t>Eclectic shape, with stars arranged in seemingly straight lines instead of clusters</t>
  </si>
  <si>
    <t>Orange tint from abundant dust in region.  Outer extent is asymmetric, with void area seen on right side</t>
  </si>
  <si>
    <t>One of the closest globulars, with a high number of blue supergiant stars.  Loosely concentrated</t>
  </si>
  <si>
    <t>Distant loosely concentrated Ophiuchus globular cluster</t>
  </si>
  <si>
    <t>Globular cluster in Ophiuchus of average concentration</t>
  </si>
  <si>
    <t>Concentrated globular cluster next to the mag 3 star G Scorpii</t>
  </si>
  <si>
    <t>NGC 6447 Pair</t>
  </si>
  <si>
    <t>Grand design spiral galaxy, paired nicely with spiral NGC 6446</t>
  </si>
  <si>
    <t>II-1-70</t>
  </si>
  <si>
    <t>Distinctly non-circular open cluster with similar brightness stars</t>
  </si>
  <si>
    <t>Distant group of 8 galaxies, anchored by the large elliptical NGC 6463, 250,000 ly in diameter</t>
  </si>
  <si>
    <t>Group of 4 distant galaxies, highlighted by grand spiral NGC 6473</t>
  </si>
  <si>
    <t>NGC 6491 Pair</t>
  </si>
  <si>
    <t>NGC6493</t>
  </si>
  <si>
    <t>Interested pair of NGC spirals.  But UGC 11007, just above in this image, is even better.</t>
  </si>
  <si>
    <t>NGC 6500 Pair</t>
  </si>
  <si>
    <t>Spiral and lenticular at similar distance but just far enough apart not to be interacting</t>
  </si>
  <si>
    <t>Flocculent galaxy with faint HII regions and some blue star clouds.  Dark brown dust lanes also seen.</t>
  </si>
  <si>
    <t>Medium concentration globular cluster in Ophiuchus</t>
  </si>
  <si>
    <t>I-2-90</t>
  </si>
  <si>
    <t>Barnard86</t>
  </si>
  <si>
    <t>NGC6528</t>
  </si>
  <si>
    <t>NGC6522</t>
  </si>
  <si>
    <t>Part of an amazing double cluster with NGC6522</t>
  </si>
  <si>
    <t>The slightly smaller and more concentrated cluster of the lovely double cluster pair with NGC6528</t>
  </si>
  <si>
    <t>Small arc-shaped globular cluster in Sagittarius</t>
  </si>
  <si>
    <t>Concentrated globular cluster in Corona Australis</t>
  </si>
  <si>
    <t>Showcase Cat's Eye PN, with inner namesake eye and wispy hexagon-shaped outer extent</t>
  </si>
  <si>
    <t>One of the smallest globular clusters, with dark area to the northwest.  Located less than 1 degree southeast from M8.</t>
  </si>
  <si>
    <t>NGC6550</t>
  </si>
  <si>
    <t>Face-on lenticular, with adjacent NGC 6550 a nice pair</t>
  </si>
  <si>
    <t>Cl Arp 2</t>
  </si>
  <si>
    <t>Globular clusters in Puppis</t>
  </si>
  <si>
    <t>Concentrated star-shaped globular cluster</t>
  </si>
  <si>
    <t>Sharp red arc of HII nebulosity, adjacent to reflection nebula and dust lanes</t>
  </si>
  <si>
    <t>M57-like bipolar PN, viewed end-on with bright torus ring, HII rim, OIII central portion, and jet created lobes</t>
  </si>
  <si>
    <t>Small OII PN</t>
  </si>
  <si>
    <t>III-1-70</t>
  </si>
  <si>
    <t>Hard to distinguish open cluster in Sagittarius</t>
  </si>
  <si>
    <t>Globular cluster in Sagittarius</t>
  </si>
  <si>
    <t>Magellanic galaxy with barred core, star clouds, and 1 strong arm</t>
  </si>
  <si>
    <t>Tiny bipolar OIII PN with progenitor, 2 magnitudes brighter than M57 but 5 times smaller.</t>
  </si>
  <si>
    <t>Group of 7 galaxies highlighted by NGC 6580, an elliptical 90,000 ly in diameter</t>
  </si>
  <si>
    <t>Looking like a small inclined Sombrero Galaxy, nice dust lane and extended star streams</t>
  </si>
  <si>
    <t>Sparkling open cluster in M24</t>
  </si>
  <si>
    <t>M16</t>
  </si>
  <si>
    <t>Open star cluster at the center of M16</t>
  </si>
  <si>
    <t>Resplendent globular cluster, sitting in front of the dense starfield background of Sagittarius</t>
  </si>
  <si>
    <t>Small bright OIII PN with asymmetric halo</t>
  </si>
  <si>
    <t>Attractive irregularly shaped open cluster in Ophiuchus</t>
  </si>
  <si>
    <t xml:space="preserve">Deformed edge-on colorful spiral, connected via star stream bridge to elliptical companion </t>
  </si>
  <si>
    <t>Resolvable globular cluster in the dense star field of Sagittarius</t>
  </si>
  <si>
    <t>Fairly concentrated globular cluster in Sagittarius</t>
  </si>
  <si>
    <t>Flocculent galaxy in Draco with odd strong arm</t>
  </si>
  <si>
    <t>Tough to see but red supergiants in cluster stand out</t>
  </si>
  <si>
    <t>Fascinating star streams in odd looping patterns, extending 200,000 ly.  Core obscured by dust lanes</t>
  </si>
  <si>
    <t>Bridge connected edge-on spirals in early merge stage</t>
  </si>
  <si>
    <t>NGC 6676 Group</t>
  </si>
  <si>
    <t>Quintet of Draco galaxies in tight 12' FOV with interesting structures</t>
  </si>
  <si>
    <t>Strange dust lane surrounds right side of core in arc.</t>
  </si>
  <si>
    <t>NGC 6702</t>
  </si>
  <si>
    <t>Elliptical which contrasts nicely in image with adjacent lenticular NC 6703</t>
  </si>
  <si>
    <t>Face-on lenticular which contrasts nicely in image with adjacent elliptical NC 6702</t>
  </si>
  <si>
    <t>Star shaped open cluster with good mix of orange and blue stars</t>
  </si>
  <si>
    <t>Unique cluster - most of its stars are larger than our sun.  Comes closer to galactic center than any other globular, robbing it of lower mass stars</t>
  </si>
  <si>
    <t>Hidden in the glow of the mag 5 supergiant star Nu2 Sagittarii</t>
  </si>
  <si>
    <t>Open star cluster that is a superb compliment to the Anteater Nebula (NGC 6726)</t>
  </si>
  <si>
    <t>Tiny PN with bright rim in Aquila</t>
  </si>
  <si>
    <t>Complex PN with 5 different regions, this bipolar nebula has outflow resulting in multiple shells.</t>
  </si>
  <si>
    <t>BRY/f</t>
  </si>
  <si>
    <t>IV-2-150</t>
  </si>
  <si>
    <t>NGC6756</t>
  </si>
  <si>
    <t>NGC6755</t>
  </si>
  <si>
    <t>Hard to discern from dense background, nice pairing with NGC6756</t>
  </si>
  <si>
    <t>Loose globular with resolved stars</t>
  </si>
  <si>
    <t>Stellar-like core, dust band on left side, blue star clouds and extended star streams.  Well defined S-shaped arms</t>
  </si>
  <si>
    <t>Strangely shaped OIII PN.</t>
  </si>
  <si>
    <t>Squarish shaped and diffuse outer edges suggest ISM interaction. Progenitor visible.</t>
  </si>
  <si>
    <t>IC1298</t>
  </si>
  <si>
    <t>BHY/c</t>
  </si>
  <si>
    <t>Bipolar PN with lobes that have broken through.  Resembles M76, which is 10x larger</t>
  </si>
  <si>
    <t>BHY</t>
  </si>
  <si>
    <t>Bipolar PN just beginning to experience lobe breakout</t>
  </si>
  <si>
    <t>UGC11415</t>
  </si>
  <si>
    <t>NGC 6786 Pair</t>
  </si>
  <si>
    <t>Nearest BCD (Blue compact dwarf galaxy) to earth</t>
  </si>
  <si>
    <t>II-3-300</t>
  </si>
  <si>
    <t>Grand design spiral, with arms extending 1.5 rotations. Slight offset core and disturbed disk</t>
  </si>
  <si>
    <t>Fragmented arm structure.  Pseudo-ring around core in mid-section</t>
  </si>
  <si>
    <t>Elongated open cluster in Vulpecula</t>
  </si>
  <si>
    <t>OIII PN with bright torus and progenitor</t>
  </si>
  <si>
    <t>Open cluster with apparent voids throughout cluster</t>
  </si>
  <si>
    <t>Seyfert spiral galaxy, almost face-on, with arms that are split in 2 in several places</t>
  </si>
  <si>
    <t>Bipolar OIII PN with white torus ring and central star</t>
  </si>
  <si>
    <t>Red supergiants outline U shape.  Void area at center</t>
  </si>
  <si>
    <t>Beautiful emission nebula and star cluster, although NGC 6820 is actually only the small white reflection nebula</t>
  </si>
  <si>
    <t>Open star cluster at the center of what is commonly called NGC 6820</t>
  </si>
  <si>
    <t>Magellanic galaxy with white bar, blue star clouds, and single arm</t>
  </si>
  <si>
    <t>Close small irregular dwarf galaxy with globular clusters that are resolvable</t>
  </si>
  <si>
    <t>Caldwell57</t>
  </si>
  <si>
    <t>NGC 0267 (SMC)</t>
  </si>
  <si>
    <t>ARP: MISC. - almost edge-on spiral with faint looping star stream.</t>
  </si>
  <si>
    <t>Yellow disk with strong dust lanes and mottled arms in the spiral disk</t>
  </si>
  <si>
    <t>Yellow edge-on spiral with bright core and no bulge</t>
  </si>
  <si>
    <t>Showy barred spiral, close to edge-on</t>
  </si>
  <si>
    <t>Spiral with dark think dust lanes, blue star clouds, and pink HII regions.</t>
  </si>
  <si>
    <t>Grand design spiral, almost edge-on, with yellow core</t>
  </si>
  <si>
    <t>Edge-on spiral with showy dust lane</t>
  </si>
  <si>
    <t>Massive lenticular, almost edge-on, with dark dust lane, some background galaxies</t>
  </si>
  <si>
    <t>Edge-on spiral with distinct arm structure and VV rows</t>
  </si>
  <si>
    <t>Lenticular, almost edge-on, with dramatic dust lane</t>
  </si>
  <si>
    <t>Edge-on spiral with detailed dust lane</t>
  </si>
  <si>
    <t>Edge-on view revealing peanut shaped (X-shaped) barlens core</t>
  </si>
  <si>
    <t>Faint star streams connecting this edge-on spiral to companion galaxies</t>
  </si>
  <si>
    <t>Edge-on Magellanic galaxy, Foreground star creates comet-like galaxy appearance</t>
  </si>
  <si>
    <t>Yellow ring spiral galaxy with a pair of bright ansae.  Adjacent is NGC7732, an edge-on blue spiral with odd star cloud patterns</t>
  </si>
  <si>
    <t>Barred spiral, almost edge-on, which is asymmetric with blue star clouds in the arms</t>
  </si>
  <si>
    <t>Seyfert 2 lenticular, close to edge-on, with both an inner ring and a mid-disk ring</t>
  </si>
  <si>
    <t>Blue Magellanic galaxy, close to edge-on</t>
  </si>
  <si>
    <t>Lenticular starburst galaxy, almost edge-on, with counter-rotating disks, likely the result of past merger</t>
  </si>
  <si>
    <t>Lenticular in Canes Venatici</t>
  </si>
  <si>
    <t>Edge-on lenticular with dramatic dark silhouetted dust lane</t>
  </si>
  <si>
    <t>Spiral, almost edge-on, with complex dust lanes on one half of core</t>
  </si>
  <si>
    <t>Spiral, almost edge-on, with offset core and some deformation, set in an amazing galactic cirrus field</t>
  </si>
  <si>
    <t>OIII PN with visible progenitor and delicate faint outer ring</t>
  </si>
  <si>
    <t>NGC 6829 Pair</t>
  </si>
  <si>
    <t>NGC6831</t>
  </si>
  <si>
    <t>Edge-on spiral with dramatic dust lane, sharing its stage nicely with nearby NGC 6831, a distorted elliptical</t>
  </si>
  <si>
    <t>Unusual linear patterns for this open cluster, which has a nice brightness mix</t>
  </si>
  <si>
    <t>Non-circular pattern, stars of varied brightnesses</t>
  </si>
  <si>
    <t>NGC6836</t>
  </si>
  <si>
    <t>Edge-on spiral with dark dust lanes, paired with faint face-on spiral</t>
  </si>
  <si>
    <t>OIII PN with progenitor and texture that looks like a ball of snakes</t>
  </si>
  <si>
    <t>Similar to NGC6337.  OIII PN with bright torus ring, extended eye-shaped lobe region, and visible progenitor.</t>
  </si>
  <si>
    <t>HII region which originally was thought to be a PN</t>
  </si>
  <si>
    <t>Odd non-circular pattern, Nice mix of blue and yellow stars</t>
  </si>
  <si>
    <t>Sparse open cluster centered on mag 6 star 20 Vulpecula</t>
  </si>
  <si>
    <t>I-3-20</t>
  </si>
  <si>
    <t>Crescent Nebula Cluster</t>
  </si>
  <si>
    <t>Sparse open cluster, tough to distinguish from background</t>
  </si>
  <si>
    <t>Little Ring Nebula, Diamond Ring Nebula</t>
  </si>
  <si>
    <t>Beautiful strong circular textured torus</t>
  </si>
  <si>
    <t>Strong bipolar flow with ansae. Unusual football filamentary shape.  Progenitor visible</t>
  </si>
  <si>
    <t>Chaotic arm structure with yellow barlens.  Central pseudo-ring trying to form</t>
  </si>
  <si>
    <t>Barred grand design spiral interacting with lenticular companion (NGC 6908), creating long star stream plume</t>
  </si>
  <si>
    <t>Open cluster of various sizes and colors that stands out well.   Non-circular shape, resembling its Inchworm namesake</t>
  </si>
  <si>
    <t>Barred core, odd offset bar, bright star clouds, and 2 strong asymmetric arms</t>
  </si>
  <si>
    <t>Disturbed disk with possible dwarf galaxy to the west of the core</t>
  </si>
  <si>
    <t>IC5025</t>
  </si>
  <si>
    <t>Asymmetric disk with bright core and mid-region pseudo-ring</t>
  </si>
  <si>
    <t>Seyfert disturbed spiral with strong arm, blue star clouds, and large void just south of core</t>
  </si>
  <si>
    <t>Moderately dense globular cluster in Delphinus</t>
  </si>
  <si>
    <t>NGC6946</t>
  </si>
  <si>
    <t>I-1-70</t>
  </si>
  <si>
    <t>Open cluster contains 2 linear chains of bright stars, which intersect near cluster center at right angles</t>
  </si>
  <si>
    <t>III-2-90</t>
  </si>
  <si>
    <t>Tough to distinguish this open cluster from the background</t>
  </si>
  <si>
    <t>Poorly developed bar and confused inner ring, with VV rows. Challenging to image well due to obscuring ISM.</t>
  </si>
  <si>
    <t>Barred galaxy with arms extending from the faint bar ends, out to over 1 revolution</t>
  </si>
  <si>
    <t>NGC6952</t>
  </si>
  <si>
    <t>Barred Seyfert galaxy with nuclear ring, blue star clouds, VV rows, and 3 arms</t>
  </si>
  <si>
    <t>Trio of galaxies at similar distance, highlighted by NGC 6956.  All have interesting structures and 2 are disturbed.</t>
  </si>
  <si>
    <t>Western Veil, Witch's Broom, Finger of God, Lacework Nebula, Filamentary Nebula</t>
  </si>
  <si>
    <t>Wonderful interplay of OIII and HII SNR filaments.  Bright star 52 Cygni adds to the beauty but is not related to the SNR</t>
  </si>
  <si>
    <t>NGC 6962 Group</t>
  </si>
  <si>
    <t>Group of galaxies highlighted by NGC 6962, which appears to be interacting with NGC6964</t>
  </si>
  <si>
    <t>Pickering`s Triangle, Fleming's Triangular Wisp</t>
  </si>
  <si>
    <t>TYC 2687-76-1</t>
  </si>
  <si>
    <t>Pickering's Triangle</t>
  </si>
  <si>
    <t>Discovered by Williamina Fleming in 1904, this is a beautiful triangular filamentary portion of the Cygnus Loop SNR with strong HII and OIII signal.</t>
  </si>
  <si>
    <t xml:space="preserve">Two overlapping spiral galaxies, yellow and blue.  It is debatable whether the 2 galaxies are interacting.  </t>
  </si>
  <si>
    <t>Stunning open star cluster and reflection nebula (IC5076), with dark nebula just west of the reflection nebula</t>
  </si>
  <si>
    <t>Magnificent SNR filamentary object on east side of Cygnus Loop</t>
  </si>
  <si>
    <t>Portion of easter Cygnus Loop, just below NGC 6992</t>
  </si>
  <si>
    <t>IC1340</t>
  </si>
  <si>
    <t>NGC6992</t>
  </si>
  <si>
    <t>NGC6995</t>
  </si>
  <si>
    <t>Magellanic galaxy in Canes Venatici</t>
  </si>
  <si>
    <t>Long distinct dust lane on west side of core.  Blue star clouds throughout</t>
  </si>
  <si>
    <t>Superthin edge-on blue spiral</t>
  </si>
  <si>
    <t>Appealing 3 arm spiral with dust lanes throughout</t>
  </si>
  <si>
    <t>Small face-on barred spiral with HII regions and blue star clouds.  Long bar has amazing look of a string of pearls</t>
  </si>
  <si>
    <t>Edge-on lenticular with dramatic wide dust lane, interacting somewhat with IC879 companion to the southwest</t>
  </si>
  <si>
    <t>NGC 5090 Group</t>
  </si>
  <si>
    <t>NGC 5082,5091</t>
  </si>
  <si>
    <t>NGC 5090</t>
  </si>
  <si>
    <t>Edge-on lenticular with amazing brightness profile, like a Celtic cross.</t>
  </si>
  <si>
    <t>Grand design spiral with some fragmentation of arms, nice color.  Adjacent to 2 obscure fascinating objects</t>
  </si>
  <si>
    <t>Two galaxies that are likely interacting, with star stream plumes</t>
  </si>
  <si>
    <t>Face-on barred lenticular with beautiful complex structure, highlighted by stunning barlens and inner pseudo-ring</t>
  </si>
  <si>
    <t>Lenticular with interesting brightness profile.  Located just 20' northeast of mag 3 Iota Centauri</t>
  </si>
  <si>
    <t>Iota's Ghost</t>
  </si>
  <si>
    <t>Small barred spiral with numerous arms</t>
  </si>
  <si>
    <t>Showcase object - 5th brightest galaxy.  Lenticular with fascinating dust lanes, likely from mergers.</t>
  </si>
  <si>
    <t>Showcase object - the largest globular cluster in the Milky Way.</t>
  </si>
  <si>
    <t>Trio of large galaxies, anchored by large elliptical NGC 5153 but highlighted by disturbed spiral NGC5152</t>
  </si>
  <si>
    <t>NGC5152,5150</t>
  </si>
  <si>
    <t>Unusual structure - mid-region ring, diffuse outer disk, and single strong arm with star formation.  Image with NGC 5184</t>
  </si>
  <si>
    <t>Like the adjacent NGC 5183, disk is disturbed with hard to trace arms and some star clouds</t>
  </si>
  <si>
    <t>Face-on Seyfert grand design spiral with companion (NGC 5194) slightly below and behind.</t>
  </si>
  <si>
    <t>Huge distant galaxy (225,000 ly diameter) with arms that appear to spiral in opposite directions somehow.</t>
  </si>
  <si>
    <t>Bright core, faint bar, strong oval inner lens, and arms that extend out 180 degrees to form a pseudo-ring</t>
  </si>
  <si>
    <t>Amazing similarity to M101, but NGC 5320 is 10x further away and 10x smaller in apparent size.</t>
  </si>
  <si>
    <t>Clear detail of blue star clouds and pink HII regions.  6 bright star forming regions surround core</t>
  </si>
  <si>
    <t>One of the nearest BCD (Blue Compact Dwarf) galaxies to earth</t>
  </si>
  <si>
    <t xml:space="preserve">Voorwerp object visible, the only green-hued galaxy feature.  </t>
  </si>
  <si>
    <t>NGC5276</t>
  </si>
  <si>
    <t>Lenticular with interesting spiral ring galaxy NGC 5276 to the southeast</t>
  </si>
  <si>
    <t>6 galaxy group in 8' area with a number of interesting disk structures</t>
  </si>
  <si>
    <t>Distinct and colorful open cluster with short linear alignment of bright blue and orange stars</t>
  </si>
  <si>
    <t>Globular cluster, designated Caldwell 84, in Centaurus</t>
  </si>
  <si>
    <t>NGC5296</t>
  </si>
  <si>
    <t>NGC5313</t>
  </si>
  <si>
    <t>NGC5311</t>
  </si>
  <si>
    <t>Lenticular with multiple parallel dust bands.  Image with NGC 5313</t>
  </si>
  <si>
    <t>Spiral with blue star clouds, pink HII regions, bright yellow core, and pair of strong arms of unequal lengths.  Image with NGC5311</t>
  </si>
  <si>
    <t>Seyfert grand design spiral with VV rows</t>
  </si>
  <si>
    <t>Oval (E3) elliptical with peanut (X) shape of the core halo.</t>
  </si>
  <si>
    <t>Barred spiral with asymmetric disk.  Numerous arm fragments in northwest half of the disk</t>
  </si>
  <si>
    <t>Edge-on spiral with good color and dust lane detail.  Numerous background galaxies</t>
  </si>
  <si>
    <t xml:space="preserve">Complex structure, with multiple dust lanes and several foreground superimposed stars.  </t>
  </si>
  <si>
    <t>NGC5360</t>
  </si>
  <si>
    <t>Milky Way size barred grand spiral with barlens, bright ansae and symmetric disk</t>
  </si>
  <si>
    <t>Barred spiral, almost face-on, with point symmetric blue star forming region around core, huge bar, dramatic dust lanes, and bright blue ansae</t>
  </si>
  <si>
    <t>NGC5379</t>
  </si>
  <si>
    <t>Lenticular, almost edge-on, with stunning dust lane.  Capture with NGC 5379, lenticular ring galaxy.</t>
  </si>
  <si>
    <t>Large edge-on lenticular with perfect dust lane and warped disk, adjacent to UGC8919</t>
  </si>
  <si>
    <t>UGC8919</t>
  </si>
  <si>
    <t>UGC8932</t>
  </si>
  <si>
    <t>Pair of barred interacting galaxies, connected with a star stream bridge</t>
  </si>
  <si>
    <t>Edge-on lenticular with center dust lane and central bulge</t>
  </si>
  <si>
    <t>Galaxy group of 10 galaxies, mostly spirals, anchored by the large 150,000 ly diameter elliptical NGC 5424</t>
  </si>
  <si>
    <t>Barred distorted grand spiral.  Blue star-like object in bar is dwarf companion, likely causing the extensive disturbance.</t>
  </si>
  <si>
    <t>2 pseudo-rings, around mid-region and outer disk edge.  Two similar faint features appear to cross these rings, which is hard to understand.</t>
  </si>
  <si>
    <t xml:space="preserve">Loose globular cluster with highest (XII) Shapley–Sawyer  rating </t>
  </si>
  <si>
    <t>Loose and beautiful Messier globular cluster</t>
  </si>
  <si>
    <t>Loose globular cluster with some internal dark regions</t>
  </si>
  <si>
    <t>Barred lenticular in Ursa Major</t>
  </si>
  <si>
    <t>Magellanic companion of M101.  Note offset core from gravitational interaction</t>
  </si>
  <si>
    <t>NGC5486</t>
  </si>
  <si>
    <t>NGC5485</t>
  </si>
  <si>
    <t>Odd dust band pattern - one band cuts across inner core while second band cuts across out disk.  Likely signs of a merger.</t>
  </si>
  <si>
    <t>Magellanic galaxy, adjacent to NGC 5486</t>
  </si>
  <si>
    <t>Similar to the Antennae Galaxies, 2 merging galaxies with 2 cores and 400,000 ly long tail</t>
  </si>
  <si>
    <t>Spiral, near edge-on, with offset core and star clouds throughout</t>
  </si>
  <si>
    <t>Huge superthin edge-on spiral with impressive dust lane, warped disk, and peanut-shaped ('X') core.  No central bulge</t>
  </si>
  <si>
    <t>Massive Seyfert spiral with abundant star formation in arms and dust lanes around core</t>
  </si>
  <si>
    <t xml:space="preserve">Barred grand design starburst spiral galaxy with bright ansae and an outer pseudo-ring.  3 small blue dwarf companions are likely causing the starburst behavior. </t>
  </si>
  <si>
    <t>Large lenticular in Bootes</t>
  </si>
  <si>
    <t>NGC 5576 Trio</t>
  </si>
  <si>
    <t>Mottled outer disk with short arms, blue star clouds and small bright core</t>
  </si>
  <si>
    <t>Magellanic galaxy with white bar, blue star clouds and single arm</t>
  </si>
  <si>
    <t>Pair of interacting galaxies connected by a short star stream bridge</t>
  </si>
  <si>
    <t>Interesting view, with Milky Way sized NGC 5599 at 300 million ly, and the rest of the group much further away at 700 million light years</t>
  </si>
  <si>
    <t>Lenticular galaxy with both a lens inner disk and a lens outer disk.</t>
  </si>
  <si>
    <t xml:space="preserve">Barred spiral galaxy with 2 pseudo-rings - inner and outer.  </t>
  </si>
  <si>
    <t>Face-on lenticular with dust lanes</t>
  </si>
  <si>
    <t>Distant concentrated globular cluster in Virgo</t>
  </si>
  <si>
    <t>Pair of non-interacting galaxies in Virgo.</t>
  </si>
  <si>
    <t>Tight core, long bar, and several VV rows in this barred face-on spiral</t>
  </si>
  <si>
    <t>Open cluster in Centaurus</t>
  </si>
  <si>
    <t>Ragged disk and disrupted arm structure.  Blue disk color indicates star formation ongoing.  Star clouds visible throughout disk</t>
  </si>
  <si>
    <t>IC1029</t>
  </si>
  <si>
    <t>Blue edge-on spiral.  Image with the brighter adjacent IC1029</t>
  </si>
  <si>
    <t>Photogenic group of 4 galaxies, all at different distances, highlighted by NGC5689, an edge-on spiral with dual mid-line dust lanes, bright glowing core, and warped disk</t>
  </si>
  <si>
    <t>Almost as far away as the diameter of our galaxy, this faint cluster is one of the most remote globular clusters.</t>
  </si>
  <si>
    <t>Graceful barred lenticular.  Small galaxy seen through the disk is 10x further away.</t>
  </si>
  <si>
    <t>NGC5719</t>
  </si>
  <si>
    <t>NGC5713</t>
  </si>
  <si>
    <t>Disturbed barred spiral disk, almost edge-on, with wide dark dust lane cutting across at an odd angle.  Image with NGC5719</t>
  </si>
  <si>
    <t>Barred Seyfert spiral with huge bar and 4 ring structures, including nuclear ring</t>
  </si>
  <si>
    <t>Edge-on galaxy with peanut-shaped (X-shaped) core peaking just above dark mid-line dust lane</t>
  </si>
  <si>
    <t>Barred spiral with bright small core that has a dark dust band cutting across the upper portion, a star-forming inner ring, and a diffuse outer disk with star plume</t>
  </si>
  <si>
    <t>Two merging galaxies connected by a star stream bridge.  Southern galaxy has fascinating wavy ring.</t>
  </si>
  <si>
    <t>Interacting blue and yellow pair, with close cores and extended star stream tails</t>
  </si>
  <si>
    <t>NGC 5775 Pair</t>
  </si>
  <si>
    <t>Interacting pair of blue (face-on) and yellow (edge-on) galaxies.  No visible bridge yet</t>
  </si>
  <si>
    <t>Barred grand design spiral, close to edge-on, with dramatic dust lanes and amazing 'H' disk shape</t>
  </si>
  <si>
    <t>Elliptical with interesting shock fronts that are tough to capture in an image</t>
  </si>
  <si>
    <t>Uniform brightness circular open cluster that is not well distinguished from background</t>
  </si>
  <si>
    <t>Distant concentrated globular cluster</t>
  </si>
  <si>
    <t>NGC5850</t>
  </si>
  <si>
    <t>NGC5846</t>
  </si>
  <si>
    <t>Elliptical seen with companion, no interaction observed.  Image with NGC5850</t>
  </si>
  <si>
    <t>Barred spiral with tremendous long bar, including barlens, plus inn pseudo-ring.  Image with NGC5846</t>
  </si>
  <si>
    <t>NGC 5852</t>
  </si>
  <si>
    <t>NGC 5852 Trio</t>
  </si>
  <si>
    <t>NGC5851</t>
  </si>
  <si>
    <t>Trio of Bootes galaxies, each about 100,000 ly in diameter, in a tight 3' circle</t>
  </si>
  <si>
    <t>NGC 5859 Pair</t>
  </si>
  <si>
    <t>Pair of similarly inclined barred spirals in Bootes, at much different distances.  NGC 5859 is larger and 160 million ly away.  NGC 5857 is much smaller and about half as far away.</t>
  </si>
  <si>
    <t>Single galaxy disk with 2 cores, blue and yellow</t>
  </si>
  <si>
    <t>NGC5858</t>
  </si>
  <si>
    <t>Barred grand design spiral with some disturbance in the northwest disk quadrant</t>
  </si>
  <si>
    <t>Some arm structure and dust bands, but most of disk flocculent.  Offset core.  Possible companion</t>
  </si>
  <si>
    <t>Inner disk with bright lens, yellow core and slight spiral shape.  Faint outer disk with little detail</t>
  </si>
  <si>
    <t>Large loose globular cluster</t>
  </si>
  <si>
    <t>NGC5900</t>
  </si>
  <si>
    <t>NGC5899</t>
  </si>
  <si>
    <t>Asymmetric barred disk structure with strong arm.  Image with NGC5900</t>
  </si>
  <si>
    <t>Edge-on spiral with core peaking out over dramatic dust lane.  Faint star stream arcs toward NGC5899</t>
  </si>
  <si>
    <t>NGC5908</t>
  </si>
  <si>
    <t>NGC5905</t>
  </si>
  <si>
    <t>Large barred ring galaxy with blue star clouds and 3 strong arms.  Image with NGC5908</t>
  </si>
  <si>
    <t>Splinter Galaxy, Knife Edge Galaxy</t>
  </si>
  <si>
    <t>Large superthin galaxy with weak dust lane and weak central bulge.  Slight warped disk.</t>
  </si>
  <si>
    <t>Sombrero Galaxy look-alike, although this galaxy is 5x further away.  Image with NGC 5905 - galaxies may be interacting</t>
  </si>
  <si>
    <t>NGC5916</t>
  </si>
  <si>
    <t>NGC5915</t>
  </si>
  <si>
    <t>Barred grand spiral with strong arms, each ending in a plume.  Image with NGC5915</t>
  </si>
  <si>
    <t>Strongly barred spiral galaxy with long bar.  Fragmented outer arms contain numerous blue star clouds.</t>
  </si>
  <si>
    <t>NGC5965</t>
  </si>
  <si>
    <t>Peanut-Shaped Core</t>
  </si>
  <si>
    <t>Barlens</t>
  </si>
  <si>
    <t>The peanut-shaped (also called X shaped or figure 8 shaped) pattern is due to the inherent vertical instability of the bar and the resulting periodic orbits of stars in the bar region. It is believed that these bulges are formed by a secular (slow) process of gas transport from the disk to the bulge area. Seen from the top, this pattern is called a barlens</t>
  </si>
  <si>
    <t xml:space="preserve">A barlense is a distinctive shape of a bright oval lens superimposed on a long, narrow, bright bar of similar brightness. The oval lens is about 1/2 the length of the bar. A bright core is always present and is about 1/4 the length of the oval lens. In comparison to a normal bar, the bar of a barlense is much brighter. Also, no oval lens is present in a standard bar.  Seen from the edge-on view, the barlense forms a peanut-shaped (X-shaped) pattern. </t>
  </si>
  <si>
    <t>E2/p</t>
  </si>
  <si>
    <t>LSB galaxy, close to face-on.  Image with NGC5965</t>
  </si>
  <si>
    <t>Edge-on barred spiral with little bulge, peanut-shaped core, and warped disk.  Image with NGC 5963</t>
  </si>
  <si>
    <t>Symmetric grand design spiral with blue star clouds.  Distant background galaxies</t>
  </si>
  <si>
    <t>NGC5981,5985</t>
  </si>
  <si>
    <t>NGC 5982 Trio</t>
  </si>
  <si>
    <t>Trio of galaxies, named the Draco Trio, anchored by the elliptical NGC 5982</t>
  </si>
  <si>
    <t>Edge-on warped spiral, west galaxy of the Draco Trio</t>
  </si>
  <si>
    <t>Lovely barred grand design spiral, east galaxy of the Draco Trio</t>
  </si>
  <si>
    <t>Medium size globular cluster in Lupus</t>
  </si>
  <si>
    <t>Edge-on spiral with numerous dark dust lanes of different orientations</t>
  </si>
  <si>
    <t>NGC 5993 Pair</t>
  </si>
  <si>
    <t>NGC5992</t>
  </si>
  <si>
    <t>Multipolar outflow PN, with good results from SHO imaging</t>
  </si>
  <si>
    <t>Pair of distant spirals (NGC 5992 and NGC 5993) in Bootes</t>
  </si>
  <si>
    <t>Small blue ill-defined BCD galaxy</t>
  </si>
  <si>
    <t>Barred grand design spiral with blue star clouds, HII regions, and VV rows</t>
  </si>
  <si>
    <t>Lost Galaxy,McLeish's Object,Tao Galaxy</t>
  </si>
  <si>
    <t>Barred grand design spiral with dark dust lanes forming an interesting X shape</t>
  </si>
  <si>
    <t>Small lenticular in Virgo</t>
  </si>
  <si>
    <t>NGC4551</t>
  </si>
  <si>
    <t>Nice pairing of small lenticular with small elliptical in Virgo, both similar distance away</t>
  </si>
  <si>
    <t>Barred spiral with asymmetric disk and many star clouds</t>
  </si>
  <si>
    <t>NGC 0456 (SMC)</t>
  </si>
  <si>
    <t>Wonderful edge-on spiral with 3D dust lanes, peanut shaped core, little bulge, and some disk warping</t>
  </si>
  <si>
    <t>NGC 4567 Pair</t>
  </si>
  <si>
    <t>NGC 4568</t>
  </si>
  <si>
    <t>Siamese Twins Galaxies, Butterfly Galaxies</t>
  </si>
  <si>
    <t>Lovely overlapping blue and yellow galaxies that do not appear to be interacting</t>
  </si>
  <si>
    <t>Edge-on lenticular with core bulge</t>
  </si>
  <si>
    <t>Symmetric grand design spiral with blue star clouds and inner pseudo-ring</t>
  </si>
  <si>
    <t>NGC4602</t>
  </si>
  <si>
    <t>NGC4593</t>
  </si>
  <si>
    <t>Seyfert grand design barred spiral.  Image with NGC4593</t>
  </si>
  <si>
    <t>Seyfert barred spiral with VV rows and inner pseudo-ring.  Image with NGC 4602</t>
  </si>
  <si>
    <t>Barred lenticular, close to face-on, with barlens and ansae</t>
  </si>
  <si>
    <t>Frankenstein Galaxy, Fabrege Egg Galaxy</t>
  </si>
  <si>
    <t>Featureless elliptical galaxy</t>
  </si>
  <si>
    <t>NGC4654</t>
  </si>
  <si>
    <t>NGC4639</t>
  </si>
  <si>
    <t>Barred spiral with inner pseudo-ring and ansae.  Image with NGC 4654</t>
  </si>
  <si>
    <t>Barred spiral with star clouds, HII regions and VV rows. Image with NGC 4639</t>
  </si>
  <si>
    <t>Barred lenticular galaxy with barlens and ansae</t>
  </si>
  <si>
    <t>Hockey Stick Galaxy, Crowbar Galaxy, Fish Hook Galaxy</t>
  </si>
  <si>
    <t>Tau Canis Majoris Cluster</t>
  </si>
  <si>
    <t>NGC 4631</t>
  </si>
  <si>
    <t>Barred lenticular, close to face-on, with barlens and inner ring</t>
  </si>
  <si>
    <t>Arrow-shaped open cluster just northwest of bright 5.3 mag blue star HD 110432</t>
  </si>
  <si>
    <t>NGC4624,4664</t>
  </si>
  <si>
    <t>Barred lenticular with barlens, inner ring and extremely faint outer disk</t>
  </si>
  <si>
    <t>Originally thought to be an elliptical, but now believed to be a lenticular, close to edge-on</t>
  </si>
  <si>
    <t>Small bright core and fascinating inner lens area, with rings of dust lanes.  Outer disk is very faint</t>
  </si>
  <si>
    <t>The inner disk has a spiral structure emanating from the central bar, which is a barlens, while the outer disk is flocculent</t>
  </si>
  <si>
    <t>Perfect edge-on orientation.  Glowing bulge has distinctive peanut shape (X pattern)</t>
  </si>
  <si>
    <t>NGC4712</t>
  </si>
  <si>
    <t>Stunning Seyfert barred galaxy with only 1 very long arm, extending for 2-1/2 revolutions around the core.</t>
  </si>
  <si>
    <t>Some of the most interesting dust lane patterns of any galaxy in the sky, likely from past mergers</t>
  </si>
  <si>
    <t>NGC4762</t>
  </si>
  <si>
    <t>NGC4754</t>
  </si>
  <si>
    <t>Barred lenticular with short stubby spiral arms.  Image with NGC 4762</t>
  </si>
  <si>
    <t>The flattest galaxy in the universe.  Significant disk warping.  Image with NGC 4754</t>
  </si>
  <si>
    <t xml:space="preserve">Collision ring galaxy plus the dwarf galaxy that caused the impact, with a short star stream between them.  </t>
  </si>
  <si>
    <t>Large grand design galaxy whose arms appear to make 2 revolutions around the core</t>
  </si>
  <si>
    <t>Seyfert edge-on spiral with lovely dark lanes</t>
  </si>
  <si>
    <t>Barred spiral with poorly defined arm structure</t>
  </si>
  <si>
    <t>Lenticular with tremendous dust lane structure in inner disk</t>
  </si>
  <si>
    <t>Barred lenticular with barlens and ansae, numerous foreground stars</t>
  </si>
  <si>
    <t>Barred face-on small spiral with poorly defined arm structure</t>
  </si>
  <si>
    <t>Unusual Hoag-type ring galaxy</t>
  </si>
  <si>
    <t>Eastern part of Coma Cluster</t>
  </si>
  <si>
    <t>Mid-stage merger, with galaxy disks touching, cores still separate, and tails</t>
  </si>
  <si>
    <t>Edge-on barred lenticular with slight disk warp</t>
  </si>
  <si>
    <t>Barred lenticular, almost face-on, with pseudo-ring around rim</t>
  </si>
  <si>
    <t>Barred spiral with nice arm structure, inner pseudo-ring and many background galaxies</t>
  </si>
  <si>
    <t>Star</t>
  </si>
  <si>
    <t>Faint molecular cloud to SE of the bright star 1 Andromeda, on the opposite side of the 3 156-a,b&amp;c molecular clouds</t>
  </si>
  <si>
    <t>Barred spiral with pseudo-ring, wacky arm fragments, and outer arms that terminate in star plumes.  Image with UGC 12423</t>
  </si>
  <si>
    <t>Cluster of 50 galaxies in small 8' diameter, anchored by 3 large ellipticals led by the 300,000 ly diameter NGC7499</t>
  </si>
  <si>
    <t>Barred face-on grand spiral with strong bar, bright star clouds, 2 strong arms, and numerous short curvy arms</t>
  </si>
  <si>
    <t>One of the brightest non-Messier galaxies.  Tightly coiled arms, small offset core with little bulge, and flocculent outer disk</t>
  </si>
  <si>
    <t>Spectacular blue-purple reflection nebula with windows to the background sky and lovely white arcs in the center</t>
  </si>
  <si>
    <t>Despite its nickname, this PN is in its final stage of life.  Many of the "stars" seen here are actually bright condensations</t>
  </si>
  <si>
    <t>Large emission nebula resembling North America.  Highlighted by The Wall, sculpted by radiation from region's massive stars.</t>
  </si>
  <si>
    <t>Trio of galaxies highlighted by NGC6928, with fascinating disk structure, offset core, 2 bright arm extensions and a wide outer disk</t>
  </si>
  <si>
    <t>Includes 3 blue reflection nebula, 4 white YSO objects, emission nebulae, dark nebulae and star clusters</t>
  </si>
  <si>
    <t>Two loose star stream rings, oval ring around core, and circular ring further out.  Long arm which extends to the left. </t>
  </si>
  <si>
    <t xml:space="preserve">Showcase Wolf-Rayet nebula, with visible WR136 as progenitor.  Billowing arcs of OIII at top and bottom are the highlight. </t>
  </si>
  <si>
    <t>Pair of galaxies - each has distorted spiral arms and is hiding behind foreground Milky Way star.  Likely bridge connected</t>
  </si>
  <si>
    <t>Golden hued bar contrasts with dark regions left and right of core.  Lack of symmetry indicates interactions</t>
  </si>
  <si>
    <t xml:space="preserve">Similar to NGC40, with white box that is cross-section of torus material from multi-polar PN gas flow.  Viewing PN in side view  </t>
  </si>
  <si>
    <t xml:space="preserve">Numerous bright emission nebulae surrounding bright open clusters, including Pismis 24.  </t>
  </si>
  <si>
    <t>Bipolar PN with bright torus ring and extended eye-shaped lobe region.  Great inner region with progenitor and other stars. Similar to NGC6369</t>
  </si>
  <si>
    <t xml:space="preserve">Galaxy group highlighted by NGC 6338, a large elliptical of 250,000 ly diameter </t>
  </si>
  <si>
    <t>Disturbed disk.  Star stream ring with faint streams, extending out in 2 parallel streams.  Messy core with 2 bright regions.</t>
  </si>
  <si>
    <t>Showcase nebula.  Large dust cloud eroded into billowing pillars, silhouetted against bright nebula</t>
  </si>
  <si>
    <t>Grand design spiral with pink HII regions and blue star clouds.  Dust lanes in inner region.  Asymmetric disturbed disk</t>
  </si>
  <si>
    <t xml:space="preserve">Grand design spiral with low brightness disk.  Interesting arm structure, which extends out more than 1 rotation with VV rows. </t>
  </si>
  <si>
    <t xml:space="preserve">Thin bright white bar, mottled arms that start from each bar end but go nowhere, and abundant blue star clouds </t>
  </si>
  <si>
    <t xml:space="preserve">Barred grand design spiral with tremendous star formation underway  Numerous star clouds and HII regions visible. </t>
  </si>
  <si>
    <t xml:space="preserve">Nice color contrast, with yellow core and blue arms and star clouds  The 2 bar segments, above and below core, are not aligned.  </t>
  </si>
  <si>
    <t>Progenitor star visible.  Both OIII and HII present, but OIII much stronger.  Elliptical nebula has thick outer rim.</t>
  </si>
  <si>
    <t>Odd asymmetric structure.  Bright rim section at top left.  OIII-dominated.  Progenitor star visible.</t>
  </si>
  <si>
    <t>OIII-dominated.  May be bipolar, looking side-on into torus. Blown out bipolar regions extend left and right.</t>
  </si>
  <si>
    <t>Double-shelled bi-polar PN with binary central star. OIII-dominated inner shell oblong. Outer shell much fainter.</t>
  </si>
  <si>
    <t>This PN is primarily comprised of OIII signal, resulting in its blue appearance.  Progenitor not seen.</t>
  </si>
  <si>
    <t>Visible central star.  HII rim, OIII inner region. Whitish area of outer rim scalloped.  Galaxy seen behind rim at 8 o'clock.</t>
  </si>
  <si>
    <t>Largest Abell object.  SNR very similar to Sh2-308.  Appears to be undergoing deformation and breakout.</t>
  </si>
  <si>
    <t xml:space="preserve">Quasar (J014709+463037-11 billion light years away) gravitationally lensed by closer galaxy into 4 dots </t>
  </si>
  <si>
    <t>ARP: LSB COMPANION - Grand design spiral galaxy, "companion" is distant galaxy.  Very small apparent size.</t>
  </si>
  <si>
    <t>ARP: ELLIPTICAL/SPIRAL PAIR - Face-on spiral with displaced core &amp; asymmetric disk, incl. VV rows. Little interaction.</t>
  </si>
  <si>
    <t>ARP: DIFFUSE COUNTER-TAILS - 2 bright ellipticals &amp; 5 others.  Highest density and smallest size of any Hickson.</t>
  </si>
  <si>
    <t xml:space="preserve">Dark, irregular vacancy. The middle of a great vacancy extending east and west, 2.5 deg long and .5 deg wide. </t>
  </si>
  <si>
    <t>Faint, east of Rho Ophiuchi. The middle of the great vacant lane that runs east from the region of Rho Ophiuchi. About 32' wide.</t>
  </si>
  <si>
    <t>Very faint - Definite; one of a group toward the east end of the dark lane from Rho Oph. 2 irregular lanes run west to B 47.</t>
  </si>
  <si>
    <t>Dark nebulosity north of B246 - Curved; extended NE and SW; this and B 57 are the most distinct of a group SW of B63.</t>
  </si>
  <si>
    <t>Faint - W of M 9; This object is cometary in form and has a very black core</t>
  </si>
  <si>
    <t xml:space="preserve">Faint 2 lobed dark nebula next to brighter star - Slightly curved, extending 5' N from CD -24 13325 (mag 7.1). </t>
  </si>
  <si>
    <t>Adjacent to B100, very faint - Definite; irregular; 13' long NE and SW; 4' wide; separated from B100 by small stars.</t>
  </si>
  <si>
    <t>Very faint - Irregular dark region; diam. .5 degree; liberally sprinkled with stars in its NW half; several dark lanes in SE</t>
  </si>
  <si>
    <t>Very faint - Roundish; diam. 1.5'; a narrow spur 4'-5' long from its NE edge; narrow lane 18' long and 1.5' wide</t>
  </si>
  <si>
    <t>The darkest opacity rating of 6 - fairly well-defined. Tadpole-shaped, 16' long E and W. with mag 9 star in center.</t>
  </si>
  <si>
    <t>Appealing dark nebula next to brighter star - Very small; like a dark border to the SW side of the mag 7 star</t>
  </si>
  <si>
    <t>Faint - Round; diam. 5'; 8' plus or minus W of BD +54 2576 (mag 8.3); a semicircle of faint stars forms western border</t>
  </si>
  <si>
    <t>Winding dark nebula near IC1396 - head sharp and black, 3' across. Extends north for 3', then widens out into 13' tail</t>
  </si>
  <si>
    <t xml:space="preserve">Beautiful long dark nebula leading to IC5146 - This nebula is 10' in diameter with over a dozen stars in it. </t>
  </si>
  <si>
    <t xml:space="preserve">Small patch of dark nebulosity north of B169 - Irregular black strip 26' long NE and SW, 4' wide. </t>
  </si>
  <si>
    <t>A beautiful field with the 2 vdB and 5 Barnard nebulae - Irregular; diam. 14' plus or minus; 15' SW of mag 7 star</t>
  </si>
  <si>
    <t>Dark nebula adjacent to NGC1333 - Two dark strips, 15' long N and S, with mag 9.3 star between them</t>
  </si>
  <si>
    <t>Dark nebulosity northeast of IC2087 - Round, diam. 7'; feebler extension runs NW for 1 degree</t>
  </si>
  <si>
    <t>Very faint - Dark lane N of CD -30 13487 (mag 8.0). Beginning 10' NW, this dark lane runs NE for 37' and turns E for 18'.</t>
  </si>
  <si>
    <t>Faint - Irregular; sharpest on W side; about 30' long N and S, 20' wide; from S end a narrow projection runs W 10'.</t>
  </si>
  <si>
    <t>Faint - Irregular dark area; diam. 1/2 degree; BD -19 4605 (magnitude 6.5) on W border; BD -19 4617 (mag 7.8) in E part</t>
  </si>
  <si>
    <t>Comprises the "smoke" of the Pipe Nebula.  Set in a nice field of Barnard nebulae and Milky Way stars - diam 1/2 deg</t>
  </si>
  <si>
    <t>Dark nebulosity south of B262 - Elongated E and W, 14'x5'; diffused on S side, reaching to mag 7.6 star 18' SE of center</t>
  </si>
  <si>
    <t>Fascinating dark nebula in Ophiuchus - irregular dark markings; diam. 45'; CD -23 13469 (mag 8.0) near middle.</t>
  </si>
  <si>
    <t>Lovely irregular nebulosity patch in Ophiuchus - Broken region of dark markings; diam. 3/4 degree</t>
  </si>
  <si>
    <t>Faint - Narrow; 18' long E and W; BD -22 4387 (mag 8.3) at W end. Less distinct branch runs 30' SE &amp; forms large V</t>
  </si>
  <si>
    <t>Faint, interesting X nebulosity shape - Irregular dark area; diam. 1 deg; BD -22 4405 (mag 7.3) near N edge</t>
  </si>
  <si>
    <t>Irregular dark nebulosity in Sagittarius - 18' long NE and SW; sharp on NW side; CD -23 13589 (mag 8.0) near SE end</t>
  </si>
  <si>
    <t>Wonderfully complex dark nebula in Scorpius - Irregular, dusky area 1 1/2 deg plus or minus E and W, 1 deg N and S</t>
  </si>
  <si>
    <t>Arrowhead shaped dark nebulosity - Curved; 35' NE and SW, 5' wide; outline sharp except at SW end</t>
  </si>
  <si>
    <t xml:space="preserve">Perfect pairing, adjacent to M7.  Looks like Burning Man logo. - Irregular, semi-vacancy; diam. 1/2 degree </t>
  </si>
  <si>
    <t xml:space="preserve">Faint - Small, round, black; diam. 5'. CD -33 12697 (mag 8.3) is on east edge of this spot; very faint star in the center. </t>
  </si>
  <si>
    <t>Large and faint - Region of irregular, dark markings, 2 deg E of M 23; 1 1/2 deg E and W and about 1 deg N and S</t>
  </si>
  <si>
    <t>Lovely winding nebula through the red head of IC4685 - Very black; convex to E; diameter about 1'</t>
  </si>
  <si>
    <t>Fantastic dark nebulae shape - Dark; irregular; diam. 13'. Dark streamers radiate from this spot north for 3/4 deg</t>
  </si>
  <si>
    <t>Faint small dark nebula - Small, narrow, black; 4' long NE and SW; CD -25 12920 (magnitude 8.2) 5' SW of W end</t>
  </si>
  <si>
    <t>Only opacity class 4, but nicely placed in Milky Way star field - Large, dark area; 1 3/4 degree NW and SE, about 30' wide</t>
  </si>
  <si>
    <t>Large and faint, northeast of M11 - Irregular; diam. 15' ; BD -6 4941 (mag 7.5) near center; at S end of B 111</t>
  </si>
  <si>
    <t xml:space="preserve">Faint "R-shaped" dark nebula - Definite, dusky loop. Lane is 2'-4' wide. The length of the E side is 35'. </t>
  </si>
  <si>
    <t>Very faint - Area of dark lanes. A black spot, connected with these lanes, is located 15' N of BD +8 4112 (mag 7.5)</t>
  </si>
  <si>
    <t>Very faint - Area of irregular dark lanes; diam. 1 degree; irregular lanes have a uniform width of about 2'</t>
  </si>
  <si>
    <t>Very faint -  - Narrow, dark lane, about 30' E and W. One of several dark lines in region. Narrow, 1.5' wide.</t>
  </si>
  <si>
    <t>Beautifully positioned in center of bright nebula field - Elongated; 13' long NW and SE; sharpest at SE end</t>
  </si>
  <si>
    <t>Very faint - Narrow, dusky; nearly 1 deg long NE and SW. The southwest end of this dusky lane curves west and then north</t>
  </si>
  <si>
    <t>Dark nebulosity west of IC 5070 (Pelican Nebula) - Small, curved, dusky; diam. 6'. Elongated north and south</t>
  </si>
  <si>
    <t>Not very dark, shows up nicely in bright star field. - Large; black; diam. 22'; sharply defined on SE side</t>
  </si>
  <si>
    <t>Faint with some good detail - Irregular; dusky; diam. 24; BD +46 3141 (mag 7.6) on SE border</t>
  </si>
  <si>
    <t>a, b and c are all at the same distance of 200 mly. Galaxy d is much further away at 1 bly and is largest galaxy at 130 kly</t>
  </si>
  <si>
    <t>Furthest Hickson - all galaxies are 2 billion ly.  The most obscure, faint, &amp; distant object that is part of a common catalogue.</t>
  </si>
  <si>
    <t>Dimmest Hickson group in surface brightness.  All galaxies at same distance and have NGC designations</t>
  </si>
  <si>
    <t>Beautifully texture nebula with both reflection and emission parts, resulting in red and blue hues at head</t>
  </si>
  <si>
    <t>Highly disturbed edge-on barred spiral.  Looks like a merger result but no scientific evidence of a merger has been found so far.</t>
  </si>
  <si>
    <t>ARP: DISTURBED WITH ABSORPTION -  Classic merger profile with extended star streams and dust lanes.</t>
  </si>
  <si>
    <t>ARP: DISTURBED WITH ABSORPTION -  Late stage merger of 2 galaxies, nice color including HII regions.</t>
  </si>
  <si>
    <t>Distant cluster is upstaged by the adjacent 3 galaxy merger object NGC 3447.</t>
  </si>
  <si>
    <t>ARP: IRREGULARITIES - A wonderful mess, looking like a late stage galaxy merger.   Nice color and detail.</t>
  </si>
  <si>
    <t>ARP: LOOPS -  merger in process, with double core, bright star clusters, and long tail.</t>
  </si>
  <si>
    <t>ARP: LOOPS -  Late stage merger with star clouds and looping long arm.</t>
  </si>
  <si>
    <t>ARP: LOOPS -  Fantastic late stage merger with nice color and detail, highlighted by looping streams and tail.</t>
  </si>
  <si>
    <t>ARP: AMORPHOUS ARMS - Late stage merger with streams and shells.</t>
  </si>
  <si>
    <t xml:space="preserve">ARP: AMORPHOUS ARMS - Showcase merger object with winding star streams extending out to 400,000 light years. </t>
  </si>
  <si>
    <t>ARP: FISSION - Late stage merger - 2 core remnants separated by an orange dust band.</t>
  </si>
  <si>
    <t>This is a single merger remnant and not 4 separate galaxies as orig. identified.  Smallest Hickson in areal extent.</t>
  </si>
  <si>
    <t>All 4 galaxies at same distance. Interesting structures, including a galaxy merger.</t>
  </si>
  <si>
    <t>Elliptical galaxy with odd dust lane pattern, probably the result of a recent merger.</t>
  </si>
  <si>
    <t>Looks like a merger between an elliptical and spiral galaxy. Faint star plumes, offset core, and interesting dust lanes.</t>
  </si>
  <si>
    <t>A grand design spiral and a lenticular dancing a tango prior to their merger.</t>
  </si>
  <si>
    <t>Triangular core with long tail - likely a merger remnant</t>
  </si>
  <si>
    <t xml:space="preserve">Seyfert 2 galaxy - late stage merger of 2 galaxies. </t>
  </si>
  <si>
    <t>Wide bar and mid-region pseudo-ring.  Asymmetric broad dust pattern on right side suggests likely past merger</t>
  </si>
  <si>
    <t>Barred lenticular shell galaxy, likely merger remnants</t>
  </si>
  <si>
    <t>Near face-on barred spiral that is likely a merger result, with fragmented arms and a chaotic disk.</t>
  </si>
  <si>
    <t>Late stage merger object, with no obvious core and the center looking like a ball of snakes.</t>
  </si>
  <si>
    <t>Late stage merger with significant disturbance, blue color, coalesced core, and long faint star stream</t>
  </si>
  <si>
    <t>Galaxy merger with single core and long streams and tails</t>
  </si>
  <si>
    <t>Magnificent dark lane encircling inner region, likely the result of a past merger</t>
  </si>
  <si>
    <t>Late stage merger with single core and swirling dust bands</t>
  </si>
  <si>
    <t>Likely merger object, with complex arm fragments and star streams</t>
  </si>
  <si>
    <t>Disturbed face-on elliptical, likely a merger object with several linear star stream extensions</t>
  </si>
  <si>
    <t>Looks like collisional galaxy, although could be merger remnants</t>
  </si>
  <si>
    <t>Tough object to understand - could be Magellanic galaxy or a merger</t>
  </si>
  <si>
    <t>Late stage merger of 2 galaxies, in a rough bird shape</t>
  </si>
  <si>
    <t>Appears to be late stage merger object, with a single combined core and several tails</t>
  </si>
  <si>
    <t>Late stage merger, 1 of 4 nearby galaxies at the same distance</t>
  </si>
  <si>
    <t>Incredible huge elliptical in early merger stage with 3 smaller galaxies</t>
  </si>
  <si>
    <t>Late stage merger with single coalesced core and extended star streams</t>
  </si>
  <si>
    <t>Two nicely detailed spiral galaxies beginning their merger tango with a faint bridge and some disturbance</t>
  </si>
  <si>
    <t>Merger with single core, dust lanes, and small tail remnant</t>
  </si>
  <si>
    <t xml:space="preserve">HII and OIII signals are similar for this oval PN. Interesting texture in inner region, like an hourglass.  </t>
  </si>
  <si>
    <t>ARP: DETACHED SEGMENTS - Numerous star clouds and HII regions seen throughout, with rough mid-region ring.</t>
  </si>
  <si>
    <t xml:space="preserve">ARP: NARROW FILAMENTS - All galaxies at same distance.  'a' is grand design spiral disturbed by companion 'c' </t>
  </si>
  <si>
    <t>Faint large dark nebula - Rather definite; Extended NE and SW with a projection SW that connects it with Rho Oph</t>
  </si>
  <si>
    <t>Dark nebulosity arc in Ophiuchus - Large, curved figure, convex to N; the W end abrupt; 97' E and W, 19' wide</t>
  </si>
  <si>
    <t>Faint, just south of M11 - Diam. 6'; BD -7 4754 (mag 9.2) near middle; BD -7 4755 (mag 9.1) on S edge</t>
  </si>
  <si>
    <t>1.5 degree E-W thin line south of M11 - Long, straight, dark line. Extends E and W for about 1 1/2 deg, 2' wide.</t>
  </si>
  <si>
    <t>Faint - Dark; diam. 3', with narrow extension for 17' to NW. This small spot is in dark space in star cloud.</t>
  </si>
  <si>
    <t>Faint and interesting structure - Diam. 20'; diffuses to NE; a curve of stars along N edge</t>
  </si>
  <si>
    <t>Part of the IC1396 emission complex - Dark S-shaped object; 22' long N and S; BD +55 2604 (mag 9.0) near SW end</t>
  </si>
  <si>
    <t>Dimmest Hickson group and one of the most challenging to image.  One of smallest Hicksons at 40,000 ly diam.</t>
  </si>
  <si>
    <t xml:space="preserve">b and c have interesting structures.48b has blue strong arm extending down out of core, 48c has mid-region ring. </t>
  </si>
  <si>
    <t>The Box of 4 galaxies is 4th brightest Hickson and one of the prettiest.  Largest galaxy in apparent size ('b' is 4.5')</t>
  </si>
  <si>
    <t>One of the densest galaxy clusters.  Although Seyfert's Sextet, there are only 5 galaxies.  Brightest Hickson.</t>
  </si>
  <si>
    <t>All 4 galaxies are ellipticals and at same distance.  One of the smallest, faintest, and least spectacular Hickson.</t>
  </si>
  <si>
    <t xml:space="preserve">Galaxy adjacent to famous Hanny's Voorwerp, green intergalactic cloud that is light echo of former quasar. </t>
  </si>
  <si>
    <t>One of the nearest globs to the galactic center.  Cluster flattened due to gravitational influence of Milky Way core.</t>
  </si>
  <si>
    <t>Dust pillars and dark nebula silhouetted against emission nebulae make for a satisfying but not spectacular image</t>
  </si>
  <si>
    <t>Underappreciated bright colorful open cluster, nicknamed the Jolly Roger for its resemblance to pirate flag</t>
  </si>
  <si>
    <t>Nicknamed Herschel’s Ray after its discoverer, John Herschel, who described it as “an extraordinary long narrow ray of excessively feeble light”.</t>
  </si>
  <si>
    <t>Grand design spiral with blue star clouds and VV arms.  Blue star superimposed left of core.  Nice pair with NGC 3501.</t>
  </si>
  <si>
    <t>Similar to NGC4096, with an offset core, fragmented arms, blue star clouds, and no bulge.  Image with NGC3513</t>
  </si>
  <si>
    <t>Faint outer disk, interesting inner region with partial dust lane. 1st galaxy where gas was observed to counter-rotate compared to stars.</t>
  </si>
  <si>
    <t>Odd asymmetric disk structure  Ragged arms with VV rows.  Blue star clouds and HII regions throughout.  Offset barred core</t>
  </si>
  <si>
    <t>Unusual spiral with no arms in southern half and long arm in northern half.  Slightly barred. Image with NGC 3898</t>
  </si>
  <si>
    <t>Dark dust lanes and blue star clouds are seen in disk surrounding unbarred galaxy.  Arm structure appears flocculent</t>
  </si>
  <si>
    <t>Strong intermediate dust lanes and fragmented arms.  Bright inner core.  Highlight is faint star streams around outer disk edge</t>
  </si>
  <si>
    <t>Past mergers have created interesting views of the core and extended halo, with dust clouds and star streams</t>
  </si>
  <si>
    <t xml:space="preserve">Virgo Trio, the Stairway to Heaven, consists of 3 similar sized edge-on spirals in tight 24" FOV.  </t>
  </si>
  <si>
    <t>2 face-on galaxies with more structure than expected for their small size.  Likely further away than data indicates</t>
  </si>
  <si>
    <t xml:space="preserve">Flocculent disk, becoming diffuse towards outer edge.  Dust lanes distinct but not continuous.  Blue middle disk contrasts with yellow central region.  </t>
  </si>
  <si>
    <t xml:space="preserve">Active core region.  Bright star clouds creating a chain-of-beads effect in the bar.  Dark dust clouds scattered about. </t>
  </si>
  <si>
    <t>2 interesting features - striking inner ring dust band and shape of the brightness of the inner region, "peanut shaped".</t>
  </si>
  <si>
    <t>Small Magellanic spiral, with dust lanes roaming amongst bright star clusters, all enveloped in hazy outer star cloud</t>
  </si>
  <si>
    <t>ARP: INFILL &amp; ATTRACTION - Showcase colorful galaxy with bridged companion  Image with NGC 4656</t>
  </si>
  <si>
    <t>Edge-on spiral with tremendous star formation and many blue star clouds.  Image with NGC 4631</t>
  </si>
  <si>
    <t>Barred starburst spiral galaxy, close to edge-on, with no bulge, mottled disk, complex dust lanes, and blue star clouds.</t>
  </si>
  <si>
    <t>LSB galaxy with 2 faint concentric rings, which are actually closer to being hexagons and resembling VV rows</t>
  </si>
  <si>
    <t>Galaxy is undergoing active star formation.  The core consists of 4 tiny bright areas near the center of the bar.</t>
  </si>
  <si>
    <t xml:space="preserve">Barred galaxy has striking integral sign shape, with varying color across the length of the arms and core.  </t>
  </si>
  <si>
    <t>Intense red star-forming nuclear ring surrounds small yellow core.  Blue star clouds in disk.  Arm structure diffuse</t>
  </si>
  <si>
    <t>Faint barred grand design galaxy, with 2 distinct arms emanating from each end of the bar and extending for 1 rotation</t>
  </si>
  <si>
    <t>Superb object - hexagon inner region, warped outer disk with VV rows, HII regions, and amazing outward arm spread</t>
  </si>
  <si>
    <t xml:space="preserve">5 galaxy group anchored by NGC 5090, a huge 250,000 ly diameter which is adjacent to a magnificent spiral.  </t>
  </si>
  <si>
    <t xml:space="preserve">Magnificent polar ring galaxy, with long polar stream 3 times the length of the galaxy.  1/2 degree NW of Spica </t>
  </si>
  <si>
    <t>Arms extend out for 270 degrees.  Each arm splits into 2 about halfway along length.  Many star clouds, HII regions and dust lanes.</t>
  </si>
  <si>
    <t>Large barred galaxy, almost edge-on, with bright star clouds and long disturbed upper arm.  Bridge conn. to companion NGC5296</t>
  </si>
  <si>
    <t>Grand design spiral with 3 distinct arm regions - 2 tight arms that spiral 1 time around core, mid-region oval ring, and 2 arms that spiral 540 deg out from ring.</t>
  </si>
  <si>
    <t>Attractive slightly barred grand design spiral galaxy.  Arms are discontinuous and hard to trace.  Faint star streams beyond arms.</t>
  </si>
  <si>
    <t>ARP: SMALL HSB COMP. - Fascinating merging galaxies with companion nearby.</t>
  </si>
  <si>
    <t>ARP: SMALL HSB COMP - merging galaxies with star plumes and streams.</t>
  </si>
  <si>
    <t>ARP: LARGE HSB COMP - A favorite - 2 merging galaxies and a long wrapping star stream.</t>
  </si>
  <si>
    <t>ARP: ELLIPTICAL/SPIRAL PAIR - Two large galaxies merging, with looping star streams and a bridge.</t>
  </si>
  <si>
    <t>ARP: DIFFUSE FILAMENTS - Pair of merging galaxies with long extended star stream tail.</t>
  </si>
  <si>
    <t>ARP: NARROW FILAMENTS - Pair of merging galaxies, with 2 unique cores and a 300,000 ly tail</t>
  </si>
  <si>
    <t>ARP: NARROW FILAMENTS - Pair of merging galaxies  with 1 combined core and 2 star stream tails.</t>
  </si>
  <si>
    <t>ARP: EJECTED MATERIAL - Trio of galaxies, with 2 merging and having numerous blue star clouds.</t>
  </si>
  <si>
    <t>ARP: FISSION - Interesting group highlighted by pair of merging galaxies with 2 close cores.</t>
  </si>
  <si>
    <t>Distant merging galaxy trio with bridges and looping star streams</t>
  </si>
  <si>
    <t>Two edge-on galaxies in process of merging.  Diffuse star plumes.</t>
  </si>
  <si>
    <t>Trio of merging galaxies</t>
  </si>
  <si>
    <t>Trio of merging galaxies, with looping and extended star streams</t>
  </si>
  <si>
    <t>Contrasting blue and yellow colors of merging galaxy pair, with both cores in close contact</t>
  </si>
  <si>
    <t>Contrasting color in this pair of merging galaxies with long tails</t>
  </si>
  <si>
    <t>Pair of contrasting blue and yellow merging galaxies with disturbance and a connecting bridge</t>
  </si>
  <si>
    <t>ARP: DISTURBED WITH ABSORPTION -  merged core with extended star streams.</t>
  </si>
  <si>
    <t xml:space="preserve">ARP: IRREGULARITIES - Late stage merged galaxy with chaotic dust lanes, vivid colors and no outer disk. </t>
  </si>
  <si>
    <t>ARP: RINGS - Likely merged galaxy, with striking dust lanes and shells.</t>
  </si>
  <si>
    <t>Pair of merging galaxies with merged core and 500,000 ly of star stream tails.</t>
  </si>
  <si>
    <t>Single merged core with starburst activity, HII regions, dust lanes, and no tails</t>
  </si>
  <si>
    <t>ARP: ELLIPTICAL/SPIRAL PAIR - Severely disturbed large spiral, looking like 2 merged galaxies.</t>
  </si>
  <si>
    <t>ARP: AMORPHOUS ARMS - Typical late stage merger with single chaotic core surrounded by winding star streams.</t>
  </si>
  <si>
    <t>ARP: AMORPHOUS ARMS - Late stage merger with beautiful star stream loop and tails</t>
  </si>
  <si>
    <t>Dark nebulosity just southwest of IC2087.  Very small, bright nebula.</t>
  </si>
  <si>
    <t>Small dark path north of Cederblad 30</t>
  </si>
  <si>
    <t>Faint - Small, sharply defined, elongated spot in the nebulosity NW of 15 Monoceros.</t>
  </si>
  <si>
    <t>Faint dark nebulosity just south of NGC6401 - Irregular; several small stars in it; narrow extension to the S</t>
  </si>
  <si>
    <t xml:space="preserve">Irregular dark nebula in Sagittarius - 22' long E and W; extension from it 20' toward the NW. </t>
  </si>
  <si>
    <t>Large and very faint - Irregular; not very definite; diam. 1 degree</t>
  </si>
  <si>
    <t>Small nebulosity next to B150 - round; indefinite; diam. 3'</t>
  </si>
  <si>
    <t>Small nebulosity next to B150 - round; indefinite; diam. 2'. This spot and B 148 each in a larger dusky space.</t>
  </si>
  <si>
    <t>Tiny nebulosity in Sagittarius - Definite; diam. 3'; star in SW part</t>
  </si>
  <si>
    <t>Patch of dark nebulosity in bright Cygnus region - Dusky spot, 7' long; like arrowhead, pointed SW; small star at NE end</t>
  </si>
  <si>
    <t>Patch of dark nebulosity in bright Cygnus region - Curved; convex to E; 15' long; bordered by 2 curves of stars.</t>
  </si>
  <si>
    <t>Patch of dark nebulosity in bright Cygnus region - Curved, black spot; diam. 10'; embraces to N a triangular mass of stars</t>
  </si>
  <si>
    <t>Very faint - Irregular, dark marking. This, together with dusky space in which B 151 is located, forms zigzag 54' long.</t>
  </si>
  <si>
    <t>Wonderful long thin wiggly dark nebula</t>
  </si>
  <si>
    <t>Faint spherical OIII-dominated PN with progenitor</t>
  </si>
  <si>
    <t>Barred yellow core and blue arms with star clouds, slightly disturbed arms.  Nice pair with IC5039</t>
  </si>
  <si>
    <t>Beautiful galaxy with distinct arms, star clouds, and pink HII regions.  Arm extend 360 degrees from core.</t>
  </si>
  <si>
    <t>Barred grand design spiral, appearing with a group of galaxies</t>
  </si>
  <si>
    <t>Magnificent ET cluster of 150 stars of varying color and brightness</t>
  </si>
  <si>
    <t>Appears to be 2 close bridge connected spiral galaxies</t>
  </si>
  <si>
    <t>Eclectic lizard-like spiral with messy inner core, bright star clouds, and a unique curving shape.</t>
  </si>
  <si>
    <t>Famous California-shaped emission nebulae, which looks good in either SHO or HaRGB imagery</t>
  </si>
  <si>
    <t>OIII PN with fascinating filamentary inner structure</t>
  </si>
  <si>
    <t>5 galaxies with interesting structure, highlighted by the barred ring grand spiral NGC 1723</t>
  </si>
  <si>
    <t>Complex inner bar lens region with nuclear core and ansae, faint outer arms</t>
  </si>
  <si>
    <t>Reflection nebula around young variable star, bipolar flow evident</t>
  </si>
  <si>
    <t>Combination reflection &amp; emission nebula, contains 6 vdB objects</t>
  </si>
  <si>
    <t>Inner pseudo-ring is slightly off-center</t>
  </si>
  <si>
    <t>Seyfert double ring spiral with bright short inner arms and 2 faint closed outer rings</t>
  </si>
  <si>
    <t>Chaotic spiral with diffuse outer disk</t>
  </si>
  <si>
    <t>Circular concentration of uniform stars in Puppis</t>
  </si>
  <si>
    <t>Diamond shaped open cluster, nice color</t>
  </si>
  <si>
    <t>Highlight of group is NGC 2684, which has a strange and unique disk structure</t>
  </si>
  <si>
    <t>Disk appears in glorious detail, especially the blue star clouds</t>
  </si>
  <si>
    <t>Barred grand design galaxy with outer pseudo-ring, VV rows and an off-center nuclear ring.</t>
  </si>
  <si>
    <t>Lovely broad star forming mid-ring and diffuse outer disk</t>
  </si>
  <si>
    <t>Heading up a group of 4 galaxies, this galaxy has incredible structure - deformed bar surrounding by bright inner ring, from which emanate numerous short arm fragments</t>
  </si>
  <si>
    <t>Edge-on Seyfert starburst spiral, looking like a colorful turbulent thunderstorm</t>
  </si>
  <si>
    <t>Seyfert double ring double barred spiral with blue star forming mid-region ring</t>
  </si>
  <si>
    <t>Similar to M101 (Pinwheel Galaxy), but twice as far away</t>
  </si>
  <si>
    <t>Extended star streams, likely caused by a recent collision with an unseen dwarf companion</t>
  </si>
  <si>
    <t>Yellow inner lens. Nice detail in outer arms, with star clouds and dust lanes</t>
  </si>
  <si>
    <t>A pairing a bit like M51 - 2 galaxies interacting, one in front of the other, with a faint star stream bridge between</t>
  </si>
  <si>
    <t>Diffuse outer disk but interesting inner region, with star forming arm regions and dust bands</t>
  </si>
  <si>
    <t xml:space="preserve">Stellar core surrounded by dark billowing dust clouds.  Outer edge of this region is smoothly circular. </t>
  </si>
  <si>
    <t>Magellanic galaxy so close that it has 3 NGC emission nebulae - NGC 4399,4400,4401</t>
  </si>
  <si>
    <t>Barred lenticular, bar oriented at 45 degrees from major axis</t>
  </si>
  <si>
    <t>Incredibly strong Ha signal.  Star clouds and Ha regions lie in strangely curving arcs, looking like an octopus on fire</t>
  </si>
  <si>
    <t>Lenticular with small core and star-forming ring around inner region</t>
  </si>
  <si>
    <t>Slightly barred grand design spiral with VV rows and multiple arms in the outer disk</t>
  </si>
  <si>
    <t>Trio of galaxies in Virgo, anchored by the E3 elliptical NGC 5576</t>
  </si>
  <si>
    <t>Disturbed galaxy with offset core and asymmetric disk, dominated by long arm on one side of disk while the opposite side is void.</t>
  </si>
  <si>
    <t>Disturbed barred spiral, close to face-on, with no distinct arm structure, a bright inner disk, an asymmetric core and large dust lane, purple HII regions, and the bottom half of the disk has a blue tint.  Image with NGC5719</t>
  </si>
  <si>
    <t>Group of 7 galaxies highlighted by NGC 5945, a beautiful barred ring spiral with star plumes</t>
  </si>
  <si>
    <t>Nice spacing and color - resembles backward "3"</t>
  </si>
  <si>
    <t>Barred spiral with curved off-center bar  Numerous star clouds and HII regions. Distorted arms with VV rows</t>
  </si>
  <si>
    <t>Incredible view - brilliant cluster with dense Milky Way as backdrop, adjacent to Barnard86</t>
  </si>
  <si>
    <t>Marvelous bi-polar 2 lobed shape of this HII PN, with rippled filaments and lobe breakthrough.  Visible progenitor</t>
  </si>
  <si>
    <t>Oval shaped open cluster in Sagittarius</t>
  </si>
  <si>
    <t>Wedge-shaped open cluster that is hard to differentiate from dense Sagittarius background</t>
  </si>
  <si>
    <t>Face-on barred lenticular with ansae and faint asymmetric outer disk (dark area in northeast part of disk)</t>
  </si>
  <si>
    <t>Showcase object, including reflection nebulae, dark nebulae, HH objects and globular star cluster</t>
  </si>
  <si>
    <t>Lovely large multi-arm barred spiral</t>
  </si>
  <si>
    <t>One of only a few DSOs to show evidence of a direct collision between the ISM (gas, dust and magnetic fields) of each galaxy, not just gravitational interaction</t>
  </si>
  <si>
    <t>Dense open cluster, globular like, helps to discern from starry background.  Nice pairing with NGC 6755</t>
  </si>
  <si>
    <t>Massive open cluster - resembles globular</t>
  </si>
  <si>
    <t>Interesting dark bands on half of disk.  Odd arm structure, with arms winding tightly and ending mid-disk.  Outer disk diffuse</t>
  </si>
  <si>
    <t>Tight (3' diameter) group of 4 galaxies, including wonderful grand design spiral</t>
  </si>
  <si>
    <t xml:space="preserve">Similar to NGC 7354, this OIII PN has dim white progenitor, bright elliptical inner football shell, and circular outer shell. </t>
  </si>
  <si>
    <t>Barred ring spiral galaxy, nice color contrast</t>
  </si>
  <si>
    <t>Oblong cluster that does not differentiate well from the background at the edges</t>
  </si>
  <si>
    <t>Nearly face-on barred spiral with chaotic arm structure and slightly asymmetric disk</t>
  </si>
  <si>
    <t>Similar to M104, this edge-on spiral has a gold halo &amp; bright bulge, cut by a thin dust lane which is doubled in places</t>
  </si>
  <si>
    <t>Odd comet-like blue galaxy shape</t>
  </si>
  <si>
    <t>Off center collisional ring</t>
  </si>
  <si>
    <t>Amazing collisional ring with core still visible</t>
  </si>
  <si>
    <t>Colorful mosaic of deep sky objects around Rho Ophiuchi</t>
  </si>
  <si>
    <t>Identified as a PN but I believe it is a HII region</t>
  </si>
  <si>
    <t>Faint emission nebula with 2 obscured star clusters</t>
  </si>
  <si>
    <t>Interesting dust lanes, a bit like the Trifid nebula</t>
  </si>
  <si>
    <t>Pair of galaxies shows hint of a Voorwerp object, giant clouds of greenish gas ionized by an active nucleus</t>
  </si>
  <si>
    <t>Part of 3 vdB nebula complex that comprises IC447</t>
  </si>
  <si>
    <t>Striking blue reflection nebula within larger reflection cloud</t>
  </si>
  <si>
    <t>Beautiful collisional ring galaxy with culprit nearby. Ring has nice blue star formation</t>
  </si>
  <si>
    <t>Elliptical HII PN of unknown distance</t>
  </si>
  <si>
    <t>Small dwarf irregular galaxy a bit further away than Andromeda</t>
  </si>
  <si>
    <t>Merged galaxy with single core and star stream loop and tail</t>
  </si>
  <si>
    <t>Merger with single core and 300,000 ly tails</t>
  </si>
  <si>
    <t>Merger remnant with single core and looping tail</t>
  </si>
  <si>
    <t>Merging galaxies with 2 cores &amp; opposing tails. The most extreme starburst region in the sky (besides galaxy core)</t>
  </si>
  <si>
    <t>Merger of 3 spiral galaxies with star clouds and dust lanes</t>
  </si>
  <si>
    <t>Merging galaxy pair with 2 close cores and opposing long tail star streams</t>
  </si>
  <si>
    <t>NGC 3114</t>
  </si>
  <si>
    <t>Bright open cluster, tough to distinguish from background stars</t>
  </si>
  <si>
    <t>Naked eye dark nebula spanning 8 degrees known since antiquity</t>
  </si>
  <si>
    <t>IC 2581</t>
  </si>
  <si>
    <t>Open cluster with large brightness mix</t>
  </si>
  <si>
    <t>Unusual LBN object</t>
  </si>
  <si>
    <t>Wizard Nebula, with SHO emission nebula, dust clouds and pillars, and bright open cluster</t>
  </si>
  <si>
    <t>NGC 3918</t>
  </si>
  <si>
    <t>Small bipolar PN with lobes</t>
  </si>
  <si>
    <t>NGC 5460</t>
  </si>
  <si>
    <t>Unusual sparse open cluster pattern</t>
  </si>
  <si>
    <t>Unimpressive open cluster</t>
  </si>
  <si>
    <t>NGC 6067</t>
  </si>
  <si>
    <t>NGC 6193</t>
  </si>
  <si>
    <t>NGC6188</t>
  </si>
  <si>
    <t>Sparkling sparse central cluster of NGC6188, Dragons of Ara</t>
  </si>
  <si>
    <t>Dense colorful open cluster, nice grouping</t>
  </si>
  <si>
    <t>NGC 6584</t>
  </si>
  <si>
    <t>Melotte 227</t>
  </si>
  <si>
    <t>Large sparse open cluster</t>
  </si>
  <si>
    <t>Sh2-026</t>
  </si>
  <si>
    <t>Diffuse region near the Trifid nebula</t>
  </si>
  <si>
    <t>w</t>
  </si>
  <si>
    <t>Coll</t>
  </si>
  <si>
    <t>I-1-300</t>
  </si>
  <si>
    <t>r</t>
  </si>
  <si>
    <t>II-3-70</t>
  </si>
  <si>
    <t>II-1-25</t>
  </si>
  <si>
    <t>g</t>
  </si>
  <si>
    <t>o</t>
  </si>
  <si>
    <t>Object Type</t>
  </si>
  <si>
    <t>Object Subtype</t>
  </si>
  <si>
    <t>Star-Related</t>
  </si>
  <si>
    <t>Globular Cluster (GC)</t>
  </si>
  <si>
    <t>Herbig Haro (HH)</t>
  </si>
  <si>
    <t>Open Cluster (OC)</t>
  </si>
  <si>
    <t>Young Stellar Object (YSO)</t>
  </si>
  <si>
    <t>Nebulae (not incl. PN)</t>
  </si>
  <si>
    <t xml:space="preserve">Planetary Nebulae (PN) </t>
  </si>
  <si>
    <r>
      <rPr>
        <b/>
        <sz val="11"/>
        <color theme="1"/>
        <rFont val="Calibri"/>
        <family val="2"/>
        <scheme val="minor"/>
      </rPr>
      <t>Herschel 400</t>
    </r>
    <r>
      <rPr>
        <sz val="11"/>
        <color theme="1"/>
        <rFont val="Calibri"/>
        <family val="2"/>
        <scheme val="minor"/>
      </rPr>
      <t xml:space="preserve"> (circa 1786, best 400 of the 2500 objects).   A precursor of the NGC catalog, William Herschel's Catalogue of Nebulae and Clusters of Stars was published in a series of 3 papers between 1786 and 1802.  This catalogue comprised about 2500 objects.  In 1980, an astronomy club in Florida selected 400 of the best of these 2500 objects for advanced observing.  This list has become known as the Herschel 400.</t>
    </r>
  </si>
  <si>
    <t>Planetary (PN)</t>
  </si>
  <si>
    <t>Protoplanetary (PPN)</t>
  </si>
  <si>
    <t>Supernova Remnant (SNR)</t>
  </si>
  <si>
    <t>Herbig-Haro (HH)</t>
  </si>
  <si>
    <t>Magellanic (Mag)</t>
  </si>
  <si>
    <t>S/gk</t>
  </si>
  <si>
    <t>k</t>
  </si>
  <si>
    <t>d</t>
  </si>
  <si>
    <t>dt</t>
  </si>
  <si>
    <t>dw</t>
  </si>
  <si>
    <t>S/d</t>
  </si>
  <si>
    <t>S/dsw</t>
  </si>
  <si>
    <t>S/dt</t>
  </si>
  <si>
    <t>S/dtw</t>
  </si>
  <si>
    <t>S/dw</t>
  </si>
  <si>
    <t>S0/d</t>
  </si>
  <si>
    <t>S0/dp</t>
  </si>
  <si>
    <t>S0/dw</t>
  </si>
  <si>
    <t>S/or</t>
  </si>
  <si>
    <t>S/r</t>
  </si>
  <si>
    <t>Messier</t>
  </si>
  <si>
    <t>PON/y</t>
  </si>
  <si>
    <t>BOY/y</t>
  </si>
  <si>
    <t>MHY/fy</t>
  </si>
  <si>
    <t>POY/jy</t>
  </si>
  <si>
    <t>BON/y</t>
  </si>
  <si>
    <t>POY/y</t>
  </si>
  <si>
    <t>BOY/cy</t>
  </si>
  <si>
    <t>BOY/fjy</t>
  </si>
  <si>
    <t>BOY/fy</t>
  </si>
  <si>
    <t>Sb</t>
  </si>
  <si>
    <t>Sc</t>
  </si>
  <si>
    <t>Sab</t>
  </si>
  <si>
    <t>Sc/dt</t>
  </si>
  <si>
    <t>SBc/k</t>
  </si>
  <si>
    <t>Sc/g</t>
  </si>
  <si>
    <t>Sbc/d</t>
  </si>
  <si>
    <t>Sb/o</t>
  </si>
  <si>
    <t>Sab/d</t>
  </si>
  <si>
    <t>Sc/d</t>
  </si>
  <si>
    <t>Sc/k</t>
  </si>
  <si>
    <t>Sbc</t>
  </si>
  <si>
    <t>Sb/dt</t>
  </si>
  <si>
    <t>Sb/d</t>
  </si>
  <si>
    <t>Sab/r</t>
  </si>
  <si>
    <t>Yellow core, Faint spiral structure visible</t>
  </si>
  <si>
    <t>Sb/g</t>
  </si>
  <si>
    <t>Disturbed grand design spiral.  White foreground star superimposed over core</t>
  </si>
  <si>
    <t>Sc/fg</t>
  </si>
  <si>
    <t>NGC 1888</t>
  </si>
  <si>
    <t>NGC1889</t>
  </si>
  <si>
    <t>Sa</t>
  </si>
  <si>
    <t>Sc/dw</t>
  </si>
  <si>
    <t>Highlight is the strong HII nebula (Sh2-312) surrounding this elliptical galaxy</t>
  </si>
  <si>
    <t>Sc/f</t>
  </si>
  <si>
    <t>Sc/gk</t>
  </si>
  <si>
    <t>Sbc/f</t>
  </si>
  <si>
    <t>Sab/g</t>
  </si>
  <si>
    <t>Sa/d</t>
  </si>
  <si>
    <t>Sa/g</t>
  </si>
  <si>
    <t>Sab/or</t>
  </si>
  <si>
    <t>Sb/n</t>
  </si>
  <si>
    <t>Sbc/g</t>
  </si>
  <si>
    <t>Sc/dptw</t>
  </si>
  <si>
    <t>Sab/nr</t>
  </si>
  <si>
    <t>Sc/dtw</t>
  </si>
  <si>
    <t>Sc/n</t>
  </si>
  <si>
    <t>Sa/r</t>
  </si>
  <si>
    <t>Sa/gr</t>
  </si>
  <si>
    <t>Sbc/dw</t>
  </si>
  <si>
    <t>Sc/kr</t>
  </si>
  <si>
    <t>NGC2327</t>
  </si>
  <si>
    <t>NGC 2244</t>
  </si>
  <si>
    <t>Star cluster within the Rosette Nebula</t>
  </si>
  <si>
    <t>NGC2237</t>
  </si>
  <si>
    <t>II-3-20</t>
  </si>
  <si>
    <t>NGC4039,Arp 22</t>
  </si>
  <si>
    <t>NGC4038</t>
  </si>
  <si>
    <t>NGC 4039</t>
  </si>
  <si>
    <t>NGC4039</t>
  </si>
  <si>
    <t>Companion to NGC 4038</t>
  </si>
  <si>
    <t>NGC 2354</t>
  </si>
  <si>
    <t>Cr131</t>
  </si>
  <si>
    <t>III-2-70</t>
  </si>
  <si>
    <t>Medium size cluster, hard to distinguish from background</t>
  </si>
  <si>
    <t>NGC 1758</t>
  </si>
  <si>
    <t>NGC1750</t>
  </si>
  <si>
    <t>2 superimposed open star clusters, with NGC 1758</t>
  </si>
  <si>
    <t>2 superimposed open star clusters, with NGC 1750</t>
  </si>
  <si>
    <t>IV-I-30</t>
  </si>
  <si>
    <t>Arp94</t>
  </si>
  <si>
    <t>Elliptical companion to Arp 94</t>
  </si>
  <si>
    <t>NGC 2438</t>
  </si>
  <si>
    <t>PN near bright cluster M46</t>
  </si>
  <si>
    <t>NGC 2479</t>
  </si>
  <si>
    <t>Medium brightness cluster, hard to distinguish from background</t>
  </si>
  <si>
    <t>NGC 2964</t>
  </si>
  <si>
    <t>NGC2968</t>
  </si>
  <si>
    <t>Asymmetric spiral with good arm definition</t>
  </si>
  <si>
    <t>NGC 3193</t>
  </si>
  <si>
    <t>Arp316</t>
  </si>
  <si>
    <t>Elliptical, part of Arp 316</t>
  </si>
  <si>
    <t>NGC 3395</t>
  </si>
  <si>
    <t>NGC 3608</t>
  </si>
  <si>
    <t>NGC 3729</t>
  </si>
  <si>
    <t>NGC 3962</t>
  </si>
  <si>
    <t>NGC 4085</t>
  </si>
  <si>
    <t>NGC 4281</t>
  </si>
  <si>
    <t>NGC 4350</t>
  </si>
  <si>
    <t>NGC 4435</t>
  </si>
  <si>
    <t>NGC 4478</t>
  </si>
  <si>
    <t>NGC 4485</t>
  </si>
  <si>
    <t>NGC 4660</t>
  </si>
  <si>
    <t>NGC 6882</t>
  </si>
  <si>
    <t>NGC3396</t>
  </si>
  <si>
    <t>NGC3607</t>
  </si>
  <si>
    <t>Elliptical companion of NGC 3607</t>
  </si>
  <si>
    <t>Arp214</t>
  </si>
  <si>
    <t>Barred ring spiral companion of Arp 214 (NGC 3718)</t>
  </si>
  <si>
    <t>Isolated elliptical galaxy in the Crater constellation</t>
  </si>
  <si>
    <t>Spiral companion to Arp 18</t>
  </si>
  <si>
    <t>Lenticular with dust band, part of small group</t>
  </si>
  <si>
    <t>NGC4340</t>
  </si>
  <si>
    <t>Lenticular companion to NGC 4340</t>
  </si>
  <si>
    <t>Companion to NGC 4438, one of the Eyes</t>
  </si>
  <si>
    <t>Small elliptical near M87</t>
  </si>
  <si>
    <t>Companion to Arp 269</t>
  </si>
  <si>
    <t>Small spiral galaxy in Virgo</t>
  </si>
  <si>
    <t>May be same object as NGC 6885</t>
  </si>
  <si>
    <t>NGC6885</t>
  </si>
  <si>
    <t>NGC6882</t>
  </si>
  <si>
    <t>Caldwell37</t>
  </si>
  <si>
    <t>Sb/dw</t>
  </si>
  <si>
    <t>Sbc/gk</t>
  </si>
  <si>
    <t>Sb/k</t>
  </si>
  <si>
    <t>S/for</t>
  </si>
  <si>
    <t>Sb/m</t>
  </si>
  <si>
    <t>m</t>
  </si>
  <si>
    <t>S/m</t>
  </si>
  <si>
    <t>lm</t>
  </si>
  <si>
    <t>Sb/gm</t>
  </si>
  <si>
    <t>Sbc/m</t>
  </si>
  <si>
    <t>km</t>
  </si>
  <si>
    <t>Sab/m</t>
  </si>
  <si>
    <t>Sab/mo</t>
  </si>
  <si>
    <t>mr</t>
  </si>
  <si>
    <t>Sa/m</t>
  </si>
  <si>
    <t>Sbc/fm</t>
  </si>
  <si>
    <t>Sab/mr</t>
  </si>
  <si>
    <t>dl</t>
  </si>
  <si>
    <t>S/f</t>
  </si>
  <si>
    <t>Sc/fk</t>
  </si>
  <si>
    <t>S0/fm</t>
  </si>
  <si>
    <t>Sbc/fgk</t>
  </si>
  <si>
    <t>S0/fnr</t>
  </si>
  <si>
    <t>Sb/fgr</t>
  </si>
  <si>
    <t>S/fg</t>
  </si>
  <si>
    <t>Sab/dr</t>
  </si>
  <si>
    <t>CGCG 459-66 Trio</t>
  </si>
  <si>
    <t>Sb/dptw</t>
  </si>
  <si>
    <t>S0/dpt</t>
  </si>
  <si>
    <t>Alt. Next 6 Hrs</t>
  </si>
  <si>
    <t>Edge-on spiral with wavy disk</t>
  </si>
  <si>
    <t>Dark nebula adjacent to B92 in Sagittarius.  Sharply defined black head 2' in diam., with tail 15' long running S</t>
  </si>
  <si>
    <t>OIII PN with central owl-type void regions and slight bipolar breakthrough, progenitor visible</t>
  </si>
  <si>
    <t>Medium concentration globular cluster</t>
  </si>
  <si>
    <t>One of the few Delphinus galaxies, highlighted by 3 dust bands outside of the core area.  Toadstool Asterism adjacent</t>
  </si>
  <si>
    <t>ACN</t>
  </si>
  <si>
    <t>MRY/r</t>
  </si>
  <si>
    <t>XCN</t>
  </si>
  <si>
    <t>ECN</t>
  </si>
  <si>
    <t>AHN</t>
  </si>
  <si>
    <t>EHY/y</t>
  </si>
  <si>
    <t>Colorful cluster with disproportionate number of orange giants</t>
  </si>
  <si>
    <t>NGC7788</t>
  </si>
  <si>
    <t>Forms a nice cluster pair with NGC 7788</t>
  </si>
  <si>
    <t>Faint HII region ionized by the Wolf-Rayet star WR 35.</t>
  </si>
  <si>
    <t>S-shaped yellowish inner disk region, including bright core, contrasts with blue diffuse outer arms.</t>
  </si>
  <si>
    <t>Stars form vertices of two nested triangles, like the portal device featured in the Buck Rogers TV show.</t>
  </si>
  <si>
    <t xml:space="preserve">Very faint, very old planetary nebula located just over 1000 light years away </t>
  </si>
  <si>
    <t xml:space="preserve">Parrot's head shape; CD -3 13679 (mag 9.3) central; several smaller stars in it CD -32 13666 (mag 9.6) on NW edge. </t>
  </si>
  <si>
    <t>Large emission nebula with many elephant trunks pointing towards the Berkeley 59 star cluster</t>
  </si>
  <si>
    <t>Lovely disturbed spiral, with HII tones, warping, and blue star clouds</t>
  </si>
  <si>
    <t>Showy OIII-dominant transparent PN with a wavy rim and visible progenitor.</t>
  </si>
  <si>
    <t>Marvelous structure features bright core, complex inner region, and outer pseudo-ring.  Similar to M96, including dust lane streaming up and out of core</t>
  </si>
  <si>
    <t>Striking halo encompassing disk.  Hexagon shape of both bright inner region and outer edge of disk</t>
  </si>
  <si>
    <t>Complex structure with 6 different types of concentric circular regions</t>
  </si>
  <si>
    <t>Quick Start Guide</t>
  </si>
  <si>
    <t>K 1-18</t>
  </si>
  <si>
    <t>K 1-19</t>
  </si>
  <si>
    <t>K 1-03</t>
  </si>
  <si>
    <t>M 1-3</t>
  </si>
  <si>
    <t>M 1-10</t>
  </si>
  <si>
    <t>M 1-68</t>
  </si>
  <si>
    <t>Barn.</t>
  </si>
  <si>
    <t>Griff.</t>
  </si>
  <si>
    <t>Kohou.</t>
  </si>
  <si>
    <t>Mink.</t>
  </si>
  <si>
    <t>Distant challenging cluster</t>
  </si>
  <si>
    <t>Showcase Helix nebula, one of the closest PN to earth.  Radial filaments point back to progenitor</t>
  </si>
  <si>
    <t>Caldwell (C)</t>
  </si>
  <si>
    <t>Messier (M)</t>
  </si>
  <si>
    <t>Hickson (HCG)</t>
  </si>
  <si>
    <t>Griffiths</t>
  </si>
  <si>
    <t>Kouhoutek (K)</t>
  </si>
  <si>
    <t>Minkowski (M)</t>
  </si>
  <si>
    <t>Barnard (B)</t>
  </si>
  <si>
    <t>Gum (G)</t>
  </si>
  <si>
    <r>
      <t xml:space="preserve">Definitions </t>
    </r>
    <r>
      <rPr>
        <b/>
        <sz val="14"/>
        <color theme="1"/>
        <rFont val="Calibri"/>
        <family val="2"/>
        <scheme val="minor"/>
      </rPr>
      <t>(links in Column A take you to my corresponding Astrobin site)</t>
    </r>
  </si>
  <si>
    <r>
      <t xml:space="preserve">(mly or </t>
    </r>
    <r>
      <rPr>
        <b/>
        <i/>
        <sz val="10"/>
        <color theme="5" tint="-0.249977111117893"/>
        <rFont val="Calibri"/>
        <family val="2"/>
        <scheme val="minor"/>
      </rPr>
      <t>ly</t>
    </r>
    <r>
      <rPr>
        <b/>
        <sz val="10"/>
        <color theme="0"/>
        <rFont val="Calibri"/>
        <family val="2"/>
        <scheme val="minor"/>
      </rPr>
      <t>)</t>
    </r>
  </si>
  <si>
    <r>
      <t xml:space="preserve">(kly or </t>
    </r>
    <r>
      <rPr>
        <b/>
        <i/>
        <sz val="10"/>
        <color theme="5" tint="-0.249977111117893"/>
        <rFont val="Calibri"/>
        <family val="2"/>
        <scheme val="minor"/>
      </rPr>
      <t>ly</t>
    </r>
    <r>
      <rPr>
        <b/>
        <sz val="10"/>
        <color theme="0"/>
        <rFont val="Calibri"/>
        <family val="2"/>
        <scheme val="minor"/>
      </rPr>
      <t>)</t>
    </r>
  </si>
  <si>
    <t>Southern Tadpoles</t>
  </si>
  <si>
    <t>IC 2631, Ced110, Ced111</t>
  </si>
  <si>
    <t>Seagulls Head</t>
  </si>
  <si>
    <t>CG 4</t>
  </si>
  <si>
    <t>Gods Hand</t>
  </si>
  <si>
    <t>Fascinating cometary globule nicknamed God's Hand</t>
  </si>
  <si>
    <t>My</t>
  </si>
  <si>
    <t>Priority</t>
  </si>
  <si>
    <t>My Section</t>
  </si>
  <si>
    <t>Dec. Range</t>
  </si>
  <si>
    <t>Size Range</t>
  </si>
  <si>
    <t>Max:</t>
  </si>
  <si>
    <t>Min:</t>
  </si>
  <si>
    <t>WR 16</t>
  </si>
  <si>
    <t>Raspberry Nebula</t>
  </si>
  <si>
    <t>Faint intricate spherical HII bubble surrounding WR16</t>
  </si>
  <si>
    <t>SB/z</t>
  </si>
  <si>
    <t>SBbc/z</t>
  </si>
  <si>
    <t>SB/lz</t>
  </si>
  <si>
    <t>SBb/kz</t>
  </si>
  <si>
    <t>SBc/kz</t>
  </si>
  <si>
    <t>SBbc/gz</t>
  </si>
  <si>
    <t>SBc/gkz</t>
  </si>
  <si>
    <t>SBc/fz</t>
  </si>
  <si>
    <t>SBbc/lz</t>
  </si>
  <si>
    <t>SB/gz</t>
  </si>
  <si>
    <t>SBc/z</t>
  </si>
  <si>
    <t>SB/kz</t>
  </si>
  <si>
    <t>SB/gkz</t>
  </si>
  <si>
    <t>SBbc/kz</t>
  </si>
  <si>
    <t>SBc/fgz</t>
  </si>
  <si>
    <t>SBb/gz</t>
  </si>
  <si>
    <t>SBab/flz</t>
  </si>
  <si>
    <t>SBc/dwz</t>
  </si>
  <si>
    <t>SB0/z</t>
  </si>
  <si>
    <t>SB0/gz</t>
  </si>
  <si>
    <t>SB0/dz</t>
  </si>
  <si>
    <t>SBc/dz</t>
  </si>
  <si>
    <t>SBa/nz</t>
  </si>
  <si>
    <t>SBb/z</t>
  </si>
  <si>
    <t>SBa/kz</t>
  </si>
  <si>
    <t>SBc/fkz</t>
  </si>
  <si>
    <t>SBa/z</t>
  </si>
  <si>
    <t>SBa/lz</t>
  </si>
  <si>
    <t>SBbz</t>
  </si>
  <si>
    <t>SBab/z</t>
  </si>
  <si>
    <t>SBb/rz</t>
  </si>
  <si>
    <t>SBa/rz</t>
  </si>
  <si>
    <t>SBb/glz</t>
  </si>
  <si>
    <t>SBbc/fkz</t>
  </si>
  <si>
    <t>SBab/gz</t>
  </si>
  <si>
    <t>SBb/gnrz</t>
  </si>
  <si>
    <t>SBab/grz</t>
  </si>
  <si>
    <t>SBbc/fgnz</t>
  </si>
  <si>
    <t>SBbc/gkz</t>
  </si>
  <si>
    <t>SBab/fgkz</t>
  </si>
  <si>
    <t>SBb/fz</t>
  </si>
  <si>
    <t>SBbc/kmz</t>
  </si>
  <si>
    <t>SBbc/nkz</t>
  </si>
  <si>
    <t>SBb/dz</t>
  </si>
  <si>
    <t>SBab/dz</t>
  </si>
  <si>
    <t>SBa/glz</t>
  </si>
  <si>
    <t>SB/dz</t>
  </si>
  <si>
    <t>SBa/gz</t>
  </si>
  <si>
    <t>SB0/lz</t>
  </si>
  <si>
    <t>SBab/gnz</t>
  </si>
  <si>
    <t>SBa/fz</t>
  </si>
  <si>
    <t>SBc/gz</t>
  </si>
  <si>
    <t>SBb/mrz</t>
  </si>
  <si>
    <t>SB0/foz</t>
  </si>
  <si>
    <t>SBbc/gnz</t>
  </si>
  <si>
    <t>SB0/ronz</t>
  </si>
  <si>
    <t>SBc/dkz</t>
  </si>
  <si>
    <t>SBb/nz</t>
  </si>
  <si>
    <t>SBb/gnkz</t>
  </si>
  <si>
    <t>SB0/rlz</t>
  </si>
  <si>
    <t>SBab/lz</t>
  </si>
  <si>
    <t>SBa/grz</t>
  </si>
  <si>
    <t>SBa/lnz</t>
  </si>
  <si>
    <t>SBb/gnz</t>
  </si>
  <si>
    <t>SBab/drz</t>
  </si>
  <si>
    <t>SBa/lrz</t>
  </si>
  <si>
    <t>SB0/lnz</t>
  </si>
  <si>
    <t>SB0/lnoz</t>
  </si>
  <si>
    <t>SBa/oz</t>
  </si>
  <si>
    <t>SBc/krz</t>
  </si>
  <si>
    <t>SBab/dlpz</t>
  </si>
  <si>
    <t>SBa/loz</t>
  </si>
  <si>
    <t>SB0/flrz</t>
  </si>
  <si>
    <t>SB0/loz</t>
  </si>
  <si>
    <t>SB/bcgz</t>
  </si>
  <si>
    <t>SBb/nokz</t>
  </si>
  <si>
    <t>SB0/nrz</t>
  </si>
  <si>
    <t>SB/bcz</t>
  </si>
  <si>
    <t>SBbc/fgkz</t>
  </si>
  <si>
    <t>SBab/fgnz</t>
  </si>
  <si>
    <t>SBbc/fz</t>
  </si>
  <si>
    <t>SBc/lz</t>
  </si>
  <si>
    <t>SBb/gkz</t>
  </si>
  <si>
    <t>SBb/gklz</t>
  </si>
  <si>
    <t>SB0/fz</t>
  </si>
  <si>
    <t>SB0/rz</t>
  </si>
  <si>
    <t>SB0/roz</t>
  </si>
  <si>
    <t>SB0/dlz</t>
  </si>
  <si>
    <t>SBab/orz</t>
  </si>
  <si>
    <t>SBab/kz</t>
  </si>
  <si>
    <t>SBb/flz</t>
  </si>
  <si>
    <t>SB0/pz</t>
  </si>
  <si>
    <t>SBb/grz</t>
  </si>
  <si>
    <t>SB0/alz</t>
  </si>
  <si>
    <t>SB0/frlz</t>
  </si>
  <si>
    <t>SBbc/arz</t>
  </si>
  <si>
    <t>SBb/wz</t>
  </si>
  <si>
    <t>SB0/nz</t>
  </si>
  <si>
    <t>SBab/glrz</t>
  </si>
  <si>
    <t>SB0/dwz</t>
  </si>
  <si>
    <t>SB0/flz</t>
  </si>
  <si>
    <t>SBbc/nz</t>
  </si>
  <si>
    <t>SBbc/dz</t>
  </si>
  <si>
    <t>SBab/agz</t>
  </si>
  <si>
    <t>SBb/dwz</t>
  </si>
  <si>
    <t>SBab/agoz</t>
  </si>
  <si>
    <t>SBb/dpz</t>
  </si>
  <si>
    <t>SBb/lz</t>
  </si>
  <si>
    <t>SB/g-SBz</t>
  </si>
  <si>
    <t>SBbc/flz</t>
  </si>
  <si>
    <t>SBb/dptwz</t>
  </si>
  <si>
    <t>SBb/gmz</t>
  </si>
  <si>
    <t>SBc/grz</t>
  </si>
  <si>
    <t>SBb/arkz</t>
  </si>
  <si>
    <t>SBc/rz</t>
  </si>
  <si>
    <t>A globular star cluster is a large grouping of stars that are gravitationally drawn together into a more concentrated spherical shape than open star clusters. About 150 Milky Way globular star clusters have been identified to date. A cluster can contain upwards of a million stars. It forms a regular sphere with the density of stars increasing towards the center. Some clusters are predominately comprised of bluish stars which indicate that they are younger than those which have a larger proportion of reddish stars.</t>
  </si>
  <si>
    <t>An interstellar cloud of gas and dust in which molecules can form, the most common of which is hydrogen. Cold and dark, molecular clouds cannot be seen directly in visible light.  The ones we see are often silhouetted against bright nebulae or background stars.  Small parts of usually larger molecular clouds may be illuminated locally and are seen as reflection nebulae.  Others can be seen via the reflection of the collective starlight of their host galaxy and have been named Integrated Flux.</t>
  </si>
  <si>
    <t xml:space="preserve">Accounting for 10% of all galaxies, Seyfert galaxies have quasar-like cores which are very luminous sources of radiation, likely from active massive black holes at their centers.  </t>
  </si>
  <si>
    <t xml:space="preserve">Comprising about 10% of the galaxy population, these galaxies have two prominent and well-defined spiral arms that are point symmetric.  </t>
  </si>
  <si>
    <t>Resource</t>
  </si>
  <si>
    <t>Data Used</t>
  </si>
  <si>
    <t>Resources used in this Compendium</t>
  </si>
  <si>
    <t xml:space="preserve">SIMBAD </t>
  </si>
  <si>
    <t>Distance, Magnitude, Type</t>
  </si>
  <si>
    <t>DSS &amp; SDSS Images</t>
  </si>
  <si>
    <t>My Own Images</t>
  </si>
  <si>
    <t>Size, Image Rating, Classification, Orientation</t>
  </si>
  <si>
    <t>Resource Type</t>
  </si>
  <si>
    <t>Images</t>
  </si>
  <si>
    <t>Web Site</t>
  </si>
  <si>
    <t>Author</t>
  </si>
  <si>
    <t>Imm</t>
  </si>
  <si>
    <t>Various</t>
  </si>
  <si>
    <t>Deep Sky Companions Series</t>
  </si>
  <si>
    <t>Books</t>
  </si>
  <si>
    <t>O'Meara</t>
  </si>
  <si>
    <t>Book</t>
  </si>
  <si>
    <t>Practical Astronomy</t>
  </si>
  <si>
    <t>Duffett-Smith &amp; Zwart</t>
  </si>
  <si>
    <t>Burnett, Dawes, &amp; Meeus</t>
  </si>
  <si>
    <t>Web Sites</t>
  </si>
  <si>
    <t>Equations</t>
  </si>
  <si>
    <t>Object selection</t>
  </si>
  <si>
    <t>Bracken</t>
  </si>
  <si>
    <t>The Astrophotography Sky Atlas</t>
  </si>
  <si>
    <t>Systematic Properties of Compact Groups of Galaxies</t>
  </si>
  <si>
    <t>Paper</t>
  </si>
  <si>
    <t>Arp Data</t>
  </si>
  <si>
    <t>Hickson Data</t>
  </si>
  <si>
    <t>Kanipe &amp; Webb</t>
  </si>
  <si>
    <t>Arp Atlas of Peculiar Galaxies</t>
  </si>
  <si>
    <t>Galaxy Data</t>
  </si>
  <si>
    <t>König &amp; Binnewies</t>
  </si>
  <si>
    <t>Cambridge Atlas of Galaxies</t>
  </si>
  <si>
    <t>Object Selection, PN Magnitude</t>
  </si>
  <si>
    <t xml:space="preserve">
</t>
  </si>
  <si>
    <t>The 100 Best Astrophotography Targets</t>
  </si>
  <si>
    <t>Kier</t>
  </si>
  <si>
    <t>Imaging the Southern Sky</t>
  </si>
  <si>
    <t>Chadwick &amp; Cooper</t>
  </si>
  <si>
    <t>Johhson</t>
  </si>
  <si>
    <t>ManTrapSkies</t>
  </si>
  <si>
    <t>Revised New General Catalogue and Index Catalogue</t>
  </si>
  <si>
    <t>Steinicke</t>
  </si>
  <si>
    <t>Magnitude</t>
  </si>
  <si>
    <t xml:space="preserve">Seligman </t>
  </si>
  <si>
    <t>Celestial Atlas</t>
  </si>
  <si>
    <t>Galaxy Map</t>
  </si>
  <si>
    <t>Jardine</t>
  </si>
  <si>
    <t>Planetary Nebula Image Catalogue</t>
  </si>
  <si>
    <t>Balick</t>
  </si>
  <si>
    <t>PN selection</t>
  </si>
  <si>
    <t>Photographic Atlas of Selected Regions of the Milky Way</t>
  </si>
  <si>
    <t>Barnard</t>
  </si>
  <si>
    <t>Dark nebula data</t>
  </si>
  <si>
    <t>Over the years, hundreds of other papers and web sites have also shaped the content of this Compendium in various ways.</t>
  </si>
  <si>
    <t>Bright oblong E5 elliptical with small companion galaxy and bizarre transverse dust lane</t>
  </si>
  <si>
    <t>Thank you to many Astrobin colleagues who have provided input for this Compendium.</t>
  </si>
  <si>
    <t>III-1-20-a</t>
  </si>
  <si>
    <t>II-1-12-a</t>
  </si>
  <si>
    <t>III-I-20-a</t>
  </si>
  <si>
    <t>II-1-7-a</t>
  </si>
  <si>
    <t>II-1-10-a</t>
  </si>
  <si>
    <t>II-1-14-a</t>
  </si>
  <si>
    <t>II-1-8-a</t>
  </si>
  <si>
    <t>I-1-7-a</t>
  </si>
  <si>
    <t>I-2-200-a</t>
  </si>
  <si>
    <t>II-1-16-a</t>
  </si>
  <si>
    <t>I-1-10-a</t>
  </si>
  <si>
    <t>IV-2-20-a</t>
  </si>
  <si>
    <t>III-3-20-a</t>
  </si>
  <si>
    <t>III-3-15-a</t>
  </si>
  <si>
    <t>III-3-50-a</t>
  </si>
  <si>
    <t>I-3-30-a</t>
  </si>
  <si>
    <t>II-2-60-a</t>
  </si>
  <si>
    <t>II-3-60-a</t>
  </si>
  <si>
    <t>III-2-20-a</t>
  </si>
  <si>
    <t>I-2-40-a</t>
  </si>
  <si>
    <t>III-1-40-a</t>
  </si>
  <si>
    <t>I-3-150-a</t>
  </si>
  <si>
    <t>III-1-30-a</t>
  </si>
  <si>
    <t>III-3-100-a</t>
  </si>
  <si>
    <t>fr</t>
  </si>
  <si>
    <t>&gt;</t>
  </si>
  <si>
    <t>MOY/r</t>
  </si>
  <si>
    <t>BBN</t>
  </si>
  <si>
    <t>MRY/f</t>
  </si>
  <si>
    <t>EHN/q</t>
  </si>
  <si>
    <t>AOY/aq</t>
  </si>
  <si>
    <t>BHY/q</t>
  </si>
  <si>
    <t>ERY/q</t>
  </si>
  <si>
    <t>AHY/q</t>
  </si>
  <si>
    <t>EOY/q</t>
  </si>
  <si>
    <t>EHN/hq</t>
  </si>
  <si>
    <t>ARY/q</t>
  </si>
  <si>
    <t>SOY/qt</t>
  </si>
  <si>
    <t>BRN/q</t>
  </si>
  <si>
    <t>EHY/q</t>
  </si>
  <si>
    <t>EOY/iq</t>
  </si>
  <si>
    <t>EON/q</t>
  </si>
  <si>
    <t>ECY/q</t>
  </si>
  <si>
    <t>ERN/q</t>
  </si>
  <si>
    <t>ERY/hq</t>
  </si>
  <si>
    <t>ARY/iq</t>
  </si>
  <si>
    <t>ERY/qr</t>
  </si>
  <si>
    <t>ACY/f</t>
  </si>
  <si>
    <t>&gt;^</t>
  </si>
  <si>
    <t>^</t>
  </si>
  <si>
    <t>II/h</t>
  </si>
  <si>
    <t>E/h</t>
  </si>
  <si>
    <t>SB0/hz</t>
  </si>
  <si>
    <t>h</t>
  </si>
  <si>
    <t>5/h</t>
  </si>
  <si>
    <t>E4/h</t>
  </si>
  <si>
    <t>II/j</t>
  </si>
  <si>
    <t>IV/j</t>
  </si>
  <si>
    <t>j</t>
  </si>
  <si>
    <t>S0/j</t>
  </si>
  <si>
    <t>SB0/jz</t>
  </si>
  <si>
    <t>(Multiple)</t>
  </si>
  <si>
    <t>(Individual)</t>
  </si>
  <si>
    <t>SB0/jrz</t>
  </si>
  <si>
    <t>5/j</t>
  </si>
  <si>
    <t>III/x</t>
  </si>
  <si>
    <t>II/x</t>
  </si>
  <si>
    <t>IV/x</t>
  </si>
  <si>
    <t>III/xy</t>
  </si>
  <si>
    <t>IV/u</t>
  </si>
  <si>
    <t>IV/ju</t>
  </si>
  <si>
    <t>E2/u</t>
  </si>
  <si>
    <t>I/uy</t>
  </si>
  <si>
    <t>I/u</t>
  </si>
  <si>
    <t>II/u</t>
  </si>
  <si>
    <t>III/u</t>
  </si>
  <si>
    <t>III/uy</t>
  </si>
  <si>
    <t>II/uy</t>
  </si>
  <si>
    <t>SB/dguz</t>
  </si>
  <si>
    <t>III/ux</t>
  </si>
  <si>
    <t>I/xy</t>
  </si>
  <si>
    <t>4/x</t>
  </si>
  <si>
    <t>I/x</t>
  </si>
  <si>
    <t>SBc/uz</t>
  </si>
  <si>
    <t>E6/u</t>
  </si>
  <si>
    <t>E0/hu</t>
  </si>
  <si>
    <t>Sab/u</t>
  </si>
  <si>
    <t>S/u</t>
  </si>
  <si>
    <t>S/j</t>
  </si>
  <si>
    <t>Sc/u</t>
  </si>
  <si>
    <t>SBa/nuz</t>
  </si>
  <si>
    <t>SBa/jsxz</t>
  </si>
  <si>
    <t>4/j</t>
  </si>
  <si>
    <t>Late stage merger, with coalesced core and no tails.  Adjacent edge-on spiral and disturbed spiral 1 bly away</t>
  </si>
  <si>
    <t>See Definitions tab below for more information on these terms</t>
  </si>
  <si>
    <t>SHO</t>
  </si>
  <si>
    <t>SHO-.2/1/.1</t>
  </si>
  <si>
    <t>SHO-.2/1/.2</t>
  </si>
  <si>
    <t>SHO-.2/1/.4</t>
  </si>
  <si>
    <t>SHO-.1/1/.2</t>
  </si>
  <si>
    <t>SHO-.1/1/.1</t>
  </si>
  <si>
    <t>SS</t>
  </si>
  <si>
    <t>SHO-.1/1/.4</t>
  </si>
  <si>
    <t>Cone Nebula,Christmas Tree Cluster</t>
  </si>
  <si>
    <t>Fly Nebula</t>
  </si>
  <si>
    <t>POY</t>
  </si>
  <si>
    <t>SHO-.1/1/.3</t>
  </si>
  <si>
    <t>Emission with oddly symmetric curving just cloud just southeast of central bright core</t>
  </si>
  <si>
    <t>O</t>
  </si>
  <si>
    <t>SHO-.1/1/1</t>
  </si>
  <si>
    <t>SHO-.2/1/.5</t>
  </si>
  <si>
    <t>SS-.10/1/.50</t>
  </si>
  <si>
    <t>WR-.10/.80/1</t>
  </si>
  <si>
    <t>WR-.15/1/.10</t>
  </si>
  <si>
    <t>WR-.10/1/.20</t>
  </si>
  <si>
    <t>SS-.25/1/.10</t>
  </si>
  <si>
    <t>WR-.20/1/.40</t>
  </si>
  <si>
    <t>WR-.15/1/.40</t>
  </si>
  <si>
    <t>SHO-.4/1/.5</t>
  </si>
  <si>
    <t>SHO-.3/1/.1</t>
  </si>
  <si>
    <t>SHO-.2/1/.3</t>
  </si>
  <si>
    <t>SHO-.3/1/.5</t>
  </si>
  <si>
    <t>SHO-.3/1/.2</t>
  </si>
  <si>
    <t xml:space="preserve">These nebula are dominated by HII signal.  Typically, both SII and OIII are less than 10% of the signal strength of HII for these objects. </t>
  </si>
  <si>
    <t>These full narrowband nebula have signal strength of at least 10% in each of the 3 major channels - SII, HII, and OIII.  HII is often the most dominant signal, although OIII can also be strong for many objects.</t>
  </si>
  <si>
    <t>GAL: Arp</t>
  </si>
  <si>
    <t>GAL: Hickson</t>
  </si>
  <si>
    <t>Secret Deep</t>
  </si>
  <si>
    <t>Small Packages</t>
  </si>
  <si>
    <t>GAL: UGC</t>
  </si>
  <si>
    <t>GAL: PGC</t>
  </si>
  <si>
    <t>PN: Griffiths</t>
  </si>
  <si>
    <t>PN: Kohoutek</t>
  </si>
  <si>
    <t>PN: Minkowski</t>
  </si>
  <si>
    <t>NEB: Barnard</t>
  </si>
  <si>
    <t>NEB: Gum</t>
  </si>
  <si>
    <t>NEB: LBN</t>
  </si>
  <si>
    <t>NEB: LDN</t>
  </si>
  <si>
    <t>NEB: RCW</t>
  </si>
  <si>
    <t>NEB: Sh2</t>
  </si>
  <si>
    <t>NEB: SNR</t>
  </si>
  <si>
    <t>NEB: vdB</t>
  </si>
  <si>
    <t>None</t>
  </si>
  <si>
    <t>NGC 3454</t>
  </si>
  <si>
    <t>NGC 5636</t>
  </si>
  <si>
    <t>NGC 5857</t>
  </si>
  <si>
    <t>NGC 6349</t>
  </si>
  <si>
    <t>NGC 7537</t>
  </si>
  <si>
    <t>NGC 2968 Pair</t>
  </si>
  <si>
    <t>NGC2964</t>
  </si>
  <si>
    <t>Add. Filters</t>
  </si>
  <si>
    <t>t</t>
  </si>
  <si>
    <t>t&gt;</t>
  </si>
  <si>
    <t>l</t>
  </si>
  <si>
    <t>p</t>
  </si>
  <si>
    <t>s</t>
  </si>
  <si>
    <t>a</t>
  </si>
  <si>
    <t>n</t>
  </si>
  <si>
    <t>y</t>
  </si>
  <si>
    <t>v</t>
  </si>
  <si>
    <t>i</t>
  </si>
  <si>
    <t>PN: Ansae &amp; Jets</t>
  </si>
  <si>
    <t>x</t>
  </si>
  <si>
    <t>PN: Bright Torus</t>
  </si>
  <si>
    <t>PN: Thin Rim</t>
  </si>
  <si>
    <t>NEB: Stromgren</t>
  </si>
  <si>
    <t>NEB: Variable</t>
  </si>
  <si>
    <t>NEB: Cometary</t>
  </si>
  <si>
    <t>c</t>
  </si>
  <si>
    <t>z</t>
  </si>
  <si>
    <t>Triplets (button)</t>
  </si>
  <si>
    <t>Orph. Beauties</t>
  </si>
  <si>
    <t>&lt;</t>
  </si>
  <si>
    <t>n&lt;</t>
  </si>
  <si>
    <t>hn</t>
  </si>
  <si>
    <t>ny</t>
  </si>
  <si>
    <t>&gt;s</t>
  </si>
  <si>
    <t>kp</t>
  </si>
  <si>
    <t>cz</t>
  </si>
  <si>
    <t>dj</t>
  </si>
  <si>
    <t>dx</t>
  </si>
  <si>
    <t>ox</t>
  </si>
  <si>
    <t>BRY/o</t>
  </si>
  <si>
    <t>or</t>
  </si>
  <si>
    <t>rw</t>
  </si>
  <si>
    <t>STARS: Nova</t>
  </si>
  <si>
    <t>PN: Owl-Type</t>
  </si>
  <si>
    <t>Well structured disk with VV rows</t>
  </si>
  <si>
    <t>GAL: Type-Antennae</t>
  </si>
  <si>
    <t>GAL: Type-Integral Sign</t>
  </si>
  <si>
    <t>GAL: Type-M51</t>
  </si>
  <si>
    <t>GAL: Type-Myst. Disturbed</t>
  </si>
  <si>
    <t>GAL: Type-Sombrero</t>
  </si>
  <si>
    <t>GAL: Type-Voorwerp</t>
  </si>
  <si>
    <t>GAL: Dist-&gt;1 billion ly</t>
  </si>
  <si>
    <t>GAL: Dist-Lensing</t>
  </si>
  <si>
    <t>GAL: Dist-Local Group</t>
  </si>
  <si>
    <t>GAL: Arms-Many</t>
  </si>
  <si>
    <t>GAL: Arms-Open</t>
  </si>
  <si>
    <t>GAL: Arms-Three</t>
  </si>
  <si>
    <t>GAL: Small-BCD</t>
  </si>
  <si>
    <t>GAL: Small-Dwarf</t>
  </si>
  <si>
    <t>GAL: Small-Magellanic</t>
  </si>
  <si>
    <t>GAL: Core-Barlens</t>
  </si>
  <si>
    <t>GAL: Core-X Shape</t>
  </si>
  <si>
    <t>NEB: Bok Globules</t>
  </si>
  <si>
    <t>PN: Hexagon Shape</t>
  </si>
  <si>
    <t>GAL: Type-Hexagon Shape</t>
  </si>
  <si>
    <t>e</t>
  </si>
  <si>
    <t>GAL: Abell Clusters</t>
  </si>
  <si>
    <t>PN: Abell</t>
  </si>
  <si>
    <t>Hidden Treasures</t>
  </si>
  <si>
    <t>en</t>
  </si>
  <si>
    <t>ey</t>
  </si>
  <si>
    <t>eh</t>
  </si>
  <si>
    <t>ev</t>
  </si>
  <si>
    <t>I/f</t>
  </si>
  <si>
    <t>Merger (button)</t>
  </si>
  <si>
    <t>q</t>
  </si>
  <si>
    <t>qt</t>
  </si>
  <si>
    <t>aq</t>
  </si>
  <si>
    <t>iq</t>
  </si>
  <si>
    <t>q&gt;</t>
  </si>
  <si>
    <t>uy</t>
  </si>
  <si>
    <t>eu</t>
  </si>
  <si>
    <t>enu</t>
  </si>
  <si>
    <t>Umbrella (button)</t>
  </si>
  <si>
    <t>Letters remaining - b,l</t>
  </si>
  <si>
    <t>fu</t>
  </si>
  <si>
    <t>fqu</t>
  </si>
  <si>
    <t>332.4-0.4</t>
  </si>
  <si>
    <t>315.4-2.3</t>
  </si>
  <si>
    <t>160.9+2.6</t>
  </si>
  <si>
    <t>PRY/y</t>
  </si>
  <si>
    <t>STARS: Herbig-Haro</t>
  </si>
  <si>
    <t>STARS: Star Cloud</t>
  </si>
  <si>
    <t>STARS: Sag. Dwarf Objects</t>
  </si>
  <si>
    <t>G082.2+5.3</t>
  </si>
  <si>
    <t>IC 447</t>
  </si>
  <si>
    <t>PN: Weinberger</t>
  </si>
  <si>
    <t>Obj.</t>
  </si>
  <si>
    <t>Azi.</t>
  </si>
  <si>
    <t>FG</t>
  </si>
  <si>
    <t>G132.6+01.5</t>
  </si>
  <si>
    <t>HB3</t>
  </si>
  <si>
    <t>WR 016</t>
  </si>
  <si>
    <t>Gecko Nebula</t>
  </si>
  <si>
    <t>LBN 0420</t>
  </si>
  <si>
    <t>LDN 0564</t>
  </si>
  <si>
    <t>Transit Time</t>
  </si>
  <si>
    <t>Sort</t>
  </si>
  <si>
    <t xml:space="preserve">CO 225.30-66.30 </t>
  </si>
  <si>
    <t>Faint molecular cloud just west of NGC 1097</t>
  </si>
  <si>
    <t>G156.2+5.7</t>
  </si>
  <si>
    <t>BBW 56</t>
  </si>
  <si>
    <t>SNR G156.2%2B5.7</t>
  </si>
  <si>
    <t>SNR G132.6%2B01.5</t>
  </si>
  <si>
    <t>CG8,CG9,CG10</t>
  </si>
  <si>
    <t>CG10</t>
  </si>
  <si>
    <t>Mol CLd</t>
  </si>
  <si>
    <t>LBN 838, LDN 1563</t>
  </si>
  <si>
    <t>Supposedly close to SE edge of B 15, False object in my opinion</t>
  </si>
  <si>
    <t>Supposedly close to E edge of B 15; False object in my opinion</t>
  </si>
  <si>
    <t>UGC 02489 Group</t>
  </si>
  <si>
    <t>Sh2-238</t>
  </si>
  <si>
    <t>Very faint large SNR.  PN NGC 40 also seen but not related</t>
  </si>
  <si>
    <t>One of the largest SNR, discovered in 2022</t>
  </si>
  <si>
    <t>Small dark nebula set within a molecular cloud</t>
  </si>
  <si>
    <t>Faint dwarf galaxy with 5 globular clusters visible</t>
  </si>
  <si>
    <t>Large ancient PN in field of HII, adjacent to Abell 6</t>
  </si>
  <si>
    <t>Very faint nebula.  Could be a PN, but seems much too large</t>
  </si>
  <si>
    <t>Large HII region with dust lanes and 2 vdB blue reflection nebula</t>
  </si>
  <si>
    <t>Large ancient PN, ISM affected with most visible signal in NE half</t>
  </si>
  <si>
    <t>Shapely series of dark and light clouds, with 2 vdB refl. nebula</t>
  </si>
  <si>
    <t>Bright HII arc of nebulosity resembling a brontosaurus</t>
  </si>
  <si>
    <t>Fairly bright dark nebula in a lovely dusty field</t>
  </si>
  <si>
    <t>Beautiful series of dark nebulae with several refl. nebulae</t>
  </si>
  <si>
    <t>Long dark irregular dust lane set in a bright star field</t>
  </si>
  <si>
    <t>Grouping of dark nebulae with several interesting reflections</t>
  </si>
  <si>
    <t>Unusual comet-like dark nebula</t>
  </si>
  <si>
    <t>Small dark nebula set in dusty field with 2 small Sh2 HII nebulae</t>
  </si>
  <si>
    <t>Intense dark patch with 3 reflection nebulae, including IC 2087</t>
  </si>
  <si>
    <t>2 dark nebulae with a vdB reflection nebula</t>
  </si>
  <si>
    <t>Extremely faint large SNR set behind a field of LDN dark nebulae</t>
  </si>
  <si>
    <t>Faint molecular cloud in comet shape</t>
  </si>
  <si>
    <t>Lrge faint PN, mostly OIII, with blue central star and HII ansae.</t>
  </si>
  <si>
    <t>Small blue reflection nebula in bright HII field</t>
  </si>
  <si>
    <t xml:space="preserve">Large bright HII region with interesting dark lanes </t>
  </si>
  <si>
    <t>Striking dark nebula with emission and reflection components.</t>
  </si>
  <si>
    <t>Long faint dark lane adjacent to Betelgeuse</t>
  </si>
  <si>
    <t>Bright HII emission with 2 dark nebulae, just east of the Jellyfish</t>
  </si>
  <si>
    <t xml:space="preserve">Lovely blue reflection nebula adjacent to intense dark nebulae  </t>
  </si>
  <si>
    <t>Complex narrowband object with a blue bow shock</t>
  </si>
  <si>
    <t xml:space="preserve">Rose shaped HII region with several nice pillars and dark lanes. </t>
  </si>
  <si>
    <t>Pair of HII nebula with bright regions and dust lanes</t>
  </si>
  <si>
    <t>Largest Abell PN with blue central star and HII rim.</t>
  </si>
  <si>
    <t>Huge HII region with sharp northern boundary</t>
  </si>
  <si>
    <t>Complex of southern HII regions</t>
  </si>
  <si>
    <t xml:space="preserve">Faint ancient PN.  One of the largest PN at 8 light years diameter. </t>
  </si>
  <si>
    <t>Extremely dim molecular cloud with odd shapes</t>
  </si>
  <si>
    <t>Glorious dark nebula and bright reflection nebula GN15.42.0</t>
  </si>
  <si>
    <t>Faint nebulosity around Pi Scorpii, with some refl. nebulae</t>
  </si>
  <si>
    <t>Faint molecular cloud with interesting protrusions</t>
  </si>
  <si>
    <t>Faint molecular cloud with angular features</t>
  </si>
  <si>
    <t>Dark nebula silhouetted by LBN 7, including 2 cometary nebulae</t>
  </si>
  <si>
    <t>Cometary globule shaped by nearby cluster NGC 6231</t>
  </si>
  <si>
    <t>Light (Opacity of 4/6) but beautiful dark nebula</t>
  </si>
  <si>
    <t>The bowl of the famous Pipe Nebula</t>
  </si>
  <si>
    <t>Bright HII region with interesting texture</t>
  </si>
  <si>
    <t>Red HII regions and bright stars, with dark winding dust lanes</t>
  </si>
  <si>
    <t>Iconic object known as the Fishhook and Checkmark Nebula</t>
  </si>
  <si>
    <t>Molecular cloud with small dark region</t>
  </si>
  <si>
    <t xml:space="preserve">HII and OIII filaments, remnants of a huge old SNR. </t>
  </si>
  <si>
    <t>Unusually shaped dark nebulae in bright dense star field</t>
  </si>
  <si>
    <t>Small dark nebula in a field of interesting faint objects</t>
  </si>
  <si>
    <t>Large HII region with small dark nebulae in foreground</t>
  </si>
  <si>
    <t>Famous Seahorse dark nebula</t>
  </si>
  <si>
    <t>Dramatic ghostly shapes with small orange reflection nebula</t>
  </si>
  <si>
    <t>Thick ring of HII nebulosity (Stromgren sphere) around OIII region</t>
  </si>
  <si>
    <t>Pleasing field of 4 dark nebulae</t>
  </si>
  <si>
    <t>Large 3 degree region of faint HII with bright arcs</t>
  </si>
  <si>
    <t>Bright patch of HII emission with vdB154</t>
  </si>
  <si>
    <t>Lovely faint red 4 lobed cometary globule</t>
  </si>
  <si>
    <t>G156.4+01.1</t>
  </si>
  <si>
    <t>PN G156.4+01.1</t>
  </si>
  <si>
    <t>Dim asymmetric HII-dominated PN with no progentor, likely impacted by the ISM</t>
  </si>
  <si>
    <t>FR 2-23</t>
  </si>
  <si>
    <t>Mountain-like HII emission with 3 cometary globules</t>
  </si>
  <si>
    <t>Hidden Columns</t>
  </si>
  <si>
    <t xml:space="preserve">Sort to </t>
  </si>
  <si>
    <t>v4g</t>
  </si>
  <si>
    <t>A huge HII loop, about 18 x 14 degrees</t>
  </si>
  <si>
    <t>WeSb 3</t>
  </si>
  <si>
    <t>Faint elliptical OIII PN</t>
  </si>
  <si>
    <t>PN WeSb 3</t>
  </si>
  <si>
    <t>IREC 122</t>
  </si>
  <si>
    <t>Gecko Nebula, LBN420</t>
  </si>
  <si>
    <t>PGC 0028995</t>
  </si>
  <si>
    <t>SB/rz</t>
  </si>
  <si>
    <t>Small barred ring spiral</t>
  </si>
  <si>
    <t>LDN 1262</t>
  </si>
  <si>
    <t>Dark nebula silhouetted by molecular cloud</t>
  </si>
  <si>
    <t>LBN575</t>
  </si>
  <si>
    <t>Kohoutek 3-26</t>
  </si>
  <si>
    <t>Dim and small with fascinating bipolar structure</t>
  </si>
  <si>
    <t>PN K 3-26</t>
  </si>
  <si>
    <t>Bran 23</t>
  </si>
  <si>
    <t>Gum8,RCW15, Bran 23</t>
  </si>
  <si>
    <t>Same as Sh2-310</t>
  </si>
  <si>
    <t>FP 1755-1301</t>
  </si>
  <si>
    <t>Very faint possible PN</t>
  </si>
  <si>
    <t>NGC 3756</t>
  </si>
  <si>
    <t>Grand spiral galaxy paired with another, NGC 3733</t>
  </si>
  <si>
    <t>Like a mini 3-star Pleiades, a blue reflection nebulae surrounding a multiple star system, near V633 Cas young stellar object</t>
  </si>
  <si>
    <t>Faint blue reflection nebula, slightly square shape</t>
  </si>
  <si>
    <t>Orange reflection nebula with interesting cylinder shape</t>
  </si>
  <si>
    <t>Faint blue reflection nebula complemented by bright adjacent open star cluster NGC 225, forming the Sailboat Cluster</t>
  </si>
  <si>
    <t>Bright blue star Gamma Cassiopeiae is ionizing 2 large emission/reflection objects (IC59&amp;63) 15 arc-minutes to NE</t>
  </si>
  <si>
    <t>Faint white reflection nebula adjacent to bright open star cluster NGC 654 &amp; bright orange 7.3 mag star HD 10494</t>
  </si>
  <si>
    <t>Orange and white reflection nebula in the glow of the bright blue star HD 17138</t>
  </si>
  <si>
    <t>Fascinating, unique elongated shape for this blue reflection nebula</t>
  </si>
  <si>
    <t>White reflection nebula with bright adjacent streak just to south, dark nebula LDN 1355/1357 just to west</t>
  </si>
  <si>
    <t>Faint white reflection nebula with brighter "L-shaped" section to the west</t>
  </si>
  <si>
    <t>Faint blue reflection nebula, brightest to southeast</t>
  </si>
  <si>
    <t>Interesting oddly shaped (point symmetric-like) orange reflection nebula</t>
  </si>
  <si>
    <t>Delicate blue reflection nebula among dust clouds with much texture</t>
  </si>
  <si>
    <t>Bright blue star is illuminating long cloud 15 arc-minutes to the southeast.  Sh2-202 is 1 degree to west</t>
  </si>
  <si>
    <t>Detailed blue reflection nebula around the bright star HD21389.  Sh2-202 is 1 degree to west</t>
  </si>
  <si>
    <t>Blue reflection nebula at north end of NGC 1333, which is a showcase molecular cloud with many HH objects</t>
  </si>
  <si>
    <t>Nice view of colorful star cluster, blue reflection nebula, and 3 Barnard dark nebulae</t>
  </si>
  <si>
    <t>Complex blue and white reflection nebula with dust lanes, one of which is LDN 1442</t>
  </si>
  <si>
    <t>Brown dusty reflection nebula bisected by fascinating transparent dust lane (LDN 1495)</t>
  </si>
  <si>
    <t>Wispy blue reflection nebula</t>
  </si>
  <si>
    <t>Large emission arc which also has reflection components</t>
  </si>
  <si>
    <t>Beautiful blue reflection nebula adjacent to a yellow reflection nebula and several dark nebulae</t>
  </si>
  <si>
    <t>Incredible molecular cloud highlight by bright reflection and emission nebulae, known as the Fox Face Nebula</t>
  </si>
  <si>
    <t>The Witch Head, a massive bright blue reflection nebula illuminated by Rigel, which is off frame lower right</t>
  </si>
  <si>
    <t xml:space="preserve">Resplendent pairing of emission and reflection nebulae, the Moldy Strawberry </t>
  </si>
  <si>
    <t>Medium-sized faint blue and orange reflection nebula in the Orion Nebula vicinity</t>
  </si>
  <si>
    <t>Faint blue reflection nebula illuminated by 4 blue stars near IC426</t>
  </si>
  <si>
    <t>Blue reflection nebula with some texture to north</t>
  </si>
  <si>
    <t>Blue reflection nebula about 1 degree north of the Horsehead Nebula</t>
  </si>
  <si>
    <t>Blue reflection nebula surrounded by emission nebulosity, just east of vdB 50</t>
  </si>
  <si>
    <t>Tremendous multihued reflection nebula, just northeast of the Horsehead</t>
  </si>
  <si>
    <t>Very faint small reflection nebula, barely visible, one of the faintest vdB objects</t>
  </si>
  <si>
    <t>White reflection nebula with diagonal dust streaks</t>
  </si>
  <si>
    <t>Faint but interesting blue and orange nebula with dark dust lanes</t>
  </si>
  <si>
    <t>Small and very faint blue nebula</t>
  </si>
  <si>
    <t>Blue reflection nebula east of vdB 52 and the Horsehead</t>
  </si>
  <si>
    <t>Tiny and faint orange reflection nebula, 1 degree southwest of vdB 55</t>
  </si>
  <si>
    <t>Striking multihued blue-purple-white reflection nebula in M78</t>
  </si>
  <si>
    <t>Similar to the wonderful vdb59, just a bit smaller and less colorful</t>
  </si>
  <si>
    <t>Faint blue reflection nebula in the form of a near-vertical streak</t>
  </si>
  <si>
    <t>Yellow-white reflection nebula that is the head of the Boogeyman Nebula, surrounds pre-main sequence star HBC515</t>
  </si>
  <si>
    <t>Yellow reflection nebula that, with vdB 62, is part of the Boogeyman Nebula in Orion</t>
  </si>
  <si>
    <t>Small blue reflection nebula with multiple bright regions and hints of emission</t>
  </si>
  <si>
    <t>Faint blue reflection nebula just west of NGC 2149</t>
  </si>
  <si>
    <t>Faint nebula which has both emission and reflection components, 1 deg north of NGC2170</t>
  </si>
  <si>
    <t>One of 5 resplendent blue reflection nebula, part of the Angel Nebula</t>
  </si>
  <si>
    <t>Wonderfully complex and colorful reflection and emission nebula</t>
  </si>
  <si>
    <t>Reflection nebula at the westernmost end of the Angel Nebula (NGC 2170)</t>
  </si>
  <si>
    <t xml:space="preserve">Bright blue reflection nebula near IC 444, one of the largest vdB nebulae in actual diameter </t>
  </si>
  <si>
    <t>Small, nicely textured blue reflection nebula, part of IC447</t>
  </si>
  <si>
    <t>Small blue reflection nebula, near IC447</t>
  </si>
  <si>
    <t>Faint but interesting reflection and emission nebula in Monoceros</t>
  </si>
  <si>
    <t>Faint large blue reflection and emission nebula</t>
  </si>
  <si>
    <t>Wonderfully detailed blue reflection nebula, a lovely pair with NGC 2245.</t>
  </si>
  <si>
    <t>White reflection nebula surrounding 3 stars</t>
  </si>
  <si>
    <t>With vdB 83, one of 2 reflection nebula in Canis Major molecular cloud.  Fainter and larger than vdB 83</t>
  </si>
  <si>
    <t>Circular reflection and emission nebula, 2 degrees NW of the Seagull Nebula</t>
  </si>
  <si>
    <t>Reflection and emission nebulae right above the southern shoulder of the Seagull Nebula</t>
  </si>
  <si>
    <t>Small reflection nebula in the right wing of the Seagull nebula</t>
  </si>
  <si>
    <t>Interesting reflection and dark nebulae complex</t>
  </si>
  <si>
    <t>Small blue reflection nebula on the edge of Sh2-302 (Snowman Nebula)</t>
  </si>
  <si>
    <t>Faint blue reflection nebula with good detail</t>
  </si>
  <si>
    <t>Large reflection and emission nebulae around the bright blue 2.9 mag star Pi Scorpii, located 600 light years away.</t>
  </si>
  <si>
    <t>Blue reflection nebula in lovely setting, adjacent to vdB 103</t>
  </si>
  <si>
    <t>Blue reflection nebula around Sigma Scorpii, ionizing Sh2-9 to the west</t>
  </si>
  <si>
    <t>Magnificent multihued reflection nebula with numerous dust lanes</t>
  </si>
  <si>
    <t>Wonderful blue tones in this Rho Ophiuchi region reflection nebula surrounding 3 stars</t>
  </si>
  <si>
    <t>Faint yellow reflection nebula where star is illuminating significant background nebulosity</t>
  </si>
  <si>
    <t>Small faint blue nebulosity just south of Barnard 62 dark nebula</t>
  </si>
  <si>
    <t>Faint blue reflection nebula extending primarily north to south</t>
  </si>
  <si>
    <t>Faint orange reflection nebula northwest of orange source star</t>
  </si>
  <si>
    <t>Faint blue-white reflection nebula in emission region, just northwest of Sh2-34 nebula</t>
  </si>
  <si>
    <t>Small bright blue reflection nebula 12' NW of bright emission region IC1274</t>
  </si>
  <si>
    <t>Reflection &amp; emission nebula in close proximity to vdB 119 &amp; Sh2-37</t>
  </si>
  <si>
    <t>Reflection &amp; emission nebula with 2 bright stars and an interesting central dark dust spot</t>
  </si>
  <si>
    <t>Small orange reflection nebula with interesting texture, just southeast of Sh2-44 (IC 4701)</t>
  </si>
  <si>
    <t>Small and very faint blue reflection nebula just northeast of M18</t>
  </si>
  <si>
    <t>Dim orange reflection nebula in Scutum, located on west side of source star</t>
  </si>
  <si>
    <t>Intricate blue reflection nebula just east of Serpens dark cloud and lovely orange reflection nebula</t>
  </si>
  <si>
    <t>Intense blue reflection nebula in extraordinary dark nebulae field of the Loch Ness Nebula</t>
  </si>
  <si>
    <t>Bright orange star with faint emission/reflection nebula 50' to east, objects not related</t>
  </si>
  <si>
    <t>Faint but interesting whitish-blue reflection nebula with arc on south side</t>
  </si>
  <si>
    <t>Molecular clouds 30' east of blue star, likely IFN illuminated not by star but by Milky Way</t>
  </si>
  <si>
    <t>Small faint orange reflection nebula in an emission field between the Crescent and Gamma Sygni Nebulae</t>
  </si>
  <si>
    <t>Faint orange reflection nebula with streak to north</t>
  </si>
  <si>
    <t>Striking orange reflection nebula adjacent to a sea of nebulosity</t>
  </si>
  <si>
    <t>Bright blue nebula adjacent to drak nebula and part of star cluster</t>
  </si>
  <si>
    <t>Faint blue reflection nebula with tail towards the southwest</t>
  </si>
  <si>
    <t>Attractive faint blue-purple reflection nebula</t>
  </si>
  <si>
    <t>Faint orange reflection nebula with slight tail to southeast</t>
  </si>
  <si>
    <t>Small faint white nebula</t>
  </si>
  <si>
    <t>Blue reflection nebula in a sea of blue and orange colorful stars and nebulae</t>
  </si>
  <si>
    <t>Small faint blue reflection nebula 10' west of Cocoon Nebula (IC5146)</t>
  </si>
  <si>
    <t>Pretty blue reflection nebula on the chest of the Shark Nebula, with vdB 150</t>
  </si>
  <si>
    <t>Gorgeous complex blue reflection nebula that is on the top of the head of the Shark Nebula</t>
  </si>
  <si>
    <t>Faint orange reflection nebula on northwest side of orange source star</t>
  </si>
  <si>
    <t>This lovely blue reflection nebula, from a blue star passing thru the cloud, is the eye of the 2 degree long Wolf's Cave Nebula</t>
  </si>
  <si>
    <t>Faint blue reflection nebula with detailed structure</t>
  </si>
  <si>
    <t>Blue reflection nebula just north of odd tornado-like emission structure in a sea of HII nebulosity</t>
  </si>
  <si>
    <t>Awesome blue reflection nebula, somewhat point-symmteric, just 30' southwest of the Cave Nebula</t>
  </si>
  <si>
    <t>Molecular clouds 1.5 deg east &amp; west of bright blue star Omicron Andromedae, likely IFN illuminated not by star but by Milky Way</t>
  </si>
  <si>
    <t>A unique blue reflection nebula with fantastic zig zag streaks throughout the southern half</t>
  </si>
  <si>
    <t>Fantastic blue reflection nebula embedded in the 1.5 degree long LBN 534 molecular cloud</t>
  </si>
  <si>
    <t>Faint blue reflection nebula located 30' southwest of Abell 85 (CTB1), object added 2 years later by Rene Racine</t>
  </si>
  <si>
    <t>Faint blue nebulosity is seen but the main attraction is the emission nebula and the soap bubble PN 40' east</t>
  </si>
  <si>
    <t>LBN 578</t>
  </si>
  <si>
    <t>Ced 1</t>
  </si>
  <si>
    <t>LBN 602</t>
  </si>
  <si>
    <t>IC59&amp;63</t>
  </si>
  <si>
    <t>LBN 643</t>
  </si>
  <si>
    <t>LBN 680</t>
  </si>
  <si>
    <t>LBN 678</t>
  </si>
  <si>
    <t>Ced 12</t>
  </si>
  <si>
    <t>Ced 13</t>
  </si>
  <si>
    <t>LBN 681</t>
  </si>
  <si>
    <t>LBN 682</t>
  </si>
  <si>
    <t>Ced 15</t>
  </si>
  <si>
    <t>LBN 721</t>
  </si>
  <si>
    <t>vdB 006</t>
  </si>
  <si>
    <t>NGC 654, LDN1332</t>
  </si>
  <si>
    <t>Beautiful open cluster next to vdB 6</t>
  </si>
  <si>
    <t>LBN 828</t>
  </si>
  <si>
    <t>LBN 785</t>
  </si>
  <si>
    <t>LBN 792</t>
  </si>
  <si>
    <t>LBN 848</t>
  </si>
  <si>
    <t>LBN 850/851</t>
  </si>
  <si>
    <t>LBN 531</t>
  </si>
  <si>
    <t>LBN 508</t>
  </si>
  <si>
    <t>LBN 523</t>
  </si>
  <si>
    <t>LBN 524</t>
  </si>
  <si>
    <t>LBN 458-477</t>
  </si>
  <si>
    <t>LBN 534</t>
  </si>
  <si>
    <t>LBN 446</t>
  </si>
  <si>
    <t>Sh2-136</t>
  </si>
  <si>
    <t>IC1396</t>
  </si>
  <si>
    <t>LBN 504</t>
  </si>
  <si>
    <t>LBN 541</t>
  </si>
  <si>
    <t>LBN 546</t>
  </si>
  <si>
    <t>LBN 134</t>
  </si>
  <si>
    <t>Sh2-84</t>
  </si>
  <si>
    <t>LBN 155</t>
  </si>
  <si>
    <t>LBN 111/113</t>
  </si>
  <si>
    <t>LBN 274</t>
  </si>
  <si>
    <t>LBN 218</t>
  </si>
  <si>
    <t>LBN 379</t>
  </si>
  <si>
    <t>LBN 403</t>
  </si>
  <si>
    <t>LBN 96</t>
  </si>
  <si>
    <t>LBN 5</t>
  </si>
  <si>
    <t>LBN 88</t>
  </si>
  <si>
    <t>LBN 40</t>
  </si>
  <si>
    <t>IC4684</t>
  </si>
  <si>
    <t>LBN 928</t>
  </si>
  <si>
    <t>LBN 894</t>
  </si>
  <si>
    <t>IC431</t>
  </si>
  <si>
    <t>IC432</t>
  </si>
  <si>
    <t>NGC 4073</t>
  </si>
  <si>
    <t>One of largest galaxies in the universe</t>
  </si>
  <si>
    <t>One of the easiest-to-resolve globular clusters in the Milky Way</t>
  </si>
  <si>
    <t>Hydra spiral galaxy with distinct disk structure, with NGC 2889</t>
  </si>
  <si>
    <t>NGC 3686 Group</t>
  </si>
  <si>
    <t>Small open cluster just west of M35</t>
  </si>
  <si>
    <t>Faint molecular cloud just northwest of the Gecko Nebula</t>
  </si>
  <si>
    <t>Pleasing mix of colors and sizes in this open cluster near the Heart Nebula</t>
  </si>
  <si>
    <t>M47</t>
  </si>
  <si>
    <t>IV-2-60</t>
  </si>
  <si>
    <r>
      <rPr>
        <i/>
        <sz val="16"/>
        <color theme="0"/>
        <rFont val="Arial Black"/>
        <family val="2"/>
      </rPr>
      <t>Imm Deep Sky Compendium</t>
    </r>
    <r>
      <rPr>
        <sz val="14"/>
        <color theme="0"/>
        <rFont val="Arial Black"/>
        <family val="2"/>
      </rPr>
      <t xml:space="preserve"> - </t>
    </r>
    <r>
      <rPr>
        <sz val="12"/>
        <color theme="0"/>
        <rFont val="Arial Black"/>
        <family val="2"/>
      </rPr>
      <t xml:space="preserve"> 2026 - 6th Edition</t>
    </r>
  </si>
  <si>
    <t>Not a PN but a galaxy, wrongly catalogued by Abell</t>
  </si>
  <si>
    <t>Faint HII region, previously thought to be a reflection nebula</t>
  </si>
  <si>
    <t>I-3-r</t>
  </si>
  <si>
    <t>Starburst spiral with diffuse disk</t>
  </si>
  <si>
    <t>Y</t>
  </si>
  <si>
    <t>100 star colorful open cluster</t>
  </si>
  <si>
    <t>Rare combination of bright open star cluster with nice NGC2438 PN adjacent</t>
  </si>
  <si>
    <t>Baades Window</t>
  </si>
  <si>
    <t>NGC 5749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</si>
</sst>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mmm\ d"/>
    <numFmt numFmtId="165" formatCode="0.000"/>
    <numFmt numFmtId="166" formatCode="00&quot;h&quot;\ 00&quot;m&quot;\ 00&quot;s&quot;"/>
    <numFmt numFmtId="167" formatCode="00\°\ 00\'\ 00\'\'"/>
    <numFmt numFmtId="168" formatCode="0.0"/>
    <numFmt numFmtId="169" formatCode="m/d;@"/>
    <numFmt numFmtId="170" formatCode="0.0000"/>
    <numFmt numFmtId="171" formatCode="0\°"/>
    <numFmt numFmtId="172" formatCode="0\'"/>
    <numFmt numFmtId="173" formatCode="0\'\'"/>
    <numFmt numFmtId="174" formatCode="h:mm;@"/>
    <numFmt numFmtId="175" formatCode=";;;"/>
    <numFmt numFmtId="176" formatCode="m/d/yy\ h:mm;@"/>
    <numFmt numFmtId="177" formatCode="0&quot; hrs&quot;"/>
    <numFmt numFmtId="178" formatCode="0.0&quot; d&quot;"/>
    <numFmt numFmtId="179" formatCode="0.0&quot; °&quot;"/>
    <numFmt numFmtId="180" formatCode="0&quot; %&quot;"/>
    <numFmt numFmtId="181" formatCode="mmm\ dd\ yyyy\ hh:mm"/>
    <numFmt numFmtId="182" formatCode="\+0\°;\-0\°;0\°"/>
    <numFmt numFmtId="183" formatCode="0&quot;'&quot;"/>
    <numFmt numFmtId="184" formatCode="0.00000"/>
  </numFmts>
  <fonts count="101" x14ac:knownFonts="1">
    <font>
      <sz val="11"/>
      <color theme="1"/>
      <name val="Calibri"/>
      <family val="2"/>
      <scheme val="minor"/>
    </font>
    <font>
      <sz val="9"/>
      <color indexed="81"/>
      <name val="Tahoma"/>
      <family val="2"/>
    </font>
    <font>
      <b/>
      <sz val="9"/>
      <color indexed="81"/>
      <name val="Tahoma"/>
      <family val="2"/>
    </font>
    <font>
      <i/>
      <sz val="9"/>
      <color indexed="81"/>
      <name val="Tahoma"/>
      <family val="2"/>
    </font>
    <font>
      <sz val="8"/>
      <name val="Calibri"/>
      <family val="2"/>
    </font>
    <font>
      <b/>
      <i/>
      <sz val="16"/>
      <color indexed="63"/>
      <name val="Calibri"/>
      <family val="2"/>
    </font>
    <font>
      <b/>
      <u/>
      <sz val="11"/>
      <color rgb="FF0000FF"/>
      <name val="Calibri"/>
      <family val="2"/>
      <scheme val="minor"/>
    </font>
    <font>
      <sz val="11"/>
      <color theme="1" tint="0.14999847407452621"/>
      <name val="Calibri"/>
      <family val="2"/>
      <scheme val="minor"/>
    </font>
    <font>
      <b/>
      <i/>
      <sz val="12"/>
      <color theme="1" tint="0.14999847407452621"/>
      <name val="Calibri"/>
      <family val="2"/>
      <scheme val="minor"/>
    </font>
    <font>
      <sz val="11"/>
      <name val="Calibri"/>
      <family val="2"/>
      <scheme val="minor"/>
    </font>
    <font>
      <b/>
      <sz val="11"/>
      <color theme="1"/>
      <name val="Calibri"/>
      <family val="2"/>
      <scheme val="minor"/>
    </font>
    <font>
      <i/>
      <sz val="10"/>
      <color theme="1"/>
      <name val="Calibri"/>
      <family val="2"/>
      <scheme val="minor"/>
    </font>
    <font>
      <b/>
      <sz val="11"/>
      <color theme="0"/>
      <name val="Calibri"/>
      <family val="2"/>
      <scheme val="minor"/>
    </font>
    <font>
      <b/>
      <i/>
      <sz val="12"/>
      <color theme="0" tint="-4.9989318521683403E-2"/>
      <name val="Calibri"/>
      <family val="2"/>
      <scheme val="minor"/>
    </font>
    <font>
      <b/>
      <u/>
      <sz val="11"/>
      <color theme="1"/>
      <name val="Calibri"/>
      <family val="2"/>
      <scheme val="minor"/>
    </font>
    <font>
      <b/>
      <u/>
      <sz val="11"/>
      <color theme="0" tint="-4.9989318521683403E-2"/>
      <name val="Calibri"/>
      <family val="2"/>
      <scheme val="minor"/>
    </font>
    <font>
      <sz val="12"/>
      <name val="Calibri"/>
      <family val="2"/>
      <scheme val="minor"/>
    </font>
    <font>
      <sz val="10"/>
      <color theme="0" tint="-4.9989318521683403E-2"/>
      <name val="Calibri"/>
      <family val="2"/>
      <scheme val="minor"/>
    </font>
    <font>
      <sz val="11"/>
      <color theme="0" tint="-4.9989318521683403E-2"/>
      <name val="Calibri"/>
      <family val="2"/>
      <scheme val="minor"/>
    </font>
    <font>
      <b/>
      <sz val="11"/>
      <color theme="0" tint="-4.9989318521683403E-2"/>
      <name val="Calibri"/>
      <family val="2"/>
      <scheme val="minor"/>
    </font>
    <font>
      <sz val="11"/>
      <color theme="0"/>
      <name val="Calibri"/>
      <family val="2"/>
      <scheme val="minor"/>
    </font>
    <font>
      <b/>
      <i/>
      <sz val="14"/>
      <color theme="0" tint="-4.9989318521683403E-2"/>
      <name val="Calibri"/>
      <family val="2"/>
      <scheme val="minor"/>
    </font>
    <font>
      <b/>
      <u/>
      <sz val="14"/>
      <color theme="1"/>
      <name val="Calibri"/>
      <family val="2"/>
      <scheme val="minor"/>
    </font>
    <font>
      <i/>
      <sz val="12"/>
      <name val="Calibri"/>
      <family val="2"/>
      <scheme val="minor"/>
    </font>
    <font>
      <b/>
      <sz val="12"/>
      <color theme="0" tint="-4.9989318521683403E-2"/>
      <name val="Calibri"/>
      <family val="2"/>
      <scheme val="minor"/>
    </font>
    <font>
      <b/>
      <i/>
      <sz val="16"/>
      <color theme="0" tint="-4.9989318521683403E-2"/>
      <name val="Calibri"/>
      <family val="2"/>
      <scheme val="minor"/>
    </font>
    <font>
      <sz val="16"/>
      <color theme="1" tint="0.14999847407452621"/>
      <name val="Calibri"/>
      <family val="2"/>
      <scheme val="minor"/>
    </font>
    <font>
      <b/>
      <i/>
      <sz val="10"/>
      <color theme="0" tint="-4.9989318521683403E-2"/>
      <name val="Calibri"/>
      <family val="2"/>
      <scheme val="minor"/>
    </font>
    <font>
      <b/>
      <sz val="10"/>
      <color theme="0" tint="-4.9989318521683403E-2"/>
      <name val="Calibri"/>
      <family val="2"/>
      <scheme val="minor"/>
    </font>
    <font>
      <b/>
      <u/>
      <sz val="16"/>
      <color theme="1"/>
      <name val="Calibri"/>
      <family val="2"/>
      <scheme val="minor"/>
    </font>
    <font>
      <b/>
      <sz val="12"/>
      <color rgb="FF11C1FF"/>
      <name val="Calibri"/>
      <family val="2"/>
      <scheme val="minor"/>
    </font>
    <font>
      <sz val="11"/>
      <color theme="0" tint="-0.34998626667073579"/>
      <name val="Calibri"/>
      <family val="2"/>
      <scheme val="minor"/>
    </font>
    <font>
      <sz val="12"/>
      <color theme="1" tint="0.14999847407452621"/>
      <name val="Calibri"/>
      <family val="2"/>
      <scheme val="minor"/>
    </font>
    <font>
      <b/>
      <i/>
      <sz val="12"/>
      <color theme="1"/>
      <name val="Calibri"/>
      <family val="2"/>
      <scheme val="minor"/>
    </font>
    <font>
      <b/>
      <i/>
      <sz val="16"/>
      <color theme="0" tint="-0.34998626667073579"/>
      <name val="Calibri"/>
      <family val="2"/>
      <scheme val="minor"/>
    </font>
    <font>
      <b/>
      <sz val="8"/>
      <color rgb="FF25C6FF"/>
      <name val="Calibri"/>
      <family val="2"/>
      <scheme val="minor"/>
    </font>
    <font>
      <b/>
      <sz val="8"/>
      <color theme="0" tint="-0.249977111117893"/>
      <name val="Calibri"/>
      <family val="2"/>
      <scheme val="minor"/>
    </font>
    <font>
      <b/>
      <sz val="8"/>
      <color theme="0" tint="-4.9989318521683403E-2"/>
      <name val="Calibri"/>
      <family val="2"/>
      <scheme val="minor"/>
    </font>
    <font>
      <sz val="8"/>
      <color theme="0" tint="-4.9989318521683403E-2"/>
      <name val="Calibri"/>
      <family val="2"/>
      <scheme val="minor"/>
    </font>
    <font>
      <sz val="8"/>
      <color theme="0"/>
      <name val="Calibri"/>
      <family val="2"/>
      <scheme val="minor"/>
    </font>
    <font>
      <sz val="8"/>
      <color theme="1"/>
      <name val="Calibri"/>
      <family val="2"/>
      <scheme val="minor"/>
    </font>
    <font>
      <b/>
      <sz val="14"/>
      <color theme="1"/>
      <name val="Calibri"/>
      <family val="2"/>
      <scheme val="minor"/>
    </font>
    <font>
      <sz val="14"/>
      <color theme="1"/>
      <name val="Calibri"/>
      <family val="2"/>
      <scheme val="minor"/>
    </font>
    <font>
      <sz val="14"/>
      <name val="Calibri"/>
      <family val="2"/>
      <scheme val="minor"/>
    </font>
    <font>
      <sz val="14"/>
      <color theme="0"/>
      <name val="Arial Black"/>
      <family val="2"/>
    </font>
    <font>
      <sz val="12"/>
      <color theme="0"/>
      <name val="Arial Black"/>
      <family val="2"/>
    </font>
    <font>
      <b/>
      <i/>
      <sz val="16"/>
      <color rgb="FFFFFFCC"/>
      <name val="Calibri"/>
      <family val="2"/>
      <scheme val="minor"/>
    </font>
    <font>
      <i/>
      <sz val="16"/>
      <color theme="0"/>
      <name val="Arial Black"/>
      <family val="2"/>
    </font>
    <font>
      <b/>
      <i/>
      <sz val="16"/>
      <color theme="0"/>
      <name val="Calibri"/>
      <family val="2"/>
      <scheme val="minor"/>
    </font>
    <font>
      <sz val="16"/>
      <name val="Calibri"/>
      <family val="2"/>
      <scheme val="minor"/>
    </font>
    <font>
      <b/>
      <i/>
      <sz val="11"/>
      <color theme="0" tint="-4.9989318521683403E-2"/>
      <name val="Calibri"/>
      <family val="2"/>
      <scheme val="minor"/>
    </font>
    <font>
      <sz val="10"/>
      <color theme="1" tint="0.14999847407452621"/>
      <name val="Calibri"/>
      <family val="2"/>
      <scheme val="minor"/>
    </font>
    <font>
      <sz val="10"/>
      <color indexed="63"/>
      <name val="Calibri"/>
      <family val="2"/>
    </font>
    <font>
      <sz val="10"/>
      <name val="Calibri"/>
      <family val="2"/>
      <scheme val="minor"/>
    </font>
    <font>
      <b/>
      <sz val="10"/>
      <color theme="0"/>
      <name val="Calibri"/>
      <family val="2"/>
      <scheme val="minor"/>
    </font>
    <font>
      <i/>
      <sz val="9"/>
      <color theme="0"/>
      <name val="Calibri"/>
      <family val="2"/>
      <scheme val="minor"/>
    </font>
    <font>
      <i/>
      <sz val="11"/>
      <color theme="1" tint="0.14999847407452621"/>
      <name val="Calibri"/>
      <family val="2"/>
      <scheme val="minor"/>
    </font>
    <font>
      <i/>
      <sz val="11"/>
      <name val="Calibri"/>
      <family val="2"/>
      <scheme val="minor"/>
    </font>
    <font>
      <b/>
      <i/>
      <sz val="15"/>
      <color theme="0" tint="-4.9989318521683403E-2"/>
      <name val="Calibri"/>
      <family val="2"/>
      <scheme val="minor"/>
    </font>
    <font>
      <b/>
      <sz val="10"/>
      <name val="Calibri"/>
      <family val="2"/>
      <scheme val="minor"/>
    </font>
    <font>
      <b/>
      <u/>
      <sz val="10"/>
      <color rgb="FF0000FF"/>
      <name val="Calibri"/>
      <family val="2"/>
      <scheme val="minor"/>
    </font>
    <font>
      <b/>
      <u/>
      <sz val="10"/>
      <color theme="10"/>
      <name val="Calibri"/>
      <family val="2"/>
      <scheme val="minor"/>
    </font>
    <font>
      <b/>
      <i/>
      <sz val="10"/>
      <color theme="0" tint="-0.14999847407452621"/>
      <name val="Calibri"/>
      <family val="2"/>
      <scheme val="minor"/>
    </font>
    <font>
      <b/>
      <sz val="14"/>
      <color rgb="FF11C1FF"/>
      <name val="Calibri"/>
      <family val="2"/>
      <scheme val="minor"/>
    </font>
    <font>
      <sz val="11"/>
      <color rgb="FF000000"/>
      <name val="Calibri"/>
      <family val="2"/>
      <scheme val="minor"/>
    </font>
    <font>
      <sz val="8"/>
      <name val="Calibri"/>
      <family val="2"/>
      <scheme val="minor"/>
    </font>
    <font>
      <i/>
      <sz val="11"/>
      <color theme="1"/>
      <name val="Calibri"/>
      <family val="2"/>
      <scheme val="minor"/>
    </font>
    <font>
      <b/>
      <sz val="12"/>
      <color theme="1"/>
      <name val="Calibri"/>
      <family val="2"/>
      <scheme val="minor"/>
    </font>
    <font>
      <b/>
      <i/>
      <u/>
      <sz val="10"/>
      <color rgb="FF0000FF"/>
      <name val="Calibri"/>
      <family val="2"/>
      <scheme val="minor"/>
    </font>
    <font>
      <i/>
      <sz val="10"/>
      <color theme="0"/>
      <name val="Calibri"/>
      <family val="2"/>
      <scheme val="minor"/>
    </font>
    <font>
      <sz val="9"/>
      <color theme="0"/>
      <name val="Calibri"/>
      <family val="2"/>
      <scheme val="minor"/>
    </font>
    <font>
      <i/>
      <sz val="11"/>
      <color theme="0" tint="-0.499984740745262"/>
      <name val="Calibri"/>
      <family val="2"/>
      <scheme val="minor"/>
    </font>
    <font>
      <i/>
      <sz val="12"/>
      <color theme="1"/>
      <name val="Calibri"/>
      <family val="2"/>
      <scheme val="minor"/>
    </font>
    <font>
      <u/>
      <sz val="9"/>
      <color indexed="81"/>
      <name val="Tahoma"/>
      <family val="2"/>
    </font>
    <font>
      <sz val="11"/>
      <color theme="1" tint="0.14996795556505021"/>
      <name val="Calibri"/>
      <family val="2"/>
      <scheme val="minor"/>
    </font>
    <font>
      <b/>
      <sz val="11"/>
      <color rgb="FF0000FF"/>
      <name val="Calibri"/>
      <family val="2"/>
      <scheme val="minor"/>
    </font>
    <font>
      <u/>
      <sz val="11"/>
      <color theme="1" tint="0.14999847407452621"/>
      <name val="Calibri"/>
      <family val="2"/>
      <scheme val="minor"/>
    </font>
    <font>
      <b/>
      <sz val="11"/>
      <color theme="1" tint="0.14999847407452621"/>
      <name val="Calibri"/>
      <family val="2"/>
      <scheme val="minor"/>
    </font>
    <font>
      <b/>
      <sz val="12"/>
      <color rgb="FF66FFFF"/>
      <name val="Calibri"/>
      <family val="2"/>
      <scheme val="minor"/>
    </font>
    <font>
      <b/>
      <sz val="12"/>
      <name val="Calibri"/>
      <family val="2"/>
      <scheme val="minor"/>
    </font>
    <font>
      <sz val="9"/>
      <color theme="1" tint="0.14999847407452621"/>
      <name val="Calibri"/>
      <family val="2"/>
      <scheme val="minor"/>
    </font>
    <font>
      <b/>
      <i/>
      <sz val="9"/>
      <color indexed="81"/>
      <name val="Tahoma"/>
      <family val="2"/>
    </font>
    <font>
      <b/>
      <sz val="18"/>
      <color theme="1"/>
      <name val="Calibri"/>
      <family val="2"/>
      <scheme val="minor"/>
    </font>
    <font>
      <b/>
      <u/>
      <sz val="14"/>
      <name val="Calibri"/>
      <family val="2"/>
      <scheme val="minor"/>
    </font>
    <font>
      <b/>
      <i/>
      <sz val="10"/>
      <color theme="5" tint="-0.249977111117893"/>
      <name val="Calibri"/>
      <family val="2"/>
      <scheme val="minor"/>
    </font>
    <font>
      <b/>
      <i/>
      <sz val="14"/>
      <color theme="0"/>
      <name val="Calibri"/>
      <family val="2"/>
      <scheme val="minor"/>
    </font>
    <font>
      <sz val="9"/>
      <color theme="1"/>
      <name val="Calibri"/>
      <family val="2"/>
      <scheme val="minor"/>
    </font>
    <font>
      <b/>
      <sz val="9"/>
      <color theme="1"/>
      <name val="Calibri"/>
      <family val="2"/>
      <scheme val="minor"/>
    </font>
    <font>
      <sz val="9"/>
      <name val="Calibri"/>
      <family val="2"/>
      <scheme val="minor"/>
    </font>
    <font>
      <i/>
      <sz val="9"/>
      <name val="Calibri"/>
      <family val="2"/>
      <scheme val="minor"/>
    </font>
    <font>
      <b/>
      <sz val="9"/>
      <name val="Calibri"/>
      <family val="2"/>
      <scheme val="minor"/>
    </font>
    <font>
      <sz val="10"/>
      <color theme="1"/>
      <name val="Calibri"/>
      <family val="2"/>
      <scheme val="minor"/>
    </font>
    <font>
      <b/>
      <sz val="9"/>
      <color theme="0" tint="-4.9989318521683403E-2"/>
      <name val="Calibri"/>
      <family val="2"/>
      <scheme val="minor"/>
    </font>
    <font>
      <sz val="8"/>
      <color theme="1" tint="0.14999847407452621"/>
      <name val="Calibri"/>
      <family val="2"/>
      <scheme val="minor"/>
    </font>
    <font>
      <sz val="7"/>
      <color theme="1" tint="0.14999847407452621"/>
      <name val="Calibri"/>
      <family val="2"/>
      <scheme val="minor"/>
    </font>
    <font>
      <b/>
      <i/>
      <sz val="10"/>
      <name val="Calibri"/>
      <family val="2"/>
      <scheme val="minor"/>
    </font>
    <font>
      <b/>
      <i/>
      <sz val="16"/>
      <color rgb="FFFFFF66"/>
      <name val="Calibri"/>
      <family val="2"/>
      <scheme val="minor"/>
    </font>
    <font>
      <b/>
      <i/>
      <sz val="12"/>
      <color rgb="FFFFFF66"/>
      <name val="Calibri"/>
      <family val="2"/>
      <scheme val="minor"/>
    </font>
    <font>
      <b/>
      <sz val="12"/>
      <color rgb="FFFFFF66"/>
      <name val="Calibri"/>
      <family val="2"/>
      <scheme val="minor"/>
    </font>
    <font>
      <i/>
      <sz val="12"/>
      <color rgb="FFC00000"/>
      <name val="Calibri"/>
      <family val="2"/>
      <scheme val="minor"/>
    </font>
    <font>
      <b/>
      <i/>
      <sz val="12"/>
      <color rgb="FFC00000"/>
      <name val="Calibri"/>
      <family val="2"/>
      <scheme val="minor"/>
    </font>
  </fonts>
  <fills count="23">
    <fill>
      <patternFill patternType="none"/>
    </fill>
    <fill>
      <patternFill patternType="gray125"/>
    </fill>
    <fill>
      <patternFill patternType="solid">
        <fgColor rgb="FF646464"/>
        <bgColor indexed="64"/>
      </patternFill>
    </fill>
    <fill>
      <patternFill patternType="solid">
        <fgColor rgb="FF303030"/>
        <bgColor indexed="64"/>
      </patternFill>
    </fill>
    <fill>
      <patternFill patternType="solid">
        <fgColor rgb="FF102844"/>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8BACD3"/>
        <bgColor indexed="64"/>
      </patternFill>
    </fill>
    <fill>
      <patternFill patternType="solid">
        <fgColor rgb="FFCCFFFF"/>
        <bgColor indexed="64"/>
      </patternFill>
    </fill>
    <fill>
      <patternFill patternType="solid">
        <fgColor rgb="FF404040"/>
        <bgColor indexed="64"/>
      </patternFill>
    </fill>
    <fill>
      <patternFill patternType="solid">
        <fgColor rgb="FF505050"/>
        <bgColor indexed="64"/>
      </patternFill>
    </fill>
    <fill>
      <patternFill patternType="solid">
        <fgColor theme="7" tint="-0.24994659260841701"/>
        <bgColor indexed="64"/>
      </patternFill>
    </fill>
    <fill>
      <patternFill patternType="solid">
        <fgColor rgb="FF1E497C"/>
        <bgColor indexed="64"/>
      </patternFill>
    </fill>
    <fill>
      <patternFill patternType="solid">
        <fgColor rgb="FF17375D"/>
        <bgColor indexed="64"/>
      </patternFill>
    </fill>
    <fill>
      <patternFill patternType="solid">
        <fgColor rgb="FFDEDEDE"/>
        <bgColor indexed="64"/>
      </patternFill>
    </fill>
    <fill>
      <patternFill patternType="solid">
        <fgColor rgb="FFE5F4F7"/>
        <bgColor indexed="64"/>
      </patternFill>
    </fill>
    <fill>
      <patternFill patternType="solid">
        <fgColor rgb="FF002060"/>
        <bgColor indexed="64"/>
      </patternFill>
    </fill>
    <fill>
      <patternFill patternType="solid">
        <fgColor rgb="FF602E04"/>
        <bgColor indexed="64"/>
      </patternFill>
    </fill>
    <fill>
      <patternFill patternType="solid">
        <fgColor theme="5" tint="0.59999389629810485"/>
        <bgColor indexed="64"/>
      </patternFill>
    </fill>
    <fill>
      <patternFill patternType="gray0625">
        <bgColor rgb="FFDEDEDE"/>
      </patternFill>
    </fill>
    <fill>
      <patternFill patternType="gray0625">
        <bgColor theme="0" tint="-0.34998626667073579"/>
      </patternFill>
    </fill>
    <fill>
      <patternFill patternType="solid">
        <fgColor theme="4" tint="-0.499984740745262"/>
        <bgColor indexed="64"/>
      </patternFill>
    </fill>
  </fills>
  <borders count="27">
    <border>
      <left/>
      <right/>
      <top/>
      <bottom/>
      <diagonal/>
    </border>
    <border>
      <left style="medium">
        <color indexed="64"/>
      </left>
      <right/>
      <top/>
      <bottom/>
      <diagonal/>
    </border>
    <border>
      <left/>
      <right style="hair">
        <color indexed="64"/>
      </right>
      <top/>
      <bottom/>
      <diagonal/>
    </border>
    <border>
      <left style="hair">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hair">
        <color indexed="64"/>
      </left>
      <right style="medium">
        <color indexed="64"/>
      </right>
      <top/>
      <bottom/>
      <diagonal/>
    </border>
    <border>
      <left style="hair">
        <color indexed="64"/>
      </left>
      <right style="hair">
        <color indexed="64"/>
      </right>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style="hair">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hair">
        <color indexed="64"/>
      </right>
      <top style="medium">
        <color indexed="64"/>
      </top>
      <bottom/>
      <diagonal/>
    </border>
    <border>
      <left style="thin">
        <color auto="1"/>
      </left>
      <right style="medium">
        <color auto="1"/>
      </right>
      <top/>
      <bottom/>
      <diagonal/>
    </border>
  </borders>
  <cellStyleXfs count="2">
    <xf numFmtId="0" fontId="0" fillId="0" borderId="0"/>
    <xf numFmtId="0" fontId="6" fillId="0" borderId="0" applyNumberFormat="0" applyFill="0" applyBorder="0" applyAlignment="0" applyProtection="0"/>
  </cellStyleXfs>
  <cellXfs count="424">
    <xf numFmtId="0" fontId="0" fillId="0" borderId="0" xfId="0"/>
    <xf numFmtId="0" fontId="0" fillId="0" borderId="0" xfId="0" applyAlignment="1">
      <alignment horizontal="center"/>
    </xf>
    <xf numFmtId="164" fontId="9" fillId="0" borderId="0" xfId="0" applyNumberFormat="1" applyFont="1"/>
    <xf numFmtId="1" fontId="0" fillId="0" borderId="0" xfId="0" applyNumberFormat="1"/>
    <xf numFmtId="2" fontId="0" fillId="0" borderId="0" xfId="0" applyNumberFormat="1"/>
    <xf numFmtId="0" fontId="10" fillId="0" borderId="0" xfId="0" applyFont="1" applyAlignment="1">
      <alignment horizontal="center"/>
    </xf>
    <xf numFmtId="164" fontId="0" fillId="0" borderId="0" xfId="0" applyNumberFormat="1" applyAlignment="1">
      <alignment horizontal="left"/>
    </xf>
    <xf numFmtId="0" fontId="10" fillId="0" borderId="0" xfId="0" applyFont="1"/>
    <xf numFmtId="0" fontId="0" fillId="0" borderId="0" xfId="0" applyAlignment="1">
      <alignment horizontal="left"/>
    </xf>
    <xf numFmtId="1" fontId="0" fillId="0" borderId="0" xfId="0" applyNumberFormat="1" applyAlignment="1">
      <alignment horizontal="right"/>
    </xf>
    <xf numFmtId="0" fontId="0" fillId="0" borderId="0" xfId="0" applyAlignment="1">
      <alignment horizontal="right"/>
    </xf>
    <xf numFmtId="0" fontId="14" fillId="0" borderId="0" xfId="0" applyFont="1"/>
    <xf numFmtId="0" fontId="16" fillId="0" borderId="0" xfId="1" applyFont="1" applyFill="1" applyBorder="1" applyAlignment="1">
      <alignment horizontal="center" vertical="center"/>
    </xf>
    <xf numFmtId="0" fontId="0" fillId="0" borderId="13" xfId="0" applyBorder="1"/>
    <xf numFmtId="14" fontId="0" fillId="0" borderId="0" xfId="0" applyNumberFormat="1"/>
    <xf numFmtId="176" fontId="0" fillId="0" borderId="0" xfId="0" applyNumberFormat="1"/>
    <xf numFmtId="2" fontId="16" fillId="0" borderId="0" xfId="1" applyNumberFormat="1" applyFont="1" applyFill="1" applyBorder="1" applyAlignment="1">
      <alignment horizontal="center" vertical="center"/>
    </xf>
    <xf numFmtId="0" fontId="16" fillId="0" borderId="0" xfId="1" quotePrefix="1" applyFont="1" applyFill="1" applyBorder="1" applyAlignment="1">
      <alignment vertical="center"/>
    </xf>
    <xf numFmtId="168" fontId="0" fillId="0" borderId="0" xfId="0" applyNumberFormat="1" applyAlignment="1">
      <alignment horizontal="center"/>
    </xf>
    <xf numFmtId="0" fontId="22" fillId="0" borderId="0" xfId="0" applyFont="1" applyAlignment="1">
      <alignment horizontal="center"/>
    </xf>
    <xf numFmtId="0" fontId="29" fillId="0" borderId="0" xfId="0" applyFont="1" applyAlignment="1">
      <alignment horizontal="left"/>
    </xf>
    <xf numFmtId="0" fontId="42" fillId="0" borderId="0" xfId="0" applyFont="1"/>
    <xf numFmtId="0" fontId="13" fillId="4" borderId="5" xfId="1" quotePrefix="1" applyFont="1" applyFill="1" applyBorder="1" applyAlignment="1">
      <alignment horizontal="centerContinuous" vertical="center"/>
    </xf>
    <xf numFmtId="0" fontId="44" fillId="3" borderId="4" xfId="0" applyFont="1" applyFill="1" applyBorder="1" applyAlignment="1" applyProtection="1">
      <alignment vertical="center"/>
      <protection locked="0"/>
    </xf>
    <xf numFmtId="0" fontId="0" fillId="0" borderId="0" xfId="0" applyProtection="1">
      <protection locked="0"/>
    </xf>
    <xf numFmtId="0" fontId="10" fillId="3" borderId="0" xfId="0" applyFont="1" applyFill="1" applyAlignment="1">
      <alignment horizontal="centerContinuous"/>
    </xf>
    <xf numFmtId="0" fontId="44" fillId="3" borderId="5" xfId="0" applyFont="1" applyFill="1" applyBorder="1" applyAlignment="1" applyProtection="1">
      <alignment vertical="center"/>
      <protection locked="0"/>
    </xf>
    <xf numFmtId="0" fontId="19" fillId="4" borderId="15" xfId="0" applyFont="1" applyFill="1" applyBorder="1" applyAlignment="1">
      <alignment horizontal="center" vertical="center" wrapText="1"/>
    </xf>
    <xf numFmtId="0" fontId="19" fillId="4" borderId="14" xfId="0" applyFont="1" applyFill="1" applyBorder="1" applyAlignment="1">
      <alignment horizontal="center" vertical="center" wrapText="1"/>
    </xf>
    <xf numFmtId="0" fontId="12" fillId="4" borderId="15" xfId="0" applyFont="1" applyFill="1" applyBorder="1" applyAlignment="1">
      <alignment vertical="center" wrapText="1"/>
    </xf>
    <xf numFmtId="0" fontId="12" fillId="4" borderId="15" xfId="1" quotePrefix="1" applyFont="1" applyFill="1" applyBorder="1" applyAlignment="1">
      <alignment horizontal="center" vertical="top"/>
    </xf>
    <xf numFmtId="0" fontId="54" fillId="4" borderId="15" xfId="1" quotePrefix="1" applyFont="1" applyFill="1" applyBorder="1" applyAlignment="1">
      <alignment horizontal="center" vertical="top"/>
    </xf>
    <xf numFmtId="0" fontId="12" fillId="4" borderId="15" xfId="0" applyFont="1" applyFill="1" applyBorder="1" applyAlignment="1">
      <alignment horizontal="center" vertical="top" wrapText="1"/>
    </xf>
    <xf numFmtId="0" fontId="54" fillId="4" borderId="14" xfId="0" applyFont="1" applyFill="1" applyBorder="1" applyAlignment="1">
      <alignment horizontal="center" vertical="top" wrapText="1"/>
    </xf>
    <xf numFmtId="0" fontId="12" fillId="4" borderId="19" xfId="1" quotePrefix="1" applyFont="1" applyFill="1" applyBorder="1" applyAlignment="1" applyProtection="1">
      <alignment horizontal="center" vertical="center"/>
      <protection locked="0"/>
    </xf>
    <xf numFmtId="0" fontId="20" fillId="4" borderId="19" xfId="0" applyFont="1" applyFill="1" applyBorder="1" applyAlignment="1" applyProtection="1">
      <alignment vertical="center" wrapText="1"/>
      <protection locked="0"/>
    </xf>
    <xf numFmtId="0" fontId="20" fillId="4" borderId="18" xfId="0" applyFont="1" applyFill="1" applyBorder="1" applyAlignment="1" applyProtection="1">
      <alignment vertical="center" wrapText="1"/>
      <protection locked="0"/>
    </xf>
    <xf numFmtId="0" fontId="20" fillId="4" borderId="9" xfId="0" applyFont="1" applyFill="1" applyBorder="1" applyAlignment="1" applyProtection="1">
      <alignment vertical="center" wrapText="1"/>
      <protection locked="0"/>
    </xf>
    <xf numFmtId="0" fontId="20" fillId="4" borderId="10" xfId="0" applyFont="1" applyFill="1" applyBorder="1" applyAlignment="1" applyProtection="1">
      <alignment vertical="center" wrapText="1"/>
      <protection locked="0"/>
    </xf>
    <xf numFmtId="0" fontId="12" fillId="4" borderId="15" xfId="0" applyFont="1" applyFill="1" applyBorder="1" applyAlignment="1">
      <alignment vertical="top" wrapText="1"/>
    </xf>
    <xf numFmtId="0" fontId="13" fillId="5" borderId="12" xfId="1" quotePrefix="1" applyFont="1" applyFill="1" applyBorder="1" applyAlignment="1">
      <alignment horizontal="centerContinuous" vertical="center"/>
    </xf>
    <xf numFmtId="0" fontId="19" fillId="5" borderId="16" xfId="0" applyFont="1" applyFill="1" applyBorder="1" applyAlignment="1">
      <alignment horizontal="center" vertical="center"/>
    </xf>
    <xf numFmtId="0" fontId="19" fillId="5" borderId="14" xfId="0" applyFont="1" applyFill="1" applyBorder="1" applyAlignment="1">
      <alignment horizontal="center" vertical="center"/>
    </xf>
    <xf numFmtId="0" fontId="19" fillId="5" borderId="17" xfId="0" applyFont="1" applyFill="1" applyBorder="1" applyAlignment="1" applyProtection="1">
      <alignment horizontal="center" vertical="center"/>
      <protection locked="0"/>
    </xf>
    <xf numFmtId="0" fontId="19" fillId="5" borderId="18" xfId="0" applyFont="1" applyFill="1" applyBorder="1" applyAlignment="1" applyProtection="1">
      <alignment horizontal="center" vertical="center"/>
      <protection locked="0"/>
    </xf>
    <xf numFmtId="0" fontId="41" fillId="3" borderId="5" xfId="0" applyFont="1" applyFill="1" applyBorder="1" applyAlignment="1" applyProtection="1">
      <alignment vertical="center"/>
      <protection locked="0"/>
    </xf>
    <xf numFmtId="0" fontId="13" fillId="3" borderId="0" xfId="1" applyFont="1" applyFill="1" applyBorder="1" applyAlignment="1" applyProtection="1">
      <protection locked="0"/>
    </xf>
    <xf numFmtId="0" fontId="18" fillId="3" borderId="0" xfId="1" applyFont="1" applyFill="1" applyBorder="1" applyAlignment="1" applyProtection="1">
      <alignment vertical="center"/>
      <protection locked="0"/>
    </xf>
    <xf numFmtId="22" fontId="18" fillId="3" borderId="0" xfId="1" applyNumberFormat="1" applyFont="1" applyFill="1" applyBorder="1" applyAlignment="1" applyProtection="1">
      <alignment vertical="center"/>
      <protection locked="0"/>
    </xf>
    <xf numFmtId="181" fontId="30" fillId="3" borderId="0" xfId="0" applyNumberFormat="1" applyFont="1" applyFill="1" applyAlignment="1" applyProtection="1">
      <alignment vertical="center"/>
      <protection locked="0"/>
    </xf>
    <xf numFmtId="0" fontId="13" fillId="3" borderId="8" xfId="1" applyFont="1" applyFill="1" applyBorder="1" applyAlignment="1" applyProtection="1">
      <alignment vertical="center"/>
      <protection locked="0"/>
    </xf>
    <xf numFmtId="0" fontId="62" fillId="3" borderId="0" xfId="1" applyFont="1" applyFill="1" applyBorder="1" applyAlignment="1" applyProtection="1">
      <alignment vertical="top"/>
      <protection locked="0"/>
    </xf>
    <xf numFmtId="0" fontId="20" fillId="4" borderId="8" xfId="0" applyFont="1" applyFill="1" applyBorder="1" applyAlignment="1" applyProtection="1">
      <alignment vertical="center" wrapText="1"/>
      <protection locked="0"/>
    </xf>
    <xf numFmtId="0" fontId="55" fillId="4" borderId="2" xfId="1" quotePrefix="1" applyFont="1" applyFill="1" applyBorder="1" applyAlignment="1"/>
    <xf numFmtId="0" fontId="55" fillId="4" borderId="10" xfId="1" quotePrefix="1" applyFont="1" applyFill="1" applyBorder="1" applyAlignment="1" applyProtection="1">
      <alignment vertical="top"/>
      <protection locked="0"/>
    </xf>
    <xf numFmtId="0" fontId="10" fillId="3" borderId="0" xfId="0" applyFont="1" applyFill="1"/>
    <xf numFmtId="0" fontId="10" fillId="3" borderId="8" xfId="0" applyFont="1" applyFill="1" applyBorder="1" applyProtection="1">
      <protection locked="0"/>
    </xf>
    <xf numFmtId="0" fontId="55" fillId="4" borderId="15" xfId="1" quotePrefix="1" applyFont="1" applyFill="1" applyBorder="1" applyAlignment="1">
      <alignment vertical="center"/>
    </xf>
    <xf numFmtId="0" fontId="69" fillId="4" borderId="15" xfId="0" applyFont="1" applyFill="1" applyBorder="1" applyAlignment="1">
      <alignment vertical="center" wrapText="1"/>
    </xf>
    <xf numFmtId="0" fontId="12" fillId="4" borderId="19" xfId="1" quotePrefix="1" applyFont="1" applyFill="1" applyBorder="1" applyAlignment="1" applyProtection="1">
      <alignment vertical="center"/>
      <protection locked="0"/>
    </xf>
    <xf numFmtId="0" fontId="20" fillId="4" borderId="19" xfId="0" applyFont="1" applyFill="1" applyBorder="1" applyAlignment="1" applyProtection="1">
      <alignment vertical="center"/>
      <protection locked="0"/>
    </xf>
    <xf numFmtId="0" fontId="54" fillId="4" borderId="19" xfId="1" quotePrefix="1" applyFont="1" applyFill="1" applyBorder="1" applyAlignment="1" applyProtection="1">
      <alignment vertical="center"/>
      <protection locked="0"/>
    </xf>
    <xf numFmtId="0" fontId="12" fillId="4" borderId="9" xfId="1" quotePrefix="1" applyFont="1" applyFill="1" applyBorder="1" applyAlignment="1" applyProtection="1">
      <alignment vertical="center"/>
      <protection locked="0"/>
    </xf>
    <xf numFmtId="0" fontId="12" fillId="4" borderId="10" xfId="1" quotePrefix="1" applyFont="1" applyFill="1" applyBorder="1" applyAlignment="1" applyProtection="1">
      <alignment vertical="center"/>
      <protection locked="0"/>
    </xf>
    <xf numFmtId="22" fontId="10" fillId="3" borderId="0" xfId="0" applyNumberFormat="1" applyFont="1" applyFill="1" applyAlignment="1">
      <alignment horizontal="centerContinuous"/>
    </xf>
    <xf numFmtId="0" fontId="10" fillId="3" borderId="0" xfId="0" applyFont="1" applyFill="1" applyAlignment="1">
      <alignment horizontal="centerContinuous" vertical="center"/>
    </xf>
    <xf numFmtId="0" fontId="12" fillId="4" borderId="15" xfId="1" quotePrefix="1" applyFont="1" applyFill="1" applyBorder="1" applyAlignment="1">
      <alignment horizontal="center" vertical="center"/>
    </xf>
    <xf numFmtId="0" fontId="12" fillId="4" borderId="15" xfId="0" applyFont="1" applyFill="1" applyBorder="1" applyAlignment="1">
      <alignment horizontal="center" vertical="center" wrapText="1"/>
    </xf>
    <xf numFmtId="0" fontId="19" fillId="4" borderId="3" xfId="0" applyFont="1" applyFill="1" applyBorder="1" applyAlignment="1">
      <alignment horizontal="centerContinuous" vertical="center" wrapText="1"/>
    </xf>
    <xf numFmtId="0" fontId="19" fillId="4" borderId="2" xfId="0" applyFont="1" applyFill="1" applyBorder="1" applyAlignment="1">
      <alignment horizontal="centerContinuous" vertical="center" wrapText="1"/>
    </xf>
    <xf numFmtId="0" fontId="54" fillId="4" borderId="3" xfId="0" applyFont="1" applyFill="1" applyBorder="1" applyAlignment="1">
      <alignment horizontal="center" vertical="top" wrapText="1"/>
    </xf>
    <xf numFmtId="0" fontId="54" fillId="4" borderId="2" xfId="0" applyFont="1" applyFill="1" applyBorder="1" applyAlignment="1">
      <alignment horizontal="center" vertical="top" wrapText="1"/>
    </xf>
    <xf numFmtId="0" fontId="54" fillId="4" borderId="3" xfId="1" quotePrefix="1" applyFont="1" applyFill="1" applyBorder="1" applyAlignment="1">
      <alignment horizontal="center" vertical="top"/>
    </xf>
    <xf numFmtId="0" fontId="54" fillId="4" borderId="2" xfId="1" quotePrefix="1" applyFont="1" applyFill="1" applyBorder="1" applyAlignment="1">
      <alignment horizontal="center" vertical="top"/>
    </xf>
    <xf numFmtId="0" fontId="25" fillId="4" borderId="5" xfId="1" quotePrefix="1" applyFont="1" applyFill="1" applyBorder="1" applyAlignment="1">
      <alignment horizontal="centerContinuous" vertical="center"/>
    </xf>
    <xf numFmtId="0" fontId="21" fillId="4" borderId="5" xfId="1" quotePrefix="1" applyFont="1" applyFill="1" applyBorder="1" applyAlignment="1">
      <alignment horizontal="centerContinuous" vertical="center"/>
    </xf>
    <xf numFmtId="0" fontId="19" fillId="4" borderId="1" xfId="0" applyFont="1" applyFill="1" applyBorder="1" applyAlignment="1">
      <alignment horizontal="centerContinuous" vertical="center" wrapText="1"/>
    </xf>
    <xf numFmtId="0" fontId="55" fillId="4" borderId="1" xfId="1" quotePrefix="1" applyFont="1" applyFill="1" applyBorder="1" applyAlignment="1">
      <alignment horizontal="center" vertical="top"/>
    </xf>
    <xf numFmtId="0" fontId="55" fillId="4" borderId="1" xfId="1" quotePrefix="1" applyFont="1" applyFill="1" applyBorder="1" applyAlignment="1">
      <alignment horizontal="center"/>
    </xf>
    <xf numFmtId="0" fontId="55" fillId="4" borderId="15" xfId="1" quotePrefix="1" applyFont="1" applyFill="1" applyBorder="1" applyAlignment="1"/>
    <xf numFmtId="0" fontId="55" fillId="4" borderId="19" xfId="1" quotePrefix="1" applyFont="1" applyFill="1" applyBorder="1" applyAlignment="1" applyProtection="1">
      <alignment vertical="top"/>
      <protection locked="0"/>
    </xf>
    <xf numFmtId="0" fontId="12" fillId="4" borderId="2" xfId="1" quotePrefix="1" applyFont="1" applyFill="1" applyBorder="1" applyAlignment="1">
      <alignment horizontal="center" vertical="center"/>
    </xf>
    <xf numFmtId="0" fontId="55" fillId="4" borderId="2" xfId="1" quotePrefix="1" applyFont="1" applyFill="1" applyBorder="1" applyAlignment="1">
      <alignment vertical="center"/>
    </xf>
    <xf numFmtId="0" fontId="25" fillId="4" borderId="12" xfId="1" quotePrefix="1" applyFont="1" applyFill="1" applyBorder="1" applyAlignment="1">
      <alignment horizontal="centerContinuous" vertical="center"/>
    </xf>
    <xf numFmtId="0" fontId="19" fillId="4" borderId="0" xfId="0" applyFont="1" applyFill="1" applyAlignment="1">
      <alignment horizontal="centerContinuous" vertical="center" wrapText="1"/>
    </xf>
    <xf numFmtId="0" fontId="70" fillId="4" borderId="15" xfId="0" applyFont="1" applyFill="1" applyBorder="1" applyAlignment="1">
      <alignment wrapText="1"/>
    </xf>
    <xf numFmtId="0" fontId="70" fillId="4" borderId="19" xfId="0" applyFont="1" applyFill="1" applyBorder="1" applyAlignment="1" applyProtection="1">
      <alignment vertical="top" wrapText="1"/>
      <protection locked="0"/>
    </xf>
    <xf numFmtId="0" fontId="0" fillId="0" borderId="0" xfId="0" applyAlignment="1">
      <alignment wrapText="1"/>
    </xf>
    <xf numFmtId="0" fontId="33" fillId="6" borderId="0" xfId="0" applyFont="1" applyFill="1"/>
    <xf numFmtId="0" fontId="0" fillId="6" borderId="0" xfId="0" applyFill="1"/>
    <xf numFmtId="0" fontId="0" fillId="6" borderId="0" xfId="0" applyFill="1" applyAlignment="1">
      <alignment wrapText="1"/>
    </xf>
    <xf numFmtId="0" fontId="0" fillId="7" borderId="0" xfId="0" applyFill="1"/>
    <xf numFmtId="0" fontId="0" fillId="8" borderId="0" xfId="0" applyFill="1"/>
    <xf numFmtId="0" fontId="0" fillId="0" borderId="0" xfId="0" applyAlignment="1">
      <alignment vertical="center" wrapText="1"/>
    </xf>
    <xf numFmtId="0" fontId="0" fillId="7" borderId="0" xfId="0" applyFill="1" applyAlignment="1">
      <alignment wrapText="1"/>
    </xf>
    <xf numFmtId="0" fontId="66" fillId="0" borderId="0" xfId="0" applyFont="1" applyAlignment="1">
      <alignment horizontal="center"/>
    </xf>
    <xf numFmtId="0" fontId="26" fillId="9" borderId="0" xfId="0" applyFont="1" applyFill="1" applyAlignment="1">
      <alignment horizontal="centerContinuous" vertical="center"/>
    </xf>
    <xf numFmtId="0" fontId="26" fillId="9" borderId="5" xfId="0" applyFont="1" applyFill="1" applyBorder="1" applyAlignment="1">
      <alignment horizontal="centerContinuous" vertical="center"/>
    </xf>
    <xf numFmtId="0" fontId="5" fillId="9" borderId="5" xfId="0" quotePrefix="1" applyFont="1" applyFill="1" applyBorder="1" applyAlignment="1">
      <alignment horizontal="centerContinuous" vertical="center"/>
    </xf>
    <xf numFmtId="0" fontId="8" fillId="9" borderId="1" xfId="0" applyFont="1" applyFill="1" applyBorder="1" applyAlignment="1">
      <alignment horizontal="centerContinuous" vertical="top"/>
    </xf>
    <xf numFmtId="0" fontId="32" fillId="9" borderId="0" xfId="0" applyFont="1" applyFill="1" applyAlignment="1">
      <alignment horizontal="centerContinuous" vertical="top"/>
    </xf>
    <xf numFmtId="0" fontId="32" fillId="9" borderId="2" xfId="0" applyFont="1" applyFill="1" applyBorder="1" applyAlignment="1">
      <alignment horizontal="centerContinuous" vertical="top"/>
    </xf>
    <xf numFmtId="0" fontId="8" fillId="9" borderId="3" xfId="0" applyFont="1" applyFill="1" applyBorder="1" applyAlignment="1">
      <alignment horizontal="centerContinuous" vertical="top"/>
    </xf>
    <xf numFmtId="0" fontId="8" fillId="9" borderId="0" xfId="0" applyFont="1" applyFill="1" applyAlignment="1">
      <alignment horizontal="centerContinuous" vertical="top"/>
    </xf>
    <xf numFmtId="0" fontId="32" fillId="9" borderId="6" xfId="0" applyFont="1" applyFill="1" applyBorder="1" applyAlignment="1">
      <alignment horizontal="centerContinuous" vertical="top"/>
    </xf>
    <xf numFmtId="0" fontId="59" fillId="9" borderId="1" xfId="1" applyFont="1" applyFill="1" applyBorder="1" applyAlignment="1">
      <alignment horizontal="center" vertical="center"/>
    </xf>
    <xf numFmtId="0" fontId="59" fillId="9" borderId="0" xfId="1" applyFont="1" applyFill="1" applyBorder="1" applyAlignment="1">
      <alignment horizontal="center" vertical="center" wrapText="1"/>
    </xf>
    <xf numFmtId="0" fontId="59" fillId="9" borderId="0" xfId="1" applyFont="1" applyFill="1" applyBorder="1" applyAlignment="1">
      <alignment horizontal="center" vertical="center"/>
    </xf>
    <xf numFmtId="0" fontId="60" fillId="9" borderId="0" xfId="1" applyFont="1" applyFill="1" applyBorder="1" applyAlignment="1">
      <alignment horizontal="center" vertical="center"/>
    </xf>
    <xf numFmtId="0" fontId="60" fillId="9" borderId="2" xfId="1" applyFont="1" applyFill="1" applyBorder="1" applyAlignment="1">
      <alignment horizontal="center" vertical="center"/>
    </xf>
    <xf numFmtId="0" fontId="61" fillId="9" borderId="0" xfId="1" applyFont="1" applyFill="1" applyBorder="1" applyAlignment="1">
      <alignment horizontal="center" vertical="center"/>
    </xf>
    <xf numFmtId="0" fontId="59" fillId="9" borderId="2" xfId="1" applyFont="1" applyFill="1" applyBorder="1" applyAlignment="1">
      <alignment horizontal="center" vertical="center"/>
    </xf>
    <xf numFmtId="0" fontId="60" fillId="9" borderId="3" xfId="1" applyFont="1" applyFill="1" applyBorder="1" applyAlignment="1">
      <alignment horizontal="center" vertical="center"/>
    </xf>
    <xf numFmtId="0" fontId="60" fillId="9" borderId="6" xfId="1" applyFont="1" applyFill="1" applyBorder="1" applyAlignment="1">
      <alignment horizontal="center" vertical="center"/>
    </xf>
    <xf numFmtId="0" fontId="11" fillId="9" borderId="8" xfId="0" applyFont="1" applyFill="1" applyBorder="1" applyAlignment="1" applyProtection="1">
      <alignment horizontal="left" vertical="center"/>
      <protection locked="0"/>
    </xf>
    <xf numFmtId="0" fontId="11" fillId="9" borderId="11" xfId="0" applyFont="1" applyFill="1" applyBorder="1" applyAlignment="1" applyProtection="1">
      <alignment horizontal="left" vertical="center"/>
      <protection locked="0"/>
    </xf>
    <xf numFmtId="0" fontId="66" fillId="0" borderId="0" xfId="0" applyFont="1" applyAlignment="1">
      <alignment horizontal="right"/>
    </xf>
    <xf numFmtId="0" fontId="67" fillId="0" borderId="0" xfId="0" applyFont="1"/>
    <xf numFmtId="0" fontId="64" fillId="0" borderId="0" xfId="0" applyFont="1" applyAlignment="1">
      <alignment horizontal="left"/>
    </xf>
    <xf numFmtId="0" fontId="29" fillId="0" borderId="0" xfId="0" quotePrefix="1" applyFont="1"/>
    <xf numFmtId="1" fontId="46" fillId="10" borderId="12" xfId="0" applyNumberFormat="1" applyFont="1" applyFill="1" applyBorder="1" applyAlignment="1">
      <alignment horizontal="centerContinuous"/>
    </xf>
    <xf numFmtId="0" fontId="42" fillId="11" borderId="5" xfId="0" applyFont="1" applyFill="1" applyBorder="1" applyAlignment="1">
      <alignment horizontal="centerContinuous"/>
    </xf>
    <xf numFmtId="164" fontId="43" fillId="11" borderId="5" xfId="0" applyNumberFormat="1" applyFont="1" applyFill="1" applyBorder="1" applyAlignment="1">
      <alignment horizontal="centerContinuous"/>
    </xf>
    <xf numFmtId="0" fontId="13" fillId="11" borderId="1" xfId="0" applyFont="1" applyFill="1" applyBorder="1" applyAlignment="1">
      <alignment horizontal="right" vertical="center"/>
    </xf>
    <xf numFmtId="174" fontId="24" fillId="11" borderId="0" xfId="0" applyNumberFormat="1" applyFont="1" applyFill="1" applyAlignment="1">
      <alignment horizontal="center" vertical="center"/>
    </xf>
    <xf numFmtId="0" fontId="13" fillId="11" borderId="0" xfId="1" applyFont="1" applyFill="1" applyBorder="1" applyAlignment="1">
      <alignment horizontal="center"/>
    </xf>
    <xf numFmtId="0" fontId="24" fillId="11" borderId="0" xfId="1" applyFont="1" applyFill="1" applyBorder="1" applyAlignment="1">
      <alignment horizontal="center" vertical="top"/>
    </xf>
    <xf numFmtId="178" fontId="24" fillId="11" borderId="0" xfId="0" applyNumberFormat="1" applyFont="1" applyFill="1" applyAlignment="1">
      <alignment horizontal="center" vertical="center"/>
    </xf>
    <xf numFmtId="0" fontId="13" fillId="11" borderId="0" xfId="1" applyFont="1" applyFill="1" applyBorder="1" applyAlignment="1">
      <alignment horizontal="right" vertical="center"/>
    </xf>
    <xf numFmtId="171" fontId="30" fillId="11" borderId="0" xfId="1" applyNumberFormat="1" applyFont="1" applyFill="1" applyBorder="1" applyAlignment="1" applyProtection="1">
      <alignment horizontal="center" vertical="center"/>
      <protection locked="0"/>
    </xf>
    <xf numFmtId="0" fontId="13" fillId="11" borderId="7" xfId="0" applyFont="1" applyFill="1" applyBorder="1" applyAlignment="1">
      <alignment horizontal="right" vertical="top"/>
    </xf>
    <xf numFmtId="180" fontId="24" fillId="11" borderId="8" xfId="0" applyNumberFormat="1" applyFont="1" applyFill="1" applyBorder="1" applyAlignment="1">
      <alignment horizontal="center" vertical="top"/>
    </xf>
    <xf numFmtId="0" fontId="13" fillId="11" borderId="8" xfId="1" applyFont="1" applyFill="1" applyBorder="1" applyAlignment="1">
      <alignment horizontal="right" vertical="top"/>
    </xf>
    <xf numFmtId="179" fontId="24" fillId="11" borderId="8" xfId="1" applyNumberFormat="1" applyFont="1" applyFill="1" applyBorder="1" applyAlignment="1">
      <alignment horizontal="left" vertical="top"/>
    </xf>
    <xf numFmtId="164" fontId="9" fillId="11" borderId="0" xfId="0" applyNumberFormat="1" applyFont="1" applyFill="1"/>
    <xf numFmtId="164" fontId="43" fillId="2" borderId="5" xfId="0" applyNumberFormat="1" applyFont="1" applyFill="1" applyBorder="1" applyAlignment="1">
      <alignment vertical="center"/>
    </xf>
    <xf numFmtId="0" fontId="48" fillId="2" borderId="5" xfId="0" applyFont="1" applyFill="1" applyBorder="1" applyAlignment="1">
      <alignment vertical="center"/>
    </xf>
    <xf numFmtId="164" fontId="42" fillId="2" borderId="5" xfId="0" applyNumberFormat="1" applyFont="1" applyFill="1" applyBorder="1" applyAlignment="1">
      <alignment vertical="center"/>
    </xf>
    <xf numFmtId="0" fontId="43" fillId="2" borderId="5" xfId="0" applyFont="1" applyFill="1" applyBorder="1" applyAlignment="1">
      <alignment vertical="center"/>
    </xf>
    <xf numFmtId="0" fontId="41" fillId="2" borderId="0" xfId="0" applyFont="1" applyFill="1"/>
    <xf numFmtId="0" fontId="42" fillId="2" borderId="0" xfId="0" applyFont="1" applyFill="1"/>
    <xf numFmtId="0" fontId="41" fillId="2" borderId="0" xfId="0" applyFont="1" applyFill="1" applyAlignment="1">
      <alignment horizontal="center"/>
    </xf>
    <xf numFmtId="0" fontId="66" fillId="2" borderId="0" xfId="0" applyFont="1" applyFill="1" applyAlignment="1">
      <alignment horizontal="right"/>
    </xf>
    <xf numFmtId="0" fontId="0" fillId="2" borderId="1" xfId="0" applyFill="1" applyBorder="1" applyAlignment="1">
      <alignment vertical="center"/>
    </xf>
    <xf numFmtId="0" fontId="0" fillId="2" borderId="0" xfId="0" applyFill="1" applyAlignment="1">
      <alignment vertical="center"/>
    </xf>
    <xf numFmtId="164" fontId="9" fillId="2" borderId="0" xfId="0" applyNumberFormat="1" applyFont="1" applyFill="1" applyAlignment="1">
      <alignment vertical="center"/>
    </xf>
    <xf numFmtId="164" fontId="79" fillId="2" borderId="0" xfId="0" applyNumberFormat="1" applyFont="1" applyFill="1" applyAlignment="1">
      <alignment horizontal="right" vertical="center"/>
    </xf>
    <xf numFmtId="182" fontId="78" fillId="2" borderId="0" xfId="1" applyNumberFormat="1" applyFont="1" applyFill="1" applyBorder="1" applyAlignment="1">
      <alignment horizontal="right" vertical="center"/>
    </xf>
    <xf numFmtId="0" fontId="25" fillId="2" borderId="0" xfId="1" applyFont="1" applyFill="1" applyBorder="1" applyAlignment="1">
      <alignment vertical="center"/>
    </xf>
    <xf numFmtId="183" fontId="78" fillId="2" borderId="0" xfId="1" applyNumberFormat="1" applyFont="1" applyFill="1" applyBorder="1" applyAlignment="1">
      <alignment horizontal="right" vertical="center"/>
    </xf>
    <xf numFmtId="0" fontId="15" fillId="2" borderId="0" xfId="1" applyFont="1" applyFill="1" applyBorder="1" applyAlignment="1">
      <alignment vertical="center"/>
    </xf>
    <xf numFmtId="0" fontId="19" fillId="2" borderId="0" xfId="0" applyFont="1" applyFill="1" applyAlignment="1">
      <alignment vertical="center"/>
    </xf>
    <xf numFmtId="0" fontId="24" fillId="2" borderId="0" xfId="1" applyFont="1" applyFill="1" applyBorder="1" applyAlignment="1" applyProtection="1">
      <alignment horizontal="centerContinuous"/>
    </xf>
    <xf numFmtId="0" fontId="13" fillId="2" borderId="0" xfId="1" applyFont="1" applyFill="1" applyBorder="1" applyAlignment="1" applyProtection="1"/>
    <xf numFmtId="0" fontId="71" fillId="2" borderId="0" xfId="0" applyFont="1" applyFill="1"/>
    <xf numFmtId="0" fontId="25" fillId="2" borderId="0" xfId="0" applyFont="1" applyFill="1" applyAlignment="1">
      <alignment vertical="center"/>
    </xf>
    <xf numFmtId="0" fontId="0" fillId="2" borderId="0" xfId="0" applyFill="1"/>
    <xf numFmtId="0" fontId="10" fillId="2" borderId="0" xfId="0" applyFont="1" applyFill="1"/>
    <xf numFmtId="0" fontId="13" fillId="2" borderId="0" xfId="1" applyFont="1" applyFill="1" applyBorder="1" applyAlignment="1" applyProtection="1">
      <alignment vertical="center"/>
    </xf>
    <xf numFmtId="0" fontId="24" fillId="2" borderId="0" xfId="1" applyFont="1" applyFill="1" applyBorder="1" applyAlignment="1" applyProtection="1">
      <alignment vertical="center"/>
    </xf>
    <xf numFmtId="0" fontId="10" fillId="2" borderId="0" xfId="0" applyFont="1" applyFill="1" applyAlignment="1">
      <alignment horizontal="center"/>
    </xf>
    <xf numFmtId="0" fontId="20" fillId="2" borderId="0" xfId="0" applyFont="1" applyFill="1"/>
    <xf numFmtId="0" fontId="34" fillId="2" borderId="0" xfId="1" applyFont="1" applyFill="1" applyBorder="1" applyAlignment="1" applyProtection="1">
      <alignment horizontal="center" vertical="center"/>
    </xf>
    <xf numFmtId="0" fontId="18" fillId="2" borderId="0" xfId="0" applyFont="1" applyFill="1" applyAlignment="1">
      <alignment vertical="center"/>
    </xf>
    <xf numFmtId="0" fontId="33" fillId="2" borderId="1" xfId="0" applyFont="1" applyFill="1" applyBorder="1" applyAlignment="1">
      <alignment vertical="center"/>
    </xf>
    <xf numFmtId="1" fontId="9" fillId="2" borderId="0" xfId="0" applyNumberFormat="1" applyFont="1" applyFill="1" applyAlignment="1">
      <alignment vertical="center"/>
    </xf>
    <xf numFmtId="0" fontId="24" fillId="2" borderId="0" xfId="1" applyFont="1" applyFill="1" applyBorder="1" applyAlignment="1">
      <alignment vertical="center"/>
    </xf>
    <xf numFmtId="164" fontId="31" fillId="2" borderId="0" xfId="0" applyNumberFormat="1" applyFont="1" applyFill="1" applyAlignment="1">
      <alignment vertical="center"/>
    </xf>
    <xf numFmtId="0" fontId="24" fillId="2" borderId="0" xfId="0" applyFont="1" applyFill="1" applyAlignment="1">
      <alignment vertical="center"/>
    </xf>
    <xf numFmtId="174" fontId="19" fillId="2" borderId="0" xfId="0" applyNumberFormat="1" applyFont="1" applyFill="1" applyAlignment="1">
      <alignment vertical="center"/>
    </xf>
    <xf numFmtId="0" fontId="13" fillId="2" borderId="0" xfId="1" applyFont="1" applyFill="1" applyBorder="1" applyAlignment="1">
      <alignment vertical="center"/>
    </xf>
    <xf numFmtId="0" fontId="13" fillId="2" borderId="0" xfId="1" applyFont="1" applyFill="1" applyBorder="1" applyAlignment="1" applyProtection="1">
      <alignment horizontal="right" vertical="center"/>
    </xf>
    <xf numFmtId="175" fontId="35" fillId="2" borderId="0" xfId="1" applyNumberFormat="1" applyFont="1" applyFill="1" applyBorder="1" applyAlignment="1" applyProtection="1">
      <alignment vertical="center"/>
    </xf>
    <xf numFmtId="175" fontId="36" fillId="2" borderId="0" xfId="1" applyNumberFormat="1" applyFont="1" applyFill="1" applyBorder="1" applyAlignment="1" applyProtection="1">
      <alignment vertical="center"/>
    </xf>
    <xf numFmtId="175" fontId="37" fillId="2" borderId="0" xfId="0" applyNumberFormat="1" applyFont="1" applyFill="1" applyAlignment="1">
      <alignment vertical="center"/>
    </xf>
    <xf numFmtId="175" fontId="38" fillId="2" borderId="0" xfId="0" applyNumberFormat="1" applyFont="1" applyFill="1" applyAlignment="1">
      <alignment vertical="center"/>
    </xf>
    <xf numFmtId="175" fontId="39" fillId="2" borderId="0" xfId="0" applyNumberFormat="1" applyFont="1" applyFill="1" applyAlignment="1">
      <alignment vertical="center"/>
    </xf>
    <xf numFmtId="175" fontId="24" fillId="2" borderId="0" xfId="0" applyNumberFormat="1" applyFont="1" applyFill="1" applyAlignment="1">
      <alignment vertical="center"/>
    </xf>
    <xf numFmtId="174" fontId="19" fillId="2" borderId="0" xfId="0" applyNumberFormat="1" applyFont="1" applyFill="1" applyAlignment="1">
      <alignment horizontal="center" vertical="center"/>
    </xf>
    <xf numFmtId="175" fontId="35" fillId="2" borderId="0" xfId="1" applyNumberFormat="1" applyFont="1" applyFill="1" applyBorder="1" applyAlignment="1" applyProtection="1">
      <alignment horizontal="center" vertical="center"/>
    </xf>
    <xf numFmtId="175" fontId="40" fillId="2" borderId="0" xfId="0" applyNumberFormat="1" applyFont="1" applyFill="1" applyAlignment="1">
      <alignment vertical="center"/>
    </xf>
    <xf numFmtId="175" fontId="0" fillId="2" borderId="0" xfId="0" applyNumberFormat="1" applyFill="1" applyAlignment="1">
      <alignment horizontal="center"/>
    </xf>
    <xf numFmtId="175" fontId="6" fillId="2" borderId="0" xfId="1" applyNumberFormat="1" applyFill="1" applyAlignment="1">
      <alignment vertical="center"/>
    </xf>
    <xf numFmtId="0" fontId="0" fillId="2" borderId="0" xfId="0" applyFill="1" applyAlignment="1">
      <alignment horizontal="center"/>
    </xf>
    <xf numFmtId="164" fontId="9" fillId="2" borderId="8" xfId="0" applyNumberFormat="1" applyFont="1" applyFill="1" applyBorder="1" applyAlignment="1">
      <alignment vertical="center"/>
    </xf>
    <xf numFmtId="174" fontId="19" fillId="2" borderId="8" xfId="0" applyNumberFormat="1" applyFont="1" applyFill="1" applyBorder="1" applyAlignment="1">
      <alignment vertical="center"/>
    </xf>
    <xf numFmtId="0" fontId="27" fillId="2" borderId="8" xfId="1" applyFont="1" applyFill="1" applyBorder="1" applyAlignment="1">
      <alignment vertical="center"/>
    </xf>
    <xf numFmtId="179" fontId="28" fillId="2" borderId="8" xfId="1" applyNumberFormat="1" applyFont="1" applyFill="1" applyBorder="1" applyAlignment="1">
      <alignment vertical="center"/>
    </xf>
    <xf numFmtId="0" fontId="10" fillId="2" borderId="8" xfId="0" applyFont="1" applyFill="1" applyBorder="1" applyAlignment="1">
      <alignment horizontal="center"/>
    </xf>
    <xf numFmtId="0" fontId="0" fillId="2" borderId="8" xfId="0" applyFill="1" applyBorder="1"/>
    <xf numFmtId="0" fontId="18" fillId="2" borderId="8" xfId="0" applyFont="1" applyFill="1" applyBorder="1" applyAlignment="1">
      <alignment vertical="center"/>
    </xf>
    <xf numFmtId="172" fontId="79" fillId="2" borderId="0" xfId="1" applyNumberFormat="1" applyFont="1" applyFill="1" applyBorder="1" applyAlignment="1" applyProtection="1">
      <alignment horizontal="right" vertical="top"/>
      <protection locked="0"/>
    </xf>
    <xf numFmtId="0" fontId="11" fillId="9" borderId="10" xfId="0" applyFont="1" applyFill="1" applyBorder="1" applyAlignment="1" applyProtection="1">
      <alignment horizontal="left" vertical="center"/>
      <protection locked="0"/>
    </xf>
    <xf numFmtId="1" fontId="59" fillId="9" borderId="0" xfId="1" applyNumberFormat="1" applyFont="1" applyFill="1" applyBorder="1" applyAlignment="1">
      <alignment horizontal="center" vertical="center"/>
    </xf>
    <xf numFmtId="1" fontId="11" fillId="9" borderId="8" xfId="0" applyNumberFormat="1" applyFont="1" applyFill="1" applyBorder="1" applyAlignment="1" applyProtection="1">
      <alignment horizontal="left" vertical="center"/>
      <protection locked="0"/>
    </xf>
    <xf numFmtId="0" fontId="19" fillId="4" borderId="14" xfId="0" applyFont="1" applyFill="1" applyBorder="1" applyAlignment="1">
      <alignment horizontal="center" vertical="center"/>
    </xf>
    <xf numFmtId="0" fontId="82" fillId="8" borderId="0" xfId="0" quotePrefix="1" applyFont="1" applyFill="1"/>
    <xf numFmtId="0" fontId="83" fillId="7" borderId="0" xfId="0" applyFont="1" applyFill="1"/>
    <xf numFmtId="0" fontId="6" fillId="0" borderId="0" xfId="1"/>
    <xf numFmtId="0" fontId="25" fillId="12" borderId="12" xfId="1" quotePrefix="1" applyFont="1" applyFill="1" applyBorder="1" applyAlignment="1">
      <alignment horizontal="centerContinuous" vertical="center"/>
    </xf>
    <xf numFmtId="0" fontId="25" fillId="12" borderId="5" xfId="1" quotePrefix="1" applyFont="1" applyFill="1" applyBorder="1" applyAlignment="1">
      <alignment horizontal="centerContinuous" vertical="center"/>
    </xf>
    <xf numFmtId="0" fontId="28" fillId="12" borderId="16" xfId="1" quotePrefix="1" applyFont="1" applyFill="1" applyBorder="1" applyAlignment="1">
      <alignment horizontal="center" vertical="center"/>
    </xf>
    <xf numFmtId="0" fontId="19" fillId="12" borderId="17" xfId="1" quotePrefix="1" applyFont="1" applyFill="1" applyBorder="1" applyAlignment="1" applyProtection="1">
      <alignment horizontal="centerContinuous" vertical="center"/>
      <protection locked="0"/>
    </xf>
    <xf numFmtId="0" fontId="28" fillId="12" borderId="6" xfId="1" quotePrefix="1" applyFont="1" applyFill="1" applyBorder="1" applyAlignment="1">
      <alignment horizontal="center" vertical="center"/>
    </xf>
    <xf numFmtId="0" fontId="19" fillId="12" borderId="11" xfId="1" quotePrefix="1" applyFont="1" applyFill="1" applyBorder="1" applyAlignment="1" applyProtection="1">
      <alignment horizontal="centerContinuous" vertical="center"/>
      <protection locked="0"/>
    </xf>
    <xf numFmtId="0" fontId="28" fillId="12" borderId="15" xfId="1" quotePrefix="1" applyFont="1" applyFill="1" applyBorder="1" applyAlignment="1">
      <alignment horizontal="center" vertical="center"/>
    </xf>
    <xf numFmtId="0" fontId="19" fillId="12" borderId="19" xfId="1" quotePrefix="1" applyFont="1" applyFill="1" applyBorder="1" applyAlignment="1" applyProtection="1">
      <alignment horizontal="centerContinuous" vertical="center"/>
      <protection locked="0"/>
    </xf>
    <xf numFmtId="164" fontId="9" fillId="2" borderId="0" xfId="0" applyNumberFormat="1" applyFont="1" applyFill="1"/>
    <xf numFmtId="172" fontId="79" fillId="2" borderId="7" xfId="1" applyNumberFormat="1" applyFont="1" applyFill="1" applyBorder="1" applyAlignment="1" applyProtection="1">
      <alignment horizontal="right" vertical="top"/>
      <protection locked="0"/>
    </xf>
    <xf numFmtId="0" fontId="85" fillId="2" borderId="4" xfId="0" applyFont="1" applyFill="1" applyBorder="1" applyAlignment="1">
      <alignment horizontal="centerContinuous" vertical="center"/>
    </xf>
    <xf numFmtId="164" fontId="79" fillId="2" borderId="1" xfId="0" applyNumberFormat="1" applyFont="1" applyFill="1" applyBorder="1" applyAlignment="1">
      <alignment horizontal="right"/>
    </xf>
    <xf numFmtId="164" fontId="79" fillId="2" borderId="0" xfId="0" applyNumberFormat="1" applyFont="1" applyFill="1" applyAlignment="1">
      <alignment horizontal="right"/>
    </xf>
    <xf numFmtId="164" fontId="48" fillId="2" borderId="5" xfId="0" applyNumberFormat="1" applyFont="1" applyFill="1" applyBorder="1" applyAlignment="1">
      <alignment vertical="center"/>
    </xf>
    <xf numFmtId="0" fontId="11" fillId="9" borderId="7" xfId="0" applyFont="1" applyFill="1" applyBorder="1" applyAlignment="1" applyProtection="1">
      <alignment horizontal="left" vertical="center"/>
      <protection locked="0"/>
    </xf>
    <xf numFmtId="0" fontId="85" fillId="2" borderId="5" xfId="0" applyFont="1" applyFill="1" applyBorder="1" applyAlignment="1">
      <alignment horizontal="centerContinuous" vertical="center"/>
    </xf>
    <xf numFmtId="164" fontId="43" fillId="2" borderId="5" xfId="0" applyNumberFormat="1" applyFont="1" applyFill="1" applyBorder="1" applyAlignment="1">
      <alignment horizontal="centerContinuous" vertical="center"/>
    </xf>
    <xf numFmtId="183" fontId="30" fillId="2" borderId="0" xfId="1" applyNumberFormat="1" applyFont="1" applyFill="1" applyBorder="1" applyAlignment="1">
      <alignment horizontal="center"/>
    </xf>
    <xf numFmtId="183" fontId="30" fillId="2" borderId="8" xfId="1" applyNumberFormat="1" applyFont="1" applyFill="1" applyBorder="1" applyAlignment="1">
      <alignment horizontal="center" vertical="top"/>
    </xf>
    <xf numFmtId="0" fontId="42" fillId="2" borderId="0" xfId="0" applyFont="1" applyFill="1" applyAlignment="1">
      <alignment horizontal="centerContinuous" vertical="center"/>
    </xf>
    <xf numFmtId="182" fontId="30" fillId="2" borderId="0" xfId="1" applyNumberFormat="1" applyFont="1" applyFill="1" applyBorder="1" applyAlignment="1">
      <alignment horizontal="center"/>
    </xf>
    <xf numFmtId="182" fontId="30" fillId="2" borderId="8" xfId="1" applyNumberFormat="1" applyFont="1" applyFill="1" applyBorder="1" applyAlignment="1">
      <alignment horizontal="center" vertical="top"/>
    </xf>
    <xf numFmtId="0" fontId="58" fillId="13" borderId="5" xfId="1" quotePrefix="1" applyFont="1" applyFill="1" applyBorder="1" applyAlignment="1">
      <alignment horizontal="centerContinuous" vertical="center"/>
    </xf>
    <xf numFmtId="0" fontId="58" fillId="13" borderId="12" xfId="1" quotePrefix="1" applyFont="1" applyFill="1" applyBorder="1" applyAlignment="1">
      <alignment horizontal="centerContinuous" vertical="center"/>
    </xf>
    <xf numFmtId="0" fontId="50" fillId="13" borderId="1" xfId="1" quotePrefix="1" applyFont="1" applyFill="1" applyBorder="1" applyAlignment="1">
      <alignment horizontal="centerContinuous" vertical="center"/>
    </xf>
    <xf numFmtId="0" fontId="50" fillId="13" borderId="0" xfId="1" quotePrefix="1" applyFont="1" applyFill="1" applyBorder="1" applyAlignment="1">
      <alignment horizontal="centerContinuous" vertical="center"/>
    </xf>
    <xf numFmtId="0" fontId="50" fillId="13" borderId="6" xfId="1" quotePrefix="1" applyFont="1" applyFill="1" applyBorder="1" applyAlignment="1">
      <alignment horizontal="centerContinuous" vertical="center"/>
    </xf>
    <xf numFmtId="175" fontId="17" fillId="13" borderId="1" xfId="0" applyNumberFormat="1" applyFont="1" applyFill="1" applyBorder="1" applyAlignment="1">
      <alignment horizontal="center" vertical="center"/>
    </xf>
    <xf numFmtId="175" fontId="17" fillId="13" borderId="0" xfId="0" applyNumberFormat="1" applyFont="1" applyFill="1" applyAlignment="1">
      <alignment horizontal="center" vertical="center"/>
    </xf>
    <xf numFmtId="175" fontId="17" fillId="13" borderId="6" xfId="0" applyNumberFormat="1" applyFont="1" applyFill="1" applyBorder="1" applyAlignment="1">
      <alignment horizontal="center" vertical="center"/>
    </xf>
    <xf numFmtId="0" fontId="50" fillId="13" borderId="7" xfId="1" quotePrefix="1" applyFont="1" applyFill="1" applyBorder="1" applyAlignment="1" applyProtection="1">
      <alignment horizontal="centerContinuous" vertical="center"/>
      <protection locked="0"/>
    </xf>
    <xf numFmtId="0" fontId="50" fillId="13" borderId="8" xfId="1" quotePrefix="1" applyFont="1" applyFill="1" applyBorder="1" applyAlignment="1" applyProtection="1">
      <alignment horizontal="centerContinuous" vertical="center"/>
      <protection locked="0"/>
    </xf>
    <xf numFmtId="0" fontId="50" fillId="13" borderId="11" xfId="1" quotePrefix="1" applyFont="1" applyFill="1" applyBorder="1" applyAlignment="1" applyProtection="1">
      <alignment horizontal="centerContinuous" vertical="center"/>
      <protection locked="0"/>
    </xf>
    <xf numFmtId="0" fontId="25" fillId="14" borderId="5" xfId="1" quotePrefix="1" applyFont="1" applyFill="1" applyBorder="1" applyAlignment="1">
      <alignment horizontal="centerContinuous" vertical="center"/>
    </xf>
    <xf numFmtId="0" fontId="13" fillId="14" borderId="12" xfId="1" quotePrefix="1" applyFont="1" applyFill="1" applyBorder="1" applyAlignment="1">
      <alignment horizontal="centerContinuous" vertical="center"/>
    </xf>
    <xf numFmtId="0" fontId="19" fillId="14" borderId="16" xfId="0" applyFont="1" applyFill="1" applyBorder="1" applyAlignment="1">
      <alignment horizontal="center" vertical="center"/>
    </xf>
    <xf numFmtId="0" fontId="19" fillId="14" borderId="15" xfId="0" applyFont="1" applyFill="1" applyBorder="1" applyAlignment="1">
      <alignment horizontal="center" vertical="center"/>
    </xf>
    <xf numFmtId="0" fontId="19" fillId="14" borderId="14" xfId="0" applyFont="1" applyFill="1" applyBorder="1" applyAlignment="1">
      <alignment horizontal="center" vertical="center"/>
    </xf>
    <xf numFmtId="0" fontId="19" fillId="14" borderId="17" xfId="0" applyFont="1" applyFill="1" applyBorder="1" applyAlignment="1" applyProtection="1">
      <alignment horizontal="center" vertical="center"/>
      <protection locked="0"/>
    </xf>
    <xf numFmtId="0" fontId="19" fillId="14" borderId="19" xfId="0" applyFont="1" applyFill="1" applyBorder="1" applyAlignment="1" applyProtection="1">
      <alignment horizontal="center" vertical="center"/>
      <protection locked="0"/>
    </xf>
    <xf numFmtId="0" fontId="19" fillId="14" borderId="18" xfId="0" applyFont="1" applyFill="1" applyBorder="1" applyAlignment="1" applyProtection="1">
      <alignment horizontal="center" vertical="center"/>
      <protection locked="0"/>
    </xf>
    <xf numFmtId="0" fontId="6" fillId="15" borderId="15" xfId="1" applyFill="1" applyBorder="1" applyAlignment="1">
      <alignment horizontal="left"/>
    </xf>
    <xf numFmtId="0" fontId="6" fillId="15" borderId="15" xfId="1" applyFill="1" applyBorder="1" applyAlignment="1" applyProtection="1">
      <alignment horizontal="center"/>
      <protection locked="0"/>
    </xf>
    <xf numFmtId="0" fontId="68" fillId="15" borderId="15" xfId="1" applyFont="1" applyFill="1" applyBorder="1" applyAlignment="1" applyProtection="1">
      <alignment horizontal="center"/>
      <protection locked="0"/>
    </xf>
    <xf numFmtId="0" fontId="7" fillId="15" borderId="2" xfId="0" applyFont="1" applyFill="1" applyBorder="1" applyAlignment="1" applyProtection="1">
      <alignment horizontal="center"/>
      <protection locked="0"/>
    </xf>
    <xf numFmtId="0" fontId="7" fillId="15" borderId="15" xfId="0" applyFont="1" applyFill="1" applyBorder="1" applyAlignment="1" applyProtection="1">
      <alignment horizontal="center"/>
      <protection locked="0"/>
    </xf>
    <xf numFmtId="168" fontId="56" fillId="15" borderId="15" xfId="0" applyNumberFormat="1" applyFont="1" applyFill="1" applyBorder="1" applyAlignment="1" applyProtection="1">
      <alignment horizontal="center"/>
      <protection locked="0"/>
    </xf>
    <xf numFmtId="1" fontId="7" fillId="15" borderId="15" xfId="0" applyNumberFormat="1" applyFont="1" applyFill="1" applyBorder="1" applyAlignment="1" applyProtection="1">
      <alignment horizontal="center"/>
      <protection locked="0"/>
    </xf>
    <xf numFmtId="0" fontId="51" fillId="15" borderId="15" xfId="1" applyFont="1" applyFill="1" applyBorder="1" applyAlignment="1" applyProtection="1">
      <alignment vertical="center"/>
      <protection locked="0"/>
    </xf>
    <xf numFmtId="166" fontId="7" fillId="15" borderId="3" xfId="0" applyNumberFormat="1" applyFont="1" applyFill="1" applyBorder="1" applyAlignment="1" applyProtection="1">
      <alignment horizontal="right"/>
      <protection locked="0"/>
    </xf>
    <xf numFmtId="2" fontId="7" fillId="15" borderId="2" xfId="0" applyNumberFormat="1" applyFont="1" applyFill="1" applyBorder="1" applyAlignment="1">
      <alignment horizontal="center"/>
    </xf>
    <xf numFmtId="167" fontId="7" fillId="15" borderId="3" xfId="0" applyNumberFormat="1" applyFont="1" applyFill="1" applyBorder="1" applyAlignment="1" applyProtection="1">
      <alignment horizontal="right"/>
      <protection locked="0"/>
    </xf>
    <xf numFmtId="2" fontId="7" fillId="15" borderId="2" xfId="0" quotePrefix="1" applyNumberFormat="1" applyFont="1" applyFill="1" applyBorder="1" applyAlignment="1">
      <alignment horizontal="center"/>
    </xf>
    <xf numFmtId="0" fontId="7" fillId="15" borderId="0" xfId="0" applyFont="1" applyFill="1" applyAlignment="1" applyProtection="1">
      <alignment horizontal="center"/>
      <protection locked="0"/>
    </xf>
    <xf numFmtId="0" fontId="51" fillId="15" borderId="15" xfId="0" applyFont="1" applyFill="1" applyBorder="1" applyProtection="1">
      <protection locked="0"/>
    </xf>
    <xf numFmtId="0" fontId="51" fillId="15" borderId="23" xfId="0" applyFont="1" applyFill="1" applyBorder="1" applyAlignment="1" applyProtection="1">
      <alignment vertical="center"/>
      <protection locked="0"/>
    </xf>
    <xf numFmtId="168" fontId="7" fillId="15" borderId="24" xfId="0" applyNumberFormat="1" applyFont="1" applyFill="1" applyBorder="1" applyAlignment="1" applyProtection="1">
      <alignment horizontal="center"/>
      <protection locked="0"/>
    </xf>
    <xf numFmtId="171" fontId="56" fillId="15" borderId="15" xfId="0" applyNumberFormat="1" applyFont="1" applyFill="1" applyBorder="1" applyAlignment="1" applyProtection="1">
      <alignment horizontal="center"/>
      <protection locked="0"/>
    </xf>
    <xf numFmtId="171" fontId="7" fillId="15" borderId="0" xfId="0" applyNumberFormat="1" applyFont="1" applyFill="1" applyAlignment="1">
      <alignment horizontal="center"/>
    </xf>
    <xf numFmtId="20" fontId="77" fillId="15" borderId="0" xfId="0" applyNumberFormat="1" applyFont="1" applyFill="1" applyAlignment="1">
      <alignment horizontal="center"/>
    </xf>
    <xf numFmtId="164" fontId="7" fillId="15" borderId="0" xfId="0" applyNumberFormat="1" applyFont="1" applyFill="1" applyAlignment="1" applyProtection="1">
      <alignment horizontal="left"/>
      <protection locked="0"/>
    </xf>
    <xf numFmtId="171" fontId="7" fillId="15" borderId="2" xfId="0" applyNumberFormat="1" applyFont="1" applyFill="1" applyBorder="1" applyAlignment="1">
      <alignment horizontal="center"/>
    </xf>
    <xf numFmtId="1" fontId="7" fillId="15" borderId="0" xfId="0" applyNumberFormat="1" applyFont="1" applyFill="1" applyAlignment="1">
      <alignment horizontal="center"/>
    </xf>
    <xf numFmtId="1" fontId="7" fillId="15" borderId="0" xfId="1" applyNumberFormat="1" applyFont="1" applyFill="1" applyBorder="1" applyAlignment="1" applyProtection="1">
      <alignment horizontal="center"/>
      <protection locked="0"/>
    </xf>
    <xf numFmtId="1" fontId="7" fillId="15" borderId="0" xfId="0" applyNumberFormat="1" applyFont="1" applyFill="1" applyAlignment="1" applyProtection="1">
      <alignment horizontal="center"/>
      <protection locked="0"/>
    </xf>
    <xf numFmtId="1" fontId="7" fillId="15" borderId="2" xfId="0" applyNumberFormat="1" applyFont="1" applyFill="1" applyBorder="1" applyAlignment="1" applyProtection="1">
      <alignment horizontal="center"/>
      <protection locked="0"/>
    </xf>
    <xf numFmtId="1" fontId="80" fillId="15" borderId="0" xfId="0" applyNumberFormat="1" applyFont="1" applyFill="1" applyAlignment="1" applyProtection="1">
      <alignment horizontal="center"/>
      <protection locked="0"/>
    </xf>
    <xf numFmtId="1" fontId="80" fillId="15" borderId="0" xfId="1" applyNumberFormat="1" applyFont="1" applyFill="1" applyBorder="1" applyAlignment="1" applyProtection="1">
      <alignment horizontal="center"/>
      <protection locked="0"/>
    </xf>
    <xf numFmtId="1" fontId="80" fillId="15" borderId="2" xfId="1" applyNumberFormat="1" applyFont="1" applyFill="1" applyBorder="1" applyAlignment="1" applyProtection="1">
      <alignment horizontal="center"/>
      <protection locked="0"/>
    </xf>
    <xf numFmtId="1" fontId="7" fillId="15" borderId="0" xfId="0" applyNumberFormat="1" applyFont="1" applyFill="1" applyAlignment="1" applyProtection="1">
      <alignment horizontal="left"/>
      <protection locked="0"/>
    </xf>
    <xf numFmtId="0" fontId="7" fillId="15" borderId="20" xfId="0" applyFont="1" applyFill="1" applyBorder="1" applyAlignment="1" applyProtection="1">
      <alignment horizontal="center"/>
      <protection locked="0"/>
    </xf>
    <xf numFmtId="2" fontId="7" fillId="15" borderId="21" xfId="0" applyNumberFormat="1" applyFont="1" applyFill="1" applyBorder="1" applyAlignment="1" applyProtection="1">
      <alignment horizontal="center"/>
      <protection locked="0"/>
    </xf>
    <xf numFmtId="1" fontId="56" fillId="15" borderId="22" xfId="0" applyNumberFormat="1" applyFont="1" applyFill="1" applyBorder="1" applyAlignment="1" applyProtection="1">
      <alignment horizontal="center"/>
      <protection locked="0"/>
    </xf>
    <xf numFmtId="0" fontId="51" fillId="15" borderId="20" xfId="0" applyFont="1" applyFill="1" applyBorder="1" applyAlignment="1" applyProtection="1">
      <alignment vertical="center"/>
      <protection locked="0"/>
    </xf>
    <xf numFmtId="168" fontId="7" fillId="15" borderId="21" xfId="0" applyNumberFormat="1" applyFont="1" applyFill="1" applyBorder="1" applyAlignment="1" applyProtection="1">
      <alignment horizontal="center"/>
      <protection locked="0"/>
    </xf>
    <xf numFmtId="0" fontId="7" fillId="15" borderId="22" xfId="0" applyFont="1" applyFill="1" applyBorder="1" applyAlignment="1" applyProtection="1">
      <alignment horizontal="center"/>
      <protection locked="0"/>
    </xf>
    <xf numFmtId="0" fontId="51" fillId="15" borderId="15" xfId="1" quotePrefix="1" applyFont="1" applyFill="1" applyBorder="1" applyAlignment="1" applyProtection="1">
      <alignment vertical="center"/>
      <protection locked="0"/>
    </xf>
    <xf numFmtId="1" fontId="7" fillId="15" borderId="21" xfId="0" applyNumberFormat="1" applyFont="1" applyFill="1" applyBorder="1" applyAlignment="1" applyProtection="1">
      <alignment horizontal="center"/>
      <protection locked="0"/>
    </xf>
    <xf numFmtId="0" fontId="51" fillId="15" borderId="15" xfId="0" applyFont="1" applyFill="1" applyBorder="1" applyAlignment="1" applyProtection="1">
      <alignment vertical="center"/>
      <protection locked="0"/>
    </xf>
    <xf numFmtId="0" fontId="52" fillId="15" borderId="15" xfId="1" applyFont="1" applyFill="1" applyBorder="1" applyAlignment="1" applyProtection="1">
      <alignment vertical="center"/>
      <protection locked="0"/>
    </xf>
    <xf numFmtId="168" fontId="7" fillId="15" borderId="15" xfId="0" applyNumberFormat="1" applyFont="1" applyFill="1" applyBorder="1" applyAlignment="1" applyProtection="1">
      <alignment horizontal="center"/>
      <protection locked="0"/>
    </xf>
    <xf numFmtId="171" fontId="7" fillId="15" borderId="15" xfId="0" applyNumberFormat="1" applyFont="1" applyFill="1" applyBorder="1" applyAlignment="1" applyProtection="1">
      <alignment horizontal="center"/>
      <protection locked="0"/>
    </xf>
    <xf numFmtId="1" fontId="56" fillId="15" borderId="15" xfId="0" applyNumberFormat="1" applyFont="1" applyFill="1" applyBorder="1" applyAlignment="1" applyProtection="1">
      <alignment horizontal="center"/>
      <protection locked="0"/>
    </xf>
    <xf numFmtId="1" fontId="76" fillId="15" borderId="21" xfId="0" applyNumberFormat="1" applyFont="1" applyFill="1" applyBorder="1" applyAlignment="1" applyProtection="1">
      <alignment horizontal="center"/>
      <protection locked="0"/>
    </xf>
    <xf numFmtId="1" fontId="7" fillId="15" borderId="22" xfId="0" applyNumberFormat="1" applyFont="1" applyFill="1" applyBorder="1" applyAlignment="1" applyProtection="1">
      <alignment horizontal="center"/>
      <protection locked="0"/>
    </xf>
    <xf numFmtId="1" fontId="76" fillId="15" borderId="15" xfId="0" applyNumberFormat="1" applyFont="1" applyFill="1" applyBorder="1" applyAlignment="1" applyProtection="1">
      <alignment horizontal="center"/>
      <protection locked="0"/>
    </xf>
    <xf numFmtId="1" fontId="80" fillId="15" borderId="2" xfId="0" applyNumberFormat="1" applyFont="1" applyFill="1" applyBorder="1" applyAlignment="1" applyProtection="1">
      <alignment horizontal="center"/>
      <protection locked="0"/>
    </xf>
    <xf numFmtId="167" fontId="7" fillId="15" borderId="3" xfId="0" quotePrefix="1" applyNumberFormat="1" applyFont="1" applyFill="1" applyBorder="1" applyAlignment="1" applyProtection="1">
      <alignment horizontal="right"/>
      <protection locked="0"/>
    </xf>
    <xf numFmtId="0" fontId="0" fillId="15" borderId="15" xfId="0" applyFill="1" applyBorder="1" applyAlignment="1" applyProtection="1">
      <alignment horizontal="left"/>
      <protection locked="0"/>
    </xf>
    <xf numFmtId="0" fontId="6" fillId="15" borderId="15" xfId="1" applyFill="1" applyBorder="1" applyAlignment="1" applyProtection="1">
      <alignment horizontal="left"/>
      <protection locked="0"/>
    </xf>
    <xf numFmtId="168" fontId="7" fillId="15" borderId="22" xfId="0" applyNumberFormat="1" applyFont="1" applyFill="1" applyBorder="1" applyAlignment="1" applyProtection="1">
      <alignment horizontal="center"/>
      <protection locked="0"/>
    </xf>
    <xf numFmtId="1" fontId="7" fillId="15" borderId="20" xfId="0" quotePrefix="1" applyNumberFormat="1" applyFont="1" applyFill="1" applyBorder="1" applyAlignment="1" applyProtection="1">
      <alignment horizontal="center"/>
      <protection locked="0"/>
    </xf>
    <xf numFmtId="168" fontId="76" fillId="15" borderId="21" xfId="0" applyNumberFormat="1" applyFont="1" applyFill="1" applyBorder="1" applyAlignment="1" applyProtection="1">
      <alignment horizontal="center"/>
      <protection locked="0"/>
    </xf>
    <xf numFmtId="0" fontId="51" fillId="15" borderId="15" xfId="1" applyFont="1" applyFill="1" applyBorder="1" applyAlignment="1" applyProtection="1">
      <alignment horizontal="left" vertical="center"/>
      <protection locked="0"/>
    </xf>
    <xf numFmtId="0" fontId="7" fillId="15" borderId="20" xfId="0" quotePrefix="1" applyFont="1" applyFill="1" applyBorder="1" applyAlignment="1" applyProtection="1">
      <alignment horizontal="center"/>
      <protection locked="0"/>
    </xf>
    <xf numFmtId="2" fontId="76" fillId="15" borderId="21" xfId="0" applyNumberFormat="1" applyFont="1" applyFill="1" applyBorder="1" applyAlignment="1" applyProtection="1">
      <alignment horizontal="center"/>
      <protection locked="0"/>
    </xf>
    <xf numFmtId="1" fontId="7" fillId="15" borderId="15" xfId="0" quotePrefix="1" applyNumberFormat="1" applyFont="1" applyFill="1" applyBorder="1" applyAlignment="1" applyProtection="1">
      <alignment horizontal="center"/>
      <protection locked="0"/>
    </xf>
    <xf numFmtId="1" fontId="7" fillId="15" borderId="3" xfId="0" applyNumberFormat="1" applyFont="1" applyFill="1" applyBorder="1" applyAlignment="1" applyProtection="1">
      <alignment horizontal="center"/>
      <protection locked="0"/>
    </xf>
    <xf numFmtId="0" fontId="9" fillId="15" borderId="15" xfId="0" applyFont="1" applyFill="1" applyBorder="1" applyAlignment="1" applyProtection="1">
      <alignment horizontal="left"/>
      <protection locked="0"/>
    </xf>
    <xf numFmtId="0" fontId="9" fillId="15" borderId="15" xfId="1" applyFont="1" applyFill="1" applyBorder="1" applyAlignment="1" applyProtection="1">
      <alignment horizontal="left"/>
      <protection locked="0"/>
    </xf>
    <xf numFmtId="168" fontId="7" fillId="15" borderId="0" xfId="0" applyNumberFormat="1" applyFont="1" applyFill="1" applyAlignment="1" applyProtection="1">
      <alignment horizontal="center"/>
      <protection locked="0"/>
    </xf>
    <xf numFmtId="0" fontId="56" fillId="15" borderId="15" xfId="0" applyFont="1" applyFill="1" applyBorder="1" applyAlignment="1" applyProtection="1">
      <alignment horizontal="center"/>
      <protection locked="0"/>
    </xf>
    <xf numFmtId="0" fontId="6" fillId="15" borderId="15" xfId="1" applyFill="1" applyBorder="1" applyProtection="1">
      <protection locked="0"/>
    </xf>
    <xf numFmtId="0" fontId="6" fillId="15" borderId="15" xfId="1" applyFill="1" applyBorder="1" applyAlignment="1" applyProtection="1">
      <alignment horizontal="left" vertical="center"/>
      <protection locked="0"/>
    </xf>
    <xf numFmtId="1" fontId="7" fillId="15" borderId="0" xfId="1" applyNumberFormat="1" applyFont="1" applyFill="1" applyBorder="1" applyAlignment="1" applyProtection="1">
      <alignment horizontal="center" vertical="center"/>
      <protection locked="0"/>
    </xf>
    <xf numFmtId="1" fontId="80" fillId="15" borderId="0" xfId="1" applyNumberFormat="1" applyFont="1" applyFill="1" applyBorder="1" applyAlignment="1" applyProtection="1">
      <alignment horizontal="center" vertical="center"/>
      <protection locked="0"/>
    </xf>
    <xf numFmtId="1" fontId="80" fillId="15" borderId="2" xfId="1" applyNumberFormat="1" applyFont="1" applyFill="1" applyBorder="1" applyAlignment="1" applyProtection="1">
      <alignment horizontal="center" vertical="center"/>
      <protection locked="0"/>
    </xf>
    <xf numFmtId="0" fontId="75" fillId="15" borderId="15" xfId="1" applyFont="1" applyFill="1" applyBorder="1" applyAlignment="1" applyProtection="1">
      <alignment horizontal="center"/>
      <protection locked="0"/>
    </xf>
    <xf numFmtId="0" fontId="76" fillId="15" borderId="15" xfId="0" applyFont="1" applyFill="1" applyBorder="1" applyAlignment="1" applyProtection="1">
      <alignment horizontal="center"/>
      <protection locked="0"/>
    </xf>
    <xf numFmtId="2" fontId="56" fillId="15" borderId="15" xfId="0" applyNumberFormat="1" applyFont="1" applyFill="1" applyBorder="1" applyAlignment="1" applyProtection="1">
      <alignment horizontal="center"/>
      <protection locked="0"/>
    </xf>
    <xf numFmtId="2" fontId="7" fillId="15" borderId="15" xfId="0" applyNumberFormat="1" applyFont="1" applyFill="1" applyBorder="1" applyAlignment="1" applyProtection="1">
      <alignment horizontal="center"/>
      <protection locked="0"/>
    </xf>
    <xf numFmtId="0" fontId="9" fillId="15" borderId="20" xfId="0" applyFont="1" applyFill="1" applyBorder="1" applyAlignment="1" applyProtection="1">
      <alignment horizontal="center"/>
      <protection locked="0"/>
    </xf>
    <xf numFmtId="168" fontId="9" fillId="15" borderId="21" xfId="0" applyNumberFormat="1" applyFont="1" applyFill="1" applyBorder="1" applyAlignment="1" applyProtection="1">
      <alignment horizontal="center"/>
      <protection locked="0"/>
    </xf>
    <xf numFmtId="166" fontId="9" fillId="15" borderId="3" xfId="0" applyNumberFormat="1" applyFont="1" applyFill="1" applyBorder="1" applyAlignment="1" applyProtection="1">
      <alignment horizontal="right"/>
      <protection locked="0"/>
    </xf>
    <xf numFmtId="167" fontId="9" fillId="15" borderId="3" xfId="0" quotePrefix="1" applyNumberFormat="1" applyFont="1" applyFill="1" applyBorder="1" applyAlignment="1" applyProtection="1">
      <alignment horizontal="right"/>
      <protection locked="0"/>
    </xf>
    <xf numFmtId="0" fontId="9" fillId="15" borderId="0" xfId="0" applyFont="1" applyFill="1" applyAlignment="1" applyProtection="1">
      <alignment horizontal="center"/>
      <protection locked="0"/>
    </xf>
    <xf numFmtId="0" fontId="53" fillId="15" borderId="15" xfId="0" applyFont="1" applyFill="1" applyBorder="1" applyProtection="1">
      <protection locked="0"/>
    </xf>
    <xf numFmtId="0" fontId="9" fillId="15" borderId="22" xfId="0" applyFont="1" applyFill="1" applyBorder="1" applyAlignment="1" applyProtection="1">
      <alignment horizontal="center"/>
      <protection locked="0"/>
    </xf>
    <xf numFmtId="171" fontId="57" fillId="15" borderId="15" xfId="0" applyNumberFormat="1" applyFont="1" applyFill="1" applyBorder="1" applyAlignment="1" applyProtection="1">
      <alignment horizontal="center"/>
      <protection locked="0"/>
    </xf>
    <xf numFmtId="0" fontId="9" fillId="15" borderId="15" xfId="0" applyFont="1" applyFill="1" applyBorder="1" applyAlignment="1" applyProtection="1">
      <alignment horizontal="center"/>
      <protection locked="0"/>
    </xf>
    <xf numFmtId="1" fontId="9" fillId="15" borderId="0" xfId="0" applyNumberFormat="1" applyFont="1" applyFill="1" applyAlignment="1" applyProtection="1">
      <alignment horizontal="center"/>
      <protection locked="0"/>
    </xf>
    <xf numFmtId="1" fontId="9" fillId="15" borderId="2" xfId="0" applyNumberFormat="1" applyFont="1" applyFill="1" applyBorder="1" applyAlignment="1" applyProtection="1">
      <alignment horizontal="center"/>
      <protection locked="0"/>
    </xf>
    <xf numFmtId="0" fontId="51" fillId="15" borderId="15" xfId="0" applyFont="1" applyFill="1" applyBorder="1" applyAlignment="1" applyProtection="1">
      <alignment horizontal="left" vertical="center"/>
      <protection locked="0"/>
    </xf>
    <xf numFmtId="0" fontId="51" fillId="15" borderId="20" xfId="1" applyFont="1" applyFill="1" applyBorder="1" applyAlignment="1" applyProtection="1">
      <alignment vertical="center"/>
      <protection locked="0"/>
    </xf>
    <xf numFmtId="169" fontId="7" fillId="15" borderId="0" xfId="0" applyNumberFormat="1" applyFont="1" applyFill="1" applyAlignment="1" applyProtection="1">
      <alignment horizontal="center"/>
      <protection locked="0"/>
    </xf>
    <xf numFmtId="169" fontId="7" fillId="15" borderId="22" xfId="0" applyNumberFormat="1" applyFont="1" applyFill="1" applyBorder="1" applyAlignment="1" applyProtection="1">
      <alignment horizontal="center"/>
      <protection locked="0"/>
    </xf>
    <xf numFmtId="2" fontId="7" fillId="15" borderId="22" xfId="0" applyNumberFormat="1" applyFont="1" applyFill="1" applyBorder="1" applyAlignment="1" applyProtection="1">
      <alignment horizontal="center"/>
      <protection locked="0"/>
    </xf>
    <xf numFmtId="1" fontId="74" fillId="15" borderId="15" xfId="0" applyNumberFormat="1" applyFont="1" applyFill="1" applyBorder="1" applyAlignment="1" applyProtection="1">
      <alignment horizontal="center"/>
      <protection locked="0"/>
    </xf>
    <xf numFmtId="0" fontId="0" fillId="15" borderId="15" xfId="0" applyFill="1" applyBorder="1"/>
    <xf numFmtId="0" fontId="6" fillId="15" borderId="0" xfId="1" applyFill="1" applyBorder="1" applyAlignment="1" applyProtection="1">
      <alignment horizontal="left"/>
      <protection locked="0"/>
    </xf>
    <xf numFmtId="0" fontId="7" fillId="15" borderId="20" xfId="0" applyFont="1" applyFill="1" applyBorder="1" applyAlignment="1" applyProtection="1">
      <alignment horizontal="center" vertical="center"/>
      <protection locked="0"/>
    </xf>
    <xf numFmtId="1" fontId="9" fillId="15" borderId="21" xfId="0" applyNumberFormat="1" applyFont="1" applyFill="1" applyBorder="1" applyAlignment="1" applyProtection="1">
      <alignment horizontal="center"/>
      <protection locked="0"/>
    </xf>
    <xf numFmtId="1" fontId="9" fillId="15" borderId="22" xfId="0" applyNumberFormat="1" applyFont="1" applyFill="1" applyBorder="1" applyAlignment="1" applyProtection="1">
      <alignment horizontal="center"/>
      <protection locked="0"/>
    </xf>
    <xf numFmtId="1" fontId="9" fillId="15" borderId="15" xfId="0" applyNumberFormat="1" applyFont="1" applyFill="1" applyBorder="1" applyAlignment="1" applyProtection="1">
      <alignment horizontal="center"/>
      <protection locked="0"/>
    </xf>
    <xf numFmtId="171" fontId="9" fillId="15" borderId="15" xfId="0" applyNumberFormat="1" applyFont="1" applyFill="1" applyBorder="1" applyAlignment="1" applyProtection="1">
      <alignment horizontal="center"/>
      <protection locked="0"/>
    </xf>
    <xf numFmtId="1" fontId="9" fillId="15" borderId="0" xfId="1" applyNumberFormat="1" applyFont="1" applyFill="1" applyBorder="1" applyAlignment="1" applyProtection="1">
      <alignment horizontal="center"/>
      <protection locked="0"/>
    </xf>
    <xf numFmtId="168" fontId="80" fillId="15" borderId="0" xfId="0" applyNumberFormat="1" applyFont="1" applyFill="1" applyAlignment="1" applyProtection="1">
      <alignment horizontal="center"/>
      <protection locked="0"/>
    </xf>
    <xf numFmtId="1" fontId="57" fillId="15" borderId="22" xfId="0" applyNumberFormat="1" applyFont="1" applyFill="1" applyBorder="1" applyAlignment="1" applyProtection="1">
      <alignment horizontal="center"/>
      <protection locked="0"/>
    </xf>
    <xf numFmtId="1" fontId="57" fillId="15" borderId="15" xfId="0" applyNumberFormat="1" applyFont="1" applyFill="1" applyBorder="1" applyAlignment="1" applyProtection="1">
      <alignment horizontal="center"/>
      <protection locked="0"/>
    </xf>
    <xf numFmtId="0" fontId="51" fillId="15" borderId="20" xfId="0" applyFont="1" applyFill="1" applyBorder="1" applyProtection="1">
      <protection locked="0"/>
    </xf>
    <xf numFmtId="0" fontId="0" fillId="16" borderId="0" xfId="0" applyFill="1"/>
    <xf numFmtId="0" fontId="6" fillId="16" borderId="0" xfId="1" applyFill="1"/>
    <xf numFmtId="0" fontId="13" fillId="3" borderId="0" xfId="1" applyFont="1" applyFill="1" applyBorder="1" applyAlignment="1" applyProtection="1">
      <alignment horizontal="right" vertical="top"/>
      <protection locked="0"/>
    </xf>
    <xf numFmtId="171" fontId="30" fillId="3" borderId="0" xfId="1" applyNumberFormat="1" applyFont="1" applyFill="1" applyBorder="1" applyAlignment="1" applyProtection="1">
      <alignment vertical="top"/>
      <protection locked="0"/>
    </xf>
    <xf numFmtId="172" fontId="30" fillId="3" borderId="0" xfId="1" applyNumberFormat="1" applyFont="1" applyFill="1" applyBorder="1" applyAlignment="1" applyProtection="1">
      <alignment horizontal="center" vertical="top"/>
      <protection locked="0"/>
    </xf>
    <xf numFmtId="173" fontId="30" fillId="3" borderId="0" xfId="1" applyNumberFormat="1" applyFont="1" applyFill="1" applyBorder="1" applyAlignment="1" applyProtection="1">
      <alignment horizontal="left" vertical="top"/>
      <protection locked="0"/>
    </xf>
    <xf numFmtId="177" fontId="30" fillId="3" borderId="0" xfId="1" applyNumberFormat="1" applyFont="1" applyFill="1" applyBorder="1" applyAlignment="1" applyProtection="1">
      <alignment horizontal="left" vertical="top"/>
      <protection locked="0"/>
    </xf>
    <xf numFmtId="175" fontId="20" fillId="2" borderId="0" xfId="0" applyNumberFormat="1" applyFont="1" applyFill="1"/>
    <xf numFmtId="0" fontId="30" fillId="3" borderId="0" xfId="1" applyFont="1" applyFill="1" applyBorder="1" applyAlignment="1" applyProtection="1">
      <alignment vertical="top"/>
      <protection locked="0"/>
    </xf>
    <xf numFmtId="164" fontId="48" fillId="2" borderId="5" xfId="0" applyNumberFormat="1" applyFont="1" applyFill="1" applyBorder="1" applyAlignment="1">
      <alignment horizontal="centerContinuous" vertical="top"/>
    </xf>
    <xf numFmtId="0" fontId="48" fillId="2" borderId="0" xfId="0" applyFont="1" applyFill="1" applyAlignment="1">
      <alignment horizontal="centerContinuous" vertical="center"/>
    </xf>
    <xf numFmtId="0" fontId="72" fillId="0" borderId="0" xfId="0" applyFont="1"/>
    <xf numFmtId="0" fontId="66" fillId="0" borderId="0" xfId="0" applyFont="1" applyAlignment="1">
      <alignment horizontal="left"/>
    </xf>
    <xf numFmtId="0" fontId="72" fillId="0" borderId="0" xfId="0" quotePrefix="1" applyFont="1" applyAlignment="1">
      <alignment vertical="top"/>
    </xf>
    <xf numFmtId="0" fontId="80" fillId="15" borderId="20" xfId="0" applyFont="1" applyFill="1" applyBorder="1" applyAlignment="1" applyProtection="1">
      <alignment horizontal="left"/>
      <protection locked="0"/>
    </xf>
    <xf numFmtId="181" fontId="63" fillId="3" borderId="0" xfId="0" applyNumberFormat="1" applyFont="1" applyFill="1" applyAlignment="1" applyProtection="1">
      <alignment horizontal="centerContinuous"/>
      <protection locked="0"/>
    </xf>
    <xf numFmtId="2" fontId="77" fillId="15" borderId="2" xfId="0" applyNumberFormat="1" applyFont="1" applyFill="1" applyBorder="1" applyAlignment="1">
      <alignment horizontal="center"/>
    </xf>
    <xf numFmtId="1" fontId="86" fillId="0" borderId="0" xfId="0" applyNumberFormat="1" applyFont="1"/>
    <xf numFmtId="1" fontId="93" fillId="15" borderId="2" xfId="1" applyNumberFormat="1" applyFont="1" applyFill="1" applyBorder="1" applyAlignment="1" applyProtection="1">
      <alignment horizontal="center"/>
      <protection locked="0"/>
    </xf>
    <xf numFmtId="1" fontId="93" fillId="15" borderId="2" xfId="0" applyNumberFormat="1" applyFont="1" applyFill="1" applyBorder="1" applyAlignment="1" applyProtection="1">
      <alignment horizontal="center"/>
      <protection locked="0"/>
    </xf>
    <xf numFmtId="1" fontId="94" fillId="15" borderId="2" xfId="1" applyNumberFormat="1" applyFont="1" applyFill="1" applyBorder="1" applyAlignment="1" applyProtection="1">
      <alignment horizontal="center"/>
      <protection locked="0"/>
    </xf>
    <xf numFmtId="1" fontId="94" fillId="15" borderId="2" xfId="0" applyNumberFormat="1" applyFont="1" applyFill="1" applyBorder="1" applyAlignment="1" applyProtection="1">
      <alignment horizontal="center"/>
      <protection locked="0"/>
    </xf>
    <xf numFmtId="1" fontId="7" fillId="15" borderId="0" xfId="0" quotePrefix="1" applyNumberFormat="1" applyFont="1" applyFill="1" applyAlignment="1" applyProtection="1">
      <alignment horizontal="left"/>
      <protection locked="0"/>
    </xf>
    <xf numFmtId="0" fontId="7" fillId="15" borderId="0" xfId="0" applyFont="1" applyFill="1" applyAlignment="1" applyProtection="1">
      <alignment horizontal="left"/>
      <protection locked="0"/>
    </xf>
    <xf numFmtId="0" fontId="9" fillId="15" borderId="0" xfId="0" applyFont="1" applyFill="1" applyAlignment="1" applyProtection="1">
      <alignment horizontal="left"/>
      <protection locked="0"/>
    </xf>
    <xf numFmtId="0" fontId="79" fillId="0" borderId="13" xfId="0" applyFont="1" applyBorder="1" applyAlignment="1">
      <alignment horizontal="center" vertical="center"/>
    </xf>
    <xf numFmtId="0" fontId="48" fillId="11" borderId="4" xfId="0" applyFont="1" applyFill="1" applyBorder="1" applyAlignment="1">
      <alignment horizontal="centerContinuous" vertical="center"/>
    </xf>
    <xf numFmtId="0" fontId="25" fillId="4" borderId="4" xfId="1" quotePrefix="1" applyFont="1" applyFill="1" applyBorder="1" applyAlignment="1">
      <alignment horizontal="centerContinuous" vertical="center"/>
    </xf>
    <xf numFmtId="0" fontId="25" fillId="12" borderId="4" xfId="1" quotePrefix="1" applyFont="1" applyFill="1" applyBorder="1" applyAlignment="1">
      <alignment horizontal="centerContinuous" vertical="center"/>
    </xf>
    <xf numFmtId="0" fontId="25" fillId="13" borderId="4" xfId="1" quotePrefix="1" applyFont="1" applyFill="1" applyBorder="1" applyAlignment="1">
      <alignment horizontal="centerContinuous" vertical="center"/>
    </xf>
    <xf numFmtId="0" fontId="25" fillId="14" borderId="4" xfId="1" quotePrefix="1" applyFont="1" applyFill="1" applyBorder="1" applyAlignment="1">
      <alignment horizontal="centerContinuous" vertical="center"/>
    </xf>
    <xf numFmtId="0" fontId="25" fillId="5" borderId="5" xfId="1" quotePrefix="1" applyFont="1" applyFill="1" applyBorder="1" applyAlignment="1">
      <alignment horizontal="centerContinuous" vertical="center"/>
    </xf>
    <xf numFmtId="0" fontId="5" fillId="9" borderId="1" xfId="0" quotePrefix="1" applyFont="1" applyFill="1" applyBorder="1" applyAlignment="1">
      <alignment horizontal="centerContinuous" vertical="center"/>
    </xf>
    <xf numFmtId="0" fontId="96" fillId="10" borderId="5" xfId="0" applyFont="1" applyFill="1" applyBorder="1" applyAlignment="1">
      <alignment horizontal="centerContinuous" vertical="center"/>
    </xf>
    <xf numFmtId="0" fontId="97" fillId="10" borderId="1" xfId="1" applyFont="1" applyFill="1" applyBorder="1" applyAlignment="1">
      <alignment horizontal="right" vertical="center"/>
    </xf>
    <xf numFmtId="0" fontId="97" fillId="10" borderId="7" xfId="1" applyFont="1" applyFill="1" applyBorder="1" applyAlignment="1">
      <alignment horizontal="right" vertical="top"/>
    </xf>
    <xf numFmtId="174" fontId="98" fillId="10" borderId="6" xfId="1" applyNumberFormat="1" applyFont="1" applyFill="1" applyBorder="1" applyAlignment="1">
      <alignment horizontal="center" vertical="center"/>
    </xf>
    <xf numFmtId="174" fontId="98" fillId="10" borderId="11" xfId="1" applyNumberFormat="1" applyFont="1" applyFill="1" applyBorder="1" applyAlignment="1">
      <alignment horizontal="center" vertical="top"/>
    </xf>
    <xf numFmtId="0" fontId="95" fillId="19" borderId="13" xfId="0" applyFont="1" applyFill="1" applyBorder="1" applyAlignment="1" applyProtection="1">
      <alignment horizontal="center" vertical="center"/>
      <protection locked="0"/>
    </xf>
    <xf numFmtId="1" fontId="7" fillId="20" borderId="0" xfId="0" applyNumberFormat="1" applyFont="1" applyFill="1" applyAlignment="1" applyProtection="1">
      <alignment horizontal="left"/>
      <protection locked="0"/>
    </xf>
    <xf numFmtId="165" fontId="7" fillId="20" borderId="0" xfId="0" applyNumberFormat="1" applyFont="1" applyFill="1" applyAlignment="1" applyProtection="1">
      <alignment horizontal="center"/>
      <protection locked="0"/>
    </xf>
    <xf numFmtId="184" fontId="80" fillId="20" borderId="0" xfId="0" applyNumberFormat="1" applyFont="1" applyFill="1" applyAlignment="1" applyProtection="1">
      <alignment horizontal="center"/>
      <protection locked="0"/>
    </xf>
    <xf numFmtId="170" fontId="7" fillId="20" borderId="0" xfId="0" applyNumberFormat="1" applyFont="1" applyFill="1" applyAlignment="1" applyProtection="1">
      <alignment horizontal="center"/>
      <protection locked="0"/>
    </xf>
    <xf numFmtId="1" fontId="7" fillId="20" borderId="0" xfId="0" applyNumberFormat="1" applyFont="1" applyFill="1" applyAlignment="1" applyProtection="1">
      <alignment horizontal="center"/>
      <protection locked="0"/>
    </xf>
    <xf numFmtId="0" fontId="42" fillId="21" borderId="0" xfId="0" applyFont="1" applyFill="1" applyAlignment="1">
      <alignment horizontal="centerContinuous"/>
    </xf>
    <xf numFmtId="0" fontId="86" fillId="21" borderId="0" xfId="0" applyFont="1" applyFill="1" applyAlignment="1">
      <alignment horizontal="centerContinuous"/>
    </xf>
    <xf numFmtId="1" fontId="10" fillId="21" borderId="0" xfId="0" applyNumberFormat="1" applyFont="1" applyFill="1" applyAlignment="1">
      <alignment horizontal="center" vertical="center"/>
    </xf>
    <xf numFmtId="1" fontId="87" fillId="21" borderId="0" xfId="0" applyNumberFormat="1" applyFont="1" applyFill="1" applyAlignment="1">
      <alignment horizontal="center" vertical="center"/>
    </xf>
    <xf numFmtId="1" fontId="10" fillId="21" borderId="0" xfId="0" applyNumberFormat="1" applyFont="1" applyFill="1" applyAlignment="1">
      <alignment horizontal="center"/>
    </xf>
    <xf numFmtId="1" fontId="87" fillId="21" borderId="0" xfId="0" applyNumberFormat="1" applyFont="1" applyFill="1" applyAlignment="1">
      <alignment horizontal="center"/>
    </xf>
    <xf numFmtId="1" fontId="99" fillId="21" borderId="0" xfId="0" applyNumberFormat="1" applyFont="1" applyFill="1" applyAlignment="1">
      <alignment vertical="center"/>
    </xf>
    <xf numFmtId="1" fontId="49" fillId="21" borderId="0" xfId="0" applyNumberFormat="1" applyFont="1" applyFill="1" applyAlignment="1">
      <alignment vertical="center"/>
    </xf>
    <xf numFmtId="1" fontId="88" fillId="21" borderId="0" xfId="0" applyNumberFormat="1" applyFont="1" applyFill="1" applyAlignment="1">
      <alignment vertical="center"/>
    </xf>
    <xf numFmtId="1" fontId="59" fillId="21" borderId="0" xfId="0" applyNumberFormat="1" applyFont="1" applyFill="1" applyAlignment="1">
      <alignment horizontal="center" vertical="center"/>
    </xf>
    <xf numFmtId="1" fontId="23" fillId="21" borderId="0" xfId="0" applyNumberFormat="1" applyFont="1" applyFill="1" applyAlignment="1">
      <alignment horizontal="center" vertical="center"/>
    </xf>
    <xf numFmtId="1" fontId="89" fillId="21" borderId="0" xfId="0" applyNumberFormat="1" applyFont="1" applyFill="1" applyAlignment="1">
      <alignment horizontal="center" vertical="center"/>
    </xf>
    <xf numFmtId="1" fontId="90" fillId="21" borderId="0" xfId="0" applyNumberFormat="1" applyFont="1" applyFill="1" applyAlignment="1">
      <alignment horizontal="center" vertical="center"/>
    </xf>
    <xf numFmtId="1" fontId="59" fillId="21" borderId="0" xfId="0" quotePrefix="1" applyNumberFormat="1" applyFont="1" applyFill="1" applyAlignment="1" applyProtection="1">
      <alignment horizontal="center" vertical="top" wrapText="1"/>
      <protection locked="0"/>
    </xf>
    <xf numFmtId="1" fontId="90" fillId="21" borderId="0" xfId="0" quotePrefix="1" applyNumberFormat="1" applyFont="1" applyFill="1" applyAlignment="1" applyProtection="1">
      <alignment horizontal="center" vertical="top" wrapText="1"/>
      <protection locked="0"/>
    </xf>
    <xf numFmtId="1" fontId="9" fillId="21" borderId="0" xfId="0" quotePrefix="1" applyNumberFormat="1" applyFont="1" applyFill="1" applyAlignment="1" applyProtection="1">
      <alignment horizontal="center" vertical="top" wrapText="1"/>
      <protection locked="0"/>
    </xf>
    <xf numFmtId="1" fontId="100" fillId="21" borderId="0" xfId="0" applyNumberFormat="1" applyFont="1" applyFill="1" applyAlignment="1">
      <alignment horizontal="centerContinuous" vertical="center"/>
    </xf>
    <xf numFmtId="0" fontId="32" fillId="9" borderId="1" xfId="0" applyFont="1" applyFill="1" applyBorder="1" applyAlignment="1">
      <alignment horizontal="centerContinuous" vertical="top"/>
    </xf>
    <xf numFmtId="0" fontId="25" fillId="22" borderId="0" xfId="0" applyFont="1" applyFill="1" applyAlignment="1">
      <alignment horizontal="centerContinuous"/>
    </xf>
    <xf numFmtId="0" fontId="54" fillId="22" borderId="14" xfId="0" applyFont="1" applyFill="1" applyBorder="1" applyAlignment="1">
      <alignment horizontal="center" vertical="top" wrapText="1"/>
    </xf>
    <xf numFmtId="0" fontId="11" fillId="22" borderId="0" xfId="0" applyFont="1" applyFill="1" applyAlignment="1" applyProtection="1">
      <alignment horizontal="left" vertical="center"/>
      <protection locked="0"/>
    </xf>
    <xf numFmtId="171" fontId="7" fillId="15" borderId="26" xfId="0" applyNumberFormat="1" applyFont="1" applyFill="1" applyBorder="1" applyAlignment="1" applyProtection="1">
      <alignment horizontal="center"/>
      <protection locked="0"/>
    </xf>
    <xf numFmtId="168" fontId="56" fillId="15" borderId="22" xfId="0" applyNumberFormat="1" applyFont="1" applyFill="1" applyBorder="1" applyAlignment="1" applyProtection="1">
      <alignment horizontal="center"/>
      <protection locked="0"/>
    </xf>
    <xf numFmtId="0" fontId="6" fillId="0" borderId="15" xfId="1" applyBorder="1"/>
    <xf numFmtId="0" fontId="7" fillId="15" borderId="23" xfId="0" applyFont="1" applyFill="1" applyBorder="1" applyAlignment="1" applyProtection="1">
      <alignment horizontal="center"/>
      <protection locked="0"/>
    </xf>
    <xf numFmtId="165" fontId="7" fillId="15" borderId="0" xfId="0" applyNumberFormat="1" applyFont="1" applyFill="1" applyAlignment="1" applyProtection="1">
      <alignment horizontal="center"/>
      <protection locked="0"/>
    </xf>
    <xf numFmtId="184" fontId="80" fillId="15" borderId="0" xfId="0" applyNumberFormat="1" applyFont="1" applyFill="1" applyAlignment="1" applyProtection="1">
      <alignment horizontal="center"/>
      <protection locked="0"/>
    </xf>
    <xf numFmtId="0" fontId="6" fillId="15" borderId="15" xfId="1" applyFill="1" applyBorder="1"/>
    <xf numFmtId="0" fontId="6" fillId="15" borderId="1" xfId="1" applyFill="1" applyBorder="1" applyAlignment="1" applyProtection="1">
      <alignment horizontal="left"/>
      <protection locked="0"/>
    </xf>
    <xf numFmtId="0" fontId="0" fillId="15" borderId="1" xfId="0" applyFill="1" applyBorder="1" applyAlignment="1" applyProtection="1">
      <alignment horizontal="left"/>
      <protection locked="0"/>
    </xf>
    <xf numFmtId="16" fontId="6" fillId="15" borderId="15" xfId="1" applyNumberFormat="1" applyFill="1" applyBorder="1" applyAlignment="1" applyProtection="1">
      <alignment horizontal="left"/>
      <protection locked="0"/>
    </xf>
    <xf numFmtId="0" fontId="6" fillId="15" borderId="1" xfId="1" applyFill="1" applyBorder="1" applyAlignment="1">
      <alignment horizontal="left"/>
    </xf>
    <xf numFmtId="0" fontId="0" fillId="15" borderId="0" xfId="0" applyFill="1" applyAlignment="1" applyProtection="1">
      <alignment horizontal="left"/>
      <protection locked="0"/>
    </xf>
    <xf numFmtId="2" fontId="7" fillId="15" borderId="24" xfId="0" applyNumberFormat="1" applyFont="1" applyFill="1" applyBorder="1" applyAlignment="1" applyProtection="1">
      <alignment horizontal="center"/>
      <protection locked="0"/>
    </xf>
    <xf numFmtId="1" fontId="56" fillId="15" borderId="25" xfId="0" applyNumberFormat="1" applyFont="1" applyFill="1" applyBorder="1" applyAlignment="1" applyProtection="1">
      <alignment horizontal="center"/>
      <protection locked="0"/>
    </xf>
    <xf numFmtId="0" fontId="7" fillId="15" borderId="25" xfId="0" applyFont="1" applyFill="1" applyBorder="1" applyAlignment="1" applyProtection="1">
      <alignment horizontal="center"/>
      <protection locked="0"/>
    </xf>
    <xf numFmtId="0" fontId="28" fillId="17" borderId="0" xfId="1" applyFont="1" applyFill="1" applyBorder="1" applyAlignment="1">
      <alignment horizontal="left" vertical="center"/>
    </xf>
    <xf numFmtId="0" fontId="91" fillId="0" borderId="0" xfId="0" applyFont="1" applyAlignment="1">
      <alignment horizontal="left" vertical="center"/>
    </xf>
    <xf numFmtId="0" fontId="92" fillId="18" borderId="0" xfId="1" applyFont="1" applyFill="1" applyBorder="1" applyAlignment="1">
      <alignment horizontal="left" vertical="center"/>
    </xf>
    <xf numFmtId="0" fontId="86" fillId="18" borderId="0" xfId="0" applyFont="1" applyFill="1" applyAlignment="1">
      <alignment horizontal="left" vertical="center"/>
    </xf>
    <xf numFmtId="0" fontId="0" fillId="0" borderId="0" xfId="0"/>
  </cellXfs>
  <cellStyles count="2">
    <cellStyle name="Hyperlink" xfId="1" builtinId="8" customBuiltin="1"/>
    <cellStyle name="Normal" xfId="0" builtinId="0" customBuiltin="1"/>
  </cellStyles>
  <dxfs count="128">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
      <font>
        <strike val="0"/>
      </font>
      <fill>
        <patternFill>
          <bgColor rgb="FFF5F5F5"/>
        </patternFill>
      </fill>
    </dxf>
    <dxf>
      <fill>
        <patternFill>
          <bgColor rgb="FFCCFFCC"/>
        </patternFill>
      </fill>
    </dxf>
    <dxf>
      <fill>
        <patternFill>
          <bgColor rgb="FFFFFFCC"/>
        </patternFill>
      </fill>
    </dxf>
    <dxf>
      <fill>
        <patternFill>
          <bgColor rgb="FFFFD1D1"/>
        </patternFill>
      </fill>
    </dxf>
    <dxf>
      <fill>
        <patternFill>
          <bgColor theme="0" tint="-0.499984740745262"/>
        </patternFill>
      </fill>
    </dxf>
    <dxf>
      <fill>
        <patternFill patternType="lightDown"/>
      </fill>
    </dxf>
    <dxf>
      <fill>
        <patternFill patternType="gray0625"/>
      </fill>
    </dxf>
    <dxf>
      <font>
        <b val="0"/>
        <i/>
        <strike val="0"/>
        <color theme="5" tint="-0.24994659260841701"/>
      </font>
    </dxf>
    <dxf>
      <font>
        <b val="0"/>
        <i/>
        <strike val="0"/>
        <color theme="5" tint="-0.24994659260841701"/>
      </font>
    </dxf>
  </dxfs>
  <tableStyles count="0" defaultTableStyle="TableStyleMedium2" defaultPivotStyle="PivotStyleLight16"/>
  <colors>
    <mruColors>
      <color rgb="FFFFFF66"/>
      <color rgb="FFFFFFCC"/>
      <color rgb="FFFFFF99"/>
      <color rgb="FFFFCCCC"/>
      <color rgb="FFFFCCFF"/>
      <color rgb="FFFF66CC"/>
      <color rgb="FFEF7DB6"/>
      <color rgb="FF602E04"/>
      <color rgb="FF86002D"/>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jpeg"/><Relationship Id="rId21" Type="http://schemas.openxmlformats.org/officeDocument/2006/relationships/image" Target="../media/image21.jpeg"/><Relationship Id="rId34" Type="http://schemas.openxmlformats.org/officeDocument/2006/relationships/image" Target="../media/image34.jpeg"/><Relationship Id="rId42" Type="http://schemas.openxmlformats.org/officeDocument/2006/relationships/image" Target="../media/image42.jpeg"/><Relationship Id="rId47" Type="http://schemas.openxmlformats.org/officeDocument/2006/relationships/image" Target="../media/image47.jpeg"/><Relationship Id="rId50" Type="http://schemas.openxmlformats.org/officeDocument/2006/relationships/image" Target="../media/image50.jpeg"/><Relationship Id="rId55" Type="http://schemas.openxmlformats.org/officeDocument/2006/relationships/image" Target="../media/image55.jpeg"/><Relationship Id="rId63" Type="http://schemas.openxmlformats.org/officeDocument/2006/relationships/image" Target="../media/image63.jpeg"/><Relationship Id="rId68" Type="http://schemas.openxmlformats.org/officeDocument/2006/relationships/image" Target="../media/image68.jpeg"/><Relationship Id="rId7" Type="http://schemas.openxmlformats.org/officeDocument/2006/relationships/image" Target="../media/image7.jpeg"/><Relationship Id="rId2" Type="http://schemas.openxmlformats.org/officeDocument/2006/relationships/image" Target="../media/image2.emf"/><Relationship Id="rId16" Type="http://schemas.openxmlformats.org/officeDocument/2006/relationships/image" Target="../media/image16.jpeg"/><Relationship Id="rId29" Type="http://schemas.openxmlformats.org/officeDocument/2006/relationships/image" Target="../media/image29.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37" Type="http://schemas.openxmlformats.org/officeDocument/2006/relationships/image" Target="../media/image37.jpeg"/><Relationship Id="rId40" Type="http://schemas.openxmlformats.org/officeDocument/2006/relationships/image" Target="../media/image40.jpeg"/><Relationship Id="rId45" Type="http://schemas.openxmlformats.org/officeDocument/2006/relationships/image" Target="../media/image45.jpeg"/><Relationship Id="rId53" Type="http://schemas.openxmlformats.org/officeDocument/2006/relationships/image" Target="../media/image53.jpeg"/><Relationship Id="rId58" Type="http://schemas.openxmlformats.org/officeDocument/2006/relationships/image" Target="../media/image58.jpeg"/><Relationship Id="rId66" Type="http://schemas.openxmlformats.org/officeDocument/2006/relationships/image" Target="../media/image66.jpeg"/><Relationship Id="rId5" Type="http://schemas.openxmlformats.org/officeDocument/2006/relationships/image" Target="../media/image5.jpeg"/><Relationship Id="rId61" Type="http://schemas.openxmlformats.org/officeDocument/2006/relationships/image" Target="../media/image61.jpeg"/><Relationship Id="rId19" Type="http://schemas.openxmlformats.org/officeDocument/2006/relationships/image" Target="../media/image1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eg"/><Relationship Id="rId43" Type="http://schemas.openxmlformats.org/officeDocument/2006/relationships/image" Target="../media/image43.jpeg"/><Relationship Id="rId48" Type="http://schemas.openxmlformats.org/officeDocument/2006/relationships/image" Target="../media/image48.jpeg"/><Relationship Id="rId56" Type="http://schemas.openxmlformats.org/officeDocument/2006/relationships/image" Target="../media/image56.jpeg"/><Relationship Id="rId64" Type="http://schemas.openxmlformats.org/officeDocument/2006/relationships/image" Target="../media/image64.jpeg"/><Relationship Id="rId8" Type="http://schemas.openxmlformats.org/officeDocument/2006/relationships/image" Target="../media/image8.jpeg"/><Relationship Id="rId51" Type="http://schemas.openxmlformats.org/officeDocument/2006/relationships/image" Target="../media/image51.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38" Type="http://schemas.openxmlformats.org/officeDocument/2006/relationships/image" Target="../media/image38.jpe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20" Type="http://schemas.openxmlformats.org/officeDocument/2006/relationships/image" Target="../media/image20.jpe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1" Type="http://schemas.openxmlformats.org/officeDocument/2006/relationships/image" Target="../media/image1.emf"/><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s>
</file>

<file path=xl/drawings/_rels/drawing2.xml.rels><?xml version="1.0" encoding="UTF-8" standalone="yes"?>
<Relationships xmlns="http://schemas.openxmlformats.org/package/2006/relationships"><Relationship Id="rId3" Type="http://schemas.openxmlformats.org/officeDocument/2006/relationships/hyperlink" Target="https://bold.org/funds/imm-astronomy-scholarship-fund/" TargetMode="External"/><Relationship Id="rId2" Type="http://schemas.openxmlformats.org/officeDocument/2006/relationships/hyperlink" Target="https://drive.google.com/uc?id=1SgrhKj8H9VEGarHv0qmHwxKAY8OpTfPO&amp;export=download" TargetMode="External"/><Relationship Id="rId1" Type="http://schemas.openxmlformats.org/officeDocument/2006/relationships/hyperlink" Target="https://drive.google.com/uc?id=1pJ4HBzG72pZlktnUkdGCSeY64DC1y7gW&amp;export=download" TargetMode="External"/><Relationship Id="rId4" Type="http://schemas.openxmlformats.org/officeDocument/2006/relationships/image" Target="../media/image3224.jpg"/></Relationships>
</file>

<file path=xl/drawings/_rels/drawing4.xml.rels><?xml version="1.0" encoding="UTF-8" standalone="yes"?>
<Relationships xmlns="http://schemas.openxmlformats.org/package/2006/relationships"><Relationship Id="rId8" Type="http://schemas.openxmlformats.org/officeDocument/2006/relationships/image" Target="../media/image3233.jpeg"/><Relationship Id="rId13" Type="http://schemas.openxmlformats.org/officeDocument/2006/relationships/image" Target="../media/image3238.jpeg"/><Relationship Id="rId18" Type="http://schemas.openxmlformats.org/officeDocument/2006/relationships/image" Target="../media/image3243.jpeg"/><Relationship Id="rId26" Type="http://schemas.openxmlformats.org/officeDocument/2006/relationships/image" Target="../media/image3251.jpeg"/><Relationship Id="rId3" Type="http://schemas.openxmlformats.org/officeDocument/2006/relationships/image" Target="../media/image3228.jpeg"/><Relationship Id="rId21" Type="http://schemas.openxmlformats.org/officeDocument/2006/relationships/image" Target="../media/image3246.jpeg"/><Relationship Id="rId7" Type="http://schemas.openxmlformats.org/officeDocument/2006/relationships/image" Target="../media/image3232.jpeg"/><Relationship Id="rId12" Type="http://schemas.openxmlformats.org/officeDocument/2006/relationships/image" Target="../media/image3237.jpeg"/><Relationship Id="rId17" Type="http://schemas.openxmlformats.org/officeDocument/2006/relationships/image" Target="../media/image3242.jpeg"/><Relationship Id="rId25" Type="http://schemas.openxmlformats.org/officeDocument/2006/relationships/image" Target="../media/image3250.jpeg"/><Relationship Id="rId2" Type="http://schemas.openxmlformats.org/officeDocument/2006/relationships/image" Target="../media/image3227.jpeg"/><Relationship Id="rId16" Type="http://schemas.openxmlformats.org/officeDocument/2006/relationships/image" Target="../media/image3241.jpeg"/><Relationship Id="rId20" Type="http://schemas.openxmlformats.org/officeDocument/2006/relationships/image" Target="../media/image3245.jpeg"/><Relationship Id="rId29" Type="http://schemas.openxmlformats.org/officeDocument/2006/relationships/image" Target="../media/image3254.jpeg"/><Relationship Id="rId1" Type="http://schemas.openxmlformats.org/officeDocument/2006/relationships/image" Target="../media/image3226.jpeg"/><Relationship Id="rId6" Type="http://schemas.openxmlformats.org/officeDocument/2006/relationships/image" Target="../media/image3231.jpeg"/><Relationship Id="rId11" Type="http://schemas.openxmlformats.org/officeDocument/2006/relationships/image" Target="../media/image3236.jpeg"/><Relationship Id="rId24" Type="http://schemas.openxmlformats.org/officeDocument/2006/relationships/image" Target="../media/image3249.jpeg"/><Relationship Id="rId5" Type="http://schemas.openxmlformats.org/officeDocument/2006/relationships/image" Target="../media/image3230.jpeg"/><Relationship Id="rId15" Type="http://schemas.openxmlformats.org/officeDocument/2006/relationships/image" Target="../media/image3240.jpeg"/><Relationship Id="rId23" Type="http://schemas.openxmlformats.org/officeDocument/2006/relationships/image" Target="../media/image3248.jpeg"/><Relationship Id="rId28" Type="http://schemas.openxmlformats.org/officeDocument/2006/relationships/image" Target="../media/image3253.jpeg"/><Relationship Id="rId10" Type="http://schemas.openxmlformats.org/officeDocument/2006/relationships/image" Target="../media/image3235.jpeg"/><Relationship Id="rId19" Type="http://schemas.openxmlformats.org/officeDocument/2006/relationships/image" Target="../media/image3244.jpeg"/><Relationship Id="rId4" Type="http://schemas.openxmlformats.org/officeDocument/2006/relationships/image" Target="../media/image3229.jpeg"/><Relationship Id="rId9" Type="http://schemas.openxmlformats.org/officeDocument/2006/relationships/image" Target="../media/image3234.jpeg"/><Relationship Id="rId14" Type="http://schemas.openxmlformats.org/officeDocument/2006/relationships/image" Target="../media/image3239.jpeg"/><Relationship Id="rId22" Type="http://schemas.openxmlformats.org/officeDocument/2006/relationships/image" Target="../media/image3247.jpeg"/><Relationship Id="rId27" Type="http://schemas.openxmlformats.org/officeDocument/2006/relationships/image" Target="../media/image3252.jpeg"/></Relationships>
</file>

<file path=xl/drawings/_rels/vmlDrawing1.vml.rels><?xml version="1.0" encoding="UTF-8" standalone="yes"?>
<Relationships xmlns="http://schemas.openxmlformats.org/package/2006/relationships"><Relationship Id="rId1827" Type="http://schemas.openxmlformats.org/officeDocument/2006/relationships/image" Target="../media/image1895.jpeg"/><Relationship Id="rId3042" Type="http://schemas.openxmlformats.org/officeDocument/2006/relationships/image" Target="../media/image3110.jpeg"/><Relationship Id="rId170" Type="http://schemas.openxmlformats.org/officeDocument/2006/relationships/image" Target="../media/image238.jpeg"/><Relationship Id="rId987" Type="http://schemas.openxmlformats.org/officeDocument/2006/relationships/image" Target="../media/image1055.jpeg"/><Relationship Id="rId2668" Type="http://schemas.openxmlformats.org/officeDocument/2006/relationships/image" Target="../media/image2736.jpeg"/><Relationship Id="rId2875" Type="http://schemas.openxmlformats.org/officeDocument/2006/relationships/image" Target="../media/image2943.jpeg"/><Relationship Id="rId847" Type="http://schemas.openxmlformats.org/officeDocument/2006/relationships/image" Target="../media/image915.jpeg"/><Relationship Id="rId1477" Type="http://schemas.openxmlformats.org/officeDocument/2006/relationships/image" Target="../media/image1545.jpeg"/><Relationship Id="rId1684" Type="http://schemas.openxmlformats.org/officeDocument/2006/relationships/image" Target="../media/image1752.jpeg"/><Relationship Id="rId1891" Type="http://schemas.openxmlformats.org/officeDocument/2006/relationships/image" Target="../media/image1959.jpeg"/><Relationship Id="rId2528" Type="http://schemas.openxmlformats.org/officeDocument/2006/relationships/image" Target="../media/image2596.jpeg"/><Relationship Id="rId2735" Type="http://schemas.openxmlformats.org/officeDocument/2006/relationships/image" Target="../media/image2803.jpeg"/><Relationship Id="rId2942" Type="http://schemas.openxmlformats.org/officeDocument/2006/relationships/image" Target="../media/image3010.jpeg"/><Relationship Id="rId707" Type="http://schemas.openxmlformats.org/officeDocument/2006/relationships/image" Target="../media/image775.jpeg"/><Relationship Id="rId914" Type="http://schemas.openxmlformats.org/officeDocument/2006/relationships/image" Target="../media/image982.jpeg"/><Relationship Id="rId1337" Type="http://schemas.openxmlformats.org/officeDocument/2006/relationships/image" Target="../media/image1405.jpeg"/><Relationship Id="rId1544" Type="http://schemas.openxmlformats.org/officeDocument/2006/relationships/image" Target="../media/image1612.jpeg"/><Relationship Id="rId1751" Type="http://schemas.openxmlformats.org/officeDocument/2006/relationships/image" Target="../media/image1819.jpeg"/><Relationship Id="rId2802" Type="http://schemas.openxmlformats.org/officeDocument/2006/relationships/image" Target="../media/image2870.jpeg"/><Relationship Id="rId43" Type="http://schemas.openxmlformats.org/officeDocument/2006/relationships/image" Target="../media/image111.jpeg"/><Relationship Id="rId1404" Type="http://schemas.openxmlformats.org/officeDocument/2006/relationships/image" Target="../media/image1472.jpeg"/><Relationship Id="rId1611" Type="http://schemas.openxmlformats.org/officeDocument/2006/relationships/image" Target="../media/image1679.jpeg"/><Relationship Id="rId497" Type="http://schemas.openxmlformats.org/officeDocument/2006/relationships/image" Target="../media/image565.jpeg"/><Relationship Id="rId2178" Type="http://schemas.openxmlformats.org/officeDocument/2006/relationships/image" Target="../media/image2246.jpeg"/><Relationship Id="rId2385" Type="http://schemas.openxmlformats.org/officeDocument/2006/relationships/image" Target="../media/image2453.jpeg"/><Relationship Id="rId357" Type="http://schemas.openxmlformats.org/officeDocument/2006/relationships/image" Target="../media/image425.jpeg"/><Relationship Id="rId1194" Type="http://schemas.openxmlformats.org/officeDocument/2006/relationships/image" Target="../media/image1262.jpeg"/><Relationship Id="rId2038" Type="http://schemas.openxmlformats.org/officeDocument/2006/relationships/image" Target="../media/image2106.jpeg"/><Relationship Id="rId2592" Type="http://schemas.openxmlformats.org/officeDocument/2006/relationships/image" Target="../media/image2660.jpeg"/><Relationship Id="rId217" Type="http://schemas.openxmlformats.org/officeDocument/2006/relationships/image" Target="../media/image285.jpeg"/><Relationship Id="rId564" Type="http://schemas.openxmlformats.org/officeDocument/2006/relationships/image" Target="../media/image632.jpeg"/><Relationship Id="rId771" Type="http://schemas.openxmlformats.org/officeDocument/2006/relationships/image" Target="../media/image839.jpeg"/><Relationship Id="rId2245" Type="http://schemas.openxmlformats.org/officeDocument/2006/relationships/image" Target="../media/image2313.jpeg"/><Relationship Id="rId2452" Type="http://schemas.openxmlformats.org/officeDocument/2006/relationships/image" Target="../media/image2520.jpeg"/><Relationship Id="rId424" Type="http://schemas.openxmlformats.org/officeDocument/2006/relationships/image" Target="../media/image492.jpeg"/><Relationship Id="rId631" Type="http://schemas.openxmlformats.org/officeDocument/2006/relationships/image" Target="../media/image699.jpeg"/><Relationship Id="rId1054" Type="http://schemas.openxmlformats.org/officeDocument/2006/relationships/image" Target="../media/image1122.jpeg"/><Relationship Id="rId1261" Type="http://schemas.openxmlformats.org/officeDocument/2006/relationships/image" Target="../media/image1329.jpeg"/><Relationship Id="rId2105" Type="http://schemas.openxmlformats.org/officeDocument/2006/relationships/image" Target="../media/image2173.jpeg"/><Relationship Id="rId2312" Type="http://schemas.openxmlformats.org/officeDocument/2006/relationships/image" Target="../media/image2380.jpeg"/><Relationship Id="rId1121" Type="http://schemas.openxmlformats.org/officeDocument/2006/relationships/image" Target="../media/image1189.jpeg"/><Relationship Id="rId3086" Type="http://schemas.openxmlformats.org/officeDocument/2006/relationships/image" Target="../media/image3154.jpeg"/><Relationship Id="rId1938" Type="http://schemas.openxmlformats.org/officeDocument/2006/relationships/image" Target="../media/image2006.jpeg"/><Relationship Id="rId3153" Type="http://schemas.openxmlformats.org/officeDocument/2006/relationships/image" Target="../media/image3221.jpeg"/><Relationship Id="rId281" Type="http://schemas.openxmlformats.org/officeDocument/2006/relationships/image" Target="../media/image349.jpeg"/><Relationship Id="rId3013" Type="http://schemas.openxmlformats.org/officeDocument/2006/relationships/image" Target="../media/image3081.jpeg"/><Relationship Id="rId141" Type="http://schemas.openxmlformats.org/officeDocument/2006/relationships/image" Target="../media/image209.jpeg"/><Relationship Id="rId7" Type="http://schemas.openxmlformats.org/officeDocument/2006/relationships/image" Target="../media/image75.jpeg"/><Relationship Id="rId2779" Type="http://schemas.openxmlformats.org/officeDocument/2006/relationships/image" Target="../media/image2847.jpeg"/><Relationship Id="rId2986" Type="http://schemas.openxmlformats.org/officeDocument/2006/relationships/image" Target="../media/image3054.jpeg"/><Relationship Id="rId958" Type="http://schemas.openxmlformats.org/officeDocument/2006/relationships/image" Target="../media/image1026.jpeg"/><Relationship Id="rId1588" Type="http://schemas.openxmlformats.org/officeDocument/2006/relationships/image" Target="../media/image1656.jpeg"/><Relationship Id="rId1795" Type="http://schemas.openxmlformats.org/officeDocument/2006/relationships/image" Target="../media/image1863.jpeg"/><Relationship Id="rId2639" Type="http://schemas.openxmlformats.org/officeDocument/2006/relationships/image" Target="../media/image2707.jpeg"/><Relationship Id="rId2846" Type="http://schemas.openxmlformats.org/officeDocument/2006/relationships/image" Target="../media/image2914.jpeg"/><Relationship Id="rId87" Type="http://schemas.openxmlformats.org/officeDocument/2006/relationships/image" Target="../media/image155.jpeg"/><Relationship Id="rId818" Type="http://schemas.openxmlformats.org/officeDocument/2006/relationships/image" Target="../media/image886.jpeg"/><Relationship Id="rId1448" Type="http://schemas.openxmlformats.org/officeDocument/2006/relationships/image" Target="../media/image1516.jpeg"/><Relationship Id="rId1655" Type="http://schemas.openxmlformats.org/officeDocument/2006/relationships/image" Target="../media/image1723.jpeg"/><Relationship Id="rId2706" Type="http://schemas.openxmlformats.org/officeDocument/2006/relationships/image" Target="../media/image2774.jpeg"/><Relationship Id="rId1308" Type="http://schemas.openxmlformats.org/officeDocument/2006/relationships/image" Target="../media/image1376.jpeg"/><Relationship Id="rId1862" Type="http://schemas.openxmlformats.org/officeDocument/2006/relationships/image" Target="../media/image1930.jpeg"/><Relationship Id="rId2913" Type="http://schemas.openxmlformats.org/officeDocument/2006/relationships/image" Target="../media/image2981.jpeg"/><Relationship Id="rId1515" Type="http://schemas.openxmlformats.org/officeDocument/2006/relationships/image" Target="../media/image1583.jpeg"/><Relationship Id="rId1722" Type="http://schemas.openxmlformats.org/officeDocument/2006/relationships/image" Target="../media/image1790.jpeg"/><Relationship Id="rId14" Type="http://schemas.openxmlformats.org/officeDocument/2006/relationships/image" Target="../media/image82.jpeg"/><Relationship Id="rId2289" Type="http://schemas.openxmlformats.org/officeDocument/2006/relationships/image" Target="../media/image2357.jpeg"/><Relationship Id="rId2496" Type="http://schemas.openxmlformats.org/officeDocument/2006/relationships/image" Target="../media/image2564.jpeg"/><Relationship Id="rId468" Type="http://schemas.openxmlformats.org/officeDocument/2006/relationships/image" Target="../media/image536.jpeg"/><Relationship Id="rId675" Type="http://schemas.openxmlformats.org/officeDocument/2006/relationships/image" Target="../media/image743.jpeg"/><Relationship Id="rId882" Type="http://schemas.openxmlformats.org/officeDocument/2006/relationships/image" Target="../media/image950.jpeg"/><Relationship Id="rId1098" Type="http://schemas.openxmlformats.org/officeDocument/2006/relationships/image" Target="../media/image1166.jpeg"/><Relationship Id="rId2149" Type="http://schemas.openxmlformats.org/officeDocument/2006/relationships/image" Target="../media/image2217.jpeg"/><Relationship Id="rId2356" Type="http://schemas.openxmlformats.org/officeDocument/2006/relationships/image" Target="../media/image2424.jpeg"/><Relationship Id="rId2563" Type="http://schemas.openxmlformats.org/officeDocument/2006/relationships/image" Target="../media/image2631.jpeg"/><Relationship Id="rId2770" Type="http://schemas.openxmlformats.org/officeDocument/2006/relationships/image" Target="../media/image2838.jpeg"/><Relationship Id="rId328" Type="http://schemas.openxmlformats.org/officeDocument/2006/relationships/image" Target="../media/image396.jpeg"/><Relationship Id="rId535" Type="http://schemas.openxmlformats.org/officeDocument/2006/relationships/image" Target="../media/image603.jpeg"/><Relationship Id="rId742" Type="http://schemas.openxmlformats.org/officeDocument/2006/relationships/image" Target="../media/image810.jpeg"/><Relationship Id="rId1165" Type="http://schemas.openxmlformats.org/officeDocument/2006/relationships/image" Target="../media/image1233.jpeg"/><Relationship Id="rId1372" Type="http://schemas.openxmlformats.org/officeDocument/2006/relationships/image" Target="../media/image1440.jpeg"/><Relationship Id="rId2009" Type="http://schemas.openxmlformats.org/officeDocument/2006/relationships/image" Target="../media/image2077.jpeg"/><Relationship Id="rId2216" Type="http://schemas.openxmlformats.org/officeDocument/2006/relationships/image" Target="../media/image2284.jpeg"/><Relationship Id="rId2423" Type="http://schemas.openxmlformats.org/officeDocument/2006/relationships/image" Target="../media/image2491.jpeg"/><Relationship Id="rId2630" Type="http://schemas.openxmlformats.org/officeDocument/2006/relationships/image" Target="../media/image2698.jpeg"/><Relationship Id="rId602" Type="http://schemas.openxmlformats.org/officeDocument/2006/relationships/image" Target="../media/image670.jpeg"/><Relationship Id="rId1025" Type="http://schemas.openxmlformats.org/officeDocument/2006/relationships/image" Target="../media/image1093.jpeg"/><Relationship Id="rId1232" Type="http://schemas.openxmlformats.org/officeDocument/2006/relationships/image" Target="../media/image1300.jpeg"/><Relationship Id="rId3057" Type="http://schemas.openxmlformats.org/officeDocument/2006/relationships/image" Target="../media/image3125.jpeg"/><Relationship Id="rId185" Type="http://schemas.openxmlformats.org/officeDocument/2006/relationships/image" Target="../media/image253.jpeg"/><Relationship Id="rId1909" Type="http://schemas.openxmlformats.org/officeDocument/2006/relationships/image" Target="../media/image1977.jpeg"/><Relationship Id="rId392" Type="http://schemas.openxmlformats.org/officeDocument/2006/relationships/image" Target="../media/image460.jpeg"/><Relationship Id="rId2073" Type="http://schemas.openxmlformats.org/officeDocument/2006/relationships/image" Target="../media/image2141.jpeg"/><Relationship Id="rId2280" Type="http://schemas.openxmlformats.org/officeDocument/2006/relationships/image" Target="../media/image2348.jpeg"/><Relationship Id="rId3124" Type="http://schemas.openxmlformats.org/officeDocument/2006/relationships/image" Target="../media/image3192.jpeg"/><Relationship Id="rId252" Type="http://schemas.openxmlformats.org/officeDocument/2006/relationships/image" Target="../media/image320.jpeg"/><Relationship Id="rId2140" Type="http://schemas.openxmlformats.org/officeDocument/2006/relationships/image" Target="../media/image2208.jpeg"/><Relationship Id="rId112" Type="http://schemas.openxmlformats.org/officeDocument/2006/relationships/image" Target="../media/image180.jpeg"/><Relationship Id="rId1699" Type="http://schemas.openxmlformats.org/officeDocument/2006/relationships/image" Target="../media/image1767.jpeg"/><Relationship Id="rId2000" Type="http://schemas.openxmlformats.org/officeDocument/2006/relationships/image" Target="../media/image2068.jpeg"/><Relationship Id="rId2957" Type="http://schemas.openxmlformats.org/officeDocument/2006/relationships/image" Target="../media/image3025.jpeg"/><Relationship Id="rId929" Type="http://schemas.openxmlformats.org/officeDocument/2006/relationships/image" Target="../media/image997.jpeg"/><Relationship Id="rId1559" Type="http://schemas.openxmlformats.org/officeDocument/2006/relationships/image" Target="../media/image1627.jpeg"/><Relationship Id="rId1766" Type="http://schemas.openxmlformats.org/officeDocument/2006/relationships/image" Target="../media/image1834.jpeg"/><Relationship Id="rId1973" Type="http://schemas.openxmlformats.org/officeDocument/2006/relationships/image" Target="../media/image2041.jpeg"/><Relationship Id="rId2817" Type="http://schemas.openxmlformats.org/officeDocument/2006/relationships/image" Target="../media/image2885.jpeg"/><Relationship Id="rId58" Type="http://schemas.openxmlformats.org/officeDocument/2006/relationships/image" Target="../media/image126.jpeg"/><Relationship Id="rId1419" Type="http://schemas.openxmlformats.org/officeDocument/2006/relationships/image" Target="../media/image1487.jpeg"/><Relationship Id="rId1626" Type="http://schemas.openxmlformats.org/officeDocument/2006/relationships/image" Target="../media/image1694.jpeg"/><Relationship Id="rId1833" Type="http://schemas.openxmlformats.org/officeDocument/2006/relationships/image" Target="../media/image1901.jpeg"/><Relationship Id="rId1900" Type="http://schemas.openxmlformats.org/officeDocument/2006/relationships/image" Target="../media/image1968.jpeg"/><Relationship Id="rId579" Type="http://schemas.openxmlformats.org/officeDocument/2006/relationships/image" Target="../media/image647.jpeg"/><Relationship Id="rId786" Type="http://schemas.openxmlformats.org/officeDocument/2006/relationships/image" Target="../media/image854.jpeg"/><Relationship Id="rId993" Type="http://schemas.openxmlformats.org/officeDocument/2006/relationships/image" Target="../media/image1061.jpeg"/><Relationship Id="rId2467" Type="http://schemas.openxmlformats.org/officeDocument/2006/relationships/image" Target="../media/image2535.jpeg"/><Relationship Id="rId2674" Type="http://schemas.openxmlformats.org/officeDocument/2006/relationships/image" Target="../media/image2742.jpeg"/><Relationship Id="rId439" Type="http://schemas.openxmlformats.org/officeDocument/2006/relationships/image" Target="../media/image507.jpeg"/><Relationship Id="rId646" Type="http://schemas.openxmlformats.org/officeDocument/2006/relationships/image" Target="../media/image714.jpeg"/><Relationship Id="rId1069" Type="http://schemas.openxmlformats.org/officeDocument/2006/relationships/image" Target="../media/image1137.jpeg"/><Relationship Id="rId1276" Type="http://schemas.openxmlformats.org/officeDocument/2006/relationships/image" Target="../media/image1344.jpeg"/><Relationship Id="rId1483" Type="http://schemas.openxmlformats.org/officeDocument/2006/relationships/image" Target="../media/image1551.jpeg"/><Relationship Id="rId2327" Type="http://schemas.openxmlformats.org/officeDocument/2006/relationships/image" Target="../media/image2395.jpeg"/><Relationship Id="rId2881" Type="http://schemas.openxmlformats.org/officeDocument/2006/relationships/image" Target="../media/image2949.jpeg"/><Relationship Id="rId506" Type="http://schemas.openxmlformats.org/officeDocument/2006/relationships/image" Target="../media/image574.jpeg"/><Relationship Id="rId853" Type="http://schemas.openxmlformats.org/officeDocument/2006/relationships/image" Target="../media/image921.jpeg"/><Relationship Id="rId1136" Type="http://schemas.openxmlformats.org/officeDocument/2006/relationships/image" Target="../media/image1204.jpeg"/><Relationship Id="rId1690" Type="http://schemas.openxmlformats.org/officeDocument/2006/relationships/image" Target="../media/image1758.jpeg"/><Relationship Id="rId2534" Type="http://schemas.openxmlformats.org/officeDocument/2006/relationships/image" Target="../media/image2602.jpeg"/><Relationship Id="rId2741" Type="http://schemas.openxmlformats.org/officeDocument/2006/relationships/image" Target="../media/image2809.jpeg"/><Relationship Id="rId713" Type="http://schemas.openxmlformats.org/officeDocument/2006/relationships/image" Target="../media/image781.jpeg"/><Relationship Id="rId920" Type="http://schemas.openxmlformats.org/officeDocument/2006/relationships/image" Target="../media/image988.jpeg"/><Relationship Id="rId1343" Type="http://schemas.openxmlformats.org/officeDocument/2006/relationships/image" Target="../media/image1411.jpeg"/><Relationship Id="rId1550" Type="http://schemas.openxmlformats.org/officeDocument/2006/relationships/image" Target="../media/image1618.jpeg"/><Relationship Id="rId2601" Type="http://schemas.openxmlformats.org/officeDocument/2006/relationships/image" Target="../media/image2669.jpeg"/><Relationship Id="rId1203" Type="http://schemas.openxmlformats.org/officeDocument/2006/relationships/image" Target="../media/image1271.jpeg"/><Relationship Id="rId1410" Type="http://schemas.openxmlformats.org/officeDocument/2006/relationships/image" Target="../media/image1478.jpeg"/><Relationship Id="rId296" Type="http://schemas.openxmlformats.org/officeDocument/2006/relationships/image" Target="../media/image364.jpeg"/><Relationship Id="rId2184" Type="http://schemas.openxmlformats.org/officeDocument/2006/relationships/image" Target="../media/image2252.jpeg"/><Relationship Id="rId2391" Type="http://schemas.openxmlformats.org/officeDocument/2006/relationships/image" Target="../media/image2459.jpeg"/><Relationship Id="rId3028" Type="http://schemas.openxmlformats.org/officeDocument/2006/relationships/image" Target="../media/image3096.jpeg"/><Relationship Id="rId156" Type="http://schemas.openxmlformats.org/officeDocument/2006/relationships/image" Target="../media/image224.jpeg"/><Relationship Id="rId363" Type="http://schemas.openxmlformats.org/officeDocument/2006/relationships/image" Target="../media/image431.jpeg"/><Relationship Id="rId570" Type="http://schemas.openxmlformats.org/officeDocument/2006/relationships/image" Target="../media/image638.jpeg"/><Relationship Id="rId2044" Type="http://schemas.openxmlformats.org/officeDocument/2006/relationships/image" Target="../media/image2112.jpeg"/><Relationship Id="rId2251" Type="http://schemas.openxmlformats.org/officeDocument/2006/relationships/image" Target="../media/image2319.jpeg"/><Relationship Id="rId223" Type="http://schemas.openxmlformats.org/officeDocument/2006/relationships/image" Target="../media/image291.jpeg"/><Relationship Id="rId430" Type="http://schemas.openxmlformats.org/officeDocument/2006/relationships/image" Target="../media/image498.jpeg"/><Relationship Id="rId1060" Type="http://schemas.openxmlformats.org/officeDocument/2006/relationships/image" Target="../media/image1128.jpeg"/><Relationship Id="rId2111" Type="http://schemas.openxmlformats.org/officeDocument/2006/relationships/image" Target="../media/image2179.jpeg"/><Relationship Id="rId1877" Type="http://schemas.openxmlformats.org/officeDocument/2006/relationships/image" Target="../media/image1945.jpeg"/><Relationship Id="rId2928" Type="http://schemas.openxmlformats.org/officeDocument/2006/relationships/image" Target="../media/image2996.jpeg"/><Relationship Id="rId1737" Type="http://schemas.openxmlformats.org/officeDocument/2006/relationships/image" Target="../media/image1805.jpeg"/><Relationship Id="rId1944" Type="http://schemas.openxmlformats.org/officeDocument/2006/relationships/image" Target="../media/image2012.jpeg"/><Relationship Id="rId3092" Type="http://schemas.openxmlformats.org/officeDocument/2006/relationships/image" Target="../media/image3160.jpeg"/><Relationship Id="rId29" Type="http://schemas.openxmlformats.org/officeDocument/2006/relationships/image" Target="../media/image97.jpeg"/><Relationship Id="rId1804" Type="http://schemas.openxmlformats.org/officeDocument/2006/relationships/image" Target="../media/image1872.jpeg"/><Relationship Id="rId897" Type="http://schemas.openxmlformats.org/officeDocument/2006/relationships/image" Target="../media/image965.jpeg"/><Relationship Id="rId2578" Type="http://schemas.openxmlformats.org/officeDocument/2006/relationships/image" Target="../media/image2646.jpeg"/><Relationship Id="rId2785" Type="http://schemas.openxmlformats.org/officeDocument/2006/relationships/image" Target="../media/image2853.jpeg"/><Relationship Id="rId2992" Type="http://schemas.openxmlformats.org/officeDocument/2006/relationships/image" Target="../media/image3060.jpeg"/><Relationship Id="rId757" Type="http://schemas.openxmlformats.org/officeDocument/2006/relationships/image" Target="../media/image825.jpeg"/><Relationship Id="rId964" Type="http://schemas.openxmlformats.org/officeDocument/2006/relationships/image" Target="../media/image1032.jpeg"/><Relationship Id="rId1387" Type="http://schemas.openxmlformats.org/officeDocument/2006/relationships/image" Target="../media/image1455.jpeg"/><Relationship Id="rId1594" Type="http://schemas.openxmlformats.org/officeDocument/2006/relationships/image" Target="../media/image1662.jpeg"/><Relationship Id="rId2438" Type="http://schemas.openxmlformats.org/officeDocument/2006/relationships/image" Target="../media/image2506.jpeg"/><Relationship Id="rId2645" Type="http://schemas.openxmlformats.org/officeDocument/2006/relationships/image" Target="../media/image2713.jpeg"/><Relationship Id="rId2852" Type="http://schemas.openxmlformats.org/officeDocument/2006/relationships/image" Target="../media/image2920.jpeg"/><Relationship Id="rId93" Type="http://schemas.openxmlformats.org/officeDocument/2006/relationships/image" Target="../media/image161.jpeg"/><Relationship Id="rId617" Type="http://schemas.openxmlformats.org/officeDocument/2006/relationships/image" Target="../media/image685.jpeg"/><Relationship Id="rId824" Type="http://schemas.openxmlformats.org/officeDocument/2006/relationships/image" Target="../media/image892.jpeg"/><Relationship Id="rId1247" Type="http://schemas.openxmlformats.org/officeDocument/2006/relationships/image" Target="../media/image1315.jpeg"/><Relationship Id="rId1454" Type="http://schemas.openxmlformats.org/officeDocument/2006/relationships/image" Target="../media/image1522.jpeg"/><Relationship Id="rId1661" Type="http://schemas.openxmlformats.org/officeDocument/2006/relationships/image" Target="../media/image1729.jpeg"/><Relationship Id="rId2505" Type="http://schemas.openxmlformats.org/officeDocument/2006/relationships/image" Target="../media/image2573.jpeg"/><Relationship Id="rId2712" Type="http://schemas.openxmlformats.org/officeDocument/2006/relationships/image" Target="../media/image2780.jpeg"/><Relationship Id="rId1107" Type="http://schemas.openxmlformats.org/officeDocument/2006/relationships/image" Target="../media/image1175.jpeg"/><Relationship Id="rId1314" Type="http://schemas.openxmlformats.org/officeDocument/2006/relationships/image" Target="../media/image1382.jpeg"/><Relationship Id="rId1521" Type="http://schemas.openxmlformats.org/officeDocument/2006/relationships/image" Target="../media/image1589.jpeg"/><Relationship Id="rId20" Type="http://schemas.openxmlformats.org/officeDocument/2006/relationships/image" Target="../media/image88.jpeg"/><Relationship Id="rId2088" Type="http://schemas.openxmlformats.org/officeDocument/2006/relationships/image" Target="../media/image2156.jpeg"/><Relationship Id="rId2295" Type="http://schemas.openxmlformats.org/officeDocument/2006/relationships/image" Target="../media/image2363.jpeg"/><Relationship Id="rId3139" Type="http://schemas.openxmlformats.org/officeDocument/2006/relationships/image" Target="../media/image3207.jpeg"/><Relationship Id="rId267" Type="http://schemas.openxmlformats.org/officeDocument/2006/relationships/image" Target="../media/image335.jpeg"/><Relationship Id="rId474" Type="http://schemas.openxmlformats.org/officeDocument/2006/relationships/image" Target="../media/image542.jpeg"/><Relationship Id="rId2155" Type="http://schemas.openxmlformats.org/officeDocument/2006/relationships/image" Target="../media/image2223.jpeg"/><Relationship Id="rId127" Type="http://schemas.openxmlformats.org/officeDocument/2006/relationships/image" Target="../media/image195.jpeg"/><Relationship Id="rId681" Type="http://schemas.openxmlformats.org/officeDocument/2006/relationships/image" Target="../media/image749.jpeg"/><Relationship Id="rId2362" Type="http://schemas.openxmlformats.org/officeDocument/2006/relationships/image" Target="../media/image2430.jpeg"/><Relationship Id="rId334" Type="http://schemas.openxmlformats.org/officeDocument/2006/relationships/image" Target="../media/image402.jpeg"/><Relationship Id="rId541" Type="http://schemas.openxmlformats.org/officeDocument/2006/relationships/image" Target="../media/image609.jpeg"/><Relationship Id="rId1171" Type="http://schemas.openxmlformats.org/officeDocument/2006/relationships/image" Target="../media/image1239.jpeg"/><Relationship Id="rId2015" Type="http://schemas.openxmlformats.org/officeDocument/2006/relationships/image" Target="../media/image2083.jpeg"/><Relationship Id="rId2222" Type="http://schemas.openxmlformats.org/officeDocument/2006/relationships/image" Target="../media/image2290.jpeg"/><Relationship Id="rId401" Type="http://schemas.openxmlformats.org/officeDocument/2006/relationships/image" Target="../media/image469.jpeg"/><Relationship Id="rId1031" Type="http://schemas.openxmlformats.org/officeDocument/2006/relationships/image" Target="../media/image1099.jpeg"/><Relationship Id="rId1988" Type="http://schemas.openxmlformats.org/officeDocument/2006/relationships/image" Target="../media/image2056.jpeg"/><Relationship Id="rId1848" Type="http://schemas.openxmlformats.org/officeDocument/2006/relationships/image" Target="../media/image1916.jpeg"/><Relationship Id="rId3063" Type="http://schemas.openxmlformats.org/officeDocument/2006/relationships/image" Target="../media/image3131.jpeg"/><Relationship Id="rId191" Type="http://schemas.openxmlformats.org/officeDocument/2006/relationships/image" Target="../media/image259.jpeg"/><Relationship Id="rId1708" Type="http://schemas.openxmlformats.org/officeDocument/2006/relationships/image" Target="../media/image1776.jpeg"/><Relationship Id="rId1915" Type="http://schemas.openxmlformats.org/officeDocument/2006/relationships/image" Target="../media/image1983.jpeg"/><Relationship Id="rId3130" Type="http://schemas.openxmlformats.org/officeDocument/2006/relationships/image" Target="../media/image3198.jpeg"/><Relationship Id="rId2689" Type="http://schemas.openxmlformats.org/officeDocument/2006/relationships/image" Target="../media/image2757.jpeg"/><Relationship Id="rId2896" Type="http://schemas.openxmlformats.org/officeDocument/2006/relationships/image" Target="../media/image2964.jpeg"/><Relationship Id="rId868" Type="http://schemas.openxmlformats.org/officeDocument/2006/relationships/image" Target="../media/image936.jpeg"/><Relationship Id="rId1498" Type="http://schemas.openxmlformats.org/officeDocument/2006/relationships/image" Target="../media/image1566.jpeg"/><Relationship Id="rId2549" Type="http://schemas.openxmlformats.org/officeDocument/2006/relationships/image" Target="../media/image2617.jpeg"/><Relationship Id="rId2756" Type="http://schemas.openxmlformats.org/officeDocument/2006/relationships/image" Target="../media/image2824.jpeg"/><Relationship Id="rId2963" Type="http://schemas.openxmlformats.org/officeDocument/2006/relationships/image" Target="../media/image3031.jpeg"/><Relationship Id="rId728" Type="http://schemas.openxmlformats.org/officeDocument/2006/relationships/image" Target="../media/image796.jpeg"/><Relationship Id="rId935" Type="http://schemas.openxmlformats.org/officeDocument/2006/relationships/image" Target="../media/image1003.jpeg"/><Relationship Id="rId1358" Type="http://schemas.openxmlformats.org/officeDocument/2006/relationships/image" Target="../media/image1426.jpeg"/><Relationship Id="rId1565" Type="http://schemas.openxmlformats.org/officeDocument/2006/relationships/image" Target="../media/image1633.jpeg"/><Relationship Id="rId1772" Type="http://schemas.openxmlformats.org/officeDocument/2006/relationships/image" Target="../media/image1840.jpeg"/><Relationship Id="rId2409" Type="http://schemas.openxmlformats.org/officeDocument/2006/relationships/image" Target="../media/image2477.jpeg"/><Relationship Id="rId2616" Type="http://schemas.openxmlformats.org/officeDocument/2006/relationships/image" Target="../media/image2684.jpeg"/><Relationship Id="rId64" Type="http://schemas.openxmlformats.org/officeDocument/2006/relationships/image" Target="../media/image132.jpeg"/><Relationship Id="rId1218" Type="http://schemas.openxmlformats.org/officeDocument/2006/relationships/image" Target="../media/image1286.jpeg"/><Relationship Id="rId1425" Type="http://schemas.openxmlformats.org/officeDocument/2006/relationships/image" Target="../media/image1493.jpeg"/><Relationship Id="rId2823" Type="http://schemas.openxmlformats.org/officeDocument/2006/relationships/image" Target="../media/image2891.jpeg"/><Relationship Id="rId1632" Type="http://schemas.openxmlformats.org/officeDocument/2006/relationships/image" Target="../media/image1700.jpeg"/><Relationship Id="rId2199" Type="http://schemas.openxmlformats.org/officeDocument/2006/relationships/image" Target="../media/image2267.jpeg"/><Relationship Id="rId378" Type="http://schemas.openxmlformats.org/officeDocument/2006/relationships/image" Target="../media/image446.jpeg"/><Relationship Id="rId585" Type="http://schemas.openxmlformats.org/officeDocument/2006/relationships/image" Target="../media/image653.jpeg"/><Relationship Id="rId792" Type="http://schemas.openxmlformats.org/officeDocument/2006/relationships/image" Target="../media/image860.jpeg"/><Relationship Id="rId2059" Type="http://schemas.openxmlformats.org/officeDocument/2006/relationships/image" Target="../media/image2127.jpeg"/><Relationship Id="rId2266" Type="http://schemas.openxmlformats.org/officeDocument/2006/relationships/image" Target="../media/image2334.jpeg"/><Relationship Id="rId2473" Type="http://schemas.openxmlformats.org/officeDocument/2006/relationships/image" Target="../media/image2541.jpeg"/><Relationship Id="rId2680" Type="http://schemas.openxmlformats.org/officeDocument/2006/relationships/image" Target="../media/image2748.jpeg"/><Relationship Id="rId238" Type="http://schemas.openxmlformats.org/officeDocument/2006/relationships/image" Target="../media/image306.jpeg"/><Relationship Id="rId445" Type="http://schemas.openxmlformats.org/officeDocument/2006/relationships/image" Target="../media/image513.jpeg"/><Relationship Id="rId652" Type="http://schemas.openxmlformats.org/officeDocument/2006/relationships/image" Target="../media/image720.jpeg"/><Relationship Id="rId1075" Type="http://schemas.openxmlformats.org/officeDocument/2006/relationships/image" Target="../media/image1143.jpeg"/><Relationship Id="rId1282" Type="http://schemas.openxmlformats.org/officeDocument/2006/relationships/image" Target="../media/image1350.jpeg"/><Relationship Id="rId2126" Type="http://schemas.openxmlformats.org/officeDocument/2006/relationships/image" Target="../media/image2194.jpeg"/><Relationship Id="rId2333" Type="http://schemas.openxmlformats.org/officeDocument/2006/relationships/image" Target="../media/image2401.jpeg"/><Relationship Id="rId2540" Type="http://schemas.openxmlformats.org/officeDocument/2006/relationships/image" Target="../media/image2608.jpeg"/><Relationship Id="rId305" Type="http://schemas.openxmlformats.org/officeDocument/2006/relationships/image" Target="../media/image373.jpeg"/><Relationship Id="rId512" Type="http://schemas.openxmlformats.org/officeDocument/2006/relationships/image" Target="../media/image580.jpeg"/><Relationship Id="rId1142" Type="http://schemas.openxmlformats.org/officeDocument/2006/relationships/image" Target="../media/image1210.jpeg"/><Relationship Id="rId2400" Type="http://schemas.openxmlformats.org/officeDocument/2006/relationships/image" Target="../media/image2468.jpeg"/><Relationship Id="rId1002" Type="http://schemas.openxmlformats.org/officeDocument/2006/relationships/image" Target="../media/image1070.jpeg"/><Relationship Id="rId1959" Type="http://schemas.openxmlformats.org/officeDocument/2006/relationships/image" Target="../media/image2027.jpeg"/><Relationship Id="rId1819" Type="http://schemas.openxmlformats.org/officeDocument/2006/relationships/image" Target="../media/image1887.jpeg"/><Relationship Id="rId2190" Type="http://schemas.openxmlformats.org/officeDocument/2006/relationships/image" Target="../media/image2258.jpeg"/><Relationship Id="rId3034" Type="http://schemas.openxmlformats.org/officeDocument/2006/relationships/image" Target="../media/image3102.jpeg"/><Relationship Id="rId162" Type="http://schemas.openxmlformats.org/officeDocument/2006/relationships/image" Target="../media/image230.jpeg"/><Relationship Id="rId2050" Type="http://schemas.openxmlformats.org/officeDocument/2006/relationships/image" Target="../media/image2118.jpeg"/><Relationship Id="rId3101" Type="http://schemas.openxmlformats.org/officeDocument/2006/relationships/image" Target="../media/image3169.jpeg"/><Relationship Id="rId979" Type="http://schemas.openxmlformats.org/officeDocument/2006/relationships/image" Target="../media/image1047.jpeg"/><Relationship Id="rId839" Type="http://schemas.openxmlformats.org/officeDocument/2006/relationships/image" Target="../media/image907.jpeg"/><Relationship Id="rId1469" Type="http://schemas.openxmlformats.org/officeDocument/2006/relationships/image" Target="../media/image1537.jpeg"/><Relationship Id="rId2867" Type="http://schemas.openxmlformats.org/officeDocument/2006/relationships/image" Target="../media/image2935.jpeg"/><Relationship Id="rId1676" Type="http://schemas.openxmlformats.org/officeDocument/2006/relationships/image" Target="../media/image1744.jpeg"/><Relationship Id="rId1883" Type="http://schemas.openxmlformats.org/officeDocument/2006/relationships/image" Target="../media/image1951.jpeg"/><Relationship Id="rId2727" Type="http://schemas.openxmlformats.org/officeDocument/2006/relationships/image" Target="../media/image2795.jpeg"/><Relationship Id="rId2934" Type="http://schemas.openxmlformats.org/officeDocument/2006/relationships/image" Target="../media/image3002.jpeg"/><Relationship Id="rId906" Type="http://schemas.openxmlformats.org/officeDocument/2006/relationships/image" Target="../media/image974.jpeg"/><Relationship Id="rId1329" Type="http://schemas.openxmlformats.org/officeDocument/2006/relationships/image" Target="../media/image1397.jpeg"/><Relationship Id="rId1536" Type="http://schemas.openxmlformats.org/officeDocument/2006/relationships/image" Target="../media/image1604.jpeg"/><Relationship Id="rId1743" Type="http://schemas.openxmlformats.org/officeDocument/2006/relationships/image" Target="../media/image1811.jpeg"/><Relationship Id="rId1950" Type="http://schemas.openxmlformats.org/officeDocument/2006/relationships/image" Target="../media/image2018.jpeg"/><Relationship Id="rId35" Type="http://schemas.openxmlformats.org/officeDocument/2006/relationships/image" Target="../media/image103.jpeg"/><Relationship Id="rId1603" Type="http://schemas.openxmlformats.org/officeDocument/2006/relationships/image" Target="../media/image1671.jpeg"/><Relationship Id="rId1810" Type="http://schemas.openxmlformats.org/officeDocument/2006/relationships/image" Target="../media/image1878.jpeg"/><Relationship Id="rId489" Type="http://schemas.openxmlformats.org/officeDocument/2006/relationships/image" Target="../media/image557.jpeg"/><Relationship Id="rId696" Type="http://schemas.openxmlformats.org/officeDocument/2006/relationships/image" Target="../media/image764.jpeg"/><Relationship Id="rId2377" Type="http://schemas.openxmlformats.org/officeDocument/2006/relationships/image" Target="../media/image2445.jpeg"/><Relationship Id="rId2584" Type="http://schemas.openxmlformats.org/officeDocument/2006/relationships/image" Target="../media/image2652.jpeg"/><Relationship Id="rId2791" Type="http://schemas.openxmlformats.org/officeDocument/2006/relationships/image" Target="../media/image2859.jpeg"/><Relationship Id="rId349" Type="http://schemas.openxmlformats.org/officeDocument/2006/relationships/image" Target="../media/image417.jpeg"/><Relationship Id="rId556" Type="http://schemas.openxmlformats.org/officeDocument/2006/relationships/image" Target="../media/image624.jpeg"/><Relationship Id="rId763" Type="http://schemas.openxmlformats.org/officeDocument/2006/relationships/image" Target="../media/image831.jpeg"/><Relationship Id="rId1186" Type="http://schemas.openxmlformats.org/officeDocument/2006/relationships/image" Target="../media/image1254.jpeg"/><Relationship Id="rId1393" Type="http://schemas.openxmlformats.org/officeDocument/2006/relationships/image" Target="../media/image1461.jpeg"/><Relationship Id="rId2237" Type="http://schemas.openxmlformats.org/officeDocument/2006/relationships/image" Target="../media/image2305.jpeg"/><Relationship Id="rId2444" Type="http://schemas.openxmlformats.org/officeDocument/2006/relationships/image" Target="../media/image2512.jpeg"/><Relationship Id="rId209" Type="http://schemas.openxmlformats.org/officeDocument/2006/relationships/image" Target="../media/image277.jpeg"/><Relationship Id="rId416" Type="http://schemas.openxmlformats.org/officeDocument/2006/relationships/image" Target="../media/image484.jpeg"/><Relationship Id="rId970" Type="http://schemas.openxmlformats.org/officeDocument/2006/relationships/image" Target="../media/image1038.jpeg"/><Relationship Id="rId1046" Type="http://schemas.openxmlformats.org/officeDocument/2006/relationships/image" Target="../media/image1114.jpeg"/><Relationship Id="rId1253" Type="http://schemas.openxmlformats.org/officeDocument/2006/relationships/image" Target="../media/image1321.jpeg"/><Relationship Id="rId2651" Type="http://schemas.openxmlformats.org/officeDocument/2006/relationships/image" Target="../media/image2719.jpeg"/><Relationship Id="rId623" Type="http://schemas.openxmlformats.org/officeDocument/2006/relationships/image" Target="../media/image691.jpeg"/><Relationship Id="rId830" Type="http://schemas.openxmlformats.org/officeDocument/2006/relationships/image" Target="../media/image898.jpeg"/><Relationship Id="rId1460" Type="http://schemas.openxmlformats.org/officeDocument/2006/relationships/image" Target="../media/image1528.jpeg"/><Relationship Id="rId2304" Type="http://schemas.openxmlformats.org/officeDocument/2006/relationships/image" Target="../media/image2372.jpeg"/><Relationship Id="rId2511" Type="http://schemas.openxmlformats.org/officeDocument/2006/relationships/image" Target="../media/image2579.jpeg"/><Relationship Id="rId1113" Type="http://schemas.openxmlformats.org/officeDocument/2006/relationships/image" Target="../media/image1181.jpeg"/><Relationship Id="rId1320" Type="http://schemas.openxmlformats.org/officeDocument/2006/relationships/image" Target="../media/image1388.jpeg"/><Relationship Id="rId3078" Type="http://schemas.openxmlformats.org/officeDocument/2006/relationships/image" Target="../media/image3146.jpeg"/><Relationship Id="rId2094" Type="http://schemas.openxmlformats.org/officeDocument/2006/relationships/image" Target="../media/image2162.jpeg"/><Relationship Id="rId3145" Type="http://schemas.openxmlformats.org/officeDocument/2006/relationships/image" Target="../media/image3213.jpeg"/><Relationship Id="rId273" Type="http://schemas.openxmlformats.org/officeDocument/2006/relationships/image" Target="../media/image341.jpeg"/><Relationship Id="rId480" Type="http://schemas.openxmlformats.org/officeDocument/2006/relationships/image" Target="../media/image548.jpeg"/><Relationship Id="rId2161" Type="http://schemas.openxmlformats.org/officeDocument/2006/relationships/image" Target="../media/image2229.jpeg"/><Relationship Id="rId3005" Type="http://schemas.openxmlformats.org/officeDocument/2006/relationships/image" Target="../media/image3073.jpeg"/><Relationship Id="rId133" Type="http://schemas.openxmlformats.org/officeDocument/2006/relationships/image" Target="../media/image201.jpeg"/><Relationship Id="rId340" Type="http://schemas.openxmlformats.org/officeDocument/2006/relationships/image" Target="../media/image408.jpeg"/><Relationship Id="rId2021" Type="http://schemas.openxmlformats.org/officeDocument/2006/relationships/image" Target="../media/image2089.jpeg"/><Relationship Id="rId200" Type="http://schemas.openxmlformats.org/officeDocument/2006/relationships/image" Target="../media/image268.jpeg"/><Relationship Id="rId2978" Type="http://schemas.openxmlformats.org/officeDocument/2006/relationships/image" Target="../media/image3046.jpeg"/><Relationship Id="rId1787" Type="http://schemas.openxmlformats.org/officeDocument/2006/relationships/image" Target="../media/image1855.jpeg"/><Relationship Id="rId1994" Type="http://schemas.openxmlformats.org/officeDocument/2006/relationships/image" Target="../media/image2062.jpeg"/><Relationship Id="rId2838" Type="http://schemas.openxmlformats.org/officeDocument/2006/relationships/image" Target="../media/image2906.jpeg"/><Relationship Id="rId79" Type="http://schemas.openxmlformats.org/officeDocument/2006/relationships/image" Target="../media/image147.jpeg"/><Relationship Id="rId1647" Type="http://schemas.openxmlformats.org/officeDocument/2006/relationships/image" Target="../media/image1715.jpeg"/><Relationship Id="rId1854" Type="http://schemas.openxmlformats.org/officeDocument/2006/relationships/image" Target="../media/image1922.jpeg"/><Relationship Id="rId2905" Type="http://schemas.openxmlformats.org/officeDocument/2006/relationships/image" Target="../media/image2973.jpeg"/><Relationship Id="rId1507" Type="http://schemas.openxmlformats.org/officeDocument/2006/relationships/image" Target="../media/image1575.jpeg"/><Relationship Id="rId1714" Type="http://schemas.openxmlformats.org/officeDocument/2006/relationships/image" Target="../media/image1782.jpeg"/><Relationship Id="rId1921" Type="http://schemas.openxmlformats.org/officeDocument/2006/relationships/image" Target="../media/image1989.jpeg"/><Relationship Id="rId2488" Type="http://schemas.openxmlformats.org/officeDocument/2006/relationships/image" Target="../media/image2556.jpeg"/><Relationship Id="rId1297" Type="http://schemas.openxmlformats.org/officeDocument/2006/relationships/image" Target="../media/image1365.jpeg"/><Relationship Id="rId2695" Type="http://schemas.openxmlformats.org/officeDocument/2006/relationships/image" Target="../media/image2763.jpeg"/><Relationship Id="rId667" Type="http://schemas.openxmlformats.org/officeDocument/2006/relationships/image" Target="../media/image735.jpeg"/><Relationship Id="rId874" Type="http://schemas.openxmlformats.org/officeDocument/2006/relationships/image" Target="../media/image942.jpeg"/><Relationship Id="rId2348" Type="http://schemas.openxmlformats.org/officeDocument/2006/relationships/image" Target="../media/image2416.jpeg"/><Relationship Id="rId2555" Type="http://schemas.openxmlformats.org/officeDocument/2006/relationships/image" Target="../media/image2623.jpeg"/><Relationship Id="rId2762" Type="http://schemas.openxmlformats.org/officeDocument/2006/relationships/image" Target="../media/image2830.jpeg"/><Relationship Id="rId527" Type="http://schemas.openxmlformats.org/officeDocument/2006/relationships/image" Target="../media/image595.jpeg"/><Relationship Id="rId734" Type="http://schemas.openxmlformats.org/officeDocument/2006/relationships/image" Target="../media/image802.jpeg"/><Relationship Id="rId941" Type="http://schemas.openxmlformats.org/officeDocument/2006/relationships/image" Target="../media/image1009.jpeg"/><Relationship Id="rId1157" Type="http://schemas.openxmlformats.org/officeDocument/2006/relationships/image" Target="../media/image1225.jpeg"/><Relationship Id="rId1364" Type="http://schemas.openxmlformats.org/officeDocument/2006/relationships/image" Target="../media/image1432.jpeg"/><Relationship Id="rId1571" Type="http://schemas.openxmlformats.org/officeDocument/2006/relationships/image" Target="../media/image1639.jpeg"/><Relationship Id="rId2208" Type="http://schemas.openxmlformats.org/officeDocument/2006/relationships/image" Target="../media/image2276.jpeg"/><Relationship Id="rId2415" Type="http://schemas.openxmlformats.org/officeDocument/2006/relationships/image" Target="../media/image2483.jpeg"/><Relationship Id="rId2622" Type="http://schemas.openxmlformats.org/officeDocument/2006/relationships/image" Target="../media/image2690.jpeg"/><Relationship Id="rId70" Type="http://schemas.openxmlformats.org/officeDocument/2006/relationships/image" Target="../media/image138.jpeg"/><Relationship Id="rId801" Type="http://schemas.openxmlformats.org/officeDocument/2006/relationships/image" Target="../media/image869.jpeg"/><Relationship Id="rId1017" Type="http://schemas.openxmlformats.org/officeDocument/2006/relationships/image" Target="../media/image1085.jpeg"/><Relationship Id="rId1224" Type="http://schemas.openxmlformats.org/officeDocument/2006/relationships/image" Target="../media/image1292.jpeg"/><Relationship Id="rId1431" Type="http://schemas.openxmlformats.org/officeDocument/2006/relationships/image" Target="../media/image1499.jpeg"/><Relationship Id="rId3049" Type="http://schemas.openxmlformats.org/officeDocument/2006/relationships/image" Target="../media/image3117.jpeg"/><Relationship Id="rId177" Type="http://schemas.openxmlformats.org/officeDocument/2006/relationships/image" Target="../media/image245.jpeg"/><Relationship Id="rId384" Type="http://schemas.openxmlformats.org/officeDocument/2006/relationships/image" Target="../media/image452.jpeg"/><Relationship Id="rId591" Type="http://schemas.openxmlformats.org/officeDocument/2006/relationships/image" Target="../media/image659.jpeg"/><Relationship Id="rId2065" Type="http://schemas.openxmlformats.org/officeDocument/2006/relationships/image" Target="../media/image2133.jpeg"/><Relationship Id="rId2272" Type="http://schemas.openxmlformats.org/officeDocument/2006/relationships/image" Target="../media/image2340.jpeg"/><Relationship Id="rId3116" Type="http://schemas.openxmlformats.org/officeDocument/2006/relationships/image" Target="../media/image3184.jpeg"/><Relationship Id="rId244" Type="http://schemas.openxmlformats.org/officeDocument/2006/relationships/image" Target="../media/image312.jpeg"/><Relationship Id="rId1081" Type="http://schemas.openxmlformats.org/officeDocument/2006/relationships/image" Target="../media/image1149.jpeg"/><Relationship Id="rId451" Type="http://schemas.openxmlformats.org/officeDocument/2006/relationships/image" Target="../media/image519.jpeg"/><Relationship Id="rId2132" Type="http://schemas.openxmlformats.org/officeDocument/2006/relationships/image" Target="../media/image2200.jpeg"/><Relationship Id="rId104" Type="http://schemas.openxmlformats.org/officeDocument/2006/relationships/image" Target="../media/image172.jpeg"/><Relationship Id="rId311" Type="http://schemas.openxmlformats.org/officeDocument/2006/relationships/image" Target="../media/image379.jpeg"/><Relationship Id="rId1898" Type="http://schemas.openxmlformats.org/officeDocument/2006/relationships/image" Target="../media/image1966.jpeg"/><Relationship Id="rId2949" Type="http://schemas.openxmlformats.org/officeDocument/2006/relationships/image" Target="../media/image3017.jpeg"/><Relationship Id="rId1758" Type="http://schemas.openxmlformats.org/officeDocument/2006/relationships/image" Target="../media/image1826.jpeg"/><Relationship Id="rId2809" Type="http://schemas.openxmlformats.org/officeDocument/2006/relationships/image" Target="../media/image2877.jpeg"/><Relationship Id="rId1965" Type="http://schemas.openxmlformats.org/officeDocument/2006/relationships/image" Target="../media/image2033.jpeg"/><Relationship Id="rId1618" Type="http://schemas.openxmlformats.org/officeDocument/2006/relationships/image" Target="../media/image1686.jpeg"/><Relationship Id="rId1825" Type="http://schemas.openxmlformats.org/officeDocument/2006/relationships/image" Target="../media/image1893.jpeg"/><Relationship Id="rId3040" Type="http://schemas.openxmlformats.org/officeDocument/2006/relationships/image" Target="../media/image3108.jpeg"/><Relationship Id="rId2599" Type="http://schemas.openxmlformats.org/officeDocument/2006/relationships/image" Target="../media/image2667.jpeg"/><Relationship Id="rId778" Type="http://schemas.openxmlformats.org/officeDocument/2006/relationships/image" Target="../media/image846.jpeg"/><Relationship Id="rId985" Type="http://schemas.openxmlformats.org/officeDocument/2006/relationships/image" Target="../media/image1053.jpeg"/><Relationship Id="rId2459" Type="http://schemas.openxmlformats.org/officeDocument/2006/relationships/image" Target="../media/image2527.jpeg"/><Relationship Id="rId2666" Type="http://schemas.openxmlformats.org/officeDocument/2006/relationships/image" Target="../media/image2734.jpeg"/><Relationship Id="rId2873" Type="http://schemas.openxmlformats.org/officeDocument/2006/relationships/image" Target="../media/image2941.jpeg"/><Relationship Id="rId638" Type="http://schemas.openxmlformats.org/officeDocument/2006/relationships/image" Target="../media/image706.jpeg"/><Relationship Id="rId845" Type="http://schemas.openxmlformats.org/officeDocument/2006/relationships/image" Target="../media/image913.jpeg"/><Relationship Id="rId1268" Type="http://schemas.openxmlformats.org/officeDocument/2006/relationships/image" Target="../media/image1336.jpeg"/><Relationship Id="rId1475" Type="http://schemas.openxmlformats.org/officeDocument/2006/relationships/image" Target="../media/image1543.jpeg"/><Relationship Id="rId1682" Type="http://schemas.openxmlformats.org/officeDocument/2006/relationships/image" Target="../media/image1750.jpeg"/><Relationship Id="rId2319" Type="http://schemas.openxmlformats.org/officeDocument/2006/relationships/image" Target="../media/image2387.jpeg"/><Relationship Id="rId2526" Type="http://schemas.openxmlformats.org/officeDocument/2006/relationships/image" Target="../media/image2594.jpeg"/><Relationship Id="rId2733" Type="http://schemas.openxmlformats.org/officeDocument/2006/relationships/image" Target="../media/image2801.jpeg"/><Relationship Id="rId705" Type="http://schemas.openxmlformats.org/officeDocument/2006/relationships/image" Target="../media/image773.jpeg"/><Relationship Id="rId1128" Type="http://schemas.openxmlformats.org/officeDocument/2006/relationships/image" Target="../media/image1196.jpeg"/><Relationship Id="rId1335" Type="http://schemas.openxmlformats.org/officeDocument/2006/relationships/image" Target="../media/image1403.jpeg"/><Relationship Id="rId1542" Type="http://schemas.openxmlformats.org/officeDocument/2006/relationships/image" Target="../media/image1610.jpeg"/><Relationship Id="rId2940" Type="http://schemas.openxmlformats.org/officeDocument/2006/relationships/image" Target="../media/image3008.jpeg"/><Relationship Id="rId912" Type="http://schemas.openxmlformats.org/officeDocument/2006/relationships/image" Target="../media/image980.jpeg"/><Relationship Id="rId2800" Type="http://schemas.openxmlformats.org/officeDocument/2006/relationships/image" Target="../media/image2868.jpeg"/><Relationship Id="rId41" Type="http://schemas.openxmlformats.org/officeDocument/2006/relationships/image" Target="../media/image109.jpeg"/><Relationship Id="rId1402" Type="http://schemas.openxmlformats.org/officeDocument/2006/relationships/image" Target="../media/image1470.jpeg"/><Relationship Id="rId288" Type="http://schemas.openxmlformats.org/officeDocument/2006/relationships/image" Target="../media/image356.jpeg"/><Relationship Id="rId495" Type="http://schemas.openxmlformats.org/officeDocument/2006/relationships/image" Target="../media/image563.jpeg"/><Relationship Id="rId2176" Type="http://schemas.openxmlformats.org/officeDocument/2006/relationships/image" Target="../media/image2244.jpeg"/><Relationship Id="rId2383" Type="http://schemas.openxmlformats.org/officeDocument/2006/relationships/image" Target="../media/image2451.jpeg"/><Relationship Id="rId2590" Type="http://schemas.openxmlformats.org/officeDocument/2006/relationships/image" Target="../media/image2658.jpeg"/><Relationship Id="rId148" Type="http://schemas.openxmlformats.org/officeDocument/2006/relationships/image" Target="../media/image216.jpeg"/><Relationship Id="rId355" Type="http://schemas.openxmlformats.org/officeDocument/2006/relationships/image" Target="../media/image423.jpeg"/><Relationship Id="rId562" Type="http://schemas.openxmlformats.org/officeDocument/2006/relationships/image" Target="../media/image630.jpeg"/><Relationship Id="rId1192" Type="http://schemas.openxmlformats.org/officeDocument/2006/relationships/image" Target="../media/image1260.jpeg"/><Relationship Id="rId2036" Type="http://schemas.openxmlformats.org/officeDocument/2006/relationships/image" Target="../media/image2104.jpeg"/><Relationship Id="rId2243" Type="http://schemas.openxmlformats.org/officeDocument/2006/relationships/image" Target="../media/image2311.jpeg"/><Relationship Id="rId2450" Type="http://schemas.openxmlformats.org/officeDocument/2006/relationships/image" Target="../media/image2518.jpeg"/><Relationship Id="rId215" Type="http://schemas.openxmlformats.org/officeDocument/2006/relationships/image" Target="../media/image283.jpeg"/><Relationship Id="rId422" Type="http://schemas.openxmlformats.org/officeDocument/2006/relationships/image" Target="../media/image490.jpeg"/><Relationship Id="rId1052" Type="http://schemas.openxmlformats.org/officeDocument/2006/relationships/image" Target="../media/image1120.jpeg"/><Relationship Id="rId2103" Type="http://schemas.openxmlformats.org/officeDocument/2006/relationships/image" Target="../media/image2171.jpeg"/><Relationship Id="rId2310" Type="http://schemas.openxmlformats.org/officeDocument/2006/relationships/image" Target="../media/image2378.jpeg"/><Relationship Id="rId1869" Type="http://schemas.openxmlformats.org/officeDocument/2006/relationships/image" Target="../media/image1937.jpeg"/><Relationship Id="rId3084" Type="http://schemas.openxmlformats.org/officeDocument/2006/relationships/image" Target="../media/image3152.jpeg"/><Relationship Id="rId1729" Type="http://schemas.openxmlformats.org/officeDocument/2006/relationships/image" Target="../media/image1797.jpeg"/><Relationship Id="rId1936" Type="http://schemas.openxmlformats.org/officeDocument/2006/relationships/image" Target="../media/image2004.jpeg"/><Relationship Id="rId3151" Type="http://schemas.openxmlformats.org/officeDocument/2006/relationships/image" Target="../media/image3219.jpeg"/><Relationship Id="rId3011" Type="http://schemas.openxmlformats.org/officeDocument/2006/relationships/image" Target="../media/image3079.jpeg"/><Relationship Id="rId5" Type="http://schemas.openxmlformats.org/officeDocument/2006/relationships/image" Target="../media/image73.jpeg"/><Relationship Id="rId889" Type="http://schemas.openxmlformats.org/officeDocument/2006/relationships/image" Target="../media/image957.jpeg"/><Relationship Id="rId2777" Type="http://schemas.openxmlformats.org/officeDocument/2006/relationships/image" Target="../media/image2845.jpeg"/><Relationship Id="rId749" Type="http://schemas.openxmlformats.org/officeDocument/2006/relationships/image" Target="../media/image817.jpeg"/><Relationship Id="rId1379" Type="http://schemas.openxmlformats.org/officeDocument/2006/relationships/image" Target="../media/image1447.jpeg"/><Relationship Id="rId1586" Type="http://schemas.openxmlformats.org/officeDocument/2006/relationships/image" Target="../media/image1654.jpeg"/><Relationship Id="rId2984" Type="http://schemas.openxmlformats.org/officeDocument/2006/relationships/image" Target="../media/image3052.jpeg"/><Relationship Id="rId609" Type="http://schemas.openxmlformats.org/officeDocument/2006/relationships/image" Target="../media/image677.jpeg"/><Relationship Id="rId956" Type="http://schemas.openxmlformats.org/officeDocument/2006/relationships/image" Target="../media/image1024.jpeg"/><Relationship Id="rId1239" Type="http://schemas.openxmlformats.org/officeDocument/2006/relationships/image" Target="../media/image1307.jpeg"/><Relationship Id="rId1793" Type="http://schemas.openxmlformats.org/officeDocument/2006/relationships/image" Target="../media/image1861.jpeg"/><Relationship Id="rId2637" Type="http://schemas.openxmlformats.org/officeDocument/2006/relationships/image" Target="../media/image2705.jpeg"/><Relationship Id="rId2844" Type="http://schemas.openxmlformats.org/officeDocument/2006/relationships/image" Target="../media/image2912.jpeg"/><Relationship Id="rId85" Type="http://schemas.openxmlformats.org/officeDocument/2006/relationships/image" Target="../media/image153.jpeg"/><Relationship Id="rId816" Type="http://schemas.openxmlformats.org/officeDocument/2006/relationships/image" Target="../media/image884.jpeg"/><Relationship Id="rId1446" Type="http://schemas.openxmlformats.org/officeDocument/2006/relationships/image" Target="../media/image1514.jpeg"/><Relationship Id="rId1653" Type="http://schemas.openxmlformats.org/officeDocument/2006/relationships/image" Target="../media/image1721.jpeg"/><Relationship Id="rId1860" Type="http://schemas.openxmlformats.org/officeDocument/2006/relationships/image" Target="../media/image1928.jpeg"/><Relationship Id="rId2704" Type="http://schemas.openxmlformats.org/officeDocument/2006/relationships/image" Target="../media/image2772.jpeg"/><Relationship Id="rId2911" Type="http://schemas.openxmlformats.org/officeDocument/2006/relationships/image" Target="../media/image2979.jpeg"/><Relationship Id="rId1306" Type="http://schemas.openxmlformats.org/officeDocument/2006/relationships/image" Target="../media/image1374.jpeg"/><Relationship Id="rId1513" Type="http://schemas.openxmlformats.org/officeDocument/2006/relationships/image" Target="../media/image1581.jpeg"/><Relationship Id="rId1720" Type="http://schemas.openxmlformats.org/officeDocument/2006/relationships/image" Target="../media/image1788.jpeg"/><Relationship Id="rId12" Type="http://schemas.openxmlformats.org/officeDocument/2006/relationships/image" Target="../media/image80.jpeg"/><Relationship Id="rId399" Type="http://schemas.openxmlformats.org/officeDocument/2006/relationships/image" Target="../media/image467.jpeg"/><Relationship Id="rId2287" Type="http://schemas.openxmlformats.org/officeDocument/2006/relationships/image" Target="../media/image2355.jpeg"/><Relationship Id="rId2494" Type="http://schemas.openxmlformats.org/officeDocument/2006/relationships/image" Target="../media/image2562.jpeg"/><Relationship Id="rId259" Type="http://schemas.openxmlformats.org/officeDocument/2006/relationships/image" Target="../media/image327.jpeg"/><Relationship Id="rId466" Type="http://schemas.openxmlformats.org/officeDocument/2006/relationships/image" Target="../media/image534.jpeg"/><Relationship Id="rId673" Type="http://schemas.openxmlformats.org/officeDocument/2006/relationships/image" Target="../media/image741.jpeg"/><Relationship Id="rId880" Type="http://schemas.openxmlformats.org/officeDocument/2006/relationships/image" Target="../media/image948.jpeg"/><Relationship Id="rId1096" Type="http://schemas.openxmlformats.org/officeDocument/2006/relationships/image" Target="../media/image1164.jpeg"/><Relationship Id="rId2147" Type="http://schemas.openxmlformats.org/officeDocument/2006/relationships/image" Target="../media/image2215.jpeg"/><Relationship Id="rId2354" Type="http://schemas.openxmlformats.org/officeDocument/2006/relationships/image" Target="../media/image2422.jpeg"/><Relationship Id="rId2561" Type="http://schemas.openxmlformats.org/officeDocument/2006/relationships/image" Target="../media/image2629.jpeg"/><Relationship Id="rId119" Type="http://schemas.openxmlformats.org/officeDocument/2006/relationships/image" Target="../media/image187.jpeg"/><Relationship Id="rId326" Type="http://schemas.openxmlformats.org/officeDocument/2006/relationships/image" Target="../media/image394.jpeg"/><Relationship Id="rId533" Type="http://schemas.openxmlformats.org/officeDocument/2006/relationships/image" Target="../media/image601.jpeg"/><Relationship Id="rId1163" Type="http://schemas.openxmlformats.org/officeDocument/2006/relationships/image" Target="../media/image1231.jpeg"/><Relationship Id="rId1370" Type="http://schemas.openxmlformats.org/officeDocument/2006/relationships/image" Target="../media/image1438.jpeg"/><Relationship Id="rId2007" Type="http://schemas.openxmlformats.org/officeDocument/2006/relationships/image" Target="../media/image2075.jpeg"/><Relationship Id="rId2214" Type="http://schemas.openxmlformats.org/officeDocument/2006/relationships/image" Target="../media/image2282.jpeg"/><Relationship Id="rId740" Type="http://schemas.openxmlformats.org/officeDocument/2006/relationships/image" Target="../media/image808.jpeg"/><Relationship Id="rId1023" Type="http://schemas.openxmlformats.org/officeDocument/2006/relationships/image" Target="../media/image1091.jpeg"/><Relationship Id="rId2421" Type="http://schemas.openxmlformats.org/officeDocument/2006/relationships/image" Target="../media/image2489.jpeg"/><Relationship Id="rId600" Type="http://schemas.openxmlformats.org/officeDocument/2006/relationships/image" Target="../media/image668.jpeg"/><Relationship Id="rId1230" Type="http://schemas.openxmlformats.org/officeDocument/2006/relationships/image" Target="../media/image1298.jpeg"/><Relationship Id="rId3055" Type="http://schemas.openxmlformats.org/officeDocument/2006/relationships/image" Target="../media/image3123.jpeg"/><Relationship Id="rId183" Type="http://schemas.openxmlformats.org/officeDocument/2006/relationships/image" Target="../media/image251.jpeg"/><Relationship Id="rId390" Type="http://schemas.openxmlformats.org/officeDocument/2006/relationships/image" Target="../media/image458.jpeg"/><Relationship Id="rId1907" Type="http://schemas.openxmlformats.org/officeDocument/2006/relationships/image" Target="../media/image1975.jpeg"/><Relationship Id="rId2071" Type="http://schemas.openxmlformats.org/officeDocument/2006/relationships/image" Target="../media/image2139.jpeg"/><Relationship Id="rId3122" Type="http://schemas.openxmlformats.org/officeDocument/2006/relationships/image" Target="../media/image3190.jpeg"/><Relationship Id="rId250" Type="http://schemas.openxmlformats.org/officeDocument/2006/relationships/image" Target="../media/image318.jpeg"/><Relationship Id="rId110" Type="http://schemas.openxmlformats.org/officeDocument/2006/relationships/image" Target="../media/image178.jpeg"/><Relationship Id="rId2888" Type="http://schemas.openxmlformats.org/officeDocument/2006/relationships/image" Target="../media/image2956.jpeg"/><Relationship Id="rId1697" Type="http://schemas.openxmlformats.org/officeDocument/2006/relationships/image" Target="../media/image1765.jpeg"/><Relationship Id="rId2748" Type="http://schemas.openxmlformats.org/officeDocument/2006/relationships/image" Target="../media/image2816.jpeg"/><Relationship Id="rId2955" Type="http://schemas.openxmlformats.org/officeDocument/2006/relationships/image" Target="../media/image3023.jpeg"/><Relationship Id="rId927" Type="http://schemas.openxmlformats.org/officeDocument/2006/relationships/image" Target="../media/image995.jpeg"/><Relationship Id="rId1557" Type="http://schemas.openxmlformats.org/officeDocument/2006/relationships/image" Target="../media/image1625.jpeg"/><Relationship Id="rId1764" Type="http://schemas.openxmlformats.org/officeDocument/2006/relationships/image" Target="../media/image1832.jpeg"/><Relationship Id="rId1971" Type="http://schemas.openxmlformats.org/officeDocument/2006/relationships/image" Target="../media/image2039.jpeg"/><Relationship Id="rId2608" Type="http://schemas.openxmlformats.org/officeDocument/2006/relationships/image" Target="../media/image2676.jpeg"/><Relationship Id="rId2815" Type="http://schemas.openxmlformats.org/officeDocument/2006/relationships/image" Target="../media/image2883.jpeg"/><Relationship Id="rId56" Type="http://schemas.openxmlformats.org/officeDocument/2006/relationships/image" Target="../media/image124.jpeg"/><Relationship Id="rId1417" Type="http://schemas.openxmlformats.org/officeDocument/2006/relationships/image" Target="../media/image1485.jpeg"/><Relationship Id="rId1624" Type="http://schemas.openxmlformats.org/officeDocument/2006/relationships/image" Target="../media/image1692.jpeg"/><Relationship Id="rId1831" Type="http://schemas.openxmlformats.org/officeDocument/2006/relationships/image" Target="../media/image1899.jpeg"/><Relationship Id="rId2398" Type="http://schemas.openxmlformats.org/officeDocument/2006/relationships/image" Target="../media/image2466.jpeg"/><Relationship Id="rId577" Type="http://schemas.openxmlformats.org/officeDocument/2006/relationships/image" Target="../media/image645.jpeg"/><Relationship Id="rId2258" Type="http://schemas.openxmlformats.org/officeDocument/2006/relationships/image" Target="../media/image2326.jpeg"/><Relationship Id="rId784" Type="http://schemas.openxmlformats.org/officeDocument/2006/relationships/image" Target="../media/image852.jpeg"/><Relationship Id="rId991" Type="http://schemas.openxmlformats.org/officeDocument/2006/relationships/image" Target="../media/image1059.jpeg"/><Relationship Id="rId1067" Type="http://schemas.openxmlformats.org/officeDocument/2006/relationships/image" Target="../media/image1135.jpeg"/><Relationship Id="rId2465" Type="http://schemas.openxmlformats.org/officeDocument/2006/relationships/image" Target="../media/image2533.jpeg"/><Relationship Id="rId2672" Type="http://schemas.openxmlformats.org/officeDocument/2006/relationships/image" Target="../media/image2740.jpeg"/><Relationship Id="rId437" Type="http://schemas.openxmlformats.org/officeDocument/2006/relationships/image" Target="../media/image505.jpeg"/><Relationship Id="rId644" Type="http://schemas.openxmlformats.org/officeDocument/2006/relationships/image" Target="../media/image712.jpeg"/><Relationship Id="rId851" Type="http://schemas.openxmlformats.org/officeDocument/2006/relationships/image" Target="../media/image919.jpeg"/><Relationship Id="rId1274" Type="http://schemas.openxmlformats.org/officeDocument/2006/relationships/image" Target="../media/image1342.jpeg"/><Relationship Id="rId1481" Type="http://schemas.openxmlformats.org/officeDocument/2006/relationships/image" Target="../media/image1549.jpeg"/><Relationship Id="rId2118" Type="http://schemas.openxmlformats.org/officeDocument/2006/relationships/image" Target="../media/image2186.jpeg"/><Relationship Id="rId2325" Type="http://schemas.openxmlformats.org/officeDocument/2006/relationships/image" Target="../media/image2393.jpeg"/><Relationship Id="rId2532" Type="http://schemas.openxmlformats.org/officeDocument/2006/relationships/image" Target="../media/image2600.jpeg"/><Relationship Id="rId504" Type="http://schemas.openxmlformats.org/officeDocument/2006/relationships/image" Target="../media/image572.jpeg"/><Relationship Id="rId711" Type="http://schemas.openxmlformats.org/officeDocument/2006/relationships/image" Target="../media/image779.jpeg"/><Relationship Id="rId1134" Type="http://schemas.openxmlformats.org/officeDocument/2006/relationships/image" Target="../media/image1202.jpeg"/><Relationship Id="rId1341" Type="http://schemas.openxmlformats.org/officeDocument/2006/relationships/image" Target="../media/image1409.jpeg"/><Relationship Id="rId1201" Type="http://schemas.openxmlformats.org/officeDocument/2006/relationships/image" Target="../media/image1269.jpeg"/><Relationship Id="rId3099" Type="http://schemas.openxmlformats.org/officeDocument/2006/relationships/image" Target="../media/image3167.jpeg"/><Relationship Id="rId294" Type="http://schemas.openxmlformats.org/officeDocument/2006/relationships/image" Target="../media/image362.jpeg"/><Relationship Id="rId2182" Type="http://schemas.openxmlformats.org/officeDocument/2006/relationships/image" Target="../media/image2250.jpeg"/><Relationship Id="rId3026" Type="http://schemas.openxmlformats.org/officeDocument/2006/relationships/image" Target="../media/image3094.jpeg"/><Relationship Id="rId154" Type="http://schemas.openxmlformats.org/officeDocument/2006/relationships/image" Target="../media/image222.jpeg"/><Relationship Id="rId361" Type="http://schemas.openxmlformats.org/officeDocument/2006/relationships/image" Target="../media/image429.jpeg"/><Relationship Id="rId2042" Type="http://schemas.openxmlformats.org/officeDocument/2006/relationships/image" Target="../media/image2110.jpeg"/><Relationship Id="rId2999" Type="http://schemas.openxmlformats.org/officeDocument/2006/relationships/image" Target="../media/image3067.jpeg"/><Relationship Id="rId221" Type="http://schemas.openxmlformats.org/officeDocument/2006/relationships/image" Target="../media/image289.jpeg"/><Relationship Id="rId2859" Type="http://schemas.openxmlformats.org/officeDocument/2006/relationships/image" Target="../media/image2927.jpeg"/><Relationship Id="rId1668" Type="http://schemas.openxmlformats.org/officeDocument/2006/relationships/image" Target="../media/image1736.jpeg"/><Relationship Id="rId1875" Type="http://schemas.openxmlformats.org/officeDocument/2006/relationships/image" Target="../media/image1943.jpeg"/><Relationship Id="rId2719" Type="http://schemas.openxmlformats.org/officeDocument/2006/relationships/image" Target="../media/image2787.jpeg"/><Relationship Id="rId1528" Type="http://schemas.openxmlformats.org/officeDocument/2006/relationships/image" Target="../media/image1596.jpeg"/><Relationship Id="rId2926" Type="http://schemas.openxmlformats.org/officeDocument/2006/relationships/image" Target="../media/image2994.jpeg"/><Relationship Id="rId3090" Type="http://schemas.openxmlformats.org/officeDocument/2006/relationships/image" Target="../media/image3158.jpeg"/><Relationship Id="rId1735" Type="http://schemas.openxmlformats.org/officeDocument/2006/relationships/image" Target="../media/image1803.jpeg"/><Relationship Id="rId1942" Type="http://schemas.openxmlformats.org/officeDocument/2006/relationships/image" Target="../media/image2010.jpeg"/><Relationship Id="rId27" Type="http://schemas.openxmlformats.org/officeDocument/2006/relationships/image" Target="../media/image95.jpeg"/><Relationship Id="rId1802" Type="http://schemas.openxmlformats.org/officeDocument/2006/relationships/image" Target="../media/image1870.jpeg"/><Relationship Id="rId688" Type="http://schemas.openxmlformats.org/officeDocument/2006/relationships/image" Target="../media/image756.jpeg"/><Relationship Id="rId895" Type="http://schemas.openxmlformats.org/officeDocument/2006/relationships/image" Target="../media/image963.jpeg"/><Relationship Id="rId2369" Type="http://schemas.openxmlformats.org/officeDocument/2006/relationships/image" Target="../media/image2437.jpeg"/><Relationship Id="rId2576" Type="http://schemas.openxmlformats.org/officeDocument/2006/relationships/image" Target="../media/image2644.jpeg"/><Relationship Id="rId2783" Type="http://schemas.openxmlformats.org/officeDocument/2006/relationships/image" Target="../media/image2851.jpeg"/><Relationship Id="rId2990" Type="http://schemas.openxmlformats.org/officeDocument/2006/relationships/image" Target="../media/image3058.jpeg"/><Relationship Id="rId548" Type="http://schemas.openxmlformats.org/officeDocument/2006/relationships/image" Target="../media/image616.jpeg"/><Relationship Id="rId755" Type="http://schemas.openxmlformats.org/officeDocument/2006/relationships/image" Target="../media/image823.jpeg"/><Relationship Id="rId962" Type="http://schemas.openxmlformats.org/officeDocument/2006/relationships/image" Target="../media/image1030.jpeg"/><Relationship Id="rId1178" Type="http://schemas.openxmlformats.org/officeDocument/2006/relationships/image" Target="../media/image1246.jpeg"/><Relationship Id="rId1385" Type="http://schemas.openxmlformats.org/officeDocument/2006/relationships/image" Target="../media/image1453.jpeg"/><Relationship Id="rId1592" Type="http://schemas.openxmlformats.org/officeDocument/2006/relationships/image" Target="../media/image1660.jpeg"/><Relationship Id="rId2229" Type="http://schemas.openxmlformats.org/officeDocument/2006/relationships/image" Target="../media/image2297.jpeg"/><Relationship Id="rId2436" Type="http://schemas.openxmlformats.org/officeDocument/2006/relationships/image" Target="../media/image2504.jpeg"/><Relationship Id="rId2643" Type="http://schemas.openxmlformats.org/officeDocument/2006/relationships/image" Target="../media/image2711.jpeg"/><Relationship Id="rId2850" Type="http://schemas.openxmlformats.org/officeDocument/2006/relationships/image" Target="../media/image2918.jpeg"/><Relationship Id="rId91" Type="http://schemas.openxmlformats.org/officeDocument/2006/relationships/image" Target="../media/image159.jpeg"/><Relationship Id="rId408" Type="http://schemas.openxmlformats.org/officeDocument/2006/relationships/image" Target="../media/image476.jpeg"/><Relationship Id="rId615" Type="http://schemas.openxmlformats.org/officeDocument/2006/relationships/image" Target="../media/image683.jpeg"/><Relationship Id="rId822" Type="http://schemas.openxmlformats.org/officeDocument/2006/relationships/image" Target="../media/image890.jpeg"/><Relationship Id="rId1038" Type="http://schemas.openxmlformats.org/officeDocument/2006/relationships/image" Target="../media/image1106.jpeg"/><Relationship Id="rId1245" Type="http://schemas.openxmlformats.org/officeDocument/2006/relationships/image" Target="../media/image1313.jpeg"/><Relationship Id="rId1452" Type="http://schemas.openxmlformats.org/officeDocument/2006/relationships/image" Target="../media/image1520.jpeg"/><Relationship Id="rId2503" Type="http://schemas.openxmlformats.org/officeDocument/2006/relationships/image" Target="../media/image2571.jpeg"/><Relationship Id="rId1105" Type="http://schemas.openxmlformats.org/officeDocument/2006/relationships/image" Target="../media/image1173.jpeg"/><Relationship Id="rId1312" Type="http://schemas.openxmlformats.org/officeDocument/2006/relationships/image" Target="../media/image1380.jpeg"/><Relationship Id="rId2710" Type="http://schemas.openxmlformats.org/officeDocument/2006/relationships/image" Target="../media/image2778.jpeg"/><Relationship Id="rId198" Type="http://schemas.openxmlformats.org/officeDocument/2006/relationships/image" Target="../media/image266.jpeg"/><Relationship Id="rId2086" Type="http://schemas.openxmlformats.org/officeDocument/2006/relationships/image" Target="../media/image2154.jpeg"/><Relationship Id="rId2293" Type="http://schemas.openxmlformats.org/officeDocument/2006/relationships/image" Target="../media/image2361.jpeg"/><Relationship Id="rId3137" Type="http://schemas.openxmlformats.org/officeDocument/2006/relationships/image" Target="../media/image3205.jpeg"/><Relationship Id="rId265" Type="http://schemas.openxmlformats.org/officeDocument/2006/relationships/image" Target="../media/image333.jpeg"/><Relationship Id="rId472" Type="http://schemas.openxmlformats.org/officeDocument/2006/relationships/image" Target="../media/image540.jpeg"/><Relationship Id="rId2153" Type="http://schemas.openxmlformats.org/officeDocument/2006/relationships/image" Target="../media/image2221.jpeg"/><Relationship Id="rId2360" Type="http://schemas.openxmlformats.org/officeDocument/2006/relationships/image" Target="../media/image2428.jpeg"/><Relationship Id="rId125" Type="http://schemas.openxmlformats.org/officeDocument/2006/relationships/image" Target="../media/image193.jpeg"/><Relationship Id="rId332" Type="http://schemas.openxmlformats.org/officeDocument/2006/relationships/image" Target="../media/image400.jpeg"/><Relationship Id="rId2013" Type="http://schemas.openxmlformats.org/officeDocument/2006/relationships/image" Target="../media/image2081.jpeg"/><Relationship Id="rId2220" Type="http://schemas.openxmlformats.org/officeDocument/2006/relationships/image" Target="../media/image2288.jpeg"/><Relationship Id="rId1779" Type="http://schemas.openxmlformats.org/officeDocument/2006/relationships/image" Target="../media/image1847.jpeg"/><Relationship Id="rId1986" Type="http://schemas.openxmlformats.org/officeDocument/2006/relationships/image" Target="../media/image2054.jpeg"/><Relationship Id="rId1639" Type="http://schemas.openxmlformats.org/officeDocument/2006/relationships/image" Target="../media/image1707.jpeg"/><Relationship Id="rId1846" Type="http://schemas.openxmlformats.org/officeDocument/2006/relationships/image" Target="../media/image1914.jpeg"/><Relationship Id="rId3061" Type="http://schemas.openxmlformats.org/officeDocument/2006/relationships/image" Target="../media/image3129.jpeg"/><Relationship Id="rId1706" Type="http://schemas.openxmlformats.org/officeDocument/2006/relationships/image" Target="../media/image1774.jpeg"/><Relationship Id="rId1913" Type="http://schemas.openxmlformats.org/officeDocument/2006/relationships/image" Target="../media/image1981.jpeg"/><Relationship Id="rId799" Type="http://schemas.openxmlformats.org/officeDocument/2006/relationships/image" Target="../media/image867.jpeg"/><Relationship Id="rId2687" Type="http://schemas.openxmlformats.org/officeDocument/2006/relationships/image" Target="../media/image2755.jpeg"/><Relationship Id="rId2894" Type="http://schemas.openxmlformats.org/officeDocument/2006/relationships/image" Target="../media/image2962.jpeg"/><Relationship Id="rId659" Type="http://schemas.openxmlformats.org/officeDocument/2006/relationships/image" Target="../media/image727.jpeg"/><Relationship Id="rId866" Type="http://schemas.openxmlformats.org/officeDocument/2006/relationships/image" Target="../media/image934.jpeg"/><Relationship Id="rId1289" Type="http://schemas.openxmlformats.org/officeDocument/2006/relationships/image" Target="../media/image1357.jpeg"/><Relationship Id="rId1496" Type="http://schemas.openxmlformats.org/officeDocument/2006/relationships/image" Target="../media/image1564.jpeg"/><Relationship Id="rId2547" Type="http://schemas.openxmlformats.org/officeDocument/2006/relationships/image" Target="../media/image2615.jpeg"/><Relationship Id="rId519" Type="http://schemas.openxmlformats.org/officeDocument/2006/relationships/image" Target="../media/image587.jpeg"/><Relationship Id="rId1149" Type="http://schemas.openxmlformats.org/officeDocument/2006/relationships/image" Target="../media/image1217.jpeg"/><Relationship Id="rId1356" Type="http://schemas.openxmlformats.org/officeDocument/2006/relationships/image" Target="../media/image1424.jpeg"/><Relationship Id="rId2754" Type="http://schemas.openxmlformats.org/officeDocument/2006/relationships/image" Target="../media/image2822.jpeg"/><Relationship Id="rId2961" Type="http://schemas.openxmlformats.org/officeDocument/2006/relationships/image" Target="../media/image3029.jpeg"/><Relationship Id="rId726" Type="http://schemas.openxmlformats.org/officeDocument/2006/relationships/image" Target="../media/image794.jpeg"/><Relationship Id="rId933" Type="http://schemas.openxmlformats.org/officeDocument/2006/relationships/image" Target="../media/image1001.jpeg"/><Relationship Id="rId1009" Type="http://schemas.openxmlformats.org/officeDocument/2006/relationships/image" Target="../media/image1077.jpeg"/><Relationship Id="rId1563" Type="http://schemas.openxmlformats.org/officeDocument/2006/relationships/image" Target="../media/image1631.jpeg"/><Relationship Id="rId1770" Type="http://schemas.openxmlformats.org/officeDocument/2006/relationships/image" Target="../media/image1838.jpeg"/><Relationship Id="rId2407" Type="http://schemas.openxmlformats.org/officeDocument/2006/relationships/image" Target="../media/image2475.jpeg"/><Relationship Id="rId2614" Type="http://schemas.openxmlformats.org/officeDocument/2006/relationships/image" Target="../media/image2682.jpeg"/><Relationship Id="rId2821" Type="http://schemas.openxmlformats.org/officeDocument/2006/relationships/image" Target="../media/image2889.jpeg"/><Relationship Id="rId62" Type="http://schemas.openxmlformats.org/officeDocument/2006/relationships/image" Target="../media/image130.jpeg"/><Relationship Id="rId1216" Type="http://schemas.openxmlformats.org/officeDocument/2006/relationships/image" Target="../media/image1284.jpeg"/><Relationship Id="rId1423" Type="http://schemas.openxmlformats.org/officeDocument/2006/relationships/image" Target="../media/image1491.jpeg"/><Relationship Id="rId1630" Type="http://schemas.openxmlformats.org/officeDocument/2006/relationships/image" Target="../media/image1698.jpeg"/><Relationship Id="rId2197" Type="http://schemas.openxmlformats.org/officeDocument/2006/relationships/image" Target="../media/image2265.jpeg"/><Relationship Id="rId169" Type="http://schemas.openxmlformats.org/officeDocument/2006/relationships/image" Target="../media/image237.jpeg"/><Relationship Id="rId376" Type="http://schemas.openxmlformats.org/officeDocument/2006/relationships/image" Target="../media/image444.jpeg"/><Relationship Id="rId583" Type="http://schemas.openxmlformats.org/officeDocument/2006/relationships/image" Target="../media/image651.jpeg"/><Relationship Id="rId790" Type="http://schemas.openxmlformats.org/officeDocument/2006/relationships/image" Target="../media/image858.jpeg"/><Relationship Id="rId2057" Type="http://schemas.openxmlformats.org/officeDocument/2006/relationships/image" Target="../media/image2125.jpeg"/><Relationship Id="rId2264" Type="http://schemas.openxmlformats.org/officeDocument/2006/relationships/image" Target="../media/image2332.jpeg"/><Relationship Id="rId2471" Type="http://schemas.openxmlformats.org/officeDocument/2006/relationships/image" Target="../media/image2539.jpeg"/><Relationship Id="rId3108" Type="http://schemas.openxmlformats.org/officeDocument/2006/relationships/image" Target="../media/image3176.jpeg"/><Relationship Id="rId236" Type="http://schemas.openxmlformats.org/officeDocument/2006/relationships/image" Target="../media/image304.jpeg"/><Relationship Id="rId443" Type="http://schemas.openxmlformats.org/officeDocument/2006/relationships/image" Target="../media/image511.jpeg"/><Relationship Id="rId650" Type="http://schemas.openxmlformats.org/officeDocument/2006/relationships/image" Target="../media/image718.jpeg"/><Relationship Id="rId1073" Type="http://schemas.openxmlformats.org/officeDocument/2006/relationships/image" Target="../media/image1141.jpeg"/><Relationship Id="rId1280" Type="http://schemas.openxmlformats.org/officeDocument/2006/relationships/image" Target="../media/image1348.jpeg"/><Relationship Id="rId2124" Type="http://schemas.openxmlformats.org/officeDocument/2006/relationships/image" Target="../media/image2192.jpeg"/><Relationship Id="rId2331" Type="http://schemas.openxmlformats.org/officeDocument/2006/relationships/image" Target="../media/image2399.jpeg"/><Relationship Id="rId303" Type="http://schemas.openxmlformats.org/officeDocument/2006/relationships/image" Target="../media/image371.jpeg"/><Relationship Id="rId1140" Type="http://schemas.openxmlformats.org/officeDocument/2006/relationships/image" Target="../media/image1208.jpeg"/><Relationship Id="rId510" Type="http://schemas.openxmlformats.org/officeDocument/2006/relationships/image" Target="../media/image578.jpeg"/><Relationship Id="rId1000" Type="http://schemas.openxmlformats.org/officeDocument/2006/relationships/image" Target="../media/image1068.jpeg"/><Relationship Id="rId1957" Type="http://schemas.openxmlformats.org/officeDocument/2006/relationships/image" Target="../media/image2025.jpeg"/><Relationship Id="rId1817" Type="http://schemas.openxmlformats.org/officeDocument/2006/relationships/image" Target="../media/image1885.jpeg"/><Relationship Id="rId3032" Type="http://schemas.openxmlformats.org/officeDocument/2006/relationships/image" Target="../media/image3100.jpeg"/><Relationship Id="rId160" Type="http://schemas.openxmlformats.org/officeDocument/2006/relationships/image" Target="../media/image228.jpeg"/><Relationship Id="rId2798" Type="http://schemas.openxmlformats.org/officeDocument/2006/relationships/image" Target="../media/image2866.jpeg"/><Relationship Id="rId977" Type="http://schemas.openxmlformats.org/officeDocument/2006/relationships/image" Target="../media/image1045.jpeg"/><Relationship Id="rId2658" Type="http://schemas.openxmlformats.org/officeDocument/2006/relationships/image" Target="../media/image2726.jpeg"/><Relationship Id="rId2865" Type="http://schemas.openxmlformats.org/officeDocument/2006/relationships/image" Target="../media/image2933.jpeg"/><Relationship Id="rId837" Type="http://schemas.openxmlformats.org/officeDocument/2006/relationships/image" Target="../media/image905.jpeg"/><Relationship Id="rId1467" Type="http://schemas.openxmlformats.org/officeDocument/2006/relationships/image" Target="../media/image1535.jpeg"/><Relationship Id="rId1674" Type="http://schemas.openxmlformats.org/officeDocument/2006/relationships/image" Target="../media/image1742.jpeg"/><Relationship Id="rId1881" Type="http://schemas.openxmlformats.org/officeDocument/2006/relationships/image" Target="../media/image1949.jpeg"/><Relationship Id="rId2518" Type="http://schemas.openxmlformats.org/officeDocument/2006/relationships/image" Target="../media/image2586.jpeg"/><Relationship Id="rId2725" Type="http://schemas.openxmlformats.org/officeDocument/2006/relationships/image" Target="../media/image2793.jpeg"/><Relationship Id="rId2932" Type="http://schemas.openxmlformats.org/officeDocument/2006/relationships/image" Target="../media/image3000.jpeg"/><Relationship Id="rId904" Type="http://schemas.openxmlformats.org/officeDocument/2006/relationships/image" Target="../media/image972.jpeg"/><Relationship Id="rId1327" Type="http://schemas.openxmlformats.org/officeDocument/2006/relationships/image" Target="../media/image1395.jpeg"/><Relationship Id="rId1534" Type="http://schemas.openxmlformats.org/officeDocument/2006/relationships/image" Target="../media/image1602.jpeg"/><Relationship Id="rId1741" Type="http://schemas.openxmlformats.org/officeDocument/2006/relationships/image" Target="../media/image1809.jpeg"/><Relationship Id="rId33" Type="http://schemas.openxmlformats.org/officeDocument/2006/relationships/image" Target="../media/image101.jpeg"/><Relationship Id="rId1601" Type="http://schemas.openxmlformats.org/officeDocument/2006/relationships/image" Target="../media/image1669.jpeg"/><Relationship Id="rId487" Type="http://schemas.openxmlformats.org/officeDocument/2006/relationships/image" Target="../media/image555.jpeg"/><Relationship Id="rId694" Type="http://schemas.openxmlformats.org/officeDocument/2006/relationships/image" Target="../media/image762.jpeg"/><Relationship Id="rId2168" Type="http://schemas.openxmlformats.org/officeDocument/2006/relationships/image" Target="../media/image2236.jpeg"/><Relationship Id="rId2375" Type="http://schemas.openxmlformats.org/officeDocument/2006/relationships/image" Target="../media/image2443.jpeg"/><Relationship Id="rId347" Type="http://schemas.openxmlformats.org/officeDocument/2006/relationships/image" Target="../media/image415.jpeg"/><Relationship Id="rId1184" Type="http://schemas.openxmlformats.org/officeDocument/2006/relationships/image" Target="../media/image1252.jpeg"/><Relationship Id="rId2028" Type="http://schemas.openxmlformats.org/officeDocument/2006/relationships/image" Target="../media/image2096.jpeg"/><Relationship Id="rId2582" Type="http://schemas.openxmlformats.org/officeDocument/2006/relationships/image" Target="../media/image2650.jpeg"/><Relationship Id="rId554" Type="http://schemas.openxmlformats.org/officeDocument/2006/relationships/image" Target="../media/image622.jpeg"/><Relationship Id="rId761" Type="http://schemas.openxmlformats.org/officeDocument/2006/relationships/image" Target="../media/image829.jpeg"/><Relationship Id="rId1391" Type="http://schemas.openxmlformats.org/officeDocument/2006/relationships/image" Target="../media/image1459.jpeg"/><Relationship Id="rId2235" Type="http://schemas.openxmlformats.org/officeDocument/2006/relationships/image" Target="../media/image2303.jpeg"/><Relationship Id="rId2442" Type="http://schemas.openxmlformats.org/officeDocument/2006/relationships/image" Target="../media/image2510.jpeg"/><Relationship Id="rId207" Type="http://schemas.openxmlformats.org/officeDocument/2006/relationships/image" Target="../media/image275.jpeg"/><Relationship Id="rId414" Type="http://schemas.openxmlformats.org/officeDocument/2006/relationships/image" Target="../media/image482.jpeg"/><Relationship Id="rId621" Type="http://schemas.openxmlformats.org/officeDocument/2006/relationships/image" Target="../media/image689.jpeg"/><Relationship Id="rId1044" Type="http://schemas.openxmlformats.org/officeDocument/2006/relationships/image" Target="../media/image1112.jpeg"/><Relationship Id="rId1251" Type="http://schemas.openxmlformats.org/officeDocument/2006/relationships/image" Target="../media/image1319.jpeg"/><Relationship Id="rId2302" Type="http://schemas.openxmlformats.org/officeDocument/2006/relationships/image" Target="../media/image2370.jpeg"/><Relationship Id="rId1111" Type="http://schemas.openxmlformats.org/officeDocument/2006/relationships/image" Target="../media/image1179.jpeg"/><Relationship Id="rId3076" Type="http://schemas.openxmlformats.org/officeDocument/2006/relationships/image" Target="../media/image3144.jpeg"/><Relationship Id="rId1928" Type="http://schemas.openxmlformats.org/officeDocument/2006/relationships/image" Target="../media/image1996.jpeg"/><Relationship Id="rId2092" Type="http://schemas.openxmlformats.org/officeDocument/2006/relationships/image" Target="../media/image2160.jpeg"/><Relationship Id="rId3143" Type="http://schemas.openxmlformats.org/officeDocument/2006/relationships/image" Target="../media/image3211.jpeg"/><Relationship Id="rId271" Type="http://schemas.openxmlformats.org/officeDocument/2006/relationships/image" Target="../media/image339.jpeg"/><Relationship Id="rId3003" Type="http://schemas.openxmlformats.org/officeDocument/2006/relationships/image" Target="../media/image3071.jpeg"/><Relationship Id="rId131" Type="http://schemas.openxmlformats.org/officeDocument/2006/relationships/image" Target="../media/image199.jpeg"/><Relationship Id="rId2769" Type="http://schemas.openxmlformats.org/officeDocument/2006/relationships/image" Target="../media/image2837.jpeg"/><Relationship Id="rId2976" Type="http://schemas.openxmlformats.org/officeDocument/2006/relationships/image" Target="../media/image3044.jpeg"/><Relationship Id="rId948" Type="http://schemas.openxmlformats.org/officeDocument/2006/relationships/image" Target="../media/image1016.jpeg"/><Relationship Id="rId1578" Type="http://schemas.openxmlformats.org/officeDocument/2006/relationships/image" Target="../media/image1646.jpeg"/><Relationship Id="rId1785" Type="http://schemas.openxmlformats.org/officeDocument/2006/relationships/image" Target="../media/image1853.jpeg"/><Relationship Id="rId1992" Type="http://schemas.openxmlformats.org/officeDocument/2006/relationships/image" Target="../media/image2060.jpeg"/><Relationship Id="rId2629" Type="http://schemas.openxmlformats.org/officeDocument/2006/relationships/image" Target="../media/image2697.jpeg"/><Relationship Id="rId2836" Type="http://schemas.openxmlformats.org/officeDocument/2006/relationships/image" Target="../media/image2904.jpeg"/><Relationship Id="rId77" Type="http://schemas.openxmlformats.org/officeDocument/2006/relationships/image" Target="../media/image145.jpeg"/><Relationship Id="rId808" Type="http://schemas.openxmlformats.org/officeDocument/2006/relationships/image" Target="../media/image876.jpeg"/><Relationship Id="rId1438" Type="http://schemas.openxmlformats.org/officeDocument/2006/relationships/image" Target="../media/image1506.jpeg"/><Relationship Id="rId1645" Type="http://schemas.openxmlformats.org/officeDocument/2006/relationships/image" Target="../media/image1713.jpeg"/><Relationship Id="rId1852" Type="http://schemas.openxmlformats.org/officeDocument/2006/relationships/image" Target="../media/image1920.jpeg"/><Relationship Id="rId2903" Type="http://schemas.openxmlformats.org/officeDocument/2006/relationships/image" Target="../media/image2971.jpeg"/><Relationship Id="rId1505" Type="http://schemas.openxmlformats.org/officeDocument/2006/relationships/image" Target="../media/image1573.jpeg"/><Relationship Id="rId1712" Type="http://schemas.openxmlformats.org/officeDocument/2006/relationships/image" Target="../media/image1780.jpeg"/><Relationship Id="rId598" Type="http://schemas.openxmlformats.org/officeDocument/2006/relationships/image" Target="../media/image666.jpeg"/><Relationship Id="rId2279" Type="http://schemas.openxmlformats.org/officeDocument/2006/relationships/image" Target="../media/image2347.jpeg"/><Relationship Id="rId2486" Type="http://schemas.openxmlformats.org/officeDocument/2006/relationships/image" Target="../media/image2554.jpeg"/><Relationship Id="rId2693" Type="http://schemas.openxmlformats.org/officeDocument/2006/relationships/image" Target="../media/image2761.jpeg"/><Relationship Id="rId458" Type="http://schemas.openxmlformats.org/officeDocument/2006/relationships/image" Target="../media/image526.jpeg"/><Relationship Id="rId665" Type="http://schemas.openxmlformats.org/officeDocument/2006/relationships/image" Target="../media/image733.jpeg"/><Relationship Id="rId872" Type="http://schemas.openxmlformats.org/officeDocument/2006/relationships/image" Target="../media/image940.jpeg"/><Relationship Id="rId1088" Type="http://schemas.openxmlformats.org/officeDocument/2006/relationships/image" Target="../media/image1156.jpeg"/><Relationship Id="rId1295" Type="http://schemas.openxmlformats.org/officeDocument/2006/relationships/image" Target="../media/image1363.jpeg"/><Relationship Id="rId2139" Type="http://schemas.openxmlformats.org/officeDocument/2006/relationships/image" Target="../media/image2207.jpeg"/><Relationship Id="rId2346" Type="http://schemas.openxmlformats.org/officeDocument/2006/relationships/image" Target="../media/image2414.jpeg"/><Relationship Id="rId2553" Type="http://schemas.openxmlformats.org/officeDocument/2006/relationships/image" Target="../media/image2621.jpeg"/><Relationship Id="rId2760" Type="http://schemas.openxmlformats.org/officeDocument/2006/relationships/image" Target="../media/image2828.jpeg"/><Relationship Id="rId318" Type="http://schemas.openxmlformats.org/officeDocument/2006/relationships/image" Target="../media/image386.jpeg"/><Relationship Id="rId525" Type="http://schemas.openxmlformats.org/officeDocument/2006/relationships/image" Target="../media/image593.jpeg"/><Relationship Id="rId732" Type="http://schemas.openxmlformats.org/officeDocument/2006/relationships/image" Target="../media/image800.jpeg"/><Relationship Id="rId1155" Type="http://schemas.openxmlformats.org/officeDocument/2006/relationships/image" Target="../media/image1223.jpeg"/><Relationship Id="rId1362" Type="http://schemas.openxmlformats.org/officeDocument/2006/relationships/image" Target="../media/image1430.jpeg"/><Relationship Id="rId2206" Type="http://schemas.openxmlformats.org/officeDocument/2006/relationships/image" Target="../media/image2274.jpeg"/><Relationship Id="rId2413" Type="http://schemas.openxmlformats.org/officeDocument/2006/relationships/image" Target="../media/image2481.jpeg"/><Relationship Id="rId2620" Type="http://schemas.openxmlformats.org/officeDocument/2006/relationships/image" Target="../media/image2688.jpeg"/><Relationship Id="rId1015" Type="http://schemas.openxmlformats.org/officeDocument/2006/relationships/image" Target="../media/image1083.jpeg"/><Relationship Id="rId1222" Type="http://schemas.openxmlformats.org/officeDocument/2006/relationships/image" Target="../media/image1290.jpeg"/><Relationship Id="rId3047" Type="http://schemas.openxmlformats.org/officeDocument/2006/relationships/image" Target="../media/image3115.jpeg"/><Relationship Id="rId175" Type="http://schemas.openxmlformats.org/officeDocument/2006/relationships/image" Target="../media/image243.jpeg"/><Relationship Id="rId382" Type="http://schemas.openxmlformats.org/officeDocument/2006/relationships/image" Target="../media/image450.jpeg"/><Relationship Id="rId2063" Type="http://schemas.openxmlformats.org/officeDocument/2006/relationships/image" Target="../media/image2131.jpeg"/><Relationship Id="rId2270" Type="http://schemas.openxmlformats.org/officeDocument/2006/relationships/image" Target="../media/image2338.jpeg"/><Relationship Id="rId3114" Type="http://schemas.openxmlformats.org/officeDocument/2006/relationships/image" Target="../media/image3182.jpeg"/><Relationship Id="rId242" Type="http://schemas.openxmlformats.org/officeDocument/2006/relationships/image" Target="../media/image310.jpeg"/><Relationship Id="rId2130" Type="http://schemas.openxmlformats.org/officeDocument/2006/relationships/image" Target="../media/image2198.jpeg"/><Relationship Id="rId102" Type="http://schemas.openxmlformats.org/officeDocument/2006/relationships/image" Target="../media/image170.jpeg"/><Relationship Id="rId1689" Type="http://schemas.openxmlformats.org/officeDocument/2006/relationships/image" Target="../media/image1757.jpeg"/><Relationship Id="rId1896" Type="http://schemas.openxmlformats.org/officeDocument/2006/relationships/image" Target="../media/image1964.jpeg"/><Relationship Id="rId2947" Type="http://schemas.openxmlformats.org/officeDocument/2006/relationships/image" Target="../media/image3015.jpeg"/><Relationship Id="rId919" Type="http://schemas.openxmlformats.org/officeDocument/2006/relationships/image" Target="../media/image987.jpeg"/><Relationship Id="rId1549" Type="http://schemas.openxmlformats.org/officeDocument/2006/relationships/image" Target="../media/image1617.jpeg"/><Relationship Id="rId1756" Type="http://schemas.openxmlformats.org/officeDocument/2006/relationships/image" Target="../media/image1824.jpeg"/><Relationship Id="rId1963" Type="http://schemas.openxmlformats.org/officeDocument/2006/relationships/image" Target="../media/image2031.jpeg"/><Relationship Id="rId2807" Type="http://schemas.openxmlformats.org/officeDocument/2006/relationships/image" Target="../media/image2875.jpeg"/><Relationship Id="rId48" Type="http://schemas.openxmlformats.org/officeDocument/2006/relationships/image" Target="../media/image116.jpeg"/><Relationship Id="rId1409" Type="http://schemas.openxmlformats.org/officeDocument/2006/relationships/image" Target="../media/image1477.jpeg"/><Relationship Id="rId1616" Type="http://schemas.openxmlformats.org/officeDocument/2006/relationships/image" Target="../media/image1684.jpeg"/><Relationship Id="rId1823" Type="http://schemas.openxmlformats.org/officeDocument/2006/relationships/image" Target="../media/image1891.jpeg"/><Relationship Id="rId2597" Type="http://schemas.openxmlformats.org/officeDocument/2006/relationships/image" Target="../media/image2665.jpeg"/><Relationship Id="rId569" Type="http://schemas.openxmlformats.org/officeDocument/2006/relationships/image" Target="../media/image637.jpeg"/><Relationship Id="rId776" Type="http://schemas.openxmlformats.org/officeDocument/2006/relationships/image" Target="../media/image844.jpeg"/><Relationship Id="rId983" Type="http://schemas.openxmlformats.org/officeDocument/2006/relationships/image" Target="../media/image1051.jpeg"/><Relationship Id="rId1199" Type="http://schemas.openxmlformats.org/officeDocument/2006/relationships/image" Target="../media/image1267.jpeg"/><Relationship Id="rId2457" Type="http://schemas.openxmlformats.org/officeDocument/2006/relationships/image" Target="../media/image2525.jpeg"/><Relationship Id="rId2664" Type="http://schemas.openxmlformats.org/officeDocument/2006/relationships/image" Target="../media/image2732.jpeg"/><Relationship Id="rId429" Type="http://schemas.openxmlformats.org/officeDocument/2006/relationships/image" Target="../media/image497.jpeg"/><Relationship Id="rId636" Type="http://schemas.openxmlformats.org/officeDocument/2006/relationships/image" Target="../media/image704.jpeg"/><Relationship Id="rId1059" Type="http://schemas.openxmlformats.org/officeDocument/2006/relationships/image" Target="../media/image1127.jpeg"/><Relationship Id="rId1266" Type="http://schemas.openxmlformats.org/officeDocument/2006/relationships/image" Target="../media/image1334.jpeg"/><Relationship Id="rId1473" Type="http://schemas.openxmlformats.org/officeDocument/2006/relationships/image" Target="../media/image1541.jpeg"/><Relationship Id="rId2317" Type="http://schemas.openxmlformats.org/officeDocument/2006/relationships/image" Target="../media/image2385.jpeg"/><Relationship Id="rId2871" Type="http://schemas.openxmlformats.org/officeDocument/2006/relationships/image" Target="../media/image2939.jpeg"/><Relationship Id="rId843" Type="http://schemas.openxmlformats.org/officeDocument/2006/relationships/image" Target="../media/image911.jpeg"/><Relationship Id="rId1126" Type="http://schemas.openxmlformats.org/officeDocument/2006/relationships/image" Target="../media/image1194.jpeg"/><Relationship Id="rId1680" Type="http://schemas.openxmlformats.org/officeDocument/2006/relationships/image" Target="../media/image1748.jpeg"/><Relationship Id="rId2524" Type="http://schemas.openxmlformats.org/officeDocument/2006/relationships/image" Target="../media/image2592.jpeg"/><Relationship Id="rId2731" Type="http://schemas.openxmlformats.org/officeDocument/2006/relationships/image" Target="../media/image2799.jpeg"/><Relationship Id="rId703" Type="http://schemas.openxmlformats.org/officeDocument/2006/relationships/image" Target="../media/image771.jpeg"/><Relationship Id="rId910" Type="http://schemas.openxmlformats.org/officeDocument/2006/relationships/image" Target="../media/image978.jpeg"/><Relationship Id="rId1333" Type="http://schemas.openxmlformats.org/officeDocument/2006/relationships/image" Target="../media/image1401.jpeg"/><Relationship Id="rId1540" Type="http://schemas.openxmlformats.org/officeDocument/2006/relationships/image" Target="../media/image1608.jpeg"/><Relationship Id="rId1400" Type="http://schemas.openxmlformats.org/officeDocument/2006/relationships/image" Target="../media/image1468.jpeg"/><Relationship Id="rId286" Type="http://schemas.openxmlformats.org/officeDocument/2006/relationships/image" Target="../media/image354.jpeg"/><Relationship Id="rId493" Type="http://schemas.openxmlformats.org/officeDocument/2006/relationships/image" Target="../media/image561.jpeg"/><Relationship Id="rId2174" Type="http://schemas.openxmlformats.org/officeDocument/2006/relationships/image" Target="../media/image2242.jpeg"/><Relationship Id="rId2381" Type="http://schemas.openxmlformats.org/officeDocument/2006/relationships/image" Target="../media/image2449.jpeg"/><Relationship Id="rId3018" Type="http://schemas.openxmlformats.org/officeDocument/2006/relationships/image" Target="../media/image3086.jpeg"/><Relationship Id="rId146" Type="http://schemas.openxmlformats.org/officeDocument/2006/relationships/image" Target="../media/image214.jpeg"/><Relationship Id="rId353" Type="http://schemas.openxmlformats.org/officeDocument/2006/relationships/image" Target="../media/image421.jpeg"/><Relationship Id="rId560" Type="http://schemas.openxmlformats.org/officeDocument/2006/relationships/image" Target="../media/image628.jpeg"/><Relationship Id="rId1190" Type="http://schemas.openxmlformats.org/officeDocument/2006/relationships/image" Target="../media/image1258.jpeg"/><Relationship Id="rId2034" Type="http://schemas.openxmlformats.org/officeDocument/2006/relationships/image" Target="../media/image2102.jpeg"/><Relationship Id="rId2241" Type="http://schemas.openxmlformats.org/officeDocument/2006/relationships/image" Target="../media/image2309.jpeg"/><Relationship Id="rId213" Type="http://schemas.openxmlformats.org/officeDocument/2006/relationships/image" Target="../media/image281.jpeg"/><Relationship Id="rId420" Type="http://schemas.openxmlformats.org/officeDocument/2006/relationships/image" Target="../media/image488.jpeg"/><Relationship Id="rId1050" Type="http://schemas.openxmlformats.org/officeDocument/2006/relationships/image" Target="../media/image1118.jpeg"/><Relationship Id="rId2101" Type="http://schemas.openxmlformats.org/officeDocument/2006/relationships/image" Target="../media/image2169.jpeg"/><Relationship Id="rId1867" Type="http://schemas.openxmlformats.org/officeDocument/2006/relationships/image" Target="../media/image1935.jpeg"/><Relationship Id="rId2918" Type="http://schemas.openxmlformats.org/officeDocument/2006/relationships/image" Target="../media/image2986.jpeg"/><Relationship Id="rId1727" Type="http://schemas.openxmlformats.org/officeDocument/2006/relationships/image" Target="../media/image1795.jpeg"/><Relationship Id="rId1934" Type="http://schemas.openxmlformats.org/officeDocument/2006/relationships/image" Target="../media/image2002.jpeg"/><Relationship Id="rId3082" Type="http://schemas.openxmlformats.org/officeDocument/2006/relationships/image" Target="../media/image3150.jpeg"/><Relationship Id="rId19" Type="http://schemas.openxmlformats.org/officeDocument/2006/relationships/image" Target="../media/image87.jpeg"/><Relationship Id="rId3" Type="http://schemas.openxmlformats.org/officeDocument/2006/relationships/image" Target="../media/image71.jpeg"/><Relationship Id="rId887" Type="http://schemas.openxmlformats.org/officeDocument/2006/relationships/image" Target="../media/image955.jpeg"/><Relationship Id="rId2568" Type="http://schemas.openxmlformats.org/officeDocument/2006/relationships/image" Target="../media/image2636.jpeg"/><Relationship Id="rId2775" Type="http://schemas.openxmlformats.org/officeDocument/2006/relationships/image" Target="../media/image2843.jpeg"/><Relationship Id="rId2982" Type="http://schemas.openxmlformats.org/officeDocument/2006/relationships/image" Target="../media/image3050.jpeg"/><Relationship Id="rId747" Type="http://schemas.openxmlformats.org/officeDocument/2006/relationships/image" Target="../media/image815.jpeg"/><Relationship Id="rId954" Type="http://schemas.openxmlformats.org/officeDocument/2006/relationships/image" Target="../media/image1022.jpeg"/><Relationship Id="rId1377" Type="http://schemas.openxmlformats.org/officeDocument/2006/relationships/image" Target="../media/image1445.jpeg"/><Relationship Id="rId1584" Type="http://schemas.openxmlformats.org/officeDocument/2006/relationships/image" Target="../media/image1652.jpeg"/><Relationship Id="rId1791" Type="http://schemas.openxmlformats.org/officeDocument/2006/relationships/image" Target="../media/image1859.jpeg"/><Relationship Id="rId2428" Type="http://schemas.openxmlformats.org/officeDocument/2006/relationships/image" Target="../media/image2496.jpeg"/><Relationship Id="rId2635" Type="http://schemas.openxmlformats.org/officeDocument/2006/relationships/image" Target="../media/image2703.jpeg"/><Relationship Id="rId2842" Type="http://schemas.openxmlformats.org/officeDocument/2006/relationships/image" Target="../media/image2910.jpeg"/><Relationship Id="rId83" Type="http://schemas.openxmlformats.org/officeDocument/2006/relationships/image" Target="../media/image151.jpeg"/><Relationship Id="rId607" Type="http://schemas.openxmlformats.org/officeDocument/2006/relationships/image" Target="../media/image675.jpeg"/><Relationship Id="rId814" Type="http://schemas.openxmlformats.org/officeDocument/2006/relationships/image" Target="../media/image882.jpeg"/><Relationship Id="rId1237" Type="http://schemas.openxmlformats.org/officeDocument/2006/relationships/image" Target="../media/image1305.jpeg"/><Relationship Id="rId1444" Type="http://schemas.openxmlformats.org/officeDocument/2006/relationships/image" Target="../media/image1512.jpeg"/><Relationship Id="rId1651" Type="http://schemas.openxmlformats.org/officeDocument/2006/relationships/image" Target="../media/image1719.jpeg"/><Relationship Id="rId2702" Type="http://schemas.openxmlformats.org/officeDocument/2006/relationships/image" Target="../media/image2770.jpeg"/><Relationship Id="rId1304" Type="http://schemas.openxmlformats.org/officeDocument/2006/relationships/image" Target="../media/image1372.jpeg"/><Relationship Id="rId1511" Type="http://schemas.openxmlformats.org/officeDocument/2006/relationships/image" Target="../media/image1579.jpeg"/><Relationship Id="rId10" Type="http://schemas.openxmlformats.org/officeDocument/2006/relationships/image" Target="../media/image78.jpeg"/><Relationship Id="rId397" Type="http://schemas.openxmlformats.org/officeDocument/2006/relationships/image" Target="../media/image465.jpeg"/><Relationship Id="rId2078" Type="http://schemas.openxmlformats.org/officeDocument/2006/relationships/image" Target="../media/image2146.jpeg"/><Relationship Id="rId2285" Type="http://schemas.openxmlformats.org/officeDocument/2006/relationships/image" Target="../media/image2353.jpeg"/><Relationship Id="rId2492" Type="http://schemas.openxmlformats.org/officeDocument/2006/relationships/image" Target="../media/image2560.jpeg"/><Relationship Id="rId3129" Type="http://schemas.openxmlformats.org/officeDocument/2006/relationships/image" Target="../media/image3197.jpeg"/><Relationship Id="rId257" Type="http://schemas.openxmlformats.org/officeDocument/2006/relationships/image" Target="../media/image325.jpeg"/><Relationship Id="rId464" Type="http://schemas.openxmlformats.org/officeDocument/2006/relationships/image" Target="../media/image532.jpeg"/><Relationship Id="rId1094" Type="http://schemas.openxmlformats.org/officeDocument/2006/relationships/image" Target="../media/image1162.jpeg"/><Relationship Id="rId2145" Type="http://schemas.openxmlformats.org/officeDocument/2006/relationships/image" Target="../media/image2213.jpeg"/><Relationship Id="rId117" Type="http://schemas.openxmlformats.org/officeDocument/2006/relationships/image" Target="../media/image185.jpeg"/><Relationship Id="rId671" Type="http://schemas.openxmlformats.org/officeDocument/2006/relationships/image" Target="../media/image739.jpeg"/><Relationship Id="rId2352" Type="http://schemas.openxmlformats.org/officeDocument/2006/relationships/image" Target="../media/image2420.jpeg"/><Relationship Id="rId324" Type="http://schemas.openxmlformats.org/officeDocument/2006/relationships/image" Target="../media/image392.jpeg"/><Relationship Id="rId531" Type="http://schemas.openxmlformats.org/officeDocument/2006/relationships/image" Target="../media/image599.jpeg"/><Relationship Id="rId1161" Type="http://schemas.openxmlformats.org/officeDocument/2006/relationships/image" Target="../media/image1229.jpeg"/><Relationship Id="rId2005" Type="http://schemas.openxmlformats.org/officeDocument/2006/relationships/image" Target="../media/image2073.jpeg"/><Relationship Id="rId2212" Type="http://schemas.openxmlformats.org/officeDocument/2006/relationships/image" Target="../media/image2280.jpeg"/><Relationship Id="rId1021" Type="http://schemas.openxmlformats.org/officeDocument/2006/relationships/image" Target="../media/image1089.jpeg"/><Relationship Id="rId1978" Type="http://schemas.openxmlformats.org/officeDocument/2006/relationships/image" Target="../media/image2046.jpeg"/><Relationship Id="rId1838" Type="http://schemas.openxmlformats.org/officeDocument/2006/relationships/image" Target="../media/image1906.jpeg"/><Relationship Id="rId3053" Type="http://schemas.openxmlformats.org/officeDocument/2006/relationships/image" Target="../media/image3121.jpeg"/><Relationship Id="rId181" Type="http://schemas.openxmlformats.org/officeDocument/2006/relationships/image" Target="../media/image249.jpeg"/><Relationship Id="rId1905" Type="http://schemas.openxmlformats.org/officeDocument/2006/relationships/image" Target="../media/image1973.jpeg"/><Relationship Id="rId3120" Type="http://schemas.openxmlformats.org/officeDocument/2006/relationships/image" Target="../media/image3188.jpeg"/><Relationship Id="rId998" Type="http://schemas.openxmlformats.org/officeDocument/2006/relationships/image" Target="../media/image1066.jpeg"/><Relationship Id="rId2679" Type="http://schemas.openxmlformats.org/officeDocument/2006/relationships/image" Target="../media/image2747.jpeg"/><Relationship Id="rId2886" Type="http://schemas.openxmlformats.org/officeDocument/2006/relationships/image" Target="../media/image2954.jpeg"/><Relationship Id="rId858" Type="http://schemas.openxmlformats.org/officeDocument/2006/relationships/image" Target="../media/image926.jpeg"/><Relationship Id="rId1488" Type="http://schemas.openxmlformats.org/officeDocument/2006/relationships/image" Target="../media/image1556.jpeg"/><Relationship Id="rId1695" Type="http://schemas.openxmlformats.org/officeDocument/2006/relationships/image" Target="../media/image1763.jpeg"/><Relationship Id="rId2539" Type="http://schemas.openxmlformats.org/officeDocument/2006/relationships/image" Target="../media/image2607.jpeg"/><Relationship Id="rId2746" Type="http://schemas.openxmlformats.org/officeDocument/2006/relationships/image" Target="../media/image2814.jpeg"/><Relationship Id="rId2953" Type="http://schemas.openxmlformats.org/officeDocument/2006/relationships/image" Target="../media/image3021.jpeg"/><Relationship Id="rId718" Type="http://schemas.openxmlformats.org/officeDocument/2006/relationships/image" Target="../media/image786.jpeg"/><Relationship Id="rId925" Type="http://schemas.openxmlformats.org/officeDocument/2006/relationships/image" Target="../media/image993.jpeg"/><Relationship Id="rId1348" Type="http://schemas.openxmlformats.org/officeDocument/2006/relationships/image" Target="../media/image1416.jpeg"/><Relationship Id="rId1555" Type="http://schemas.openxmlformats.org/officeDocument/2006/relationships/image" Target="../media/image1623.jpeg"/><Relationship Id="rId1762" Type="http://schemas.openxmlformats.org/officeDocument/2006/relationships/image" Target="../media/image1830.jpeg"/><Relationship Id="rId2606" Type="http://schemas.openxmlformats.org/officeDocument/2006/relationships/image" Target="../media/image2674.jpeg"/><Relationship Id="rId1208" Type="http://schemas.openxmlformats.org/officeDocument/2006/relationships/image" Target="../media/image1276.jpeg"/><Relationship Id="rId1415" Type="http://schemas.openxmlformats.org/officeDocument/2006/relationships/image" Target="../media/image1483.jpeg"/><Relationship Id="rId2813" Type="http://schemas.openxmlformats.org/officeDocument/2006/relationships/image" Target="../media/image2881.jpeg"/><Relationship Id="rId54" Type="http://schemas.openxmlformats.org/officeDocument/2006/relationships/image" Target="../media/image122.jpeg"/><Relationship Id="rId1622" Type="http://schemas.openxmlformats.org/officeDocument/2006/relationships/image" Target="../media/image1690.jpeg"/><Relationship Id="rId2189" Type="http://schemas.openxmlformats.org/officeDocument/2006/relationships/image" Target="../media/image2257.jpeg"/><Relationship Id="rId2396" Type="http://schemas.openxmlformats.org/officeDocument/2006/relationships/image" Target="../media/image2464.jpeg"/><Relationship Id="rId368" Type="http://schemas.openxmlformats.org/officeDocument/2006/relationships/image" Target="../media/image436.jpeg"/><Relationship Id="rId575" Type="http://schemas.openxmlformats.org/officeDocument/2006/relationships/image" Target="../media/image643.jpeg"/><Relationship Id="rId782" Type="http://schemas.openxmlformats.org/officeDocument/2006/relationships/image" Target="../media/image850.jpeg"/><Relationship Id="rId2049" Type="http://schemas.openxmlformats.org/officeDocument/2006/relationships/image" Target="../media/image2117.jpeg"/><Relationship Id="rId2256" Type="http://schemas.openxmlformats.org/officeDocument/2006/relationships/image" Target="../media/image2324.jpeg"/><Relationship Id="rId2463" Type="http://schemas.openxmlformats.org/officeDocument/2006/relationships/image" Target="../media/image2531.jpeg"/><Relationship Id="rId2670" Type="http://schemas.openxmlformats.org/officeDocument/2006/relationships/image" Target="../media/image2738.jpeg"/><Relationship Id="rId228" Type="http://schemas.openxmlformats.org/officeDocument/2006/relationships/image" Target="../media/image296.jpeg"/><Relationship Id="rId435" Type="http://schemas.openxmlformats.org/officeDocument/2006/relationships/image" Target="../media/image503.jpeg"/><Relationship Id="rId642" Type="http://schemas.openxmlformats.org/officeDocument/2006/relationships/image" Target="../media/image710.jpeg"/><Relationship Id="rId1065" Type="http://schemas.openxmlformats.org/officeDocument/2006/relationships/image" Target="../media/image1133.jpeg"/><Relationship Id="rId1272" Type="http://schemas.openxmlformats.org/officeDocument/2006/relationships/image" Target="../media/image1340.jpeg"/><Relationship Id="rId2116" Type="http://schemas.openxmlformats.org/officeDocument/2006/relationships/image" Target="../media/image2184.jpeg"/><Relationship Id="rId2323" Type="http://schemas.openxmlformats.org/officeDocument/2006/relationships/image" Target="../media/image2391.jpeg"/><Relationship Id="rId2530" Type="http://schemas.openxmlformats.org/officeDocument/2006/relationships/image" Target="../media/image2598.jpeg"/><Relationship Id="rId502" Type="http://schemas.openxmlformats.org/officeDocument/2006/relationships/image" Target="../media/image570.jpeg"/><Relationship Id="rId1132" Type="http://schemas.openxmlformats.org/officeDocument/2006/relationships/image" Target="../media/image1200.jpeg"/><Relationship Id="rId3097" Type="http://schemas.openxmlformats.org/officeDocument/2006/relationships/image" Target="../media/image3165.jpeg"/><Relationship Id="rId1949" Type="http://schemas.openxmlformats.org/officeDocument/2006/relationships/image" Target="../media/image2017.jpeg"/><Relationship Id="rId292" Type="http://schemas.openxmlformats.org/officeDocument/2006/relationships/image" Target="../media/image360.jpeg"/><Relationship Id="rId1809" Type="http://schemas.openxmlformats.org/officeDocument/2006/relationships/image" Target="../media/image1877.jpeg"/><Relationship Id="rId2180" Type="http://schemas.openxmlformats.org/officeDocument/2006/relationships/image" Target="../media/image2248.jpeg"/><Relationship Id="rId3024" Type="http://schemas.openxmlformats.org/officeDocument/2006/relationships/image" Target="../media/image3092.jpeg"/><Relationship Id="rId152" Type="http://schemas.openxmlformats.org/officeDocument/2006/relationships/image" Target="../media/image220.jpeg"/><Relationship Id="rId457" Type="http://schemas.openxmlformats.org/officeDocument/2006/relationships/image" Target="../media/image525.jpeg"/><Relationship Id="rId1087" Type="http://schemas.openxmlformats.org/officeDocument/2006/relationships/image" Target="../media/image1155.jpeg"/><Relationship Id="rId1294" Type="http://schemas.openxmlformats.org/officeDocument/2006/relationships/image" Target="../media/image1362.jpeg"/><Relationship Id="rId2040" Type="http://schemas.openxmlformats.org/officeDocument/2006/relationships/image" Target="../media/image2108.jpeg"/><Relationship Id="rId2138" Type="http://schemas.openxmlformats.org/officeDocument/2006/relationships/image" Target="../media/image2206.jpeg"/><Relationship Id="rId2692" Type="http://schemas.openxmlformats.org/officeDocument/2006/relationships/image" Target="../media/image2760.jpeg"/><Relationship Id="rId2997" Type="http://schemas.openxmlformats.org/officeDocument/2006/relationships/image" Target="../media/image3065.jpeg"/><Relationship Id="rId664" Type="http://schemas.openxmlformats.org/officeDocument/2006/relationships/image" Target="../media/image732.jpeg"/><Relationship Id="rId871" Type="http://schemas.openxmlformats.org/officeDocument/2006/relationships/image" Target="../media/image939.jpeg"/><Relationship Id="rId969" Type="http://schemas.openxmlformats.org/officeDocument/2006/relationships/image" Target="../media/image1037.jpeg"/><Relationship Id="rId1599" Type="http://schemas.openxmlformats.org/officeDocument/2006/relationships/image" Target="../media/image1667.jpeg"/><Relationship Id="rId2345" Type="http://schemas.openxmlformats.org/officeDocument/2006/relationships/image" Target="../media/image2413.jpeg"/><Relationship Id="rId2552" Type="http://schemas.openxmlformats.org/officeDocument/2006/relationships/image" Target="../media/image2620.jpeg"/><Relationship Id="rId317" Type="http://schemas.openxmlformats.org/officeDocument/2006/relationships/image" Target="../media/image385.jpeg"/><Relationship Id="rId524" Type="http://schemas.openxmlformats.org/officeDocument/2006/relationships/image" Target="../media/image592.jpeg"/><Relationship Id="rId731" Type="http://schemas.openxmlformats.org/officeDocument/2006/relationships/image" Target="../media/image799.jpeg"/><Relationship Id="rId1154" Type="http://schemas.openxmlformats.org/officeDocument/2006/relationships/image" Target="../media/image1222.jpeg"/><Relationship Id="rId1361" Type="http://schemas.openxmlformats.org/officeDocument/2006/relationships/image" Target="../media/image1429.jpeg"/><Relationship Id="rId1459" Type="http://schemas.openxmlformats.org/officeDocument/2006/relationships/image" Target="../media/image1527.jpeg"/><Relationship Id="rId2205" Type="http://schemas.openxmlformats.org/officeDocument/2006/relationships/image" Target="../media/image2273.jpeg"/><Relationship Id="rId2412" Type="http://schemas.openxmlformats.org/officeDocument/2006/relationships/image" Target="../media/image2480.jpeg"/><Relationship Id="rId2857" Type="http://schemas.openxmlformats.org/officeDocument/2006/relationships/image" Target="../media/image2925.jpeg"/><Relationship Id="rId98" Type="http://schemas.openxmlformats.org/officeDocument/2006/relationships/image" Target="../media/image166.jpeg"/><Relationship Id="rId829" Type="http://schemas.openxmlformats.org/officeDocument/2006/relationships/image" Target="../media/image897.jpeg"/><Relationship Id="rId1014" Type="http://schemas.openxmlformats.org/officeDocument/2006/relationships/image" Target="../media/image1082.jpeg"/><Relationship Id="rId1221" Type="http://schemas.openxmlformats.org/officeDocument/2006/relationships/image" Target="../media/image1289.jpeg"/><Relationship Id="rId1666" Type="http://schemas.openxmlformats.org/officeDocument/2006/relationships/image" Target="../media/image1734.jpeg"/><Relationship Id="rId1873" Type="http://schemas.openxmlformats.org/officeDocument/2006/relationships/image" Target="../media/image1941.jpeg"/><Relationship Id="rId2717" Type="http://schemas.openxmlformats.org/officeDocument/2006/relationships/image" Target="../media/image2785.jpeg"/><Relationship Id="rId2924" Type="http://schemas.openxmlformats.org/officeDocument/2006/relationships/image" Target="../media/image2992.jpeg"/><Relationship Id="rId1319" Type="http://schemas.openxmlformats.org/officeDocument/2006/relationships/image" Target="../media/image1387.jpeg"/><Relationship Id="rId1526" Type="http://schemas.openxmlformats.org/officeDocument/2006/relationships/image" Target="../media/image1594.jpeg"/><Relationship Id="rId1733" Type="http://schemas.openxmlformats.org/officeDocument/2006/relationships/image" Target="../media/image1801.jpeg"/><Relationship Id="rId1940" Type="http://schemas.openxmlformats.org/officeDocument/2006/relationships/image" Target="../media/image2008.jpeg"/><Relationship Id="rId25" Type="http://schemas.openxmlformats.org/officeDocument/2006/relationships/image" Target="../media/image93.jpeg"/><Relationship Id="rId1800" Type="http://schemas.openxmlformats.org/officeDocument/2006/relationships/image" Target="../media/image1868.jpeg"/><Relationship Id="rId3046" Type="http://schemas.openxmlformats.org/officeDocument/2006/relationships/image" Target="../media/image3114.jpeg"/><Relationship Id="rId174" Type="http://schemas.openxmlformats.org/officeDocument/2006/relationships/image" Target="../media/image242.jpeg"/><Relationship Id="rId381" Type="http://schemas.openxmlformats.org/officeDocument/2006/relationships/image" Target="../media/image449.jpeg"/><Relationship Id="rId2062" Type="http://schemas.openxmlformats.org/officeDocument/2006/relationships/image" Target="../media/image2130.jpeg"/><Relationship Id="rId3113" Type="http://schemas.openxmlformats.org/officeDocument/2006/relationships/image" Target="../media/image3181.jpeg"/><Relationship Id="rId241" Type="http://schemas.openxmlformats.org/officeDocument/2006/relationships/image" Target="../media/image309.jpeg"/><Relationship Id="rId479" Type="http://schemas.openxmlformats.org/officeDocument/2006/relationships/image" Target="../media/image547.jpeg"/><Relationship Id="rId686" Type="http://schemas.openxmlformats.org/officeDocument/2006/relationships/image" Target="../media/image754.jpeg"/><Relationship Id="rId893" Type="http://schemas.openxmlformats.org/officeDocument/2006/relationships/image" Target="../media/image961.jpeg"/><Relationship Id="rId2367" Type="http://schemas.openxmlformats.org/officeDocument/2006/relationships/image" Target="../media/image2435.jpeg"/><Relationship Id="rId2574" Type="http://schemas.openxmlformats.org/officeDocument/2006/relationships/image" Target="../media/image2642.jpeg"/><Relationship Id="rId2781" Type="http://schemas.openxmlformats.org/officeDocument/2006/relationships/image" Target="../media/image2849.jpeg"/><Relationship Id="rId339" Type="http://schemas.openxmlformats.org/officeDocument/2006/relationships/image" Target="../media/image407.jpeg"/><Relationship Id="rId546" Type="http://schemas.openxmlformats.org/officeDocument/2006/relationships/image" Target="../media/image614.jpeg"/><Relationship Id="rId753" Type="http://schemas.openxmlformats.org/officeDocument/2006/relationships/image" Target="../media/image821.jpeg"/><Relationship Id="rId1176" Type="http://schemas.openxmlformats.org/officeDocument/2006/relationships/image" Target="../media/image1244.jpeg"/><Relationship Id="rId1383" Type="http://schemas.openxmlformats.org/officeDocument/2006/relationships/image" Target="../media/image1451.jpeg"/><Relationship Id="rId2227" Type="http://schemas.openxmlformats.org/officeDocument/2006/relationships/image" Target="../media/image2295.jpeg"/><Relationship Id="rId2434" Type="http://schemas.openxmlformats.org/officeDocument/2006/relationships/image" Target="../media/image2502.jpeg"/><Relationship Id="rId2879" Type="http://schemas.openxmlformats.org/officeDocument/2006/relationships/image" Target="../media/image2947.jpeg"/><Relationship Id="rId101" Type="http://schemas.openxmlformats.org/officeDocument/2006/relationships/image" Target="../media/image169.jpeg"/><Relationship Id="rId406" Type="http://schemas.openxmlformats.org/officeDocument/2006/relationships/image" Target="../media/image474.jpeg"/><Relationship Id="rId960" Type="http://schemas.openxmlformats.org/officeDocument/2006/relationships/image" Target="../media/image1028.jpeg"/><Relationship Id="rId1036" Type="http://schemas.openxmlformats.org/officeDocument/2006/relationships/image" Target="../media/image1104.jpeg"/><Relationship Id="rId1243" Type="http://schemas.openxmlformats.org/officeDocument/2006/relationships/image" Target="../media/image1311.jpeg"/><Relationship Id="rId1590" Type="http://schemas.openxmlformats.org/officeDocument/2006/relationships/image" Target="../media/image1658.jpeg"/><Relationship Id="rId1688" Type="http://schemas.openxmlformats.org/officeDocument/2006/relationships/image" Target="../media/image1756.jpeg"/><Relationship Id="rId1895" Type="http://schemas.openxmlformats.org/officeDocument/2006/relationships/image" Target="../media/image1963.jpeg"/><Relationship Id="rId2641" Type="http://schemas.openxmlformats.org/officeDocument/2006/relationships/image" Target="../media/image2709.jpeg"/><Relationship Id="rId2739" Type="http://schemas.openxmlformats.org/officeDocument/2006/relationships/image" Target="../media/image2807.jpeg"/><Relationship Id="rId2946" Type="http://schemas.openxmlformats.org/officeDocument/2006/relationships/image" Target="../media/image3014.jpeg"/><Relationship Id="rId613" Type="http://schemas.openxmlformats.org/officeDocument/2006/relationships/image" Target="../media/image681.jpeg"/><Relationship Id="rId820" Type="http://schemas.openxmlformats.org/officeDocument/2006/relationships/image" Target="../media/image888.jpeg"/><Relationship Id="rId918" Type="http://schemas.openxmlformats.org/officeDocument/2006/relationships/image" Target="../media/image986.jpeg"/><Relationship Id="rId1450" Type="http://schemas.openxmlformats.org/officeDocument/2006/relationships/image" Target="../media/image1518.jpeg"/><Relationship Id="rId1548" Type="http://schemas.openxmlformats.org/officeDocument/2006/relationships/image" Target="../media/image1616.jpeg"/><Relationship Id="rId1755" Type="http://schemas.openxmlformats.org/officeDocument/2006/relationships/image" Target="../media/image1823.jpeg"/><Relationship Id="rId2501" Type="http://schemas.openxmlformats.org/officeDocument/2006/relationships/image" Target="../media/image2569.jpeg"/><Relationship Id="rId1103" Type="http://schemas.openxmlformats.org/officeDocument/2006/relationships/image" Target="../media/image1171.jpeg"/><Relationship Id="rId1310" Type="http://schemas.openxmlformats.org/officeDocument/2006/relationships/image" Target="../media/image1378.jpeg"/><Relationship Id="rId1408" Type="http://schemas.openxmlformats.org/officeDocument/2006/relationships/image" Target="../media/image1476.jpeg"/><Relationship Id="rId1962" Type="http://schemas.openxmlformats.org/officeDocument/2006/relationships/image" Target="../media/image2030.jpeg"/><Relationship Id="rId2806" Type="http://schemas.openxmlformats.org/officeDocument/2006/relationships/image" Target="../media/image2874.jpeg"/><Relationship Id="rId47" Type="http://schemas.openxmlformats.org/officeDocument/2006/relationships/image" Target="../media/image115.jpeg"/><Relationship Id="rId1615" Type="http://schemas.openxmlformats.org/officeDocument/2006/relationships/image" Target="../media/image1683.jpeg"/><Relationship Id="rId1822" Type="http://schemas.openxmlformats.org/officeDocument/2006/relationships/image" Target="../media/image1890.jpeg"/><Relationship Id="rId3068" Type="http://schemas.openxmlformats.org/officeDocument/2006/relationships/image" Target="../media/image3136.jpeg"/><Relationship Id="rId196" Type="http://schemas.openxmlformats.org/officeDocument/2006/relationships/image" Target="../media/image264.jpeg"/><Relationship Id="rId2084" Type="http://schemas.openxmlformats.org/officeDocument/2006/relationships/image" Target="../media/image2152.jpeg"/><Relationship Id="rId2291" Type="http://schemas.openxmlformats.org/officeDocument/2006/relationships/image" Target="../media/image2359.jpeg"/><Relationship Id="rId3135" Type="http://schemas.openxmlformats.org/officeDocument/2006/relationships/image" Target="../media/image3203.jpeg"/><Relationship Id="rId263" Type="http://schemas.openxmlformats.org/officeDocument/2006/relationships/image" Target="../media/image331.jpeg"/><Relationship Id="rId470" Type="http://schemas.openxmlformats.org/officeDocument/2006/relationships/image" Target="../media/image538.jpeg"/><Relationship Id="rId2151" Type="http://schemas.openxmlformats.org/officeDocument/2006/relationships/image" Target="../media/image2219.jpeg"/><Relationship Id="rId2389" Type="http://schemas.openxmlformats.org/officeDocument/2006/relationships/image" Target="../media/image2457.jpeg"/><Relationship Id="rId2596" Type="http://schemas.openxmlformats.org/officeDocument/2006/relationships/image" Target="../media/image2664.jpeg"/><Relationship Id="rId123" Type="http://schemas.openxmlformats.org/officeDocument/2006/relationships/image" Target="../media/image191.jpeg"/><Relationship Id="rId330" Type="http://schemas.openxmlformats.org/officeDocument/2006/relationships/image" Target="../media/image398.jpeg"/><Relationship Id="rId568" Type="http://schemas.openxmlformats.org/officeDocument/2006/relationships/image" Target="../media/image636.jpeg"/><Relationship Id="rId775" Type="http://schemas.openxmlformats.org/officeDocument/2006/relationships/image" Target="../media/image843.jpeg"/><Relationship Id="rId982" Type="http://schemas.openxmlformats.org/officeDocument/2006/relationships/image" Target="../media/image1050.jpeg"/><Relationship Id="rId1198" Type="http://schemas.openxmlformats.org/officeDocument/2006/relationships/image" Target="../media/image1266.jpeg"/><Relationship Id="rId2011" Type="http://schemas.openxmlformats.org/officeDocument/2006/relationships/image" Target="../media/image2079.jpeg"/><Relationship Id="rId2249" Type="http://schemas.openxmlformats.org/officeDocument/2006/relationships/image" Target="../media/image2317.jpeg"/><Relationship Id="rId2456" Type="http://schemas.openxmlformats.org/officeDocument/2006/relationships/image" Target="../media/image2524.jpeg"/><Relationship Id="rId2663" Type="http://schemas.openxmlformats.org/officeDocument/2006/relationships/image" Target="../media/image2731.jpeg"/><Relationship Id="rId2870" Type="http://schemas.openxmlformats.org/officeDocument/2006/relationships/image" Target="../media/image2938.jpeg"/><Relationship Id="rId428" Type="http://schemas.openxmlformats.org/officeDocument/2006/relationships/image" Target="../media/image496.jpeg"/><Relationship Id="rId635" Type="http://schemas.openxmlformats.org/officeDocument/2006/relationships/image" Target="../media/image703.jpeg"/><Relationship Id="rId842" Type="http://schemas.openxmlformats.org/officeDocument/2006/relationships/image" Target="../media/image910.jpeg"/><Relationship Id="rId1058" Type="http://schemas.openxmlformats.org/officeDocument/2006/relationships/image" Target="../media/image1126.jpeg"/><Relationship Id="rId1265" Type="http://schemas.openxmlformats.org/officeDocument/2006/relationships/image" Target="../media/image1333.jpeg"/><Relationship Id="rId1472" Type="http://schemas.openxmlformats.org/officeDocument/2006/relationships/image" Target="../media/image1540.jpeg"/><Relationship Id="rId2109" Type="http://schemas.openxmlformats.org/officeDocument/2006/relationships/image" Target="../media/image2177.jpeg"/><Relationship Id="rId2316" Type="http://schemas.openxmlformats.org/officeDocument/2006/relationships/image" Target="../media/image2384.jpeg"/><Relationship Id="rId2523" Type="http://schemas.openxmlformats.org/officeDocument/2006/relationships/image" Target="../media/image2591.jpeg"/><Relationship Id="rId2730" Type="http://schemas.openxmlformats.org/officeDocument/2006/relationships/image" Target="../media/image2798.jpeg"/><Relationship Id="rId2968" Type="http://schemas.openxmlformats.org/officeDocument/2006/relationships/image" Target="../media/image3036.jpeg"/><Relationship Id="rId702" Type="http://schemas.openxmlformats.org/officeDocument/2006/relationships/image" Target="../media/image770.jpeg"/><Relationship Id="rId1125" Type="http://schemas.openxmlformats.org/officeDocument/2006/relationships/image" Target="../media/image1193.jpeg"/><Relationship Id="rId1332" Type="http://schemas.openxmlformats.org/officeDocument/2006/relationships/image" Target="../media/image1400.jpeg"/><Relationship Id="rId1777" Type="http://schemas.openxmlformats.org/officeDocument/2006/relationships/image" Target="../media/image1845.jpeg"/><Relationship Id="rId1984" Type="http://schemas.openxmlformats.org/officeDocument/2006/relationships/image" Target="../media/image2052.jpeg"/><Relationship Id="rId2828" Type="http://schemas.openxmlformats.org/officeDocument/2006/relationships/image" Target="../media/image2896.jpeg"/><Relationship Id="rId69" Type="http://schemas.openxmlformats.org/officeDocument/2006/relationships/image" Target="../media/image137.jpeg"/><Relationship Id="rId1637" Type="http://schemas.openxmlformats.org/officeDocument/2006/relationships/image" Target="../media/image1705.jpeg"/><Relationship Id="rId1844" Type="http://schemas.openxmlformats.org/officeDocument/2006/relationships/image" Target="../media/image1912.jpeg"/><Relationship Id="rId1704" Type="http://schemas.openxmlformats.org/officeDocument/2006/relationships/image" Target="../media/image1772.jpeg"/><Relationship Id="rId285" Type="http://schemas.openxmlformats.org/officeDocument/2006/relationships/image" Target="../media/image353.jpeg"/><Relationship Id="rId1911" Type="http://schemas.openxmlformats.org/officeDocument/2006/relationships/image" Target="../media/image1979.jpeg"/><Relationship Id="rId492" Type="http://schemas.openxmlformats.org/officeDocument/2006/relationships/image" Target="../media/image560.jpeg"/><Relationship Id="rId797" Type="http://schemas.openxmlformats.org/officeDocument/2006/relationships/image" Target="../media/image865.jpeg"/><Relationship Id="rId2173" Type="http://schemas.openxmlformats.org/officeDocument/2006/relationships/image" Target="../media/image2241.jpeg"/><Relationship Id="rId2380" Type="http://schemas.openxmlformats.org/officeDocument/2006/relationships/image" Target="../media/image2448.jpeg"/><Relationship Id="rId2478" Type="http://schemas.openxmlformats.org/officeDocument/2006/relationships/image" Target="../media/image2546.jpeg"/><Relationship Id="rId3017" Type="http://schemas.openxmlformats.org/officeDocument/2006/relationships/image" Target="../media/image3085.jpeg"/><Relationship Id="rId145" Type="http://schemas.openxmlformats.org/officeDocument/2006/relationships/image" Target="../media/image213.jpeg"/><Relationship Id="rId352" Type="http://schemas.openxmlformats.org/officeDocument/2006/relationships/image" Target="../media/image420.jpeg"/><Relationship Id="rId1287" Type="http://schemas.openxmlformats.org/officeDocument/2006/relationships/image" Target="../media/image1355.jpeg"/><Relationship Id="rId2033" Type="http://schemas.openxmlformats.org/officeDocument/2006/relationships/image" Target="../media/image2101.jpeg"/><Relationship Id="rId2240" Type="http://schemas.openxmlformats.org/officeDocument/2006/relationships/image" Target="../media/image2308.jpeg"/><Relationship Id="rId2685" Type="http://schemas.openxmlformats.org/officeDocument/2006/relationships/image" Target="../media/image2753.jpeg"/><Relationship Id="rId2892" Type="http://schemas.openxmlformats.org/officeDocument/2006/relationships/image" Target="../media/image2960.jpeg"/><Relationship Id="rId212" Type="http://schemas.openxmlformats.org/officeDocument/2006/relationships/image" Target="../media/image280.jpeg"/><Relationship Id="rId657" Type="http://schemas.openxmlformats.org/officeDocument/2006/relationships/image" Target="../media/image725.jpeg"/><Relationship Id="rId864" Type="http://schemas.openxmlformats.org/officeDocument/2006/relationships/image" Target="../media/image932.jpeg"/><Relationship Id="rId1494" Type="http://schemas.openxmlformats.org/officeDocument/2006/relationships/image" Target="../media/image1562.jpeg"/><Relationship Id="rId1799" Type="http://schemas.openxmlformats.org/officeDocument/2006/relationships/image" Target="../media/image1867.jpeg"/><Relationship Id="rId2100" Type="http://schemas.openxmlformats.org/officeDocument/2006/relationships/image" Target="../media/image2168.jpeg"/><Relationship Id="rId2338" Type="http://schemas.openxmlformats.org/officeDocument/2006/relationships/image" Target="../media/image2406.jpeg"/><Relationship Id="rId2545" Type="http://schemas.openxmlformats.org/officeDocument/2006/relationships/image" Target="../media/image2613.jpeg"/><Relationship Id="rId2752" Type="http://schemas.openxmlformats.org/officeDocument/2006/relationships/image" Target="../media/image2820.jpeg"/><Relationship Id="rId517" Type="http://schemas.openxmlformats.org/officeDocument/2006/relationships/image" Target="../media/image585.jpeg"/><Relationship Id="rId724" Type="http://schemas.openxmlformats.org/officeDocument/2006/relationships/image" Target="../media/image792.jpeg"/><Relationship Id="rId931" Type="http://schemas.openxmlformats.org/officeDocument/2006/relationships/image" Target="../media/image999.jpeg"/><Relationship Id="rId1147" Type="http://schemas.openxmlformats.org/officeDocument/2006/relationships/image" Target="../media/image1215.jpeg"/><Relationship Id="rId1354" Type="http://schemas.openxmlformats.org/officeDocument/2006/relationships/image" Target="../media/image1422.jpeg"/><Relationship Id="rId1561" Type="http://schemas.openxmlformats.org/officeDocument/2006/relationships/image" Target="../media/image1629.jpeg"/><Relationship Id="rId2405" Type="http://schemas.openxmlformats.org/officeDocument/2006/relationships/image" Target="../media/image2473.jpeg"/><Relationship Id="rId2612" Type="http://schemas.openxmlformats.org/officeDocument/2006/relationships/image" Target="../media/image2680.jpeg"/><Relationship Id="rId60" Type="http://schemas.openxmlformats.org/officeDocument/2006/relationships/image" Target="../media/image128.jpeg"/><Relationship Id="rId1007" Type="http://schemas.openxmlformats.org/officeDocument/2006/relationships/image" Target="../media/image1075.jpeg"/><Relationship Id="rId1214" Type="http://schemas.openxmlformats.org/officeDocument/2006/relationships/image" Target="../media/image1282.jpeg"/><Relationship Id="rId1421" Type="http://schemas.openxmlformats.org/officeDocument/2006/relationships/image" Target="../media/image1489.jpeg"/><Relationship Id="rId1659" Type="http://schemas.openxmlformats.org/officeDocument/2006/relationships/image" Target="../media/image1727.jpeg"/><Relationship Id="rId1866" Type="http://schemas.openxmlformats.org/officeDocument/2006/relationships/image" Target="../media/image1934.jpeg"/><Relationship Id="rId2917" Type="http://schemas.openxmlformats.org/officeDocument/2006/relationships/image" Target="../media/image2985.jpeg"/><Relationship Id="rId3081" Type="http://schemas.openxmlformats.org/officeDocument/2006/relationships/image" Target="../media/image3149.jpeg"/><Relationship Id="rId1519" Type="http://schemas.openxmlformats.org/officeDocument/2006/relationships/image" Target="../media/image1587.jpeg"/><Relationship Id="rId1726" Type="http://schemas.openxmlformats.org/officeDocument/2006/relationships/image" Target="../media/image1794.jpeg"/><Relationship Id="rId1933" Type="http://schemas.openxmlformats.org/officeDocument/2006/relationships/image" Target="../media/image2001.jpeg"/><Relationship Id="rId18" Type="http://schemas.openxmlformats.org/officeDocument/2006/relationships/image" Target="../media/image86.jpeg"/><Relationship Id="rId2195" Type="http://schemas.openxmlformats.org/officeDocument/2006/relationships/image" Target="../media/image2263.jpeg"/><Relationship Id="rId3039" Type="http://schemas.openxmlformats.org/officeDocument/2006/relationships/image" Target="../media/image3107.jpeg"/><Relationship Id="rId167" Type="http://schemas.openxmlformats.org/officeDocument/2006/relationships/image" Target="../media/image235.jpeg"/><Relationship Id="rId374" Type="http://schemas.openxmlformats.org/officeDocument/2006/relationships/image" Target="../media/image442.jpeg"/><Relationship Id="rId581" Type="http://schemas.openxmlformats.org/officeDocument/2006/relationships/image" Target="../media/image649.jpeg"/><Relationship Id="rId2055" Type="http://schemas.openxmlformats.org/officeDocument/2006/relationships/image" Target="../media/image2123.jpeg"/><Relationship Id="rId2262" Type="http://schemas.openxmlformats.org/officeDocument/2006/relationships/image" Target="../media/image2330.jpeg"/><Relationship Id="rId3106" Type="http://schemas.openxmlformats.org/officeDocument/2006/relationships/image" Target="../media/image3174.jpeg"/><Relationship Id="rId234" Type="http://schemas.openxmlformats.org/officeDocument/2006/relationships/image" Target="../media/image302.jpeg"/><Relationship Id="rId679" Type="http://schemas.openxmlformats.org/officeDocument/2006/relationships/image" Target="../media/image747.jpeg"/><Relationship Id="rId886" Type="http://schemas.openxmlformats.org/officeDocument/2006/relationships/image" Target="../media/image954.jpeg"/><Relationship Id="rId2567" Type="http://schemas.openxmlformats.org/officeDocument/2006/relationships/image" Target="../media/image2635.jpeg"/><Relationship Id="rId2774" Type="http://schemas.openxmlformats.org/officeDocument/2006/relationships/image" Target="../media/image2842.jpeg"/><Relationship Id="rId2" Type="http://schemas.openxmlformats.org/officeDocument/2006/relationships/image" Target="../media/image70.jpeg"/><Relationship Id="rId441" Type="http://schemas.openxmlformats.org/officeDocument/2006/relationships/image" Target="../media/image509.jpeg"/><Relationship Id="rId539" Type="http://schemas.openxmlformats.org/officeDocument/2006/relationships/image" Target="../media/image607.jpeg"/><Relationship Id="rId746" Type="http://schemas.openxmlformats.org/officeDocument/2006/relationships/image" Target="../media/image814.jpeg"/><Relationship Id="rId1071" Type="http://schemas.openxmlformats.org/officeDocument/2006/relationships/image" Target="../media/image1139.jpeg"/><Relationship Id="rId1169" Type="http://schemas.openxmlformats.org/officeDocument/2006/relationships/image" Target="../media/image1237.jpeg"/><Relationship Id="rId1376" Type="http://schemas.openxmlformats.org/officeDocument/2006/relationships/image" Target="../media/image1444.jpeg"/><Relationship Id="rId1583" Type="http://schemas.openxmlformats.org/officeDocument/2006/relationships/image" Target="../media/image1651.jpeg"/><Relationship Id="rId2122" Type="http://schemas.openxmlformats.org/officeDocument/2006/relationships/image" Target="../media/image2190.jpeg"/><Relationship Id="rId2427" Type="http://schemas.openxmlformats.org/officeDocument/2006/relationships/image" Target="../media/image2495.jpeg"/><Relationship Id="rId2981" Type="http://schemas.openxmlformats.org/officeDocument/2006/relationships/image" Target="../media/image3049.jpeg"/><Relationship Id="rId301" Type="http://schemas.openxmlformats.org/officeDocument/2006/relationships/image" Target="../media/image369.jpeg"/><Relationship Id="rId953" Type="http://schemas.openxmlformats.org/officeDocument/2006/relationships/image" Target="../media/image1021.jpeg"/><Relationship Id="rId1029" Type="http://schemas.openxmlformats.org/officeDocument/2006/relationships/image" Target="../media/image1097.jpeg"/><Relationship Id="rId1236" Type="http://schemas.openxmlformats.org/officeDocument/2006/relationships/image" Target="../media/image1304.jpeg"/><Relationship Id="rId1790" Type="http://schemas.openxmlformats.org/officeDocument/2006/relationships/image" Target="../media/image1858.jpeg"/><Relationship Id="rId1888" Type="http://schemas.openxmlformats.org/officeDocument/2006/relationships/image" Target="../media/image1956.jpeg"/><Relationship Id="rId2634" Type="http://schemas.openxmlformats.org/officeDocument/2006/relationships/image" Target="../media/image2702.jpeg"/><Relationship Id="rId2841" Type="http://schemas.openxmlformats.org/officeDocument/2006/relationships/image" Target="../media/image2909.jpeg"/><Relationship Id="rId2939" Type="http://schemas.openxmlformats.org/officeDocument/2006/relationships/image" Target="../media/image3007.jpeg"/><Relationship Id="rId82" Type="http://schemas.openxmlformats.org/officeDocument/2006/relationships/image" Target="../media/image150.jpeg"/><Relationship Id="rId606" Type="http://schemas.openxmlformats.org/officeDocument/2006/relationships/image" Target="../media/image674.jpeg"/><Relationship Id="rId813" Type="http://schemas.openxmlformats.org/officeDocument/2006/relationships/image" Target="../media/image881.jpeg"/><Relationship Id="rId1443" Type="http://schemas.openxmlformats.org/officeDocument/2006/relationships/image" Target="../media/image1511.jpeg"/><Relationship Id="rId1650" Type="http://schemas.openxmlformats.org/officeDocument/2006/relationships/image" Target="../media/image1718.jpeg"/><Relationship Id="rId1748" Type="http://schemas.openxmlformats.org/officeDocument/2006/relationships/image" Target="../media/image1816.jpeg"/><Relationship Id="rId2701" Type="http://schemas.openxmlformats.org/officeDocument/2006/relationships/image" Target="../media/image2769.jpeg"/><Relationship Id="rId1303" Type="http://schemas.openxmlformats.org/officeDocument/2006/relationships/image" Target="../media/image1371.jpeg"/><Relationship Id="rId1510" Type="http://schemas.openxmlformats.org/officeDocument/2006/relationships/image" Target="../media/image1578.jpeg"/><Relationship Id="rId1955" Type="http://schemas.openxmlformats.org/officeDocument/2006/relationships/image" Target="../media/image2023.jpeg"/><Relationship Id="rId1608" Type="http://schemas.openxmlformats.org/officeDocument/2006/relationships/image" Target="../media/image1676.jpeg"/><Relationship Id="rId1815" Type="http://schemas.openxmlformats.org/officeDocument/2006/relationships/image" Target="../media/image1883.jpeg"/><Relationship Id="rId3030" Type="http://schemas.openxmlformats.org/officeDocument/2006/relationships/image" Target="../media/image3098.jpeg"/><Relationship Id="rId189" Type="http://schemas.openxmlformats.org/officeDocument/2006/relationships/image" Target="../media/image257.jpeg"/><Relationship Id="rId396" Type="http://schemas.openxmlformats.org/officeDocument/2006/relationships/image" Target="../media/image464.jpeg"/><Relationship Id="rId2077" Type="http://schemas.openxmlformats.org/officeDocument/2006/relationships/image" Target="../media/image2145.jpeg"/><Relationship Id="rId2284" Type="http://schemas.openxmlformats.org/officeDocument/2006/relationships/image" Target="../media/image2352.jpeg"/><Relationship Id="rId2491" Type="http://schemas.openxmlformats.org/officeDocument/2006/relationships/image" Target="../media/image2559.jpeg"/><Relationship Id="rId3128" Type="http://schemas.openxmlformats.org/officeDocument/2006/relationships/image" Target="../media/image3196.jpeg"/><Relationship Id="rId256" Type="http://schemas.openxmlformats.org/officeDocument/2006/relationships/image" Target="../media/image324.jpeg"/><Relationship Id="rId463" Type="http://schemas.openxmlformats.org/officeDocument/2006/relationships/image" Target="../media/image531.jpeg"/><Relationship Id="rId670" Type="http://schemas.openxmlformats.org/officeDocument/2006/relationships/image" Target="../media/image738.jpeg"/><Relationship Id="rId1093" Type="http://schemas.openxmlformats.org/officeDocument/2006/relationships/image" Target="../media/image1161.jpeg"/><Relationship Id="rId2144" Type="http://schemas.openxmlformats.org/officeDocument/2006/relationships/image" Target="../media/image2212.jpeg"/><Relationship Id="rId2351" Type="http://schemas.openxmlformats.org/officeDocument/2006/relationships/image" Target="../media/image2419.jpeg"/><Relationship Id="rId2589" Type="http://schemas.openxmlformats.org/officeDocument/2006/relationships/image" Target="../media/image2657.jpeg"/><Relationship Id="rId2796" Type="http://schemas.openxmlformats.org/officeDocument/2006/relationships/image" Target="../media/image2864.jpeg"/><Relationship Id="rId116" Type="http://schemas.openxmlformats.org/officeDocument/2006/relationships/image" Target="../media/image184.jpeg"/><Relationship Id="rId323" Type="http://schemas.openxmlformats.org/officeDocument/2006/relationships/image" Target="../media/image391.jpeg"/><Relationship Id="rId530" Type="http://schemas.openxmlformats.org/officeDocument/2006/relationships/image" Target="../media/image598.jpeg"/><Relationship Id="rId768" Type="http://schemas.openxmlformats.org/officeDocument/2006/relationships/image" Target="../media/image836.jpeg"/><Relationship Id="rId975" Type="http://schemas.openxmlformats.org/officeDocument/2006/relationships/image" Target="../media/image1043.jpeg"/><Relationship Id="rId1160" Type="http://schemas.openxmlformats.org/officeDocument/2006/relationships/image" Target="../media/image1228.jpeg"/><Relationship Id="rId1398" Type="http://schemas.openxmlformats.org/officeDocument/2006/relationships/image" Target="../media/image1466.jpeg"/><Relationship Id="rId2004" Type="http://schemas.openxmlformats.org/officeDocument/2006/relationships/image" Target="../media/image2072.jpeg"/><Relationship Id="rId2211" Type="http://schemas.openxmlformats.org/officeDocument/2006/relationships/image" Target="../media/image2279.jpeg"/><Relationship Id="rId2449" Type="http://schemas.openxmlformats.org/officeDocument/2006/relationships/image" Target="../media/image2517.jpeg"/><Relationship Id="rId2656" Type="http://schemas.openxmlformats.org/officeDocument/2006/relationships/image" Target="../media/image2724.jpeg"/><Relationship Id="rId2863" Type="http://schemas.openxmlformats.org/officeDocument/2006/relationships/image" Target="../media/image2931.jpeg"/><Relationship Id="rId628" Type="http://schemas.openxmlformats.org/officeDocument/2006/relationships/image" Target="../media/image696.jpeg"/><Relationship Id="rId835" Type="http://schemas.openxmlformats.org/officeDocument/2006/relationships/image" Target="../media/image903.jpeg"/><Relationship Id="rId1258" Type="http://schemas.openxmlformats.org/officeDocument/2006/relationships/image" Target="../media/image1326.jpeg"/><Relationship Id="rId1465" Type="http://schemas.openxmlformats.org/officeDocument/2006/relationships/image" Target="../media/image1533.jpeg"/><Relationship Id="rId1672" Type="http://schemas.openxmlformats.org/officeDocument/2006/relationships/image" Target="../media/image1740.jpeg"/><Relationship Id="rId2309" Type="http://schemas.openxmlformats.org/officeDocument/2006/relationships/image" Target="../media/image2377.jpeg"/><Relationship Id="rId2516" Type="http://schemas.openxmlformats.org/officeDocument/2006/relationships/image" Target="../media/image2584.jpeg"/><Relationship Id="rId2723" Type="http://schemas.openxmlformats.org/officeDocument/2006/relationships/image" Target="../media/image2791.jpeg"/><Relationship Id="rId1020" Type="http://schemas.openxmlformats.org/officeDocument/2006/relationships/image" Target="../media/image1088.jpeg"/><Relationship Id="rId1118" Type="http://schemas.openxmlformats.org/officeDocument/2006/relationships/image" Target="../media/image1186.jpeg"/><Relationship Id="rId1325" Type="http://schemas.openxmlformats.org/officeDocument/2006/relationships/image" Target="../media/image1393.jpeg"/><Relationship Id="rId1532" Type="http://schemas.openxmlformats.org/officeDocument/2006/relationships/image" Target="../media/image1600.jpeg"/><Relationship Id="rId1977" Type="http://schemas.openxmlformats.org/officeDocument/2006/relationships/image" Target="../media/image2045.jpeg"/><Relationship Id="rId2930" Type="http://schemas.openxmlformats.org/officeDocument/2006/relationships/image" Target="../media/image2998.jpeg"/><Relationship Id="rId902" Type="http://schemas.openxmlformats.org/officeDocument/2006/relationships/image" Target="../media/image970.jpeg"/><Relationship Id="rId1837" Type="http://schemas.openxmlformats.org/officeDocument/2006/relationships/image" Target="../media/image1905.jpeg"/><Relationship Id="rId31" Type="http://schemas.openxmlformats.org/officeDocument/2006/relationships/image" Target="../media/image99.jpeg"/><Relationship Id="rId2099" Type="http://schemas.openxmlformats.org/officeDocument/2006/relationships/image" Target="../media/image2167.jpeg"/><Relationship Id="rId3052" Type="http://schemas.openxmlformats.org/officeDocument/2006/relationships/image" Target="../media/image3120.jpeg"/><Relationship Id="rId180" Type="http://schemas.openxmlformats.org/officeDocument/2006/relationships/image" Target="../media/image248.jpeg"/><Relationship Id="rId278" Type="http://schemas.openxmlformats.org/officeDocument/2006/relationships/image" Target="../media/image346.jpeg"/><Relationship Id="rId1904" Type="http://schemas.openxmlformats.org/officeDocument/2006/relationships/image" Target="../media/image1972.jpeg"/><Relationship Id="rId485" Type="http://schemas.openxmlformats.org/officeDocument/2006/relationships/image" Target="../media/image553.jpeg"/><Relationship Id="rId692" Type="http://schemas.openxmlformats.org/officeDocument/2006/relationships/image" Target="../media/image760.jpeg"/><Relationship Id="rId2166" Type="http://schemas.openxmlformats.org/officeDocument/2006/relationships/image" Target="../media/image2234.jpeg"/><Relationship Id="rId2373" Type="http://schemas.openxmlformats.org/officeDocument/2006/relationships/image" Target="../media/image2441.jpeg"/><Relationship Id="rId2580" Type="http://schemas.openxmlformats.org/officeDocument/2006/relationships/image" Target="../media/image2648.jpeg"/><Relationship Id="rId138" Type="http://schemas.openxmlformats.org/officeDocument/2006/relationships/image" Target="../media/image206.jpeg"/><Relationship Id="rId345" Type="http://schemas.openxmlformats.org/officeDocument/2006/relationships/image" Target="../media/image413.jpeg"/><Relationship Id="rId552" Type="http://schemas.openxmlformats.org/officeDocument/2006/relationships/image" Target="../media/image620.jpeg"/><Relationship Id="rId997" Type="http://schemas.openxmlformats.org/officeDocument/2006/relationships/image" Target="../media/image1065.jpeg"/><Relationship Id="rId1182" Type="http://schemas.openxmlformats.org/officeDocument/2006/relationships/image" Target="../media/image1250.jpeg"/><Relationship Id="rId2026" Type="http://schemas.openxmlformats.org/officeDocument/2006/relationships/image" Target="../media/image2094.jpeg"/><Relationship Id="rId2233" Type="http://schemas.openxmlformats.org/officeDocument/2006/relationships/image" Target="../media/image2301.jpeg"/><Relationship Id="rId2440" Type="http://schemas.openxmlformats.org/officeDocument/2006/relationships/image" Target="../media/image2508.jpeg"/><Relationship Id="rId2678" Type="http://schemas.openxmlformats.org/officeDocument/2006/relationships/image" Target="../media/image2746.jpeg"/><Relationship Id="rId2885" Type="http://schemas.openxmlformats.org/officeDocument/2006/relationships/image" Target="../media/image2953.jpeg"/><Relationship Id="rId205" Type="http://schemas.openxmlformats.org/officeDocument/2006/relationships/image" Target="../media/image273.jpeg"/><Relationship Id="rId412" Type="http://schemas.openxmlformats.org/officeDocument/2006/relationships/image" Target="../media/image480.jpeg"/><Relationship Id="rId857" Type="http://schemas.openxmlformats.org/officeDocument/2006/relationships/image" Target="../media/image925.jpeg"/><Relationship Id="rId1042" Type="http://schemas.openxmlformats.org/officeDocument/2006/relationships/image" Target="../media/image1110.jpeg"/><Relationship Id="rId1487" Type="http://schemas.openxmlformats.org/officeDocument/2006/relationships/image" Target="../media/image1555.jpeg"/><Relationship Id="rId1694" Type="http://schemas.openxmlformats.org/officeDocument/2006/relationships/image" Target="../media/image1762.jpeg"/><Relationship Id="rId2300" Type="http://schemas.openxmlformats.org/officeDocument/2006/relationships/image" Target="../media/image2368.jpeg"/><Relationship Id="rId2538" Type="http://schemas.openxmlformats.org/officeDocument/2006/relationships/image" Target="../media/image2606.jpeg"/><Relationship Id="rId2745" Type="http://schemas.openxmlformats.org/officeDocument/2006/relationships/image" Target="../media/image2813.jpeg"/><Relationship Id="rId2952" Type="http://schemas.openxmlformats.org/officeDocument/2006/relationships/image" Target="../media/image3020.jpeg"/><Relationship Id="rId717" Type="http://schemas.openxmlformats.org/officeDocument/2006/relationships/image" Target="../media/image785.jpeg"/><Relationship Id="rId924" Type="http://schemas.openxmlformats.org/officeDocument/2006/relationships/image" Target="../media/image992.jpeg"/><Relationship Id="rId1347" Type="http://schemas.openxmlformats.org/officeDocument/2006/relationships/image" Target="../media/image1415.jpeg"/><Relationship Id="rId1554" Type="http://schemas.openxmlformats.org/officeDocument/2006/relationships/image" Target="../media/image1622.jpeg"/><Relationship Id="rId1761" Type="http://schemas.openxmlformats.org/officeDocument/2006/relationships/image" Target="../media/image1829.jpeg"/><Relationship Id="rId1999" Type="http://schemas.openxmlformats.org/officeDocument/2006/relationships/image" Target="../media/image2067.jpeg"/><Relationship Id="rId2605" Type="http://schemas.openxmlformats.org/officeDocument/2006/relationships/image" Target="../media/image2673.jpeg"/><Relationship Id="rId2812" Type="http://schemas.openxmlformats.org/officeDocument/2006/relationships/image" Target="../media/image2880.jpeg"/><Relationship Id="rId53" Type="http://schemas.openxmlformats.org/officeDocument/2006/relationships/image" Target="../media/image121.jpeg"/><Relationship Id="rId1207" Type="http://schemas.openxmlformats.org/officeDocument/2006/relationships/image" Target="../media/image1275.jpeg"/><Relationship Id="rId1414" Type="http://schemas.openxmlformats.org/officeDocument/2006/relationships/image" Target="../media/image1482.jpeg"/><Relationship Id="rId1621" Type="http://schemas.openxmlformats.org/officeDocument/2006/relationships/image" Target="../media/image1689.jpeg"/><Relationship Id="rId1859" Type="http://schemas.openxmlformats.org/officeDocument/2006/relationships/image" Target="../media/image1927.jpeg"/><Relationship Id="rId3074" Type="http://schemas.openxmlformats.org/officeDocument/2006/relationships/image" Target="../media/image3142.jpeg"/><Relationship Id="rId1719" Type="http://schemas.openxmlformats.org/officeDocument/2006/relationships/image" Target="../media/image1787.jpeg"/><Relationship Id="rId1926" Type="http://schemas.openxmlformats.org/officeDocument/2006/relationships/image" Target="../media/image1994.jpeg"/><Relationship Id="rId2090" Type="http://schemas.openxmlformats.org/officeDocument/2006/relationships/image" Target="../media/image2158.jpeg"/><Relationship Id="rId2188" Type="http://schemas.openxmlformats.org/officeDocument/2006/relationships/image" Target="../media/image2256.jpeg"/><Relationship Id="rId2395" Type="http://schemas.openxmlformats.org/officeDocument/2006/relationships/image" Target="../media/image2463.jpeg"/><Relationship Id="rId3141" Type="http://schemas.openxmlformats.org/officeDocument/2006/relationships/image" Target="../media/image3209.jpeg"/><Relationship Id="rId367" Type="http://schemas.openxmlformats.org/officeDocument/2006/relationships/image" Target="../media/image435.jpeg"/><Relationship Id="rId574" Type="http://schemas.openxmlformats.org/officeDocument/2006/relationships/image" Target="../media/image642.jpeg"/><Relationship Id="rId2048" Type="http://schemas.openxmlformats.org/officeDocument/2006/relationships/image" Target="../media/image2116.jpeg"/><Relationship Id="rId2255" Type="http://schemas.openxmlformats.org/officeDocument/2006/relationships/image" Target="../media/image2323.jpeg"/><Relationship Id="rId3001" Type="http://schemas.openxmlformats.org/officeDocument/2006/relationships/image" Target="../media/image3069.jpeg"/><Relationship Id="rId227" Type="http://schemas.openxmlformats.org/officeDocument/2006/relationships/image" Target="../media/image295.jpeg"/><Relationship Id="rId781" Type="http://schemas.openxmlformats.org/officeDocument/2006/relationships/image" Target="../media/image849.jpeg"/><Relationship Id="rId879" Type="http://schemas.openxmlformats.org/officeDocument/2006/relationships/image" Target="../media/image947.jpeg"/><Relationship Id="rId2462" Type="http://schemas.openxmlformats.org/officeDocument/2006/relationships/image" Target="../media/image2530.jpeg"/><Relationship Id="rId2767" Type="http://schemas.openxmlformats.org/officeDocument/2006/relationships/image" Target="../media/image2835.jpeg"/><Relationship Id="rId434" Type="http://schemas.openxmlformats.org/officeDocument/2006/relationships/image" Target="../media/image502.jpeg"/><Relationship Id="rId641" Type="http://schemas.openxmlformats.org/officeDocument/2006/relationships/image" Target="../media/image709.jpeg"/><Relationship Id="rId739" Type="http://schemas.openxmlformats.org/officeDocument/2006/relationships/image" Target="../media/image807.jpeg"/><Relationship Id="rId1064" Type="http://schemas.openxmlformats.org/officeDocument/2006/relationships/image" Target="../media/image1132.jpeg"/><Relationship Id="rId1271" Type="http://schemas.openxmlformats.org/officeDocument/2006/relationships/image" Target="../media/image1339.jpeg"/><Relationship Id="rId1369" Type="http://schemas.openxmlformats.org/officeDocument/2006/relationships/image" Target="../media/image1437.jpeg"/><Relationship Id="rId1576" Type="http://schemas.openxmlformats.org/officeDocument/2006/relationships/image" Target="../media/image1644.jpeg"/><Relationship Id="rId2115" Type="http://schemas.openxmlformats.org/officeDocument/2006/relationships/image" Target="../media/image2183.jpeg"/><Relationship Id="rId2322" Type="http://schemas.openxmlformats.org/officeDocument/2006/relationships/image" Target="../media/image2390.jpeg"/><Relationship Id="rId2974" Type="http://schemas.openxmlformats.org/officeDocument/2006/relationships/image" Target="../media/image3042.jpeg"/><Relationship Id="rId501" Type="http://schemas.openxmlformats.org/officeDocument/2006/relationships/image" Target="../media/image569.jpeg"/><Relationship Id="rId946" Type="http://schemas.openxmlformats.org/officeDocument/2006/relationships/image" Target="../media/image1014.jpeg"/><Relationship Id="rId1131" Type="http://schemas.openxmlformats.org/officeDocument/2006/relationships/image" Target="../media/image1199.jpeg"/><Relationship Id="rId1229" Type="http://schemas.openxmlformats.org/officeDocument/2006/relationships/image" Target="../media/image1297.jpeg"/><Relationship Id="rId1783" Type="http://schemas.openxmlformats.org/officeDocument/2006/relationships/image" Target="../media/image1851.jpeg"/><Relationship Id="rId1990" Type="http://schemas.openxmlformats.org/officeDocument/2006/relationships/image" Target="../media/image2058.jpeg"/><Relationship Id="rId2627" Type="http://schemas.openxmlformats.org/officeDocument/2006/relationships/image" Target="../media/image2695.jpeg"/><Relationship Id="rId2834" Type="http://schemas.openxmlformats.org/officeDocument/2006/relationships/image" Target="../media/image2902.jpeg"/><Relationship Id="rId75" Type="http://schemas.openxmlformats.org/officeDocument/2006/relationships/image" Target="../media/image143.jpeg"/><Relationship Id="rId806" Type="http://schemas.openxmlformats.org/officeDocument/2006/relationships/image" Target="../media/image874.jpeg"/><Relationship Id="rId1436" Type="http://schemas.openxmlformats.org/officeDocument/2006/relationships/image" Target="../media/image1504.jpeg"/><Relationship Id="rId1643" Type="http://schemas.openxmlformats.org/officeDocument/2006/relationships/image" Target="../media/image1711.jpeg"/><Relationship Id="rId1850" Type="http://schemas.openxmlformats.org/officeDocument/2006/relationships/image" Target="../media/image1918.jpeg"/><Relationship Id="rId2901" Type="http://schemas.openxmlformats.org/officeDocument/2006/relationships/image" Target="../media/image2969.jpeg"/><Relationship Id="rId3096" Type="http://schemas.openxmlformats.org/officeDocument/2006/relationships/image" Target="../media/image3164.jpeg"/><Relationship Id="rId1503" Type="http://schemas.openxmlformats.org/officeDocument/2006/relationships/image" Target="../media/image1571.jpeg"/><Relationship Id="rId1710" Type="http://schemas.openxmlformats.org/officeDocument/2006/relationships/image" Target="../media/image1778.jpeg"/><Relationship Id="rId1948" Type="http://schemas.openxmlformats.org/officeDocument/2006/relationships/image" Target="../media/image2016.jpeg"/><Relationship Id="rId291" Type="http://schemas.openxmlformats.org/officeDocument/2006/relationships/image" Target="../media/image359.jpeg"/><Relationship Id="rId1808" Type="http://schemas.openxmlformats.org/officeDocument/2006/relationships/image" Target="../media/image1876.jpeg"/><Relationship Id="rId3023" Type="http://schemas.openxmlformats.org/officeDocument/2006/relationships/image" Target="../media/image3091.jpeg"/><Relationship Id="rId151" Type="http://schemas.openxmlformats.org/officeDocument/2006/relationships/image" Target="../media/image219.jpeg"/><Relationship Id="rId389" Type="http://schemas.openxmlformats.org/officeDocument/2006/relationships/image" Target="../media/image457.jpeg"/><Relationship Id="rId596" Type="http://schemas.openxmlformats.org/officeDocument/2006/relationships/image" Target="../media/image664.jpeg"/><Relationship Id="rId2277" Type="http://schemas.openxmlformats.org/officeDocument/2006/relationships/image" Target="../media/image2345.jpeg"/><Relationship Id="rId2484" Type="http://schemas.openxmlformats.org/officeDocument/2006/relationships/image" Target="../media/image2552.jpeg"/><Relationship Id="rId2691" Type="http://schemas.openxmlformats.org/officeDocument/2006/relationships/image" Target="../media/image2759.jpeg"/><Relationship Id="rId249" Type="http://schemas.openxmlformats.org/officeDocument/2006/relationships/image" Target="../media/image317.jpeg"/><Relationship Id="rId456" Type="http://schemas.openxmlformats.org/officeDocument/2006/relationships/image" Target="../media/image524.jpeg"/><Relationship Id="rId663" Type="http://schemas.openxmlformats.org/officeDocument/2006/relationships/image" Target="../media/image731.jpeg"/><Relationship Id="rId870" Type="http://schemas.openxmlformats.org/officeDocument/2006/relationships/image" Target="../media/image938.jpeg"/><Relationship Id="rId1086" Type="http://schemas.openxmlformats.org/officeDocument/2006/relationships/image" Target="../media/image1154.jpeg"/><Relationship Id="rId1293" Type="http://schemas.openxmlformats.org/officeDocument/2006/relationships/image" Target="../media/image1361.jpeg"/><Relationship Id="rId2137" Type="http://schemas.openxmlformats.org/officeDocument/2006/relationships/image" Target="../media/image2205.jpeg"/><Relationship Id="rId2344" Type="http://schemas.openxmlformats.org/officeDocument/2006/relationships/image" Target="../media/image2412.jpeg"/><Relationship Id="rId2551" Type="http://schemas.openxmlformats.org/officeDocument/2006/relationships/image" Target="../media/image2619.jpeg"/><Relationship Id="rId2789" Type="http://schemas.openxmlformats.org/officeDocument/2006/relationships/image" Target="../media/image2857.jpeg"/><Relationship Id="rId2996" Type="http://schemas.openxmlformats.org/officeDocument/2006/relationships/image" Target="../media/image3064.jpeg"/><Relationship Id="rId109" Type="http://schemas.openxmlformats.org/officeDocument/2006/relationships/image" Target="../media/image177.jpeg"/><Relationship Id="rId316" Type="http://schemas.openxmlformats.org/officeDocument/2006/relationships/image" Target="../media/image384.jpeg"/><Relationship Id="rId523" Type="http://schemas.openxmlformats.org/officeDocument/2006/relationships/image" Target="../media/image591.jpeg"/><Relationship Id="rId968" Type="http://schemas.openxmlformats.org/officeDocument/2006/relationships/image" Target="../media/image1036.jpeg"/><Relationship Id="rId1153" Type="http://schemas.openxmlformats.org/officeDocument/2006/relationships/image" Target="../media/image1221.jpeg"/><Relationship Id="rId1598" Type="http://schemas.openxmlformats.org/officeDocument/2006/relationships/image" Target="../media/image1666.jpeg"/><Relationship Id="rId2204" Type="http://schemas.openxmlformats.org/officeDocument/2006/relationships/image" Target="../media/image2272.jpeg"/><Relationship Id="rId2649" Type="http://schemas.openxmlformats.org/officeDocument/2006/relationships/image" Target="../media/image2717.jpeg"/><Relationship Id="rId2856" Type="http://schemas.openxmlformats.org/officeDocument/2006/relationships/image" Target="../media/image2924.jpeg"/><Relationship Id="rId97" Type="http://schemas.openxmlformats.org/officeDocument/2006/relationships/image" Target="../media/image165.jpeg"/><Relationship Id="rId730" Type="http://schemas.openxmlformats.org/officeDocument/2006/relationships/image" Target="../media/image798.jpeg"/><Relationship Id="rId828" Type="http://schemas.openxmlformats.org/officeDocument/2006/relationships/image" Target="../media/image896.jpeg"/><Relationship Id="rId1013" Type="http://schemas.openxmlformats.org/officeDocument/2006/relationships/image" Target="../media/image1081.jpeg"/><Relationship Id="rId1360" Type="http://schemas.openxmlformats.org/officeDocument/2006/relationships/image" Target="../media/image1428.jpeg"/><Relationship Id="rId1458" Type="http://schemas.openxmlformats.org/officeDocument/2006/relationships/image" Target="../media/image1526.jpeg"/><Relationship Id="rId1665" Type="http://schemas.openxmlformats.org/officeDocument/2006/relationships/image" Target="../media/image1733.jpeg"/><Relationship Id="rId1872" Type="http://schemas.openxmlformats.org/officeDocument/2006/relationships/image" Target="../media/image1940.jpeg"/><Relationship Id="rId2411" Type="http://schemas.openxmlformats.org/officeDocument/2006/relationships/image" Target="../media/image2479.jpeg"/><Relationship Id="rId2509" Type="http://schemas.openxmlformats.org/officeDocument/2006/relationships/image" Target="../media/image2577.jpeg"/><Relationship Id="rId2716" Type="http://schemas.openxmlformats.org/officeDocument/2006/relationships/image" Target="../media/image2784.jpeg"/><Relationship Id="rId1220" Type="http://schemas.openxmlformats.org/officeDocument/2006/relationships/image" Target="../media/image1288.jpeg"/><Relationship Id="rId1318" Type="http://schemas.openxmlformats.org/officeDocument/2006/relationships/image" Target="../media/image1386.jpeg"/><Relationship Id="rId1525" Type="http://schemas.openxmlformats.org/officeDocument/2006/relationships/image" Target="../media/image1593.jpeg"/><Relationship Id="rId2923" Type="http://schemas.openxmlformats.org/officeDocument/2006/relationships/image" Target="../media/image2991.jpeg"/><Relationship Id="rId1732" Type="http://schemas.openxmlformats.org/officeDocument/2006/relationships/image" Target="../media/image1800.jpeg"/><Relationship Id="rId24" Type="http://schemas.openxmlformats.org/officeDocument/2006/relationships/image" Target="../media/image92.jpeg"/><Relationship Id="rId2299" Type="http://schemas.openxmlformats.org/officeDocument/2006/relationships/image" Target="../media/image2367.jpeg"/><Relationship Id="rId3045" Type="http://schemas.openxmlformats.org/officeDocument/2006/relationships/image" Target="../media/image3113.jpeg"/><Relationship Id="rId173" Type="http://schemas.openxmlformats.org/officeDocument/2006/relationships/image" Target="../media/image241.jpeg"/><Relationship Id="rId380" Type="http://schemas.openxmlformats.org/officeDocument/2006/relationships/image" Target="../media/image448.jpeg"/><Relationship Id="rId2061" Type="http://schemas.openxmlformats.org/officeDocument/2006/relationships/image" Target="../media/image2129.jpeg"/><Relationship Id="rId3112" Type="http://schemas.openxmlformats.org/officeDocument/2006/relationships/image" Target="../media/image3180.jpeg"/><Relationship Id="rId240" Type="http://schemas.openxmlformats.org/officeDocument/2006/relationships/image" Target="../media/image308.jpeg"/><Relationship Id="rId478" Type="http://schemas.openxmlformats.org/officeDocument/2006/relationships/image" Target="../media/image546.jpeg"/><Relationship Id="rId685" Type="http://schemas.openxmlformats.org/officeDocument/2006/relationships/image" Target="../media/image753.jpeg"/><Relationship Id="rId892" Type="http://schemas.openxmlformats.org/officeDocument/2006/relationships/image" Target="../media/image960.jpeg"/><Relationship Id="rId2159" Type="http://schemas.openxmlformats.org/officeDocument/2006/relationships/image" Target="../media/image2227.jpeg"/><Relationship Id="rId2366" Type="http://schemas.openxmlformats.org/officeDocument/2006/relationships/image" Target="../media/image2434.jpeg"/><Relationship Id="rId2573" Type="http://schemas.openxmlformats.org/officeDocument/2006/relationships/image" Target="../media/image2641.jpeg"/><Relationship Id="rId2780" Type="http://schemas.openxmlformats.org/officeDocument/2006/relationships/image" Target="../media/image2848.jpeg"/><Relationship Id="rId100" Type="http://schemas.openxmlformats.org/officeDocument/2006/relationships/image" Target="../media/image168.jpeg"/><Relationship Id="rId338" Type="http://schemas.openxmlformats.org/officeDocument/2006/relationships/image" Target="../media/image406.jpeg"/><Relationship Id="rId545" Type="http://schemas.openxmlformats.org/officeDocument/2006/relationships/image" Target="../media/image613.jpeg"/><Relationship Id="rId752" Type="http://schemas.openxmlformats.org/officeDocument/2006/relationships/image" Target="../media/image820.jpeg"/><Relationship Id="rId1175" Type="http://schemas.openxmlformats.org/officeDocument/2006/relationships/image" Target="../media/image1243.jpeg"/><Relationship Id="rId1382" Type="http://schemas.openxmlformats.org/officeDocument/2006/relationships/image" Target="../media/image1450.jpeg"/><Relationship Id="rId2019" Type="http://schemas.openxmlformats.org/officeDocument/2006/relationships/image" Target="../media/image2087.jpeg"/><Relationship Id="rId2226" Type="http://schemas.openxmlformats.org/officeDocument/2006/relationships/image" Target="../media/image2294.jpeg"/><Relationship Id="rId2433" Type="http://schemas.openxmlformats.org/officeDocument/2006/relationships/image" Target="../media/image2501.jpeg"/><Relationship Id="rId2640" Type="http://schemas.openxmlformats.org/officeDocument/2006/relationships/image" Target="../media/image2708.jpeg"/><Relationship Id="rId2878" Type="http://schemas.openxmlformats.org/officeDocument/2006/relationships/image" Target="../media/image2946.jpeg"/><Relationship Id="rId405" Type="http://schemas.openxmlformats.org/officeDocument/2006/relationships/image" Target="../media/image473.jpeg"/><Relationship Id="rId612" Type="http://schemas.openxmlformats.org/officeDocument/2006/relationships/image" Target="../media/image680.jpeg"/><Relationship Id="rId1035" Type="http://schemas.openxmlformats.org/officeDocument/2006/relationships/image" Target="../media/image1103.jpeg"/><Relationship Id="rId1242" Type="http://schemas.openxmlformats.org/officeDocument/2006/relationships/image" Target="../media/image1310.jpeg"/><Relationship Id="rId1687" Type="http://schemas.openxmlformats.org/officeDocument/2006/relationships/image" Target="../media/image1755.jpeg"/><Relationship Id="rId1894" Type="http://schemas.openxmlformats.org/officeDocument/2006/relationships/image" Target="../media/image1962.jpeg"/><Relationship Id="rId2500" Type="http://schemas.openxmlformats.org/officeDocument/2006/relationships/image" Target="../media/image2568.jpeg"/><Relationship Id="rId2738" Type="http://schemas.openxmlformats.org/officeDocument/2006/relationships/image" Target="../media/image2806.jpeg"/><Relationship Id="rId2945" Type="http://schemas.openxmlformats.org/officeDocument/2006/relationships/image" Target="../media/image3013.jpeg"/><Relationship Id="rId917" Type="http://schemas.openxmlformats.org/officeDocument/2006/relationships/image" Target="../media/image985.jpeg"/><Relationship Id="rId1102" Type="http://schemas.openxmlformats.org/officeDocument/2006/relationships/image" Target="../media/image1170.jpeg"/><Relationship Id="rId1547" Type="http://schemas.openxmlformats.org/officeDocument/2006/relationships/image" Target="../media/image1615.jpeg"/><Relationship Id="rId1754" Type="http://schemas.openxmlformats.org/officeDocument/2006/relationships/image" Target="../media/image1822.jpeg"/><Relationship Id="rId1961" Type="http://schemas.openxmlformats.org/officeDocument/2006/relationships/image" Target="../media/image2029.jpeg"/><Relationship Id="rId2805" Type="http://schemas.openxmlformats.org/officeDocument/2006/relationships/image" Target="../media/image2873.jpeg"/><Relationship Id="rId46" Type="http://schemas.openxmlformats.org/officeDocument/2006/relationships/image" Target="../media/image114.jpeg"/><Relationship Id="rId1407" Type="http://schemas.openxmlformats.org/officeDocument/2006/relationships/image" Target="../media/image1475.jpeg"/><Relationship Id="rId1614" Type="http://schemas.openxmlformats.org/officeDocument/2006/relationships/image" Target="../media/image1682.jpeg"/><Relationship Id="rId1821" Type="http://schemas.openxmlformats.org/officeDocument/2006/relationships/image" Target="../media/image1889.jpeg"/><Relationship Id="rId3067" Type="http://schemas.openxmlformats.org/officeDocument/2006/relationships/image" Target="../media/image3135.jpeg"/><Relationship Id="rId195" Type="http://schemas.openxmlformats.org/officeDocument/2006/relationships/image" Target="../media/image263.jpeg"/><Relationship Id="rId1919" Type="http://schemas.openxmlformats.org/officeDocument/2006/relationships/image" Target="../media/image1987.jpeg"/><Relationship Id="rId2083" Type="http://schemas.openxmlformats.org/officeDocument/2006/relationships/image" Target="../media/image2151.jpeg"/><Relationship Id="rId2290" Type="http://schemas.openxmlformats.org/officeDocument/2006/relationships/image" Target="../media/image2358.jpeg"/><Relationship Id="rId2388" Type="http://schemas.openxmlformats.org/officeDocument/2006/relationships/image" Target="../media/image2456.jpeg"/><Relationship Id="rId2595" Type="http://schemas.openxmlformats.org/officeDocument/2006/relationships/image" Target="../media/image2663.jpeg"/><Relationship Id="rId3134" Type="http://schemas.openxmlformats.org/officeDocument/2006/relationships/image" Target="../media/image3202.jpeg"/><Relationship Id="rId262" Type="http://schemas.openxmlformats.org/officeDocument/2006/relationships/image" Target="../media/image330.jpeg"/><Relationship Id="rId567" Type="http://schemas.openxmlformats.org/officeDocument/2006/relationships/image" Target="../media/image635.jpeg"/><Relationship Id="rId1197" Type="http://schemas.openxmlformats.org/officeDocument/2006/relationships/image" Target="../media/image1265.jpeg"/><Relationship Id="rId2150" Type="http://schemas.openxmlformats.org/officeDocument/2006/relationships/image" Target="../media/image2218.jpeg"/><Relationship Id="rId2248" Type="http://schemas.openxmlformats.org/officeDocument/2006/relationships/image" Target="../media/image2316.jpeg"/><Relationship Id="rId122" Type="http://schemas.openxmlformats.org/officeDocument/2006/relationships/image" Target="../media/image190.jpeg"/><Relationship Id="rId774" Type="http://schemas.openxmlformats.org/officeDocument/2006/relationships/image" Target="../media/image842.jpeg"/><Relationship Id="rId981" Type="http://schemas.openxmlformats.org/officeDocument/2006/relationships/image" Target="../media/image1049.jpeg"/><Relationship Id="rId1057" Type="http://schemas.openxmlformats.org/officeDocument/2006/relationships/image" Target="../media/image1125.jpeg"/><Relationship Id="rId2010" Type="http://schemas.openxmlformats.org/officeDocument/2006/relationships/image" Target="../media/image2078.jpeg"/><Relationship Id="rId2455" Type="http://schemas.openxmlformats.org/officeDocument/2006/relationships/image" Target="../media/image2523.jpeg"/><Relationship Id="rId2662" Type="http://schemas.openxmlformats.org/officeDocument/2006/relationships/image" Target="../media/image2730.jpeg"/><Relationship Id="rId427" Type="http://schemas.openxmlformats.org/officeDocument/2006/relationships/image" Target="../media/image495.jpeg"/><Relationship Id="rId634" Type="http://schemas.openxmlformats.org/officeDocument/2006/relationships/image" Target="../media/image702.jpeg"/><Relationship Id="rId841" Type="http://schemas.openxmlformats.org/officeDocument/2006/relationships/image" Target="../media/image909.jpeg"/><Relationship Id="rId1264" Type="http://schemas.openxmlformats.org/officeDocument/2006/relationships/image" Target="../media/image1332.jpeg"/><Relationship Id="rId1471" Type="http://schemas.openxmlformats.org/officeDocument/2006/relationships/image" Target="../media/image1539.jpeg"/><Relationship Id="rId1569" Type="http://schemas.openxmlformats.org/officeDocument/2006/relationships/image" Target="../media/image1637.jpeg"/><Relationship Id="rId2108" Type="http://schemas.openxmlformats.org/officeDocument/2006/relationships/image" Target="../media/image2176.jpeg"/><Relationship Id="rId2315" Type="http://schemas.openxmlformats.org/officeDocument/2006/relationships/image" Target="../media/image2383.jpeg"/><Relationship Id="rId2522" Type="http://schemas.openxmlformats.org/officeDocument/2006/relationships/image" Target="../media/image2590.jpeg"/><Relationship Id="rId2967" Type="http://schemas.openxmlformats.org/officeDocument/2006/relationships/image" Target="../media/image3035.jpeg"/><Relationship Id="rId701" Type="http://schemas.openxmlformats.org/officeDocument/2006/relationships/image" Target="../media/image769.jpeg"/><Relationship Id="rId939" Type="http://schemas.openxmlformats.org/officeDocument/2006/relationships/image" Target="../media/image1007.jpeg"/><Relationship Id="rId1124" Type="http://schemas.openxmlformats.org/officeDocument/2006/relationships/image" Target="../media/image1192.jpeg"/><Relationship Id="rId1331" Type="http://schemas.openxmlformats.org/officeDocument/2006/relationships/image" Target="../media/image1399.jpeg"/><Relationship Id="rId1776" Type="http://schemas.openxmlformats.org/officeDocument/2006/relationships/image" Target="../media/image1844.jpeg"/><Relationship Id="rId1983" Type="http://schemas.openxmlformats.org/officeDocument/2006/relationships/image" Target="../media/image2051.jpeg"/><Relationship Id="rId2827" Type="http://schemas.openxmlformats.org/officeDocument/2006/relationships/image" Target="../media/image2895.jpeg"/><Relationship Id="rId68" Type="http://schemas.openxmlformats.org/officeDocument/2006/relationships/image" Target="../media/image136.jpeg"/><Relationship Id="rId1429" Type="http://schemas.openxmlformats.org/officeDocument/2006/relationships/image" Target="../media/image1497.jpeg"/><Relationship Id="rId1636" Type="http://schemas.openxmlformats.org/officeDocument/2006/relationships/image" Target="../media/image1704.jpeg"/><Relationship Id="rId1843" Type="http://schemas.openxmlformats.org/officeDocument/2006/relationships/image" Target="../media/image1911.jpeg"/><Relationship Id="rId3089" Type="http://schemas.openxmlformats.org/officeDocument/2006/relationships/image" Target="../media/image3157.jpeg"/><Relationship Id="rId1703" Type="http://schemas.openxmlformats.org/officeDocument/2006/relationships/image" Target="../media/image1771.jpeg"/><Relationship Id="rId1910" Type="http://schemas.openxmlformats.org/officeDocument/2006/relationships/image" Target="../media/image1978.jpeg"/><Relationship Id="rId284" Type="http://schemas.openxmlformats.org/officeDocument/2006/relationships/image" Target="../media/image352.jpeg"/><Relationship Id="rId491" Type="http://schemas.openxmlformats.org/officeDocument/2006/relationships/image" Target="../media/image559.jpeg"/><Relationship Id="rId2172" Type="http://schemas.openxmlformats.org/officeDocument/2006/relationships/image" Target="../media/image2240.jpeg"/><Relationship Id="rId3016" Type="http://schemas.openxmlformats.org/officeDocument/2006/relationships/image" Target="../media/image3084.jpeg"/><Relationship Id="rId144" Type="http://schemas.openxmlformats.org/officeDocument/2006/relationships/image" Target="../media/image212.jpeg"/><Relationship Id="rId589" Type="http://schemas.openxmlformats.org/officeDocument/2006/relationships/image" Target="../media/image657.jpeg"/><Relationship Id="rId796" Type="http://schemas.openxmlformats.org/officeDocument/2006/relationships/image" Target="../media/image864.jpeg"/><Relationship Id="rId2477" Type="http://schemas.openxmlformats.org/officeDocument/2006/relationships/image" Target="../media/image2545.jpeg"/><Relationship Id="rId2684" Type="http://schemas.openxmlformats.org/officeDocument/2006/relationships/image" Target="../media/image2752.jpeg"/><Relationship Id="rId351" Type="http://schemas.openxmlformats.org/officeDocument/2006/relationships/image" Target="../media/image419.jpeg"/><Relationship Id="rId449" Type="http://schemas.openxmlformats.org/officeDocument/2006/relationships/image" Target="../media/image517.jpeg"/><Relationship Id="rId656" Type="http://schemas.openxmlformats.org/officeDocument/2006/relationships/image" Target="../media/image724.jpeg"/><Relationship Id="rId863" Type="http://schemas.openxmlformats.org/officeDocument/2006/relationships/image" Target="../media/image931.jpeg"/><Relationship Id="rId1079" Type="http://schemas.openxmlformats.org/officeDocument/2006/relationships/image" Target="../media/image1147.jpeg"/><Relationship Id="rId1286" Type="http://schemas.openxmlformats.org/officeDocument/2006/relationships/image" Target="../media/image1354.jpeg"/><Relationship Id="rId1493" Type="http://schemas.openxmlformats.org/officeDocument/2006/relationships/image" Target="../media/image1561.jpeg"/><Relationship Id="rId2032" Type="http://schemas.openxmlformats.org/officeDocument/2006/relationships/image" Target="../media/image2100.jpeg"/><Relationship Id="rId2337" Type="http://schemas.openxmlformats.org/officeDocument/2006/relationships/image" Target="../media/image2405.jpeg"/><Relationship Id="rId2544" Type="http://schemas.openxmlformats.org/officeDocument/2006/relationships/image" Target="../media/image2612.jpeg"/><Relationship Id="rId2891" Type="http://schemas.openxmlformats.org/officeDocument/2006/relationships/image" Target="../media/image2959.jpeg"/><Relationship Id="rId2989" Type="http://schemas.openxmlformats.org/officeDocument/2006/relationships/image" Target="../media/image3057.jpeg"/><Relationship Id="rId211" Type="http://schemas.openxmlformats.org/officeDocument/2006/relationships/image" Target="../media/image279.jpeg"/><Relationship Id="rId309" Type="http://schemas.openxmlformats.org/officeDocument/2006/relationships/image" Target="../media/image377.jpeg"/><Relationship Id="rId516" Type="http://schemas.openxmlformats.org/officeDocument/2006/relationships/image" Target="../media/image584.jpeg"/><Relationship Id="rId1146" Type="http://schemas.openxmlformats.org/officeDocument/2006/relationships/image" Target="../media/image1214.jpeg"/><Relationship Id="rId1798" Type="http://schemas.openxmlformats.org/officeDocument/2006/relationships/image" Target="../media/image1866.jpeg"/><Relationship Id="rId2751" Type="http://schemas.openxmlformats.org/officeDocument/2006/relationships/image" Target="../media/image2819.jpeg"/><Relationship Id="rId2849" Type="http://schemas.openxmlformats.org/officeDocument/2006/relationships/image" Target="../media/image2917.jpeg"/><Relationship Id="rId723" Type="http://schemas.openxmlformats.org/officeDocument/2006/relationships/image" Target="../media/image791.jpeg"/><Relationship Id="rId930" Type="http://schemas.openxmlformats.org/officeDocument/2006/relationships/image" Target="../media/image998.jpeg"/><Relationship Id="rId1006" Type="http://schemas.openxmlformats.org/officeDocument/2006/relationships/image" Target="../media/image1074.jpeg"/><Relationship Id="rId1353" Type="http://schemas.openxmlformats.org/officeDocument/2006/relationships/image" Target="../media/image1421.jpeg"/><Relationship Id="rId1560" Type="http://schemas.openxmlformats.org/officeDocument/2006/relationships/image" Target="../media/image1628.jpeg"/><Relationship Id="rId1658" Type="http://schemas.openxmlformats.org/officeDocument/2006/relationships/image" Target="../media/image1726.jpeg"/><Relationship Id="rId1865" Type="http://schemas.openxmlformats.org/officeDocument/2006/relationships/image" Target="../media/image1933.jpeg"/><Relationship Id="rId2404" Type="http://schemas.openxmlformats.org/officeDocument/2006/relationships/image" Target="../media/image2472.jpeg"/><Relationship Id="rId2611" Type="http://schemas.openxmlformats.org/officeDocument/2006/relationships/image" Target="../media/image2679.jpeg"/><Relationship Id="rId2709" Type="http://schemas.openxmlformats.org/officeDocument/2006/relationships/image" Target="../media/image2777.jpeg"/><Relationship Id="rId1213" Type="http://schemas.openxmlformats.org/officeDocument/2006/relationships/image" Target="../media/image1281.jpeg"/><Relationship Id="rId1420" Type="http://schemas.openxmlformats.org/officeDocument/2006/relationships/image" Target="../media/image1488.jpeg"/><Relationship Id="rId1518" Type="http://schemas.openxmlformats.org/officeDocument/2006/relationships/image" Target="../media/image1586.jpeg"/><Relationship Id="rId2916" Type="http://schemas.openxmlformats.org/officeDocument/2006/relationships/image" Target="../media/image2984.jpeg"/><Relationship Id="rId3080" Type="http://schemas.openxmlformats.org/officeDocument/2006/relationships/image" Target="../media/image3148.jpeg"/><Relationship Id="rId1725" Type="http://schemas.openxmlformats.org/officeDocument/2006/relationships/image" Target="../media/image1793.jpeg"/><Relationship Id="rId1932" Type="http://schemas.openxmlformats.org/officeDocument/2006/relationships/image" Target="../media/image2000.jpeg"/><Relationship Id="rId17" Type="http://schemas.openxmlformats.org/officeDocument/2006/relationships/image" Target="../media/image85.jpeg"/><Relationship Id="rId2194" Type="http://schemas.openxmlformats.org/officeDocument/2006/relationships/image" Target="../media/image2262.jpeg"/><Relationship Id="rId3038" Type="http://schemas.openxmlformats.org/officeDocument/2006/relationships/image" Target="../media/image3106.jpeg"/><Relationship Id="rId166" Type="http://schemas.openxmlformats.org/officeDocument/2006/relationships/image" Target="../media/image234.jpeg"/><Relationship Id="rId373" Type="http://schemas.openxmlformats.org/officeDocument/2006/relationships/image" Target="../media/image441.jpeg"/><Relationship Id="rId580" Type="http://schemas.openxmlformats.org/officeDocument/2006/relationships/image" Target="../media/image648.jpeg"/><Relationship Id="rId2054" Type="http://schemas.openxmlformats.org/officeDocument/2006/relationships/image" Target="../media/image2122.jpeg"/><Relationship Id="rId2261" Type="http://schemas.openxmlformats.org/officeDocument/2006/relationships/image" Target="../media/image2329.jpeg"/><Relationship Id="rId2499" Type="http://schemas.openxmlformats.org/officeDocument/2006/relationships/image" Target="../media/image2567.jpeg"/><Relationship Id="rId3105" Type="http://schemas.openxmlformats.org/officeDocument/2006/relationships/image" Target="../media/image3173.jpeg"/><Relationship Id="rId1" Type="http://schemas.openxmlformats.org/officeDocument/2006/relationships/image" Target="../media/image69.jpeg"/><Relationship Id="rId233" Type="http://schemas.openxmlformats.org/officeDocument/2006/relationships/image" Target="../media/image301.jpeg"/><Relationship Id="rId440" Type="http://schemas.openxmlformats.org/officeDocument/2006/relationships/image" Target="../media/image508.jpeg"/><Relationship Id="rId678" Type="http://schemas.openxmlformats.org/officeDocument/2006/relationships/image" Target="../media/image746.jpeg"/><Relationship Id="rId885" Type="http://schemas.openxmlformats.org/officeDocument/2006/relationships/image" Target="../media/image953.jpeg"/><Relationship Id="rId1070" Type="http://schemas.openxmlformats.org/officeDocument/2006/relationships/image" Target="../media/image1138.jpeg"/><Relationship Id="rId2121" Type="http://schemas.openxmlformats.org/officeDocument/2006/relationships/image" Target="../media/image2189.jpeg"/><Relationship Id="rId2359" Type="http://schemas.openxmlformats.org/officeDocument/2006/relationships/image" Target="../media/image2427.jpeg"/><Relationship Id="rId2566" Type="http://schemas.openxmlformats.org/officeDocument/2006/relationships/image" Target="../media/image2634.jpeg"/><Relationship Id="rId2773" Type="http://schemas.openxmlformats.org/officeDocument/2006/relationships/image" Target="../media/image2841.jpeg"/><Relationship Id="rId2980" Type="http://schemas.openxmlformats.org/officeDocument/2006/relationships/image" Target="../media/image3048.jpeg"/><Relationship Id="rId300" Type="http://schemas.openxmlformats.org/officeDocument/2006/relationships/image" Target="../media/image368.jpeg"/><Relationship Id="rId538" Type="http://schemas.openxmlformats.org/officeDocument/2006/relationships/image" Target="../media/image606.jpeg"/><Relationship Id="rId745" Type="http://schemas.openxmlformats.org/officeDocument/2006/relationships/image" Target="../media/image813.jpeg"/><Relationship Id="rId952" Type="http://schemas.openxmlformats.org/officeDocument/2006/relationships/image" Target="../media/image1020.jpeg"/><Relationship Id="rId1168" Type="http://schemas.openxmlformats.org/officeDocument/2006/relationships/image" Target="../media/image1236.jpeg"/><Relationship Id="rId1375" Type="http://schemas.openxmlformats.org/officeDocument/2006/relationships/image" Target="../media/image1443.jpeg"/><Relationship Id="rId1582" Type="http://schemas.openxmlformats.org/officeDocument/2006/relationships/image" Target="../media/image1650.jpeg"/><Relationship Id="rId2219" Type="http://schemas.openxmlformats.org/officeDocument/2006/relationships/image" Target="../media/image2287.jpeg"/><Relationship Id="rId2426" Type="http://schemas.openxmlformats.org/officeDocument/2006/relationships/image" Target="../media/image2494.jpeg"/><Relationship Id="rId2633" Type="http://schemas.openxmlformats.org/officeDocument/2006/relationships/image" Target="../media/image2701.jpeg"/><Relationship Id="rId81" Type="http://schemas.openxmlformats.org/officeDocument/2006/relationships/image" Target="../media/image149.jpeg"/><Relationship Id="rId605" Type="http://schemas.openxmlformats.org/officeDocument/2006/relationships/image" Target="../media/image673.jpeg"/><Relationship Id="rId812" Type="http://schemas.openxmlformats.org/officeDocument/2006/relationships/image" Target="../media/image880.jpeg"/><Relationship Id="rId1028" Type="http://schemas.openxmlformats.org/officeDocument/2006/relationships/image" Target="../media/image1096.jpeg"/><Relationship Id="rId1235" Type="http://schemas.openxmlformats.org/officeDocument/2006/relationships/image" Target="../media/image1303.jpeg"/><Relationship Id="rId1442" Type="http://schemas.openxmlformats.org/officeDocument/2006/relationships/image" Target="../media/image1510.jpeg"/><Relationship Id="rId1887" Type="http://schemas.openxmlformats.org/officeDocument/2006/relationships/image" Target="../media/image1955.jpeg"/><Relationship Id="rId2840" Type="http://schemas.openxmlformats.org/officeDocument/2006/relationships/image" Target="../media/image2908.jpeg"/><Relationship Id="rId2938" Type="http://schemas.openxmlformats.org/officeDocument/2006/relationships/image" Target="../media/image3006.jpeg"/><Relationship Id="rId1302" Type="http://schemas.openxmlformats.org/officeDocument/2006/relationships/image" Target="../media/image1370.jpeg"/><Relationship Id="rId1747" Type="http://schemas.openxmlformats.org/officeDocument/2006/relationships/image" Target="../media/image1815.jpeg"/><Relationship Id="rId1954" Type="http://schemas.openxmlformats.org/officeDocument/2006/relationships/image" Target="../media/image2022.jpeg"/><Relationship Id="rId2700" Type="http://schemas.openxmlformats.org/officeDocument/2006/relationships/image" Target="../media/image2768.jpeg"/><Relationship Id="rId39" Type="http://schemas.openxmlformats.org/officeDocument/2006/relationships/image" Target="../media/image107.jpeg"/><Relationship Id="rId1607" Type="http://schemas.openxmlformats.org/officeDocument/2006/relationships/image" Target="../media/image1675.jpeg"/><Relationship Id="rId1814" Type="http://schemas.openxmlformats.org/officeDocument/2006/relationships/image" Target="../media/image1882.jpeg"/><Relationship Id="rId188" Type="http://schemas.openxmlformats.org/officeDocument/2006/relationships/image" Target="../media/image256.jpeg"/><Relationship Id="rId395" Type="http://schemas.openxmlformats.org/officeDocument/2006/relationships/image" Target="../media/image463.jpeg"/><Relationship Id="rId2076" Type="http://schemas.openxmlformats.org/officeDocument/2006/relationships/image" Target="../media/image2144.jpeg"/><Relationship Id="rId2283" Type="http://schemas.openxmlformats.org/officeDocument/2006/relationships/image" Target="../media/image2351.jpeg"/><Relationship Id="rId2490" Type="http://schemas.openxmlformats.org/officeDocument/2006/relationships/image" Target="../media/image2558.jpeg"/><Relationship Id="rId2588" Type="http://schemas.openxmlformats.org/officeDocument/2006/relationships/image" Target="../media/image2656.jpeg"/><Relationship Id="rId3127" Type="http://schemas.openxmlformats.org/officeDocument/2006/relationships/image" Target="../media/image3195.jpeg"/><Relationship Id="rId255" Type="http://schemas.openxmlformats.org/officeDocument/2006/relationships/image" Target="../media/image323.jpeg"/><Relationship Id="rId462" Type="http://schemas.openxmlformats.org/officeDocument/2006/relationships/image" Target="../media/image530.jpeg"/><Relationship Id="rId1092" Type="http://schemas.openxmlformats.org/officeDocument/2006/relationships/image" Target="../media/image1160.jpeg"/><Relationship Id="rId1397" Type="http://schemas.openxmlformats.org/officeDocument/2006/relationships/image" Target="../media/image1465.jpeg"/><Relationship Id="rId2143" Type="http://schemas.openxmlformats.org/officeDocument/2006/relationships/image" Target="../media/image2211.jpeg"/><Relationship Id="rId2350" Type="http://schemas.openxmlformats.org/officeDocument/2006/relationships/image" Target="../media/image2418.jpeg"/><Relationship Id="rId2795" Type="http://schemas.openxmlformats.org/officeDocument/2006/relationships/image" Target="../media/image2863.jpeg"/><Relationship Id="rId115" Type="http://schemas.openxmlformats.org/officeDocument/2006/relationships/image" Target="../media/image183.jpeg"/><Relationship Id="rId322" Type="http://schemas.openxmlformats.org/officeDocument/2006/relationships/image" Target="../media/image390.jpeg"/><Relationship Id="rId767" Type="http://schemas.openxmlformats.org/officeDocument/2006/relationships/image" Target="../media/image835.jpeg"/><Relationship Id="rId974" Type="http://schemas.openxmlformats.org/officeDocument/2006/relationships/image" Target="../media/image1042.jpeg"/><Relationship Id="rId2003" Type="http://schemas.openxmlformats.org/officeDocument/2006/relationships/image" Target="../media/image2071.jpeg"/><Relationship Id="rId2210" Type="http://schemas.openxmlformats.org/officeDocument/2006/relationships/image" Target="../media/image2278.jpeg"/><Relationship Id="rId2448" Type="http://schemas.openxmlformats.org/officeDocument/2006/relationships/image" Target="../media/image2516.jpeg"/><Relationship Id="rId2655" Type="http://schemas.openxmlformats.org/officeDocument/2006/relationships/image" Target="../media/image2723.jpeg"/><Relationship Id="rId2862" Type="http://schemas.openxmlformats.org/officeDocument/2006/relationships/image" Target="../media/image2930.jpeg"/><Relationship Id="rId627" Type="http://schemas.openxmlformats.org/officeDocument/2006/relationships/image" Target="../media/image695.jpeg"/><Relationship Id="rId834" Type="http://schemas.openxmlformats.org/officeDocument/2006/relationships/image" Target="../media/image902.jpeg"/><Relationship Id="rId1257" Type="http://schemas.openxmlformats.org/officeDocument/2006/relationships/image" Target="../media/image1325.jpeg"/><Relationship Id="rId1464" Type="http://schemas.openxmlformats.org/officeDocument/2006/relationships/image" Target="../media/image1532.jpeg"/><Relationship Id="rId1671" Type="http://schemas.openxmlformats.org/officeDocument/2006/relationships/image" Target="../media/image1739.jpeg"/><Relationship Id="rId2308" Type="http://schemas.openxmlformats.org/officeDocument/2006/relationships/image" Target="../media/image2376.jpeg"/><Relationship Id="rId2515" Type="http://schemas.openxmlformats.org/officeDocument/2006/relationships/image" Target="../media/image2583.jpeg"/><Relationship Id="rId2722" Type="http://schemas.openxmlformats.org/officeDocument/2006/relationships/image" Target="../media/image2790.jpeg"/><Relationship Id="rId901" Type="http://schemas.openxmlformats.org/officeDocument/2006/relationships/image" Target="../media/image969.jpeg"/><Relationship Id="rId1117" Type="http://schemas.openxmlformats.org/officeDocument/2006/relationships/image" Target="../media/image1185.jpeg"/><Relationship Id="rId1324" Type="http://schemas.openxmlformats.org/officeDocument/2006/relationships/image" Target="../media/image1392.jpeg"/><Relationship Id="rId1531" Type="http://schemas.openxmlformats.org/officeDocument/2006/relationships/image" Target="../media/image1599.jpeg"/><Relationship Id="rId1769" Type="http://schemas.openxmlformats.org/officeDocument/2006/relationships/image" Target="../media/image1837.jpeg"/><Relationship Id="rId1976" Type="http://schemas.openxmlformats.org/officeDocument/2006/relationships/image" Target="../media/image2044.jpeg"/><Relationship Id="rId30" Type="http://schemas.openxmlformats.org/officeDocument/2006/relationships/image" Target="../media/image98.jpeg"/><Relationship Id="rId1629" Type="http://schemas.openxmlformats.org/officeDocument/2006/relationships/image" Target="../media/image1697.jpeg"/><Relationship Id="rId1836" Type="http://schemas.openxmlformats.org/officeDocument/2006/relationships/image" Target="../media/image1904.jpeg"/><Relationship Id="rId1903" Type="http://schemas.openxmlformats.org/officeDocument/2006/relationships/image" Target="../media/image1971.jpeg"/><Relationship Id="rId2098" Type="http://schemas.openxmlformats.org/officeDocument/2006/relationships/image" Target="../media/image2166.jpeg"/><Relationship Id="rId3051" Type="http://schemas.openxmlformats.org/officeDocument/2006/relationships/image" Target="../media/image3119.jpeg"/><Relationship Id="rId3149" Type="http://schemas.openxmlformats.org/officeDocument/2006/relationships/image" Target="../media/image3217.jpeg"/><Relationship Id="rId277" Type="http://schemas.openxmlformats.org/officeDocument/2006/relationships/image" Target="../media/image345.jpeg"/><Relationship Id="rId484" Type="http://schemas.openxmlformats.org/officeDocument/2006/relationships/image" Target="../media/image552.jpeg"/><Relationship Id="rId2165" Type="http://schemas.openxmlformats.org/officeDocument/2006/relationships/image" Target="../media/image2233.jpeg"/><Relationship Id="rId3009" Type="http://schemas.openxmlformats.org/officeDocument/2006/relationships/image" Target="../media/image3077.jpeg"/><Relationship Id="rId137" Type="http://schemas.openxmlformats.org/officeDocument/2006/relationships/image" Target="../media/image205.jpeg"/><Relationship Id="rId344" Type="http://schemas.openxmlformats.org/officeDocument/2006/relationships/image" Target="../media/image412.jpeg"/><Relationship Id="rId691" Type="http://schemas.openxmlformats.org/officeDocument/2006/relationships/image" Target="../media/image759.jpeg"/><Relationship Id="rId789" Type="http://schemas.openxmlformats.org/officeDocument/2006/relationships/image" Target="../media/image857.jpeg"/><Relationship Id="rId996" Type="http://schemas.openxmlformats.org/officeDocument/2006/relationships/image" Target="../media/image1064.jpeg"/><Relationship Id="rId2025" Type="http://schemas.openxmlformats.org/officeDocument/2006/relationships/image" Target="../media/image2093.jpeg"/><Relationship Id="rId2372" Type="http://schemas.openxmlformats.org/officeDocument/2006/relationships/image" Target="../media/image2440.jpeg"/><Relationship Id="rId2677" Type="http://schemas.openxmlformats.org/officeDocument/2006/relationships/image" Target="../media/image2745.jpeg"/><Relationship Id="rId2884" Type="http://schemas.openxmlformats.org/officeDocument/2006/relationships/image" Target="../media/image2952.jpeg"/><Relationship Id="rId551" Type="http://schemas.openxmlformats.org/officeDocument/2006/relationships/image" Target="../media/image619.jpeg"/><Relationship Id="rId649" Type="http://schemas.openxmlformats.org/officeDocument/2006/relationships/image" Target="../media/image717.jpeg"/><Relationship Id="rId856" Type="http://schemas.openxmlformats.org/officeDocument/2006/relationships/image" Target="../media/image924.jpeg"/><Relationship Id="rId1181" Type="http://schemas.openxmlformats.org/officeDocument/2006/relationships/image" Target="../media/image1249.jpeg"/><Relationship Id="rId1279" Type="http://schemas.openxmlformats.org/officeDocument/2006/relationships/image" Target="../media/image1347.jpeg"/><Relationship Id="rId1486" Type="http://schemas.openxmlformats.org/officeDocument/2006/relationships/image" Target="../media/image1554.jpeg"/><Relationship Id="rId2232" Type="http://schemas.openxmlformats.org/officeDocument/2006/relationships/image" Target="../media/image2300.jpeg"/><Relationship Id="rId2537" Type="http://schemas.openxmlformats.org/officeDocument/2006/relationships/image" Target="../media/image2605.jpeg"/><Relationship Id="rId204" Type="http://schemas.openxmlformats.org/officeDocument/2006/relationships/image" Target="../media/image272.jpeg"/><Relationship Id="rId411" Type="http://schemas.openxmlformats.org/officeDocument/2006/relationships/image" Target="../media/image479.jpeg"/><Relationship Id="rId509" Type="http://schemas.openxmlformats.org/officeDocument/2006/relationships/image" Target="../media/image577.jpeg"/><Relationship Id="rId1041" Type="http://schemas.openxmlformats.org/officeDocument/2006/relationships/image" Target="../media/image1109.jpeg"/><Relationship Id="rId1139" Type="http://schemas.openxmlformats.org/officeDocument/2006/relationships/image" Target="../media/image1207.jpeg"/><Relationship Id="rId1346" Type="http://schemas.openxmlformats.org/officeDocument/2006/relationships/image" Target="../media/image1414.jpeg"/><Relationship Id="rId1693" Type="http://schemas.openxmlformats.org/officeDocument/2006/relationships/image" Target="../media/image1761.jpeg"/><Relationship Id="rId1998" Type="http://schemas.openxmlformats.org/officeDocument/2006/relationships/image" Target="../media/image2066.jpeg"/><Relationship Id="rId2744" Type="http://schemas.openxmlformats.org/officeDocument/2006/relationships/image" Target="../media/image2812.jpeg"/><Relationship Id="rId2951" Type="http://schemas.openxmlformats.org/officeDocument/2006/relationships/image" Target="../media/image3019.jpeg"/><Relationship Id="rId716" Type="http://schemas.openxmlformats.org/officeDocument/2006/relationships/image" Target="../media/image784.jpeg"/><Relationship Id="rId923" Type="http://schemas.openxmlformats.org/officeDocument/2006/relationships/image" Target="../media/image991.jpeg"/><Relationship Id="rId1553" Type="http://schemas.openxmlformats.org/officeDocument/2006/relationships/image" Target="../media/image1621.jpeg"/><Relationship Id="rId1760" Type="http://schemas.openxmlformats.org/officeDocument/2006/relationships/image" Target="../media/image1828.jpeg"/><Relationship Id="rId1858" Type="http://schemas.openxmlformats.org/officeDocument/2006/relationships/image" Target="../media/image1926.jpeg"/><Relationship Id="rId2604" Type="http://schemas.openxmlformats.org/officeDocument/2006/relationships/image" Target="../media/image2672.jpeg"/><Relationship Id="rId2811" Type="http://schemas.openxmlformats.org/officeDocument/2006/relationships/image" Target="../media/image2879.jpeg"/><Relationship Id="rId52" Type="http://schemas.openxmlformats.org/officeDocument/2006/relationships/image" Target="../media/image120.jpeg"/><Relationship Id="rId1206" Type="http://schemas.openxmlformats.org/officeDocument/2006/relationships/image" Target="../media/image1274.jpeg"/><Relationship Id="rId1413" Type="http://schemas.openxmlformats.org/officeDocument/2006/relationships/image" Target="../media/image1481.jpeg"/><Relationship Id="rId1620" Type="http://schemas.openxmlformats.org/officeDocument/2006/relationships/image" Target="../media/image1688.jpeg"/><Relationship Id="rId2909" Type="http://schemas.openxmlformats.org/officeDocument/2006/relationships/image" Target="../media/image2977.jpeg"/><Relationship Id="rId3073" Type="http://schemas.openxmlformats.org/officeDocument/2006/relationships/image" Target="../media/image3141.jpeg"/><Relationship Id="rId1718" Type="http://schemas.openxmlformats.org/officeDocument/2006/relationships/image" Target="../media/image1786.jpeg"/><Relationship Id="rId1925" Type="http://schemas.openxmlformats.org/officeDocument/2006/relationships/image" Target="../media/image1993.jpeg"/><Relationship Id="rId3140" Type="http://schemas.openxmlformats.org/officeDocument/2006/relationships/image" Target="../media/image3208.jpeg"/><Relationship Id="rId299" Type="http://schemas.openxmlformats.org/officeDocument/2006/relationships/image" Target="../media/image367.jpeg"/><Relationship Id="rId2187" Type="http://schemas.openxmlformats.org/officeDocument/2006/relationships/image" Target="../media/image2255.jpeg"/><Relationship Id="rId2394" Type="http://schemas.openxmlformats.org/officeDocument/2006/relationships/image" Target="../media/image2462.jpeg"/><Relationship Id="rId159" Type="http://schemas.openxmlformats.org/officeDocument/2006/relationships/image" Target="../media/image227.jpeg"/><Relationship Id="rId366" Type="http://schemas.openxmlformats.org/officeDocument/2006/relationships/image" Target="../media/image434.jpeg"/><Relationship Id="rId573" Type="http://schemas.openxmlformats.org/officeDocument/2006/relationships/image" Target="../media/image641.jpeg"/><Relationship Id="rId780" Type="http://schemas.openxmlformats.org/officeDocument/2006/relationships/image" Target="../media/image848.jpeg"/><Relationship Id="rId2047" Type="http://schemas.openxmlformats.org/officeDocument/2006/relationships/image" Target="../media/image2115.jpeg"/><Relationship Id="rId2254" Type="http://schemas.openxmlformats.org/officeDocument/2006/relationships/image" Target="../media/image2322.jpeg"/><Relationship Id="rId2461" Type="http://schemas.openxmlformats.org/officeDocument/2006/relationships/image" Target="../media/image2529.jpeg"/><Relationship Id="rId2699" Type="http://schemas.openxmlformats.org/officeDocument/2006/relationships/image" Target="../media/image2767.jpeg"/><Relationship Id="rId3000" Type="http://schemas.openxmlformats.org/officeDocument/2006/relationships/image" Target="../media/image3068.jpeg"/><Relationship Id="rId226" Type="http://schemas.openxmlformats.org/officeDocument/2006/relationships/image" Target="../media/image294.jpeg"/><Relationship Id="rId433" Type="http://schemas.openxmlformats.org/officeDocument/2006/relationships/image" Target="../media/image501.jpeg"/><Relationship Id="rId878" Type="http://schemas.openxmlformats.org/officeDocument/2006/relationships/image" Target="../media/image946.jpeg"/><Relationship Id="rId1063" Type="http://schemas.openxmlformats.org/officeDocument/2006/relationships/image" Target="../media/image1131.jpeg"/><Relationship Id="rId1270" Type="http://schemas.openxmlformats.org/officeDocument/2006/relationships/image" Target="../media/image1338.jpeg"/><Relationship Id="rId2114" Type="http://schemas.openxmlformats.org/officeDocument/2006/relationships/image" Target="../media/image2182.jpeg"/><Relationship Id="rId2559" Type="http://schemas.openxmlformats.org/officeDocument/2006/relationships/image" Target="../media/image2627.jpeg"/><Relationship Id="rId2766" Type="http://schemas.openxmlformats.org/officeDocument/2006/relationships/image" Target="../media/image2834.jpeg"/><Relationship Id="rId2973" Type="http://schemas.openxmlformats.org/officeDocument/2006/relationships/image" Target="../media/image3041.jpeg"/><Relationship Id="rId640" Type="http://schemas.openxmlformats.org/officeDocument/2006/relationships/image" Target="../media/image708.jpeg"/><Relationship Id="rId738" Type="http://schemas.openxmlformats.org/officeDocument/2006/relationships/image" Target="../media/image806.jpeg"/><Relationship Id="rId945" Type="http://schemas.openxmlformats.org/officeDocument/2006/relationships/image" Target="../media/image1013.jpeg"/><Relationship Id="rId1368" Type="http://schemas.openxmlformats.org/officeDocument/2006/relationships/image" Target="../media/image1436.jpeg"/><Relationship Id="rId1575" Type="http://schemas.openxmlformats.org/officeDocument/2006/relationships/image" Target="../media/image1643.jpeg"/><Relationship Id="rId1782" Type="http://schemas.openxmlformats.org/officeDocument/2006/relationships/image" Target="../media/image1850.jpeg"/><Relationship Id="rId2321" Type="http://schemas.openxmlformats.org/officeDocument/2006/relationships/image" Target="../media/image2389.jpeg"/><Relationship Id="rId2419" Type="http://schemas.openxmlformats.org/officeDocument/2006/relationships/image" Target="../media/image2487.jpeg"/><Relationship Id="rId2626" Type="http://schemas.openxmlformats.org/officeDocument/2006/relationships/image" Target="../media/image2694.jpeg"/><Relationship Id="rId2833" Type="http://schemas.openxmlformats.org/officeDocument/2006/relationships/image" Target="../media/image2901.jpeg"/><Relationship Id="rId74" Type="http://schemas.openxmlformats.org/officeDocument/2006/relationships/image" Target="../media/image142.jpeg"/><Relationship Id="rId500" Type="http://schemas.openxmlformats.org/officeDocument/2006/relationships/image" Target="../media/image568.jpeg"/><Relationship Id="rId805" Type="http://schemas.openxmlformats.org/officeDocument/2006/relationships/image" Target="../media/image873.jpeg"/><Relationship Id="rId1130" Type="http://schemas.openxmlformats.org/officeDocument/2006/relationships/image" Target="../media/image1198.jpeg"/><Relationship Id="rId1228" Type="http://schemas.openxmlformats.org/officeDocument/2006/relationships/image" Target="../media/image1296.jpeg"/><Relationship Id="rId1435" Type="http://schemas.openxmlformats.org/officeDocument/2006/relationships/image" Target="../media/image1503.jpeg"/><Relationship Id="rId1642" Type="http://schemas.openxmlformats.org/officeDocument/2006/relationships/image" Target="../media/image1710.jpeg"/><Relationship Id="rId1947" Type="http://schemas.openxmlformats.org/officeDocument/2006/relationships/image" Target="../media/image2015.jpeg"/><Relationship Id="rId2900" Type="http://schemas.openxmlformats.org/officeDocument/2006/relationships/image" Target="../media/image2968.jpeg"/><Relationship Id="rId3095" Type="http://schemas.openxmlformats.org/officeDocument/2006/relationships/image" Target="../media/image3163.jpeg"/><Relationship Id="rId1502" Type="http://schemas.openxmlformats.org/officeDocument/2006/relationships/image" Target="../media/image1570.jpeg"/><Relationship Id="rId1807" Type="http://schemas.openxmlformats.org/officeDocument/2006/relationships/image" Target="../media/image1875.jpeg"/><Relationship Id="rId290" Type="http://schemas.openxmlformats.org/officeDocument/2006/relationships/image" Target="../media/image358.jpeg"/><Relationship Id="rId388" Type="http://schemas.openxmlformats.org/officeDocument/2006/relationships/image" Target="../media/image456.jpeg"/><Relationship Id="rId2069" Type="http://schemas.openxmlformats.org/officeDocument/2006/relationships/image" Target="../media/image2137.jpeg"/><Relationship Id="rId3022" Type="http://schemas.openxmlformats.org/officeDocument/2006/relationships/image" Target="../media/image3090.jpeg"/><Relationship Id="rId150" Type="http://schemas.openxmlformats.org/officeDocument/2006/relationships/image" Target="../media/image218.jpeg"/><Relationship Id="rId595" Type="http://schemas.openxmlformats.org/officeDocument/2006/relationships/image" Target="../media/image663.jpeg"/><Relationship Id="rId2276" Type="http://schemas.openxmlformats.org/officeDocument/2006/relationships/image" Target="../media/image2344.jpeg"/><Relationship Id="rId2483" Type="http://schemas.openxmlformats.org/officeDocument/2006/relationships/image" Target="../media/image2551.jpeg"/><Relationship Id="rId2690" Type="http://schemas.openxmlformats.org/officeDocument/2006/relationships/image" Target="../media/image2758.jpeg"/><Relationship Id="rId248" Type="http://schemas.openxmlformats.org/officeDocument/2006/relationships/image" Target="../media/image316.jpeg"/><Relationship Id="rId455" Type="http://schemas.openxmlformats.org/officeDocument/2006/relationships/image" Target="../media/image523.jpeg"/><Relationship Id="rId662" Type="http://schemas.openxmlformats.org/officeDocument/2006/relationships/image" Target="../media/image730.jpeg"/><Relationship Id="rId1085" Type="http://schemas.openxmlformats.org/officeDocument/2006/relationships/image" Target="../media/image1153.jpeg"/><Relationship Id="rId1292" Type="http://schemas.openxmlformats.org/officeDocument/2006/relationships/image" Target="../media/image1360.jpeg"/><Relationship Id="rId2136" Type="http://schemas.openxmlformats.org/officeDocument/2006/relationships/image" Target="../media/image2204.jpeg"/><Relationship Id="rId2343" Type="http://schemas.openxmlformats.org/officeDocument/2006/relationships/image" Target="../media/image2411.jpeg"/><Relationship Id="rId2550" Type="http://schemas.openxmlformats.org/officeDocument/2006/relationships/image" Target="../media/image2618.jpeg"/><Relationship Id="rId2788" Type="http://schemas.openxmlformats.org/officeDocument/2006/relationships/image" Target="../media/image2856.jpeg"/><Relationship Id="rId2995" Type="http://schemas.openxmlformats.org/officeDocument/2006/relationships/image" Target="../media/image3063.jpeg"/><Relationship Id="rId108" Type="http://schemas.openxmlformats.org/officeDocument/2006/relationships/image" Target="../media/image176.jpeg"/><Relationship Id="rId315" Type="http://schemas.openxmlformats.org/officeDocument/2006/relationships/image" Target="../media/image383.jpeg"/><Relationship Id="rId522" Type="http://schemas.openxmlformats.org/officeDocument/2006/relationships/image" Target="../media/image590.jpeg"/><Relationship Id="rId967" Type="http://schemas.openxmlformats.org/officeDocument/2006/relationships/image" Target="../media/image1035.jpeg"/><Relationship Id="rId1152" Type="http://schemas.openxmlformats.org/officeDocument/2006/relationships/image" Target="../media/image1220.jpeg"/><Relationship Id="rId1597" Type="http://schemas.openxmlformats.org/officeDocument/2006/relationships/image" Target="../media/image1665.jpeg"/><Relationship Id="rId2203" Type="http://schemas.openxmlformats.org/officeDocument/2006/relationships/image" Target="../media/image2271.jpeg"/><Relationship Id="rId2410" Type="http://schemas.openxmlformats.org/officeDocument/2006/relationships/image" Target="../media/image2478.jpeg"/><Relationship Id="rId2648" Type="http://schemas.openxmlformats.org/officeDocument/2006/relationships/image" Target="../media/image2716.jpeg"/><Relationship Id="rId2855" Type="http://schemas.openxmlformats.org/officeDocument/2006/relationships/image" Target="../media/image2923.jpeg"/><Relationship Id="rId96" Type="http://schemas.openxmlformats.org/officeDocument/2006/relationships/image" Target="../media/image164.jpeg"/><Relationship Id="rId827" Type="http://schemas.openxmlformats.org/officeDocument/2006/relationships/image" Target="../media/image895.jpeg"/><Relationship Id="rId1012" Type="http://schemas.openxmlformats.org/officeDocument/2006/relationships/image" Target="../media/image1080.jpeg"/><Relationship Id="rId1457" Type="http://schemas.openxmlformats.org/officeDocument/2006/relationships/image" Target="../media/image1525.jpeg"/><Relationship Id="rId1664" Type="http://schemas.openxmlformats.org/officeDocument/2006/relationships/image" Target="../media/image1732.jpeg"/><Relationship Id="rId1871" Type="http://schemas.openxmlformats.org/officeDocument/2006/relationships/image" Target="../media/image1939.jpeg"/><Relationship Id="rId2508" Type="http://schemas.openxmlformats.org/officeDocument/2006/relationships/image" Target="../media/image2576.jpeg"/><Relationship Id="rId2715" Type="http://schemas.openxmlformats.org/officeDocument/2006/relationships/image" Target="../media/image2783.jpeg"/><Relationship Id="rId2922" Type="http://schemas.openxmlformats.org/officeDocument/2006/relationships/image" Target="../media/image2990.jpeg"/><Relationship Id="rId1317" Type="http://schemas.openxmlformats.org/officeDocument/2006/relationships/image" Target="../media/image1385.jpeg"/><Relationship Id="rId1524" Type="http://schemas.openxmlformats.org/officeDocument/2006/relationships/image" Target="../media/image1592.jpeg"/><Relationship Id="rId1731" Type="http://schemas.openxmlformats.org/officeDocument/2006/relationships/image" Target="../media/image1799.jpeg"/><Relationship Id="rId1969" Type="http://schemas.openxmlformats.org/officeDocument/2006/relationships/image" Target="../media/image2037.jpeg"/><Relationship Id="rId23" Type="http://schemas.openxmlformats.org/officeDocument/2006/relationships/image" Target="../media/image91.jpeg"/><Relationship Id="rId1829" Type="http://schemas.openxmlformats.org/officeDocument/2006/relationships/image" Target="../media/image1897.jpeg"/><Relationship Id="rId2298" Type="http://schemas.openxmlformats.org/officeDocument/2006/relationships/image" Target="../media/image2366.jpeg"/><Relationship Id="rId3044" Type="http://schemas.openxmlformats.org/officeDocument/2006/relationships/image" Target="../media/image3112.jpeg"/><Relationship Id="rId172" Type="http://schemas.openxmlformats.org/officeDocument/2006/relationships/image" Target="../media/image240.jpeg"/><Relationship Id="rId477" Type="http://schemas.openxmlformats.org/officeDocument/2006/relationships/image" Target="../media/image545.jpeg"/><Relationship Id="rId684" Type="http://schemas.openxmlformats.org/officeDocument/2006/relationships/image" Target="../media/image752.jpeg"/><Relationship Id="rId2060" Type="http://schemas.openxmlformats.org/officeDocument/2006/relationships/image" Target="../media/image2128.jpeg"/><Relationship Id="rId2158" Type="http://schemas.openxmlformats.org/officeDocument/2006/relationships/image" Target="../media/image2226.jpeg"/><Relationship Id="rId2365" Type="http://schemas.openxmlformats.org/officeDocument/2006/relationships/image" Target="../media/image2433.jpeg"/><Relationship Id="rId3111" Type="http://schemas.openxmlformats.org/officeDocument/2006/relationships/image" Target="../media/image3179.jpeg"/><Relationship Id="rId337" Type="http://schemas.openxmlformats.org/officeDocument/2006/relationships/image" Target="../media/image405.jpeg"/><Relationship Id="rId891" Type="http://schemas.openxmlformats.org/officeDocument/2006/relationships/image" Target="../media/image959.jpeg"/><Relationship Id="rId989" Type="http://schemas.openxmlformats.org/officeDocument/2006/relationships/image" Target="../media/image1057.jpeg"/><Relationship Id="rId2018" Type="http://schemas.openxmlformats.org/officeDocument/2006/relationships/image" Target="../media/image2086.jpeg"/><Relationship Id="rId2572" Type="http://schemas.openxmlformats.org/officeDocument/2006/relationships/image" Target="../media/image2640.jpeg"/><Relationship Id="rId2877" Type="http://schemas.openxmlformats.org/officeDocument/2006/relationships/image" Target="../media/image2945.jpeg"/><Relationship Id="rId544" Type="http://schemas.openxmlformats.org/officeDocument/2006/relationships/image" Target="../media/image612.jpeg"/><Relationship Id="rId751" Type="http://schemas.openxmlformats.org/officeDocument/2006/relationships/image" Target="../media/image819.jpeg"/><Relationship Id="rId849" Type="http://schemas.openxmlformats.org/officeDocument/2006/relationships/image" Target="../media/image917.jpeg"/><Relationship Id="rId1174" Type="http://schemas.openxmlformats.org/officeDocument/2006/relationships/image" Target="../media/image1242.jpeg"/><Relationship Id="rId1381" Type="http://schemas.openxmlformats.org/officeDocument/2006/relationships/image" Target="../media/image1449.jpeg"/><Relationship Id="rId1479" Type="http://schemas.openxmlformats.org/officeDocument/2006/relationships/image" Target="../media/image1547.jpeg"/><Relationship Id="rId1686" Type="http://schemas.openxmlformats.org/officeDocument/2006/relationships/image" Target="../media/image1754.jpeg"/><Relationship Id="rId2225" Type="http://schemas.openxmlformats.org/officeDocument/2006/relationships/image" Target="../media/image2293.jpeg"/><Relationship Id="rId2432" Type="http://schemas.openxmlformats.org/officeDocument/2006/relationships/image" Target="../media/image2500.jpeg"/><Relationship Id="rId404" Type="http://schemas.openxmlformats.org/officeDocument/2006/relationships/image" Target="../media/image472.jpeg"/><Relationship Id="rId611" Type="http://schemas.openxmlformats.org/officeDocument/2006/relationships/image" Target="../media/image679.jpeg"/><Relationship Id="rId1034" Type="http://schemas.openxmlformats.org/officeDocument/2006/relationships/image" Target="../media/image1102.jpeg"/><Relationship Id="rId1241" Type="http://schemas.openxmlformats.org/officeDocument/2006/relationships/image" Target="../media/image1309.jpeg"/><Relationship Id="rId1339" Type="http://schemas.openxmlformats.org/officeDocument/2006/relationships/image" Target="../media/image1407.jpeg"/><Relationship Id="rId1893" Type="http://schemas.openxmlformats.org/officeDocument/2006/relationships/image" Target="../media/image1961.jpeg"/><Relationship Id="rId2737" Type="http://schemas.openxmlformats.org/officeDocument/2006/relationships/image" Target="../media/image2805.jpeg"/><Relationship Id="rId2944" Type="http://schemas.openxmlformats.org/officeDocument/2006/relationships/image" Target="../media/image3012.jpeg"/><Relationship Id="rId709" Type="http://schemas.openxmlformats.org/officeDocument/2006/relationships/image" Target="../media/image777.jpeg"/><Relationship Id="rId916" Type="http://schemas.openxmlformats.org/officeDocument/2006/relationships/image" Target="../media/image984.jpeg"/><Relationship Id="rId1101" Type="http://schemas.openxmlformats.org/officeDocument/2006/relationships/image" Target="../media/image1169.jpeg"/><Relationship Id="rId1546" Type="http://schemas.openxmlformats.org/officeDocument/2006/relationships/image" Target="../media/image1614.jpeg"/><Relationship Id="rId1753" Type="http://schemas.openxmlformats.org/officeDocument/2006/relationships/image" Target="../media/image1821.jpeg"/><Relationship Id="rId1960" Type="http://schemas.openxmlformats.org/officeDocument/2006/relationships/image" Target="../media/image2028.jpeg"/><Relationship Id="rId2804" Type="http://schemas.openxmlformats.org/officeDocument/2006/relationships/image" Target="../media/image2872.jpeg"/><Relationship Id="rId45" Type="http://schemas.openxmlformats.org/officeDocument/2006/relationships/image" Target="../media/image113.jpeg"/><Relationship Id="rId1406" Type="http://schemas.openxmlformats.org/officeDocument/2006/relationships/image" Target="../media/image1474.jpeg"/><Relationship Id="rId1613" Type="http://schemas.openxmlformats.org/officeDocument/2006/relationships/image" Target="../media/image1681.jpeg"/><Relationship Id="rId1820" Type="http://schemas.openxmlformats.org/officeDocument/2006/relationships/image" Target="../media/image1888.jpeg"/><Relationship Id="rId3066" Type="http://schemas.openxmlformats.org/officeDocument/2006/relationships/image" Target="../media/image3134.jpeg"/><Relationship Id="rId194" Type="http://schemas.openxmlformats.org/officeDocument/2006/relationships/image" Target="../media/image262.jpeg"/><Relationship Id="rId1918" Type="http://schemas.openxmlformats.org/officeDocument/2006/relationships/image" Target="../media/image1986.jpeg"/><Relationship Id="rId2082" Type="http://schemas.openxmlformats.org/officeDocument/2006/relationships/image" Target="../media/image2150.jpeg"/><Relationship Id="rId3133" Type="http://schemas.openxmlformats.org/officeDocument/2006/relationships/image" Target="../media/image3201.jpeg"/><Relationship Id="rId261" Type="http://schemas.openxmlformats.org/officeDocument/2006/relationships/image" Target="../media/image329.jpeg"/><Relationship Id="rId499" Type="http://schemas.openxmlformats.org/officeDocument/2006/relationships/image" Target="../media/image567.jpeg"/><Relationship Id="rId2387" Type="http://schemas.openxmlformats.org/officeDocument/2006/relationships/image" Target="../media/image2455.jpeg"/><Relationship Id="rId2594" Type="http://schemas.openxmlformats.org/officeDocument/2006/relationships/image" Target="../media/image2662.jpeg"/><Relationship Id="rId359" Type="http://schemas.openxmlformats.org/officeDocument/2006/relationships/image" Target="../media/image427.jpeg"/><Relationship Id="rId566" Type="http://schemas.openxmlformats.org/officeDocument/2006/relationships/image" Target="../media/image634.jpeg"/><Relationship Id="rId773" Type="http://schemas.openxmlformats.org/officeDocument/2006/relationships/image" Target="../media/image841.jpeg"/><Relationship Id="rId1196" Type="http://schemas.openxmlformats.org/officeDocument/2006/relationships/image" Target="../media/image1264.jpeg"/><Relationship Id="rId2247" Type="http://schemas.openxmlformats.org/officeDocument/2006/relationships/image" Target="../media/image2315.jpeg"/><Relationship Id="rId2454" Type="http://schemas.openxmlformats.org/officeDocument/2006/relationships/image" Target="../media/image2522.jpeg"/><Relationship Id="rId2899" Type="http://schemas.openxmlformats.org/officeDocument/2006/relationships/image" Target="../media/image2967.jpeg"/><Relationship Id="rId121" Type="http://schemas.openxmlformats.org/officeDocument/2006/relationships/image" Target="../media/image189.jpeg"/><Relationship Id="rId219" Type="http://schemas.openxmlformats.org/officeDocument/2006/relationships/image" Target="../media/image287.jpeg"/><Relationship Id="rId426" Type="http://schemas.openxmlformats.org/officeDocument/2006/relationships/image" Target="../media/image494.jpeg"/><Relationship Id="rId633" Type="http://schemas.openxmlformats.org/officeDocument/2006/relationships/image" Target="../media/image701.jpeg"/><Relationship Id="rId980" Type="http://schemas.openxmlformats.org/officeDocument/2006/relationships/image" Target="../media/image1048.jpeg"/><Relationship Id="rId1056" Type="http://schemas.openxmlformats.org/officeDocument/2006/relationships/image" Target="../media/image1124.jpeg"/><Relationship Id="rId1263" Type="http://schemas.openxmlformats.org/officeDocument/2006/relationships/image" Target="../media/image1331.jpeg"/><Relationship Id="rId2107" Type="http://schemas.openxmlformats.org/officeDocument/2006/relationships/image" Target="../media/image2175.jpeg"/><Relationship Id="rId2314" Type="http://schemas.openxmlformats.org/officeDocument/2006/relationships/image" Target="../media/image2382.jpeg"/><Relationship Id="rId2661" Type="http://schemas.openxmlformats.org/officeDocument/2006/relationships/image" Target="../media/image2729.jpeg"/><Relationship Id="rId2759" Type="http://schemas.openxmlformats.org/officeDocument/2006/relationships/image" Target="../media/image2827.jpeg"/><Relationship Id="rId2966" Type="http://schemas.openxmlformats.org/officeDocument/2006/relationships/image" Target="../media/image3034.jpeg"/><Relationship Id="rId840" Type="http://schemas.openxmlformats.org/officeDocument/2006/relationships/image" Target="../media/image908.jpeg"/><Relationship Id="rId938" Type="http://schemas.openxmlformats.org/officeDocument/2006/relationships/image" Target="../media/image1006.jpeg"/><Relationship Id="rId1470" Type="http://schemas.openxmlformats.org/officeDocument/2006/relationships/image" Target="../media/image1538.jpeg"/><Relationship Id="rId1568" Type="http://schemas.openxmlformats.org/officeDocument/2006/relationships/image" Target="../media/image1636.jpeg"/><Relationship Id="rId1775" Type="http://schemas.openxmlformats.org/officeDocument/2006/relationships/image" Target="../media/image1843.jpeg"/><Relationship Id="rId2521" Type="http://schemas.openxmlformats.org/officeDocument/2006/relationships/image" Target="../media/image2589.jpeg"/><Relationship Id="rId2619" Type="http://schemas.openxmlformats.org/officeDocument/2006/relationships/image" Target="../media/image2687.jpeg"/><Relationship Id="rId2826" Type="http://schemas.openxmlformats.org/officeDocument/2006/relationships/image" Target="../media/image2894.jpeg"/><Relationship Id="rId67" Type="http://schemas.openxmlformats.org/officeDocument/2006/relationships/image" Target="../media/image135.jpeg"/><Relationship Id="rId700" Type="http://schemas.openxmlformats.org/officeDocument/2006/relationships/image" Target="../media/image768.jpeg"/><Relationship Id="rId1123" Type="http://schemas.openxmlformats.org/officeDocument/2006/relationships/image" Target="../media/image1191.jpeg"/><Relationship Id="rId1330" Type="http://schemas.openxmlformats.org/officeDocument/2006/relationships/image" Target="../media/image1398.jpeg"/><Relationship Id="rId1428" Type="http://schemas.openxmlformats.org/officeDocument/2006/relationships/image" Target="../media/image1496.jpeg"/><Relationship Id="rId1635" Type="http://schemas.openxmlformats.org/officeDocument/2006/relationships/image" Target="../media/image1703.jpeg"/><Relationship Id="rId1982" Type="http://schemas.openxmlformats.org/officeDocument/2006/relationships/image" Target="../media/image2050.jpeg"/><Relationship Id="rId3088" Type="http://schemas.openxmlformats.org/officeDocument/2006/relationships/image" Target="../media/image3156.jpeg"/><Relationship Id="rId1842" Type="http://schemas.openxmlformats.org/officeDocument/2006/relationships/image" Target="../media/image1910.jpeg"/><Relationship Id="rId1702" Type="http://schemas.openxmlformats.org/officeDocument/2006/relationships/image" Target="../media/image1770.jpeg"/><Relationship Id="rId3155" Type="http://schemas.openxmlformats.org/officeDocument/2006/relationships/image" Target="../media/image3223.emf"/><Relationship Id="rId283" Type="http://schemas.openxmlformats.org/officeDocument/2006/relationships/image" Target="../media/image351.jpeg"/><Relationship Id="rId490" Type="http://schemas.openxmlformats.org/officeDocument/2006/relationships/image" Target="../media/image558.jpeg"/><Relationship Id="rId2171" Type="http://schemas.openxmlformats.org/officeDocument/2006/relationships/image" Target="../media/image2239.jpeg"/><Relationship Id="rId3015" Type="http://schemas.openxmlformats.org/officeDocument/2006/relationships/image" Target="../media/image3083.jpeg"/><Relationship Id="rId143" Type="http://schemas.openxmlformats.org/officeDocument/2006/relationships/image" Target="../media/image211.jpeg"/><Relationship Id="rId350" Type="http://schemas.openxmlformats.org/officeDocument/2006/relationships/image" Target="../media/image418.jpeg"/><Relationship Id="rId588" Type="http://schemas.openxmlformats.org/officeDocument/2006/relationships/image" Target="../media/image656.jpeg"/><Relationship Id="rId795" Type="http://schemas.openxmlformats.org/officeDocument/2006/relationships/image" Target="../media/image863.jpeg"/><Relationship Id="rId2031" Type="http://schemas.openxmlformats.org/officeDocument/2006/relationships/image" Target="../media/image2099.jpeg"/><Relationship Id="rId2269" Type="http://schemas.openxmlformats.org/officeDocument/2006/relationships/image" Target="../media/image2337.jpeg"/><Relationship Id="rId2476" Type="http://schemas.openxmlformats.org/officeDocument/2006/relationships/image" Target="../media/image2544.jpeg"/><Relationship Id="rId2683" Type="http://schemas.openxmlformats.org/officeDocument/2006/relationships/image" Target="../media/image2751.jpeg"/><Relationship Id="rId2890" Type="http://schemas.openxmlformats.org/officeDocument/2006/relationships/image" Target="../media/image2958.jpeg"/><Relationship Id="rId9" Type="http://schemas.openxmlformats.org/officeDocument/2006/relationships/image" Target="../media/image77.jpeg"/><Relationship Id="rId210" Type="http://schemas.openxmlformats.org/officeDocument/2006/relationships/image" Target="../media/image278.jpeg"/><Relationship Id="rId448" Type="http://schemas.openxmlformats.org/officeDocument/2006/relationships/image" Target="../media/image516.jpeg"/><Relationship Id="rId655" Type="http://schemas.openxmlformats.org/officeDocument/2006/relationships/image" Target="../media/image723.jpeg"/><Relationship Id="rId862" Type="http://schemas.openxmlformats.org/officeDocument/2006/relationships/image" Target="../media/image930.jpeg"/><Relationship Id="rId1078" Type="http://schemas.openxmlformats.org/officeDocument/2006/relationships/image" Target="../media/image1146.jpeg"/><Relationship Id="rId1285" Type="http://schemas.openxmlformats.org/officeDocument/2006/relationships/image" Target="../media/image1353.jpeg"/><Relationship Id="rId1492" Type="http://schemas.openxmlformats.org/officeDocument/2006/relationships/image" Target="../media/image1560.jpeg"/><Relationship Id="rId2129" Type="http://schemas.openxmlformats.org/officeDocument/2006/relationships/image" Target="../media/image2197.jpeg"/><Relationship Id="rId2336" Type="http://schemas.openxmlformats.org/officeDocument/2006/relationships/image" Target="../media/image2404.jpeg"/><Relationship Id="rId2543" Type="http://schemas.openxmlformats.org/officeDocument/2006/relationships/image" Target="../media/image2611.jpeg"/><Relationship Id="rId2750" Type="http://schemas.openxmlformats.org/officeDocument/2006/relationships/image" Target="../media/image2818.jpeg"/><Relationship Id="rId2988" Type="http://schemas.openxmlformats.org/officeDocument/2006/relationships/image" Target="../media/image3056.jpeg"/><Relationship Id="rId308" Type="http://schemas.openxmlformats.org/officeDocument/2006/relationships/image" Target="../media/image376.jpeg"/><Relationship Id="rId515" Type="http://schemas.openxmlformats.org/officeDocument/2006/relationships/image" Target="../media/image583.jpeg"/><Relationship Id="rId722" Type="http://schemas.openxmlformats.org/officeDocument/2006/relationships/image" Target="../media/image790.jpeg"/><Relationship Id="rId1145" Type="http://schemas.openxmlformats.org/officeDocument/2006/relationships/image" Target="../media/image1213.jpeg"/><Relationship Id="rId1352" Type="http://schemas.openxmlformats.org/officeDocument/2006/relationships/image" Target="../media/image1420.jpeg"/><Relationship Id="rId1797" Type="http://schemas.openxmlformats.org/officeDocument/2006/relationships/image" Target="../media/image1865.jpeg"/><Relationship Id="rId2403" Type="http://schemas.openxmlformats.org/officeDocument/2006/relationships/image" Target="../media/image2471.jpeg"/><Relationship Id="rId2848" Type="http://schemas.openxmlformats.org/officeDocument/2006/relationships/image" Target="../media/image2916.jpeg"/><Relationship Id="rId89" Type="http://schemas.openxmlformats.org/officeDocument/2006/relationships/image" Target="../media/image157.jpeg"/><Relationship Id="rId1005" Type="http://schemas.openxmlformats.org/officeDocument/2006/relationships/image" Target="../media/image1073.jpeg"/><Relationship Id="rId1212" Type="http://schemas.openxmlformats.org/officeDocument/2006/relationships/image" Target="../media/image1280.jpeg"/><Relationship Id="rId1657" Type="http://schemas.openxmlformats.org/officeDocument/2006/relationships/image" Target="../media/image1725.jpeg"/><Relationship Id="rId1864" Type="http://schemas.openxmlformats.org/officeDocument/2006/relationships/image" Target="../media/image1932.jpeg"/><Relationship Id="rId2610" Type="http://schemas.openxmlformats.org/officeDocument/2006/relationships/image" Target="../media/image2678.jpeg"/><Relationship Id="rId2708" Type="http://schemas.openxmlformats.org/officeDocument/2006/relationships/image" Target="../media/image2776.jpeg"/><Relationship Id="rId2915" Type="http://schemas.openxmlformats.org/officeDocument/2006/relationships/image" Target="../media/image2983.jpeg"/><Relationship Id="rId1517" Type="http://schemas.openxmlformats.org/officeDocument/2006/relationships/image" Target="../media/image1585.jpeg"/><Relationship Id="rId1724" Type="http://schemas.openxmlformats.org/officeDocument/2006/relationships/image" Target="../media/image1792.jpeg"/><Relationship Id="rId16" Type="http://schemas.openxmlformats.org/officeDocument/2006/relationships/image" Target="../media/image84.jpeg"/><Relationship Id="rId1931" Type="http://schemas.openxmlformats.org/officeDocument/2006/relationships/image" Target="../media/image1999.jpeg"/><Relationship Id="rId3037" Type="http://schemas.openxmlformats.org/officeDocument/2006/relationships/image" Target="../media/image3105.jpeg"/><Relationship Id="rId2193" Type="http://schemas.openxmlformats.org/officeDocument/2006/relationships/image" Target="../media/image2261.jpeg"/><Relationship Id="rId2498" Type="http://schemas.openxmlformats.org/officeDocument/2006/relationships/image" Target="../media/image2566.jpeg"/><Relationship Id="rId165" Type="http://schemas.openxmlformats.org/officeDocument/2006/relationships/image" Target="../media/image233.jpeg"/><Relationship Id="rId372" Type="http://schemas.openxmlformats.org/officeDocument/2006/relationships/image" Target="../media/image440.jpeg"/><Relationship Id="rId677" Type="http://schemas.openxmlformats.org/officeDocument/2006/relationships/image" Target="../media/image745.jpeg"/><Relationship Id="rId2053" Type="http://schemas.openxmlformats.org/officeDocument/2006/relationships/image" Target="../media/image2121.jpeg"/><Relationship Id="rId2260" Type="http://schemas.openxmlformats.org/officeDocument/2006/relationships/image" Target="../media/image2328.jpeg"/><Relationship Id="rId2358" Type="http://schemas.openxmlformats.org/officeDocument/2006/relationships/image" Target="../media/image2426.jpeg"/><Relationship Id="rId3104" Type="http://schemas.openxmlformats.org/officeDocument/2006/relationships/image" Target="../media/image3172.jpeg"/><Relationship Id="rId232" Type="http://schemas.openxmlformats.org/officeDocument/2006/relationships/image" Target="../media/image300.jpeg"/><Relationship Id="rId884" Type="http://schemas.openxmlformats.org/officeDocument/2006/relationships/image" Target="../media/image952.jpeg"/><Relationship Id="rId2120" Type="http://schemas.openxmlformats.org/officeDocument/2006/relationships/image" Target="../media/image2188.jpeg"/><Relationship Id="rId2565" Type="http://schemas.openxmlformats.org/officeDocument/2006/relationships/image" Target="../media/image2633.jpeg"/><Relationship Id="rId2772" Type="http://schemas.openxmlformats.org/officeDocument/2006/relationships/image" Target="../media/image2840.jpeg"/><Relationship Id="rId537" Type="http://schemas.openxmlformats.org/officeDocument/2006/relationships/image" Target="../media/image605.jpeg"/><Relationship Id="rId744" Type="http://schemas.openxmlformats.org/officeDocument/2006/relationships/image" Target="../media/image812.jpeg"/><Relationship Id="rId951" Type="http://schemas.openxmlformats.org/officeDocument/2006/relationships/image" Target="../media/image1019.jpeg"/><Relationship Id="rId1167" Type="http://schemas.openxmlformats.org/officeDocument/2006/relationships/image" Target="../media/image1235.jpeg"/><Relationship Id="rId1374" Type="http://schemas.openxmlformats.org/officeDocument/2006/relationships/image" Target="../media/image1442.jpeg"/><Relationship Id="rId1581" Type="http://schemas.openxmlformats.org/officeDocument/2006/relationships/image" Target="../media/image1649.jpeg"/><Relationship Id="rId1679" Type="http://schemas.openxmlformats.org/officeDocument/2006/relationships/image" Target="../media/image1747.jpeg"/><Relationship Id="rId2218" Type="http://schemas.openxmlformats.org/officeDocument/2006/relationships/image" Target="../media/image2286.jpeg"/><Relationship Id="rId2425" Type="http://schemas.openxmlformats.org/officeDocument/2006/relationships/image" Target="../media/image2493.jpeg"/><Relationship Id="rId2632" Type="http://schemas.openxmlformats.org/officeDocument/2006/relationships/image" Target="../media/image2700.jpeg"/><Relationship Id="rId80" Type="http://schemas.openxmlformats.org/officeDocument/2006/relationships/image" Target="../media/image148.jpeg"/><Relationship Id="rId604" Type="http://schemas.openxmlformats.org/officeDocument/2006/relationships/image" Target="../media/image672.jpeg"/><Relationship Id="rId811" Type="http://schemas.openxmlformats.org/officeDocument/2006/relationships/image" Target="../media/image879.jpeg"/><Relationship Id="rId1027" Type="http://schemas.openxmlformats.org/officeDocument/2006/relationships/image" Target="../media/image1095.jpeg"/><Relationship Id="rId1234" Type="http://schemas.openxmlformats.org/officeDocument/2006/relationships/image" Target="../media/image1302.jpeg"/><Relationship Id="rId1441" Type="http://schemas.openxmlformats.org/officeDocument/2006/relationships/image" Target="../media/image1509.jpeg"/><Relationship Id="rId1886" Type="http://schemas.openxmlformats.org/officeDocument/2006/relationships/image" Target="../media/image1954.jpeg"/><Relationship Id="rId2937" Type="http://schemas.openxmlformats.org/officeDocument/2006/relationships/image" Target="../media/image3005.jpeg"/><Relationship Id="rId909" Type="http://schemas.openxmlformats.org/officeDocument/2006/relationships/image" Target="../media/image977.jpeg"/><Relationship Id="rId1301" Type="http://schemas.openxmlformats.org/officeDocument/2006/relationships/image" Target="../media/image1369.jpeg"/><Relationship Id="rId1539" Type="http://schemas.openxmlformats.org/officeDocument/2006/relationships/image" Target="../media/image1607.jpeg"/><Relationship Id="rId1746" Type="http://schemas.openxmlformats.org/officeDocument/2006/relationships/image" Target="../media/image1814.jpeg"/><Relationship Id="rId1953" Type="http://schemas.openxmlformats.org/officeDocument/2006/relationships/image" Target="../media/image2021.jpeg"/><Relationship Id="rId38" Type="http://schemas.openxmlformats.org/officeDocument/2006/relationships/image" Target="../media/image106.jpeg"/><Relationship Id="rId1606" Type="http://schemas.openxmlformats.org/officeDocument/2006/relationships/image" Target="../media/image1674.jpeg"/><Relationship Id="rId1813" Type="http://schemas.openxmlformats.org/officeDocument/2006/relationships/image" Target="../media/image1881.jpeg"/><Relationship Id="rId3059" Type="http://schemas.openxmlformats.org/officeDocument/2006/relationships/image" Target="../media/image3127.jpeg"/><Relationship Id="rId187" Type="http://schemas.openxmlformats.org/officeDocument/2006/relationships/image" Target="../media/image255.jpeg"/><Relationship Id="rId394" Type="http://schemas.openxmlformats.org/officeDocument/2006/relationships/image" Target="../media/image462.jpeg"/><Relationship Id="rId2075" Type="http://schemas.openxmlformats.org/officeDocument/2006/relationships/image" Target="../media/image2143.jpeg"/><Relationship Id="rId2282" Type="http://schemas.openxmlformats.org/officeDocument/2006/relationships/image" Target="../media/image2350.jpeg"/><Relationship Id="rId3126" Type="http://schemas.openxmlformats.org/officeDocument/2006/relationships/image" Target="../media/image3194.jpeg"/><Relationship Id="rId254" Type="http://schemas.openxmlformats.org/officeDocument/2006/relationships/image" Target="../media/image322.jpeg"/><Relationship Id="rId699" Type="http://schemas.openxmlformats.org/officeDocument/2006/relationships/image" Target="../media/image767.jpeg"/><Relationship Id="rId1091" Type="http://schemas.openxmlformats.org/officeDocument/2006/relationships/image" Target="../media/image1159.jpeg"/><Relationship Id="rId2587" Type="http://schemas.openxmlformats.org/officeDocument/2006/relationships/image" Target="../media/image2655.jpeg"/><Relationship Id="rId2794" Type="http://schemas.openxmlformats.org/officeDocument/2006/relationships/image" Target="../media/image2862.jpeg"/><Relationship Id="rId114" Type="http://schemas.openxmlformats.org/officeDocument/2006/relationships/image" Target="../media/image182.jpeg"/><Relationship Id="rId461" Type="http://schemas.openxmlformats.org/officeDocument/2006/relationships/image" Target="../media/image529.jpeg"/><Relationship Id="rId559" Type="http://schemas.openxmlformats.org/officeDocument/2006/relationships/image" Target="../media/image627.jpeg"/><Relationship Id="rId766" Type="http://schemas.openxmlformats.org/officeDocument/2006/relationships/image" Target="../media/image834.jpeg"/><Relationship Id="rId1189" Type="http://schemas.openxmlformats.org/officeDocument/2006/relationships/image" Target="../media/image1257.jpeg"/><Relationship Id="rId1396" Type="http://schemas.openxmlformats.org/officeDocument/2006/relationships/image" Target="../media/image1464.jpeg"/><Relationship Id="rId2142" Type="http://schemas.openxmlformats.org/officeDocument/2006/relationships/image" Target="../media/image2210.jpeg"/><Relationship Id="rId2447" Type="http://schemas.openxmlformats.org/officeDocument/2006/relationships/image" Target="../media/image2515.jpeg"/><Relationship Id="rId321" Type="http://schemas.openxmlformats.org/officeDocument/2006/relationships/image" Target="../media/image389.jpeg"/><Relationship Id="rId419" Type="http://schemas.openxmlformats.org/officeDocument/2006/relationships/image" Target="../media/image487.jpeg"/><Relationship Id="rId626" Type="http://schemas.openxmlformats.org/officeDocument/2006/relationships/image" Target="../media/image694.jpeg"/><Relationship Id="rId973" Type="http://schemas.openxmlformats.org/officeDocument/2006/relationships/image" Target="../media/image1041.jpeg"/><Relationship Id="rId1049" Type="http://schemas.openxmlformats.org/officeDocument/2006/relationships/image" Target="../media/image1117.jpeg"/><Relationship Id="rId1256" Type="http://schemas.openxmlformats.org/officeDocument/2006/relationships/image" Target="../media/image1324.jpeg"/><Relationship Id="rId2002" Type="http://schemas.openxmlformats.org/officeDocument/2006/relationships/image" Target="../media/image2070.jpeg"/><Relationship Id="rId2307" Type="http://schemas.openxmlformats.org/officeDocument/2006/relationships/image" Target="../media/image2375.jpeg"/><Relationship Id="rId2654" Type="http://schemas.openxmlformats.org/officeDocument/2006/relationships/image" Target="../media/image2722.jpeg"/><Relationship Id="rId2861" Type="http://schemas.openxmlformats.org/officeDocument/2006/relationships/image" Target="../media/image2929.jpeg"/><Relationship Id="rId2959" Type="http://schemas.openxmlformats.org/officeDocument/2006/relationships/image" Target="../media/image3027.jpeg"/><Relationship Id="rId833" Type="http://schemas.openxmlformats.org/officeDocument/2006/relationships/image" Target="../media/image901.jpeg"/><Relationship Id="rId1116" Type="http://schemas.openxmlformats.org/officeDocument/2006/relationships/image" Target="../media/image1184.jpeg"/><Relationship Id="rId1463" Type="http://schemas.openxmlformats.org/officeDocument/2006/relationships/image" Target="../media/image1531.jpeg"/><Relationship Id="rId1670" Type="http://schemas.openxmlformats.org/officeDocument/2006/relationships/image" Target="../media/image1738.jpeg"/><Relationship Id="rId1768" Type="http://schemas.openxmlformats.org/officeDocument/2006/relationships/image" Target="../media/image1836.jpeg"/><Relationship Id="rId2514" Type="http://schemas.openxmlformats.org/officeDocument/2006/relationships/image" Target="../media/image2582.jpeg"/><Relationship Id="rId2721" Type="http://schemas.openxmlformats.org/officeDocument/2006/relationships/image" Target="../media/image2789.jpeg"/><Relationship Id="rId2819" Type="http://schemas.openxmlformats.org/officeDocument/2006/relationships/image" Target="../media/image2887.jpeg"/><Relationship Id="rId900" Type="http://schemas.openxmlformats.org/officeDocument/2006/relationships/image" Target="../media/image968.jpeg"/><Relationship Id="rId1323" Type="http://schemas.openxmlformats.org/officeDocument/2006/relationships/image" Target="../media/image1391.jpeg"/><Relationship Id="rId1530" Type="http://schemas.openxmlformats.org/officeDocument/2006/relationships/image" Target="../media/image1598.jpeg"/><Relationship Id="rId1628" Type="http://schemas.openxmlformats.org/officeDocument/2006/relationships/image" Target="../media/image1696.jpeg"/><Relationship Id="rId1975" Type="http://schemas.openxmlformats.org/officeDocument/2006/relationships/image" Target="../media/image2043.jpeg"/><Relationship Id="rId1835" Type="http://schemas.openxmlformats.org/officeDocument/2006/relationships/image" Target="../media/image1903.jpeg"/><Relationship Id="rId3050" Type="http://schemas.openxmlformats.org/officeDocument/2006/relationships/image" Target="../media/image3118.jpeg"/><Relationship Id="rId1902" Type="http://schemas.openxmlformats.org/officeDocument/2006/relationships/image" Target="../media/image1970.jpeg"/><Relationship Id="rId2097" Type="http://schemas.openxmlformats.org/officeDocument/2006/relationships/image" Target="../media/image2165.jpeg"/><Relationship Id="rId3148" Type="http://schemas.openxmlformats.org/officeDocument/2006/relationships/image" Target="../media/image3216.jpeg"/><Relationship Id="rId276" Type="http://schemas.openxmlformats.org/officeDocument/2006/relationships/image" Target="../media/image344.jpeg"/><Relationship Id="rId483" Type="http://schemas.openxmlformats.org/officeDocument/2006/relationships/image" Target="../media/image551.jpeg"/><Relationship Id="rId690" Type="http://schemas.openxmlformats.org/officeDocument/2006/relationships/image" Target="../media/image758.jpeg"/><Relationship Id="rId2164" Type="http://schemas.openxmlformats.org/officeDocument/2006/relationships/image" Target="../media/image2232.jpeg"/><Relationship Id="rId2371" Type="http://schemas.openxmlformats.org/officeDocument/2006/relationships/image" Target="../media/image2439.jpeg"/><Relationship Id="rId3008" Type="http://schemas.openxmlformats.org/officeDocument/2006/relationships/image" Target="../media/image3076.jpeg"/><Relationship Id="rId136" Type="http://schemas.openxmlformats.org/officeDocument/2006/relationships/image" Target="../media/image204.jpeg"/><Relationship Id="rId343" Type="http://schemas.openxmlformats.org/officeDocument/2006/relationships/image" Target="../media/image411.jpeg"/><Relationship Id="rId550" Type="http://schemas.openxmlformats.org/officeDocument/2006/relationships/image" Target="../media/image618.jpeg"/><Relationship Id="rId788" Type="http://schemas.openxmlformats.org/officeDocument/2006/relationships/image" Target="../media/image856.jpeg"/><Relationship Id="rId995" Type="http://schemas.openxmlformats.org/officeDocument/2006/relationships/image" Target="../media/image1063.jpeg"/><Relationship Id="rId1180" Type="http://schemas.openxmlformats.org/officeDocument/2006/relationships/image" Target="../media/image1248.jpeg"/><Relationship Id="rId2024" Type="http://schemas.openxmlformats.org/officeDocument/2006/relationships/image" Target="../media/image2092.jpeg"/><Relationship Id="rId2231" Type="http://schemas.openxmlformats.org/officeDocument/2006/relationships/image" Target="../media/image2299.jpeg"/><Relationship Id="rId2469" Type="http://schemas.openxmlformats.org/officeDocument/2006/relationships/image" Target="../media/image2537.jpeg"/><Relationship Id="rId2676" Type="http://schemas.openxmlformats.org/officeDocument/2006/relationships/image" Target="../media/image2744.jpeg"/><Relationship Id="rId2883" Type="http://schemas.openxmlformats.org/officeDocument/2006/relationships/image" Target="../media/image2951.jpeg"/><Relationship Id="rId203" Type="http://schemas.openxmlformats.org/officeDocument/2006/relationships/image" Target="../media/image271.jpeg"/><Relationship Id="rId648" Type="http://schemas.openxmlformats.org/officeDocument/2006/relationships/image" Target="../media/image716.jpeg"/><Relationship Id="rId855" Type="http://schemas.openxmlformats.org/officeDocument/2006/relationships/image" Target="../media/image923.jpeg"/><Relationship Id="rId1040" Type="http://schemas.openxmlformats.org/officeDocument/2006/relationships/image" Target="../media/image1108.jpeg"/><Relationship Id="rId1278" Type="http://schemas.openxmlformats.org/officeDocument/2006/relationships/image" Target="../media/image1346.jpeg"/><Relationship Id="rId1485" Type="http://schemas.openxmlformats.org/officeDocument/2006/relationships/image" Target="../media/image1553.jpeg"/><Relationship Id="rId1692" Type="http://schemas.openxmlformats.org/officeDocument/2006/relationships/image" Target="../media/image1760.jpeg"/><Relationship Id="rId2329" Type="http://schemas.openxmlformats.org/officeDocument/2006/relationships/image" Target="../media/image2397.jpeg"/><Relationship Id="rId2536" Type="http://schemas.openxmlformats.org/officeDocument/2006/relationships/image" Target="../media/image2604.jpeg"/><Relationship Id="rId2743" Type="http://schemas.openxmlformats.org/officeDocument/2006/relationships/image" Target="../media/image2811.jpeg"/><Relationship Id="rId410" Type="http://schemas.openxmlformats.org/officeDocument/2006/relationships/image" Target="../media/image478.jpeg"/><Relationship Id="rId508" Type="http://schemas.openxmlformats.org/officeDocument/2006/relationships/image" Target="../media/image576.jpeg"/><Relationship Id="rId715" Type="http://schemas.openxmlformats.org/officeDocument/2006/relationships/image" Target="../media/image783.jpeg"/><Relationship Id="rId922" Type="http://schemas.openxmlformats.org/officeDocument/2006/relationships/image" Target="../media/image990.jpeg"/><Relationship Id="rId1138" Type="http://schemas.openxmlformats.org/officeDocument/2006/relationships/image" Target="../media/image1206.jpeg"/><Relationship Id="rId1345" Type="http://schemas.openxmlformats.org/officeDocument/2006/relationships/image" Target="../media/image1413.jpeg"/><Relationship Id="rId1552" Type="http://schemas.openxmlformats.org/officeDocument/2006/relationships/image" Target="../media/image1620.jpeg"/><Relationship Id="rId1997" Type="http://schemas.openxmlformats.org/officeDocument/2006/relationships/image" Target="../media/image2065.jpeg"/><Relationship Id="rId2603" Type="http://schemas.openxmlformats.org/officeDocument/2006/relationships/image" Target="../media/image2671.jpeg"/><Relationship Id="rId2950" Type="http://schemas.openxmlformats.org/officeDocument/2006/relationships/image" Target="../media/image3018.jpeg"/><Relationship Id="rId1205" Type="http://schemas.openxmlformats.org/officeDocument/2006/relationships/image" Target="../media/image1273.jpeg"/><Relationship Id="rId1857" Type="http://schemas.openxmlformats.org/officeDocument/2006/relationships/image" Target="../media/image1925.jpeg"/><Relationship Id="rId2810" Type="http://schemas.openxmlformats.org/officeDocument/2006/relationships/image" Target="../media/image2878.jpeg"/><Relationship Id="rId2908" Type="http://schemas.openxmlformats.org/officeDocument/2006/relationships/image" Target="../media/image2976.jpeg"/><Relationship Id="rId51" Type="http://schemas.openxmlformats.org/officeDocument/2006/relationships/image" Target="../media/image119.jpeg"/><Relationship Id="rId1412" Type="http://schemas.openxmlformats.org/officeDocument/2006/relationships/image" Target="../media/image1480.jpeg"/><Relationship Id="rId1717" Type="http://schemas.openxmlformats.org/officeDocument/2006/relationships/image" Target="../media/image1785.jpeg"/><Relationship Id="rId1924" Type="http://schemas.openxmlformats.org/officeDocument/2006/relationships/image" Target="../media/image1992.jpeg"/><Relationship Id="rId3072" Type="http://schemas.openxmlformats.org/officeDocument/2006/relationships/image" Target="../media/image3140.jpeg"/><Relationship Id="rId298" Type="http://schemas.openxmlformats.org/officeDocument/2006/relationships/image" Target="../media/image366.jpeg"/><Relationship Id="rId158" Type="http://schemas.openxmlformats.org/officeDocument/2006/relationships/image" Target="../media/image226.jpeg"/><Relationship Id="rId2186" Type="http://schemas.openxmlformats.org/officeDocument/2006/relationships/image" Target="../media/image2254.jpeg"/><Relationship Id="rId2393" Type="http://schemas.openxmlformats.org/officeDocument/2006/relationships/image" Target="../media/image2461.jpeg"/><Relationship Id="rId2698" Type="http://schemas.openxmlformats.org/officeDocument/2006/relationships/image" Target="../media/image2766.jpeg"/><Relationship Id="rId365" Type="http://schemas.openxmlformats.org/officeDocument/2006/relationships/image" Target="../media/image433.jpeg"/><Relationship Id="rId572" Type="http://schemas.openxmlformats.org/officeDocument/2006/relationships/image" Target="../media/image640.jpeg"/><Relationship Id="rId2046" Type="http://schemas.openxmlformats.org/officeDocument/2006/relationships/image" Target="../media/image2114.jpeg"/><Relationship Id="rId2253" Type="http://schemas.openxmlformats.org/officeDocument/2006/relationships/image" Target="../media/image2321.jpeg"/><Relationship Id="rId2460" Type="http://schemas.openxmlformats.org/officeDocument/2006/relationships/image" Target="../media/image2528.jpeg"/><Relationship Id="rId225" Type="http://schemas.openxmlformats.org/officeDocument/2006/relationships/image" Target="../media/image293.jpeg"/><Relationship Id="rId432" Type="http://schemas.openxmlformats.org/officeDocument/2006/relationships/image" Target="../media/image500.jpeg"/><Relationship Id="rId877" Type="http://schemas.openxmlformats.org/officeDocument/2006/relationships/image" Target="../media/image945.jpeg"/><Relationship Id="rId1062" Type="http://schemas.openxmlformats.org/officeDocument/2006/relationships/image" Target="../media/image1130.jpeg"/><Relationship Id="rId2113" Type="http://schemas.openxmlformats.org/officeDocument/2006/relationships/image" Target="../media/image2181.jpeg"/><Relationship Id="rId2320" Type="http://schemas.openxmlformats.org/officeDocument/2006/relationships/image" Target="../media/image2388.jpeg"/><Relationship Id="rId2558" Type="http://schemas.openxmlformats.org/officeDocument/2006/relationships/image" Target="../media/image2626.jpeg"/><Relationship Id="rId2765" Type="http://schemas.openxmlformats.org/officeDocument/2006/relationships/image" Target="../media/image2833.jpeg"/><Relationship Id="rId2972" Type="http://schemas.openxmlformats.org/officeDocument/2006/relationships/image" Target="../media/image3040.jpeg"/><Relationship Id="rId737" Type="http://schemas.openxmlformats.org/officeDocument/2006/relationships/image" Target="../media/image805.jpeg"/><Relationship Id="rId944" Type="http://schemas.openxmlformats.org/officeDocument/2006/relationships/image" Target="../media/image1012.jpeg"/><Relationship Id="rId1367" Type="http://schemas.openxmlformats.org/officeDocument/2006/relationships/image" Target="../media/image1435.jpeg"/><Relationship Id="rId1574" Type="http://schemas.openxmlformats.org/officeDocument/2006/relationships/image" Target="../media/image1642.jpeg"/><Relationship Id="rId1781" Type="http://schemas.openxmlformats.org/officeDocument/2006/relationships/image" Target="../media/image1849.jpeg"/><Relationship Id="rId2418" Type="http://schemas.openxmlformats.org/officeDocument/2006/relationships/image" Target="../media/image2486.jpeg"/><Relationship Id="rId2625" Type="http://schemas.openxmlformats.org/officeDocument/2006/relationships/image" Target="../media/image2693.jpeg"/><Relationship Id="rId2832" Type="http://schemas.openxmlformats.org/officeDocument/2006/relationships/image" Target="../media/image2900.jpeg"/><Relationship Id="rId73" Type="http://schemas.openxmlformats.org/officeDocument/2006/relationships/image" Target="../media/image141.jpeg"/><Relationship Id="rId804" Type="http://schemas.openxmlformats.org/officeDocument/2006/relationships/image" Target="../media/image872.jpeg"/><Relationship Id="rId1227" Type="http://schemas.openxmlformats.org/officeDocument/2006/relationships/image" Target="../media/image1295.jpeg"/><Relationship Id="rId1434" Type="http://schemas.openxmlformats.org/officeDocument/2006/relationships/image" Target="../media/image1502.jpeg"/><Relationship Id="rId1641" Type="http://schemas.openxmlformats.org/officeDocument/2006/relationships/image" Target="../media/image1709.jpeg"/><Relationship Id="rId1879" Type="http://schemas.openxmlformats.org/officeDocument/2006/relationships/image" Target="../media/image1947.jpeg"/><Relationship Id="rId3094" Type="http://schemas.openxmlformats.org/officeDocument/2006/relationships/image" Target="../media/image3162.jpeg"/><Relationship Id="rId1501" Type="http://schemas.openxmlformats.org/officeDocument/2006/relationships/image" Target="../media/image1569.jpeg"/><Relationship Id="rId1739" Type="http://schemas.openxmlformats.org/officeDocument/2006/relationships/image" Target="../media/image1807.jpeg"/><Relationship Id="rId1946" Type="http://schemas.openxmlformats.org/officeDocument/2006/relationships/image" Target="../media/image2014.jpeg"/><Relationship Id="rId1806" Type="http://schemas.openxmlformats.org/officeDocument/2006/relationships/image" Target="../media/image1874.jpeg"/><Relationship Id="rId387" Type="http://schemas.openxmlformats.org/officeDocument/2006/relationships/image" Target="../media/image455.jpeg"/><Relationship Id="rId594" Type="http://schemas.openxmlformats.org/officeDocument/2006/relationships/image" Target="../media/image662.jpeg"/><Relationship Id="rId2068" Type="http://schemas.openxmlformats.org/officeDocument/2006/relationships/image" Target="../media/image2136.jpeg"/><Relationship Id="rId2275" Type="http://schemas.openxmlformats.org/officeDocument/2006/relationships/image" Target="../media/image2343.jpeg"/><Relationship Id="rId3021" Type="http://schemas.openxmlformats.org/officeDocument/2006/relationships/image" Target="../media/image3089.jpeg"/><Relationship Id="rId3119" Type="http://schemas.openxmlformats.org/officeDocument/2006/relationships/image" Target="../media/image3187.jpeg"/><Relationship Id="rId247" Type="http://schemas.openxmlformats.org/officeDocument/2006/relationships/image" Target="../media/image315.jpeg"/><Relationship Id="rId899" Type="http://schemas.openxmlformats.org/officeDocument/2006/relationships/image" Target="../media/image967.jpeg"/><Relationship Id="rId1084" Type="http://schemas.openxmlformats.org/officeDocument/2006/relationships/image" Target="../media/image1152.jpeg"/><Relationship Id="rId2482" Type="http://schemas.openxmlformats.org/officeDocument/2006/relationships/image" Target="../media/image2550.jpeg"/><Relationship Id="rId2787" Type="http://schemas.openxmlformats.org/officeDocument/2006/relationships/image" Target="../media/image2855.jpeg"/><Relationship Id="rId107" Type="http://schemas.openxmlformats.org/officeDocument/2006/relationships/image" Target="../media/image175.jpeg"/><Relationship Id="rId454" Type="http://schemas.openxmlformats.org/officeDocument/2006/relationships/image" Target="../media/image522.jpeg"/><Relationship Id="rId661" Type="http://schemas.openxmlformats.org/officeDocument/2006/relationships/image" Target="../media/image729.jpeg"/><Relationship Id="rId759" Type="http://schemas.openxmlformats.org/officeDocument/2006/relationships/image" Target="../media/image827.jpeg"/><Relationship Id="rId966" Type="http://schemas.openxmlformats.org/officeDocument/2006/relationships/image" Target="../media/image1034.jpeg"/><Relationship Id="rId1291" Type="http://schemas.openxmlformats.org/officeDocument/2006/relationships/image" Target="../media/image1359.jpeg"/><Relationship Id="rId1389" Type="http://schemas.openxmlformats.org/officeDocument/2006/relationships/image" Target="../media/image1457.jpeg"/><Relationship Id="rId1596" Type="http://schemas.openxmlformats.org/officeDocument/2006/relationships/image" Target="../media/image1664.jpeg"/><Relationship Id="rId2135" Type="http://schemas.openxmlformats.org/officeDocument/2006/relationships/image" Target="../media/image2203.jpeg"/><Relationship Id="rId2342" Type="http://schemas.openxmlformats.org/officeDocument/2006/relationships/image" Target="../media/image2410.jpeg"/><Relationship Id="rId2647" Type="http://schemas.openxmlformats.org/officeDocument/2006/relationships/image" Target="../media/image2715.jpeg"/><Relationship Id="rId2994" Type="http://schemas.openxmlformats.org/officeDocument/2006/relationships/image" Target="../media/image3062.jpeg"/><Relationship Id="rId314" Type="http://schemas.openxmlformats.org/officeDocument/2006/relationships/image" Target="../media/image382.jpeg"/><Relationship Id="rId521" Type="http://schemas.openxmlformats.org/officeDocument/2006/relationships/image" Target="../media/image589.jpeg"/><Relationship Id="rId619" Type="http://schemas.openxmlformats.org/officeDocument/2006/relationships/image" Target="../media/image687.jpeg"/><Relationship Id="rId1151" Type="http://schemas.openxmlformats.org/officeDocument/2006/relationships/image" Target="../media/image1219.jpeg"/><Relationship Id="rId1249" Type="http://schemas.openxmlformats.org/officeDocument/2006/relationships/image" Target="../media/image1317.jpeg"/><Relationship Id="rId2202" Type="http://schemas.openxmlformats.org/officeDocument/2006/relationships/image" Target="../media/image2270.jpeg"/><Relationship Id="rId2854" Type="http://schemas.openxmlformats.org/officeDocument/2006/relationships/image" Target="../media/image2922.jpeg"/><Relationship Id="rId95" Type="http://schemas.openxmlformats.org/officeDocument/2006/relationships/image" Target="../media/image163.jpeg"/><Relationship Id="rId826" Type="http://schemas.openxmlformats.org/officeDocument/2006/relationships/image" Target="../media/image894.jpeg"/><Relationship Id="rId1011" Type="http://schemas.openxmlformats.org/officeDocument/2006/relationships/image" Target="../media/image1079.jpeg"/><Relationship Id="rId1109" Type="http://schemas.openxmlformats.org/officeDocument/2006/relationships/image" Target="../media/image1177.jpeg"/><Relationship Id="rId1456" Type="http://schemas.openxmlformats.org/officeDocument/2006/relationships/image" Target="../media/image1524.jpeg"/><Relationship Id="rId1663" Type="http://schemas.openxmlformats.org/officeDocument/2006/relationships/image" Target="../media/image1731.jpeg"/><Relationship Id="rId1870" Type="http://schemas.openxmlformats.org/officeDocument/2006/relationships/image" Target="../media/image1938.jpeg"/><Relationship Id="rId1968" Type="http://schemas.openxmlformats.org/officeDocument/2006/relationships/image" Target="../media/image2036.jpeg"/><Relationship Id="rId2507" Type="http://schemas.openxmlformats.org/officeDocument/2006/relationships/image" Target="../media/image2575.jpeg"/><Relationship Id="rId2714" Type="http://schemas.openxmlformats.org/officeDocument/2006/relationships/image" Target="../media/image2782.jpeg"/><Relationship Id="rId2921" Type="http://schemas.openxmlformats.org/officeDocument/2006/relationships/image" Target="../media/image2989.jpeg"/><Relationship Id="rId1316" Type="http://schemas.openxmlformats.org/officeDocument/2006/relationships/image" Target="../media/image1384.jpeg"/><Relationship Id="rId1523" Type="http://schemas.openxmlformats.org/officeDocument/2006/relationships/image" Target="../media/image1591.jpeg"/><Relationship Id="rId1730" Type="http://schemas.openxmlformats.org/officeDocument/2006/relationships/image" Target="../media/image1798.jpeg"/><Relationship Id="rId22" Type="http://schemas.openxmlformats.org/officeDocument/2006/relationships/image" Target="../media/image90.jpeg"/><Relationship Id="rId1828" Type="http://schemas.openxmlformats.org/officeDocument/2006/relationships/image" Target="../media/image1896.jpeg"/><Relationship Id="rId3043" Type="http://schemas.openxmlformats.org/officeDocument/2006/relationships/image" Target="../media/image3111.jpeg"/><Relationship Id="rId171" Type="http://schemas.openxmlformats.org/officeDocument/2006/relationships/image" Target="../media/image239.jpeg"/><Relationship Id="rId2297" Type="http://schemas.openxmlformats.org/officeDocument/2006/relationships/image" Target="../media/image2365.jpeg"/><Relationship Id="rId269" Type="http://schemas.openxmlformats.org/officeDocument/2006/relationships/image" Target="../media/image337.jpeg"/><Relationship Id="rId476" Type="http://schemas.openxmlformats.org/officeDocument/2006/relationships/image" Target="../media/image544.jpeg"/><Relationship Id="rId683" Type="http://schemas.openxmlformats.org/officeDocument/2006/relationships/image" Target="../media/image751.jpeg"/><Relationship Id="rId890" Type="http://schemas.openxmlformats.org/officeDocument/2006/relationships/image" Target="../media/image958.jpeg"/><Relationship Id="rId2157" Type="http://schemas.openxmlformats.org/officeDocument/2006/relationships/image" Target="../media/image2225.jpeg"/><Relationship Id="rId2364" Type="http://schemas.openxmlformats.org/officeDocument/2006/relationships/image" Target="../media/image2432.jpeg"/><Relationship Id="rId2571" Type="http://schemas.openxmlformats.org/officeDocument/2006/relationships/image" Target="../media/image2639.jpeg"/><Relationship Id="rId3110" Type="http://schemas.openxmlformats.org/officeDocument/2006/relationships/image" Target="../media/image3178.jpeg"/><Relationship Id="rId129" Type="http://schemas.openxmlformats.org/officeDocument/2006/relationships/image" Target="../media/image197.jpeg"/><Relationship Id="rId336" Type="http://schemas.openxmlformats.org/officeDocument/2006/relationships/image" Target="../media/image404.jpeg"/><Relationship Id="rId543" Type="http://schemas.openxmlformats.org/officeDocument/2006/relationships/image" Target="../media/image611.jpeg"/><Relationship Id="rId988" Type="http://schemas.openxmlformats.org/officeDocument/2006/relationships/image" Target="../media/image1056.jpeg"/><Relationship Id="rId1173" Type="http://schemas.openxmlformats.org/officeDocument/2006/relationships/image" Target="../media/image1241.jpeg"/><Relationship Id="rId1380" Type="http://schemas.openxmlformats.org/officeDocument/2006/relationships/image" Target="../media/image1448.jpeg"/><Relationship Id="rId2017" Type="http://schemas.openxmlformats.org/officeDocument/2006/relationships/image" Target="../media/image2085.jpeg"/><Relationship Id="rId2224" Type="http://schemas.openxmlformats.org/officeDocument/2006/relationships/image" Target="../media/image2292.jpeg"/><Relationship Id="rId2669" Type="http://schemas.openxmlformats.org/officeDocument/2006/relationships/image" Target="../media/image2737.jpeg"/><Relationship Id="rId2876" Type="http://schemas.openxmlformats.org/officeDocument/2006/relationships/image" Target="../media/image2944.jpeg"/><Relationship Id="rId403" Type="http://schemas.openxmlformats.org/officeDocument/2006/relationships/image" Target="../media/image471.jpeg"/><Relationship Id="rId750" Type="http://schemas.openxmlformats.org/officeDocument/2006/relationships/image" Target="../media/image818.jpeg"/><Relationship Id="rId848" Type="http://schemas.openxmlformats.org/officeDocument/2006/relationships/image" Target="../media/image916.jpeg"/><Relationship Id="rId1033" Type="http://schemas.openxmlformats.org/officeDocument/2006/relationships/image" Target="../media/image1101.jpeg"/><Relationship Id="rId1478" Type="http://schemas.openxmlformats.org/officeDocument/2006/relationships/image" Target="../media/image1546.jpeg"/><Relationship Id="rId1685" Type="http://schemas.openxmlformats.org/officeDocument/2006/relationships/image" Target="../media/image1753.jpeg"/><Relationship Id="rId1892" Type="http://schemas.openxmlformats.org/officeDocument/2006/relationships/image" Target="../media/image1960.jpeg"/><Relationship Id="rId2431" Type="http://schemas.openxmlformats.org/officeDocument/2006/relationships/image" Target="../media/image2499.jpeg"/><Relationship Id="rId2529" Type="http://schemas.openxmlformats.org/officeDocument/2006/relationships/image" Target="../media/image2597.jpeg"/><Relationship Id="rId2736" Type="http://schemas.openxmlformats.org/officeDocument/2006/relationships/image" Target="../media/image2804.jpeg"/><Relationship Id="rId610" Type="http://schemas.openxmlformats.org/officeDocument/2006/relationships/image" Target="../media/image678.jpeg"/><Relationship Id="rId708" Type="http://schemas.openxmlformats.org/officeDocument/2006/relationships/image" Target="../media/image776.jpeg"/><Relationship Id="rId915" Type="http://schemas.openxmlformats.org/officeDocument/2006/relationships/image" Target="../media/image983.jpeg"/><Relationship Id="rId1240" Type="http://schemas.openxmlformats.org/officeDocument/2006/relationships/image" Target="../media/image1308.jpeg"/><Relationship Id="rId1338" Type="http://schemas.openxmlformats.org/officeDocument/2006/relationships/image" Target="../media/image1406.jpeg"/><Relationship Id="rId1545" Type="http://schemas.openxmlformats.org/officeDocument/2006/relationships/image" Target="../media/image1613.jpeg"/><Relationship Id="rId2943" Type="http://schemas.openxmlformats.org/officeDocument/2006/relationships/image" Target="../media/image3011.jpeg"/><Relationship Id="rId1100" Type="http://schemas.openxmlformats.org/officeDocument/2006/relationships/image" Target="../media/image1168.jpeg"/><Relationship Id="rId1405" Type="http://schemas.openxmlformats.org/officeDocument/2006/relationships/image" Target="../media/image1473.jpeg"/><Relationship Id="rId1752" Type="http://schemas.openxmlformats.org/officeDocument/2006/relationships/image" Target="../media/image1820.jpeg"/><Relationship Id="rId2803" Type="http://schemas.openxmlformats.org/officeDocument/2006/relationships/image" Target="../media/image2871.jpeg"/><Relationship Id="rId44" Type="http://schemas.openxmlformats.org/officeDocument/2006/relationships/image" Target="../media/image112.jpeg"/><Relationship Id="rId1612" Type="http://schemas.openxmlformats.org/officeDocument/2006/relationships/image" Target="../media/image1680.jpeg"/><Relationship Id="rId1917" Type="http://schemas.openxmlformats.org/officeDocument/2006/relationships/image" Target="../media/image1985.jpeg"/><Relationship Id="rId3065" Type="http://schemas.openxmlformats.org/officeDocument/2006/relationships/image" Target="../media/image3133.jpeg"/><Relationship Id="rId193" Type="http://schemas.openxmlformats.org/officeDocument/2006/relationships/image" Target="../media/image261.jpeg"/><Relationship Id="rId498" Type="http://schemas.openxmlformats.org/officeDocument/2006/relationships/image" Target="../media/image566.jpeg"/><Relationship Id="rId2081" Type="http://schemas.openxmlformats.org/officeDocument/2006/relationships/image" Target="../media/image2149.jpeg"/><Relationship Id="rId2179" Type="http://schemas.openxmlformats.org/officeDocument/2006/relationships/image" Target="../media/image2247.jpeg"/><Relationship Id="rId3132" Type="http://schemas.openxmlformats.org/officeDocument/2006/relationships/image" Target="../media/image3200.jpeg"/><Relationship Id="rId260" Type="http://schemas.openxmlformats.org/officeDocument/2006/relationships/image" Target="../media/image328.jpeg"/><Relationship Id="rId2386" Type="http://schemas.openxmlformats.org/officeDocument/2006/relationships/image" Target="../media/image2454.jpeg"/><Relationship Id="rId2593" Type="http://schemas.openxmlformats.org/officeDocument/2006/relationships/image" Target="../media/image2661.jpeg"/><Relationship Id="rId120" Type="http://schemas.openxmlformats.org/officeDocument/2006/relationships/image" Target="../media/image188.jpeg"/><Relationship Id="rId358" Type="http://schemas.openxmlformats.org/officeDocument/2006/relationships/image" Target="../media/image426.jpeg"/><Relationship Id="rId565" Type="http://schemas.openxmlformats.org/officeDocument/2006/relationships/image" Target="../media/image633.jpeg"/><Relationship Id="rId772" Type="http://schemas.openxmlformats.org/officeDocument/2006/relationships/image" Target="../media/image840.jpeg"/><Relationship Id="rId1195" Type="http://schemas.openxmlformats.org/officeDocument/2006/relationships/image" Target="../media/image1263.jpeg"/><Relationship Id="rId2039" Type="http://schemas.openxmlformats.org/officeDocument/2006/relationships/image" Target="../media/image2107.jpeg"/><Relationship Id="rId2246" Type="http://schemas.openxmlformats.org/officeDocument/2006/relationships/image" Target="../media/image2314.jpeg"/><Relationship Id="rId2453" Type="http://schemas.openxmlformats.org/officeDocument/2006/relationships/image" Target="../media/image2521.jpeg"/><Relationship Id="rId2660" Type="http://schemas.openxmlformats.org/officeDocument/2006/relationships/image" Target="../media/image2728.jpeg"/><Relationship Id="rId2898" Type="http://schemas.openxmlformats.org/officeDocument/2006/relationships/image" Target="../media/image2966.jpeg"/><Relationship Id="rId218" Type="http://schemas.openxmlformats.org/officeDocument/2006/relationships/image" Target="../media/image286.jpeg"/><Relationship Id="rId425" Type="http://schemas.openxmlformats.org/officeDocument/2006/relationships/image" Target="../media/image493.jpeg"/><Relationship Id="rId632" Type="http://schemas.openxmlformats.org/officeDocument/2006/relationships/image" Target="../media/image700.jpeg"/><Relationship Id="rId1055" Type="http://schemas.openxmlformats.org/officeDocument/2006/relationships/image" Target="../media/image1123.jpeg"/><Relationship Id="rId1262" Type="http://schemas.openxmlformats.org/officeDocument/2006/relationships/image" Target="../media/image1330.jpeg"/><Relationship Id="rId2106" Type="http://schemas.openxmlformats.org/officeDocument/2006/relationships/image" Target="../media/image2174.jpeg"/><Relationship Id="rId2313" Type="http://schemas.openxmlformats.org/officeDocument/2006/relationships/image" Target="../media/image2381.jpeg"/><Relationship Id="rId2520" Type="http://schemas.openxmlformats.org/officeDocument/2006/relationships/image" Target="../media/image2588.jpeg"/><Relationship Id="rId2758" Type="http://schemas.openxmlformats.org/officeDocument/2006/relationships/image" Target="../media/image2826.jpeg"/><Relationship Id="rId2965" Type="http://schemas.openxmlformats.org/officeDocument/2006/relationships/image" Target="../media/image3033.jpeg"/><Relationship Id="rId937" Type="http://schemas.openxmlformats.org/officeDocument/2006/relationships/image" Target="../media/image1005.jpeg"/><Relationship Id="rId1122" Type="http://schemas.openxmlformats.org/officeDocument/2006/relationships/image" Target="../media/image1190.jpeg"/><Relationship Id="rId1567" Type="http://schemas.openxmlformats.org/officeDocument/2006/relationships/image" Target="../media/image1635.jpeg"/><Relationship Id="rId1774" Type="http://schemas.openxmlformats.org/officeDocument/2006/relationships/image" Target="../media/image1842.jpeg"/><Relationship Id="rId1981" Type="http://schemas.openxmlformats.org/officeDocument/2006/relationships/image" Target="../media/image2049.jpeg"/><Relationship Id="rId2618" Type="http://schemas.openxmlformats.org/officeDocument/2006/relationships/image" Target="../media/image2686.jpeg"/><Relationship Id="rId2825" Type="http://schemas.openxmlformats.org/officeDocument/2006/relationships/image" Target="../media/image2893.jpeg"/><Relationship Id="rId66" Type="http://schemas.openxmlformats.org/officeDocument/2006/relationships/image" Target="../media/image134.jpeg"/><Relationship Id="rId1427" Type="http://schemas.openxmlformats.org/officeDocument/2006/relationships/image" Target="../media/image1495.jpeg"/><Relationship Id="rId1634" Type="http://schemas.openxmlformats.org/officeDocument/2006/relationships/image" Target="../media/image1702.jpeg"/><Relationship Id="rId1841" Type="http://schemas.openxmlformats.org/officeDocument/2006/relationships/image" Target="../media/image1909.jpeg"/><Relationship Id="rId3087" Type="http://schemas.openxmlformats.org/officeDocument/2006/relationships/image" Target="../media/image3155.jpeg"/><Relationship Id="rId1939" Type="http://schemas.openxmlformats.org/officeDocument/2006/relationships/image" Target="../media/image2007.jpeg"/><Relationship Id="rId1701" Type="http://schemas.openxmlformats.org/officeDocument/2006/relationships/image" Target="../media/image1769.jpeg"/><Relationship Id="rId3154" Type="http://schemas.openxmlformats.org/officeDocument/2006/relationships/image" Target="../media/image3222.emf"/><Relationship Id="rId282" Type="http://schemas.openxmlformats.org/officeDocument/2006/relationships/image" Target="../media/image350.jpeg"/><Relationship Id="rId587" Type="http://schemas.openxmlformats.org/officeDocument/2006/relationships/image" Target="../media/image655.jpeg"/><Relationship Id="rId2170" Type="http://schemas.openxmlformats.org/officeDocument/2006/relationships/image" Target="../media/image2238.jpeg"/><Relationship Id="rId2268" Type="http://schemas.openxmlformats.org/officeDocument/2006/relationships/image" Target="../media/image2336.jpeg"/><Relationship Id="rId3014" Type="http://schemas.openxmlformats.org/officeDocument/2006/relationships/image" Target="../media/image3082.jpeg"/><Relationship Id="rId8" Type="http://schemas.openxmlformats.org/officeDocument/2006/relationships/image" Target="../media/image76.jpeg"/><Relationship Id="rId142" Type="http://schemas.openxmlformats.org/officeDocument/2006/relationships/image" Target="../media/image210.jpeg"/><Relationship Id="rId447" Type="http://schemas.openxmlformats.org/officeDocument/2006/relationships/image" Target="../media/image515.jpeg"/><Relationship Id="rId794" Type="http://schemas.openxmlformats.org/officeDocument/2006/relationships/image" Target="../media/image862.jpeg"/><Relationship Id="rId1077" Type="http://schemas.openxmlformats.org/officeDocument/2006/relationships/image" Target="../media/image1145.jpeg"/><Relationship Id="rId2030" Type="http://schemas.openxmlformats.org/officeDocument/2006/relationships/image" Target="../media/image2098.jpeg"/><Relationship Id="rId2128" Type="http://schemas.openxmlformats.org/officeDocument/2006/relationships/image" Target="../media/image2196.jpeg"/><Relationship Id="rId2475" Type="http://schemas.openxmlformats.org/officeDocument/2006/relationships/image" Target="../media/image2543.jpeg"/><Relationship Id="rId2682" Type="http://schemas.openxmlformats.org/officeDocument/2006/relationships/image" Target="../media/image2750.jpeg"/><Relationship Id="rId2987" Type="http://schemas.openxmlformats.org/officeDocument/2006/relationships/image" Target="../media/image3055.jpeg"/><Relationship Id="rId654" Type="http://schemas.openxmlformats.org/officeDocument/2006/relationships/image" Target="../media/image722.jpeg"/><Relationship Id="rId861" Type="http://schemas.openxmlformats.org/officeDocument/2006/relationships/image" Target="../media/image929.jpeg"/><Relationship Id="rId959" Type="http://schemas.openxmlformats.org/officeDocument/2006/relationships/image" Target="../media/image1027.jpeg"/><Relationship Id="rId1284" Type="http://schemas.openxmlformats.org/officeDocument/2006/relationships/image" Target="../media/image1352.jpeg"/><Relationship Id="rId1491" Type="http://schemas.openxmlformats.org/officeDocument/2006/relationships/image" Target="../media/image1559.jpeg"/><Relationship Id="rId1589" Type="http://schemas.openxmlformats.org/officeDocument/2006/relationships/image" Target="../media/image1657.jpeg"/><Relationship Id="rId2335" Type="http://schemas.openxmlformats.org/officeDocument/2006/relationships/image" Target="../media/image2403.jpeg"/><Relationship Id="rId2542" Type="http://schemas.openxmlformats.org/officeDocument/2006/relationships/image" Target="../media/image2610.jpeg"/><Relationship Id="rId307" Type="http://schemas.openxmlformats.org/officeDocument/2006/relationships/image" Target="../media/image375.jpeg"/><Relationship Id="rId514" Type="http://schemas.openxmlformats.org/officeDocument/2006/relationships/image" Target="../media/image582.jpeg"/><Relationship Id="rId721" Type="http://schemas.openxmlformats.org/officeDocument/2006/relationships/image" Target="../media/image789.jpeg"/><Relationship Id="rId1144" Type="http://schemas.openxmlformats.org/officeDocument/2006/relationships/image" Target="../media/image1212.jpeg"/><Relationship Id="rId1351" Type="http://schemas.openxmlformats.org/officeDocument/2006/relationships/image" Target="../media/image1419.jpeg"/><Relationship Id="rId1449" Type="http://schemas.openxmlformats.org/officeDocument/2006/relationships/image" Target="../media/image1517.jpeg"/><Relationship Id="rId1796" Type="http://schemas.openxmlformats.org/officeDocument/2006/relationships/image" Target="../media/image1864.jpeg"/><Relationship Id="rId2402" Type="http://schemas.openxmlformats.org/officeDocument/2006/relationships/image" Target="../media/image2470.jpeg"/><Relationship Id="rId2847" Type="http://schemas.openxmlformats.org/officeDocument/2006/relationships/image" Target="../media/image2915.jpeg"/><Relationship Id="rId88" Type="http://schemas.openxmlformats.org/officeDocument/2006/relationships/image" Target="../media/image156.jpeg"/><Relationship Id="rId819" Type="http://schemas.openxmlformats.org/officeDocument/2006/relationships/image" Target="../media/image887.jpeg"/><Relationship Id="rId1004" Type="http://schemas.openxmlformats.org/officeDocument/2006/relationships/image" Target="../media/image1072.jpeg"/><Relationship Id="rId1211" Type="http://schemas.openxmlformats.org/officeDocument/2006/relationships/image" Target="../media/image1279.jpeg"/><Relationship Id="rId1656" Type="http://schemas.openxmlformats.org/officeDocument/2006/relationships/image" Target="../media/image1724.jpeg"/><Relationship Id="rId1863" Type="http://schemas.openxmlformats.org/officeDocument/2006/relationships/image" Target="../media/image1931.jpeg"/><Relationship Id="rId2707" Type="http://schemas.openxmlformats.org/officeDocument/2006/relationships/image" Target="../media/image2775.jpeg"/><Relationship Id="rId2914" Type="http://schemas.openxmlformats.org/officeDocument/2006/relationships/image" Target="../media/image2982.jpeg"/><Relationship Id="rId1309" Type="http://schemas.openxmlformats.org/officeDocument/2006/relationships/image" Target="../media/image1377.jpeg"/><Relationship Id="rId1516" Type="http://schemas.openxmlformats.org/officeDocument/2006/relationships/image" Target="../media/image1584.jpeg"/><Relationship Id="rId1723" Type="http://schemas.openxmlformats.org/officeDocument/2006/relationships/image" Target="../media/image1791.jpeg"/><Relationship Id="rId1930" Type="http://schemas.openxmlformats.org/officeDocument/2006/relationships/image" Target="../media/image1998.jpeg"/><Relationship Id="rId15" Type="http://schemas.openxmlformats.org/officeDocument/2006/relationships/image" Target="../media/image83.jpeg"/><Relationship Id="rId2192" Type="http://schemas.openxmlformats.org/officeDocument/2006/relationships/image" Target="../media/image2260.jpeg"/><Relationship Id="rId3036" Type="http://schemas.openxmlformats.org/officeDocument/2006/relationships/image" Target="../media/image3104.jpeg"/><Relationship Id="rId164" Type="http://schemas.openxmlformats.org/officeDocument/2006/relationships/image" Target="../media/image232.jpeg"/><Relationship Id="rId371" Type="http://schemas.openxmlformats.org/officeDocument/2006/relationships/image" Target="../media/image439.jpeg"/><Relationship Id="rId2052" Type="http://schemas.openxmlformats.org/officeDocument/2006/relationships/image" Target="../media/image2120.jpeg"/><Relationship Id="rId2497" Type="http://schemas.openxmlformats.org/officeDocument/2006/relationships/image" Target="../media/image2565.jpeg"/><Relationship Id="rId469" Type="http://schemas.openxmlformats.org/officeDocument/2006/relationships/image" Target="../media/image537.jpeg"/><Relationship Id="rId676" Type="http://schemas.openxmlformats.org/officeDocument/2006/relationships/image" Target="../media/image744.jpeg"/><Relationship Id="rId883" Type="http://schemas.openxmlformats.org/officeDocument/2006/relationships/image" Target="../media/image951.jpeg"/><Relationship Id="rId1099" Type="http://schemas.openxmlformats.org/officeDocument/2006/relationships/image" Target="../media/image1167.jpeg"/><Relationship Id="rId2357" Type="http://schemas.openxmlformats.org/officeDocument/2006/relationships/image" Target="../media/image2425.jpeg"/><Relationship Id="rId2564" Type="http://schemas.openxmlformats.org/officeDocument/2006/relationships/image" Target="../media/image2632.jpeg"/><Relationship Id="rId3103" Type="http://schemas.openxmlformats.org/officeDocument/2006/relationships/image" Target="../media/image3171.jpeg"/><Relationship Id="rId231" Type="http://schemas.openxmlformats.org/officeDocument/2006/relationships/image" Target="../media/image299.jpeg"/><Relationship Id="rId329" Type="http://schemas.openxmlformats.org/officeDocument/2006/relationships/image" Target="../media/image397.jpeg"/><Relationship Id="rId536" Type="http://schemas.openxmlformats.org/officeDocument/2006/relationships/image" Target="../media/image604.jpeg"/><Relationship Id="rId1166" Type="http://schemas.openxmlformats.org/officeDocument/2006/relationships/image" Target="../media/image1234.jpeg"/><Relationship Id="rId1373" Type="http://schemas.openxmlformats.org/officeDocument/2006/relationships/image" Target="../media/image1441.jpeg"/><Relationship Id="rId2217" Type="http://schemas.openxmlformats.org/officeDocument/2006/relationships/image" Target="../media/image2285.jpeg"/><Relationship Id="rId2771" Type="http://schemas.openxmlformats.org/officeDocument/2006/relationships/image" Target="../media/image2839.jpeg"/><Relationship Id="rId2869" Type="http://schemas.openxmlformats.org/officeDocument/2006/relationships/image" Target="../media/image2937.jpeg"/><Relationship Id="rId743" Type="http://schemas.openxmlformats.org/officeDocument/2006/relationships/image" Target="../media/image811.jpeg"/><Relationship Id="rId950" Type="http://schemas.openxmlformats.org/officeDocument/2006/relationships/image" Target="../media/image1018.jpeg"/><Relationship Id="rId1026" Type="http://schemas.openxmlformats.org/officeDocument/2006/relationships/image" Target="../media/image1094.jpeg"/><Relationship Id="rId1580" Type="http://schemas.openxmlformats.org/officeDocument/2006/relationships/image" Target="../media/image1648.jpeg"/><Relationship Id="rId1678" Type="http://schemas.openxmlformats.org/officeDocument/2006/relationships/image" Target="../media/image1746.jpeg"/><Relationship Id="rId1885" Type="http://schemas.openxmlformats.org/officeDocument/2006/relationships/image" Target="../media/image1953.jpeg"/><Relationship Id="rId2424" Type="http://schemas.openxmlformats.org/officeDocument/2006/relationships/image" Target="../media/image2492.jpeg"/><Relationship Id="rId2631" Type="http://schemas.openxmlformats.org/officeDocument/2006/relationships/image" Target="../media/image2699.jpeg"/><Relationship Id="rId2729" Type="http://schemas.openxmlformats.org/officeDocument/2006/relationships/image" Target="../media/image2797.jpeg"/><Relationship Id="rId2936" Type="http://schemas.openxmlformats.org/officeDocument/2006/relationships/image" Target="../media/image3004.jpeg"/><Relationship Id="rId603" Type="http://schemas.openxmlformats.org/officeDocument/2006/relationships/image" Target="../media/image671.jpeg"/><Relationship Id="rId810" Type="http://schemas.openxmlformats.org/officeDocument/2006/relationships/image" Target="../media/image878.jpeg"/><Relationship Id="rId908" Type="http://schemas.openxmlformats.org/officeDocument/2006/relationships/image" Target="../media/image976.jpeg"/><Relationship Id="rId1233" Type="http://schemas.openxmlformats.org/officeDocument/2006/relationships/image" Target="../media/image1301.jpeg"/><Relationship Id="rId1440" Type="http://schemas.openxmlformats.org/officeDocument/2006/relationships/image" Target="../media/image1508.jpeg"/><Relationship Id="rId1538" Type="http://schemas.openxmlformats.org/officeDocument/2006/relationships/image" Target="../media/image1606.jpeg"/><Relationship Id="rId1300" Type="http://schemas.openxmlformats.org/officeDocument/2006/relationships/image" Target="../media/image1368.jpeg"/><Relationship Id="rId1745" Type="http://schemas.openxmlformats.org/officeDocument/2006/relationships/image" Target="../media/image1813.jpeg"/><Relationship Id="rId1952" Type="http://schemas.openxmlformats.org/officeDocument/2006/relationships/image" Target="../media/image2020.jpeg"/><Relationship Id="rId37" Type="http://schemas.openxmlformats.org/officeDocument/2006/relationships/image" Target="../media/image105.jpeg"/><Relationship Id="rId1605" Type="http://schemas.openxmlformats.org/officeDocument/2006/relationships/image" Target="../media/image1673.jpeg"/><Relationship Id="rId1812" Type="http://schemas.openxmlformats.org/officeDocument/2006/relationships/image" Target="../media/image1880.jpeg"/><Relationship Id="rId3058" Type="http://schemas.openxmlformats.org/officeDocument/2006/relationships/image" Target="../media/image3126.jpeg"/><Relationship Id="rId186" Type="http://schemas.openxmlformats.org/officeDocument/2006/relationships/image" Target="../media/image254.jpeg"/><Relationship Id="rId393" Type="http://schemas.openxmlformats.org/officeDocument/2006/relationships/image" Target="../media/image461.jpeg"/><Relationship Id="rId2074" Type="http://schemas.openxmlformats.org/officeDocument/2006/relationships/image" Target="../media/image2142.jpeg"/><Relationship Id="rId2281" Type="http://schemas.openxmlformats.org/officeDocument/2006/relationships/image" Target="../media/image2349.jpeg"/><Relationship Id="rId3125" Type="http://schemas.openxmlformats.org/officeDocument/2006/relationships/image" Target="../media/image3193.jpeg"/><Relationship Id="rId253" Type="http://schemas.openxmlformats.org/officeDocument/2006/relationships/image" Target="../media/image321.jpeg"/><Relationship Id="rId460" Type="http://schemas.openxmlformats.org/officeDocument/2006/relationships/image" Target="../media/image528.jpeg"/><Relationship Id="rId698" Type="http://schemas.openxmlformats.org/officeDocument/2006/relationships/image" Target="../media/image766.jpeg"/><Relationship Id="rId1090" Type="http://schemas.openxmlformats.org/officeDocument/2006/relationships/image" Target="../media/image1158.jpeg"/><Relationship Id="rId2141" Type="http://schemas.openxmlformats.org/officeDocument/2006/relationships/image" Target="../media/image2209.jpeg"/><Relationship Id="rId2379" Type="http://schemas.openxmlformats.org/officeDocument/2006/relationships/image" Target="../media/image2447.jpeg"/><Relationship Id="rId2586" Type="http://schemas.openxmlformats.org/officeDocument/2006/relationships/image" Target="../media/image2654.jpeg"/><Relationship Id="rId2793" Type="http://schemas.openxmlformats.org/officeDocument/2006/relationships/image" Target="../media/image2861.jpeg"/><Relationship Id="rId113" Type="http://schemas.openxmlformats.org/officeDocument/2006/relationships/image" Target="../media/image181.jpeg"/><Relationship Id="rId320" Type="http://schemas.openxmlformats.org/officeDocument/2006/relationships/image" Target="../media/image388.jpeg"/><Relationship Id="rId558" Type="http://schemas.openxmlformats.org/officeDocument/2006/relationships/image" Target="../media/image626.jpeg"/><Relationship Id="rId765" Type="http://schemas.openxmlformats.org/officeDocument/2006/relationships/image" Target="../media/image833.jpeg"/><Relationship Id="rId972" Type="http://schemas.openxmlformats.org/officeDocument/2006/relationships/image" Target="../media/image1040.jpeg"/><Relationship Id="rId1188" Type="http://schemas.openxmlformats.org/officeDocument/2006/relationships/image" Target="../media/image1256.jpeg"/><Relationship Id="rId1395" Type="http://schemas.openxmlformats.org/officeDocument/2006/relationships/image" Target="../media/image1463.jpeg"/><Relationship Id="rId2001" Type="http://schemas.openxmlformats.org/officeDocument/2006/relationships/image" Target="../media/image2069.jpeg"/><Relationship Id="rId2239" Type="http://schemas.openxmlformats.org/officeDocument/2006/relationships/image" Target="../media/image2307.jpeg"/><Relationship Id="rId2446" Type="http://schemas.openxmlformats.org/officeDocument/2006/relationships/image" Target="../media/image2514.jpeg"/><Relationship Id="rId2653" Type="http://schemas.openxmlformats.org/officeDocument/2006/relationships/image" Target="../media/image2721.jpeg"/><Relationship Id="rId2860" Type="http://schemas.openxmlformats.org/officeDocument/2006/relationships/image" Target="../media/image2928.jpeg"/><Relationship Id="rId418" Type="http://schemas.openxmlformats.org/officeDocument/2006/relationships/image" Target="../media/image486.jpeg"/><Relationship Id="rId625" Type="http://schemas.openxmlformats.org/officeDocument/2006/relationships/image" Target="../media/image693.jpeg"/><Relationship Id="rId832" Type="http://schemas.openxmlformats.org/officeDocument/2006/relationships/image" Target="../media/image900.jpeg"/><Relationship Id="rId1048" Type="http://schemas.openxmlformats.org/officeDocument/2006/relationships/image" Target="../media/image1116.jpeg"/><Relationship Id="rId1255" Type="http://schemas.openxmlformats.org/officeDocument/2006/relationships/image" Target="../media/image1323.jpeg"/><Relationship Id="rId1462" Type="http://schemas.openxmlformats.org/officeDocument/2006/relationships/image" Target="../media/image1530.jpeg"/><Relationship Id="rId2306" Type="http://schemas.openxmlformats.org/officeDocument/2006/relationships/image" Target="../media/image2374.jpeg"/><Relationship Id="rId2513" Type="http://schemas.openxmlformats.org/officeDocument/2006/relationships/image" Target="../media/image2581.jpeg"/><Relationship Id="rId2958" Type="http://schemas.openxmlformats.org/officeDocument/2006/relationships/image" Target="../media/image3026.jpeg"/><Relationship Id="rId1115" Type="http://schemas.openxmlformats.org/officeDocument/2006/relationships/image" Target="../media/image1183.jpeg"/><Relationship Id="rId1322" Type="http://schemas.openxmlformats.org/officeDocument/2006/relationships/image" Target="../media/image1390.jpeg"/><Relationship Id="rId1767" Type="http://schemas.openxmlformats.org/officeDocument/2006/relationships/image" Target="../media/image1835.jpeg"/><Relationship Id="rId1974" Type="http://schemas.openxmlformats.org/officeDocument/2006/relationships/image" Target="../media/image2042.jpeg"/><Relationship Id="rId2720" Type="http://schemas.openxmlformats.org/officeDocument/2006/relationships/image" Target="../media/image2788.jpeg"/><Relationship Id="rId2818" Type="http://schemas.openxmlformats.org/officeDocument/2006/relationships/image" Target="../media/image2886.jpeg"/><Relationship Id="rId59" Type="http://schemas.openxmlformats.org/officeDocument/2006/relationships/image" Target="../media/image127.jpeg"/><Relationship Id="rId1627" Type="http://schemas.openxmlformats.org/officeDocument/2006/relationships/image" Target="../media/image1695.jpeg"/><Relationship Id="rId1834" Type="http://schemas.openxmlformats.org/officeDocument/2006/relationships/image" Target="../media/image1902.jpeg"/><Relationship Id="rId2096" Type="http://schemas.openxmlformats.org/officeDocument/2006/relationships/image" Target="../media/image2164.jpeg"/><Relationship Id="rId1901" Type="http://schemas.openxmlformats.org/officeDocument/2006/relationships/image" Target="../media/image1969.jpeg"/><Relationship Id="rId3147" Type="http://schemas.openxmlformats.org/officeDocument/2006/relationships/image" Target="../media/image3215.jpeg"/><Relationship Id="rId275" Type="http://schemas.openxmlformats.org/officeDocument/2006/relationships/image" Target="../media/image343.jpeg"/><Relationship Id="rId482" Type="http://schemas.openxmlformats.org/officeDocument/2006/relationships/image" Target="../media/image550.jpeg"/><Relationship Id="rId2163" Type="http://schemas.openxmlformats.org/officeDocument/2006/relationships/image" Target="../media/image2231.jpeg"/><Relationship Id="rId2370" Type="http://schemas.openxmlformats.org/officeDocument/2006/relationships/image" Target="../media/image2438.jpeg"/><Relationship Id="rId3007" Type="http://schemas.openxmlformats.org/officeDocument/2006/relationships/image" Target="../media/image3075.jpeg"/><Relationship Id="rId135" Type="http://schemas.openxmlformats.org/officeDocument/2006/relationships/image" Target="../media/image203.jpeg"/><Relationship Id="rId342" Type="http://schemas.openxmlformats.org/officeDocument/2006/relationships/image" Target="../media/image410.jpeg"/><Relationship Id="rId787" Type="http://schemas.openxmlformats.org/officeDocument/2006/relationships/image" Target="../media/image855.jpeg"/><Relationship Id="rId994" Type="http://schemas.openxmlformats.org/officeDocument/2006/relationships/image" Target="../media/image1062.jpeg"/><Relationship Id="rId2023" Type="http://schemas.openxmlformats.org/officeDocument/2006/relationships/image" Target="../media/image2091.jpeg"/><Relationship Id="rId2230" Type="http://schemas.openxmlformats.org/officeDocument/2006/relationships/image" Target="../media/image2298.jpeg"/><Relationship Id="rId2468" Type="http://schemas.openxmlformats.org/officeDocument/2006/relationships/image" Target="../media/image2536.jpeg"/><Relationship Id="rId2675" Type="http://schemas.openxmlformats.org/officeDocument/2006/relationships/image" Target="../media/image2743.jpeg"/><Relationship Id="rId2882" Type="http://schemas.openxmlformats.org/officeDocument/2006/relationships/image" Target="../media/image2950.jpeg"/><Relationship Id="rId202" Type="http://schemas.openxmlformats.org/officeDocument/2006/relationships/image" Target="../media/image270.jpeg"/><Relationship Id="rId647" Type="http://schemas.openxmlformats.org/officeDocument/2006/relationships/image" Target="../media/image715.jpeg"/><Relationship Id="rId854" Type="http://schemas.openxmlformats.org/officeDocument/2006/relationships/image" Target="../media/image922.jpeg"/><Relationship Id="rId1277" Type="http://schemas.openxmlformats.org/officeDocument/2006/relationships/image" Target="../media/image1345.jpeg"/><Relationship Id="rId1484" Type="http://schemas.openxmlformats.org/officeDocument/2006/relationships/image" Target="../media/image1552.jpeg"/><Relationship Id="rId1691" Type="http://schemas.openxmlformats.org/officeDocument/2006/relationships/image" Target="../media/image1759.jpeg"/><Relationship Id="rId2328" Type="http://schemas.openxmlformats.org/officeDocument/2006/relationships/image" Target="../media/image2396.jpeg"/><Relationship Id="rId2535" Type="http://schemas.openxmlformats.org/officeDocument/2006/relationships/image" Target="../media/image2603.jpeg"/><Relationship Id="rId2742" Type="http://schemas.openxmlformats.org/officeDocument/2006/relationships/image" Target="../media/image2810.jpeg"/><Relationship Id="rId507" Type="http://schemas.openxmlformats.org/officeDocument/2006/relationships/image" Target="../media/image575.jpeg"/><Relationship Id="rId714" Type="http://schemas.openxmlformats.org/officeDocument/2006/relationships/image" Target="../media/image782.jpeg"/><Relationship Id="rId921" Type="http://schemas.openxmlformats.org/officeDocument/2006/relationships/image" Target="../media/image989.jpeg"/><Relationship Id="rId1137" Type="http://schemas.openxmlformats.org/officeDocument/2006/relationships/image" Target="../media/image1205.jpeg"/><Relationship Id="rId1344" Type="http://schemas.openxmlformats.org/officeDocument/2006/relationships/image" Target="../media/image1412.jpeg"/><Relationship Id="rId1551" Type="http://schemas.openxmlformats.org/officeDocument/2006/relationships/image" Target="../media/image1619.jpeg"/><Relationship Id="rId1789" Type="http://schemas.openxmlformats.org/officeDocument/2006/relationships/image" Target="../media/image1857.jpeg"/><Relationship Id="rId1996" Type="http://schemas.openxmlformats.org/officeDocument/2006/relationships/image" Target="../media/image2064.jpeg"/><Relationship Id="rId2602" Type="http://schemas.openxmlformats.org/officeDocument/2006/relationships/image" Target="../media/image2670.jpeg"/><Relationship Id="rId50" Type="http://schemas.openxmlformats.org/officeDocument/2006/relationships/image" Target="../media/image118.jpeg"/><Relationship Id="rId1204" Type="http://schemas.openxmlformats.org/officeDocument/2006/relationships/image" Target="../media/image1272.jpeg"/><Relationship Id="rId1411" Type="http://schemas.openxmlformats.org/officeDocument/2006/relationships/image" Target="../media/image1479.jpeg"/><Relationship Id="rId1649" Type="http://schemas.openxmlformats.org/officeDocument/2006/relationships/image" Target="../media/image1717.jpeg"/><Relationship Id="rId1856" Type="http://schemas.openxmlformats.org/officeDocument/2006/relationships/image" Target="../media/image1924.jpeg"/><Relationship Id="rId2907" Type="http://schemas.openxmlformats.org/officeDocument/2006/relationships/image" Target="../media/image2975.jpeg"/><Relationship Id="rId3071" Type="http://schemas.openxmlformats.org/officeDocument/2006/relationships/image" Target="../media/image3139.jpeg"/><Relationship Id="rId1509" Type="http://schemas.openxmlformats.org/officeDocument/2006/relationships/image" Target="../media/image1577.jpeg"/><Relationship Id="rId1716" Type="http://schemas.openxmlformats.org/officeDocument/2006/relationships/image" Target="../media/image1784.jpeg"/><Relationship Id="rId1923" Type="http://schemas.openxmlformats.org/officeDocument/2006/relationships/image" Target="../media/image1991.jpeg"/><Relationship Id="rId297" Type="http://schemas.openxmlformats.org/officeDocument/2006/relationships/image" Target="../media/image365.jpeg"/><Relationship Id="rId2185" Type="http://schemas.openxmlformats.org/officeDocument/2006/relationships/image" Target="../media/image2253.jpeg"/><Relationship Id="rId2392" Type="http://schemas.openxmlformats.org/officeDocument/2006/relationships/image" Target="../media/image2460.jpeg"/><Relationship Id="rId3029" Type="http://schemas.openxmlformats.org/officeDocument/2006/relationships/image" Target="../media/image3097.jpeg"/><Relationship Id="rId157" Type="http://schemas.openxmlformats.org/officeDocument/2006/relationships/image" Target="../media/image225.jpeg"/><Relationship Id="rId364" Type="http://schemas.openxmlformats.org/officeDocument/2006/relationships/image" Target="../media/image432.jpeg"/><Relationship Id="rId2045" Type="http://schemas.openxmlformats.org/officeDocument/2006/relationships/image" Target="../media/image2113.jpeg"/><Relationship Id="rId2697" Type="http://schemas.openxmlformats.org/officeDocument/2006/relationships/image" Target="../media/image2765.jpeg"/><Relationship Id="rId571" Type="http://schemas.openxmlformats.org/officeDocument/2006/relationships/image" Target="../media/image639.jpeg"/><Relationship Id="rId669" Type="http://schemas.openxmlformats.org/officeDocument/2006/relationships/image" Target="../media/image737.jpeg"/><Relationship Id="rId876" Type="http://schemas.openxmlformats.org/officeDocument/2006/relationships/image" Target="../media/image944.jpeg"/><Relationship Id="rId1299" Type="http://schemas.openxmlformats.org/officeDocument/2006/relationships/image" Target="../media/image1367.jpeg"/><Relationship Id="rId2252" Type="http://schemas.openxmlformats.org/officeDocument/2006/relationships/image" Target="../media/image2320.jpeg"/><Relationship Id="rId2557" Type="http://schemas.openxmlformats.org/officeDocument/2006/relationships/image" Target="../media/image2625.jpeg"/><Relationship Id="rId224" Type="http://schemas.openxmlformats.org/officeDocument/2006/relationships/image" Target="../media/image292.jpeg"/><Relationship Id="rId431" Type="http://schemas.openxmlformats.org/officeDocument/2006/relationships/image" Target="../media/image499.jpeg"/><Relationship Id="rId529" Type="http://schemas.openxmlformats.org/officeDocument/2006/relationships/image" Target="../media/image597.jpeg"/><Relationship Id="rId736" Type="http://schemas.openxmlformats.org/officeDocument/2006/relationships/image" Target="../media/image804.jpeg"/><Relationship Id="rId1061" Type="http://schemas.openxmlformats.org/officeDocument/2006/relationships/image" Target="../media/image1129.jpeg"/><Relationship Id="rId1159" Type="http://schemas.openxmlformats.org/officeDocument/2006/relationships/image" Target="../media/image1227.jpeg"/><Relationship Id="rId1366" Type="http://schemas.openxmlformats.org/officeDocument/2006/relationships/image" Target="../media/image1434.jpeg"/><Relationship Id="rId2112" Type="http://schemas.openxmlformats.org/officeDocument/2006/relationships/image" Target="../media/image2180.jpeg"/><Relationship Id="rId2417" Type="http://schemas.openxmlformats.org/officeDocument/2006/relationships/image" Target="../media/image2485.jpeg"/><Relationship Id="rId2764" Type="http://schemas.openxmlformats.org/officeDocument/2006/relationships/image" Target="../media/image2832.jpeg"/><Relationship Id="rId2971" Type="http://schemas.openxmlformats.org/officeDocument/2006/relationships/image" Target="../media/image3039.jpeg"/><Relationship Id="rId943" Type="http://schemas.openxmlformats.org/officeDocument/2006/relationships/image" Target="../media/image1011.jpeg"/><Relationship Id="rId1019" Type="http://schemas.openxmlformats.org/officeDocument/2006/relationships/image" Target="../media/image1087.jpeg"/><Relationship Id="rId1573" Type="http://schemas.openxmlformats.org/officeDocument/2006/relationships/image" Target="../media/image1641.jpeg"/><Relationship Id="rId1780" Type="http://schemas.openxmlformats.org/officeDocument/2006/relationships/image" Target="../media/image1848.jpeg"/><Relationship Id="rId1878" Type="http://schemas.openxmlformats.org/officeDocument/2006/relationships/image" Target="../media/image1946.jpeg"/><Relationship Id="rId2624" Type="http://schemas.openxmlformats.org/officeDocument/2006/relationships/image" Target="../media/image2692.jpeg"/><Relationship Id="rId2831" Type="http://schemas.openxmlformats.org/officeDocument/2006/relationships/image" Target="../media/image2899.jpeg"/><Relationship Id="rId2929" Type="http://schemas.openxmlformats.org/officeDocument/2006/relationships/image" Target="../media/image2997.jpeg"/><Relationship Id="rId72" Type="http://schemas.openxmlformats.org/officeDocument/2006/relationships/image" Target="../media/image140.jpeg"/><Relationship Id="rId803" Type="http://schemas.openxmlformats.org/officeDocument/2006/relationships/image" Target="../media/image871.jpeg"/><Relationship Id="rId1226" Type="http://schemas.openxmlformats.org/officeDocument/2006/relationships/image" Target="../media/image1294.jpeg"/><Relationship Id="rId1433" Type="http://schemas.openxmlformats.org/officeDocument/2006/relationships/image" Target="../media/image1501.jpeg"/><Relationship Id="rId1640" Type="http://schemas.openxmlformats.org/officeDocument/2006/relationships/image" Target="../media/image1708.jpeg"/><Relationship Id="rId1738" Type="http://schemas.openxmlformats.org/officeDocument/2006/relationships/image" Target="../media/image1806.jpeg"/><Relationship Id="rId3093" Type="http://schemas.openxmlformats.org/officeDocument/2006/relationships/image" Target="../media/image3161.jpeg"/><Relationship Id="rId1500" Type="http://schemas.openxmlformats.org/officeDocument/2006/relationships/image" Target="../media/image1568.jpeg"/><Relationship Id="rId1945" Type="http://schemas.openxmlformats.org/officeDocument/2006/relationships/image" Target="../media/image2013.jpeg"/><Relationship Id="rId1805" Type="http://schemas.openxmlformats.org/officeDocument/2006/relationships/image" Target="../media/image1873.jpeg"/><Relationship Id="rId3020" Type="http://schemas.openxmlformats.org/officeDocument/2006/relationships/image" Target="../media/image3088.jpeg"/><Relationship Id="rId179" Type="http://schemas.openxmlformats.org/officeDocument/2006/relationships/image" Target="../media/image247.jpeg"/><Relationship Id="rId386" Type="http://schemas.openxmlformats.org/officeDocument/2006/relationships/image" Target="../media/image454.jpeg"/><Relationship Id="rId593" Type="http://schemas.openxmlformats.org/officeDocument/2006/relationships/image" Target="../media/image661.jpeg"/><Relationship Id="rId2067" Type="http://schemas.openxmlformats.org/officeDocument/2006/relationships/image" Target="../media/image2135.jpeg"/><Relationship Id="rId2274" Type="http://schemas.openxmlformats.org/officeDocument/2006/relationships/image" Target="../media/image2342.jpeg"/><Relationship Id="rId2481" Type="http://schemas.openxmlformats.org/officeDocument/2006/relationships/image" Target="../media/image2549.jpeg"/><Relationship Id="rId3118" Type="http://schemas.openxmlformats.org/officeDocument/2006/relationships/image" Target="../media/image3186.jpeg"/><Relationship Id="rId246" Type="http://schemas.openxmlformats.org/officeDocument/2006/relationships/image" Target="../media/image314.jpeg"/><Relationship Id="rId453" Type="http://schemas.openxmlformats.org/officeDocument/2006/relationships/image" Target="../media/image521.jpeg"/><Relationship Id="rId660" Type="http://schemas.openxmlformats.org/officeDocument/2006/relationships/image" Target="../media/image728.jpeg"/><Relationship Id="rId898" Type="http://schemas.openxmlformats.org/officeDocument/2006/relationships/image" Target="../media/image966.jpeg"/><Relationship Id="rId1083" Type="http://schemas.openxmlformats.org/officeDocument/2006/relationships/image" Target="../media/image1151.jpeg"/><Relationship Id="rId1290" Type="http://schemas.openxmlformats.org/officeDocument/2006/relationships/image" Target="../media/image1358.jpeg"/><Relationship Id="rId2134" Type="http://schemas.openxmlformats.org/officeDocument/2006/relationships/image" Target="../media/image2202.jpeg"/><Relationship Id="rId2341" Type="http://schemas.openxmlformats.org/officeDocument/2006/relationships/image" Target="../media/image2409.jpeg"/><Relationship Id="rId2579" Type="http://schemas.openxmlformats.org/officeDocument/2006/relationships/image" Target="../media/image2647.jpeg"/><Relationship Id="rId2786" Type="http://schemas.openxmlformats.org/officeDocument/2006/relationships/image" Target="../media/image2854.jpeg"/><Relationship Id="rId2993" Type="http://schemas.openxmlformats.org/officeDocument/2006/relationships/image" Target="../media/image3061.jpeg"/><Relationship Id="rId106" Type="http://schemas.openxmlformats.org/officeDocument/2006/relationships/image" Target="../media/image174.jpeg"/><Relationship Id="rId313" Type="http://schemas.openxmlformats.org/officeDocument/2006/relationships/image" Target="../media/image381.jpeg"/><Relationship Id="rId758" Type="http://schemas.openxmlformats.org/officeDocument/2006/relationships/image" Target="../media/image826.jpeg"/><Relationship Id="rId965" Type="http://schemas.openxmlformats.org/officeDocument/2006/relationships/image" Target="../media/image1033.jpeg"/><Relationship Id="rId1150" Type="http://schemas.openxmlformats.org/officeDocument/2006/relationships/image" Target="../media/image1218.jpeg"/><Relationship Id="rId1388" Type="http://schemas.openxmlformats.org/officeDocument/2006/relationships/image" Target="../media/image1456.jpeg"/><Relationship Id="rId1595" Type="http://schemas.openxmlformats.org/officeDocument/2006/relationships/image" Target="../media/image1663.jpeg"/><Relationship Id="rId2439" Type="http://schemas.openxmlformats.org/officeDocument/2006/relationships/image" Target="../media/image2507.jpeg"/><Relationship Id="rId2646" Type="http://schemas.openxmlformats.org/officeDocument/2006/relationships/image" Target="../media/image2714.jpeg"/><Relationship Id="rId2853" Type="http://schemas.openxmlformats.org/officeDocument/2006/relationships/image" Target="../media/image2921.jpeg"/><Relationship Id="rId94" Type="http://schemas.openxmlformats.org/officeDocument/2006/relationships/image" Target="../media/image162.jpeg"/><Relationship Id="rId520" Type="http://schemas.openxmlformats.org/officeDocument/2006/relationships/image" Target="../media/image588.jpeg"/><Relationship Id="rId618" Type="http://schemas.openxmlformats.org/officeDocument/2006/relationships/image" Target="../media/image686.jpeg"/><Relationship Id="rId825" Type="http://schemas.openxmlformats.org/officeDocument/2006/relationships/image" Target="../media/image893.jpeg"/><Relationship Id="rId1248" Type="http://schemas.openxmlformats.org/officeDocument/2006/relationships/image" Target="../media/image1316.jpeg"/><Relationship Id="rId1455" Type="http://schemas.openxmlformats.org/officeDocument/2006/relationships/image" Target="../media/image1523.jpeg"/><Relationship Id="rId1662" Type="http://schemas.openxmlformats.org/officeDocument/2006/relationships/image" Target="../media/image1730.jpeg"/><Relationship Id="rId2201" Type="http://schemas.openxmlformats.org/officeDocument/2006/relationships/image" Target="../media/image2269.jpeg"/><Relationship Id="rId2506" Type="http://schemas.openxmlformats.org/officeDocument/2006/relationships/image" Target="../media/image2574.jpeg"/><Relationship Id="rId1010" Type="http://schemas.openxmlformats.org/officeDocument/2006/relationships/image" Target="../media/image1078.jpeg"/><Relationship Id="rId1108" Type="http://schemas.openxmlformats.org/officeDocument/2006/relationships/image" Target="../media/image1176.jpeg"/><Relationship Id="rId1315" Type="http://schemas.openxmlformats.org/officeDocument/2006/relationships/image" Target="../media/image1383.jpeg"/><Relationship Id="rId1967" Type="http://schemas.openxmlformats.org/officeDocument/2006/relationships/image" Target="../media/image2035.jpeg"/><Relationship Id="rId2713" Type="http://schemas.openxmlformats.org/officeDocument/2006/relationships/image" Target="../media/image2781.jpeg"/><Relationship Id="rId2920" Type="http://schemas.openxmlformats.org/officeDocument/2006/relationships/image" Target="../media/image2988.jpeg"/><Relationship Id="rId1522" Type="http://schemas.openxmlformats.org/officeDocument/2006/relationships/image" Target="../media/image1590.jpeg"/><Relationship Id="rId21" Type="http://schemas.openxmlformats.org/officeDocument/2006/relationships/image" Target="../media/image89.jpeg"/><Relationship Id="rId2089" Type="http://schemas.openxmlformats.org/officeDocument/2006/relationships/image" Target="../media/image2157.jpeg"/><Relationship Id="rId2296" Type="http://schemas.openxmlformats.org/officeDocument/2006/relationships/image" Target="../media/image2364.jpeg"/><Relationship Id="rId268" Type="http://schemas.openxmlformats.org/officeDocument/2006/relationships/image" Target="../media/image336.jpeg"/><Relationship Id="rId475" Type="http://schemas.openxmlformats.org/officeDocument/2006/relationships/image" Target="../media/image543.jpeg"/><Relationship Id="rId682" Type="http://schemas.openxmlformats.org/officeDocument/2006/relationships/image" Target="../media/image750.jpeg"/><Relationship Id="rId2156" Type="http://schemas.openxmlformats.org/officeDocument/2006/relationships/image" Target="../media/image2224.jpeg"/><Relationship Id="rId2363" Type="http://schemas.openxmlformats.org/officeDocument/2006/relationships/image" Target="../media/image2431.jpeg"/><Relationship Id="rId2570" Type="http://schemas.openxmlformats.org/officeDocument/2006/relationships/image" Target="../media/image2638.jpeg"/><Relationship Id="rId128" Type="http://schemas.openxmlformats.org/officeDocument/2006/relationships/image" Target="../media/image196.jpeg"/><Relationship Id="rId335" Type="http://schemas.openxmlformats.org/officeDocument/2006/relationships/image" Target="../media/image403.jpeg"/><Relationship Id="rId542" Type="http://schemas.openxmlformats.org/officeDocument/2006/relationships/image" Target="../media/image610.jpeg"/><Relationship Id="rId1172" Type="http://schemas.openxmlformats.org/officeDocument/2006/relationships/image" Target="../media/image1240.jpeg"/><Relationship Id="rId2016" Type="http://schemas.openxmlformats.org/officeDocument/2006/relationships/image" Target="../media/image2084.jpeg"/><Relationship Id="rId2223" Type="http://schemas.openxmlformats.org/officeDocument/2006/relationships/image" Target="../media/image2291.jpeg"/><Relationship Id="rId2430" Type="http://schemas.openxmlformats.org/officeDocument/2006/relationships/image" Target="../media/image2498.jpeg"/><Relationship Id="rId402" Type="http://schemas.openxmlformats.org/officeDocument/2006/relationships/image" Target="../media/image470.jpeg"/><Relationship Id="rId1032" Type="http://schemas.openxmlformats.org/officeDocument/2006/relationships/image" Target="../media/image1100.jpeg"/><Relationship Id="rId1989" Type="http://schemas.openxmlformats.org/officeDocument/2006/relationships/image" Target="../media/image2057.jpeg"/><Relationship Id="rId1849" Type="http://schemas.openxmlformats.org/officeDocument/2006/relationships/image" Target="../media/image1917.jpeg"/><Relationship Id="rId3064" Type="http://schemas.openxmlformats.org/officeDocument/2006/relationships/image" Target="../media/image3132.jpeg"/><Relationship Id="rId192" Type="http://schemas.openxmlformats.org/officeDocument/2006/relationships/image" Target="../media/image260.jpeg"/><Relationship Id="rId1709" Type="http://schemas.openxmlformats.org/officeDocument/2006/relationships/image" Target="../media/image1777.jpeg"/><Relationship Id="rId1916" Type="http://schemas.openxmlformats.org/officeDocument/2006/relationships/image" Target="../media/image1984.jpeg"/><Relationship Id="rId2080" Type="http://schemas.openxmlformats.org/officeDocument/2006/relationships/image" Target="../media/image2148.jpeg"/><Relationship Id="rId3131" Type="http://schemas.openxmlformats.org/officeDocument/2006/relationships/image" Target="../media/image3199.jpeg"/><Relationship Id="rId2897" Type="http://schemas.openxmlformats.org/officeDocument/2006/relationships/image" Target="../media/image2965.jpeg"/><Relationship Id="rId869" Type="http://schemas.openxmlformats.org/officeDocument/2006/relationships/image" Target="../media/image937.jpeg"/><Relationship Id="rId1499" Type="http://schemas.openxmlformats.org/officeDocument/2006/relationships/image" Target="../media/image1567.jpeg"/><Relationship Id="rId729" Type="http://schemas.openxmlformats.org/officeDocument/2006/relationships/image" Target="../media/image797.jpeg"/><Relationship Id="rId1359" Type="http://schemas.openxmlformats.org/officeDocument/2006/relationships/image" Target="../media/image1427.jpeg"/><Relationship Id="rId2757" Type="http://schemas.openxmlformats.org/officeDocument/2006/relationships/image" Target="../media/image2825.jpeg"/><Relationship Id="rId2964" Type="http://schemas.openxmlformats.org/officeDocument/2006/relationships/image" Target="../media/image3032.jpeg"/><Relationship Id="rId936" Type="http://schemas.openxmlformats.org/officeDocument/2006/relationships/image" Target="../media/image1004.jpeg"/><Relationship Id="rId1219" Type="http://schemas.openxmlformats.org/officeDocument/2006/relationships/image" Target="../media/image1287.jpeg"/><Relationship Id="rId1566" Type="http://schemas.openxmlformats.org/officeDocument/2006/relationships/image" Target="../media/image1634.jpeg"/><Relationship Id="rId1773" Type="http://schemas.openxmlformats.org/officeDocument/2006/relationships/image" Target="../media/image1841.jpeg"/><Relationship Id="rId1980" Type="http://schemas.openxmlformats.org/officeDocument/2006/relationships/image" Target="../media/image2048.jpeg"/><Relationship Id="rId2617" Type="http://schemas.openxmlformats.org/officeDocument/2006/relationships/image" Target="../media/image2685.jpeg"/><Relationship Id="rId2824" Type="http://schemas.openxmlformats.org/officeDocument/2006/relationships/image" Target="../media/image2892.jpeg"/><Relationship Id="rId65" Type="http://schemas.openxmlformats.org/officeDocument/2006/relationships/image" Target="../media/image133.jpeg"/><Relationship Id="rId1426" Type="http://schemas.openxmlformats.org/officeDocument/2006/relationships/image" Target="../media/image1494.jpeg"/><Relationship Id="rId1633" Type="http://schemas.openxmlformats.org/officeDocument/2006/relationships/image" Target="../media/image1701.jpeg"/><Relationship Id="rId1840" Type="http://schemas.openxmlformats.org/officeDocument/2006/relationships/image" Target="../media/image1908.jpeg"/><Relationship Id="rId1700" Type="http://schemas.openxmlformats.org/officeDocument/2006/relationships/image" Target="../media/image1768.jpeg"/><Relationship Id="rId379" Type="http://schemas.openxmlformats.org/officeDocument/2006/relationships/image" Target="../media/image447.jpeg"/><Relationship Id="rId586" Type="http://schemas.openxmlformats.org/officeDocument/2006/relationships/image" Target="../media/image654.jpeg"/><Relationship Id="rId793" Type="http://schemas.openxmlformats.org/officeDocument/2006/relationships/image" Target="../media/image861.jpeg"/><Relationship Id="rId2267" Type="http://schemas.openxmlformats.org/officeDocument/2006/relationships/image" Target="../media/image2335.jpeg"/><Relationship Id="rId2474" Type="http://schemas.openxmlformats.org/officeDocument/2006/relationships/image" Target="../media/image2542.jpeg"/><Relationship Id="rId2681" Type="http://schemas.openxmlformats.org/officeDocument/2006/relationships/image" Target="../media/image2749.jpeg"/><Relationship Id="rId239" Type="http://schemas.openxmlformats.org/officeDocument/2006/relationships/image" Target="../media/image307.jpeg"/><Relationship Id="rId446" Type="http://schemas.openxmlformats.org/officeDocument/2006/relationships/image" Target="../media/image514.jpeg"/><Relationship Id="rId653" Type="http://schemas.openxmlformats.org/officeDocument/2006/relationships/image" Target="../media/image721.jpeg"/><Relationship Id="rId1076" Type="http://schemas.openxmlformats.org/officeDocument/2006/relationships/image" Target="../media/image1144.jpeg"/><Relationship Id="rId1283" Type="http://schemas.openxmlformats.org/officeDocument/2006/relationships/image" Target="../media/image1351.jpeg"/><Relationship Id="rId1490" Type="http://schemas.openxmlformats.org/officeDocument/2006/relationships/image" Target="../media/image1558.jpeg"/><Relationship Id="rId2127" Type="http://schemas.openxmlformats.org/officeDocument/2006/relationships/image" Target="../media/image2195.jpeg"/><Relationship Id="rId2334" Type="http://schemas.openxmlformats.org/officeDocument/2006/relationships/image" Target="../media/image2402.jpeg"/><Relationship Id="rId306" Type="http://schemas.openxmlformats.org/officeDocument/2006/relationships/image" Target="../media/image374.jpeg"/><Relationship Id="rId860" Type="http://schemas.openxmlformats.org/officeDocument/2006/relationships/image" Target="../media/image928.jpeg"/><Relationship Id="rId1143" Type="http://schemas.openxmlformats.org/officeDocument/2006/relationships/image" Target="../media/image1211.jpeg"/><Relationship Id="rId2541" Type="http://schemas.openxmlformats.org/officeDocument/2006/relationships/image" Target="../media/image2609.jpeg"/><Relationship Id="rId513" Type="http://schemas.openxmlformats.org/officeDocument/2006/relationships/image" Target="../media/image581.jpeg"/><Relationship Id="rId720" Type="http://schemas.openxmlformats.org/officeDocument/2006/relationships/image" Target="../media/image788.jpeg"/><Relationship Id="rId1350" Type="http://schemas.openxmlformats.org/officeDocument/2006/relationships/image" Target="../media/image1418.jpeg"/><Relationship Id="rId2401" Type="http://schemas.openxmlformats.org/officeDocument/2006/relationships/image" Target="../media/image2469.jpeg"/><Relationship Id="rId1003" Type="http://schemas.openxmlformats.org/officeDocument/2006/relationships/image" Target="../media/image1071.jpeg"/><Relationship Id="rId1210" Type="http://schemas.openxmlformats.org/officeDocument/2006/relationships/image" Target="../media/image1278.jpeg"/><Relationship Id="rId2191" Type="http://schemas.openxmlformats.org/officeDocument/2006/relationships/image" Target="../media/image2259.jpeg"/><Relationship Id="rId3035" Type="http://schemas.openxmlformats.org/officeDocument/2006/relationships/image" Target="../media/image3103.jpeg"/><Relationship Id="rId163" Type="http://schemas.openxmlformats.org/officeDocument/2006/relationships/image" Target="../media/image231.jpeg"/><Relationship Id="rId370" Type="http://schemas.openxmlformats.org/officeDocument/2006/relationships/image" Target="../media/image438.jpeg"/><Relationship Id="rId2051" Type="http://schemas.openxmlformats.org/officeDocument/2006/relationships/image" Target="../media/image2119.jpeg"/><Relationship Id="rId3102" Type="http://schemas.openxmlformats.org/officeDocument/2006/relationships/image" Target="../media/image3170.jpeg"/><Relationship Id="rId230" Type="http://schemas.openxmlformats.org/officeDocument/2006/relationships/image" Target="../media/image298.jpeg"/><Relationship Id="rId2868" Type="http://schemas.openxmlformats.org/officeDocument/2006/relationships/image" Target="../media/image2936.jpeg"/><Relationship Id="rId1677" Type="http://schemas.openxmlformats.org/officeDocument/2006/relationships/image" Target="../media/image1745.jpeg"/><Relationship Id="rId1884" Type="http://schemas.openxmlformats.org/officeDocument/2006/relationships/image" Target="../media/image1952.jpeg"/><Relationship Id="rId2728" Type="http://schemas.openxmlformats.org/officeDocument/2006/relationships/image" Target="../media/image2796.jpeg"/><Relationship Id="rId2935" Type="http://schemas.openxmlformats.org/officeDocument/2006/relationships/image" Target="../media/image3003.jpeg"/><Relationship Id="rId907" Type="http://schemas.openxmlformats.org/officeDocument/2006/relationships/image" Target="../media/image975.jpeg"/><Relationship Id="rId1537" Type="http://schemas.openxmlformats.org/officeDocument/2006/relationships/image" Target="../media/image1605.jpeg"/><Relationship Id="rId1744" Type="http://schemas.openxmlformats.org/officeDocument/2006/relationships/image" Target="../media/image1812.jpeg"/><Relationship Id="rId1951" Type="http://schemas.openxmlformats.org/officeDocument/2006/relationships/image" Target="../media/image2019.jpeg"/><Relationship Id="rId36" Type="http://schemas.openxmlformats.org/officeDocument/2006/relationships/image" Target="../media/image104.jpeg"/><Relationship Id="rId1604" Type="http://schemas.openxmlformats.org/officeDocument/2006/relationships/image" Target="../media/image1672.jpeg"/><Relationship Id="rId1811" Type="http://schemas.openxmlformats.org/officeDocument/2006/relationships/image" Target="../media/image1879.jpeg"/><Relationship Id="rId697" Type="http://schemas.openxmlformats.org/officeDocument/2006/relationships/image" Target="../media/image765.jpeg"/><Relationship Id="rId2378" Type="http://schemas.openxmlformats.org/officeDocument/2006/relationships/image" Target="../media/image2446.jpeg"/><Relationship Id="rId1187" Type="http://schemas.openxmlformats.org/officeDocument/2006/relationships/image" Target="../media/image1255.jpeg"/><Relationship Id="rId2585" Type="http://schemas.openxmlformats.org/officeDocument/2006/relationships/image" Target="../media/image2653.jpeg"/><Relationship Id="rId2792" Type="http://schemas.openxmlformats.org/officeDocument/2006/relationships/image" Target="../media/image2860.jpeg"/><Relationship Id="rId557" Type="http://schemas.openxmlformats.org/officeDocument/2006/relationships/image" Target="../media/image625.jpeg"/><Relationship Id="rId764" Type="http://schemas.openxmlformats.org/officeDocument/2006/relationships/image" Target="../media/image832.jpeg"/><Relationship Id="rId971" Type="http://schemas.openxmlformats.org/officeDocument/2006/relationships/image" Target="../media/image1039.jpeg"/><Relationship Id="rId1394" Type="http://schemas.openxmlformats.org/officeDocument/2006/relationships/image" Target="../media/image1462.jpeg"/><Relationship Id="rId2238" Type="http://schemas.openxmlformats.org/officeDocument/2006/relationships/image" Target="../media/image2306.jpeg"/><Relationship Id="rId2445" Type="http://schemas.openxmlformats.org/officeDocument/2006/relationships/image" Target="../media/image2513.jpeg"/><Relationship Id="rId2652" Type="http://schemas.openxmlformats.org/officeDocument/2006/relationships/image" Target="../media/image2720.jpeg"/><Relationship Id="rId417" Type="http://schemas.openxmlformats.org/officeDocument/2006/relationships/image" Target="../media/image485.jpeg"/><Relationship Id="rId624" Type="http://schemas.openxmlformats.org/officeDocument/2006/relationships/image" Target="../media/image692.jpeg"/><Relationship Id="rId831" Type="http://schemas.openxmlformats.org/officeDocument/2006/relationships/image" Target="../media/image899.jpeg"/><Relationship Id="rId1047" Type="http://schemas.openxmlformats.org/officeDocument/2006/relationships/image" Target="../media/image1115.jpeg"/><Relationship Id="rId1254" Type="http://schemas.openxmlformats.org/officeDocument/2006/relationships/image" Target="../media/image1322.jpeg"/><Relationship Id="rId1461" Type="http://schemas.openxmlformats.org/officeDocument/2006/relationships/image" Target="../media/image1529.jpeg"/><Relationship Id="rId2305" Type="http://schemas.openxmlformats.org/officeDocument/2006/relationships/image" Target="../media/image2373.jpeg"/><Relationship Id="rId2512" Type="http://schemas.openxmlformats.org/officeDocument/2006/relationships/image" Target="../media/image2580.jpeg"/><Relationship Id="rId1114" Type="http://schemas.openxmlformats.org/officeDocument/2006/relationships/image" Target="../media/image1182.jpeg"/><Relationship Id="rId1321" Type="http://schemas.openxmlformats.org/officeDocument/2006/relationships/image" Target="../media/image1389.jpeg"/><Relationship Id="rId3079" Type="http://schemas.openxmlformats.org/officeDocument/2006/relationships/image" Target="../media/image3147.jpeg"/><Relationship Id="rId2095" Type="http://schemas.openxmlformats.org/officeDocument/2006/relationships/image" Target="../media/image2163.jpeg"/><Relationship Id="rId3146" Type="http://schemas.openxmlformats.org/officeDocument/2006/relationships/image" Target="../media/image3214.jpeg"/><Relationship Id="rId274" Type="http://schemas.openxmlformats.org/officeDocument/2006/relationships/image" Target="../media/image342.jpeg"/><Relationship Id="rId481" Type="http://schemas.openxmlformats.org/officeDocument/2006/relationships/image" Target="../media/image549.jpeg"/><Relationship Id="rId2162" Type="http://schemas.openxmlformats.org/officeDocument/2006/relationships/image" Target="../media/image2230.jpeg"/><Relationship Id="rId3006" Type="http://schemas.openxmlformats.org/officeDocument/2006/relationships/image" Target="../media/image3074.jpeg"/><Relationship Id="rId134" Type="http://schemas.openxmlformats.org/officeDocument/2006/relationships/image" Target="../media/image202.jpeg"/><Relationship Id="rId341" Type="http://schemas.openxmlformats.org/officeDocument/2006/relationships/image" Target="../media/image409.jpeg"/><Relationship Id="rId2022" Type="http://schemas.openxmlformats.org/officeDocument/2006/relationships/image" Target="../media/image2090.jpeg"/><Relationship Id="rId2979" Type="http://schemas.openxmlformats.org/officeDocument/2006/relationships/image" Target="../media/image3047.jpeg"/><Relationship Id="rId201" Type="http://schemas.openxmlformats.org/officeDocument/2006/relationships/image" Target="../media/image269.jpeg"/><Relationship Id="rId1788" Type="http://schemas.openxmlformats.org/officeDocument/2006/relationships/image" Target="../media/image1856.jpeg"/><Relationship Id="rId1995" Type="http://schemas.openxmlformats.org/officeDocument/2006/relationships/image" Target="../media/image2063.jpeg"/><Relationship Id="rId2839" Type="http://schemas.openxmlformats.org/officeDocument/2006/relationships/image" Target="../media/image2907.jpeg"/><Relationship Id="rId1648" Type="http://schemas.openxmlformats.org/officeDocument/2006/relationships/image" Target="../media/image1716.jpeg"/><Relationship Id="rId1508" Type="http://schemas.openxmlformats.org/officeDocument/2006/relationships/image" Target="../media/image1576.jpeg"/><Relationship Id="rId1855" Type="http://schemas.openxmlformats.org/officeDocument/2006/relationships/image" Target="../media/image1923.jpeg"/><Relationship Id="rId2906" Type="http://schemas.openxmlformats.org/officeDocument/2006/relationships/image" Target="../media/image2974.jpeg"/><Relationship Id="rId3070" Type="http://schemas.openxmlformats.org/officeDocument/2006/relationships/image" Target="../media/image3138.jpeg"/><Relationship Id="rId1715" Type="http://schemas.openxmlformats.org/officeDocument/2006/relationships/image" Target="../media/image1783.jpeg"/><Relationship Id="rId1922" Type="http://schemas.openxmlformats.org/officeDocument/2006/relationships/image" Target="../media/image1990.jpeg"/><Relationship Id="rId2489" Type="http://schemas.openxmlformats.org/officeDocument/2006/relationships/image" Target="../media/image2557.jpeg"/><Relationship Id="rId2696" Type="http://schemas.openxmlformats.org/officeDocument/2006/relationships/image" Target="../media/image2764.jpeg"/><Relationship Id="rId668" Type="http://schemas.openxmlformats.org/officeDocument/2006/relationships/image" Target="../media/image736.jpeg"/><Relationship Id="rId875" Type="http://schemas.openxmlformats.org/officeDocument/2006/relationships/image" Target="../media/image943.jpeg"/><Relationship Id="rId1298" Type="http://schemas.openxmlformats.org/officeDocument/2006/relationships/image" Target="../media/image1366.jpeg"/><Relationship Id="rId2349" Type="http://schemas.openxmlformats.org/officeDocument/2006/relationships/image" Target="../media/image2417.jpeg"/><Relationship Id="rId2556" Type="http://schemas.openxmlformats.org/officeDocument/2006/relationships/image" Target="../media/image2624.jpeg"/><Relationship Id="rId2763" Type="http://schemas.openxmlformats.org/officeDocument/2006/relationships/image" Target="../media/image2831.jpeg"/><Relationship Id="rId2970" Type="http://schemas.openxmlformats.org/officeDocument/2006/relationships/image" Target="../media/image3038.jpeg"/><Relationship Id="rId528" Type="http://schemas.openxmlformats.org/officeDocument/2006/relationships/image" Target="../media/image596.jpeg"/><Relationship Id="rId735" Type="http://schemas.openxmlformats.org/officeDocument/2006/relationships/image" Target="../media/image803.jpeg"/><Relationship Id="rId942" Type="http://schemas.openxmlformats.org/officeDocument/2006/relationships/image" Target="../media/image1010.jpeg"/><Relationship Id="rId1158" Type="http://schemas.openxmlformats.org/officeDocument/2006/relationships/image" Target="../media/image1226.jpeg"/><Relationship Id="rId1365" Type="http://schemas.openxmlformats.org/officeDocument/2006/relationships/image" Target="../media/image1433.jpeg"/><Relationship Id="rId1572" Type="http://schemas.openxmlformats.org/officeDocument/2006/relationships/image" Target="../media/image1640.jpeg"/><Relationship Id="rId2209" Type="http://schemas.openxmlformats.org/officeDocument/2006/relationships/image" Target="../media/image2277.jpeg"/><Relationship Id="rId2416" Type="http://schemas.openxmlformats.org/officeDocument/2006/relationships/image" Target="../media/image2484.jpeg"/><Relationship Id="rId2623" Type="http://schemas.openxmlformats.org/officeDocument/2006/relationships/image" Target="../media/image2691.jpeg"/><Relationship Id="rId1018" Type="http://schemas.openxmlformats.org/officeDocument/2006/relationships/image" Target="../media/image1086.jpeg"/><Relationship Id="rId1225" Type="http://schemas.openxmlformats.org/officeDocument/2006/relationships/image" Target="../media/image1293.jpeg"/><Relationship Id="rId1432" Type="http://schemas.openxmlformats.org/officeDocument/2006/relationships/image" Target="../media/image1500.jpeg"/><Relationship Id="rId2830" Type="http://schemas.openxmlformats.org/officeDocument/2006/relationships/image" Target="../media/image2898.jpeg"/><Relationship Id="rId71" Type="http://schemas.openxmlformats.org/officeDocument/2006/relationships/image" Target="../media/image139.jpeg"/><Relationship Id="rId802" Type="http://schemas.openxmlformats.org/officeDocument/2006/relationships/image" Target="../media/image870.jpeg"/><Relationship Id="rId178" Type="http://schemas.openxmlformats.org/officeDocument/2006/relationships/image" Target="../media/image246.jpeg"/><Relationship Id="rId385" Type="http://schemas.openxmlformats.org/officeDocument/2006/relationships/image" Target="../media/image453.jpeg"/><Relationship Id="rId592" Type="http://schemas.openxmlformats.org/officeDocument/2006/relationships/image" Target="../media/image660.jpeg"/><Relationship Id="rId2066" Type="http://schemas.openxmlformats.org/officeDocument/2006/relationships/image" Target="../media/image2134.jpeg"/><Relationship Id="rId2273" Type="http://schemas.openxmlformats.org/officeDocument/2006/relationships/image" Target="../media/image2341.jpeg"/><Relationship Id="rId2480" Type="http://schemas.openxmlformats.org/officeDocument/2006/relationships/image" Target="../media/image2548.jpeg"/><Relationship Id="rId3117" Type="http://schemas.openxmlformats.org/officeDocument/2006/relationships/image" Target="../media/image3185.jpeg"/><Relationship Id="rId245" Type="http://schemas.openxmlformats.org/officeDocument/2006/relationships/image" Target="../media/image313.jpeg"/><Relationship Id="rId452" Type="http://schemas.openxmlformats.org/officeDocument/2006/relationships/image" Target="../media/image520.jpeg"/><Relationship Id="rId1082" Type="http://schemas.openxmlformats.org/officeDocument/2006/relationships/image" Target="../media/image1150.jpeg"/><Relationship Id="rId2133" Type="http://schemas.openxmlformats.org/officeDocument/2006/relationships/image" Target="../media/image2201.jpeg"/><Relationship Id="rId2340" Type="http://schemas.openxmlformats.org/officeDocument/2006/relationships/image" Target="../media/image2408.jpeg"/><Relationship Id="rId105" Type="http://schemas.openxmlformats.org/officeDocument/2006/relationships/image" Target="../media/image173.jpeg"/><Relationship Id="rId312" Type="http://schemas.openxmlformats.org/officeDocument/2006/relationships/image" Target="../media/image380.jpeg"/><Relationship Id="rId2200" Type="http://schemas.openxmlformats.org/officeDocument/2006/relationships/image" Target="../media/image2268.jpeg"/><Relationship Id="rId1899" Type="http://schemas.openxmlformats.org/officeDocument/2006/relationships/image" Target="../media/image1967.jpeg"/><Relationship Id="rId1759" Type="http://schemas.openxmlformats.org/officeDocument/2006/relationships/image" Target="../media/image1827.jpeg"/><Relationship Id="rId1966" Type="http://schemas.openxmlformats.org/officeDocument/2006/relationships/image" Target="../media/image2034.jpeg"/><Relationship Id="rId1619" Type="http://schemas.openxmlformats.org/officeDocument/2006/relationships/image" Target="../media/image1687.jpeg"/><Relationship Id="rId1826" Type="http://schemas.openxmlformats.org/officeDocument/2006/relationships/image" Target="../media/image1894.jpeg"/><Relationship Id="rId3041" Type="http://schemas.openxmlformats.org/officeDocument/2006/relationships/image" Target="../media/image3109.jpeg"/><Relationship Id="rId779" Type="http://schemas.openxmlformats.org/officeDocument/2006/relationships/image" Target="../media/image847.jpeg"/><Relationship Id="rId986" Type="http://schemas.openxmlformats.org/officeDocument/2006/relationships/image" Target="../media/image1054.jpeg"/><Relationship Id="rId2667" Type="http://schemas.openxmlformats.org/officeDocument/2006/relationships/image" Target="../media/image2735.jpeg"/><Relationship Id="rId639" Type="http://schemas.openxmlformats.org/officeDocument/2006/relationships/image" Target="../media/image707.jpeg"/><Relationship Id="rId1269" Type="http://schemas.openxmlformats.org/officeDocument/2006/relationships/image" Target="../media/image1337.jpeg"/><Relationship Id="rId1476" Type="http://schemas.openxmlformats.org/officeDocument/2006/relationships/image" Target="../media/image1544.jpeg"/><Relationship Id="rId2874" Type="http://schemas.openxmlformats.org/officeDocument/2006/relationships/image" Target="../media/image2942.jpeg"/><Relationship Id="rId846" Type="http://schemas.openxmlformats.org/officeDocument/2006/relationships/image" Target="../media/image914.jpeg"/><Relationship Id="rId1129" Type="http://schemas.openxmlformats.org/officeDocument/2006/relationships/image" Target="../media/image1197.jpeg"/><Relationship Id="rId1683" Type="http://schemas.openxmlformats.org/officeDocument/2006/relationships/image" Target="../media/image1751.jpeg"/><Relationship Id="rId1890" Type="http://schemas.openxmlformats.org/officeDocument/2006/relationships/image" Target="../media/image1958.jpeg"/><Relationship Id="rId2527" Type="http://schemas.openxmlformats.org/officeDocument/2006/relationships/image" Target="../media/image2595.jpeg"/><Relationship Id="rId2734" Type="http://schemas.openxmlformats.org/officeDocument/2006/relationships/image" Target="../media/image2802.jpeg"/><Relationship Id="rId2941" Type="http://schemas.openxmlformats.org/officeDocument/2006/relationships/image" Target="../media/image3009.jpeg"/><Relationship Id="rId706" Type="http://schemas.openxmlformats.org/officeDocument/2006/relationships/image" Target="../media/image774.jpeg"/><Relationship Id="rId913" Type="http://schemas.openxmlformats.org/officeDocument/2006/relationships/image" Target="../media/image981.jpeg"/><Relationship Id="rId1336" Type="http://schemas.openxmlformats.org/officeDocument/2006/relationships/image" Target="../media/image1404.jpeg"/><Relationship Id="rId1543" Type="http://schemas.openxmlformats.org/officeDocument/2006/relationships/image" Target="../media/image1611.jpeg"/><Relationship Id="rId1750" Type="http://schemas.openxmlformats.org/officeDocument/2006/relationships/image" Target="../media/image1818.jpeg"/><Relationship Id="rId2801" Type="http://schemas.openxmlformats.org/officeDocument/2006/relationships/image" Target="../media/image2869.jpeg"/><Relationship Id="rId42" Type="http://schemas.openxmlformats.org/officeDocument/2006/relationships/image" Target="../media/image110.jpeg"/><Relationship Id="rId1403" Type="http://schemas.openxmlformats.org/officeDocument/2006/relationships/image" Target="../media/image1471.jpeg"/><Relationship Id="rId1610" Type="http://schemas.openxmlformats.org/officeDocument/2006/relationships/image" Target="../media/image1678.jpeg"/><Relationship Id="rId289" Type="http://schemas.openxmlformats.org/officeDocument/2006/relationships/image" Target="../media/image357.jpeg"/><Relationship Id="rId496" Type="http://schemas.openxmlformats.org/officeDocument/2006/relationships/image" Target="../media/image564.jpeg"/><Relationship Id="rId2177" Type="http://schemas.openxmlformats.org/officeDocument/2006/relationships/image" Target="../media/image2245.jpeg"/><Relationship Id="rId2384" Type="http://schemas.openxmlformats.org/officeDocument/2006/relationships/image" Target="../media/image2452.jpeg"/><Relationship Id="rId2591" Type="http://schemas.openxmlformats.org/officeDocument/2006/relationships/image" Target="../media/image2659.jpeg"/><Relationship Id="rId149" Type="http://schemas.openxmlformats.org/officeDocument/2006/relationships/image" Target="../media/image217.jpeg"/><Relationship Id="rId356" Type="http://schemas.openxmlformats.org/officeDocument/2006/relationships/image" Target="../media/image424.jpeg"/><Relationship Id="rId563" Type="http://schemas.openxmlformats.org/officeDocument/2006/relationships/image" Target="../media/image631.jpeg"/><Relationship Id="rId770" Type="http://schemas.openxmlformats.org/officeDocument/2006/relationships/image" Target="../media/image838.jpeg"/><Relationship Id="rId1193" Type="http://schemas.openxmlformats.org/officeDocument/2006/relationships/image" Target="../media/image1261.jpeg"/><Relationship Id="rId2037" Type="http://schemas.openxmlformats.org/officeDocument/2006/relationships/image" Target="../media/image2105.jpeg"/><Relationship Id="rId2244" Type="http://schemas.openxmlformats.org/officeDocument/2006/relationships/image" Target="../media/image2312.jpeg"/><Relationship Id="rId2451" Type="http://schemas.openxmlformats.org/officeDocument/2006/relationships/image" Target="../media/image2519.jpeg"/><Relationship Id="rId216" Type="http://schemas.openxmlformats.org/officeDocument/2006/relationships/image" Target="../media/image284.jpeg"/><Relationship Id="rId423" Type="http://schemas.openxmlformats.org/officeDocument/2006/relationships/image" Target="../media/image491.jpeg"/><Relationship Id="rId1053" Type="http://schemas.openxmlformats.org/officeDocument/2006/relationships/image" Target="../media/image1121.jpeg"/><Relationship Id="rId1260" Type="http://schemas.openxmlformats.org/officeDocument/2006/relationships/image" Target="../media/image1328.jpeg"/><Relationship Id="rId2104" Type="http://schemas.openxmlformats.org/officeDocument/2006/relationships/image" Target="../media/image2172.jpeg"/><Relationship Id="rId630" Type="http://schemas.openxmlformats.org/officeDocument/2006/relationships/image" Target="../media/image698.jpeg"/><Relationship Id="rId2311" Type="http://schemas.openxmlformats.org/officeDocument/2006/relationships/image" Target="../media/image2379.jpeg"/><Relationship Id="rId1120" Type="http://schemas.openxmlformats.org/officeDocument/2006/relationships/image" Target="../media/image1188.jpeg"/><Relationship Id="rId1937" Type="http://schemas.openxmlformats.org/officeDocument/2006/relationships/image" Target="../media/image2005.jpeg"/><Relationship Id="rId3085" Type="http://schemas.openxmlformats.org/officeDocument/2006/relationships/image" Target="../media/image3153.jpeg"/><Relationship Id="rId3152" Type="http://schemas.openxmlformats.org/officeDocument/2006/relationships/image" Target="../media/image3220.jpeg"/><Relationship Id="rId280" Type="http://schemas.openxmlformats.org/officeDocument/2006/relationships/image" Target="../media/image348.jpeg"/><Relationship Id="rId3012" Type="http://schemas.openxmlformats.org/officeDocument/2006/relationships/image" Target="../media/image3080.jpeg"/><Relationship Id="rId140" Type="http://schemas.openxmlformats.org/officeDocument/2006/relationships/image" Target="../media/image208.jpeg"/><Relationship Id="rId6" Type="http://schemas.openxmlformats.org/officeDocument/2006/relationships/image" Target="../media/image74.jpeg"/><Relationship Id="rId2778" Type="http://schemas.openxmlformats.org/officeDocument/2006/relationships/image" Target="../media/image2846.jpeg"/><Relationship Id="rId2985" Type="http://schemas.openxmlformats.org/officeDocument/2006/relationships/image" Target="../media/image3053.jpeg"/><Relationship Id="rId957" Type="http://schemas.openxmlformats.org/officeDocument/2006/relationships/image" Target="../media/image1025.jpeg"/><Relationship Id="rId1587" Type="http://schemas.openxmlformats.org/officeDocument/2006/relationships/image" Target="../media/image1655.jpeg"/><Relationship Id="rId1794" Type="http://schemas.openxmlformats.org/officeDocument/2006/relationships/image" Target="../media/image1862.jpeg"/><Relationship Id="rId2638" Type="http://schemas.openxmlformats.org/officeDocument/2006/relationships/image" Target="../media/image2706.jpeg"/><Relationship Id="rId2845" Type="http://schemas.openxmlformats.org/officeDocument/2006/relationships/image" Target="../media/image2913.jpeg"/><Relationship Id="rId86" Type="http://schemas.openxmlformats.org/officeDocument/2006/relationships/image" Target="../media/image154.jpeg"/><Relationship Id="rId817" Type="http://schemas.openxmlformats.org/officeDocument/2006/relationships/image" Target="../media/image885.jpeg"/><Relationship Id="rId1447" Type="http://schemas.openxmlformats.org/officeDocument/2006/relationships/image" Target="../media/image1515.jpeg"/><Relationship Id="rId1654" Type="http://schemas.openxmlformats.org/officeDocument/2006/relationships/image" Target="../media/image1722.jpeg"/><Relationship Id="rId1861" Type="http://schemas.openxmlformats.org/officeDocument/2006/relationships/image" Target="../media/image1929.jpeg"/><Relationship Id="rId2705" Type="http://schemas.openxmlformats.org/officeDocument/2006/relationships/image" Target="../media/image2773.jpeg"/><Relationship Id="rId2912" Type="http://schemas.openxmlformats.org/officeDocument/2006/relationships/image" Target="../media/image2980.jpeg"/><Relationship Id="rId1307" Type="http://schemas.openxmlformats.org/officeDocument/2006/relationships/image" Target="../media/image1375.jpeg"/><Relationship Id="rId1514" Type="http://schemas.openxmlformats.org/officeDocument/2006/relationships/image" Target="../media/image1582.jpeg"/><Relationship Id="rId1721" Type="http://schemas.openxmlformats.org/officeDocument/2006/relationships/image" Target="../media/image1789.jpeg"/><Relationship Id="rId13" Type="http://schemas.openxmlformats.org/officeDocument/2006/relationships/image" Target="../media/image81.jpeg"/><Relationship Id="rId2288" Type="http://schemas.openxmlformats.org/officeDocument/2006/relationships/image" Target="../media/image2356.jpeg"/><Relationship Id="rId2495" Type="http://schemas.openxmlformats.org/officeDocument/2006/relationships/image" Target="../media/image2563.jpeg"/><Relationship Id="rId467" Type="http://schemas.openxmlformats.org/officeDocument/2006/relationships/image" Target="../media/image535.jpeg"/><Relationship Id="rId1097" Type="http://schemas.openxmlformats.org/officeDocument/2006/relationships/image" Target="../media/image1165.jpeg"/><Relationship Id="rId2148" Type="http://schemas.openxmlformats.org/officeDocument/2006/relationships/image" Target="../media/image2216.jpeg"/><Relationship Id="rId674" Type="http://schemas.openxmlformats.org/officeDocument/2006/relationships/image" Target="../media/image742.jpeg"/><Relationship Id="rId881" Type="http://schemas.openxmlformats.org/officeDocument/2006/relationships/image" Target="../media/image949.jpeg"/><Relationship Id="rId2355" Type="http://schemas.openxmlformats.org/officeDocument/2006/relationships/image" Target="../media/image2423.jpeg"/><Relationship Id="rId2562" Type="http://schemas.openxmlformats.org/officeDocument/2006/relationships/image" Target="../media/image2630.jpeg"/><Relationship Id="rId327" Type="http://schemas.openxmlformats.org/officeDocument/2006/relationships/image" Target="../media/image395.jpeg"/><Relationship Id="rId534" Type="http://schemas.openxmlformats.org/officeDocument/2006/relationships/image" Target="../media/image602.jpeg"/><Relationship Id="rId741" Type="http://schemas.openxmlformats.org/officeDocument/2006/relationships/image" Target="../media/image809.jpeg"/><Relationship Id="rId1164" Type="http://schemas.openxmlformats.org/officeDocument/2006/relationships/image" Target="../media/image1232.jpeg"/><Relationship Id="rId1371" Type="http://schemas.openxmlformats.org/officeDocument/2006/relationships/image" Target="../media/image1439.jpeg"/><Relationship Id="rId2008" Type="http://schemas.openxmlformats.org/officeDocument/2006/relationships/image" Target="../media/image2076.jpeg"/><Relationship Id="rId2215" Type="http://schemas.openxmlformats.org/officeDocument/2006/relationships/image" Target="../media/image2283.jpeg"/><Relationship Id="rId2422" Type="http://schemas.openxmlformats.org/officeDocument/2006/relationships/image" Target="../media/image2490.jpeg"/><Relationship Id="rId601" Type="http://schemas.openxmlformats.org/officeDocument/2006/relationships/image" Target="../media/image669.jpeg"/><Relationship Id="rId1024" Type="http://schemas.openxmlformats.org/officeDocument/2006/relationships/image" Target="../media/image1092.jpeg"/><Relationship Id="rId1231" Type="http://schemas.openxmlformats.org/officeDocument/2006/relationships/image" Target="../media/image1299.jpeg"/><Relationship Id="rId3056" Type="http://schemas.openxmlformats.org/officeDocument/2006/relationships/image" Target="../media/image3124.jpeg"/><Relationship Id="rId184" Type="http://schemas.openxmlformats.org/officeDocument/2006/relationships/image" Target="../media/image252.jpeg"/><Relationship Id="rId391" Type="http://schemas.openxmlformats.org/officeDocument/2006/relationships/image" Target="../media/image459.jpeg"/><Relationship Id="rId1908" Type="http://schemas.openxmlformats.org/officeDocument/2006/relationships/image" Target="../media/image1976.jpeg"/><Relationship Id="rId2072" Type="http://schemas.openxmlformats.org/officeDocument/2006/relationships/image" Target="../media/image2140.jpeg"/><Relationship Id="rId3123" Type="http://schemas.openxmlformats.org/officeDocument/2006/relationships/image" Target="../media/image3191.jpeg"/><Relationship Id="rId251" Type="http://schemas.openxmlformats.org/officeDocument/2006/relationships/image" Target="../media/image319.jpeg"/><Relationship Id="rId2889" Type="http://schemas.openxmlformats.org/officeDocument/2006/relationships/image" Target="../media/image2957.jpeg"/><Relationship Id="rId111" Type="http://schemas.openxmlformats.org/officeDocument/2006/relationships/image" Target="../media/image179.jpeg"/><Relationship Id="rId1698" Type="http://schemas.openxmlformats.org/officeDocument/2006/relationships/image" Target="../media/image1766.jpeg"/><Relationship Id="rId2749" Type="http://schemas.openxmlformats.org/officeDocument/2006/relationships/image" Target="../media/image2817.jpeg"/><Relationship Id="rId2956" Type="http://schemas.openxmlformats.org/officeDocument/2006/relationships/image" Target="../media/image3024.jpeg"/><Relationship Id="rId928" Type="http://schemas.openxmlformats.org/officeDocument/2006/relationships/image" Target="../media/image996.jpeg"/><Relationship Id="rId1558" Type="http://schemas.openxmlformats.org/officeDocument/2006/relationships/image" Target="../media/image1626.jpeg"/><Relationship Id="rId1765" Type="http://schemas.openxmlformats.org/officeDocument/2006/relationships/image" Target="../media/image1833.jpeg"/><Relationship Id="rId2609" Type="http://schemas.openxmlformats.org/officeDocument/2006/relationships/image" Target="../media/image2677.jpeg"/><Relationship Id="rId57" Type="http://schemas.openxmlformats.org/officeDocument/2006/relationships/image" Target="../media/image125.jpeg"/><Relationship Id="rId1418" Type="http://schemas.openxmlformats.org/officeDocument/2006/relationships/image" Target="../media/image1486.jpeg"/><Relationship Id="rId1972" Type="http://schemas.openxmlformats.org/officeDocument/2006/relationships/image" Target="../media/image2040.jpeg"/><Relationship Id="rId2816" Type="http://schemas.openxmlformats.org/officeDocument/2006/relationships/image" Target="../media/image2884.jpeg"/><Relationship Id="rId1625" Type="http://schemas.openxmlformats.org/officeDocument/2006/relationships/image" Target="../media/image1693.jpeg"/><Relationship Id="rId1832" Type="http://schemas.openxmlformats.org/officeDocument/2006/relationships/image" Target="../media/image1900.jpeg"/><Relationship Id="rId2399" Type="http://schemas.openxmlformats.org/officeDocument/2006/relationships/image" Target="../media/image2467.jpeg"/><Relationship Id="rId578" Type="http://schemas.openxmlformats.org/officeDocument/2006/relationships/image" Target="../media/image646.jpeg"/><Relationship Id="rId785" Type="http://schemas.openxmlformats.org/officeDocument/2006/relationships/image" Target="../media/image853.jpeg"/><Relationship Id="rId992" Type="http://schemas.openxmlformats.org/officeDocument/2006/relationships/image" Target="../media/image1060.jpeg"/><Relationship Id="rId2259" Type="http://schemas.openxmlformats.org/officeDocument/2006/relationships/image" Target="../media/image2327.jpeg"/><Relationship Id="rId2466" Type="http://schemas.openxmlformats.org/officeDocument/2006/relationships/image" Target="../media/image2534.jpeg"/><Relationship Id="rId2673" Type="http://schemas.openxmlformats.org/officeDocument/2006/relationships/image" Target="../media/image2741.jpeg"/><Relationship Id="rId2880" Type="http://schemas.openxmlformats.org/officeDocument/2006/relationships/image" Target="../media/image2948.jpeg"/><Relationship Id="rId438" Type="http://schemas.openxmlformats.org/officeDocument/2006/relationships/image" Target="../media/image506.jpeg"/><Relationship Id="rId645" Type="http://schemas.openxmlformats.org/officeDocument/2006/relationships/image" Target="../media/image713.jpeg"/><Relationship Id="rId852" Type="http://schemas.openxmlformats.org/officeDocument/2006/relationships/image" Target="../media/image920.jpeg"/><Relationship Id="rId1068" Type="http://schemas.openxmlformats.org/officeDocument/2006/relationships/image" Target="../media/image1136.jpeg"/><Relationship Id="rId1275" Type="http://schemas.openxmlformats.org/officeDocument/2006/relationships/image" Target="../media/image1343.jpeg"/><Relationship Id="rId1482" Type="http://schemas.openxmlformats.org/officeDocument/2006/relationships/image" Target="../media/image1550.jpeg"/><Relationship Id="rId2119" Type="http://schemas.openxmlformats.org/officeDocument/2006/relationships/image" Target="../media/image2187.jpeg"/><Relationship Id="rId2326" Type="http://schemas.openxmlformats.org/officeDocument/2006/relationships/image" Target="../media/image2394.jpeg"/><Relationship Id="rId2533" Type="http://schemas.openxmlformats.org/officeDocument/2006/relationships/image" Target="../media/image2601.jpeg"/><Relationship Id="rId2740" Type="http://schemas.openxmlformats.org/officeDocument/2006/relationships/image" Target="../media/image2808.jpeg"/><Relationship Id="rId505" Type="http://schemas.openxmlformats.org/officeDocument/2006/relationships/image" Target="../media/image573.jpeg"/><Relationship Id="rId712" Type="http://schemas.openxmlformats.org/officeDocument/2006/relationships/image" Target="../media/image780.jpeg"/><Relationship Id="rId1135" Type="http://schemas.openxmlformats.org/officeDocument/2006/relationships/image" Target="../media/image1203.jpeg"/><Relationship Id="rId1342" Type="http://schemas.openxmlformats.org/officeDocument/2006/relationships/image" Target="../media/image1410.jpeg"/><Relationship Id="rId1202" Type="http://schemas.openxmlformats.org/officeDocument/2006/relationships/image" Target="../media/image1270.jpeg"/><Relationship Id="rId2600" Type="http://schemas.openxmlformats.org/officeDocument/2006/relationships/image" Target="../media/image2668.jpeg"/><Relationship Id="rId295" Type="http://schemas.openxmlformats.org/officeDocument/2006/relationships/image" Target="../media/image363.jpeg"/><Relationship Id="rId2183" Type="http://schemas.openxmlformats.org/officeDocument/2006/relationships/image" Target="../media/image2251.jpeg"/><Relationship Id="rId2390" Type="http://schemas.openxmlformats.org/officeDocument/2006/relationships/image" Target="../media/image2458.jpeg"/><Relationship Id="rId3027" Type="http://schemas.openxmlformats.org/officeDocument/2006/relationships/image" Target="../media/image3095.jpeg"/><Relationship Id="rId155" Type="http://schemas.openxmlformats.org/officeDocument/2006/relationships/image" Target="../media/image223.jpeg"/><Relationship Id="rId362" Type="http://schemas.openxmlformats.org/officeDocument/2006/relationships/image" Target="../media/image430.jpeg"/><Relationship Id="rId2043" Type="http://schemas.openxmlformats.org/officeDocument/2006/relationships/image" Target="../media/image2111.jpeg"/><Relationship Id="rId2250" Type="http://schemas.openxmlformats.org/officeDocument/2006/relationships/image" Target="../media/image2318.jpeg"/><Relationship Id="rId222" Type="http://schemas.openxmlformats.org/officeDocument/2006/relationships/image" Target="../media/image290.jpeg"/><Relationship Id="rId2110" Type="http://schemas.openxmlformats.org/officeDocument/2006/relationships/image" Target="../media/image2178.jpeg"/><Relationship Id="rId1669" Type="http://schemas.openxmlformats.org/officeDocument/2006/relationships/image" Target="../media/image1737.jpeg"/><Relationship Id="rId1876" Type="http://schemas.openxmlformats.org/officeDocument/2006/relationships/image" Target="../media/image1944.jpeg"/><Relationship Id="rId2927" Type="http://schemas.openxmlformats.org/officeDocument/2006/relationships/image" Target="../media/image2995.jpeg"/><Relationship Id="rId3091" Type="http://schemas.openxmlformats.org/officeDocument/2006/relationships/image" Target="../media/image3159.jpeg"/><Relationship Id="rId1529" Type="http://schemas.openxmlformats.org/officeDocument/2006/relationships/image" Target="../media/image1597.jpeg"/><Relationship Id="rId1736" Type="http://schemas.openxmlformats.org/officeDocument/2006/relationships/image" Target="../media/image1804.jpeg"/><Relationship Id="rId1943" Type="http://schemas.openxmlformats.org/officeDocument/2006/relationships/image" Target="../media/image2011.jpeg"/><Relationship Id="rId28" Type="http://schemas.openxmlformats.org/officeDocument/2006/relationships/image" Target="../media/image96.jpeg"/><Relationship Id="rId1803" Type="http://schemas.openxmlformats.org/officeDocument/2006/relationships/image" Target="../media/image1871.jpeg"/><Relationship Id="rId689" Type="http://schemas.openxmlformats.org/officeDocument/2006/relationships/image" Target="../media/image757.jpeg"/><Relationship Id="rId896" Type="http://schemas.openxmlformats.org/officeDocument/2006/relationships/image" Target="../media/image964.jpeg"/><Relationship Id="rId2577" Type="http://schemas.openxmlformats.org/officeDocument/2006/relationships/image" Target="../media/image2645.jpeg"/><Relationship Id="rId2784" Type="http://schemas.openxmlformats.org/officeDocument/2006/relationships/image" Target="../media/image2852.jpeg"/><Relationship Id="rId549" Type="http://schemas.openxmlformats.org/officeDocument/2006/relationships/image" Target="../media/image617.jpeg"/><Relationship Id="rId756" Type="http://schemas.openxmlformats.org/officeDocument/2006/relationships/image" Target="../media/image824.jpeg"/><Relationship Id="rId1179" Type="http://schemas.openxmlformats.org/officeDocument/2006/relationships/image" Target="../media/image1247.jpeg"/><Relationship Id="rId1386" Type="http://schemas.openxmlformats.org/officeDocument/2006/relationships/image" Target="../media/image1454.jpeg"/><Relationship Id="rId1593" Type="http://schemas.openxmlformats.org/officeDocument/2006/relationships/image" Target="../media/image1661.jpeg"/><Relationship Id="rId2437" Type="http://schemas.openxmlformats.org/officeDocument/2006/relationships/image" Target="../media/image2505.jpeg"/><Relationship Id="rId2991" Type="http://schemas.openxmlformats.org/officeDocument/2006/relationships/image" Target="../media/image3059.jpeg"/><Relationship Id="rId409" Type="http://schemas.openxmlformats.org/officeDocument/2006/relationships/image" Target="../media/image477.jpeg"/><Relationship Id="rId963" Type="http://schemas.openxmlformats.org/officeDocument/2006/relationships/image" Target="../media/image1031.jpeg"/><Relationship Id="rId1039" Type="http://schemas.openxmlformats.org/officeDocument/2006/relationships/image" Target="../media/image1107.jpeg"/><Relationship Id="rId1246" Type="http://schemas.openxmlformats.org/officeDocument/2006/relationships/image" Target="../media/image1314.jpeg"/><Relationship Id="rId2644" Type="http://schemas.openxmlformats.org/officeDocument/2006/relationships/image" Target="../media/image2712.jpeg"/><Relationship Id="rId2851" Type="http://schemas.openxmlformats.org/officeDocument/2006/relationships/image" Target="../media/image2919.jpeg"/><Relationship Id="rId92" Type="http://schemas.openxmlformats.org/officeDocument/2006/relationships/image" Target="../media/image160.jpeg"/><Relationship Id="rId616" Type="http://schemas.openxmlformats.org/officeDocument/2006/relationships/image" Target="../media/image684.jpeg"/><Relationship Id="rId823" Type="http://schemas.openxmlformats.org/officeDocument/2006/relationships/image" Target="../media/image891.jpeg"/><Relationship Id="rId1453" Type="http://schemas.openxmlformats.org/officeDocument/2006/relationships/image" Target="../media/image1521.jpeg"/><Relationship Id="rId1660" Type="http://schemas.openxmlformats.org/officeDocument/2006/relationships/image" Target="../media/image1728.jpeg"/><Relationship Id="rId2504" Type="http://schemas.openxmlformats.org/officeDocument/2006/relationships/image" Target="../media/image2572.jpeg"/><Relationship Id="rId2711" Type="http://schemas.openxmlformats.org/officeDocument/2006/relationships/image" Target="../media/image2779.jpeg"/><Relationship Id="rId1106" Type="http://schemas.openxmlformats.org/officeDocument/2006/relationships/image" Target="../media/image1174.jpeg"/><Relationship Id="rId1313" Type="http://schemas.openxmlformats.org/officeDocument/2006/relationships/image" Target="../media/image1381.jpeg"/><Relationship Id="rId1520" Type="http://schemas.openxmlformats.org/officeDocument/2006/relationships/image" Target="../media/image1588.jpeg"/><Relationship Id="rId199" Type="http://schemas.openxmlformats.org/officeDocument/2006/relationships/image" Target="../media/image267.jpeg"/><Relationship Id="rId2087" Type="http://schemas.openxmlformats.org/officeDocument/2006/relationships/image" Target="../media/image2155.jpeg"/><Relationship Id="rId2294" Type="http://schemas.openxmlformats.org/officeDocument/2006/relationships/image" Target="../media/image2362.jpeg"/><Relationship Id="rId3138" Type="http://schemas.openxmlformats.org/officeDocument/2006/relationships/image" Target="../media/image3206.jpeg"/><Relationship Id="rId266" Type="http://schemas.openxmlformats.org/officeDocument/2006/relationships/image" Target="../media/image334.jpeg"/><Relationship Id="rId473" Type="http://schemas.openxmlformats.org/officeDocument/2006/relationships/image" Target="../media/image541.jpeg"/><Relationship Id="rId680" Type="http://schemas.openxmlformats.org/officeDocument/2006/relationships/image" Target="../media/image748.jpeg"/><Relationship Id="rId2154" Type="http://schemas.openxmlformats.org/officeDocument/2006/relationships/image" Target="../media/image2222.jpeg"/><Relationship Id="rId2361" Type="http://schemas.openxmlformats.org/officeDocument/2006/relationships/image" Target="../media/image2429.jpeg"/><Relationship Id="rId126" Type="http://schemas.openxmlformats.org/officeDocument/2006/relationships/image" Target="../media/image194.jpeg"/><Relationship Id="rId333" Type="http://schemas.openxmlformats.org/officeDocument/2006/relationships/image" Target="../media/image401.jpeg"/><Relationship Id="rId540" Type="http://schemas.openxmlformats.org/officeDocument/2006/relationships/image" Target="../media/image608.jpeg"/><Relationship Id="rId1170" Type="http://schemas.openxmlformats.org/officeDocument/2006/relationships/image" Target="../media/image1238.jpeg"/><Relationship Id="rId2014" Type="http://schemas.openxmlformats.org/officeDocument/2006/relationships/image" Target="../media/image2082.jpeg"/><Relationship Id="rId2221" Type="http://schemas.openxmlformats.org/officeDocument/2006/relationships/image" Target="../media/image2289.jpeg"/><Relationship Id="rId1030" Type="http://schemas.openxmlformats.org/officeDocument/2006/relationships/image" Target="../media/image1098.jpeg"/><Relationship Id="rId400" Type="http://schemas.openxmlformats.org/officeDocument/2006/relationships/image" Target="../media/image468.jpeg"/><Relationship Id="rId1987" Type="http://schemas.openxmlformats.org/officeDocument/2006/relationships/image" Target="../media/image2055.jpeg"/><Relationship Id="rId1847" Type="http://schemas.openxmlformats.org/officeDocument/2006/relationships/image" Target="../media/image1915.jpeg"/><Relationship Id="rId1707" Type="http://schemas.openxmlformats.org/officeDocument/2006/relationships/image" Target="../media/image1775.jpeg"/><Relationship Id="rId3062" Type="http://schemas.openxmlformats.org/officeDocument/2006/relationships/image" Target="../media/image3130.jpeg"/><Relationship Id="rId190" Type="http://schemas.openxmlformats.org/officeDocument/2006/relationships/image" Target="../media/image258.jpeg"/><Relationship Id="rId1914" Type="http://schemas.openxmlformats.org/officeDocument/2006/relationships/image" Target="../media/image1982.jpeg"/><Relationship Id="rId2688" Type="http://schemas.openxmlformats.org/officeDocument/2006/relationships/image" Target="../media/image2756.jpeg"/><Relationship Id="rId2895" Type="http://schemas.openxmlformats.org/officeDocument/2006/relationships/image" Target="../media/image2963.jpeg"/><Relationship Id="rId867" Type="http://schemas.openxmlformats.org/officeDocument/2006/relationships/image" Target="../media/image935.jpeg"/><Relationship Id="rId1497" Type="http://schemas.openxmlformats.org/officeDocument/2006/relationships/image" Target="../media/image1565.jpeg"/><Relationship Id="rId2548" Type="http://schemas.openxmlformats.org/officeDocument/2006/relationships/image" Target="../media/image2616.jpeg"/><Relationship Id="rId2755" Type="http://schemas.openxmlformats.org/officeDocument/2006/relationships/image" Target="../media/image2823.jpeg"/><Relationship Id="rId2962" Type="http://schemas.openxmlformats.org/officeDocument/2006/relationships/image" Target="../media/image3030.jpeg"/><Relationship Id="rId727" Type="http://schemas.openxmlformats.org/officeDocument/2006/relationships/image" Target="../media/image795.jpeg"/><Relationship Id="rId934" Type="http://schemas.openxmlformats.org/officeDocument/2006/relationships/image" Target="../media/image1002.jpeg"/><Relationship Id="rId1357" Type="http://schemas.openxmlformats.org/officeDocument/2006/relationships/image" Target="../media/image1425.jpeg"/><Relationship Id="rId1564" Type="http://schemas.openxmlformats.org/officeDocument/2006/relationships/image" Target="../media/image1632.jpeg"/><Relationship Id="rId1771" Type="http://schemas.openxmlformats.org/officeDocument/2006/relationships/image" Target="../media/image1839.jpeg"/><Relationship Id="rId2408" Type="http://schemas.openxmlformats.org/officeDocument/2006/relationships/image" Target="../media/image2476.jpeg"/><Relationship Id="rId2615" Type="http://schemas.openxmlformats.org/officeDocument/2006/relationships/image" Target="../media/image2683.jpeg"/><Relationship Id="rId2822" Type="http://schemas.openxmlformats.org/officeDocument/2006/relationships/image" Target="../media/image2890.jpeg"/><Relationship Id="rId63" Type="http://schemas.openxmlformats.org/officeDocument/2006/relationships/image" Target="../media/image131.jpeg"/><Relationship Id="rId1217" Type="http://schemas.openxmlformats.org/officeDocument/2006/relationships/image" Target="../media/image1285.jpeg"/><Relationship Id="rId1424" Type="http://schemas.openxmlformats.org/officeDocument/2006/relationships/image" Target="../media/image1492.jpeg"/><Relationship Id="rId1631" Type="http://schemas.openxmlformats.org/officeDocument/2006/relationships/image" Target="../media/image1699.jpeg"/><Relationship Id="rId2198" Type="http://schemas.openxmlformats.org/officeDocument/2006/relationships/image" Target="../media/image2266.jpeg"/><Relationship Id="rId377" Type="http://schemas.openxmlformats.org/officeDocument/2006/relationships/image" Target="../media/image445.jpeg"/><Relationship Id="rId584" Type="http://schemas.openxmlformats.org/officeDocument/2006/relationships/image" Target="../media/image652.jpeg"/><Relationship Id="rId2058" Type="http://schemas.openxmlformats.org/officeDocument/2006/relationships/image" Target="../media/image2126.jpeg"/><Relationship Id="rId2265" Type="http://schemas.openxmlformats.org/officeDocument/2006/relationships/image" Target="../media/image2333.jpeg"/><Relationship Id="rId3109" Type="http://schemas.openxmlformats.org/officeDocument/2006/relationships/image" Target="../media/image3177.jpeg"/><Relationship Id="rId237" Type="http://schemas.openxmlformats.org/officeDocument/2006/relationships/image" Target="../media/image305.jpeg"/><Relationship Id="rId791" Type="http://schemas.openxmlformats.org/officeDocument/2006/relationships/image" Target="../media/image859.jpeg"/><Relationship Id="rId1074" Type="http://schemas.openxmlformats.org/officeDocument/2006/relationships/image" Target="../media/image1142.jpeg"/><Relationship Id="rId2472" Type="http://schemas.openxmlformats.org/officeDocument/2006/relationships/image" Target="../media/image2540.jpeg"/><Relationship Id="rId444" Type="http://schemas.openxmlformats.org/officeDocument/2006/relationships/image" Target="../media/image512.jpeg"/><Relationship Id="rId651" Type="http://schemas.openxmlformats.org/officeDocument/2006/relationships/image" Target="../media/image719.jpeg"/><Relationship Id="rId1281" Type="http://schemas.openxmlformats.org/officeDocument/2006/relationships/image" Target="../media/image1349.jpeg"/><Relationship Id="rId2125" Type="http://schemas.openxmlformats.org/officeDocument/2006/relationships/image" Target="../media/image2193.jpeg"/><Relationship Id="rId2332" Type="http://schemas.openxmlformats.org/officeDocument/2006/relationships/image" Target="../media/image2400.jpeg"/><Relationship Id="rId304" Type="http://schemas.openxmlformats.org/officeDocument/2006/relationships/image" Target="../media/image372.jpeg"/><Relationship Id="rId511" Type="http://schemas.openxmlformats.org/officeDocument/2006/relationships/image" Target="../media/image579.jpeg"/><Relationship Id="rId1141" Type="http://schemas.openxmlformats.org/officeDocument/2006/relationships/image" Target="../media/image1209.jpeg"/><Relationship Id="rId1001" Type="http://schemas.openxmlformats.org/officeDocument/2006/relationships/image" Target="../media/image1069.jpeg"/><Relationship Id="rId1958" Type="http://schemas.openxmlformats.org/officeDocument/2006/relationships/image" Target="../media/image2026.jpeg"/><Relationship Id="rId1818" Type="http://schemas.openxmlformats.org/officeDocument/2006/relationships/image" Target="../media/image1886.jpeg"/><Relationship Id="rId3033" Type="http://schemas.openxmlformats.org/officeDocument/2006/relationships/image" Target="../media/image3101.jpeg"/><Relationship Id="rId161" Type="http://schemas.openxmlformats.org/officeDocument/2006/relationships/image" Target="../media/image229.jpeg"/><Relationship Id="rId2799" Type="http://schemas.openxmlformats.org/officeDocument/2006/relationships/image" Target="../media/image2867.jpeg"/><Relationship Id="rId3100" Type="http://schemas.openxmlformats.org/officeDocument/2006/relationships/image" Target="../media/image3168.jpeg"/><Relationship Id="rId978" Type="http://schemas.openxmlformats.org/officeDocument/2006/relationships/image" Target="../media/image1046.jpeg"/><Relationship Id="rId2659" Type="http://schemas.openxmlformats.org/officeDocument/2006/relationships/image" Target="../media/image2727.jpeg"/><Relationship Id="rId2866" Type="http://schemas.openxmlformats.org/officeDocument/2006/relationships/image" Target="../media/image2934.jpeg"/><Relationship Id="rId838" Type="http://schemas.openxmlformats.org/officeDocument/2006/relationships/image" Target="../media/image906.jpeg"/><Relationship Id="rId1468" Type="http://schemas.openxmlformats.org/officeDocument/2006/relationships/image" Target="../media/image1536.jpeg"/><Relationship Id="rId1675" Type="http://schemas.openxmlformats.org/officeDocument/2006/relationships/image" Target="../media/image1743.jpeg"/><Relationship Id="rId1882" Type="http://schemas.openxmlformats.org/officeDocument/2006/relationships/image" Target="../media/image1950.jpeg"/><Relationship Id="rId2519" Type="http://schemas.openxmlformats.org/officeDocument/2006/relationships/image" Target="../media/image2587.jpeg"/><Relationship Id="rId2726" Type="http://schemas.openxmlformats.org/officeDocument/2006/relationships/image" Target="../media/image2794.jpeg"/><Relationship Id="rId1328" Type="http://schemas.openxmlformats.org/officeDocument/2006/relationships/image" Target="../media/image1396.jpeg"/><Relationship Id="rId1535" Type="http://schemas.openxmlformats.org/officeDocument/2006/relationships/image" Target="../media/image1603.jpeg"/><Relationship Id="rId2933" Type="http://schemas.openxmlformats.org/officeDocument/2006/relationships/image" Target="../media/image3001.jpeg"/><Relationship Id="rId905" Type="http://schemas.openxmlformats.org/officeDocument/2006/relationships/image" Target="../media/image973.jpeg"/><Relationship Id="rId1742" Type="http://schemas.openxmlformats.org/officeDocument/2006/relationships/image" Target="../media/image1810.jpeg"/><Relationship Id="rId34" Type="http://schemas.openxmlformats.org/officeDocument/2006/relationships/image" Target="../media/image102.jpeg"/><Relationship Id="rId1602" Type="http://schemas.openxmlformats.org/officeDocument/2006/relationships/image" Target="../media/image1670.jpeg"/><Relationship Id="rId488" Type="http://schemas.openxmlformats.org/officeDocument/2006/relationships/image" Target="../media/image556.jpeg"/><Relationship Id="rId695" Type="http://schemas.openxmlformats.org/officeDocument/2006/relationships/image" Target="../media/image763.jpeg"/><Relationship Id="rId2169" Type="http://schemas.openxmlformats.org/officeDocument/2006/relationships/image" Target="../media/image2237.jpeg"/><Relationship Id="rId2376" Type="http://schemas.openxmlformats.org/officeDocument/2006/relationships/image" Target="../media/image2444.jpeg"/><Relationship Id="rId2583" Type="http://schemas.openxmlformats.org/officeDocument/2006/relationships/image" Target="../media/image2651.jpeg"/><Relationship Id="rId2790" Type="http://schemas.openxmlformats.org/officeDocument/2006/relationships/image" Target="../media/image2858.jpeg"/><Relationship Id="rId348" Type="http://schemas.openxmlformats.org/officeDocument/2006/relationships/image" Target="../media/image416.jpeg"/><Relationship Id="rId555" Type="http://schemas.openxmlformats.org/officeDocument/2006/relationships/image" Target="../media/image623.jpeg"/><Relationship Id="rId762" Type="http://schemas.openxmlformats.org/officeDocument/2006/relationships/image" Target="../media/image830.jpeg"/><Relationship Id="rId1185" Type="http://schemas.openxmlformats.org/officeDocument/2006/relationships/image" Target="../media/image1253.jpeg"/><Relationship Id="rId1392" Type="http://schemas.openxmlformats.org/officeDocument/2006/relationships/image" Target="../media/image1460.jpeg"/><Relationship Id="rId2029" Type="http://schemas.openxmlformats.org/officeDocument/2006/relationships/image" Target="../media/image2097.jpeg"/><Relationship Id="rId2236" Type="http://schemas.openxmlformats.org/officeDocument/2006/relationships/image" Target="../media/image2304.jpeg"/><Relationship Id="rId2443" Type="http://schemas.openxmlformats.org/officeDocument/2006/relationships/image" Target="../media/image2511.jpeg"/><Relationship Id="rId2650" Type="http://schemas.openxmlformats.org/officeDocument/2006/relationships/image" Target="../media/image2718.jpeg"/><Relationship Id="rId208" Type="http://schemas.openxmlformats.org/officeDocument/2006/relationships/image" Target="../media/image276.jpeg"/><Relationship Id="rId415" Type="http://schemas.openxmlformats.org/officeDocument/2006/relationships/image" Target="../media/image483.jpeg"/><Relationship Id="rId622" Type="http://schemas.openxmlformats.org/officeDocument/2006/relationships/image" Target="../media/image690.jpeg"/><Relationship Id="rId1045" Type="http://schemas.openxmlformats.org/officeDocument/2006/relationships/image" Target="../media/image1113.jpeg"/><Relationship Id="rId1252" Type="http://schemas.openxmlformats.org/officeDocument/2006/relationships/image" Target="../media/image1320.jpeg"/><Relationship Id="rId2303" Type="http://schemas.openxmlformats.org/officeDocument/2006/relationships/image" Target="../media/image2371.jpeg"/><Relationship Id="rId2510" Type="http://schemas.openxmlformats.org/officeDocument/2006/relationships/image" Target="../media/image2578.jpeg"/><Relationship Id="rId1112" Type="http://schemas.openxmlformats.org/officeDocument/2006/relationships/image" Target="../media/image1180.jpeg"/><Relationship Id="rId3077" Type="http://schemas.openxmlformats.org/officeDocument/2006/relationships/image" Target="../media/image3145.jpeg"/><Relationship Id="rId1929" Type="http://schemas.openxmlformats.org/officeDocument/2006/relationships/image" Target="../media/image1997.jpeg"/><Relationship Id="rId2093" Type="http://schemas.openxmlformats.org/officeDocument/2006/relationships/image" Target="../media/image2161.jpeg"/><Relationship Id="rId3144" Type="http://schemas.openxmlformats.org/officeDocument/2006/relationships/image" Target="../media/image3212.jpeg"/><Relationship Id="rId272" Type="http://schemas.openxmlformats.org/officeDocument/2006/relationships/image" Target="../media/image340.jpeg"/><Relationship Id="rId2160" Type="http://schemas.openxmlformats.org/officeDocument/2006/relationships/image" Target="../media/image2228.jpeg"/><Relationship Id="rId3004" Type="http://schemas.openxmlformats.org/officeDocument/2006/relationships/image" Target="../media/image3072.jpeg"/><Relationship Id="rId132" Type="http://schemas.openxmlformats.org/officeDocument/2006/relationships/image" Target="../media/image200.jpeg"/><Relationship Id="rId2020" Type="http://schemas.openxmlformats.org/officeDocument/2006/relationships/image" Target="../media/image2088.jpeg"/><Relationship Id="rId1579" Type="http://schemas.openxmlformats.org/officeDocument/2006/relationships/image" Target="../media/image1647.jpeg"/><Relationship Id="rId2977" Type="http://schemas.openxmlformats.org/officeDocument/2006/relationships/image" Target="../media/image3045.jpeg"/><Relationship Id="rId949" Type="http://schemas.openxmlformats.org/officeDocument/2006/relationships/image" Target="../media/image1017.jpeg"/><Relationship Id="rId1786" Type="http://schemas.openxmlformats.org/officeDocument/2006/relationships/image" Target="../media/image1854.jpeg"/><Relationship Id="rId1993" Type="http://schemas.openxmlformats.org/officeDocument/2006/relationships/image" Target="../media/image2061.jpeg"/><Relationship Id="rId2837" Type="http://schemas.openxmlformats.org/officeDocument/2006/relationships/image" Target="../media/image2905.jpeg"/><Relationship Id="rId78" Type="http://schemas.openxmlformats.org/officeDocument/2006/relationships/image" Target="../media/image146.jpeg"/><Relationship Id="rId809" Type="http://schemas.openxmlformats.org/officeDocument/2006/relationships/image" Target="../media/image877.jpeg"/><Relationship Id="rId1439" Type="http://schemas.openxmlformats.org/officeDocument/2006/relationships/image" Target="../media/image1507.jpeg"/><Relationship Id="rId1646" Type="http://schemas.openxmlformats.org/officeDocument/2006/relationships/image" Target="../media/image1714.jpeg"/><Relationship Id="rId1853" Type="http://schemas.openxmlformats.org/officeDocument/2006/relationships/image" Target="../media/image1921.jpeg"/><Relationship Id="rId2904" Type="http://schemas.openxmlformats.org/officeDocument/2006/relationships/image" Target="../media/image2972.jpeg"/><Relationship Id="rId1506" Type="http://schemas.openxmlformats.org/officeDocument/2006/relationships/image" Target="../media/image1574.jpeg"/><Relationship Id="rId1713" Type="http://schemas.openxmlformats.org/officeDocument/2006/relationships/image" Target="../media/image1781.jpeg"/><Relationship Id="rId1920" Type="http://schemas.openxmlformats.org/officeDocument/2006/relationships/image" Target="../media/image1988.jpeg"/><Relationship Id="rId599" Type="http://schemas.openxmlformats.org/officeDocument/2006/relationships/image" Target="../media/image667.jpeg"/><Relationship Id="rId2487" Type="http://schemas.openxmlformats.org/officeDocument/2006/relationships/image" Target="../media/image2555.jpeg"/><Relationship Id="rId2694" Type="http://schemas.openxmlformats.org/officeDocument/2006/relationships/image" Target="../media/image2762.jpeg"/><Relationship Id="rId459" Type="http://schemas.openxmlformats.org/officeDocument/2006/relationships/image" Target="../media/image527.jpeg"/><Relationship Id="rId666" Type="http://schemas.openxmlformats.org/officeDocument/2006/relationships/image" Target="../media/image734.jpeg"/><Relationship Id="rId873" Type="http://schemas.openxmlformats.org/officeDocument/2006/relationships/image" Target="../media/image941.jpeg"/><Relationship Id="rId1089" Type="http://schemas.openxmlformats.org/officeDocument/2006/relationships/image" Target="../media/image1157.jpeg"/><Relationship Id="rId1296" Type="http://schemas.openxmlformats.org/officeDocument/2006/relationships/image" Target="../media/image1364.jpeg"/><Relationship Id="rId2347" Type="http://schemas.openxmlformats.org/officeDocument/2006/relationships/image" Target="../media/image2415.jpeg"/><Relationship Id="rId2554" Type="http://schemas.openxmlformats.org/officeDocument/2006/relationships/image" Target="../media/image2622.jpeg"/><Relationship Id="rId319" Type="http://schemas.openxmlformats.org/officeDocument/2006/relationships/image" Target="../media/image387.jpeg"/><Relationship Id="rId526" Type="http://schemas.openxmlformats.org/officeDocument/2006/relationships/image" Target="../media/image594.jpeg"/><Relationship Id="rId1156" Type="http://schemas.openxmlformats.org/officeDocument/2006/relationships/image" Target="../media/image1224.jpeg"/><Relationship Id="rId1363" Type="http://schemas.openxmlformats.org/officeDocument/2006/relationships/image" Target="../media/image1431.jpeg"/><Relationship Id="rId2207" Type="http://schemas.openxmlformats.org/officeDocument/2006/relationships/image" Target="../media/image2275.jpeg"/><Relationship Id="rId2761" Type="http://schemas.openxmlformats.org/officeDocument/2006/relationships/image" Target="../media/image2829.jpeg"/><Relationship Id="rId733" Type="http://schemas.openxmlformats.org/officeDocument/2006/relationships/image" Target="../media/image801.jpeg"/><Relationship Id="rId940" Type="http://schemas.openxmlformats.org/officeDocument/2006/relationships/image" Target="../media/image1008.jpeg"/><Relationship Id="rId1016" Type="http://schemas.openxmlformats.org/officeDocument/2006/relationships/image" Target="../media/image1084.jpeg"/><Relationship Id="rId1570" Type="http://schemas.openxmlformats.org/officeDocument/2006/relationships/image" Target="../media/image1638.jpeg"/><Relationship Id="rId2414" Type="http://schemas.openxmlformats.org/officeDocument/2006/relationships/image" Target="../media/image2482.jpeg"/><Relationship Id="rId2621" Type="http://schemas.openxmlformats.org/officeDocument/2006/relationships/image" Target="../media/image2689.jpeg"/><Relationship Id="rId800" Type="http://schemas.openxmlformats.org/officeDocument/2006/relationships/image" Target="../media/image868.jpeg"/><Relationship Id="rId1223" Type="http://schemas.openxmlformats.org/officeDocument/2006/relationships/image" Target="../media/image1291.jpeg"/><Relationship Id="rId1430" Type="http://schemas.openxmlformats.org/officeDocument/2006/relationships/image" Target="../media/image1498.jpeg"/><Relationship Id="rId3048" Type="http://schemas.openxmlformats.org/officeDocument/2006/relationships/image" Target="../media/image3116.jpeg"/><Relationship Id="rId176" Type="http://schemas.openxmlformats.org/officeDocument/2006/relationships/image" Target="../media/image244.jpeg"/><Relationship Id="rId383" Type="http://schemas.openxmlformats.org/officeDocument/2006/relationships/image" Target="../media/image451.jpeg"/><Relationship Id="rId590" Type="http://schemas.openxmlformats.org/officeDocument/2006/relationships/image" Target="../media/image658.jpeg"/><Relationship Id="rId2064" Type="http://schemas.openxmlformats.org/officeDocument/2006/relationships/image" Target="../media/image2132.jpeg"/><Relationship Id="rId2271" Type="http://schemas.openxmlformats.org/officeDocument/2006/relationships/image" Target="../media/image2339.jpeg"/><Relationship Id="rId3115" Type="http://schemas.openxmlformats.org/officeDocument/2006/relationships/image" Target="../media/image3183.jpeg"/><Relationship Id="rId243" Type="http://schemas.openxmlformats.org/officeDocument/2006/relationships/image" Target="../media/image311.jpeg"/><Relationship Id="rId450" Type="http://schemas.openxmlformats.org/officeDocument/2006/relationships/image" Target="../media/image518.jpeg"/><Relationship Id="rId1080" Type="http://schemas.openxmlformats.org/officeDocument/2006/relationships/image" Target="../media/image1148.jpeg"/><Relationship Id="rId2131" Type="http://schemas.openxmlformats.org/officeDocument/2006/relationships/image" Target="../media/image2199.jpeg"/><Relationship Id="rId103" Type="http://schemas.openxmlformats.org/officeDocument/2006/relationships/image" Target="../media/image171.jpeg"/><Relationship Id="rId310" Type="http://schemas.openxmlformats.org/officeDocument/2006/relationships/image" Target="../media/image378.jpeg"/><Relationship Id="rId1897" Type="http://schemas.openxmlformats.org/officeDocument/2006/relationships/image" Target="../media/image1965.jpeg"/><Relationship Id="rId2948" Type="http://schemas.openxmlformats.org/officeDocument/2006/relationships/image" Target="../media/image3016.jpeg"/><Relationship Id="rId1757" Type="http://schemas.openxmlformats.org/officeDocument/2006/relationships/image" Target="../media/image1825.jpeg"/><Relationship Id="rId1964" Type="http://schemas.openxmlformats.org/officeDocument/2006/relationships/image" Target="../media/image2032.jpeg"/><Relationship Id="rId2808" Type="http://schemas.openxmlformats.org/officeDocument/2006/relationships/image" Target="../media/image2876.jpeg"/><Relationship Id="rId49" Type="http://schemas.openxmlformats.org/officeDocument/2006/relationships/image" Target="../media/image117.jpeg"/><Relationship Id="rId1617" Type="http://schemas.openxmlformats.org/officeDocument/2006/relationships/image" Target="../media/image1685.jpeg"/><Relationship Id="rId1824" Type="http://schemas.openxmlformats.org/officeDocument/2006/relationships/image" Target="../media/image1892.jpeg"/><Relationship Id="rId2598" Type="http://schemas.openxmlformats.org/officeDocument/2006/relationships/image" Target="../media/image2666.jpeg"/><Relationship Id="rId777" Type="http://schemas.openxmlformats.org/officeDocument/2006/relationships/image" Target="../media/image845.jpeg"/><Relationship Id="rId984" Type="http://schemas.openxmlformats.org/officeDocument/2006/relationships/image" Target="../media/image1052.jpeg"/><Relationship Id="rId2458" Type="http://schemas.openxmlformats.org/officeDocument/2006/relationships/image" Target="../media/image2526.jpeg"/><Relationship Id="rId2665" Type="http://schemas.openxmlformats.org/officeDocument/2006/relationships/image" Target="../media/image2733.jpeg"/><Relationship Id="rId2872" Type="http://schemas.openxmlformats.org/officeDocument/2006/relationships/image" Target="../media/image2940.jpeg"/><Relationship Id="rId637" Type="http://schemas.openxmlformats.org/officeDocument/2006/relationships/image" Target="../media/image705.jpeg"/><Relationship Id="rId844" Type="http://schemas.openxmlformats.org/officeDocument/2006/relationships/image" Target="../media/image912.jpeg"/><Relationship Id="rId1267" Type="http://schemas.openxmlformats.org/officeDocument/2006/relationships/image" Target="../media/image1335.jpeg"/><Relationship Id="rId1474" Type="http://schemas.openxmlformats.org/officeDocument/2006/relationships/image" Target="../media/image1542.jpeg"/><Relationship Id="rId1681" Type="http://schemas.openxmlformats.org/officeDocument/2006/relationships/image" Target="../media/image1749.jpeg"/><Relationship Id="rId2318" Type="http://schemas.openxmlformats.org/officeDocument/2006/relationships/image" Target="../media/image2386.jpeg"/><Relationship Id="rId2525" Type="http://schemas.openxmlformats.org/officeDocument/2006/relationships/image" Target="../media/image2593.jpeg"/><Relationship Id="rId2732" Type="http://schemas.openxmlformats.org/officeDocument/2006/relationships/image" Target="../media/image2800.jpeg"/><Relationship Id="rId704" Type="http://schemas.openxmlformats.org/officeDocument/2006/relationships/image" Target="../media/image772.jpeg"/><Relationship Id="rId911" Type="http://schemas.openxmlformats.org/officeDocument/2006/relationships/image" Target="../media/image979.jpeg"/><Relationship Id="rId1127" Type="http://schemas.openxmlformats.org/officeDocument/2006/relationships/image" Target="../media/image1195.jpeg"/><Relationship Id="rId1334" Type="http://schemas.openxmlformats.org/officeDocument/2006/relationships/image" Target="../media/image1402.jpeg"/><Relationship Id="rId1541" Type="http://schemas.openxmlformats.org/officeDocument/2006/relationships/image" Target="../media/image1609.jpeg"/><Relationship Id="rId40" Type="http://schemas.openxmlformats.org/officeDocument/2006/relationships/image" Target="../media/image108.jpeg"/><Relationship Id="rId1401" Type="http://schemas.openxmlformats.org/officeDocument/2006/relationships/image" Target="../media/image1469.jpeg"/><Relationship Id="rId287" Type="http://schemas.openxmlformats.org/officeDocument/2006/relationships/image" Target="../media/image355.jpeg"/><Relationship Id="rId494" Type="http://schemas.openxmlformats.org/officeDocument/2006/relationships/image" Target="../media/image562.jpeg"/><Relationship Id="rId2175" Type="http://schemas.openxmlformats.org/officeDocument/2006/relationships/image" Target="../media/image2243.jpeg"/><Relationship Id="rId2382" Type="http://schemas.openxmlformats.org/officeDocument/2006/relationships/image" Target="../media/image2450.jpeg"/><Relationship Id="rId3019" Type="http://schemas.openxmlformats.org/officeDocument/2006/relationships/image" Target="../media/image3087.jpeg"/><Relationship Id="rId147" Type="http://schemas.openxmlformats.org/officeDocument/2006/relationships/image" Target="../media/image215.jpeg"/><Relationship Id="rId354" Type="http://schemas.openxmlformats.org/officeDocument/2006/relationships/image" Target="../media/image422.jpeg"/><Relationship Id="rId1191" Type="http://schemas.openxmlformats.org/officeDocument/2006/relationships/image" Target="../media/image1259.jpeg"/><Relationship Id="rId2035" Type="http://schemas.openxmlformats.org/officeDocument/2006/relationships/image" Target="../media/image2103.jpeg"/><Relationship Id="rId561" Type="http://schemas.openxmlformats.org/officeDocument/2006/relationships/image" Target="../media/image629.jpeg"/><Relationship Id="rId2242" Type="http://schemas.openxmlformats.org/officeDocument/2006/relationships/image" Target="../media/image2310.jpeg"/><Relationship Id="rId214" Type="http://schemas.openxmlformats.org/officeDocument/2006/relationships/image" Target="../media/image282.jpeg"/><Relationship Id="rId421" Type="http://schemas.openxmlformats.org/officeDocument/2006/relationships/image" Target="../media/image489.jpeg"/><Relationship Id="rId1051" Type="http://schemas.openxmlformats.org/officeDocument/2006/relationships/image" Target="../media/image1119.jpeg"/><Relationship Id="rId2102" Type="http://schemas.openxmlformats.org/officeDocument/2006/relationships/image" Target="../media/image2170.jpeg"/><Relationship Id="rId1868" Type="http://schemas.openxmlformats.org/officeDocument/2006/relationships/image" Target="../media/image1936.jpeg"/><Relationship Id="rId2919" Type="http://schemas.openxmlformats.org/officeDocument/2006/relationships/image" Target="../media/image2987.jpeg"/><Relationship Id="rId3083" Type="http://schemas.openxmlformats.org/officeDocument/2006/relationships/image" Target="../media/image3151.jpeg"/><Relationship Id="rId1728" Type="http://schemas.openxmlformats.org/officeDocument/2006/relationships/image" Target="../media/image1796.jpeg"/><Relationship Id="rId1935" Type="http://schemas.openxmlformats.org/officeDocument/2006/relationships/image" Target="../media/image2003.jpeg"/><Relationship Id="rId3150" Type="http://schemas.openxmlformats.org/officeDocument/2006/relationships/image" Target="../media/image3218.jpeg"/><Relationship Id="rId3010" Type="http://schemas.openxmlformats.org/officeDocument/2006/relationships/image" Target="../media/image3078.jpeg"/><Relationship Id="rId4" Type="http://schemas.openxmlformats.org/officeDocument/2006/relationships/image" Target="../media/image72.jpeg"/><Relationship Id="rId888" Type="http://schemas.openxmlformats.org/officeDocument/2006/relationships/image" Target="../media/image956.jpeg"/><Relationship Id="rId2569" Type="http://schemas.openxmlformats.org/officeDocument/2006/relationships/image" Target="../media/image2637.jpeg"/><Relationship Id="rId2776" Type="http://schemas.openxmlformats.org/officeDocument/2006/relationships/image" Target="../media/image2844.jpeg"/><Relationship Id="rId2983" Type="http://schemas.openxmlformats.org/officeDocument/2006/relationships/image" Target="../media/image3051.jpeg"/><Relationship Id="rId748" Type="http://schemas.openxmlformats.org/officeDocument/2006/relationships/image" Target="../media/image816.jpeg"/><Relationship Id="rId955" Type="http://schemas.openxmlformats.org/officeDocument/2006/relationships/image" Target="../media/image1023.jpeg"/><Relationship Id="rId1378" Type="http://schemas.openxmlformats.org/officeDocument/2006/relationships/image" Target="../media/image1446.jpeg"/><Relationship Id="rId1585" Type="http://schemas.openxmlformats.org/officeDocument/2006/relationships/image" Target="../media/image1653.jpeg"/><Relationship Id="rId1792" Type="http://schemas.openxmlformats.org/officeDocument/2006/relationships/image" Target="../media/image1860.jpeg"/><Relationship Id="rId2429" Type="http://schemas.openxmlformats.org/officeDocument/2006/relationships/image" Target="../media/image2497.jpeg"/><Relationship Id="rId2636" Type="http://schemas.openxmlformats.org/officeDocument/2006/relationships/image" Target="../media/image2704.jpeg"/><Relationship Id="rId2843" Type="http://schemas.openxmlformats.org/officeDocument/2006/relationships/image" Target="../media/image2911.jpeg"/><Relationship Id="rId84" Type="http://schemas.openxmlformats.org/officeDocument/2006/relationships/image" Target="../media/image152.jpeg"/><Relationship Id="rId608" Type="http://schemas.openxmlformats.org/officeDocument/2006/relationships/image" Target="../media/image676.jpeg"/><Relationship Id="rId815" Type="http://schemas.openxmlformats.org/officeDocument/2006/relationships/image" Target="../media/image883.jpeg"/><Relationship Id="rId1238" Type="http://schemas.openxmlformats.org/officeDocument/2006/relationships/image" Target="../media/image1306.jpeg"/><Relationship Id="rId1445" Type="http://schemas.openxmlformats.org/officeDocument/2006/relationships/image" Target="../media/image1513.jpeg"/><Relationship Id="rId1652" Type="http://schemas.openxmlformats.org/officeDocument/2006/relationships/image" Target="../media/image1720.jpeg"/><Relationship Id="rId1305" Type="http://schemas.openxmlformats.org/officeDocument/2006/relationships/image" Target="../media/image1373.jpeg"/><Relationship Id="rId2703" Type="http://schemas.openxmlformats.org/officeDocument/2006/relationships/image" Target="../media/image2771.jpeg"/><Relationship Id="rId2910" Type="http://schemas.openxmlformats.org/officeDocument/2006/relationships/image" Target="../media/image2978.jpeg"/><Relationship Id="rId1512" Type="http://schemas.openxmlformats.org/officeDocument/2006/relationships/image" Target="../media/image1580.jpeg"/><Relationship Id="rId11" Type="http://schemas.openxmlformats.org/officeDocument/2006/relationships/image" Target="../media/image79.jpeg"/><Relationship Id="rId398" Type="http://schemas.openxmlformats.org/officeDocument/2006/relationships/image" Target="../media/image466.jpeg"/><Relationship Id="rId2079" Type="http://schemas.openxmlformats.org/officeDocument/2006/relationships/image" Target="../media/image2147.jpeg"/><Relationship Id="rId2286" Type="http://schemas.openxmlformats.org/officeDocument/2006/relationships/image" Target="../media/image2354.jpeg"/><Relationship Id="rId2493" Type="http://schemas.openxmlformats.org/officeDocument/2006/relationships/image" Target="../media/image2561.jpeg"/><Relationship Id="rId258" Type="http://schemas.openxmlformats.org/officeDocument/2006/relationships/image" Target="../media/image326.jpeg"/><Relationship Id="rId465" Type="http://schemas.openxmlformats.org/officeDocument/2006/relationships/image" Target="../media/image533.jpeg"/><Relationship Id="rId672" Type="http://schemas.openxmlformats.org/officeDocument/2006/relationships/image" Target="../media/image740.jpeg"/><Relationship Id="rId1095" Type="http://schemas.openxmlformats.org/officeDocument/2006/relationships/image" Target="../media/image1163.jpeg"/><Relationship Id="rId2146" Type="http://schemas.openxmlformats.org/officeDocument/2006/relationships/image" Target="../media/image2214.jpeg"/><Relationship Id="rId2353" Type="http://schemas.openxmlformats.org/officeDocument/2006/relationships/image" Target="../media/image2421.jpeg"/><Relationship Id="rId2560" Type="http://schemas.openxmlformats.org/officeDocument/2006/relationships/image" Target="../media/image2628.jpeg"/><Relationship Id="rId118" Type="http://schemas.openxmlformats.org/officeDocument/2006/relationships/image" Target="../media/image186.jpeg"/><Relationship Id="rId325" Type="http://schemas.openxmlformats.org/officeDocument/2006/relationships/image" Target="../media/image393.jpeg"/><Relationship Id="rId532" Type="http://schemas.openxmlformats.org/officeDocument/2006/relationships/image" Target="../media/image600.jpeg"/><Relationship Id="rId1162" Type="http://schemas.openxmlformats.org/officeDocument/2006/relationships/image" Target="../media/image1230.jpeg"/><Relationship Id="rId2006" Type="http://schemas.openxmlformats.org/officeDocument/2006/relationships/image" Target="../media/image2074.jpeg"/><Relationship Id="rId2213" Type="http://schemas.openxmlformats.org/officeDocument/2006/relationships/image" Target="../media/image2281.jpeg"/><Relationship Id="rId2420" Type="http://schemas.openxmlformats.org/officeDocument/2006/relationships/image" Target="../media/image2488.jpeg"/><Relationship Id="rId1022" Type="http://schemas.openxmlformats.org/officeDocument/2006/relationships/image" Target="../media/image1090.jpeg"/><Relationship Id="rId1979" Type="http://schemas.openxmlformats.org/officeDocument/2006/relationships/image" Target="../media/image2047.jpeg"/><Relationship Id="rId1839" Type="http://schemas.openxmlformats.org/officeDocument/2006/relationships/image" Target="../media/image1907.jpeg"/><Relationship Id="rId3054" Type="http://schemas.openxmlformats.org/officeDocument/2006/relationships/image" Target="../media/image3122.jpeg"/><Relationship Id="rId182" Type="http://schemas.openxmlformats.org/officeDocument/2006/relationships/image" Target="../media/image250.jpeg"/><Relationship Id="rId1906" Type="http://schemas.openxmlformats.org/officeDocument/2006/relationships/image" Target="../media/image1974.jpeg"/><Relationship Id="rId2070" Type="http://schemas.openxmlformats.org/officeDocument/2006/relationships/image" Target="../media/image2138.jpeg"/><Relationship Id="rId3121" Type="http://schemas.openxmlformats.org/officeDocument/2006/relationships/image" Target="../media/image3189.jpeg"/><Relationship Id="rId999" Type="http://schemas.openxmlformats.org/officeDocument/2006/relationships/image" Target="../media/image1067.jpeg"/><Relationship Id="rId2887" Type="http://schemas.openxmlformats.org/officeDocument/2006/relationships/image" Target="../media/image2955.jpeg"/><Relationship Id="rId859" Type="http://schemas.openxmlformats.org/officeDocument/2006/relationships/image" Target="../media/image927.jpeg"/><Relationship Id="rId1489" Type="http://schemas.openxmlformats.org/officeDocument/2006/relationships/image" Target="../media/image1557.jpeg"/><Relationship Id="rId1696" Type="http://schemas.openxmlformats.org/officeDocument/2006/relationships/image" Target="../media/image1764.jpeg"/><Relationship Id="rId1349" Type="http://schemas.openxmlformats.org/officeDocument/2006/relationships/image" Target="../media/image1417.jpeg"/><Relationship Id="rId2747" Type="http://schemas.openxmlformats.org/officeDocument/2006/relationships/image" Target="../media/image2815.jpeg"/><Relationship Id="rId2954" Type="http://schemas.openxmlformats.org/officeDocument/2006/relationships/image" Target="../media/image3022.jpeg"/><Relationship Id="rId719" Type="http://schemas.openxmlformats.org/officeDocument/2006/relationships/image" Target="../media/image787.jpeg"/><Relationship Id="rId926" Type="http://schemas.openxmlformats.org/officeDocument/2006/relationships/image" Target="../media/image994.jpeg"/><Relationship Id="rId1556" Type="http://schemas.openxmlformats.org/officeDocument/2006/relationships/image" Target="../media/image1624.jpeg"/><Relationship Id="rId1763" Type="http://schemas.openxmlformats.org/officeDocument/2006/relationships/image" Target="../media/image1831.jpeg"/><Relationship Id="rId1970" Type="http://schemas.openxmlformats.org/officeDocument/2006/relationships/image" Target="../media/image2038.jpeg"/><Relationship Id="rId2607" Type="http://schemas.openxmlformats.org/officeDocument/2006/relationships/image" Target="../media/image2675.jpeg"/><Relationship Id="rId2814" Type="http://schemas.openxmlformats.org/officeDocument/2006/relationships/image" Target="../media/image2882.jpeg"/><Relationship Id="rId55" Type="http://schemas.openxmlformats.org/officeDocument/2006/relationships/image" Target="../media/image123.jpeg"/><Relationship Id="rId1209" Type="http://schemas.openxmlformats.org/officeDocument/2006/relationships/image" Target="../media/image1277.jpeg"/><Relationship Id="rId1416" Type="http://schemas.openxmlformats.org/officeDocument/2006/relationships/image" Target="../media/image1484.jpeg"/><Relationship Id="rId1623" Type="http://schemas.openxmlformats.org/officeDocument/2006/relationships/image" Target="../media/image1691.jpeg"/><Relationship Id="rId1830" Type="http://schemas.openxmlformats.org/officeDocument/2006/relationships/image" Target="../media/image1898.jpeg"/><Relationship Id="rId2397" Type="http://schemas.openxmlformats.org/officeDocument/2006/relationships/image" Target="../media/image2465.jpeg"/><Relationship Id="rId369" Type="http://schemas.openxmlformats.org/officeDocument/2006/relationships/image" Target="../media/image437.jpeg"/><Relationship Id="rId576" Type="http://schemas.openxmlformats.org/officeDocument/2006/relationships/image" Target="../media/image644.jpeg"/><Relationship Id="rId783" Type="http://schemas.openxmlformats.org/officeDocument/2006/relationships/image" Target="../media/image851.jpeg"/><Relationship Id="rId990" Type="http://schemas.openxmlformats.org/officeDocument/2006/relationships/image" Target="../media/image1058.jpeg"/><Relationship Id="rId2257" Type="http://schemas.openxmlformats.org/officeDocument/2006/relationships/image" Target="../media/image2325.jpeg"/><Relationship Id="rId2464" Type="http://schemas.openxmlformats.org/officeDocument/2006/relationships/image" Target="../media/image2532.jpeg"/><Relationship Id="rId2671" Type="http://schemas.openxmlformats.org/officeDocument/2006/relationships/image" Target="../media/image2739.jpeg"/><Relationship Id="rId229" Type="http://schemas.openxmlformats.org/officeDocument/2006/relationships/image" Target="../media/image297.jpeg"/><Relationship Id="rId436" Type="http://schemas.openxmlformats.org/officeDocument/2006/relationships/image" Target="../media/image504.jpeg"/><Relationship Id="rId643" Type="http://schemas.openxmlformats.org/officeDocument/2006/relationships/image" Target="../media/image711.jpeg"/><Relationship Id="rId1066" Type="http://schemas.openxmlformats.org/officeDocument/2006/relationships/image" Target="../media/image1134.jpeg"/><Relationship Id="rId1273" Type="http://schemas.openxmlformats.org/officeDocument/2006/relationships/image" Target="../media/image1341.jpeg"/><Relationship Id="rId1480" Type="http://schemas.openxmlformats.org/officeDocument/2006/relationships/image" Target="../media/image1548.jpeg"/><Relationship Id="rId2117" Type="http://schemas.openxmlformats.org/officeDocument/2006/relationships/image" Target="../media/image2185.jpeg"/><Relationship Id="rId2324" Type="http://schemas.openxmlformats.org/officeDocument/2006/relationships/image" Target="../media/image2392.jpeg"/><Relationship Id="rId850" Type="http://schemas.openxmlformats.org/officeDocument/2006/relationships/image" Target="../media/image918.jpeg"/><Relationship Id="rId1133" Type="http://schemas.openxmlformats.org/officeDocument/2006/relationships/image" Target="../media/image1201.jpeg"/><Relationship Id="rId2531" Type="http://schemas.openxmlformats.org/officeDocument/2006/relationships/image" Target="../media/image2599.jpeg"/><Relationship Id="rId503" Type="http://schemas.openxmlformats.org/officeDocument/2006/relationships/image" Target="../media/image571.jpeg"/><Relationship Id="rId710" Type="http://schemas.openxmlformats.org/officeDocument/2006/relationships/image" Target="../media/image778.jpeg"/><Relationship Id="rId1340" Type="http://schemas.openxmlformats.org/officeDocument/2006/relationships/image" Target="../media/image1408.jpeg"/><Relationship Id="rId3098" Type="http://schemas.openxmlformats.org/officeDocument/2006/relationships/image" Target="../media/image3166.jpeg"/><Relationship Id="rId1200" Type="http://schemas.openxmlformats.org/officeDocument/2006/relationships/image" Target="../media/image1268.jpeg"/><Relationship Id="rId293" Type="http://schemas.openxmlformats.org/officeDocument/2006/relationships/image" Target="../media/image361.jpeg"/><Relationship Id="rId2181" Type="http://schemas.openxmlformats.org/officeDocument/2006/relationships/image" Target="../media/image2249.jpeg"/><Relationship Id="rId3025" Type="http://schemas.openxmlformats.org/officeDocument/2006/relationships/image" Target="../media/image3093.jpeg"/><Relationship Id="rId153" Type="http://schemas.openxmlformats.org/officeDocument/2006/relationships/image" Target="../media/image221.jpeg"/><Relationship Id="rId360" Type="http://schemas.openxmlformats.org/officeDocument/2006/relationships/image" Target="../media/image428.jpeg"/><Relationship Id="rId2041" Type="http://schemas.openxmlformats.org/officeDocument/2006/relationships/image" Target="../media/image2109.jpeg"/><Relationship Id="rId220" Type="http://schemas.openxmlformats.org/officeDocument/2006/relationships/image" Target="../media/image288.jpeg"/><Relationship Id="rId2998" Type="http://schemas.openxmlformats.org/officeDocument/2006/relationships/image" Target="../media/image3066.jpeg"/><Relationship Id="rId2858" Type="http://schemas.openxmlformats.org/officeDocument/2006/relationships/image" Target="../media/image2926.jpeg"/><Relationship Id="rId99" Type="http://schemas.openxmlformats.org/officeDocument/2006/relationships/image" Target="../media/image167.jpeg"/><Relationship Id="rId1667" Type="http://schemas.openxmlformats.org/officeDocument/2006/relationships/image" Target="../media/image1735.jpeg"/><Relationship Id="rId1874" Type="http://schemas.openxmlformats.org/officeDocument/2006/relationships/image" Target="../media/image1942.jpeg"/><Relationship Id="rId2718" Type="http://schemas.openxmlformats.org/officeDocument/2006/relationships/image" Target="../media/image2786.jpeg"/><Relationship Id="rId2925" Type="http://schemas.openxmlformats.org/officeDocument/2006/relationships/image" Target="../media/image2993.jpeg"/><Relationship Id="rId1527" Type="http://schemas.openxmlformats.org/officeDocument/2006/relationships/image" Target="../media/image1595.jpeg"/><Relationship Id="rId1734" Type="http://schemas.openxmlformats.org/officeDocument/2006/relationships/image" Target="../media/image1802.jpeg"/><Relationship Id="rId1941" Type="http://schemas.openxmlformats.org/officeDocument/2006/relationships/image" Target="../media/image2009.jpeg"/><Relationship Id="rId26" Type="http://schemas.openxmlformats.org/officeDocument/2006/relationships/image" Target="../media/image94.jpeg"/><Relationship Id="rId1801" Type="http://schemas.openxmlformats.org/officeDocument/2006/relationships/image" Target="../media/image1869.jpeg"/><Relationship Id="rId687" Type="http://schemas.openxmlformats.org/officeDocument/2006/relationships/image" Target="../media/image755.jpeg"/><Relationship Id="rId2368" Type="http://schemas.openxmlformats.org/officeDocument/2006/relationships/image" Target="../media/image2436.jpeg"/><Relationship Id="rId894" Type="http://schemas.openxmlformats.org/officeDocument/2006/relationships/image" Target="../media/image962.jpeg"/><Relationship Id="rId1177" Type="http://schemas.openxmlformats.org/officeDocument/2006/relationships/image" Target="../media/image1245.jpeg"/><Relationship Id="rId2575" Type="http://schemas.openxmlformats.org/officeDocument/2006/relationships/image" Target="../media/image2643.jpeg"/><Relationship Id="rId2782" Type="http://schemas.openxmlformats.org/officeDocument/2006/relationships/image" Target="../media/image2850.jpeg"/><Relationship Id="rId547" Type="http://schemas.openxmlformats.org/officeDocument/2006/relationships/image" Target="../media/image615.jpeg"/><Relationship Id="rId754" Type="http://schemas.openxmlformats.org/officeDocument/2006/relationships/image" Target="../media/image822.jpeg"/><Relationship Id="rId961" Type="http://schemas.openxmlformats.org/officeDocument/2006/relationships/image" Target="../media/image1029.jpeg"/><Relationship Id="rId1384" Type="http://schemas.openxmlformats.org/officeDocument/2006/relationships/image" Target="../media/image1452.jpeg"/><Relationship Id="rId1591" Type="http://schemas.openxmlformats.org/officeDocument/2006/relationships/image" Target="../media/image1659.jpeg"/><Relationship Id="rId2228" Type="http://schemas.openxmlformats.org/officeDocument/2006/relationships/image" Target="../media/image2296.jpeg"/><Relationship Id="rId2435" Type="http://schemas.openxmlformats.org/officeDocument/2006/relationships/image" Target="../media/image2503.jpeg"/><Relationship Id="rId2642" Type="http://schemas.openxmlformats.org/officeDocument/2006/relationships/image" Target="../media/image2710.jpeg"/><Relationship Id="rId90" Type="http://schemas.openxmlformats.org/officeDocument/2006/relationships/image" Target="../media/image158.jpeg"/><Relationship Id="rId407" Type="http://schemas.openxmlformats.org/officeDocument/2006/relationships/image" Target="../media/image475.jpeg"/><Relationship Id="rId614" Type="http://schemas.openxmlformats.org/officeDocument/2006/relationships/image" Target="../media/image682.jpeg"/><Relationship Id="rId821" Type="http://schemas.openxmlformats.org/officeDocument/2006/relationships/image" Target="../media/image889.jpeg"/><Relationship Id="rId1037" Type="http://schemas.openxmlformats.org/officeDocument/2006/relationships/image" Target="../media/image1105.jpeg"/><Relationship Id="rId1244" Type="http://schemas.openxmlformats.org/officeDocument/2006/relationships/image" Target="../media/image1312.jpeg"/><Relationship Id="rId1451" Type="http://schemas.openxmlformats.org/officeDocument/2006/relationships/image" Target="../media/image1519.jpeg"/><Relationship Id="rId2502" Type="http://schemas.openxmlformats.org/officeDocument/2006/relationships/image" Target="../media/image2570.jpeg"/><Relationship Id="rId1104" Type="http://schemas.openxmlformats.org/officeDocument/2006/relationships/image" Target="../media/image1172.jpeg"/><Relationship Id="rId1311" Type="http://schemas.openxmlformats.org/officeDocument/2006/relationships/image" Target="../media/image1379.jpeg"/><Relationship Id="rId3069" Type="http://schemas.openxmlformats.org/officeDocument/2006/relationships/image" Target="../media/image3137.jpeg"/><Relationship Id="rId197" Type="http://schemas.openxmlformats.org/officeDocument/2006/relationships/image" Target="../media/image265.jpeg"/><Relationship Id="rId2085" Type="http://schemas.openxmlformats.org/officeDocument/2006/relationships/image" Target="../media/image2153.jpeg"/><Relationship Id="rId2292" Type="http://schemas.openxmlformats.org/officeDocument/2006/relationships/image" Target="../media/image2360.jpeg"/><Relationship Id="rId3136" Type="http://schemas.openxmlformats.org/officeDocument/2006/relationships/image" Target="../media/image3204.jpeg"/><Relationship Id="rId264" Type="http://schemas.openxmlformats.org/officeDocument/2006/relationships/image" Target="../media/image332.jpeg"/><Relationship Id="rId471" Type="http://schemas.openxmlformats.org/officeDocument/2006/relationships/image" Target="../media/image539.jpeg"/><Relationship Id="rId2152" Type="http://schemas.openxmlformats.org/officeDocument/2006/relationships/image" Target="../media/image2220.jpeg"/><Relationship Id="rId124" Type="http://schemas.openxmlformats.org/officeDocument/2006/relationships/image" Target="../media/image192.jpeg"/><Relationship Id="rId331" Type="http://schemas.openxmlformats.org/officeDocument/2006/relationships/image" Target="../media/image399.jpeg"/><Relationship Id="rId2012" Type="http://schemas.openxmlformats.org/officeDocument/2006/relationships/image" Target="../media/image2080.jpeg"/><Relationship Id="rId2969" Type="http://schemas.openxmlformats.org/officeDocument/2006/relationships/image" Target="../media/image3037.jpeg"/><Relationship Id="rId1778" Type="http://schemas.openxmlformats.org/officeDocument/2006/relationships/image" Target="../media/image1846.jpeg"/><Relationship Id="rId1985" Type="http://schemas.openxmlformats.org/officeDocument/2006/relationships/image" Target="../media/image2053.jpeg"/><Relationship Id="rId2829" Type="http://schemas.openxmlformats.org/officeDocument/2006/relationships/image" Target="../media/image2897.jpeg"/><Relationship Id="rId1638" Type="http://schemas.openxmlformats.org/officeDocument/2006/relationships/image" Target="../media/image1706.jpeg"/><Relationship Id="rId1845" Type="http://schemas.openxmlformats.org/officeDocument/2006/relationships/image" Target="../media/image1913.jpeg"/><Relationship Id="rId3060" Type="http://schemas.openxmlformats.org/officeDocument/2006/relationships/image" Target="../media/image3128.jpeg"/><Relationship Id="rId1705" Type="http://schemas.openxmlformats.org/officeDocument/2006/relationships/image" Target="../media/image1773.jpeg"/><Relationship Id="rId1912" Type="http://schemas.openxmlformats.org/officeDocument/2006/relationships/image" Target="../media/image1980.jpeg"/><Relationship Id="rId798" Type="http://schemas.openxmlformats.org/officeDocument/2006/relationships/image" Target="../media/image866.jpeg"/><Relationship Id="rId2479" Type="http://schemas.openxmlformats.org/officeDocument/2006/relationships/image" Target="../media/image2547.jpeg"/><Relationship Id="rId2686" Type="http://schemas.openxmlformats.org/officeDocument/2006/relationships/image" Target="../media/image2754.jpeg"/><Relationship Id="rId2893" Type="http://schemas.openxmlformats.org/officeDocument/2006/relationships/image" Target="../media/image2961.jpeg"/><Relationship Id="rId658" Type="http://schemas.openxmlformats.org/officeDocument/2006/relationships/image" Target="../media/image726.jpeg"/><Relationship Id="rId865" Type="http://schemas.openxmlformats.org/officeDocument/2006/relationships/image" Target="../media/image933.jpeg"/><Relationship Id="rId1288" Type="http://schemas.openxmlformats.org/officeDocument/2006/relationships/image" Target="../media/image1356.jpeg"/><Relationship Id="rId1495" Type="http://schemas.openxmlformats.org/officeDocument/2006/relationships/image" Target="../media/image1563.jpeg"/><Relationship Id="rId2339" Type="http://schemas.openxmlformats.org/officeDocument/2006/relationships/image" Target="../media/image2407.jpeg"/><Relationship Id="rId2546" Type="http://schemas.openxmlformats.org/officeDocument/2006/relationships/image" Target="../media/image2614.jpeg"/><Relationship Id="rId2753" Type="http://schemas.openxmlformats.org/officeDocument/2006/relationships/image" Target="../media/image2821.jpeg"/><Relationship Id="rId2960" Type="http://schemas.openxmlformats.org/officeDocument/2006/relationships/image" Target="../media/image3028.jpeg"/><Relationship Id="rId518" Type="http://schemas.openxmlformats.org/officeDocument/2006/relationships/image" Target="../media/image586.jpeg"/><Relationship Id="rId725" Type="http://schemas.openxmlformats.org/officeDocument/2006/relationships/image" Target="../media/image793.jpeg"/><Relationship Id="rId932" Type="http://schemas.openxmlformats.org/officeDocument/2006/relationships/image" Target="../media/image1000.jpeg"/><Relationship Id="rId1148" Type="http://schemas.openxmlformats.org/officeDocument/2006/relationships/image" Target="../media/image1216.jpeg"/><Relationship Id="rId1355" Type="http://schemas.openxmlformats.org/officeDocument/2006/relationships/image" Target="../media/image1423.jpeg"/><Relationship Id="rId1562" Type="http://schemas.openxmlformats.org/officeDocument/2006/relationships/image" Target="../media/image1630.jpeg"/><Relationship Id="rId2406" Type="http://schemas.openxmlformats.org/officeDocument/2006/relationships/image" Target="../media/image2474.jpeg"/><Relationship Id="rId2613" Type="http://schemas.openxmlformats.org/officeDocument/2006/relationships/image" Target="../media/image2681.jpeg"/><Relationship Id="rId1008" Type="http://schemas.openxmlformats.org/officeDocument/2006/relationships/image" Target="../media/image1076.jpeg"/><Relationship Id="rId1215" Type="http://schemas.openxmlformats.org/officeDocument/2006/relationships/image" Target="../media/image1283.jpeg"/><Relationship Id="rId1422" Type="http://schemas.openxmlformats.org/officeDocument/2006/relationships/image" Target="../media/image1490.jpeg"/><Relationship Id="rId2820" Type="http://schemas.openxmlformats.org/officeDocument/2006/relationships/image" Target="../media/image2888.jpeg"/><Relationship Id="rId61" Type="http://schemas.openxmlformats.org/officeDocument/2006/relationships/image" Target="../media/image129.jpeg"/><Relationship Id="rId2196" Type="http://schemas.openxmlformats.org/officeDocument/2006/relationships/image" Target="../media/image2264.jpeg"/><Relationship Id="rId168" Type="http://schemas.openxmlformats.org/officeDocument/2006/relationships/image" Target="../media/image236.jpeg"/><Relationship Id="rId375" Type="http://schemas.openxmlformats.org/officeDocument/2006/relationships/image" Target="../media/image443.jpeg"/><Relationship Id="rId582" Type="http://schemas.openxmlformats.org/officeDocument/2006/relationships/image" Target="../media/image650.jpeg"/><Relationship Id="rId2056" Type="http://schemas.openxmlformats.org/officeDocument/2006/relationships/image" Target="../media/image2124.jpeg"/><Relationship Id="rId2263" Type="http://schemas.openxmlformats.org/officeDocument/2006/relationships/image" Target="../media/image2331.jpeg"/><Relationship Id="rId2470" Type="http://schemas.openxmlformats.org/officeDocument/2006/relationships/image" Target="../media/image2538.jpeg"/><Relationship Id="rId3107" Type="http://schemas.openxmlformats.org/officeDocument/2006/relationships/image" Target="../media/image3175.jpeg"/><Relationship Id="rId235" Type="http://schemas.openxmlformats.org/officeDocument/2006/relationships/image" Target="../media/image303.jpeg"/><Relationship Id="rId442" Type="http://schemas.openxmlformats.org/officeDocument/2006/relationships/image" Target="../media/image510.jpeg"/><Relationship Id="rId1072" Type="http://schemas.openxmlformats.org/officeDocument/2006/relationships/image" Target="../media/image1140.jpeg"/><Relationship Id="rId2123" Type="http://schemas.openxmlformats.org/officeDocument/2006/relationships/image" Target="../media/image2191.jpeg"/><Relationship Id="rId2330" Type="http://schemas.openxmlformats.org/officeDocument/2006/relationships/image" Target="../media/image2398.jpeg"/><Relationship Id="rId302" Type="http://schemas.openxmlformats.org/officeDocument/2006/relationships/image" Target="../media/image370.jpeg"/><Relationship Id="rId1889" Type="http://schemas.openxmlformats.org/officeDocument/2006/relationships/image" Target="../media/image1957.jpeg"/><Relationship Id="rId1749" Type="http://schemas.openxmlformats.org/officeDocument/2006/relationships/image" Target="../media/image1817.jpeg"/><Relationship Id="rId1956" Type="http://schemas.openxmlformats.org/officeDocument/2006/relationships/image" Target="../media/image2024.jpeg"/><Relationship Id="rId1609" Type="http://schemas.openxmlformats.org/officeDocument/2006/relationships/image" Target="../media/image1677.jpeg"/><Relationship Id="rId1816" Type="http://schemas.openxmlformats.org/officeDocument/2006/relationships/image" Target="../media/image1884.jpeg"/><Relationship Id="rId3031" Type="http://schemas.openxmlformats.org/officeDocument/2006/relationships/image" Target="../media/image3099.jpeg"/><Relationship Id="rId2797" Type="http://schemas.openxmlformats.org/officeDocument/2006/relationships/image" Target="../media/image2865.jpeg"/><Relationship Id="rId769" Type="http://schemas.openxmlformats.org/officeDocument/2006/relationships/image" Target="../media/image837.jpeg"/><Relationship Id="rId976" Type="http://schemas.openxmlformats.org/officeDocument/2006/relationships/image" Target="../media/image1044.jpeg"/><Relationship Id="rId1399" Type="http://schemas.openxmlformats.org/officeDocument/2006/relationships/image" Target="../media/image1467.jpeg"/><Relationship Id="rId2657" Type="http://schemas.openxmlformats.org/officeDocument/2006/relationships/image" Target="../media/image2725.jpeg"/><Relationship Id="rId629" Type="http://schemas.openxmlformats.org/officeDocument/2006/relationships/image" Target="../media/image697.jpeg"/><Relationship Id="rId1259" Type="http://schemas.openxmlformats.org/officeDocument/2006/relationships/image" Target="../media/image1327.jpeg"/><Relationship Id="rId1466" Type="http://schemas.openxmlformats.org/officeDocument/2006/relationships/image" Target="../media/image1534.jpeg"/><Relationship Id="rId2864" Type="http://schemas.openxmlformats.org/officeDocument/2006/relationships/image" Target="../media/image2932.jpeg"/><Relationship Id="rId836" Type="http://schemas.openxmlformats.org/officeDocument/2006/relationships/image" Target="../media/image904.jpeg"/><Relationship Id="rId1119" Type="http://schemas.openxmlformats.org/officeDocument/2006/relationships/image" Target="../media/image1187.jpeg"/><Relationship Id="rId1673" Type="http://schemas.openxmlformats.org/officeDocument/2006/relationships/image" Target="../media/image1741.jpeg"/><Relationship Id="rId1880" Type="http://schemas.openxmlformats.org/officeDocument/2006/relationships/image" Target="../media/image1948.jpeg"/><Relationship Id="rId2517" Type="http://schemas.openxmlformats.org/officeDocument/2006/relationships/image" Target="../media/image2585.jpeg"/><Relationship Id="rId2724" Type="http://schemas.openxmlformats.org/officeDocument/2006/relationships/image" Target="../media/image2792.jpeg"/><Relationship Id="rId2931" Type="http://schemas.openxmlformats.org/officeDocument/2006/relationships/image" Target="../media/image2999.jpeg"/><Relationship Id="rId903" Type="http://schemas.openxmlformats.org/officeDocument/2006/relationships/image" Target="../media/image971.jpeg"/><Relationship Id="rId1326" Type="http://schemas.openxmlformats.org/officeDocument/2006/relationships/image" Target="../media/image1394.jpeg"/><Relationship Id="rId1533" Type="http://schemas.openxmlformats.org/officeDocument/2006/relationships/image" Target="../media/image1601.jpeg"/><Relationship Id="rId1740" Type="http://schemas.openxmlformats.org/officeDocument/2006/relationships/image" Target="../media/image1808.jpeg"/><Relationship Id="rId32" Type="http://schemas.openxmlformats.org/officeDocument/2006/relationships/image" Target="../media/image100.jpeg"/><Relationship Id="rId1600" Type="http://schemas.openxmlformats.org/officeDocument/2006/relationships/image" Target="../media/image1668.jpeg"/><Relationship Id="rId279" Type="http://schemas.openxmlformats.org/officeDocument/2006/relationships/image" Target="../media/image347.jpeg"/><Relationship Id="rId486" Type="http://schemas.openxmlformats.org/officeDocument/2006/relationships/image" Target="../media/image554.jpeg"/><Relationship Id="rId693" Type="http://schemas.openxmlformats.org/officeDocument/2006/relationships/image" Target="../media/image761.jpeg"/><Relationship Id="rId2167" Type="http://schemas.openxmlformats.org/officeDocument/2006/relationships/image" Target="../media/image2235.jpeg"/><Relationship Id="rId2374" Type="http://schemas.openxmlformats.org/officeDocument/2006/relationships/image" Target="../media/image2442.jpeg"/><Relationship Id="rId2581" Type="http://schemas.openxmlformats.org/officeDocument/2006/relationships/image" Target="../media/image2649.jpeg"/><Relationship Id="rId139" Type="http://schemas.openxmlformats.org/officeDocument/2006/relationships/image" Target="../media/image207.jpeg"/><Relationship Id="rId346" Type="http://schemas.openxmlformats.org/officeDocument/2006/relationships/image" Target="../media/image414.jpeg"/><Relationship Id="rId553" Type="http://schemas.openxmlformats.org/officeDocument/2006/relationships/image" Target="../media/image621.jpeg"/><Relationship Id="rId760" Type="http://schemas.openxmlformats.org/officeDocument/2006/relationships/image" Target="../media/image828.jpeg"/><Relationship Id="rId1183" Type="http://schemas.openxmlformats.org/officeDocument/2006/relationships/image" Target="../media/image1251.jpeg"/><Relationship Id="rId1390" Type="http://schemas.openxmlformats.org/officeDocument/2006/relationships/image" Target="../media/image1458.jpeg"/><Relationship Id="rId2027" Type="http://schemas.openxmlformats.org/officeDocument/2006/relationships/image" Target="../media/image2095.jpeg"/><Relationship Id="rId2234" Type="http://schemas.openxmlformats.org/officeDocument/2006/relationships/image" Target="../media/image2302.jpeg"/><Relationship Id="rId2441" Type="http://schemas.openxmlformats.org/officeDocument/2006/relationships/image" Target="../media/image2509.jpeg"/><Relationship Id="rId206" Type="http://schemas.openxmlformats.org/officeDocument/2006/relationships/image" Target="../media/image274.jpeg"/><Relationship Id="rId413" Type="http://schemas.openxmlformats.org/officeDocument/2006/relationships/image" Target="../media/image481.jpeg"/><Relationship Id="rId1043" Type="http://schemas.openxmlformats.org/officeDocument/2006/relationships/image" Target="../media/image1111.jpeg"/><Relationship Id="rId620" Type="http://schemas.openxmlformats.org/officeDocument/2006/relationships/image" Target="../media/image688.jpeg"/><Relationship Id="rId1250" Type="http://schemas.openxmlformats.org/officeDocument/2006/relationships/image" Target="../media/image1318.jpeg"/><Relationship Id="rId2301" Type="http://schemas.openxmlformats.org/officeDocument/2006/relationships/image" Target="../media/image2369.jpeg"/><Relationship Id="rId1110" Type="http://schemas.openxmlformats.org/officeDocument/2006/relationships/image" Target="../media/image1178.jpeg"/><Relationship Id="rId1927" Type="http://schemas.openxmlformats.org/officeDocument/2006/relationships/image" Target="../media/image1995.jpeg"/><Relationship Id="rId3075" Type="http://schemas.openxmlformats.org/officeDocument/2006/relationships/image" Target="../media/image3143.jpeg"/><Relationship Id="rId2091" Type="http://schemas.openxmlformats.org/officeDocument/2006/relationships/image" Target="../media/image2159.jpeg"/><Relationship Id="rId3142" Type="http://schemas.openxmlformats.org/officeDocument/2006/relationships/image" Target="../media/image3210.jpeg"/><Relationship Id="rId270" Type="http://schemas.openxmlformats.org/officeDocument/2006/relationships/image" Target="../media/image338.jpeg"/><Relationship Id="rId3002" Type="http://schemas.openxmlformats.org/officeDocument/2006/relationships/image" Target="../media/image3070.jpeg"/><Relationship Id="rId130" Type="http://schemas.openxmlformats.org/officeDocument/2006/relationships/image" Target="../media/image198.jpeg"/><Relationship Id="rId2768" Type="http://schemas.openxmlformats.org/officeDocument/2006/relationships/image" Target="../media/image2836.jpeg"/><Relationship Id="rId2975" Type="http://schemas.openxmlformats.org/officeDocument/2006/relationships/image" Target="../media/image3043.jpeg"/><Relationship Id="rId947" Type="http://schemas.openxmlformats.org/officeDocument/2006/relationships/image" Target="../media/image1015.jpeg"/><Relationship Id="rId1577" Type="http://schemas.openxmlformats.org/officeDocument/2006/relationships/image" Target="../media/image1645.jpeg"/><Relationship Id="rId1784" Type="http://schemas.openxmlformats.org/officeDocument/2006/relationships/image" Target="../media/image1852.jpeg"/><Relationship Id="rId1991" Type="http://schemas.openxmlformats.org/officeDocument/2006/relationships/image" Target="../media/image2059.jpeg"/><Relationship Id="rId2628" Type="http://schemas.openxmlformats.org/officeDocument/2006/relationships/image" Target="../media/image2696.jpeg"/><Relationship Id="rId2835" Type="http://schemas.openxmlformats.org/officeDocument/2006/relationships/image" Target="../media/image2903.jpeg"/><Relationship Id="rId76" Type="http://schemas.openxmlformats.org/officeDocument/2006/relationships/image" Target="../media/image144.jpeg"/><Relationship Id="rId807" Type="http://schemas.openxmlformats.org/officeDocument/2006/relationships/image" Target="../media/image875.jpeg"/><Relationship Id="rId1437" Type="http://schemas.openxmlformats.org/officeDocument/2006/relationships/image" Target="../media/image1505.jpeg"/><Relationship Id="rId1644" Type="http://schemas.openxmlformats.org/officeDocument/2006/relationships/image" Target="../media/image1712.jpeg"/><Relationship Id="rId1851" Type="http://schemas.openxmlformats.org/officeDocument/2006/relationships/image" Target="../media/image1919.jpeg"/><Relationship Id="rId2902" Type="http://schemas.openxmlformats.org/officeDocument/2006/relationships/image" Target="../media/image2970.jpeg"/><Relationship Id="rId1504" Type="http://schemas.openxmlformats.org/officeDocument/2006/relationships/image" Target="../media/image1572.jpeg"/><Relationship Id="rId1711" Type="http://schemas.openxmlformats.org/officeDocument/2006/relationships/image" Target="../media/image1779.jpeg"/><Relationship Id="rId597" Type="http://schemas.openxmlformats.org/officeDocument/2006/relationships/image" Target="../media/image665.jpeg"/><Relationship Id="rId2278" Type="http://schemas.openxmlformats.org/officeDocument/2006/relationships/image" Target="../media/image2346.jpeg"/><Relationship Id="rId2485" Type="http://schemas.openxmlformats.org/officeDocument/2006/relationships/image" Target="../media/image255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2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21164</xdr:colOff>
          <xdr:row>2</xdr:row>
          <xdr:rowOff>16937</xdr:rowOff>
        </xdr:from>
        <xdr:to>
          <xdr:col>19</xdr:col>
          <xdr:colOff>465666</xdr:colOff>
          <xdr:row>3</xdr:row>
          <xdr:rowOff>240375</xdr:rowOff>
        </xdr:to>
        <xdr:grpSp>
          <xdr:nvGrpSpPr>
            <xdr:cNvPr id="2272" name="Group 2271">
              <a:extLst>
                <a:ext uri="{FF2B5EF4-FFF2-40B4-BE49-F238E27FC236}">
                  <a16:creationId xmlns:a16="http://schemas.microsoft.com/office/drawing/2014/main" id="{00000000-0008-0000-0000-0000E0080000}"/>
                </a:ext>
              </a:extLst>
            </xdr:cNvPr>
            <xdr:cNvGrpSpPr/>
          </xdr:nvGrpSpPr>
          <xdr:grpSpPr>
            <a:xfrm>
              <a:off x="9498539" y="569387"/>
              <a:ext cx="2463802" cy="528238"/>
              <a:chOff x="9708089" y="617012"/>
              <a:chExt cx="2530477" cy="528238"/>
            </a:xfrm>
          </xdr:grpSpPr>
          <xdr:pic>
            <xdr:nvPicPr>
              <xdr:cNvPr id="164803" name="Picture 78861">
                <a:extLst>
                  <a:ext uri="{FF2B5EF4-FFF2-40B4-BE49-F238E27FC236}">
                    <a16:creationId xmlns:a16="http://schemas.microsoft.com/office/drawing/2014/main" id="{00000000-0008-0000-0000-0000C3830200}"/>
                  </a:ext>
                </a:extLst>
              </xdr:cNvPr>
              <xdr:cNvPicPr preferRelativeResize="0">
                <a:picLocks noChangeArrowheads="1"/>
                <a:extLst>
                  <a:ext uri="{84589F7E-364E-4C9E-8A38-B11213B215E9}">
                    <a14:cameraTool cellRange="MoonPics" spid="_x0000_s459984"/>
                  </a:ext>
                </a:extLst>
              </xdr:cNvPicPr>
            </xdr:nvPicPr>
            <xdr:blipFill>
              <a:blip xmlns:r="http://schemas.openxmlformats.org/officeDocument/2006/relationships" r:embed="rId1"/>
              <a:srcRect/>
              <a:stretch>
                <a:fillRect/>
              </a:stretch>
            </xdr:blipFill>
            <xdr:spPr bwMode="auto">
              <a:xfrm>
                <a:off x="9708089" y="617015"/>
                <a:ext cx="524976" cy="52823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pic>
            <xdr:nvPicPr>
              <xdr:cNvPr id="164804" name="Picture 78861">
                <a:extLst>
                  <a:ext uri="{FF2B5EF4-FFF2-40B4-BE49-F238E27FC236}">
                    <a16:creationId xmlns:a16="http://schemas.microsoft.com/office/drawing/2014/main" id="{00000000-0008-0000-0000-0000C4830200}"/>
                  </a:ext>
                </a:extLst>
              </xdr:cNvPr>
              <xdr:cNvPicPr preferRelativeResize="0">
                <a:picLocks noChangeArrowheads="1"/>
                <a:extLst>
                  <a:ext uri="{84589F7E-364E-4C9E-8A38-B11213B215E9}">
                    <a14:cameraTool cellRange="MoonPics2" spid="_x0000_s459985"/>
                  </a:ext>
                </a:extLst>
              </xdr:cNvPicPr>
            </xdr:nvPicPr>
            <xdr:blipFill>
              <a:blip xmlns:r="http://schemas.openxmlformats.org/officeDocument/2006/relationships" r:embed="rId2"/>
              <a:srcRect/>
              <a:stretch>
                <a:fillRect/>
              </a:stretch>
            </xdr:blipFill>
            <xdr:spPr bwMode="auto">
              <a:xfrm>
                <a:off x="10215032" y="617015"/>
                <a:ext cx="509100" cy="52823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pic>
            <xdr:nvPicPr>
              <xdr:cNvPr id="164805" name="Picture 78861">
                <a:extLst>
                  <a:ext uri="{FF2B5EF4-FFF2-40B4-BE49-F238E27FC236}">
                    <a16:creationId xmlns:a16="http://schemas.microsoft.com/office/drawing/2014/main" id="{00000000-0008-0000-0000-0000C5830200}"/>
                  </a:ext>
                </a:extLst>
              </xdr:cNvPr>
              <xdr:cNvPicPr preferRelativeResize="0">
                <a:picLocks noChangeArrowheads="1"/>
                <a:extLst>
                  <a:ext uri="{84589F7E-364E-4C9E-8A38-B11213B215E9}">
                    <a14:cameraTool cellRange="MoonPics3" spid="_x0000_s459986"/>
                  </a:ext>
                </a:extLst>
              </xdr:cNvPicPr>
            </xdr:nvPicPr>
            <xdr:blipFill>
              <a:blip xmlns:r="http://schemas.openxmlformats.org/officeDocument/2006/relationships" r:embed="rId1"/>
              <a:srcRect/>
              <a:stretch>
                <a:fillRect/>
              </a:stretch>
            </xdr:blipFill>
            <xdr:spPr bwMode="auto">
              <a:xfrm>
                <a:off x="10706103" y="617013"/>
                <a:ext cx="557784" cy="52823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pic>
            <xdr:nvPicPr>
              <xdr:cNvPr id="164806" name="Picture 78861">
                <a:extLst>
                  <a:ext uri="{FF2B5EF4-FFF2-40B4-BE49-F238E27FC236}">
                    <a16:creationId xmlns:a16="http://schemas.microsoft.com/office/drawing/2014/main" id="{00000000-0008-0000-0000-0000C6830200}"/>
                  </a:ext>
                </a:extLst>
              </xdr:cNvPr>
              <xdr:cNvPicPr preferRelativeResize="0">
                <a:picLocks noChangeArrowheads="1"/>
                <a:extLst>
                  <a:ext uri="{84589F7E-364E-4C9E-8A38-B11213B215E9}">
                    <a14:cameraTool cellRange="MoonPics4" spid="_x0000_s459987"/>
                  </a:ext>
                </a:extLst>
              </xdr:cNvPicPr>
            </xdr:nvPicPr>
            <xdr:blipFill>
              <a:blip xmlns:r="http://schemas.openxmlformats.org/officeDocument/2006/relationships" r:embed="rId1"/>
              <a:stretch>
                <a:fillRect/>
              </a:stretch>
            </xdr:blipFill>
            <xdr:spPr bwMode="auto">
              <a:xfrm>
                <a:off x="11245848" y="617012"/>
                <a:ext cx="509060" cy="52823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pic>
            <xdr:nvPicPr>
              <xdr:cNvPr id="164807" name="Picture 78861">
                <a:extLst>
                  <a:ext uri="{FF2B5EF4-FFF2-40B4-BE49-F238E27FC236}">
                    <a16:creationId xmlns:a16="http://schemas.microsoft.com/office/drawing/2014/main" id="{00000000-0008-0000-0000-0000C7830200}"/>
                  </a:ext>
                </a:extLst>
              </xdr:cNvPr>
              <xdr:cNvPicPr preferRelativeResize="0">
                <a:picLocks noChangeArrowheads="1"/>
                <a:extLst>
                  <a:ext uri="{84589F7E-364E-4C9E-8A38-B11213B215E9}">
                    <a14:cameraTool cellRange="MoonPics5" spid="_x0000_s459988"/>
                  </a:ext>
                </a:extLst>
              </xdr:cNvPicPr>
            </xdr:nvPicPr>
            <xdr:blipFill>
              <a:blip xmlns:r="http://schemas.openxmlformats.org/officeDocument/2006/relationships" r:embed="rId1"/>
              <a:srcRect/>
              <a:stretch>
                <a:fillRect/>
              </a:stretch>
            </xdr:blipFill>
            <xdr:spPr bwMode="auto">
              <a:xfrm>
                <a:off x="11731626" y="617012"/>
                <a:ext cx="506940" cy="52823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grpSp>
        <xdr:clientData/>
      </xdr:twoCellAnchor>
    </mc:Choice>
    <mc:Fallback/>
  </mc:AlternateContent>
  <xdr:twoCellAnchor editAs="oneCell">
    <xdr:from>
      <xdr:col>5</xdr:col>
      <xdr:colOff>66675</xdr:colOff>
      <xdr:row>29</xdr:row>
      <xdr:rowOff>66675</xdr:rowOff>
    </xdr:from>
    <xdr:to>
      <xdr:col>8</xdr:col>
      <xdr:colOff>441615</xdr:colOff>
      <xdr:row>40</xdr:row>
      <xdr:rowOff>169334</xdr:rowOff>
    </xdr:to>
    <xdr:sp macro="" textlink="">
      <xdr:nvSpPr>
        <xdr:cNvPr id="2302" name="Text Box 1278" hidden="1">
          <a:extLst>
            <a:ext uri="{FF2B5EF4-FFF2-40B4-BE49-F238E27FC236}">
              <a16:creationId xmlns:a16="http://schemas.microsoft.com/office/drawing/2014/main" id="{00000000-0008-0000-0000-0000FE080000}"/>
            </a:ext>
          </a:extLst>
        </xdr:cNvPr>
        <xdr:cNvSpPr txBox="1">
          <a:spLocks noChangeArrowheads="1"/>
        </xdr:cNvSpPr>
      </xdr:nvSpPr>
      <xdr:spPr bwMode="auto">
        <a:xfrm>
          <a:off x="1133475" y="67760850"/>
          <a:ext cx="2162175" cy="2162175"/>
        </a:xfrm>
        <a:prstGeom prst="rect">
          <a:avLst/>
        </a:prstGeom>
        <a:blipFill dpi="0" rotWithShape="1">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29</xdr:row>
      <xdr:rowOff>95250</xdr:rowOff>
    </xdr:from>
    <xdr:to>
      <xdr:col>8</xdr:col>
      <xdr:colOff>515217</xdr:colOff>
      <xdr:row>41</xdr:row>
      <xdr:rowOff>16934</xdr:rowOff>
    </xdr:to>
    <xdr:sp macro="" textlink="">
      <xdr:nvSpPr>
        <xdr:cNvPr id="2307" name="Text Box 1283" hidden="1">
          <a:extLst>
            <a:ext uri="{FF2B5EF4-FFF2-40B4-BE49-F238E27FC236}">
              <a16:creationId xmlns:a16="http://schemas.microsoft.com/office/drawing/2014/main" id="{00000000-0008-0000-0000-000003090000}"/>
            </a:ext>
          </a:extLst>
        </xdr:cNvPr>
        <xdr:cNvSpPr txBox="1">
          <a:spLocks noChangeArrowheads="1"/>
        </xdr:cNvSpPr>
      </xdr:nvSpPr>
      <xdr:spPr bwMode="auto">
        <a:xfrm>
          <a:off x="1209675" y="67789425"/>
          <a:ext cx="2162175" cy="2162175"/>
        </a:xfrm>
        <a:prstGeom prst="rect">
          <a:avLst/>
        </a:prstGeom>
        <a:blipFill dpi="0" rotWithShape="1">
          <a:blip xmlns:r="http://schemas.openxmlformats.org/officeDocument/2006/relationships" r:embed="rId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768</xdr:row>
      <xdr:rowOff>95250</xdr:rowOff>
    </xdr:from>
    <xdr:to>
      <xdr:col>8</xdr:col>
      <xdr:colOff>515217</xdr:colOff>
      <xdr:row>779</xdr:row>
      <xdr:rowOff>161925</xdr:rowOff>
    </xdr:to>
    <xdr:sp macro="" textlink="">
      <xdr:nvSpPr>
        <xdr:cNvPr id="2314" name="Text Box 1290" hidden="1">
          <a:extLst>
            <a:ext uri="{FF2B5EF4-FFF2-40B4-BE49-F238E27FC236}">
              <a16:creationId xmlns:a16="http://schemas.microsoft.com/office/drawing/2014/main" id="{00000000-0008-0000-0000-00000A090000}"/>
            </a:ext>
          </a:extLst>
        </xdr:cNvPr>
        <xdr:cNvSpPr txBox="1">
          <a:spLocks noChangeArrowheads="1"/>
        </xdr:cNvSpPr>
      </xdr:nvSpPr>
      <xdr:spPr bwMode="auto">
        <a:xfrm>
          <a:off x="1209675" y="67979925"/>
          <a:ext cx="2162175" cy="2162175"/>
        </a:xfrm>
        <a:prstGeom prst="rect">
          <a:avLst/>
        </a:prstGeom>
        <a:blipFill dpi="0" rotWithShape="1">
          <a:blip xmlns:r="http://schemas.openxmlformats.org/officeDocument/2006/relationships" r:embed="rId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366</xdr:row>
      <xdr:rowOff>66675</xdr:rowOff>
    </xdr:from>
    <xdr:to>
      <xdr:col>8</xdr:col>
      <xdr:colOff>441615</xdr:colOff>
      <xdr:row>377</xdr:row>
      <xdr:rowOff>133350</xdr:rowOff>
    </xdr:to>
    <xdr:sp macro="" textlink="">
      <xdr:nvSpPr>
        <xdr:cNvPr id="2318" name="Text Box 1294" hidden="1">
          <a:extLst>
            <a:ext uri="{FF2B5EF4-FFF2-40B4-BE49-F238E27FC236}">
              <a16:creationId xmlns:a16="http://schemas.microsoft.com/office/drawing/2014/main" id="{00000000-0008-0000-0000-00000E090000}"/>
            </a:ext>
          </a:extLst>
        </xdr:cNvPr>
        <xdr:cNvSpPr txBox="1">
          <a:spLocks noChangeArrowheads="1"/>
        </xdr:cNvSpPr>
      </xdr:nvSpPr>
      <xdr:spPr bwMode="auto">
        <a:xfrm>
          <a:off x="1133475" y="68332350"/>
          <a:ext cx="2162175" cy="2162175"/>
        </a:xfrm>
        <a:prstGeom prst="rect">
          <a:avLst/>
        </a:prstGeom>
        <a:blipFill dpi="0" rotWithShape="1">
          <a:blip xmlns:r="http://schemas.openxmlformats.org/officeDocument/2006/relationships" r:embed="rId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1031</xdr:row>
      <xdr:rowOff>66675</xdr:rowOff>
    </xdr:from>
    <xdr:to>
      <xdr:col>8</xdr:col>
      <xdr:colOff>441615</xdr:colOff>
      <xdr:row>1042</xdr:row>
      <xdr:rowOff>130175</xdr:rowOff>
    </xdr:to>
    <xdr:sp macro="" textlink="">
      <xdr:nvSpPr>
        <xdr:cNvPr id="2323" name="Text Box 1299" hidden="1">
          <a:extLst>
            <a:ext uri="{FF2B5EF4-FFF2-40B4-BE49-F238E27FC236}">
              <a16:creationId xmlns:a16="http://schemas.microsoft.com/office/drawing/2014/main" id="{00000000-0008-0000-0000-000013090000}"/>
            </a:ext>
          </a:extLst>
        </xdr:cNvPr>
        <xdr:cNvSpPr txBox="1">
          <a:spLocks noChangeArrowheads="1"/>
        </xdr:cNvSpPr>
      </xdr:nvSpPr>
      <xdr:spPr bwMode="auto">
        <a:xfrm>
          <a:off x="1133475" y="68522850"/>
          <a:ext cx="2162175" cy="2162175"/>
        </a:xfrm>
        <a:prstGeom prst="rect">
          <a:avLst/>
        </a:prstGeom>
        <a:blipFill dpi="0" rotWithShape="1">
          <a:blip xmlns:r="http://schemas.openxmlformats.org/officeDocument/2006/relationships" r:embed="rId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1031</xdr:row>
      <xdr:rowOff>95250</xdr:rowOff>
    </xdr:from>
    <xdr:to>
      <xdr:col>8</xdr:col>
      <xdr:colOff>515217</xdr:colOff>
      <xdr:row>1042</xdr:row>
      <xdr:rowOff>158750</xdr:rowOff>
    </xdr:to>
    <xdr:sp macro="" textlink="">
      <xdr:nvSpPr>
        <xdr:cNvPr id="2329" name="Text Box 1305" hidden="1">
          <a:extLst>
            <a:ext uri="{FF2B5EF4-FFF2-40B4-BE49-F238E27FC236}">
              <a16:creationId xmlns:a16="http://schemas.microsoft.com/office/drawing/2014/main" id="{00000000-0008-0000-0000-000019090000}"/>
            </a:ext>
          </a:extLst>
        </xdr:cNvPr>
        <xdr:cNvSpPr txBox="1">
          <a:spLocks noChangeArrowheads="1"/>
        </xdr:cNvSpPr>
      </xdr:nvSpPr>
      <xdr:spPr bwMode="auto">
        <a:xfrm>
          <a:off x="1209675" y="68551425"/>
          <a:ext cx="2162175" cy="2162175"/>
        </a:xfrm>
        <a:prstGeom prst="rect">
          <a:avLst/>
        </a:prstGeom>
        <a:blipFill dpi="0" rotWithShape="1">
          <a:blip xmlns:r="http://schemas.openxmlformats.org/officeDocument/2006/relationships" r:embed="rId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1877</xdr:row>
      <xdr:rowOff>95250</xdr:rowOff>
    </xdr:from>
    <xdr:to>
      <xdr:col>8</xdr:col>
      <xdr:colOff>515217</xdr:colOff>
      <xdr:row>1888</xdr:row>
      <xdr:rowOff>162791</xdr:rowOff>
    </xdr:to>
    <xdr:sp macro="" textlink="">
      <xdr:nvSpPr>
        <xdr:cNvPr id="2336" name="Text Box 1312" hidden="1">
          <a:extLst>
            <a:ext uri="{FF2B5EF4-FFF2-40B4-BE49-F238E27FC236}">
              <a16:creationId xmlns:a16="http://schemas.microsoft.com/office/drawing/2014/main" id="{00000000-0008-0000-0000-000020090000}"/>
            </a:ext>
          </a:extLst>
        </xdr:cNvPr>
        <xdr:cNvSpPr txBox="1">
          <a:spLocks noChangeArrowheads="1"/>
        </xdr:cNvSpPr>
      </xdr:nvSpPr>
      <xdr:spPr bwMode="auto">
        <a:xfrm>
          <a:off x="1209675" y="68741925"/>
          <a:ext cx="2162175" cy="2162175"/>
        </a:xfrm>
        <a:prstGeom prst="rect">
          <a:avLst/>
        </a:prstGeom>
        <a:blipFill dpi="0" rotWithShape="1">
          <a:blip xmlns:r="http://schemas.openxmlformats.org/officeDocument/2006/relationships" r:embed="rId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2684</xdr:row>
      <xdr:rowOff>95250</xdr:rowOff>
    </xdr:from>
    <xdr:to>
      <xdr:col>8</xdr:col>
      <xdr:colOff>515217</xdr:colOff>
      <xdr:row>2695</xdr:row>
      <xdr:rowOff>161925</xdr:rowOff>
    </xdr:to>
    <xdr:sp macro="" textlink="">
      <xdr:nvSpPr>
        <xdr:cNvPr id="2340" name="Text Box 1316" hidden="1">
          <a:extLst>
            <a:ext uri="{FF2B5EF4-FFF2-40B4-BE49-F238E27FC236}">
              <a16:creationId xmlns:a16="http://schemas.microsoft.com/office/drawing/2014/main" id="{00000000-0008-0000-0000-000024090000}"/>
            </a:ext>
          </a:extLst>
        </xdr:cNvPr>
        <xdr:cNvSpPr txBox="1">
          <a:spLocks noChangeArrowheads="1"/>
        </xdr:cNvSpPr>
      </xdr:nvSpPr>
      <xdr:spPr bwMode="auto">
        <a:xfrm>
          <a:off x="1209675" y="68932425"/>
          <a:ext cx="2162175" cy="2162175"/>
        </a:xfrm>
        <a:prstGeom prst="rect">
          <a:avLst/>
        </a:prstGeom>
        <a:blipFill dpi="0" rotWithShape="1">
          <a:blip xmlns:r="http://schemas.openxmlformats.org/officeDocument/2006/relationships" r:embed="rId1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2884</xdr:row>
      <xdr:rowOff>95250</xdr:rowOff>
    </xdr:from>
    <xdr:to>
      <xdr:col>8</xdr:col>
      <xdr:colOff>515217</xdr:colOff>
      <xdr:row>2895</xdr:row>
      <xdr:rowOff>162791</xdr:rowOff>
    </xdr:to>
    <xdr:sp macro="" textlink="">
      <xdr:nvSpPr>
        <xdr:cNvPr id="2344" name="Text Box 1320" hidden="1">
          <a:extLst>
            <a:ext uri="{FF2B5EF4-FFF2-40B4-BE49-F238E27FC236}">
              <a16:creationId xmlns:a16="http://schemas.microsoft.com/office/drawing/2014/main" id="{00000000-0008-0000-0000-000028090000}"/>
            </a:ext>
          </a:extLst>
        </xdr:cNvPr>
        <xdr:cNvSpPr txBox="1">
          <a:spLocks noChangeArrowheads="1"/>
        </xdr:cNvSpPr>
      </xdr:nvSpPr>
      <xdr:spPr bwMode="auto">
        <a:xfrm>
          <a:off x="1209675" y="69122925"/>
          <a:ext cx="2162175" cy="2162175"/>
        </a:xfrm>
        <a:prstGeom prst="rect">
          <a:avLst/>
        </a:prstGeom>
        <a:blipFill dpi="0" rotWithShape="1">
          <a:blip xmlns:r="http://schemas.openxmlformats.org/officeDocument/2006/relationships" r:embed="rId1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2094</xdr:row>
      <xdr:rowOff>95250</xdr:rowOff>
    </xdr:from>
    <xdr:to>
      <xdr:col>8</xdr:col>
      <xdr:colOff>515217</xdr:colOff>
      <xdr:row>2105</xdr:row>
      <xdr:rowOff>164041</xdr:rowOff>
    </xdr:to>
    <xdr:sp macro="" textlink="">
      <xdr:nvSpPr>
        <xdr:cNvPr id="2348" name="Text Box 1324" hidden="1">
          <a:extLst>
            <a:ext uri="{FF2B5EF4-FFF2-40B4-BE49-F238E27FC236}">
              <a16:creationId xmlns:a16="http://schemas.microsoft.com/office/drawing/2014/main" id="{00000000-0008-0000-0000-00002C090000}"/>
            </a:ext>
          </a:extLst>
        </xdr:cNvPr>
        <xdr:cNvSpPr txBox="1">
          <a:spLocks noChangeArrowheads="1"/>
        </xdr:cNvSpPr>
      </xdr:nvSpPr>
      <xdr:spPr bwMode="auto">
        <a:xfrm>
          <a:off x="1209675" y="69313425"/>
          <a:ext cx="2162175" cy="2162175"/>
        </a:xfrm>
        <a:prstGeom prst="rect">
          <a:avLst/>
        </a:prstGeom>
        <a:blipFill dpi="0" rotWithShape="1">
          <a:blip xmlns:r="http://schemas.openxmlformats.org/officeDocument/2006/relationships" r:embed="rId12"/>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1541</xdr:row>
      <xdr:rowOff>95250</xdr:rowOff>
    </xdr:from>
    <xdr:to>
      <xdr:col>8</xdr:col>
      <xdr:colOff>515217</xdr:colOff>
      <xdr:row>1552</xdr:row>
      <xdr:rowOff>164041</xdr:rowOff>
    </xdr:to>
    <xdr:sp macro="" textlink="">
      <xdr:nvSpPr>
        <xdr:cNvPr id="2352" name="Text Box 1328" hidden="1">
          <a:extLst>
            <a:ext uri="{FF2B5EF4-FFF2-40B4-BE49-F238E27FC236}">
              <a16:creationId xmlns:a16="http://schemas.microsoft.com/office/drawing/2014/main" id="{00000000-0008-0000-0000-000030090000}"/>
            </a:ext>
          </a:extLst>
        </xdr:cNvPr>
        <xdr:cNvSpPr txBox="1">
          <a:spLocks noChangeArrowheads="1"/>
        </xdr:cNvSpPr>
      </xdr:nvSpPr>
      <xdr:spPr bwMode="auto">
        <a:xfrm>
          <a:off x="1209675" y="69503925"/>
          <a:ext cx="2162175" cy="2162175"/>
        </a:xfrm>
        <a:prstGeom prst="rect">
          <a:avLst/>
        </a:prstGeom>
        <a:blipFill dpi="0" rotWithShape="1">
          <a:blip xmlns:r="http://schemas.openxmlformats.org/officeDocument/2006/relationships" r:embed="rId1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1672</xdr:row>
      <xdr:rowOff>66675</xdr:rowOff>
    </xdr:from>
    <xdr:to>
      <xdr:col>8</xdr:col>
      <xdr:colOff>441615</xdr:colOff>
      <xdr:row>1683</xdr:row>
      <xdr:rowOff>133350</xdr:rowOff>
    </xdr:to>
    <xdr:sp macro="" textlink="">
      <xdr:nvSpPr>
        <xdr:cNvPr id="2358" name="Text Box 1334" hidden="1">
          <a:extLst>
            <a:ext uri="{FF2B5EF4-FFF2-40B4-BE49-F238E27FC236}">
              <a16:creationId xmlns:a16="http://schemas.microsoft.com/office/drawing/2014/main" id="{00000000-0008-0000-0000-000036090000}"/>
            </a:ext>
          </a:extLst>
        </xdr:cNvPr>
        <xdr:cNvSpPr txBox="1">
          <a:spLocks noChangeArrowheads="1"/>
        </xdr:cNvSpPr>
      </xdr:nvSpPr>
      <xdr:spPr bwMode="auto">
        <a:xfrm>
          <a:off x="1133475" y="69856350"/>
          <a:ext cx="2162175" cy="2162175"/>
        </a:xfrm>
        <a:prstGeom prst="rect">
          <a:avLst/>
        </a:prstGeom>
        <a:blipFill dpi="0" rotWithShape="1">
          <a:blip xmlns:r="http://schemas.openxmlformats.org/officeDocument/2006/relationships" r:embed="rId14"/>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1273</xdr:row>
      <xdr:rowOff>66675</xdr:rowOff>
    </xdr:from>
    <xdr:to>
      <xdr:col>8</xdr:col>
      <xdr:colOff>441615</xdr:colOff>
      <xdr:row>1284</xdr:row>
      <xdr:rowOff>133350</xdr:rowOff>
    </xdr:to>
    <xdr:sp macro="" textlink="">
      <xdr:nvSpPr>
        <xdr:cNvPr id="2363" name="Text Box 1339" hidden="1">
          <a:extLst>
            <a:ext uri="{FF2B5EF4-FFF2-40B4-BE49-F238E27FC236}">
              <a16:creationId xmlns:a16="http://schemas.microsoft.com/office/drawing/2014/main" id="{00000000-0008-0000-0000-00003B090000}"/>
            </a:ext>
          </a:extLst>
        </xdr:cNvPr>
        <xdr:cNvSpPr txBox="1">
          <a:spLocks noChangeArrowheads="1"/>
        </xdr:cNvSpPr>
      </xdr:nvSpPr>
      <xdr:spPr bwMode="auto">
        <a:xfrm>
          <a:off x="1133475" y="70046850"/>
          <a:ext cx="2162175" cy="2162175"/>
        </a:xfrm>
        <a:prstGeom prst="rect">
          <a:avLst/>
        </a:prstGeom>
        <a:blipFill dpi="0" rotWithShape="1">
          <a:blip xmlns:r="http://schemas.openxmlformats.org/officeDocument/2006/relationships" r:embed="rId1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1992</xdr:row>
      <xdr:rowOff>66675</xdr:rowOff>
    </xdr:from>
    <xdr:to>
      <xdr:col>8</xdr:col>
      <xdr:colOff>441615</xdr:colOff>
      <xdr:row>2003</xdr:row>
      <xdr:rowOff>112184</xdr:rowOff>
    </xdr:to>
    <xdr:sp macro="" textlink="">
      <xdr:nvSpPr>
        <xdr:cNvPr id="2367" name="Text Box 1343" hidden="1">
          <a:extLst>
            <a:ext uri="{FF2B5EF4-FFF2-40B4-BE49-F238E27FC236}">
              <a16:creationId xmlns:a16="http://schemas.microsoft.com/office/drawing/2014/main" id="{00000000-0008-0000-0000-00003F090000}"/>
            </a:ext>
          </a:extLst>
        </xdr:cNvPr>
        <xdr:cNvSpPr txBox="1">
          <a:spLocks noChangeArrowheads="1"/>
        </xdr:cNvSpPr>
      </xdr:nvSpPr>
      <xdr:spPr bwMode="auto">
        <a:xfrm>
          <a:off x="1133475" y="70237350"/>
          <a:ext cx="2162175" cy="2162175"/>
        </a:xfrm>
        <a:prstGeom prst="rect">
          <a:avLst/>
        </a:prstGeom>
        <a:blipFill dpi="0" rotWithShape="1">
          <a:blip xmlns:r="http://schemas.openxmlformats.org/officeDocument/2006/relationships" r:embed="rId1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1992</xdr:row>
      <xdr:rowOff>95250</xdr:rowOff>
    </xdr:from>
    <xdr:to>
      <xdr:col>8</xdr:col>
      <xdr:colOff>515217</xdr:colOff>
      <xdr:row>2003</xdr:row>
      <xdr:rowOff>140759</xdr:rowOff>
    </xdr:to>
    <xdr:sp macro="" textlink="">
      <xdr:nvSpPr>
        <xdr:cNvPr id="2371" name="Text Box 1347" hidden="1">
          <a:extLst>
            <a:ext uri="{FF2B5EF4-FFF2-40B4-BE49-F238E27FC236}">
              <a16:creationId xmlns:a16="http://schemas.microsoft.com/office/drawing/2014/main" id="{00000000-0008-0000-0000-000043090000}"/>
            </a:ext>
          </a:extLst>
        </xdr:cNvPr>
        <xdr:cNvSpPr txBox="1">
          <a:spLocks noChangeArrowheads="1"/>
        </xdr:cNvSpPr>
      </xdr:nvSpPr>
      <xdr:spPr bwMode="auto">
        <a:xfrm>
          <a:off x="1209675" y="70265925"/>
          <a:ext cx="2162175" cy="2162175"/>
        </a:xfrm>
        <a:prstGeom prst="rect">
          <a:avLst/>
        </a:prstGeom>
        <a:blipFill dpi="0" rotWithShape="1">
          <a:blip xmlns:r="http://schemas.openxmlformats.org/officeDocument/2006/relationships" r:embed="rId1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642</xdr:row>
      <xdr:rowOff>95250</xdr:rowOff>
    </xdr:from>
    <xdr:to>
      <xdr:col>8</xdr:col>
      <xdr:colOff>515217</xdr:colOff>
      <xdr:row>653</xdr:row>
      <xdr:rowOff>161925</xdr:rowOff>
    </xdr:to>
    <xdr:sp macro="" textlink="">
      <xdr:nvSpPr>
        <xdr:cNvPr id="2375" name="Text Box 1351" hidden="1">
          <a:extLst>
            <a:ext uri="{FF2B5EF4-FFF2-40B4-BE49-F238E27FC236}">
              <a16:creationId xmlns:a16="http://schemas.microsoft.com/office/drawing/2014/main" id="{00000000-0008-0000-0000-000047090000}"/>
            </a:ext>
          </a:extLst>
        </xdr:cNvPr>
        <xdr:cNvSpPr txBox="1">
          <a:spLocks noChangeArrowheads="1"/>
        </xdr:cNvSpPr>
      </xdr:nvSpPr>
      <xdr:spPr bwMode="auto">
        <a:xfrm>
          <a:off x="1209675" y="70456425"/>
          <a:ext cx="2162175" cy="2162175"/>
        </a:xfrm>
        <a:prstGeom prst="rect">
          <a:avLst/>
        </a:prstGeom>
        <a:blipFill dpi="0" rotWithShape="1">
          <a:blip xmlns:r="http://schemas.openxmlformats.org/officeDocument/2006/relationships" r:embed="rId1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2145</xdr:row>
      <xdr:rowOff>66675</xdr:rowOff>
    </xdr:from>
    <xdr:to>
      <xdr:col>8</xdr:col>
      <xdr:colOff>441615</xdr:colOff>
      <xdr:row>2156</xdr:row>
      <xdr:rowOff>154516</xdr:rowOff>
    </xdr:to>
    <xdr:sp macro="" textlink="">
      <xdr:nvSpPr>
        <xdr:cNvPr id="2379" name="Text Box 1355" hidden="1">
          <a:extLst>
            <a:ext uri="{FF2B5EF4-FFF2-40B4-BE49-F238E27FC236}">
              <a16:creationId xmlns:a16="http://schemas.microsoft.com/office/drawing/2014/main" id="{00000000-0008-0000-0000-00004B090000}"/>
            </a:ext>
          </a:extLst>
        </xdr:cNvPr>
        <xdr:cNvSpPr txBox="1">
          <a:spLocks noChangeArrowheads="1"/>
        </xdr:cNvSpPr>
      </xdr:nvSpPr>
      <xdr:spPr bwMode="auto">
        <a:xfrm>
          <a:off x="1133475" y="70808850"/>
          <a:ext cx="2162175" cy="2162175"/>
        </a:xfrm>
        <a:prstGeom prst="rect">
          <a:avLst/>
        </a:prstGeom>
        <a:blipFill dpi="0" rotWithShape="1">
          <a:blip xmlns:r="http://schemas.openxmlformats.org/officeDocument/2006/relationships" r:embed="rId19"/>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2317</xdr:row>
      <xdr:rowOff>66675</xdr:rowOff>
    </xdr:from>
    <xdr:to>
      <xdr:col>8</xdr:col>
      <xdr:colOff>441615</xdr:colOff>
      <xdr:row>2328</xdr:row>
      <xdr:rowOff>133350</xdr:rowOff>
    </xdr:to>
    <xdr:sp macro="" textlink="">
      <xdr:nvSpPr>
        <xdr:cNvPr id="2384" name="Text Box 1360" hidden="1">
          <a:extLst>
            <a:ext uri="{FF2B5EF4-FFF2-40B4-BE49-F238E27FC236}">
              <a16:creationId xmlns:a16="http://schemas.microsoft.com/office/drawing/2014/main" id="{00000000-0008-0000-0000-000050090000}"/>
            </a:ext>
          </a:extLst>
        </xdr:cNvPr>
        <xdr:cNvSpPr txBox="1">
          <a:spLocks noChangeArrowheads="1"/>
        </xdr:cNvSpPr>
      </xdr:nvSpPr>
      <xdr:spPr bwMode="auto">
        <a:xfrm>
          <a:off x="1133475" y="70999350"/>
          <a:ext cx="2162175" cy="2162175"/>
        </a:xfrm>
        <a:prstGeom prst="rect">
          <a:avLst/>
        </a:prstGeom>
        <a:blipFill dpi="0" rotWithShape="1">
          <a:blip xmlns:r="http://schemas.openxmlformats.org/officeDocument/2006/relationships" r:embed="rId2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42</xdr:row>
      <xdr:rowOff>66675</xdr:rowOff>
    </xdr:from>
    <xdr:to>
      <xdr:col>8</xdr:col>
      <xdr:colOff>441615</xdr:colOff>
      <xdr:row>53</xdr:row>
      <xdr:rowOff>133350</xdr:rowOff>
    </xdr:to>
    <xdr:sp macro="" textlink="">
      <xdr:nvSpPr>
        <xdr:cNvPr id="2388" name="Text Box 1364" hidden="1">
          <a:extLst>
            <a:ext uri="{FF2B5EF4-FFF2-40B4-BE49-F238E27FC236}">
              <a16:creationId xmlns:a16="http://schemas.microsoft.com/office/drawing/2014/main" id="{00000000-0008-0000-0000-000054090000}"/>
            </a:ext>
          </a:extLst>
        </xdr:cNvPr>
        <xdr:cNvSpPr txBox="1">
          <a:spLocks noChangeArrowheads="1"/>
        </xdr:cNvSpPr>
      </xdr:nvSpPr>
      <xdr:spPr bwMode="auto">
        <a:xfrm>
          <a:off x="1133475" y="71189850"/>
          <a:ext cx="2162175" cy="2162175"/>
        </a:xfrm>
        <a:prstGeom prst="rect">
          <a:avLst/>
        </a:prstGeom>
        <a:blipFill dpi="0" rotWithShape="1">
          <a:blip xmlns:r="http://schemas.openxmlformats.org/officeDocument/2006/relationships" r:embed="rId2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131</xdr:row>
      <xdr:rowOff>66675</xdr:rowOff>
    </xdr:from>
    <xdr:to>
      <xdr:col>8</xdr:col>
      <xdr:colOff>441615</xdr:colOff>
      <xdr:row>142</xdr:row>
      <xdr:rowOff>133350</xdr:rowOff>
    </xdr:to>
    <xdr:sp macro="" textlink="">
      <xdr:nvSpPr>
        <xdr:cNvPr id="2393" name="Text Box 1369" hidden="1">
          <a:extLst>
            <a:ext uri="{FF2B5EF4-FFF2-40B4-BE49-F238E27FC236}">
              <a16:creationId xmlns:a16="http://schemas.microsoft.com/office/drawing/2014/main" id="{00000000-0008-0000-0000-000059090000}"/>
            </a:ext>
          </a:extLst>
        </xdr:cNvPr>
        <xdr:cNvSpPr txBox="1">
          <a:spLocks noChangeArrowheads="1"/>
        </xdr:cNvSpPr>
      </xdr:nvSpPr>
      <xdr:spPr bwMode="auto">
        <a:xfrm>
          <a:off x="1133475" y="71380350"/>
          <a:ext cx="2162175" cy="2162175"/>
        </a:xfrm>
        <a:prstGeom prst="rect">
          <a:avLst/>
        </a:prstGeom>
        <a:blipFill dpi="0" rotWithShape="1">
          <a:blip xmlns:r="http://schemas.openxmlformats.org/officeDocument/2006/relationships" r:embed="rId2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2495</xdr:row>
      <xdr:rowOff>66675</xdr:rowOff>
    </xdr:from>
    <xdr:to>
      <xdr:col>8</xdr:col>
      <xdr:colOff>441615</xdr:colOff>
      <xdr:row>2506</xdr:row>
      <xdr:rowOff>133350</xdr:rowOff>
    </xdr:to>
    <xdr:sp macro="" textlink="">
      <xdr:nvSpPr>
        <xdr:cNvPr id="2398" name="Text Box 1374" hidden="1">
          <a:extLst>
            <a:ext uri="{FF2B5EF4-FFF2-40B4-BE49-F238E27FC236}">
              <a16:creationId xmlns:a16="http://schemas.microsoft.com/office/drawing/2014/main" id="{00000000-0008-0000-0000-00005E090000}"/>
            </a:ext>
          </a:extLst>
        </xdr:cNvPr>
        <xdr:cNvSpPr txBox="1">
          <a:spLocks noChangeArrowheads="1"/>
        </xdr:cNvSpPr>
      </xdr:nvSpPr>
      <xdr:spPr bwMode="auto">
        <a:xfrm>
          <a:off x="1133475" y="71570850"/>
          <a:ext cx="2162175" cy="2162175"/>
        </a:xfrm>
        <a:prstGeom prst="rect">
          <a:avLst/>
        </a:prstGeom>
        <a:blipFill dpi="0" rotWithShape="1">
          <a:blip xmlns:r="http://schemas.openxmlformats.org/officeDocument/2006/relationships" r:embed="rId2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743</xdr:row>
      <xdr:rowOff>66675</xdr:rowOff>
    </xdr:from>
    <xdr:to>
      <xdr:col>8</xdr:col>
      <xdr:colOff>441615</xdr:colOff>
      <xdr:row>754</xdr:row>
      <xdr:rowOff>133350</xdr:rowOff>
    </xdr:to>
    <xdr:sp macro="" textlink="">
      <xdr:nvSpPr>
        <xdr:cNvPr id="2403" name="Text Box 1379" hidden="1">
          <a:extLst>
            <a:ext uri="{FF2B5EF4-FFF2-40B4-BE49-F238E27FC236}">
              <a16:creationId xmlns:a16="http://schemas.microsoft.com/office/drawing/2014/main" id="{00000000-0008-0000-0000-000063090000}"/>
            </a:ext>
          </a:extLst>
        </xdr:cNvPr>
        <xdr:cNvSpPr txBox="1">
          <a:spLocks noChangeArrowheads="1"/>
        </xdr:cNvSpPr>
      </xdr:nvSpPr>
      <xdr:spPr bwMode="auto">
        <a:xfrm>
          <a:off x="1133475" y="71761350"/>
          <a:ext cx="2162175" cy="2162175"/>
        </a:xfrm>
        <a:prstGeom prst="rect">
          <a:avLst/>
        </a:prstGeom>
        <a:blipFill dpi="0" rotWithShape="1">
          <a:blip xmlns:r="http://schemas.openxmlformats.org/officeDocument/2006/relationships" r:embed="rId2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1499</xdr:row>
      <xdr:rowOff>66675</xdr:rowOff>
    </xdr:from>
    <xdr:to>
      <xdr:col>8</xdr:col>
      <xdr:colOff>441615</xdr:colOff>
      <xdr:row>1510</xdr:row>
      <xdr:rowOff>123825</xdr:rowOff>
    </xdr:to>
    <xdr:sp macro="" textlink="">
      <xdr:nvSpPr>
        <xdr:cNvPr id="2410" name="Text Box 1386" hidden="1">
          <a:extLst>
            <a:ext uri="{FF2B5EF4-FFF2-40B4-BE49-F238E27FC236}">
              <a16:creationId xmlns:a16="http://schemas.microsoft.com/office/drawing/2014/main" id="{00000000-0008-0000-0000-00006A090000}"/>
            </a:ext>
          </a:extLst>
        </xdr:cNvPr>
        <xdr:cNvSpPr txBox="1">
          <a:spLocks noChangeArrowheads="1"/>
        </xdr:cNvSpPr>
      </xdr:nvSpPr>
      <xdr:spPr bwMode="auto">
        <a:xfrm>
          <a:off x="1133475" y="71951850"/>
          <a:ext cx="2162175" cy="2162175"/>
        </a:xfrm>
        <a:prstGeom prst="rect">
          <a:avLst/>
        </a:prstGeom>
        <a:blipFill dpi="0" rotWithShape="1">
          <a:blip xmlns:r="http://schemas.openxmlformats.org/officeDocument/2006/relationships" r:embed="rId2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2114</xdr:row>
      <xdr:rowOff>66675</xdr:rowOff>
    </xdr:from>
    <xdr:to>
      <xdr:col>8</xdr:col>
      <xdr:colOff>441615</xdr:colOff>
      <xdr:row>2125</xdr:row>
      <xdr:rowOff>133350</xdr:rowOff>
    </xdr:to>
    <xdr:sp macro="" textlink="">
      <xdr:nvSpPr>
        <xdr:cNvPr id="2417" name="Text Box 1393" hidden="1">
          <a:extLst>
            <a:ext uri="{FF2B5EF4-FFF2-40B4-BE49-F238E27FC236}">
              <a16:creationId xmlns:a16="http://schemas.microsoft.com/office/drawing/2014/main" id="{00000000-0008-0000-0000-000071090000}"/>
            </a:ext>
          </a:extLst>
        </xdr:cNvPr>
        <xdr:cNvSpPr txBox="1">
          <a:spLocks noChangeArrowheads="1"/>
        </xdr:cNvSpPr>
      </xdr:nvSpPr>
      <xdr:spPr bwMode="auto">
        <a:xfrm>
          <a:off x="1133475" y="72142350"/>
          <a:ext cx="2162175" cy="2162175"/>
        </a:xfrm>
        <a:prstGeom prst="rect">
          <a:avLst/>
        </a:prstGeom>
        <a:blipFill dpi="0" rotWithShape="1">
          <a:blip xmlns:r="http://schemas.openxmlformats.org/officeDocument/2006/relationships" r:embed="rId2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2805</xdr:row>
      <xdr:rowOff>66675</xdr:rowOff>
    </xdr:from>
    <xdr:to>
      <xdr:col>8</xdr:col>
      <xdr:colOff>441615</xdr:colOff>
      <xdr:row>2816</xdr:row>
      <xdr:rowOff>133350</xdr:rowOff>
    </xdr:to>
    <xdr:sp macro="" textlink="">
      <xdr:nvSpPr>
        <xdr:cNvPr id="2426" name="Text Box 1402" hidden="1">
          <a:extLst>
            <a:ext uri="{FF2B5EF4-FFF2-40B4-BE49-F238E27FC236}">
              <a16:creationId xmlns:a16="http://schemas.microsoft.com/office/drawing/2014/main" id="{00000000-0008-0000-0000-00007A090000}"/>
            </a:ext>
          </a:extLst>
        </xdr:cNvPr>
        <xdr:cNvSpPr txBox="1">
          <a:spLocks noChangeArrowheads="1"/>
        </xdr:cNvSpPr>
      </xdr:nvSpPr>
      <xdr:spPr bwMode="auto">
        <a:xfrm>
          <a:off x="1133475" y="72332850"/>
          <a:ext cx="2162175" cy="2162175"/>
        </a:xfrm>
        <a:prstGeom prst="rect">
          <a:avLst/>
        </a:prstGeom>
        <a:blipFill dpi="0" rotWithShape="1">
          <a:blip xmlns:r="http://schemas.openxmlformats.org/officeDocument/2006/relationships" r:embed="rId2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2805</xdr:row>
      <xdr:rowOff>95250</xdr:rowOff>
    </xdr:from>
    <xdr:to>
      <xdr:col>8</xdr:col>
      <xdr:colOff>515217</xdr:colOff>
      <xdr:row>2816</xdr:row>
      <xdr:rowOff>161925</xdr:rowOff>
    </xdr:to>
    <xdr:sp macro="" textlink="">
      <xdr:nvSpPr>
        <xdr:cNvPr id="2432" name="Text Box 1408" hidden="1">
          <a:extLst>
            <a:ext uri="{FF2B5EF4-FFF2-40B4-BE49-F238E27FC236}">
              <a16:creationId xmlns:a16="http://schemas.microsoft.com/office/drawing/2014/main" id="{00000000-0008-0000-0000-000080090000}"/>
            </a:ext>
          </a:extLst>
        </xdr:cNvPr>
        <xdr:cNvSpPr txBox="1">
          <a:spLocks noChangeArrowheads="1"/>
        </xdr:cNvSpPr>
      </xdr:nvSpPr>
      <xdr:spPr bwMode="auto">
        <a:xfrm>
          <a:off x="1209675" y="72361425"/>
          <a:ext cx="2162175" cy="2162175"/>
        </a:xfrm>
        <a:prstGeom prst="rect">
          <a:avLst/>
        </a:prstGeom>
        <a:blipFill dpi="0" rotWithShape="1">
          <a:blip xmlns:r="http://schemas.openxmlformats.org/officeDocument/2006/relationships" r:embed="rId2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2273</xdr:row>
      <xdr:rowOff>66675</xdr:rowOff>
    </xdr:from>
    <xdr:to>
      <xdr:col>8</xdr:col>
      <xdr:colOff>441615</xdr:colOff>
      <xdr:row>2284</xdr:row>
      <xdr:rowOff>133350</xdr:rowOff>
    </xdr:to>
    <xdr:sp macro="" textlink="">
      <xdr:nvSpPr>
        <xdr:cNvPr id="2435" name="Text Box 1411" hidden="1">
          <a:extLst>
            <a:ext uri="{FF2B5EF4-FFF2-40B4-BE49-F238E27FC236}">
              <a16:creationId xmlns:a16="http://schemas.microsoft.com/office/drawing/2014/main" id="{00000000-0008-0000-0000-000083090000}"/>
            </a:ext>
          </a:extLst>
        </xdr:cNvPr>
        <xdr:cNvSpPr txBox="1">
          <a:spLocks noChangeArrowheads="1"/>
        </xdr:cNvSpPr>
      </xdr:nvSpPr>
      <xdr:spPr bwMode="auto">
        <a:xfrm>
          <a:off x="1133475" y="72713850"/>
          <a:ext cx="2162175" cy="2162175"/>
        </a:xfrm>
        <a:prstGeom prst="rect">
          <a:avLst/>
        </a:prstGeom>
        <a:blipFill dpi="0" rotWithShape="1">
          <a:blip xmlns:r="http://schemas.openxmlformats.org/officeDocument/2006/relationships" r:embed="rId2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1984</xdr:row>
      <xdr:rowOff>66675</xdr:rowOff>
    </xdr:from>
    <xdr:to>
      <xdr:col>8</xdr:col>
      <xdr:colOff>441615</xdr:colOff>
      <xdr:row>1995</xdr:row>
      <xdr:rowOff>133350</xdr:rowOff>
    </xdr:to>
    <xdr:sp macro="" textlink="">
      <xdr:nvSpPr>
        <xdr:cNvPr id="2440" name="Text Box 1416" hidden="1">
          <a:extLst>
            <a:ext uri="{FF2B5EF4-FFF2-40B4-BE49-F238E27FC236}">
              <a16:creationId xmlns:a16="http://schemas.microsoft.com/office/drawing/2014/main" id="{00000000-0008-0000-0000-000088090000}"/>
            </a:ext>
          </a:extLst>
        </xdr:cNvPr>
        <xdr:cNvSpPr txBox="1">
          <a:spLocks noChangeArrowheads="1"/>
        </xdr:cNvSpPr>
      </xdr:nvSpPr>
      <xdr:spPr bwMode="auto">
        <a:xfrm>
          <a:off x="1133475" y="72904350"/>
          <a:ext cx="2162175" cy="2162175"/>
        </a:xfrm>
        <a:prstGeom prst="rect">
          <a:avLst/>
        </a:prstGeom>
        <a:blipFill dpi="0" rotWithShape="1">
          <a:blip xmlns:r="http://schemas.openxmlformats.org/officeDocument/2006/relationships" r:embed="rId3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1984</xdr:row>
      <xdr:rowOff>95250</xdr:rowOff>
    </xdr:from>
    <xdr:to>
      <xdr:col>8</xdr:col>
      <xdr:colOff>515217</xdr:colOff>
      <xdr:row>1995</xdr:row>
      <xdr:rowOff>161925</xdr:rowOff>
    </xdr:to>
    <xdr:sp macro="" textlink="">
      <xdr:nvSpPr>
        <xdr:cNvPr id="2444" name="Text Box 1420" hidden="1">
          <a:extLst>
            <a:ext uri="{FF2B5EF4-FFF2-40B4-BE49-F238E27FC236}">
              <a16:creationId xmlns:a16="http://schemas.microsoft.com/office/drawing/2014/main" id="{00000000-0008-0000-0000-00008C090000}"/>
            </a:ext>
          </a:extLst>
        </xdr:cNvPr>
        <xdr:cNvSpPr txBox="1">
          <a:spLocks noChangeArrowheads="1"/>
        </xdr:cNvSpPr>
      </xdr:nvSpPr>
      <xdr:spPr bwMode="auto">
        <a:xfrm>
          <a:off x="1209675" y="72932925"/>
          <a:ext cx="2162175" cy="2162175"/>
        </a:xfrm>
        <a:prstGeom prst="rect">
          <a:avLst/>
        </a:prstGeom>
        <a:blipFill dpi="0" rotWithShape="1">
          <a:blip xmlns:r="http://schemas.openxmlformats.org/officeDocument/2006/relationships" r:embed="rId3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2272</xdr:row>
      <xdr:rowOff>66675</xdr:rowOff>
    </xdr:from>
    <xdr:to>
      <xdr:col>8</xdr:col>
      <xdr:colOff>441615</xdr:colOff>
      <xdr:row>2283</xdr:row>
      <xdr:rowOff>135082</xdr:rowOff>
    </xdr:to>
    <xdr:sp macro="" textlink="">
      <xdr:nvSpPr>
        <xdr:cNvPr id="2448" name="Text Box 1424" hidden="1">
          <a:extLst>
            <a:ext uri="{FF2B5EF4-FFF2-40B4-BE49-F238E27FC236}">
              <a16:creationId xmlns:a16="http://schemas.microsoft.com/office/drawing/2014/main" id="{00000000-0008-0000-0000-000090090000}"/>
            </a:ext>
          </a:extLst>
        </xdr:cNvPr>
        <xdr:cNvSpPr txBox="1">
          <a:spLocks noChangeArrowheads="1"/>
        </xdr:cNvSpPr>
      </xdr:nvSpPr>
      <xdr:spPr bwMode="auto">
        <a:xfrm>
          <a:off x="1133475" y="73285350"/>
          <a:ext cx="2162175" cy="2162175"/>
        </a:xfrm>
        <a:prstGeom prst="rect">
          <a:avLst/>
        </a:prstGeom>
        <a:blipFill dpi="0" rotWithShape="1">
          <a:blip xmlns:r="http://schemas.openxmlformats.org/officeDocument/2006/relationships" r:embed="rId3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2272</xdr:row>
      <xdr:rowOff>95250</xdr:rowOff>
    </xdr:from>
    <xdr:to>
      <xdr:col>8</xdr:col>
      <xdr:colOff>515217</xdr:colOff>
      <xdr:row>2283</xdr:row>
      <xdr:rowOff>163657</xdr:rowOff>
    </xdr:to>
    <xdr:sp macro="" textlink="">
      <xdr:nvSpPr>
        <xdr:cNvPr id="2452" name="Text Box 1428" hidden="1">
          <a:extLst>
            <a:ext uri="{FF2B5EF4-FFF2-40B4-BE49-F238E27FC236}">
              <a16:creationId xmlns:a16="http://schemas.microsoft.com/office/drawing/2014/main" id="{00000000-0008-0000-0000-000094090000}"/>
            </a:ext>
          </a:extLst>
        </xdr:cNvPr>
        <xdr:cNvSpPr txBox="1">
          <a:spLocks noChangeArrowheads="1"/>
        </xdr:cNvSpPr>
      </xdr:nvSpPr>
      <xdr:spPr bwMode="auto">
        <a:xfrm>
          <a:off x="1209675" y="73313925"/>
          <a:ext cx="2162175" cy="2162175"/>
        </a:xfrm>
        <a:prstGeom prst="rect">
          <a:avLst/>
        </a:prstGeom>
        <a:blipFill dpi="0" rotWithShape="1">
          <a:blip xmlns:r="http://schemas.openxmlformats.org/officeDocument/2006/relationships" r:embed="rId3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2356</xdr:row>
      <xdr:rowOff>66675</xdr:rowOff>
    </xdr:from>
    <xdr:to>
      <xdr:col>8</xdr:col>
      <xdr:colOff>441615</xdr:colOff>
      <xdr:row>2367</xdr:row>
      <xdr:rowOff>112183</xdr:rowOff>
    </xdr:to>
    <xdr:sp macro="" textlink="">
      <xdr:nvSpPr>
        <xdr:cNvPr id="2454" name="Text Box 1430" hidden="1">
          <a:extLst>
            <a:ext uri="{FF2B5EF4-FFF2-40B4-BE49-F238E27FC236}">
              <a16:creationId xmlns:a16="http://schemas.microsoft.com/office/drawing/2014/main" id="{00000000-0008-0000-0000-000096090000}"/>
            </a:ext>
          </a:extLst>
        </xdr:cNvPr>
        <xdr:cNvSpPr txBox="1">
          <a:spLocks noChangeArrowheads="1"/>
        </xdr:cNvSpPr>
      </xdr:nvSpPr>
      <xdr:spPr bwMode="auto">
        <a:xfrm>
          <a:off x="1133475" y="73666350"/>
          <a:ext cx="2162175" cy="2162175"/>
        </a:xfrm>
        <a:prstGeom prst="rect">
          <a:avLst/>
        </a:prstGeom>
        <a:blipFill dpi="0" rotWithShape="1">
          <a:blip xmlns:r="http://schemas.openxmlformats.org/officeDocument/2006/relationships" r:embed="rId3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1137</xdr:row>
      <xdr:rowOff>66675</xdr:rowOff>
    </xdr:from>
    <xdr:to>
      <xdr:col>8</xdr:col>
      <xdr:colOff>441615</xdr:colOff>
      <xdr:row>1148</xdr:row>
      <xdr:rowOff>133350</xdr:rowOff>
    </xdr:to>
    <xdr:sp macro="" textlink="">
      <xdr:nvSpPr>
        <xdr:cNvPr id="2461" name="Text Box 1437" hidden="1">
          <a:extLst>
            <a:ext uri="{FF2B5EF4-FFF2-40B4-BE49-F238E27FC236}">
              <a16:creationId xmlns:a16="http://schemas.microsoft.com/office/drawing/2014/main" id="{00000000-0008-0000-0000-00009D090000}"/>
            </a:ext>
          </a:extLst>
        </xdr:cNvPr>
        <xdr:cNvSpPr txBox="1">
          <a:spLocks noChangeArrowheads="1"/>
        </xdr:cNvSpPr>
      </xdr:nvSpPr>
      <xdr:spPr bwMode="auto">
        <a:xfrm>
          <a:off x="1133475" y="73856850"/>
          <a:ext cx="2162175" cy="2162175"/>
        </a:xfrm>
        <a:prstGeom prst="rect">
          <a:avLst/>
        </a:prstGeom>
        <a:blipFill dpi="0" rotWithShape="1">
          <a:blip xmlns:r="http://schemas.openxmlformats.org/officeDocument/2006/relationships" r:embed="rId3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2346</xdr:row>
      <xdr:rowOff>66675</xdr:rowOff>
    </xdr:from>
    <xdr:to>
      <xdr:col>8</xdr:col>
      <xdr:colOff>441615</xdr:colOff>
      <xdr:row>2357</xdr:row>
      <xdr:rowOff>133350</xdr:rowOff>
    </xdr:to>
    <xdr:sp macro="" textlink="">
      <xdr:nvSpPr>
        <xdr:cNvPr id="2465" name="Text Box 1441" hidden="1">
          <a:extLst>
            <a:ext uri="{FF2B5EF4-FFF2-40B4-BE49-F238E27FC236}">
              <a16:creationId xmlns:a16="http://schemas.microsoft.com/office/drawing/2014/main" id="{00000000-0008-0000-0000-0000A1090000}"/>
            </a:ext>
          </a:extLst>
        </xdr:cNvPr>
        <xdr:cNvSpPr txBox="1">
          <a:spLocks noChangeArrowheads="1"/>
        </xdr:cNvSpPr>
      </xdr:nvSpPr>
      <xdr:spPr bwMode="auto">
        <a:xfrm>
          <a:off x="1133475" y="74047350"/>
          <a:ext cx="2162175" cy="2162175"/>
        </a:xfrm>
        <a:prstGeom prst="rect">
          <a:avLst/>
        </a:prstGeom>
        <a:blipFill dpi="0" rotWithShape="1">
          <a:blip xmlns:r="http://schemas.openxmlformats.org/officeDocument/2006/relationships" r:embed="rId3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1681</xdr:row>
      <xdr:rowOff>66675</xdr:rowOff>
    </xdr:from>
    <xdr:to>
      <xdr:col>8</xdr:col>
      <xdr:colOff>441615</xdr:colOff>
      <xdr:row>1692</xdr:row>
      <xdr:rowOff>133350</xdr:rowOff>
    </xdr:to>
    <xdr:sp macro="" textlink="">
      <xdr:nvSpPr>
        <xdr:cNvPr id="2471" name="Text Box 1447" hidden="1">
          <a:extLst>
            <a:ext uri="{FF2B5EF4-FFF2-40B4-BE49-F238E27FC236}">
              <a16:creationId xmlns:a16="http://schemas.microsoft.com/office/drawing/2014/main" id="{00000000-0008-0000-0000-0000A7090000}"/>
            </a:ext>
          </a:extLst>
        </xdr:cNvPr>
        <xdr:cNvSpPr txBox="1">
          <a:spLocks noChangeArrowheads="1"/>
        </xdr:cNvSpPr>
      </xdr:nvSpPr>
      <xdr:spPr bwMode="auto">
        <a:xfrm>
          <a:off x="1133475" y="74237850"/>
          <a:ext cx="2162175" cy="2162175"/>
        </a:xfrm>
        <a:prstGeom prst="rect">
          <a:avLst/>
        </a:prstGeom>
        <a:blipFill dpi="0" rotWithShape="1">
          <a:blip xmlns:r="http://schemas.openxmlformats.org/officeDocument/2006/relationships" r:embed="rId3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1681</xdr:row>
      <xdr:rowOff>95250</xdr:rowOff>
    </xdr:from>
    <xdr:to>
      <xdr:col>8</xdr:col>
      <xdr:colOff>515217</xdr:colOff>
      <xdr:row>1692</xdr:row>
      <xdr:rowOff>161925</xdr:rowOff>
    </xdr:to>
    <xdr:sp macro="" textlink="">
      <xdr:nvSpPr>
        <xdr:cNvPr id="2475" name="Text Box 1451" hidden="1">
          <a:extLst>
            <a:ext uri="{FF2B5EF4-FFF2-40B4-BE49-F238E27FC236}">
              <a16:creationId xmlns:a16="http://schemas.microsoft.com/office/drawing/2014/main" id="{00000000-0008-0000-0000-0000AB090000}"/>
            </a:ext>
          </a:extLst>
        </xdr:cNvPr>
        <xdr:cNvSpPr txBox="1">
          <a:spLocks noChangeArrowheads="1"/>
        </xdr:cNvSpPr>
      </xdr:nvSpPr>
      <xdr:spPr bwMode="auto">
        <a:xfrm>
          <a:off x="1209675" y="74266425"/>
          <a:ext cx="2162175" cy="2162175"/>
        </a:xfrm>
        <a:prstGeom prst="rect">
          <a:avLst/>
        </a:prstGeom>
        <a:blipFill dpi="0" rotWithShape="1">
          <a:blip xmlns:r="http://schemas.openxmlformats.org/officeDocument/2006/relationships" r:embed="rId3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150</xdr:row>
      <xdr:rowOff>66675</xdr:rowOff>
    </xdr:from>
    <xdr:to>
      <xdr:col>8</xdr:col>
      <xdr:colOff>441615</xdr:colOff>
      <xdr:row>161</xdr:row>
      <xdr:rowOff>141817</xdr:rowOff>
    </xdr:to>
    <xdr:sp macro="" textlink="">
      <xdr:nvSpPr>
        <xdr:cNvPr id="2478" name="Text Box 1454" hidden="1">
          <a:extLst>
            <a:ext uri="{FF2B5EF4-FFF2-40B4-BE49-F238E27FC236}">
              <a16:creationId xmlns:a16="http://schemas.microsoft.com/office/drawing/2014/main" id="{00000000-0008-0000-0000-0000AE090000}"/>
            </a:ext>
          </a:extLst>
        </xdr:cNvPr>
        <xdr:cNvSpPr txBox="1">
          <a:spLocks noChangeArrowheads="1"/>
        </xdr:cNvSpPr>
      </xdr:nvSpPr>
      <xdr:spPr bwMode="auto">
        <a:xfrm>
          <a:off x="1133475" y="74618850"/>
          <a:ext cx="2162175" cy="2162175"/>
        </a:xfrm>
        <a:prstGeom prst="rect">
          <a:avLst/>
        </a:prstGeom>
        <a:blipFill dpi="0" rotWithShape="1">
          <a:blip xmlns:r="http://schemas.openxmlformats.org/officeDocument/2006/relationships" r:embed="rId3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150</xdr:row>
      <xdr:rowOff>95250</xdr:rowOff>
    </xdr:from>
    <xdr:to>
      <xdr:col>8</xdr:col>
      <xdr:colOff>515217</xdr:colOff>
      <xdr:row>161</xdr:row>
      <xdr:rowOff>170392</xdr:rowOff>
    </xdr:to>
    <xdr:sp macro="" textlink="">
      <xdr:nvSpPr>
        <xdr:cNvPr id="2481" name="Text Box 1457" hidden="1">
          <a:extLst>
            <a:ext uri="{FF2B5EF4-FFF2-40B4-BE49-F238E27FC236}">
              <a16:creationId xmlns:a16="http://schemas.microsoft.com/office/drawing/2014/main" id="{00000000-0008-0000-0000-0000B1090000}"/>
            </a:ext>
          </a:extLst>
        </xdr:cNvPr>
        <xdr:cNvSpPr txBox="1">
          <a:spLocks noChangeArrowheads="1"/>
        </xdr:cNvSpPr>
      </xdr:nvSpPr>
      <xdr:spPr bwMode="auto">
        <a:xfrm>
          <a:off x="1209675" y="74647425"/>
          <a:ext cx="2162175" cy="2162175"/>
        </a:xfrm>
        <a:prstGeom prst="rect">
          <a:avLst/>
        </a:prstGeom>
        <a:blipFill dpi="0" rotWithShape="1">
          <a:blip xmlns:r="http://schemas.openxmlformats.org/officeDocument/2006/relationships" r:embed="rId4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239</xdr:row>
      <xdr:rowOff>95250</xdr:rowOff>
    </xdr:from>
    <xdr:to>
      <xdr:col>8</xdr:col>
      <xdr:colOff>515217</xdr:colOff>
      <xdr:row>250</xdr:row>
      <xdr:rowOff>161925</xdr:rowOff>
    </xdr:to>
    <xdr:sp macro="" textlink="">
      <xdr:nvSpPr>
        <xdr:cNvPr id="2486" name="Text Box 1462" hidden="1">
          <a:extLst>
            <a:ext uri="{FF2B5EF4-FFF2-40B4-BE49-F238E27FC236}">
              <a16:creationId xmlns:a16="http://schemas.microsoft.com/office/drawing/2014/main" id="{00000000-0008-0000-0000-0000B6090000}"/>
            </a:ext>
          </a:extLst>
        </xdr:cNvPr>
        <xdr:cNvSpPr txBox="1">
          <a:spLocks noChangeArrowheads="1"/>
        </xdr:cNvSpPr>
      </xdr:nvSpPr>
      <xdr:spPr bwMode="auto">
        <a:xfrm>
          <a:off x="1209675" y="74837925"/>
          <a:ext cx="2162175" cy="2162175"/>
        </a:xfrm>
        <a:prstGeom prst="rect">
          <a:avLst/>
        </a:prstGeom>
        <a:blipFill dpi="0" rotWithShape="1">
          <a:blip xmlns:r="http://schemas.openxmlformats.org/officeDocument/2006/relationships" r:embed="rId4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1608</xdr:row>
      <xdr:rowOff>66675</xdr:rowOff>
    </xdr:from>
    <xdr:to>
      <xdr:col>8</xdr:col>
      <xdr:colOff>441615</xdr:colOff>
      <xdr:row>1619</xdr:row>
      <xdr:rowOff>123825</xdr:rowOff>
    </xdr:to>
    <xdr:sp macro="" textlink="">
      <xdr:nvSpPr>
        <xdr:cNvPr id="2492" name="Text Box 1468" hidden="1">
          <a:extLst>
            <a:ext uri="{FF2B5EF4-FFF2-40B4-BE49-F238E27FC236}">
              <a16:creationId xmlns:a16="http://schemas.microsoft.com/office/drawing/2014/main" id="{00000000-0008-0000-0000-0000BC090000}"/>
            </a:ext>
          </a:extLst>
        </xdr:cNvPr>
        <xdr:cNvSpPr txBox="1">
          <a:spLocks noChangeArrowheads="1"/>
        </xdr:cNvSpPr>
      </xdr:nvSpPr>
      <xdr:spPr bwMode="auto">
        <a:xfrm>
          <a:off x="1133475" y="75190350"/>
          <a:ext cx="2162175" cy="2162175"/>
        </a:xfrm>
        <a:prstGeom prst="rect">
          <a:avLst/>
        </a:prstGeom>
        <a:blipFill dpi="0" rotWithShape="1">
          <a:blip xmlns:r="http://schemas.openxmlformats.org/officeDocument/2006/relationships" r:embed="rId4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2872</xdr:row>
      <xdr:rowOff>66675</xdr:rowOff>
    </xdr:from>
    <xdr:to>
      <xdr:col>8</xdr:col>
      <xdr:colOff>441615</xdr:colOff>
      <xdr:row>2883</xdr:row>
      <xdr:rowOff>161925</xdr:rowOff>
    </xdr:to>
    <xdr:sp macro="" textlink="">
      <xdr:nvSpPr>
        <xdr:cNvPr id="2495" name="Text Box 1471" hidden="1">
          <a:extLst>
            <a:ext uri="{FF2B5EF4-FFF2-40B4-BE49-F238E27FC236}">
              <a16:creationId xmlns:a16="http://schemas.microsoft.com/office/drawing/2014/main" id="{00000000-0008-0000-0000-0000BF090000}"/>
            </a:ext>
          </a:extLst>
        </xdr:cNvPr>
        <xdr:cNvSpPr txBox="1">
          <a:spLocks noChangeArrowheads="1"/>
        </xdr:cNvSpPr>
      </xdr:nvSpPr>
      <xdr:spPr bwMode="auto">
        <a:xfrm>
          <a:off x="1133475" y="75380850"/>
          <a:ext cx="2162175" cy="2162175"/>
        </a:xfrm>
        <a:prstGeom prst="rect">
          <a:avLst/>
        </a:prstGeom>
        <a:blipFill dpi="0" rotWithShape="1">
          <a:blip xmlns:r="http://schemas.openxmlformats.org/officeDocument/2006/relationships" r:embed="rId4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2872</xdr:row>
      <xdr:rowOff>95250</xdr:rowOff>
    </xdr:from>
    <xdr:to>
      <xdr:col>8</xdr:col>
      <xdr:colOff>515217</xdr:colOff>
      <xdr:row>2884</xdr:row>
      <xdr:rowOff>0</xdr:rowOff>
    </xdr:to>
    <xdr:sp macro="" textlink="">
      <xdr:nvSpPr>
        <xdr:cNvPr id="2498" name="Text Box 1474" hidden="1">
          <a:extLst>
            <a:ext uri="{FF2B5EF4-FFF2-40B4-BE49-F238E27FC236}">
              <a16:creationId xmlns:a16="http://schemas.microsoft.com/office/drawing/2014/main" id="{00000000-0008-0000-0000-0000C2090000}"/>
            </a:ext>
          </a:extLst>
        </xdr:cNvPr>
        <xdr:cNvSpPr txBox="1">
          <a:spLocks noChangeArrowheads="1"/>
        </xdr:cNvSpPr>
      </xdr:nvSpPr>
      <xdr:spPr bwMode="auto">
        <a:xfrm>
          <a:off x="1209675" y="75409425"/>
          <a:ext cx="2162175" cy="2162175"/>
        </a:xfrm>
        <a:prstGeom prst="rect">
          <a:avLst/>
        </a:prstGeom>
        <a:blipFill dpi="0" rotWithShape="1">
          <a:blip xmlns:r="http://schemas.openxmlformats.org/officeDocument/2006/relationships" r:embed="rId4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1515</xdr:row>
      <xdr:rowOff>66675</xdr:rowOff>
    </xdr:from>
    <xdr:to>
      <xdr:col>8</xdr:col>
      <xdr:colOff>441615</xdr:colOff>
      <xdr:row>1526</xdr:row>
      <xdr:rowOff>133350</xdr:rowOff>
    </xdr:to>
    <xdr:sp macro="" textlink="">
      <xdr:nvSpPr>
        <xdr:cNvPr id="2502" name="Text Box 1478" hidden="1">
          <a:extLst>
            <a:ext uri="{FF2B5EF4-FFF2-40B4-BE49-F238E27FC236}">
              <a16:creationId xmlns:a16="http://schemas.microsoft.com/office/drawing/2014/main" id="{00000000-0008-0000-0000-0000C6090000}"/>
            </a:ext>
          </a:extLst>
        </xdr:cNvPr>
        <xdr:cNvSpPr txBox="1">
          <a:spLocks noChangeArrowheads="1"/>
        </xdr:cNvSpPr>
      </xdr:nvSpPr>
      <xdr:spPr bwMode="auto">
        <a:xfrm>
          <a:off x="1133475" y="75761850"/>
          <a:ext cx="2162175" cy="2162175"/>
        </a:xfrm>
        <a:prstGeom prst="rect">
          <a:avLst/>
        </a:prstGeom>
        <a:blipFill dpi="0" rotWithShape="1">
          <a:blip xmlns:r="http://schemas.openxmlformats.org/officeDocument/2006/relationships" r:embed="rId4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2492</xdr:row>
      <xdr:rowOff>66675</xdr:rowOff>
    </xdr:from>
    <xdr:to>
      <xdr:col>8</xdr:col>
      <xdr:colOff>441615</xdr:colOff>
      <xdr:row>2503</xdr:row>
      <xdr:rowOff>133350</xdr:rowOff>
    </xdr:to>
    <xdr:sp macro="" textlink="">
      <xdr:nvSpPr>
        <xdr:cNvPr id="2505" name="Text Box 1481" hidden="1">
          <a:extLst>
            <a:ext uri="{FF2B5EF4-FFF2-40B4-BE49-F238E27FC236}">
              <a16:creationId xmlns:a16="http://schemas.microsoft.com/office/drawing/2014/main" id="{00000000-0008-0000-0000-0000C9090000}"/>
            </a:ext>
          </a:extLst>
        </xdr:cNvPr>
        <xdr:cNvSpPr txBox="1">
          <a:spLocks noChangeArrowheads="1"/>
        </xdr:cNvSpPr>
      </xdr:nvSpPr>
      <xdr:spPr bwMode="auto">
        <a:xfrm>
          <a:off x="1133475" y="75952350"/>
          <a:ext cx="2162175" cy="2162175"/>
        </a:xfrm>
        <a:prstGeom prst="rect">
          <a:avLst/>
        </a:prstGeom>
        <a:blipFill dpi="0" rotWithShape="1">
          <a:blip xmlns:r="http://schemas.openxmlformats.org/officeDocument/2006/relationships" r:embed="rId4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1437</xdr:row>
      <xdr:rowOff>66675</xdr:rowOff>
    </xdr:from>
    <xdr:to>
      <xdr:col>8</xdr:col>
      <xdr:colOff>441615</xdr:colOff>
      <xdr:row>1448</xdr:row>
      <xdr:rowOff>133350</xdr:rowOff>
    </xdr:to>
    <xdr:sp macro="" textlink="">
      <xdr:nvSpPr>
        <xdr:cNvPr id="2509" name="Text Box 1485" hidden="1">
          <a:extLst>
            <a:ext uri="{FF2B5EF4-FFF2-40B4-BE49-F238E27FC236}">
              <a16:creationId xmlns:a16="http://schemas.microsoft.com/office/drawing/2014/main" id="{00000000-0008-0000-0000-0000CD090000}"/>
            </a:ext>
          </a:extLst>
        </xdr:cNvPr>
        <xdr:cNvSpPr txBox="1">
          <a:spLocks noChangeArrowheads="1"/>
        </xdr:cNvSpPr>
      </xdr:nvSpPr>
      <xdr:spPr bwMode="auto">
        <a:xfrm>
          <a:off x="1133475" y="76142850"/>
          <a:ext cx="2162175" cy="2162175"/>
        </a:xfrm>
        <a:prstGeom prst="rect">
          <a:avLst/>
        </a:prstGeom>
        <a:blipFill dpi="0" rotWithShape="1">
          <a:blip xmlns:r="http://schemas.openxmlformats.org/officeDocument/2006/relationships" r:embed="rId4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407</xdr:row>
      <xdr:rowOff>66675</xdr:rowOff>
    </xdr:from>
    <xdr:to>
      <xdr:col>8</xdr:col>
      <xdr:colOff>441615</xdr:colOff>
      <xdr:row>418</xdr:row>
      <xdr:rowOff>133350</xdr:rowOff>
    </xdr:to>
    <xdr:sp macro="" textlink="">
      <xdr:nvSpPr>
        <xdr:cNvPr id="2512" name="Text Box 1488" hidden="1">
          <a:extLst>
            <a:ext uri="{FF2B5EF4-FFF2-40B4-BE49-F238E27FC236}">
              <a16:creationId xmlns:a16="http://schemas.microsoft.com/office/drawing/2014/main" id="{00000000-0008-0000-0000-0000D0090000}"/>
            </a:ext>
          </a:extLst>
        </xdr:cNvPr>
        <xdr:cNvSpPr txBox="1">
          <a:spLocks noChangeArrowheads="1"/>
        </xdr:cNvSpPr>
      </xdr:nvSpPr>
      <xdr:spPr bwMode="auto">
        <a:xfrm>
          <a:off x="1133475" y="76333350"/>
          <a:ext cx="2162175" cy="2162175"/>
        </a:xfrm>
        <a:prstGeom prst="rect">
          <a:avLst/>
        </a:prstGeom>
        <a:blipFill dpi="0" rotWithShape="1">
          <a:blip xmlns:r="http://schemas.openxmlformats.org/officeDocument/2006/relationships" r:embed="rId4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2693</xdr:row>
      <xdr:rowOff>66675</xdr:rowOff>
    </xdr:from>
    <xdr:to>
      <xdr:col>8</xdr:col>
      <xdr:colOff>441615</xdr:colOff>
      <xdr:row>2704</xdr:row>
      <xdr:rowOff>133350</xdr:rowOff>
    </xdr:to>
    <xdr:sp macro="" textlink="">
      <xdr:nvSpPr>
        <xdr:cNvPr id="2517" name="Text Box 1493" hidden="1">
          <a:extLst>
            <a:ext uri="{FF2B5EF4-FFF2-40B4-BE49-F238E27FC236}">
              <a16:creationId xmlns:a16="http://schemas.microsoft.com/office/drawing/2014/main" id="{00000000-0008-0000-0000-0000D5090000}"/>
            </a:ext>
          </a:extLst>
        </xdr:cNvPr>
        <xdr:cNvSpPr txBox="1">
          <a:spLocks noChangeArrowheads="1"/>
        </xdr:cNvSpPr>
      </xdr:nvSpPr>
      <xdr:spPr bwMode="auto">
        <a:xfrm>
          <a:off x="1133475" y="76523850"/>
          <a:ext cx="2162175" cy="2162175"/>
        </a:xfrm>
        <a:prstGeom prst="rect">
          <a:avLst/>
        </a:prstGeom>
        <a:blipFill dpi="0" rotWithShape="1">
          <a:blip xmlns:r="http://schemas.openxmlformats.org/officeDocument/2006/relationships" r:embed="rId4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698</xdr:row>
      <xdr:rowOff>66675</xdr:rowOff>
    </xdr:from>
    <xdr:to>
      <xdr:col>8</xdr:col>
      <xdr:colOff>441615</xdr:colOff>
      <xdr:row>709</xdr:row>
      <xdr:rowOff>133350</xdr:rowOff>
    </xdr:to>
    <xdr:sp macro="" textlink="">
      <xdr:nvSpPr>
        <xdr:cNvPr id="2521" name="Text Box 1497" hidden="1">
          <a:extLst>
            <a:ext uri="{FF2B5EF4-FFF2-40B4-BE49-F238E27FC236}">
              <a16:creationId xmlns:a16="http://schemas.microsoft.com/office/drawing/2014/main" id="{00000000-0008-0000-0000-0000D9090000}"/>
            </a:ext>
          </a:extLst>
        </xdr:cNvPr>
        <xdr:cNvSpPr txBox="1">
          <a:spLocks noChangeArrowheads="1"/>
        </xdr:cNvSpPr>
      </xdr:nvSpPr>
      <xdr:spPr bwMode="auto">
        <a:xfrm>
          <a:off x="1133475" y="76714350"/>
          <a:ext cx="2162175" cy="2162175"/>
        </a:xfrm>
        <a:prstGeom prst="rect">
          <a:avLst/>
        </a:prstGeom>
        <a:blipFill dpi="0" rotWithShape="1">
          <a:blip xmlns:r="http://schemas.openxmlformats.org/officeDocument/2006/relationships" r:embed="rId5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2807</xdr:row>
      <xdr:rowOff>66675</xdr:rowOff>
    </xdr:from>
    <xdr:to>
      <xdr:col>8</xdr:col>
      <xdr:colOff>441615</xdr:colOff>
      <xdr:row>2818</xdr:row>
      <xdr:rowOff>133350</xdr:rowOff>
    </xdr:to>
    <xdr:sp macro="" textlink="">
      <xdr:nvSpPr>
        <xdr:cNvPr id="2525" name="Text Box 1501" hidden="1">
          <a:extLst>
            <a:ext uri="{FF2B5EF4-FFF2-40B4-BE49-F238E27FC236}">
              <a16:creationId xmlns:a16="http://schemas.microsoft.com/office/drawing/2014/main" id="{00000000-0008-0000-0000-0000DD090000}"/>
            </a:ext>
          </a:extLst>
        </xdr:cNvPr>
        <xdr:cNvSpPr txBox="1">
          <a:spLocks noChangeArrowheads="1"/>
        </xdr:cNvSpPr>
      </xdr:nvSpPr>
      <xdr:spPr bwMode="auto">
        <a:xfrm>
          <a:off x="1133475" y="76904850"/>
          <a:ext cx="2162175" cy="2162175"/>
        </a:xfrm>
        <a:prstGeom prst="rect">
          <a:avLst/>
        </a:prstGeom>
        <a:blipFill dpi="0" rotWithShape="1">
          <a:blip xmlns:r="http://schemas.openxmlformats.org/officeDocument/2006/relationships" r:embed="rId5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170</xdr:row>
      <xdr:rowOff>66675</xdr:rowOff>
    </xdr:from>
    <xdr:to>
      <xdr:col>8</xdr:col>
      <xdr:colOff>441615</xdr:colOff>
      <xdr:row>181</xdr:row>
      <xdr:rowOff>133350</xdr:rowOff>
    </xdr:to>
    <xdr:sp macro="" textlink="">
      <xdr:nvSpPr>
        <xdr:cNvPr id="2532" name="Text Box 1508" hidden="1">
          <a:extLst>
            <a:ext uri="{FF2B5EF4-FFF2-40B4-BE49-F238E27FC236}">
              <a16:creationId xmlns:a16="http://schemas.microsoft.com/office/drawing/2014/main" id="{00000000-0008-0000-0000-0000E4090000}"/>
            </a:ext>
          </a:extLst>
        </xdr:cNvPr>
        <xdr:cNvSpPr txBox="1">
          <a:spLocks noChangeArrowheads="1"/>
        </xdr:cNvSpPr>
      </xdr:nvSpPr>
      <xdr:spPr bwMode="auto">
        <a:xfrm>
          <a:off x="1133475" y="77095350"/>
          <a:ext cx="2162175" cy="2162175"/>
        </a:xfrm>
        <a:prstGeom prst="rect">
          <a:avLst/>
        </a:prstGeom>
        <a:blipFill dpi="0" rotWithShape="1">
          <a:blip xmlns:r="http://schemas.openxmlformats.org/officeDocument/2006/relationships" r:embed="rId5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2480</xdr:row>
      <xdr:rowOff>66675</xdr:rowOff>
    </xdr:from>
    <xdr:to>
      <xdr:col>8</xdr:col>
      <xdr:colOff>441615</xdr:colOff>
      <xdr:row>2491</xdr:row>
      <xdr:rowOff>133350</xdr:rowOff>
    </xdr:to>
    <xdr:sp macro="" textlink="">
      <xdr:nvSpPr>
        <xdr:cNvPr id="2537" name="Text Box 1513" hidden="1">
          <a:extLst>
            <a:ext uri="{FF2B5EF4-FFF2-40B4-BE49-F238E27FC236}">
              <a16:creationId xmlns:a16="http://schemas.microsoft.com/office/drawing/2014/main" id="{00000000-0008-0000-0000-0000E9090000}"/>
            </a:ext>
          </a:extLst>
        </xdr:cNvPr>
        <xdr:cNvSpPr txBox="1">
          <a:spLocks noChangeArrowheads="1"/>
        </xdr:cNvSpPr>
      </xdr:nvSpPr>
      <xdr:spPr bwMode="auto">
        <a:xfrm>
          <a:off x="1133475" y="77285850"/>
          <a:ext cx="2162175" cy="2162175"/>
        </a:xfrm>
        <a:prstGeom prst="rect">
          <a:avLst/>
        </a:prstGeom>
        <a:blipFill dpi="0" rotWithShape="1">
          <a:blip xmlns:r="http://schemas.openxmlformats.org/officeDocument/2006/relationships" r:embed="rId5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758</xdr:row>
      <xdr:rowOff>66675</xdr:rowOff>
    </xdr:from>
    <xdr:to>
      <xdr:col>8</xdr:col>
      <xdr:colOff>441615</xdr:colOff>
      <xdr:row>769</xdr:row>
      <xdr:rowOff>133350</xdr:rowOff>
    </xdr:to>
    <xdr:sp macro="" textlink="">
      <xdr:nvSpPr>
        <xdr:cNvPr id="2544" name="Text Box 1520" hidden="1">
          <a:extLst>
            <a:ext uri="{FF2B5EF4-FFF2-40B4-BE49-F238E27FC236}">
              <a16:creationId xmlns:a16="http://schemas.microsoft.com/office/drawing/2014/main" id="{00000000-0008-0000-0000-0000F0090000}"/>
            </a:ext>
          </a:extLst>
        </xdr:cNvPr>
        <xdr:cNvSpPr txBox="1">
          <a:spLocks noChangeArrowheads="1"/>
        </xdr:cNvSpPr>
      </xdr:nvSpPr>
      <xdr:spPr bwMode="auto">
        <a:xfrm>
          <a:off x="1133475" y="77476350"/>
          <a:ext cx="2162175" cy="2162175"/>
        </a:xfrm>
        <a:prstGeom prst="rect">
          <a:avLst/>
        </a:prstGeom>
        <a:blipFill dpi="0" rotWithShape="1">
          <a:blip xmlns:r="http://schemas.openxmlformats.org/officeDocument/2006/relationships" r:embed="rId5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758</xdr:row>
      <xdr:rowOff>95250</xdr:rowOff>
    </xdr:from>
    <xdr:to>
      <xdr:col>8</xdr:col>
      <xdr:colOff>515217</xdr:colOff>
      <xdr:row>769</xdr:row>
      <xdr:rowOff>161925</xdr:rowOff>
    </xdr:to>
    <xdr:sp macro="" textlink="">
      <xdr:nvSpPr>
        <xdr:cNvPr id="2548" name="Text Box 1524" hidden="1">
          <a:extLst>
            <a:ext uri="{FF2B5EF4-FFF2-40B4-BE49-F238E27FC236}">
              <a16:creationId xmlns:a16="http://schemas.microsoft.com/office/drawing/2014/main" id="{00000000-0008-0000-0000-0000F4090000}"/>
            </a:ext>
          </a:extLst>
        </xdr:cNvPr>
        <xdr:cNvSpPr txBox="1">
          <a:spLocks noChangeArrowheads="1"/>
        </xdr:cNvSpPr>
      </xdr:nvSpPr>
      <xdr:spPr bwMode="auto">
        <a:xfrm>
          <a:off x="1209675" y="77504925"/>
          <a:ext cx="2162175" cy="2162175"/>
        </a:xfrm>
        <a:prstGeom prst="rect">
          <a:avLst/>
        </a:prstGeom>
        <a:blipFill dpi="0" rotWithShape="1">
          <a:blip xmlns:r="http://schemas.openxmlformats.org/officeDocument/2006/relationships" r:embed="rId5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927</xdr:row>
      <xdr:rowOff>66675</xdr:rowOff>
    </xdr:from>
    <xdr:to>
      <xdr:col>8</xdr:col>
      <xdr:colOff>441615</xdr:colOff>
      <xdr:row>938</xdr:row>
      <xdr:rowOff>133350</xdr:rowOff>
    </xdr:to>
    <xdr:sp macro="" textlink="">
      <xdr:nvSpPr>
        <xdr:cNvPr id="2554" name="Text Box 1530" hidden="1">
          <a:extLst>
            <a:ext uri="{FF2B5EF4-FFF2-40B4-BE49-F238E27FC236}">
              <a16:creationId xmlns:a16="http://schemas.microsoft.com/office/drawing/2014/main" id="{00000000-0008-0000-0000-0000FA090000}"/>
            </a:ext>
          </a:extLst>
        </xdr:cNvPr>
        <xdr:cNvSpPr txBox="1">
          <a:spLocks noChangeArrowheads="1"/>
        </xdr:cNvSpPr>
      </xdr:nvSpPr>
      <xdr:spPr bwMode="auto">
        <a:xfrm>
          <a:off x="1133475" y="77857350"/>
          <a:ext cx="2162175" cy="2162175"/>
        </a:xfrm>
        <a:prstGeom prst="rect">
          <a:avLst/>
        </a:prstGeom>
        <a:blipFill dpi="0" rotWithShape="1">
          <a:blip xmlns:r="http://schemas.openxmlformats.org/officeDocument/2006/relationships" r:embed="rId5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1454</xdr:row>
      <xdr:rowOff>66675</xdr:rowOff>
    </xdr:from>
    <xdr:to>
      <xdr:col>8</xdr:col>
      <xdr:colOff>441615</xdr:colOff>
      <xdr:row>1465</xdr:row>
      <xdr:rowOff>133350</xdr:rowOff>
    </xdr:to>
    <xdr:sp macro="" textlink="">
      <xdr:nvSpPr>
        <xdr:cNvPr id="2557" name="Text Box 1533" hidden="1">
          <a:extLst>
            <a:ext uri="{FF2B5EF4-FFF2-40B4-BE49-F238E27FC236}">
              <a16:creationId xmlns:a16="http://schemas.microsoft.com/office/drawing/2014/main" id="{00000000-0008-0000-0000-0000FD090000}"/>
            </a:ext>
          </a:extLst>
        </xdr:cNvPr>
        <xdr:cNvSpPr txBox="1">
          <a:spLocks noChangeArrowheads="1"/>
        </xdr:cNvSpPr>
      </xdr:nvSpPr>
      <xdr:spPr bwMode="auto">
        <a:xfrm>
          <a:off x="1133475" y="78047850"/>
          <a:ext cx="2162175" cy="2162175"/>
        </a:xfrm>
        <a:prstGeom prst="rect">
          <a:avLst/>
        </a:prstGeom>
        <a:blipFill dpi="0" rotWithShape="1">
          <a:blip xmlns:r="http://schemas.openxmlformats.org/officeDocument/2006/relationships" r:embed="rId5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1454</xdr:row>
      <xdr:rowOff>95250</xdr:rowOff>
    </xdr:from>
    <xdr:to>
      <xdr:col>8</xdr:col>
      <xdr:colOff>515217</xdr:colOff>
      <xdr:row>1465</xdr:row>
      <xdr:rowOff>161925</xdr:rowOff>
    </xdr:to>
    <xdr:sp macro="" textlink="">
      <xdr:nvSpPr>
        <xdr:cNvPr id="2560" name="Text Box 1536" hidden="1">
          <a:extLst>
            <a:ext uri="{FF2B5EF4-FFF2-40B4-BE49-F238E27FC236}">
              <a16:creationId xmlns:a16="http://schemas.microsoft.com/office/drawing/2014/main" id="{00000000-0008-0000-0000-0000000A0000}"/>
            </a:ext>
          </a:extLst>
        </xdr:cNvPr>
        <xdr:cNvSpPr txBox="1">
          <a:spLocks noChangeArrowheads="1"/>
        </xdr:cNvSpPr>
      </xdr:nvSpPr>
      <xdr:spPr bwMode="auto">
        <a:xfrm>
          <a:off x="1209675" y="78076425"/>
          <a:ext cx="2162175" cy="2162175"/>
        </a:xfrm>
        <a:prstGeom prst="rect">
          <a:avLst/>
        </a:prstGeom>
        <a:blipFill dpi="0" rotWithShape="1">
          <a:blip xmlns:r="http://schemas.openxmlformats.org/officeDocument/2006/relationships" r:embed="rId5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875</xdr:row>
      <xdr:rowOff>66675</xdr:rowOff>
    </xdr:from>
    <xdr:to>
      <xdr:col>8</xdr:col>
      <xdr:colOff>441615</xdr:colOff>
      <xdr:row>886</xdr:row>
      <xdr:rowOff>133350</xdr:rowOff>
    </xdr:to>
    <xdr:sp macro="" textlink="">
      <xdr:nvSpPr>
        <xdr:cNvPr id="2563" name="Text Box 1539" hidden="1">
          <a:extLst>
            <a:ext uri="{FF2B5EF4-FFF2-40B4-BE49-F238E27FC236}">
              <a16:creationId xmlns:a16="http://schemas.microsoft.com/office/drawing/2014/main" id="{00000000-0008-0000-0000-0000030A0000}"/>
            </a:ext>
          </a:extLst>
        </xdr:cNvPr>
        <xdr:cNvSpPr txBox="1">
          <a:spLocks noChangeArrowheads="1"/>
        </xdr:cNvSpPr>
      </xdr:nvSpPr>
      <xdr:spPr bwMode="auto">
        <a:xfrm>
          <a:off x="1133475" y="78428850"/>
          <a:ext cx="2162175" cy="2162175"/>
        </a:xfrm>
        <a:prstGeom prst="rect">
          <a:avLst/>
        </a:prstGeom>
        <a:blipFill dpi="0" rotWithShape="1">
          <a:blip xmlns:r="http://schemas.openxmlformats.org/officeDocument/2006/relationships" r:embed="rId5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875</xdr:row>
      <xdr:rowOff>95250</xdr:rowOff>
    </xdr:from>
    <xdr:to>
      <xdr:col>8</xdr:col>
      <xdr:colOff>515217</xdr:colOff>
      <xdr:row>886</xdr:row>
      <xdr:rowOff>161925</xdr:rowOff>
    </xdr:to>
    <xdr:sp macro="" textlink="">
      <xdr:nvSpPr>
        <xdr:cNvPr id="2567" name="Text Box 1543" hidden="1">
          <a:extLst>
            <a:ext uri="{FF2B5EF4-FFF2-40B4-BE49-F238E27FC236}">
              <a16:creationId xmlns:a16="http://schemas.microsoft.com/office/drawing/2014/main" id="{00000000-0008-0000-0000-0000070A0000}"/>
            </a:ext>
          </a:extLst>
        </xdr:cNvPr>
        <xdr:cNvSpPr txBox="1">
          <a:spLocks noChangeArrowheads="1"/>
        </xdr:cNvSpPr>
      </xdr:nvSpPr>
      <xdr:spPr bwMode="auto">
        <a:xfrm>
          <a:off x="1209675" y="78457425"/>
          <a:ext cx="2162175" cy="2162175"/>
        </a:xfrm>
        <a:prstGeom prst="rect">
          <a:avLst/>
        </a:prstGeom>
        <a:blipFill dpi="0" rotWithShape="1">
          <a:blip xmlns:r="http://schemas.openxmlformats.org/officeDocument/2006/relationships" r:embed="rId6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3153</xdr:row>
      <xdr:rowOff>95250</xdr:rowOff>
    </xdr:from>
    <xdr:to>
      <xdr:col>8</xdr:col>
      <xdr:colOff>515217</xdr:colOff>
      <xdr:row>3164</xdr:row>
      <xdr:rowOff>142875</xdr:rowOff>
    </xdr:to>
    <xdr:sp macro="" textlink="">
      <xdr:nvSpPr>
        <xdr:cNvPr id="2572" name="Text Box 1548" hidden="1">
          <a:extLst>
            <a:ext uri="{FF2B5EF4-FFF2-40B4-BE49-F238E27FC236}">
              <a16:creationId xmlns:a16="http://schemas.microsoft.com/office/drawing/2014/main" id="{00000000-0008-0000-0000-00000C0A0000}"/>
            </a:ext>
          </a:extLst>
        </xdr:cNvPr>
        <xdr:cNvSpPr txBox="1">
          <a:spLocks noChangeArrowheads="1"/>
        </xdr:cNvSpPr>
      </xdr:nvSpPr>
      <xdr:spPr bwMode="auto">
        <a:xfrm>
          <a:off x="1209675" y="78647925"/>
          <a:ext cx="2162175" cy="2162175"/>
        </a:xfrm>
        <a:prstGeom prst="rect">
          <a:avLst/>
        </a:prstGeom>
        <a:blipFill dpi="0" rotWithShape="1">
          <a:blip xmlns:r="http://schemas.openxmlformats.org/officeDocument/2006/relationships" r:embed="rId6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2618</xdr:row>
      <xdr:rowOff>66675</xdr:rowOff>
    </xdr:from>
    <xdr:to>
      <xdr:col>8</xdr:col>
      <xdr:colOff>441615</xdr:colOff>
      <xdr:row>2629</xdr:row>
      <xdr:rowOff>133350</xdr:rowOff>
    </xdr:to>
    <xdr:sp macro="" textlink="">
      <xdr:nvSpPr>
        <xdr:cNvPr id="2577" name="Text Box 1553" hidden="1">
          <a:extLst>
            <a:ext uri="{FF2B5EF4-FFF2-40B4-BE49-F238E27FC236}">
              <a16:creationId xmlns:a16="http://schemas.microsoft.com/office/drawing/2014/main" id="{00000000-0008-0000-0000-0000110A0000}"/>
            </a:ext>
          </a:extLst>
        </xdr:cNvPr>
        <xdr:cNvSpPr txBox="1">
          <a:spLocks noChangeArrowheads="1"/>
        </xdr:cNvSpPr>
      </xdr:nvSpPr>
      <xdr:spPr bwMode="auto">
        <a:xfrm>
          <a:off x="1133475" y="79000350"/>
          <a:ext cx="2162175" cy="2162175"/>
        </a:xfrm>
        <a:prstGeom prst="rect">
          <a:avLst/>
        </a:prstGeom>
        <a:blipFill dpi="0" rotWithShape="1">
          <a:blip xmlns:r="http://schemas.openxmlformats.org/officeDocument/2006/relationships" r:embed="rId6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725</xdr:row>
      <xdr:rowOff>66675</xdr:rowOff>
    </xdr:from>
    <xdr:to>
      <xdr:col>8</xdr:col>
      <xdr:colOff>441615</xdr:colOff>
      <xdr:row>736</xdr:row>
      <xdr:rowOff>101600</xdr:rowOff>
    </xdr:to>
    <xdr:sp macro="" textlink="">
      <xdr:nvSpPr>
        <xdr:cNvPr id="2581" name="Text Box 1557" hidden="1">
          <a:extLst>
            <a:ext uri="{FF2B5EF4-FFF2-40B4-BE49-F238E27FC236}">
              <a16:creationId xmlns:a16="http://schemas.microsoft.com/office/drawing/2014/main" id="{00000000-0008-0000-0000-0000150A0000}"/>
            </a:ext>
          </a:extLst>
        </xdr:cNvPr>
        <xdr:cNvSpPr txBox="1">
          <a:spLocks noChangeArrowheads="1"/>
        </xdr:cNvSpPr>
      </xdr:nvSpPr>
      <xdr:spPr bwMode="auto">
        <a:xfrm>
          <a:off x="1133475" y="79190850"/>
          <a:ext cx="2162175" cy="2162175"/>
        </a:xfrm>
        <a:prstGeom prst="rect">
          <a:avLst/>
        </a:prstGeom>
        <a:blipFill dpi="0" rotWithShape="1">
          <a:blip xmlns:r="http://schemas.openxmlformats.org/officeDocument/2006/relationships" r:embed="rId6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725</xdr:row>
      <xdr:rowOff>95250</xdr:rowOff>
    </xdr:from>
    <xdr:to>
      <xdr:col>8</xdr:col>
      <xdr:colOff>515217</xdr:colOff>
      <xdr:row>736</xdr:row>
      <xdr:rowOff>130175</xdr:rowOff>
    </xdr:to>
    <xdr:sp macro="" textlink="">
      <xdr:nvSpPr>
        <xdr:cNvPr id="2589" name="Text Box 1565" hidden="1">
          <a:extLst>
            <a:ext uri="{FF2B5EF4-FFF2-40B4-BE49-F238E27FC236}">
              <a16:creationId xmlns:a16="http://schemas.microsoft.com/office/drawing/2014/main" id="{00000000-0008-0000-0000-00001D0A0000}"/>
            </a:ext>
          </a:extLst>
        </xdr:cNvPr>
        <xdr:cNvSpPr txBox="1">
          <a:spLocks noChangeArrowheads="1"/>
        </xdr:cNvSpPr>
      </xdr:nvSpPr>
      <xdr:spPr bwMode="auto">
        <a:xfrm>
          <a:off x="1209675" y="79219425"/>
          <a:ext cx="2162175" cy="2162175"/>
        </a:xfrm>
        <a:prstGeom prst="rect">
          <a:avLst/>
        </a:prstGeom>
        <a:blipFill dpi="0" rotWithShape="1">
          <a:blip xmlns:r="http://schemas.openxmlformats.org/officeDocument/2006/relationships" r:embed="rId6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826</xdr:row>
      <xdr:rowOff>66675</xdr:rowOff>
    </xdr:from>
    <xdr:to>
      <xdr:col>8</xdr:col>
      <xdr:colOff>441615</xdr:colOff>
      <xdr:row>837</xdr:row>
      <xdr:rowOff>169333</xdr:rowOff>
    </xdr:to>
    <xdr:sp macro="" textlink="">
      <xdr:nvSpPr>
        <xdr:cNvPr id="2596" name="Text Box 1572" hidden="1">
          <a:extLst>
            <a:ext uri="{FF2B5EF4-FFF2-40B4-BE49-F238E27FC236}">
              <a16:creationId xmlns:a16="http://schemas.microsoft.com/office/drawing/2014/main" id="{00000000-0008-0000-0000-0000240A0000}"/>
            </a:ext>
          </a:extLst>
        </xdr:cNvPr>
        <xdr:cNvSpPr txBox="1">
          <a:spLocks noChangeArrowheads="1"/>
        </xdr:cNvSpPr>
      </xdr:nvSpPr>
      <xdr:spPr bwMode="auto">
        <a:xfrm>
          <a:off x="1133475" y="79571850"/>
          <a:ext cx="2162175" cy="2162175"/>
        </a:xfrm>
        <a:prstGeom prst="rect">
          <a:avLst/>
        </a:prstGeom>
        <a:blipFill dpi="0" rotWithShape="1">
          <a:blip xmlns:r="http://schemas.openxmlformats.org/officeDocument/2006/relationships" r:embed="rId6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142875</xdr:colOff>
      <xdr:row>826</xdr:row>
      <xdr:rowOff>95250</xdr:rowOff>
    </xdr:from>
    <xdr:to>
      <xdr:col>8</xdr:col>
      <xdr:colOff>515217</xdr:colOff>
      <xdr:row>838</xdr:row>
      <xdr:rowOff>16933</xdr:rowOff>
    </xdr:to>
    <xdr:sp macro="" textlink="">
      <xdr:nvSpPr>
        <xdr:cNvPr id="2600" name="Text Box 1576" hidden="1">
          <a:extLst>
            <a:ext uri="{FF2B5EF4-FFF2-40B4-BE49-F238E27FC236}">
              <a16:creationId xmlns:a16="http://schemas.microsoft.com/office/drawing/2014/main" id="{00000000-0008-0000-0000-0000280A0000}"/>
            </a:ext>
          </a:extLst>
        </xdr:cNvPr>
        <xdr:cNvSpPr txBox="1">
          <a:spLocks noChangeArrowheads="1"/>
        </xdr:cNvSpPr>
      </xdr:nvSpPr>
      <xdr:spPr bwMode="auto">
        <a:xfrm>
          <a:off x="1209675" y="79600425"/>
          <a:ext cx="2162175" cy="2162175"/>
        </a:xfrm>
        <a:prstGeom prst="rect">
          <a:avLst/>
        </a:prstGeom>
        <a:blipFill dpi="0" rotWithShape="1">
          <a:blip xmlns:r="http://schemas.openxmlformats.org/officeDocument/2006/relationships" r:embed="rId6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2088</xdr:row>
      <xdr:rowOff>66675</xdr:rowOff>
    </xdr:from>
    <xdr:to>
      <xdr:col>8</xdr:col>
      <xdr:colOff>441615</xdr:colOff>
      <xdr:row>2099</xdr:row>
      <xdr:rowOff>133350</xdr:rowOff>
    </xdr:to>
    <xdr:sp macro="" textlink="">
      <xdr:nvSpPr>
        <xdr:cNvPr id="2605" name="Text Box 1581" hidden="1">
          <a:extLst>
            <a:ext uri="{FF2B5EF4-FFF2-40B4-BE49-F238E27FC236}">
              <a16:creationId xmlns:a16="http://schemas.microsoft.com/office/drawing/2014/main" id="{00000000-0008-0000-0000-00002D0A0000}"/>
            </a:ext>
          </a:extLst>
        </xdr:cNvPr>
        <xdr:cNvSpPr txBox="1">
          <a:spLocks noChangeArrowheads="1"/>
        </xdr:cNvSpPr>
      </xdr:nvSpPr>
      <xdr:spPr bwMode="auto">
        <a:xfrm>
          <a:off x="1133475" y="79952850"/>
          <a:ext cx="2162175" cy="2162175"/>
        </a:xfrm>
        <a:prstGeom prst="rect">
          <a:avLst/>
        </a:prstGeom>
        <a:blipFill dpi="0" rotWithShape="1">
          <a:blip xmlns:r="http://schemas.openxmlformats.org/officeDocument/2006/relationships" r:embed="rId6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editAs="oneCell">
    <xdr:from>
      <xdr:col>5</xdr:col>
      <xdr:colOff>66675</xdr:colOff>
      <xdr:row>1313</xdr:row>
      <xdr:rowOff>66675</xdr:rowOff>
    </xdr:from>
    <xdr:to>
      <xdr:col>8</xdr:col>
      <xdr:colOff>441615</xdr:colOff>
      <xdr:row>1324</xdr:row>
      <xdr:rowOff>123825</xdr:rowOff>
    </xdr:to>
    <xdr:sp macro="" textlink="">
      <xdr:nvSpPr>
        <xdr:cNvPr id="2608" name="Text Box 1584" hidden="1">
          <a:extLst>
            <a:ext uri="{FF2B5EF4-FFF2-40B4-BE49-F238E27FC236}">
              <a16:creationId xmlns:a16="http://schemas.microsoft.com/office/drawing/2014/main" id="{00000000-0008-0000-0000-0000300A0000}"/>
            </a:ext>
          </a:extLst>
        </xdr:cNvPr>
        <xdr:cNvSpPr txBox="1">
          <a:spLocks noChangeArrowheads="1"/>
        </xdr:cNvSpPr>
      </xdr:nvSpPr>
      <xdr:spPr bwMode="auto">
        <a:xfrm>
          <a:off x="1133475" y="80143350"/>
          <a:ext cx="2162175" cy="2162175"/>
        </a:xfrm>
        <a:prstGeom prst="rect">
          <a:avLst/>
        </a:prstGeom>
        <a:blipFill dpi="0" rotWithShape="1">
          <a:blip xmlns:r="http://schemas.openxmlformats.org/officeDocument/2006/relationships" r:embed="rId6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twoCellAnchor>
  <xdr:twoCellAnchor>
    <xdr:from>
      <xdr:col>25</xdr:col>
      <xdr:colOff>345398</xdr:colOff>
      <xdr:row>6</xdr:row>
      <xdr:rowOff>182803</xdr:rowOff>
    </xdr:from>
    <xdr:to>
      <xdr:col>28</xdr:col>
      <xdr:colOff>133731</xdr:colOff>
      <xdr:row>8</xdr:row>
      <xdr:rowOff>12507</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4546307" y="2139758"/>
          <a:ext cx="879379" cy="25399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75000"/>
                </a:schemeClr>
              </a:solidFill>
            </a:rPr>
            <a:t>Sun</a:t>
          </a:r>
          <a:r>
            <a:rPr lang="en-US" sz="1100" b="1" baseline="0">
              <a:solidFill>
                <a:schemeClr val="bg1">
                  <a:lumMod val="75000"/>
                </a:schemeClr>
              </a:solidFill>
            </a:rPr>
            <a:t> Status</a:t>
          </a:r>
          <a:endParaRPr lang="en-US" sz="1100" b="1">
            <a:solidFill>
              <a:schemeClr val="bg1">
                <a:lumMod val="75000"/>
              </a:schemeClr>
            </a:solidFill>
          </a:endParaRPr>
        </a:p>
      </xdr:txBody>
    </xdr:sp>
    <xdr:clientData/>
  </xdr:twoCellAnchor>
  <xdr:oneCellAnchor>
    <xdr:from>
      <xdr:col>11</xdr:col>
      <xdr:colOff>0</xdr:colOff>
      <xdr:row>342</xdr:row>
      <xdr:rowOff>66675</xdr:rowOff>
    </xdr:from>
    <xdr:ext cx="2161116" cy="2162175"/>
    <xdr:sp macro="" textlink="">
      <xdr:nvSpPr>
        <xdr:cNvPr id="8" name="Text Box 1278" hidden="1">
          <a:extLst>
            <a:ext uri="{FF2B5EF4-FFF2-40B4-BE49-F238E27FC236}">
              <a16:creationId xmlns:a16="http://schemas.microsoft.com/office/drawing/2014/main" id="{00000000-0008-0000-0000-000008000000}"/>
            </a:ext>
          </a:extLst>
        </xdr:cNvPr>
        <xdr:cNvSpPr txBox="1">
          <a:spLocks noChangeArrowheads="1"/>
        </xdr:cNvSpPr>
      </xdr:nvSpPr>
      <xdr:spPr bwMode="auto">
        <a:xfrm>
          <a:off x="1019175" y="595918925"/>
          <a:ext cx="2161116" cy="2162175"/>
        </a:xfrm>
        <a:prstGeom prst="rect">
          <a:avLst/>
        </a:prstGeom>
        <a:blipFill dpi="0" rotWithShape="1">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342</xdr:row>
      <xdr:rowOff>95250</xdr:rowOff>
    </xdr:from>
    <xdr:ext cx="2161116" cy="2162175"/>
    <xdr:sp macro="" textlink="">
      <xdr:nvSpPr>
        <xdr:cNvPr id="9" name="Text Box 1283" hidden="1">
          <a:extLst>
            <a:ext uri="{FF2B5EF4-FFF2-40B4-BE49-F238E27FC236}">
              <a16:creationId xmlns:a16="http://schemas.microsoft.com/office/drawing/2014/main" id="{00000000-0008-0000-0000-000009000000}"/>
            </a:ext>
          </a:extLst>
        </xdr:cNvPr>
        <xdr:cNvSpPr txBox="1">
          <a:spLocks noChangeArrowheads="1"/>
        </xdr:cNvSpPr>
      </xdr:nvSpPr>
      <xdr:spPr bwMode="auto">
        <a:xfrm>
          <a:off x="1095375" y="595947500"/>
          <a:ext cx="2161116" cy="2162175"/>
        </a:xfrm>
        <a:prstGeom prst="rect">
          <a:avLst/>
        </a:prstGeom>
        <a:blipFill dpi="0" rotWithShape="1">
          <a:blip xmlns:r="http://schemas.openxmlformats.org/officeDocument/2006/relationships" r:embed="rId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343</xdr:row>
      <xdr:rowOff>95250</xdr:rowOff>
    </xdr:from>
    <xdr:ext cx="2161116" cy="2162175"/>
    <xdr:sp macro="" textlink="">
      <xdr:nvSpPr>
        <xdr:cNvPr id="10" name="Text Box 1290" hidden="1">
          <a:extLst>
            <a:ext uri="{FF2B5EF4-FFF2-40B4-BE49-F238E27FC236}">
              <a16:creationId xmlns:a16="http://schemas.microsoft.com/office/drawing/2014/main" id="{00000000-0008-0000-0000-00000A000000}"/>
            </a:ext>
          </a:extLst>
        </xdr:cNvPr>
        <xdr:cNvSpPr txBox="1">
          <a:spLocks noChangeArrowheads="1"/>
        </xdr:cNvSpPr>
      </xdr:nvSpPr>
      <xdr:spPr bwMode="auto">
        <a:xfrm>
          <a:off x="1095375" y="585787500"/>
          <a:ext cx="2161116" cy="2162175"/>
        </a:xfrm>
        <a:prstGeom prst="rect">
          <a:avLst/>
        </a:prstGeom>
        <a:blipFill dpi="0" rotWithShape="1">
          <a:blip xmlns:r="http://schemas.openxmlformats.org/officeDocument/2006/relationships" r:embed="rId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345</xdr:row>
      <xdr:rowOff>66675</xdr:rowOff>
    </xdr:from>
    <xdr:ext cx="2161116" cy="2162175"/>
    <xdr:sp macro="" textlink="">
      <xdr:nvSpPr>
        <xdr:cNvPr id="11" name="Text Box 1294" hidden="1">
          <a:extLst>
            <a:ext uri="{FF2B5EF4-FFF2-40B4-BE49-F238E27FC236}">
              <a16:creationId xmlns:a16="http://schemas.microsoft.com/office/drawing/2014/main" id="{00000000-0008-0000-0000-00000B000000}"/>
            </a:ext>
          </a:extLst>
        </xdr:cNvPr>
        <xdr:cNvSpPr txBox="1">
          <a:spLocks noChangeArrowheads="1"/>
        </xdr:cNvSpPr>
      </xdr:nvSpPr>
      <xdr:spPr bwMode="auto">
        <a:xfrm>
          <a:off x="1019175" y="207616425"/>
          <a:ext cx="2161116" cy="2162175"/>
        </a:xfrm>
        <a:prstGeom prst="rect">
          <a:avLst/>
        </a:prstGeom>
        <a:blipFill dpi="0" rotWithShape="1">
          <a:blip xmlns:r="http://schemas.openxmlformats.org/officeDocument/2006/relationships" r:embed="rId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346</xdr:row>
      <xdr:rowOff>66675</xdr:rowOff>
    </xdr:from>
    <xdr:ext cx="2161116" cy="2159000"/>
    <xdr:sp macro="" textlink="">
      <xdr:nvSpPr>
        <xdr:cNvPr id="12" name="Text Box 1299" hidden="1">
          <a:extLst>
            <a:ext uri="{FF2B5EF4-FFF2-40B4-BE49-F238E27FC236}">
              <a16:creationId xmlns:a16="http://schemas.microsoft.com/office/drawing/2014/main" id="{00000000-0008-0000-0000-00000C000000}"/>
            </a:ext>
          </a:extLst>
        </xdr:cNvPr>
        <xdr:cNvSpPr txBox="1">
          <a:spLocks noChangeArrowheads="1"/>
        </xdr:cNvSpPr>
      </xdr:nvSpPr>
      <xdr:spPr bwMode="auto">
        <a:xfrm>
          <a:off x="1019175" y="564613425"/>
          <a:ext cx="2161116" cy="2159000"/>
        </a:xfrm>
        <a:prstGeom prst="rect">
          <a:avLst/>
        </a:prstGeom>
        <a:blipFill dpi="0" rotWithShape="1">
          <a:blip xmlns:r="http://schemas.openxmlformats.org/officeDocument/2006/relationships" r:embed="rId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346</xdr:row>
      <xdr:rowOff>95250</xdr:rowOff>
    </xdr:from>
    <xdr:ext cx="2161116" cy="2159000"/>
    <xdr:sp macro="" textlink="">
      <xdr:nvSpPr>
        <xdr:cNvPr id="13" name="Text Box 1305" hidden="1">
          <a:extLst>
            <a:ext uri="{FF2B5EF4-FFF2-40B4-BE49-F238E27FC236}">
              <a16:creationId xmlns:a16="http://schemas.microsoft.com/office/drawing/2014/main" id="{00000000-0008-0000-0000-00000D000000}"/>
            </a:ext>
          </a:extLst>
        </xdr:cNvPr>
        <xdr:cNvSpPr txBox="1">
          <a:spLocks noChangeArrowheads="1"/>
        </xdr:cNvSpPr>
      </xdr:nvSpPr>
      <xdr:spPr bwMode="auto">
        <a:xfrm>
          <a:off x="1095375" y="564642000"/>
          <a:ext cx="2161116" cy="2159000"/>
        </a:xfrm>
        <a:prstGeom prst="rect">
          <a:avLst/>
        </a:prstGeom>
        <a:blipFill dpi="0" rotWithShape="1">
          <a:blip xmlns:r="http://schemas.openxmlformats.org/officeDocument/2006/relationships" r:embed="rId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347</xdr:row>
      <xdr:rowOff>95250</xdr:rowOff>
    </xdr:from>
    <xdr:ext cx="2161116" cy="2162175"/>
    <xdr:sp macro="" textlink="">
      <xdr:nvSpPr>
        <xdr:cNvPr id="14" name="Text Box 1312" hidden="1">
          <a:extLst>
            <a:ext uri="{FF2B5EF4-FFF2-40B4-BE49-F238E27FC236}">
              <a16:creationId xmlns:a16="http://schemas.microsoft.com/office/drawing/2014/main" id="{00000000-0008-0000-0000-00000E000000}"/>
            </a:ext>
          </a:extLst>
        </xdr:cNvPr>
        <xdr:cNvSpPr txBox="1">
          <a:spLocks noChangeArrowheads="1"/>
        </xdr:cNvSpPr>
      </xdr:nvSpPr>
      <xdr:spPr bwMode="auto">
        <a:xfrm>
          <a:off x="1095375" y="34480500"/>
          <a:ext cx="2161116" cy="2162175"/>
        </a:xfrm>
        <a:prstGeom prst="rect">
          <a:avLst/>
        </a:prstGeom>
        <a:blipFill dpi="0" rotWithShape="1">
          <a:blip xmlns:r="http://schemas.openxmlformats.org/officeDocument/2006/relationships" r:embed="rId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348</xdr:row>
      <xdr:rowOff>95250</xdr:rowOff>
    </xdr:from>
    <xdr:ext cx="2161116" cy="2162175"/>
    <xdr:sp macro="" textlink="">
      <xdr:nvSpPr>
        <xdr:cNvPr id="15" name="Text Box 1316" hidden="1">
          <a:extLst>
            <a:ext uri="{FF2B5EF4-FFF2-40B4-BE49-F238E27FC236}">
              <a16:creationId xmlns:a16="http://schemas.microsoft.com/office/drawing/2014/main" id="{00000000-0008-0000-0000-00000F000000}"/>
            </a:ext>
          </a:extLst>
        </xdr:cNvPr>
        <xdr:cNvSpPr txBox="1">
          <a:spLocks noChangeArrowheads="1"/>
        </xdr:cNvSpPr>
      </xdr:nvSpPr>
      <xdr:spPr bwMode="auto">
        <a:xfrm>
          <a:off x="1095375" y="44958000"/>
          <a:ext cx="2161116" cy="2162175"/>
        </a:xfrm>
        <a:prstGeom prst="rect">
          <a:avLst/>
        </a:prstGeom>
        <a:blipFill dpi="0" rotWithShape="1">
          <a:blip xmlns:r="http://schemas.openxmlformats.org/officeDocument/2006/relationships" r:embed="rId1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349</xdr:row>
      <xdr:rowOff>95250</xdr:rowOff>
    </xdr:from>
    <xdr:ext cx="2161116" cy="2162175"/>
    <xdr:sp macro="" textlink="">
      <xdr:nvSpPr>
        <xdr:cNvPr id="16" name="Text Box 1320" hidden="1">
          <a:extLst>
            <a:ext uri="{FF2B5EF4-FFF2-40B4-BE49-F238E27FC236}">
              <a16:creationId xmlns:a16="http://schemas.microsoft.com/office/drawing/2014/main" id="{00000000-0008-0000-0000-000010000000}"/>
            </a:ext>
          </a:extLst>
        </xdr:cNvPr>
        <xdr:cNvSpPr txBox="1">
          <a:spLocks noChangeArrowheads="1"/>
        </xdr:cNvSpPr>
      </xdr:nvSpPr>
      <xdr:spPr bwMode="auto">
        <a:xfrm>
          <a:off x="1095375" y="36004500"/>
          <a:ext cx="2161116" cy="2162175"/>
        </a:xfrm>
        <a:prstGeom prst="rect">
          <a:avLst/>
        </a:prstGeom>
        <a:blipFill dpi="0" rotWithShape="1">
          <a:blip xmlns:r="http://schemas.openxmlformats.org/officeDocument/2006/relationships" r:embed="rId1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350</xdr:row>
      <xdr:rowOff>95250</xdr:rowOff>
    </xdr:from>
    <xdr:ext cx="2161116" cy="2162175"/>
    <xdr:sp macro="" textlink="">
      <xdr:nvSpPr>
        <xdr:cNvPr id="17" name="Text Box 1324" hidden="1">
          <a:extLst>
            <a:ext uri="{FF2B5EF4-FFF2-40B4-BE49-F238E27FC236}">
              <a16:creationId xmlns:a16="http://schemas.microsoft.com/office/drawing/2014/main" id="{00000000-0008-0000-0000-000011000000}"/>
            </a:ext>
          </a:extLst>
        </xdr:cNvPr>
        <xdr:cNvSpPr txBox="1">
          <a:spLocks noChangeArrowheads="1"/>
        </xdr:cNvSpPr>
      </xdr:nvSpPr>
      <xdr:spPr bwMode="auto">
        <a:xfrm>
          <a:off x="1095375" y="22669500"/>
          <a:ext cx="2161116" cy="2162175"/>
        </a:xfrm>
        <a:prstGeom prst="rect">
          <a:avLst/>
        </a:prstGeom>
        <a:blipFill dpi="0" rotWithShape="1">
          <a:blip xmlns:r="http://schemas.openxmlformats.org/officeDocument/2006/relationships" r:embed="rId12"/>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351</xdr:row>
      <xdr:rowOff>95250</xdr:rowOff>
    </xdr:from>
    <xdr:ext cx="2161116" cy="2162175"/>
    <xdr:sp macro="" textlink="">
      <xdr:nvSpPr>
        <xdr:cNvPr id="18" name="Text Box 1328" hidden="1">
          <a:extLst>
            <a:ext uri="{FF2B5EF4-FFF2-40B4-BE49-F238E27FC236}">
              <a16:creationId xmlns:a16="http://schemas.microsoft.com/office/drawing/2014/main" id="{00000000-0008-0000-0000-000012000000}"/>
            </a:ext>
          </a:extLst>
        </xdr:cNvPr>
        <xdr:cNvSpPr txBox="1">
          <a:spLocks noChangeArrowheads="1"/>
        </xdr:cNvSpPr>
      </xdr:nvSpPr>
      <xdr:spPr bwMode="auto">
        <a:xfrm>
          <a:off x="1095375" y="21907500"/>
          <a:ext cx="2161116" cy="2162175"/>
        </a:xfrm>
        <a:prstGeom prst="rect">
          <a:avLst/>
        </a:prstGeom>
        <a:blipFill dpi="0" rotWithShape="1">
          <a:blip xmlns:r="http://schemas.openxmlformats.org/officeDocument/2006/relationships" r:embed="rId1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353</xdr:row>
      <xdr:rowOff>66675</xdr:rowOff>
    </xdr:from>
    <xdr:ext cx="2161116" cy="2162175"/>
    <xdr:sp macro="" textlink="">
      <xdr:nvSpPr>
        <xdr:cNvPr id="19" name="Text Box 1334" hidden="1">
          <a:extLst>
            <a:ext uri="{FF2B5EF4-FFF2-40B4-BE49-F238E27FC236}">
              <a16:creationId xmlns:a16="http://schemas.microsoft.com/office/drawing/2014/main" id="{00000000-0008-0000-0000-000013000000}"/>
            </a:ext>
          </a:extLst>
        </xdr:cNvPr>
        <xdr:cNvSpPr txBox="1">
          <a:spLocks noChangeArrowheads="1"/>
        </xdr:cNvSpPr>
      </xdr:nvSpPr>
      <xdr:spPr bwMode="auto">
        <a:xfrm>
          <a:off x="1019175" y="237334425"/>
          <a:ext cx="2161116" cy="2162175"/>
        </a:xfrm>
        <a:prstGeom prst="rect">
          <a:avLst/>
        </a:prstGeom>
        <a:blipFill dpi="0" rotWithShape="1">
          <a:blip xmlns:r="http://schemas.openxmlformats.org/officeDocument/2006/relationships" r:embed="rId14"/>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354</xdr:row>
      <xdr:rowOff>66675</xdr:rowOff>
    </xdr:from>
    <xdr:ext cx="2161116" cy="2162175"/>
    <xdr:sp macro="" textlink="">
      <xdr:nvSpPr>
        <xdr:cNvPr id="20" name="Text Box 1339" hidden="1">
          <a:extLst>
            <a:ext uri="{FF2B5EF4-FFF2-40B4-BE49-F238E27FC236}">
              <a16:creationId xmlns:a16="http://schemas.microsoft.com/office/drawing/2014/main" id="{00000000-0008-0000-0000-000014000000}"/>
            </a:ext>
          </a:extLst>
        </xdr:cNvPr>
        <xdr:cNvSpPr txBox="1">
          <a:spLocks noChangeArrowheads="1"/>
        </xdr:cNvSpPr>
      </xdr:nvSpPr>
      <xdr:spPr bwMode="auto">
        <a:xfrm>
          <a:off x="1019175" y="265147425"/>
          <a:ext cx="2161116" cy="2162175"/>
        </a:xfrm>
        <a:prstGeom prst="rect">
          <a:avLst/>
        </a:prstGeom>
        <a:blipFill dpi="0" rotWithShape="1">
          <a:blip xmlns:r="http://schemas.openxmlformats.org/officeDocument/2006/relationships" r:embed="rId1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355</xdr:row>
      <xdr:rowOff>66675</xdr:rowOff>
    </xdr:from>
    <xdr:ext cx="2161116" cy="2162175"/>
    <xdr:sp macro="" textlink="">
      <xdr:nvSpPr>
        <xdr:cNvPr id="21" name="Text Box 1343" hidden="1">
          <a:extLst>
            <a:ext uri="{FF2B5EF4-FFF2-40B4-BE49-F238E27FC236}">
              <a16:creationId xmlns:a16="http://schemas.microsoft.com/office/drawing/2014/main" id="{00000000-0008-0000-0000-000015000000}"/>
            </a:ext>
          </a:extLst>
        </xdr:cNvPr>
        <xdr:cNvSpPr txBox="1">
          <a:spLocks noChangeArrowheads="1"/>
        </xdr:cNvSpPr>
      </xdr:nvSpPr>
      <xdr:spPr bwMode="auto">
        <a:xfrm>
          <a:off x="1019175" y="8162925"/>
          <a:ext cx="2161116" cy="2162175"/>
        </a:xfrm>
        <a:prstGeom prst="rect">
          <a:avLst/>
        </a:prstGeom>
        <a:blipFill dpi="0" rotWithShape="1">
          <a:blip xmlns:r="http://schemas.openxmlformats.org/officeDocument/2006/relationships" r:embed="rId1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355</xdr:row>
      <xdr:rowOff>95250</xdr:rowOff>
    </xdr:from>
    <xdr:ext cx="2161116" cy="2162175"/>
    <xdr:sp macro="" textlink="">
      <xdr:nvSpPr>
        <xdr:cNvPr id="22" name="Text Box 1347" hidden="1">
          <a:extLst>
            <a:ext uri="{FF2B5EF4-FFF2-40B4-BE49-F238E27FC236}">
              <a16:creationId xmlns:a16="http://schemas.microsoft.com/office/drawing/2014/main" id="{00000000-0008-0000-0000-000016000000}"/>
            </a:ext>
          </a:extLst>
        </xdr:cNvPr>
        <xdr:cNvSpPr txBox="1">
          <a:spLocks noChangeArrowheads="1"/>
        </xdr:cNvSpPr>
      </xdr:nvSpPr>
      <xdr:spPr bwMode="auto">
        <a:xfrm>
          <a:off x="1095375" y="8191500"/>
          <a:ext cx="2161116" cy="2162175"/>
        </a:xfrm>
        <a:prstGeom prst="rect">
          <a:avLst/>
        </a:prstGeom>
        <a:blipFill dpi="0" rotWithShape="1">
          <a:blip xmlns:r="http://schemas.openxmlformats.org/officeDocument/2006/relationships" r:embed="rId1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356</xdr:row>
      <xdr:rowOff>95250</xdr:rowOff>
    </xdr:from>
    <xdr:ext cx="2161116" cy="2162175"/>
    <xdr:sp macro="" textlink="">
      <xdr:nvSpPr>
        <xdr:cNvPr id="23" name="Text Box 1351" hidden="1">
          <a:extLst>
            <a:ext uri="{FF2B5EF4-FFF2-40B4-BE49-F238E27FC236}">
              <a16:creationId xmlns:a16="http://schemas.microsoft.com/office/drawing/2014/main" id="{00000000-0008-0000-0000-000017000000}"/>
            </a:ext>
          </a:extLst>
        </xdr:cNvPr>
        <xdr:cNvSpPr txBox="1">
          <a:spLocks noChangeArrowheads="1"/>
        </xdr:cNvSpPr>
      </xdr:nvSpPr>
      <xdr:spPr bwMode="auto">
        <a:xfrm>
          <a:off x="1095375" y="30670500"/>
          <a:ext cx="2161116" cy="2162175"/>
        </a:xfrm>
        <a:prstGeom prst="rect">
          <a:avLst/>
        </a:prstGeom>
        <a:blipFill dpi="0" rotWithShape="1">
          <a:blip xmlns:r="http://schemas.openxmlformats.org/officeDocument/2006/relationships" r:embed="rId1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358</xdr:row>
      <xdr:rowOff>66675</xdr:rowOff>
    </xdr:from>
    <xdr:ext cx="2161116" cy="2162175"/>
    <xdr:sp macro="" textlink="">
      <xdr:nvSpPr>
        <xdr:cNvPr id="24" name="Text Box 1355" hidden="1">
          <a:extLst>
            <a:ext uri="{FF2B5EF4-FFF2-40B4-BE49-F238E27FC236}">
              <a16:creationId xmlns:a16="http://schemas.microsoft.com/office/drawing/2014/main" id="{00000000-0008-0000-0000-000018000000}"/>
            </a:ext>
          </a:extLst>
        </xdr:cNvPr>
        <xdr:cNvSpPr txBox="1">
          <a:spLocks noChangeArrowheads="1"/>
        </xdr:cNvSpPr>
      </xdr:nvSpPr>
      <xdr:spPr bwMode="auto">
        <a:xfrm>
          <a:off x="1019175" y="322297425"/>
          <a:ext cx="2161116" cy="2162175"/>
        </a:xfrm>
        <a:prstGeom prst="rect">
          <a:avLst/>
        </a:prstGeom>
        <a:blipFill dpi="0" rotWithShape="1">
          <a:blip xmlns:r="http://schemas.openxmlformats.org/officeDocument/2006/relationships" r:embed="rId19"/>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359</xdr:row>
      <xdr:rowOff>66675</xdr:rowOff>
    </xdr:from>
    <xdr:ext cx="2161116" cy="2162175"/>
    <xdr:sp macro="" textlink="">
      <xdr:nvSpPr>
        <xdr:cNvPr id="25" name="Text Box 1360" hidden="1">
          <a:extLst>
            <a:ext uri="{FF2B5EF4-FFF2-40B4-BE49-F238E27FC236}">
              <a16:creationId xmlns:a16="http://schemas.microsoft.com/office/drawing/2014/main" id="{00000000-0008-0000-0000-000019000000}"/>
            </a:ext>
          </a:extLst>
        </xdr:cNvPr>
        <xdr:cNvSpPr txBox="1">
          <a:spLocks noChangeArrowheads="1"/>
        </xdr:cNvSpPr>
      </xdr:nvSpPr>
      <xdr:spPr bwMode="auto">
        <a:xfrm>
          <a:off x="1019175" y="331822425"/>
          <a:ext cx="2161116" cy="2162175"/>
        </a:xfrm>
        <a:prstGeom prst="rect">
          <a:avLst/>
        </a:prstGeom>
        <a:blipFill dpi="0" rotWithShape="1">
          <a:blip xmlns:r="http://schemas.openxmlformats.org/officeDocument/2006/relationships" r:embed="rId2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360</xdr:row>
      <xdr:rowOff>66675</xdr:rowOff>
    </xdr:from>
    <xdr:ext cx="2161116" cy="2162175"/>
    <xdr:sp macro="" textlink="">
      <xdr:nvSpPr>
        <xdr:cNvPr id="26" name="Text Box 1364" hidden="1">
          <a:extLst>
            <a:ext uri="{FF2B5EF4-FFF2-40B4-BE49-F238E27FC236}">
              <a16:creationId xmlns:a16="http://schemas.microsoft.com/office/drawing/2014/main" id="{00000000-0008-0000-0000-00001A000000}"/>
            </a:ext>
          </a:extLst>
        </xdr:cNvPr>
        <xdr:cNvSpPr txBox="1">
          <a:spLocks noChangeArrowheads="1"/>
        </xdr:cNvSpPr>
      </xdr:nvSpPr>
      <xdr:spPr bwMode="auto">
        <a:xfrm>
          <a:off x="1019175" y="331441425"/>
          <a:ext cx="2161116" cy="2162175"/>
        </a:xfrm>
        <a:prstGeom prst="rect">
          <a:avLst/>
        </a:prstGeom>
        <a:blipFill dpi="0" rotWithShape="1">
          <a:blip xmlns:r="http://schemas.openxmlformats.org/officeDocument/2006/relationships" r:embed="rId2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361</xdr:row>
      <xdr:rowOff>66675</xdr:rowOff>
    </xdr:from>
    <xdr:ext cx="2161116" cy="2162175"/>
    <xdr:sp macro="" textlink="">
      <xdr:nvSpPr>
        <xdr:cNvPr id="27" name="Text Box 1369" hidden="1">
          <a:extLst>
            <a:ext uri="{FF2B5EF4-FFF2-40B4-BE49-F238E27FC236}">
              <a16:creationId xmlns:a16="http://schemas.microsoft.com/office/drawing/2014/main" id="{00000000-0008-0000-0000-00001B000000}"/>
            </a:ext>
          </a:extLst>
        </xdr:cNvPr>
        <xdr:cNvSpPr txBox="1">
          <a:spLocks noChangeArrowheads="1"/>
        </xdr:cNvSpPr>
      </xdr:nvSpPr>
      <xdr:spPr bwMode="auto">
        <a:xfrm>
          <a:off x="1019175" y="348586425"/>
          <a:ext cx="2161116" cy="2162175"/>
        </a:xfrm>
        <a:prstGeom prst="rect">
          <a:avLst/>
        </a:prstGeom>
        <a:blipFill dpi="0" rotWithShape="1">
          <a:blip xmlns:r="http://schemas.openxmlformats.org/officeDocument/2006/relationships" r:embed="rId2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362</xdr:row>
      <xdr:rowOff>66675</xdr:rowOff>
    </xdr:from>
    <xdr:ext cx="2161116" cy="2162175"/>
    <xdr:sp macro="" textlink="">
      <xdr:nvSpPr>
        <xdr:cNvPr id="28" name="Text Box 1374" hidden="1">
          <a:extLst>
            <a:ext uri="{FF2B5EF4-FFF2-40B4-BE49-F238E27FC236}">
              <a16:creationId xmlns:a16="http://schemas.microsoft.com/office/drawing/2014/main" id="{00000000-0008-0000-0000-00001C000000}"/>
            </a:ext>
          </a:extLst>
        </xdr:cNvPr>
        <xdr:cNvSpPr txBox="1">
          <a:spLocks noChangeArrowheads="1"/>
        </xdr:cNvSpPr>
      </xdr:nvSpPr>
      <xdr:spPr bwMode="auto">
        <a:xfrm>
          <a:off x="1019175" y="310105425"/>
          <a:ext cx="2161116" cy="2162175"/>
        </a:xfrm>
        <a:prstGeom prst="rect">
          <a:avLst/>
        </a:prstGeom>
        <a:blipFill dpi="0" rotWithShape="1">
          <a:blip xmlns:r="http://schemas.openxmlformats.org/officeDocument/2006/relationships" r:embed="rId2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363</xdr:row>
      <xdr:rowOff>66675</xdr:rowOff>
    </xdr:from>
    <xdr:ext cx="2161116" cy="2162175"/>
    <xdr:sp macro="" textlink="">
      <xdr:nvSpPr>
        <xdr:cNvPr id="29" name="Text Box 1379" hidden="1">
          <a:extLst>
            <a:ext uri="{FF2B5EF4-FFF2-40B4-BE49-F238E27FC236}">
              <a16:creationId xmlns:a16="http://schemas.microsoft.com/office/drawing/2014/main" id="{00000000-0008-0000-0000-00001D000000}"/>
            </a:ext>
          </a:extLst>
        </xdr:cNvPr>
        <xdr:cNvSpPr txBox="1">
          <a:spLocks noChangeArrowheads="1"/>
        </xdr:cNvSpPr>
      </xdr:nvSpPr>
      <xdr:spPr bwMode="auto">
        <a:xfrm>
          <a:off x="1019175" y="201520425"/>
          <a:ext cx="2161116" cy="2162175"/>
        </a:xfrm>
        <a:prstGeom prst="rect">
          <a:avLst/>
        </a:prstGeom>
        <a:blipFill dpi="0" rotWithShape="1">
          <a:blip xmlns:r="http://schemas.openxmlformats.org/officeDocument/2006/relationships" r:embed="rId2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364</xdr:row>
      <xdr:rowOff>66675</xdr:rowOff>
    </xdr:from>
    <xdr:ext cx="2161116" cy="2162175"/>
    <xdr:sp macro="" textlink="">
      <xdr:nvSpPr>
        <xdr:cNvPr id="30" name="Text Box 1386" hidden="1">
          <a:extLst>
            <a:ext uri="{FF2B5EF4-FFF2-40B4-BE49-F238E27FC236}">
              <a16:creationId xmlns:a16="http://schemas.microsoft.com/office/drawing/2014/main" id="{00000000-0008-0000-0000-00001E000000}"/>
            </a:ext>
          </a:extLst>
        </xdr:cNvPr>
        <xdr:cNvSpPr txBox="1">
          <a:spLocks noChangeArrowheads="1"/>
        </xdr:cNvSpPr>
      </xdr:nvSpPr>
      <xdr:spPr bwMode="auto">
        <a:xfrm>
          <a:off x="1019175" y="276958425"/>
          <a:ext cx="2161116" cy="2162175"/>
        </a:xfrm>
        <a:prstGeom prst="rect">
          <a:avLst/>
        </a:prstGeom>
        <a:blipFill dpi="0" rotWithShape="1">
          <a:blip xmlns:r="http://schemas.openxmlformats.org/officeDocument/2006/relationships" r:embed="rId2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365</xdr:row>
      <xdr:rowOff>66675</xdr:rowOff>
    </xdr:from>
    <xdr:ext cx="2161116" cy="2162175"/>
    <xdr:sp macro="" textlink="">
      <xdr:nvSpPr>
        <xdr:cNvPr id="31" name="Text Box 1393" hidden="1">
          <a:extLst>
            <a:ext uri="{FF2B5EF4-FFF2-40B4-BE49-F238E27FC236}">
              <a16:creationId xmlns:a16="http://schemas.microsoft.com/office/drawing/2014/main" id="{00000000-0008-0000-0000-00001F000000}"/>
            </a:ext>
          </a:extLst>
        </xdr:cNvPr>
        <xdr:cNvSpPr txBox="1">
          <a:spLocks noChangeArrowheads="1"/>
        </xdr:cNvSpPr>
      </xdr:nvSpPr>
      <xdr:spPr bwMode="auto">
        <a:xfrm>
          <a:off x="1019175" y="223999425"/>
          <a:ext cx="2161116" cy="2162175"/>
        </a:xfrm>
        <a:prstGeom prst="rect">
          <a:avLst/>
        </a:prstGeom>
        <a:blipFill dpi="0" rotWithShape="1">
          <a:blip xmlns:r="http://schemas.openxmlformats.org/officeDocument/2006/relationships" r:embed="rId2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366</xdr:row>
      <xdr:rowOff>66675</xdr:rowOff>
    </xdr:from>
    <xdr:ext cx="2161116" cy="2162175"/>
    <xdr:sp macro="" textlink="">
      <xdr:nvSpPr>
        <xdr:cNvPr id="198688" name="Text Box 1402" hidden="1">
          <a:extLst>
            <a:ext uri="{FF2B5EF4-FFF2-40B4-BE49-F238E27FC236}">
              <a16:creationId xmlns:a16="http://schemas.microsoft.com/office/drawing/2014/main" id="{00000000-0008-0000-0000-000020080300}"/>
            </a:ext>
          </a:extLst>
        </xdr:cNvPr>
        <xdr:cNvSpPr txBox="1">
          <a:spLocks noChangeArrowheads="1"/>
        </xdr:cNvSpPr>
      </xdr:nvSpPr>
      <xdr:spPr bwMode="auto">
        <a:xfrm>
          <a:off x="1019175" y="7591425"/>
          <a:ext cx="2161116" cy="2162175"/>
        </a:xfrm>
        <a:prstGeom prst="rect">
          <a:avLst/>
        </a:prstGeom>
        <a:blipFill dpi="0" rotWithShape="1">
          <a:blip xmlns:r="http://schemas.openxmlformats.org/officeDocument/2006/relationships" r:embed="rId2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366</xdr:row>
      <xdr:rowOff>95250</xdr:rowOff>
    </xdr:from>
    <xdr:ext cx="2161116" cy="2162175"/>
    <xdr:sp macro="" textlink="">
      <xdr:nvSpPr>
        <xdr:cNvPr id="198689" name="Text Box 1408" hidden="1">
          <a:extLst>
            <a:ext uri="{FF2B5EF4-FFF2-40B4-BE49-F238E27FC236}">
              <a16:creationId xmlns:a16="http://schemas.microsoft.com/office/drawing/2014/main" id="{00000000-0008-0000-0000-000021080300}"/>
            </a:ext>
          </a:extLst>
        </xdr:cNvPr>
        <xdr:cNvSpPr txBox="1">
          <a:spLocks noChangeArrowheads="1"/>
        </xdr:cNvSpPr>
      </xdr:nvSpPr>
      <xdr:spPr bwMode="auto">
        <a:xfrm>
          <a:off x="1095375" y="7620000"/>
          <a:ext cx="2161116" cy="2162175"/>
        </a:xfrm>
        <a:prstGeom prst="rect">
          <a:avLst/>
        </a:prstGeom>
        <a:blipFill dpi="0" rotWithShape="1">
          <a:blip xmlns:r="http://schemas.openxmlformats.org/officeDocument/2006/relationships" r:embed="rId2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368</xdr:row>
      <xdr:rowOff>66675</xdr:rowOff>
    </xdr:from>
    <xdr:ext cx="2161116" cy="2162175"/>
    <xdr:sp macro="" textlink="">
      <xdr:nvSpPr>
        <xdr:cNvPr id="198690" name="Text Box 1411" hidden="1">
          <a:extLst>
            <a:ext uri="{FF2B5EF4-FFF2-40B4-BE49-F238E27FC236}">
              <a16:creationId xmlns:a16="http://schemas.microsoft.com/office/drawing/2014/main" id="{00000000-0008-0000-0000-000022080300}"/>
            </a:ext>
          </a:extLst>
        </xdr:cNvPr>
        <xdr:cNvSpPr txBox="1">
          <a:spLocks noChangeArrowheads="1"/>
        </xdr:cNvSpPr>
      </xdr:nvSpPr>
      <xdr:spPr bwMode="auto">
        <a:xfrm>
          <a:off x="1019175" y="269528925"/>
          <a:ext cx="2161116" cy="2162175"/>
        </a:xfrm>
        <a:prstGeom prst="rect">
          <a:avLst/>
        </a:prstGeom>
        <a:blipFill dpi="0" rotWithShape="1">
          <a:blip xmlns:r="http://schemas.openxmlformats.org/officeDocument/2006/relationships" r:embed="rId2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369</xdr:row>
      <xdr:rowOff>66675</xdr:rowOff>
    </xdr:from>
    <xdr:ext cx="2161116" cy="2162175"/>
    <xdr:sp macro="" textlink="">
      <xdr:nvSpPr>
        <xdr:cNvPr id="198691" name="Text Box 1416" hidden="1">
          <a:extLst>
            <a:ext uri="{FF2B5EF4-FFF2-40B4-BE49-F238E27FC236}">
              <a16:creationId xmlns:a16="http://schemas.microsoft.com/office/drawing/2014/main" id="{00000000-0008-0000-0000-000023080300}"/>
            </a:ext>
          </a:extLst>
        </xdr:cNvPr>
        <xdr:cNvSpPr txBox="1">
          <a:spLocks noChangeArrowheads="1"/>
        </xdr:cNvSpPr>
      </xdr:nvSpPr>
      <xdr:spPr bwMode="auto">
        <a:xfrm>
          <a:off x="1019175" y="4162425"/>
          <a:ext cx="2161116" cy="2162175"/>
        </a:xfrm>
        <a:prstGeom prst="rect">
          <a:avLst/>
        </a:prstGeom>
        <a:blipFill dpi="0" rotWithShape="1">
          <a:blip xmlns:r="http://schemas.openxmlformats.org/officeDocument/2006/relationships" r:embed="rId3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369</xdr:row>
      <xdr:rowOff>95250</xdr:rowOff>
    </xdr:from>
    <xdr:ext cx="2161116" cy="2162175"/>
    <xdr:sp macro="" textlink="">
      <xdr:nvSpPr>
        <xdr:cNvPr id="198692" name="Text Box 1420" hidden="1">
          <a:extLst>
            <a:ext uri="{FF2B5EF4-FFF2-40B4-BE49-F238E27FC236}">
              <a16:creationId xmlns:a16="http://schemas.microsoft.com/office/drawing/2014/main" id="{00000000-0008-0000-0000-000024080300}"/>
            </a:ext>
          </a:extLst>
        </xdr:cNvPr>
        <xdr:cNvSpPr txBox="1">
          <a:spLocks noChangeArrowheads="1"/>
        </xdr:cNvSpPr>
      </xdr:nvSpPr>
      <xdr:spPr bwMode="auto">
        <a:xfrm>
          <a:off x="1095375" y="4191000"/>
          <a:ext cx="2161116" cy="2162175"/>
        </a:xfrm>
        <a:prstGeom prst="rect">
          <a:avLst/>
        </a:prstGeom>
        <a:blipFill dpi="0" rotWithShape="1">
          <a:blip xmlns:r="http://schemas.openxmlformats.org/officeDocument/2006/relationships" r:embed="rId3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371</xdr:row>
      <xdr:rowOff>66675</xdr:rowOff>
    </xdr:from>
    <xdr:ext cx="2161116" cy="2162175"/>
    <xdr:sp macro="" textlink="">
      <xdr:nvSpPr>
        <xdr:cNvPr id="198693" name="Text Box 1424" hidden="1">
          <a:extLst>
            <a:ext uri="{FF2B5EF4-FFF2-40B4-BE49-F238E27FC236}">
              <a16:creationId xmlns:a16="http://schemas.microsoft.com/office/drawing/2014/main" id="{00000000-0008-0000-0000-000025080300}"/>
            </a:ext>
          </a:extLst>
        </xdr:cNvPr>
        <xdr:cNvSpPr txBox="1">
          <a:spLocks noChangeArrowheads="1"/>
        </xdr:cNvSpPr>
      </xdr:nvSpPr>
      <xdr:spPr bwMode="auto">
        <a:xfrm>
          <a:off x="1019175" y="26831925"/>
          <a:ext cx="2161116" cy="2162175"/>
        </a:xfrm>
        <a:prstGeom prst="rect">
          <a:avLst/>
        </a:prstGeom>
        <a:blipFill dpi="0" rotWithShape="1">
          <a:blip xmlns:r="http://schemas.openxmlformats.org/officeDocument/2006/relationships" r:embed="rId3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371</xdr:row>
      <xdr:rowOff>95250</xdr:rowOff>
    </xdr:from>
    <xdr:ext cx="2161116" cy="2162175"/>
    <xdr:sp macro="" textlink="">
      <xdr:nvSpPr>
        <xdr:cNvPr id="198694" name="Text Box 1428" hidden="1">
          <a:extLst>
            <a:ext uri="{FF2B5EF4-FFF2-40B4-BE49-F238E27FC236}">
              <a16:creationId xmlns:a16="http://schemas.microsoft.com/office/drawing/2014/main" id="{00000000-0008-0000-0000-000026080300}"/>
            </a:ext>
          </a:extLst>
        </xdr:cNvPr>
        <xdr:cNvSpPr txBox="1">
          <a:spLocks noChangeArrowheads="1"/>
        </xdr:cNvSpPr>
      </xdr:nvSpPr>
      <xdr:spPr bwMode="auto">
        <a:xfrm>
          <a:off x="1095375" y="26860500"/>
          <a:ext cx="2161116" cy="2162175"/>
        </a:xfrm>
        <a:prstGeom prst="rect">
          <a:avLst/>
        </a:prstGeom>
        <a:blipFill dpi="0" rotWithShape="1">
          <a:blip xmlns:r="http://schemas.openxmlformats.org/officeDocument/2006/relationships" r:embed="rId3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373</xdr:row>
      <xdr:rowOff>66675</xdr:rowOff>
    </xdr:from>
    <xdr:ext cx="2161116" cy="2162175"/>
    <xdr:sp macro="" textlink="">
      <xdr:nvSpPr>
        <xdr:cNvPr id="198695" name="Text Box 1430" hidden="1">
          <a:extLst>
            <a:ext uri="{FF2B5EF4-FFF2-40B4-BE49-F238E27FC236}">
              <a16:creationId xmlns:a16="http://schemas.microsoft.com/office/drawing/2014/main" id="{00000000-0008-0000-0000-000027080300}"/>
            </a:ext>
          </a:extLst>
        </xdr:cNvPr>
        <xdr:cNvSpPr txBox="1">
          <a:spLocks noChangeArrowheads="1"/>
        </xdr:cNvSpPr>
      </xdr:nvSpPr>
      <xdr:spPr bwMode="auto">
        <a:xfrm>
          <a:off x="1019175" y="223046925"/>
          <a:ext cx="2161116" cy="2162175"/>
        </a:xfrm>
        <a:prstGeom prst="rect">
          <a:avLst/>
        </a:prstGeom>
        <a:blipFill dpi="0" rotWithShape="1">
          <a:blip xmlns:r="http://schemas.openxmlformats.org/officeDocument/2006/relationships" r:embed="rId3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374</xdr:row>
      <xdr:rowOff>66675</xdr:rowOff>
    </xdr:from>
    <xdr:ext cx="2161116" cy="2162175"/>
    <xdr:sp macro="" textlink="">
      <xdr:nvSpPr>
        <xdr:cNvPr id="198696" name="Text Box 1437" hidden="1">
          <a:extLst>
            <a:ext uri="{FF2B5EF4-FFF2-40B4-BE49-F238E27FC236}">
              <a16:creationId xmlns:a16="http://schemas.microsoft.com/office/drawing/2014/main" id="{00000000-0008-0000-0000-000028080300}"/>
            </a:ext>
          </a:extLst>
        </xdr:cNvPr>
        <xdr:cNvSpPr txBox="1">
          <a:spLocks noChangeArrowheads="1"/>
        </xdr:cNvSpPr>
      </xdr:nvSpPr>
      <xdr:spPr bwMode="auto">
        <a:xfrm>
          <a:off x="1019175" y="358873425"/>
          <a:ext cx="2161116" cy="2162175"/>
        </a:xfrm>
        <a:prstGeom prst="rect">
          <a:avLst/>
        </a:prstGeom>
        <a:blipFill dpi="0" rotWithShape="1">
          <a:blip xmlns:r="http://schemas.openxmlformats.org/officeDocument/2006/relationships" r:embed="rId3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375</xdr:row>
      <xdr:rowOff>66675</xdr:rowOff>
    </xdr:from>
    <xdr:ext cx="2161116" cy="2162175"/>
    <xdr:sp macro="" textlink="">
      <xdr:nvSpPr>
        <xdr:cNvPr id="198697" name="Text Box 1441" hidden="1">
          <a:extLst>
            <a:ext uri="{FF2B5EF4-FFF2-40B4-BE49-F238E27FC236}">
              <a16:creationId xmlns:a16="http://schemas.microsoft.com/office/drawing/2014/main" id="{00000000-0008-0000-0000-000029080300}"/>
            </a:ext>
          </a:extLst>
        </xdr:cNvPr>
        <xdr:cNvSpPr txBox="1">
          <a:spLocks noChangeArrowheads="1"/>
        </xdr:cNvSpPr>
      </xdr:nvSpPr>
      <xdr:spPr bwMode="auto">
        <a:xfrm>
          <a:off x="1019175" y="225523425"/>
          <a:ext cx="2161116" cy="2162175"/>
        </a:xfrm>
        <a:prstGeom prst="rect">
          <a:avLst/>
        </a:prstGeom>
        <a:blipFill dpi="0" rotWithShape="1">
          <a:blip xmlns:r="http://schemas.openxmlformats.org/officeDocument/2006/relationships" r:embed="rId3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376</xdr:row>
      <xdr:rowOff>66675</xdr:rowOff>
    </xdr:from>
    <xdr:ext cx="2161116" cy="2162175"/>
    <xdr:sp macro="" textlink="">
      <xdr:nvSpPr>
        <xdr:cNvPr id="198698" name="Text Box 1447" hidden="1">
          <a:extLst>
            <a:ext uri="{FF2B5EF4-FFF2-40B4-BE49-F238E27FC236}">
              <a16:creationId xmlns:a16="http://schemas.microsoft.com/office/drawing/2014/main" id="{00000000-0008-0000-0000-00002A080300}"/>
            </a:ext>
          </a:extLst>
        </xdr:cNvPr>
        <xdr:cNvSpPr txBox="1">
          <a:spLocks noChangeArrowheads="1"/>
        </xdr:cNvSpPr>
      </xdr:nvSpPr>
      <xdr:spPr bwMode="auto">
        <a:xfrm>
          <a:off x="1019175" y="11972925"/>
          <a:ext cx="2161116" cy="2162175"/>
        </a:xfrm>
        <a:prstGeom prst="rect">
          <a:avLst/>
        </a:prstGeom>
        <a:blipFill dpi="0" rotWithShape="1">
          <a:blip xmlns:r="http://schemas.openxmlformats.org/officeDocument/2006/relationships" r:embed="rId3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376</xdr:row>
      <xdr:rowOff>95250</xdr:rowOff>
    </xdr:from>
    <xdr:ext cx="2161116" cy="2162175"/>
    <xdr:sp macro="" textlink="">
      <xdr:nvSpPr>
        <xdr:cNvPr id="198700" name="Text Box 1451" hidden="1">
          <a:extLst>
            <a:ext uri="{FF2B5EF4-FFF2-40B4-BE49-F238E27FC236}">
              <a16:creationId xmlns:a16="http://schemas.microsoft.com/office/drawing/2014/main" id="{00000000-0008-0000-0000-00002C080300}"/>
            </a:ext>
          </a:extLst>
        </xdr:cNvPr>
        <xdr:cNvSpPr txBox="1">
          <a:spLocks noChangeArrowheads="1"/>
        </xdr:cNvSpPr>
      </xdr:nvSpPr>
      <xdr:spPr bwMode="auto">
        <a:xfrm>
          <a:off x="1095375" y="12001500"/>
          <a:ext cx="2161116" cy="2162175"/>
        </a:xfrm>
        <a:prstGeom prst="rect">
          <a:avLst/>
        </a:prstGeom>
        <a:blipFill dpi="0" rotWithShape="1">
          <a:blip xmlns:r="http://schemas.openxmlformats.org/officeDocument/2006/relationships" r:embed="rId3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378</xdr:row>
      <xdr:rowOff>66675</xdr:rowOff>
    </xdr:from>
    <xdr:ext cx="2161116" cy="2162175"/>
    <xdr:sp macro="" textlink="">
      <xdr:nvSpPr>
        <xdr:cNvPr id="198701" name="Text Box 1454" hidden="1">
          <a:extLst>
            <a:ext uri="{FF2B5EF4-FFF2-40B4-BE49-F238E27FC236}">
              <a16:creationId xmlns:a16="http://schemas.microsoft.com/office/drawing/2014/main" id="{00000000-0008-0000-0000-00002D080300}"/>
            </a:ext>
          </a:extLst>
        </xdr:cNvPr>
        <xdr:cNvSpPr txBox="1">
          <a:spLocks noChangeArrowheads="1"/>
        </xdr:cNvSpPr>
      </xdr:nvSpPr>
      <xdr:spPr bwMode="auto">
        <a:xfrm>
          <a:off x="1019175" y="60550425"/>
          <a:ext cx="2161116" cy="2162175"/>
        </a:xfrm>
        <a:prstGeom prst="rect">
          <a:avLst/>
        </a:prstGeom>
        <a:blipFill dpi="0" rotWithShape="1">
          <a:blip xmlns:r="http://schemas.openxmlformats.org/officeDocument/2006/relationships" r:embed="rId3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378</xdr:row>
      <xdr:rowOff>95250</xdr:rowOff>
    </xdr:from>
    <xdr:ext cx="2161116" cy="2162175"/>
    <xdr:sp macro="" textlink="">
      <xdr:nvSpPr>
        <xdr:cNvPr id="198702" name="Text Box 1457" hidden="1">
          <a:extLst>
            <a:ext uri="{FF2B5EF4-FFF2-40B4-BE49-F238E27FC236}">
              <a16:creationId xmlns:a16="http://schemas.microsoft.com/office/drawing/2014/main" id="{00000000-0008-0000-0000-00002E080300}"/>
            </a:ext>
          </a:extLst>
        </xdr:cNvPr>
        <xdr:cNvSpPr txBox="1">
          <a:spLocks noChangeArrowheads="1"/>
        </xdr:cNvSpPr>
      </xdr:nvSpPr>
      <xdr:spPr bwMode="auto">
        <a:xfrm>
          <a:off x="1095375" y="60579000"/>
          <a:ext cx="2161116" cy="2162175"/>
        </a:xfrm>
        <a:prstGeom prst="rect">
          <a:avLst/>
        </a:prstGeom>
        <a:blipFill dpi="0" rotWithShape="1">
          <a:blip xmlns:r="http://schemas.openxmlformats.org/officeDocument/2006/relationships" r:embed="rId4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379</xdr:row>
      <xdr:rowOff>95250</xdr:rowOff>
    </xdr:from>
    <xdr:ext cx="2161116" cy="2162175"/>
    <xdr:sp macro="" textlink="">
      <xdr:nvSpPr>
        <xdr:cNvPr id="198703" name="Text Box 1462" hidden="1">
          <a:extLst>
            <a:ext uri="{FF2B5EF4-FFF2-40B4-BE49-F238E27FC236}">
              <a16:creationId xmlns:a16="http://schemas.microsoft.com/office/drawing/2014/main" id="{00000000-0008-0000-0000-00002F080300}"/>
            </a:ext>
          </a:extLst>
        </xdr:cNvPr>
        <xdr:cNvSpPr txBox="1">
          <a:spLocks noChangeArrowheads="1"/>
        </xdr:cNvSpPr>
      </xdr:nvSpPr>
      <xdr:spPr bwMode="auto">
        <a:xfrm>
          <a:off x="1095375" y="119443500"/>
          <a:ext cx="2161116" cy="2162175"/>
        </a:xfrm>
        <a:prstGeom prst="rect">
          <a:avLst/>
        </a:prstGeom>
        <a:blipFill dpi="0" rotWithShape="1">
          <a:blip xmlns:r="http://schemas.openxmlformats.org/officeDocument/2006/relationships" r:embed="rId4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381</xdr:row>
      <xdr:rowOff>66675</xdr:rowOff>
    </xdr:from>
    <xdr:ext cx="2161116" cy="2162175"/>
    <xdr:sp macro="" textlink="">
      <xdr:nvSpPr>
        <xdr:cNvPr id="198704" name="Text Box 1468" hidden="1">
          <a:extLst>
            <a:ext uri="{FF2B5EF4-FFF2-40B4-BE49-F238E27FC236}">
              <a16:creationId xmlns:a16="http://schemas.microsoft.com/office/drawing/2014/main" id="{00000000-0008-0000-0000-000030080300}"/>
            </a:ext>
          </a:extLst>
        </xdr:cNvPr>
        <xdr:cNvSpPr txBox="1">
          <a:spLocks noChangeArrowheads="1"/>
        </xdr:cNvSpPr>
      </xdr:nvSpPr>
      <xdr:spPr bwMode="auto">
        <a:xfrm>
          <a:off x="1019175" y="351443925"/>
          <a:ext cx="2161116" cy="2162175"/>
        </a:xfrm>
        <a:prstGeom prst="rect">
          <a:avLst/>
        </a:prstGeom>
        <a:blipFill dpi="0" rotWithShape="1">
          <a:blip xmlns:r="http://schemas.openxmlformats.org/officeDocument/2006/relationships" r:embed="rId4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384</xdr:row>
      <xdr:rowOff>66675</xdr:rowOff>
    </xdr:from>
    <xdr:ext cx="2161116" cy="2162175"/>
    <xdr:sp macro="" textlink="">
      <xdr:nvSpPr>
        <xdr:cNvPr id="198705" name="Text Box 1478" hidden="1">
          <a:extLst>
            <a:ext uri="{FF2B5EF4-FFF2-40B4-BE49-F238E27FC236}">
              <a16:creationId xmlns:a16="http://schemas.microsoft.com/office/drawing/2014/main" id="{00000000-0008-0000-0000-000031080300}"/>
            </a:ext>
          </a:extLst>
        </xdr:cNvPr>
        <xdr:cNvSpPr txBox="1">
          <a:spLocks noChangeArrowheads="1"/>
        </xdr:cNvSpPr>
      </xdr:nvSpPr>
      <xdr:spPr bwMode="auto">
        <a:xfrm>
          <a:off x="1019175" y="228952425"/>
          <a:ext cx="2161116" cy="2162175"/>
        </a:xfrm>
        <a:prstGeom prst="rect">
          <a:avLst/>
        </a:prstGeom>
        <a:blipFill dpi="0" rotWithShape="1">
          <a:blip xmlns:r="http://schemas.openxmlformats.org/officeDocument/2006/relationships" r:embed="rId4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385</xdr:row>
      <xdr:rowOff>66675</xdr:rowOff>
    </xdr:from>
    <xdr:ext cx="2161116" cy="2162175"/>
    <xdr:sp macro="" textlink="">
      <xdr:nvSpPr>
        <xdr:cNvPr id="198706" name="Text Box 1481" hidden="1">
          <a:extLst>
            <a:ext uri="{FF2B5EF4-FFF2-40B4-BE49-F238E27FC236}">
              <a16:creationId xmlns:a16="http://schemas.microsoft.com/office/drawing/2014/main" id="{00000000-0008-0000-0000-000032080300}"/>
            </a:ext>
          </a:extLst>
        </xdr:cNvPr>
        <xdr:cNvSpPr txBox="1">
          <a:spLocks noChangeArrowheads="1"/>
        </xdr:cNvSpPr>
      </xdr:nvSpPr>
      <xdr:spPr bwMode="auto">
        <a:xfrm>
          <a:off x="1019175" y="314296425"/>
          <a:ext cx="2161116" cy="2162175"/>
        </a:xfrm>
        <a:prstGeom prst="rect">
          <a:avLst/>
        </a:prstGeom>
        <a:blipFill dpi="0" rotWithShape="1">
          <a:blip xmlns:r="http://schemas.openxmlformats.org/officeDocument/2006/relationships" r:embed="rId4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386</xdr:row>
      <xdr:rowOff>66675</xdr:rowOff>
    </xdr:from>
    <xdr:ext cx="2161116" cy="2162175"/>
    <xdr:sp macro="" textlink="">
      <xdr:nvSpPr>
        <xdr:cNvPr id="198707" name="Text Box 1485" hidden="1">
          <a:extLst>
            <a:ext uri="{FF2B5EF4-FFF2-40B4-BE49-F238E27FC236}">
              <a16:creationId xmlns:a16="http://schemas.microsoft.com/office/drawing/2014/main" id="{00000000-0008-0000-0000-000033080300}"/>
            </a:ext>
          </a:extLst>
        </xdr:cNvPr>
        <xdr:cNvSpPr txBox="1">
          <a:spLocks noChangeArrowheads="1"/>
        </xdr:cNvSpPr>
      </xdr:nvSpPr>
      <xdr:spPr bwMode="auto">
        <a:xfrm>
          <a:off x="1019175" y="316010925"/>
          <a:ext cx="2161116" cy="2162175"/>
        </a:xfrm>
        <a:prstGeom prst="rect">
          <a:avLst/>
        </a:prstGeom>
        <a:blipFill dpi="0" rotWithShape="1">
          <a:blip xmlns:r="http://schemas.openxmlformats.org/officeDocument/2006/relationships" r:embed="rId4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387</xdr:row>
      <xdr:rowOff>66675</xdr:rowOff>
    </xdr:from>
    <xdr:ext cx="2161116" cy="2162175"/>
    <xdr:sp macro="" textlink="">
      <xdr:nvSpPr>
        <xdr:cNvPr id="198708" name="Text Box 1488" hidden="1">
          <a:extLst>
            <a:ext uri="{FF2B5EF4-FFF2-40B4-BE49-F238E27FC236}">
              <a16:creationId xmlns:a16="http://schemas.microsoft.com/office/drawing/2014/main" id="{00000000-0008-0000-0000-000034080300}"/>
            </a:ext>
          </a:extLst>
        </xdr:cNvPr>
        <xdr:cNvSpPr txBox="1">
          <a:spLocks noChangeArrowheads="1"/>
        </xdr:cNvSpPr>
      </xdr:nvSpPr>
      <xdr:spPr bwMode="auto">
        <a:xfrm>
          <a:off x="1019175" y="238667925"/>
          <a:ext cx="2161116" cy="2162175"/>
        </a:xfrm>
        <a:prstGeom prst="rect">
          <a:avLst/>
        </a:prstGeom>
        <a:blipFill dpi="0" rotWithShape="1">
          <a:blip xmlns:r="http://schemas.openxmlformats.org/officeDocument/2006/relationships" r:embed="rId4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388</xdr:row>
      <xdr:rowOff>66675</xdr:rowOff>
    </xdr:from>
    <xdr:ext cx="2161116" cy="2162175"/>
    <xdr:sp macro="" textlink="">
      <xdr:nvSpPr>
        <xdr:cNvPr id="198709" name="Text Box 1493" hidden="1">
          <a:extLst>
            <a:ext uri="{FF2B5EF4-FFF2-40B4-BE49-F238E27FC236}">
              <a16:creationId xmlns:a16="http://schemas.microsoft.com/office/drawing/2014/main" id="{00000000-0008-0000-0000-000035080300}"/>
            </a:ext>
          </a:extLst>
        </xdr:cNvPr>
        <xdr:cNvSpPr txBox="1">
          <a:spLocks noChangeArrowheads="1"/>
        </xdr:cNvSpPr>
      </xdr:nvSpPr>
      <xdr:spPr bwMode="auto">
        <a:xfrm>
          <a:off x="1019175" y="197519925"/>
          <a:ext cx="2161116" cy="2162175"/>
        </a:xfrm>
        <a:prstGeom prst="rect">
          <a:avLst/>
        </a:prstGeom>
        <a:blipFill dpi="0" rotWithShape="1">
          <a:blip xmlns:r="http://schemas.openxmlformats.org/officeDocument/2006/relationships" r:embed="rId4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389</xdr:row>
      <xdr:rowOff>66675</xdr:rowOff>
    </xdr:from>
    <xdr:ext cx="2161116" cy="2162175"/>
    <xdr:sp macro="" textlink="">
      <xdr:nvSpPr>
        <xdr:cNvPr id="198710" name="Text Box 1497" hidden="1">
          <a:extLst>
            <a:ext uri="{FF2B5EF4-FFF2-40B4-BE49-F238E27FC236}">
              <a16:creationId xmlns:a16="http://schemas.microsoft.com/office/drawing/2014/main" id="{00000000-0008-0000-0000-000036080300}"/>
            </a:ext>
          </a:extLst>
        </xdr:cNvPr>
        <xdr:cNvSpPr txBox="1">
          <a:spLocks noChangeArrowheads="1"/>
        </xdr:cNvSpPr>
      </xdr:nvSpPr>
      <xdr:spPr bwMode="auto">
        <a:xfrm>
          <a:off x="1019175" y="298484925"/>
          <a:ext cx="2161116" cy="2162175"/>
        </a:xfrm>
        <a:prstGeom prst="rect">
          <a:avLst/>
        </a:prstGeom>
        <a:blipFill dpi="0" rotWithShape="1">
          <a:blip xmlns:r="http://schemas.openxmlformats.org/officeDocument/2006/relationships" r:embed="rId5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390</xdr:row>
      <xdr:rowOff>66675</xdr:rowOff>
    </xdr:from>
    <xdr:ext cx="2161116" cy="2162175"/>
    <xdr:sp macro="" textlink="">
      <xdr:nvSpPr>
        <xdr:cNvPr id="198711" name="Text Box 1501" hidden="1">
          <a:extLst>
            <a:ext uri="{FF2B5EF4-FFF2-40B4-BE49-F238E27FC236}">
              <a16:creationId xmlns:a16="http://schemas.microsoft.com/office/drawing/2014/main" id="{00000000-0008-0000-0000-000037080300}"/>
            </a:ext>
          </a:extLst>
        </xdr:cNvPr>
        <xdr:cNvSpPr txBox="1">
          <a:spLocks noChangeArrowheads="1"/>
        </xdr:cNvSpPr>
      </xdr:nvSpPr>
      <xdr:spPr bwMode="auto">
        <a:xfrm>
          <a:off x="1019175" y="244573425"/>
          <a:ext cx="2161116" cy="2162175"/>
        </a:xfrm>
        <a:prstGeom prst="rect">
          <a:avLst/>
        </a:prstGeom>
        <a:blipFill dpi="0" rotWithShape="1">
          <a:blip xmlns:r="http://schemas.openxmlformats.org/officeDocument/2006/relationships" r:embed="rId5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391</xdr:row>
      <xdr:rowOff>66675</xdr:rowOff>
    </xdr:from>
    <xdr:ext cx="2161116" cy="2162175"/>
    <xdr:sp macro="" textlink="">
      <xdr:nvSpPr>
        <xdr:cNvPr id="198712" name="Text Box 1508" hidden="1">
          <a:extLst>
            <a:ext uri="{FF2B5EF4-FFF2-40B4-BE49-F238E27FC236}">
              <a16:creationId xmlns:a16="http://schemas.microsoft.com/office/drawing/2014/main" id="{00000000-0008-0000-0000-000038080300}"/>
            </a:ext>
          </a:extLst>
        </xdr:cNvPr>
        <xdr:cNvSpPr txBox="1">
          <a:spLocks noChangeArrowheads="1"/>
        </xdr:cNvSpPr>
      </xdr:nvSpPr>
      <xdr:spPr bwMode="auto">
        <a:xfrm>
          <a:off x="1019175" y="339442425"/>
          <a:ext cx="2161116" cy="2162175"/>
        </a:xfrm>
        <a:prstGeom prst="rect">
          <a:avLst/>
        </a:prstGeom>
        <a:blipFill dpi="0" rotWithShape="1">
          <a:blip xmlns:r="http://schemas.openxmlformats.org/officeDocument/2006/relationships" r:embed="rId5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392</xdr:row>
      <xdr:rowOff>66675</xdr:rowOff>
    </xdr:from>
    <xdr:ext cx="2161116" cy="2162175"/>
    <xdr:sp macro="" textlink="">
      <xdr:nvSpPr>
        <xdr:cNvPr id="198713" name="Text Box 1513" hidden="1">
          <a:extLst>
            <a:ext uri="{FF2B5EF4-FFF2-40B4-BE49-F238E27FC236}">
              <a16:creationId xmlns:a16="http://schemas.microsoft.com/office/drawing/2014/main" id="{00000000-0008-0000-0000-000039080300}"/>
            </a:ext>
          </a:extLst>
        </xdr:cNvPr>
        <xdr:cNvSpPr txBox="1">
          <a:spLocks noChangeArrowheads="1"/>
        </xdr:cNvSpPr>
      </xdr:nvSpPr>
      <xdr:spPr bwMode="auto">
        <a:xfrm>
          <a:off x="1019175" y="370493925"/>
          <a:ext cx="2161116" cy="2162175"/>
        </a:xfrm>
        <a:prstGeom prst="rect">
          <a:avLst/>
        </a:prstGeom>
        <a:blipFill dpi="0" rotWithShape="1">
          <a:blip xmlns:r="http://schemas.openxmlformats.org/officeDocument/2006/relationships" r:embed="rId5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393</xdr:row>
      <xdr:rowOff>66675</xdr:rowOff>
    </xdr:from>
    <xdr:ext cx="2161116" cy="2162175"/>
    <xdr:sp macro="" textlink="">
      <xdr:nvSpPr>
        <xdr:cNvPr id="198714" name="Text Box 1520" hidden="1">
          <a:extLst>
            <a:ext uri="{FF2B5EF4-FFF2-40B4-BE49-F238E27FC236}">
              <a16:creationId xmlns:a16="http://schemas.microsoft.com/office/drawing/2014/main" id="{00000000-0008-0000-0000-00003A080300}"/>
            </a:ext>
          </a:extLst>
        </xdr:cNvPr>
        <xdr:cNvSpPr txBox="1">
          <a:spLocks noChangeArrowheads="1"/>
        </xdr:cNvSpPr>
      </xdr:nvSpPr>
      <xdr:spPr bwMode="auto">
        <a:xfrm>
          <a:off x="1019175" y="54644925"/>
          <a:ext cx="2161116" cy="2162175"/>
        </a:xfrm>
        <a:prstGeom prst="rect">
          <a:avLst/>
        </a:prstGeom>
        <a:blipFill dpi="0" rotWithShape="1">
          <a:blip xmlns:r="http://schemas.openxmlformats.org/officeDocument/2006/relationships" r:embed="rId5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393</xdr:row>
      <xdr:rowOff>95250</xdr:rowOff>
    </xdr:from>
    <xdr:ext cx="2161116" cy="2162175"/>
    <xdr:sp macro="" textlink="">
      <xdr:nvSpPr>
        <xdr:cNvPr id="198715" name="Text Box 1524" hidden="1">
          <a:extLst>
            <a:ext uri="{FF2B5EF4-FFF2-40B4-BE49-F238E27FC236}">
              <a16:creationId xmlns:a16="http://schemas.microsoft.com/office/drawing/2014/main" id="{00000000-0008-0000-0000-00003B080300}"/>
            </a:ext>
          </a:extLst>
        </xdr:cNvPr>
        <xdr:cNvSpPr txBox="1">
          <a:spLocks noChangeArrowheads="1"/>
        </xdr:cNvSpPr>
      </xdr:nvSpPr>
      <xdr:spPr bwMode="auto">
        <a:xfrm>
          <a:off x="1095375" y="54673500"/>
          <a:ext cx="2161116" cy="2162175"/>
        </a:xfrm>
        <a:prstGeom prst="rect">
          <a:avLst/>
        </a:prstGeom>
        <a:blipFill dpi="0" rotWithShape="1">
          <a:blip xmlns:r="http://schemas.openxmlformats.org/officeDocument/2006/relationships" r:embed="rId5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395</xdr:row>
      <xdr:rowOff>66675</xdr:rowOff>
    </xdr:from>
    <xdr:ext cx="2161116" cy="2162175"/>
    <xdr:sp macro="" textlink="">
      <xdr:nvSpPr>
        <xdr:cNvPr id="198716" name="Text Box 1530" hidden="1">
          <a:extLst>
            <a:ext uri="{FF2B5EF4-FFF2-40B4-BE49-F238E27FC236}">
              <a16:creationId xmlns:a16="http://schemas.microsoft.com/office/drawing/2014/main" id="{00000000-0008-0000-0000-00003C080300}"/>
            </a:ext>
          </a:extLst>
        </xdr:cNvPr>
        <xdr:cNvSpPr txBox="1">
          <a:spLocks noChangeArrowheads="1"/>
        </xdr:cNvSpPr>
      </xdr:nvSpPr>
      <xdr:spPr bwMode="auto">
        <a:xfrm>
          <a:off x="1019175" y="217522425"/>
          <a:ext cx="2161116" cy="2162175"/>
        </a:xfrm>
        <a:prstGeom prst="rect">
          <a:avLst/>
        </a:prstGeom>
        <a:blipFill dpi="0" rotWithShape="1">
          <a:blip xmlns:r="http://schemas.openxmlformats.org/officeDocument/2006/relationships" r:embed="rId5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396</xdr:row>
      <xdr:rowOff>66675</xdr:rowOff>
    </xdr:from>
    <xdr:ext cx="2161116" cy="2162175"/>
    <xdr:sp macro="" textlink="">
      <xdr:nvSpPr>
        <xdr:cNvPr id="198717" name="Text Box 1533" hidden="1">
          <a:extLst>
            <a:ext uri="{FF2B5EF4-FFF2-40B4-BE49-F238E27FC236}">
              <a16:creationId xmlns:a16="http://schemas.microsoft.com/office/drawing/2014/main" id="{00000000-0008-0000-0000-00003D080300}"/>
            </a:ext>
          </a:extLst>
        </xdr:cNvPr>
        <xdr:cNvSpPr txBox="1">
          <a:spLocks noChangeArrowheads="1"/>
        </xdr:cNvSpPr>
      </xdr:nvSpPr>
      <xdr:spPr bwMode="auto">
        <a:xfrm>
          <a:off x="1019175" y="57692925"/>
          <a:ext cx="2161116" cy="2162175"/>
        </a:xfrm>
        <a:prstGeom prst="rect">
          <a:avLst/>
        </a:prstGeom>
        <a:blipFill dpi="0" rotWithShape="1">
          <a:blip xmlns:r="http://schemas.openxmlformats.org/officeDocument/2006/relationships" r:embed="rId5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396</xdr:row>
      <xdr:rowOff>95250</xdr:rowOff>
    </xdr:from>
    <xdr:ext cx="2161116" cy="2162175"/>
    <xdr:sp macro="" textlink="">
      <xdr:nvSpPr>
        <xdr:cNvPr id="198718" name="Text Box 1536" hidden="1">
          <a:extLst>
            <a:ext uri="{FF2B5EF4-FFF2-40B4-BE49-F238E27FC236}">
              <a16:creationId xmlns:a16="http://schemas.microsoft.com/office/drawing/2014/main" id="{00000000-0008-0000-0000-00003E080300}"/>
            </a:ext>
          </a:extLst>
        </xdr:cNvPr>
        <xdr:cNvSpPr txBox="1">
          <a:spLocks noChangeArrowheads="1"/>
        </xdr:cNvSpPr>
      </xdr:nvSpPr>
      <xdr:spPr bwMode="auto">
        <a:xfrm>
          <a:off x="1095375" y="57721500"/>
          <a:ext cx="2161116" cy="2162175"/>
        </a:xfrm>
        <a:prstGeom prst="rect">
          <a:avLst/>
        </a:prstGeom>
        <a:blipFill dpi="0" rotWithShape="1">
          <a:blip xmlns:r="http://schemas.openxmlformats.org/officeDocument/2006/relationships" r:embed="rId5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398</xdr:row>
      <xdr:rowOff>66675</xdr:rowOff>
    </xdr:from>
    <xdr:ext cx="2161116" cy="2162175"/>
    <xdr:sp macro="" textlink="">
      <xdr:nvSpPr>
        <xdr:cNvPr id="198719" name="Text Box 1539" hidden="1">
          <a:extLst>
            <a:ext uri="{FF2B5EF4-FFF2-40B4-BE49-F238E27FC236}">
              <a16:creationId xmlns:a16="http://schemas.microsoft.com/office/drawing/2014/main" id="{00000000-0008-0000-0000-00003F080300}"/>
            </a:ext>
          </a:extLst>
        </xdr:cNvPr>
        <xdr:cNvSpPr txBox="1">
          <a:spLocks noChangeArrowheads="1"/>
        </xdr:cNvSpPr>
      </xdr:nvSpPr>
      <xdr:spPr bwMode="auto">
        <a:xfrm>
          <a:off x="1019175" y="564041925"/>
          <a:ext cx="2161116" cy="2162175"/>
        </a:xfrm>
        <a:prstGeom prst="rect">
          <a:avLst/>
        </a:prstGeom>
        <a:blipFill dpi="0" rotWithShape="1">
          <a:blip xmlns:r="http://schemas.openxmlformats.org/officeDocument/2006/relationships" r:embed="rId5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398</xdr:row>
      <xdr:rowOff>95250</xdr:rowOff>
    </xdr:from>
    <xdr:ext cx="2161116" cy="2162175"/>
    <xdr:sp macro="" textlink="">
      <xdr:nvSpPr>
        <xdr:cNvPr id="198720" name="Text Box 1543" hidden="1">
          <a:extLst>
            <a:ext uri="{FF2B5EF4-FFF2-40B4-BE49-F238E27FC236}">
              <a16:creationId xmlns:a16="http://schemas.microsoft.com/office/drawing/2014/main" id="{00000000-0008-0000-0000-000040080300}"/>
            </a:ext>
          </a:extLst>
        </xdr:cNvPr>
        <xdr:cNvSpPr txBox="1">
          <a:spLocks noChangeArrowheads="1"/>
        </xdr:cNvSpPr>
      </xdr:nvSpPr>
      <xdr:spPr bwMode="auto">
        <a:xfrm>
          <a:off x="1095375" y="564070500"/>
          <a:ext cx="2161116" cy="2162175"/>
        </a:xfrm>
        <a:prstGeom prst="rect">
          <a:avLst/>
        </a:prstGeom>
        <a:blipFill dpi="0" rotWithShape="1">
          <a:blip xmlns:r="http://schemas.openxmlformats.org/officeDocument/2006/relationships" r:embed="rId6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399</xdr:row>
      <xdr:rowOff>95250</xdr:rowOff>
    </xdr:from>
    <xdr:ext cx="2161116" cy="2162175"/>
    <xdr:sp macro="" textlink="">
      <xdr:nvSpPr>
        <xdr:cNvPr id="198721" name="Text Box 1548" hidden="1">
          <a:extLst>
            <a:ext uri="{FF2B5EF4-FFF2-40B4-BE49-F238E27FC236}">
              <a16:creationId xmlns:a16="http://schemas.microsoft.com/office/drawing/2014/main" id="{00000000-0008-0000-0000-000041080300}"/>
            </a:ext>
          </a:extLst>
        </xdr:cNvPr>
        <xdr:cNvSpPr txBox="1">
          <a:spLocks noChangeArrowheads="1"/>
        </xdr:cNvSpPr>
      </xdr:nvSpPr>
      <xdr:spPr bwMode="auto">
        <a:xfrm>
          <a:off x="1095375" y="76962000"/>
          <a:ext cx="2161116" cy="2162175"/>
        </a:xfrm>
        <a:prstGeom prst="rect">
          <a:avLst/>
        </a:prstGeom>
        <a:blipFill dpi="0" rotWithShape="1">
          <a:blip xmlns:r="http://schemas.openxmlformats.org/officeDocument/2006/relationships" r:embed="rId6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2088</xdr:row>
      <xdr:rowOff>66675</xdr:rowOff>
    </xdr:from>
    <xdr:ext cx="2161116" cy="2162175"/>
    <xdr:sp macro="" textlink="">
      <xdr:nvSpPr>
        <xdr:cNvPr id="198722" name="Text Box 1553" hidden="1">
          <a:extLst>
            <a:ext uri="{FF2B5EF4-FFF2-40B4-BE49-F238E27FC236}">
              <a16:creationId xmlns:a16="http://schemas.microsoft.com/office/drawing/2014/main" id="{00000000-0008-0000-0000-000042080300}"/>
            </a:ext>
          </a:extLst>
        </xdr:cNvPr>
        <xdr:cNvSpPr txBox="1">
          <a:spLocks noChangeArrowheads="1"/>
        </xdr:cNvSpPr>
      </xdr:nvSpPr>
      <xdr:spPr bwMode="auto">
        <a:xfrm>
          <a:off x="1019175" y="306866925"/>
          <a:ext cx="2161116" cy="2162175"/>
        </a:xfrm>
        <a:prstGeom prst="rect">
          <a:avLst/>
        </a:prstGeom>
        <a:blipFill dpi="0" rotWithShape="1">
          <a:blip xmlns:r="http://schemas.openxmlformats.org/officeDocument/2006/relationships" r:embed="rId6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401</xdr:row>
      <xdr:rowOff>66675</xdr:rowOff>
    </xdr:from>
    <xdr:ext cx="2161116" cy="2162175"/>
    <xdr:sp macro="" textlink="">
      <xdr:nvSpPr>
        <xdr:cNvPr id="198723" name="Text Box 1557" hidden="1">
          <a:extLst>
            <a:ext uri="{FF2B5EF4-FFF2-40B4-BE49-F238E27FC236}">
              <a16:creationId xmlns:a16="http://schemas.microsoft.com/office/drawing/2014/main" id="{00000000-0008-0000-0000-000043080300}"/>
            </a:ext>
          </a:extLst>
        </xdr:cNvPr>
        <xdr:cNvSpPr txBox="1">
          <a:spLocks noChangeArrowheads="1"/>
        </xdr:cNvSpPr>
      </xdr:nvSpPr>
      <xdr:spPr bwMode="auto">
        <a:xfrm>
          <a:off x="1019175" y="17687925"/>
          <a:ext cx="2161116" cy="2162175"/>
        </a:xfrm>
        <a:prstGeom prst="rect">
          <a:avLst/>
        </a:prstGeom>
        <a:blipFill dpi="0" rotWithShape="1">
          <a:blip xmlns:r="http://schemas.openxmlformats.org/officeDocument/2006/relationships" r:embed="rId6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401</xdr:row>
      <xdr:rowOff>95250</xdr:rowOff>
    </xdr:from>
    <xdr:ext cx="2161116" cy="2162175"/>
    <xdr:sp macro="" textlink="">
      <xdr:nvSpPr>
        <xdr:cNvPr id="198724" name="Text Box 1565" hidden="1">
          <a:extLst>
            <a:ext uri="{FF2B5EF4-FFF2-40B4-BE49-F238E27FC236}">
              <a16:creationId xmlns:a16="http://schemas.microsoft.com/office/drawing/2014/main" id="{00000000-0008-0000-0000-000044080300}"/>
            </a:ext>
          </a:extLst>
        </xdr:cNvPr>
        <xdr:cNvSpPr txBox="1">
          <a:spLocks noChangeArrowheads="1"/>
        </xdr:cNvSpPr>
      </xdr:nvSpPr>
      <xdr:spPr bwMode="auto">
        <a:xfrm>
          <a:off x="1095375" y="17716500"/>
          <a:ext cx="2161116" cy="2162175"/>
        </a:xfrm>
        <a:prstGeom prst="rect">
          <a:avLst/>
        </a:prstGeom>
        <a:blipFill dpi="0" rotWithShape="1">
          <a:blip xmlns:r="http://schemas.openxmlformats.org/officeDocument/2006/relationships" r:embed="rId6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403</xdr:row>
      <xdr:rowOff>66675</xdr:rowOff>
    </xdr:from>
    <xdr:ext cx="2161116" cy="2162175"/>
    <xdr:sp macro="" textlink="">
      <xdr:nvSpPr>
        <xdr:cNvPr id="198725" name="Text Box 1572" hidden="1">
          <a:extLst>
            <a:ext uri="{FF2B5EF4-FFF2-40B4-BE49-F238E27FC236}">
              <a16:creationId xmlns:a16="http://schemas.microsoft.com/office/drawing/2014/main" id="{00000000-0008-0000-0000-000045080300}"/>
            </a:ext>
          </a:extLst>
        </xdr:cNvPr>
        <xdr:cNvSpPr txBox="1">
          <a:spLocks noChangeArrowheads="1"/>
        </xdr:cNvSpPr>
      </xdr:nvSpPr>
      <xdr:spPr bwMode="auto">
        <a:xfrm>
          <a:off x="1019175" y="594225592"/>
          <a:ext cx="2161116" cy="2162175"/>
        </a:xfrm>
        <a:prstGeom prst="rect">
          <a:avLst/>
        </a:prstGeom>
        <a:blipFill dpi="0" rotWithShape="1">
          <a:blip xmlns:r="http://schemas.openxmlformats.org/officeDocument/2006/relationships" r:embed="rId6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403</xdr:row>
      <xdr:rowOff>95250</xdr:rowOff>
    </xdr:from>
    <xdr:ext cx="2161116" cy="2162175"/>
    <xdr:sp macro="" textlink="">
      <xdr:nvSpPr>
        <xdr:cNvPr id="198726" name="Text Box 1576" hidden="1">
          <a:extLst>
            <a:ext uri="{FF2B5EF4-FFF2-40B4-BE49-F238E27FC236}">
              <a16:creationId xmlns:a16="http://schemas.microsoft.com/office/drawing/2014/main" id="{00000000-0008-0000-0000-000046080300}"/>
            </a:ext>
          </a:extLst>
        </xdr:cNvPr>
        <xdr:cNvSpPr txBox="1">
          <a:spLocks noChangeArrowheads="1"/>
        </xdr:cNvSpPr>
      </xdr:nvSpPr>
      <xdr:spPr bwMode="auto">
        <a:xfrm>
          <a:off x="1095375" y="594254167"/>
          <a:ext cx="2161116" cy="2162175"/>
        </a:xfrm>
        <a:prstGeom prst="rect">
          <a:avLst/>
        </a:prstGeom>
        <a:blipFill dpi="0" rotWithShape="1">
          <a:blip xmlns:r="http://schemas.openxmlformats.org/officeDocument/2006/relationships" r:embed="rId6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405</xdr:row>
      <xdr:rowOff>66675</xdr:rowOff>
    </xdr:from>
    <xdr:ext cx="2161116" cy="2162175"/>
    <xdr:sp macro="" textlink="">
      <xdr:nvSpPr>
        <xdr:cNvPr id="198727" name="Text Box 1581" hidden="1">
          <a:extLst>
            <a:ext uri="{FF2B5EF4-FFF2-40B4-BE49-F238E27FC236}">
              <a16:creationId xmlns:a16="http://schemas.microsoft.com/office/drawing/2014/main" id="{00000000-0008-0000-0000-000047080300}"/>
            </a:ext>
          </a:extLst>
        </xdr:cNvPr>
        <xdr:cNvSpPr txBox="1">
          <a:spLocks noChangeArrowheads="1"/>
        </xdr:cNvSpPr>
      </xdr:nvSpPr>
      <xdr:spPr bwMode="auto">
        <a:xfrm>
          <a:off x="1019175" y="343823925"/>
          <a:ext cx="2161116" cy="2162175"/>
        </a:xfrm>
        <a:prstGeom prst="rect">
          <a:avLst/>
        </a:prstGeom>
        <a:blipFill dpi="0" rotWithShape="1">
          <a:blip xmlns:r="http://schemas.openxmlformats.org/officeDocument/2006/relationships" r:embed="rId6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11</xdr:col>
      <xdr:colOff>0</xdr:colOff>
      <xdr:row>406</xdr:row>
      <xdr:rowOff>66675</xdr:rowOff>
    </xdr:from>
    <xdr:ext cx="2161116" cy="2162175"/>
    <xdr:sp macro="" textlink="">
      <xdr:nvSpPr>
        <xdr:cNvPr id="198728" name="Text Box 1584" hidden="1">
          <a:extLst>
            <a:ext uri="{FF2B5EF4-FFF2-40B4-BE49-F238E27FC236}">
              <a16:creationId xmlns:a16="http://schemas.microsoft.com/office/drawing/2014/main" id="{00000000-0008-0000-0000-000048080300}"/>
            </a:ext>
          </a:extLst>
        </xdr:cNvPr>
        <xdr:cNvSpPr txBox="1">
          <a:spLocks noChangeArrowheads="1"/>
        </xdr:cNvSpPr>
      </xdr:nvSpPr>
      <xdr:spPr bwMode="auto">
        <a:xfrm>
          <a:off x="1019175" y="210664425"/>
          <a:ext cx="2161116" cy="2162175"/>
        </a:xfrm>
        <a:prstGeom prst="rect">
          <a:avLst/>
        </a:prstGeom>
        <a:blipFill dpi="0" rotWithShape="1">
          <a:blip xmlns:r="http://schemas.openxmlformats.org/officeDocument/2006/relationships" r:embed="rId6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342</xdr:row>
      <xdr:rowOff>66675</xdr:rowOff>
    </xdr:from>
    <xdr:ext cx="2161116" cy="2162175"/>
    <xdr:sp macro="" textlink="">
      <xdr:nvSpPr>
        <xdr:cNvPr id="7" name="Text Box 1278" hidden="1">
          <a:extLst>
            <a:ext uri="{FF2B5EF4-FFF2-40B4-BE49-F238E27FC236}">
              <a16:creationId xmlns:a16="http://schemas.microsoft.com/office/drawing/2014/main" id="{00000000-0008-0000-0000-000007000000}"/>
            </a:ext>
          </a:extLst>
        </xdr:cNvPr>
        <xdr:cNvSpPr txBox="1">
          <a:spLocks noChangeArrowheads="1"/>
        </xdr:cNvSpPr>
      </xdr:nvSpPr>
      <xdr:spPr bwMode="auto">
        <a:xfrm>
          <a:off x="6534150" y="66284475"/>
          <a:ext cx="2161116" cy="2162175"/>
        </a:xfrm>
        <a:prstGeom prst="rect">
          <a:avLst/>
        </a:prstGeom>
        <a:blipFill dpi="0" rotWithShape="1">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345</xdr:row>
      <xdr:rowOff>66675</xdr:rowOff>
    </xdr:from>
    <xdr:ext cx="2161116" cy="2162175"/>
    <xdr:sp macro="" textlink="">
      <xdr:nvSpPr>
        <xdr:cNvPr id="198729" name="Text Box 1294" hidden="1">
          <a:extLst>
            <a:ext uri="{FF2B5EF4-FFF2-40B4-BE49-F238E27FC236}">
              <a16:creationId xmlns:a16="http://schemas.microsoft.com/office/drawing/2014/main" id="{00000000-0008-0000-0000-000049080300}"/>
            </a:ext>
          </a:extLst>
        </xdr:cNvPr>
        <xdr:cNvSpPr txBox="1">
          <a:spLocks noChangeArrowheads="1"/>
        </xdr:cNvSpPr>
      </xdr:nvSpPr>
      <xdr:spPr bwMode="auto">
        <a:xfrm>
          <a:off x="6534150" y="66855975"/>
          <a:ext cx="2161116" cy="2162175"/>
        </a:xfrm>
        <a:prstGeom prst="rect">
          <a:avLst/>
        </a:prstGeom>
        <a:blipFill dpi="0" rotWithShape="1">
          <a:blip xmlns:r="http://schemas.openxmlformats.org/officeDocument/2006/relationships" r:embed="rId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346</xdr:row>
      <xdr:rowOff>66675</xdr:rowOff>
    </xdr:from>
    <xdr:ext cx="2161116" cy="2159000"/>
    <xdr:sp macro="" textlink="">
      <xdr:nvSpPr>
        <xdr:cNvPr id="198730" name="Text Box 1299" hidden="1">
          <a:extLst>
            <a:ext uri="{FF2B5EF4-FFF2-40B4-BE49-F238E27FC236}">
              <a16:creationId xmlns:a16="http://schemas.microsoft.com/office/drawing/2014/main" id="{00000000-0008-0000-0000-00004A080300}"/>
            </a:ext>
          </a:extLst>
        </xdr:cNvPr>
        <xdr:cNvSpPr txBox="1">
          <a:spLocks noChangeArrowheads="1"/>
        </xdr:cNvSpPr>
      </xdr:nvSpPr>
      <xdr:spPr bwMode="auto">
        <a:xfrm>
          <a:off x="6534150" y="67046475"/>
          <a:ext cx="2161116" cy="2159000"/>
        </a:xfrm>
        <a:prstGeom prst="rect">
          <a:avLst/>
        </a:prstGeom>
        <a:blipFill dpi="0" rotWithShape="1">
          <a:blip xmlns:r="http://schemas.openxmlformats.org/officeDocument/2006/relationships" r:embed="rId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353</xdr:row>
      <xdr:rowOff>66675</xdr:rowOff>
    </xdr:from>
    <xdr:ext cx="2161116" cy="2162175"/>
    <xdr:sp macro="" textlink="">
      <xdr:nvSpPr>
        <xdr:cNvPr id="198731" name="Text Box 1334" hidden="1">
          <a:extLst>
            <a:ext uri="{FF2B5EF4-FFF2-40B4-BE49-F238E27FC236}">
              <a16:creationId xmlns:a16="http://schemas.microsoft.com/office/drawing/2014/main" id="{00000000-0008-0000-0000-00004B080300}"/>
            </a:ext>
          </a:extLst>
        </xdr:cNvPr>
        <xdr:cNvSpPr txBox="1">
          <a:spLocks noChangeArrowheads="1"/>
        </xdr:cNvSpPr>
      </xdr:nvSpPr>
      <xdr:spPr bwMode="auto">
        <a:xfrm>
          <a:off x="6534150" y="68379975"/>
          <a:ext cx="2161116" cy="2162175"/>
        </a:xfrm>
        <a:prstGeom prst="rect">
          <a:avLst/>
        </a:prstGeom>
        <a:blipFill dpi="0" rotWithShape="1">
          <a:blip xmlns:r="http://schemas.openxmlformats.org/officeDocument/2006/relationships" r:embed="rId14"/>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354</xdr:row>
      <xdr:rowOff>66675</xdr:rowOff>
    </xdr:from>
    <xdr:ext cx="2161116" cy="2162175"/>
    <xdr:sp macro="" textlink="">
      <xdr:nvSpPr>
        <xdr:cNvPr id="198732" name="Text Box 1339" hidden="1">
          <a:extLst>
            <a:ext uri="{FF2B5EF4-FFF2-40B4-BE49-F238E27FC236}">
              <a16:creationId xmlns:a16="http://schemas.microsoft.com/office/drawing/2014/main" id="{00000000-0008-0000-0000-00004C080300}"/>
            </a:ext>
          </a:extLst>
        </xdr:cNvPr>
        <xdr:cNvSpPr txBox="1">
          <a:spLocks noChangeArrowheads="1"/>
        </xdr:cNvSpPr>
      </xdr:nvSpPr>
      <xdr:spPr bwMode="auto">
        <a:xfrm>
          <a:off x="6534150" y="68570475"/>
          <a:ext cx="2161116" cy="2162175"/>
        </a:xfrm>
        <a:prstGeom prst="rect">
          <a:avLst/>
        </a:prstGeom>
        <a:blipFill dpi="0" rotWithShape="1">
          <a:blip xmlns:r="http://schemas.openxmlformats.org/officeDocument/2006/relationships" r:embed="rId1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355</xdr:row>
      <xdr:rowOff>66675</xdr:rowOff>
    </xdr:from>
    <xdr:ext cx="2161116" cy="2162175"/>
    <xdr:sp macro="" textlink="">
      <xdr:nvSpPr>
        <xdr:cNvPr id="198733" name="Text Box 1343" hidden="1">
          <a:extLst>
            <a:ext uri="{FF2B5EF4-FFF2-40B4-BE49-F238E27FC236}">
              <a16:creationId xmlns:a16="http://schemas.microsoft.com/office/drawing/2014/main" id="{00000000-0008-0000-0000-00004D080300}"/>
            </a:ext>
          </a:extLst>
        </xdr:cNvPr>
        <xdr:cNvSpPr txBox="1">
          <a:spLocks noChangeArrowheads="1"/>
        </xdr:cNvSpPr>
      </xdr:nvSpPr>
      <xdr:spPr bwMode="auto">
        <a:xfrm>
          <a:off x="6534150" y="68760975"/>
          <a:ext cx="2161116" cy="2162175"/>
        </a:xfrm>
        <a:prstGeom prst="rect">
          <a:avLst/>
        </a:prstGeom>
        <a:blipFill dpi="0" rotWithShape="1">
          <a:blip xmlns:r="http://schemas.openxmlformats.org/officeDocument/2006/relationships" r:embed="rId1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358</xdr:row>
      <xdr:rowOff>66675</xdr:rowOff>
    </xdr:from>
    <xdr:ext cx="2161116" cy="2162175"/>
    <xdr:sp macro="" textlink="">
      <xdr:nvSpPr>
        <xdr:cNvPr id="198734" name="Text Box 1355" hidden="1">
          <a:extLst>
            <a:ext uri="{FF2B5EF4-FFF2-40B4-BE49-F238E27FC236}">
              <a16:creationId xmlns:a16="http://schemas.microsoft.com/office/drawing/2014/main" id="{00000000-0008-0000-0000-00004E080300}"/>
            </a:ext>
          </a:extLst>
        </xdr:cNvPr>
        <xdr:cNvSpPr txBox="1">
          <a:spLocks noChangeArrowheads="1"/>
        </xdr:cNvSpPr>
      </xdr:nvSpPr>
      <xdr:spPr bwMode="auto">
        <a:xfrm>
          <a:off x="6534150" y="69332475"/>
          <a:ext cx="2161116" cy="2162175"/>
        </a:xfrm>
        <a:prstGeom prst="rect">
          <a:avLst/>
        </a:prstGeom>
        <a:blipFill dpi="0" rotWithShape="1">
          <a:blip xmlns:r="http://schemas.openxmlformats.org/officeDocument/2006/relationships" r:embed="rId19"/>
          <a:srcRect/>
          <a:stretch>
            <a:fillRect/>
          </a:stretch>
        </a:blipFill>
        <a:ln>
          <a:noFill/>
        </a:ln>
        <a:effectLst/>
        <a:extLst>
          <a:ext uri="{91240B29-F687-4F45-9708-019B960494DF}">
            <a14:hiddenLine xmlns:a14="http://schemas.microsoft.com/office/drawing/2010/main" w="9525">
              <a:solidFill>
                <a:srgbClr val="217346"/>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359</xdr:row>
      <xdr:rowOff>66675</xdr:rowOff>
    </xdr:from>
    <xdr:ext cx="2161116" cy="2162175"/>
    <xdr:sp macro="" textlink="">
      <xdr:nvSpPr>
        <xdr:cNvPr id="198736" name="Text Box 1360" hidden="1">
          <a:extLst>
            <a:ext uri="{FF2B5EF4-FFF2-40B4-BE49-F238E27FC236}">
              <a16:creationId xmlns:a16="http://schemas.microsoft.com/office/drawing/2014/main" id="{00000000-0008-0000-0000-000050080300}"/>
            </a:ext>
          </a:extLst>
        </xdr:cNvPr>
        <xdr:cNvSpPr txBox="1">
          <a:spLocks noChangeArrowheads="1"/>
        </xdr:cNvSpPr>
      </xdr:nvSpPr>
      <xdr:spPr bwMode="auto">
        <a:xfrm>
          <a:off x="6534150" y="69522975"/>
          <a:ext cx="2161116" cy="2162175"/>
        </a:xfrm>
        <a:prstGeom prst="rect">
          <a:avLst/>
        </a:prstGeom>
        <a:blipFill dpi="0" rotWithShape="1">
          <a:blip xmlns:r="http://schemas.openxmlformats.org/officeDocument/2006/relationships" r:embed="rId2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360</xdr:row>
      <xdr:rowOff>66675</xdr:rowOff>
    </xdr:from>
    <xdr:ext cx="2161116" cy="2162175"/>
    <xdr:sp macro="" textlink="">
      <xdr:nvSpPr>
        <xdr:cNvPr id="198737" name="Text Box 1364" hidden="1">
          <a:extLst>
            <a:ext uri="{FF2B5EF4-FFF2-40B4-BE49-F238E27FC236}">
              <a16:creationId xmlns:a16="http://schemas.microsoft.com/office/drawing/2014/main" id="{00000000-0008-0000-0000-000051080300}"/>
            </a:ext>
          </a:extLst>
        </xdr:cNvPr>
        <xdr:cNvSpPr txBox="1">
          <a:spLocks noChangeArrowheads="1"/>
        </xdr:cNvSpPr>
      </xdr:nvSpPr>
      <xdr:spPr bwMode="auto">
        <a:xfrm>
          <a:off x="6534150" y="69713475"/>
          <a:ext cx="2161116" cy="2162175"/>
        </a:xfrm>
        <a:prstGeom prst="rect">
          <a:avLst/>
        </a:prstGeom>
        <a:blipFill dpi="0" rotWithShape="1">
          <a:blip xmlns:r="http://schemas.openxmlformats.org/officeDocument/2006/relationships" r:embed="rId2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361</xdr:row>
      <xdr:rowOff>66675</xdr:rowOff>
    </xdr:from>
    <xdr:ext cx="2161116" cy="2162175"/>
    <xdr:sp macro="" textlink="">
      <xdr:nvSpPr>
        <xdr:cNvPr id="198738" name="Text Box 1369" hidden="1">
          <a:extLst>
            <a:ext uri="{FF2B5EF4-FFF2-40B4-BE49-F238E27FC236}">
              <a16:creationId xmlns:a16="http://schemas.microsoft.com/office/drawing/2014/main" id="{00000000-0008-0000-0000-000052080300}"/>
            </a:ext>
          </a:extLst>
        </xdr:cNvPr>
        <xdr:cNvSpPr txBox="1">
          <a:spLocks noChangeArrowheads="1"/>
        </xdr:cNvSpPr>
      </xdr:nvSpPr>
      <xdr:spPr bwMode="auto">
        <a:xfrm>
          <a:off x="6534150" y="69903975"/>
          <a:ext cx="2161116" cy="2162175"/>
        </a:xfrm>
        <a:prstGeom prst="rect">
          <a:avLst/>
        </a:prstGeom>
        <a:blipFill dpi="0" rotWithShape="1">
          <a:blip xmlns:r="http://schemas.openxmlformats.org/officeDocument/2006/relationships" r:embed="rId2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362</xdr:row>
      <xdr:rowOff>66675</xdr:rowOff>
    </xdr:from>
    <xdr:ext cx="2161116" cy="2162175"/>
    <xdr:sp macro="" textlink="">
      <xdr:nvSpPr>
        <xdr:cNvPr id="198739" name="Text Box 1374" hidden="1">
          <a:extLst>
            <a:ext uri="{FF2B5EF4-FFF2-40B4-BE49-F238E27FC236}">
              <a16:creationId xmlns:a16="http://schemas.microsoft.com/office/drawing/2014/main" id="{00000000-0008-0000-0000-000053080300}"/>
            </a:ext>
          </a:extLst>
        </xdr:cNvPr>
        <xdr:cNvSpPr txBox="1">
          <a:spLocks noChangeArrowheads="1"/>
        </xdr:cNvSpPr>
      </xdr:nvSpPr>
      <xdr:spPr bwMode="auto">
        <a:xfrm>
          <a:off x="6534150" y="70094475"/>
          <a:ext cx="2161116" cy="2162175"/>
        </a:xfrm>
        <a:prstGeom prst="rect">
          <a:avLst/>
        </a:prstGeom>
        <a:blipFill dpi="0" rotWithShape="1">
          <a:blip xmlns:r="http://schemas.openxmlformats.org/officeDocument/2006/relationships" r:embed="rId2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363</xdr:row>
      <xdr:rowOff>66675</xdr:rowOff>
    </xdr:from>
    <xdr:ext cx="2161116" cy="2162175"/>
    <xdr:sp macro="" textlink="">
      <xdr:nvSpPr>
        <xdr:cNvPr id="198740" name="Text Box 1379" hidden="1">
          <a:extLst>
            <a:ext uri="{FF2B5EF4-FFF2-40B4-BE49-F238E27FC236}">
              <a16:creationId xmlns:a16="http://schemas.microsoft.com/office/drawing/2014/main" id="{00000000-0008-0000-0000-000054080300}"/>
            </a:ext>
          </a:extLst>
        </xdr:cNvPr>
        <xdr:cNvSpPr txBox="1">
          <a:spLocks noChangeArrowheads="1"/>
        </xdr:cNvSpPr>
      </xdr:nvSpPr>
      <xdr:spPr bwMode="auto">
        <a:xfrm>
          <a:off x="6534150" y="70284975"/>
          <a:ext cx="2161116" cy="2162175"/>
        </a:xfrm>
        <a:prstGeom prst="rect">
          <a:avLst/>
        </a:prstGeom>
        <a:blipFill dpi="0" rotWithShape="1">
          <a:blip xmlns:r="http://schemas.openxmlformats.org/officeDocument/2006/relationships" r:embed="rId2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364</xdr:row>
      <xdr:rowOff>66675</xdr:rowOff>
    </xdr:from>
    <xdr:ext cx="2161116" cy="2162175"/>
    <xdr:sp macro="" textlink="">
      <xdr:nvSpPr>
        <xdr:cNvPr id="198741" name="Text Box 1386" hidden="1">
          <a:extLst>
            <a:ext uri="{FF2B5EF4-FFF2-40B4-BE49-F238E27FC236}">
              <a16:creationId xmlns:a16="http://schemas.microsoft.com/office/drawing/2014/main" id="{00000000-0008-0000-0000-000055080300}"/>
            </a:ext>
          </a:extLst>
        </xdr:cNvPr>
        <xdr:cNvSpPr txBox="1">
          <a:spLocks noChangeArrowheads="1"/>
        </xdr:cNvSpPr>
      </xdr:nvSpPr>
      <xdr:spPr bwMode="auto">
        <a:xfrm>
          <a:off x="6534150" y="70475475"/>
          <a:ext cx="2161116" cy="2162175"/>
        </a:xfrm>
        <a:prstGeom prst="rect">
          <a:avLst/>
        </a:prstGeom>
        <a:blipFill dpi="0" rotWithShape="1">
          <a:blip xmlns:r="http://schemas.openxmlformats.org/officeDocument/2006/relationships" r:embed="rId2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365</xdr:row>
      <xdr:rowOff>66675</xdr:rowOff>
    </xdr:from>
    <xdr:ext cx="2161116" cy="2162175"/>
    <xdr:sp macro="" textlink="">
      <xdr:nvSpPr>
        <xdr:cNvPr id="198742" name="Text Box 1393" hidden="1">
          <a:extLst>
            <a:ext uri="{FF2B5EF4-FFF2-40B4-BE49-F238E27FC236}">
              <a16:creationId xmlns:a16="http://schemas.microsoft.com/office/drawing/2014/main" id="{00000000-0008-0000-0000-000056080300}"/>
            </a:ext>
          </a:extLst>
        </xdr:cNvPr>
        <xdr:cNvSpPr txBox="1">
          <a:spLocks noChangeArrowheads="1"/>
        </xdr:cNvSpPr>
      </xdr:nvSpPr>
      <xdr:spPr bwMode="auto">
        <a:xfrm>
          <a:off x="6534150" y="70665975"/>
          <a:ext cx="2161116" cy="2162175"/>
        </a:xfrm>
        <a:prstGeom prst="rect">
          <a:avLst/>
        </a:prstGeom>
        <a:blipFill dpi="0" rotWithShape="1">
          <a:blip xmlns:r="http://schemas.openxmlformats.org/officeDocument/2006/relationships" r:embed="rId2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366</xdr:row>
      <xdr:rowOff>66675</xdr:rowOff>
    </xdr:from>
    <xdr:ext cx="2161116" cy="2162175"/>
    <xdr:sp macro="" textlink="">
      <xdr:nvSpPr>
        <xdr:cNvPr id="198743" name="Text Box 1402" hidden="1">
          <a:extLst>
            <a:ext uri="{FF2B5EF4-FFF2-40B4-BE49-F238E27FC236}">
              <a16:creationId xmlns:a16="http://schemas.microsoft.com/office/drawing/2014/main" id="{00000000-0008-0000-0000-000057080300}"/>
            </a:ext>
          </a:extLst>
        </xdr:cNvPr>
        <xdr:cNvSpPr txBox="1">
          <a:spLocks noChangeArrowheads="1"/>
        </xdr:cNvSpPr>
      </xdr:nvSpPr>
      <xdr:spPr bwMode="auto">
        <a:xfrm>
          <a:off x="6534150" y="70856475"/>
          <a:ext cx="2161116" cy="2162175"/>
        </a:xfrm>
        <a:prstGeom prst="rect">
          <a:avLst/>
        </a:prstGeom>
        <a:blipFill dpi="0" rotWithShape="1">
          <a:blip xmlns:r="http://schemas.openxmlformats.org/officeDocument/2006/relationships" r:embed="rId2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368</xdr:row>
      <xdr:rowOff>66675</xdr:rowOff>
    </xdr:from>
    <xdr:ext cx="2161116" cy="2162175"/>
    <xdr:sp macro="" textlink="">
      <xdr:nvSpPr>
        <xdr:cNvPr id="198744" name="Text Box 1411" hidden="1">
          <a:extLst>
            <a:ext uri="{FF2B5EF4-FFF2-40B4-BE49-F238E27FC236}">
              <a16:creationId xmlns:a16="http://schemas.microsoft.com/office/drawing/2014/main" id="{00000000-0008-0000-0000-000058080300}"/>
            </a:ext>
          </a:extLst>
        </xdr:cNvPr>
        <xdr:cNvSpPr txBox="1">
          <a:spLocks noChangeArrowheads="1"/>
        </xdr:cNvSpPr>
      </xdr:nvSpPr>
      <xdr:spPr bwMode="auto">
        <a:xfrm>
          <a:off x="6534150" y="71237475"/>
          <a:ext cx="2161116" cy="2162175"/>
        </a:xfrm>
        <a:prstGeom prst="rect">
          <a:avLst/>
        </a:prstGeom>
        <a:blipFill dpi="0" rotWithShape="1">
          <a:blip xmlns:r="http://schemas.openxmlformats.org/officeDocument/2006/relationships" r:embed="rId2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369</xdr:row>
      <xdr:rowOff>66675</xdr:rowOff>
    </xdr:from>
    <xdr:ext cx="2161116" cy="2162175"/>
    <xdr:sp macro="" textlink="">
      <xdr:nvSpPr>
        <xdr:cNvPr id="198745" name="Text Box 1416" hidden="1">
          <a:extLst>
            <a:ext uri="{FF2B5EF4-FFF2-40B4-BE49-F238E27FC236}">
              <a16:creationId xmlns:a16="http://schemas.microsoft.com/office/drawing/2014/main" id="{00000000-0008-0000-0000-000059080300}"/>
            </a:ext>
          </a:extLst>
        </xdr:cNvPr>
        <xdr:cNvSpPr txBox="1">
          <a:spLocks noChangeArrowheads="1"/>
        </xdr:cNvSpPr>
      </xdr:nvSpPr>
      <xdr:spPr bwMode="auto">
        <a:xfrm>
          <a:off x="6534150" y="71427975"/>
          <a:ext cx="2161116" cy="2162175"/>
        </a:xfrm>
        <a:prstGeom prst="rect">
          <a:avLst/>
        </a:prstGeom>
        <a:blipFill dpi="0" rotWithShape="1">
          <a:blip xmlns:r="http://schemas.openxmlformats.org/officeDocument/2006/relationships" r:embed="rId3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371</xdr:row>
      <xdr:rowOff>66675</xdr:rowOff>
    </xdr:from>
    <xdr:ext cx="2161116" cy="2162175"/>
    <xdr:sp macro="" textlink="">
      <xdr:nvSpPr>
        <xdr:cNvPr id="198746" name="Text Box 1424" hidden="1">
          <a:extLst>
            <a:ext uri="{FF2B5EF4-FFF2-40B4-BE49-F238E27FC236}">
              <a16:creationId xmlns:a16="http://schemas.microsoft.com/office/drawing/2014/main" id="{00000000-0008-0000-0000-00005A080300}"/>
            </a:ext>
          </a:extLst>
        </xdr:cNvPr>
        <xdr:cNvSpPr txBox="1">
          <a:spLocks noChangeArrowheads="1"/>
        </xdr:cNvSpPr>
      </xdr:nvSpPr>
      <xdr:spPr bwMode="auto">
        <a:xfrm>
          <a:off x="6534150" y="71808975"/>
          <a:ext cx="2161116" cy="2162175"/>
        </a:xfrm>
        <a:prstGeom prst="rect">
          <a:avLst/>
        </a:prstGeom>
        <a:blipFill dpi="0" rotWithShape="1">
          <a:blip xmlns:r="http://schemas.openxmlformats.org/officeDocument/2006/relationships" r:embed="rId3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373</xdr:row>
      <xdr:rowOff>66675</xdr:rowOff>
    </xdr:from>
    <xdr:ext cx="2161116" cy="2162175"/>
    <xdr:sp macro="" textlink="">
      <xdr:nvSpPr>
        <xdr:cNvPr id="198747" name="Text Box 1430" hidden="1">
          <a:extLst>
            <a:ext uri="{FF2B5EF4-FFF2-40B4-BE49-F238E27FC236}">
              <a16:creationId xmlns:a16="http://schemas.microsoft.com/office/drawing/2014/main" id="{00000000-0008-0000-0000-00005B080300}"/>
            </a:ext>
          </a:extLst>
        </xdr:cNvPr>
        <xdr:cNvSpPr txBox="1">
          <a:spLocks noChangeArrowheads="1"/>
        </xdr:cNvSpPr>
      </xdr:nvSpPr>
      <xdr:spPr bwMode="auto">
        <a:xfrm>
          <a:off x="6534150" y="72189975"/>
          <a:ext cx="2161116" cy="2162175"/>
        </a:xfrm>
        <a:prstGeom prst="rect">
          <a:avLst/>
        </a:prstGeom>
        <a:blipFill dpi="0" rotWithShape="1">
          <a:blip xmlns:r="http://schemas.openxmlformats.org/officeDocument/2006/relationships" r:embed="rId3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374</xdr:row>
      <xdr:rowOff>66675</xdr:rowOff>
    </xdr:from>
    <xdr:ext cx="2161116" cy="2162175"/>
    <xdr:sp macro="" textlink="">
      <xdr:nvSpPr>
        <xdr:cNvPr id="198748" name="Text Box 1437" hidden="1">
          <a:extLst>
            <a:ext uri="{FF2B5EF4-FFF2-40B4-BE49-F238E27FC236}">
              <a16:creationId xmlns:a16="http://schemas.microsoft.com/office/drawing/2014/main" id="{00000000-0008-0000-0000-00005C080300}"/>
            </a:ext>
          </a:extLst>
        </xdr:cNvPr>
        <xdr:cNvSpPr txBox="1">
          <a:spLocks noChangeArrowheads="1"/>
        </xdr:cNvSpPr>
      </xdr:nvSpPr>
      <xdr:spPr bwMode="auto">
        <a:xfrm>
          <a:off x="6534150" y="72380475"/>
          <a:ext cx="2161116" cy="2162175"/>
        </a:xfrm>
        <a:prstGeom prst="rect">
          <a:avLst/>
        </a:prstGeom>
        <a:blipFill dpi="0" rotWithShape="1">
          <a:blip xmlns:r="http://schemas.openxmlformats.org/officeDocument/2006/relationships" r:embed="rId3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375</xdr:row>
      <xdr:rowOff>66675</xdr:rowOff>
    </xdr:from>
    <xdr:ext cx="2161116" cy="2162175"/>
    <xdr:sp macro="" textlink="">
      <xdr:nvSpPr>
        <xdr:cNvPr id="198749" name="Text Box 1441" hidden="1">
          <a:extLst>
            <a:ext uri="{FF2B5EF4-FFF2-40B4-BE49-F238E27FC236}">
              <a16:creationId xmlns:a16="http://schemas.microsoft.com/office/drawing/2014/main" id="{00000000-0008-0000-0000-00005D080300}"/>
            </a:ext>
          </a:extLst>
        </xdr:cNvPr>
        <xdr:cNvSpPr txBox="1">
          <a:spLocks noChangeArrowheads="1"/>
        </xdr:cNvSpPr>
      </xdr:nvSpPr>
      <xdr:spPr bwMode="auto">
        <a:xfrm>
          <a:off x="6534150" y="72570975"/>
          <a:ext cx="2161116" cy="2162175"/>
        </a:xfrm>
        <a:prstGeom prst="rect">
          <a:avLst/>
        </a:prstGeom>
        <a:blipFill dpi="0" rotWithShape="1">
          <a:blip xmlns:r="http://schemas.openxmlformats.org/officeDocument/2006/relationships" r:embed="rId3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376</xdr:row>
      <xdr:rowOff>66675</xdr:rowOff>
    </xdr:from>
    <xdr:ext cx="2161116" cy="2162175"/>
    <xdr:sp macro="" textlink="">
      <xdr:nvSpPr>
        <xdr:cNvPr id="198750" name="Text Box 1447" hidden="1">
          <a:extLst>
            <a:ext uri="{FF2B5EF4-FFF2-40B4-BE49-F238E27FC236}">
              <a16:creationId xmlns:a16="http://schemas.microsoft.com/office/drawing/2014/main" id="{00000000-0008-0000-0000-00005E080300}"/>
            </a:ext>
          </a:extLst>
        </xdr:cNvPr>
        <xdr:cNvSpPr txBox="1">
          <a:spLocks noChangeArrowheads="1"/>
        </xdr:cNvSpPr>
      </xdr:nvSpPr>
      <xdr:spPr bwMode="auto">
        <a:xfrm>
          <a:off x="6534150" y="72761475"/>
          <a:ext cx="2161116" cy="2162175"/>
        </a:xfrm>
        <a:prstGeom prst="rect">
          <a:avLst/>
        </a:prstGeom>
        <a:blipFill dpi="0" rotWithShape="1">
          <a:blip xmlns:r="http://schemas.openxmlformats.org/officeDocument/2006/relationships" r:embed="rId3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378</xdr:row>
      <xdr:rowOff>66675</xdr:rowOff>
    </xdr:from>
    <xdr:ext cx="2161116" cy="2162175"/>
    <xdr:sp macro="" textlink="">
      <xdr:nvSpPr>
        <xdr:cNvPr id="198751" name="Text Box 1454" hidden="1">
          <a:extLst>
            <a:ext uri="{FF2B5EF4-FFF2-40B4-BE49-F238E27FC236}">
              <a16:creationId xmlns:a16="http://schemas.microsoft.com/office/drawing/2014/main" id="{00000000-0008-0000-0000-00005F080300}"/>
            </a:ext>
          </a:extLst>
        </xdr:cNvPr>
        <xdr:cNvSpPr txBox="1">
          <a:spLocks noChangeArrowheads="1"/>
        </xdr:cNvSpPr>
      </xdr:nvSpPr>
      <xdr:spPr bwMode="auto">
        <a:xfrm>
          <a:off x="6534150" y="73142475"/>
          <a:ext cx="2161116" cy="2162175"/>
        </a:xfrm>
        <a:prstGeom prst="rect">
          <a:avLst/>
        </a:prstGeom>
        <a:blipFill dpi="0" rotWithShape="1">
          <a:blip xmlns:r="http://schemas.openxmlformats.org/officeDocument/2006/relationships" r:embed="rId3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381</xdr:row>
      <xdr:rowOff>66675</xdr:rowOff>
    </xdr:from>
    <xdr:ext cx="2161116" cy="2162175"/>
    <xdr:sp macro="" textlink="">
      <xdr:nvSpPr>
        <xdr:cNvPr id="81824" name="Text Box 1468" hidden="1">
          <a:extLst>
            <a:ext uri="{FF2B5EF4-FFF2-40B4-BE49-F238E27FC236}">
              <a16:creationId xmlns:a16="http://schemas.microsoft.com/office/drawing/2014/main" id="{00000000-0008-0000-0000-0000A03F0100}"/>
            </a:ext>
          </a:extLst>
        </xdr:cNvPr>
        <xdr:cNvSpPr txBox="1">
          <a:spLocks noChangeArrowheads="1"/>
        </xdr:cNvSpPr>
      </xdr:nvSpPr>
      <xdr:spPr bwMode="auto">
        <a:xfrm>
          <a:off x="6534150" y="73713975"/>
          <a:ext cx="2161116" cy="2162175"/>
        </a:xfrm>
        <a:prstGeom prst="rect">
          <a:avLst/>
        </a:prstGeom>
        <a:blipFill dpi="0" rotWithShape="1">
          <a:blip xmlns:r="http://schemas.openxmlformats.org/officeDocument/2006/relationships" r:embed="rId4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384</xdr:row>
      <xdr:rowOff>66675</xdr:rowOff>
    </xdr:from>
    <xdr:ext cx="2161116" cy="2162175"/>
    <xdr:sp macro="" textlink="">
      <xdr:nvSpPr>
        <xdr:cNvPr id="81825" name="Text Box 1478" hidden="1">
          <a:extLst>
            <a:ext uri="{FF2B5EF4-FFF2-40B4-BE49-F238E27FC236}">
              <a16:creationId xmlns:a16="http://schemas.microsoft.com/office/drawing/2014/main" id="{00000000-0008-0000-0000-0000A13F0100}"/>
            </a:ext>
          </a:extLst>
        </xdr:cNvPr>
        <xdr:cNvSpPr txBox="1">
          <a:spLocks noChangeArrowheads="1"/>
        </xdr:cNvSpPr>
      </xdr:nvSpPr>
      <xdr:spPr bwMode="auto">
        <a:xfrm>
          <a:off x="6534150" y="74285475"/>
          <a:ext cx="2161116" cy="2162175"/>
        </a:xfrm>
        <a:prstGeom prst="rect">
          <a:avLst/>
        </a:prstGeom>
        <a:blipFill dpi="0" rotWithShape="1">
          <a:blip xmlns:r="http://schemas.openxmlformats.org/officeDocument/2006/relationships" r:embed="rId4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385</xdr:row>
      <xdr:rowOff>66675</xdr:rowOff>
    </xdr:from>
    <xdr:ext cx="2161116" cy="2162175"/>
    <xdr:sp macro="" textlink="">
      <xdr:nvSpPr>
        <xdr:cNvPr id="81826" name="Text Box 1481" hidden="1">
          <a:extLst>
            <a:ext uri="{FF2B5EF4-FFF2-40B4-BE49-F238E27FC236}">
              <a16:creationId xmlns:a16="http://schemas.microsoft.com/office/drawing/2014/main" id="{00000000-0008-0000-0000-0000A23F0100}"/>
            </a:ext>
          </a:extLst>
        </xdr:cNvPr>
        <xdr:cNvSpPr txBox="1">
          <a:spLocks noChangeArrowheads="1"/>
        </xdr:cNvSpPr>
      </xdr:nvSpPr>
      <xdr:spPr bwMode="auto">
        <a:xfrm>
          <a:off x="6534150" y="74475975"/>
          <a:ext cx="2161116" cy="2162175"/>
        </a:xfrm>
        <a:prstGeom prst="rect">
          <a:avLst/>
        </a:prstGeom>
        <a:blipFill dpi="0" rotWithShape="1">
          <a:blip xmlns:r="http://schemas.openxmlformats.org/officeDocument/2006/relationships" r:embed="rId4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386</xdr:row>
      <xdr:rowOff>66675</xdr:rowOff>
    </xdr:from>
    <xdr:ext cx="2161116" cy="2162175"/>
    <xdr:sp macro="" textlink="">
      <xdr:nvSpPr>
        <xdr:cNvPr id="81827" name="Text Box 1485" hidden="1">
          <a:extLst>
            <a:ext uri="{FF2B5EF4-FFF2-40B4-BE49-F238E27FC236}">
              <a16:creationId xmlns:a16="http://schemas.microsoft.com/office/drawing/2014/main" id="{00000000-0008-0000-0000-0000A33F0100}"/>
            </a:ext>
          </a:extLst>
        </xdr:cNvPr>
        <xdr:cNvSpPr txBox="1">
          <a:spLocks noChangeArrowheads="1"/>
        </xdr:cNvSpPr>
      </xdr:nvSpPr>
      <xdr:spPr bwMode="auto">
        <a:xfrm>
          <a:off x="6534150" y="74666475"/>
          <a:ext cx="2161116" cy="2162175"/>
        </a:xfrm>
        <a:prstGeom prst="rect">
          <a:avLst/>
        </a:prstGeom>
        <a:blipFill dpi="0" rotWithShape="1">
          <a:blip xmlns:r="http://schemas.openxmlformats.org/officeDocument/2006/relationships" r:embed="rId4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387</xdr:row>
      <xdr:rowOff>66675</xdr:rowOff>
    </xdr:from>
    <xdr:ext cx="2161116" cy="2162175"/>
    <xdr:sp macro="" textlink="">
      <xdr:nvSpPr>
        <xdr:cNvPr id="81828" name="Text Box 1488" hidden="1">
          <a:extLst>
            <a:ext uri="{FF2B5EF4-FFF2-40B4-BE49-F238E27FC236}">
              <a16:creationId xmlns:a16="http://schemas.microsoft.com/office/drawing/2014/main" id="{00000000-0008-0000-0000-0000A43F0100}"/>
            </a:ext>
          </a:extLst>
        </xdr:cNvPr>
        <xdr:cNvSpPr txBox="1">
          <a:spLocks noChangeArrowheads="1"/>
        </xdr:cNvSpPr>
      </xdr:nvSpPr>
      <xdr:spPr bwMode="auto">
        <a:xfrm>
          <a:off x="6534150" y="74856975"/>
          <a:ext cx="2161116" cy="2162175"/>
        </a:xfrm>
        <a:prstGeom prst="rect">
          <a:avLst/>
        </a:prstGeom>
        <a:blipFill dpi="0" rotWithShape="1">
          <a:blip xmlns:r="http://schemas.openxmlformats.org/officeDocument/2006/relationships" r:embed="rId4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388</xdr:row>
      <xdr:rowOff>66675</xdr:rowOff>
    </xdr:from>
    <xdr:ext cx="2161116" cy="2162175"/>
    <xdr:sp macro="" textlink="">
      <xdr:nvSpPr>
        <xdr:cNvPr id="81829" name="Text Box 1493" hidden="1">
          <a:extLst>
            <a:ext uri="{FF2B5EF4-FFF2-40B4-BE49-F238E27FC236}">
              <a16:creationId xmlns:a16="http://schemas.microsoft.com/office/drawing/2014/main" id="{00000000-0008-0000-0000-0000A53F0100}"/>
            </a:ext>
          </a:extLst>
        </xdr:cNvPr>
        <xdr:cNvSpPr txBox="1">
          <a:spLocks noChangeArrowheads="1"/>
        </xdr:cNvSpPr>
      </xdr:nvSpPr>
      <xdr:spPr bwMode="auto">
        <a:xfrm>
          <a:off x="6534150" y="75047475"/>
          <a:ext cx="2161116" cy="2162175"/>
        </a:xfrm>
        <a:prstGeom prst="rect">
          <a:avLst/>
        </a:prstGeom>
        <a:blipFill dpi="0" rotWithShape="1">
          <a:blip xmlns:r="http://schemas.openxmlformats.org/officeDocument/2006/relationships" r:embed="rId4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389</xdr:row>
      <xdr:rowOff>66675</xdr:rowOff>
    </xdr:from>
    <xdr:ext cx="2161116" cy="2162175"/>
    <xdr:sp macro="" textlink="">
      <xdr:nvSpPr>
        <xdr:cNvPr id="81830" name="Text Box 1497" hidden="1">
          <a:extLst>
            <a:ext uri="{FF2B5EF4-FFF2-40B4-BE49-F238E27FC236}">
              <a16:creationId xmlns:a16="http://schemas.microsoft.com/office/drawing/2014/main" id="{00000000-0008-0000-0000-0000A63F0100}"/>
            </a:ext>
          </a:extLst>
        </xdr:cNvPr>
        <xdr:cNvSpPr txBox="1">
          <a:spLocks noChangeArrowheads="1"/>
        </xdr:cNvSpPr>
      </xdr:nvSpPr>
      <xdr:spPr bwMode="auto">
        <a:xfrm>
          <a:off x="6534150" y="75237975"/>
          <a:ext cx="2161116" cy="2162175"/>
        </a:xfrm>
        <a:prstGeom prst="rect">
          <a:avLst/>
        </a:prstGeom>
        <a:blipFill dpi="0" rotWithShape="1">
          <a:blip xmlns:r="http://schemas.openxmlformats.org/officeDocument/2006/relationships" r:embed="rId50"/>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390</xdr:row>
      <xdr:rowOff>66675</xdr:rowOff>
    </xdr:from>
    <xdr:ext cx="2161116" cy="2162175"/>
    <xdr:sp macro="" textlink="">
      <xdr:nvSpPr>
        <xdr:cNvPr id="81831" name="Text Box 1501" hidden="1">
          <a:extLst>
            <a:ext uri="{FF2B5EF4-FFF2-40B4-BE49-F238E27FC236}">
              <a16:creationId xmlns:a16="http://schemas.microsoft.com/office/drawing/2014/main" id="{00000000-0008-0000-0000-0000A73F0100}"/>
            </a:ext>
          </a:extLst>
        </xdr:cNvPr>
        <xdr:cNvSpPr txBox="1">
          <a:spLocks noChangeArrowheads="1"/>
        </xdr:cNvSpPr>
      </xdr:nvSpPr>
      <xdr:spPr bwMode="auto">
        <a:xfrm>
          <a:off x="6534150" y="75428475"/>
          <a:ext cx="2161116" cy="2162175"/>
        </a:xfrm>
        <a:prstGeom prst="rect">
          <a:avLst/>
        </a:prstGeom>
        <a:blipFill dpi="0" rotWithShape="1">
          <a:blip xmlns:r="http://schemas.openxmlformats.org/officeDocument/2006/relationships" r:embed="rId51"/>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391</xdr:row>
      <xdr:rowOff>66675</xdr:rowOff>
    </xdr:from>
    <xdr:ext cx="2161116" cy="2162175"/>
    <xdr:sp macro="" textlink="">
      <xdr:nvSpPr>
        <xdr:cNvPr id="81833" name="Text Box 1508" hidden="1">
          <a:extLst>
            <a:ext uri="{FF2B5EF4-FFF2-40B4-BE49-F238E27FC236}">
              <a16:creationId xmlns:a16="http://schemas.microsoft.com/office/drawing/2014/main" id="{00000000-0008-0000-0000-0000A93F0100}"/>
            </a:ext>
          </a:extLst>
        </xdr:cNvPr>
        <xdr:cNvSpPr txBox="1">
          <a:spLocks noChangeArrowheads="1"/>
        </xdr:cNvSpPr>
      </xdr:nvSpPr>
      <xdr:spPr bwMode="auto">
        <a:xfrm>
          <a:off x="6534150" y="75618975"/>
          <a:ext cx="2161116" cy="2162175"/>
        </a:xfrm>
        <a:prstGeom prst="rect">
          <a:avLst/>
        </a:prstGeom>
        <a:blipFill dpi="0" rotWithShape="1">
          <a:blip xmlns:r="http://schemas.openxmlformats.org/officeDocument/2006/relationships" r:embed="rId5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392</xdr:row>
      <xdr:rowOff>66675</xdr:rowOff>
    </xdr:from>
    <xdr:ext cx="2161116" cy="2162175"/>
    <xdr:sp macro="" textlink="">
      <xdr:nvSpPr>
        <xdr:cNvPr id="81834" name="Text Box 1513" hidden="1">
          <a:extLst>
            <a:ext uri="{FF2B5EF4-FFF2-40B4-BE49-F238E27FC236}">
              <a16:creationId xmlns:a16="http://schemas.microsoft.com/office/drawing/2014/main" id="{00000000-0008-0000-0000-0000AA3F0100}"/>
            </a:ext>
          </a:extLst>
        </xdr:cNvPr>
        <xdr:cNvSpPr txBox="1">
          <a:spLocks noChangeArrowheads="1"/>
        </xdr:cNvSpPr>
      </xdr:nvSpPr>
      <xdr:spPr bwMode="auto">
        <a:xfrm>
          <a:off x="6534150" y="75809475"/>
          <a:ext cx="2161116" cy="2162175"/>
        </a:xfrm>
        <a:prstGeom prst="rect">
          <a:avLst/>
        </a:prstGeom>
        <a:blipFill dpi="0" rotWithShape="1">
          <a:blip xmlns:r="http://schemas.openxmlformats.org/officeDocument/2006/relationships" r:embed="rId5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393</xdr:row>
      <xdr:rowOff>66675</xdr:rowOff>
    </xdr:from>
    <xdr:ext cx="2161116" cy="2162175"/>
    <xdr:sp macro="" textlink="">
      <xdr:nvSpPr>
        <xdr:cNvPr id="81835" name="Text Box 1520" hidden="1">
          <a:extLst>
            <a:ext uri="{FF2B5EF4-FFF2-40B4-BE49-F238E27FC236}">
              <a16:creationId xmlns:a16="http://schemas.microsoft.com/office/drawing/2014/main" id="{00000000-0008-0000-0000-0000AB3F0100}"/>
            </a:ext>
          </a:extLst>
        </xdr:cNvPr>
        <xdr:cNvSpPr txBox="1">
          <a:spLocks noChangeArrowheads="1"/>
        </xdr:cNvSpPr>
      </xdr:nvSpPr>
      <xdr:spPr bwMode="auto">
        <a:xfrm>
          <a:off x="6534150" y="75999975"/>
          <a:ext cx="2161116" cy="2162175"/>
        </a:xfrm>
        <a:prstGeom prst="rect">
          <a:avLst/>
        </a:prstGeom>
        <a:blipFill dpi="0" rotWithShape="1">
          <a:blip xmlns:r="http://schemas.openxmlformats.org/officeDocument/2006/relationships" r:embed="rId54"/>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395</xdr:row>
      <xdr:rowOff>66675</xdr:rowOff>
    </xdr:from>
    <xdr:ext cx="2161116" cy="2162175"/>
    <xdr:sp macro="" textlink="">
      <xdr:nvSpPr>
        <xdr:cNvPr id="81836" name="Text Box 1530" hidden="1">
          <a:extLst>
            <a:ext uri="{FF2B5EF4-FFF2-40B4-BE49-F238E27FC236}">
              <a16:creationId xmlns:a16="http://schemas.microsoft.com/office/drawing/2014/main" id="{00000000-0008-0000-0000-0000AC3F0100}"/>
            </a:ext>
          </a:extLst>
        </xdr:cNvPr>
        <xdr:cNvSpPr txBox="1">
          <a:spLocks noChangeArrowheads="1"/>
        </xdr:cNvSpPr>
      </xdr:nvSpPr>
      <xdr:spPr bwMode="auto">
        <a:xfrm>
          <a:off x="6534150" y="76380975"/>
          <a:ext cx="2161116" cy="2162175"/>
        </a:xfrm>
        <a:prstGeom prst="rect">
          <a:avLst/>
        </a:prstGeom>
        <a:blipFill dpi="0" rotWithShape="1">
          <a:blip xmlns:r="http://schemas.openxmlformats.org/officeDocument/2006/relationships" r:embed="rId56"/>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396</xdr:row>
      <xdr:rowOff>66675</xdr:rowOff>
    </xdr:from>
    <xdr:ext cx="2161116" cy="2162175"/>
    <xdr:sp macro="" textlink="">
      <xdr:nvSpPr>
        <xdr:cNvPr id="81837" name="Text Box 1533" hidden="1">
          <a:extLst>
            <a:ext uri="{FF2B5EF4-FFF2-40B4-BE49-F238E27FC236}">
              <a16:creationId xmlns:a16="http://schemas.microsoft.com/office/drawing/2014/main" id="{00000000-0008-0000-0000-0000AD3F0100}"/>
            </a:ext>
          </a:extLst>
        </xdr:cNvPr>
        <xdr:cNvSpPr txBox="1">
          <a:spLocks noChangeArrowheads="1"/>
        </xdr:cNvSpPr>
      </xdr:nvSpPr>
      <xdr:spPr bwMode="auto">
        <a:xfrm>
          <a:off x="6534150" y="76571475"/>
          <a:ext cx="2161116" cy="2162175"/>
        </a:xfrm>
        <a:prstGeom prst="rect">
          <a:avLst/>
        </a:prstGeom>
        <a:blipFill dpi="0" rotWithShape="1">
          <a:blip xmlns:r="http://schemas.openxmlformats.org/officeDocument/2006/relationships" r:embed="rId5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398</xdr:row>
      <xdr:rowOff>66675</xdr:rowOff>
    </xdr:from>
    <xdr:ext cx="2161116" cy="2162175"/>
    <xdr:sp macro="" textlink="">
      <xdr:nvSpPr>
        <xdr:cNvPr id="81838" name="Text Box 1539" hidden="1">
          <a:extLst>
            <a:ext uri="{FF2B5EF4-FFF2-40B4-BE49-F238E27FC236}">
              <a16:creationId xmlns:a16="http://schemas.microsoft.com/office/drawing/2014/main" id="{00000000-0008-0000-0000-0000AE3F0100}"/>
            </a:ext>
          </a:extLst>
        </xdr:cNvPr>
        <xdr:cNvSpPr txBox="1">
          <a:spLocks noChangeArrowheads="1"/>
        </xdr:cNvSpPr>
      </xdr:nvSpPr>
      <xdr:spPr bwMode="auto">
        <a:xfrm>
          <a:off x="6534150" y="76952475"/>
          <a:ext cx="2161116" cy="2162175"/>
        </a:xfrm>
        <a:prstGeom prst="rect">
          <a:avLst/>
        </a:prstGeom>
        <a:blipFill dpi="0" rotWithShape="1">
          <a:blip xmlns:r="http://schemas.openxmlformats.org/officeDocument/2006/relationships" r:embed="rId59"/>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2088</xdr:row>
      <xdr:rowOff>66675</xdr:rowOff>
    </xdr:from>
    <xdr:ext cx="2161116" cy="2162175"/>
    <xdr:sp macro="" textlink="">
      <xdr:nvSpPr>
        <xdr:cNvPr id="81839" name="Text Box 1553" hidden="1">
          <a:extLst>
            <a:ext uri="{FF2B5EF4-FFF2-40B4-BE49-F238E27FC236}">
              <a16:creationId xmlns:a16="http://schemas.microsoft.com/office/drawing/2014/main" id="{00000000-0008-0000-0000-0000AF3F0100}"/>
            </a:ext>
          </a:extLst>
        </xdr:cNvPr>
        <xdr:cNvSpPr txBox="1">
          <a:spLocks noChangeArrowheads="1"/>
        </xdr:cNvSpPr>
      </xdr:nvSpPr>
      <xdr:spPr bwMode="auto">
        <a:xfrm>
          <a:off x="6534150" y="77523975"/>
          <a:ext cx="2161116" cy="2162175"/>
        </a:xfrm>
        <a:prstGeom prst="rect">
          <a:avLst/>
        </a:prstGeom>
        <a:blipFill dpi="0" rotWithShape="1">
          <a:blip xmlns:r="http://schemas.openxmlformats.org/officeDocument/2006/relationships" r:embed="rId62"/>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401</xdr:row>
      <xdr:rowOff>66675</xdr:rowOff>
    </xdr:from>
    <xdr:ext cx="2161116" cy="2162175"/>
    <xdr:sp macro="" textlink="">
      <xdr:nvSpPr>
        <xdr:cNvPr id="81840" name="Text Box 1557" hidden="1">
          <a:extLst>
            <a:ext uri="{FF2B5EF4-FFF2-40B4-BE49-F238E27FC236}">
              <a16:creationId xmlns:a16="http://schemas.microsoft.com/office/drawing/2014/main" id="{00000000-0008-0000-0000-0000B03F0100}"/>
            </a:ext>
          </a:extLst>
        </xdr:cNvPr>
        <xdr:cNvSpPr txBox="1">
          <a:spLocks noChangeArrowheads="1"/>
        </xdr:cNvSpPr>
      </xdr:nvSpPr>
      <xdr:spPr bwMode="auto">
        <a:xfrm>
          <a:off x="6534150" y="77714475"/>
          <a:ext cx="2161116" cy="2162175"/>
        </a:xfrm>
        <a:prstGeom prst="rect">
          <a:avLst/>
        </a:prstGeom>
        <a:blipFill dpi="0" rotWithShape="1">
          <a:blip xmlns:r="http://schemas.openxmlformats.org/officeDocument/2006/relationships" r:embed="rId63"/>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403</xdr:row>
      <xdr:rowOff>66675</xdr:rowOff>
    </xdr:from>
    <xdr:ext cx="2161116" cy="2162175"/>
    <xdr:sp macro="" textlink="">
      <xdr:nvSpPr>
        <xdr:cNvPr id="81841" name="Text Box 1572" hidden="1">
          <a:extLst>
            <a:ext uri="{FF2B5EF4-FFF2-40B4-BE49-F238E27FC236}">
              <a16:creationId xmlns:a16="http://schemas.microsoft.com/office/drawing/2014/main" id="{00000000-0008-0000-0000-0000B13F0100}"/>
            </a:ext>
          </a:extLst>
        </xdr:cNvPr>
        <xdr:cNvSpPr txBox="1">
          <a:spLocks noChangeArrowheads="1"/>
        </xdr:cNvSpPr>
      </xdr:nvSpPr>
      <xdr:spPr bwMode="auto">
        <a:xfrm>
          <a:off x="6534150" y="78095475"/>
          <a:ext cx="2161116" cy="2162175"/>
        </a:xfrm>
        <a:prstGeom prst="rect">
          <a:avLst/>
        </a:prstGeom>
        <a:blipFill dpi="0" rotWithShape="1">
          <a:blip xmlns:r="http://schemas.openxmlformats.org/officeDocument/2006/relationships" r:embed="rId65"/>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405</xdr:row>
      <xdr:rowOff>66675</xdr:rowOff>
    </xdr:from>
    <xdr:ext cx="2161116" cy="2162175"/>
    <xdr:sp macro="" textlink="">
      <xdr:nvSpPr>
        <xdr:cNvPr id="81842" name="Text Box 1581" hidden="1">
          <a:extLst>
            <a:ext uri="{FF2B5EF4-FFF2-40B4-BE49-F238E27FC236}">
              <a16:creationId xmlns:a16="http://schemas.microsoft.com/office/drawing/2014/main" id="{00000000-0008-0000-0000-0000B23F0100}"/>
            </a:ext>
          </a:extLst>
        </xdr:cNvPr>
        <xdr:cNvSpPr txBox="1">
          <a:spLocks noChangeArrowheads="1"/>
        </xdr:cNvSpPr>
      </xdr:nvSpPr>
      <xdr:spPr bwMode="auto">
        <a:xfrm>
          <a:off x="6534150" y="78476475"/>
          <a:ext cx="2161116" cy="2162175"/>
        </a:xfrm>
        <a:prstGeom prst="rect">
          <a:avLst/>
        </a:prstGeom>
        <a:blipFill dpi="0" rotWithShape="1">
          <a:blip xmlns:r="http://schemas.openxmlformats.org/officeDocument/2006/relationships" r:embed="rId67"/>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oneCellAnchor>
    <xdr:from>
      <xdr:col>9</xdr:col>
      <xdr:colOff>66675</xdr:colOff>
      <xdr:row>406</xdr:row>
      <xdr:rowOff>66675</xdr:rowOff>
    </xdr:from>
    <xdr:ext cx="2161116" cy="2162175"/>
    <xdr:sp macro="" textlink="">
      <xdr:nvSpPr>
        <xdr:cNvPr id="81843" name="Text Box 1584" hidden="1">
          <a:extLst>
            <a:ext uri="{FF2B5EF4-FFF2-40B4-BE49-F238E27FC236}">
              <a16:creationId xmlns:a16="http://schemas.microsoft.com/office/drawing/2014/main" id="{00000000-0008-0000-0000-0000B33F0100}"/>
            </a:ext>
          </a:extLst>
        </xdr:cNvPr>
        <xdr:cNvSpPr txBox="1">
          <a:spLocks noChangeArrowheads="1"/>
        </xdr:cNvSpPr>
      </xdr:nvSpPr>
      <xdr:spPr bwMode="auto">
        <a:xfrm>
          <a:off x="6534150" y="78666975"/>
          <a:ext cx="2161116" cy="2162175"/>
        </a:xfrm>
        <a:prstGeom prst="rect">
          <a:avLst/>
        </a:prstGeom>
        <a:blipFill dpi="0" rotWithShape="1">
          <a:blip xmlns:r="http://schemas.openxmlformats.org/officeDocument/2006/relationships" r:embed="rId68"/>
          <a:srcRect/>
          <a:stretch>
            <a:fillRect/>
          </a:stretch>
        </a:blipFill>
        <a:ln>
          <a:noFill/>
        </a:ln>
        <a:effectLst/>
        <a:extLst>
          <a:ext uri="{91240B29-F687-4F45-9708-019B960494DF}">
            <a14:hiddenLine xmlns:a14="http://schemas.microsoft.com/office/drawing/2010/main" w="9525">
              <a:solidFill>
                <a:srgbClr val="510000"/>
              </a:solidFill>
              <a:miter lim="800000"/>
              <a:headEnd/>
              <a:tailEnd/>
            </a14:hiddenLine>
          </a:ext>
          <a:ext uri="{AF507438-7753-43E0-B8FC-AC1667EBCBE1}">
            <a14:hiddenEffects xmlns:a14="http://schemas.microsoft.com/office/drawing/2010/main">
              <a:effectLst>
                <a:outerShdw dist="35921" dir="2700000" algn="ctr" rotWithShape="0">
                  <a:srgbClr val="510000"/>
                </a:outerShdw>
              </a:effectLst>
            </a14:hiddenEffects>
          </a:ext>
          <a:ext uri="{53640926-AAD7-44D8-BBD7-CCE9431645EC}">
            <a14:shadowObscured xmlns:a14="http://schemas.microsoft.com/office/drawing/2010/main" val="1"/>
          </a:ext>
        </a:extLst>
      </xdr:spPr>
    </xdr:sp>
    <xdr:clientData/>
  </xdr:oneCellAnchor>
  <xdr:twoCellAnchor>
    <xdr:from>
      <xdr:col>19</xdr:col>
      <xdr:colOff>457200</xdr:colOff>
      <xdr:row>0</xdr:row>
      <xdr:rowOff>214374</xdr:rowOff>
    </xdr:from>
    <xdr:to>
      <xdr:col>22</xdr:col>
      <xdr:colOff>76200</xdr:colOff>
      <xdr:row>1</xdr:row>
      <xdr:rowOff>214017</xdr:rowOff>
    </xdr:to>
    <xdr:sp macro="" textlink="">
      <xdr:nvSpPr>
        <xdr:cNvPr id="2281" name="TextBox 2280">
          <a:extLst>
            <a:ext uri="{FF2B5EF4-FFF2-40B4-BE49-F238E27FC236}">
              <a16:creationId xmlns:a16="http://schemas.microsoft.com/office/drawing/2014/main" id="{00000000-0008-0000-0000-0000E9080000}"/>
            </a:ext>
          </a:extLst>
        </xdr:cNvPr>
        <xdr:cNvSpPr txBox="1"/>
      </xdr:nvSpPr>
      <xdr:spPr>
        <a:xfrm>
          <a:off x="12125325" y="214374"/>
          <a:ext cx="1133475" cy="294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bg1"/>
              </a:solidFill>
            </a:rPr>
            <a:t>from</a:t>
          </a:r>
          <a:r>
            <a:rPr lang="en-US" sz="1000" b="1" i="1" baseline="0">
              <a:solidFill>
                <a:schemeClr val="bg1"/>
              </a:solidFill>
            </a:rPr>
            <a:t> -90° to +90</a:t>
          </a:r>
          <a:r>
            <a:rPr lang="en-US" sz="1100" b="1" i="1" baseline="0">
              <a:solidFill>
                <a:schemeClr val="bg1"/>
              </a:solidFill>
              <a:effectLst/>
              <a:latin typeface="+mn-lt"/>
              <a:ea typeface="+mn-ea"/>
              <a:cs typeface="+mn-cs"/>
            </a:rPr>
            <a:t>°</a:t>
          </a:r>
          <a:endParaRPr lang="en-US" sz="1000" b="1" i="1">
            <a:solidFill>
              <a:schemeClr val="bg1"/>
            </a:solidFill>
          </a:endParaRPr>
        </a:p>
      </xdr:txBody>
    </xdr:sp>
    <xdr:clientData/>
  </xdr:twoCellAnchor>
  <xdr:twoCellAnchor>
    <xdr:from>
      <xdr:col>40</xdr:col>
      <xdr:colOff>283618</xdr:colOff>
      <xdr:row>0</xdr:row>
      <xdr:rowOff>26455</xdr:rowOff>
    </xdr:from>
    <xdr:to>
      <xdr:col>42</xdr:col>
      <xdr:colOff>123825</xdr:colOff>
      <xdr:row>0</xdr:row>
      <xdr:rowOff>196442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1543418" y="26455"/>
          <a:ext cx="678407" cy="16998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i="1">
              <a:solidFill>
                <a:schemeClr val="bg1"/>
              </a:solidFill>
            </a:rPr>
            <a:t>Galaxies</a:t>
          </a:r>
        </a:p>
      </xdr:txBody>
    </xdr:sp>
    <xdr:clientData/>
  </xdr:twoCellAnchor>
  <xdr:twoCellAnchor>
    <xdr:from>
      <xdr:col>48</xdr:col>
      <xdr:colOff>152915</xdr:colOff>
      <xdr:row>0</xdr:row>
      <xdr:rowOff>28575</xdr:rowOff>
    </xdr:from>
    <xdr:to>
      <xdr:col>49</xdr:col>
      <xdr:colOff>371475</xdr:colOff>
      <xdr:row>0</xdr:row>
      <xdr:rowOff>190500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4365465" y="28575"/>
          <a:ext cx="637660" cy="16192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i="1">
              <a:solidFill>
                <a:schemeClr val="bg1"/>
              </a:solidFill>
            </a:rPr>
            <a:t>Nebulae</a:t>
          </a:r>
        </a:p>
      </xdr:txBody>
    </xdr:sp>
    <xdr:clientData/>
  </xdr:twoCellAnchor>
  <xdr:twoCellAnchor>
    <xdr:from>
      <xdr:col>54</xdr:col>
      <xdr:colOff>255582</xdr:colOff>
      <xdr:row>0</xdr:row>
      <xdr:rowOff>35981</xdr:rowOff>
    </xdr:from>
    <xdr:to>
      <xdr:col>56</xdr:col>
      <xdr:colOff>28575</xdr:colOff>
      <xdr:row>0</xdr:row>
      <xdr:rowOff>190501</xdr:rowOff>
    </xdr:to>
    <xdr:sp macro="" textlink="">
      <xdr:nvSpPr>
        <xdr:cNvPr id="322272" name="TextBox 322271">
          <a:extLst>
            <a:ext uri="{FF2B5EF4-FFF2-40B4-BE49-F238E27FC236}">
              <a16:creationId xmlns:a16="http://schemas.microsoft.com/office/drawing/2014/main" id="{00000000-0008-0000-0000-0000E0EA0400}"/>
            </a:ext>
          </a:extLst>
        </xdr:cNvPr>
        <xdr:cNvSpPr txBox="1"/>
      </xdr:nvSpPr>
      <xdr:spPr>
        <a:xfrm>
          <a:off x="27382782" y="35981"/>
          <a:ext cx="611193" cy="15452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i="1">
              <a:solidFill>
                <a:schemeClr val="bg1"/>
              </a:solidFill>
            </a:rPr>
            <a:t>Stars</a:t>
          </a:r>
        </a:p>
      </xdr:txBody>
    </xdr:sp>
    <xdr:clientData/>
  </xdr:twoCellAnchor>
  <xdr:twoCellAnchor>
    <xdr:from>
      <xdr:col>29</xdr:col>
      <xdr:colOff>330868</xdr:colOff>
      <xdr:row>0</xdr:row>
      <xdr:rowOff>16930</xdr:rowOff>
    </xdr:from>
    <xdr:to>
      <xdr:col>31</xdr:col>
      <xdr:colOff>95661</xdr:colOff>
      <xdr:row>0</xdr:row>
      <xdr:rowOff>204246</xdr:rowOff>
    </xdr:to>
    <xdr:sp macro="" textlink="">
      <xdr:nvSpPr>
        <xdr:cNvPr id="271427" name="TextBox 271426">
          <a:extLst>
            <a:ext uri="{FF2B5EF4-FFF2-40B4-BE49-F238E27FC236}">
              <a16:creationId xmlns:a16="http://schemas.microsoft.com/office/drawing/2014/main" id="{00000000-0008-0000-0000-000043240400}"/>
            </a:ext>
          </a:extLst>
        </xdr:cNvPr>
        <xdr:cNvSpPr txBox="1"/>
      </xdr:nvSpPr>
      <xdr:spPr>
        <a:xfrm>
          <a:off x="16723393" y="16930"/>
          <a:ext cx="841118" cy="1873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r>
            <a:rPr lang="en-US" sz="1200" b="1" i="1">
              <a:solidFill>
                <a:schemeClr val="bg1"/>
              </a:solidFill>
            </a:rPr>
            <a:t>Top Targets</a:t>
          </a:r>
        </a:p>
      </xdr:txBody>
    </xdr:sp>
    <xdr:clientData/>
  </xdr:twoCellAnchor>
  <xdr:twoCellAnchor>
    <xdr:from>
      <xdr:col>32</xdr:col>
      <xdr:colOff>177723</xdr:colOff>
      <xdr:row>0</xdr:row>
      <xdr:rowOff>19050</xdr:rowOff>
    </xdr:from>
    <xdr:to>
      <xdr:col>33</xdr:col>
      <xdr:colOff>452322</xdr:colOff>
      <xdr:row>0</xdr:row>
      <xdr:rowOff>206366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8008523" y="19050"/>
          <a:ext cx="693699" cy="1873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r>
            <a:rPr lang="en-US" sz="1200" b="1" i="1">
              <a:solidFill>
                <a:schemeClr val="bg1"/>
              </a:solidFill>
            </a:rPr>
            <a:t>Catalogs</a:t>
          </a:r>
        </a:p>
      </xdr:txBody>
    </xdr:sp>
    <xdr:clientData/>
  </xdr:twoCellAnchor>
  <xdr:twoCellAnchor>
    <xdr:from>
      <xdr:col>51</xdr:col>
      <xdr:colOff>305315</xdr:colOff>
      <xdr:row>0</xdr:row>
      <xdr:rowOff>26455</xdr:rowOff>
    </xdr:from>
    <xdr:to>
      <xdr:col>53</xdr:col>
      <xdr:colOff>165617</xdr:colOff>
      <xdr:row>0</xdr:row>
      <xdr:rowOff>203406</xdr:rowOff>
    </xdr:to>
    <xdr:sp macro="" textlink="">
      <xdr:nvSpPr>
        <xdr:cNvPr id="2276" name="TextBox 2275">
          <a:extLst>
            <a:ext uri="{FF2B5EF4-FFF2-40B4-BE49-F238E27FC236}">
              <a16:creationId xmlns:a16="http://schemas.microsoft.com/office/drawing/2014/main" id="{00000000-0008-0000-0000-0000E4080000}"/>
            </a:ext>
          </a:extLst>
        </xdr:cNvPr>
        <xdr:cNvSpPr txBox="1"/>
      </xdr:nvSpPr>
      <xdr:spPr>
        <a:xfrm>
          <a:off x="26175215" y="26455"/>
          <a:ext cx="698502" cy="17695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200" b="1" i="1">
              <a:solidFill>
                <a:schemeClr val="bg1"/>
              </a:solidFill>
            </a:rPr>
            <a:t>PN</a:t>
          </a:r>
        </a:p>
      </xdr:txBody>
    </xdr:sp>
    <xdr:clientData/>
  </xdr:twoCellAnchor>
  <xdr:twoCellAnchor>
    <xdr:from>
      <xdr:col>25</xdr:col>
      <xdr:colOff>302293</xdr:colOff>
      <xdr:row>0</xdr:row>
      <xdr:rowOff>16005</xdr:rowOff>
    </xdr:from>
    <xdr:to>
      <xdr:col>27</xdr:col>
      <xdr:colOff>209550</xdr:colOff>
      <xdr:row>0</xdr:row>
      <xdr:rowOff>295274</xdr:rowOff>
    </xdr:to>
    <xdr:sp macro="" textlink="">
      <xdr:nvSpPr>
        <xdr:cNvPr id="2277" name="TextBox 2276">
          <a:extLst>
            <a:ext uri="{FF2B5EF4-FFF2-40B4-BE49-F238E27FC236}">
              <a16:creationId xmlns:a16="http://schemas.microsoft.com/office/drawing/2014/main" id="{00000000-0008-0000-0000-0000E5080000}"/>
            </a:ext>
          </a:extLst>
        </xdr:cNvPr>
        <xdr:cNvSpPr txBox="1"/>
      </xdr:nvSpPr>
      <xdr:spPr>
        <a:xfrm>
          <a:off x="14837443" y="16005"/>
          <a:ext cx="640682" cy="27926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pPr algn="ctr"/>
          <a:r>
            <a:rPr lang="en-US" sz="1600" b="1" i="1" u="none">
              <a:solidFill>
                <a:schemeClr val="bg1"/>
              </a:solidFill>
            </a:rPr>
            <a:t>Filters</a:t>
          </a:r>
        </a:p>
      </xdr:txBody>
    </xdr:sp>
    <xdr:clientData/>
  </xdr:twoCellAnchor>
  <xdr:twoCellAnchor>
    <xdr:from>
      <xdr:col>0</xdr:col>
      <xdr:colOff>333375</xdr:colOff>
      <xdr:row>3</xdr:row>
      <xdr:rowOff>85725</xdr:rowOff>
    </xdr:from>
    <xdr:to>
      <xdr:col>0</xdr:col>
      <xdr:colOff>882015</xdr:colOff>
      <xdr:row>3</xdr:row>
      <xdr:rowOff>323469</xdr:rowOff>
    </xdr:to>
    <xdr:sp macro="[0]!Sheet1.Sunset_Click" textlink="">
      <xdr:nvSpPr>
        <xdr:cNvPr id="372698" name="Rectangle: Rounded Corners 372697">
          <a:extLst>
            <a:ext uri="{FF2B5EF4-FFF2-40B4-BE49-F238E27FC236}">
              <a16:creationId xmlns:a16="http://schemas.microsoft.com/office/drawing/2014/main" id="{00000000-0008-0000-0000-0000DAAF0500}"/>
            </a:ext>
          </a:extLst>
        </xdr:cNvPr>
        <xdr:cNvSpPr/>
      </xdr:nvSpPr>
      <xdr:spPr>
        <a:xfrm>
          <a:off x="333375" y="942975"/>
          <a:ext cx="548640" cy="237744"/>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ysClr val="windowText" lastClr="000000"/>
              </a:solidFill>
            </a:rPr>
            <a:t>Sunset</a:t>
          </a:r>
        </a:p>
      </xdr:txBody>
    </xdr:sp>
    <xdr:clientData/>
  </xdr:twoCellAnchor>
  <xdr:twoCellAnchor>
    <xdr:from>
      <xdr:col>1</xdr:col>
      <xdr:colOff>180974</xdr:colOff>
      <xdr:row>4</xdr:row>
      <xdr:rowOff>57150</xdr:rowOff>
    </xdr:from>
    <xdr:to>
      <xdr:col>3</xdr:col>
      <xdr:colOff>342899</xdr:colOff>
      <xdr:row>4</xdr:row>
      <xdr:rowOff>294894</xdr:rowOff>
    </xdr:to>
    <xdr:sp macro="[0]!Sheet1.AlphaSort_Click" textlink="">
      <xdr:nvSpPr>
        <xdr:cNvPr id="372699" name="Rectangle: Rounded Corners 372698">
          <a:extLst>
            <a:ext uri="{FF2B5EF4-FFF2-40B4-BE49-F238E27FC236}">
              <a16:creationId xmlns:a16="http://schemas.microsoft.com/office/drawing/2014/main" id="{00000000-0008-0000-0000-0000DBAF0500}"/>
            </a:ext>
          </a:extLst>
        </xdr:cNvPr>
        <xdr:cNvSpPr/>
      </xdr:nvSpPr>
      <xdr:spPr>
        <a:xfrm>
          <a:off x="1152524" y="1238250"/>
          <a:ext cx="1019175" cy="237744"/>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Alphabetical Sort</a:t>
          </a:r>
        </a:p>
      </xdr:txBody>
    </xdr:sp>
    <xdr:clientData/>
  </xdr:twoCellAnchor>
  <xdr:twoCellAnchor>
    <xdr:from>
      <xdr:col>5</xdr:col>
      <xdr:colOff>152400</xdr:colOff>
      <xdr:row>4</xdr:row>
      <xdr:rowOff>47625</xdr:rowOff>
    </xdr:from>
    <xdr:to>
      <xdr:col>6</xdr:col>
      <xdr:colOff>352425</xdr:colOff>
      <xdr:row>4</xdr:row>
      <xdr:rowOff>285369</xdr:rowOff>
    </xdr:to>
    <xdr:sp macro="[0]!Sheet1.TransitSort_Click" textlink="">
      <xdr:nvSpPr>
        <xdr:cNvPr id="372700" name="Rectangle: Rounded Corners 372699">
          <a:extLst>
            <a:ext uri="{FF2B5EF4-FFF2-40B4-BE49-F238E27FC236}">
              <a16:creationId xmlns:a16="http://schemas.microsoft.com/office/drawing/2014/main" id="{00000000-0008-0000-0000-0000DCAF0500}"/>
            </a:ext>
          </a:extLst>
        </xdr:cNvPr>
        <xdr:cNvSpPr/>
      </xdr:nvSpPr>
      <xdr:spPr>
        <a:xfrm>
          <a:off x="2886075" y="1228725"/>
          <a:ext cx="952500" cy="237744"/>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Transit Time Sort</a:t>
          </a:r>
        </a:p>
      </xdr:txBody>
    </xdr:sp>
    <xdr:clientData/>
  </xdr:twoCellAnchor>
  <xdr:twoCellAnchor>
    <xdr:from>
      <xdr:col>7</xdr:col>
      <xdr:colOff>600075</xdr:colOff>
      <xdr:row>4</xdr:row>
      <xdr:rowOff>47625</xdr:rowOff>
    </xdr:from>
    <xdr:to>
      <xdr:col>9</xdr:col>
      <xdr:colOff>390525</xdr:colOff>
      <xdr:row>4</xdr:row>
      <xdr:rowOff>285369</xdr:rowOff>
    </xdr:to>
    <xdr:sp macro="[0]!Sheet1.ReturntoTop_Click" textlink="">
      <xdr:nvSpPr>
        <xdr:cNvPr id="372701" name="Rectangle: Rounded Corners 372700">
          <a:extLst>
            <a:ext uri="{FF2B5EF4-FFF2-40B4-BE49-F238E27FC236}">
              <a16:creationId xmlns:a16="http://schemas.microsoft.com/office/drawing/2014/main" id="{00000000-0008-0000-0000-0000DDAF0500}"/>
            </a:ext>
          </a:extLst>
        </xdr:cNvPr>
        <xdr:cNvSpPr/>
      </xdr:nvSpPr>
      <xdr:spPr>
        <a:xfrm>
          <a:off x="4505325" y="1228725"/>
          <a:ext cx="1066800" cy="237744"/>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chemeClr val="tx1"/>
              </a:solidFill>
            </a:rPr>
            <a:t>Go to Top of Sheet</a:t>
          </a:r>
        </a:p>
      </xdr:txBody>
    </xdr:sp>
    <xdr:clientData/>
  </xdr:twoCellAnchor>
  <xdr:twoCellAnchor>
    <xdr:from>
      <xdr:col>0</xdr:col>
      <xdr:colOff>333375</xdr:colOff>
      <xdr:row>2</xdr:row>
      <xdr:rowOff>47625</xdr:rowOff>
    </xdr:from>
    <xdr:to>
      <xdr:col>0</xdr:col>
      <xdr:colOff>882015</xdr:colOff>
      <xdr:row>2</xdr:row>
      <xdr:rowOff>285369</xdr:rowOff>
    </xdr:to>
    <xdr:sp macro="[0]!Sheet1.NowTime_Click" textlink="">
      <xdr:nvSpPr>
        <xdr:cNvPr id="372702" name="Rectangle: Rounded Corners 372701">
          <a:extLst>
            <a:ext uri="{FF2B5EF4-FFF2-40B4-BE49-F238E27FC236}">
              <a16:creationId xmlns:a16="http://schemas.microsoft.com/office/drawing/2014/main" id="{00000000-0008-0000-0000-0000DEAF0500}"/>
            </a:ext>
          </a:extLst>
        </xdr:cNvPr>
        <xdr:cNvSpPr/>
      </xdr:nvSpPr>
      <xdr:spPr>
        <a:xfrm>
          <a:off x="333375" y="600075"/>
          <a:ext cx="548640" cy="237744"/>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ysClr val="windowText" lastClr="000000"/>
              </a:solidFill>
            </a:rPr>
            <a:t>Now</a:t>
          </a:r>
        </a:p>
      </xdr:txBody>
    </xdr:sp>
    <xdr:clientData/>
  </xdr:twoCellAnchor>
  <xdr:twoCellAnchor>
    <xdr:from>
      <xdr:col>2</xdr:col>
      <xdr:colOff>54643</xdr:colOff>
      <xdr:row>0</xdr:row>
      <xdr:rowOff>293155</xdr:rowOff>
    </xdr:from>
    <xdr:to>
      <xdr:col>4</xdr:col>
      <xdr:colOff>28986</xdr:colOff>
      <xdr:row>1</xdr:row>
      <xdr:rowOff>185196</xdr:rowOff>
    </xdr:to>
    <xdr:sp macro="" textlink="">
      <xdr:nvSpPr>
        <xdr:cNvPr id="2297" name="TextBox 2296">
          <a:extLst>
            <a:ext uri="{FF2B5EF4-FFF2-40B4-BE49-F238E27FC236}">
              <a16:creationId xmlns:a16="http://schemas.microsoft.com/office/drawing/2014/main" id="{E10F3C6F-4A7D-4F65-B150-1AA3415295D5}"/>
            </a:ext>
          </a:extLst>
        </xdr:cNvPr>
        <xdr:cNvSpPr txBox="1"/>
      </xdr:nvSpPr>
      <xdr:spPr>
        <a:xfrm>
          <a:off x="1435768" y="293155"/>
          <a:ext cx="841118" cy="18731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r>
            <a:rPr lang="en-US" sz="1200" b="1" i="1">
              <a:solidFill>
                <a:schemeClr val="bg1"/>
              </a:solidFill>
            </a:rPr>
            <a:t>Date/Time:</a:t>
          </a:r>
        </a:p>
      </xdr:txBody>
    </xdr:sp>
    <xdr:clientData/>
  </xdr:twoCellAnchor>
  <xdr:twoCellAnchor>
    <xdr:from>
      <xdr:col>1</xdr:col>
      <xdr:colOff>276225</xdr:colOff>
      <xdr:row>1</xdr:row>
      <xdr:rowOff>200025</xdr:rowOff>
    </xdr:from>
    <xdr:to>
      <xdr:col>1</xdr:col>
      <xdr:colOff>400050</xdr:colOff>
      <xdr:row>2</xdr:row>
      <xdr:rowOff>85725</xdr:rowOff>
    </xdr:to>
    <xdr:sp macro="[0]!Sheet1.MonthSpin_SpinUp" textlink="">
      <xdr:nvSpPr>
        <xdr:cNvPr id="2298" name="Isosceles Triangle 2297">
          <a:extLst>
            <a:ext uri="{FF2B5EF4-FFF2-40B4-BE49-F238E27FC236}">
              <a16:creationId xmlns:a16="http://schemas.microsoft.com/office/drawing/2014/main" id="{28ECB30C-7183-6967-31F3-BED7F934ACC0}"/>
            </a:ext>
          </a:extLst>
        </xdr:cNvPr>
        <xdr:cNvSpPr/>
      </xdr:nvSpPr>
      <xdr:spPr>
        <a:xfrm>
          <a:off x="1247775" y="49530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114300</xdr:colOff>
      <xdr:row>1</xdr:row>
      <xdr:rowOff>200025</xdr:rowOff>
    </xdr:from>
    <xdr:to>
      <xdr:col>2</xdr:col>
      <xdr:colOff>238125</xdr:colOff>
      <xdr:row>2</xdr:row>
      <xdr:rowOff>85725</xdr:rowOff>
    </xdr:to>
    <xdr:sp macro="[0]!Sheet1.DaySpin_SpinUp" textlink="">
      <xdr:nvSpPr>
        <xdr:cNvPr id="2300" name="Isosceles Triangle 2299">
          <a:extLst>
            <a:ext uri="{FF2B5EF4-FFF2-40B4-BE49-F238E27FC236}">
              <a16:creationId xmlns:a16="http://schemas.microsoft.com/office/drawing/2014/main" id="{18E63148-6403-4D11-B0BA-822D1E2A7A94}"/>
            </a:ext>
          </a:extLst>
        </xdr:cNvPr>
        <xdr:cNvSpPr/>
      </xdr:nvSpPr>
      <xdr:spPr>
        <a:xfrm>
          <a:off x="1495425" y="49530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xdr:row>
      <xdr:rowOff>200025</xdr:rowOff>
    </xdr:from>
    <xdr:to>
      <xdr:col>3</xdr:col>
      <xdr:colOff>123825</xdr:colOff>
      <xdr:row>2</xdr:row>
      <xdr:rowOff>85725</xdr:rowOff>
    </xdr:to>
    <xdr:sp macro="[0]!Sheet1.YearSpin_SpinUp" textlink="">
      <xdr:nvSpPr>
        <xdr:cNvPr id="2301" name="Isosceles Triangle 2300">
          <a:extLst>
            <a:ext uri="{FF2B5EF4-FFF2-40B4-BE49-F238E27FC236}">
              <a16:creationId xmlns:a16="http://schemas.microsoft.com/office/drawing/2014/main" id="{8988A41A-17EF-491A-BB16-7D68825B1433}"/>
            </a:ext>
          </a:extLst>
        </xdr:cNvPr>
        <xdr:cNvSpPr/>
      </xdr:nvSpPr>
      <xdr:spPr>
        <a:xfrm>
          <a:off x="1828800" y="49530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276225</xdr:colOff>
      <xdr:row>3</xdr:row>
      <xdr:rowOff>0</xdr:rowOff>
    </xdr:from>
    <xdr:to>
      <xdr:col>1</xdr:col>
      <xdr:colOff>400050</xdr:colOff>
      <xdr:row>3</xdr:row>
      <xdr:rowOff>142875</xdr:rowOff>
    </xdr:to>
    <xdr:sp macro="[0]!Sheet1.MonthSpin_SpinDown" textlink="">
      <xdr:nvSpPr>
        <xdr:cNvPr id="81845" name="Isosceles Triangle 81844">
          <a:extLst>
            <a:ext uri="{FF2B5EF4-FFF2-40B4-BE49-F238E27FC236}">
              <a16:creationId xmlns:a16="http://schemas.microsoft.com/office/drawing/2014/main" id="{EB2F44D4-A2CB-4EA6-95FD-C57BDAA6B473}"/>
            </a:ext>
          </a:extLst>
        </xdr:cNvPr>
        <xdr:cNvSpPr/>
      </xdr:nvSpPr>
      <xdr:spPr>
        <a:xfrm rot="10800000">
          <a:off x="1247775" y="85725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114300</xdr:colOff>
      <xdr:row>3</xdr:row>
      <xdr:rowOff>0</xdr:rowOff>
    </xdr:from>
    <xdr:to>
      <xdr:col>2</xdr:col>
      <xdr:colOff>238125</xdr:colOff>
      <xdr:row>3</xdr:row>
      <xdr:rowOff>142875</xdr:rowOff>
    </xdr:to>
    <xdr:sp macro="[0]!Sheet1.DaySpin_SpinDown" textlink="">
      <xdr:nvSpPr>
        <xdr:cNvPr id="81846" name="Isosceles Triangle 81845">
          <a:extLst>
            <a:ext uri="{FF2B5EF4-FFF2-40B4-BE49-F238E27FC236}">
              <a16:creationId xmlns:a16="http://schemas.microsoft.com/office/drawing/2014/main" id="{5D9FA3A3-FA48-474D-B29D-1A259C608711}"/>
            </a:ext>
          </a:extLst>
        </xdr:cNvPr>
        <xdr:cNvSpPr/>
      </xdr:nvSpPr>
      <xdr:spPr>
        <a:xfrm rot="10800000">
          <a:off x="1495425" y="85725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3</xdr:row>
      <xdr:rowOff>0</xdr:rowOff>
    </xdr:from>
    <xdr:to>
      <xdr:col>3</xdr:col>
      <xdr:colOff>123825</xdr:colOff>
      <xdr:row>3</xdr:row>
      <xdr:rowOff>142875</xdr:rowOff>
    </xdr:to>
    <xdr:sp macro="[0]!Sheet1.YearSpin_SpinDown" textlink="">
      <xdr:nvSpPr>
        <xdr:cNvPr id="81847" name="Isosceles Triangle 81846">
          <a:extLst>
            <a:ext uri="{FF2B5EF4-FFF2-40B4-BE49-F238E27FC236}">
              <a16:creationId xmlns:a16="http://schemas.microsoft.com/office/drawing/2014/main" id="{4BDDA378-4A72-4884-A269-672C87302C7E}"/>
            </a:ext>
          </a:extLst>
        </xdr:cNvPr>
        <xdr:cNvSpPr/>
      </xdr:nvSpPr>
      <xdr:spPr>
        <a:xfrm rot="10800000">
          <a:off x="1828800" y="85725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114300</xdr:colOff>
      <xdr:row>0</xdr:row>
      <xdr:rowOff>0</xdr:rowOff>
    </xdr:from>
    <xdr:to>
      <xdr:col>59</xdr:col>
      <xdr:colOff>152400</xdr:colOff>
      <xdr:row>0</xdr:row>
      <xdr:rowOff>200025</xdr:rowOff>
    </xdr:to>
    <xdr:sp macro="" textlink="">
      <xdr:nvSpPr>
        <xdr:cNvPr id="38" name="TextBox 37">
          <a:extLst>
            <a:ext uri="{FF2B5EF4-FFF2-40B4-BE49-F238E27FC236}">
              <a16:creationId xmlns:a16="http://schemas.microsoft.com/office/drawing/2014/main" id="{53C4DE82-A5BF-4A52-B616-0F80F8C0ECF8}"/>
            </a:ext>
          </a:extLst>
        </xdr:cNvPr>
        <xdr:cNvSpPr txBox="1"/>
      </xdr:nvSpPr>
      <xdr:spPr>
        <a:xfrm>
          <a:off x="28498800" y="0"/>
          <a:ext cx="838200" cy="20002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r>
            <a:rPr lang="en-US" sz="1200" b="1" i="1">
              <a:solidFill>
                <a:schemeClr val="bg1"/>
              </a:solidFill>
            </a:rPr>
            <a:t>Other Filters</a:t>
          </a:r>
        </a:p>
      </xdr:txBody>
    </xdr:sp>
    <xdr:clientData/>
  </xdr:twoCellAnchor>
  <xdr:twoCellAnchor>
    <xdr:from>
      <xdr:col>41</xdr:col>
      <xdr:colOff>321712</xdr:colOff>
      <xdr:row>0</xdr:row>
      <xdr:rowOff>107063</xdr:rowOff>
    </xdr:from>
    <xdr:to>
      <xdr:col>43</xdr:col>
      <xdr:colOff>30691</xdr:colOff>
      <xdr:row>1</xdr:row>
      <xdr:rowOff>63696</xdr:rowOff>
    </xdr:to>
    <xdr:sp macro="" textlink="">
      <xdr:nvSpPr>
        <xdr:cNvPr id="332416" name="TextBox 332415">
          <a:extLst>
            <a:ext uri="{FF2B5EF4-FFF2-40B4-BE49-F238E27FC236}">
              <a16:creationId xmlns:a16="http://schemas.microsoft.com/office/drawing/2014/main" id="{00000000-0008-0000-0000-000080120500}"/>
            </a:ext>
          </a:extLst>
        </xdr:cNvPr>
        <xdr:cNvSpPr txBox="1"/>
      </xdr:nvSpPr>
      <xdr:spPr>
        <a:xfrm>
          <a:off x="22000612" y="107063"/>
          <a:ext cx="547179" cy="25190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000" b="0" i="0">
              <a:solidFill>
                <a:srgbClr val="ECECEC"/>
              </a:solidFill>
            </a:rPr>
            <a:t>Rings</a:t>
          </a:r>
          <a:endParaRPr lang="en-US" sz="1050" b="0" i="0">
            <a:solidFill>
              <a:srgbClr val="ECECEC"/>
            </a:solidFill>
          </a:endParaRPr>
        </a:p>
      </xdr:txBody>
    </xdr:sp>
    <xdr:clientData/>
  </xdr:twoCellAnchor>
  <xdr:twoCellAnchor>
    <xdr:from>
      <xdr:col>37</xdr:col>
      <xdr:colOff>119579</xdr:colOff>
      <xdr:row>0</xdr:row>
      <xdr:rowOff>122938</xdr:rowOff>
    </xdr:from>
    <xdr:to>
      <xdr:col>38</xdr:col>
      <xdr:colOff>152400</xdr:colOff>
      <xdr:row>1</xdr:row>
      <xdr:rowOff>32466</xdr:rowOff>
    </xdr:to>
    <xdr:sp macro="" textlink="">
      <xdr:nvSpPr>
        <xdr:cNvPr id="332417" name="TextBox 332416">
          <a:extLst>
            <a:ext uri="{FF2B5EF4-FFF2-40B4-BE49-F238E27FC236}">
              <a16:creationId xmlns:a16="http://schemas.microsoft.com/office/drawing/2014/main" id="{00000000-0008-0000-0000-000081120500}"/>
            </a:ext>
          </a:extLst>
        </xdr:cNvPr>
        <xdr:cNvSpPr txBox="1"/>
      </xdr:nvSpPr>
      <xdr:spPr>
        <a:xfrm>
          <a:off x="20122079" y="122938"/>
          <a:ext cx="451921" cy="20480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000" b="0" i="0">
              <a:solidFill>
                <a:srgbClr val="ECECEC"/>
              </a:solidFill>
            </a:rPr>
            <a:t>Types</a:t>
          </a:r>
        </a:p>
      </xdr:txBody>
    </xdr:sp>
    <xdr:clientData/>
  </xdr:twoCellAnchor>
  <xdr:twoCellAnchor>
    <xdr:from>
      <xdr:col>24</xdr:col>
      <xdr:colOff>114300</xdr:colOff>
      <xdr:row>1</xdr:row>
      <xdr:rowOff>38100</xdr:rowOff>
    </xdr:from>
    <xdr:to>
      <xdr:col>26</xdr:col>
      <xdr:colOff>314326</xdr:colOff>
      <xdr:row>2</xdr:row>
      <xdr:rowOff>19050</xdr:rowOff>
    </xdr:to>
    <xdr:sp macro="" textlink="">
      <xdr:nvSpPr>
        <xdr:cNvPr id="265408" name="TextBox 265407">
          <a:extLst>
            <a:ext uri="{FF2B5EF4-FFF2-40B4-BE49-F238E27FC236}">
              <a16:creationId xmlns:a16="http://schemas.microsoft.com/office/drawing/2014/main" id="{00000000-0008-0000-0000-0000C00C0400}"/>
            </a:ext>
          </a:extLst>
        </xdr:cNvPr>
        <xdr:cNvSpPr txBox="1"/>
      </xdr:nvSpPr>
      <xdr:spPr>
        <a:xfrm>
          <a:off x="14678025" y="333375"/>
          <a:ext cx="1038226" cy="23812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b="0" i="1">
              <a:solidFill>
                <a:schemeClr val="bg1"/>
              </a:solidFill>
            </a:rPr>
            <a:t># Objects Shown:</a:t>
          </a:r>
        </a:p>
      </xdr:txBody>
    </xdr:sp>
    <xdr:clientData/>
  </xdr:twoCellAnchor>
  <xdr:twoCellAnchor>
    <xdr:from>
      <xdr:col>24</xdr:col>
      <xdr:colOff>216964</xdr:colOff>
      <xdr:row>2</xdr:row>
      <xdr:rowOff>266700</xdr:rowOff>
    </xdr:from>
    <xdr:to>
      <xdr:col>26</xdr:col>
      <xdr:colOff>188291</xdr:colOff>
      <xdr:row>3</xdr:row>
      <xdr:rowOff>254346</xdr:rowOff>
    </xdr:to>
    <xdr:sp macro="" textlink="">
      <xdr:nvSpPr>
        <xdr:cNvPr id="265409" name="TextBox 265408">
          <a:extLst>
            <a:ext uri="{FF2B5EF4-FFF2-40B4-BE49-F238E27FC236}">
              <a16:creationId xmlns:a16="http://schemas.microsoft.com/office/drawing/2014/main" id="{00000000-0008-0000-0000-0000C10C0400}"/>
            </a:ext>
          </a:extLst>
        </xdr:cNvPr>
        <xdr:cNvSpPr txBox="1"/>
      </xdr:nvSpPr>
      <xdr:spPr>
        <a:xfrm>
          <a:off x="14780689" y="819150"/>
          <a:ext cx="809527" cy="29244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b="0" i="1">
              <a:solidFill>
                <a:schemeClr val="bg1"/>
              </a:solidFill>
            </a:rPr>
            <a:t>(of 3145)</a:t>
          </a:r>
        </a:p>
      </xdr:txBody>
    </xdr:sp>
    <xdr:clientData/>
  </xdr:twoCellAnchor>
  <xdr:twoCellAnchor>
    <xdr:from>
      <xdr:col>21</xdr:col>
      <xdr:colOff>485775</xdr:colOff>
      <xdr:row>0</xdr:row>
      <xdr:rowOff>223590</xdr:rowOff>
    </xdr:from>
    <xdr:to>
      <xdr:col>24</xdr:col>
      <xdr:colOff>190500</xdr:colOff>
      <xdr:row>1</xdr:row>
      <xdr:rowOff>223233</xdr:rowOff>
    </xdr:to>
    <xdr:sp macro="" textlink="">
      <xdr:nvSpPr>
        <xdr:cNvPr id="2282" name="TextBox 2281">
          <a:extLst>
            <a:ext uri="{FF2B5EF4-FFF2-40B4-BE49-F238E27FC236}">
              <a16:creationId xmlns:a16="http://schemas.microsoft.com/office/drawing/2014/main" id="{00000000-0008-0000-0000-0000EA080000}"/>
            </a:ext>
          </a:extLst>
        </xdr:cNvPr>
        <xdr:cNvSpPr txBox="1"/>
      </xdr:nvSpPr>
      <xdr:spPr>
        <a:xfrm>
          <a:off x="13630275" y="223590"/>
          <a:ext cx="1123950" cy="294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bg1"/>
              </a:solidFill>
            </a:rPr>
            <a:t>from 0' to 2400'</a:t>
          </a:r>
        </a:p>
      </xdr:txBody>
    </xdr:sp>
    <xdr:clientData/>
  </xdr:twoCellAnchor>
  <xdr:twoCellAnchor>
    <xdr:from>
      <xdr:col>44</xdr:col>
      <xdr:colOff>270912</xdr:colOff>
      <xdr:row>0</xdr:row>
      <xdr:rowOff>110238</xdr:rowOff>
    </xdr:from>
    <xdr:to>
      <xdr:col>46</xdr:col>
      <xdr:colOff>234950</xdr:colOff>
      <xdr:row>1</xdr:row>
      <xdr:rowOff>66871</xdr:rowOff>
    </xdr:to>
    <xdr:sp macro="" textlink="">
      <xdr:nvSpPr>
        <xdr:cNvPr id="2275" name="TextBox 2274">
          <a:extLst>
            <a:ext uri="{FF2B5EF4-FFF2-40B4-BE49-F238E27FC236}">
              <a16:creationId xmlns:a16="http://schemas.microsoft.com/office/drawing/2014/main" id="{00000000-0008-0000-0000-0000E3080000}"/>
            </a:ext>
          </a:extLst>
        </xdr:cNvPr>
        <xdr:cNvSpPr txBox="1"/>
      </xdr:nvSpPr>
      <xdr:spPr>
        <a:xfrm>
          <a:off x="23207112" y="110238"/>
          <a:ext cx="802238" cy="25190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000" b="0" i="0">
              <a:solidFill>
                <a:srgbClr val="ECECEC"/>
              </a:solidFill>
            </a:rPr>
            <a:t>Star</a:t>
          </a:r>
          <a:r>
            <a:rPr lang="en-US" sz="1000" b="0" i="0" baseline="0">
              <a:solidFill>
                <a:srgbClr val="ECECEC"/>
              </a:solidFill>
            </a:rPr>
            <a:t> Streams</a:t>
          </a:r>
          <a:endParaRPr lang="en-US" sz="1050" b="0" i="0">
            <a:solidFill>
              <a:srgbClr val="ECECEC"/>
            </a:solidFill>
          </a:endParaRPr>
        </a:p>
      </xdr:txBody>
    </xdr:sp>
    <xdr:clientData/>
  </xdr:twoCellAnchor>
  <xdr:twoCellAnchor>
    <xdr:from>
      <xdr:col>20</xdr:col>
      <xdr:colOff>152400</xdr:colOff>
      <xdr:row>1</xdr:row>
      <xdr:rowOff>238125</xdr:rowOff>
    </xdr:from>
    <xdr:to>
      <xdr:col>21</xdr:col>
      <xdr:colOff>400050</xdr:colOff>
      <xdr:row>3</xdr:row>
      <xdr:rowOff>47625</xdr:rowOff>
    </xdr:to>
    <xdr:sp macro="[0]!Sheet1.DecRange_Click" textlink="">
      <xdr:nvSpPr>
        <xdr:cNvPr id="2292" name="Rectangle: Rounded Corners 2291">
          <a:extLst>
            <a:ext uri="{FF2B5EF4-FFF2-40B4-BE49-F238E27FC236}">
              <a16:creationId xmlns:a16="http://schemas.microsoft.com/office/drawing/2014/main" id="{00000000-0008-0000-0000-0000F4080000}"/>
            </a:ext>
          </a:extLst>
        </xdr:cNvPr>
        <xdr:cNvSpPr/>
      </xdr:nvSpPr>
      <xdr:spPr>
        <a:xfrm>
          <a:off x="12782550" y="533400"/>
          <a:ext cx="762000" cy="371475"/>
        </a:xfrm>
        <a:prstGeom prst="roundRect">
          <a:avLst/>
        </a:prstGeom>
        <a:solidFill>
          <a:schemeClr val="accent5">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Apply Dec</a:t>
          </a:r>
          <a:r>
            <a:rPr lang="en-US" sz="1000" b="1" baseline="0"/>
            <a:t> Range Below</a:t>
          </a:r>
          <a:endParaRPr lang="en-US" sz="1000" b="1"/>
        </a:p>
      </xdr:txBody>
    </xdr:sp>
    <xdr:clientData/>
  </xdr:twoCellAnchor>
  <xdr:twoCellAnchor>
    <xdr:from>
      <xdr:col>22</xdr:col>
      <xdr:colOff>114300</xdr:colOff>
      <xdr:row>1</xdr:row>
      <xdr:rowOff>238125</xdr:rowOff>
    </xdr:from>
    <xdr:to>
      <xdr:col>23</xdr:col>
      <xdr:colOff>400050</xdr:colOff>
      <xdr:row>3</xdr:row>
      <xdr:rowOff>47625</xdr:rowOff>
    </xdr:to>
    <xdr:sp macro="[0]!Sheet1.SizeRange_Click" textlink="">
      <xdr:nvSpPr>
        <xdr:cNvPr id="2288" name="Rectangle: Rounded Corners 2287">
          <a:extLst>
            <a:ext uri="{FF2B5EF4-FFF2-40B4-BE49-F238E27FC236}">
              <a16:creationId xmlns:a16="http://schemas.microsoft.com/office/drawing/2014/main" id="{78BEBCD5-15B9-4B1A-AA89-9244129603F8}"/>
            </a:ext>
          </a:extLst>
        </xdr:cNvPr>
        <xdr:cNvSpPr/>
      </xdr:nvSpPr>
      <xdr:spPr>
        <a:xfrm>
          <a:off x="13754100" y="533400"/>
          <a:ext cx="762000" cy="371475"/>
        </a:xfrm>
        <a:prstGeom prst="roundRect">
          <a:avLst/>
        </a:prstGeom>
        <a:solidFill>
          <a:srgbClr val="005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Apply Size</a:t>
          </a:r>
          <a:r>
            <a:rPr lang="en-US" sz="1000" b="1" baseline="0"/>
            <a:t> Range Below</a:t>
          </a:r>
          <a:endParaRPr lang="en-US" sz="1000" b="1"/>
        </a:p>
      </xdr:txBody>
    </xdr:sp>
    <xdr:clientData/>
  </xdr:twoCellAnchor>
  <xdr:twoCellAnchor>
    <xdr:from>
      <xdr:col>57</xdr:col>
      <xdr:colOff>38100</xdr:colOff>
      <xdr:row>0</xdr:row>
      <xdr:rowOff>161925</xdr:rowOff>
    </xdr:from>
    <xdr:to>
      <xdr:col>59</xdr:col>
      <xdr:colOff>213796</xdr:colOff>
      <xdr:row>1</xdr:row>
      <xdr:rowOff>204087</xdr:rowOff>
    </xdr:to>
    <xdr:sp macro="" textlink="">
      <xdr:nvSpPr>
        <xdr:cNvPr id="33" name="TextBox 32">
          <a:extLst>
            <a:ext uri="{FF2B5EF4-FFF2-40B4-BE49-F238E27FC236}">
              <a16:creationId xmlns:a16="http://schemas.microsoft.com/office/drawing/2014/main" id="{2C97ECED-128D-44D8-B5EB-3B7AD39AD40D}"/>
            </a:ext>
          </a:extLst>
        </xdr:cNvPr>
        <xdr:cNvSpPr txBox="1"/>
      </xdr:nvSpPr>
      <xdr:spPr>
        <a:xfrm>
          <a:off x="28422600" y="161925"/>
          <a:ext cx="975796" cy="33743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900" b="1" i="1">
              <a:solidFill>
                <a:srgbClr val="ECECEC"/>
              </a:solidFill>
            </a:rPr>
            <a:t>Select from dropdown below:</a:t>
          </a:r>
        </a:p>
      </xdr:txBody>
    </xdr:sp>
    <xdr:clientData/>
  </xdr:twoCellAnchor>
  <xdr:twoCellAnchor>
    <xdr:from>
      <xdr:col>34</xdr:col>
      <xdr:colOff>342900</xdr:colOff>
      <xdr:row>1</xdr:row>
      <xdr:rowOff>47625</xdr:rowOff>
    </xdr:from>
    <xdr:to>
      <xdr:col>56</xdr:col>
      <xdr:colOff>123825</xdr:colOff>
      <xdr:row>4</xdr:row>
      <xdr:rowOff>323850</xdr:rowOff>
    </xdr:to>
    <xdr:sp macro="" textlink="">
      <xdr:nvSpPr>
        <xdr:cNvPr id="2274" name="Rectangle 2273">
          <a:extLst>
            <a:ext uri="{FF2B5EF4-FFF2-40B4-BE49-F238E27FC236}">
              <a16:creationId xmlns:a16="http://schemas.microsoft.com/office/drawing/2014/main" id="{00000000-0008-0000-0000-0000E2080000}"/>
            </a:ext>
          </a:extLst>
        </xdr:cNvPr>
        <xdr:cNvSpPr/>
      </xdr:nvSpPr>
      <xdr:spPr>
        <a:xfrm>
          <a:off x="18649950" y="342900"/>
          <a:ext cx="9039225" cy="1162050"/>
        </a:xfrm>
        <a:prstGeom prst="rect">
          <a:avLst/>
        </a:prstGeom>
        <a:solidFill>
          <a:srgbClr val="64646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342900</xdr:colOff>
      <xdr:row>0</xdr:row>
      <xdr:rowOff>171450</xdr:rowOff>
    </xdr:from>
    <xdr:to>
      <xdr:col>34</xdr:col>
      <xdr:colOff>80446</xdr:colOff>
      <xdr:row>1</xdr:row>
      <xdr:rowOff>213612</xdr:rowOff>
    </xdr:to>
    <xdr:sp macro="" textlink="">
      <xdr:nvSpPr>
        <xdr:cNvPr id="6" name="TextBox 5">
          <a:extLst>
            <a:ext uri="{FF2B5EF4-FFF2-40B4-BE49-F238E27FC236}">
              <a16:creationId xmlns:a16="http://schemas.microsoft.com/office/drawing/2014/main" id="{B5F770C3-9E37-4180-843D-FFCB9E5B4076}"/>
            </a:ext>
          </a:extLst>
        </xdr:cNvPr>
        <xdr:cNvSpPr txBox="1"/>
      </xdr:nvSpPr>
      <xdr:spPr>
        <a:xfrm>
          <a:off x="17811750" y="171450"/>
          <a:ext cx="975796" cy="33743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900" b="1" i="1">
              <a:solidFill>
                <a:srgbClr val="ECECEC"/>
              </a:solidFill>
            </a:rPr>
            <a:t>Select from dropdown below:</a:t>
          </a:r>
        </a:p>
      </xdr:txBody>
    </xdr:sp>
    <xdr:clientData/>
  </xdr:twoCellAnchor>
  <xdr:twoCellAnchor>
    <xdr:from>
      <xdr:col>27</xdr:col>
      <xdr:colOff>19049</xdr:colOff>
      <xdr:row>1</xdr:row>
      <xdr:rowOff>23812</xdr:rowOff>
    </xdr:from>
    <xdr:to>
      <xdr:col>56</xdr:col>
      <xdr:colOff>952</xdr:colOff>
      <xdr:row>4</xdr:row>
      <xdr:rowOff>299656</xdr:rowOff>
    </xdr:to>
    <xdr:grpSp>
      <xdr:nvGrpSpPr>
        <xdr:cNvPr id="35" name="Group 34">
          <a:extLst>
            <a:ext uri="{FF2B5EF4-FFF2-40B4-BE49-F238E27FC236}">
              <a16:creationId xmlns:a16="http://schemas.microsoft.com/office/drawing/2014/main" id="{1C45B85B-04E2-A8E4-0E1A-1C90634603DD}"/>
            </a:ext>
          </a:extLst>
        </xdr:cNvPr>
        <xdr:cNvGrpSpPr/>
      </xdr:nvGrpSpPr>
      <xdr:grpSpPr>
        <a:xfrm>
          <a:off x="15116174" y="319087"/>
          <a:ext cx="12288203" cy="1161669"/>
          <a:chOff x="15744824" y="319087"/>
          <a:chExt cx="12221528" cy="1161669"/>
        </a:xfrm>
      </xdr:grpSpPr>
      <xdr:sp macro="[0]!Sheet1.ResetFilterXDSA10Sort" textlink="">
        <xdr:nvSpPr>
          <xdr:cNvPr id="2293" name="Rectangle: Rounded Corners 2292">
            <a:extLst>
              <a:ext uri="{FF2B5EF4-FFF2-40B4-BE49-F238E27FC236}">
                <a16:creationId xmlns:a16="http://schemas.microsoft.com/office/drawing/2014/main" id="{862DF71E-9450-4021-9C25-F0868F2EF0DA}"/>
              </a:ext>
            </a:extLst>
          </xdr:cNvPr>
          <xdr:cNvSpPr/>
        </xdr:nvSpPr>
        <xdr:spPr>
          <a:xfrm>
            <a:off x="15744824" y="419099"/>
            <a:ext cx="609601" cy="60007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Clear All, Except Dec &amp; Size</a:t>
            </a:r>
          </a:p>
        </xdr:txBody>
      </xdr:sp>
      <xdr:sp macro="[0]!Sheet1.Galaxies_Click" textlink="">
        <xdr:nvSpPr>
          <xdr:cNvPr id="2278" name="Rectangle: Rounded Corners 2277">
            <a:extLst>
              <a:ext uri="{FF2B5EF4-FFF2-40B4-BE49-F238E27FC236}">
                <a16:creationId xmlns:a16="http://schemas.microsoft.com/office/drawing/2014/main" id="{00000000-0008-0000-0000-0000E6080000}"/>
              </a:ext>
            </a:extLst>
          </xdr:cNvPr>
          <xdr:cNvSpPr/>
        </xdr:nvSpPr>
        <xdr:spPr>
          <a:xfrm>
            <a:off x="19197637"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All Gal</a:t>
            </a:r>
          </a:p>
        </xdr:txBody>
      </xdr:sp>
      <xdr:sp macro="[0]!Sheet1.Clusters_Click" textlink="">
        <xdr:nvSpPr>
          <xdr:cNvPr id="2279" name="Rectangle: Rounded Corners 2278">
            <a:extLst>
              <a:ext uri="{FF2B5EF4-FFF2-40B4-BE49-F238E27FC236}">
                <a16:creationId xmlns:a16="http://schemas.microsoft.com/office/drawing/2014/main" id="{00000000-0008-0000-0000-0000E7080000}"/>
              </a:ext>
            </a:extLst>
          </xdr:cNvPr>
          <xdr:cNvSpPr/>
        </xdr:nvSpPr>
        <xdr:spPr>
          <a:xfrm>
            <a:off x="19197637"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Clusters</a:t>
            </a:r>
          </a:p>
        </xdr:txBody>
      </xdr:sp>
      <xdr:sp macro="[0]!Sheet1.Groups_Click" textlink="">
        <xdr:nvSpPr>
          <xdr:cNvPr id="2280" name="Rectangle: Rounded Corners 2279">
            <a:extLst>
              <a:ext uri="{FF2B5EF4-FFF2-40B4-BE49-F238E27FC236}">
                <a16:creationId xmlns:a16="http://schemas.microsoft.com/office/drawing/2014/main" id="{00000000-0008-0000-0000-0000E8080000}"/>
              </a:ext>
            </a:extLst>
          </xdr:cNvPr>
          <xdr:cNvSpPr/>
        </xdr:nvSpPr>
        <xdr:spPr>
          <a:xfrm>
            <a:off x="19197637" y="9318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Groups</a:t>
            </a:r>
          </a:p>
        </xdr:txBody>
      </xdr:sp>
      <xdr:sp macro="[0]!Sheet1.Chains_Click" textlink="">
        <xdr:nvSpPr>
          <xdr:cNvPr id="2283" name="Rectangle: Rounded Corners 2282">
            <a:extLst>
              <a:ext uri="{FF2B5EF4-FFF2-40B4-BE49-F238E27FC236}">
                <a16:creationId xmlns:a16="http://schemas.microsoft.com/office/drawing/2014/main" id="{00000000-0008-0000-0000-0000EB080000}"/>
              </a:ext>
            </a:extLst>
          </xdr:cNvPr>
          <xdr:cNvSpPr/>
        </xdr:nvSpPr>
        <xdr:spPr>
          <a:xfrm>
            <a:off x="19197637" y="1238250"/>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Chains</a:t>
            </a:r>
          </a:p>
        </xdr:txBody>
      </xdr:sp>
      <xdr:sp macro="[0]!Sheet1.Pairs_Click" textlink="">
        <xdr:nvSpPr>
          <xdr:cNvPr id="2284" name="Rectangle: Rounded Corners 2283">
            <a:extLst>
              <a:ext uri="{FF2B5EF4-FFF2-40B4-BE49-F238E27FC236}">
                <a16:creationId xmlns:a16="http://schemas.microsoft.com/office/drawing/2014/main" id="{00000000-0008-0000-0000-0000EC080000}"/>
              </a:ext>
            </a:extLst>
          </xdr:cNvPr>
          <xdr:cNvSpPr/>
        </xdr:nvSpPr>
        <xdr:spPr>
          <a:xfrm>
            <a:off x="20945475" y="9286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Pairs</a:t>
            </a:r>
          </a:p>
        </xdr:txBody>
      </xdr:sp>
      <xdr:sp macro="[0]!Sheet1.Trios_Click" textlink="">
        <xdr:nvSpPr>
          <xdr:cNvPr id="2285" name="Rectangle: Rounded Corners 2284">
            <a:extLst>
              <a:ext uri="{FF2B5EF4-FFF2-40B4-BE49-F238E27FC236}">
                <a16:creationId xmlns:a16="http://schemas.microsoft.com/office/drawing/2014/main" id="{00000000-0008-0000-0000-0000ED080000}"/>
              </a:ext>
            </a:extLst>
          </xdr:cNvPr>
          <xdr:cNvSpPr/>
        </xdr:nvSpPr>
        <xdr:spPr>
          <a:xfrm>
            <a:off x="20945475" y="12350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Trios</a:t>
            </a:r>
          </a:p>
        </xdr:txBody>
      </xdr:sp>
      <xdr:sp macro="[0]!Sheet1.PN_Click" textlink="">
        <xdr:nvSpPr>
          <xdr:cNvPr id="2334" name="Rectangle: Rounded Corners 2333">
            <a:extLst>
              <a:ext uri="{FF2B5EF4-FFF2-40B4-BE49-F238E27FC236}">
                <a16:creationId xmlns:a16="http://schemas.microsoft.com/office/drawing/2014/main" id="{00000000-0008-0000-0000-00001E090000}"/>
              </a:ext>
            </a:extLst>
          </xdr:cNvPr>
          <xdr:cNvSpPr/>
        </xdr:nvSpPr>
        <xdr:spPr>
          <a:xfrm>
            <a:off x="25960387" y="319087"/>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All PN</a:t>
            </a:r>
          </a:p>
        </xdr:txBody>
      </xdr:sp>
      <xdr:sp macro="[0]!Sheet1.Ancient_Click" textlink="">
        <xdr:nvSpPr>
          <xdr:cNvPr id="2335" name="Rectangle: Rounded Corners 2334">
            <a:extLst>
              <a:ext uri="{FF2B5EF4-FFF2-40B4-BE49-F238E27FC236}">
                <a16:creationId xmlns:a16="http://schemas.microsoft.com/office/drawing/2014/main" id="{00000000-0008-0000-0000-00001F090000}"/>
              </a:ext>
            </a:extLst>
          </xdr:cNvPr>
          <xdr:cNvSpPr/>
        </xdr:nvSpPr>
        <xdr:spPr>
          <a:xfrm>
            <a:off x="25960387" y="625475"/>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Ancient</a:t>
            </a:r>
          </a:p>
        </xdr:txBody>
      </xdr:sp>
      <xdr:sp macro="[0]!Sheet1.Spherical_Click" textlink="">
        <xdr:nvSpPr>
          <xdr:cNvPr id="372672" name="Rectangle: Rounded Corners 372671">
            <a:extLst>
              <a:ext uri="{FF2B5EF4-FFF2-40B4-BE49-F238E27FC236}">
                <a16:creationId xmlns:a16="http://schemas.microsoft.com/office/drawing/2014/main" id="{00000000-0008-0000-0000-0000C0AF0500}"/>
              </a:ext>
            </a:extLst>
          </xdr:cNvPr>
          <xdr:cNvSpPr/>
        </xdr:nvSpPr>
        <xdr:spPr>
          <a:xfrm>
            <a:off x="25960387" y="931863"/>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Spherical</a:t>
            </a:r>
          </a:p>
        </xdr:txBody>
      </xdr:sp>
      <xdr:sp macro="[0]!Sheet1.Elliptical_Click" textlink="">
        <xdr:nvSpPr>
          <xdr:cNvPr id="372673" name="Rectangle: Rounded Corners 372672">
            <a:extLst>
              <a:ext uri="{FF2B5EF4-FFF2-40B4-BE49-F238E27FC236}">
                <a16:creationId xmlns:a16="http://schemas.microsoft.com/office/drawing/2014/main" id="{00000000-0008-0000-0000-0000C1AF0500}"/>
              </a:ext>
            </a:extLst>
          </xdr:cNvPr>
          <xdr:cNvSpPr/>
        </xdr:nvSpPr>
        <xdr:spPr>
          <a:xfrm>
            <a:off x="25960387" y="1238250"/>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Elliptical</a:t>
            </a:r>
          </a:p>
        </xdr:txBody>
      </xdr:sp>
      <xdr:sp macro="[0]!Sheet1.Bipolar_Click" textlink="">
        <xdr:nvSpPr>
          <xdr:cNvPr id="372674" name="Rectangle: Rounded Corners 372673">
            <a:extLst>
              <a:ext uri="{FF2B5EF4-FFF2-40B4-BE49-F238E27FC236}">
                <a16:creationId xmlns:a16="http://schemas.microsoft.com/office/drawing/2014/main" id="{00000000-0008-0000-0000-0000C2AF0500}"/>
              </a:ext>
            </a:extLst>
          </xdr:cNvPr>
          <xdr:cNvSpPr/>
        </xdr:nvSpPr>
        <xdr:spPr>
          <a:xfrm>
            <a:off x="26555700" y="319087"/>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Bipolar</a:t>
            </a:r>
          </a:p>
        </xdr:txBody>
      </xdr:sp>
      <xdr:sp macro="[0]!Sheet1.Multipolar_Click" textlink="">
        <xdr:nvSpPr>
          <xdr:cNvPr id="372676" name="Rectangle: Rounded Corners 372675">
            <a:extLst>
              <a:ext uri="{FF2B5EF4-FFF2-40B4-BE49-F238E27FC236}">
                <a16:creationId xmlns:a16="http://schemas.microsoft.com/office/drawing/2014/main" id="{00000000-0008-0000-0000-0000C4AF0500}"/>
              </a:ext>
            </a:extLst>
          </xdr:cNvPr>
          <xdr:cNvSpPr/>
        </xdr:nvSpPr>
        <xdr:spPr>
          <a:xfrm>
            <a:off x="26555700" y="625475"/>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Multipolar</a:t>
            </a:r>
          </a:p>
        </xdr:txBody>
      </xdr:sp>
      <xdr:sp macro="[0]!Sheet1.Peculiar_Click" textlink="">
        <xdr:nvSpPr>
          <xdr:cNvPr id="372677" name="Rectangle: Rounded Corners 372676">
            <a:extLst>
              <a:ext uri="{FF2B5EF4-FFF2-40B4-BE49-F238E27FC236}">
                <a16:creationId xmlns:a16="http://schemas.microsoft.com/office/drawing/2014/main" id="{00000000-0008-0000-0000-0000C5AF0500}"/>
              </a:ext>
            </a:extLst>
          </xdr:cNvPr>
          <xdr:cNvSpPr/>
        </xdr:nvSpPr>
        <xdr:spPr>
          <a:xfrm>
            <a:off x="26555700" y="931863"/>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Peculiar</a:t>
            </a:r>
          </a:p>
        </xdr:txBody>
      </xdr:sp>
      <xdr:sp macro="[0]!Sheet1.PPN_Click" textlink="">
        <xdr:nvSpPr>
          <xdr:cNvPr id="372678" name="Rectangle: Rounded Corners 372677">
            <a:extLst>
              <a:ext uri="{FF2B5EF4-FFF2-40B4-BE49-F238E27FC236}">
                <a16:creationId xmlns:a16="http://schemas.microsoft.com/office/drawing/2014/main" id="{00000000-0008-0000-0000-0000C6AF0500}"/>
              </a:ext>
            </a:extLst>
          </xdr:cNvPr>
          <xdr:cNvSpPr/>
        </xdr:nvSpPr>
        <xdr:spPr>
          <a:xfrm>
            <a:off x="26555700" y="1238250"/>
            <a:ext cx="548640" cy="237744"/>
          </a:xfrm>
          <a:prstGeom prst="roundRect">
            <a:avLst/>
          </a:prstGeom>
          <a:solidFill>
            <a:srgbClr val="7A51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PPN</a:t>
            </a:r>
          </a:p>
        </xdr:txBody>
      </xdr:sp>
      <xdr:sp macro="[0]!Sheet1.GlobCLusters_Click" textlink="">
        <xdr:nvSpPr>
          <xdr:cNvPr id="372690" name="Rectangle: Rounded Corners 372689">
            <a:extLst>
              <a:ext uri="{FF2B5EF4-FFF2-40B4-BE49-F238E27FC236}">
                <a16:creationId xmlns:a16="http://schemas.microsoft.com/office/drawing/2014/main" id="{00000000-0008-0000-0000-0000D2AF0500}"/>
              </a:ext>
            </a:extLst>
          </xdr:cNvPr>
          <xdr:cNvSpPr/>
        </xdr:nvSpPr>
        <xdr:spPr>
          <a:xfrm>
            <a:off x="27417712" y="319087"/>
            <a:ext cx="548640" cy="237744"/>
          </a:xfrm>
          <a:prstGeom prst="roundRect">
            <a:avLst/>
          </a:prstGeom>
          <a:solidFill>
            <a:srgbClr val="461B0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Glob Clus</a:t>
            </a:r>
          </a:p>
        </xdr:txBody>
      </xdr:sp>
      <xdr:sp macro="[0]!Sheet1.OpenCLusters_Click" textlink="">
        <xdr:nvSpPr>
          <xdr:cNvPr id="372691" name="Rectangle: Rounded Corners 372690">
            <a:extLst>
              <a:ext uri="{FF2B5EF4-FFF2-40B4-BE49-F238E27FC236}">
                <a16:creationId xmlns:a16="http://schemas.microsoft.com/office/drawing/2014/main" id="{00000000-0008-0000-0000-0000D3AF0500}"/>
              </a:ext>
            </a:extLst>
          </xdr:cNvPr>
          <xdr:cNvSpPr/>
        </xdr:nvSpPr>
        <xdr:spPr>
          <a:xfrm>
            <a:off x="27417712" y="625475"/>
            <a:ext cx="548640" cy="237744"/>
          </a:xfrm>
          <a:prstGeom prst="roundRect">
            <a:avLst/>
          </a:prstGeom>
          <a:solidFill>
            <a:srgbClr val="461B0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Open Clus</a:t>
            </a:r>
          </a:p>
        </xdr:txBody>
      </xdr:sp>
      <xdr:sp macro="[0]!Sheet1.Asterisms_Click" textlink="">
        <xdr:nvSpPr>
          <xdr:cNvPr id="372692" name="Rectangle: Rounded Corners 372691">
            <a:extLst>
              <a:ext uri="{FF2B5EF4-FFF2-40B4-BE49-F238E27FC236}">
                <a16:creationId xmlns:a16="http://schemas.microsoft.com/office/drawing/2014/main" id="{00000000-0008-0000-0000-0000D4AF0500}"/>
              </a:ext>
            </a:extLst>
          </xdr:cNvPr>
          <xdr:cNvSpPr/>
        </xdr:nvSpPr>
        <xdr:spPr>
          <a:xfrm>
            <a:off x="27417712" y="931863"/>
            <a:ext cx="548640" cy="237744"/>
          </a:xfrm>
          <a:prstGeom prst="roundRect">
            <a:avLst/>
          </a:prstGeom>
          <a:solidFill>
            <a:srgbClr val="461B0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Asterisms</a:t>
            </a:r>
          </a:p>
        </xdr:txBody>
      </xdr:sp>
      <xdr:sp macro="[0]!Sheet1.YSO_Click" textlink="">
        <xdr:nvSpPr>
          <xdr:cNvPr id="372693" name="Rectangle: Rounded Corners 372692">
            <a:extLst>
              <a:ext uri="{FF2B5EF4-FFF2-40B4-BE49-F238E27FC236}">
                <a16:creationId xmlns:a16="http://schemas.microsoft.com/office/drawing/2014/main" id="{00000000-0008-0000-0000-0000D5AF0500}"/>
              </a:ext>
            </a:extLst>
          </xdr:cNvPr>
          <xdr:cNvSpPr/>
        </xdr:nvSpPr>
        <xdr:spPr>
          <a:xfrm>
            <a:off x="27417712" y="1238250"/>
            <a:ext cx="548640" cy="237744"/>
          </a:xfrm>
          <a:prstGeom prst="roundRect">
            <a:avLst/>
          </a:prstGeom>
          <a:solidFill>
            <a:srgbClr val="461B0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YSO</a:t>
            </a:r>
          </a:p>
        </xdr:txBody>
      </xdr:sp>
      <xdr:sp macro="[0]!Sheet1.Top2Percent_Click" textlink="">
        <xdr:nvSpPr>
          <xdr:cNvPr id="372694" name="Rectangle: Rounded Corners 372693">
            <a:extLst>
              <a:ext uri="{FF2B5EF4-FFF2-40B4-BE49-F238E27FC236}">
                <a16:creationId xmlns:a16="http://schemas.microsoft.com/office/drawing/2014/main" id="{00000000-0008-0000-0000-0000D6AF0500}"/>
              </a:ext>
            </a:extLst>
          </xdr:cNvPr>
          <xdr:cNvSpPr/>
        </xdr:nvSpPr>
        <xdr:spPr>
          <a:xfrm>
            <a:off x="16830675" y="319087"/>
            <a:ext cx="548640" cy="237744"/>
          </a:xfrm>
          <a:prstGeom prst="roundRect">
            <a:avLst/>
          </a:prstGeom>
          <a:solidFill>
            <a:srgbClr val="86002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Top 2%</a:t>
            </a:r>
          </a:p>
        </xdr:txBody>
      </xdr:sp>
      <xdr:sp macro="[0]!Sheet1.Top10Percent_Click" textlink="">
        <xdr:nvSpPr>
          <xdr:cNvPr id="372695" name="Rectangle: Rounded Corners 372694">
            <a:extLst>
              <a:ext uri="{FF2B5EF4-FFF2-40B4-BE49-F238E27FC236}">
                <a16:creationId xmlns:a16="http://schemas.microsoft.com/office/drawing/2014/main" id="{00000000-0008-0000-0000-0000D7AF0500}"/>
              </a:ext>
            </a:extLst>
          </xdr:cNvPr>
          <xdr:cNvSpPr/>
        </xdr:nvSpPr>
        <xdr:spPr>
          <a:xfrm>
            <a:off x="16830675" y="625475"/>
            <a:ext cx="548640" cy="237744"/>
          </a:xfrm>
          <a:prstGeom prst="roundRect">
            <a:avLst/>
          </a:prstGeom>
          <a:solidFill>
            <a:srgbClr val="86002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Top 10%</a:t>
            </a:r>
          </a:p>
        </xdr:txBody>
      </xdr:sp>
      <xdr:sp macro="[0]!Sheet1.Top25Percent_Click" textlink="">
        <xdr:nvSpPr>
          <xdr:cNvPr id="372696" name="Rectangle: Rounded Corners 372695">
            <a:extLst>
              <a:ext uri="{FF2B5EF4-FFF2-40B4-BE49-F238E27FC236}">
                <a16:creationId xmlns:a16="http://schemas.microsoft.com/office/drawing/2014/main" id="{00000000-0008-0000-0000-0000D8AF0500}"/>
              </a:ext>
            </a:extLst>
          </xdr:cNvPr>
          <xdr:cNvSpPr/>
        </xdr:nvSpPr>
        <xdr:spPr>
          <a:xfrm>
            <a:off x="16830675" y="931863"/>
            <a:ext cx="548640" cy="237744"/>
          </a:xfrm>
          <a:prstGeom prst="roundRect">
            <a:avLst/>
          </a:prstGeom>
          <a:solidFill>
            <a:srgbClr val="86002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Top 25%</a:t>
            </a:r>
          </a:p>
        </xdr:txBody>
      </xdr:sp>
      <xdr:sp macro="[0]!Sheet1.AllNebula_Click" textlink="">
        <xdr:nvSpPr>
          <xdr:cNvPr id="2324" name="Rectangle: Rounded Corners 2323">
            <a:extLst>
              <a:ext uri="{FF2B5EF4-FFF2-40B4-BE49-F238E27FC236}">
                <a16:creationId xmlns:a16="http://schemas.microsoft.com/office/drawing/2014/main" id="{00000000-0008-0000-0000-000014090000}"/>
              </a:ext>
            </a:extLst>
          </xdr:cNvPr>
          <xdr:cNvSpPr/>
        </xdr:nvSpPr>
        <xdr:spPr>
          <a:xfrm>
            <a:off x="24512587" y="319087"/>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All Neb</a:t>
            </a:r>
          </a:p>
        </xdr:txBody>
      </xdr:sp>
      <xdr:sp macro="[0]!Sheet1.SHO_Click" textlink="">
        <xdr:nvSpPr>
          <xdr:cNvPr id="2325" name="Rectangle: Rounded Corners 2324">
            <a:extLst>
              <a:ext uri="{FF2B5EF4-FFF2-40B4-BE49-F238E27FC236}">
                <a16:creationId xmlns:a16="http://schemas.microsoft.com/office/drawing/2014/main" id="{00000000-0008-0000-0000-000015090000}"/>
              </a:ext>
            </a:extLst>
          </xdr:cNvPr>
          <xdr:cNvSpPr/>
        </xdr:nvSpPr>
        <xdr:spPr>
          <a:xfrm>
            <a:off x="24512587" y="625475"/>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SHO</a:t>
            </a:r>
          </a:p>
        </xdr:txBody>
      </xdr:sp>
      <xdr:sp macro="[0]!Sheet1.HII_Click" textlink="">
        <xdr:nvSpPr>
          <xdr:cNvPr id="2326" name="Rectangle: Rounded Corners 2325">
            <a:extLst>
              <a:ext uri="{FF2B5EF4-FFF2-40B4-BE49-F238E27FC236}">
                <a16:creationId xmlns:a16="http://schemas.microsoft.com/office/drawing/2014/main" id="{00000000-0008-0000-0000-000016090000}"/>
              </a:ext>
            </a:extLst>
          </xdr:cNvPr>
          <xdr:cNvSpPr/>
        </xdr:nvSpPr>
        <xdr:spPr>
          <a:xfrm>
            <a:off x="24512587" y="931863"/>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HII</a:t>
            </a:r>
          </a:p>
        </xdr:txBody>
      </xdr:sp>
      <xdr:sp macro="[0]!Sheet1.Dark_Click" textlink="">
        <xdr:nvSpPr>
          <xdr:cNvPr id="2327" name="Rectangle: Rounded Corners 2326">
            <a:extLst>
              <a:ext uri="{FF2B5EF4-FFF2-40B4-BE49-F238E27FC236}">
                <a16:creationId xmlns:a16="http://schemas.microsoft.com/office/drawing/2014/main" id="{00000000-0008-0000-0000-000017090000}"/>
              </a:ext>
            </a:extLst>
          </xdr:cNvPr>
          <xdr:cNvSpPr/>
        </xdr:nvSpPr>
        <xdr:spPr>
          <a:xfrm>
            <a:off x="24512587" y="1238250"/>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Dark</a:t>
            </a:r>
          </a:p>
        </xdr:txBody>
      </xdr:sp>
      <xdr:sp macro="[0]!Sheet1.SNR_Click" textlink="">
        <xdr:nvSpPr>
          <xdr:cNvPr id="2328" name="Rectangle: Rounded Corners 2327">
            <a:extLst>
              <a:ext uri="{FF2B5EF4-FFF2-40B4-BE49-F238E27FC236}">
                <a16:creationId xmlns:a16="http://schemas.microsoft.com/office/drawing/2014/main" id="{00000000-0008-0000-0000-000018090000}"/>
              </a:ext>
            </a:extLst>
          </xdr:cNvPr>
          <xdr:cNvSpPr/>
        </xdr:nvSpPr>
        <xdr:spPr>
          <a:xfrm>
            <a:off x="25107900" y="319087"/>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SNR</a:t>
            </a:r>
          </a:p>
        </xdr:txBody>
      </xdr:sp>
      <xdr:sp macro="[0]!Sheet1.WolfRayet_Click" textlink="">
        <xdr:nvSpPr>
          <xdr:cNvPr id="2330" name="Rectangle: Rounded Corners 2329">
            <a:extLst>
              <a:ext uri="{FF2B5EF4-FFF2-40B4-BE49-F238E27FC236}">
                <a16:creationId xmlns:a16="http://schemas.microsoft.com/office/drawing/2014/main" id="{00000000-0008-0000-0000-00001A090000}"/>
              </a:ext>
            </a:extLst>
          </xdr:cNvPr>
          <xdr:cNvSpPr/>
        </xdr:nvSpPr>
        <xdr:spPr>
          <a:xfrm>
            <a:off x="25107900" y="625475"/>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WR</a:t>
            </a:r>
          </a:p>
        </xdr:txBody>
      </xdr:sp>
      <xdr:sp macro="[0]!Sheet1.Reflection_Click" textlink="">
        <xdr:nvSpPr>
          <xdr:cNvPr id="2331" name="Rectangle: Rounded Corners 2330">
            <a:extLst>
              <a:ext uri="{FF2B5EF4-FFF2-40B4-BE49-F238E27FC236}">
                <a16:creationId xmlns:a16="http://schemas.microsoft.com/office/drawing/2014/main" id="{00000000-0008-0000-0000-00001B090000}"/>
              </a:ext>
            </a:extLst>
          </xdr:cNvPr>
          <xdr:cNvSpPr/>
        </xdr:nvSpPr>
        <xdr:spPr>
          <a:xfrm>
            <a:off x="25107900" y="931863"/>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Reflection</a:t>
            </a:r>
          </a:p>
        </xdr:txBody>
      </xdr:sp>
      <xdr:sp macro="[0]!Sheet1.MolecularCloud_Click" textlink="">
        <xdr:nvSpPr>
          <xdr:cNvPr id="2332" name="Rectangle: Rounded Corners 2331">
            <a:extLst>
              <a:ext uri="{FF2B5EF4-FFF2-40B4-BE49-F238E27FC236}">
                <a16:creationId xmlns:a16="http://schemas.microsoft.com/office/drawing/2014/main" id="{00000000-0008-0000-0000-00001C090000}"/>
              </a:ext>
            </a:extLst>
          </xdr:cNvPr>
          <xdr:cNvSpPr/>
        </xdr:nvSpPr>
        <xdr:spPr>
          <a:xfrm>
            <a:off x="25107900" y="1238250"/>
            <a:ext cx="548640" cy="237744"/>
          </a:xfrm>
          <a:prstGeom prst="round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Mol</a:t>
            </a:r>
            <a:r>
              <a:rPr lang="en-US" sz="900" b="1" baseline="0"/>
              <a:t> Cloud</a:t>
            </a:r>
            <a:endParaRPr lang="en-US" sz="900" b="1"/>
          </a:p>
        </xdr:txBody>
      </xdr:sp>
      <xdr:sp macro="[0]!Sheet1.Spiral_Click" textlink="">
        <xdr:nvSpPr>
          <xdr:cNvPr id="331776" name="Rectangle: Rounded Corners 331775">
            <a:extLst>
              <a:ext uri="{FF2B5EF4-FFF2-40B4-BE49-F238E27FC236}">
                <a16:creationId xmlns:a16="http://schemas.microsoft.com/office/drawing/2014/main" id="{00000000-0008-0000-0000-000000100500}"/>
              </a:ext>
            </a:extLst>
          </xdr:cNvPr>
          <xdr:cNvSpPr/>
        </xdr:nvSpPr>
        <xdr:spPr>
          <a:xfrm>
            <a:off x="19778662"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Spiral</a:t>
            </a:r>
          </a:p>
        </xdr:txBody>
      </xdr:sp>
      <xdr:sp macro="[0]!Sheet1.Elliptical_Click" textlink="">
        <xdr:nvSpPr>
          <xdr:cNvPr id="331777" name="Rectangle: Rounded Corners 331776">
            <a:extLst>
              <a:ext uri="{FF2B5EF4-FFF2-40B4-BE49-F238E27FC236}">
                <a16:creationId xmlns:a16="http://schemas.microsoft.com/office/drawing/2014/main" id="{00000000-0008-0000-0000-000001100500}"/>
              </a:ext>
            </a:extLst>
          </xdr:cNvPr>
          <xdr:cNvSpPr/>
        </xdr:nvSpPr>
        <xdr:spPr>
          <a:xfrm>
            <a:off x="19778662"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Ellip.</a:t>
            </a:r>
          </a:p>
        </xdr:txBody>
      </xdr:sp>
      <xdr:sp macro="[0]!Sheet1.Lenticular_Click" textlink="">
        <xdr:nvSpPr>
          <xdr:cNvPr id="331778" name="Rectangle: Rounded Corners 331777">
            <a:extLst>
              <a:ext uri="{FF2B5EF4-FFF2-40B4-BE49-F238E27FC236}">
                <a16:creationId xmlns:a16="http://schemas.microsoft.com/office/drawing/2014/main" id="{00000000-0008-0000-0000-000002100500}"/>
              </a:ext>
            </a:extLst>
          </xdr:cNvPr>
          <xdr:cNvSpPr/>
        </xdr:nvSpPr>
        <xdr:spPr>
          <a:xfrm>
            <a:off x="19778662" y="9318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Lent.</a:t>
            </a:r>
          </a:p>
        </xdr:txBody>
      </xdr:sp>
      <xdr:sp macro="[0]!Sheet1.Flocculent_Click" textlink="">
        <xdr:nvSpPr>
          <xdr:cNvPr id="331779" name="Rectangle: Rounded Corners 331778">
            <a:extLst>
              <a:ext uri="{FF2B5EF4-FFF2-40B4-BE49-F238E27FC236}">
                <a16:creationId xmlns:a16="http://schemas.microsoft.com/office/drawing/2014/main" id="{00000000-0008-0000-0000-000003100500}"/>
              </a:ext>
            </a:extLst>
          </xdr:cNvPr>
          <xdr:cNvSpPr/>
        </xdr:nvSpPr>
        <xdr:spPr>
          <a:xfrm>
            <a:off x="19778662" y="1238250"/>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Floc.</a:t>
            </a:r>
          </a:p>
        </xdr:txBody>
      </xdr:sp>
      <xdr:sp macro="[0]!Sheet1.Barred_Click" textlink="">
        <xdr:nvSpPr>
          <xdr:cNvPr id="331784" name="Rectangle: Rounded Corners 331783">
            <a:extLst>
              <a:ext uri="{FF2B5EF4-FFF2-40B4-BE49-F238E27FC236}">
                <a16:creationId xmlns:a16="http://schemas.microsoft.com/office/drawing/2014/main" id="{00000000-0008-0000-0000-000008100500}"/>
              </a:ext>
            </a:extLst>
          </xdr:cNvPr>
          <xdr:cNvSpPr/>
        </xdr:nvSpPr>
        <xdr:spPr>
          <a:xfrm>
            <a:off x="20359687"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Barred</a:t>
            </a:r>
          </a:p>
        </xdr:txBody>
      </xdr:sp>
      <xdr:sp macro="[0]!Sheet1.Faceon_Click" textlink="">
        <xdr:nvSpPr>
          <xdr:cNvPr id="331785" name="Rectangle: Rounded Corners 331784">
            <a:extLst>
              <a:ext uri="{FF2B5EF4-FFF2-40B4-BE49-F238E27FC236}">
                <a16:creationId xmlns:a16="http://schemas.microsoft.com/office/drawing/2014/main" id="{00000000-0008-0000-0000-000009100500}"/>
              </a:ext>
            </a:extLst>
          </xdr:cNvPr>
          <xdr:cNvSpPr/>
        </xdr:nvSpPr>
        <xdr:spPr>
          <a:xfrm>
            <a:off x="20359687"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Face-On</a:t>
            </a:r>
          </a:p>
        </xdr:txBody>
      </xdr:sp>
      <xdr:sp macro="[0]!Sheet1.GrandDesign_Click" textlink="">
        <xdr:nvSpPr>
          <xdr:cNvPr id="331786" name="Rectangle: Rounded Corners 331785">
            <a:extLst>
              <a:ext uri="{FF2B5EF4-FFF2-40B4-BE49-F238E27FC236}">
                <a16:creationId xmlns:a16="http://schemas.microsoft.com/office/drawing/2014/main" id="{00000000-0008-0000-0000-00000A100500}"/>
              </a:ext>
            </a:extLst>
          </xdr:cNvPr>
          <xdr:cNvSpPr/>
        </xdr:nvSpPr>
        <xdr:spPr>
          <a:xfrm>
            <a:off x="20359687" y="9318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Grand</a:t>
            </a:r>
          </a:p>
        </xdr:txBody>
      </xdr:sp>
      <xdr:sp macro="[0]!Sheet1.VVRows_Click" textlink="">
        <xdr:nvSpPr>
          <xdr:cNvPr id="331787" name="Rectangle: Rounded Corners 331786">
            <a:extLst>
              <a:ext uri="{FF2B5EF4-FFF2-40B4-BE49-F238E27FC236}">
                <a16:creationId xmlns:a16="http://schemas.microsoft.com/office/drawing/2014/main" id="{00000000-0008-0000-0000-00000B100500}"/>
              </a:ext>
            </a:extLst>
          </xdr:cNvPr>
          <xdr:cNvSpPr/>
        </xdr:nvSpPr>
        <xdr:spPr>
          <a:xfrm>
            <a:off x="20359687" y="1238250"/>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VV Row</a:t>
            </a:r>
          </a:p>
        </xdr:txBody>
      </xdr:sp>
      <xdr:sp macro="[0]!Sheet1.EdgeOn_Click" textlink="">
        <xdr:nvSpPr>
          <xdr:cNvPr id="331788" name="Rectangle: Rounded Corners 331787">
            <a:extLst>
              <a:ext uri="{FF2B5EF4-FFF2-40B4-BE49-F238E27FC236}">
                <a16:creationId xmlns:a16="http://schemas.microsoft.com/office/drawing/2014/main" id="{00000000-0008-0000-0000-00000C100500}"/>
              </a:ext>
            </a:extLst>
          </xdr:cNvPr>
          <xdr:cNvSpPr/>
        </xdr:nvSpPr>
        <xdr:spPr>
          <a:xfrm>
            <a:off x="20945475"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Edge-On</a:t>
            </a:r>
          </a:p>
        </xdr:txBody>
      </xdr:sp>
      <xdr:sp macro="[0]!Sheet1.Superthin_Click" textlink="">
        <xdr:nvSpPr>
          <xdr:cNvPr id="331789" name="Rectangle: Rounded Corners 331788">
            <a:extLst>
              <a:ext uri="{FF2B5EF4-FFF2-40B4-BE49-F238E27FC236}">
                <a16:creationId xmlns:a16="http://schemas.microsoft.com/office/drawing/2014/main" id="{00000000-0008-0000-0000-00000D100500}"/>
              </a:ext>
            </a:extLst>
          </xdr:cNvPr>
          <xdr:cNvSpPr/>
        </xdr:nvSpPr>
        <xdr:spPr>
          <a:xfrm>
            <a:off x="20945475"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Superthin</a:t>
            </a:r>
          </a:p>
        </xdr:txBody>
      </xdr:sp>
      <xdr:sp macro="[0]!Sheet1.Collisional_Click" textlink="">
        <xdr:nvSpPr>
          <xdr:cNvPr id="331793" name="Rectangle: Rounded Corners 331792">
            <a:extLst>
              <a:ext uri="{FF2B5EF4-FFF2-40B4-BE49-F238E27FC236}">
                <a16:creationId xmlns:a16="http://schemas.microsoft.com/office/drawing/2014/main" id="{00000000-0008-0000-0000-000011100500}"/>
              </a:ext>
            </a:extLst>
          </xdr:cNvPr>
          <xdr:cNvSpPr/>
        </xdr:nvSpPr>
        <xdr:spPr>
          <a:xfrm>
            <a:off x="21702712"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Collisional</a:t>
            </a:r>
          </a:p>
        </xdr:txBody>
      </xdr:sp>
      <xdr:sp macro="[0]!Sheet1.PolarRing_Click" textlink="">
        <xdr:nvSpPr>
          <xdr:cNvPr id="331794" name="Rectangle: Rounded Corners 331793">
            <a:extLst>
              <a:ext uri="{FF2B5EF4-FFF2-40B4-BE49-F238E27FC236}">
                <a16:creationId xmlns:a16="http://schemas.microsoft.com/office/drawing/2014/main" id="{00000000-0008-0000-0000-000012100500}"/>
              </a:ext>
            </a:extLst>
          </xdr:cNvPr>
          <xdr:cNvSpPr/>
        </xdr:nvSpPr>
        <xdr:spPr>
          <a:xfrm>
            <a:off x="21702712"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Polar</a:t>
            </a:r>
          </a:p>
        </xdr:txBody>
      </xdr:sp>
      <xdr:sp macro="[0]!Sheet1.Concentric_Click" textlink="">
        <xdr:nvSpPr>
          <xdr:cNvPr id="331795" name="Rectangle: Rounded Corners 331794">
            <a:extLst>
              <a:ext uri="{FF2B5EF4-FFF2-40B4-BE49-F238E27FC236}">
                <a16:creationId xmlns:a16="http://schemas.microsoft.com/office/drawing/2014/main" id="{00000000-0008-0000-0000-000013100500}"/>
              </a:ext>
            </a:extLst>
          </xdr:cNvPr>
          <xdr:cNvSpPr/>
        </xdr:nvSpPr>
        <xdr:spPr>
          <a:xfrm>
            <a:off x="21702712" y="9318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Concentric</a:t>
            </a:r>
          </a:p>
        </xdr:txBody>
      </xdr:sp>
      <xdr:sp macro="[0]!Sheet1.NuclearRing_Click" textlink="">
        <xdr:nvSpPr>
          <xdr:cNvPr id="331797" name="Rectangle: Rounded Corners 331796">
            <a:extLst>
              <a:ext uri="{FF2B5EF4-FFF2-40B4-BE49-F238E27FC236}">
                <a16:creationId xmlns:a16="http://schemas.microsoft.com/office/drawing/2014/main" id="{00000000-0008-0000-0000-000015100500}"/>
              </a:ext>
            </a:extLst>
          </xdr:cNvPr>
          <xdr:cNvSpPr/>
        </xdr:nvSpPr>
        <xdr:spPr>
          <a:xfrm>
            <a:off x="22298025" y="319087"/>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Nuclear</a:t>
            </a:r>
          </a:p>
        </xdr:txBody>
      </xdr:sp>
      <xdr:sp macro="[0]!Sheet1.InnerRing_Click" textlink="">
        <xdr:nvSpPr>
          <xdr:cNvPr id="331798" name="Rectangle: Rounded Corners 331797">
            <a:extLst>
              <a:ext uri="{FF2B5EF4-FFF2-40B4-BE49-F238E27FC236}">
                <a16:creationId xmlns:a16="http://schemas.microsoft.com/office/drawing/2014/main" id="{00000000-0008-0000-0000-000016100500}"/>
              </a:ext>
            </a:extLst>
          </xdr:cNvPr>
          <xdr:cNvSpPr/>
        </xdr:nvSpPr>
        <xdr:spPr>
          <a:xfrm>
            <a:off x="22298025"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Inner</a:t>
            </a:r>
          </a:p>
        </xdr:txBody>
      </xdr:sp>
      <xdr:sp macro="[0]!Sheet1.OuterRing_Click" textlink="">
        <xdr:nvSpPr>
          <xdr:cNvPr id="331799" name="Rectangle: Rounded Corners 331798">
            <a:extLst>
              <a:ext uri="{FF2B5EF4-FFF2-40B4-BE49-F238E27FC236}">
                <a16:creationId xmlns:a16="http://schemas.microsoft.com/office/drawing/2014/main" id="{00000000-0008-0000-0000-000017100500}"/>
              </a:ext>
            </a:extLst>
          </xdr:cNvPr>
          <xdr:cNvSpPr/>
        </xdr:nvSpPr>
        <xdr:spPr>
          <a:xfrm>
            <a:off x="22298025" y="9318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Outer</a:t>
            </a:r>
          </a:p>
        </xdr:txBody>
      </xdr:sp>
      <xdr:sp macro="[0]!Sheet1.Loops_Click" textlink="">
        <xdr:nvSpPr>
          <xdr:cNvPr id="331801" name="Rectangle: Rounded Corners 331800">
            <a:extLst>
              <a:ext uri="{FF2B5EF4-FFF2-40B4-BE49-F238E27FC236}">
                <a16:creationId xmlns:a16="http://schemas.microsoft.com/office/drawing/2014/main" id="{00000000-0008-0000-0000-000019100500}"/>
              </a:ext>
            </a:extLst>
          </xdr:cNvPr>
          <xdr:cNvSpPr/>
        </xdr:nvSpPr>
        <xdr:spPr>
          <a:xfrm>
            <a:off x="21702712" y="1243012"/>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Loops</a:t>
            </a:r>
          </a:p>
        </xdr:txBody>
      </xdr:sp>
      <xdr:sp macro="[0]!Sheet1.Shells_Click" textlink="">
        <xdr:nvSpPr>
          <xdr:cNvPr id="331802" name="Rectangle: Rounded Corners 331801">
            <a:extLst>
              <a:ext uri="{FF2B5EF4-FFF2-40B4-BE49-F238E27FC236}">
                <a16:creationId xmlns:a16="http://schemas.microsoft.com/office/drawing/2014/main" id="{00000000-0008-0000-0000-00001A100500}"/>
              </a:ext>
            </a:extLst>
          </xdr:cNvPr>
          <xdr:cNvSpPr/>
        </xdr:nvSpPr>
        <xdr:spPr>
          <a:xfrm>
            <a:off x="22293262" y="12350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Shells</a:t>
            </a:r>
          </a:p>
        </xdr:txBody>
      </xdr:sp>
      <xdr:sp macro="[0]!Sheet1.ShortBridge_Click" textlink="">
        <xdr:nvSpPr>
          <xdr:cNvPr id="331803" name="Rectangle: Rounded Corners 331802">
            <a:extLst>
              <a:ext uri="{FF2B5EF4-FFF2-40B4-BE49-F238E27FC236}">
                <a16:creationId xmlns:a16="http://schemas.microsoft.com/office/drawing/2014/main" id="{00000000-0008-0000-0000-00001B100500}"/>
              </a:ext>
            </a:extLst>
          </xdr:cNvPr>
          <xdr:cNvSpPr/>
        </xdr:nvSpPr>
        <xdr:spPr>
          <a:xfrm>
            <a:off x="23026687" y="6270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Sh Bridge</a:t>
            </a:r>
          </a:p>
        </xdr:txBody>
      </xdr:sp>
      <xdr:sp macro="[0]!Sheet1.Merger_Click" textlink="">
        <xdr:nvSpPr>
          <xdr:cNvPr id="331804" name="Rectangle: Rounded Corners 331803">
            <a:extLst>
              <a:ext uri="{FF2B5EF4-FFF2-40B4-BE49-F238E27FC236}">
                <a16:creationId xmlns:a16="http://schemas.microsoft.com/office/drawing/2014/main" id="{00000000-0008-0000-0000-00001C100500}"/>
              </a:ext>
            </a:extLst>
          </xdr:cNvPr>
          <xdr:cNvSpPr/>
        </xdr:nvSpPr>
        <xdr:spPr>
          <a:xfrm>
            <a:off x="23026687" y="933450"/>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Mergers</a:t>
            </a:r>
          </a:p>
        </xdr:txBody>
      </xdr:sp>
      <xdr:sp macro="[0]!Sheet1.Tail_Click" textlink="">
        <xdr:nvSpPr>
          <xdr:cNvPr id="331805" name="Rectangle: Rounded Corners 331804">
            <a:extLst>
              <a:ext uri="{FF2B5EF4-FFF2-40B4-BE49-F238E27FC236}">
                <a16:creationId xmlns:a16="http://schemas.microsoft.com/office/drawing/2014/main" id="{00000000-0008-0000-0000-00001D100500}"/>
              </a:ext>
            </a:extLst>
          </xdr:cNvPr>
          <xdr:cNvSpPr/>
        </xdr:nvSpPr>
        <xdr:spPr>
          <a:xfrm>
            <a:off x="23622000" y="328612"/>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Tail</a:t>
            </a:r>
          </a:p>
        </xdr:txBody>
      </xdr:sp>
      <xdr:sp macro="[0]!Sheet1.DualTails_Click" textlink="">
        <xdr:nvSpPr>
          <xdr:cNvPr id="331806" name="Rectangle: Rounded Corners 331805">
            <a:extLst>
              <a:ext uri="{FF2B5EF4-FFF2-40B4-BE49-F238E27FC236}">
                <a16:creationId xmlns:a16="http://schemas.microsoft.com/office/drawing/2014/main" id="{00000000-0008-0000-0000-00001E100500}"/>
              </a:ext>
            </a:extLst>
          </xdr:cNvPr>
          <xdr:cNvSpPr/>
        </xdr:nvSpPr>
        <xdr:spPr>
          <a:xfrm>
            <a:off x="23618825" y="62547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Dual Tails</a:t>
            </a:r>
          </a:p>
        </xdr:txBody>
      </xdr:sp>
      <xdr:sp macro="[0]!Sheet1.Triplets_Click" textlink="">
        <xdr:nvSpPr>
          <xdr:cNvPr id="2337" name="Rectangle: Rounded Corners 2336">
            <a:extLst>
              <a:ext uri="{FF2B5EF4-FFF2-40B4-BE49-F238E27FC236}">
                <a16:creationId xmlns:a16="http://schemas.microsoft.com/office/drawing/2014/main" id="{00000000-0008-0000-0000-000021090000}"/>
              </a:ext>
            </a:extLst>
          </xdr:cNvPr>
          <xdr:cNvSpPr/>
        </xdr:nvSpPr>
        <xdr:spPr>
          <a:xfrm>
            <a:off x="23028275" y="122872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Triplets</a:t>
            </a:r>
          </a:p>
        </xdr:txBody>
      </xdr:sp>
      <xdr:sp macro="[0]!Sheet1.Superlong_Click" textlink="">
        <xdr:nvSpPr>
          <xdr:cNvPr id="2295" name="Rectangle: Rounded Corners 2294">
            <a:extLst>
              <a:ext uri="{FF2B5EF4-FFF2-40B4-BE49-F238E27FC236}">
                <a16:creationId xmlns:a16="http://schemas.microsoft.com/office/drawing/2014/main" id="{C8DF2161-5E43-430A-8200-FECB01A749F6}"/>
              </a:ext>
            </a:extLst>
          </xdr:cNvPr>
          <xdr:cNvSpPr/>
        </xdr:nvSpPr>
        <xdr:spPr>
          <a:xfrm>
            <a:off x="23618825" y="92551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Superlong</a:t>
            </a:r>
          </a:p>
        </xdr:txBody>
      </xdr:sp>
      <xdr:sp macro="[0]!Sheet1.Umbrella_Click" textlink="">
        <xdr:nvSpPr>
          <xdr:cNvPr id="32" name="Rectangle: Rounded Corners 31">
            <a:extLst>
              <a:ext uri="{FF2B5EF4-FFF2-40B4-BE49-F238E27FC236}">
                <a16:creationId xmlns:a16="http://schemas.microsoft.com/office/drawing/2014/main" id="{50FC4417-0518-4685-8D1B-B74E06445C7D}"/>
              </a:ext>
            </a:extLst>
          </xdr:cNvPr>
          <xdr:cNvSpPr/>
        </xdr:nvSpPr>
        <xdr:spPr>
          <a:xfrm>
            <a:off x="23622000" y="1228725"/>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Umbrella</a:t>
            </a:r>
          </a:p>
        </xdr:txBody>
      </xdr:sp>
      <xdr:sp macro="[0]!Sheet1.LongBridge_Click" textlink="">
        <xdr:nvSpPr>
          <xdr:cNvPr id="34" name="Rectangle: Rounded Corners 33">
            <a:extLst>
              <a:ext uri="{FF2B5EF4-FFF2-40B4-BE49-F238E27FC236}">
                <a16:creationId xmlns:a16="http://schemas.microsoft.com/office/drawing/2014/main" id="{D2BAEA2F-0FDC-4B2A-AFC9-0D1D059D6887}"/>
              </a:ext>
            </a:extLst>
          </xdr:cNvPr>
          <xdr:cNvSpPr/>
        </xdr:nvSpPr>
        <xdr:spPr>
          <a:xfrm>
            <a:off x="23026687" y="322263"/>
            <a:ext cx="548640" cy="237744"/>
          </a:xfrm>
          <a:prstGeom prst="roundRect">
            <a:avLst/>
          </a:prstGeom>
          <a:solidFill>
            <a:srgbClr val="843F0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t>Lg Bridge</a:t>
            </a:r>
          </a:p>
        </xdr:txBody>
      </xdr:sp>
    </xdr:grpSp>
    <xdr:clientData/>
  </xdr:twoCellAnchor>
  <xdr:twoCellAnchor>
    <xdr:from>
      <xdr:col>3</xdr:col>
      <xdr:colOff>285750</xdr:colOff>
      <xdr:row>1</xdr:row>
      <xdr:rowOff>200025</xdr:rowOff>
    </xdr:from>
    <xdr:to>
      <xdr:col>3</xdr:col>
      <xdr:colOff>409575</xdr:colOff>
      <xdr:row>2</xdr:row>
      <xdr:rowOff>85725</xdr:rowOff>
    </xdr:to>
    <xdr:sp macro="[0]!Sheet1.HourSpin_SpinUp" textlink="">
      <xdr:nvSpPr>
        <xdr:cNvPr id="37" name="Isosceles Triangle 36">
          <a:extLst>
            <a:ext uri="{FF2B5EF4-FFF2-40B4-BE49-F238E27FC236}">
              <a16:creationId xmlns:a16="http://schemas.microsoft.com/office/drawing/2014/main" id="{11CF2709-EFBD-4CD1-B8B6-0FE03FA9DFF6}"/>
            </a:ext>
          </a:extLst>
        </xdr:cNvPr>
        <xdr:cNvSpPr/>
      </xdr:nvSpPr>
      <xdr:spPr>
        <a:xfrm>
          <a:off x="2171700" y="49530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152400</xdr:colOff>
      <xdr:row>1</xdr:row>
      <xdr:rowOff>200025</xdr:rowOff>
    </xdr:from>
    <xdr:to>
      <xdr:col>4</xdr:col>
      <xdr:colOff>276225</xdr:colOff>
      <xdr:row>2</xdr:row>
      <xdr:rowOff>85725</xdr:rowOff>
    </xdr:to>
    <xdr:sp macro="[0]!Sheet1.MinuteSpin_SpinUp" textlink="">
      <xdr:nvSpPr>
        <xdr:cNvPr id="39" name="Isosceles Triangle 38">
          <a:extLst>
            <a:ext uri="{FF2B5EF4-FFF2-40B4-BE49-F238E27FC236}">
              <a16:creationId xmlns:a16="http://schemas.microsoft.com/office/drawing/2014/main" id="{F7E58CDD-0BC4-44D3-83B6-DE1C0AEAC4A6}"/>
            </a:ext>
          </a:extLst>
        </xdr:cNvPr>
        <xdr:cNvSpPr/>
      </xdr:nvSpPr>
      <xdr:spPr>
        <a:xfrm>
          <a:off x="2457450" y="49530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285750</xdr:colOff>
      <xdr:row>3</xdr:row>
      <xdr:rowOff>0</xdr:rowOff>
    </xdr:from>
    <xdr:to>
      <xdr:col>3</xdr:col>
      <xdr:colOff>409575</xdr:colOff>
      <xdr:row>3</xdr:row>
      <xdr:rowOff>142875</xdr:rowOff>
    </xdr:to>
    <xdr:sp macro="[0]!Sheet1.HourSpin_SpinDown" textlink="">
      <xdr:nvSpPr>
        <xdr:cNvPr id="41" name="Isosceles Triangle 40">
          <a:extLst>
            <a:ext uri="{FF2B5EF4-FFF2-40B4-BE49-F238E27FC236}">
              <a16:creationId xmlns:a16="http://schemas.microsoft.com/office/drawing/2014/main" id="{D9A08A2B-760A-4CDB-BF90-C550A99D3BB8}"/>
            </a:ext>
          </a:extLst>
        </xdr:cNvPr>
        <xdr:cNvSpPr/>
      </xdr:nvSpPr>
      <xdr:spPr>
        <a:xfrm rot="10800000">
          <a:off x="2171700" y="85725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142875</xdr:colOff>
      <xdr:row>3</xdr:row>
      <xdr:rowOff>0</xdr:rowOff>
    </xdr:from>
    <xdr:to>
      <xdr:col>4</xdr:col>
      <xdr:colOff>266700</xdr:colOff>
      <xdr:row>3</xdr:row>
      <xdr:rowOff>142875</xdr:rowOff>
    </xdr:to>
    <xdr:sp macro="[0]!Sheet1.MinuteSpin_SpinDown" textlink="">
      <xdr:nvSpPr>
        <xdr:cNvPr id="42" name="Isosceles Triangle 41">
          <a:extLst>
            <a:ext uri="{FF2B5EF4-FFF2-40B4-BE49-F238E27FC236}">
              <a16:creationId xmlns:a16="http://schemas.microsoft.com/office/drawing/2014/main" id="{BBF2C5D7-5F55-4F80-9098-209433F563F6}"/>
            </a:ext>
          </a:extLst>
        </xdr:cNvPr>
        <xdr:cNvSpPr/>
      </xdr:nvSpPr>
      <xdr:spPr>
        <a:xfrm rot="10800000">
          <a:off x="2447925" y="857250"/>
          <a:ext cx="123825" cy="142875"/>
        </a:xfrm>
        <a:prstGeom prst="triangle">
          <a:avLst/>
        </a:prstGeom>
        <a:solidFill>
          <a:schemeClr val="bg1">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19049</xdr:colOff>
      <xdr:row>3</xdr:row>
      <xdr:rowOff>252412</xdr:rowOff>
    </xdr:from>
    <xdr:to>
      <xdr:col>28</xdr:col>
      <xdr:colOff>295275</xdr:colOff>
      <xdr:row>4</xdr:row>
      <xdr:rowOff>171450</xdr:rowOff>
    </xdr:to>
    <xdr:sp macro="[0]!Sheet1.ClearAllFilters_Click" textlink="">
      <xdr:nvSpPr>
        <xdr:cNvPr id="36" name="Rectangle: Rounded Corners 35">
          <a:extLst>
            <a:ext uri="{FF2B5EF4-FFF2-40B4-BE49-F238E27FC236}">
              <a16:creationId xmlns:a16="http://schemas.microsoft.com/office/drawing/2014/main" id="{83BA4F22-91D4-4A99-A93D-E630DB60F530}"/>
            </a:ext>
          </a:extLst>
        </xdr:cNvPr>
        <xdr:cNvSpPr/>
      </xdr:nvSpPr>
      <xdr:spPr>
        <a:xfrm>
          <a:off x="15116174" y="1109662"/>
          <a:ext cx="609601" cy="242888"/>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t>Clear</a:t>
          </a:r>
          <a:r>
            <a:rPr lang="en-US" sz="1000" b="1" baseline="0"/>
            <a:t> All</a:t>
          </a:r>
          <a:endParaRPr lang="en-US" sz="10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28574</xdr:colOff>
      <xdr:row>0</xdr:row>
      <xdr:rowOff>66674</xdr:rowOff>
    </xdr:from>
    <xdr:to>
      <xdr:col>27</xdr:col>
      <xdr:colOff>180975</xdr:colOff>
      <xdr:row>175</xdr:row>
      <xdr:rowOff>66675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38174" y="66674"/>
          <a:ext cx="16002001" cy="33337501"/>
          <a:chOff x="638174" y="66674"/>
          <a:chExt cx="16002001" cy="33337501"/>
        </a:xfrm>
      </xdr:grpSpPr>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47699" y="3848100"/>
            <a:ext cx="12753975" cy="1552575"/>
          </a:xfrm>
          <a:prstGeom prst="rect">
            <a:avLst/>
          </a:prstGeom>
          <a:solidFill>
            <a:schemeClr val="accent6">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nSpc>
                <a:spcPts val="1300"/>
              </a:lnSpc>
            </a:pPr>
            <a:r>
              <a:rPr lang="en-US" sz="1400" b="1"/>
              <a:t>Before You Begin</a:t>
            </a:r>
          </a:p>
          <a:p>
            <a:pPr lvl="0">
              <a:lnSpc>
                <a:spcPts val="1400"/>
              </a:lnSpc>
            </a:pPr>
            <a:endParaRPr lang="en-US" sz="1200" baseline="0"/>
          </a:p>
          <a:p>
            <a:pPr lvl="0" algn="l"/>
            <a:r>
              <a:rPr lang="en-US" sz="1100" u="sng"/>
              <a:t>Enabling Macros </a:t>
            </a:r>
            <a:r>
              <a:rPr lang="en-US" sz="1100"/>
              <a:t>- Once you download the spreadsheet you must enable the macros, which are disabled by default in all downloaded Excel documents.   To enable the macros in Windows, right click on the downloaded file in Windows File Explorer, select Properties, and select the Unblock checkbox on the bottom of the General tab.  To enable the macros in Mac, simply click on Enable Macros when opening the file.</a:t>
            </a:r>
          </a:p>
          <a:p>
            <a:pPr lvl="0" algn="l"/>
            <a:br>
              <a:rPr lang="en-US" sz="1100"/>
            </a:br>
            <a:r>
              <a:rPr lang="en-US" sz="1100" u="sng"/>
              <a:t>Eliminating</a:t>
            </a:r>
            <a:r>
              <a:rPr lang="en-US" sz="1100" u="sng" baseline="0"/>
              <a:t> Formula Warnings</a:t>
            </a:r>
            <a:r>
              <a:rPr lang="en-US" sz="1100" baseline="0"/>
              <a:t> - </a:t>
            </a:r>
            <a:r>
              <a:rPr lang="en-US"/>
              <a:t>Depending upon your computer settings, you may see formula warnings (green triangles in cells) throughout the sheet which are visually annoying and which slow down the refresh time.  Disable these warmings by clicking on one of those cells, then clicking on the exclamation point which appears, then clicking on Error Checking Options, then (under Error Checking Rules) deselecting the boxes for "Unlocked cells containing formulas" and "Formulas referring to empty cells".    </a:t>
            </a:r>
            <a:endParaRPr lang="en-US" sz="1100"/>
          </a:p>
          <a:p>
            <a:pPr>
              <a:lnSpc>
                <a:spcPts val="1200"/>
              </a:lnSpc>
            </a:pPr>
            <a:endParaRPr lang="en-US" sz="1100"/>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38174" y="66676"/>
            <a:ext cx="12763501" cy="3781424"/>
          </a:xfrm>
          <a:prstGeom prst="rect">
            <a:avLst/>
          </a:prstGeom>
          <a:solidFill>
            <a:schemeClr val="accent5">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nSpc>
                <a:spcPts val="1200"/>
              </a:lnSpc>
            </a:pPr>
            <a:r>
              <a:rPr lang="en-US" sz="1400" b="1">
                <a:solidFill>
                  <a:schemeClr val="tx1"/>
                </a:solidFill>
                <a:effectLst/>
                <a:latin typeface="+mn-lt"/>
                <a:ea typeface="+mn-ea"/>
                <a:cs typeface="+mn-cs"/>
              </a:rPr>
              <a:t>Welcome </a:t>
            </a:r>
          </a:p>
          <a:p>
            <a:pPr>
              <a:lnSpc>
                <a:spcPts val="1200"/>
              </a:lnSpc>
            </a:pPr>
            <a:endParaRPr lang="en-US" sz="1200">
              <a:solidFill>
                <a:schemeClr val="tx1"/>
              </a:solidFill>
              <a:effectLst/>
              <a:latin typeface="+mn-lt"/>
              <a:ea typeface="+mn-ea"/>
              <a:cs typeface="+mn-cs"/>
            </a:endParaRPr>
          </a:p>
          <a:p>
            <a:pPr>
              <a:lnSpc>
                <a:spcPts val="1100"/>
              </a:lnSpc>
            </a:pPr>
            <a:r>
              <a:rPr lang="en-US" sz="1200">
                <a:solidFill>
                  <a:schemeClr val="tx1"/>
                </a:solidFill>
                <a:effectLst/>
                <a:latin typeface="+mn-lt"/>
                <a:ea typeface="+mn-ea"/>
                <a:cs typeface="+mn-cs"/>
              </a:rPr>
              <a:t>This free </a:t>
            </a:r>
            <a:r>
              <a:rPr lang="en-US" sz="1200" b="1">
                <a:solidFill>
                  <a:schemeClr val="tx1"/>
                </a:solidFill>
                <a:effectLst/>
                <a:latin typeface="+mn-lt"/>
                <a:ea typeface="+mn-ea"/>
                <a:cs typeface="+mn-cs"/>
              </a:rPr>
              <a:t>Compendium</a:t>
            </a:r>
            <a:r>
              <a:rPr lang="en-US" sz="1200">
                <a:solidFill>
                  <a:schemeClr val="tx1"/>
                </a:solidFill>
                <a:effectLst/>
                <a:latin typeface="+mn-lt"/>
                <a:ea typeface="+mn-ea"/>
                <a:cs typeface="+mn-cs"/>
              </a:rPr>
              <a:t> has</a:t>
            </a:r>
            <a:r>
              <a:rPr lang="en-US" sz="1200" baseline="0">
                <a:solidFill>
                  <a:schemeClr val="tx1"/>
                </a:solidFill>
                <a:effectLst/>
                <a:latin typeface="+mn-lt"/>
                <a:ea typeface="+mn-ea"/>
                <a:cs typeface="+mn-cs"/>
              </a:rPr>
              <a:t> been written specifically to help astrophotographers find interesting targets in the night sky.  </a:t>
            </a:r>
            <a:r>
              <a:rPr lang="en-US" sz="1200">
                <a:solidFill>
                  <a:schemeClr val="tx1"/>
                </a:solidFill>
                <a:effectLst/>
                <a:latin typeface="+mn-lt"/>
                <a:ea typeface="+mn-ea"/>
                <a:cs typeface="+mn-cs"/>
              </a:rPr>
              <a:t>It provides data for over 3100 unique deep sky objects of all object types.  </a:t>
            </a:r>
          </a:p>
          <a:p>
            <a:pPr marL="0" marR="0" lvl="0" indent="0" defTabSz="914400" eaLnBrk="1" fontAlgn="auto" latinLnBrk="0" hangingPunct="1">
              <a:lnSpc>
                <a:spcPts val="1100"/>
              </a:lnSpc>
              <a:spcBef>
                <a:spcPts val="0"/>
              </a:spcBef>
              <a:spcAft>
                <a:spcPts val="0"/>
              </a:spcAft>
              <a:buClrTx/>
              <a:buSzTx/>
              <a:buFontTx/>
              <a:buNone/>
              <a:tabLst/>
              <a:defRPr/>
            </a:pPr>
            <a:r>
              <a:rPr lang="en-US" sz="1200">
                <a:solidFill>
                  <a:schemeClr val="tx1"/>
                </a:solidFill>
                <a:effectLst/>
                <a:latin typeface="+mn-lt"/>
                <a:ea typeface="+mn-ea"/>
                <a:cs typeface="+mn-cs"/>
              </a:rPr>
              <a:t>Object image mouseovers are provided for all these objects, along with hyperlinks to these</a:t>
            </a:r>
            <a:r>
              <a:rPr lang="en-US" sz="1200" baseline="0">
                <a:solidFill>
                  <a:schemeClr val="tx1"/>
                </a:solidFill>
                <a:effectLst/>
                <a:latin typeface="+mn-lt"/>
                <a:ea typeface="+mn-ea"/>
                <a:cs typeface="+mn-cs"/>
              </a:rPr>
              <a:t> objects on SIMBAD (technical data) and Aladin (sky atlas image).</a:t>
            </a:r>
          </a:p>
          <a:p>
            <a:pPr marL="0" marR="0" lvl="0" indent="0" defTabSz="914400" eaLnBrk="1" fontAlgn="auto" latinLnBrk="0" hangingPunct="1">
              <a:lnSpc>
                <a:spcPts val="1100"/>
              </a:lnSpc>
              <a:spcBef>
                <a:spcPts val="0"/>
              </a:spcBef>
              <a:spcAft>
                <a:spcPts val="0"/>
              </a:spcAft>
              <a:buClrTx/>
              <a:buSzTx/>
              <a:buFontTx/>
              <a:buNone/>
              <a:tabLst/>
              <a:defRPr/>
            </a:pPr>
            <a:r>
              <a:rPr lang="en-US" sz="1200">
                <a:solidFill>
                  <a:schemeClr val="tx1"/>
                </a:solidFill>
                <a:effectLst/>
                <a:latin typeface="+mn-lt"/>
                <a:ea typeface="+mn-ea"/>
                <a:cs typeface="+mn-cs"/>
              </a:rPr>
              <a:t>Also, hyperlinks to the Astrobin full</a:t>
            </a:r>
            <a:r>
              <a:rPr lang="en-US" sz="1200" baseline="0">
                <a:solidFill>
                  <a:schemeClr val="tx1"/>
                </a:solidFill>
                <a:effectLst/>
                <a:latin typeface="+mn-lt"/>
                <a:ea typeface="+mn-ea"/>
                <a:cs typeface="+mn-cs"/>
              </a:rPr>
              <a:t> resolution image and technical data are provided for the 2600 objects that I have imaged.</a:t>
            </a:r>
            <a:r>
              <a:rPr lang="en-US" sz="1200">
                <a:solidFill>
                  <a:schemeClr val="tx1"/>
                </a:solidFill>
                <a:effectLst/>
                <a:latin typeface="+mn-lt"/>
                <a:ea typeface="+mn-ea"/>
                <a:cs typeface="+mn-cs"/>
              </a:rPr>
              <a:t>  These objects are cross-referenced to 26 catalogues. </a:t>
            </a:r>
          </a:p>
          <a:p>
            <a:pPr marL="0" marR="0" lvl="0" indent="0" defTabSz="914400" eaLnBrk="1" fontAlgn="auto" latinLnBrk="0" hangingPunct="1">
              <a:lnSpc>
                <a:spcPts val="1100"/>
              </a:lnSpc>
              <a:spcBef>
                <a:spcPts val="0"/>
              </a:spcBef>
              <a:spcAft>
                <a:spcPts val="0"/>
              </a:spcAft>
              <a:buClrTx/>
              <a:buSzTx/>
              <a:buFontTx/>
              <a:buNone/>
              <a:tabLst/>
              <a:defRPr/>
            </a:pPr>
            <a:endParaRPr lang="en-US" sz="1200">
              <a:solidFill>
                <a:schemeClr val="tx1"/>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lang="en-US" sz="1200">
                <a:solidFill>
                  <a:schemeClr val="tx1"/>
                </a:solidFill>
                <a:effectLst/>
                <a:latin typeface="+mn-lt"/>
                <a:ea typeface="+mn-ea"/>
                <a:cs typeface="+mn-cs"/>
              </a:rPr>
              <a:t>A link to the most current version of the</a:t>
            </a:r>
            <a:r>
              <a:rPr lang="en-US" sz="1200" baseline="0">
                <a:solidFill>
                  <a:schemeClr val="tx1"/>
                </a:solidFill>
                <a:effectLst/>
                <a:latin typeface="+mn-lt"/>
                <a:ea typeface="+mn-ea"/>
                <a:cs typeface="+mn-cs"/>
              </a:rPr>
              <a:t> </a:t>
            </a:r>
            <a:r>
              <a:rPr lang="en-US" sz="1200" b="1" baseline="0">
                <a:solidFill>
                  <a:schemeClr val="tx1"/>
                </a:solidFill>
                <a:effectLst/>
                <a:latin typeface="+mn-lt"/>
                <a:ea typeface="+mn-ea"/>
                <a:cs typeface="+mn-cs"/>
              </a:rPr>
              <a:t>Compendium</a:t>
            </a:r>
            <a:r>
              <a:rPr lang="en-US" sz="1200" baseline="0">
                <a:solidFill>
                  <a:schemeClr val="tx1"/>
                </a:solidFill>
                <a:effectLst/>
                <a:latin typeface="+mn-lt"/>
                <a:ea typeface="+mn-ea"/>
                <a:cs typeface="+mn-cs"/>
              </a:rPr>
              <a:t> is provided at top right.  </a:t>
            </a:r>
            <a:r>
              <a:rPr lang="en-US" sz="1200">
                <a:solidFill>
                  <a:schemeClr val="tx1"/>
                </a:solidFill>
                <a:effectLst/>
                <a:latin typeface="+mn-lt"/>
                <a:ea typeface="+mn-ea"/>
                <a:cs typeface="+mn-cs"/>
              </a:rPr>
              <a:t>I am always striving to improve the quality of this resource.  Comments, corrections, and questions are encouraged – </a:t>
            </a:r>
            <a:br>
              <a:rPr lang="en-US" sz="1200">
                <a:solidFill>
                  <a:schemeClr val="tx1"/>
                </a:solidFill>
                <a:effectLst/>
                <a:latin typeface="+mn-lt"/>
                <a:ea typeface="+mn-ea"/>
                <a:cs typeface="+mn-cs"/>
              </a:rPr>
            </a:br>
            <a:r>
              <a:rPr lang="en-US" sz="1200">
                <a:solidFill>
                  <a:schemeClr val="tx1"/>
                </a:solidFill>
                <a:effectLst/>
                <a:latin typeface="+mn-lt"/>
                <a:ea typeface="+mn-ea"/>
                <a:cs typeface="+mn-cs"/>
              </a:rPr>
              <a:t>please contact me at: immgr@swbell.net</a:t>
            </a:r>
            <a:endParaRPr lang="en-US" sz="1200">
              <a:effectLst/>
            </a:endParaRPr>
          </a:p>
          <a:p>
            <a:pPr marL="0" marR="0" lvl="0" indent="0" defTabSz="914400" eaLnBrk="1" fontAlgn="auto" latinLnBrk="0" hangingPunct="1">
              <a:lnSpc>
                <a:spcPts val="1100"/>
              </a:lnSpc>
              <a:spcBef>
                <a:spcPts val="0"/>
              </a:spcBef>
              <a:spcAft>
                <a:spcPts val="0"/>
              </a:spcAft>
              <a:buClrTx/>
              <a:buSzTx/>
              <a:buFontTx/>
              <a:buNone/>
              <a:tabLst/>
              <a:defRPr/>
            </a:pPr>
            <a:endParaRPr lang="en-US" sz="1200">
              <a:solidFill>
                <a:schemeClr val="tx1"/>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lang="en-US" sz="1200">
                <a:solidFill>
                  <a:schemeClr val="tx1"/>
                </a:solidFill>
                <a:effectLst/>
                <a:latin typeface="+mn-lt"/>
                <a:ea typeface="+mn-ea"/>
                <a:cs typeface="+mn-cs"/>
              </a:rPr>
              <a:t>A </a:t>
            </a:r>
            <a:r>
              <a:rPr lang="en-US" sz="1200" b="1">
                <a:solidFill>
                  <a:schemeClr val="tx1"/>
                </a:solidFill>
                <a:effectLst/>
                <a:latin typeface="+mn-lt"/>
                <a:ea typeface="+mn-ea"/>
                <a:cs typeface="+mn-cs"/>
              </a:rPr>
              <a:t>Companion</a:t>
            </a:r>
            <a:r>
              <a:rPr lang="en-US" sz="1200" b="1" baseline="0">
                <a:solidFill>
                  <a:schemeClr val="tx1"/>
                </a:solidFill>
                <a:effectLst/>
                <a:latin typeface="+mn-lt"/>
                <a:ea typeface="+mn-ea"/>
                <a:cs typeface="+mn-cs"/>
              </a:rPr>
              <a:t> eBook</a:t>
            </a:r>
            <a:r>
              <a:rPr lang="en-US" sz="1200" baseline="0">
                <a:solidFill>
                  <a:schemeClr val="tx1"/>
                </a:solidFill>
                <a:effectLst/>
                <a:latin typeface="+mn-lt"/>
                <a:ea typeface="+mn-ea"/>
                <a:cs typeface="+mn-cs"/>
              </a:rPr>
              <a:t> to this Compendium is also available.  It is a </a:t>
            </a:r>
            <a:r>
              <a:rPr lang="en-US" sz="1200">
                <a:solidFill>
                  <a:schemeClr val="tx1"/>
                </a:solidFill>
                <a:effectLst/>
                <a:latin typeface="+mn-lt"/>
                <a:ea typeface="+mn-ea"/>
                <a:cs typeface="+mn-cs"/>
              </a:rPr>
              <a:t>400+ page pdf eBook with</a:t>
            </a:r>
            <a:r>
              <a:rPr lang="en-US" sz="1200" baseline="0">
                <a:solidFill>
                  <a:schemeClr val="tx1"/>
                </a:solidFill>
                <a:effectLst/>
                <a:latin typeface="+mn-lt"/>
                <a:ea typeface="+mn-ea"/>
                <a:cs typeface="+mn-cs"/>
              </a:rPr>
              <a:t> posters of many catalogues and collections and is available at the link to the right.</a:t>
            </a:r>
          </a:p>
          <a:p>
            <a:pPr marL="0" marR="0" lvl="0" indent="0" defTabSz="914400" eaLnBrk="1" fontAlgn="auto" latinLnBrk="0" hangingPunct="1">
              <a:lnSpc>
                <a:spcPts val="11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lang="en-US" sz="1200">
                <a:solidFill>
                  <a:schemeClr val="tx1"/>
                </a:solidFill>
                <a:effectLst/>
                <a:latin typeface="+mn-lt"/>
                <a:ea typeface="+mn-ea"/>
                <a:cs typeface="+mn-cs"/>
              </a:rPr>
              <a:t>If you benefit from this resource, please consider a small donation to the </a:t>
            </a:r>
            <a:r>
              <a:rPr lang="en-US" sz="1200" b="1">
                <a:solidFill>
                  <a:schemeClr val="tx1"/>
                </a:solidFill>
                <a:effectLst/>
                <a:latin typeface="+mn-lt"/>
                <a:ea typeface="+mn-ea"/>
                <a:cs typeface="+mn-cs"/>
              </a:rPr>
              <a:t>Imm Astronomy Scholarship</a:t>
            </a:r>
            <a:r>
              <a:rPr lang="en-US" sz="1200" b="1" baseline="0">
                <a:solidFill>
                  <a:schemeClr val="tx1"/>
                </a:solidFill>
                <a:effectLst/>
                <a:latin typeface="+mn-lt"/>
                <a:ea typeface="+mn-ea"/>
                <a:cs typeface="+mn-cs"/>
              </a:rPr>
              <a:t> Fun</a:t>
            </a:r>
            <a:r>
              <a:rPr lang="en-US" sz="1200" b="1">
                <a:solidFill>
                  <a:schemeClr val="tx1"/>
                </a:solidFill>
                <a:effectLst/>
                <a:latin typeface="+mn-lt"/>
                <a:ea typeface="+mn-ea"/>
                <a:cs typeface="+mn-cs"/>
              </a:rPr>
              <a:t>d</a:t>
            </a:r>
            <a:r>
              <a:rPr lang="en-US" sz="1200">
                <a:solidFill>
                  <a:schemeClr val="tx1"/>
                </a:solidFill>
                <a:effectLst/>
                <a:latin typeface="+mn-lt"/>
                <a:ea typeface="+mn-ea"/>
                <a:cs typeface="+mn-cs"/>
              </a:rPr>
              <a:t>, established to provide financial assistance to astronomy college students.  </a:t>
            </a:r>
            <a:br>
              <a:rPr lang="en-US" sz="1200">
                <a:solidFill>
                  <a:schemeClr val="tx1"/>
                </a:solidFill>
                <a:effectLst/>
                <a:latin typeface="+mn-lt"/>
                <a:ea typeface="+mn-ea"/>
                <a:cs typeface="+mn-cs"/>
              </a:rPr>
            </a:br>
            <a:r>
              <a:rPr lang="en-US" sz="1200" u="none">
                <a:solidFill>
                  <a:sysClr val="windowText" lastClr="000000"/>
                </a:solidFill>
                <a:effectLst/>
                <a:latin typeface="+mn-lt"/>
                <a:ea typeface="+mn-ea"/>
                <a:cs typeface="+mn-cs"/>
              </a:rPr>
              <a:t>The link to provide a tax-deductible contribution is provided to the right.</a:t>
            </a:r>
          </a:p>
          <a:p>
            <a:pPr lvl="0">
              <a:lnSpc>
                <a:spcPts val="1200"/>
              </a:lnSpc>
            </a:pPr>
            <a:endParaRPr lang="en-US" sz="1200"/>
          </a:p>
          <a:p>
            <a:pPr marL="0" marR="0" lvl="0" indent="0" defTabSz="914400" eaLnBrk="1" fontAlgn="auto" latinLnBrk="0" hangingPunct="1">
              <a:lnSpc>
                <a:spcPts val="1200"/>
              </a:lnSpc>
              <a:spcBef>
                <a:spcPts val="0"/>
              </a:spcBef>
              <a:spcAft>
                <a:spcPts val="0"/>
              </a:spcAft>
              <a:buClrTx/>
              <a:buSzTx/>
              <a:buFontTx/>
              <a:buNone/>
              <a:tabLst/>
              <a:defRPr/>
            </a:pPr>
            <a:r>
              <a:rPr lang="en-US" sz="1200">
                <a:solidFill>
                  <a:schemeClr val="tx1"/>
                </a:solidFill>
                <a:effectLst/>
                <a:latin typeface="+mn-lt"/>
                <a:ea typeface="+mn-ea"/>
                <a:cs typeface="+mn-cs"/>
              </a:rPr>
              <a:t>My hope is that you will be able to use this compendium to find plenty of interesting deep sky objects for your future imaging.</a:t>
            </a:r>
          </a:p>
          <a:p>
            <a:pPr marL="0" marR="0" lvl="0" indent="0" defTabSz="914400" eaLnBrk="1" fontAlgn="auto" latinLnBrk="0" hangingPunct="1">
              <a:lnSpc>
                <a:spcPts val="1200"/>
              </a:lnSpc>
              <a:spcBef>
                <a:spcPts val="0"/>
              </a:spcBef>
              <a:spcAft>
                <a:spcPts val="0"/>
              </a:spcAft>
              <a:buClrTx/>
              <a:buSzTx/>
              <a:buFontTx/>
              <a:buNone/>
              <a:tabLst/>
              <a:defRPr/>
            </a:pPr>
            <a:endParaRPr lang="en-US" sz="1200">
              <a:solidFill>
                <a:schemeClr val="tx1"/>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lang="en-US" sz="1200">
                <a:solidFill>
                  <a:schemeClr val="tx1"/>
                </a:solidFill>
                <a:effectLst/>
                <a:latin typeface="+mn-lt"/>
                <a:ea typeface="+mn-ea"/>
                <a:cs typeface="+mn-cs"/>
              </a:rPr>
              <a:t>Gary</a:t>
            </a:r>
            <a:r>
              <a:rPr lang="en-US" sz="1200" baseline="0">
                <a:solidFill>
                  <a:schemeClr val="tx1"/>
                </a:solidFill>
                <a:effectLst/>
                <a:latin typeface="+mn-lt"/>
                <a:ea typeface="+mn-ea"/>
                <a:cs typeface="+mn-cs"/>
              </a:rPr>
              <a:t> Imm</a:t>
            </a:r>
          </a:p>
          <a:p>
            <a:pPr marL="0" marR="0" lvl="0" indent="0" defTabSz="914400" eaLnBrk="1" fontAlgn="auto" latinLnBrk="0" hangingPunct="1">
              <a:lnSpc>
                <a:spcPts val="1200"/>
              </a:lnSpc>
              <a:spcBef>
                <a:spcPts val="0"/>
              </a:spcBef>
              <a:spcAft>
                <a:spcPts val="0"/>
              </a:spcAft>
              <a:buClrTx/>
              <a:buSzTx/>
              <a:buFontTx/>
              <a:buNone/>
              <a:tabLst/>
              <a:defRPr/>
            </a:pPr>
            <a:r>
              <a:rPr lang="en-US" sz="1200" baseline="0">
                <a:solidFill>
                  <a:schemeClr val="tx1"/>
                </a:solidFill>
                <a:effectLst/>
                <a:latin typeface="+mn-lt"/>
                <a:ea typeface="+mn-ea"/>
                <a:cs typeface="+mn-cs"/>
              </a:rPr>
              <a:t>Onalaska, TX, USA</a:t>
            </a:r>
          </a:p>
          <a:p>
            <a:pPr marL="0" marR="0" lvl="0" indent="0" defTabSz="914400" eaLnBrk="1" fontAlgn="auto" latinLnBrk="0" hangingPunct="1">
              <a:lnSpc>
                <a:spcPts val="1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a:lnSpc>
                <a:spcPts val="1200"/>
              </a:lnSpc>
            </a:pPr>
            <a:r>
              <a:rPr lang="en-US" sz="1200">
                <a:solidFill>
                  <a:schemeClr val="tx1"/>
                </a:solidFill>
                <a:effectLst/>
                <a:latin typeface="+mn-lt"/>
                <a:ea typeface="+mn-ea"/>
                <a:cs typeface="+mn-cs"/>
              </a:rPr>
              <a:t>All images by Gary Imm from Onalaska, TX, USA (SQM Magnitude 20.8 - Bortle 4.5 - 31 degrees</a:t>
            </a:r>
            <a:r>
              <a:rPr lang="en-US" sz="1200" baseline="0">
                <a:solidFill>
                  <a:schemeClr val="tx1"/>
                </a:solidFill>
                <a:effectLst/>
                <a:latin typeface="+mn-lt"/>
                <a:ea typeface="+mn-ea"/>
                <a:cs typeface="+mn-cs"/>
              </a:rPr>
              <a:t> N Latitude</a:t>
            </a:r>
            <a:r>
              <a:rPr lang="en-US" sz="1200">
                <a:solidFill>
                  <a:schemeClr val="tx1"/>
                </a:solidFill>
                <a:effectLst/>
                <a:latin typeface="+mn-lt"/>
                <a:ea typeface="+mn-ea"/>
                <a:cs typeface="+mn-cs"/>
              </a:rPr>
              <a:t>).</a:t>
            </a:r>
            <a:endParaRPr lang="en-US" sz="1200">
              <a:effectLst/>
            </a:endParaRPr>
          </a:p>
          <a:p>
            <a:pPr>
              <a:lnSpc>
                <a:spcPts val="1000"/>
              </a:lnSpc>
            </a:pPr>
            <a:r>
              <a:rPr lang="en-US" sz="1200">
                <a:solidFill>
                  <a:schemeClr val="tx1"/>
                </a:solidFill>
                <a:effectLst/>
                <a:latin typeface="+mn-lt"/>
                <a:ea typeface="+mn-ea"/>
                <a:cs typeface="+mn-cs"/>
              </a:rPr>
              <a:t>Copyright © 2026 by Gary Imm.   Copyright granted to make copies for non-commercial purposes.</a:t>
            </a:r>
            <a:endParaRPr lang="en-US" sz="1200">
              <a:effectLst/>
            </a:endParaRPr>
          </a:p>
          <a:p>
            <a:pPr lvl="0">
              <a:lnSpc>
                <a:spcPts val="1000"/>
              </a:lnSpc>
            </a:pPr>
            <a:endParaRPr lang="en-US" sz="1100"/>
          </a:p>
          <a:p>
            <a:pPr>
              <a:lnSpc>
                <a:spcPts val="1000"/>
              </a:lnSpc>
            </a:pPr>
            <a:endParaRPr lang="en-US" sz="1100"/>
          </a:p>
        </xdr:txBody>
      </xdr:sp>
      <xdr:grpSp>
        <xdr:nvGrpSpPr>
          <xdr:cNvPr id="7" name="Group 6">
            <a:extLst>
              <a:ext uri="{FF2B5EF4-FFF2-40B4-BE49-F238E27FC236}">
                <a16:creationId xmlns:a16="http://schemas.microsoft.com/office/drawing/2014/main" id="{00000000-0008-0000-0100-000007000000}"/>
              </a:ext>
            </a:extLst>
          </xdr:cNvPr>
          <xdr:cNvGrpSpPr/>
        </xdr:nvGrpSpPr>
        <xdr:grpSpPr>
          <a:xfrm>
            <a:off x="13535025" y="66674"/>
            <a:ext cx="3105150" cy="2600326"/>
            <a:chOff x="13535025" y="66674"/>
            <a:chExt cx="3105150" cy="2600326"/>
          </a:xfrm>
        </xdr:grpSpPr>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3544551" y="66674"/>
              <a:ext cx="3086100" cy="7715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u="sng">
                  <a:solidFill>
                    <a:srgbClr val="0033CC"/>
                  </a:solidFill>
                </a:rPr>
                <a:t>Link to</a:t>
              </a:r>
              <a:r>
                <a:rPr lang="en-US" sz="1200" u="sng" baseline="0">
                  <a:solidFill>
                    <a:srgbClr val="0033CC"/>
                  </a:solidFill>
                </a:rPr>
                <a:t> l</a:t>
              </a:r>
              <a:r>
                <a:rPr lang="en-US" sz="1200" u="sng">
                  <a:solidFill>
                    <a:srgbClr val="0033CC"/>
                  </a:solidFill>
                </a:rPr>
                <a:t>atest </a:t>
              </a:r>
              <a:r>
                <a:rPr lang="en-US" sz="1200" b="1" u="sng">
                  <a:solidFill>
                    <a:srgbClr val="0033CC"/>
                  </a:solidFill>
                </a:rPr>
                <a:t>Compendium</a:t>
              </a:r>
              <a:r>
                <a:rPr lang="en-US" sz="1200" u="sng">
                  <a:solidFill>
                    <a:srgbClr val="0033CC"/>
                  </a:solidFill>
                </a:rPr>
                <a:t> version</a:t>
              </a:r>
            </a:p>
          </xdr:txBody>
        </xdr:sp>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100-000003000000}"/>
                </a:ext>
              </a:extLst>
            </xdr:cNvPr>
            <xdr:cNvSpPr txBox="1"/>
          </xdr:nvSpPr>
          <xdr:spPr>
            <a:xfrm>
              <a:off x="13535025" y="962025"/>
              <a:ext cx="3095625" cy="82867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u="sng">
                  <a:solidFill>
                    <a:srgbClr val="0033CC"/>
                  </a:solidFill>
                </a:rPr>
                <a:t>Link to </a:t>
              </a:r>
              <a:r>
                <a:rPr lang="en-US" sz="1200" b="1" u="sng">
                  <a:solidFill>
                    <a:srgbClr val="0033CC"/>
                  </a:solidFill>
                </a:rPr>
                <a:t>Compendium Companion </a:t>
              </a:r>
              <a:r>
                <a:rPr lang="en-US" sz="1200" u="sng">
                  <a:solidFill>
                    <a:srgbClr val="0033CC"/>
                  </a:solidFill>
                </a:rPr>
                <a:t>eBook</a:t>
              </a:r>
            </a:p>
          </xdr:txBody>
        </xdr:sp>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100-000006000000}"/>
                </a:ext>
              </a:extLst>
            </xdr:cNvPr>
            <xdr:cNvSpPr txBox="1"/>
          </xdr:nvSpPr>
          <xdr:spPr>
            <a:xfrm>
              <a:off x="13535025" y="1943100"/>
              <a:ext cx="3105150" cy="723900"/>
            </a:xfrm>
            <a:prstGeom prst="rect">
              <a:avLst/>
            </a:prstGeom>
            <a:solidFill>
              <a:schemeClr val="accent5">
                <a:lumMod val="40000"/>
                <a:lumOff val="60000"/>
              </a:scheme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sng" strike="noStrike" kern="0" cap="none" spc="0" normalizeH="0" baseline="0" noProof="0">
                  <a:ln>
                    <a:noFill/>
                  </a:ln>
                  <a:solidFill>
                    <a:srgbClr val="0033CC"/>
                  </a:solidFill>
                  <a:effectLst/>
                  <a:uLnTx/>
                  <a:uFillTx/>
                  <a:latin typeface="Calibri" panose="020F0502020204030204"/>
                  <a:ea typeface="+mn-ea"/>
                  <a:cs typeface="+mn-cs"/>
                </a:rPr>
                <a:t>Link to </a:t>
              </a:r>
              <a:r>
                <a:rPr kumimoji="0" lang="en-US" sz="1200" b="1" i="0" u="sng" strike="noStrike" kern="0" cap="none" spc="0" normalizeH="0" baseline="0" noProof="0">
                  <a:ln>
                    <a:noFill/>
                  </a:ln>
                  <a:solidFill>
                    <a:srgbClr val="0033CC"/>
                  </a:solidFill>
                  <a:effectLst/>
                  <a:uLnTx/>
                  <a:uFillTx/>
                  <a:latin typeface="Calibri" panose="020F0502020204030204"/>
                  <a:ea typeface="+mn-ea"/>
                  <a:cs typeface="+mn-cs"/>
                </a:rPr>
                <a:t>Imm Astronomy Scholarship Fund</a:t>
              </a:r>
            </a:p>
          </xdr:txBody>
        </xdr:sp>
      </xdr:grpSp>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57225" y="8048624"/>
            <a:ext cx="12753975" cy="25355551"/>
          </a:xfrm>
          <a:prstGeom prst="rect">
            <a:avLst/>
          </a:prstGeom>
          <a:solidFill>
            <a:schemeClr val="tx2">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nSpc>
                <a:spcPts val="1300"/>
              </a:lnSpc>
            </a:pPr>
            <a:r>
              <a:rPr lang="en-US" sz="1400" b="1">
                <a:solidFill>
                  <a:schemeClr val="bg1"/>
                </a:solidFill>
              </a:rPr>
              <a:t>User</a:t>
            </a:r>
            <a:r>
              <a:rPr lang="en-US" sz="1400" b="1" baseline="0">
                <a:solidFill>
                  <a:schemeClr val="bg1"/>
                </a:solidFill>
              </a:rPr>
              <a:t> Guide </a:t>
            </a:r>
            <a:r>
              <a:rPr lang="en-US" sz="1300" b="1" u="sng" baseline="0">
                <a:solidFill>
                  <a:schemeClr val="bg1">
                    <a:lumMod val="85000"/>
                  </a:schemeClr>
                </a:solidFill>
                <a:effectLst/>
                <a:latin typeface="+mn-lt"/>
                <a:ea typeface="+mn-ea"/>
                <a:cs typeface="+mn-cs"/>
              </a:rPr>
              <a:t>(Refer to </a:t>
            </a:r>
            <a:r>
              <a:rPr lang="en-US" sz="1300" b="1" u="sng" baseline="0">
                <a:solidFill>
                  <a:srgbClr val="FFFF00"/>
                </a:solidFill>
                <a:effectLst/>
                <a:latin typeface="+mn-lt"/>
                <a:ea typeface="+mn-ea"/>
                <a:cs typeface="+mn-cs"/>
              </a:rPr>
              <a:t>yellow</a:t>
            </a:r>
            <a:r>
              <a:rPr lang="en-US" sz="1300" b="1" u="sng" baseline="0">
                <a:solidFill>
                  <a:schemeClr val="bg1">
                    <a:lumMod val="85000"/>
                  </a:schemeClr>
                </a:solidFill>
                <a:effectLst/>
                <a:latin typeface="+mn-lt"/>
                <a:ea typeface="+mn-ea"/>
                <a:cs typeface="+mn-cs"/>
              </a:rPr>
              <a:t> section numbers above)</a:t>
            </a:r>
            <a:endParaRPr lang="en-US" sz="1300" b="1" u="sng">
              <a:solidFill>
                <a:schemeClr val="bg1">
                  <a:lumMod val="85000"/>
                </a:schemeClr>
              </a:solidFill>
              <a:effectLst/>
              <a:latin typeface="+mn-lt"/>
              <a:ea typeface="+mn-ea"/>
              <a:cs typeface="+mn-cs"/>
            </a:endParaRPr>
          </a:p>
          <a:p>
            <a:endParaRPr lang="en-US" sz="1100">
              <a:solidFill>
                <a:schemeClr val="bg1">
                  <a:lumMod val="85000"/>
                </a:schemeClr>
              </a:solidFill>
              <a:effectLst/>
              <a:latin typeface="+mn-lt"/>
              <a:ea typeface="+mn-ea"/>
              <a:cs typeface="+mn-cs"/>
            </a:endParaRPr>
          </a:p>
          <a:p>
            <a:r>
              <a:rPr lang="en-US" sz="1100">
                <a:solidFill>
                  <a:schemeClr val="bg1">
                    <a:lumMod val="85000"/>
                  </a:schemeClr>
                </a:solidFill>
                <a:effectLst/>
                <a:latin typeface="+mn-lt"/>
                <a:ea typeface="+mn-ea"/>
                <a:cs typeface="+mn-cs"/>
              </a:rPr>
              <a:t> </a:t>
            </a:r>
            <a:r>
              <a:rPr lang="en-US" sz="1100" b="1" u="sng">
                <a:solidFill>
                  <a:srgbClr val="FFFF00"/>
                </a:solidFill>
                <a:effectLst/>
                <a:latin typeface="+mn-lt"/>
                <a:ea typeface="+mn-ea"/>
                <a:cs typeface="+mn-cs"/>
              </a:rPr>
              <a:t>Section 1 </a:t>
            </a:r>
            <a:r>
              <a:rPr lang="en-US" sz="1100" b="1">
                <a:solidFill>
                  <a:schemeClr val="bg1">
                    <a:lumMod val="85000"/>
                  </a:schemeClr>
                </a:solidFill>
                <a:effectLst/>
                <a:latin typeface="+mn-lt"/>
                <a:ea typeface="+mn-ea"/>
                <a:cs typeface="+mn-cs"/>
              </a:rPr>
              <a:t>(Timing and Location)</a:t>
            </a:r>
            <a:endParaRPr lang="en-US" sz="1100">
              <a:solidFill>
                <a:schemeClr val="bg1">
                  <a:lumMod val="85000"/>
                </a:schemeClr>
              </a:solidFill>
              <a:effectLst/>
              <a:latin typeface="+mn-lt"/>
              <a:ea typeface="+mn-ea"/>
              <a:cs typeface="+mn-cs"/>
            </a:endParaRPr>
          </a:p>
          <a:p>
            <a:r>
              <a:rPr lang="en-US" sz="1100">
                <a:solidFill>
                  <a:schemeClr val="bg1">
                    <a:lumMod val="85000"/>
                  </a:schemeClr>
                </a:solidFill>
                <a:effectLst/>
                <a:latin typeface="+mn-lt"/>
                <a:ea typeface="+mn-ea"/>
                <a:cs typeface="+mn-cs"/>
              </a:rPr>
              <a:t>The user input required is shown in the </a:t>
            </a:r>
            <a:r>
              <a:rPr lang="en-US" sz="1100">
                <a:solidFill>
                  <a:srgbClr val="00B0F0"/>
                </a:solidFill>
                <a:effectLst/>
                <a:latin typeface="+mn-lt"/>
                <a:ea typeface="+mn-ea"/>
                <a:cs typeface="+mn-cs"/>
              </a:rPr>
              <a:t>blue</a:t>
            </a:r>
            <a:r>
              <a:rPr lang="en-US" sz="1100">
                <a:solidFill>
                  <a:schemeClr val="bg1">
                    <a:lumMod val="85000"/>
                  </a:schemeClr>
                </a:solidFill>
                <a:effectLst/>
                <a:latin typeface="+mn-lt"/>
                <a:ea typeface="+mn-ea"/>
                <a:cs typeface="+mn-cs"/>
              </a:rPr>
              <a:t> data cells:</a:t>
            </a:r>
          </a:p>
          <a:p>
            <a:pPr lvl="0"/>
            <a:r>
              <a:rPr lang="en-US" sz="1100">
                <a:solidFill>
                  <a:srgbClr val="00B0F0"/>
                </a:solidFill>
                <a:effectLst/>
                <a:latin typeface="+mn-lt"/>
                <a:ea typeface="+mn-ea"/>
                <a:cs typeface="+mn-cs"/>
              </a:rPr>
              <a:t>Date/Time  </a:t>
            </a:r>
            <a:r>
              <a:rPr lang="en-US" sz="1100">
                <a:solidFill>
                  <a:schemeClr val="bg1">
                    <a:lumMod val="85000"/>
                  </a:schemeClr>
                </a:solidFill>
                <a:effectLst/>
                <a:latin typeface="+mn-lt"/>
                <a:ea typeface="+mn-ea"/>
                <a:cs typeface="+mn-cs"/>
              </a:rPr>
              <a:t>- 2 buttons are provided to set the time to “now” or  to sunset of the current day.  The 5 spin buttons, for month/day/year/hour/minute, easily increment columns to see specific times.   </a:t>
            </a:r>
          </a:p>
          <a:p>
            <a:pPr lvl="0"/>
            <a:r>
              <a:rPr lang="en-US" sz="1100">
                <a:solidFill>
                  <a:schemeClr val="bg1">
                    <a:lumMod val="85000"/>
                  </a:schemeClr>
                </a:solidFill>
                <a:effectLst/>
                <a:latin typeface="+mn-lt"/>
                <a:ea typeface="+mn-ea"/>
                <a:cs typeface="+mn-cs"/>
              </a:rPr>
              <a:t>The date/time cell may also be edited directly.  </a:t>
            </a:r>
          </a:p>
          <a:p>
            <a:pPr lvl="0"/>
            <a:r>
              <a:rPr lang="en-US" sz="1100">
                <a:solidFill>
                  <a:srgbClr val="00B0F0"/>
                </a:solidFill>
                <a:effectLst/>
                <a:latin typeface="+mn-lt"/>
                <a:ea typeface="+mn-ea"/>
                <a:cs typeface="+mn-cs"/>
              </a:rPr>
              <a:t>DST</a:t>
            </a:r>
            <a:r>
              <a:rPr lang="en-US" sz="1100">
                <a:solidFill>
                  <a:schemeClr val="bg1">
                    <a:lumMod val="85000"/>
                  </a:schemeClr>
                </a:solidFill>
                <a:effectLst/>
                <a:latin typeface="+mn-lt"/>
                <a:ea typeface="+mn-ea"/>
                <a:cs typeface="+mn-cs"/>
              </a:rPr>
              <a:t> – Indicate whether Daylight Savings Time is currently in effect for your location.</a:t>
            </a:r>
          </a:p>
          <a:p>
            <a:pPr lvl="0"/>
            <a:r>
              <a:rPr lang="en-US" sz="1100">
                <a:solidFill>
                  <a:srgbClr val="00B0F0"/>
                </a:solidFill>
                <a:effectLst/>
                <a:latin typeface="+mn-lt"/>
                <a:ea typeface="+mn-ea"/>
                <a:cs typeface="+mn-cs"/>
              </a:rPr>
              <a:t>GMT Offset </a:t>
            </a:r>
            <a:r>
              <a:rPr lang="en-US" sz="1100">
                <a:solidFill>
                  <a:schemeClr val="bg1">
                    <a:lumMod val="85000"/>
                  </a:schemeClr>
                </a:solidFill>
                <a:effectLst/>
                <a:latin typeface="+mn-lt"/>
                <a:ea typeface="+mn-ea"/>
                <a:cs typeface="+mn-cs"/>
              </a:rPr>
              <a:t>– Indicate the number of hours that your location is off from Greenwich Mean Time (i.e., Universal Time - UTC).  Hours west of GMT are negative.</a:t>
            </a:r>
          </a:p>
          <a:p>
            <a:pPr lvl="0"/>
            <a:r>
              <a:rPr lang="en-US" sz="1100">
                <a:solidFill>
                  <a:srgbClr val="00B0F0"/>
                </a:solidFill>
                <a:effectLst/>
                <a:latin typeface="+mn-lt"/>
                <a:ea typeface="+mn-ea"/>
                <a:cs typeface="+mn-cs"/>
              </a:rPr>
              <a:t>Latitude and Longitude </a:t>
            </a:r>
            <a:r>
              <a:rPr lang="en-US" sz="1100">
                <a:solidFill>
                  <a:schemeClr val="bg1">
                    <a:lumMod val="85000"/>
                  </a:schemeClr>
                </a:solidFill>
                <a:effectLst/>
                <a:latin typeface="+mn-lt"/>
                <a:ea typeface="+mn-ea"/>
                <a:cs typeface="+mn-cs"/>
              </a:rPr>
              <a:t>– Enter your location in degrees, minutes and seconds.  North and East are positive.</a:t>
            </a:r>
          </a:p>
          <a:p>
            <a:endParaRPr lang="en-US" sz="1100">
              <a:solidFill>
                <a:schemeClr val="bg1">
                  <a:lumMod val="85000"/>
                </a:schemeClr>
              </a:solidFill>
              <a:effectLst/>
              <a:latin typeface="+mn-lt"/>
              <a:ea typeface="+mn-ea"/>
              <a:cs typeface="+mn-cs"/>
            </a:endParaRPr>
          </a:p>
          <a:p>
            <a:r>
              <a:rPr lang="en-US" sz="1100">
                <a:solidFill>
                  <a:schemeClr val="bg1">
                    <a:lumMod val="85000"/>
                  </a:schemeClr>
                </a:solidFill>
                <a:effectLst/>
                <a:latin typeface="+mn-lt"/>
                <a:ea typeface="+mn-ea"/>
                <a:cs typeface="+mn-cs"/>
              </a:rPr>
              <a:t>Clicking the Alphabetical Sort button sorts the objects by Object Name (Column A) .</a:t>
            </a:r>
          </a:p>
          <a:p>
            <a:r>
              <a:rPr lang="en-US" sz="1100">
                <a:solidFill>
                  <a:schemeClr val="bg1">
                    <a:lumMod val="85000"/>
                  </a:schemeClr>
                </a:solidFill>
                <a:effectLst/>
                <a:latin typeface="+mn-lt"/>
                <a:ea typeface="+mn-ea"/>
                <a:cs typeface="+mn-cs"/>
              </a:rPr>
              <a:t>Clicking</a:t>
            </a:r>
            <a:r>
              <a:rPr lang="en-US" sz="1100" baseline="0">
                <a:solidFill>
                  <a:schemeClr val="bg1">
                    <a:lumMod val="85000"/>
                  </a:schemeClr>
                </a:solidFill>
                <a:effectLst/>
                <a:latin typeface="+mn-lt"/>
                <a:ea typeface="+mn-ea"/>
                <a:cs typeface="+mn-cs"/>
              </a:rPr>
              <a:t> t</a:t>
            </a:r>
            <a:r>
              <a:rPr lang="en-US" sz="1100">
                <a:solidFill>
                  <a:schemeClr val="bg1">
                    <a:lumMod val="85000"/>
                  </a:schemeClr>
                </a:solidFill>
                <a:effectLst/>
                <a:latin typeface="+mn-lt"/>
                <a:ea typeface="+mn-ea"/>
                <a:cs typeface="+mn-cs"/>
              </a:rPr>
              <a:t>he Transit Sort button sorts the objects by Transit Time (Column AD), starting with</a:t>
            </a:r>
            <a:r>
              <a:rPr lang="en-US" sz="1100" baseline="0">
                <a:solidFill>
                  <a:schemeClr val="bg1">
                    <a:lumMod val="85000"/>
                  </a:schemeClr>
                </a:solidFill>
                <a:effectLst/>
                <a:latin typeface="+mn-lt"/>
                <a:ea typeface="+mn-ea"/>
                <a:cs typeface="+mn-cs"/>
              </a:rPr>
              <a:t> the time shown in the Date/Time field.</a:t>
            </a:r>
          </a:p>
          <a:p>
            <a:r>
              <a:rPr lang="en-US" sz="1100" baseline="0">
                <a:solidFill>
                  <a:schemeClr val="bg1">
                    <a:lumMod val="85000"/>
                  </a:schemeClr>
                </a:solidFill>
                <a:effectLst/>
                <a:latin typeface="+mn-lt"/>
                <a:ea typeface="+mn-ea"/>
                <a:cs typeface="+mn-cs"/>
              </a:rPr>
              <a:t>Clicking the 3rd gray button takes you back up to the top of the sheet.</a:t>
            </a:r>
          </a:p>
          <a:p>
            <a:endParaRPr lang="en-US" sz="1100" baseline="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rgbClr val="FFFF00"/>
                </a:solidFill>
                <a:effectLst/>
                <a:uLnTx/>
                <a:uFillTx/>
                <a:latin typeface="+mn-lt"/>
                <a:ea typeface="+mn-ea"/>
                <a:cs typeface="+mn-cs"/>
              </a:rPr>
              <a:t>Section 2 </a:t>
            </a:r>
            <a:r>
              <a:rPr kumimoji="0" lang="en-US" sz="1100" b="1" i="0" u="sng" strike="noStrike" kern="0" cap="none" spc="0" normalizeH="0" baseline="0" noProof="0">
                <a:ln>
                  <a:noFill/>
                </a:ln>
                <a:solidFill>
                  <a:prstClr val="white">
                    <a:lumMod val="85000"/>
                  </a:prstClr>
                </a:solidFill>
                <a:effectLst/>
                <a:uLnTx/>
                <a:uFillTx/>
                <a:latin typeface="+mn-lt"/>
                <a:ea typeface="+mn-ea"/>
                <a:cs typeface="+mn-cs"/>
              </a:rPr>
              <a:t>(Sun Data) </a:t>
            </a: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  </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Sun data is shown here for your selected time and location.</a:t>
            </a:r>
          </a:p>
          <a:p>
            <a:r>
              <a:rPr lang="en-US" sz="1100">
                <a:solidFill>
                  <a:schemeClr val="bg1">
                    <a:lumMod val="85000"/>
                  </a:schemeClr>
                </a:solidFill>
                <a:effectLst/>
                <a:latin typeface="+mn-lt"/>
                <a:ea typeface="+mn-ea"/>
                <a:cs typeface="+mn-cs"/>
              </a:rPr>
              <a:t> </a:t>
            </a:r>
          </a:p>
          <a:p>
            <a:r>
              <a:rPr lang="en-US" sz="1100" b="1" u="sng">
                <a:solidFill>
                  <a:srgbClr val="FFFF00"/>
                </a:solidFill>
                <a:effectLst/>
                <a:latin typeface="+mn-lt"/>
                <a:ea typeface="+mn-ea"/>
                <a:cs typeface="+mn-cs"/>
              </a:rPr>
              <a:t>Section 3 </a:t>
            </a:r>
            <a:r>
              <a:rPr lang="en-US" sz="1100" b="1" u="sng">
                <a:solidFill>
                  <a:schemeClr val="bg1">
                    <a:lumMod val="85000"/>
                  </a:schemeClr>
                </a:solidFill>
                <a:effectLst/>
                <a:latin typeface="+mn-lt"/>
                <a:ea typeface="+mn-ea"/>
                <a:cs typeface="+mn-cs"/>
              </a:rPr>
              <a:t>(Moon Data</a:t>
            </a:r>
            <a:r>
              <a:rPr lang="en-US" sz="1100" b="1">
                <a:solidFill>
                  <a:schemeClr val="bg1">
                    <a:lumMod val="85000"/>
                  </a:schemeClr>
                </a:solidFill>
                <a:effectLst/>
                <a:latin typeface="+mn-lt"/>
                <a:ea typeface="+mn-ea"/>
                <a:cs typeface="+mn-cs"/>
              </a:rPr>
              <a:t>) -</a:t>
            </a:r>
            <a:r>
              <a:rPr lang="en-US" sz="1100" b="1" u="sng">
                <a:solidFill>
                  <a:schemeClr val="bg1">
                    <a:lumMod val="85000"/>
                  </a:schemeClr>
                </a:solidFill>
                <a:effectLst/>
                <a:latin typeface="+mn-lt"/>
                <a:ea typeface="+mn-ea"/>
                <a:cs typeface="+mn-cs"/>
              </a:rPr>
              <a:t> </a:t>
            </a:r>
            <a:r>
              <a:rPr lang="en-US" sz="1100">
                <a:solidFill>
                  <a:schemeClr val="bg1">
                    <a:lumMod val="85000"/>
                  </a:schemeClr>
                </a:solidFill>
                <a:effectLst/>
                <a:latin typeface="+mn-lt"/>
                <a:ea typeface="+mn-ea"/>
                <a:cs typeface="+mn-cs"/>
              </a:rPr>
              <a:t>Moon data is shown here for your selected time and location, including a graphic depiction of the moon phase.</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sng" strike="noStrike" kern="0" cap="none" spc="0" normalizeH="0" baseline="0" noProof="0">
                <a:ln>
                  <a:noFill/>
                </a:ln>
                <a:solidFill>
                  <a:srgbClr val="FFFF00"/>
                </a:solidFill>
                <a:effectLst/>
                <a:uLnTx/>
                <a:uFillTx/>
                <a:latin typeface="+mn-lt"/>
                <a:ea typeface="+mn-ea"/>
                <a:cs typeface="+mn-cs"/>
              </a:rPr>
              <a:t>Section 4  </a:t>
            </a: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(Filtering Buttons)</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This section allows one-click filtering of the spreadsheet in 115 different ways.  The blue button applies user-specified declinations limits, the green button applies user-specified size limits, the red buttons filter out the best targets, the blue dropdown button filters out catalogues, and the brown buttons filter out various DSO features.  The black button clears all of the filters except the declination and size ranges.  Applied filters show up as a funnel symbol next to the down arrows in Row 9.</a:t>
            </a:r>
          </a:p>
          <a:p>
            <a:endParaRPr lang="en-US" sz="1100">
              <a:solidFill>
                <a:schemeClr val="bg1">
                  <a:lumMod val="85000"/>
                </a:schemeClr>
              </a:solidFill>
              <a:effectLst/>
              <a:latin typeface="+mn-lt"/>
              <a:ea typeface="+mn-ea"/>
              <a:cs typeface="+mn-cs"/>
            </a:endParaRPr>
          </a:p>
          <a:p>
            <a:r>
              <a:rPr lang="en-US" sz="1100" b="1" u="sng">
                <a:solidFill>
                  <a:srgbClr val="FFFF00"/>
                </a:solidFill>
                <a:effectLst/>
                <a:latin typeface="+mn-lt"/>
                <a:ea typeface="+mn-ea"/>
                <a:cs typeface="+mn-cs"/>
              </a:rPr>
              <a:t>Section 5 </a:t>
            </a:r>
            <a:r>
              <a:rPr lang="en-US" sz="1100" b="1" u="sng">
                <a:solidFill>
                  <a:schemeClr val="bg1">
                    <a:lumMod val="85000"/>
                  </a:schemeClr>
                </a:solidFill>
                <a:effectLst/>
                <a:latin typeface="+mn-lt"/>
                <a:ea typeface="+mn-ea"/>
                <a:cs typeface="+mn-cs"/>
              </a:rPr>
              <a:t>(Object Data)</a:t>
            </a:r>
            <a:endParaRPr lang="en-US" sz="1100">
              <a:solidFill>
                <a:schemeClr val="bg1">
                  <a:lumMod val="85000"/>
                </a:schemeClr>
              </a:solidFill>
              <a:effectLst/>
              <a:latin typeface="+mn-lt"/>
              <a:ea typeface="+mn-ea"/>
              <a:cs typeface="+mn-cs"/>
            </a:endParaRPr>
          </a:p>
          <a:p>
            <a:endParaRPr lang="en-US" sz="1100" b="1">
              <a:solidFill>
                <a:schemeClr val="bg1">
                  <a:lumMod val="85000"/>
                </a:schemeClr>
              </a:solidFill>
              <a:effectLst/>
              <a:latin typeface="+mn-lt"/>
              <a:ea typeface="+mn-ea"/>
              <a:cs typeface="+mn-cs"/>
            </a:endParaRPr>
          </a:p>
          <a:p>
            <a:r>
              <a:rPr lang="en-US" sz="1100" b="1">
                <a:solidFill>
                  <a:schemeClr val="bg1">
                    <a:lumMod val="85000"/>
                  </a:schemeClr>
                </a:solidFill>
                <a:effectLst/>
                <a:latin typeface="+mn-lt"/>
                <a:ea typeface="+mn-ea"/>
                <a:cs typeface="+mn-cs"/>
              </a:rPr>
              <a:t>Column A – “Object Name”</a:t>
            </a:r>
            <a:r>
              <a:rPr lang="en-US" sz="1100">
                <a:solidFill>
                  <a:schemeClr val="bg1">
                    <a:lumMod val="85000"/>
                  </a:schemeClr>
                </a:solidFill>
                <a:effectLst/>
                <a:latin typeface="+mn-lt"/>
                <a:ea typeface="+mn-ea"/>
                <a:cs typeface="+mn-cs"/>
              </a:rPr>
              <a:t> </a:t>
            </a:r>
          </a:p>
          <a:p>
            <a:r>
              <a:rPr lang="en-US" sz="1100">
                <a:solidFill>
                  <a:schemeClr val="bg1">
                    <a:lumMod val="85000"/>
                  </a:schemeClr>
                </a:solidFill>
                <a:effectLst/>
                <a:latin typeface="+mn-lt"/>
                <a:ea typeface="+mn-ea"/>
                <a:cs typeface="+mn-cs"/>
              </a:rPr>
              <a:t>Each deep sky object (DSO) is represented by one (and only one) spreadsheet row. An object may have multiple designations and the name used in Column A is my view of the most common designation of that object,  typically a Messier, NGC, or IC designation.  If the object has no such designation, I use a catalogue designation based on object type (e.g., Sh2 or vdB) or a common name.  </a:t>
            </a:r>
          </a:p>
          <a:p>
            <a:r>
              <a:rPr lang="en-US" sz="1100">
                <a:solidFill>
                  <a:schemeClr val="bg1">
                    <a:lumMod val="85000"/>
                  </a:schemeClr>
                </a:solidFill>
                <a:effectLst/>
                <a:latin typeface="+mn-lt"/>
                <a:ea typeface="+mn-ea"/>
                <a:cs typeface="+mn-cs"/>
              </a:rPr>
              <a:t>A low resolution mouseover image is shown for each object, usually my image but sometimes a publicly available sky atlas image (DSS or SDSS).  If I have imaged the object, the object name in Column A is a blue hyperlink which takes you to my Astrobin image of that object. </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B – “SIMBAD Link</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This hyperlink takes you to the SIMBAD web site for this object, containing detailed technical information.</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C – “ALADIN Link</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This hyperlink takes you to the ALADIN sky atlas image of this object.</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D – “Type</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type of the object, either Galaxy, Nebula, or Star-related.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E – “Sub</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subtype of the object, as described in the "Type-Subtype-Class" tab of this spreadsheet.</a:t>
            </a:r>
            <a:endParaRPr lang="en-US" sz="1100">
              <a:solidFill>
                <a:schemeClr val="bg1">
                  <a:lumMod val="85000"/>
                </a:schemeClr>
              </a:solidFill>
              <a:effectLst/>
              <a:latin typeface="+mn-lt"/>
              <a:ea typeface="+mn-ea"/>
              <a:cs typeface="+mn-cs"/>
            </a:endParaRP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F – “Class</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class of the object, as described in the "Type-Subtype-Class" tab of this spreadsheet.</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G – “Size”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Object size in arc-minutes in our apparent view.  For comparison, the full moon as seen from earth is about 31 arc-minutes in diameter and Jupiter averages about 0.6 arc-minutes in diameter.  </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H – “Distance”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Distance Definitions: </a:t>
            </a:r>
            <a:br>
              <a:rPr kumimoji="0" lang="en-US" sz="1100" b="0" i="0" u="none" strike="noStrike" kern="0" cap="none" spc="0" normalizeH="0" baseline="0" noProof="0">
                <a:ln>
                  <a:noFill/>
                </a:ln>
                <a:solidFill>
                  <a:prstClr val="white">
                    <a:lumMod val="85000"/>
                  </a:prstClr>
                </a:solidFill>
                <a:effectLst/>
                <a:uLnTx/>
                <a:uFillTx/>
                <a:latin typeface="+mn-lt"/>
                <a:ea typeface="+mn-ea"/>
                <a:cs typeface="+mn-cs"/>
              </a:rPr>
            </a:b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 For Galaxies, shown in millions of lightyears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 For Milky Way objects, shown in lightyears (displayed in </a:t>
            </a:r>
            <a:r>
              <a:rPr kumimoji="0" lang="en-US" sz="1100" b="0" i="1" u="none" strike="noStrike" kern="0" cap="none" spc="0" normalizeH="0" baseline="0" noProof="0">
                <a:ln>
                  <a:noFill/>
                </a:ln>
                <a:solidFill>
                  <a:schemeClr val="accent6">
                    <a:lumMod val="50000"/>
                  </a:schemeClr>
                </a:solidFill>
                <a:effectLst/>
                <a:uLnTx/>
                <a:uFillTx/>
                <a:latin typeface="+mn-lt"/>
                <a:ea typeface="+mn-ea"/>
                <a:cs typeface="+mn-cs"/>
              </a:rPr>
              <a:t>brown italics</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"u" indicates that the object distance is unknown at this time. </a:t>
            </a:r>
            <a:endParaRPr lang="en-US" sz="1100">
              <a:solidFill>
                <a:schemeClr val="bg1">
                  <a:lumMod val="85000"/>
                </a:schemeClr>
              </a:solidFill>
              <a:effectLst/>
              <a:latin typeface="+mn-lt"/>
              <a:ea typeface="+mn-ea"/>
              <a:cs typeface="+mn-cs"/>
            </a:endParaRPr>
          </a:p>
          <a:p>
            <a:endParaRPr lang="en-US" sz="1100">
              <a:solidFill>
                <a:schemeClr val="bg1">
                  <a:lumMod val="85000"/>
                </a:schemeClr>
              </a:solidFill>
              <a:effectLst/>
              <a:latin typeface="+mn-lt"/>
              <a:ea typeface="+mn-ea"/>
              <a:cs typeface="+mn-cs"/>
            </a:endParaRPr>
          </a:p>
          <a:p>
            <a:r>
              <a:rPr lang="en-US" sz="1100" b="1">
                <a:solidFill>
                  <a:schemeClr val="bg1">
                    <a:lumMod val="85000"/>
                  </a:schemeClr>
                </a:solidFill>
                <a:effectLst/>
                <a:latin typeface="+mn-lt"/>
                <a:ea typeface="+mn-ea"/>
                <a:cs typeface="+mn-cs"/>
              </a:rPr>
              <a:t>Column I – “Diameter</a:t>
            </a:r>
            <a:r>
              <a:rPr lang="en-US" sz="1100">
                <a:solidFill>
                  <a:schemeClr val="bg1">
                    <a:lumMod val="85000"/>
                  </a:schemeClr>
                </a:solidFill>
                <a:effectLst/>
                <a:latin typeface="+mn-lt"/>
                <a:ea typeface="+mn-ea"/>
                <a:cs typeface="+mn-cs"/>
              </a:rPr>
              <a:t>“</a:t>
            </a:r>
          </a:p>
          <a:p>
            <a:r>
              <a:rPr lang="en-US" sz="1100">
                <a:solidFill>
                  <a:schemeClr val="bg1">
                    <a:lumMod val="85000"/>
                  </a:schemeClr>
                </a:solidFill>
                <a:effectLst/>
                <a:latin typeface="+mn-lt"/>
                <a:ea typeface="+mn-ea"/>
                <a:cs typeface="+mn-cs"/>
              </a:rPr>
              <a:t>The actual diameter of the object.  Diameter Definitions:</a:t>
            </a:r>
          </a:p>
          <a:p>
            <a:r>
              <a:rPr lang="en-US" sz="1100">
                <a:solidFill>
                  <a:schemeClr val="bg1">
                    <a:lumMod val="85000"/>
                  </a:schemeClr>
                </a:solidFill>
                <a:effectLst/>
                <a:latin typeface="+mn-lt"/>
                <a:ea typeface="+mn-ea"/>
                <a:cs typeface="+mn-cs"/>
              </a:rPr>
              <a:t>- For Galaxies, shown in thousands of lightyears</a:t>
            </a:r>
          </a:p>
          <a:p>
            <a:r>
              <a:rPr lang="en-US" sz="1100">
                <a:solidFill>
                  <a:schemeClr val="bg1">
                    <a:lumMod val="85000"/>
                  </a:schemeClr>
                </a:solidFill>
                <a:effectLst/>
                <a:latin typeface="+mn-lt"/>
                <a:ea typeface="+mn-ea"/>
                <a:cs typeface="+mn-cs"/>
              </a:rPr>
              <a:t>- For Milky Way objects, shown in lightyears (displayed in </a:t>
            </a:r>
            <a:r>
              <a:rPr lang="en-US" sz="1100" b="0" i="1" baseline="0">
                <a:solidFill>
                  <a:schemeClr val="accent6">
                    <a:lumMod val="50000"/>
                  </a:schemeClr>
                </a:solidFill>
                <a:effectLst/>
                <a:latin typeface="+mn-lt"/>
                <a:ea typeface="+mn-ea"/>
                <a:cs typeface="+mn-cs"/>
              </a:rPr>
              <a:t>brown italics</a:t>
            </a:r>
            <a:r>
              <a:rPr lang="en-US" sz="1100">
                <a:solidFill>
                  <a:schemeClr val="bg1">
                    <a:lumMod val="85000"/>
                  </a:schemeClr>
                </a:solidFill>
                <a:effectLst/>
                <a:latin typeface="+mn-lt"/>
                <a:ea typeface="+mn-ea"/>
                <a:cs typeface="+mn-cs"/>
              </a:rPr>
              <a:t>)</a:t>
            </a:r>
          </a:p>
          <a:p>
            <a:r>
              <a:rPr lang="en-US" sz="1100">
                <a:solidFill>
                  <a:schemeClr val="bg1">
                    <a:lumMod val="85000"/>
                  </a:schemeClr>
                </a:solidFill>
                <a:effectLst/>
                <a:latin typeface="+mn-lt"/>
                <a:ea typeface="+mn-ea"/>
                <a:cs typeface="+mn-cs"/>
              </a:rPr>
              <a:t>- For galaxy groups, clusters, and chains, the size is the group diameter (</a:t>
            </a:r>
            <a:r>
              <a:rPr lang="en-US" sz="1100" u="sng">
                <a:solidFill>
                  <a:schemeClr val="bg1">
                    <a:lumMod val="85000"/>
                  </a:schemeClr>
                </a:solidFill>
                <a:effectLst/>
                <a:latin typeface="+mn-lt"/>
                <a:ea typeface="+mn-ea"/>
                <a:cs typeface="+mn-cs"/>
              </a:rPr>
              <a:t>underlined</a:t>
            </a:r>
            <a:r>
              <a:rPr lang="en-US" sz="1100">
                <a:solidFill>
                  <a:schemeClr val="bg1">
                    <a:lumMod val="85000"/>
                  </a:schemeClr>
                </a:solidFill>
                <a:effectLst/>
                <a:latin typeface="+mn-lt"/>
                <a:ea typeface="+mn-ea"/>
                <a:cs typeface="+mn-cs"/>
              </a:rPr>
              <a:t>).</a:t>
            </a:r>
          </a:p>
          <a:p>
            <a:r>
              <a:rPr lang="en-US" sz="1100">
                <a:solidFill>
                  <a:schemeClr val="bg1">
                    <a:lumMod val="85000"/>
                  </a:schemeClr>
                </a:solidFill>
                <a:effectLst/>
                <a:latin typeface="+mn-lt"/>
                <a:ea typeface="+mn-ea"/>
                <a:cs typeface="+mn-cs"/>
              </a:rPr>
              <a:t>- For galaxy trios and pairs, the size is the diameter of the largest member.</a:t>
            </a:r>
          </a:p>
          <a:p>
            <a:pPr>
              <a:lnSpc>
                <a:spcPts val="1200"/>
              </a:lnSpc>
            </a:pPr>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"u" indicates that the object diameter is unknown at this time.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J – “Rating</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Rating of the imaging potential of the object.  Object rating definitions: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5 - Top 2% of All Objects (Showcase Object)        </a:t>
            </a:r>
            <a:br>
              <a:rPr kumimoji="0" lang="en-US" sz="1100" b="0" i="0" u="none" strike="noStrike" kern="0" cap="none" spc="0" normalizeH="0" baseline="0" noProof="0">
                <a:ln>
                  <a:noFill/>
                </a:ln>
                <a:solidFill>
                  <a:prstClr val="white">
                    <a:lumMod val="85000"/>
                  </a:prstClr>
                </a:solidFill>
                <a:effectLst/>
                <a:uLnTx/>
                <a:uFillTx/>
                <a:latin typeface="+mn-lt"/>
                <a:ea typeface="+mn-ea"/>
                <a:cs typeface="+mn-cs"/>
              </a:rPr>
            </a:b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4 - Top 10% of All Objects (Excellent)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3 - Top 25% of All Objects (Good)                       </a:t>
            </a:r>
            <a:br>
              <a:rPr kumimoji="0" lang="en-US" sz="1100" b="0" i="0" u="none" strike="noStrike" kern="0" cap="none" spc="0" normalizeH="0" baseline="0" noProof="0">
                <a:ln>
                  <a:noFill/>
                </a:ln>
                <a:solidFill>
                  <a:prstClr val="white">
                    <a:lumMod val="85000"/>
                  </a:prstClr>
                </a:solidFill>
                <a:effectLst/>
                <a:uLnTx/>
                <a:uFillTx/>
                <a:latin typeface="+mn-lt"/>
                <a:ea typeface="+mn-ea"/>
                <a:cs typeface="+mn-cs"/>
              </a:rPr>
            </a:b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2 - Majority of Objects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1 - Only for hardcore imagers                                </a:t>
            </a:r>
            <a:br>
              <a:rPr kumimoji="0" lang="en-US" sz="1100" b="0" i="0" u="none" strike="noStrike" kern="0" cap="none" spc="0" normalizeH="0" baseline="0" noProof="0">
                <a:ln>
                  <a:noFill/>
                </a:ln>
                <a:solidFill>
                  <a:prstClr val="white">
                    <a:lumMod val="85000"/>
                  </a:prstClr>
                </a:solidFill>
                <a:effectLst/>
                <a:uLnTx/>
                <a:uFillTx/>
                <a:latin typeface="+mn-lt"/>
                <a:ea typeface="+mn-ea"/>
                <a:cs typeface="+mn-cs"/>
              </a:rPr>
            </a:b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0 - Not worth imaging</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K – “Notes</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Brief description of each object</a:t>
            </a:r>
            <a:endParaRPr lang="en-US" sz="1100">
              <a:solidFill>
                <a:schemeClr val="bg1">
                  <a:lumMod val="85000"/>
                </a:schemeClr>
              </a:solidFill>
              <a:effectLst/>
              <a:latin typeface="+mn-lt"/>
              <a:ea typeface="+mn-ea"/>
              <a:cs typeface="+mn-cs"/>
            </a:endParaRPr>
          </a:p>
          <a:p>
            <a:pPr>
              <a:lnSpc>
                <a:spcPts val="1200"/>
              </a:lnSpc>
            </a:pPr>
            <a:endParaRPr lang="en-US" sz="1100">
              <a:solidFill>
                <a:schemeClr val="bg1">
                  <a:lumMod val="85000"/>
                </a:schemeClr>
              </a:solidFill>
              <a:effectLst/>
              <a:latin typeface="+mn-lt"/>
              <a:ea typeface="+mn-ea"/>
              <a:cs typeface="+mn-cs"/>
            </a:endParaRPr>
          </a:p>
          <a:p>
            <a:pPr>
              <a:lnSpc>
                <a:spcPts val="1200"/>
              </a:lnSpc>
            </a:pPr>
            <a:r>
              <a:rPr lang="en-US" sz="1100" b="1">
                <a:solidFill>
                  <a:schemeClr val="bg1">
                    <a:lumMod val="85000"/>
                  </a:schemeClr>
                </a:solidFill>
                <a:effectLst/>
                <a:latin typeface="+mn-lt"/>
                <a:ea typeface="+mn-ea"/>
                <a:cs typeface="+mn-cs"/>
              </a:rPr>
              <a:t>Columns L and M – “Right Ascension”</a:t>
            </a:r>
            <a:endParaRPr lang="en-US" sz="1100">
              <a:solidFill>
                <a:schemeClr val="bg1">
                  <a:lumMod val="85000"/>
                </a:schemeClr>
              </a:solidFill>
              <a:effectLst/>
              <a:latin typeface="+mn-lt"/>
              <a:ea typeface="+mn-ea"/>
              <a:cs typeface="+mn-cs"/>
            </a:endParaRPr>
          </a:p>
          <a:p>
            <a:r>
              <a:rPr lang="en-US" sz="1100">
                <a:solidFill>
                  <a:schemeClr val="bg1">
                    <a:lumMod val="85000"/>
                  </a:schemeClr>
                </a:solidFill>
                <a:effectLst/>
                <a:latin typeface="+mn-lt"/>
                <a:ea typeface="+mn-ea"/>
                <a:cs typeface="+mn-cs"/>
              </a:rPr>
              <a:t>Right Ascension, in hours/minutes/seconds, ranging from 0 to 24 across the sky in the west-east direction.</a:t>
            </a:r>
          </a:p>
          <a:p>
            <a:pPr>
              <a:lnSpc>
                <a:spcPts val="1200"/>
              </a:lnSpc>
            </a:pPr>
            <a:endParaRPr lang="en-US" sz="1100">
              <a:solidFill>
                <a:schemeClr val="bg1">
                  <a:lumMod val="85000"/>
                </a:schemeClr>
              </a:solidFill>
              <a:effectLst/>
              <a:latin typeface="+mn-lt"/>
              <a:ea typeface="+mn-ea"/>
              <a:cs typeface="+mn-cs"/>
            </a:endParaRPr>
          </a:p>
          <a:p>
            <a:pPr>
              <a:lnSpc>
                <a:spcPts val="1200"/>
              </a:lnSpc>
            </a:pPr>
            <a:r>
              <a:rPr lang="en-US" sz="1100" b="1">
                <a:solidFill>
                  <a:schemeClr val="bg1">
                    <a:lumMod val="85000"/>
                  </a:schemeClr>
                </a:solidFill>
                <a:effectLst/>
                <a:latin typeface="+mn-lt"/>
                <a:ea typeface="+mn-ea"/>
                <a:cs typeface="+mn-cs"/>
              </a:rPr>
              <a:t>Columns N and O – “Declination”</a:t>
            </a:r>
            <a:endParaRPr lang="en-US" sz="1100">
              <a:solidFill>
                <a:schemeClr val="bg1">
                  <a:lumMod val="85000"/>
                </a:schemeClr>
              </a:solidFill>
              <a:effectLst/>
              <a:latin typeface="+mn-lt"/>
              <a:ea typeface="+mn-ea"/>
              <a:cs typeface="+mn-cs"/>
            </a:endParaRPr>
          </a:p>
          <a:p>
            <a:r>
              <a:rPr lang="en-US" sz="1100">
                <a:solidFill>
                  <a:schemeClr val="bg1">
                    <a:lumMod val="85000"/>
                  </a:schemeClr>
                </a:solidFill>
                <a:effectLst/>
                <a:latin typeface="+mn-lt"/>
                <a:ea typeface="+mn-ea"/>
                <a:cs typeface="+mn-cs"/>
              </a:rPr>
              <a:t>Declination, in degrees/minutes/seconds, ranging from +90 to -90 across the sky in the north-south direction.  Because of my location in the northern hemisphere (+31 degrees declination), I am able to image objects from +90 degrees down to about -53 degrees.  Objects below -30 degrees declination are hard for me to image clearly because of atmospheric distortion. </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P – “Constellation”</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Constellation in the sky where the object is located.  </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Q – “Nickname”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600 object nicknames are shown here, the largest list of DSO nicknames anywhere.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R – “Alternative ID”</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Many objects have multiple designations.  The most common designation is shown in Column A, the rest are shown here in Column 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S – “Nearby Objects”</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Nearby objects are listed here, generally within 0.5 degrees of the primary object.  Combining these objects in a single FOV for shorter focal length systems can be effective.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T – “Visual Magnitude”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visual magnitude of an object when available.  For some galaxy groups as noted, particularly Hickson groups, this is the magnitude of the group.</a:t>
            </a:r>
          </a:p>
          <a:p>
            <a:pPr marL="0" marR="0" lvl="0" indent="0" defTabSz="914400" eaLnBrk="1" fontAlgn="auto" latinLnBrk="0" hangingPunct="1">
              <a:lnSpc>
                <a:spcPts val="12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U – “Surface Brightness”</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surface brightness of an object, in magnitudes per square arc-second, when available.  Surface brightness values are the most uncertain of any DSO data parameter.</a:t>
            </a:r>
            <a:br>
              <a:rPr kumimoji="0" lang="en-US" sz="1100" b="0" i="0" u="none" strike="noStrike" kern="0" cap="none" spc="0" normalizeH="0" baseline="0" noProof="0">
                <a:ln>
                  <a:noFill/>
                </a:ln>
                <a:solidFill>
                  <a:prstClr val="white">
                    <a:lumMod val="85000"/>
                  </a:prstClr>
                </a:solidFill>
                <a:effectLst/>
                <a:uLnTx/>
                <a:uFillTx/>
                <a:latin typeface="+mn-lt"/>
                <a:ea typeface="+mn-ea"/>
                <a:cs typeface="+mn-cs"/>
              </a:rPr>
            </a:b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For some galaxy groups as noted, particularly Hickson groups, this is the brightness of the group.</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V – “Inclination”</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For single galaxies. Definition:</a:t>
            </a: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Face-on = 0 deg</a:t>
            </a:r>
          </a:p>
          <a:p>
            <a:pPr marL="0" marR="0" lvl="0" indent="0" defTabSz="914400" eaLnBrk="1" fontAlgn="auto" latinLnBrk="0" hangingPunct="1">
              <a:lnSpc>
                <a:spcPts val="12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Edge-on = 90 deg</a:t>
            </a:r>
          </a:p>
          <a:p>
            <a:pPr marL="0" marR="0" lvl="0" indent="0" defTabSz="914400" eaLnBrk="1" fontAlgn="auto" latinLnBrk="0" hangingPunct="1">
              <a:lnSpc>
                <a:spcPts val="12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a:lnSpc>
                <a:spcPts val="1200"/>
              </a:lnSpc>
            </a:pPr>
            <a:r>
              <a:rPr lang="en-US" sz="1100" b="1" u="sng">
                <a:solidFill>
                  <a:srgbClr val="FFFF00"/>
                </a:solidFill>
                <a:effectLst/>
                <a:latin typeface="+mn-lt"/>
                <a:ea typeface="+mn-ea"/>
                <a:cs typeface="+mn-cs"/>
              </a:rPr>
              <a:t>Section 6 </a:t>
            </a:r>
            <a:r>
              <a:rPr lang="en-US" sz="1100" b="1" u="sng">
                <a:solidFill>
                  <a:schemeClr val="bg1">
                    <a:lumMod val="85000"/>
                  </a:schemeClr>
                </a:solidFill>
                <a:effectLst/>
                <a:latin typeface="+mn-lt"/>
                <a:ea typeface="+mn-ea"/>
                <a:cs typeface="+mn-cs"/>
              </a:rPr>
              <a:t>(My Section)</a:t>
            </a:r>
            <a:endParaRPr lang="en-US" sz="1100">
              <a:solidFill>
                <a:schemeClr val="bg1">
                  <a:lumMod val="85000"/>
                </a:schemeClr>
              </a:solidFill>
              <a:effectLst/>
              <a:latin typeface="+mn-lt"/>
              <a:ea typeface="+mn-ea"/>
              <a:cs typeface="+mn-cs"/>
            </a:endParaRPr>
          </a:p>
          <a:p>
            <a:pPr>
              <a:lnSpc>
                <a:spcPts val="1200"/>
              </a:lnSpc>
            </a:pPr>
            <a:r>
              <a:rPr lang="en-US" sz="1100">
                <a:solidFill>
                  <a:schemeClr val="bg1">
                    <a:lumMod val="85000"/>
                  </a:schemeClr>
                </a:solidFill>
                <a:effectLst/>
                <a:latin typeface="+mn-lt"/>
                <a:ea typeface="+mn-ea"/>
                <a:cs typeface="+mn-cs"/>
              </a:rPr>
              <a:t>The next 3 columns are for you to use to highlight object priority, flag imaging status, and write</a:t>
            </a:r>
            <a:r>
              <a:rPr lang="en-US" sz="1100" baseline="0">
                <a:solidFill>
                  <a:schemeClr val="bg1">
                    <a:lumMod val="85000"/>
                  </a:schemeClr>
                </a:solidFill>
                <a:effectLst/>
                <a:latin typeface="+mn-lt"/>
                <a:ea typeface="+mn-ea"/>
                <a:cs typeface="+mn-cs"/>
              </a:rPr>
              <a:t> comments</a:t>
            </a:r>
            <a:r>
              <a:rPr lang="en-US" sz="1100">
                <a:solidFill>
                  <a:schemeClr val="bg1">
                    <a:lumMod val="85000"/>
                  </a:schemeClr>
                </a:solidFill>
                <a:effectLst/>
                <a:latin typeface="+mn-lt"/>
                <a:ea typeface="+mn-ea"/>
                <a:cs typeface="+mn-cs"/>
              </a:rPr>
              <a:t>:</a:t>
            </a:r>
          </a:p>
          <a:p>
            <a:endParaRPr lang="en-US" sz="1100">
              <a:solidFill>
                <a:schemeClr val="bg1">
                  <a:lumMod val="85000"/>
                </a:schemeClr>
              </a:solidFill>
              <a:effectLst/>
              <a:latin typeface="+mn-lt"/>
              <a:ea typeface="+mn-ea"/>
              <a:cs typeface="+mn-cs"/>
            </a:endParaRPr>
          </a:p>
          <a:p>
            <a:pPr>
              <a:lnSpc>
                <a:spcPts val="1200"/>
              </a:lnSpc>
            </a:pPr>
            <a:r>
              <a:rPr lang="en-US" sz="1100" b="1">
                <a:solidFill>
                  <a:schemeClr val="bg1">
                    <a:lumMod val="85000"/>
                  </a:schemeClr>
                </a:solidFill>
                <a:effectLst/>
                <a:latin typeface="+mn-lt"/>
                <a:ea typeface="+mn-ea"/>
                <a:cs typeface="+mn-cs"/>
              </a:rPr>
              <a:t>Column W – “Row Color”</a:t>
            </a:r>
          </a:p>
          <a:p>
            <a:pPr>
              <a:lnSpc>
                <a:spcPts val="1200"/>
              </a:lnSpc>
            </a:pPr>
            <a:r>
              <a:rPr lang="en-US" sz="1100">
                <a:solidFill>
                  <a:schemeClr val="bg1">
                    <a:lumMod val="85000"/>
                  </a:schemeClr>
                </a:solidFill>
                <a:effectLst/>
                <a:latin typeface="+mn-lt"/>
                <a:ea typeface="+mn-ea"/>
                <a:cs typeface="+mn-cs"/>
              </a:rPr>
              <a:t>Sets the color of the row:</a:t>
            </a:r>
          </a:p>
          <a:p>
            <a:pPr>
              <a:lnSpc>
                <a:spcPts val="1200"/>
              </a:lnSpc>
            </a:pPr>
            <a:r>
              <a:rPr lang="en-US" sz="1100">
                <a:solidFill>
                  <a:schemeClr val="bg1">
                    <a:lumMod val="85000"/>
                  </a:schemeClr>
                </a:solidFill>
                <a:effectLst/>
                <a:latin typeface="+mn-lt"/>
                <a:ea typeface="+mn-ea"/>
                <a:cs typeface="+mn-cs"/>
              </a:rPr>
              <a:t>"1" objects are marked with a light green fill.</a:t>
            </a:r>
          </a:p>
          <a:p>
            <a:pPr>
              <a:lnSpc>
                <a:spcPts val="1200"/>
              </a:lnSpc>
            </a:pPr>
            <a:r>
              <a:rPr lang="en-US" sz="1100">
                <a:solidFill>
                  <a:schemeClr val="bg1">
                    <a:lumMod val="85000"/>
                  </a:schemeClr>
                </a:solidFill>
                <a:effectLst/>
                <a:latin typeface="+mn-lt"/>
                <a:ea typeface="+mn-ea"/>
                <a:cs typeface="+mn-cs"/>
              </a:rPr>
              <a:t>"2" objects are marked with a light yellow fill.</a:t>
            </a:r>
          </a:p>
          <a:p>
            <a:pPr>
              <a:lnSpc>
                <a:spcPts val="1200"/>
              </a:lnSpc>
            </a:pPr>
            <a:r>
              <a:rPr lang="en-US" sz="1100">
                <a:solidFill>
                  <a:schemeClr val="bg1">
                    <a:lumMod val="85000"/>
                  </a:schemeClr>
                </a:solidFill>
                <a:effectLst/>
                <a:latin typeface="+mn-lt"/>
                <a:ea typeface="+mn-ea"/>
                <a:cs typeface="+mn-cs"/>
              </a:rPr>
              <a:t>"3" objects are marked with a light red fill.</a:t>
            </a:r>
          </a:p>
          <a:p>
            <a:pPr>
              <a:lnSpc>
                <a:spcPts val="1200"/>
              </a:lnSpc>
            </a:pPr>
            <a:endParaRPr lang="en-US" sz="1100">
              <a:solidFill>
                <a:schemeClr val="bg1">
                  <a:lumMod val="85000"/>
                </a:schemeClr>
              </a:solidFill>
              <a:effectLst/>
              <a:latin typeface="+mn-lt"/>
              <a:ea typeface="+mn-ea"/>
              <a:cs typeface="+mn-cs"/>
            </a:endParaRPr>
          </a:p>
          <a:p>
            <a:pPr>
              <a:lnSpc>
                <a:spcPts val="1200"/>
              </a:lnSpc>
            </a:pPr>
            <a:r>
              <a:rPr lang="en-US" sz="1100">
                <a:solidFill>
                  <a:schemeClr val="bg1">
                    <a:lumMod val="85000"/>
                  </a:schemeClr>
                </a:solidFill>
                <a:effectLst/>
                <a:latin typeface="+mn-lt"/>
                <a:ea typeface="+mn-ea"/>
                <a:cs typeface="+mn-cs"/>
              </a:rPr>
              <a:t>Use this "stoplight" flag to indicate object priority, scope assignment, or whatever you choose.</a:t>
            </a:r>
          </a:p>
          <a:p>
            <a:pPr lvl="0"/>
            <a:endParaRPr lang="en-US" sz="1100">
              <a:solidFill>
                <a:schemeClr val="bg1">
                  <a:lumMod val="85000"/>
                </a:schemeClr>
              </a:solidFill>
              <a:effectLst/>
              <a:latin typeface="+mn-lt"/>
              <a:ea typeface="+mn-ea"/>
              <a:cs typeface="+mn-cs"/>
            </a:endParaRPr>
          </a:p>
          <a:p>
            <a:pPr>
              <a:lnSpc>
                <a:spcPts val="1100"/>
              </a:lnSpc>
            </a:pPr>
            <a:r>
              <a:rPr lang="en-US" sz="1100" b="1">
                <a:solidFill>
                  <a:schemeClr val="bg1">
                    <a:lumMod val="85000"/>
                  </a:schemeClr>
                </a:solidFill>
                <a:effectLst/>
                <a:latin typeface="+mn-lt"/>
                <a:ea typeface="+mn-ea"/>
                <a:cs typeface="+mn-cs"/>
              </a:rPr>
              <a:t>Column X – “Imaging Status”</a:t>
            </a:r>
            <a:endParaRPr lang="en-US" sz="1100">
              <a:solidFill>
                <a:schemeClr val="bg1">
                  <a:lumMod val="85000"/>
                </a:schemeClr>
              </a:solidFill>
              <a:effectLst/>
              <a:latin typeface="+mn-lt"/>
              <a:ea typeface="+mn-ea"/>
              <a:cs typeface="+mn-cs"/>
            </a:endParaRPr>
          </a:p>
          <a:p>
            <a:pPr>
              <a:lnSpc>
                <a:spcPts val="1100"/>
              </a:lnSpc>
            </a:pPr>
            <a:r>
              <a:rPr lang="en-US" sz="1100">
                <a:solidFill>
                  <a:schemeClr val="bg1">
                    <a:lumMod val="85000"/>
                  </a:schemeClr>
                </a:solidFill>
                <a:effectLst/>
                <a:latin typeface="+mn-lt"/>
                <a:ea typeface="+mn-ea"/>
                <a:cs typeface="+mn-cs"/>
              </a:rPr>
              <a:t>Sets the status of the imaged object:</a:t>
            </a:r>
          </a:p>
          <a:p>
            <a:pPr>
              <a:lnSpc>
                <a:spcPts val="1100"/>
              </a:lnSpc>
            </a:pPr>
            <a:r>
              <a:rPr lang="en-US" sz="1100">
                <a:solidFill>
                  <a:schemeClr val="bg1">
                    <a:lumMod val="85000"/>
                  </a:schemeClr>
                </a:solidFill>
                <a:effectLst/>
                <a:latin typeface="+mn-lt"/>
                <a:ea typeface="+mn-ea"/>
                <a:cs typeface="+mn-cs"/>
              </a:rPr>
              <a:t>"p" objects (planned) are marked with a dotted pattern.</a:t>
            </a:r>
          </a:p>
          <a:p>
            <a:pPr>
              <a:lnSpc>
                <a:spcPts val="1100"/>
              </a:lnSpc>
            </a:pPr>
            <a:r>
              <a:rPr lang="en-US" sz="1100">
                <a:solidFill>
                  <a:schemeClr val="bg1">
                    <a:lumMod val="85000"/>
                  </a:schemeClr>
                </a:solidFill>
                <a:effectLst/>
                <a:latin typeface="+mn-lt"/>
                <a:ea typeface="+mn-ea"/>
                <a:cs typeface="+mn-cs"/>
              </a:rPr>
              <a:t>"i" objects (in-progress) are marked with a diagonal line pattern.</a:t>
            </a:r>
          </a:p>
          <a:p>
            <a:pPr>
              <a:lnSpc>
                <a:spcPts val="1100"/>
              </a:lnSpc>
            </a:pPr>
            <a:r>
              <a:rPr lang="en-US" sz="1100">
                <a:solidFill>
                  <a:schemeClr val="bg1">
                    <a:lumMod val="85000"/>
                  </a:schemeClr>
                </a:solidFill>
                <a:effectLst/>
                <a:latin typeface="+mn-lt"/>
                <a:ea typeface="+mn-ea"/>
                <a:cs typeface="+mn-cs"/>
              </a:rPr>
              <a:t>"f" objects (finished) are marked with a gray fill.</a:t>
            </a:r>
          </a:p>
          <a:p>
            <a:pPr>
              <a:lnSpc>
                <a:spcPts val="1100"/>
              </a:lnSpc>
            </a:pPr>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lang="en-US" sz="1100" b="1">
                <a:solidFill>
                  <a:schemeClr val="bg1"/>
                </a:solidFill>
                <a:effectLst/>
                <a:latin typeface="+mn-lt"/>
                <a:ea typeface="+mn-ea"/>
                <a:cs typeface="+mn-cs"/>
              </a:rPr>
              <a:t>Column Y – “Imaging Status”</a:t>
            </a:r>
            <a:endParaRPr lang="en-US">
              <a:solidFill>
                <a:schemeClr val="bg1"/>
              </a:solidFill>
              <a:effectLst/>
            </a:endParaRPr>
          </a:p>
          <a:p>
            <a:pPr>
              <a:lnSpc>
                <a:spcPts val="1100"/>
              </a:lnSpc>
            </a:pPr>
            <a:r>
              <a:rPr lang="en-US" sz="1100">
                <a:solidFill>
                  <a:schemeClr val="bg1">
                    <a:lumMod val="85000"/>
                  </a:schemeClr>
                </a:solidFill>
                <a:effectLst/>
                <a:latin typeface="+mn-lt"/>
                <a:ea typeface="+mn-ea"/>
                <a:cs typeface="+mn-cs"/>
              </a:rPr>
              <a:t>Free-form column for anything you want to include about this object.</a:t>
            </a:r>
          </a:p>
          <a:p>
            <a:pPr>
              <a:lnSpc>
                <a:spcPts val="1100"/>
              </a:lnSpc>
            </a:pPr>
            <a:endParaRPr lang="en-US" sz="1100">
              <a:solidFill>
                <a:schemeClr val="bg1">
                  <a:lumMod val="85000"/>
                </a:schemeClr>
              </a:solidFill>
              <a:effectLst/>
              <a:latin typeface="+mn-lt"/>
              <a:ea typeface="+mn-ea"/>
              <a:cs typeface="+mn-cs"/>
            </a:endParaRPr>
          </a:p>
          <a:p>
            <a:pPr>
              <a:lnSpc>
                <a:spcPts val="1100"/>
              </a:lnSpc>
            </a:pPr>
            <a:r>
              <a:rPr lang="en-US" sz="1100" b="1" u="sng">
                <a:solidFill>
                  <a:srgbClr val="FFFF00"/>
                </a:solidFill>
                <a:effectLst/>
                <a:latin typeface="+mn-lt"/>
                <a:ea typeface="+mn-ea"/>
                <a:cs typeface="+mn-cs"/>
              </a:rPr>
              <a:t>Section 7 </a:t>
            </a:r>
            <a:r>
              <a:rPr lang="en-US" sz="1100" b="1" u="sng">
                <a:solidFill>
                  <a:schemeClr val="bg1">
                    <a:lumMod val="85000"/>
                  </a:schemeClr>
                </a:solidFill>
                <a:effectLst/>
                <a:latin typeface="+mn-lt"/>
                <a:ea typeface="+mn-ea"/>
                <a:cs typeface="+mn-cs"/>
              </a:rPr>
              <a:t>(Altitude Next 6 Hours)</a:t>
            </a:r>
            <a:endParaRPr lang="en-US" sz="1100">
              <a:solidFill>
                <a:schemeClr val="bg1">
                  <a:lumMod val="85000"/>
                </a:schemeClr>
              </a:solidFill>
              <a:effectLst/>
              <a:latin typeface="+mn-lt"/>
              <a:ea typeface="+mn-ea"/>
              <a:cs typeface="+mn-cs"/>
            </a:endParaRPr>
          </a:p>
          <a:p>
            <a:r>
              <a:rPr lang="en-US" sz="1100" b="1">
                <a:solidFill>
                  <a:schemeClr val="bg1">
                    <a:lumMod val="85000"/>
                  </a:schemeClr>
                </a:solidFill>
                <a:effectLst/>
                <a:latin typeface="+mn-lt"/>
                <a:ea typeface="+mn-ea"/>
                <a:cs typeface="+mn-cs"/>
              </a:rPr>
              <a:t>Columns Z thru AC:  </a:t>
            </a:r>
            <a:r>
              <a:rPr lang="en-US" sz="1100">
                <a:solidFill>
                  <a:schemeClr val="bg1">
                    <a:lumMod val="85000"/>
                  </a:schemeClr>
                </a:solidFill>
                <a:effectLst/>
                <a:latin typeface="+mn-lt"/>
                <a:ea typeface="+mn-ea"/>
                <a:cs typeface="+mn-cs"/>
              </a:rPr>
              <a:t>The first column shows the altitude at the current time.  The next column to the right is 2 hours later, the next column is 4 hours later, and the final column of this subsection is 6 hours later.  Each cell is color coded to indicate altitude, ranging from high (green) to medium (yellow) to low (red).  Adjust the time by hour using the spin button to see how the altitude changes throughout the night and to plan on imaging the object at its highest value.</a:t>
            </a:r>
          </a:p>
          <a:p>
            <a:pPr>
              <a:lnSpc>
                <a:spcPts val="1100"/>
              </a:lnSpc>
            </a:pPr>
            <a:r>
              <a:rPr lang="en-US" sz="1100" b="1">
                <a:solidFill>
                  <a:schemeClr val="bg1">
                    <a:lumMod val="85000"/>
                  </a:schemeClr>
                </a:solidFill>
                <a:effectLst/>
                <a:latin typeface="+mn-lt"/>
                <a:ea typeface="+mn-ea"/>
                <a:cs typeface="+mn-cs"/>
              </a:rPr>
              <a:t> </a:t>
            </a:r>
          </a:p>
          <a:p>
            <a:pPr marL="0" marR="0" lvl="0" indent="0" defTabSz="914400" eaLnBrk="1" fontAlgn="auto" latinLnBrk="0" hangingPunct="1">
              <a:lnSpc>
                <a:spcPts val="10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“Sun Status” - </a:t>
            </a: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This bar shows the status of the sun for the next 6 hours.  Yellow means that the sun is up, grey means that the sun is between sunset and nautical twilight (-12 degrees), and black means that the sun is below nautical twilight.   Many imagers use nautical twilight as the time to start RGB imaging.</a:t>
            </a:r>
          </a:p>
          <a:p>
            <a:pPr marL="0" marR="0" lvl="0" indent="0" defTabSz="914400" eaLnBrk="1" fontAlgn="auto" latinLnBrk="0" hangingPunct="1">
              <a:lnSpc>
                <a:spcPts val="1000"/>
              </a:lnSpc>
              <a:spcBef>
                <a:spcPts val="0"/>
              </a:spcBef>
              <a:spcAft>
                <a:spcPts val="0"/>
              </a:spcAft>
              <a:buClrTx/>
              <a:buSzTx/>
              <a:buFontTx/>
              <a:buNone/>
              <a:tabLst/>
              <a:defRPr/>
            </a:pP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sng" strike="noStrike" kern="0" cap="none" spc="0" normalizeH="0" baseline="0" noProof="0">
                <a:ln>
                  <a:noFill/>
                </a:ln>
                <a:solidFill>
                  <a:srgbClr val="FFFF00"/>
                </a:solidFill>
                <a:effectLst/>
                <a:uLnTx/>
                <a:uFillTx/>
                <a:latin typeface="+mn-lt"/>
                <a:ea typeface="+mn-ea"/>
                <a:cs typeface="+mn-cs"/>
              </a:rPr>
              <a:t>Section 8 </a:t>
            </a:r>
            <a:r>
              <a:rPr kumimoji="0" lang="en-US" sz="1100" b="1" i="0" u="sng" strike="noStrike" kern="0" cap="none" spc="0" normalizeH="0" baseline="0" noProof="0">
                <a:ln>
                  <a:noFill/>
                </a:ln>
                <a:solidFill>
                  <a:prstClr val="white">
                    <a:lumMod val="85000"/>
                  </a:prstClr>
                </a:solidFill>
                <a:effectLst/>
                <a:uLnTx/>
                <a:uFillTx/>
                <a:latin typeface="+mn-lt"/>
                <a:ea typeface="+mn-ea"/>
                <a:cs typeface="+mn-cs"/>
              </a:rPr>
              <a:t>(Object Transit)</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a:lnSpc>
                <a:spcPts val="1100"/>
              </a:lnSpc>
            </a:pPr>
            <a:r>
              <a:rPr lang="en-US" sz="1100" b="1">
                <a:solidFill>
                  <a:schemeClr val="bg1">
                    <a:lumMod val="85000"/>
                  </a:schemeClr>
                </a:solidFill>
                <a:effectLst/>
                <a:latin typeface="+mn-lt"/>
                <a:ea typeface="+mn-ea"/>
                <a:cs typeface="+mn-cs"/>
              </a:rPr>
              <a:t>Column AD -</a:t>
            </a:r>
            <a:r>
              <a:rPr lang="en-US" sz="1100" b="1" baseline="0">
                <a:solidFill>
                  <a:schemeClr val="bg1">
                    <a:lumMod val="85000"/>
                  </a:schemeClr>
                </a:solidFill>
                <a:effectLst/>
                <a:latin typeface="+mn-lt"/>
                <a:ea typeface="+mn-ea"/>
                <a:cs typeface="+mn-cs"/>
              </a:rPr>
              <a:t> "Transit Time"</a:t>
            </a:r>
            <a:endParaRPr lang="en-US" sz="1100">
              <a:solidFill>
                <a:schemeClr val="bg1">
                  <a:lumMod val="85000"/>
                </a:schemeClr>
              </a:solidFill>
              <a:effectLst/>
              <a:latin typeface="+mn-lt"/>
              <a:ea typeface="+mn-ea"/>
              <a:cs typeface="+mn-cs"/>
            </a:endParaRPr>
          </a:p>
          <a:p>
            <a:pPr>
              <a:lnSpc>
                <a:spcPts val="1000"/>
              </a:lnSpc>
            </a:pPr>
            <a:r>
              <a:rPr lang="en-US" sz="1100">
                <a:solidFill>
                  <a:schemeClr val="bg1">
                    <a:lumMod val="85000"/>
                  </a:schemeClr>
                </a:solidFill>
                <a:effectLst/>
                <a:latin typeface="+mn-lt"/>
                <a:ea typeface="+mn-ea"/>
                <a:cs typeface="+mn-cs"/>
              </a:rPr>
              <a:t>The transit time is the time of the evening when the object is at its maximum elevation.  </a:t>
            </a:r>
          </a:p>
          <a:p>
            <a:pPr>
              <a:lnSpc>
                <a:spcPts val="1000"/>
              </a:lnSpc>
            </a:pPr>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AE - "Transit Date"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transit date is when the object transits (crosses the meridian) at midnight.  During daylight savings time, transit occurs at 1 a.m.  Objects imaged near transit have the least amount of intervening atmosphere.  </a:t>
            </a:r>
          </a:p>
          <a:p>
            <a:pPr>
              <a:lnSpc>
                <a:spcPts val="1000"/>
              </a:lnSpc>
            </a:pPr>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AF - "Transit Altitude"</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lumMod val="85000"/>
                  </a:prstClr>
                </a:solidFill>
                <a:effectLst/>
                <a:uLnTx/>
                <a:uFillTx/>
                <a:latin typeface="+mn-lt"/>
                <a:ea typeface="+mn-ea"/>
                <a:cs typeface="+mn-cs"/>
              </a:rPr>
              <a:t>The transit altitude is the maximum elevation of the object in the night sky.    CCP (Circumpolar) indicates that the object is always visible.</a:t>
            </a:r>
          </a:p>
          <a:p>
            <a:pPr>
              <a:lnSpc>
                <a:spcPts val="1000"/>
              </a:lnSpc>
            </a:pPr>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sng" strike="noStrike" kern="0" cap="none" spc="0" normalizeH="0" baseline="0" noProof="0">
                <a:ln>
                  <a:noFill/>
                </a:ln>
                <a:solidFill>
                  <a:srgbClr val="FFFF00"/>
                </a:solidFill>
                <a:effectLst/>
                <a:uLnTx/>
                <a:uFillTx/>
                <a:latin typeface="+mn-lt"/>
                <a:ea typeface="+mn-ea"/>
                <a:cs typeface="+mn-cs"/>
              </a:rPr>
              <a:t>Section 9 </a:t>
            </a:r>
            <a:r>
              <a:rPr kumimoji="0" lang="en-US" sz="1100" b="1" i="0" u="sng" strike="noStrike" kern="0" cap="none" spc="0" normalizeH="0" baseline="0" noProof="0">
                <a:ln>
                  <a:noFill/>
                </a:ln>
                <a:solidFill>
                  <a:prstClr val="white">
                    <a:lumMod val="85000"/>
                  </a:prstClr>
                </a:solidFill>
                <a:effectLst/>
                <a:uLnTx/>
                <a:uFillTx/>
                <a:latin typeface="+mn-lt"/>
                <a:ea typeface="+mn-ea"/>
                <a:cs typeface="+mn-cs"/>
              </a:rPr>
              <a:t>(Moon)</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AG - "Separation"</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r>
              <a:rPr lang="en-US" sz="1100">
                <a:solidFill>
                  <a:schemeClr val="bg1">
                    <a:lumMod val="85000"/>
                  </a:schemeClr>
                </a:solidFill>
                <a:effectLst/>
                <a:latin typeface="+mn-lt"/>
                <a:ea typeface="+mn-ea"/>
                <a:cs typeface="+mn-cs"/>
              </a:rPr>
              <a:t>Moon separation is the distance in degrees between the moon and the object.  90 degrees is equivalent to halfway across the sky.</a:t>
            </a:r>
          </a:p>
          <a:p>
            <a:endParaRPr lang="en-US" sz="1100">
              <a:solidFill>
                <a:schemeClr val="bg1">
                  <a:lumMod val="85000"/>
                </a:schemeClr>
              </a:solidFill>
              <a:effectLst/>
              <a:latin typeface="+mn-lt"/>
              <a:ea typeface="+mn-ea"/>
              <a:cs typeface="+mn-cs"/>
            </a:endParaRP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 AH - "Index"</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pPr>
              <a:lnSpc>
                <a:spcPts val="1000"/>
              </a:lnSpc>
            </a:pPr>
            <a:r>
              <a:rPr lang="en-US" sz="1100">
                <a:solidFill>
                  <a:schemeClr val="bg1">
                    <a:lumMod val="85000"/>
                  </a:schemeClr>
                </a:solidFill>
                <a:effectLst/>
                <a:latin typeface="+mn-lt"/>
                <a:ea typeface="+mn-ea"/>
                <a:cs typeface="+mn-cs"/>
              </a:rPr>
              <a:t>The index quantifies the effect of both moon separation and moon phase.  Blue indicates good RGB imaging conditions.  The use of narrowband filters allows imaging into red conditions.</a:t>
            </a:r>
          </a:p>
          <a:p>
            <a:pPr>
              <a:lnSpc>
                <a:spcPts val="1000"/>
              </a:lnSpc>
            </a:pPr>
            <a:r>
              <a:rPr lang="en-US" sz="1100">
                <a:solidFill>
                  <a:schemeClr val="bg1">
                    <a:lumMod val="85000"/>
                  </a:schemeClr>
                </a:solidFill>
                <a:effectLst/>
                <a:latin typeface="+mn-lt"/>
                <a:ea typeface="+mn-ea"/>
                <a:cs typeface="+mn-cs"/>
              </a:rPr>
              <a:t> </a:t>
            </a:r>
          </a:p>
          <a:p>
            <a:pPr marL="0" marR="0" lvl="0" indent="0" defTabSz="914400" eaLnBrk="1" fontAlgn="auto" latinLnBrk="0" hangingPunct="1">
              <a:lnSpc>
                <a:spcPts val="1100"/>
              </a:lnSpc>
              <a:spcBef>
                <a:spcPts val="0"/>
              </a:spcBef>
              <a:spcAft>
                <a:spcPts val="0"/>
              </a:spcAft>
              <a:buClrTx/>
              <a:buSzTx/>
              <a:buFontTx/>
              <a:buNone/>
              <a:tabLst/>
              <a:defRPr/>
            </a:pPr>
            <a:r>
              <a:rPr kumimoji="0" lang="en-US" sz="1100" b="1" i="0" u="sng" strike="noStrike" kern="0" cap="none" spc="0" normalizeH="0" baseline="0" noProof="0">
                <a:ln>
                  <a:noFill/>
                </a:ln>
                <a:solidFill>
                  <a:srgbClr val="FFFF00"/>
                </a:solidFill>
                <a:effectLst/>
                <a:uLnTx/>
                <a:uFillTx/>
                <a:latin typeface="+mn-lt"/>
                <a:ea typeface="+mn-ea"/>
                <a:cs typeface="+mn-cs"/>
              </a:rPr>
              <a:t>Section 10 </a:t>
            </a:r>
            <a:r>
              <a:rPr kumimoji="0" lang="en-US" sz="1100" b="1" i="0" u="sng" strike="noStrike" kern="0" cap="none" spc="0" normalizeH="0" baseline="0" noProof="0">
                <a:ln>
                  <a:noFill/>
                </a:ln>
                <a:solidFill>
                  <a:prstClr val="white">
                    <a:lumMod val="85000"/>
                  </a:prstClr>
                </a:solidFill>
                <a:effectLst/>
                <a:uLnTx/>
                <a:uFillTx/>
                <a:latin typeface="+mn-lt"/>
                <a:ea typeface="+mn-ea"/>
                <a:cs typeface="+mn-cs"/>
              </a:rPr>
              <a:t>(Catalogues)</a:t>
            </a:r>
            <a:endParaRPr kumimoji="0" lang="en-US" sz="1100" b="0" i="0" u="none" strike="noStrike" kern="0" cap="none" spc="0" normalizeH="0" baseline="0" noProof="0">
              <a:ln>
                <a:noFill/>
              </a:ln>
              <a:solidFill>
                <a:prstClr val="white">
                  <a:lumMod val="85000"/>
                </a:prstClr>
              </a:solidFill>
              <a:effectLst/>
              <a:uLnTx/>
              <a:uFillTx/>
              <a:latin typeface="+mn-lt"/>
              <a:ea typeface="+mn-ea"/>
              <a:cs typeface="+mn-cs"/>
            </a:endParaRPr>
          </a:p>
          <a:p>
            <a:r>
              <a:rPr kumimoji="0" lang="en-US" sz="1100" b="1" i="0" u="none" strike="noStrike" kern="0" cap="none" spc="0" normalizeH="0" baseline="0" noProof="0">
                <a:ln>
                  <a:noFill/>
                </a:ln>
                <a:solidFill>
                  <a:prstClr val="white">
                    <a:lumMod val="85000"/>
                  </a:prstClr>
                </a:solidFill>
                <a:effectLst/>
                <a:uLnTx/>
                <a:uFillTx/>
                <a:latin typeface="+mn-lt"/>
                <a:ea typeface="+mn-ea"/>
                <a:cs typeface="+mn-cs"/>
              </a:rPr>
              <a:t>Columns AI thru BH:  </a:t>
            </a:r>
            <a:r>
              <a:rPr lang="en-US" sz="1100">
                <a:solidFill>
                  <a:schemeClr val="bg1">
                    <a:lumMod val="85000"/>
                  </a:schemeClr>
                </a:solidFill>
                <a:effectLst/>
                <a:latin typeface="+mn-lt"/>
                <a:ea typeface="+mn-ea"/>
                <a:cs typeface="+mn-cs"/>
              </a:rPr>
              <a:t>The next 26 columns are cross-referenced DSO catalogues.  In row 8, a mouseover comment attached to each catalogue title provides a brief description of the catalogue.  Also in Row 8, hyperlinks take you to my AstroBin compilation poster for that column.  The number in row 9 is the number of objects contained in that column.  </a:t>
            </a:r>
          </a:p>
          <a:p>
            <a:pPr>
              <a:lnSpc>
                <a:spcPts val="1000"/>
              </a:lnSpc>
            </a:pPr>
            <a:br>
              <a:rPr lang="en-US">
                <a:solidFill>
                  <a:schemeClr val="bg1">
                    <a:lumMod val="85000"/>
                  </a:schemeClr>
                </a:solidFill>
                <a:effectLst/>
              </a:rPr>
            </a:br>
            <a:r>
              <a:rPr lang="en-US" sz="1100">
                <a:solidFill>
                  <a:schemeClr val="bg1">
                    <a:lumMod val="85000"/>
                  </a:schemeClr>
                </a:solidFill>
                <a:effectLst/>
                <a:latin typeface="+mn-lt"/>
                <a:ea typeface="+mn-ea"/>
                <a:cs typeface="+mn-cs"/>
              </a:rPr>
              <a:t> </a:t>
            </a:r>
          </a:p>
          <a:p>
            <a:pPr>
              <a:lnSpc>
                <a:spcPts val="1100"/>
              </a:lnSpc>
            </a:pPr>
            <a:endParaRPr lang="en-US" sz="1200" b="1" baseline="0">
              <a:solidFill>
                <a:schemeClr val="bg1">
                  <a:lumMod val="85000"/>
                </a:schemeClr>
              </a:solidFill>
            </a:endParaRPr>
          </a:p>
          <a:p>
            <a:pPr>
              <a:lnSpc>
                <a:spcPts val="1100"/>
              </a:lnSpc>
            </a:pPr>
            <a:endParaRPr lang="en-US" sz="1200">
              <a:solidFill>
                <a:schemeClr val="bg1">
                  <a:lumMod val="85000"/>
                </a:schemeClr>
              </a:solidFill>
            </a:endParaRPr>
          </a:p>
          <a:p>
            <a:pPr lvl="1">
              <a:lnSpc>
                <a:spcPts val="1100"/>
              </a:lnSpc>
            </a:pPr>
            <a:endParaRPr lang="en-US" sz="1100">
              <a:solidFill>
                <a:schemeClr val="bg1">
                  <a:lumMod val="85000"/>
                </a:schemeClr>
              </a:solidFill>
            </a:endParaRPr>
          </a:p>
          <a:p>
            <a:pPr lvl="0">
              <a:lnSpc>
                <a:spcPts val="1100"/>
              </a:lnSpc>
            </a:pPr>
            <a:endParaRPr lang="en-US" sz="1100">
              <a:solidFill>
                <a:schemeClr val="bg1">
                  <a:lumMod val="85000"/>
                </a:schemeClr>
              </a:solidFill>
            </a:endParaRPr>
          </a:p>
          <a:p>
            <a:pPr>
              <a:lnSpc>
                <a:spcPts val="1000"/>
              </a:lnSpc>
            </a:pPr>
            <a:endParaRPr lang="en-US" sz="1100">
              <a:solidFill>
                <a:schemeClr val="bg1">
                  <a:lumMod val="85000"/>
                </a:schemeClr>
              </a:solidFill>
            </a:endParaRPr>
          </a:p>
        </xdr:txBody>
      </xdr:sp>
    </xdr:grpSp>
    <xdr:clientData/>
  </xdr:twoCellAnchor>
  <xdr:twoCellAnchor editAs="oneCell">
    <xdr:from>
      <xdr:col>1</xdr:col>
      <xdr:colOff>28575</xdr:colOff>
      <xdr:row>28</xdr:row>
      <xdr:rowOff>38100</xdr:rowOff>
    </xdr:from>
    <xdr:to>
      <xdr:col>27</xdr:col>
      <xdr:colOff>533400</xdr:colOff>
      <xdr:row>42</xdr:row>
      <xdr:rowOff>49136</xdr:rowOff>
    </xdr:to>
    <xdr:pic>
      <xdr:nvPicPr>
        <xdr:cNvPr id="10" name="Picture 9">
          <a:extLst>
            <a:ext uri="{FF2B5EF4-FFF2-40B4-BE49-F238E27FC236}">
              <a16:creationId xmlns:a16="http://schemas.microsoft.com/office/drawing/2014/main" id="{9412263D-29F3-55D9-9170-2178D852454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8175" y="5372100"/>
          <a:ext cx="16354425" cy="26780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161927</xdr:colOff>
      <xdr:row>0</xdr:row>
      <xdr:rowOff>257945</xdr:rowOff>
    </xdr:from>
    <xdr:to>
      <xdr:col>6</xdr:col>
      <xdr:colOff>361950</xdr:colOff>
      <xdr:row>58</xdr:row>
      <xdr:rowOff>187636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857502" y="257945"/>
          <a:ext cx="3038473" cy="113596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t>Object Class</a:t>
          </a:r>
          <a:endParaRPr lang="en-US" sz="1200" b="1" u="sng"/>
        </a:p>
        <a:p>
          <a:endParaRPr lang="en-US" sz="1100"/>
        </a:p>
        <a:p>
          <a:r>
            <a:rPr lang="en-US" sz="1400" b="1"/>
            <a:t>Galaxies:</a:t>
          </a:r>
        </a:p>
        <a:p>
          <a:endParaRPr lang="en-US" sz="1100" b="1"/>
        </a:p>
        <a:p>
          <a:r>
            <a:rPr lang="en-US" sz="1100" b="1" u="sng"/>
            <a:t>Individual Galaxies</a:t>
          </a:r>
        </a:p>
        <a:p>
          <a:r>
            <a:rPr lang="en-US" sz="1100" b="0" i="1" u="none"/>
            <a:t>Example:  a/b, where </a:t>
          </a:r>
          <a:br>
            <a:rPr lang="en-US" sz="1100" b="0" i="1" u="none"/>
          </a:br>
          <a:r>
            <a:rPr lang="en-US" sz="1100" b="0" i="1" u="none"/>
            <a:t>a = Galaxy Types as follows:</a:t>
          </a:r>
        </a:p>
        <a:p>
          <a:r>
            <a:rPr lang="en-US" sz="1100" b="0"/>
            <a:t>S - Spiral</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SB - Barred Spiral</a:t>
          </a:r>
          <a:endParaRPr lang="en-US">
            <a:effectLst/>
          </a:endParaRPr>
        </a:p>
        <a:p>
          <a:r>
            <a:rPr lang="en-US" sz="1100" b="0"/>
            <a:t>S0- Lenticular</a:t>
          </a:r>
        </a:p>
        <a:p>
          <a:r>
            <a:rPr lang="en-US" sz="1100" b="0"/>
            <a:t>SB0 - Barred Lenticular</a:t>
          </a:r>
        </a:p>
        <a:p>
          <a:r>
            <a:rPr lang="en-US" sz="1100" b="0"/>
            <a:t>E - Elliptical (E0 - spherical to E7 - oblong)</a:t>
          </a:r>
        </a:p>
        <a:p>
          <a:r>
            <a:rPr lang="en-US" sz="1100" b="0"/>
            <a:t>a -  large bulge &amp; tightly-wrapped smooth arms </a:t>
          </a:r>
        </a:p>
        <a:p>
          <a:r>
            <a:rPr lang="en-US" sz="1100" b="0"/>
            <a:t>b - medium</a:t>
          </a:r>
          <a:r>
            <a:rPr lang="en-US" sz="1100" b="0" baseline="0"/>
            <a:t> bulge &amp;</a:t>
          </a:r>
          <a:r>
            <a:rPr lang="en-US" sz="1100" b="0"/>
            <a:t> more open arms</a:t>
          </a:r>
        </a:p>
        <a:p>
          <a:r>
            <a:rPr lang="en-US" sz="1100" b="0"/>
            <a:t>c - small bulge &amp; patchy/open arms</a:t>
          </a:r>
        </a:p>
        <a:p>
          <a:endParaRPr lang="en-US" sz="1100" b="0" i="1" u="none"/>
        </a:p>
        <a:p>
          <a:r>
            <a:rPr lang="en-US" sz="1100" b="0" i="1" u="none"/>
            <a:t>and</a:t>
          </a:r>
        </a:p>
        <a:p>
          <a:r>
            <a:rPr lang="en-US" sz="1100" b="0" i="1" u="none"/>
            <a:t>b = </a:t>
          </a:r>
          <a:r>
            <a:rPr lang="en-US" sz="1100" b="0" i="1" u="none" baseline="0">
              <a:solidFill>
                <a:schemeClr val="dk1"/>
              </a:solidFill>
              <a:effectLst/>
              <a:latin typeface="+mn-lt"/>
              <a:ea typeface="+mn-ea"/>
              <a:cs typeface="+mn-cs"/>
            </a:rPr>
            <a:t>Galaxy Features as follows:</a:t>
          </a:r>
          <a:endParaRPr lang="en-US" i="1" u="none">
            <a:effectLst/>
          </a:endParaRPr>
        </a:p>
        <a:p>
          <a:r>
            <a:rPr lang="en-US" sz="1100" b="0" u="sng">
              <a:solidFill>
                <a:schemeClr val="dk1"/>
              </a:solidFill>
              <a:effectLst/>
              <a:latin typeface="+mn-lt"/>
              <a:ea typeface="+mn-ea"/>
              <a:cs typeface="+mn-cs"/>
            </a:rPr>
            <a:t>Core:</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 - barlens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p - peanut-shaped (X-shaped)</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z - barred</a:t>
          </a:r>
        </a:p>
        <a:p>
          <a:r>
            <a:rPr lang="en-US" sz="1100" b="0" u="sng">
              <a:solidFill>
                <a:schemeClr val="dk1"/>
              </a:solidFill>
              <a:effectLst/>
              <a:latin typeface="+mn-lt"/>
              <a:ea typeface="+mn-ea"/>
              <a:cs typeface="+mn-cs"/>
            </a:rPr>
            <a:t>Disk:</a:t>
          </a:r>
          <a:br>
            <a:rPr lang="en-US" sz="1100" b="0">
              <a:solidFill>
                <a:schemeClr val="dk1"/>
              </a:solidFill>
              <a:effectLst/>
              <a:latin typeface="+mn-lt"/>
              <a:ea typeface="+mn-ea"/>
              <a:cs typeface="+mn-cs"/>
            </a:rPr>
          </a:br>
          <a:r>
            <a:rPr lang="en-US" sz="1100" b="0">
              <a:solidFill>
                <a:schemeClr val="dk1"/>
              </a:solidFill>
              <a:effectLst/>
              <a:latin typeface="+mn-lt"/>
              <a:ea typeface="+mn-ea"/>
              <a:cs typeface="+mn-cs"/>
            </a:rPr>
            <a:t>d - edge-on</a:t>
          </a:r>
          <a:endParaRPr lang="en-US">
            <a:effectLst/>
          </a:endParaRPr>
        </a:p>
        <a:p>
          <a:r>
            <a:rPr lang="en-US" sz="1100" b="0">
              <a:solidFill>
                <a:schemeClr val="dk1"/>
              </a:solidFill>
              <a:effectLst/>
              <a:latin typeface="+mn-lt"/>
              <a:ea typeface="+mn-ea"/>
              <a:cs typeface="+mn-cs"/>
            </a:rPr>
            <a:t>f -  face-on</a:t>
          </a:r>
          <a:endParaRPr lang="en-US">
            <a:effectLst/>
          </a:endParaRPr>
        </a:p>
        <a:p>
          <a:r>
            <a:rPr lang="en-US" sz="1100" b="0">
              <a:solidFill>
                <a:schemeClr val="dk1"/>
              </a:solidFill>
              <a:effectLst/>
              <a:latin typeface="+mn-lt"/>
              <a:ea typeface="+mn-ea"/>
              <a:cs typeface="+mn-cs"/>
            </a:rPr>
            <a:t>g - grand design (2 strong symmetric arms)</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k - VV rows</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t - superthin</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w -warped</a:t>
          </a:r>
          <a:endParaRPr lang="en-US">
            <a:effectLst/>
          </a:endParaRPr>
        </a:p>
        <a:p>
          <a:r>
            <a:rPr lang="en-US" sz="1100" b="0" u="sng">
              <a:solidFill>
                <a:schemeClr val="dk1"/>
              </a:solidFill>
              <a:effectLst/>
              <a:latin typeface="+mn-lt"/>
              <a:ea typeface="+mn-ea"/>
              <a:cs typeface="+mn-cs"/>
            </a:rPr>
            <a:t>Ring:</a:t>
          </a:r>
        </a:p>
        <a:p>
          <a:pPr eaLnBrk="1" fontAlgn="auto" latinLnBrk="0" hangingPunct="1"/>
          <a:r>
            <a:rPr lang="en-US" sz="1100" b="0">
              <a:solidFill>
                <a:schemeClr val="dk1"/>
              </a:solidFill>
              <a:effectLst/>
              <a:latin typeface="+mn-lt"/>
              <a:ea typeface="+mn-ea"/>
              <a:cs typeface="+mn-cs"/>
            </a:rPr>
            <a:t>m - ring - concentric</a:t>
          </a:r>
          <a:endParaRPr lang="en-US">
            <a:effectLst/>
          </a:endParaRPr>
        </a:p>
        <a:p>
          <a:r>
            <a:rPr lang="en-US" sz="1100" b="0">
              <a:solidFill>
                <a:schemeClr val="dk1"/>
              </a:solidFill>
              <a:effectLst/>
              <a:latin typeface="+mn-lt"/>
              <a:ea typeface="+mn-ea"/>
              <a:cs typeface="+mn-cs"/>
            </a:rPr>
            <a:t>n - ring - nuclear </a:t>
          </a:r>
          <a:endParaRPr lang="en-US">
            <a:effectLst/>
          </a:endParaRPr>
        </a:p>
        <a:p>
          <a:r>
            <a:rPr lang="en-US" sz="1100" b="0">
              <a:solidFill>
                <a:schemeClr val="dk1"/>
              </a:solidFill>
              <a:effectLst/>
              <a:latin typeface="+mn-lt"/>
              <a:ea typeface="+mn-ea"/>
              <a:cs typeface="+mn-cs"/>
            </a:rPr>
            <a:t>o - ring - outer</a:t>
          </a:r>
          <a:endParaRPr lang="en-US">
            <a:effectLst/>
          </a:endParaRPr>
        </a:p>
        <a:p>
          <a:pPr eaLnBrk="1" fontAlgn="auto" latinLnBrk="0" hangingPunct="1"/>
          <a:r>
            <a:rPr lang="en-US" sz="1100" b="0">
              <a:solidFill>
                <a:schemeClr val="dk1"/>
              </a:solidFill>
              <a:effectLst/>
              <a:latin typeface="+mn-lt"/>
              <a:ea typeface="+mn-ea"/>
              <a:cs typeface="+mn-cs"/>
            </a:rPr>
            <a:t>r - ring  - inner (mid-region) </a:t>
          </a:r>
          <a:endParaRPr lang="en-US">
            <a:effectLst/>
          </a:endParaRPr>
        </a:p>
        <a:p>
          <a:r>
            <a:rPr lang="en-US" sz="1100" b="0" u="sng">
              <a:solidFill>
                <a:schemeClr val="dk1"/>
              </a:solidFill>
              <a:effectLst/>
              <a:latin typeface="+mn-lt"/>
              <a:ea typeface="+mn-ea"/>
              <a:cs typeface="+mn-cs"/>
            </a:rPr>
            <a:t>Star streams:</a:t>
          </a:r>
        </a:p>
        <a:p>
          <a:r>
            <a:rPr lang="en-US" sz="1100" b="0">
              <a:solidFill>
                <a:schemeClr val="dk1"/>
              </a:solidFill>
              <a:effectLst/>
              <a:latin typeface="+mn-lt"/>
              <a:ea typeface="+mn-ea"/>
              <a:cs typeface="+mn-cs"/>
            </a:rPr>
            <a:t>h - shells</a:t>
          </a:r>
        </a:p>
        <a:p>
          <a:r>
            <a:rPr lang="en-US" sz="1100" b="0">
              <a:solidFill>
                <a:schemeClr val="dk1"/>
              </a:solidFill>
              <a:effectLst/>
              <a:latin typeface="+mn-lt"/>
              <a:ea typeface="+mn-ea"/>
              <a:cs typeface="+mn-cs"/>
            </a:rPr>
            <a:t>j - loops</a:t>
          </a:r>
        </a:p>
        <a:p>
          <a:r>
            <a:rPr lang="en-US" sz="1100" b="0">
              <a:solidFill>
                <a:schemeClr val="dk1"/>
              </a:solidFill>
              <a:effectLst/>
              <a:latin typeface="+mn-lt"/>
              <a:ea typeface="+mn-ea"/>
              <a:cs typeface="+mn-cs"/>
            </a:rPr>
            <a:t>u - single tail</a:t>
          </a:r>
          <a:endParaRPr lang="en-US">
            <a:effectLst/>
          </a:endParaRPr>
        </a:p>
        <a:p>
          <a:r>
            <a:rPr lang="en-US" sz="1100" b="0">
              <a:solidFill>
                <a:schemeClr val="dk1"/>
              </a:solidFill>
              <a:effectLst/>
              <a:latin typeface="+mn-lt"/>
              <a:ea typeface="+mn-ea"/>
              <a:cs typeface="+mn-cs"/>
            </a:rPr>
            <a:t>x - dual tails</a:t>
          </a:r>
          <a:endParaRPr lang="en-US">
            <a:effectLst/>
          </a:endParaRPr>
        </a:p>
        <a:p>
          <a:r>
            <a:rPr lang="en-US" sz="1100" b="0" baseline="0">
              <a:solidFill>
                <a:schemeClr val="dk1"/>
              </a:solidFill>
              <a:effectLst/>
              <a:latin typeface="+mn-lt"/>
              <a:ea typeface="+mn-ea"/>
              <a:cs typeface="+mn-cs"/>
            </a:rPr>
            <a:t>y - superlong</a:t>
          </a:r>
        </a:p>
        <a:p>
          <a:endParaRPr lang="en-US" sz="1100" b="1"/>
        </a:p>
        <a:p>
          <a:r>
            <a:rPr lang="en-US" sz="1100" b="1" u="sng"/>
            <a:t>Multiple Galaxies</a:t>
          </a:r>
        </a:p>
        <a:p>
          <a:r>
            <a:rPr lang="en-US" sz="1100" b="0" i="1" u="none"/>
            <a:t>Example:</a:t>
          </a:r>
          <a:r>
            <a:rPr lang="en-US" sz="1100" b="0" i="1" u="none" baseline="0"/>
            <a:t> a, </a:t>
          </a:r>
          <a:r>
            <a:rPr lang="en-US" sz="1100" b="0" i="1" u="none"/>
            <a:t>where </a:t>
          </a:r>
        </a:p>
        <a:p>
          <a:r>
            <a:rPr lang="en-US" sz="1100" b="0" i="1" u="none"/>
            <a:t>a</a:t>
          </a:r>
          <a:r>
            <a:rPr lang="en-US" sz="1100" b="0" i="1" u="none" baseline="0"/>
            <a:t> = Number of Galaxies as follows</a:t>
          </a:r>
          <a:r>
            <a:rPr lang="en-US" sz="1100" b="0" u="none" baseline="0"/>
            <a:t>:</a:t>
          </a:r>
        </a:p>
        <a:p>
          <a:r>
            <a:rPr lang="en-US" sz="1100"/>
            <a:t>Cluster</a:t>
          </a:r>
          <a:r>
            <a:rPr lang="en-US" sz="1100" baseline="0"/>
            <a:t>  - </a:t>
          </a:r>
          <a:r>
            <a:rPr lang="en-US" sz="1100" u="none"/>
            <a:t> &gt;12 galaxies</a:t>
          </a:r>
        </a:p>
        <a:p>
          <a:r>
            <a:rPr lang="en-US" sz="1100" u="none"/>
            <a:t>Group - 12 or </a:t>
          </a:r>
          <a:r>
            <a:rPr lang="en-US" sz="1100"/>
            <a:t>less galaxies</a:t>
          </a:r>
        </a:p>
        <a:p>
          <a:r>
            <a:rPr lang="en-US" sz="1100"/>
            <a:t>Chain - &gt;3 galaxies in a line of sight alignment</a:t>
          </a:r>
        </a:p>
        <a:p>
          <a:endParaRPr lang="en-US" sz="1100" b="1"/>
        </a:p>
        <a:p>
          <a:r>
            <a:rPr lang="en-US" sz="1100" b="1" u="sng"/>
            <a:t>Galaxy Mergers</a:t>
          </a:r>
        </a:p>
        <a:p>
          <a:r>
            <a:rPr lang="en-US" sz="1100" b="0" i="1" u="none"/>
            <a:t>Example: a/b, where</a:t>
          </a:r>
          <a:r>
            <a:rPr lang="en-US" sz="1100" b="0" i="1" u="none" baseline="0"/>
            <a:t> </a:t>
          </a:r>
        </a:p>
        <a:p>
          <a:r>
            <a:rPr lang="en-US" sz="1100" b="0" i="1" u="none" baseline="0"/>
            <a:t>a = Merger Type as follows:</a:t>
          </a:r>
          <a:endParaRPr lang="en-US" sz="1100" b="0" i="1" u="none"/>
        </a:p>
        <a:p>
          <a:r>
            <a:rPr lang="en-US" sz="1100" b="0"/>
            <a:t>I - long bridge</a:t>
          </a:r>
          <a:r>
            <a:rPr lang="en-US" sz="1100" b="0" baseline="0"/>
            <a:t> (&gt; 1 galaxy dia.)</a:t>
          </a:r>
          <a:endParaRPr lang="en-US" sz="1100" b="0"/>
        </a:p>
        <a:p>
          <a:r>
            <a:rPr lang="en-US" sz="1100"/>
            <a:t>II - short bridge (&lt;1</a:t>
          </a:r>
          <a:r>
            <a:rPr lang="en-US" sz="1100" baseline="0"/>
            <a:t> galaxy dia., disks not touching)</a:t>
          </a:r>
        </a:p>
        <a:p>
          <a:r>
            <a:rPr lang="en-US" sz="1100"/>
            <a:t>III - two close cores, disks touching</a:t>
          </a:r>
        </a:p>
        <a:p>
          <a:r>
            <a:rPr lang="en-US" sz="1100"/>
            <a:t>IV - single core with tails</a:t>
          </a:r>
        </a:p>
        <a:p>
          <a:r>
            <a:rPr lang="en-US" sz="1100">
              <a:solidFill>
                <a:schemeClr val="dk1"/>
              </a:solidFill>
              <a:effectLst/>
              <a:latin typeface="+mn-lt"/>
              <a:ea typeface="+mn-ea"/>
              <a:cs typeface="+mn-cs"/>
            </a:rPr>
            <a:t>V - single core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and</a:t>
          </a:r>
        </a:p>
        <a:p>
          <a:r>
            <a:rPr lang="en-US" sz="1100" b="0" i="1">
              <a:solidFill>
                <a:schemeClr val="dk1"/>
              </a:solidFill>
              <a:effectLst/>
              <a:latin typeface="+mn-lt"/>
              <a:ea typeface="+mn-ea"/>
              <a:cs typeface="+mn-cs"/>
            </a:rPr>
            <a:t>b = </a:t>
          </a:r>
          <a:r>
            <a:rPr lang="en-US" sz="1100" b="0" i="1" baseline="0">
              <a:solidFill>
                <a:schemeClr val="dk1"/>
              </a:solidFill>
              <a:effectLst/>
              <a:latin typeface="+mn-lt"/>
              <a:ea typeface="+mn-ea"/>
              <a:cs typeface="+mn-cs"/>
            </a:rPr>
            <a:t>Galaxy Features (shown above)</a:t>
          </a:r>
          <a:endParaRPr lang="en-US">
            <a:effectLst/>
          </a:endParaRPr>
        </a:p>
        <a:p>
          <a:br>
            <a:rPr lang="en-US" sz="1100"/>
          </a:br>
          <a:endParaRPr lang="en-US" sz="1100"/>
        </a:p>
        <a:p>
          <a:endParaRPr lang="en-US" sz="1100"/>
        </a:p>
        <a:p>
          <a:endParaRPr lang="en-US" sz="1100"/>
        </a:p>
        <a:p>
          <a:endParaRPr lang="en-US" sz="1100"/>
        </a:p>
        <a:p>
          <a:endParaRPr lang="en-US" sz="1100" b="1"/>
        </a:p>
        <a:p>
          <a:endParaRPr lang="en-US" sz="1100"/>
        </a:p>
        <a:p>
          <a:endParaRPr lang="en-US" sz="1100"/>
        </a:p>
      </xdr:txBody>
    </xdr:sp>
    <xdr:clientData/>
  </xdr:twoCellAnchor>
  <xdr:twoCellAnchor>
    <xdr:from>
      <xdr:col>6</xdr:col>
      <xdr:colOff>323849</xdr:colOff>
      <xdr:row>1</xdr:row>
      <xdr:rowOff>20596</xdr:rowOff>
    </xdr:from>
    <xdr:to>
      <xdr:col>11</xdr:col>
      <xdr:colOff>9525</xdr:colOff>
      <xdr:row>59</xdr:row>
      <xdr:rowOff>179428</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857874" y="306346"/>
          <a:ext cx="2733676" cy="114554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pPr marL="0" marR="0" lvl="0" indent="0" defTabSz="914400" eaLnBrk="1" fontAlgn="auto" latinLnBrk="0" hangingPunct="1">
            <a:lnSpc>
              <a:spcPct val="100000"/>
            </a:lnSpc>
            <a:spcBef>
              <a:spcPts val="0"/>
            </a:spcBef>
            <a:spcAft>
              <a:spcPts val="0"/>
            </a:spcAft>
            <a:buClrTx/>
            <a:buSzTx/>
            <a:buFontTx/>
            <a:buNone/>
            <a:tabLst/>
            <a:defRPr/>
          </a:pPr>
          <a:endParaRPr lang="en-US" sz="14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mn-lt"/>
              <a:ea typeface="+mn-ea"/>
              <a:cs typeface="+mn-cs"/>
            </a:rPr>
            <a:t>Nebulae:</a:t>
          </a:r>
          <a:endParaRPr lang="en-US" sz="1400">
            <a:effectLst/>
          </a:endParaRPr>
        </a:p>
        <a:p>
          <a:endParaRPr lang="en-US" sz="1100"/>
        </a:p>
        <a:p>
          <a:r>
            <a:rPr lang="en-US" sz="1100" b="1" u="sng" baseline="0">
              <a:solidFill>
                <a:schemeClr val="dk1"/>
              </a:solidFill>
              <a:effectLst/>
              <a:latin typeface="+mn-lt"/>
              <a:ea typeface="+mn-ea"/>
              <a:cs typeface="+mn-cs"/>
            </a:rPr>
            <a:t>Planetary Nebula (PN)</a:t>
          </a:r>
          <a:endParaRPr lang="en-US" u="sng">
            <a:effectLst/>
          </a:endParaRPr>
        </a:p>
        <a:p>
          <a:r>
            <a:rPr lang="en-US" sz="1100" b="0" i="1">
              <a:solidFill>
                <a:schemeClr val="dk1"/>
              </a:solidFill>
              <a:effectLst/>
              <a:latin typeface="+mn-lt"/>
              <a:ea typeface="+mn-ea"/>
              <a:cs typeface="+mn-cs"/>
            </a:rPr>
            <a:t>Example: abc/d, where</a:t>
          </a:r>
        </a:p>
        <a:p>
          <a:r>
            <a:rPr lang="en-US" sz="1100" b="0" i="1">
              <a:solidFill>
                <a:schemeClr val="dk1"/>
              </a:solidFill>
              <a:effectLst/>
              <a:latin typeface="+mn-lt"/>
              <a:ea typeface="+mn-ea"/>
              <a:cs typeface="+mn-cs"/>
            </a:rPr>
            <a:t>a = Shape</a:t>
          </a:r>
          <a:r>
            <a:rPr lang="en-US" sz="1100" b="0" i="1" baseline="0">
              <a:solidFill>
                <a:schemeClr val="dk1"/>
              </a:solidFill>
              <a:effectLst/>
              <a:latin typeface="+mn-lt"/>
              <a:ea typeface="+mn-ea"/>
              <a:cs typeface="+mn-cs"/>
            </a:rPr>
            <a:t> as follows:</a:t>
          </a:r>
          <a:endParaRPr lang="en-US" sz="1100" b="0" i="1">
            <a:solidFill>
              <a:schemeClr val="dk1"/>
            </a:solidFill>
            <a:effectLst/>
            <a:latin typeface="+mn-lt"/>
            <a:ea typeface="+mn-ea"/>
            <a:cs typeface="+mn-cs"/>
          </a:endParaRPr>
        </a:p>
        <a:p>
          <a:r>
            <a:rPr lang="en-US" sz="1100">
              <a:solidFill>
                <a:schemeClr val="dk1"/>
              </a:solidFill>
              <a:effectLst/>
              <a:latin typeface="+mn-lt"/>
              <a:ea typeface="+mn-ea"/>
              <a:cs typeface="+mn-cs"/>
            </a:rPr>
            <a:t>A - ancient</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B - bipolar</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E - elliptical</a:t>
          </a:r>
          <a:endParaRPr lang="en-US">
            <a:effectLst/>
          </a:endParaRPr>
        </a:p>
        <a:p>
          <a:r>
            <a:rPr lang="en-US" sz="1100">
              <a:solidFill>
                <a:schemeClr val="dk1"/>
              </a:solidFill>
              <a:effectLst/>
              <a:latin typeface="+mn-lt"/>
              <a:ea typeface="+mn-ea"/>
              <a:cs typeface="+mn-cs"/>
            </a:rPr>
            <a:t>M - multipolar</a:t>
          </a:r>
          <a:endParaRPr lang="en-US">
            <a:effectLst/>
          </a:endParaRPr>
        </a:p>
        <a:p>
          <a:r>
            <a:rPr lang="en-US" sz="1100">
              <a:solidFill>
                <a:schemeClr val="dk1"/>
              </a:solidFill>
              <a:effectLst/>
              <a:latin typeface="+mn-lt"/>
              <a:ea typeface="+mn-ea"/>
              <a:cs typeface="+mn-cs"/>
            </a:rPr>
            <a:t>P - peculiar</a:t>
          </a:r>
          <a:endParaRPr lang="en-US">
            <a:effectLst/>
          </a:endParaRPr>
        </a:p>
        <a:p>
          <a:r>
            <a:rPr lang="en-US" sz="1100">
              <a:solidFill>
                <a:schemeClr val="dk1"/>
              </a:solidFill>
              <a:effectLst/>
              <a:latin typeface="+mn-lt"/>
              <a:ea typeface="+mn-ea"/>
              <a:cs typeface="+mn-cs"/>
            </a:rPr>
            <a:t>S - spherical</a:t>
          </a:r>
          <a:endParaRPr lang="en-US">
            <a:effectLst/>
          </a:endParaRPr>
        </a:p>
        <a:p>
          <a:r>
            <a:rPr lang="en-US" sz="1100">
              <a:solidFill>
                <a:schemeClr val="dk1"/>
              </a:solidFill>
              <a:effectLst/>
              <a:latin typeface="+mn-lt"/>
              <a:ea typeface="+mn-ea"/>
              <a:cs typeface="+mn-cs"/>
            </a:rPr>
            <a:t>X - stellar (0.2' diameter or less)</a:t>
          </a:r>
          <a:endParaRPr lang="en-US">
            <a:effectLst/>
          </a:endParaRPr>
        </a:p>
        <a:p>
          <a:pPr eaLnBrk="1" fontAlgn="auto" latinLnBrk="0" hangingPunct="1"/>
          <a:endParaRPr lang="en-US" sz="1100" b="0" i="1">
            <a:solidFill>
              <a:schemeClr val="dk1"/>
            </a:solidFill>
            <a:effectLst/>
            <a:latin typeface="+mn-lt"/>
            <a:ea typeface="+mn-ea"/>
            <a:cs typeface="+mn-cs"/>
          </a:endParaRPr>
        </a:p>
        <a:p>
          <a:pPr eaLnBrk="1" fontAlgn="auto" latinLnBrk="0" hangingPunct="1"/>
          <a:r>
            <a:rPr lang="en-US" sz="1100" b="0" i="1">
              <a:solidFill>
                <a:schemeClr val="dk1"/>
              </a:solidFill>
              <a:effectLst/>
              <a:latin typeface="+mn-lt"/>
              <a:ea typeface="+mn-ea"/>
              <a:cs typeface="+mn-cs"/>
            </a:rPr>
            <a:t>b = Signal as follows: </a:t>
          </a:r>
          <a:endParaRPr lang="en-US" b="0" i="1">
            <a:effectLst/>
          </a:endParaRPr>
        </a:p>
        <a:p>
          <a:r>
            <a:rPr lang="en-US" sz="1100">
              <a:solidFill>
                <a:schemeClr val="dk1"/>
              </a:solidFill>
              <a:effectLst/>
              <a:latin typeface="+mn-lt"/>
              <a:ea typeface="+mn-ea"/>
              <a:cs typeface="+mn-cs"/>
            </a:rPr>
            <a:t>O - OIII (cyan)</a:t>
          </a:r>
          <a:endParaRPr lang="en-US">
            <a:effectLst/>
          </a:endParaRPr>
        </a:p>
        <a:p>
          <a:r>
            <a:rPr lang="en-US" sz="1100">
              <a:solidFill>
                <a:schemeClr val="dk1"/>
              </a:solidFill>
              <a:effectLst/>
              <a:latin typeface="+mn-lt"/>
              <a:ea typeface="+mn-ea"/>
              <a:cs typeface="+mn-cs"/>
            </a:rPr>
            <a:t>H - Ha (red)</a:t>
          </a:r>
          <a:endParaRPr lang="en-US">
            <a:effectLst/>
          </a:endParaRPr>
        </a:p>
        <a:p>
          <a:r>
            <a:rPr lang="en-US" sz="1100">
              <a:solidFill>
                <a:schemeClr val="dk1"/>
              </a:solidFill>
              <a:effectLst/>
              <a:latin typeface="+mn-lt"/>
              <a:ea typeface="+mn-ea"/>
              <a:cs typeface="+mn-cs"/>
            </a:rPr>
            <a:t>C - Both comparable (gray)</a:t>
          </a:r>
          <a:endParaRPr lang="en-US">
            <a:effectLst/>
          </a:endParaRPr>
        </a:p>
        <a:p>
          <a:r>
            <a:rPr lang="en-US" sz="1100">
              <a:solidFill>
                <a:schemeClr val="dk1"/>
              </a:solidFill>
              <a:effectLst/>
              <a:latin typeface="+mn-lt"/>
              <a:ea typeface="+mn-ea"/>
              <a:cs typeface="+mn-cs"/>
            </a:rPr>
            <a:t>R - Ha rim, OIII inner</a:t>
          </a:r>
          <a:endParaRPr lang="en-US">
            <a:effectLst/>
          </a:endParaRPr>
        </a:p>
        <a:p>
          <a:endParaRPr lang="en-US" sz="1100" b="0" i="1">
            <a:solidFill>
              <a:schemeClr val="dk1"/>
            </a:solidFill>
            <a:effectLst/>
            <a:latin typeface="+mn-lt"/>
            <a:ea typeface="+mn-ea"/>
            <a:cs typeface="+mn-cs"/>
          </a:endParaRPr>
        </a:p>
        <a:p>
          <a:r>
            <a:rPr lang="en-US" sz="1100" b="0" i="1">
              <a:solidFill>
                <a:schemeClr val="dk1"/>
              </a:solidFill>
              <a:effectLst/>
              <a:latin typeface="+mn-lt"/>
              <a:ea typeface="+mn-ea"/>
              <a:cs typeface="+mn-cs"/>
            </a:rPr>
            <a:t>c = Presence of</a:t>
          </a:r>
          <a:r>
            <a:rPr lang="en-US" sz="1100" b="0" i="1" baseline="0">
              <a:solidFill>
                <a:schemeClr val="dk1"/>
              </a:solidFill>
              <a:effectLst/>
              <a:latin typeface="+mn-lt"/>
              <a:ea typeface="+mn-ea"/>
              <a:cs typeface="+mn-cs"/>
            </a:rPr>
            <a:t> Progenitor as follows:</a:t>
          </a:r>
        </a:p>
        <a:p>
          <a:r>
            <a:rPr lang="en-US" sz="1100" b="0" baseline="0">
              <a:solidFill>
                <a:schemeClr val="dk1"/>
              </a:solidFill>
              <a:effectLst/>
              <a:latin typeface="+mn-lt"/>
              <a:ea typeface="+mn-ea"/>
              <a:cs typeface="+mn-cs"/>
            </a:rPr>
            <a:t>Y - Visible</a:t>
          </a:r>
        </a:p>
        <a:p>
          <a:r>
            <a:rPr lang="en-US" sz="1100" b="0" baseline="0">
              <a:solidFill>
                <a:schemeClr val="dk1"/>
              </a:solidFill>
              <a:effectLst/>
              <a:latin typeface="+mn-lt"/>
              <a:ea typeface="+mn-ea"/>
              <a:cs typeface="+mn-cs"/>
            </a:rPr>
            <a:t>N - Not visible</a:t>
          </a:r>
        </a:p>
        <a:p>
          <a:endParaRPr lang="en-US" sz="1100" b="0" i="1" baseline="0">
            <a:solidFill>
              <a:schemeClr val="dk1"/>
            </a:solidFill>
            <a:effectLst/>
            <a:latin typeface="+mn-lt"/>
            <a:ea typeface="+mn-ea"/>
            <a:cs typeface="+mn-cs"/>
          </a:endParaRPr>
        </a:p>
        <a:p>
          <a:r>
            <a:rPr lang="en-US" sz="1100" b="0" i="1" baseline="0">
              <a:solidFill>
                <a:schemeClr val="dk1"/>
              </a:solidFill>
              <a:effectLst/>
              <a:latin typeface="+mn-lt"/>
              <a:ea typeface="+mn-ea"/>
              <a:cs typeface="+mn-cs"/>
            </a:rPr>
            <a:t>and</a:t>
          </a:r>
        </a:p>
        <a:p>
          <a:r>
            <a:rPr lang="en-US" sz="1100" b="0" i="1" baseline="0">
              <a:solidFill>
                <a:schemeClr val="dk1"/>
              </a:solidFill>
              <a:effectLst/>
              <a:latin typeface="+mn-lt"/>
              <a:ea typeface="+mn-ea"/>
              <a:cs typeface="+mn-cs"/>
            </a:rPr>
            <a:t>d = PN features as follows:</a:t>
          </a:r>
          <a:r>
            <a:rPr lang="en-US" sz="1100" b="0" i="1">
              <a:solidFill>
                <a:schemeClr val="dk1"/>
              </a:solidFill>
              <a:effectLst/>
              <a:latin typeface="+mn-lt"/>
              <a:ea typeface="+mn-ea"/>
              <a:cs typeface="+mn-cs"/>
            </a:rPr>
            <a:t> </a:t>
          </a:r>
          <a:endParaRPr lang="en-US" b="0" i="1">
            <a:effectLst/>
          </a:endParaRPr>
        </a:p>
        <a:p>
          <a:r>
            <a:rPr lang="en-US" sz="1100">
              <a:solidFill>
                <a:schemeClr val="dk1"/>
              </a:solidFill>
              <a:effectLst/>
              <a:latin typeface="+mn-lt"/>
              <a:ea typeface="+mn-ea"/>
              <a:cs typeface="+mn-cs"/>
            </a:rPr>
            <a:t>c - bipolar lobes broke through</a:t>
          </a:r>
          <a:endParaRPr lang="en-US">
            <a:effectLst/>
          </a:endParaRPr>
        </a:p>
        <a:p>
          <a:r>
            <a:rPr lang="en-US" sz="1100">
              <a:solidFill>
                <a:schemeClr val="dk1"/>
              </a:solidFill>
              <a:effectLst/>
              <a:latin typeface="+mn-lt"/>
              <a:ea typeface="+mn-ea"/>
              <a:cs typeface="+mn-cs"/>
            </a:rPr>
            <a:t>f - bright filaments </a:t>
          </a:r>
        </a:p>
        <a:p>
          <a:r>
            <a:rPr lang="en-US" sz="1100">
              <a:solidFill>
                <a:schemeClr val="dk1"/>
              </a:solidFill>
              <a:effectLst/>
              <a:latin typeface="+mn-lt"/>
              <a:ea typeface="+mn-ea"/>
              <a:cs typeface="+mn-cs"/>
            </a:rPr>
            <a:t>h -</a:t>
          </a:r>
          <a:r>
            <a:rPr lang="en-US" sz="1100" baseline="0">
              <a:solidFill>
                <a:schemeClr val="dk1"/>
              </a:solidFill>
              <a:effectLst/>
              <a:latin typeface="+mn-lt"/>
              <a:ea typeface="+mn-ea"/>
              <a:cs typeface="+mn-cs"/>
            </a:rPr>
            <a:t> hexagon shape</a:t>
          </a:r>
          <a:endParaRPr lang="en-US">
            <a:effectLst/>
          </a:endParaRPr>
        </a:p>
        <a:p>
          <a:r>
            <a:rPr lang="en-US" sz="1100">
              <a:solidFill>
                <a:schemeClr val="dk1"/>
              </a:solidFill>
              <a:effectLst/>
              <a:latin typeface="+mn-lt"/>
              <a:ea typeface="+mn-ea"/>
              <a:cs typeface="+mn-cs"/>
            </a:rPr>
            <a:t>i - ISM interaction</a:t>
          </a:r>
          <a:endParaRPr lang="en-US">
            <a:effectLst/>
          </a:endParaRPr>
        </a:p>
        <a:p>
          <a:r>
            <a:rPr lang="en-US" sz="1100">
              <a:solidFill>
                <a:schemeClr val="dk1"/>
              </a:solidFill>
              <a:effectLst/>
              <a:latin typeface="+mn-lt"/>
              <a:ea typeface="+mn-ea"/>
              <a:cs typeface="+mn-cs"/>
            </a:rPr>
            <a:t>j - jets (polar)</a:t>
          </a:r>
          <a:endParaRPr lang="en-US">
            <a:effectLst/>
          </a:endParaRPr>
        </a:p>
        <a:p>
          <a:r>
            <a:rPr lang="en-US" sz="1100">
              <a:solidFill>
                <a:schemeClr val="dk1"/>
              </a:solidFill>
              <a:effectLst/>
              <a:latin typeface="+mn-lt"/>
              <a:ea typeface="+mn-ea"/>
              <a:cs typeface="+mn-cs"/>
            </a:rPr>
            <a:t>o - owl/M97-type/inner voids</a:t>
          </a:r>
          <a:endParaRPr lang="en-US">
            <a:effectLst/>
          </a:endParaRPr>
        </a:p>
        <a:p>
          <a:r>
            <a:rPr lang="en-US" sz="1100">
              <a:solidFill>
                <a:schemeClr val="dk1"/>
              </a:solidFill>
              <a:effectLst/>
              <a:latin typeface="+mn-lt"/>
              <a:ea typeface="+mn-ea"/>
              <a:cs typeface="+mn-cs"/>
            </a:rPr>
            <a:t>q - opposing pair of lightened limbs on rim</a:t>
          </a:r>
          <a:endParaRPr lang="en-US">
            <a:effectLst/>
          </a:endParaRPr>
        </a:p>
        <a:p>
          <a:r>
            <a:rPr lang="en-US" sz="1100">
              <a:solidFill>
                <a:schemeClr val="dk1"/>
              </a:solidFill>
              <a:effectLst/>
              <a:latin typeface="+mn-lt"/>
              <a:ea typeface="+mn-ea"/>
              <a:cs typeface="+mn-cs"/>
            </a:rPr>
            <a:t>r - ring (bright torus)</a:t>
          </a:r>
          <a:endParaRPr lang="en-US">
            <a:effectLst/>
          </a:endParaRPr>
        </a:p>
        <a:p>
          <a:r>
            <a:rPr lang="en-US" sz="1100">
              <a:solidFill>
                <a:schemeClr val="dk1"/>
              </a:solidFill>
              <a:effectLst/>
              <a:latin typeface="+mn-lt"/>
              <a:ea typeface="+mn-ea"/>
              <a:cs typeface="+mn-cs"/>
            </a:rPr>
            <a:t>t - thin rim</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y - ansae </a:t>
          </a:r>
          <a:endParaRPr lang="en-US">
            <a:effectLst/>
          </a:endParaRPr>
        </a:p>
        <a:p>
          <a:endParaRPr lang="en-US">
            <a:effectLst/>
          </a:endParaRPr>
        </a:p>
        <a:p>
          <a:r>
            <a:rPr lang="en-US" b="1" u="sng">
              <a:effectLst/>
            </a:rPr>
            <a:t>Emission Nebula</a:t>
          </a:r>
        </a:p>
        <a:p>
          <a:r>
            <a:rPr lang="en-US" i="1">
              <a:effectLst/>
            </a:rPr>
            <a:t>Example: a/b,</a:t>
          </a:r>
          <a:r>
            <a:rPr lang="en-US" i="1" baseline="0">
              <a:effectLst/>
            </a:rPr>
            <a:t> where</a:t>
          </a:r>
        </a:p>
        <a:p>
          <a:r>
            <a:rPr lang="en-US" i="1" baseline="0">
              <a:effectLst/>
            </a:rPr>
            <a:t>a = Emission Type as follows:</a:t>
          </a:r>
        </a:p>
        <a:p>
          <a:r>
            <a:rPr lang="en-US" baseline="0">
              <a:effectLst/>
            </a:rPr>
            <a:t>SHO - All NP channels present</a:t>
          </a:r>
        </a:p>
        <a:p>
          <a:r>
            <a:rPr lang="en-US" baseline="0">
              <a:effectLst/>
            </a:rPr>
            <a:t>HII - HII is dominant</a:t>
          </a:r>
        </a:p>
        <a:p>
          <a:r>
            <a:rPr lang="en-US" baseline="0">
              <a:effectLst/>
            </a:rPr>
            <a:t>SS - Stromgren Sphere</a:t>
          </a:r>
        </a:p>
        <a:p>
          <a:r>
            <a:rPr lang="en-US" baseline="0">
              <a:effectLst/>
            </a:rPr>
            <a:t>WR - Wolf-Rayet Nebula</a:t>
          </a:r>
        </a:p>
        <a:p>
          <a:endParaRPr lang="en-US" baseline="0">
            <a:effectLst/>
          </a:endParaRPr>
        </a:p>
        <a:p>
          <a:r>
            <a:rPr lang="en-US" baseline="0">
              <a:effectLst/>
            </a:rPr>
            <a:t>and</a:t>
          </a:r>
        </a:p>
        <a:p>
          <a:r>
            <a:rPr lang="en-US" i="1" baseline="0">
              <a:effectLst/>
            </a:rPr>
            <a:t>b = Comparative signal strengths for each</a:t>
          </a:r>
          <a:br>
            <a:rPr lang="en-US" i="1" baseline="0">
              <a:effectLst/>
            </a:rPr>
          </a:br>
          <a:r>
            <a:rPr lang="en-US" i="1" baseline="0">
              <a:effectLst/>
            </a:rPr>
            <a:t>       SHO channel, normalized to largest  </a:t>
          </a:r>
          <a:r>
            <a:rPr lang="en-US" sz="1100" i="1">
              <a:solidFill>
                <a:schemeClr val="dk1"/>
              </a:solidFill>
              <a:effectLst/>
              <a:latin typeface="+mn-lt"/>
              <a:ea typeface="+mn-ea"/>
              <a:cs typeface="+mn-cs"/>
            </a:rPr>
            <a:t> </a:t>
          </a:r>
          <a:endParaRPr lang="en-US" i="1">
            <a:effectLst/>
          </a:endParaRPr>
        </a:p>
        <a:p>
          <a:endParaRPr lang="en-US">
            <a:effectLst/>
          </a:endParaRPr>
        </a:p>
        <a:p>
          <a:r>
            <a:rPr lang="en-US" sz="1100" b="1" u="sng">
              <a:solidFill>
                <a:schemeClr val="dk1"/>
              </a:solidFill>
              <a:effectLst/>
              <a:latin typeface="+mn-lt"/>
              <a:ea typeface="+mn-ea"/>
              <a:cs typeface="+mn-cs"/>
            </a:rPr>
            <a:t>Dark Nebula</a:t>
          </a:r>
          <a:endParaRPr lang="en-US" u="sng">
            <a:effectLst/>
          </a:endParaRPr>
        </a:p>
        <a:p>
          <a:pPr eaLnBrk="1" fontAlgn="auto" latinLnBrk="0" hangingPunct="1"/>
          <a:r>
            <a:rPr lang="en-US" sz="1100" b="0" i="1">
              <a:solidFill>
                <a:schemeClr val="dk1"/>
              </a:solidFill>
              <a:effectLst/>
              <a:latin typeface="+mn-lt"/>
              <a:ea typeface="+mn-ea"/>
              <a:cs typeface="+mn-cs"/>
            </a:rPr>
            <a:t>Example:</a:t>
          </a:r>
          <a:r>
            <a:rPr lang="en-US" sz="1100" b="0" i="1" baseline="0">
              <a:solidFill>
                <a:schemeClr val="dk1"/>
              </a:solidFill>
              <a:effectLst/>
              <a:latin typeface="+mn-lt"/>
              <a:ea typeface="+mn-ea"/>
              <a:cs typeface="+mn-cs"/>
            </a:rPr>
            <a:t> a, </a:t>
          </a:r>
          <a:r>
            <a:rPr lang="en-US" sz="1100" b="0" i="1">
              <a:solidFill>
                <a:schemeClr val="dk1"/>
              </a:solidFill>
              <a:effectLst/>
              <a:latin typeface="+mn-lt"/>
              <a:ea typeface="+mn-ea"/>
              <a:cs typeface="+mn-cs"/>
            </a:rPr>
            <a:t>where </a:t>
          </a:r>
          <a:endParaRPr lang="en-US">
            <a:effectLst/>
          </a:endParaRPr>
        </a:p>
        <a:p>
          <a:r>
            <a:rPr lang="en-US" sz="1100" b="0" i="1">
              <a:solidFill>
                <a:schemeClr val="dk1"/>
              </a:solidFill>
              <a:effectLst/>
              <a:latin typeface="+mn-lt"/>
              <a:ea typeface="+mn-ea"/>
              <a:cs typeface="+mn-cs"/>
            </a:rPr>
            <a:t>a = Opacity Rating as follows:</a:t>
          </a:r>
          <a:endParaRPr lang="en-US">
            <a:effectLst/>
          </a:endParaRPr>
        </a:p>
        <a:p>
          <a:r>
            <a:rPr lang="en-US" sz="1100">
              <a:solidFill>
                <a:schemeClr val="dk1"/>
              </a:solidFill>
              <a:effectLst/>
              <a:latin typeface="+mn-lt"/>
              <a:ea typeface="+mn-ea"/>
              <a:cs typeface="+mn-cs"/>
            </a:rPr>
            <a:t>1-lightest to 6-darkest (0</a:t>
          </a:r>
          <a:r>
            <a:rPr lang="en-US" sz="1100" baseline="0">
              <a:solidFill>
                <a:schemeClr val="dk1"/>
              </a:solidFill>
              <a:effectLst/>
              <a:latin typeface="+mn-lt"/>
              <a:ea typeface="+mn-ea"/>
              <a:cs typeface="+mn-cs"/>
            </a:rPr>
            <a:t> for faint nebulae)</a:t>
          </a:r>
          <a:endParaRPr lang="en-US">
            <a:effectLst/>
          </a:endParaRPr>
        </a:p>
        <a:p>
          <a:endParaRPr lang="en-US">
            <a:effectLst/>
          </a:endParaRPr>
        </a:p>
        <a:p>
          <a:endParaRPr lang="en-US" sz="1100" b="1">
            <a:solidFill>
              <a:schemeClr val="dk1"/>
            </a:solidFill>
            <a:effectLst/>
            <a:latin typeface="+mn-lt"/>
            <a:ea typeface="+mn-ea"/>
            <a:cs typeface="+mn-cs"/>
          </a:endParaRPr>
        </a:p>
      </xdr:txBody>
    </xdr:sp>
    <xdr:clientData/>
  </xdr:twoCellAnchor>
  <xdr:twoCellAnchor>
    <xdr:from>
      <xdr:col>10</xdr:col>
      <xdr:colOff>571499</xdr:colOff>
      <xdr:row>1</xdr:row>
      <xdr:rowOff>28572</xdr:rowOff>
    </xdr:from>
    <xdr:to>
      <xdr:col>15</xdr:col>
      <xdr:colOff>381000</xdr:colOff>
      <xdr:row>60</xdr:row>
      <xdr:rowOff>38100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8677274" y="314322"/>
          <a:ext cx="2857501" cy="115347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effectLst/>
          </a:endParaRPr>
        </a:p>
        <a:p>
          <a:pPr eaLnBrk="1" fontAlgn="auto" latinLnBrk="0" hangingPunct="1"/>
          <a:endParaRPr lang="en-US" sz="1400" b="1">
            <a:solidFill>
              <a:schemeClr val="dk1"/>
            </a:solidFill>
            <a:effectLst/>
            <a:latin typeface="+mn-lt"/>
            <a:ea typeface="+mn-ea"/>
            <a:cs typeface="+mn-cs"/>
          </a:endParaRPr>
        </a:p>
        <a:p>
          <a:pPr eaLnBrk="1" fontAlgn="auto" latinLnBrk="0" hangingPunct="1"/>
          <a:r>
            <a:rPr lang="en-US" sz="1400" b="1">
              <a:solidFill>
                <a:schemeClr val="dk1"/>
              </a:solidFill>
              <a:effectLst/>
              <a:latin typeface="+mn-lt"/>
              <a:ea typeface="+mn-ea"/>
              <a:cs typeface="+mn-cs"/>
            </a:rPr>
            <a:t>Star-Related:</a:t>
          </a:r>
        </a:p>
        <a:p>
          <a:pPr eaLnBrk="1" fontAlgn="auto" latinLnBrk="0" hangingPunct="1"/>
          <a:endParaRPr lang="en-US" sz="1100">
            <a:effectLst/>
          </a:endParaRPr>
        </a:p>
        <a:p>
          <a:r>
            <a:rPr lang="en-US" sz="1100" b="1" u="sng">
              <a:solidFill>
                <a:schemeClr val="dk1"/>
              </a:solidFill>
              <a:effectLst/>
              <a:latin typeface="+mn-lt"/>
              <a:ea typeface="+mn-ea"/>
              <a:cs typeface="+mn-cs"/>
            </a:rPr>
            <a:t>Globular</a:t>
          </a:r>
          <a:r>
            <a:rPr lang="en-US" sz="1100" b="1" u="sng" baseline="0">
              <a:solidFill>
                <a:schemeClr val="dk1"/>
              </a:solidFill>
              <a:effectLst/>
              <a:latin typeface="+mn-lt"/>
              <a:ea typeface="+mn-ea"/>
              <a:cs typeface="+mn-cs"/>
            </a:rPr>
            <a:t> Cluster</a:t>
          </a:r>
          <a:endParaRPr lang="en-US" u="sng">
            <a:effectLst/>
          </a:endParaRPr>
        </a:p>
        <a:p>
          <a:r>
            <a:rPr lang="en-US" sz="1100" i="1" u="none" baseline="0">
              <a:solidFill>
                <a:schemeClr val="dk1"/>
              </a:solidFill>
              <a:effectLst/>
              <a:latin typeface="+mn-lt"/>
              <a:ea typeface="+mn-ea"/>
              <a:cs typeface="+mn-cs"/>
            </a:rPr>
            <a:t>Example: a, where</a:t>
          </a:r>
        </a:p>
        <a:p>
          <a:r>
            <a:rPr lang="en-US" sz="1100" i="1" u="none" baseline="0">
              <a:solidFill>
                <a:schemeClr val="dk1"/>
              </a:solidFill>
              <a:effectLst/>
              <a:latin typeface="+mn-lt"/>
              <a:ea typeface="+mn-ea"/>
              <a:cs typeface="+mn-cs"/>
            </a:rPr>
            <a:t>a = Shapley–Sawyer Rating as follows:</a:t>
          </a:r>
          <a:endParaRPr lang="en-US" i="1" u="none">
            <a:effectLst/>
          </a:endParaRPr>
        </a:p>
        <a:p>
          <a:r>
            <a:rPr lang="en-US" sz="1100" baseline="0">
              <a:solidFill>
                <a:schemeClr val="dk1"/>
              </a:solidFill>
              <a:effectLst/>
              <a:latin typeface="+mn-lt"/>
              <a:ea typeface="+mn-ea"/>
              <a:cs typeface="+mn-cs"/>
            </a:rPr>
            <a:t>I (high core conc.) to XII (loose)</a:t>
          </a:r>
        </a:p>
        <a:p>
          <a:endParaRPr lang="en-US">
            <a:effectLst/>
          </a:endParaRPr>
        </a:p>
        <a:p>
          <a:r>
            <a:rPr lang="en-US" sz="1100" b="1" u="sng" baseline="0">
              <a:solidFill>
                <a:schemeClr val="dk1"/>
              </a:solidFill>
              <a:effectLst/>
              <a:latin typeface="+mn-lt"/>
              <a:ea typeface="+mn-ea"/>
              <a:cs typeface="+mn-cs"/>
            </a:rPr>
            <a:t>Open Cluster</a:t>
          </a:r>
        </a:p>
        <a:p>
          <a:r>
            <a:rPr lang="en-US" sz="1100" b="0" i="1" baseline="0">
              <a:solidFill>
                <a:schemeClr val="dk1"/>
              </a:solidFill>
              <a:effectLst/>
              <a:latin typeface="+mn-lt"/>
              <a:ea typeface="+mn-ea"/>
              <a:cs typeface="+mn-cs"/>
            </a:rPr>
            <a:t>Example: a-b-c-d, where</a:t>
          </a:r>
        </a:p>
        <a:p>
          <a:r>
            <a:rPr lang="en-US" sz="1100" b="0" i="1" u="none" baseline="0">
              <a:solidFill>
                <a:schemeClr val="dk1"/>
              </a:solidFill>
              <a:effectLst/>
              <a:latin typeface="+mn-lt"/>
              <a:ea typeface="+mn-ea"/>
              <a:cs typeface="+mn-cs"/>
            </a:rPr>
            <a:t>a = </a:t>
          </a:r>
          <a:r>
            <a:rPr lang="en-US" sz="1100" i="1" u="none" baseline="0">
              <a:solidFill>
                <a:schemeClr val="dk1"/>
              </a:solidFill>
              <a:effectLst/>
              <a:latin typeface="+mn-lt"/>
              <a:ea typeface="+mn-ea"/>
              <a:cs typeface="+mn-cs"/>
            </a:rPr>
            <a:t>Trumpler Concentration Rating as follows:</a:t>
          </a:r>
          <a:br>
            <a:rPr lang="en-US" sz="1100" i="0" u="none" baseline="0">
              <a:solidFill>
                <a:schemeClr val="dk1"/>
              </a:solidFill>
              <a:effectLst/>
              <a:latin typeface="+mn-lt"/>
              <a:ea typeface="+mn-ea"/>
              <a:cs typeface="+mn-cs"/>
            </a:rPr>
          </a:br>
          <a:r>
            <a:rPr lang="en-US" sz="1100" i="0" u="none" baseline="0">
              <a:solidFill>
                <a:schemeClr val="dk1"/>
              </a:solidFill>
              <a:effectLst/>
              <a:latin typeface="+mn-lt"/>
              <a:ea typeface="+mn-ea"/>
              <a:cs typeface="+mn-cs"/>
            </a:rPr>
            <a:t>I to IV (I-strong to IV-none)</a:t>
          </a:r>
          <a:endParaRPr lang="en-US" u="none">
            <a:effectLst/>
          </a:endParaRPr>
        </a:p>
        <a:p>
          <a:endParaRPr lang="en-US" sz="1100" i="1" u="none" baseline="0">
            <a:solidFill>
              <a:schemeClr val="dk1"/>
            </a:solidFill>
            <a:effectLst/>
            <a:latin typeface="+mn-lt"/>
            <a:ea typeface="+mn-ea"/>
            <a:cs typeface="+mn-cs"/>
          </a:endParaRPr>
        </a:p>
        <a:p>
          <a:r>
            <a:rPr lang="en-US" sz="1100" i="1" u="none" baseline="0">
              <a:solidFill>
                <a:schemeClr val="dk1"/>
              </a:solidFill>
              <a:effectLst/>
              <a:latin typeface="+mn-lt"/>
              <a:ea typeface="+mn-ea"/>
              <a:cs typeface="+mn-cs"/>
            </a:rPr>
            <a:t>b = Trumpler Brightness Rating as follows:</a:t>
          </a:r>
          <a:br>
            <a:rPr lang="en-US" sz="1100" u="none" baseline="0">
              <a:solidFill>
                <a:schemeClr val="dk1"/>
              </a:solidFill>
              <a:effectLst/>
              <a:latin typeface="+mn-lt"/>
              <a:ea typeface="+mn-ea"/>
              <a:cs typeface="+mn-cs"/>
            </a:rPr>
          </a:br>
          <a:r>
            <a:rPr lang="en-US" sz="1100" u="none" baseline="0">
              <a:solidFill>
                <a:schemeClr val="dk1"/>
              </a:solidFill>
              <a:effectLst/>
              <a:latin typeface="+mn-lt"/>
              <a:ea typeface="+mn-ea"/>
              <a:cs typeface="+mn-cs"/>
            </a:rPr>
            <a:t>1 to 3  (1-all same to 3-bright &amp; faint)</a:t>
          </a:r>
        </a:p>
        <a:p>
          <a:endParaRPr lang="en-US" sz="1100" i="1" u="none" baseline="0">
            <a:solidFill>
              <a:schemeClr val="dk1"/>
            </a:solidFill>
            <a:effectLst/>
            <a:latin typeface="+mn-lt"/>
            <a:ea typeface="+mn-ea"/>
            <a:cs typeface="+mn-cs"/>
          </a:endParaRPr>
        </a:p>
        <a:p>
          <a:r>
            <a:rPr lang="en-US" sz="1100" i="1" u="none" baseline="0">
              <a:solidFill>
                <a:schemeClr val="dk1"/>
              </a:solidFill>
              <a:effectLst/>
              <a:latin typeface="+mn-lt"/>
              <a:ea typeface="+mn-ea"/>
              <a:cs typeface="+mn-cs"/>
            </a:rPr>
            <a:t>c = Number of Stars</a:t>
          </a:r>
        </a:p>
        <a:p>
          <a:endParaRPr lang="en-US" sz="1100" i="1" u="none" baseline="0">
            <a:solidFill>
              <a:schemeClr val="dk1"/>
            </a:solidFill>
            <a:effectLst/>
            <a:latin typeface="+mn-lt"/>
            <a:ea typeface="+mn-ea"/>
            <a:cs typeface="+mn-cs"/>
          </a:endParaRPr>
        </a:p>
        <a:p>
          <a:r>
            <a:rPr lang="en-US" sz="1100" i="1" u="none" baseline="0">
              <a:solidFill>
                <a:schemeClr val="dk1"/>
              </a:solidFill>
              <a:effectLst/>
              <a:latin typeface="+mn-lt"/>
              <a:ea typeface="+mn-ea"/>
              <a:cs typeface="+mn-cs"/>
            </a:rPr>
            <a:t>d = other designations (a = asterism)</a:t>
          </a:r>
          <a:endParaRPr lang="en-US" i="1" u="none">
            <a:effectLst/>
          </a:endParaRPr>
        </a:p>
        <a:p>
          <a:endParaRPr lang="en-US" sz="1100" b="1">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85725</xdr:colOff>
      <xdr:row>10</xdr:row>
      <xdr:rowOff>47625</xdr:rowOff>
    </xdr:from>
    <xdr:to>
      <xdr:col>2</xdr:col>
      <xdr:colOff>542925</xdr:colOff>
      <xdr:row>10</xdr:row>
      <xdr:rowOff>504825</xdr:rowOff>
    </xdr:to>
    <xdr:pic>
      <xdr:nvPicPr>
        <xdr:cNvPr id="167712" name="Picture 6">
          <a:extLst>
            <a:ext uri="{FF2B5EF4-FFF2-40B4-BE49-F238E27FC236}">
              <a16:creationId xmlns:a16="http://schemas.microsoft.com/office/drawing/2014/main" id="{00000000-0008-0000-0500-0000208F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81175" y="20669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11</xdr:row>
      <xdr:rowOff>47625</xdr:rowOff>
    </xdr:from>
    <xdr:to>
      <xdr:col>2</xdr:col>
      <xdr:colOff>542925</xdr:colOff>
      <xdr:row>11</xdr:row>
      <xdr:rowOff>504825</xdr:rowOff>
    </xdr:to>
    <xdr:pic>
      <xdr:nvPicPr>
        <xdr:cNvPr id="167713" name="Picture 8">
          <a:extLst>
            <a:ext uri="{FF2B5EF4-FFF2-40B4-BE49-F238E27FC236}">
              <a16:creationId xmlns:a16="http://schemas.microsoft.com/office/drawing/2014/main" id="{00000000-0008-0000-0500-0000218F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81175" y="26098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12</xdr:row>
      <xdr:rowOff>47625</xdr:rowOff>
    </xdr:from>
    <xdr:to>
      <xdr:col>2</xdr:col>
      <xdr:colOff>542925</xdr:colOff>
      <xdr:row>12</xdr:row>
      <xdr:rowOff>504825</xdr:rowOff>
    </xdr:to>
    <xdr:pic>
      <xdr:nvPicPr>
        <xdr:cNvPr id="167714" name="Picture 10">
          <a:extLst>
            <a:ext uri="{FF2B5EF4-FFF2-40B4-BE49-F238E27FC236}">
              <a16:creationId xmlns:a16="http://schemas.microsoft.com/office/drawing/2014/main" id="{00000000-0008-0000-0500-0000228F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1175" y="31527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13</xdr:row>
      <xdr:rowOff>47625</xdr:rowOff>
    </xdr:from>
    <xdr:to>
      <xdr:col>2</xdr:col>
      <xdr:colOff>542925</xdr:colOff>
      <xdr:row>13</xdr:row>
      <xdr:rowOff>504825</xdr:rowOff>
    </xdr:to>
    <xdr:pic>
      <xdr:nvPicPr>
        <xdr:cNvPr id="167715" name="Picture 12">
          <a:extLst>
            <a:ext uri="{FF2B5EF4-FFF2-40B4-BE49-F238E27FC236}">
              <a16:creationId xmlns:a16="http://schemas.microsoft.com/office/drawing/2014/main" id="{00000000-0008-0000-0500-0000238F0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81175" y="36957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xdr:colOff>
      <xdr:row>14</xdr:row>
      <xdr:rowOff>47625</xdr:rowOff>
    </xdr:from>
    <xdr:to>
      <xdr:col>2</xdr:col>
      <xdr:colOff>533400</xdr:colOff>
      <xdr:row>14</xdr:row>
      <xdr:rowOff>514350</xdr:rowOff>
    </xdr:to>
    <xdr:pic>
      <xdr:nvPicPr>
        <xdr:cNvPr id="167716" name="Picture 14">
          <a:extLst>
            <a:ext uri="{FF2B5EF4-FFF2-40B4-BE49-F238E27FC236}">
              <a16:creationId xmlns:a16="http://schemas.microsoft.com/office/drawing/2014/main" id="{00000000-0008-0000-0500-0000248F02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62125" y="4238625"/>
          <a:ext cx="4667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15</xdr:row>
      <xdr:rowOff>47625</xdr:rowOff>
    </xdr:from>
    <xdr:to>
      <xdr:col>2</xdr:col>
      <xdr:colOff>533400</xdr:colOff>
      <xdr:row>15</xdr:row>
      <xdr:rowOff>504825</xdr:rowOff>
    </xdr:to>
    <xdr:pic>
      <xdr:nvPicPr>
        <xdr:cNvPr id="167717" name="Picture 16">
          <a:extLst>
            <a:ext uri="{FF2B5EF4-FFF2-40B4-BE49-F238E27FC236}">
              <a16:creationId xmlns:a16="http://schemas.microsoft.com/office/drawing/2014/main" id="{00000000-0008-0000-0500-0000258F02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71650" y="47815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16</xdr:row>
      <xdr:rowOff>47625</xdr:rowOff>
    </xdr:from>
    <xdr:to>
      <xdr:col>2</xdr:col>
      <xdr:colOff>533400</xdr:colOff>
      <xdr:row>16</xdr:row>
      <xdr:rowOff>504825</xdr:rowOff>
    </xdr:to>
    <xdr:pic>
      <xdr:nvPicPr>
        <xdr:cNvPr id="167718" name="Picture 18">
          <a:extLst>
            <a:ext uri="{FF2B5EF4-FFF2-40B4-BE49-F238E27FC236}">
              <a16:creationId xmlns:a16="http://schemas.microsoft.com/office/drawing/2014/main" id="{00000000-0008-0000-0500-0000268F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71650" y="53244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17</xdr:row>
      <xdr:rowOff>47625</xdr:rowOff>
    </xdr:from>
    <xdr:to>
      <xdr:col>2</xdr:col>
      <xdr:colOff>533400</xdr:colOff>
      <xdr:row>17</xdr:row>
      <xdr:rowOff>504825</xdr:rowOff>
    </xdr:to>
    <xdr:pic>
      <xdr:nvPicPr>
        <xdr:cNvPr id="167719" name="Picture 24">
          <a:extLst>
            <a:ext uri="{FF2B5EF4-FFF2-40B4-BE49-F238E27FC236}">
              <a16:creationId xmlns:a16="http://schemas.microsoft.com/office/drawing/2014/main" id="{00000000-0008-0000-0500-0000278F02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71650" y="58674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18</xdr:row>
      <xdr:rowOff>47625</xdr:rowOff>
    </xdr:from>
    <xdr:to>
      <xdr:col>2</xdr:col>
      <xdr:colOff>542925</xdr:colOff>
      <xdr:row>18</xdr:row>
      <xdr:rowOff>504825</xdr:rowOff>
    </xdr:to>
    <xdr:pic>
      <xdr:nvPicPr>
        <xdr:cNvPr id="167720" name="Picture 26">
          <a:extLst>
            <a:ext uri="{FF2B5EF4-FFF2-40B4-BE49-F238E27FC236}">
              <a16:creationId xmlns:a16="http://schemas.microsoft.com/office/drawing/2014/main" id="{00000000-0008-0000-0500-0000288F02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81175" y="64103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19</xdr:row>
      <xdr:rowOff>57150</xdr:rowOff>
    </xdr:from>
    <xdr:to>
      <xdr:col>2</xdr:col>
      <xdr:colOff>533400</xdr:colOff>
      <xdr:row>19</xdr:row>
      <xdr:rowOff>514350</xdr:rowOff>
    </xdr:to>
    <xdr:pic>
      <xdr:nvPicPr>
        <xdr:cNvPr id="167721" name="Picture 28">
          <a:extLst>
            <a:ext uri="{FF2B5EF4-FFF2-40B4-BE49-F238E27FC236}">
              <a16:creationId xmlns:a16="http://schemas.microsoft.com/office/drawing/2014/main" id="{00000000-0008-0000-0500-0000298F02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71650" y="69627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20</xdr:row>
      <xdr:rowOff>47625</xdr:rowOff>
    </xdr:from>
    <xdr:to>
      <xdr:col>2</xdr:col>
      <xdr:colOff>533400</xdr:colOff>
      <xdr:row>20</xdr:row>
      <xdr:rowOff>504825</xdr:rowOff>
    </xdr:to>
    <xdr:pic>
      <xdr:nvPicPr>
        <xdr:cNvPr id="167722" name="Picture 30">
          <a:extLst>
            <a:ext uri="{FF2B5EF4-FFF2-40B4-BE49-F238E27FC236}">
              <a16:creationId xmlns:a16="http://schemas.microsoft.com/office/drawing/2014/main" id="{00000000-0008-0000-0500-00002A8F02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71650" y="74961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21</xdr:row>
      <xdr:rowOff>57150</xdr:rowOff>
    </xdr:from>
    <xdr:to>
      <xdr:col>2</xdr:col>
      <xdr:colOff>542925</xdr:colOff>
      <xdr:row>21</xdr:row>
      <xdr:rowOff>514350</xdr:rowOff>
    </xdr:to>
    <xdr:pic>
      <xdr:nvPicPr>
        <xdr:cNvPr id="167723" name="Picture 78851">
          <a:extLst>
            <a:ext uri="{FF2B5EF4-FFF2-40B4-BE49-F238E27FC236}">
              <a16:creationId xmlns:a16="http://schemas.microsoft.com/office/drawing/2014/main" id="{00000000-0008-0000-0500-00002B8F02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81175" y="80486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22</xdr:row>
      <xdr:rowOff>47625</xdr:rowOff>
    </xdr:from>
    <xdr:to>
      <xdr:col>2</xdr:col>
      <xdr:colOff>533400</xdr:colOff>
      <xdr:row>22</xdr:row>
      <xdr:rowOff>504825</xdr:rowOff>
    </xdr:to>
    <xdr:pic>
      <xdr:nvPicPr>
        <xdr:cNvPr id="167724" name="Picture 78853">
          <a:extLst>
            <a:ext uri="{FF2B5EF4-FFF2-40B4-BE49-F238E27FC236}">
              <a16:creationId xmlns:a16="http://schemas.microsoft.com/office/drawing/2014/main" id="{00000000-0008-0000-0500-00002C8F02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771650" y="85820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23</xdr:row>
      <xdr:rowOff>47625</xdr:rowOff>
    </xdr:from>
    <xdr:to>
      <xdr:col>2</xdr:col>
      <xdr:colOff>542925</xdr:colOff>
      <xdr:row>23</xdr:row>
      <xdr:rowOff>504825</xdr:rowOff>
    </xdr:to>
    <xdr:pic>
      <xdr:nvPicPr>
        <xdr:cNvPr id="167725" name="Picture 78855">
          <a:extLst>
            <a:ext uri="{FF2B5EF4-FFF2-40B4-BE49-F238E27FC236}">
              <a16:creationId xmlns:a16="http://schemas.microsoft.com/office/drawing/2014/main" id="{00000000-0008-0000-0500-00002D8F02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81175" y="91249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24</xdr:row>
      <xdr:rowOff>38100</xdr:rowOff>
    </xdr:from>
    <xdr:to>
      <xdr:col>2</xdr:col>
      <xdr:colOff>542925</xdr:colOff>
      <xdr:row>24</xdr:row>
      <xdr:rowOff>495300</xdr:rowOff>
    </xdr:to>
    <xdr:pic>
      <xdr:nvPicPr>
        <xdr:cNvPr id="167726" name="Picture 78857">
          <a:extLst>
            <a:ext uri="{FF2B5EF4-FFF2-40B4-BE49-F238E27FC236}">
              <a16:creationId xmlns:a16="http://schemas.microsoft.com/office/drawing/2014/main" id="{00000000-0008-0000-0500-00002E8F02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781175" y="96583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xdr:colOff>
      <xdr:row>25</xdr:row>
      <xdr:rowOff>47625</xdr:rowOff>
    </xdr:from>
    <xdr:to>
      <xdr:col>2</xdr:col>
      <xdr:colOff>552450</xdr:colOff>
      <xdr:row>25</xdr:row>
      <xdr:rowOff>504825</xdr:rowOff>
    </xdr:to>
    <xdr:pic>
      <xdr:nvPicPr>
        <xdr:cNvPr id="167727" name="Picture 78859">
          <a:extLst>
            <a:ext uri="{FF2B5EF4-FFF2-40B4-BE49-F238E27FC236}">
              <a16:creationId xmlns:a16="http://schemas.microsoft.com/office/drawing/2014/main" id="{00000000-0008-0000-0500-00002F8F02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790700" y="102108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26</xdr:row>
      <xdr:rowOff>47625</xdr:rowOff>
    </xdr:from>
    <xdr:to>
      <xdr:col>2</xdr:col>
      <xdr:colOff>533400</xdr:colOff>
      <xdr:row>26</xdr:row>
      <xdr:rowOff>504825</xdr:rowOff>
    </xdr:to>
    <xdr:pic>
      <xdr:nvPicPr>
        <xdr:cNvPr id="167728" name="Picture 78861">
          <a:extLst>
            <a:ext uri="{FF2B5EF4-FFF2-40B4-BE49-F238E27FC236}">
              <a16:creationId xmlns:a16="http://schemas.microsoft.com/office/drawing/2014/main" id="{00000000-0008-0000-0500-0000308F02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771650" y="107537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85725</xdr:colOff>
      <xdr:row>27</xdr:row>
      <xdr:rowOff>47625</xdr:rowOff>
    </xdr:from>
    <xdr:to>
      <xdr:col>2</xdr:col>
      <xdr:colOff>542925</xdr:colOff>
      <xdr:row>27</xdr:row>
      <xdr:rowOff>504825</xdr:rowOff>
    </xdr:to>
    <xdr:pic>
      <xdr:nvPicPr>
        <xdr:cNvPr id="167729" name="Picture 78863">
          <a:extLst>
            <a:ext uri="{FF2B5EF4-FFF2-40B4-BE49-F238E27FC236}">
              <a16:creationId xmlns:a16="http://schemas.microsoft.com/office/drawing/2014/main" id="{00000000-0008-0000-0500-0000318F02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781175" y="112966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xdr:colOff>
      <xdr:row>28</xdr:row>
      <xdr:rowOff>47625</xdr:rowOff>
    </xdr:from>
    <xdr:to>
      <xdr:col>2</xdr:col>
      <xdr:colOff>523875</xdr:colOff>
      <xdr:row>28</xdr:row>
      <xdr:rowOff>504825</xdr:rowOff>
    </xdr:to>
    <xdr:pic>
      <xdr:nvPicPr>
        <xdr:cNvPr id="167730" name="Picture 78865">
          <a:extLst>
            <a:ext uri="{FF2B5EF4-FFF2-40B4-BE49-F238E27FC236}">
              <a16:creationId xmlns:a16="http://schemas.microsoft.com/office/drawing/2014/main" id="{00000000-0008-0000-0500-0000328F02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762125" y="118395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29</xdr:row>
      <xdr:rowOff>47625</xdr:rowOff>
    </xdr:from>
    <xdr:to>
      <xdr:col>2</xdr:col>
      <xdr:colOff>533400</xdr:colOff>
      <xdr:row>29</xdr:row>
      <xdr:rowOff>504825</xdr:rowOff>
    </xdr:to>
    <xdr:pic>
      <xdr:nvPicPr>
        <xdr:cNvPr id="167731" name="Picture 78867">
          <a:extLst>
            <a:ext uri="{FF2B5EF4-FFF2-40B4-BE49-F238E27FC236}">
              <a16:creationId xmlns:a16="http://schemas.microsoft.com/office/drawing/2014/main" id="{00000000-0008-0000-0500-0000338F02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771650" y="123825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30</xdr:row>
      <xdr:rowOff>38100</xdr:rowOff>
    </xdr:from>
    <xdr:to>
      <xdr:col>2</xdr:col>
      <xdr:colOff>533400</xdr:colOff>
      <xdr:row>30</xdr:row>
      <xdr:rowOff>495300</xdr:rowOff>
    </xdr:to>
    <xdr:pic>
      <xdr:nvPicPr>
        <xdr:cNvPr id="167732" name="Picture 78869">
          <a:extLst>
            <a:ext uri="{FF2B5EF4-FFF2-40B4-BE49-F238E27FC236}">
              <a16:creationId xmlns:a16="http://schemas.microsoft.com/office/drawing/2014/main" id="{00000000-0008-0000-0500-0000348F02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771650" y="129159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31</xdr:row>
      <xdr:rowOff>47625</xdr:rowOff>
    </xdr:from>
    <xdr:to>
      <xdr:col>2</xdr:col>
      <xdr:colOff>533400</xdr:colOff>
      <xdr:row>31</xdr:row>
      <xdr:rowOff>504825</xdr:rowOff>
    </xdr:to>
    <xdr:pic>
      <xdr:nvPicPr>
        <xdr:cNvPr id="167733" name="Picture 78871">
          <a:extLst>
            <a:ext uri="{FF2B5EF4-FFF2-40B4-BE49-F238E27FC236}">
              <a16:creationId xmlns:a16="http://schemas.microsoft.com/office/drawing/2014/main" id="{00000000-0008-0000-0500-0000358F02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771650" y="134683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32</xdr:row>
      <xdr:rowOff>47625</xdr:rowOff>
    </xdr:from>
    <xdr:to>
      <xdr:col>2</xdr:col>
      <xdr:colOff>533400</xdr:colOff>
      <xdr:row>32</xdr:row>
      <xdr:rowOff>504825</xdr:rowOff>
    </xdr:to>
    <xdr:pic>
      <xdr:nvPicPr>
        <xdr:cNvPr id="167734" name="Picture 78873">
          <a:extLst>
            <a:ext uri="{FF2B5EF4-FFF2-40B4-BE49-F238E27FC236}">
              <a16:creationId xmlns:a16="http://schemas.microsoft.com/office/drawing/2014/main" id="{00000000-0008-0000-0500-0000368F02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771650" y="140112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33</xdr:row>
      <xdr:rowOff>47625</xdr:rowOff>
    </xdr:from>
    <xdr:to>
      <xdr:col>2</xdr:col>
      <xdr:colOff>533400</xdr:colOff>
      <xdr:row>33</xdr:row>
      <xdr:rowOff>504825</xdr:rowOff>
    </xdr:to>
    <xdr:pic>
      <xdr:nvPicPr>
        <xdr:cNvPr id="167735" name="Picture 78875">
          <a:extLst>
            <a:ext uri="{FF2B5EF4-FFF2-40B4-BE49-F238E27FC236}">
              <a16:creationId xmlns:a16="http://schemas.microsoft.com/office/drawing/2014/main" id="{00000000-0008-0000-0500-0000378F02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771650" y="145542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34</xdr:row>
      <xdr:rowOff>47625</xdr:rowOff>
    </xdr:from>
    <xdr:to>
      <xdr:col>2</xdr:col>
      <xdr:colOff>533400</xdr:colOff>
      <xdr:row>34</xdr:row>
      <xdr:rowOff>504825</xdr:rowOff>
    </xdr:to>
    <xdr:pic>
      <xdr:nvPicPr>
        <xdr:cNvPr id="167736" name="Picture 78877">
          <a:extLst>
            <a:ext uri="{FF2B5EF4-FFF2-40B4-BE49-F238E27FC236}">
              <a16:creationId xmlns:a16="http://schemas.microsoft.com/office/drawing/2014/main" id="{00000000-0008-0000-0500-0000388F02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771650" y="150971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35</xdr:row>
      <xdr:rowOff>47625</xdr:rowOff>
    </xdr:from>
    <xdr:to>
      <xdr:col>2</xdr:col>
      <xdr:colOff>533400</xdr:colOff>
      <xdr:row>35</xdr:row>
      <xdr:rowOff>504825</xdr:rowOff>
    </xdr:to>
    <xdr:pic>
      <xdr:nvPicPr>
        <xdr:cNvPr id="167737" name="Picture 78879">
          <a:extLst>
            <a:ext uri="{FF2B5EF4-FFF2-40B4-BE49-F238E27FC236}">
              <a16:creationId xmlns:a16="http://schemas.microsoft.com/office/drawing/2014/main" id="{00000000-0008-0000-0500-0000398F02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771650" y="156400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36</xdr:row>
      <xdr:rowOff>47625</xdr:rowOff>
    </xdr:from>
    <xdr:to>
      <xdr:col>2</xdr:col>
      <xdr:colOff>533400</xdr:colOff>
      <xdr:row>36</xdr:row>
      <xdr:rowOff>504825</xdr:rowOff>
    </xdr:to>
    <xdr:pic>
      <xdr:nvPicPr>
        <xdr:cNvPr id="167738" name="Picture 78881">
          <a:extLst>
            <a:ext uri="{FF2B5EF4-FFF2-40B4-BE49-F238E27FC236}">
              <a16:creationId xmlns:a16="http://schemas.microsoft.com/office/drawing/2014/main" id="{00000000-0008-0000-0500-00003A8F02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771650" y="161829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37</xdr:row>
      <xdr:rowOff>47625</xdr:rowOff>
    </xdr:from>
    <xdr:to>
      <xdr:col>2</xdr:col>
      <xdr:colOff>533400</xdr:colOff>
      <xdr:row>37</xdr:row>
      <xdr:rowOff>504825</xdr:rowOff>
    </xdr:to>
    <xdr:pic>
      <xdr:nvPicPr>
        <xdr:cNvPr id="167739" name="Picture 78883">
          <a:extLst>
            <a:ext uri="{FF2B5EF4-FFF2-40B4-BE49-F238E27FC236}">
              <a16:creationId xmlns:a16="http://schemas.microsoft.com/office/drawing/2014/main" id="{00000000-0008-0000-0500-00003B8F02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771650" y="167259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xdr:colOff>
      <xdr:row>38</xdr:row>
      <xdr:rowOff>38100</xdr:rowOff>
    </xdr:from>
    <xdr:to>
      <xdr:col>2</xdr:col>
      <xdr:colOff>523875</xdr:colOff>
      <xdr:row>38</xdr:row>
      <xdr:rowOff>495300</xdr:rowOff>
    </xdr:to>
    <xdr:pic>
      <xdr:nvPicPr>
        <xdr:cNvPr id="167740" name="Picture 78885">
          <a:extLst>
            <a:ext uri="{FF2B5EF4-FFF2-40B4-BE49-F238E27FC236}">
              <a16:creationId xmlns:a16="http://schemas.microsoft.com/office/drawing/2014/main" id="{00000000-0008-0000-0500-00003C8F02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762125" y="1725930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39</xdr:row>
      <xdr:rowOff>47625</xdr:rowOff>
    </xdr:from>
    <xdr:to>
      <xdr:col>2</xdr:col>
      <xdr:colOff>533400</xdr:colOff>
      <xdr:row>39</xdr:row>
      <xdr:rowOff>504825</xdr:rowOff>
    </xdr:to>
    <xdr:pic>
      <xdr:nvPicPr>
        <xdr:cNvPr id="167741" name="Picture 78887">
          <a:extLst>
            <a:ext uri="{FF2B5EF4-FFF2-40B4-BE49-F238E27FC236}">
              <a16:creationId xmlns:a16="http://schemas.microsoft.com/office/drawing/2014/main" id="{00000000-0008-0000-0500-00003D8F02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771650" y="178117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xdr:colOff>
      <xdr:row>40</xdr:row>
      <xdr:rowOff>47625</xdr:rowOff>
    </xdr:from>
    <xdr:to>
      <xdr:col>2</xdr:col>
      <xdr:colOff>523875</xdr:colOff>
      <xdr:row>40</xdr:row>
      <xdr:rowOff>504825</xdr:rowOff>
    </xdr:to>
    <xdr:pic>
      <xdr:nvPicPr>
        <xdr:cNvPr id="167742" name="Picture 78889">
          <a:extLst>
            <a:ext uri="{FF2B5EF4-FFF2-40B4-BE49-F238E27FC236}">
              <a16:creationId xmlns:a16="http://schemas.microsoft.com/office/drawing/2014/main" id="{00000000-0008-0000-0500-00003E8F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183546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38</xdr:row>
      <xdr:rowOff>47625</xdr:rowOff>
    </xdr:from>
    <xdr:to>
      <xdr:col>2</xdr:col>
      <xdr:colOff>533400</xdr:colOff>
      <xdr:row>38</xdr:row>
      <xdr:rowOff>504825</xdr:rowOff>
    </xdr:to>
    <xdr:pic>
      <xdr:nvPicPr>
        <xdr:cNvPr id="167743" name="Picture 78891">
          <a:extLst>
            <a:ext uri="{FF2B5EF4-FFF2-40B4-BE49-F238E27FC236}">
              <a16:creationId xmlns:a16="http://schemas.microsoft.com/office/drawing/2014/main" id="{00000000-0008-0000-0500-00003F8F02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771650" y="1726882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39</xdr:row>
      <xdr:rowOff>47625</xdr:rowOff>
    </xdr:from>
    <xdr:to>
      <xdr:col>2</xdr:col>
      <xdr:colOff>533400</xdr:colOff>
      <xdr:row>39</xdr:row>
      <xdr:rowOff>504825</xdr:rowOff>
    </xdr:to>
    <xdr:pic>
      <xdr:nvPicPr>
        <xdr:cNvPr id="167744" name="Picture 78892">
          <a:extLst>
            <a:ext uri="{FF2B5EF4-FFF2-40B4-BE49-F238E27FC236}">
              <a16:creationId xmlns:a16="http://schemas.microsoft.com/office/drawing/2014/main" id="{00000000-0008-0000-0500-0000408F02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771650" y="17811750"/>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76200</xdr:colOff>
      <xdr:row>40</xdr:row>
      <xdr:rowOff>47625</xdr:rowOff>
    </xdr:from>
    <xdr:to>
      <xdr:col>2</xdr:col>
      <xdr:colOff>533400</xdr:colOff>
      <xdr:row>40</xdr:row>
      <xdr:rowOff>504825</xdr:rowOff>
    </xdr:to>
    <xdr:pic>
      <xdr:nvPicPr>
        <xdr:cNvPr id="167745" name="Picture 78893">
          <a:extLst>
            <a:ext uri="{FF2B5EF4-FFF2-40B4-BE49-F238E27FC236}">
              <a16:creationId xmlns:a16="http://schemas.microsoft.com/office/drawing/2014/main" id="{00000000-0008-0000-0500-0000418F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1650" y="18354675"/>
          <a:ext cx="4572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s://www.astrobin.com/zn10ru" TargetMode="External"/><Relationship Id="rId170" Type="http://schemas.openxmlformats.org/officeDocument/2006/relationships/hyperlink" Target="https://www.astrobin.com/327007/" TargetMode="External"/><Relationship Id="rId987" Type="http://schemas.openxmlformats.org/officeDocument/2006/relationships/hyperlink" Target="https://www.astrobin.com/tgz0vo/" TargetMode="External"/><Relationship Id="rId847" Type="http://schemas.openxmlformats.org/officeDocument/2006/relationships/hyperlink" Target="https://www.astrobin.com/l2n30e/" TargetMode="External"/><Relationship Id="rId1477" Type="http://schemas.openxmlformats.org/officeDocument/2006/relationships/hyperlink" Target="https://www.astrobin.com/nvchof/" TargetMode="External"/><Relationship Id="rId1684" Type="http://schemas.openxmlformats.org/officeDocument/2006/relationships/hyperlink" Target="https://www.astrobin.com/uzu6oi/" TargetMode="External"/><Relationship Id="rId1891" Type="http://schemas.openxmlformats.org/officeDocument/2006/relationships/hyperlink" Target="https://www.astrobin.com/oia4by" TargetMode="External"/><Relationship Id="rId2528" Type="http://schemas.openxmlformats.org/officeDocument/2006/relationships/hyperlink" Target="https://app.astrobin.com/i/f47r74" TargetMode="External"/><Relationship Id="rId707" Type="http://schemas.openxmlformats.org/officeDocument/2006/relationships/hyperlink" Target="https://www.astrobin.com/j9ll0s/" TargetMode="External"/><Relationship Id="rId914" Type="http://schemas.openxmlformats.org/officeDocument/2006/relationships/hyperlink" Target="https://app.astrobin.com/i/9heimd" TargetMode="External"/><Relationship Id="rId1337" Type="http://schemas.openxmlformats.org/officeDocument/2006/relationships/hyperlink" Target="https://www.astrobin.com/a2tlds/" TargetMode="External"/><Relationship Id="rId1544" Type="http://schemas.openxmlformats.org/officeDocument/2006/relationships/hyperlink" Target="https://www.astrobin.com/n6e9wq/" TargetMode="External"/><Relationship Id="rId1751" Type="http://schemas.openxmlformats.org/officeDocument/2006/relationships/hyperlink" Target="https://www.astrobin.com/e6urn3" TargetMode="External"/><Relationship Id="rId43" Type="http://schemas.openxmlformats.org/officeDocument/2006/relationships/hyperlink" Target="https://www.astrobin.com/dqsys0" TargetMode="External"/><Relationship Id="rId1404" Type="http://schemas.openxmlformats.org/officeDocument/2006/relationships/hyperlink" Target="https://www.astrobin.com/nrozc1/" TargetMode="External"/><Relationship Id="rId1611" Type="http://schemas.openxmlformats.org/officeDocument/2006/relationships/hyperlink" Target="https://www.astrobin.com/2d2e95/" TargetMode="External"/><Relationship Id="rId497" Type="http://schemas.openxmlformats.org/officeDocument/2006/relationships/hyperlink" Target="https://www.astrobin.com/ai18x3/" TargetMode="External"/><Relationship Id="rId2178" Type="http://schemas.openxmlformats.org/officeDocument/2006/relationships/hyperlink" Target="https://www.astrobin.com/1zme5y" TargetMode="External"/><Relationship Id="rId2385" Type="http://schemas.openxmlformats.org/officeDocument/2006/relationships/hyperlink" Target="https://www.astrobin.com/3zcbsf" TargetMode="External"/><Relationship Id="rId357" Type="http://schemas.openxmlformats.org/officeDocument/2006/relationships/hyperlink" Target="https://www.astrobin.com/395143/" TargetMode="External"/><Relationship Id="rId1194" Type="http://schemas.openxmlformats.org/officeDocument/2006/relationships/hyperlink" Target="https://www.astrobin.com/pbktms/" TargetMode="External"/><Relationship Id="rId2038" Type="http://schemas.openxmlformats.org/officeDocument/2006/relationships/hyperlink" Target="https://www.astrobin.com/gvjbhy" TargetMode="External"/><Relationship Id="rId2592" Type="http://schemas.openxmlformats.org/officeDocument/2006/relationships/hyperlink" Target="https://app.astrobin.com/i/l6zu32" TargetMode="External"/><Relationship Id="rId217" Type="http://schemas.openxmlformats.org/officeDocument/2006/relationships/hyperlink" Target="https://www.astrobin.com/339764/" TargetMode="External"/><Relationship Id="rId564" Type="http://schemas.openxmlformats.org/officeDocument/2006/relationships/hyperlink" Target="https://www.astrobin.com/yrvbvs/" TargetMode="External"/><Relationship Id="rId771" Type="http://schemas.openxmlformats.org/officeDocument/2006/relationships/hyperlink" Target="https://www.astrobin.com/ohrs9d/" TargetMode="External"/><Relationship Id="rId2245" Type="http://schemas.openxmlformats.org/officeDocument/2006/relationships/hyperlink" Target="https://www.astrobin.com/34yadj" TargetMode="External"/><Relationship Id="rId2452" Type="http://schemas.openxmlformats.org/officeDocument/2006/relationships/hyperlink" Target="https://www.astrobin.com/2l0k56" TargetMode="External"/><Relationship Id="rId424" Type="http://schemas.openxmlformats.org/officeDocument/2006/relationships/hyperlink" Target="https://www.astrobin.com/415910/" TargetMode="External"/><Relationship Id="rId631" Type="http://schemas.openxmlformats.org/officeDocument/2006/relationships/hyperlink" Target="https://app.astrobin.com/i/3lryuo" TargetMode="External"/><Relationship Id="rId1054" Type="http://schemas.openxmlformats.org/officeDocument/2006/relationships/hyperlink" Target="https://www.astrobin.com/08artn/" TargetMode="External"/><Relationship Id="rId1261" Type="http://schemas.openxmlformats.org/officeDocument/2006/relationships/hyperlink" Target="https://www.astrobin.com/elydqr/" TargetMode="External"/><Relationship Id="rId2105" Type="http://schemas.openxmlformats.org/officeDocument/2006/relationships/hyperlink" Target="https://www.astrobin.com/arcbr3/" TargetMode="External"/><Relationship Id="rId2312" Type="http://schemas.openxmlformats.org/officeDocument/2006/relationships/hyperlink" Target="https://www.astrobin.com/u23sf2" TargetMode="External"/><Relationship Id="rId1121" Type="http://schemas.openxmlformats.org/officeDocument/2006/relationships/hyperlink" Target="https://www.astrobin.com/e3q1ke/" TargetMode="External"/><Relationship Id="rId1938" Type="http://schemas.openxmlformats.org/officeDocument/2006/relationships/hyperlink" Target="https://www.astrobin.com/htugvq" TargetMode="External"/><Relationship Id="rId281" Type="http://schemas.openxmlformats.org/officeDocument/2006/relationships/hyperlink" Target="https://www.astrobin.com/355901/" TargetMode="External"/><Relationship Id="rId141" Type="http://schemas.openxmlformats.org/officeDocument/2006/relationships/hyperlink" Target="https://www.astrobin.com/zbhfv7" TargetMode="External"/><Relationship Id="rId7" Type="http://schemas.openxmlformats.org/officeDocument/2006/relationships/hyperlink" Target="https://www.astrobin.com/2o96bd/" TargetMode="External"/><Relationship Id="rId958" Type="http://schemas.openxmlformats.org/officeDocument/2006/relationships/hyperlink" Target="https://www.astrobin.com/9s0vio/" TargetMode="External"/><Relationship Id="rId1588" Type="http://schemas.openxmlformats.org/officeDocument/2006/relationships/hyperlink" Target="https://www.astrobin.com/3atais/" TargetMode="External"/><Relationship Id="rId1795" Type="http://schemas.openxmlformats.org/officeDocument/2006/relationships/hyperlink" Target="https://www.astrobin.com/387905/" TargetMode="External"/><Relationship Id="rId2639" Type="http://schemas.openxmlformats.org/officeDocument/2006/relationships/hyperlink" Target="https://app.astrobin.com/i/yuh6ok" TargetMode="External"/><Relationship Id="rId87" Type="http://schemas.openxmlformats.org/officeDocument/2006/relationships/hyperlink" Target="https://www.astrobin.com/302143/" TargetMode="External"/><Relationship Id="rId818" Type="http://schemas.openxmlformats.org/officeDocument/2006/relationships/hyperlink" Target="https://www.astrobin.com/i7160i/" TargetMode="External"/><Relationship Id="rId1448" Type="http://schemas.openxmlformats.org/officeDocument/2006/relationships/hyperlink" Target="https://www.astrobin.com/1bi4m6/" TargetMode="External"/><Relationship Id="rId1655" Type="http://schemas.openxmlformats.org/officeDocument/2006/relationships/hyperlink" Target="https://www.astrobin.com/ehjh5h/" TargetMode="External"/><Relationship Id="rId1308" Type="http://schemas.openxmlformats.org/officeDocument/2006/relationships/hyperlink" Target="https://www.astrobin.com/vsf5ll/" TargetMode="External"/><Relationship Id="rId1862" Type="http://schemas.openxmlformats.org/officeDocument/2006/relationships/hyperlink" Target="https://www.astrobin.com/bx2ja0" TargetMode="External"/><Relationship Id="rId1515" Type="http://schemas.openxmlformats.org/officeDocument/2006/relationships/hyperlink" Target="https://www.astrobin.com/rxmt1n/" TargetMode="External"/><Relationship Id="rId1722" Type="http://schemas.openxmlformats.org/officeDocument/2006/relationships/hyperlink" Target="https://www.astrobin.com/7gy37o" TargetMode="External"/><Relationship Id="rId14" Type="http://schemas.openxmlformats.org/officeDocument/2006/relationships/hyperlink" Target="https://www.astrobin.com/13rr0b/" TargetMode="External"/><Relationship Id="rId2289" Type="http://schemas.openxmlformats.org/officeDocument/2006/relationships/hyperlink" Target="https://www.astrobin.com/dbluzu" TargetMode="External"/><Relationship Id="rId2496" Type="http://schemas.openxmlformats.org/officeDocument/2006/relationships/hyperlink" Target="https://app.astrobin.com/i/k0y1jv" TargetMode="External"/><Relationship Id="rId468" Type="http://schemas.openxmlformats.org/officeDocument/2006/relationships/hyperlink" Target="https://www.astrobin.com/el4584/" TargetMode="External"/><Relationship Id="rId675" Type="http://schemas.openxmlformats.org/officeDocument/2006/relationships/hyperlink" Target="https://app.astrobin.com/i/vdb4p6" TargetMode="External"/><Relationship Id="rId882" Type="http://schemas.openxmlformats.org/officeDocument/2006/relationships/hyperlink" Target="https://www.astrobin.com/b43ao7" TargetMode="External"/><Relationship Id="rId1098" Type="http://schemas.openxmlformats.org/officeDocument/2006/relationships/hyperlink" Target="https://www.astrobin.com/cov958/" TargetMode="External"/><Relationship Id="rId2149" Type="http://schemas.openxmlformats.org/officeDocument/2006/relationships/hyperlink" Target="https://www.astrobin.com/5d71np/" TargetMode="External"/><Relationship Id="rId2356" Type="http://schemas.openxmlformats.org/officeDocument/2006/relationships/hyperlink" Target="https://www.astrobin.com/gcld6r" TargetMode="External"/><Relationship Id="rId2563" Type="http://schemas.openxmlformats.org/officeDocument/2006/relationships/hyperlink" Target="https://app.astrobin.com/i/xsz6bt" TargetMode="External"/><Relationship Id="rId328" Type="http://schemas.openxmlformats.org/officeDocument/2006/relationships/hyperlink" Target="https://www.astrobin.com/c2h5c6" TargetMode="External"/><Relationship Id="rId535" Type="http://schemas.openxmlformats.org/officeDocument/2006/relationships/hyperlink" Target="https://www.astrobin.com/bcofm3/" TargetMode="External"/><Relationship Id="rId742" Type="http://schemas.openxmlformats.org/officeDocument/2006/relationships/hyperlink" Target="https://www.astrobin.com/x02a6j/" TargetMode="External"/><Relationship Id="rId1165" Type="http://schemas.openxmlformats.org/officeDocument/2006/relationships/hyperlink" Target="https://www.astrobin.com/sb8rub/" TargetMode="External"/><Relationship Id="rId1372" Type="http://schemas.openxmlformats.org/officeDocument/2006/relationships/hyperlink" Target="https://www.astrobin.com/065lhn/" TargetMode="External"/><Relationship Id="rId2009" Type="http://schemas.openxmlformats.org/officeDocument/2006/relationships/hyperlink" Target="https://www.astrobin.com/6mgfjh" TargetMode="External"/><Relationship Id="rId2216" Type="http://schemas.openxmlformats.org/officeDocument/2006/relationships/hyperlink" Target="https://www.astrobin.com/314132/" TargetMode="External"/><Relationship Id="rId2423" Type="http://schemas.openxmlformats.org/officeDocument/2006/relationships/hyperlink" Target="https://www.astrobin.com/6ztu2l" TargetMode="External"/><Relationship Id="rId2630" Type="http://schemas.openxmlformats.org/officeDocument/2006/relationships/hyperlink" Target="https://app.astrobin.com/i/zi6mva" TargetMode="External"/><Relationship Id="rId602" Type="http://schemas.openxmlformats.org/officeDocument/2006/relationships/hyperlink" Target="https://www.astrobin.com/l2x0ay/" TargetMode="External"/><Relationship Id="rId1025" Type="http://schemas.openxmlformats.org/officeDocument/2006/relationships/hyperlink" Target="https://www.astrobin.com/gfazp4/" TargetMode="External"/><Relationship Id="rId1232" Type="http://schemas.openxmlformats.org/officeDocument/2006/relationships/hyperlink" Target="https://www.astrobin.com/3cy46w/" TargetMode="External"/><Relationship Id="rId185" Type="http://schemas.openxmlformats.org/officeDocument/2006/relationships/hyperlink" Target="https://app.astrobin.com/i/ycv0r1" TargetMode="External"/><Relationship Id="rId1909" Type="http://schemas.openxmlformats.org/officeDocument/2006/relationships/hyperlink" Target="https://www.astrobin.com/0md7lv" TargetMode="External"/><Relationship Id="rId392" Type="http://schemas.openxmlformats.org/officeDocument/2006/relationships/hyperlink" Target="https://www.astrobin.com/2lgz6k" TargetMode="External"/><Relationship Id="rId2073" Type="http://schemas.openxmlformats.org/officeDocument/2006/relationships/hyperlink" Target="https://app.astrobin.com/i/gzqooe" TargetMode="External"/><Relationship Id="rId2280" Type="http://schemas.openxmlformats.org/officeDocument/2006/relationships/hyperlink" Target="https://www.astrobin.com/6kfxym/" TargetMode="External"/><Relationship Id="rId252" Type="http://schemas.openxmlformats.org/officeDocument/2006/relationships/hyperlink" Target="https://www.astrobin.com/ba5wyh" TargetMode="External"/><Relationship Id="rId2140" Type="http://schemas.openxmlformats.org/officeDocument/2006/relationships/hyperlink" Target="https://www.astrobin.com/c5noz4/" TargetMode="External"/><Relationship Id="rId112" Type="http://schemas.openxmlformats.org/officeDocument/2006/relationships/hyperlink" Target="https://www.astrobin.com/1o9dty" TargetMode="External"/><Relationship Id="rId1699" Type="http://schemas.openxmlformats.org/officeDocument/2006/relationships/hyperlink" Target="https://app.astrobin.com/i/cg3i42" TargetMode="External"/><Relationship Id="rId2000" Type="http://schemas.openxmlformats.org/officeDocument/2006/relationships/hyperlink" Target="https://www.astrobin.com/vfrrnh" TargetMode="External"/><Relationship Id="rId929" Type="http://schemas.openxmlformats.org/officeDocument/2006/relationships/hyperlink" Target="https://www.astrobin.com/ih3kax/" TargetMode="External"/><Relationship Id="rId1559" Type="http://schemas.openxmlformats.org/officeDocument/2006/relationships/hyperlink" Target="https://www.astrobin.com/ngs30f/" TargetMode="External"/><Relationship Id="rId1766" Type="http://schemas.openxmlformats.org/officeDocument/2006/relationships/hyperlink" Target="https://www.astrobin.com/djx7gy" TargetMode="External"/><Relationship Id="rId1973" Type="http://schemas.openxmlformats.org/officeDocument/2006/relationships/hyperlink" Target="https://www.astrobin.com/wwkldp" TargetMode="External"/><Relationship Id="rId58" Type="http://schemas.openxmlformats.org/officeDocument/2006/relationships/hyperlink" Target="https://www.astrobin.com/371005/" TargetMode="External"/><Relationship Id="rId1419" Type="http://schemas.openxmlformats.org/officeDocument/2006/relationships/hyperlink" Target="https://www.astrobin.com/5zp7nq/" TargetMode="External"/><Relationship Id="rId1626" Type="http://schemas.openxmlformats.org/officeDocument/2006/relationships/hyperlink" Target="https://www.astrobin.com/lklo61/" TargetMode="External"/><Relationship Id="rId1833" Type="http://schemas.openxmlformats.org/officeDocument/2006/relationships/hyperlink" Target="https://www.astrobin.com/8wcawf" TargetMode="External"/><Relationship Id="rId1900" Type="http://schemas.openxmlformats.org/officeDocument/2006/relationships/hyperlink" Target="https://www.astrobin.com/bvjw0m" TargetMode="External"/><Relationship Id="rId579" Type="http://schemas.openxmlformats.org/officeDocument/2006/relationships/hyperlink" Target="https://www.astrobin.com/8wqb3y" TargetMode="External"/><Relationship Id="rId786" Type="http://schemas.openxmlformats.org/officeDocument/2006/relationships/hyperlink" Target="https://www.astrobin.com/xabfcu/" TargetMode="External"/><Relationship Id="rId993" Type="http://schemas.openxmlformats.org/officeDocument/2006/relationships/hyperlink" Target="https://app.astrobin.com/i/lvhpj2" TargetMode="External"/><Relationship Id="rId2467" Type="http://schemas.openxmlformats.org/officeDocument/2006/relationships/hyperlink" Target="https://www.astrobin.com/xjille" TargetMode="External"/><Relationship Id="rId439" Type="http://schemas.openxmlformats.org/officeDocument/2006/relationships/hyperlink" Target="https://www.astrobin.com/420771/" TargetMode="External"/><Relationship Id="rId646" Type="http://schemas.openxmlformats.org/officeDocument/2006/relationships/hyperlink" Target="https://www.astrobin.com/4icucj/" TargetMode="External"/><Relationship Id="rId1069" Type="http://schemas.openxmlformats.org/officeDocument/2006/relationships/hyperlink" Target="https://www.astrobin.com/m38n1f/" TargetMode="External"/><Relationship Id="rId1276" Type="http://schemas.openxmlformats.org/officeDocument/2006/relationships/hyperlink" Target="https://www.astrobin.com/nf8i25/" TargetMode="External"/><Relationship Id="rId1483" Type="http://schemas.openxmlformats.org/officeDocument/2006/relationships/hyperlink" Target="https://www.astrobin.com/ffmpdz/" TargetMode="External"/><Relationship Id="rId2327" Type="http://schemas.openxmlformats.org/officeDocument/2006/relationships/hyperlink" Target="https://www.astrobin.com/niu5e6" TargetMode="External"/><Relationship Id="rId506" Type="http://schemas.openxmlformats.org/officeDocument/2006/relationships/hyperlink" Target="https://www.astrobin.com/lhvcrk/" TargetMode="External"/><Relationship Id="rId853" Type="http://schemas.openxmlformats.org/officeDocument/2006/relationships/hyperlink" Target="https://www.astrobin.com/708nwp" TargetMode="External"/><Relationship Id="rId1136" Type="http://schemas.openxmlformats.org/officeDocument/2006/relationships/hyperlink" Target="https://www.astrobin.com/yh437p/" TargetMode="External"/><Relationship Id="rId1690" Type="http://schemas.openxmlformats.org/officeDocument/2006/relationships/hyperlink" Target="https://www.astrobin.com/s3ojpa/" TargetMode="External"/><Relationship Id="rId2534" Type="http://schemas.openxmlformats.org/officeDocument/2006/relationships/hyperlink" Target="https://app.astrobin.com/i/ch6d3t" TargetMode="External"/><Relationship Id="rId713" Type="http://schemas.openxmlformats.org/officeDocument/2006/relationships/hyperlink" Target="https://www.astrobin.com/tex3fp/" TargetMode="External"/><Relationship Id="rId920" Type="http://schemas.openxmlformats.org/officeDocument/2006/relationships/hyperlink" Target="https://app.astrobin.com/i/it0hof" TargetMode="External"/><Relationship Id="rId1343" Type="http://schemas.openxmlformats.org/officeDocument/2006/relationships/hyperlink" Target="https://www.astrobin.com/0zpaex/" TargetMode="External"/><Relationship Id="rId1550" Type="http://schemas.openxmlformats.org/officeDocument/2006/relationships/hyperlink" Target="https://www.astrobin.com/mjwvx9/" TargetMode="External"/><Relationship Id="rId2601" Type="http://schemas.openxmlformats.org/officeDocument/2006/relationships/hyperlink" Target="https://app.astrobin.com/i/eqgv4r" TargetMode="External"/><Relationship Id="rId1203" Type="http://schemas.openxmlformats.org/officeDocument/2006/relationships/hyperlink" Target="https://www.astrobin.com/0djth1/" TargetMode="External"/><Relationship Id="rId1410" Type="http://schemas.openxmlformats.org/officeDocument/2006/relationships/hyperlink" Target="https://www.astrobin.com/j4svgy/" TargetMode="External"/><Relationship Id="rId296" Type="http://schemas.openxmlformats.org/officeDocument/2006/relationships/hyperlink" Target="https://www.astrobin.com/364843/" TargetMode="External"/><Relationship Id="rId2184" Type="http://schemas.openxmlformats.org/officeDocument/2006/relationships/hyperlink" Target="https://www.astrobin.com/dmooep" TargetMode="External"/><Relationship Id="rId2391" Type="http://schemas.openxmlformats.org/officeDocument/2006/relationships/hyperlink" Target="https://www.astrobin.com/zqnldb" TargetMode="External"/><Relationship Id="rId156" Type="http://schemas.openxmlformats.org/officeDocument/2006/relationships/hyperlink" Target="https://www.astrobin.com/323977/" TargetMode="External"/><Relationship Id="rId363" Type="http://schemas.openxmlformats.org/officeDocument/2006/relationships/hyperlink" Target="https://www.astrobin.com/396812/" TargetMode="External"/><Relationship Id="rId570" Type="http://schemas.openxmlformats.org/officeDocument/2006/relationships/hyperlink" Target="https://www.astrobin.com/kzp6lk/" TargetMode="External"/><Relationship Id="rId2044" Type="http://schemas.openxmlformats.org/officeDocument/2006/relationships/hyperlink" Target="https://www.astrobin.com/q994qf" TargetMode="External"/><Relationship Id="rId2251" Type="http://schemas.openxmlformats.org/officeDocument/2006/relationships/hyperlink" Target="https://www.astrobin.com/m0wf0o" TargetMode="External"/><Relationship Id="rId223" Type="http://schemas.openxmlformats.org/officeDocument/2006/relationships/hyperlink" Target="https://www.astrobin.com/340547/" TargetMode="External"/><Relationship Id="rId430" Type="http://schemas.openxmlformats.org/officeDocument/2006/relationships/hyperlink" Target="https://app.astrobin.com/i/9ff2q5" TargetMode="External"/><Relationship Id="rId1060" Type="http://schemas.openxmlformats.org/officeDocument/2006/relationships/hyperlink" Target="https://www.astrobin.com/0mligz" TargetMode="External"/><Relationship Id="rId2111" Type="http://schemas.openxmlformats.org/officeDocument/2006/relationships/hyperlink" Target="https://www.astrobin.com/gdiux3/" TargetMode="External"/><Relationship Id="rId1877" Type="http://schemas.openxmlformats.org/officeDocument/2006/relationships/hyperlink" Target="https://www.astrobin.com/gu38wh" TargetMode="External"/><Relationship Id="rId1737" Type="http://schemas.openxmlformats.org/officeDocument/2006/relationships/hyperlink" Target="https://www.astrobin.com/ha92gc/" TargetMode="External"/><Relationship Id="rId1944" Type="http://schemas.openxmlformats.org/officeDocument/2006/relationships/hyperlink" Target="https://www.astrobin.com/ws4di0" TargetMode="External"/><Relationship Id="rId29" Type="http://schemas.openxmlformats.org/officeDocument/2006/relationships/hyperlink" Target="https://www.astrobin.com/7hsdob/" TargetMode="External"/><Relationship Id="rId1804" Type="http://schemas.openxmlformats.org/officeDocument/2006/relationships/hyperlink" Target="https://www.astrobin.com/b4xs89" TargetMode="External"/><Relationship Id="rId897" Type="http://schemas.openxmlformats.org/officeDocument/2006/relationships/hyperlink" Target="https://app.astrobin.com/i/9bh2u4" TargetMode="External"/><Relationship Id="rId2578" Type="http://schemas.openxmlformats.org/officeDocument/2006/relationships/hyperlink" Target="https://app.astrobin.com/i/nr6gpz" TargetMode="External"/><Relationship Id="rId757" Type="http://schemas.openxmlformats.org/officeDocument/2006/relationships/hyperlink" Target="https://www.astrobin.com/ocq9bq/" TargetMode="External"/><Relationship Id="rId964" Type="http://schemas.openxmlformats.org/officeDocument/2006/relationships/hyperlink" Target="https://www.astrobin.com/93wozv/" TargetMode="External"/><Relationship Id="rId1387" Type="http://schemas.openxmlformats.org/officeDocument/2006/relationships/hyperlink" Target="https://www.astrobin.com/kmjovk/" TargetMode="External"/><Relationship Id="rId1594" Type="http://schemas.openxmlformats.org/officeDocument/2006/relationships/hyperlink" Target="https://www.astrobin.com/p5wzh1/" TargetMode="External"/><Relationship Id="rId2438" Type="http://schemas.openxmlformats.org/officeDocument/2006/relationships/hyperlink" Target="https://app.astrobin.com/i/xu0nyo" TargetMode="External"/><Relationship Id="rId2645" Type="http://schemas.openxmlformats.org/officeDocument/2006/relationships/hyperlink" Target="https://app.astrobin.com/i/lbe1hf" TargetMode="External"/><Relationship Id="rId93" Type="http://schemas.openxmlformats.org/officeDocument/2006/relationships/hyperlink" Target="https://app.astrobin.com/i/dgmk0g" TargetMode="External"/><Relationship Id="rId617" Type="http://schemas.openxmlformats.org/officeDocument/2006/relationships/hyperlink" Target="https://www.astrobin.com/um4nfu/" TargetMode="External"/><Relationship Id="rId824" Type="http://schemas.openxmlformats.org/officeDocument/2006/relationships/hyperlink" Target="https://www.astrobin.com/jcjxss/" TargetMode="External"/><Relationship Id="rId1247" Type="http://schemas.openxmlformats.org/officeDocument/2006/relationships/hyperlink" Target="https://www.astrobin.com/kp184h/" TargetMode="External"/><Relationship Id="rId1454" Type="http://schemas.openxmlformats.org/officeDocument/2006/relationships/hyperlink" Target="https://www.astrobin.com/womiwq/" TargetMode="External"/><Relationship Id="rId1661" Type="http://schemas.openxmlformats.org/officeDocument/2006/relationships/hyperlink" Target="https://www.astrobin.com/aig59v/" TargetMode="External"/><Relationship Id="rId2505" Type="http://schemas.openxmlformats.org/officeDocument/2006/relationships/hyperlink" Target="https://app.astrobin.com/i/lw8vvy" TargetMode="External"/><Relationship Id="rId1107" Type="http://schemas.openxmlformats.org/officeDocument/2006/relationships/hyperlink" Target="https://www.astrobin.com/a49nd5/" TargetMode="External"/><Relationship Id="rId1314" Type="http://schemas.openxmlformats.org/officeDocument/2006/relationships/hyperlink" Target="https://www.astrobin.com/8xejup/" TargetMode="External"/><Relationship Id="rId1521" Type="http://schemas.openxmlformats.org/officeDocument/2006/relationships/hyperlink" Target="https://www.astrobin.com/ji595n/" TargetMode="External"/><Relationship Id="rId20" Type="http://schemas.openxmlformats.org/officeDocument/2006/relationships/hyperlink" Target="https://www.astrobin.com/322584/" TargetMode="External"/><Relationship Id="rId2088" Type="http://schemas.openxmlformats.org/officeDocument/2006/relationships/hyperlink" Target="https://www.astrobin.com/fmcye7/" TargetMode="External"/><Relationship Id="rId2295" Type="http://schemas.openxmlformats.org/officeDocument/2006/relationships/hyperlink" Target="https://www.astrobin.com/o4vi1s" TargetMode="External"/><Relationship Id="rId267" Type="http://schemas.openxmlformats.org/officeDocument/2006/relationships/hyperlink" Target="https://www.astrobin.com/by580c" TargetMode="External"/><Relationship Id="rId474" Type="http://schemas.openxmlformats.org/officeDocument/2006/relationships/hyperlink" Target="https://app.astrobin.com/i/pv6sky" TargetMode="External"/><Relationship Id="rId2155" Type="http://schemas.openxmlformats.org/officeDocument/2006/relationships/hyperlink" Target="https://www.astrobin.com/81rgsu" TargetMode="External"/><Relationship Id="rId127" Type="http://schemas.openxmlformats.org/officeDocument/2006/relationships/hyperlink" Target="https://app.astrobin.com/i/flm4in" TargetMode="External"/><Relationship Id="rId681" Type="http://schemas.openxmlformats.org/officeDocument/2006/relationships/hyperlink" Target="https://www.astrobin.com/dtbaht/" TargetMode="External"/><Relationship Id="rId2362" Type="http://schemas.openxmlformats.org/officeDocument/2006/relationships/hyperlink" Target="https://www.astrobin.com/h9rava" TargetMode="External"/><Relationship Id="rId334" Type="http://schemas.openxmlformats.org/officeDocument/2006/relationships/hyperlink" Target="https://www.astrobin.com/2yi51l/" TargetMode="External"/><Relationship Id="rId541" Type="http://schemas.openxmlformats.org/officeDocument/2006/relationships/hyperlink" Target="https://www.astrobin.com/wcqr17/" TargetMode="External"/><Relationship Id="rId1171" Type="http://schemas.openxmlformats.org/officeDocument/2006/relationships/hyperlink" Target="https://www.astrobin.com/pnh2yk/" TargetMode="External"/><Relationship Id="rId2015" Type="http://schemas.openxmlformats.org/officeDocument/2006/relationships/hyperlink" Target="https://www.astrobin.com/g4aioa" TargetMode="External"/><Relationship Id="rId2222" Type="http://schemas.openxmlformats.org/officeDocument/2006/relationships/hyperlink" Target="https://www.astrobin.com/r5qwt5" TargetMode="External"/><Relationship Id="rId401" Type="http://schemas.openxmlformats.org/officeDocument/2006/relationships/hyperlink" Target="https://www.astrobin.com/lui5i4" TargetMode="External"/><Relationship Id="rId1031" Type="http://schemas.openxmlformats.org/officeDocument/2006/relationships/hyperlink" Target="https://www.astrobin.com/94z0zg/" TargetMode="External"/><Relationship Id="rId1988" Type="http://schemas.openxmlformats.org/officeDocument/2006/relationships/hyperlink" Target="https://www.astrobin.com/e8jr7o" TargetMode="External"/><Relationship Id="rId1848" Type="http://schemas.openxmlformats.org/officeDocument/2006/relationships/hyperlink" Target="https://www.astrobin.com/wgmonb" TargetMode="External"/><Relationship Id="rId191" Type="http://schemas.openxmlformats.org/officeDocument/2006/relationships/hyperlink" Target="https://www.astrobin.com/330214/" TargetMode="External"/><Relationship Id="rId1708" Type="http://schemas.openxmlformats.org/officeDocument/2006/relationships/hyperlink" Target="https://www.astrobin.com/6dxtcr/" TargetMode="External"/><Relationship Id="rId1915" Type="http://schemas.openxmlformats.org/officeDocument/2006/relationships/hyperlink" Target="https://www.astrobin.com/8oexn1" TargetMode="External"/><Relationship Id="rId868" Type="http://schemas.openxmlformats.org/officeDocument/2006/relationships/hyperlink" Target="https://www.astrobin.com/4g1jdt" TargetMode="External"/><Relationship Id="rId1498" Type="http://schemas.openxmlformats.org/officeDocument/2006/relationships/hyperlink" Target="https://www.astrobin.com/i37drw/" TargetMode="External"/><Relationship Id="rId2549" Type="http://schemas.openxmlformats.org/officeDocument/2006/relationships/hyperlink" Target="https://app.astrobin.com/i/6z0en8" TargetMode="External"/><Relationship Id="rId728" Type="http://schemas.openxmlformats.org/officeDocument/2006/relationships/hyperlink" Target="https://www.astrobin.com/76ep8d/" TargetMode="External"/><Relationship Id="rId935" Type="http://schemas.openxmlformats.org/officeDocument/2006/relationships/hyperlink" Target="https://www.astrobin.com/vj42l5" TargetMode="External"/><Relationship Id="rId1358" Type="http://schemas.openxmlformats.org/officeDocument/2006/relationships/hyperlink" Target="https://www.astrobin.com/jcv8xf/" TargetMode="External"/><Relationship Id="rId1565" Type="http://schemas.openxmlformats.org/officeDocument/2006/relationships/hyperlink" Target="https://www.astrobin.com/4ubhvc/" TargetMode="External"/><Relationship Id="rId1772" Type="http://schemas.openxmlformats.org/officeDocument/2006/relationships/hyperlink" Target="https://www.astrobin.com/d51mgj/" TargetMode="External"/><Relationship Id="rId2409" Type="http://schemas.openxmlformats.org/officeDocument/2006/relationships/hyperlink" Target="https://www.astrobin.com/jwvj9l" TargetMode="External"/><Relationship Id="rId2616" Type="http://schemas.openxmlformats.org/officeDocument/2006/relationships/hyperlink" Target="https://app.astrobin.com/i/dp5659" TargetMode="External"/><Relationship Id="rId64" Type="http://schemas.openxmlformats.org/officeDocument/2006/relationships/hyperlink" Target="https://www.astrobin.com/ifm17x" TargetMode="External"/><Relationship Id="rId1218" Type="http://schemas.openxmlformats.org/officeDocument/2006/relationships/hyperlink" Target="https://www.astrobin.com/cqrixm/" TargetMode="External"/><Relationship Id="rId1425" Type="http://schemas.openxmlformats.org/officeDocument/2006/relationships/hyperlink" Target="https://www.astrobin.com/4857h4/" TargetMode="External"/><Relationship Id="rId1632" Type="http://schemas.openxmlformats.org/officeDocument/2006/relationships/hyperlink" Target="https://www.astrobin.com/6rot1y/" TargetMode="External"/><Relationship Id="rId2199" Type="http://schemas.openxmlformats.org/officeDocument/2006/relationships/hyperlink" Target="https://www.astrobin.com/znpgux" TargetMode="External"/><Relationship Id="rId378" Type="http://schemas.openxmlformats.org/officeDocument/2006/relationships/hyperlink" Target="https://www.astrobin.com/402232/" TargetMode="External"/><Relationship Id="rId585" Type="http://schemas.openxmlformats.org/officeDocument/2006/relationships/hyperlink" Target="https://www.astrobin.com/p58ghb/" TargetMode="External"/><Relationship Id="rId792" Type="http://schemas.openxmlformats.org/officeDocument/2006/relationships/hyperlink" Target="https://www.astrobin.com/zcveqo/" TargetMode="External"/><Relationship Id="rId2059" Type="http://schemas.openxmlformats.org/officeDocument/2006/relationships/hyperlink" Target="https://www.astrobin.com/xh6aja/" TargetMode="External"/><Relationship Id="rId2266" Type="http://schemas.openxmlformats.org/officeDocument/2006/relationships/hyperlink" Target="https://www.astrobin.com/395zkh" TargetMode="External"/><Relationship Id="rId2473" Type="http://schemas.openxmlformats.org/officeDocument/2006/relationships/hyperlink" Target="https://app.astrobin.com/i/z1la05" TargetMode="External"/><Relationship Id="rId238" Type="http://schemas.openxmlformats.org/officeDocument/2006/relationships/hyperlink" Target="https://www.astrobin.com/345244/" TargetMode="External"/><Relationship Id="rId445" Type="http://schemas.openxmlformats.org/officeDocument/2006/relationships/hyperlink" Target="https://www.astrobin.com/422216/B/" TargetMode="External"/><Relationship Id="rId652" Type="http://schemas.openxmlformats.org/officeDocument/2006/relationships/hyperlink" Target="https://www.astrobin.com/r3wlo0/" TargetMode="External"/><Relationship Id="rId1075" Type="http://schemas.openxmlformats.org/officeDocument/2006/relationships/hyperlink" Target="https://www.astrobin.com/2y5yur/" TargetMode="External"/><Relationship Id="rId1282" Type="http://schemas.openxmlformats.org/officeDocument/2006/relationships/hyperlink" Target="https://www.astrobin.com/4klenx/" TargetMode="External"/><Relationship Id="rId2126" Type="http://schemas.openxmlformats.org/officeDocument/2006/relationships/hyperlink" Target="https://www.astrobin.com/i8l9i3/" TargetMode="External"/><Relationship Id="rId2333" Type="http://schemas.openxmlformats.org/officeDocument/2006/relationships/hyperlink" Target="https://www.astrobin.com/u8z19f" TargetMode="External"/><Relationship Id="rId2540" Type="http://schemas.openxmlformats.org/officeDocument/2006/relationships/hyperlink" Target="https://app.astrobin.com/i/40ghjg" TargetMode="External"/><Relationship Id="rId305" Type="http://schemas.openxmlformats.org/officeDocument/2006/relationships/hyperlink" Target="https://www.astrobin.com/372038/" TargetMode="External"/><Relationship Id="rId512" Type="http://schemas.openxmlformats.org/officeDocument/2006/relationships/hyperlink" Target="https://www.astrobin.com/fjhwgp/" TargetMode="External"/><Relationship Id="rId1142" Type="http://schemas.openxmlformats.org/officeDocument/2006/relationships/hyperlink" Target="https://www.astrobin.com/72egic/" TargetMode="External"/><Relationship Id="rId2400" Type="http://schemas.openxmlformats.org/officeDocument/2006/relationships/hyperlink" Target="https://www.astrobin.com/wn0zy6" TargetMode="External"/><Relationship Id="rId1002" Type="http://schemas.openxmlformats.org/officeDocument/2006/relationships/hyperlink" Target="https://www.astrobin.com/4ugpsp/" TargetMode="External"/><Relationship Id="rId1959" Type="http://schemas.openxmlformats.org/officeDocument/2006/relationships/hyperlink" Target="https://www.astrobin.com/u7ljfg" TargetMode="External"/><Relationship Id="rId1819" Type="http://schemas.openxmlformats.org/officeDocument/2006/relationships/hyperlink" Target="https://www.astrobin.com/zyzi15" TargetMode="External"/><Relationship Id="rId2190" Type="http://schemas.openxmlformats.org/officeDocument/2006/relationships/hyperlink" Target="https://www.astrobin.com/i0dvkl" TargetMode="External"/><Relationship Id="rId162" Type="http://schemas.openxmlformats.org/officeDocument/2006/relationships/hyperlink" Target="https://www.astrobin.com/325437/" TargetMode="External"/><Relationship Id="rId2050" Type="http://schemas.openxmlformats.org/officeDocument/2006/relationships/hyperlink" Target="https://www.astrobin.com/nz33iq" TargetMode="External"/><Relationship Id="rId979" Type="http://schemas.openxmlformats.org/officeDocument/2006/relationships/hyperlink" Target="https://www.astrobin.com/yfu2k3" TargetMode="External"/><Relationship Id="rId839" Type="http://schemas.openxmlformats.org/officeDocument/2006/relationships/hyperlink" Target="https://www.astrobin.com/yv8nni/" TargetMode="External"/><Relationship Id="rId1469" Type="http://schemas.openxmlformats.org/officeDocument/2006/relationships/hyperlink" Target="https://www.astrobin.com/nuesd5/" TargetMode="External"/><Relationship Id="rId1676" Type="http://schemas.openxmlformats.org/officeDocument/2006/relationships/hyperlink" Target="https://www.astrobin.com/um4nfu/" TargetMode="External"/><Relationship Id="rId1883" Type="http://schemas.openxmlformats.org/officeDocument/2006/relationships/hyperlink" Target="https://www.astrobin.com/mog2jp" TargetMode="External"/><Relationship Id="rId906" Type="http://schemas.openxmlformats.org/officeDocument/2006/relationships/hyperlink" Target="https://www.astrobin.com/2btm17/" TargetMode="External"/><Relationship Id="rId1329" Type="http://schemas.openxmlformats.org/officeDocument/2006/relationships/hyperlink" Target="https://www.astrobin.com/xbxi0b/" TargetMode="External"/><Relationship Id="rId1536" Type="http://schemas.openxmlformats.org/officeDocument/2006/relationships/hyperlink" Target="https://www.astrobin.com/2ey302/" TargetMode="External"/><Relationship Id="rId1743" Type="http://schemas.openxmlformats.org/officeDocument/2006/relationships/hyperlink" Target="https://www.astrobin.com/5iiity" TargetMode="External"/><Relationship Id="rId1950" Type="http://schemas.openxmlformats.org/officeDocument/2006/relationships/hyperlink" Target="https://www.astrobin.com/1todm7" TargetMode="External"/><Relationship Id="rId35" Type="http://schemas.openxmlformats.org/officeDocument/2006/relationships/hyperlink" Target="https://www.astrobin.com/0pvcu1" TargetMode="External"/><Relationship Id="rId1603" Type="http://schemas.openxmlformats.org/officeDocument/2006/relationships/hyperlink" Target="https://www.astrobin.com/l31jgt/" TargetMode="External"/><Relationship Id="rId1810" Type="http://schemas.openxmlformats.org/officeDocument/2006/relationships/hyperlink" Target="https://www.astrobin.com/9giffk/" TargetMode="External"/><Relationship Id="rId489" Type="http://schemas.openxmlformats.org/officeDocument/2006/relationships/hyperlink" Target="https://www.astrobin.com/g0qn1a/" TargetMode="External"/><Relationship Id="rId696" Type="http://schemas.openxmlformats.org/officeDocument/2006/relationships/hyperlink" Target="https://www.astrobin.com/5812ov/" TargetMode="External"/><Relationship Id="rId2377" Type="http://schemas.openxmlformats.org/officeDocument/2006/relationships/hyperlink" Target="https://www.astrobin.com/dmbfbo" TargetMode="External"/><Relationship Id="rId2584" Type="http://schemas.openxmlformats.org/officeDocument/2006/relationships/hyperlink" Target="https://app.astrobin.com/i/ti9bna" TargetMode="External"/><Relationship Id="rId349" Type="http://schemas.openxmlformats.org/officeDocument/2006/relationships/hyperlink" Target="https://www.astrobin.com/390953/" TargetMode="External"/><Relationship Id="rId556" Type="http://schemas.openxmlformats.org/officeDocument/2006/relationships/hyperlink" Target="https://www.astrobin.com/tr0o42/" TargetMode="External"/><Relationship Id="rId763" Type="http://schemas.openxmlformats.org/officeDocument/2006/relationships/hyperlink" Target="https://www.astrobin.com/t3wrme/" TargetMode="External"/><Relationship Id="rId1186" Type="http://schemas.openxmlformats.org/officeDocument/2006/relationships/hyperlink" Target="https://www.astrobin.com/5tmb2e/" TargetMode="External"/><Relationship Id="rId1393" Type="http://schemas.openxmlformats.org/officeDocument/2006/relationships/hyperlink" Target="https://www.astrobin.com/4jzjq6" TargetMode="External"/><Relationship Id="rId2237" Type="http://schemas.openxmlformats.org/officeDocument/2006/relationships/hyperlink" Target="https://www.astrobin.com/au9ebh" TargetMode="External"/><Relationship Id="rId2444" Type="http://schemas.openxmlformats.org/officeDocument/2006/relationships/hyperlink" Target="https://www.astrobin.com/zkv4f3" TargetMode="External"/><Relationship Id="rId209" Type="http://schemas.openxmlformats.org/officeDocument/2006/relationships/hyperlink" Target="https://www.astrobin.com/336220/" TargetMode="External"/><Relationship Id="rId416" Type="http://schemas.openxmlformats.org/officeDocument/2006/relationships/hyperlink" Target="https://www.astrobin.com/415095/" TargetMode="External"/><Relationship Id="rId970" Type="http://schemas.openxmlformats.org/officeDocument/2006/relationships/hyperlink" Target="https://www.astrobin.com/d06t5g/" TargetMode="External"/><Relationship Id="rId1046" Type="http://schemas.openxmlformats.org/officeDocument/2006/relationships/hyperlink" Target="https://app.astrobin.com/i/tjttwe" TargetMode="External"/><Relationship Id="rId1253" Type="http://schemas.openxmlformats.org/officeDocument/2006/relationships/hyperlink" Target="https://www.astrobin.com/7hz7ib/" TargetMode="External"/><Relationship Id="rId2651" Type="http://schemas.openxmlformats.org/officeDocument/2006/relationships/drawing" Target="../drawings/drawing1.xml"/><Relationship Id="rId623" Type="http://schemas.openxmlformats.org/officeDocument/2006/relationships/hyperlink" Target="https://www.astrobin.com/jwz2o0/" TargetMode="External"/><Relationship Id="rId830" Type="http://schemas.openxmlformats.org/officeDocument/2006/relationships/hyperlink" Target="https://www.astrobin.com/o44nm9/" TargetMode="External"/><Relationship Id="rId1460" Type="http://schemas.openxmlformats.org/officeDocument/2006/relationships/hyperlink" Target="https://www.astrobin.com/ztnnsb/" TargetMode="External"/><Relationship Id="rId2304" Type="http://schemas.openxmlformats.org/officeDocument/2006/relationships/hyperlink" Target="https://www.astrobin.com/j5exhp" TargetMode="External"/><Relationship Id="rId2511" Type="http://schemas.openxmlformats.org/officeDocument/2006/relationships/hyperlink" Target="https://app.astrobin.com/i/hhwp7z" TargetMode="External"/><Relationship Id="rId1113" Type="http://schemas.openxmlformats.org/officeDocument/2006/relationships/hyperlink" Target="https://www.astrobin.com/wu583s/" TargetMode="External"/><Relationship Id="rId1320" Type="http://schemas.openxmlformats.org/officeDocument/2006/relationships/hyperlink" Target="https://www.astrobin.com/hp162d/" TargetMode="External"/><Relationship Id="rId2094" Type="http://schemas.openxmlformats.org/officeDocument/2006/relationships/hyperlink" Target="https://www.astrobin.com/are2n7/" TargetMode="External"/><Relationship Id="rId273" Type="http://schemas.openxmlformats.org/officeDocument/2006/relationships/hyperlink" Target="https://www.astrobin.com/m66rcv" TargetMode="External"/><Relationship Id="rId480" Type="http://schemas.openxmlformats.org/officeDocument/2006/relationships/hyperlink" Target="https://www.astrobin.com/d6ut05/" TargetMode="External"/><Relationship Id="rId2161" Type="http://schemas.openxmlformats.org/officeDocument/2006/relationships/hyperlink" Target="https://www.astrobin.com/3lf8lu" TargetMode="External"/><Relationship Id="rId133" Type="http://schemas.openxmlformats.org/officeDocument/2006/relationships/hyperlink" Target="https://www.astrobin.com/at4q1m/" TargetMode="External"/><Relationship Id="rId340" Type="http://schemas.openxmlformats.org/officeDocument/2006/relationships/hyperlink" Target="https://www.astrobin.com/387761/" TargetMode="External"/><Relationship Id="rId2021" Type="http://schemas.openxmlformats.org/officeDocument/2006/relationships/hyperlink" Target="https://www.astrobin.com/isvvt8" TargetMode="External"/><Relationship Id="rId200" Type="http://schemas.openxmlformats.org/officeDocument/2006/relationships/hyperlink" Target="https://www.astrobin.com/h9lco3" TargetMode="External"/><Relationship Id="rId1787" Type="http://schemas.openxmlformats.org/officeDocument/2006/relationships/hyperlink" Target="https://www.astrobin.com/lyx76e/" TargetMode="External"/><Relationship Id="rId1994" Type="http://schemas.openxmlformats.org/officeDocument/2006/relationships/hyperlink" Target="https://www.astrobin.com/v1ufqg" TargetMode="External"/><Relationship Id="rId79" Type="http://schemas.openxmlformats.org/officeDocument/2006/relationships/hyperlink" Target="https://www.astrobin.com/mxw4yx" TargetMode="External"/><Relationship Id="rId1647" Type="http://schemas.openxmlformats.org/officeDocument/2006/relationships/hyperlink" Target="https://www.astrobin.com/lqvzor/" TargetMode="External"/><Relationship Id="rId1854" Type="http://schemas.openxmlformats.org/officeDocument/2006/relationships/hyperlink" Target="https://www.astrobin.com/43xmi8" TargetMode="External"/><Relationship Id="rId1507" Type="http://schemas.openxmlformats.org/officeDocument/2006/relationships/hyperlink" Target="https://www.astrobin.com/3exf3v/" TargetMode="External"/><Relationship Id="rId1714" Type="http://schemas.openxmlformats.org/officeDocument/2006/relationships/hyperlink" Target="https://www.astrobin.com/376404/" TargetMode="External"/><Relationship Id="rId1921" Type="http://schemas.openxmlformats.org/officeDocument/2006/relationships/hyperlink" Target="https://www.astrobin.com/px58n1" TargetMode="External"/><Relationship Id="rId2488" Type="http://schemas.openxmlformats.org/officeDocument/2006/relationships/hyperlink" Target="https://app.astrobin.com/i/g8jzrd" TargetMode="External"/><Relationship Id="rId1297" Type="http://schemas.openxmlformats.org/officeDocument/2006/relationships/hyperlink" Target="https://www.astrobin.com/lhrhjb/" TargetMode="External"/><Relationship Id="rId667" Type="http://schemas.openxmlformats.org/officeDocument/2006/relationships/hyperlink" Target="https://www.astrobin.com/micwri/" TargetMode="External"/><Relationship Id="rId874" Type="http://schemas.openxmlformats.org/officeDocument/2006/relationships/hyperlink" Target="https://app.astrobin.com/i/j7fgwg" TargetMode="External"/><Relationship Id="rId2348" Type="http://schemas.openxmlformats.org/officeDocument/2006/relationships/hyperlink" Target="https://www.astrobin.com/369142/" TargetMode="External"/><Relationship Id="rId2555" Type="http://schemas.openxmlformats.org/officeDocument/2006/relationships/hyperlink" Target="https://app.astrobin.com/i/37tjn5" TargetMode="External"/><Relationship Id="rId527" Type="http://schemas.openxmlformats.org/officeDocument/2006/relationships/hyperlink" Target="https://www.astrobin.com/jsh65k/" TargetMode="External"/><Relationship Id="rId734" Type="http://schemas.openxmlformats.org/officeDocument/2006/relationships/hyperlink" Target="https://www.astrobin.com/j6alk6/" TargetMode="External"/><Relationship Id="rId941" Type="http://schemas.openxmlformats.org/officeDocument/2006/relationships/hyperlink" Target="https://www.astrobin.com/hvmv9d" TargetMode="External"/><Relationship Id="rId1157" Type="http://schemas.openxmlformats.org/officeDocument/2006/relationships/hyperlink" Target="https://www.astrobin.com/e5jjxb/" TargetMode="External"/><Relationship Id="rId1364" Type="http://schemas.openxmlformats.org/officeDocument/2006/relationships/hyperlink" Target="https://www.astrobin.com/cdno7z/" TargetMode="External"/><Relationship Id="rId1571" Type="http://schemas.openxmlformats.org/officeDocument/2006/relationships/hyperlink" Target="https://www.astrobin.com/5ntd15/" TargetMode="External"/><Relationship Id="rId2208" Type="http://schemas.openxmlformats.org/officeDocument/2006/relationships/hyperlink" Target="https://www.astrobin.com/fv7vye" TargetMode="External"/><Relationship Id="rId2415" Type="http://schemas.openxmlformats.org/officeDocument/2006/relationships/hyperlink" Target="https://www.astrobin.com/14yx68" TargetMode="External"/><Relationship Id="rId2622" Type="http://schemas.openxmlformats.org/officeDocument/2006/relationships/hyperlink" Target="https://app.astrobin.com/i/0a27of" TargetMode="External"/><Relationship Id="rId70" Type="http://schemas.openxmlformats.org/officeDocument/2006/relationships/hyperlink" Target="https://app.astrobin.com/i/lrjm9y" TargetMode="External"/><Relationship Id="rId801" Type="http://schemas.openxmlformats.org/officeDocument/2006/relationships/hyperlink" Target="https://www.astrobin.com/nd8vrx/" TargetMode="External"/><Relationship Id="rId1017" Type="http://schemas.openxmlformats.org/officeDocument/2006/relationships/hyperlink" Target="https://www.astrobin.com/sn81t7/" TargetMode="External"/><Relationship Id="rId1224" Type="http://schemas.openxmlformats.org/officeDocument/2006/relationships/hyperlink" Target="https://www.astrobin.com/3j2sa7/" TargetMode="External"/><Relationship Id="rId1431" Type="http://schemas.openxmlformats.org/officeDocument/2006/relationships/hyperlink" Target="https://www.astrobin.com/6o9qpe/" TargetMode="External"/><Relationship Id="rId177" Type="http://schemas.openxmlformats.org/officeDocument/2006/relationships/hyperlink" Target="https://www.astrobin.com/327012/" TargetMode="External"/><Relationship Id="rId384" Type="http://schemas.openxmlformats.org/officeDocument/2006/relationships/hyperlink" Target="https://www.astrobin.com/404054/" TargetMode="External"/><Relationship Id="rId591" Type="http://schemas.openxmlformats.org/officeDocument/2006/relationships/hyperlink" Target="https://www.astrobin.com/hmtwd7/" TargetMode="External"/><Relationship Id="rId2065" Type="http://schemas.openxmlformats.org/officeDocument/2006/relationships/hyperlink" Target="https://www.astrobin.com/cwqw0m/" TargetMode="External"/><Relationship Id="rId2272" Type="http://schemas.openxmlformats.org/officeDocument/2006/relationships/hyperlink" Target="https://www.astrobin.com/8yx1zn/" TargetMode="External"/><Relationship Id="rId244" Type="http://schemas.openxmlformats.org/officeDocument/2006/relationships/hyperlink" Target="https://www.astrobin.com/8exb70" TargetMode="External"/><Relationship Id="rId1081" Type="http://schemas.openxmlformats.org/officeDocument/2006/relationships/hyperlink" Target="https://www.astrobin.com/5gazp0" TargetMode="External"/><Relationship Id="rId451" Type="http://schemas.openxmlformats.org/officeDocument/2006/relationships/hyperlink" Target="https://www.astrobin.com/0tzfe3/" TargetMode="External"/><Relationship Id="rId2132" Type="http://schemas.openxmlformats.org/officeDocument/2006/relationships/hyperlink" Target="https://www.astrobin.com/63vbas/" TargetMode="External"/><Relationship Id="rId104" Type="http://schemas.openxmlformats.org/officeDocument/2006/relationships/hyperlink" Target="https://www.astrobin.com/303708/" TargetMode="External"/><Relationship Id="rId311" Type="http://schemas.openxmlformats.org/officeDocument/2006/relationships/hyperlink" Target="https://www.astrobin.com/dw52dl" TargetMode="External"/><Relationship Id="rId1898" Type="http://schemas.openxmlformats.org/officeDocument/2006/relationships/hyperlink" Target="https://www.astrobin.com/hqfwco" TargetMode="External"/><Relationship Id="rId1758" Type="http://schemas.openxmlformats.org/officeDocument/2006/relationships/hyperlink" Target="https://www.astrobin.com/8yrr2o/" TargetMode="External"/><Relationship Id="rId1965" Type="http://schemas.openxmlformats.org/officeDocument/2006/relationships/hyperlink" Target="https://www.astrobin.com/kxbl11" TargetMode="External"/><Relationship Id="rId1618" Type="http://schemas.openxmlformats.org/officeDocument/2006/relationships/hyperlink" Target="https://www.astrobin.com/13rr0b/" TargetMode="External"/><Relationship Id="rId1825" Type="http://schemas.openxmlformats.org/officeDocument/2006/relationships/hyperlink" Target="https://www.astrobin.com/mrhll5" TargetMode="External"/><Relationship Id="rId2599" Type="http://schemas.openxmlformats.org/officeDocument/2006/relationships/hyperlink" Target="https://app.astrobin.com/i/aeyqe3" TargetMode="External"/><Relationship Id="rId778" Type="http://schemas.openxmlformats.org/officeDocument/2006/relationships/hyperlink" Target="https://www.astrobin.com/bv538p/" TargetMode="External"/><Relationship Id="rId985" Type="http://schemas.openxmlformats.org/officeDocument/2006/relationships/hyperlink" Target="https://www.astrobin.com/jrvrr1/" TargetMode="External"/><Relationship Id="rId2459" Type="http://schemas.openxmlformats.org/officeDocument/2006/relationships/hyperlink" Target="https://www.astrobin.com/mu726c" TargetMode="External"/><Relationship Id="rId638" Type="http://schemas.openxmlformats.org/officeDocument/2006/relationships/hyperlink" Target="https://www.astrobin.com/wuilxu/" TargetMode="External"/><Relationship Id="rId845" Type="http://schemas.openxmlformats.org/officeDocument/2006/relationships/hyperlink" Target="https://www.astrobin.com/1kreim/" TargetMode="External"/><Relationship Id="rId1268" Type="http://schemas.openxmlformats.org/officeDocument/2006/relationships/hyperlink" Target="https://www.astrobin.com/lpnptk/" TargetMode="External"/><Relationship Id="rId1475" Type="http://schemas.openxmlformats.org/officeDocument/2006/relationships/hyperlink" Target="https://www.astrobin.com/lztfv7/" TargetMode="External"/><Relationship Id="rId1682" Type="http://schemas.openxmlformats.org/officeDocument/2006/relationships/hyperlink" Target="https://www.astrobin.com/j22gh5/" TargetMode="External"/><Relationship Id="rId2319" Type="http://schemas.openxmlformats.org/officeDocument/2006/relationships/hyperlink" Target="https://www.astrobin.com/nbv9er" TargetMode="External"/><Relationship Id="rId2526" Type="http://schemas.openxmlformats.org/officeDocument/2006/relationships/hyperlink" Target="https://app.astrobin.com/i/wnseg1" TargetMode="External"/><Relationship Id="rId705" Type="http://schemas.openxmlformats.org/officeDocument/2006/relationships/hyperlink" Target="https://www.astrobin.com/moeeo6" TargetMode="External"/><Relationship Id="rId1128" Type="http://schemas.openxmlformats.org/officeDocument/2006/relationships/hyperlink" Target="https://www.astrobin.com/o0wmv3/" TargetMode="External"/><Relationship Id="rId1335" Type="http://schemas.openxmlformats.org/officeDocument/2006/relationships/hyperlink" Target="https://www.astrobin.com/1e1uyi/" TargetMode="External"/><Relationship Id="rId1542" Type="http://schemas.openxmlformats.org/officeDocument/2006/relationships/hyperlink" Target="https://www.astrobin.com/63sc4j/" TargetMode="External"/><Relationship Id="rId912" Type="http://schemas.openxmlformats.org/officeDocument/2006/relationships/hyperlink" Target="https://www.astrobin.com/pxqa8v/" TargetMode="External"/><Relationship Id="rId41" Type="http://schemas.openxmlformats.org/officeDocument/2006/relationships/hyperlink" Target="https://www.astrobin.com/el2nhm" TargetMode="External"/><Relationship Id="rId1402" Type="http://schemas.openxmlformats.org/officeDocument/2006/relationships/hyperlink" Target="https://www.astrobin.com/dl8bl5/" TargetMode="External"/><Relationship Id="rId288" Type="http://schemas.openxmlformats.org/officeDocument/2006/relationships/hyperlink" Target="https://www.astrobin.com/tpzlm9" TargetMode="External"/><Relationship Id="rId495" Type="http://schemas.openxmlformats.org/officeDocument/2006/relationships/hyperlink" Target="https://www.astrobin.com/apggsd/" TargetMode="External"/><Relationship Id="rId2176" Type="http://schemas.openxmlformats.org/officeDocument/2006/relationships/hyperlink" Target="https://www.astrobin.com/uqfd1a" TargetMode="External"/><Relationship Id="rId2383" Type="http://schemas.openxmlformats.org/officeDocument/2006/relationships/hyperlink" Target="https://www.astrobin.com/8dkhg6" TargetMode="External"/><Relationship Id="rId2590" Type="http://schemas.openxmlformats.org/officeDocument/2006/relationships/hyperlink" Target="https://app.astrobin.com/i/x26rfq" TargetMode="External"/><Relationship Id="rId148" Type="http://schemas.openxmlformats.org/officeDocument/2006/relationships/hyperlink" Target="https://www.astrobin.com/60zq79" TargetMode="External"/><Relationship Id="rId355" Type="http://schemas.openxmlformats.org/officeDocument/2006/relationships/hyperlink" Target="https://app.astrobin.com/i/8zpm9d" TargetMode="External"/><Relationship Id="rId562" Type="http://schemas.openxmlformats.org/officeDocument/2006/relationships/hyperlink" Target="https://app.astrobin.com/i/cg3i42" TargetMode="External"/><Relationship Id="rId1192" Type="http://schemas.openxmlformats.org/officeDocument/2006/relationships/hyperlink" Target="https://www.astrobin.com/1rwxzq/" TargetMode="External"/><Relationship Id="rId2036" Type="http://schemas.openxmlformats.org/officeDocument/2006/relationships/hyperlink" Target="https://www.astrobin.com/9uxy73" TargetMode="External"/><Relationship Id="rId2243" Type="http://schemas.openxmlformats.org/officeDocument/2006/relationships/hyperlink" Target="https://www.astrobin.com/ubp0fd" TargetMode="External"/><Relationship Id="rId2450" Type="http://schemas.openxmlformats.org/officeDocument/2006/relationships/hyperlink" Target="https://www.astrobin.com/5ndysg" TargetMode="External"/><Relationship Id="rId215" Type="http://schemas.openxmlformats.org/officeDocument/2006/relationships/hyperlink" Target="https://www.astrobin.com/337472/" TargetMode="External"/><Relationship Id="rId422" Type="http://schemas.openxmlformats.org/officeDocument/2006/relationships/hyperlink" Target="https://www.astrobin.com/415909/" TargetMode="External"/><Relationship Id="rId1052" Type="http://schemas.openxmlformats.org/officeDocument/2006/relationships/hyperlink" Target="https://www.astrobin.com/8afr48/" TargetMode="External"/><Relationship Id="rId2103" Type="http://schemas.openxmlformats.org/officeDocument/2006/relationships/hyperlink" Target="https://www.astrobin.com/s57o2a/" TargetMode="External"/><Relationship Id="rId2310" Type="http://schemas.openxmlformats.org/officeDocument/2006/relationships/hyperlink" Target="https://www.astrobin.com/5j64sx" TargetMode="External"/><Relationship Id="rId1869" Type="http://schemas.openxmlformats.org/officeDocument/2006/relationships/hyperlink" Target="https://www.astrobin.com/w4euvw" TargetMode="External"/><Relationship Id="rId1729" Type="http://schemas.openxmlformats.org/officeDocument/2006/relationships/hyperlink" Target="https://www.astrobin.com/gfj0nt/" TargetMode="External"/><Relationship Id="rId1936" Type="http://schemas.openxmlformats.org/officeDocument/2006/relationships/hyperlink" Target="https://www.astrobin.com/7xawo9" TargetMode="External"/><Relationship Id="rId5" Type="http://schemas.openxmlformats.org/officeDocument/2006/relationships/hyperlink" Target="https://www.astrobin.com/8tew7u/" TargetMode="External"/><Relationship Id="rId889" Type="http://schemas.openxmlformats.org/officeDocument/2006/relationships/hyperlink" Target="https://www.astrobin.com/9a8ywj/" TargetMode="External"/><Relationship Id="rId749" Type="http://schemas.openxmlformats.org/officeDocument/2006/relationships/hyperlink" Target="https://www.astrobin.com/jqhgfg/" TargetMode="External"/><Relationship Id="rId1379" Type="http://schemas.openxmlformats.org/officeDocument/2006/relationships/hyperlink" Target="https://www.astrobin.com/j9c6uz/" TargetMode="External"/><Relationship Id="rId1586" Type="http://schemas.openxmlformats.org/officeDocument/2006/relationships/hyperlink" Target="https://www.astrobin.com/beg0f9/" TargetMode="External"/><Relationship Id="rId609" Type="http://schemas.openxmlformats.org/officeDocument/2006/relationships/hyperlink" Target="https://www.astrobin.com/5w7qky/" TargetMode="External"/><Relationship Id="rId956" Type="http://schemas.openxmlformats.org/officeDocument/2006/relationships/hyperlink" Target="https://www.astrobin.com/xqx98b" TargetMode="External"/><Relationship Id="rId1239" Type="http://schemas.openxmlformats.org/officeDocument/2006/relationships/hyperlink" Target="https://www.astrobin.com/v7uwak/" TargetMode="External"/><Relationship Id="rId1793" Type="http://schemas.openxmlformats.org/officeDocument/2006/relationships/hyperlink" Target="https://www.astrobin.com/hebkyi/" TargetMode="External"/><Relationship Id="rId2637" Type="http://schemas.openxmlformats.org/officeDocument/2006/relationships/hyperlink" Target="https://app.astrobin.com/i/ddpn3a" TargetMode="External"/><Relationship Id="rId85" Type="http://schemas.openxmlformats.org/officeDocument/2006/relationships/hyperlink" Target="https://www.astrobin.com/6bdh1t/" TargetMode="External"/><Relationship Id="rId816" Type="http://schemas.openxmlformats.org/officeDocument/2006/relationships/hyperlink" Target="https://www.astrobin.com/n7h9xo/" TargetMode="External"/><Relationship Id="rId1446" Type="http://schemas.openxmlformats.org/officeDocument/2006/relationships/hyperlink" Target="https://www.astrobin.com/w14vr7/" TargetMode="External"/><Relationship Id="rId1653" Type="http://schemas.openxmlformats.org/officeDocument/2006/relationships/hyperlink" Target="https://www.astrobin.com/wwzpq1/" TargetMode="External"/><Relationship Id="rId1860" Type="http://schemas.openxmlformats.org/officeDocument/2006/relationships/hyperlink" Target="https://www.astrobin.com/k6xrss" TargetMode="External"/><Relationship Id="rId1306" Type="http://schemas.openxmlformats.org/officeDocument/2006/relationships/hyperlink" Target="https://www.astrobin.com/neg14r/" TargetMode="External"/><Relationship Id="rId1513" Type="http://schemas.openxmlformats.org/officeDocument/2006/relationships/hyperlink" Target="https://app.astrobin.com/i/mqbg9i" TargetMode="External"/><Relationship Id="rId1720" Type="http://schemas.openxmlformats.org/officeDocument/2006/relationships/hyperlink" Target="https://www.astrobin.com/6fimye" TargetMode="External"/><Relationship Id="rId12" Type="http://schemas.openxmlformats.org/officeDocument/2006/relationships/hyperlink" Target="https://www.astrobin.com/55sdp5/" TargetMode="External"/><Relationship Id="rId399" Type="http://schemas.openxmlformats.org/officeDocument/2006/relationships/hyperlink" Target="https://www.astrobin.com/408707/" TargetMode="External"/><Relationship Id="rId2287" Type="http://schemas.openxmlformats.org/officeDocument/2006/relationships/hyperlink" Target="https://www.astrobin.com/34r1c0" TargetMode="External"/><Relationship Id="rId2494" Type="http://schemas.openxmlformats.org/officeDocument/2006/relationships/hyperlink" Target="https://app.astrobin.com/i/joj9cz" TargetMode="External"/><Relationship Id="rId259" Type="http://schemas.openxmlformats.org/officeDocument/2006/relationships/hyperlink" Target="https://www.astrobin.com/351934/" TargetMode="External"/><Relationship Id="rId466" Type="http://schemas.openxmlformats.org/officeDocument/2006/relationships/hyperlink" Target="https://www.astrobin.com/ulx0jy/" TargetMode="External"/><Relationship Id="rId673" Type="http://schemas.openxmlformats.org/officeDocument/2006/relationships/hyperlink" Target="https://app.astrobin.com/i/vaufcu" TargetMode="External"/><Relationship Id="rId880" Type="http://schemas.openxmlformats.org/officeDocument/2006/relationships/hyperlink" Target="https://www.astrobin.com/995uu8/" TargetMode="External"/><Relationship Id="rId1096" Type="http://schemas.openxmlformats.org/officeDocument/2006/relationships/hyperlink" Target="https://www.astrobin.com/jealqn/" TargetMode="External"/><Relationship Id="rId2147" Type="http://schemas.openxmlformats.org/officeDocument/2006/relationships/hyperlink" Target="https://www.astrobin.com/4f4v23/" TargetMode="External"/><Relationship Id="rId2354" Type="http://schemas.openxmlformats.org/officeDocument/2006/relationships/hyperlink" Target="https://www.astrobin.com/z6mp8w" TargetMode="External"/><Relationship Id="rId2561" Type="http://schemas.openxmlformats.org/officeDocument/2006/relationships/hyperlink" Target="https://app.astrobin.com/i/jnvulo" TargetMode="External"/><Relationship Id="rId119" Type="http://schemas.openxmlformats.org/officeDocument/2006/relationships/hyperlink" Target="https://app.astrobin.com/i/t3m94l" TargetMode="External"/><Relationship Id="rId326" Type="http://schemas.openxmlformats.org/officeDocument/2006/relationships/hyperlink" Target="https://www.astrobin.com/64btf0" TargetMode="External"/><Relationship Id="rId533" Type="http://schemas.openxmlformats.org/officeDocument/2006/relationships/hyperlink" Target="https://www.astrobin.com/xc1a9g/" TargetMode="External"/><Relationship Id="rId1163" Type="http://schemas.openxmlformats.org/officeDocument/2006/relationships/hyperlink" Target="https://www.astrobin.com/dcbjz4/" TargetMode="External"/><Relationship Id="rId1370" Type="http://schemas.openxmlformats.org/officeDocument/2006/relationships/hyperlink" Target="https://www.astrobin.com/v1r518/" TargetMode="External"/><Relationship Id="rId2007" Type="http://schemas.openxmlformats.org/officeDocument/2006/relationships/hyperlink" Target="https://www.astrobin.com/y4lzrg" TargetMode="External"/><Relationship Id="rId2214" Type="http://schemas.openxmlformats.org/officeDocument/2006/relationships/hyperlink" Target="https://www.astrobin.com/9d0guv/" TargetMode="External"/><Relationship Id="rId740" Type="http://schemas.openxmlformats.org/officeDocument/2006/relationships/hyperlink" Target="https://www.astrobin.com/7z3x28/" TargetMode="External"/><Relationship Id="rId1023" Type="http://schemas.openxmlformats.org/officeDocument/2006/relationships/hyperlink" Target="https://www.astrobin.com/oqzey1/" TargetMode="External"/><Relationship Id="rId2421" Type="http://schemas.openxmlformats.org/officeDocument/2006/relationships/hyperlink" Target="https://www.astrobin.com/w30dvn" TargetMode="External"/><Relationship Id="rId600" Type="http://schemas.openxmlformats.org/officeDocument/2006/relationships/hyperlink" Target="https://www.astrobin.com/3qlnp7/" TargetMode="External"/><Relationship Id="rId1230" Type="http://schemas.openxmlformats.org/officeDocument/2006/relationships/hyperlink" Target="https://www.astrobin.com/0tc01w/" TargetMode="External"/><Relationship Id="rId183" Type="http://schemas.openxmlformats.org/officeDocument/2006/relationships/hyperlink" Target="https://www.astrobin.com/329012/" TargetMode="External"/><Relationship Id="rId390" Type="http://schemas.openxmlformats.org/officeDocument/2006/relationships/hyperlink" Target="https://www.astrobin.com/405945/" TargetMode="External"/><Relationship Id="rId1907" Type="http://schemas.openxmlformats.org/officeDocument/2006/relationships/hyperlink" Target="https://www.astrobin.com/yz6dhu" TargetMode="External"/><Relationship Id="rId2071" Type="http://schemas.openxmlformats.org/officeDocument/2006/relationships/hyperlink" Target="https://www.astrobin.com/7xaipo/" TargetMode="External"/><Relationship Id="rId250" Type="http://schemas.openxmlformats.org/officeDocument/2006/relationships/hyperlink" Target="https://www.astrobin.com/350139/" TargetMode="External"/><Relationship Id="rId110" Type="http://schemas.openxmlformats.org/officeDocument/2006/relationships/hyperlink" Target="https://app.astrobin.com/i/dq4sry" TargetMode="External"/><Relationship Id="rId1697" Type="http://schemas.openxmlformats.org/officeDocument/2006/relationships/hyperlink" Target="https://www.astrobin.com/lhzo44/" TargetMode="External"/><Relationship Id="rId927" Type="http://schemas.openxmlformats.org/officeDocument/2006/relationships/hyperlink" Target="https://app.astrobin.com/i/awl9qe" TargetMode="External"/><Relationship Id="rId1557" Type="http://schemas.openxmlformats.org/officeDocument/2006/relationships/hyperlink" Target="https://www.astrobin.com/xexpdk/" TargetMode="External"/><Relationship Id="rId1764" Type="http://schemas.openxmlformats.org/officeDocument/2006/relationships/hyperlink" Target="https://www.astrobin.com/09qr1t" TargetMode="External"/><Relationship Id="rId1971" Type="http://schemas.openxmlformats.org/officeDocument/2006/relationships/hyperlink" Target="https://www.astrobin.com/sv72f5" TargetMode="External"/><Relationship Id="rId2608" Type="http://schemas.openxmlformats.org/officeDocument/2006/relationships/hyperlink" Target="https://app.astrobin.com/i/lnis8y" TargetMode="External"/><Relationship Id="rId56" Type="http://schemas.openxmlformats.org/officeDocument/2006/relationships/hyperlink" Target="https://www.astrobin.com/z0mlou" TargetMode="External"/><Relationship Id="rId1417" Type="http://schemas.openxmlformats.org/officeDocument/2006/relationships/hyperlink" Target="https://www.astrobin.com/4k9zmm/" TargetMode="External"/><Relationship Id="rId1624" Type="http://schemas.openxmlformats.org/officeDocument/2006/relationships/hyperlink" Target="https://www.astrobin.com/hu70bz/" TargetMode="External"/><Relationship Id="rId1831" Type="http://schemas.openxmlformats.org/officeDocument/2006/relationships/hyperlink" Target="https://www.astrobin.com/myr4cy" TargetMode="External"/><Relationship Id="rId1929" Type="http://schemas.openxmlformats.org/officeDocument/2006/relationships/hyperlink" Target="https://www.astrobin.com/bxkzj8" TargetMode="External"/><Relationship Id="rId2093" Type="http://schemas.openxmlformats.org/officeDocument/2006/relationships/hyperlink" Target="https://www.astrobin.com/lbe3q1/" TargetMode="External"/><Relationship Id="rId2398" Type="http://schemas.openxmlformats.org/officeDocument/2006/relationships/hyperlink" Target="https://www.astrobin.com/av9qvc" TargetMode="External"/><Relationship Id="rId272" Type="http://schemas.openxmlformats.org/officeDocument/2006/relationships/hyperlink" Target="https://www.astrobin.com/354893/" TargetMode="External"/><Relationship Id="rId577" Type="http://schemas.openxmlformats.org/officeDocument/2006/relationships/hyperlink" Target="https://www.astrobin.com/lj1us2/" TargetMode="External"/><Relationship Id="rId2160" Type="http://schemas.openxmlformats.org/officeDocument/2006/relationships/hyperlink" Target="https://www.astrobin.com/nwnd42" TargetMode="External"/><Relationship Id="rId2258" Type="http://schemas.openxmlformats.org/officeDocument/2006/relationships/hyperlink" Target="https://www.astrobin.com/drxd5v" TargetMode="External"/><Relationship Id="rId132" Type="http://schemas.openxmlformats.org/officeDocument/2006/relationships/hyperlink" Target="https://www.astrobin.com/izqru1" TargetMode="External"/><Relationship Id="rId784" Type="http://schemas.openxmlformats.org/officeDocument/2006/relationships/hyperlink" Target="https://www.astrobin.com/d789c2/" TargetMode="External"/><Relationship Id="rId991" Type="http://schemas.openxmlformats.org/officeDocument/2006/relationships/hyperlink" Target="https://www.astrobin.com/3vw9q7/" TargetMode="External"/><Relationship Id="rId1067" Type="http://schemas.openxmlformats.org/officeDocument/2006/relationships/hyperlink" Target="https://www.astrobin.com/bazfbm/" TargetMode="External"/><Relationship Id="rId2020" Type="http://schemas.openxmlformats.org/officeDocument/2006/relationships/hyperlink" Target="https://www.astrobin.com/mok1ui" TargetMode="External"/><Relationship Id="rId2465" Type="http://schemas.openxmlformats.org/officeDocument/2006/relationships/hyperlink" Target="https://www.astrobin.com/xjille" TargetMode="External"/><Relationship Id="rId437" Type="http://schemas.openxmlformats.org/officeDocument/2006/relationships/hyperlink" Target="https://www.astrobin.com/419841/" TargetMode="External"/><Relationship Id="rId644" Type="http://schemas.openxmlformats.org/officeDocument/2006/relationships/hyperlink" Target="https://www.astrobin.com/ziockx/" TargetMode="External"/><Relationship Id="rId851" Type="http://schemas.openxmlformats.org/officeDocument/2006/relationships/hyperlink" Target="https://www.astrobin.com/h44ftz/" TargetMode="External"/><Relationship Id="rId1274" Type="http://schemas.openxmlformats.org/officeDocument/2006/relationships/hyperlink" Target="https://www.astrobin.com/vuv1dn/" TargetMode="External"/><Relationship Id="rId1481" Type="http://schemas.openxmlformats.org/officeDocument/2006/relationships/hyperlink" Target="https://www.astrobin.com/k9ymxd/" TargetMode="External"/><Relationship Id="rId1579" Type="http://schemas.openxmlformats.org/officeDocument/2006/relationships/hyperlink" Target="https://www.astrobin.com/y2hw90/" TargetMode="External"/><Relationship Id="rId2118" Type="http://schemas.openxmlformats.org/officeDocument/2006/relationships/hyperlink" Target="https://www.astrobin.com/vdrxat/" TargetMode="External"/><Relationship Id="rId2325" Type="http://schemas.openxmlformats.org/officeDocument/2006/relationships/hyperlink" Target="https://app.astrobin.com/i/0gl7tp" TargetMode="External"/><Relationship Id="rId2532" Type="http://schemas.openxmlformats.org/officeDocument/2006/relationships/hyperlink" Target="https://app.astrobin.com/i/lxjtbe" TargetMode="External"/><Relationship Id="rId504" Type="http://schemas.openxmlformats.org/officeDocument/2006/relationships/hyperlink" Target="https://www.astrobin.com/pd6m6k/" TargetMode="External"/><Relationship Id="rId711" Type="http://schemas.openxmlformats.org/officeDocument/2006/relationships/hyperlink" Target="https://www.astrobin.com/k9kmkc/" TargetMode="External"/><Relationship Id="rId949" Type="http://schemas.openxmlformats.org/officeDocument/2006/relationships/hyperlink" Target="https://www.astrobin.com/4wnfow/" TargetMode="External"/><Relationship Id="rId1134" Type="http://schemas.openxmlformats.org/officeDocument/2006/relationships/hyperlink" Target="https://www.astrobin.com/jvx566/" TargetMode="External"/><Relationship Id="rId1341" Type="http://schemas.openxmlformats.org/officeDocument/2006/relationships/hyperlink" Target="https://www.astrobin.com/f2n7p7/" TargetMode="External"/><Relationship Id="rId1786" Type="http://schemas.openxmlformats.org/officeDocument/2006/relationships/hyperlink" Target="https://www.astrobin.com/7yaens" TargetMode="External"/><Relationship Id="rId1993" Type="http://schemas.openxmlformats.org/officeDocument/2006/relationships/hyperlink" Target="https://www.astrobin.com/sockfw" TargetMode="External"/><Relationship Id="rId78" Type="http://schemas.openxmlformats.org/officeDocument/2006/relationships/hyperlink" Target="https://www.astrobin.com/ffeovr" TargetMode="External"/><Relationship Id="rId809" Type="http://schemas.openxmlformats.org/officeDocument/2006/relationships/hyperlink" Target="https://www.astrobin.com/cocyaa" TargetMode="External"/><Relationship Id="rId1201" Type="http://schemas.openxmlformats.org/officeDocument/2006/relationships/hyperlink" Target="https://www.astrobin.com/p9lucv/" TargetMode="External"/><Relationship Id="rId1439" Type="http://schemas.openxmlformats.org/officeDocument/2006/relationships/hyperlink" Target="https://www.astrobin.com/0ovtia/" TargetMode="External"/><Relationship Id="rId1646" Type="http://schemas.openxmlformats.org/officeDocument/2006/relationships/hyperlink" Target="https://www.astrobin.com/f7r3qx/" TargetMode="External"/><Relationship Id="rId1853" Type="http://schemas.openxmlformats.org/officeDocument/2006/relationships/hyperlink" Target="https://www.astrobin.com/iu9pq7" TargetMode="External"/><Relationship Id="rId1506" Type="http://schemas.openxmlformats.org/officeDocument/2006/relationships/hyperlink" Target="https://app.astrobin.com/i/efdsqq" TargetMode="External"/><Relationship Id="rId1713" Type="http://schemas.openxmlformats.org/officeDocument/2006/relationships/hyperlink" Target="https://app.astrobin.com/i/u4q64r" TargetMode="External"/><Relationship Id="rId1920" Type="http://schemas.openxmlformats.org/officeDocument/2006/relationships/hyperlink" Target="https://www.astrobin.com/kzwqbt" TargetMode="External"/><Relationship Id="rId294" Type="http://schemas.openxmlformats.org/officeDocument/2006/relationships/hyperlink" Target="https://www.astrobin.com/360276/" TargetMode="External"/><Relationship Id="rId2182" Type="http://schemas.openxmlformats.org/officeDocument/2006/relationships/hyperlink" Target="https://www.astrobin.com/zthnhv" TargetMode="External"/><Relationship Id="rId154" Type="http://schemas.openxmlformats.org/officeDocument/2006/relationships/hyperlink" Target="https://www.astrobin.com/ju5gdy" TargetMode="External"/><Relationship Id="rId361" Type="http://schemas.openxmlformats.org/officeDocument/2006/relationships/hyperlink" Target="https://www.astrobin.com/396275/" TargetMode="External"/><Relationship Id="rId599" Type="http://schemas.openxmlformats.org/officeDocument/2006/relationships/hyperlink" Target="https://www.astrobin.com/hf85ku/" TargetMode="External"/><Relationship Id="rId2042" Type="http://schemas.openxmlformats.org/officeDocument/2006/relationships/hyperlink" Target="https://www.astrobin.com/y3uyep" TargetMode="External"/><Relationship Id="rId2487" Type="http://schemas.openxmlformats.org/officeDocument/2006/relationships/hyperlink" Target="https://app.astrobin.com/i/td17ls" TargetMode="External"/><Relationship Id="rId459" Type="http://schemas.openxmlformats.org/officeDocument/2006/relationships/hyperlink" Target="https://www.astrobin.com/zg01l2/" TargetMode="External"/><Relationship Id="rId666" Type="http://schemas.openxmlformats.org/officeDocument/2006/relationships/hyperlink" Target="https://www.astrobin.com/np8c61/" TargetMode="External"/><Relationship Id="rId873" Type="http://schemas.openxmlformats.org/officeDocument/2006/relationships/hyperlink" Target="https://www.astrobin.com/8zd48p/" TargetMode="External"/><Relationship Id="rId1089" Type="http://schemas.openxmlformats.org/officeDocument/2006/relationships/hyperlink" Target="https://www.astrobin.com/r7nxu9/" TargetMode="External"/><Relationship Id="rId1296" Type="http://schemas.openxmlformats.org/officeDocument/2006/relationships/hyperlink" Target="https://www.astrobin.com/m6p4nl/" TargetMode="External"/><Relationship Id="rId2347" Type="http://schemas.openxmlformats.org/officeDocument/2006/relationships/hyperlink" Target="https://www.astrobin.com/p3tx0q" TargetMode="External"/><Relationship Id="rId2554" Type="http://schemas.openxmlformats.org/officeDocument/2006/relationships/hyperlink" Target="https://app.astrobin.com/i/nej9je" TargetMode="External"/><Relationship Id="rId221" Type="http://schemas.openxmlformats.org/officeDocument/2006/relationships/hyperlink" Target="https://www.astrobin.com/340239/" TargetMode="External"/><Relationship Id="rId319" Type="http://schemas.openxmlformats.org/officeDocument/2006/relationships/hyperlink" Target="https://www.astrobin.com/378546/" TargetMode="External"/><Relationship Id="rId526" Type="http://schemas.openxmlformats.org/officeDocument/2006/relationships/hyperlink" Target="https://www.astrobin.com/v4vmz0/" TargetMode="External"/><Relationship Id="rId1156" Type="http://schemas.openxmlformats.org/officeDocument/2006/relationships/hyperlink" Target="https://www.astrobin.com/gqex50/" TargetMode="External"/><Relationship Id="rId1363" Type="http://schemas.openxmlformats.org/officeDocument/2006/relationships/hyperlink" Target="https://www.astrobin.com/02kjqi/" TargetMode="External"/><Relationship Id="rId2207" Type="http://schemas.openxmlformats.org/officeDocument/2006/relationships/hyperlink" Target="https://app.astrobin.com/i/49knps" TargetMode="External"/><Relationship Id="rId733" Type="http://schemas.openxmlformats.org/officeDocument/2006/relationships/hyperlink" Target="https://www.astrobin.com/o6lt4w/" TargetMode="External"/><Relationship Id="rId940" Type="http://schemas.openxmlformats.org/officeDocument/2006/relationships/hyperlink" Target="https://www.astrobin.com/2zxg9x/" TargetMode="External"/><Relationship Id="rId1016" Type="http://schemas.openxmlformats.org/officeDocument/2006/relationships/hyperlink" Target="https://www.astrobin.com/e1wuxl/" TargetMode="External"/><Relationship Id="rId1570" Type="http://schemas.openxmlformats.org/officeDocument/2006/relationships/hyperlink" Target="https://www.astrobin.com/af8msr/" TargetMode="External"/><Relationship Id="rId1668" Type="http://schemas.openxmlformats.org/officeDocument/2006/relationships/hyperlink" Target="https://www.astrobin.com/602qu4/" TargetMode="External"/><Relationship Id="rId1875" Type="http://schemas.openxmlformats.org/officeDocument/2006/relationships/hyperlink" Target="https://www.astrobin.com/bi4lqr" TargetMode="External"/><Relationship Id="rId2414" Type="http://schemas.openxmlformats.org/officeDocument/2006/relationships/hyperlink" Target="https://www.astrobin.com/6p4xz4" TargetMode="External"/><Relationship Id="rId2621" Type="http://schemas.openxmlformats.org/officeDocument/2006/relationships/hyperlink" Target="https://app.astrobin.com/i/hyojdl" TargetMode="External"/><Relationship Id="rId800" Type="http://schemas.openxmlformats.org/officeDocument/2006/relationships/hyperlink" Target="https://www.astrobin.com/04xvg4/" TargetMode="External"/><Relationship Id="rId1223" Type="http://schemas.openxmlformats.org/officeDocument/2006/relationships/hyperlink" Target="https://www.astrobin.com/5bbbfj/" TargetMode="External"/><Relationship Id="rId1430" Type="http://schemas.openxmlformats.org/officeDocument/2006/relationships/hyperlink" Target="https://www.astrobin.com/0wzdiq/" TargetMode="External"/><Relationship Id="rId1528" Type="http://schemas.openxmlformats.org/officeDocument/2006/relationships/hyperlink" Target="https://www.astrobin.com/pso3b5/" TargetMode="External"/><Relationship Id="rId1735" Type="http://schemas.openxmlformats.org/officeDocument/2006/relationships/hyperlink" Target="https://www.astrobin.com/4cfn7r" TargetMode="External"/><Relationship Id="rId1942" Type="http://schemas.openxmlformats.org/officeDocument/2006/relationships/hyperlink" Target="https://www.astrobin.com/y6wxjx" TargetMode="External"/><Relationship Id="rId27" Type="http://schemas.openxmlformats.org/officeDocument/2006/relationships/hyperlink" Target="https://www.astrobin.com/4z4p31/" TargetMode="External"/><Relationship Id="rId1802" Type="http://schemas.openxmlformats.org/officeDocument/2006/relationships/hyperlink" Target="https://www.astrobin.com/c4kp4o" TargetMode="External"/><Relationship Id="rId176" Type="http://schemas.openxmlformats.org/officeDocument/2006/relationships/hyperlink" Target="https://www.astrobin.com/ilz0wr" TargetMode="External"/><Relationship Id="rId383" Type="http://schemas.openxmlformats.org/officeDocument/2006/relationships/hyperlink" Target="https://www.astrobin.com/403784/" TargetMode="External"/><Relationship Id="rId590" Type="http://schemas.openxmlformats.org/officeDocument/2006/relationships/hyperlink" Target="https://www.astrobin.com/57287i/" TargetMode="External"/><Relationship Id="rId2064" Type="http://schemas.openxmlformats.org/officeDocument/2006/relationships/hyperlink" Target="https://www.astrobin.com/8tzwyw/" TargetMode="External"/><Relationship Id="rId2271" Type="http://schemas.openxmlformats.org/officeDocument/2006/relationships/hyperlink" Target="https://www.astrobin.com/y2j0ho/" TargetMode="External"/><Relationship Id="rId243" Type="http://schemas.openxmlformats.org/officeDocument/2006/relationships/hyperlink" Target="https://www.astrobin.com/348673/" TargetMode="External"/><Relationship Id="rId450" Type="http://schemas.openxmlformats.org/officeDocument/2006/relationships/hyperlink" Target="https://www.astrobin.com/5d71np/" TargetMode="External"/><Relationship Id="rId688" Type="http://schemas.openxmlformats.org/officeDocument/2006/relationships/hyperlink" Target="https://www.astrobin.com/nr3kla/" TargetMode="External"/><Relationship Id="rId895" Type="http://schemas.openxmlformats.org/officeDocument/2006/relationships/hyperlink" Target="https://www.astrobin.com/bc2rqh/" TargetMode="External"/><Relationship Id="rId1080" Type="http://schemas.openxmlformats.org/officeDocument/2006/relationships/hyperlink" Target="https://www.astrobin.com/d0904m/" TargetMode="External"/><Relationship Id="rId2131" Type="http://schemas.openxmlformats.org/officeDocument/2006/relationships/hyperlink" Target="https://www.astrobin.com/ml6caf/" TargetMode="External"/><Relationship Id="rId2369" Type="http://schemas.openxmlformats.org/officeDocument/2006/relationships/hyperlink" Target="https://www.astrobin.com/h1uiln" TargetMode="External"/><Relationship Id="rId2576" Type="http://schemas.openxmlformats.org/officeDocument/2006/relationships/hyperlink" Target="https://app.astrobin.com/i/xb9x04" TargetMode="External"/><Relationship Id="rId103" Type="http://schemas.openxmlformats.org/officeDocument/2006/relationships/hyperlink" Target="https://www.astrobin.com/lxl1nx" TargetMode="External"/><Relationship Id="rId310" Type="http://schemas.openxmlformats.org/officeDocument/2006/relationships/hyperlink" Target="https://www.astrobin.com/375580/B/" TargetMode="External"/><Relationship Id="rId548" Type="http://schemas.openxmlformats.org/officeDocument/2006/relationships/hyperlink" Target="https://www.astrobin.com/rehqe5" TargetMode="External"/><Relationship Id="rId755" Type="http://schemas.openxmlformats.org/officeDocument/2006/relationships/hyperlink" Target="https://www.astrobin.com/tva64t/" TargetMode="External"/><Relationship Id="rId962" Type="http://schemas.openxmlformats.org/officeDocument/2006/relationships/hyperlink" Target="https://www.astrobin.com/ten4f1/" TargetMode="External"/><Relationship Id="rId1178" Type="http://schemas.openxmlformats.org/officeDocument/2006/relationships/hyperlink" Target="https://www.astrobin.com/yk89t2/" TargetMode="External"/><Relationship Id="rId1385" Type="http://schemas.openxmlformats.org/officeDocument/2006/relationships/hyperlink" Target="https://www.astrobin.com/yjygx0/" TargetMode="External"/><Relationship Id="rId1592" Type="http://schemas.openxmlformats.org/officeDocument/2006/relationships/hyperlink" Target="https://www.astrobin.com/fghk1i/" TargetMode="External"/><Relationship Id="rId2229" Type="http://schemas.openxmlformats.org/officeDocument/2006/relationships/hyperlink" Target="https://www.astrobin.com/bkaejx" TargetMode="External"/><Relationship Id="rId2436" Type="http://schemas.openxmlformats.org/officeDocument/2006/relationships/hyperlink" Target="https://app.astrobin.com/i/wno9tl" TargetMode="External"/><Relationship Id="rId2643" Type="http://schemas.openxmlformats.org/officeDocument/2006/relationships/hyperlink" Target="https://app.astrobin.com/i/mggnqw" TargetMode="External"/><Relationship Id="rId91" Type="http://schemas.openxmlformats.org/officeDocument/2006/relationships/hyperlink" Target="https://app.astrobin.com/i/um05h2" TargetMode="External"/><Relationship Id="rId408" Type="http://schemas.openxmlformats.org/officeDocument/2006/relationships/hyperlink" Target="https://www.astrobin.com/412356/" TargetMode="External"/><Relationship Id="rId615" Type="http://schemas.openxmlformats.org/officeDocument/2006/relationships/hyperlink" Target="https://www.astrobin.com/v1tdsd/" TargetMode="External"/><Relationship Id="rId822" Type="http://schemas.openxmlformats.org/officeDocument/2006/relationships/hyperlink" Target="https://www.astrobin.com/yva2ts/?" TargetMode="External"/><Relationship Id="rId1038" Type="http://schemas.openxmlformats.org/officeDocument/2006/relationships/hyperlink" Target="https://www.astrobin.com/0ffwej/" TargetMode="External"/><Relationship Id="rId1245" Type="http://schemas.openxmlformats.org/officeDocument/2006/relationships/hyperlink" Target="https://www.astrobin.com/nszk6n/" TargetMode="External"/><Relationship Id="rId1452" Type="http://schemas.openxmlformats.org/officeDocument/2006/relationships/hyperlink" Target="https://www.astrobin.com/b5wo3c/" TargetMode="External"/><Relationship Id="rId1897" Type="http://schemas.openxmlformats.org/officeDocument/2006/relationships/hyperlink" Target="https://www.astrobin.com/71ka3f" TargetMode="External"/><Relationship Id="rId2503" Type="http://schemas.openxmlformats.org/officeDocument/2006/relationships/hyperlink" Target="https://app.astrobin.com/i/i1f0xu" TargetMode="External"/><Relationship Id="rId1105" Type="http://schemas.openxmlformats.org/officeDocument/2006/relationships/hyperlink" Target="https://www.astrobin.com/as0d9b/" TargetMode="External"/><Relationship Id="rId1312" Type="http://schemas.openxmlformats.org/officeDocument/2006/relationships/hyperlink" Target="https://www.astrobin.com/ffiiru/" TargetMode="External"/><Relationship Id="rId1757" Type="http://schemas.openxmlformats.org/officeDocument/2006/relationships/hyperlink" Target="https://www.astrobin.com/g1sq1n/" TargetMode="External"/><Relationship Id="rId1964" Type="http://schemas.openxmlformats.org/officeDocument/2006/relationships/hyperlink" Target="https://www.astrobin.com/61xtjt" TargetMode="External"/><Relationship Id="rId49" Type="http://schemas.openxmlformats.org/officeDocument/2006/relationships/hyperlink" Target="https://www.astrobin.com/cojpie" TargetMode="External"/><Relationship Id="rId1617" Type="http://schemas.openxmlformats.org/officeDocument/2006/relationships/hyperlink" Target="https://www.astrobin.com/ucxuqd/" TargetMode="External"/><Relationship Id="rId1824" Type="http://schemas.openxmlformats.org/officeDocument/2006/relationships/hyperlink" Target="https://www.astrobin.com/frtqh3" TargetMode="External"/><Relationship Id="rId198" Type="http://schemas.openxmlformats.org/officeDocument/2006/relationships/hyperlink" Target="https://www.astrobin.com/330828/" TargetMode="External"/><Relationship Id="rId2086" Type="http://schemas.openxmlformats.org/officeDocument/2006/relationships/hyperlink" Target="https://www.astrobin.com/dsaucp/" TargetMode="External"/><Relationship Id="rId2293" Type="http://schemas.openxmlformats.org/officeDocument/2006/relationships/hyperlink" Target="https://www.astrobin.com/t24aku" TargetMode="External"/><Relationship Id="rId2598" Type="http://schemas.openxmlformats.org/officeDocument/2006/relationships/hyperlink" Target="https://app.astrobin.com/i/121yh3" TargetMode="External"/><Relationship Id="rId265" Type="http://schemas.openxmlformats.org/officeDocument/2006/relationships/hyperlink" Target="https://www.astrobin.com/355007/" TargetMode="External"/><Relationship Id="rId472" Type="http://schemas.openxmlformats.org/officeDocument/2006/relationships/hyperlink" Target="https://www.astrobin.com/emgx5n/" TargetMode="External"/><Relationship Id="rId2153" Type="http://schemas.openxmlformats.org/officeDocument/2006/relationships/hyperlink" Target="https://www.astrobin.com/el4584/" TargetMode="External"/><Relationship Id="rId2360" Type="http://schemas.openxmlformats.org/officeDocument/2006/relationships/hyperlink" Target="https://www.astrobin.com/00ku15" TargetMode="External"/><Relationship Id="rId125" Type="http://schemas.openxmlformats.org/officeDocument/2006/relationships/hyperlink" Target="https://www.astrobin.com/1n130d" TargetMode="External"/><Relationship Id="rId332" Type="http://schemas.openxmlformats.org/officeDocument/2006/relationships/hyperlink" Target="https://www.astrobin.com/dw645k" TargetMode="External"/><Relationship Id="rId777" Type="http://schemas.openxmlformats.org/officeDocument/2006/relationships/hyperlink" Target="https://www.astrobin.com/ai0lxa/" TargetMode="External"/><Relationship Id="rId984" Type="http://schemas.openxmlformats.org/officeDocument/2006/relationships/hyperlink" Target="https://www.astrobin.com/f5zcvy/" TargetMode="External"/><Relationship Id="rId2013" Type="http://schemas.openxmlformats.org/officeDocument/2006/relationships/hyperlink" Target="https://www.astrobin.com/h6znrc" TargetMode="External"/><Relationship Id="rId2220" Type="http://schemas.openxmlformats.org/officeDocument/2006/relationships/hyperlink" Target="https://www.astrobin.com/9yij38" TargetMode="External"/><Relationship Id="rId2458" Type="http://schemas.openxmlformats.org/officeDocument/2006/relationships/hyperlink" Target="https://www.astrobin.com/uccju5" TargetMode="External"/><Relationship Id="rId637" Type="http://schemas.openxmlformats.org/officeDocument/2006/relationships/hyperlink" Target="https://www.astrobin.com/n4mwwy/" TargetMode="External"/><Relationship Id="rId844" Type="http://schemas.openxmlformats.org/officeDocument/2006/relationships/hyperlink" Target="https://www.astrobin.com/hk3kmo/" TargetMode="External"/><Relationship Id="rId1267" Type="http://schemas.openxmlformats.org/officeDocument/2006/relationships/hyperlink" Target="https://www.astrobin.com/yf7zrj/" TargetMode="External"/><Relationship Id="rId1474" Type="http://schemas.openxmlformats.org/officeDocument/2006/relationships/hyperlink" Target="https://www.astrobin.com/thlijx/" TargetMode="External"/><Relationship Id="rId1681" Type="http://schemas.openxmlformats.org/officeDocument/2006/relationships/hyperlink" Target="https://www.astrobin.com/3uex07/" TargetMode="External"/><Relationship Id="rId2318" Type="http://schemas.openxmlformats.org/officeDocument/2006/relationships/hyperlink" Target="https://www.astrobin.com/etr4p5" TargetMode="External"/><Relationship Id="rId2525" Type="http://schemas.openxmlformats.org/officeDocument/2006/relationships/hyperlink" Target="https://app.astrobin.com/i/aezdph" TargetMode="External"/><Relationship Id="rId704" Type="http://schemas.openxmlformats.org/officeDocument/2006/relationships/hyperlink" Target="https://www.astrobin.com/moeeo6" TargetMode="External"/><Relationship Id="rId911" Type="http://schemas.openxmlformats.org/officeDocument/2006/relationships/hyperlink" Target="https://www.astrobin.com/flnpwv/" TargetMode="External"/><Relationship Id="rId1127" Type="http://schemas.openxmlformats.org/officeDocument/2006/relationships/hyperlink" Target="https://www.astrobin.com/xovyk5/" TargetMode="External"/><Relationship Id="rId1334" Type="http://schemas.openxmlformats.org/officeDocument/2006/relationships/hyperlink" Target="https://www.astrobin.com/988q0a/" TargetMode="External"/><Relationship Id="rId1541" Type="http://schemas.openxmlformats.org/officeDocument/2006/relationships/hyperlink" Target="https://www.astrobin.com/uepkvc/" TargetMode="External"/><Relationship Id="rId1779" Type="http://schemas.openxmlformats.org/officeDocument/2006/relationships/hyperlink" Target="https://www.astrobin.com/k2h8vj" TargetMode="External"/><Relationship Id="rId1986" Type="http://schemas.openxmlformats.org/officeDocument/2006/relationships/hyperlink" Target="https://www.astrobin.com/z5a3md" TargetMode="External"/><Relationship Id="rId40" Type="http://schemas.openxmlformats.org/officeDocument/2006/relationships/hyperlink" Target="https://www.astrobin.com/h6aerx" TargetMode="External"/><Relationship Id="rId1401" Type="http://schemas.openxmlformats.org/officeDocument/2006/relationships/hyperlink" Target="https://www.astrobin.com/cpvypo/" TargetMode="External"/><Relationship Id="rId1639" Type="http://schemas.openxmlformats.org/officeDocument/2006/relationships/hyperlink" Target="https://www.astrobin.com/hwvw3e/" TargetMode="External"/><Relationship Id="rId1846" Type="http://schemas.openxmlformats.org/officeDocument/2006/relationships/hyperlink" Target="https://www.astrobin.com/rko69l" TargetMode="External"/><Relationship Id="rId1706" Type="http://schemas.openxmlformats.org/officeDocument/2006/relationships/hyperlink" Target="https://app.astrobin.com/i/8zu2fi" TargetMode="External"/><Relationship Id="rId1913" Type="http://schemas.openxmlformats.org/officeDocument/2006/relationships/hyperlink" Target="https://www.astrobin.com/tqn2z3" TargetMode="External"/><Relationship Id="rId287" Type="http://schemas.openxmlformats.org/officeDocument/2006/relationships/hyperlink" Target="https://www.astrobin.com/360528/" TargetMode="External"/><Relationship Id="rId494" Type="http://schemas.openxmlformats.org/officeDocument/2006/relationships/hyperlink" Target="https://www.astrobin.com/fo73gb/" TargetMode="External"/><Relationship Id="rId2175" Type="http://schemas.openxmlformats.org/officeDocument/2006/relationships/hyperlink" Target="https://www.astrobin.com/qv12zs" TargetMode="External"/><Relationship Id="rId2382" Type="http://schemas.openxmlformats.org/officeDocument/2006/relationships/hyperlink" Target="https://www.astrobin.com/b1c5ec" TargetMode="External"/><Relationship Id="rId147" Type="http://schemas.openxmlformats.org/officeDocument/2006/relationships/hyperlink" Target="https://www.astrobin.com/317324/" TargetMode="External"/><Relationship Id="rId354" Type="http://schemas.openxmlformats.org/officeDocument/2006/relationships/hyperlink" Target="https://www.astrobin.com/394018/" TargetMode="External"/><Relationship Id="rId799" Type="http://schemas.openxmlformats.org/officeDocument/2006/relationships/hyperlink" Target="https://www.astrobin.com/tqbhpe/" TargetMode="External"/><Relationship Id="rId1191" Type="http://schemas.openxmlformats.org/officeDocument/2006/relationships/hyperlink" Target="https://www.astrobin.com/ymov8a/" TargetMode="External"/><Relationship Id="rId2035" Type="http://schemas.openxmlformats.org/officeDocument/2006/relationships/hyperlink" Target="https://www.astrobin.com/i5yeca" TargetMode="External"/><Relationship Id="rId561" Type="http://schemas.openxmlformats.org/officeDocument/2006/relationships/hyperlink" Target="https://www.astrobin.com/193udk/" TargetMode="External"/><Relationship Id="rId659" Type="http://schemas.openxmlformats.org/officeDocument/2006/relationships/hyperlink" Target="https://www.astrobin.com/2ocsi7/" TargetMode="External"/><Relationship Id="rId866" Type="http://schemas.openxmlformats.org/officeDocument/2006/relationships/hyperlink" Target="https://www.astrobin.com/huezfk" TargetMode="External"/><Relationship Id="rId1289" Type="http://schemas.openxmlformats.org/officeDocument/2006/relationships/hyperlink" Target="https://www.astrobin.com/ke0fih/" TargetMode="External"/><Relationship Id="rId1496" Type="http://schemas.openxmlformats.org/officeDocument/2006/relationships/hyperlink" Target="https://www.astrobin.com/ouk3mm/" TargetMode="External"/><Relationship Id="rId2242" Type="http://schemas.openxmlformats.org/officeDocument/2006/relationships/hyperlink" Target="https://www.astrobin.com/ew5b1a" TargetMode="External"/><Relationship Id="rId2547" Type="http://schemas.openxmlformats.org/officeDocument/2006/relationships/hyperlink" Target="https://app.astrobin.com/i/vjcxzg" TargetMode="External"/><Relationship Id="rId214" Type="http://schemas.openxmlformats.org/officeDocument/2006/relationships/hyperlink" Target="https://www.astrobin.com/337246/" TargetMode="External"/><Relationship Id="rId421" Type="http://schemas.openxmlformats.org/officeDocument/2006/relationships/hyperlink" Target="https://www.astrobin.com/416650/" TargetMode="External"/><Relationship Id="rId519" Type="http://schemas.openxmlformats.org/officeDocument/2006/relationships/hyperlink" Target="https://www.astrobin.com/hnfaij/" TargetMode="External"/><Relationship Id="rId1051" Type="http://schemas.openxmlformats.org/officeDocument/2006/relationships/hyperlink" Target="https://www.astrobin.com/lrk3d5/" TargetMode="External"/><Relationship Id="rId1149" Type="http://schemas.openxmlformats.org/officeDocument/2006/relationships/hyperlink" Target="https://www.astrobin.com/9znwbx/" TargetMode="External"/><Relationship Id="rId1356" Type="http://schemas.openxmlformats.org/officeDocument/2006/relationships/hyperlink" Target="https://www.astrobin.com/fponjr/" TargetMode="External"/><Relationship Id="rId2102" Type="http://schemas.openxmlformats.org/officeDocument/2006/relationships/hyperlink" Target="https://www.astrobin.com/ugk4mi/" TargetMode="External"/><Relationship Id="rId726" Type="http://schemas.openxmlformats.org/officeDocument/2006/relationships/hyperlink" Target="https://www.astrobin.com/xer01d/" TargetMode="External"/><Relationship Id="rId933" Type="http://schemas.openxmlformats.org/officeDocument/2006/relationships/hyperlink" Target="https://www.astrobin.com/e9aju1/" TargetMode="External"/><Relationship Id="rId1009" Type="http://schemas.openxmlformats.org/officeDocument/2006/relationships/hyperlink" Target="https://www.astrobin.com/4gndyx/" TargetMode="External"/><Relationship Id="rId1563" Type="http://schemas.openxmlformats.org/officeDocument/2006/relationships/hyperlink" Target="https://www.astrobin.com/s43mlc/" TargetMode="External"/><Relationship Id="rId1770" Type="http://schemas.openxmlformats.org/officeDocument/2006/relationships/hyperlink" Target="https://www.astrobin.com/359035/" TargetMode="External"/><Relationship Id="rId1868" Type="http://schemas.openxmlformats.org/officeDocument/2006/relationships/hyperlink" Target="https://www.astrobin.com/91fd6s" TargetMode="External"/><Relationship Id="rId2407" Type="http://schemas.openxmlformats.org/officeDocument/2006/relationships/hyperlink" Target="https://www.astrobin.com/e470st" TargetMode="External"/><Relationship Id="rId2614" Type="http://schemas.openxmlformats.org/officeDocument/2006/relationships/hyperlink" Target="https://app.astrobin.com/i/irgi8c" TargetMode="External"/><Relationship Id="rId62" Type="http://schemas.openxmlformats.org/officeDocument/2006/relationships/hyperlink" Target="https://www.astrobin.com/6qlj1j" TargetMode="External"/><Relationship Id="rId1216" Type="http://schemas.openxmlformats.org/officeDocument/2006/relationships/hyperlink" Target="https://www.astrobin.com/t8hpkr/" TargetMode="External"/><Relationship Id="rId1423" Type="http://schemas.openxmlformats.org/officeDocument/2006/relationships/hyperlink" Target="https://www.astrobin.com/572bqy/" TargetMode="External"/><Relationship Id="rId1630" Type="http://schemas.openxmlformats.org/officeDocument/2006/relationships/hyperlink" Target="https://www.astrobin.com/frja6s/" TargetMode="External"/><Relationship Id="rId1728" Type="http://schemas.openxmlformats.org/officeDocument/2006/relationships/hyperlink" Target="https://www.astrobin.com/jsibiz/" TargetMode="External"/><Relationship Id="rId1935" Type="http://schemas.openxmlformats.org/officeDocument/2006/relationships/hyperlink" Target="https://www.astrobin.com/9pdgme" TargetMode="External"/><Relationship Id="rId2197" Type="http://schemas.openxmlformats.org/officeDocument/2006/relationships/hyperlink" Target="https://www.astrobin.com/9d0guv/" TargetMode="External"/><Relationship Id="rId169" Type="http://schemas.openxmlformats.org/officeDocument/2006/relationships/hyperlink" Target="https://www.astrobin.com/326466/" TargetMode="External"/><Relationship Id="rId376" Type="http://schemas.openxmlformats.org/officeDocument/2006/relationships/hyperlink" Target="https://app.astrobin.com/i/pukhir" TargetMode="External"/><Relationship Id="rId583" Type="http://schemas.openxmlformats.org/officeDocument/2006/relationships/hyperlink" Target="https://www.astrobin.com/9q95c2/" TargetMode="External"/><Relationship Id="rId790" Type="http://schemas.openxmlformats.org/officeDocument/2006/relationships/hyperlink" Target="https://www.astrobin.com/q2wiyi/" TargetMode="External"/><Relationship Id="rId2057" Type="http://schemas.openxmlformats.org/officeDocument/2006/relationships/hyperlink" Target="https://www.astrobin.com/coll9o/" TargetMode="External"/><Relationship Id="rId2264" Type="http://schemas.openxmlformats.org/officeDocument/2006/relationships/hyperlink" Target="https://www.astrobin.com/2i9wpb/" TargetMode="External"/><Relationship Id="rId2471" Type="http://schemas.openxmlformats.org/officeDocument/2006/relationships/hyperlink" Target="https://app.astrobin.com/i/s2cea1" TargetMode="External"/><Relationship Id="rId4" Type="http://schemas.openxmlformats.org/officeDocument/2006/relationships/hyperlink" Target="https://www.astrobin.com/401919/" TargetMode="External"/><Relationship Id="rId236" Type="http://schemas.openxmlformats.org/officeDocument/2006/relationships/hyperlink" Target="https://www.astrobin.com/u4q64r" TargetMode="External"/><Relationship Id="rId443" Type="http://schemas.openxmlformats.org/officeDocument/2006/relationships/hyperlink" Target="https://www.astrobin.com/ru43yb" TargetMode="External"/><Relationship Id="rId650" Type="http://schemas.openxmlformats.org/officeDocument/2006/relationships/hyperlink" Target="https://www.astrobin.com/g20573/" TargetMode="External"/><Relationship Id="rId888" Type="http://schemas.openxmlformats.org/officeDocument/2006/relationships/hyperlink" Target="https://www.astrobin.com/ey02rj" TargetMode="External"/><Relationship Id="rId1073" Type="http://schemas.openxmlformats.org/officeDocument/2006/relationships/hyperlink" Target="https://www.astrobin.com/qnfpu8/" TargetMode="External"/><Relationship Id="rId1280" Type="http://schemas.openxmlformats.org/officeDocument/2006/relationships/hyperlink" Target="https://www.astrobin.com/g77n9e/" TargetMode="External"/><Relationship Id="rId2124" Type="http://schemas.openxmlformats.org/officeDocument/2006/relationships/hyperlink" Target="https://www.astrobin.com/t1g8cx/" TargetMode="External"/><Relationship Id="rId2331" Type="http://schemas.openxmlformats.org/officeDocument/2006/relationships/hyperlink" Target="https://www.astrobin.com/2efji6" TargetMode="External"/><Relationship Id="rId2569" Type="http://schemas.openxmlformats.org/officeDocument/2006/relationships/hyperlink" Target="https://app.astrobin.com/i/4q5qgb" TargetMode="External"/><Relationship Id="rId303" Type="http://schemas.openxmlformats.org/officeDocument/2006/relationships/hyperlink" Target="https://www.astrobin.com/371653/" TargetMode="External"/><Relationship Id="rId748" Type="http://schemas.openxmlformats.org/officeDocument/2006/relationships/hyperlink" Target="https://www.astrobin.com/tn3jtc/" TargetMode="External"/><Relationship Id="rId955" Type="http://schemas.openxmlformats.org/officeDocument/2006/relationships/hyperlink" Target="https://app.astrobin.com/i/xuzd95" TargetMode="External"/><Relationship Id="rId1140" Type="http://schemas.openxmlformats.org/officeDocument/2006/relationships/hyperlink" Target="https://www.astrobin.com/nda22f/" TargetMode="External"/><Relationship Id="rId1378" Type="http://schemas.openxmlformats.org/officeDocument/2006/relationships/hyperlink" Target="https://www.astrobin.com/ztn76q/" TargetMode="External"/><Relationship Id="rId1585" Type="http://schemas.openxmlformats.org/officeDocument/2006/relationships/hyperlink" Target="https://www.astrobin.com/8ouvf2/" TargetMode="External"/><Relationship Id="rId1792" Type="http://schemas.openxmlformats.org/officeDocument/2006/relationships/hyperlink" Target="https://www.astrobin.com/nh5se7/" TargetMode="External"/><Relationship Id="rId2429" Type="http://schemas.openxmlformats.org/officeDocument/2006/relationships/hyperlink" Target="https://www.astrobin.com/dcjj0m" TargetMode="External"/><Relationship Id="rId2636" Type="http://schemas.openxmlformats.org/officeDocument/2006/relationships/hyperlink" Target="https://app.astrobin.com/i/4dt6oz" TargetMode="External"/><Relationship Id="rId84" Type="http://schemas.openxmlformats.org/officeDocument/2006/relationships/hyperlink" Target="https://www.astrobin.com/y9cgb8/" TargetMode="External"/><Relationship Id="rId510" Type="http://schemas.openxmlformats.org/officeDocument/2006/relationships/hyperlink" Target="https://www.astrobin.com/felrl5/" TargetMode="External"/><Relationship Id="rId608" Type="http://schemas.openxmlformats.org/officeDocument/2006/relationships/hyperlink" Target="https://www.astrobin.com/q675pr/" TargetMode="External"/><Relationship Id="rId815" Type="http://schemas.openxmlformats.org/officeDocument/2006/relationships/hyperlink" Target="https://www.astrobin.com/oh98vm/" TargetMode="External"/><Relationship Id="rId1238" Type="http://schemas.openxmlformats.org/officeDocument/2006/relationships/hyperlink" Target="https://www.astrobin.com/imo4j3/" TargetMode="External"/><Relationship Id="rId1445" Type="http://schemas.openxmlformats.org/officeDocument/2006/relationships/hyperlink" Target="https://www.astrobin.com/0exi8x/" TargetMode="External"/><Relationship Id="rId1652" Type="http://schemas.openxmlformats.org/officeDocument/2006/relationships/hyperlink" Target="https://www.astrobin.com/06v0ri/" TargetMode="External"/><Relationship Id="rId1000" Type="http://schemas.openxmlformats.org/officeDocument/2006/relationships/hyperlink" Target="https://www.astrobin.com/j2bpbk/" TargetMode="External"/><Relationship Id="rId1305" Type="http://schemas.openxmlformats.org/officeDocument/2006/relationships/hyperlink" Target="https://www.astrobin.com/oe3wh6/" TargetMode="External"/><Relationship Id="rId1957" Type="http://schemas.openxmlformats.org/officeDocument/2006/relationships/hyperlink" Target="https://www.astrobin.com/6gk7lx" TargetMode="External"/><Relationship Id="rId1512" Type="http://schemas.openxmlformats.org/officeDocument/2006/relationships/hyperlink" Target="https://www.astrobin.com/7e8g5b/" TargetMode="External"/><Relationship Id="rId1817" Type="http://schemas.openxmlformats.org/officeDocument/2006/relationships/hyperlink" Target="https://www.astrobin.com/fl1gr7/?nc=collection&amp;nce=1176" TargetMode="External"/><Relationship Id="rId11" Type="http://schemas.openxmlformats.org/officeDocument/2006/relationships/hyperlink" Target="https://www.astrobin.com/382198/" TargetMode="External"/><Relationship Id="rId398" Type="http://schemas.openxmlformats.org/officeDocument/2006/relationships/hyperlink" Target="https://www.astrobin.com/406835/" TargetMode="External"/><Relationship Id="rId2079" Type="http://schemas.openxmlformats.org/officeDocument/2006/relationships/hyperlink" Target="https://www.astrobin.com/7eqo9r/" TargetMode="External"/><Relationship Id="rId160" Type="http://schemas.openxmlformats.org/officeDocument/2006/relationships/hyperlink" Target="https://www.astrobin.com/324817/" TargetMode="External"/><Relationship Id="rId2286" Type="http://schemas.openxmlformats.org/officeDocument/2006/relationships/hyperlink" Target="https://www.astrobin.com/iqw6qx" TargetMode="External"/><Relationship Id="rId2493" Type="http://schemas.openxmlformats.org/officeDocument/2006/relationships/hyperlink" Target="https://app.astrobin.com/i/joj9cz" TargetMode="External"/><Relationship Id="rId258" Type="http://schemas.openxmlformats.org/officeDocument/2006/relationships/hyperlink" Target="https://www.astrobin.com/350878/" TargetMode="External"/><Relationship Id="rId465" Type="http://schemas.openxmlformats.org/officeDocument/2006/relationships/hyperlink" Target="https://app.astrobin.com/i/pbwk0e" TargetMode="External"/><Relationship Id="rId672" Type="http://schemas.openxmlformats.org/officeDocument/2006/relationships/hyperlink" Target="https://www.astrobin.com/ybyctn/" TargetMode="External"/><Relationship Id="rId1095" Type="http://schemas.openxmlformats.org/officeDocument/2006/relationships/hyperlink" Target="https://www.astrobin.com/xrcngd/C/" TargetMode="External"/><Relationship Id="rId2146" Type="http://schemas.openxmlformats.org/officeDocument/2006/relationships/hyperlink" Target="https://www.astrobin.com/cl0hyf/" TargetMode="External"/><Relationship Id="rId2353" Type="http://schemas.openxmlformats.org/officeDocument/2006/relationships/hyperlink" Target="https://www.astrobin.com/kuan16" TargetMode="External"/><Relationship Id="rId2560" Type="http://schemas.openxmlformats.org/officeDocument/2006/relationships/hyperlink" Target="https://app.astrobin.com/i/gaotv5" TargetMode="External"/><Relationship Id="rId118" Type="http://schemas.openxmlformats.org/officeDocument/2006/relationships/hyperlink" Target="https://app.astrobin.com/i/8h6o7p" TargetMode="External"/><Relationship Id="rId325" Type="http://schemas.openxmlformats.org/officeDocument/2006/relationships/hyperlink" Target="https://www.astrobin.com/h19fgw" TargetMode="External"/><Relationship Id="rId532" Type="http://schemas.openxmlformats.org/officeDocument/2006/relationships/hyperlink" Target="https://www.astrobin.com/fsmq8w/" TargetMode="External"/><Relationship Id="rId977" Type="http://schemas.openxmlformats.org/officeDocument/2006/relationships/hyperlink" Target="https://www.astrobin.com/3382r6/" TargetMode="External"/><Relationship Id="rId1162" Type="http://schemas.openxmlformats.org/officeDocument/2006/relationships/hyperlink" Target="https://www.astrobin.com/tdhu1p/" TargetMode="External"/><Relationship Id="rId2006" Type="http://schemas.openxmlformats.org/officeDocument/2006/relationships/hyperlink" Target="https://www.astrobin.com/nwjgnf" TargetMode="External"/><Relationship Id="rId2213" Type="http://schemas.openxmlformats.org/officeDocument/2006/relationships/hyperlink" Target="https://www.astrobin.com/sc5yss/" TargetMode="External"/><Relationship Id="rId2420" Type="http://schemas.openxmlformats.org/officeDocument/2006/relationships/hyperlink" Target="https://www.astrobin.com/w30dvn" TargetMode="External"/><Relationship Id="rId837" Type="http://schemas.openxmlformats.org/officeDocument/2006/relationships/hyperlink" Target="https://www.astrobin.com/facr5i/" TargetMode="External"/><Relationship Id="rId1022" Type="http://schemas.openxmlformats.org/officeDocument/2006/relationships/hyperlink" Target="https://www.astrobin.com/2mwdmp/" TargetMode="External"/><Relationship Id="rId1467" Type="http://schemas.openxmlformats.org/officeDocument/2006/relationships/hyperlink" Target="https://www.astrobin.com/0goolc/" TargetMode="External"/><Relationship Id="rId1674" Type="http://schemas.openxmlformats.org/officeDocument/2006/relationships/hyperlink" Target="https://www.astrobin.com/x5omus/" TargetMode="External"/><Relationship Id="rId1881" Type="http://schemas.openxmlformats.org/officeDocument/2006/relationships/hyperlink" Target="https://www.astrobin.com/aouqfy" TargetMode="External"/><Relationship Id="rId2518" Type="http://schemas.openxmlformats.org/officeDocument/2006/relationships/hyperlink" Target="https://app.astrobin.com/i/x5fiwu" TargetMode="External"/><Relationship Id="rId904" Type="http://schemas.openxmlformats.org/officeDocument/2006/relationships/hyperlink" Target="https://www.astrobin.com/nbtlw0/" TargetMode="External"/><Relationship Id="rId1327" Type="http://schemas.openxmlformats.org/officeDocument/2006/relationships/hyperlink" Target="https://www.astrobin.com/wd8bz5/" TargetMode="External"/><Relationship Id="rId1534" Type="http://schemas.openxmlformats.org/officeDocument/2006/relationships/hyperlink" Target="https://www.astrobin.com/454q2b/" TargetMode="External"/><Relationship Id="rId1741" Type="http://schemas.openxmlformats.org/officeDocument/2006/relationships/hyperlink" Target="https://www.astrobin.com/8u2w10/" TargetMode="External"/><Relationship Id="rId1979" Type="http://schemas.openxmlformats.org/officeDocument/2006/relationships/hyperlink" Target="https://www.astrobin.com/8rdohz" TargetMode="External"/><Relationship Id="rId33" Type="http://schemas.openxmlformats.org/officeDocument/2006/relationships/hyperlink" Target="https://www.astrobin.com/4iwtjv" TargetMode="External"/><Relationship Id="rId1601" Type="http://schemas.openxmlformats.org/officeDocument/2006/relationships/hyperlink" Target="https://www.astrobin.com/fjkdfz/" TargetMode="External"/><Relationship Id="rId1839" Type="http://schemas.openxmlformats.org/officeDocument/2006/relationships/hyperlink" Target="https://www.astrobin.com/7tp3of" TargetMode="External"/><Relationship Id="rId182" Type="http://schemas.openxmlformats.org/officeDocument/2006/relationships/hyperlink" Target="https://www.astrobin.com/2b3pl3" TargetMode="External"/><Relationship Id="rId1906" Type="http://schemas.openxmlformats.org/officeDocument/2006/relationships/hyperlink" Target="https://www.astrobin.com/t6byu2" TargetMode="External"/><Relationship Id="rId487" Type="http://schemas.openxmlformats.org/officeDocument/2006/relationships/hyperlink" Target="https://www.astrobin.com/k7o949/" TargetMode="External"/><Relationship Id="rId694" Type="http://schemas.openxmlformats.org/officeDocument/2006/relationships/hyperlink" Target="https://app.astrobin.com/i/yjir4a" TargetMode="External"/><Relationship Id="rId2070" Type="http://schemas.openxmlformats.org/officeDocument/2006/relationships/hyperlink" Target="https://www.astrobin.com/dw52dl" TargetMode="External"/><Relationship Id="rId2168" Type="http://schemas.openxmlformats.org/officeDocument/2006/relationships/hyperlink" Target="https://www.astrobin.com/gci0au" TargetMode="External"/><Relationship Id="rId2375" Type="http://schemas.openxmlformats.org/officeDocument/2006/relationships/hyperlink" Target="https://www.astrobin.com/6dvad4" TargetMode="External"/><Relationship Id="rId347" Type="http://schemas.openxmlformats.org/officeDocument/2006/relationships/hyperlink" Target="https://www.astrobin.com/390345/" TargetMode="External"/><Relationship Id="rId999" Type="http://schemas.openxmlformats.org/officeDocument/2006/relationships/hyperlink" Target="https://www.astrobin.com/b5im3j/" TargetMode="External"/><Relationship Id="rId1184" Type="http://schemas.openxmlformats.org/officeDocument/2006/relationships/hyperlink" Target="https://www.astrobin.com/54m91s/I/" TargetMode="External"/><Relationship Id="rId2028" Type="http://schemas.openxmlformats.org/officeDocument/2006/relationships/hyperlink" Target="https://www.astrobin.com/qlbuj2" TargetMode="External"/><Relationship Id="rId2582" Type="http://schemas.openxmlformats.org/officeDocument/2006/relationships/hyperlink" Target="https://app.astrobin.com/i/dddl9x" TargetMode="External"/><Relationship Id="rId554" Type="http://schemas.openxmlformats.org/officeDocument/2006/relationships/hyperlink" Target="https://www.astrobin.com/xec4ba/" TargetMode="External"/><Relationship Id="rId761" Type="http://schemas.openxmlformats.org/officeDocument/2006/relationships/hyperlink" Target="https://www.astrobin.com/medktn/" TargetMode="External"/><Relationship Id="rId859" Type="http://schemas.openxmlformats.org/officeDocument/2006/relationships/hyperlink" Target="https://www.astrobin.com/3a92ad/" TargetMode="External"/><Relationship Id="rId1391" Type="http://schemas.openxmlformats.org/officeDocument/2006/relationships/hyperlink" Target="https://www.astrobin.com/1jkddv/?q=imm%207518" TargetMode="External"/><Relationship Id="rId1489" Type="http://schemas.openxmlformats.org/officeDocument/2006/relationships/hyperlink" Target="https://www.astrobin.com/gt2hjr/" TargetMode="External"/><Relationship Id="rId1696" Type="http://schemas.openxmlformats.org/officeDocument/2006/relationships/hyperlink" Target="https://www.astrobin.com/1jkddv/?q=imm%207518" TargetMode="External"/><Relationship Id="rId2235" Type="http://schemas.openxmlformats.org/officeDocument/2006/relationships/hyperlink" Target="https://www.astrobin.com/1yikt8" TargetMode="External"/><Relationship Id="rId2442" Type="http://schemas.openxmlformats.org/officeDocument/2006/relationships/hyperlink" Target="https://www.astrobin.com/k0s1rb" TargetMode="External"/><Relationship Id="rId207" Type="http://schemas.openxmlformats.org/officeDocument/2006/relationships/hyperlink" Target="https://www.astrobin.com/2b3pl3" TargetMode="External"/><Relationship Id="rId414" Type="http://schemas.openxmlformats.org/officeDocument/2006/relationships/hyperlink" Target="https://www.astrobin.com/414764/" TargetMode="External"/><Relationship Id="rId621" Type="http://schemas.openxmlformats.org/officeDocument/2006/relationships/hyperlink" Target="https://www.astrobin.com/6q7aj5" TargetMode="External"/><Relationship Id="rId1044" Type="http://schemas.openxmlformats.org/officeDocument/2006/relationships/hyperlink" Target="https://www.astrobin.com/kp7qaa/" TargetMode="External"/><Relationship Id="rId1251" Type="http://schemas.openxmlformats.org/officeDocument/2006/relationships/hyperlink" Target="https://www.astrobin.com/cvnany/" TargetMode="External"/><Relationship Id="rId1349" Type="http://schemas.openxmlformats.org/officeDocument/2006/relationships/hyperlink" Target="https://www.astrobin.com/p08omp/" TargetMode="External"/><Relationship Id="rId2302" Type="http://schemas.openxmlformats.org/officeDocument/2006/relationships/hyperlink" Target="https://www.astrobin.com/esrdae" TargetMode="External"/><Relationship Id="rId719" Type="http://schemas.openxmlformats.org/officeDocument/2006/relationships/hyperlink" Target="https://www.astrobin.com/m8mpcj/" TargetMode="External"/><Relationship Id="rId926" Type="http://schemas.openxmlformats.org/officeDocument/2006/relationships/hyperlink" Target="https://www.astrobin.com/il5lsq/" TargetMode="External"/><Relationship Id="rId1111" Type="http://schemas.openxmlformats.org/officeDocument/2006/relationships/hyperlink" Target="https://www.astrobin.com/hvkfmw/" TargetMode="External"/><Relationship Id="rId1556" Type="http://schemas.openxmlformats.org/officeDocument/2006/relationships/hyperlink" Target="https://www.astrobin.com/8za7xw/" TargetMode="External"/><Relationship Id="rId1763" Type="http://schemas.openxmlformats.org/officeDocument/2006/relationships/hyperlink" Target="https://www.astrobin.com/emilyx/" TargetMode="External"/><Relationship Id="rId1970" Type="http://schemas.openxmlformats.org/officeDocument/2006/relationships/hyperlink" Target="https://www.astrobin.com/bv15xf" TargetMode="External"/><Relationship Id="rId2607" Type="http://schemas.openxmlformats.org/officeDocument/2006/relationships/hyperlink" Target="https://app.astrobin.com/i/rg3lcr" TargetMode="External"/><Relationship Id="rId55" Type="http://schemas.openxmlformats.org/officeDocument/2006/relationships/hyperlink" Target="https://www.astrobin.com/dma52n" TargetMode="External"/><Relationship Id="rId1209" Type="http://schemas.openxmlformats.org/officeDocument/2006/relationships/hyperlink" Target="https://www.astrobin.com/gjotru/E/" TargetMode="External"/><Relationship Id="rId1416" Type="http://schemas.openxmlformats.org/officeDocument/2006/relationships/hyperlink" Target="https://www.astrobin.com/nfkot5/" TargetMode="External"/><Relationship Id="rId1623" Type="http://schemas.openxmlformats.org/officeDocument/2006/relationships/hyperlink" Target="https://www.astrobin.com/crnhyh/" TargetMode="External"/><Relationship Id="rId1830" Type="http://schemas.openxmlformats.org/officeDocument/2006/relationships/hyperlink" Target="https://www.astrobin.com/k92xhr" TargetMode="External"/><Relationship Id="rId1928" Type="http://schemas.openxmlformats.org/officeDocument/2006/relationships/hyperlink" Target="https://www.astrobin.com/qawaeq" TargetMode="External"/><Relationship Id="rId2092" Type="http://schemas.openxmlformats.org/officeDocument/2006/relationships/hyperlink" Target="https://app.astrobin.com/i/rtfqsm" TargetMode="External"/><Relationship Id="rId271" Type="http://schemas.openxmlformats.org/officeDocument/2006/relationships/hyperlink" Target="https://www.astrobin.com/znpgux" TargetMode="External"/><Relationship Id="rId2397" Type="http://schemas.openxmlformats.org/officeDocument/2006/relationships/hyperlink" Target="https://www.astrobin.com/99fe7j" TargetMode="External"/><Relationship Id="rId131" Type="http://schemas.openxmlformats.org/officeDocument/2006/relationships/hyperlink" Target="https://www.astrobin.com/mu2m7h/" TargetMode="External"/><Relationship Id="rId369" Type="http://schemas.openxmlformats.org/officeDocument/2006/relationships/hyperlink" Target="https://www.astrobin.com/s26kmq/" TargetMode="External"/><Relationship Id="rId576" Type="http://schemas.openxmlformats.org/officeDocument/2006/relationships/hyperlink" Target="https://www.astrobin.com/kjidqj/" TargetMode="External"/><Relationship Id="rId783" Type="http://schemas.openxmlformats.org/officeDocument/2006/relationships/hyperlink" Target="https://www.astrobin.com/529yls/" TargetMode="External"/><Relationship Id="rId990" Type="http://schemas.openxmlformats.org/officeDocument/2006/relationships/hyperlink" Target="https://www.astrobin.com/tpbn90" TargetMode="External"/><Relationship Id="rId2257" Type="http://schemas.openxmlformats.org/officeDocument/2006/relationships/hyperlink" Target="https://www.astrobin.com/drxd5v" TargetMode="External"/><Relationship Id="rId2464" Type="http://schemas.openxmlformats.org/officeDocument/2006/relationships/hyperlink" Target="https://www.astrobin.com/302847" TargetMode="External"/><Relationship Id="rId229" Type="http://schemas.openxmlformats.org/officeDocument/2006/relationships/hyperlink" Target="https://app.astrobin.com/i/moa4jb" TargetMode="External"/><Relationship Id="rId436" Type="http://schemas.openxmlformats.org/officeDocument/2006/relationships/hyperlink" Target="https://www.astrobin.com/wmofwu" TargetMode="External"/><Relationship Id="rId643" Type="http://schemas.openxmlformats.org/officeDocument/2006/relationships/hyperlink" Target="https://www.astrobin.com/qcfqo7/" TargetMode="External"/><Relationship Id="rId1066" Type="http://schemas.openxmlformats.org/officeDocument/2006/relationships/hyperlink" Target="https://www.astrobin.com/l5bca8/" TargetMode="External"/><Relationship Id="rId1273" Type="http://schemas.openxmlformats.org/officeDocument/2006/relationships/hyperlink" Target="https://www.astrobin.com/j505wm/" TargetMode="External"/><Relationship Id="rId1480" Type="http://schemas.openxmlformats.org/officeDocument/2006/relationships/hyperlink" Target="https://www.astrobin.com/jfg2l2/" TargetMode="External"/><Relationship Id="rId2117" Type="http://schemas.openxmlformats.org/officeDocument/2006/relationships/hyperlink" Target="https://www.astrobin.com/5qr96m/" TargetMode="External"/><Relationship Id="rId2324" Type="http://schemas.openxmlformats.org/officeDocument/2006/relationships/hyperlink" Target="https://www.astrobin.com/z5ebg1/" TargetMode="External"/><Relationship Id="rId850" Type="http://schemas.openxmlformats.org/officeDocument/2006/relationships/hyperlink" Target="https://www.astrobin.com/oqycbm" TargetMode="External"/><Relationship Id="rId948" Type="http://schemas.openxmlformats.org/officeDocument/2006/relationships/hyperlink" Target="https://www.astrobin.com/mavzv5/" TargetMode="External"/><Relationship Id="rId1133" Type="http://schemas.openxmlformats.org/officeDocument/2006/relationships/hyperlink" Target="https://www.astrobin.com/021jo3/" TargetMode="External"/><Relationship Id="rId1578" Type="http://schemas.openxmlformats.org/officeDocument/2006/relationships/hyperlink" Target="https://www.astrobin.com/xycine/" TargetMode="External"/><Relationship Id="rId1785" Type="http://schemas.openxmlformats.org/officeDocument/2006/relationships/hyperlink" Target="https://www.astrobin.com/044hjk" TargetMode="External"/><Relationship Id="rId1992" Type="http://schemas.openxmlformats.org/officeDocument/2006/relationships/hyperlink" Target="https://www.astrobin.com/x1t1hw" TargetMode="External"/><Relationship Id="rId2531" Type="http://schemas.openxmlformats.org/officeDocument/2006/relationships/hyperlink" Target="https://app.astrobin.com/i/wnj711" TargetMode="External"/><Relationship Id="rId2629" Type="http://schemas.openxmlformats.org/officeDocument/2006/relationships/hyperlink" Target="https://app.astrobin.com/i/rface9" TargetMode="External"/><Relationship Id="rId77" Type="http://schemas.openxmlformats.org/officeDocument/2006/relationships/hyperlink" Target="https://www.astrobin.com/f49aa1" TargetMode="External"/><Relationship Id="rId503" Type="http://schemas.openxmlformats.org/officeDocument/2006/relationships/hyperlink" Target="https://www.astrobin.com/h0yrwz/" TargetMode="External"/><Relationship Id="rId710" Type="http://schemas.openxmlformats.org/officeDocument/2006/relationships/hyperlink" Target="https://www.astrobin.com/1antff/" TargetMode="External"/><Relationship Id="rId808" Type="http://schemas.openxmlformats.org/officeDocument/2006/relationships/hyperlink" Target="https://www.astrobin.com/zz0rk2/" TargetMode="External"/><Relationship Id="rId1340" Type="http://schemas.openxmlformats.org/officeDocument/2006/relationships/hyperlink" Target="https://www.astrobin.com/zdgsxk/" TargetMode="External"/><Relationship Id="rId1438" Type="http://schemas.openxmlformats.org/officeDocument/2006/relationships/hyperlink" Target="https://www.astrobin.com/za8xfo/" TargetMode="External"/><Relationship Id="rId1645" Type="http://schemas.openxmlformats.org/officeDocument/2006/relationships/hyperlink" Target="https://www.astrobin.com/g6avod/" TargetMode="External"/><Relationship Id="rId1200" Type="http://schemas.openxmlformats.org/officeDocument/2006/relationships/hyperlink" Target="https://www.astrobin.com/9okujw/" TargetMode="External"/><Relationship Id="rId1852" Type="http://schemas.openxmlformats.org/officeDocument/2006/relationships/hyperlink" Target="https://www.astrobin.com/tmvcw2" TargetMode="External"/><Relationship Id="rId1505" Type="http://schemas.openxmlformats.org/officeDocument/2006/relationships/hyperlink" Target="https://www.astrobin.com/9h95bb/" TargetMode="External"/><Relationship Id="rId1712" Type="http://schemas.openxmlformats.org/officeDocument/2006/relationships/hyperlink" Target="https://www.astrobin.com/3hsn4i/" TargetMode="External"/><Relationship Id="rId293" Type="http://schemas.openxmlformats.org/officeDocument/2006/relationships/hyperlink" Target="https://www.astrobin.com/358903/" TargetMode="External"/><Relationship Id="rId2181" Type="http://schemas.openxmlformats.org/officeDocument/2006/relationships/hyperlink" Target="https://www.astrobin.com/pr7yaw" TargetMode="External"/><Relationship Id="rId153" Type="http://schemas.openxmlformats.org/officeDocument/2006/relationships/hyperlink" Target="https://www.astrobin.com/9xq540" TargetMode="External"/><Relationship Id="rId360" Type="http://schemas.openxmlformats.org/officeDocument/2006/relationships/hyperlink" Target="https://www.astrobin.com/395886/" TargetMode="External"/><Relationship Id="rId598" Type="http://schemas.openxmlformats.org/officeDocument/2006/relationships/hyperlink" Target="https://app.astrobin.com/i/6z93t5" TargetMode="External"/><Relationship Id="rId2041" Type="http://schemas.openxmlformats.org/officeDocument/2006/relationships/hyperlink" Target="https://www.astrobin.com/13twex" TargetMode="External"/><Relationship Id="rId2279" Type="http://schemas.openxmlformats.org/officeDocument/2006/relationships/hyperlink" Target="https://www.astrobin.com/1611ni/" TargetMode="External"/><Relationship Id="rId2486" Type="http://schemas.openxmlformats.org/officeDocument/2006/relationships/hyperlink" Target="https://app.astrobin.com/i/rwj3go" TargetMode="External"/><Relationship Id="rId220" Type="http://schemas.openxmlformats.org/officeDocument/2006/relationships/hyperlink" Target="https://www.astrobin.com/340403/" TargetMode="External"/><Relationship Id="rId458" Type="http://schemas.openxmlformats.org/officeDocument/2006/relationships/hyperlink" Target="https://app.astrobin.com/i/uaga25" TargetMode="External"/><Relationship Id="rId665" Type="http://schemas.openxmlformats.org/officeDocument/2006/relationships/hyperlink" Target="https://www.astrobin.com/igs2wg/" TargetMode="External"/><Relationship Id="rId872" Type="http://schemas.openxmlformats.org/officeDocument/2006/relationships/hyperlink" Target="https://www.astrobin.com/hg0wbu" TargetMode="External"/><Relationship Id="rId1088" Type="http://schemas.openxmlformats.org/officeDocument/2006/relationships/hyperlink" Target="https://www.astrobin.com/8erc7u/" TargetMode="External"/><Relationship Id="rId1295" Type="http://schemas.openxmlformats.org/officeDocument/2006/relationships/hyperlink" Target="https://www.astrobin.com/7vpgin/" TargetMode="External"/><Relationship Id="rId2139" Type="http://schemas.openxmlformats.org/officeDocument/2006/relationships/hyperlink" Target="https://www.astrobin.com/wmjjl2/" TargetMode="External"/><Relationship Id="rId2346" Type="http://schemas.openxmlformats.org/officeDocument/2006/relationships/hyperlink" Target="https://www.astrobin.com/p3tx0q" TargetMode="External"/><Relationship Id="rId2553" Type="http://schemas.openxmlformats.org/officeDocument/2006/relationships/hyperlink" Target="https://app.astrobin.com/i/9r70pn" TargetMode="External"/><Relationship Id="rId318" Type="http://schemas.openxmlformats.org/officeDocument/2006/relationships/hyperlink" Target="https://app.astrobin.com/i/y4yois" TargetMode="External"/><Relationship Id="rId525" Type="http://schemas.openxmlformats.org/officeDocument/2006/relationships/hyperlink" Target="https://www.astrobin.com/3doeo8/" TargetMode="External"/><Relationship Id="rId732" Type="http://schemas.openxmlformats.org/officeDocument/2006/relationships/hyperlink" Target="https://www.astrobin.com/fmq8fp/" TargetMode="External"/><Relationship Id="rId1155" Type="http://schemas.openxmlformats.org/officeDocument/2006/relationships/hyperlink" Target="https://www.astrobin.com/jjkn0c/" TargetMode="External"/><Relationship Id="rId1362" Type="http://schemas.openxmlformats.org/officeDocument/2006/relationships/hyperlink" Target="https://www.astrobin.com/fsj3oq/" TargetMode="External"/><Relationship Id="rId2206" Type="http://schemas.openxmlformats.org/officeDocument/2006/relationships/hyperlink" Target="https://www.astrobin.com/ambx16" TargetMode="External"/><Relationship Id="rId2413" Type="http://schemas.openxmlformats.org/officeDocument/2006/relationships/hyperlink" Target="https://www.astrobin.com/q4m236" TargetMode="External"/><Relationship Id="rId2620" Type="http://schemas.openxmlformats.org/officeDocument/2006/relationships/hyperlink" Target="https://app.astrobin.com/i/6lxnv9" TargetMode="External"/><Relationship Id="rId99" Type="http://schemas.openxmlformats.org/officeDocument/2006/relationships/hyperlink" Target="https://app.astrobin.com/i/edjiyq" TargetMode="External"/><Relationship Id="rId1015" Type="http://schemas.openxmlformats.org/officeDocument/2006/relationships/hyperlink" Target="https://www.astrobin.com/py6qib/" TargetMode="External"/><Relationship Id="rId1222" Type="http://schemas.openxmlformats.org/officeDocument/2006/relationships/hyperlink" Target="https://www.astrobin.com/g3xfa6/" TargetMode="External"/><Relationship Id="rId1667" Type="http://schemas.openxmlformats.org/officeDocument/2006/relationships/hyperlink" Target="https://www.astrobin.com/88tr29/" TargetMode="External"/><Relationship Id="rId1874" Type="http://schemas.openxmlformats.org/officeDocument/2006/relationships/hyperlink" Target="https://www.astrobin.com/bi4lqr" TargetMode="External"/><Relationship Id="rId1527" Type="http://schemas.openxmlformats.org/officeDocument/2006/relationships/hyperlink" Target="https://www.astrobin.com/90k67i/" TargetMode="External"/><Relationship Id="rId1734" Type="http://schemas.openxmlformats.org/officeDocument/2006/relationships/hyperlink" Target="https://www.astrobin.com/n1bso5/" TargetMode="External"/><Relationship Id="rId1941" Type="http://schemas.openxmlformats.org/officeDocument/2006/relationships/hyperlink" Target="https://www.astrobin.com/6rfhf1" TargetMode="External"/><Relationship Id="rId26" Type="http://schemas.openxmlformats.org/officeDocument/2006/relationships/hyperlink" Target="https://www.astrobin.com/49o7df/" TargetMode="External"/><Relationship Id="rId175" Type="http://schemas.openxmlformats.org/officeDocument/2006/relationships/hyperlink" Target="https://www.astrobin.com/688jx8" TargetMode="External"/><Relationship Id="rId1801" Type="http://schemas.openxmlformats.org/officeDocument/2006/relationships/hyperlink" Target="https://www.astrobin.com/ejgfql/" TargetMode="External"/><Relationship Id="rId382" Type="http://schemas.openxmlformats.org/officeDocument/2006/relationships/hyperlink" Target="https://www.astrobin.com/403462/" TargetMode="External"/><Relationship Id="rId687" Type="http://schemas.openxmlformats.org/officeDocument/2006/relationships/hyperlink" Target="https://www.astrobin.com/ajr46t/" TargetMode="External"/><Relationship Id="rId2063" Type="http://schemas.openxmlformats.org/officeDocument/2006/relationships/hyperlink" Target="https://www.astrobin.com/o8q5w3/?nc=collection&amp;nce=1924" TargetMode="External"/><Relationship Id="rId2270" Type="http://schemas.openxmlformats.org/officeDocument/2006/relationships/hyperlink" Target="https://www.astrobin.com/8pija8/" TargetMode="External"/><Relationship Id="rId2368" Type="http://schemas.openxmlformats.org/officeDocument/2006/relationships/hyperlink" Target="https://www.astrobin.com/0th3b0" TargetMode="External"/><Relationship Id="rId242" Type="http://schemas.openxmlformats.org/officeDocument/2006/relationships/hyperlink" Target="https://www.astrobin.com/e9gzou" TargetMode="External"/><Relationship Id="rId894" Type="http://schemas.openxmlformats.org/officeDocument/2006/relationships/hyperlink" Target="https://www.astrobin.com/4avj72/" TargetMode="External"/><Relationship Id="rId1177" Type="http://schemas.openxmlformats.org/officeDocument/2006/relationships/hyperlink" Target="https://app.astrobin.com/i/zxp2hp" TargetMode="External"/><Relationship Id="rId2130" Type="http://schemas.openxmlformats.org/officeDocument/2006/relationships/hyperlink" Target="https://www.astrobin.com/ds8xuu/" TargetMode="External"/><Relationship Id="rId2575" Type="http://schemas.openxmlformats.org/officeDocument/2006/relationships/hyperlink" Target="https://app.astrobin.com/i/qslr26" TargetMode="External"/><Relationship Id="rId102" Type="http://schemas.openxmlformats.org/officeDocument/2006/relationships/hyperlink" Target="https://app.astrobin.com/i/g7z5i1" TargetMode="External"/><Relationship Id="rId547" Type="http://schemas.openxmlformats.org/officeDocument/2006/relationships/hyperlink" Target="https://www.astrobin.com/qva9ic/" TargetMode="External"/><Relationship Id="rId754" Type="http://schemas.openxmlformats.org/officeDocument/2006/relationships/hyperlink" Target="https://www.astrobin.com/tfu0yk/" TargetMode="External"/><Relationship Id="rId961" Type="http://schemas.openxmlformats.org/officeDocument/2006/relationships/hyperlink" Target="https://www.astrobin.com/z34pdf/" TargetMode="External"/><Relationship Id="rId1384" Type="http://schemas.openxmlformats.org/officeDocument/2006/relationships/hyperlink" Target="https://www.astrobin.com/68pxt9/" TargetMode="External"/><Relationship Id="rId1591" Type="http://schemas.openxmlformats.org/officeDocument/2006/relationships/hyperlink" Target="https://www.astrobin.com/thfbbs/" TargetMode="External"/><Relationship Id="rId1689" Type="http://schemas.openxmlformats.org/officeDocument/2006/relationships/hyperlink" Target="https://www.astrobin.com/ywuhfe/" TargetMode="External"/><Relationship Id="rId2228" Type="http://schemas.openxmlformats.org/officeDocument/2006/relationships/hyperlink" Target="https://www.astrobin.com/ymlzl8" TargetMode="External"/><Relationship Id="rId2435" Type="http://schemas.openxmlformats.org/officeDocument/2006/relationships/hyperlink" Target="https://www.astrobin.com/9jcl8p" TargetMode="External"/><Relationship Id="rId2642" Type="http://schemas.openxmlformats.org/officeDocument/2006/relationships/hyperlink" Target="https://app.astrobin.com/i/se65uu" TargetMode="External"/><Relationship Id="rId90" Type="http://schemas.openxmlformats.org/officeDocument/2006/relationships/hyperlink" Target="https://app.astrobin.com/i/m3i6le" TargetMode="External"/><Relationship Id="rId407" Type="http://schemas.openxmlformats.org/officeDocument/2006/relationships/hyperlink" Target="https://www.astrobin.com/411880/" TargetMode="External"/><Relationship Id="rId614" Type="http://schemas.openxmlformats.org/officeDocument/2006/relationships/hyperlink" Target="https://www.astrobin.com/02pdii/" TargetMode="External"/><Relationship Id="rId821" Type="http://schemas.openxmlformats.org/officeDocument/2006/relationships/hyperlink" Target="https://www.astrobin.com/do3610/" TargetMode="External"/><Relationship Id="rId1037" Type="http://schemas.openxmlformats.org/officeDocument/2006/relationships/hyperlink" Target="https://www.astrobin.com/1yrel1/" TargetMode="External"/><Relationship Id="rId1244" Type="http://schemas.openxmlformats.org/officeDocument/2006/relationships/hyperlink" Target="https://www.astrobin.com/e6wy5o/" TargetMode="External"/><Relationship Id="rId1451" Type="http://schemas.openxmlformats.org/officeDocument/2006/relationships/hyperlink" Target="https://www.astrobin.com/mlcu79/" TargetMode="External"/><Relationship Id="rId1896" Type="http://schemas.openxmlformats.org/officeDocument/2006/relationships/hyperlink" Target="https://www.astrobin.com/8feuwj" TargetMode="External"/><Relationship Id="rId2502" Type="http://schemas.openxmlformats.org/officeDocument/2006/relationships/hyperlink" Target="https://app.astrobin.com/i/70t9x3" TargetMode="External"/><Relationship Id="rId919" Type="http://schemas.openxmlformats.org/officeDocument/2006/relationships/hyperlink" Target="https://www.astrobin.com/08scin/" TargetMode="External"/><Relationship Id="rId1104" Type="http://schemas.openxmlformats.org/officeDocument/2006/relationships/hyperlink" Target="https://www.astrobin.com/7trid9/" TargetMode="External"/><Relationship Id="rId1311" Type="http://schemas.openxmlformats.org/officeDocument/2006/relationships/hyperlink" Target="https://www.astrobin.com/k6o7ww/" TargetMode="External"/><Relationship Id="rId1549" Type="http://schemas.openxmlformats.org/officeDocument/2006/relationships/hyperlink" Target="https://www.astrobin.com/a30psi/" TargetMode="External"/><Relationship Id="rId1756" Type="http://schemas.openxmlformats.org/officeDocument/2006/relationships/hyperlink" Target="https://www.astrobin.com/xscjz8" TargetMode="External"/><Relationship Id="rId1963" Type="http://schemas.openxmlformats.org/officeDocument/2006/relationships/hyperlink" Target="https://www.astrobin.com/cpg0cj" TargetMode="External"/><Relationship Id="rId48" Type="http://schemas.openxmlformats.org/officeDocument/2006/relationships/hyperlink" Target="https://www.astrobin.com/kvs9yl" TargetMode="External"/><Relationship Id="rId1409" Type="http://schemas.openxmlformats.org/officeDocument/2006/relationships/hyperlink" Target="https://www.astrobin.com/j46b8x/" TargetMode="External"/><Relationship Id="rId1616" Type="http://schemas.openxmlformats.org/officeDocument/2006/relationships/hyperlink" Target="https://www.astrobin.com/hx0v9r/" TargetMode="External"/><Relationship Id="rId1823" Type="http://schemas.openxmlformats.org/officeDocument/2006/relationships/hyperlink" Target="https://www.astrobin.com/96h574" TargetMode="External"/><Relationship Id="rId197" Type="http://schemas.openxmlformats.org/officeDocument/2006/relationships/hyperlink" Target="https://www.astrobin.com/331436/" TargetMode="External"/><Relationship Id="rId2085" Type="http://schemas.openxmlformats.org/officeDocument/2006/relationships/hyperlink" Target="https://www.astrobin.com/75ibg4/" TargetMode="External"/><Relationship Id="rId2292" Type="http://schemas.openxmlformats.org/officeDocument/2006/relationships/hyperlink" Target="https://www.astrobin.com/2thrlh" TargetMode="External"/><Relationship Id="rId264" Type="http://schemas.openxmlformats.org/officeDocument/2006/relationships/hyperlink" Target="https://www.astrobin.com/355007/" TargetMode="External"/><Relationship Id="rId471" Type="http://schemas.openxmlformats.org/officeDocument/2006/relationships/hyperlink" Target="https://www.astrobin.com/50e5ya/" TargetMode="External"/><Relationship Id="rId2152" Type="http://schemas.openxmlformats.org/officeDocument/2006/relationships/hyperlink" Target="https://www.astrobin.com/313655/" TargetMode="External"/><Relationship Id="rId2597" Type="http://schemas.openxmlformats.org/officeDocument/2006/relationships/hyperlink" Target="https://app.astrobin.com/i/2p8t10" TargetMode="External"/><Relationship Id="rId124" Type="http://schemas.openxmlformats.org/officeDocument/2006/relationships/hyperlink" Target="https://www.astrobin.com/6f8kc4" TargetMode="External"/><Relationship Id="rId569" Type="http://schemas.openxmlformats.org/officeDocument/2006/relationships/hyperlink" Target="https://www.astrobin.com/cvr274" TargetMode="External"/><Relationship Id="rId776" Type="http://schemas.openxmlformats.org/officeDocument/2006/relationships/hyperlink" Target="https://www.astrobin.com/oas5my/" TargetMode="External"/><Relationship Id="rId983" Type="http://schemas.openxmlformats.org/officeDocument/2006/relationships/hyperlink" Target="https://www.astrobin.com/pxkutr/" TargetMode="External"/><Relationship Id="rId1199" Type="http://schemas.openxmlformats.org/officeDocument/2006/relationships/hyperlink" Target="https://www.astrobin.com/590rkh/" TargetMode="External"/><Relationship Id="rId2457" Type="http://schemas.openxmlformats.org/officeDocument/2006/relationships/hyperlink" Target="https://www.astrobin.com/hlbfhd" TargetMode="External"/><Relationship Id="rId331" Type="http://schemas.openxmlformats.org/officeDocument/2006/relationships/hyperlink" Target="https://www.astrobin.com/f462k7" TargetMode="External"/><Relationship Id="rId429" Type="http://schemas.openxmlformats.org/officeDocument/2006/relationships/hyperlink" Target="https://app.astrobin.com/i/0n1h25" TargetMode="External"/><Relationship Id="rId636" Type="http://schemas.openxmlformats.org/officeDocument/2006/relationships/hyperlink" Target="https://www.astrobin.com/x161k2/" TargetMode="External"/><Relationship Id="rId1059" Type="http://schemas.openxmlformats.org/officeDocument/2006/relationships/hyperlink" Target="https://www.astrobin.com/jjcgpp/" TargetMode="External"/><Relationship Id="rId1266" Type="http://schemas.openxmlformats.org/officeDocument/2006/relationships/hyperlink" Target="https://www.astrobin.com/7exzqw/" TargetMode="External"/><Relationship Id="rId1473" Type="http://schemas.openxmlformats.org/officeDocument/2006/relationships/hyperlink" Target="https://www.astrobin.com/hlfm54/" TargetMode="External"/><Relationship Id="rId2012" Type="http://schemas.openxmlformats.org/officeDocument/2006/relationships/hyperlink" Target="https://www.astrobin.com/8k4s3r" TargetMode="External"/><Relationship Id="rId2317" Type="http://schemas.openxmlformats.org/officeDocument/2006/relationships/hyperlink" Target="https://www.astrobin.com/1d6t3v" TargetMode="External"/><Relationship Id="rId843" Type="http://schemas.openxmlformats.org/officeDocument/2006/relationships/hyperlink" Target="https://www.astrobin.com/xi5och/" TargetMode="External"/><Relationship Id="rId1126" Type="http://schemas.openxmlformats.org/officeDocument/2006/relationships/hyperlink" Target="https://www.astrobin.com/5wbzn4/" TargetMode="External"/><Relationship Id="rId1680" Type="http://schemas.openxmlformats.org/officeDocument/2006/relationships/hyperlink" Target="https://www.astrobin.com/76ep8d/" TargetMode="External"/><Relationship Id="rId1778" Type="http://schemas.openxmlformats.org/officeDocument/2006/relationships/hyperlink" Target="https://www.astrobin.com/v3gsfn" TargetMode="External"/><Relationship Id="rId1985" Type="http://schemas.openxmlformats.org/officeDocument/2006/relationships/hyperlink" Target="https://www.astrobin.com/ikm7nc" TargetMode="External"/><Relationship Id="rId2524" Type="http://schemas.openxmlformats.org/officeDocument/2006/relationships/hyperlink" Target="https://app.astrobin.com/i/a3g1ld" TargetMode="External"/><Relationship Id="rId703" Type="http://schemas.openxmlformats.org/officeDocument/2006/relationships/hyperlink" Target="https://www.astrobin.com/y4a1c0/" TargetMode="External"/><Relationship Id="rId910" Type="http://schemas.openxmlformats.org/officeDocument/2006/relationships/hyperlink" Target="https://www.astrobin.com/7ulax4/" TargetMode="External"/><Relationship Id="rId1333" Type="http://schemas.openxmlformats.org/officeDocument/2006/relationships/hyperlink" Target="https://www.astrobin.com/9ey1x2/" TargetMode="External"/><Relationship Id="rId1540" Type="http://schemas.openxmlformats.org/officeDocument/2006/relationships/hyperlink" Target="https://www.astrobin.com/1gnuzx/" TargetMode="External"/><Relationship Id="rId1638" Type="http://schemas.openxmlformats.org/officeDocument/2006/relationships/hyperlink" Target="https://www.astrobin.com/e8zk0d/" TargetMode="External"/><Relationship Id="rId1400" Type="http://schemas.openxmlformats.org/officeDocument/2006/relationships/hyperlink" Target="https://www.astrobin.com/fm1cuf/" TargetMode="External"/><Relationship Id="rId1845" Type="http://schemas.openxmlformats.org/officeDocument/2006/relationships/hyperlink" Target="https://www.astrobin.com/2jspif" TargetMode="External"/><Relationship Id="rId1705" Type="http://schemas.openxmlformats.org/officeDocument/2006/relationships/hyperlink" Target="https://www.astrobin.com/0i1lvw/" TargetMode="External"/><Relationship Id="rId1912" Type="http://schemas.openxmlformats.org/officeDocument/2006/relationships/hyperlink" Target="https://www.astrobin.com/nv7bp6" TargetMode="External"/><Relationship Id="rId286" Type="http://schemas.openxmlformats.org/officeDocument/2006/relationships/hyperlink" Target="https://www.astrobin.com/57evkc" TargetMode="External"/><Relationship Id="rId493" Type="http://schemas.openxmlformats.org/officeDocument/2006/relationships/hyperlink" Target="https://app.astrobin.com/i/hhlodz" TargetMode="External"/><Relationship Id="rId2174" Type="http://schemas.openxmlformats.org/officeDocument/2006/relationships/hyperlink" Target="https://www.astrobin.com/lfx9pb" TargetMode="External"/><Relationship Id="rId2381" Type="http://schemas.openxmlformats.org/officeDocument/2006/relationships/hyperlink" Target="https://www.astrobin.com/b5eahq" TargetMode="External"/><Relationship Id="rId146" Type="http://schemas.openxmlformats.org/officeDocument/2006/relationships/hyperlink" Target="https://www.astrobin.com/luei3p" TargetMode="External"/><Relationship Id="rId353" Type="http://schemas.openxmlformats.org/officeDocument/2006/relationships/hyperlink" Target="https://www.astrobin.com/393312/" TargetMode="External"/><Relationship Id="rId560" Type="http://schemas.openxmlformats.org/officeDocument/2006/relationships/hyperlink" Target="https://www.astrobin.com/dlnn9v" TargetMode="External"/><Relationship Id="rId798" Type="http://schemas.openxmlformats.org/officeDocument/2006/relationships/hyperlink" Target="https://www.astrobin.com/s3ojpa/" TargetMode="External"/><Relationship Id="rId1190" Type="http://schemas.openxmlformats.org/officeDocument/2006/relationships/hyperlink" Target="https://www.astrobin.com/n3xrbp/" TargetMode="External"/><Relationship Id="rId2034" Type="http://schemas.openxmlformats.org/officeDocument/2006/relationships/hyperlink" Target="https://www.astrobin.com/rwto1z" TargetMode="External"/><Relationship Id="rId2241" Type="http://schemas.openxmlformats.org/officeDocument/2006/relationships/hyperlink" Target="https://www.astrobin.com/6pcoy3" TargetMode="External"/><Relationship Id="rId2479" Type="http://schemas.openxmlformats.org/officeDocument/2006/relationships/hyperlink" Target="https://app.astrobin.com/i/4y7c2l" TargetMode="External"/><Relationship Id="rId213" Type="http://schemas.openxmlformats.org/officeDocument/2006/relationships/hyperlink" Target="https://www.astrobin.com/337185/B/" TargetMode="External"/><Relationship Id="rId420" Type="http://schemas.openxmlformats.org/officeDocument/2006/relationships/hyperlink" Target="https://www.astrobin.com/mjgvu1" TargetMode="External"/><Relationship Id="rId658" Type="http://schemas.openxmlformats.org/officeDocument/2006/relationships/hyperlink" Target="https://www.astrobin.com/vcvy0n/" TargetMode="External"/><Relationship Id="rId865" Type="http://schemas.openxmlformats.org/officeDocument/2006/relationships/hyperlink" Target="https://www.astrobin.com/0rqm4q" TargetMode="External"/><Relationship Id="rId1050" Type="http://schemas.openxmlformats.org/officeDocument/2006/relationships/hyperlink" Target="https://www.astrobin.com/auq6zn/" TargetMode="External"/><Relationship Id="rId1288" Type="http://schemas.openxmlformats.org/officeDocument/2006/relationships/hyperlink" Target="https://www.astrobin.com/zg4uck/" TargetMode="External"/><Relationship Id="rId1495" Type="http://schemas.openxmlformats.org/officeDocument/2006/relationships/hyperlink" Target="https://www.astrobin.com/qe5w6z/" TargetMode="External"/><Relationship Id="rId2101" Type="http://schemas.openxmlformats.org/officeDocument/2006/relationships/hyperlink" Target="https://www.astrobin.com/psi8kr/" TargetMode="External"/><Relationship Id="rId2339" Type="http://schemas.openxmlformats.org/officeDocument/2006/relationships/hyperlink" Target="https://www.astrobin.com/53bte0" TargetMode="External"/><Relationship Id="rId2546" Type="http://schemas.openxmlformats.org/officeDocument/2006/relationships/hyperlink" Target="https://app.astrobin.com/i/zcy5f8" TargetMode="External"/><Relationship Id="rId518" Type="http://schemas.openxmlformats.org/officeDocument/2006/relationships/hyperlink" Target="https://www.astrobin.com/x5omus/" TargetMode="External"/><Relationship Id="rId725" Type="http://schemas.openxmlformats.org/officeDocument/2006/relationships/hyperlink" Target="https://www.astrobin.com/ru3dl9/" TargetMode="External"/><Relationship Id="rId932" Type="http://schemas.openxmlformats.org/officeDocument/2006/relationships/hyperlink" Target="https://www.astrobin.com/qy4xew/" TargetMode="External"/><Relationship Id="rId1148" Type="http://schemas.openxmlformats.org/officeDocument/2006/relationships/hyperlink" Target="https://www.astrobin.com/p3tx0q/" TargetMode="External"/><Relationship Id="rId1355" Type="http://schemas.openxmlformats.org/officeDocument/2006/relationships/hyperlink" Target="https://www.astrobin.com/vpxjzb/" TargetMode="External"/><Relationship Id="rId1562" Type="http://schemas.openxmlformats.org/officeDocument/2006/relationships/hyperlink" Target="https://www.astrobin.com/rdf314" TargetMode="External"/><Relationship Id="rId2406" Type="http://schemas.openxmlformats.org/officeDocument/2006/relationships/hyperlink" Target="https://www.astrobin.com/wv00h5" TargetMode="External"/><Relationship Id="rId2613" Type="http://schemas.openxmlformats.org/officeDocument/2006/relationships/hyperlink" Target="https://app.astrobin.com/i/27i8tc" TargetMode="External"/><Relationship Id="rId1008" Type="http://schemas.openxmlformats.org/officeDocument/2006/relationships/hyperlink" Target="https://www.astrobin.com/or84cu/" TargetMode="External"/><Relationship Id="rId1215" Type="http://schemas.openxmlformats.org/officeDocument/2006/relationships/hyperlink" Target="https://www.astrobin.com/mkaez0/C/" TargetMode="External"/><Relationship Id="rId1422" Type="http://schemas.openxmlformats.org/officeDocument/2006/relationships/hyperlink" Target="https://www.astrobin.com/s7r6ex/" TargetMode="External"/><Relationship Id="rId1867" Type="http://schemas.openxmlformats.org/officeDocument/2006/relationships/hyperlink" Target="https://www.astrobin.com/iagiqz" TargetMode="External"/><Relationship Id="rId61" Type="http://schemas.openxmlformats.org/officeDocument/2006/relationships/hyperlink" Target="https://app.astrobin.com/i/w7th4q" TargetMode="External"/><Relationship Id="rId1727" Type="http://schemas.openxmlformats.org/officeDocument/2006/relationships/hyperlink" Target="https://www.astrobin.com/88tr29/" TargetMode="External"/><Relationship Id="rId1934" Type="http://schemas.openxmlformats.org/officeDocument/2006/relationships/hyperlink" Target="https://www.astrobin.com/ys58ds" TargetMode="External"/><Relationship Id="rId19" Type="http://schemas.openxmlformats.org/officeDocument/2006/relationships/hyperlink" Target="https://www.astrobin.com/380822/" TargetMode="External"/><Relationship Id="rId2196" Type="http://schemas.openxmlformats.org/officeDocument/2006/relationships/hyperlink" Target="https://www.astrobin.com/z0wwh5" TargetMode="External"/><Relationship Id="rId168" Type="http://schemas.openxmlformats.org/officeDocument/2006/relationships/hyperlink" Target="https://www.astrobin.com/2e876r" TargetMode="External"/><Relationship Id="rId375" Type="http://schemas.openxmlformats.org/officeDocument/2006/relationships/hyperlink" Target="https://www.astrobin.com/401770/" TargetMode="External"/><Relationship Id="rId582" Type="http://schemas.openxmlformats.org/officeDocument/2006/relationships/hyperlink" Target="https://www.astrobin.com/dletvp/" TargetMode="External"/><Relationship Id="rId2056" Type="http://schemas.openxmlformats.org/officeDocument/2006/relationships/hyperlink" Target="https://www.astrobin.com/im22gn" TargetMode="External"/><Relationship Id="rId2263" Type="http://schemas.openxmlformats.org/officeDocument/2006/relationships/hyperlink" Target="https://www.astrobin.com/zkg5db/" TargetMode="External"/><Relationship Id="rId2470" Type="http://schemas.openxmlformats.org/officeDocument/2006/relationships/hyperlink" Target="https://www.astrobin.com/py65jk" TargetMode="External"/><Relationship Id="rId3" Type="http://schemas.openxmlformats.org/officeDocument/2006/relationships/hyperlink" Target="https://www.astrobin.com/353880/?q=Imm%206866" TargetMode="External"/><Relationship Id="rId235" Type="http://schemas.openxmlformats.org/officeDocument/2006/relationships/hyperlink" Target="https://www.astrobin.com/344661/" TargetMode="External"/><Relationship Id="rId442" Type="http://schemas.openxmlformats.org/officeDocument/2006/relationships/hyperlink" Target="https://www.astrobin.com/420839/" TargetMode="External"/><Relationship Id="rId887" Type="http://schemas.openxmlformats.org/officeDocument/2006/relationships/hyperlink" Target="https://www.astrobin.com/59v9li/" TargetMode="External"/><Relationship Id="rId1072" Type="http://schemas.openxmlformats.org/officeDocument/2006/relationships/hyperlink" Target="https://www.astrobin.com/jx4xf2/" TargetMode="External"/><Relationship Id="rId2123" Type="http://schemas.openxmlformats.org/officeDocument/2006/relationships/hyperlink" Target="https://www.astrobin.com/k3mfo8/" TargetMode="External"/><Relationship Id="rId2330" Type="http://schemas.openxmlformats.org/officeDocument/2006/relationships/hyperlink" Target="https://www.astrobin.com/opnfej" TargetMode="External"/><Relationship Id="rId2568" Type="http://schemas.openxmlformats.org/officeDocument/2006/relationships/hyperlink" Target="https://app.astrobin.com/i/py1hc8" TargetMode="External"/><Relationship Id="rId302" Type="http://schemas.openxmlformats.org/officeDocument/2006/relationships/hyperlink" Target="https://www.astrobin.com/371653/" TargetMode="External"/><Relationship Id="rId747" Type="http://schemas.openxmlformats.org/officeDocument/2006/relationships/hyperlink" Target="https://www.astrobin.com/tn3jtc/" TargetMode="External"/><Relationship Id="rId954" Type="http://schemas.openxmlformats.org/officeDocument/2006/relationships/hyperlink" Target="https://www.astrobin.com/8tew7u/" TargetMode="External"/><Relationship Id="rId1377" Type="http://schemas.openxmlformats.org/officeDocument/2006/relationships/hyperlink" Target="https://www.astrobin.com/mzj2l4/" TargetMode="External"/><Relationship Id="rId1584" Type="http://schemas.openxmlformats.org/officeDocument/2006/relationships/hyperlink" Target="https://www.astrobin.com/876ojn/" TargetMode="External"/><Relationship Id="rId1791" Type="http://schemas.openxmlformats.org/officeDocument/2006/relationships/hyperlink" Target="https://www.astrobin.com/rs10js" TargetMode="External"/><Relationship Id="rId2428" Type="http://schemas.openxmlformats.org/officeDocument/2006/relationships/hyperlink" Target="https://www.astrobin.com/gvjxwm" TargetMode="External"/><Relationship Id="rId2635" Type="http://schemas.openxmlformats.org/officeDocument/2006/relationships/hyperlink" Target="https://app.astrobin.com/i/bsr9mz" TargetMode="External"/><Relationship Id="rId83" Type="http://schemas.openxmlformats.org/officeDocument/2006/relationships/hyperlink" Target="https://www.astrobin.com/y9cgb8/" TargetMode="External"/><Relationship Id="rId607" Type="http://schemas.openxmlformats.org/officeDocument/2006/relationships/hyperlink" Target="https://www.astrobin.com/82r4m7/" TargetMode="External"/><Relationship Id="rId814" Type="http://schemas.openxmlformats.org/officeDocument/2006/relationships/hyperlink" Target="https://www.astrobin.com/vppcei/" TargetMode="External"/><Relationship Id="rId1237" Type="http://schemas.openxmlformats.org/officeDocument/2006/relationships/hyperlink" Target="https://www.astrobin.com/sf0bpo/" TargetMode="External"/><Relationship Id="rId1444" Type="http://schemas.openxmlformats.org/officeDocument/2006/relationships/hyperlink" Target="https://www.astrobin.com/52ym2u/" TargetMode="External"/><Relationship Id="rId1651" Type="http://schemas.openxmlformats.org/officeDocument/2006/relationships/hyperlink" Target="https://www.astrobin.com/bqmyy6/" TargetMode="External"/><Relationship Id="rId1889" Type="http://schemas.openxmlformats.org/officeDocument/2006/relationships/hyperlink" Target="https://www.astrobin.com/o2qu1y" TargetMode="External"/><Relationship Id="rId1304" Type="http://schemas.openxmlformats.org/officeDocument/2006/relationships/hyperlink" Target="https://www.astrobin.com/3dnhmj/" TargetMode="External"/><Relationship Id="rId1511" Type="http://schemas.openxmlformats.org/officeDocument/2006/relationships/hyperlink" Target="https://www.astrobin.com/uf572j/" TargetMode="External"/><Relationship Id="rId1749" Type="http://schemas.openxmlformats.org/officeDocument/2006/relationships/hyperlink" Target="https://www.astrobin.com/4hbnad/" TargetMode="External"/><Relationship Id="rId1956" Type="http://schemas.openxmlformats.org/officeDocument/2006/relationships/hyperlink" Target="https://www.astrobin.com/7zpntv" TargetMode="External"/><Relationship Id="rId1609" Type="http://schemas.openxmlformats.org/officeDocument/2006/relationships/hyperlink" Target="https://www.astrobin.com/us3xp8/" TargetMode="External"/><Relationship Id="rId1816" Type="http://schemas.openxmlformats.org/officeDocument/2006/relationships/hyperlink" Target="https://www.astrobin.com/ecx66r/" TargetMode="External"/><Relationship Id="rId10" Type="http://schemas.openxmlformats.org/officeDocument/2006/relationships/hyperlink" Target="https://www.astrobin.com/rrjn8e" TargetMode="External"/><Relationship Id="rId397" Type="http://schemas.openxmlformats.org/officeDocument/2006/relationships/hyperlink" Target="https://www.astrobin.com/w1qtvg" TargetMode="External"/><Relationship Id="rId2078" Type="http://schemas.openxmlformats.org/officeDocument/2006/relationships/hyperlink" Target="https://www.astrobin.com/gyw3q0/" TargetMode="External"/><Relationship Id="rId2285" Type="http://schemas.openxmlformats.org/officeDocument/2006/relationships/hyperlink" Target="https://www.astrobin.com/kyn3wf/" TargetMode="External"/><Relationship Id="rId2492" Type="http://schemas.openxmlformats.org/officeDocument/2006/relationships/hyperlink" Target="https://app.astrobin.com/i/joj9cz" TargetMode="External"/><Relationship Id="rId257" Type="http://schemas.openxmlformats.org/officeDocument/2006/relationships/hyperlink" Target="https://www.astrobin.com/350461/" TargetMode="External"/><Relationship Id="rId464" Type="http://schemas.openxmlformats.org/officeDocument/2006/relationships/hyperlink" Target="https://www.astrobin.com/gv2dcx/" TargetMode="External"/><Relationship Id="rId1094" Type="http://schemas.openxmlformats.org/officeDocument/2006/relationships/hyperlink" Target="https://www.astrobin.com/gzr8fd/" TargetMode="External"/><Relationship Id="rId2145" Type="http://schemas.openxmlformats.org/officeDocument/2006/relationships/hyperlink" Target="https://www.astrobin.com/0i04mb/" TargetMode="External"/><Relationship Id="rId117" Type="http://schemas.openxmlformats.org/officeDocument/2006/relationships/hyperlink" Target="https://app.astrobin.com/i/l7qd2w" TargetMode="External"/><Relationship Id="rId671" Type="http://schemas.openxmlformats.org/officeDocument/2006/relationships/hyperlink" Target="https://www.astrobin.com/38feve/" TargetMode="External"/><Relationship Id="rId769" Type="http://schemas.openxmlformats.org/officeDocument/2006/relationships/hyperlink" Target="https://www.astrobin.com/78ooag/" TargetMode="External"/><Relationship Id="rId976" Type="http://schemas.openxmlformats.org/officeDocument/2006/relationships/hyperlink" Target="https://www.astrobin.com/tbxgdc/" TargetMode="External"/><Relationship Id="rId1399" Type="http://schemas.openxmlformats.org/officeDocument/2006/relationships/hyperlink" Target="https://www.astrobin.com/30vkye/" TargetMode="External"/><Relationship Id="rId2352" Type="http://schemas.openxmlformats.org/officeDocument/2006/relationships/hyperlink" Target="https://www.astrobin.com/pic9tp" TargetMode="External"/><Relationship Id="rId324" Type="http://schemas.openxmlformats.org/officeDocument/2006/relationships/hyperlink" Target="https://www.astrobin.com/3hkpuo" TargetMode="External"/><Relationship Id="rId531" Type="http://schemas.openxmlformats.org/officeDocument/2006/relationships/hyperlink" Target="https://www.astrobin.com/tyb113/" TargetMode="External"/><Relationship Id="rId629" Type="http://schemas.openxmlformats.org/officeDocument/2006/relationships/hyperlink" Target="https://www.astrobin.com/9zjead/" TargetMode="External"/><Relationship Id="rId1161" Type="http://schemas.openxmlformats.org/officeDocument/2006/relationships/hyperlink" Target="https://www.astrobin.com/rzkaej" TargetMode="External"/><Relationship Id="rId1259" Type="http://schemas.openxmlformats.org/officeDocument/2006/relationships/hyperlink" Target="https://www.astrobin.com/ytwmml/" TargetMode="External"/><Relationship Id="rId1466" Type="http://schemas.openxmlformats.org/officeDocument/2006/relationships/hyperlink" Target="https://www.astrobin.com/xsozbe/" TargetMode="External"/><Relationship Id="rId2005" Type="http://schemas.openxmlformats.org/officeDocument/2006/relationships/hyperlink" Target="https://www.astrobin.com/xz0fal" TargetMode="External"/><Relationship Id="rId2212" Type="http://schemas.openxmlformats.org/officeDocument/2006/relationships/hyperlink" Target="https://www.astrobin.com/vfv09f" TargetMode="External"/><Relationship Id="rId836" Type="http://schemas.openxmlformats.org/officeDocument/2006/relationships/hyperlink" Target="https://www.astrobin.com/2g21t7/" TargetMode="External"/><Relationship Id="rId1021" Type="http://schemas.openxmlformats.org/officeDocument/2006/relationships/hyperlink" Target="https://www.astrobin.com/wx798x/" TargetMode="External"/><Relationship Id="rId1119" Type="http://schemas.openxmlformats.org/officeDocument/2006/relationships/hyperlink" Target="https://www.astrobin.com/abubuz/" TargetMode="External"/><Relationship Id="rId1673" Type="http://schemas.openxmlformats.org/officeDocument/2006/relationships/hyperlink" Target="https://app.astrobin.com/i/orfb6q" TargetMode="External"/><Relationship Id="rId1880" Type="http://schemas.openxmlformats.org/officeDocument/2006/relationships/hyperlink" Target="https://www.astrobin.com/ljujr8" TargetMode="External"/><Relationship Id="rId1978" Type="http://schemas.openxmlformats.org/officeDocument/2006/relationships/hyperlink" Target="https://www.astrobin.com/k7pot2" TargetMode="External"/><Relationship Id="rId2517" Type="http://schemas.openxmlformats.org/officeDocument/2006/relationships/hyperlink" Target="https://app.astrobin.com/i/nx22vc" TargetMode="External"/><Relationship Id="rId903" Type="http://schemas.openxmlformats.org/officeDocument/2006/relationships/hyperlink" Target="https://www.astrobin.com/ei52a2" TargetMode="External"/><Relationship Id="rId1326" Type="http://schemas.openxmlformats.org/officeDocument/2006/relationships/hyperlink" Target="https://www.astrobin.com/d0xxre/" TargetMode="External"/><Relationship Id="rId1533" Type="http://schemas.openxmlformats.org/officeDocument/2006/relationships/hyperlink" Target="https://www.astrobin.com/ysgqnk/" TargetMode="External"/><Relationship Id="rId1740" Type="http://schemas.openxmlformats.org/officeDocument/2006/relationships/hyperlink" Target="https://www.astrobin.com/fmq8fp/" TargetMode="External"/><Relationship Id="rId32" Type="http://schemas.openxmlformats.org/officeDocument/2006/relationships/hyperlink" Target="https://www.astrobin.com/c4a0m9" TargetMode="External"/><Relationship Id="rId1600" Type="http://schemas.openxmlformats.org/officeDocument/2006/relationships/hyperlink" Target="https://www.astrobin.com/n3nqsk/" TargetMode="External"/><Relationship Id="rId1838" Type="http://schemas.openxmlformats.org/officeDocument/2006/relationships/hyperlink" Target="https://www.astrobin.com/3hyf81" TargetMode="External"/><Relationship Id="rId181" Type="http://schemas.openxmlformats.org/officeDocument/2006/relationships/hyperlink" Target="https://www.astrobin.com/328473/" TargetMode="External"/><Relationship Id="rId1905" Type="http://schemas.openxmlformats.org/officeDocument/2006/relationships/hyperlink" Target="https://www.astrobin.com/hii69t" TargetMode="External"/><Relationship Id="rId279" Type="http://schemas.openxmlformats.org/officeDocument/2006/relationships/hyperlink" Target="https://www.astrobin.com/357070/" TargetMode="External"/><Relationship Id="rId486" Type="http://schemas.openxmlformats.org/officeDocument/2006/relationships/hyperlink" Target="https://www.astrobin.com/ihv0gy/" TargetMode="External"/><Relationship Id="rId693" Type="http://schemas.openxmlformats.org/officeDocument/2006/relationships/hyperlink" Target="https://www.astrobin.com/835u82/" TargetMode="External"/><Relationship Id="rId2167" Type="http://schemas.openxmlformats.org/officeDocument/2006/relationships/hyperlink" Target="https://www.astrobin.com/kykbp5" TargetMode="External"/><Relationship Id="rId2374" Type="http://schemas.openxmlformats.org/officeDocument/2006/relationships/hyperlink" Target="https://www.astrobin.com/f2nfkx" TargetMode="External"/><Relationship Id="rId2581" Type="http://schemas.openxmlformats.org/officeDocument/2006/relationships/hyperlink" Target="https://app.astrobin.com/i/zstx0w" TargetMode="External"/><Relationship Id="rId139" Type="http://schemas.openxmlformats.org/officeDocument/2006/relationships/hyperlink" Target="https://www.astrobin.com/fys6uy/" TargetMode="External"/><Relationship Id="rId346" Type="http://schemas.openxmlformats.org/officeDocument/2006/relationships/hyperlink" Target="https://app.astrobin.com/i/c6szrm" TargetMode="External"/><Relationship Id="rId553" Type="http://schemas.openxmlformats.org/officeDocument/2006/relationships/hyperlink" Target="https://www.astrobin.com/uwc6il/" TargetMode="External"/><Relationship Id="rId760" Type="http://schemas.openxmlformats.org/officeDocument/2006/relationships/hyperlink" Target="https://www.astrobin.com/6923mi/" TargetMode="External"/><Relationship Id="rId998" Type="http://schemas.openxmlformats.org/officeDocument/2006/relationships/hyperlink" Target="https://www.astrobin.com/p6qlfo" TargetMode="External"/><Relationship Id="rId1183" Type="http://schemas.openxmlformats.org/officeDocument/2006/relationships/hyperlink" Target="https://www.astrobin.com/c0t1ob/" TargetMode="External"/><Relationship Id="rId1390" Type="http://schemas.openxmlformats.org/officeDocument/2006/relationships/hyperlink" Target="https://www.astrobin.com/f0wqfk/" TargetMode="External"/><Relationship Id="rId2027" Type="http://schemas.openxmlformats.org/officeDocument/2006/relationships/hyperlink" Target="https://www.astrobin.com/za3b62" TargetMode="External"/><Relationship Id="rId2234" Type="http://schemas.openxmlformats.org/officeDocument/2006/relationships/hyperlink" Target="https://app.astrobin.com/i/53pgex" TargetMode="External"/><Relationship Id="rId2441" Type="http://schemas.openxmlformats.org/officeDocument/2006/relationships/hyperlink" Target="https://www.astrobin.com/91mlgp" TargetMode="External"/><Relationship Id="rId206" Type="http://schemas.openxmlformats.org/officeDocument/2006/relationships/hyperlink" Target="https://www.astrobin.com/bnd2sw" TargetMode="External"/><Relationship Id="rId413" Type="http://schemas.openxmlformats.org/officeDocument/2006/relationships/hyperlink" Target="https://www.astrobin.com/414607/" TargetMode="External"/><Relationship Id="rId858" Type="http://schemas.openxmlformats.org/officeDocument/2006/relationships/hyperlink" Target="https://www.astrobin.com/nh5se7/" TargetMode="External"/><Relationship Id="rId1043" Type="http://schemas.openxmlformats.org/officeDocument/2006/relationships/hyperlink" Target="https://app.astrobin.com/i/xs9x3v" TargetMode="External"/><Relationship Id="rId1488" Type="http://schemas.openxmlformats.org/officeDocument/2006/relationships/hyperlink" Target="https://www.astrobin.com/87yjwm/" TargetMode="External"/><Relationship Id="rId1695" Type="http://schemas.openxmlformats.org/officeDocument/2006/relationships/hyperlink" Target="https://www.astrobin.com/tf6wtk/" TargetMode="External"/><Relationship Id="rId2539" Type="http://schemas.openxmlformats.org/officeDocument/2006/relationships/hyperlink" Target="https://app.astrobin.com/i/is15g2" TargetMode="External"/><Relationship Id="rId620" Type="http://schemas.openxmlformats.org/officeDocument/2006/relationships/hyperlink" Target="https://app.astrobin.com/i/3e3gik" TargetMode="External"/><Relationship Id="rId718" Type="http://schemas.openxmlformats.org/officeDocument/2006/relationships/hyperlink" Target="https://www.astrobin.com/hkcd3d/" TargetMode="External"/><Relationship Id="rId925" Type="http://schemas.openxmlformats.org/officeDocument/2006/relationships/hyperlink" Target="https://www.astrobin.com/0bkcdw/" TargetMode="External"/><Relationship Id="rId1250" Type="http://schemas.openxmlformats.org/officeDocument/2006/relationships/hyperlink" Target="https://www.astrobin.com/zs437o/" TargetMode="External"/><Relationship Id="rId1348" Type="http://schemas.openxmlformats.org/officeDocument/2006/relationships/hyperlink" Target="https://app.astrobin.com/i/gkzdce" TargetMode="External"/><Relationship Id="rId1555" Type="http://schemas.openxmlformats.org/officeDocument/2006/relationships/hyperlink" Target="https://www.astrobin.com/oh30j9/" TargetMode="External"/><Relationship Id="rId1762" Type="http://schemas.openxmlformats.org/officeDocument/2006/relationships/hyperlink" Target="https://www.astrobin.com/zdgsxk/" TargetMode="External"/><Relationship Id="rId2301" Type="http://schemas.openxmlformats.org/officeDocument/2006/relationships/hyperlink" Target="https://www.astrobin.com/7rlfw6" TargetMode="External"/><Relationship Id="rId2606" Type="http://schemas.openxmlformats.org/officeDocument/2006/relationships/hyperlink" Target="https://app.astrobin.com/i/gmfw8v" TargetMode="External"/><Relationship Id="rId1110" Type="http://schemas.openxmlformats.org/officeDocument/2006/relationships/hyperlink" Target="https://www.astrobin.com/sti360/" TargetMode="External"/><Relationship Id="rId1208" Type="http://schemas.openxmlformats.org/officeDocument/2006/relationships/hyperlink" Target="https://www.astrobin.com/pe5wwb/" TargetMode="External"/><Relationship Id="rId1415" Type="http://schemas.openxmlformats.org/officeDocument/2006/relationships/hyperlink" Target="https://www.astrobin.com/015zfd/" TargetMode="External"/><Relationship Id="rId54" Type="http://schemas.openxmlformats.org/officeDocument/2006/relationships/hyperlink" Target="https://www.astrobin.com/y88qxx/" TargetMode="External"/><Relationship Id="rId1622" Type="http://schemas.openxmlformats.org/officeDocument/2006/relationships/hyperlink" Target="https://www.astrobin.com/7m2jnj/" TargetMode="External"/><Relationship Id="rId1927" Type="http://schemas.openxmlformats.org/officeDocument/2006/relationships/hyperlink" Target="https://www.astrobin.com/wo5qqr" TargetMode="External"/><Relationship Id="rId2091" Type="http://schemas.openxmlformats.org/officeDocument/2006/relationships/hyperlink" Target="https://www.astrobin.com/q1uplk/" TargetMode="External"/><Relationship Id="rId2189" Type="http://schemas.openxmlformats.org/officeDocument/2006/relationships/hyperlink" Target="https://app.astrobin.com/i/w03hl0" TargetMode="External"/><Relationship Id="rId270" Type="http://schemas.openxmlformats.org/officeDocument/2006/relationships/hyperlink" Target="https://www.astrobin.com/356181/" TargetMode="External"/><Relationship Id="rId2396" Type="http://schemas.openxmlformats.org/officeDocument/2006/relationships/hyperlink" Target="https://www.astrobin.com/2v5bvh" TargetMode="External"/><Relationship Id="rId130" Type="http://schemas.openxmlformats.org/officeDocument/2006/relationships/hyperlink" Target="https://www.astrobin.com/313045/" TargetMode="External"/><Relationship Id="rId368" Type="http://schemas.openxmlformats.org/officeDocument/2006/relationships/hyperlink" Target="https://app.astrobin.com/i/37xo1d" TargetMode="External"/><Relationship Id="rId575" Type="http://schemas.openxmlformats.org/officeDocument/2006/relationships/hyperlink" Target="https://www.astrobin.com/uj95ry/" TargetMode="External"/><Relationship Id="rId782" Type="http://schemas.openxmlformats.org/officeDocument/2006/relationships/hyperlink" Target="https://www.astrobin.com/l6nsqk/" TargetMode="External"/><Relationship Id="rId2049" Type="http://schemas.openxmlformats.org/officeDocument/2006/relationships/hyperlink" Target="https://www.astrobin.com/cjvtxv" TargetMode="External"/><Relationship Id="rId2256" Type="http://schemas.openxmlformats.org/officeDocument/2006/relationships/hyperlink" Target="https://www.astrobin.com/drxd5v" TargetMode="External"/><Relationship Id="rId2463" Type="http://schemas.openxmlformats.org/officeDocument/2006/relationships/hyperlink" Target="https://www.astrobin.com/xjille" TargetMode="External"/><Relationship Id="rId228" Type="http://schemas.openxmlformats.org/officeDocument/2006/relationships/hyperlink" Target="https://www.astrobin.com/341639/" TargetMode="External"/><Relationship Id="rId435" Type="http://schemas.openxmlformats.org/officeDocument/2006/relationships/hyperlink" Target="https://www.astrobin.com/rypqtq" TargetMode="External"/><Relationship Id="rId642" Type="http://schemas.openxmlformats.org/officeDocument/2006/relationships/hyperlink" Target="https://www.astrobin.com/b26jil/" TargetMode="External"/><Relationship Id="rId1065" Type="http://schemas.openxmlformats.org/officeDocument/2006/relationships/hyperlink" Target="https://www.astrobin.com/55p266/" TargetMode="External"/><Relationship Id="rId1272" Type="http://schemas.openxmlformats.org/officeDocument/2006/relationships/hyperlink" Target="https://www.astrobin.com/u193z5/" TargetMode="External"/><Relationship Id="rId2116" Type="http://schemas.openxmlformats.org/officeDocument/2006/relationships/hyperlink" Target="https://www.astrobin.com/223cnm/" TargetMode="External"/><Relationship Id="rId2323" Type="http://schemas.openxmlformats.org/officeDocument/2006/relationships/hyperlink" Target="https://app.astrobin.com/i/p458pz" TargetMode="External"/><Relationship Id="rId2530" Type="http://schemas.openxmlformats.org/officeDocument/2006/relationships/hyperlink" Target="https://app.astrobin.com/i/tvg6m5" TargetMode="External"/><Relationship Id="rId502" Type="http://schemas.openxmlformats.org/officeDocument/2006/relationships/hyperlink" Target="https://www.astrobin.com/d2swl4/" TargetMode="External"/><Relationship Id="rId947" Type="http://schemas.openxmlformats.org/officeDocument/2006/relationships/hyperlink" Target="https://app.astrobin.com/i/bsvfdp" TargetMode="External"/><Relationship Id="rId1132" Type="http://schemas.openxmlformats.org/officeDocument/2006/relationships/hyperlink" Target="https://www.astrobin.com/0tp08x/" TargetMode="External"/><Relationship Id="rId1577" Type="http://schemas.openxmlformats.org/officeDocument/2006/relationships/hyperlink" Target="https://www.astrobin.com/eof56s/" TargetMode="External"/><Relationship Id="rId1784" Type="http://schemas.openxmlformats.org/officeDocument/2006/relationships/hyperlink" Target="https://www.astrobin.com/40oeua" TargetMode="External"/><Relationship Id="rId1991" Type="http://schemas.openxmlformats.org/officeDocument/2006/relationships/hyperlink" Target="https://www.astrobin.com/bgjvw2" TargetMode="External"/><Relationship Id="rId2628" Type="http://schemas.openxmlformats.org/officeDocument/2006/relationships/hyperlink" Target="https://app.astrobin.com/i/tue67n" TargetMode="External"/><Relationship Id="rId76" Type="http://schemas.openxmlformats.org/officeDocument/2006/relationships/hyperlink" Target="https://www.astrobin.com/295869/" TargetMode="External"/><Relationship Id="rId807" Type="http://schemas.openxmlformats.org/officeDocument/2006/relationships/hyperlink" Target="https://www.astrobin.com/ng0r4b/" TargetMode="External"/><Relationship Id="rId1437" Type="http://schemas.openxmlformats.org/officeDocument/2006/relationships/hyperlink" Target="https://www.astrobin.com/5ndysg/" TargetMode="External"/><Relationship Id="rId1644" Type="http://schemas.openxmlformats.org/officeDocument/2006/relationships/hyperlink" Target="https://www.astrobin.com/enh2l4/" TargetMode="External"/><Relationship Id="rId1851" Type="http://schemas.openxmlformats.org/officeDocument/2006/relationships/hyperlink" Target="https://www.astrobin.com/tg7wey" TargetMode="External"/><Relationship Id="rId1504" Type="http://schemas.openxmlformats.org/officeDocument/2006/relationships/hyperlink" Target="https://www.astrobin.com/ufb7vv/" TargetMode="External"/><Relationship Id="rId1711" Type="http://schemas.openxmlformats.org/officeDocument/2006/relationships/hyperlink" Target="https://www.astrobin.com/388226/" TargetMode="External"/><Relationship Id="rId1949" Type="http://schemas.openxmlformats.org/officeDocument/2006/relationships/hyperlink" Target="https://www.astrobin.com/dmsvfr" TargetMode="External"/><Relationship Id="rId292" Type="http://schemas.openxmlformats.org/officeDocument/2006/relationships/hyperlink" Target="https://www.astrobin.com/360209/" TargetMode="External"/><Relationship Id="rId1809" Type="http://schemas.openxmlformats.org/officeDocument/2006/relationships/hyperlink" Target="https://www.astrobin.com/64yx6v/" TargetMode="External"/><Relationship Id="rId597" Type="http://schemas.openxmlformats.org/officeDocument/2006/relationships/hyperlink" Target="https://www.astrobin.com/xhi8ch/" TargetMode="External"/><Relationship Id="rId2180" Type="http://schemas.openxmlformats.org/officeDocument/2006/relationships/hyperlink" Target="https://www.astrobin.com/8orlgv" TargetMode="External"/><Relationship Id="rId2278" Type="http://schemas.openxmlformats.org/officeDocument/2006/relationships/hyperlink" Target="https://www.astrobin.com/mzfj0v/" TargetMode="External"/><Relationship Id="rId2485" Type="http://schemas.openxmlformats.org/officeDocument/2006/relationships/hyperlink" Target="https://app.astrobin.com/i/5vjcm7" TargetMode="External"/><Relationship Id="rId152" Type="http://schemas.openxmlformats.org/officeDocument/2006/relationships/hyperlink" Target="https://www.astrobin.com/ltc6vm" TargetMode="External"/><Relationship Id="rId457" Type="http://schemas.openxmlformats.org/officeDocument/2006/relationships/hyperlink" Target="https://www.astrobin.com/wcxpjm/" TargetMode="External"/><Relationship Id="rId1087" Type="http://schemas.openxmlformats.org/officeDocument/2006/relationships/hyperlink" Target="https://www.astrobin.com/n5y7dh" TargetMode="External"/><Relationship Id="rId1294" Type="http://schemas.openxmlformats.org/officeDocument/2006/relationships/hyperlink" Target="https://www.astrobin.com/nb42p3/" TargetMode="External"/><Relationship Id="rId2040" Type="http://schemas.openxmlformats.org/officeDocument/2006/relationships/hyperlink" Target="https://www.astrobin.com/7rctrx" TargetMode="External"/><Relationship Id="rId2138" Type="http://schemas.openxmlformats.org/officeDocument/2006/relationships/hyperlink" Target="https://www.astrobin.com/wasoiq/" TargetMode="External"/><Relationship Id="rId664" Type="http://schemas.openxmlformats.org/officeDocument/2006/relationships/hyperlink" Target="https://app.astrobin.com/i/86y6n8" TargetMode="External"/><Relationship Id="rId871" Type="http://schemas.openxmlformats.org/officeDocument/2006/relationships/hyperlink" Target="https://app.astrobin.com/i/8cbsda" TargetMode="External"/><Relationship Id="rId969" Type="http://schemas.openxmlformats.org/officeDocument/2006/relationships/hyperlink" Target="https://www.astrobin.com/58vx2u/" TargetMode="External"/><Relationship Id="rId1599" Type="http://schemas.openxmlformats.org/officeDocument/2006/relationships/hyperlink" Target="https://www.astrobin.com/9nsl1z/" TargetMode="External"/><Relationship Id="rId2345" Type="http://schemas.openxmlformats.org/officeDocument/2006/relationships/hyperlink" Target="https://www.astrobin.com/71ka3f" TargetMode="External"/><Relationship Id="rId2552" Type="http://schemas.openxmlformats.org/officeDocument/2006/relationships/hyperlink" Target="https://app.astrobin.com/i/90udjk" TargetMode="External"/><Relationship Id="rId317" Type="http://schemas.openxmlformats.org/officeDocument/2006/relationships/hyperlink" Target="https://www.astrobin.com/747xbn" TargetMode="External"/><Relationship Id="rId524" Type="http://schemas.openxmlformats.org/officeDocument/2006/relationships/hyperlink" Target="https://www.astrobin.com/w6tla4/" TargetMode="External"/><Relationship Id="rId731" Type="http://schemas.openxmlformats.org/officeDocument/2006/relationships/hyperlink" Target="https://www.astrobin.com/u4oqst/" TargetMode="External"/><Relationship Id="rId1154" Type="http://schemas.openxmlformats.org/officeDocument/2006/relationships/hyperlink" Target="https://www.astrobin.com/t8lhej/" TargetMode="External"/><Relationship Id="rId1361" Type="http://schemas.openxmlformats.org/officeDocument/2006/relationships/hyperlink" Target="https://www.astrobin.com/ozbsdj/" TargetMode="External"/><Relationship Id="rId1459" Type="http://schemas.openxmlformats.org/officeDocument/2006/relationships/hyperlink" Target="https://www.astrobin.com/nqm0bx/" TargetMode="External"/><Relationship Id="rId2205" Type="http://schemas.openxmlformats.org/officeDocument/2006/relationships/hyperlink" Target="https://www.astrobin.com/gp5qz9" TargetMode="External"/><Relationship Id="rId2412" Type="http://schemas.openxmlformats.org/officeDocument/2006/relationships/hyperlink" Target="https://www.astrobin.com/el06oc" TargetMode="External"/><Relationship Id="rId98" Type="http://schemas.openxmlformats.org/officeDocument/2006/relationships/hyperlink" Target="https://app.astrobin.com/i/edjiyq" TargetMode="External"/><Relationship Id="rId829" Type="http://schemas.openxmlformats.org/officeDocument/2006/relationships/hyperlink" Target="https://www.astrobin.com/bpt69a/" TargetMode="External"/><Relationship Id="rId1014" Type="http://schemas.openxmlformats.org/officeDocument/2006/relationships/hyperlink" Target="https://app.astrobin.com/i/aiids3" TargetMode="External"/><Relationship Id="rId1221" Type="http://schemas.openxmlformats.org/officeDocument/2006/relationships/hyperlink" Target="https://www.astrobin.com/nikyrx/" TargetMode="External"/><Relationship Id="rId1666" Type="http://schemas.openxmlformats.org/officeDocument/2006/relationships/hyperlink" Target="https://www.astrobin.com/6gaoin/" TargetMode="External"/><Relationship Id="rId1873" Type="http://schemas.openxmlformats.org/officeDocument/2006/relationships/hyperlink" Target="https://www.astrobin.com/bi4lqr" TargetMode="External"/><Relationship Id="rId1319" Type="http://schemas.openxmlformats.org/officeDocument/2006/relationships/hyperlink" Target="https://www.astrobin.com/uyhfew/" TargetMode="External"/><Relationship Id="rId1526" Type="http://schemas.openxmlformats.org/officeDocument/2006/relationships/hyperlink" Target="https://www.astrobin.com/lccgwy/" TargetMode="External"/><Relationship Id="rId1733" Type="http://schemas.openxmlformats.org/officeDocument/2006/relationships/hyperlink" Target="https://www.astrobin.com/u9pwys" TargetMode="External"/><Relationship Id="rId1940" Type="http://schemas.openxmlformats.org/officeDocument/2006/relationships/hyperlink" Target="https://www.astrobin.com/2djf7y" TargetMode="External"/><Relationship Id="rId25" Type="http://schemas.openxmlformats.org/officeDocument/2006/relationships/hyperlink" Target="https://app.astrobin.com/i/2n7nxc" TargetMode="External"/><Relationship Id="rId1800" Type="http://schemas.openxmlformats.org/officeDocument/2006/relationships/hyperlink" Target="https://app.astrobin.com/i/pyawd3" TargetMode="External"/><Relationship Id="rId174" Type="http://schemas.openxmlformats.org/officeDocument/2006/relationships/hyperlink" Target="https://www.astrobin.com/1eadm3" TargetMode="External"/><Relationship Id="rId381" Type="http://schemas.openxmlformats.org/officeDocument/2006/relationships/hyperlink" Target="https://app.astrobin.com/i/p1p2hg" TargetMode="External"/><Relationship Id="rId2062" Type="http://schemas.openxmlformats.org/officeDocument/2006/relationships/hyperlink" Target="https://www.astrobin.com/c4rkdf/?nc=collection&amp;nce=1924" TargetMode="External"/><Relationship Id="rId241" Type="http://schemas.openxmlformats.org/officeDocument/2006/relationships/hyperlink" Target="https://www.astrobin.com/347599/" TargetMode="External"/><Relationship Id="rId479" Type="http://schemas.openxmlformats.org/officeDocument/2006/relationships/hyperlink" Target="https://www.astrobin.com/nvs48t/" TargetMode="External"/><Relationship Id="rId686" Type="http://schemas.openxmlformats.org/officeDocument/2006/relationships/hyperlink" Target="https://app.astrobin.com/i/h23i4t" TargetMode="External"/><Relationship Id="rId893" Type="http://schemas.openxmlformats.org/officeDocument/2006/relationships/hyperlink" Target="https://www.astrobin.com/kc7mrp/" TargetMode="External"/><Relationship Id="rId2367" Type="http://schemas.openxmlformats.org/officeDocument/2006/relationships/hyperlink" Target="https://www.astrobin.com/uwkub8" TargetMode="External"/><Relationship Id="rId2574" Type="http://schemas.openxmlformats.org/officeDocument/2006/relationships/hyperlink" Target="https://app.astrobin.com/i/9wwmdf" TargetMode="External"/><Relationship Id="rId339" Type="http://schemas.openxmlformats.org/officeDocument/2006/relationships/hyperlink" Target="https://www.astrobin.com/387455/" TargetMode="External"/><Relationship Id="rId546" Type="http://schemas.openxmlformats.org/officeDocument/2006/relationships/hyperlink" Target="https://app.astrobin.com/i/9heimd" TargetMode="External"/><Relationship Id="rId753" Type="http://schemas.openxmlformats.org/officeDocument/2006/relationships/hyperlink" Target="https://www.astrobin.com/ko1bjv/" TargetMode="External"/><Relationship Id="rId1176" Type="http://schemas.openxmlformats.org/officeDocument/2006/relationships/hyperlink" Target="https://www.astrobin.com/9ad4sx/" TargetMode="External"/><Relationship Id="rId1383" Type="http://schemas.openxmlformats.org/officeDocument/2006/relationships/hyperlink" Target="https://www.astrobin.com/9bukef" TargetMode="External"/><Relationship Id="rId2227" Type="http://schemas.openxmlformats.org/officeDocument/2006/relationships/hyperlink" Target="https://www.astrobin.com/dqejby" TargetMode="External"/><Relationship Id="rId2434" Type="http://schemas.openxmlformats.org/officeDocument/2006/relationships/hyperlink" Target="https://www.astrobin.com/1yj024" TargetMode="External"/><Relationship Id="rId101" Type="http://schemas.openxmlformats.org/officeDocument/2006/relationships/hyperlink" Target="https://app.astrobin.com/i/wp96xt" TargetMode="External"/><Relationship Id="rId406" Type="http://schemas.openxmlformats.org/officeDocument/2006/relationships/hyperlink" Target="https://www.astrobin.com/411206/" TargetMode="External"/><Relationship Id="rId960" Type="http://schemas.openxmlformats.org/officeDocument/2006/relationships/hyperlink" Target="https://www.astrobin.com/237u1c/" TargetMode="External"/><Relationship Id="rId1036" Type="http://schemas.openxmlformats.org/officeDocument/2006/relationships/hyperlink" Target="https://www.astrobin.com/p3ihns/" TargetMode="External"/><Relationship Id="rId1243" Type="http://schemas.openxmlformats.org/officeDocument/2006/relationships/hyperlink" Target="https://www.astrobin.com/wek7fd/" TargetMode="External"/><Relationship Id="rId1590" Type="http://schemas.openxmlformats.org/officeDocument/2006/relationships/hyperlink" Target="https://app.astrobin.com/i/u4q64r" TargetMode="External"/><Relationship Id="rId1688" Type="http://schemas.openxmlformats.org/officeDocument/2006/relationships/hyperlink" Target="https://www.astrobin.com/2kd86k/" TargetMode="External"/><Relationship Id="rId1895" Type="http://schemas.openxmlformats.org/officeDocument/2006/relationships/hyperlink" Target="https://www.astrobin.com/pombi7" TargetMode="External"/><Relationship Id="rId2641" Type="http://schemas.openxmlformats.org/officeDocument/2006/relationships/hyperlink" Target="https://app.astrobin.com/i/ijfr1v" TargetMode="External"/><Relationship Id="rId613" Type="http://schemas.openxmlformats.org/officeDocument/2006/relationships/hyperlink" Target="https://app.astrobin.com/i/37646y" TargetMode="External"/><Relationship Id="rId820" Type="http://schemas.openxmlformats.org/officeDocument/2006/relationships/hyperlink" Target="https://www.astrobin.com/bam1ax/" TargetMode="External"/><Relationship Id="rId918" Type="http://schemas.openxmlformats.org/officeDocument/2006/relationships/hyperlink" Target="https://www.astrobin.com/d5qcz0/" TargetMode="External"/><Relationship Id="rId1450" Type="http://schemas.openxmlformats.org/officeDocument/2006/relationships/hyperlink" Target="https://www.astrobin.com/6wlvhs/" TargetMode="External"/><Relationship Id="rId1548" Type="http://schemas.openxmlformats.org/officeDocument/2006/relationships/hyperlink" Target="https://www.astrobin.com/8u57kv/" TargetMode="External"/><Relationship Id="rId1755" Type="http://schemas.openxmlformats.org/officeDocument/2006/relationships/hyperlink" Target="https://app.astrobin.com/i/pkh71q" TargetMode="External"/><Relationship Id="rId2501" Type="http://schemas.openxmlformats.org/officeDocument/2006/relationships/hyperlink" Target="https://app.astrobin.com/i/en845d" TargetMode="External"/><Relationship Id="rId1103" Type="http://schemas.openxmlformats.org/officeDocument/2006/relationships/hyperlink" Target="https://www.astrobin.com/h0yljb/" TargetMode="External"/><Relationship Id="rId1310" Type="http://schemas.openxmlformats.org/officeDocument/2006/relationships/hyperlink" Target="https://www.astrobin.com/w15f81/" TargetMode="External"/><Relationship Id="rId1408" Type="http://schemas.openxmlformats.org/officeDocument/2006/relationships/hyperlink" Target="https://www.astrobin.com/58psim/" TargetMode="External"/><Relationship Id="rId1962" Type="http://schemas.openxmlformats.org/officeDocument/2006/relationships/hyperlink" Target="https://www.astrobin.com/5iasw3" TargetMode="External"/><Relationship Id="rId47" Type="http://schemas.openxmlformats.org/officeDocument/2006/relationships/hyperlink" Target="https://www.astrobin.com/pr0fjq" TargetMode="External"/><Relationship Id="rId1615" Type="http://schemas.openxmlformats.org/officeDocument/2006/relationships/hyperlink" Target="https://www.astrobin.com/2dsj18/" TargetMode="External"/><Relationship Id="rId1822" Type="http://schemas.openxmlformats.org/officeDocument/2006/relationships/hyperlink" Target="https://www.astrobin.com/7ddpw9" TargetMode="External"/><Relationship Id="rId196" Type="http://schemas.openxmlformats.org/officeDocument/2006/relationships/hyperlink" Target="https://www.astrobin.com/330749/" TargetMode="External"/><Relationship Id="rId2084" Type="http://schemas.openxmlformats.org/officeDocument/2006/relationships/hyperlink" Target="https://www.astrobin.com/j9mug2/" TargetMode="External"/><Relationship Id="rId2291" Type="http://schemas.openxmlformats.org/officeDocument/2006/relationships/hyperlink" Target="https://www.astrobin.com/3x3srs" TargetMode="External"/><Relationship Id="rId263" Type="http://schemas.openxmlformats.org/officeDocument/2006/relationships/hyperlink" Target="https://www.astrobin.com/pq49gy" TargetMode="External"/><Relationship Id="rId470" Type="http://schemas.openxmlformats.org/officeDocument/2006/relationships/hyperlink" Target="https://app.astrobin.com/i/4z6rgy" TargetMode="External"/><Relationship Id="rId2151" Type="http://schemas.openxmlformats.org/officeDocument/2006/relationships/hyperlink" Target="https://www.astrobin.com/377576/" TargetMode="External"/><Relationship Id="rId2389" Type="http://schemas.openxmlformats.org/officeDocument/2006/relationships/hyperlink" Target="https://www.astrobin.com/9irt9o" TargetMode="External"/><Relationship Id="rId2596" Type="http://schemas.openxmlformats.org/officeDocument/2006/relationships/hyperlink" Target="https://app.astrobin.com/i/r9gjda" TargetMode="External"/><Relationship Id="rId123" Type="http://schemas.openxmlformats.org/officeDocument/2006/relationships/hyperlink" Target="https://app.astrobin.com/i/xftczb" TargetMode="External"/><Relationship Id="rId330" Type="http://schemas.openxmlformats.org/officeDocument/2006/relationships/hyperlink" Target="https://www.astrobin.com/382886/" TargetMode="External"/><Relationship Id="rId568" Type="http://schemas.openxmlformats.org/officeDocument/2006/relationships/hyperlink" Target="https://www.astrobin.com/ht0r3f/" TargetMode="External"/><Relationship Id="rId775" Type="http://schemas.openxmlformats.org/officeDocument/2006/relationships/hyperlink" Target="https://www.astrobin.com/plkpku/" TargetMode="External"/><Relationship Id="rId982" Type="http://schemas.openxmlformats.org/officeDocument/2006/relationships/hyperlink" Target="https://www.astrobin.com/87qnse/" TargetMode="External"/><Relationship Id="rId1198" Type="http://schemas.openxmlformats.org/officeDocument/2006/relationships/hyperlink" Target="https://www.astrobin.com/ps8r0a/" TargetMode="External"/><Relationship Id="rId2011" Type="http://schemas.openxmlformats.org/officeDocument/2006/relationships/hyperlink" Target="https://www.astrobin.com/291o1r" TargetMode="External"/><Relationship Id="rId2249" Type="http://schemas.openxmlformats.org/officeDocument/2006/relationships/hyperlink" Target="https://www.astrobin.com/rau2yl" TargetMode="External"/><Relationship Id="rId2456" Type="http://schemas.openxmlformats.org/officeDocument/2006/relationships/hyperlink" Target="https://www.astrobin.com/9oswb5" TargetMode="External"/><Relationship Id="rId428" Type="http://schemas.openxmlformats.org/officeDocument/2006/relationships/hyperlink" Target="https://www.astrobin.com/417980/" TargetMode="External"/><Relationship Id="rId635" Type="http://schemas.openxmlformats.org/officeDocument/2006/relationships/hyperlink" Target="https://www.astrobin.com/x161k2/" TargetMode="External"/><Relationship Id="rId842" Type="http://schemas.openxmlformats.org/officeDocument/2006/relationships/hyperlink" Target="https://www.astrobin.com/cocyaa" TargetMode="External"/><Relationship Id="rId1058" Type="http://schemas.openxmlformats.org/officeDocument/2006/relationships/hyperlink" Target="https://www.astrobin.com/6vrvle/" TargetMode="External"/><Relationship Id="rId1265" Type="http://schemas.openxmlformats.org/officeDocument/2006/relationships/hyperlink" Target="https://www.astrobin.com/jwfutb/" TargetMode="External"/><Relationship Id="rId1472" Type="http://schemas.openxmlformats.org/officeDocument/2006/relationships/hyperlink" Target="https://www.astrobin.com/jo4c5u/" TargetMode="External"/><Relationship Id="rId2109" Type="http://schemas.openxmlformats.org/officeDocument/2006/relationships/hyperlink" Target="https://app.astrobin.com/i/8j1cvj" TargetMode="External"/><Relationship Id="rId2316" Type="http://schemas.openxmlformats.org/officeDocument/2006/relationships/hyperlink" Target="https://www.astrobin.com/8i5lv5" TargetMode="External"/><Relationship Id="rId2523" Type="http://schemas.openxmlformats.org/officeDocument/2006/relationships/hyperlink" Target="https://app.astrobin.com/i/0j0jps" TargetMode="External"/><Relationship Id="rId702" Type="http://schemas.openxmlformats.org/officeDocument/2006/relationships/hyperlink" Target="https://www.astrobin.com/y4a1c0/" TargetMode="External"/><Relationship Id="rId1125" Type="http://schemas.openxmlformats.org/officeDocument/2006/relationships/hyperlink" Target="https://www.astrobin.com/vqas3y/" TargetMode="External"/><Relationship Id="rId1332" Type="http://schemas.openxmlformats.org/officeDocument/2006/relationships/hyperlink" Target="https://www.astrobin.com/3wykfp/" TargetMode="External"/><Relationship Id="rId1777" Type="http://schemas.openxmlformats.org/officeDocument/2006/relationships/hyperlink" Target="https://www.astrobin.com/sy9d60" TargetMode="External"/><Relationship Id="rId1984" Type="http://schemas.openxmlformats.org/officeDocument/2006/relationships/hyperlink" Target="https://www.astrobin.com/bwagxd" TargetMode="External"/><Relationship Id="rId69" Type="http://schemas.openxmlformats.org/officeDocument/2006/relationships/hyperlink" Target="https://app.astrobin.com/i/xrfo4z" TargetMode="External"/><Relationship Id="rId1637" Type="http://schemas.openxmlformats.org/officeDocument/2006/relationships/hyperlink" Target="https://www.astrobin.com/uzu6oi/" TargetMode="External"/><Relationship Id="rId1844" Type="http://schemas.openxmlformats.org/officeDocument/2006/relationships/hyperlink" Target="https://www.astrobin.com/3tez1v" TargetMode="External"/><Relationship Id="rId1704" Type="http://schemas.openxmlformats.org/officeDocument/2006/relationships/hyperlink" Target="https://www.astrobin.com/56gost/" TargetMode="External"/><Relationship Id="rId285" Type="http://schemas.openxmlformats.org/officeDocument/2006/relationships/hyperlink" Target="https://www.astrobin.com/7emx9a" TargetMode="External"/><Relationship Id="rId1911" Type="http://schemas.openxmlformats.org/officeDocument/2006/relationships/hyperlink" Target="https://www.astrobin.com/vyvok8" TargetMode="External"/><Relationship Id="rId492" Type="http://schemas.openxmlformats.org/officeDocument/2006/relationships/hyperlink" Target="https://www.astrobin.com/dfbx8b/" TargetMode="External"/><Relationship Id="rId797" Type="http://schemas.openxmlformats.org/officeDocument/2006/relationships/hyperlink" Target="https://www.astrobin.com/t2dl1d/" TargetMode="External"/><Relationship Id="rId2173" Type="http://schemas.openxmlformats.org/officeDocument/2006/relationships/hyperlink" Target="https://www.astrobin.com/nmin3o" TargetMode="External"/><Relationship Id="rId2380" Type="http://schemas.openxmlformats.org/officeDocument/2006/relationships/hyperlink" Target="https://www.astrobin.com/71tqtz" TargetMode="External"/><Relationship Id="rId2478" Type="http://schemas.openxmlformats.org/officeDocument/2006/relationships/hyperlink" Target="https://app.astrobin.com/i/x6ocog" TargetMode="External"/><Relationship Id="rId145" Type="http://schemas.openxmlformats.org/officeDocument/2006/relationships/hyperlink" Target="https://www.astrobin.com/dp0k2g/" TargetMode="External"/><Relationship Id="rId352" Type="http://schemas.openxmlformats.org/officeDocument/2006/relationships/hyperlink" Target="https://www.astrobin.com/392958/" TargetMode="External"/><Relationship Id="rId1287" Type="http://schemas.openxmlformats.org/officeDocument/2006/relationships/hyperlink" Target="https://www.astrobin.com/mdl0qm/" TargetMode="External"/><Relationship Id="rId2033" Type="http://schemas.openxmlformats.org/officeDocument/2006/relationships/hyperlink" Target="https://www.astrobin.com/zpkcnd" TargetMode="External"/><Relationship Id="rId2240" Type="http://schemas.openxmlformats.org/officeDocument/2006/relationships/hyperlink" Target="https://app.astrobin.com/i/oz9frj" TargetMode="External"/><Relationship Id="rId212" Type="http://schemas.openxmlformats.org/officeDocument/2006/relationships/hyperlink" Target="https://www.astrobin.com/337070/" TargetMode="External"/><Relationship Id="rId657" Type="http://schemas.openxmlformats.org/officeDocument/2006/relationships/hyperlink" Target="https://www.astrobin.com/vcvy0n/" TargetMode="External"/><Relationship Id="rId864" Type="http://schemas.openxmlformats.org/officeDocument/2006/relationships/hyperlink" Target="https://www.astrobin.com/tnhs5u" TargetMode="External"/><Relationship Id="rId1494" Type="http://schemas.openxmlformats.org/officeDocument/2006/relationships/hyperlink" Target="https://www.astrobin.com/j1ls07/" TargetMode="External"/><Relationship Id="rId1799" Type="http://schemas.openxmlformats.org/officeDocument/2006/relationships/hyperlink" Target="https://app.astrobin.com/i/qcxfzy" TargetMode="External"/><Relationship Id="rId2100" Type="http://schemas.openxmlformats.org/officeDocument/2006/relationships/hyperlink" Target="https://www.astrobin.com/g31m1i/" TargetMode="External"/><Relationship Id="rId2338" Type="http://schemas.openxmlformats.org/officeDocument/2006/relationships/hyperlink" Target="https://www.astrobin.com/dft2l0" TargetMode="External"/><Relationship Id="rId2545" Type="http://schemas.openxmlformats.org/officeDocument/2006/relationships/hyperlink" Target="https://app.astrobin.com/i/0uhuns" TargetMode="External"/><Relationship Id="rId517" Type="http://schemas.openxmlformats.org/officeDocument/2006/relationships/hyperlink" Target="https://www.astrobin.com/x5omus/" TargetMode="External"/><Relationship Id="rId724" Type="http://schemas.openxmlformats.org/officeDocument/2006/relationships/hyperlink" Target="https://www.astrobin.com/thbwda/" TargetMode="External"/><Relationship Id="rId931" Type="http://schemas.openxmlformats.org/officeDocument/2006/relationships/hyperlink" Target="https://www.astrobin.com/w0gnji/" TargetMode="External"/><Relationship Id="rId1147" Type="http://schemas.openxmlformats.org/officeDocument/2006/relationships/hyperlink" Target="https://www.astrobin.com/8vvuoe/" TargetMode="External"/><Relationship Id="rId1354" Type="http://schemas.openxmlformats.org/officeDocument/2006/relationships/hyperlink" Target="https://www.astrobin.com/yst1vi/" TargetMode="External"/><Relationship Id="rId1561" Type="http://schemas.openxmlformats.org/officeDocument/2006/relationships/hyperlink" Target="https://www.astrobin.com/6ayhrd/" TargetMode="External"/><Relationship Id="rId2405" Type="http://schemas.openxmlformats.org/officeDocument/2006/relationships/hyperlink" Target="https://www.astrobin.com/pl7tax" TargetMode="External"/><Relationship Id="rId2612" Type="http://schemas.openxmlformats.org/officeDocument/2006/relationships/hyperlink" Target="https://app.astrobin.com/i/rp8rds" TargetMode="External"/><Relationship Id="rId60" Type="http://schemas.openxmlformats.org/officeDocument/2006/relationships/hyperlink" Target="https://www.astrobin.com/hbuo9h/" TargetMode="External"/><Relationship Id="rId1007" Type="http://schemas.openxmlformats.org/officeDocument/2006/relationships/hyperlink" Target="https://www.astrobin.com/3ev7yh/" TargetMode="External"/><Relationship Id="rId1214" Type="http://schemas.openxmlformats.org/officeDocument/2006/relationships/hyperlink" Target="https://www.astrobin.com/9s1hp9/" TargetMode="External"/><Relationship Id="rId1421" Type="http://schemas.openxmlformats.org/officeDocument/2006/relationships/hyperlink" Target="https://www.astrobin.com/h2qaam/" TargetMode="External"/><Relationship Id="rId1659" Type="http://schemas.openxmlformats.org/officeDocument/2006/relationships/hyperlink" Target="https://www.astrobin.com/o1dci7/" TargetMode="External"/><Relationship Id="rId1866" Type="http://schemas.openxmlformats.org/officeDocument/2006/relationships/hyperlink" Target="https://www.astrobin.com/mmbxns" TargetMode="External"/><Relationship Id="rId1519" Type="http://schemas.openxmlformats.org/officeDocument/2006/relationships/hyperlink" Target="https://www.astrobin.com/765v7a/" TargetMode="External"/><Relationship Id="rId1726" Type="http://schemas.openxmlformats.org/officeDocument/2006/relationships/hyperlink" Target="https://www.astrobin.com/88tr29/" TargetMode="External"/><Relationship Id="rId1933" Type="http://schemas.openxmlformats.org/officeDocument/2006/relationships/hyperlink" Target="https://www.astrobin.com/b5740c" TargetMode="External"/><Relationship Id="rId18" Type="http://schemas.openxmlformats.org/officeDocument/2006/relationships/hyperlink" Target="https://www.astrobin.com/419661/" TargetMode="External"/><Relationship Id="rId2195" Type="http://schemas.openxmlformats.org/officeDocument/2006/relationships/hyperlink" Target="https://www.astrobin.com/5gaooy" TargetMode="External"/><Relationship Id="rId167" Type="http://schemas.openxmlformats.org/officeDocument/2006/relationships/hyperlink" Target="https://www.astrobin.com/326314/" TargetMode="External"/><Relationship Id="rId374" Type="http://schemas.openxmlformats.org/officeDocument/2006/relationships/hyperlink" Target="https://www.astrobin.com/bjmbw6" TargetMode="External"/><Relationship Id="rId581" Type="http://schemas.openxmlformats.org/officeDocument/2006/relationships/hyperlink" Target="https://www.astrobin.com/juw3n0/" TargetMode="External"/><Relationship Id="rId2055" Type="http://schemas.openxmlformats.org/officeDocument/2006/relationships/hyperlink" Target="https://www.astrobin.com/im22gn" TargetMode="External"/><Relationship Id="rId2262" Type="http://schemas.openxmlformats.org/officeDocument/2006/relationships/hyperlink" Target="https://www.astrobin.com/ogjk0a/" TargetMode="External"/><Relationship Id="rId234" Type="http://schemas.openxmlformats.org/officeDocument/2006/relationships/hyperlink" Target="https://www.astrobin.com/344036/" TargetMode="External"/><Relationship Id="rId679" Type="http://schemas.openxmlformats.org/officeDocument/2006/relationships/hyperlink" Target="https://app.astrobin.com/i/cqj25f" TargetMode="External"/><Relationship Id="rId886" Type="http://schemas.openxmlformats.org/officeDocument/2006/relationships/hyperlink" Target="https://www.astrobin.com/e6pyi0/" TargetMode="External"/><Relationship Id="rId2567" Type="http://schemas.openxmlformats.org/officeDocument/2006/relationships/hyperlink" Target="https://app.astrobin.com/i/zerh7n" TargetMode="External"/><Relationship Id="rId2" Type="http://schemas.openxmlformats.org/officeDocument/2006/relationships/hyperlink" Target="https://www.astrobin.com/1q8qjq" TargetMode="External"/><Relationship Id="rId441" Type="http://schemas.openxmlformats.org/officeDocument/2006/relationships/hyperlink" Target="https://www.astrobin.com/420839/" TargetMode="External"/><Relationship Id="rId539" Type="http://schemas.openxmlformats.org/officeDocument/2006/relationships/hyperlink" Target="https://www.astrobin.com/dl8385/" TargetMode="External"/><Relationship Id="rId746" Type="http://schemas.openxmlformats.org/officeDocument/2006/relationships/hyperlink" Target="https://www.astrobin.com/vrmtn2/" TargetMode="External"/><Relationship Id="rId1071" Type="http://schemas.openxmlformats.org/officeDocument/2006/relationships/hyperlink" Target="https://www.astrobin.com/8vg29n/" TargetMode="External"/><Relationship Id="rId1169" Type="http://schemas.openxmlformats.org/officeDocument/2006/relationships/hyperlink" Target="https://www.astrobin.com/6jqaur/" TargetMode="External"/><Relationship Id="rId1376" Type="http://schemas.openxmlformats.org/officeDocument/2006/relationships/hyperlink" Target="https://www.astrobin.com/qhj538/" TargetMode="External"/><Relationship Id="rId1583" Type="http://schemas.openxmlformats.org/officeDocument/2006/relationships/hyperlink" Target="https://www.astrobin.com/3fluok/" TargetMode="External"/><Relationship Id="rId2122" Type="http://schemas.openxmlformats.org/officeDocument/2006/relationships/hyperlink" Target="https://www.astrobin.com/nmqp72/" TargetMode="External"/><Relationship Id="rId2427" Type="http://schemas.openxmlformats.org/officeDocument/2006/relationships/hyperlink" Target="https://www.astrobin.com/7hluhu" TargetMode="External"/><Relationship Id="rId301" Type="http://schemas.openxmlformats.org/officeDocument/2006/relationships/hyperlink" Target="https://app.astrobin.com/i/79d49f" TargetMode="External"/><Relationship Id="rId953" Type="http://schemas.openxmlformats.org/officeDocument/2006/relationships/hyperlink" Target="https://www.astrobin.com/pjpgoc/" TargetMode="External"/><Relationship Id="rId1029" Type="http://schemas.openxmlformats.org/officeDocument/2006/relationships/hyperlink" Target="https://www.astrobin.com/fwduor/" TargetMode="External"/><Relationship Id="rId1236" Type="http://schemas.openxmlformats.org/officeDocument/2006/relationships/hyperlink" Target="https://www.astrobin.com/3t9w8n/" TargetMode="External"/><Relationship Id="rId1790" Type="http://schemas.openxmlformats.org/officeDocument/2006/relationships/hyperlink" Target="https://www.astrobin.com/lqxlee" TargetMode="External"/><Relationship Id="rId1888" Type="http://schemas.openxmlformats.org/officeDocument/2006/relationships/hyperlink" Target="https://www.astrobin.com/o9hhop" TargetMode="External"/><Relationship Id="rId2634" Type="http://schemas.openxmlformats.org/officeDocument/2006/relationships/hyperlink" Target="https://app.astrobin.com/i/xp6pdf" TargetMode="External"/><Relationship Id="rId82" Type="http://schemas.openxmlformats.org/officeDocument/2006/relationships/hyperlink" Target="https://www.astrobin.com/y9cgb8/" TargetMode="External"/><Relationship Id="rId606" Type="http://schemas.openxmlformats.org/officeDocument/2006/relationships/hyperlink" Target="https://www.astrobin.com/81isck/" TargetMode="External"/><Relationship Id="rId813" Type="http://schemas.openxmlformats.org/officeDocument/2006/relationships/hyperlink" Target="https://www.astrobin.com/ebnb4m/" TargetMode="External"/><Relationship Id="rId1443" Type="http://schemas.openxmlformats.org/officeDocument/2006/relationships/hyperlink" Target="https://www.astrobin.com/boaktc/" TargetMode="External"/><Relationship Id="rId1650" Type="http://schemas.openxmlformats.org/officeDocument/2006/relationships/hyperlink" Target="https://www.astrobin.com/3zb0rj/" TargetMode="External"/><Relationship Id="rId1748" Type="http://schemas.openxmlformats.org/officeDocument/2006/relationships/hyperlink" Target="https://www.astrobin.com/294zbw" TargetMode="External"/><Relationship Id="rId1303" Type="http://schemas.openxmlformats.org/officeDocument/2006/relationships/hyperlink" Target="https://www.astrobin.com/xc2tg1/" TargetMode="External"/><Relationship Id="rId1510" Type="http://schemas.openxmlformats.org/officeDocument/2006/relationships/hyperlink" Target="https://www.astrobin.com/lprx9c/" TargetMode="External"/><Relationship Id="rId1955" Type="http://schemas.openxmlformats.org/officeDocument/2006/relationships/hyperlink" Target="https://www.astrobin.com/o5ji3c" TargetMode="External"/><Relationship Id="rId1608" Type="http://schemas.openxmlformats.org/officeDocument/2006/relationships/hyperlink" Target="https://www.astrobin.com/xic1ru/" TargetMode="External"/><Relationship Id="rId1815" Type="http://schemas.openxmlformats.org/officeDocument/2006/relationships/hyperlink" Target="https://www.astrobin.com/esls3b/" TargetMode="External"/><Relationship Id="rId189" Type="http://schemas.openxmlformats.org/officeDocument/2006/relationships/hyperlink" Target="https://www.astrobin.com/1f0qgn" TargetMode="External"/><Relationship Id="rId396" Type="http://schemas.openxmlformats.org/officeDocument/2006/relationships/hyperlink" Target="https://www.astrobin.com/0taaox/" TargetMode="External"/><Relationship Id="rId2077" Type="http://schemas.openxmlformats.org/officeDocument/2006/relationships/hyperlink" Target="https://app.astrobin.com/i/nrgvbq" TargetMode="External"/><Relationship Id="rId2284" Type="http://schemas.openxmlformats.org/officeDocument/2006/relationships/hyperlink" Target="https://www.astrobin.com/5fp12l" TargetMode="External"/><Relationship Id="rId2491" Type="http://schemas.openxmlformats.org/officeDocument/2006/relationships/hyperlink" Target="https://app.astrobin.com/i/joj9cz" TargetMode="External"/><Relationship Id="rId256" Type="http://schemas.openxmlformats.org/officeDocument/2006/relationships/hyperlink" Target="https://www.astrobin.com/vzw04y" TargetMode="External"/><Relationship Id="rId463" Type="http://schemas.openxmlformats.org/officeDocument/2006/relationships/hyperlink" Target="https://app.astrobin.com/i/ingeux" TargetMode="External"/><Relationship Id="rId670" Type="http://schemas.openxmlformats.org/officeDocument/2006/relationships/hyperlink" Target="https://www.astrobin.com/5ix218/" TargetMode="External"/><Relationship Id="rId1093" Type="http://schemas.openxmlformats.org/officeDocument/2006/relationships/hyperlink" Target="https://www.astrobin.com/vzjc30/" TargetMode="External"/><Relationship Id="rId2144" Type="http://schemas.openxmlformats.org/officeDocument/2006/relationships/hyperlink" Target="https://www.astrobin.com/p6livl/" TargetMode="External"/><Relationship Id="rId2351" Type="http://schemas.openxmlformats.org/officeDocument/2006/relationships/hyperlink" Target="https://www.astrobin.com/bqhr6r" TargetMode="External"/><Relationship Id="rId2589" Type="http://schemas.openxmlformats.org/officeDocument/2006/relationships/hyperlink" Target="https://app.astrobin.com/i/6z15nz" TargetMode="External"/><Relationship Id="rId116" Type="http://schemas.openxmlformats.org/officeDocument/2006/relationships/hyperlink" Target="https://app.astrobin.com/i/2xj07n" TargetMode="External"/><Relationship Id="rId323" Type="http://schemas.openxmlformats.org/officeDocument/2006/relationships/hyperlink" Target="https://www.astrobin.com/lspn1k" TargetMode="External"/><Relationship Id="rId530" Type="http://schemas.openxmlformats.org/officeDocument/2006/relationships/hyperlink" Target="https://www.astrobin.com/16g1ej/" TargetMode="External"/><Relationship Id="rId768" Type="http://schemas.openxmlformats.org/officeDocument/2006/relationships/hyperlink" Target="https://www.astrobin.com/q8buid/" TargetMode="External"/><Relationship Id="rId975" Type="http://schemas.openxmlformats.org/officeDocument/2006/relationships/hyperlink" Target="https://www.astrobin.com/5yxvrs/" TargetMode="External"/><Relationship Id="rId1160" Type="http://schemas.openxmlformats.org/officeDocument/2006/relationships/hyperlink" Target="https://www.astrobin.com/izwn2t/" TargetMode="External"/><Relationship Id="rId1398" Type="http://schemas.openxmlformats.org/officeDocument/2006/relationships/hyperlink" Target="https://www.astrobin.com/dsxr5j/" TargetMode="External"/><Relationship Id="rId2004" Type="http://schemas.openxmlformats.org/officeDocument/2006/relationships/hyperlink" Target="https://www.astrobin.com/uamox8" TargetMode="External"/><Relationship Id="rId2211" Type="http://schemas.openxmlformats.org/officeDocument/2006/relationships/hyperlink" Target="http://aladin.cds.unistra.fr/AladinLite/?target=" TargetMode="External"/><Relationship Id="rId2449" Type="http://schemas.openxmlformats.org/officeDocument/2006/relationships/hyperlink" Target="https://www.astrobin.com/wx798x" TargetMode="External"/><Relationship Id="rId628" Type="http://schemas.openxmlformats.org/officeDocument/2006/relationships/hyperlink" Target="https://www.astrobin.com/ailll1/" TargetMode="External"/><Relationship Id="rId835" Type="http://schemas.openxmlformats.org/officeDocument/2006/relationships/hyperlink" Target="https://www.astrobin.com/pzypmd/" TargetMode="External"/><Relationship Id="rId1258" Type="http://schemas.openxmlformats.org/officeDocument/2006/relationships/hyperlink" Target="https://www.astrobin.com/j1sbpf/" TargetMode="External"/><Relationship Id="rId1465" Type="http://schemas.openxmlformats.org/officeDocument/2006/relationships/hyperlink" Target="https://www.astrobin.com/hbuu5y/" TargetMode="External"/><Relationship Id="rId1672" Type="http://schemas.openxmlformats.org/officeDocument/2006/relationships/hyperlink" Target="https://app.astrobin.com/i/gqqykd" TargetMode="External"/><Relationship Id="rId2309" Type="http://schemas.openxmlformats.org/officeDocument/2006/relationships/hyperlink" Target="https://www.astrobin.com/vtzkqv" TargetMode="External"/><Relationship Id="rId2516" Type="http://schemas.openxmlformats.org/officeDocument/2006/relationships/hyperlink" Target="https://app.astrobin.com/i/nx22vc" TargetMode="External"/><Relationship Id="rId1020" Type="http://schemas.openxmlformats.org/officeDocument/2006/relationships/hyperlink" Target="https://www.astrobin.com/6o0ltp/" TargetMode="External"/><Relationship Id="rId1118" Type="http://schemas.openxmlformats.org/officeDocument/2006/relationships/hyperlink" Target="https://www.astrobin.com/tdbr1e/" TargetMode="External"/><Relationship Id="rId1325" Type="http://schemas.openxmlformats.org/officeDocument/2006/relationships/hyperlink" Target="https://www.astrobin.com/7lk4e3/" TargetMode="External"/><Relationship Id="rId1532" Type="http://schemas.openxmlformats.org/officeDocument/2006/relationships/hyperlink" Target="https://www.astrobin.com/x8z8m7/" TargetMode="External"/><Relationship Id="rId1977" Type="http://schemas.openxmlformats.org/officeDocument/2006/relationships/hyperlink" Target="https://www.astrobin.com/p4r92h" TargetMode="External"/><Relationship Id="rId902" Type="http://schemas.openxmlformats.org/officeDocument/2006/relationships/hyperlink" Target="https://www.astrobin.com/sw9oqd/" TargetMode="External"/><Relationship Id="rId1837" Type="http://schemas.openxmlformats.org/officeDocument/2006/relationships/hyperlink" Target="https://www.astrobin.com/a7kd7h" TargetMode="External"/><Relationship Id="rId31" Type="http://schemas.openxmlformats.org/officeDocument/2006/relationships/hyperlink" Target="https://www.astrobin.com/atvvta/" TargetMode="External"/><Relationship Id="rId2099" Type="http://schemas.openxmlformats.org/officeDocument/2006/relationships/hyperlink" Target="https://www.astrobin.com/rt01g7/" TargetMode="External"/><Relationship Id="rId180" Type="http://schemas.openxmlformats.org/officeDocument/2006/relationships/hyperlink" Target="https://www.astrobin.com/328383/" TargetMode="External"/><Relationship Id="rId278" Type="http://schemas.openxmlformats.org/officeDocument/2006/relationships/hyperlink" Target="https://www.astrobin.com/357854/" TargetMode="External"/><Relationship Id="rId1904" Type="http://schemas.openxmlformats.org/officeDocument/2006/relationships/hyperlink" Target="https://www.astrobin.com/l13soh" TargetMode="External"/><Relationship Id="rId485" Type="http://schemas.openxmlformats.org/officeDocument/2006/relationships/hyperlink" Target="https://www.astrobin.com/r13xzq/" TargetMode="External"/><Relationship Id="rId692" Type="http://schemas.openxmlformats.org/officeDocument/2006/relationships/hyperlink" Target="https://app.astrobin.com/i/2sc0i6" TargetMode="External"/><Relationship Id="rId2166" Type="http://schemas.openxmlformats.org/officeDocument/2006/relationships/hyperlink" Target="https://www.astrobin.com/48k8y2" TargetMode="External"/><Relationship Id="rId2373" Type="http://schemas.openxmlformats.org/officeDocument/2006/relationships/hyperlink" Target="https://www.astrobin.com/ifcbb4" TargetMode="External"/><Relationship Id="rId2580" Type="http://schemas.openxmlformats.org/officeDocument/2006/relationships/hyperlink" Target="https://app.astrobin.com/i/bz8jmu" TargetMode="External"/><Relationship Id="rId138" Type="http://schemas.openxmlformats.org/officeDocument/2006/relationships/hyperlink" Target="https://www.astrobin.com/fxj9pd/" TargetMode="External"/><Relationship Id="rId345" Type="http://schemas.openxmlformats.org/officeDocument/2006/relationships/hyperlink" Target="https://www.astrobin.com/389550/" TargetMode="External"/><Relationship Id="rId552" Type="http://schemas.openxmlformats.org/officeDocument/2006/relationships/hyperlink" Target="https://www.astrobin.com/x2rzq3/" TargetMode="External"/><Relationship Id="rId997" Type="http://schemas.openxmlformats.org/officeDocument/2006/relationships/hyperlink" Target="https://www.astrobin.com/gt3fkx/" TargetMode="External"/><Relationship Id="rId1182" Type="http://schemas.openxmlformats.org/officeDocument/2006/relationships/hyperlink" Target="https://www.astrobin.com/odddfd/C/" TargetMode="External"/><Relationship Id="rId2026" Type="http://schemas.openxmlformats.org/officeDocument/2006/relationships/hyperlink" Target="https://www.astrobin.com/yjntmu" TargetMode="External"/><Relationship Id="rId2233" Type="http://schemas.openxmlformats.org/officeDocument/2006/relationships/hyperlink" Target="https://app.astrobin.com/i/o6w10b" TargetMode="External"/><Relationship Id="rId2440" Type="http://schemas.openxmlformats.org/officeDocument/2006/relationships/hyperlink" Target="https://app.astrobin.com/i/f1mtfj" TargetMode="External"/><Relationship Id="rId205" Type="http://schemas.openxmlformats.org/officeDocument/2006/relationships/hyperlink" Target="https://www.astrobin.com/331899/" TargetMode="External"/><Relationship Id="rId412" Type="http://schemas.openxmlformats.org/officeDocument/2006/relationships/hyperlink" Target="https://www.astrobin.com/qikffb/?nc=collection&amp;nce=1924" TargetMode="External"/><Relationship Id="rId857" Type="http://schemas.openxmlformats.org/officeDocument/2006/relationships/hyperlink" Target="https://www.astrobin.com/4y6occ/" TargetMode="External"/><Relationship Id="rId1042" Type="http://schemas.openxmlformats.org/officeDocument/2006/relationships/hyperlink" Target="https://app.astrobin.com/i/jtsrwm" TargetMode="External"/><Relationship Id="rId1487" Type="http://schemas.openxmlformats.org/officeDocument/2006/relationships/hyperlink" Target="https://www.astrobin.com/97dzuo/" TargetMode="External"/><Relationship Id="rId1694" Type="http://schemas.openxmlformats.org/officeDocument/2006/relationships/hyperlink" Target="https://www.astrobin.com/lxgrwn/" TargetMode="External"/><Relationship Id="rId2300" Type="http://schemas.openxmlformats.org/officeDocument/2006/relationships/hyperlink" Target="https://www.astrobin.com/s6th26" TargetMode="External"/><Relationship Id="rId2538" Type="http://schemas.openxmlformats.org/officeDocument/2006/relationships/hyperlink" Target="https://app.astrobin.com/i/j0mqm7" TargetMode="External"/><Relationship Id="rId717" Type="http://schemas.openxmlformats.org/officeDocument/2006/relationships/hyperlink" Target="https://www.astrobin.com/z6ez9l/" TargetMode="External"/><Relationship Id="rId924" Type="http://schemas.openxmlformats.org/officeDocument/2006/relationships/hyperlink" Target="https://app.astrobin.com/i/6z4hk8" TargetMode="External"/><Relationship Id="rId1347" Type="http://schemas.openxmlformats.org/officeDocument/2006/relationships/hyperlink" Target="https://www.astrobin.com/ccgpp3/" TargetMode="External"/><Relationship Id="rId1554" Type="http://schemas.openxmlformats.org/officeDocument/2006/relationships/hyperlink" Target="https://www.astrobin.com/wz4vc8/" TargetMode="External"/><Relationship Id="rId1761" Type="http://schemas.openxmlformats.org/officeDocument/2006/relationships/hyperlink" Target="https://www.astrobin.com/8h2yhv" TargetMode="External"/><Relationship Id="rId1999" Type="http://schemas.openxmlformats.org/officeDocument/2006/relationships/hyperlink" Target="https://www.astrobin.com/ock9mi" TargetMode="External"/><Relationship Id="rId2605" Type="http://schemas.openxmlformats.org/officeDocument/2006/relationships/hyperlink" Target="https://app.astrobin.com/i/kt0tnp" TargetMode="External"/><Relationship Id="rId53" Type="http://schemas.openxmlformats.org/officeDocument/2006/relationships/hyperlink" Target="https://www.astrobin.com/qi33d3/" TargetMode="External"/><Relationship Id="rId1207" Type="http://schemas.openxmlformats.org/officeDocument/2006/relationships/hyperlink" Target="https://www.astrobin.com/9ikj6i/" TargetMode="External"/><Relationship Id="rId1414" Type="http://schemas.openxmlformats.org/officeDocument/2006/relationships/hyperlink" Target="https://www.astrobin.com/xg4vnz/" TargetMode="External"/><Relationship Id="rId1621" Type="http://schemas.openxmlformats.org/officeDocument/2006/relationships/hyperlink" Target="https://www.astrobin.com/54r4x8/" TargetMode="External"/><Relationship Id="rId1859" Type="http://schemas.openxmlformats.org/officeDocument/2006/relationships/hyperlink" Target="https://www.astrobin.com/mxvghw/" TargetMode="External"/><Relationship Id="rId1719" Type="http://schemas.openxmlformats.org/officeDocument/2006/relationships/hyperlink" Target="https://www.astrobin.com/ga2cpf" TargetMode="External"/><Relationship Id="rId1926" Type="http://schemas.openxmlformats.org/officeDocument/2006/relationships/hyperlink" Target="https://www.astrobin.com/wo5qqr" TargetMode="External"/><Relationship Id="rId2090" Type="http://schemas.openxmlformats.org/officeDocument/2006/relationships/hyperlink" Target="https://www.astrobin.com/7ag984/" TargetMode="External"/><Relationship Id="rId2188" Type="http://schemas.openxmlformats.org/officeDocument/2006/relationships/hyperlink" Target="https://www.astrobin.com/6u2378" TargetMode="External"/><Relationship Id="rId2395" Type="http://schemas.openxmlformats.org/officeDocument/2006/relationships/hyperlink" Target="https://www.astrobin.com/2v5bvh" TargetMode="External"/><Relationship Id="rId367" Type="http://schemas.openxmlformats.org/officeDocument/2006/relationships/hyperlink" Target="https://www.astrobin.com/398631/" TargetMode="External"/><Relationship Id="rId574" Type="http://schemas.openxmlformats.org/officeDocument/2006/relationships/hyperlink" Target="https://www.astrobin.com/dkd128/" TargetMode="External"/><Relationship Id="rId2048" Type="http://schemas.openxmlformats.org/officeDocument/2006/relationships/hyperlink" Target="https://www.astrobin.com/3hwx8r" TargetMode="External"/><Relationship Id="rId2255" Type="http://schemas.openxmlformats.org/officeDocument/2006/relationships/hyperlink" Target="https://www.astrobin.com/lw7uu4" TargetMode="External"/><Relationship Id="rId227" Type="http://schemas.openxmlformats.org/officeDocument/2006/relationships/hyperlink" Target="https://www.astrobin.com/8g6144" TargetMode="External"/><Relationship Id="rId781" Type="http://schemas.openxmlformats.org/officeDocument/2006/relationships/hyperlink" Target="https://www.astrobin.com/h6f2li/" TargetMode="External"/><Relationship Id="rId879" Type="http://schemas.openxmlformats.org/officeDocument/2006/relationships/hyperlink" Target="https://www.astrobin.com/im22gn" TargetMode="External"/><Relationship Id="rId2462" Type="http://schemas.openxmlformats.org/officeDocument/2006/relationships/hyperlink" Target="https://www.astrobin.com/pzypmd" TargetMode="External"/><Relationship Id="rId434" Type="http://schemas.openxmlformats.org/officeDocument/2006/relationships/hyperlink" Target="https://www.astrobin.com/nduhbs" TargetMode="External"/><Relationship Id="rId641" Type="http://schemas.openxmlformats.org/officeDocument/2006/relationships/hyperlink" Target="https://www.astrobin.com/b26jil/" TargetMode="External"/><Relationship Id="rId739" Type="http://schemas.openxmlformats.org/officeDocument/2006/relationships/hyperlink" Target="https://www.astrobin.com/8tu3j5/" TargetMode="External"/><Relationship Id="rId1064" Type="http://schemas.openxmlformats.org/officeDocument/2006/relationships/hyperlink" Target="https://www.astrobin.com/mkk2bt/" TargetMode="External"/><Relationship Id="rId1271" Type="http://schemas.openxmlformats.org/officeDocument/2006/relationships/hyperlink" Target="https://www.astrobin.com/d83ieu/" TargetMode="External"/><Relationship Id="rId1369" Type="http://schemas.openxmlformats.org/officeDocument/2006/relationships/hyperlink" Target="https://www.astrobin.com/ga37ik/" TargetMode="External"/><Relationship Id="rId1576" Type="http://schemas.openxmlformats.org/officeDocument/2006/relationships/hyperlink" Target="https://www.astrobin.com/ipkts6/" TargetMode="External"/><Relationship Id="rId2115" Type="http://schemas.openxmlformats.org/officeDocument/2006/relationships/hyperlink" Target="https://www.astrobin.com/e2w62k/" TargetMode="External"/><Relationship Id="rId2322" Type="http://schemas.openxmlformats.org/officeDocument/2006/relationships/hyperlink" Target="https://www.astrobin.com/2xt6vk" TargetMode="External"/><Relationship Id="rId501" Type="http://schemas.openxmlformats.org/officeDocument/2006/relationships/hyperlink" Target="https://www.astrobin.com/tnsg7d/" TargetMode="External"/><Relationship Id="rId946" Type="http://schemas.openxmlformats.org/officeDocument/2006/relationships/hyperlink" Target="https://www.astrobin.com/nd80tb/" TargetMode="External"/><Relationship Id="rId1131" Type="http://schemas.openxmlformats.org/officeDocument/2006/relationships/hyperlink" Target="https://www.astrobin.com/z91k3c/" TargetMode="External"/><Relationship Id="rId1229" Type="http://schemas.openxmlformats.org/officeDocument/2006/relationships/hyperlink" Target="https://www.astrobin.com/11i3ce/" TargetMode="External"/><Relationship Id="rId1783" Type="http://schemas.openxmlformats.org/officeDocument/2006/relationships/hyperlink" Target="https://www.astrobin.com/jm9bif" TargetMode="External"/><Relationship Id="rId1990" Type="http://schemas.openxmlformats.org/officeDocument/2006/relationships/hyperlink" Target="https://www.astrobin.com/7jdwlo" TargetMode="External"/><Relationship Id="rId2627" Type="http://schemas.openxmlformats.org/officeDocument/2006/relationships/hyperlink" Target="https://app.astrobin.com/i/ebpbwe" TargetMode="External"/><Relationship Id="rId75" Type="http://schemas.openxmlformats.org/officeDocument/2006/relationships/hyperlink" Target="https://www.astrobin.com/295789/" TargetMode="External"/><Relationship Id="rId806" Type="http://schemas.openxmlformats.org/officeDocument/2006/relationships/hyperlink" Target="https://www.astrobin.com/2xr9b6/" TargetMode="External"/><Relationship Id="rId1436" Type="http://schemas.openxmlformats.org/officeDocument/2006/relationships/hyperlink" Target="https://www.astrobin.com/l0avrx/" TargetMode="External"/><Relationship Id="rId1643" Type="http://schemas.openxmlformats.org/officeDocument/2006/relationships/hyperlink" Target="https://www.astrobin.com/yjp1pw/" TargetMode="External"/><Relationship Id="rId1850" Type="http://schemas.openxmlformats.org/officeDocument/2006/relationships/hyperlink" Target="https://www.astrobin.com/tg7wey" TargetMode="External"/><Relationship Id="rId1503" Type="http://schemas.openxmlformats.org/officeDocument/2006/relationships/hyperlink" Target="https://www.astrobin.com/9its78/" TargetMode="External"/><Relationship Id="rId1710" Type="http://schemas.openxmlformats.org/officeDocument/2006/relationships/hyperlink" Target="https://www.astrobin.com/lcr25w" TargetMode="External"/><Relationship Id="rId1948" Type="http://schemas.openxmlformats.org/officeDocument/2006/relationships/hyperlink" Target="https://www.astrobin.com/3rhju5" TargetMode="External"/><Relationship Id="rId291" Type="http://schemas.openxmlformats.org/officeDocument/2006/relationships/hyperlink" Target="https://www.astrobin.com/360172/" TargetMode="External"/><Relationship Id="rId1808" Type="http://schemas.openxmlformats.org/officeDocument/2006/relationships/hyperlink" Target="https://www.astrobin.com/tezmpx/" TargetMode="External"/><Relationship Id="rId151" Type="http://schemas.openxmlformats.org/officeDocument/2006/relationships/hyperlink" Target="https://www.astrobin.com/322261/" TargetMode="External"/><Relationship Id="rId389" Type="http://schemas.openxmlformats.org/officeDocument/2006/relationships/hyperlink" Target="https://www.astrobin.com/405781/" TargetMode="External"/><Relationship Id="rId596" Type="http://schemas.openxmlformats.org/officeDocument/2006/relationships/hyperlink" Target="https://www.astrobin.com/f7b0sv/" TargetMode="External"/><Relationship Id="rId2277" Type="http://schemas.openxmlformats.org/officeDocument/2006/relationships/hyperlink" Target="https://www.astrobin.com/k7zf3z/" TargetMode="External"/><Relationship Id="rId2484" Type="http://schemas.openxmlformats.org/officeDocument/2006/relationships/hyperlink" Target="https://app.astrobin.com/i/p1svrl" TargetMode="External"/><Relationship Id="rId249" Type="http://schemas.openxmlformats.org/officeDocument/2006/relationships/hyperlink" Target="https://www.astrobin.com/349684/" TargetMode="External"/><Relationship Id="rId456" Type="http://schemas.openxmlformats.org/officeDocument/2006/relationships/hyperlink" Target="https://www.astrobin.com/txkex5" TargetMode="External"/><Relationship Id="rId663" Type="http://schemas.openxmlformats.org/officeDocument/2006/relationships/hyperlink" Target="https://www.astrobin.com/zn6mta/" TargetMode="External"/><Relationship Id="rId870" Type="http://schemas.openxmlformats.org/officeDocument/2006/relationships/hyperlink" Target="https://www.astrobin.com/1h2ljq/" TargetMode="External"/><Relationship Id="rId1086" Type="http://schemas.openxmlformats.org/officeDocument/2006/relationships/hyperlink" Target="https://www.astrobin.com/c9aj58" TargetMode="External"/><Relationship Id="rId1293" Type="http://schemas.openxmlformats.org/officeDocument/2006/relationships/hyperlink" Target="https://www.astrobin.com/ldpt94" TargetMode="External"/><Relationship Id="rId2137" Type="http://schemas.openxmlformats.org/officeDocument/2006/relationships/hyperlink" Target="https://www.astrobin.com/kb0tg5/" TargetMode="External"/><Relationship Id="rId2344" Type="http://schemas.openxmlformats.org/officeDocument/2006/relationships/hyperlink" Target="https://www.astrobin.com/fj7mj5/" TargetMode="External"/><Relationship Id="rId2551" Type="http://schemas.openxmlformats.org/officeDocument/2006/relationships/hyperlink" Target="https://app.astrobin.com/i/90udjk" TargetMode="External"/><Relationship Id="rId109" Type="http://schemas.openxmlformats.org/officeDocument/2006/relationships/hyperlink" Target="https://app.astrobin.com/i/3tqw46" TargetMode="External"/><Relationship Id="rId316" Type="http://schemas.openxmlformats.org/officeDocument/2006/relationships/hyperlink" Target="https://app.astrobin.com/i/qrx494" TargetMode="External"/><Relationship Id="rId523" Type="http://schemas.openxmlformats.org/officeDocument/2006/relationships/hyperlink" Target="https://www.astrobin.com/c5z2aw/" TargetMode="External"/><Relationship Id="rId968" Type="http://schemas.openxmlformats.org/officeDocument/2006/relationships/hyperlink" Target="https://www.astrobin.com/chql6t/" TargetMode="External"/><Relationship Id="rId1153" Type="http://schemas.openxmlformats.org/officeDocument/2006/relationships/hyperlink" Target="https://www.astrobin.com/ojcyjm/C/" TargetMode="External"/><Relationship Id="rId1598" Type="http://schemas.openxmlformats.org/officeDocument/2006/relationships/hyperlink" Target="https://www.astrobin.com/hrvtvl/" TargetMode="External"/><Relationship Id="rId2204" Type="http://schemas.openxmlformats.org/officeDocument/2006/relationships/hyperlink" Target="https://www.astrobin.com/p1jubh" TargetMode="External"/><Relationship Id="rId2649" Type="http://schemas.openxmlformats.org/officeDocument/2006/relationships/hyperlink" Target="https://www.astrobin.com/atvvta/" TargetMode="External"/><Relationship Id="rId97" Type="http://schemas.openxmlformats.org/officeDocument/2006/relationships/hyperlink" Target="https://www.astrobin.com/302849/" TargetMode="External"/><Relationship Id="rId730" Type="http://schemas.openxmlformats.org/officeDocument/2006/relationships/hyperlink" Target="https://www.astrobin.com/isg75r/" TargetMode="External"/><Relationship Id="rId828" Type="http://schemas.openxmlformats.org/officeDocument/2006/relationships/hyperlink" Target="https://www.astrobin.com/uukzhb/" TargetMode="External"/><Relationship Id="rId1013" Type="http://schemas.openxmlformats.org/officeDocument/2006/relationships/hyperlink" Target="https://www.astrobin.com/6vn4rm/" TargetMode="External"/><Relationship Id="rId1360" Type="http://schemas.openxmlformats.org/officeDocument/2006/relationships/hyperlink" Target="https://www.astrobin.com/e94i12/" TargetMode="External"/><Relationship Id="rId1458" Type="http://schemas.openxmlformats.org/officeDocument/2006/relationships/hyperlink" Target="https://www.astrobin.com/lp90n9/" TargetMode="External"/><Relationship Id="rId1665" Type="http://schemas.openxmlformats.org/officeDocument/2006/relationships/hyperlink" Target="https://www.astrobin.com/8jrrne/" TargetMode="External"/><Relationship Id="rId1872" Type="http://schemas.openxmlformats.org/officeDocument/2006/relationships/hyperlink" Target="https://www.astrobin.com/wwc0hw" TargetMode="External"/><Relationship Id="rId2411" Type="http://schemas.openxmlformats.org/officeDocument/2006/relationships/hyperlink" Target="https://www.astrobin.com/fmnwnu" TargetMode="External"/><Relationship Id="rId2509" Type="http://schemas.openxmlformats.org/officeDocument/2006/relationships/hyperlink" Target="https://app.astrobin.com/i/vajbbt" TargetMode="External"/><Relationship Id="rId1220" Type="http://schemas.openxmlformats.org/officeDocument/2006/relationships/hyperlink" Target="https://www.astrobin.com/yr4akb/" TargetMode="External"/><Relationship Id="rId1318" Type="http://schemas.openxmlformats.org/officeDocument/2006/relationships/hyperlink" Target="https://www.astrobin.com/990ehz/" TargetMode="External"/><Relationship Id="rId1525" Type="http://schemas.openxmlformats.org/officeDocument/2006/relationships/hyperlink" Target="https://www.astrobin.com/8yj4mj/" TargetMode="External"/><Relationship Id="rId1732" Type="http://schemas.openxmlformats.org/officeDocument/2006/relationships/hyperlink" Target="https://www.astrobin.com/8jrrne/" TargetMode="External"/><Relationship Id="rId24" Type="http://schemas.openxmlformats.org/officeDocument/2006/relationships/hyperlink" Target="https://www.astrobin.com/z12gx1/" TargetMode="External"/><Relationship Id="rId2299" Type="http://schemas.openxmlformats.org/officeDocument/2006/relationships/hyperlink" Target="https://www.astrobin.com/w0kpk9" TargetMode="External"/><Relationship Id="rId173" Type="http://schemas.openxmlformats.org/officeDocument/2006/relationships/hyperlink" Target="https://www.astrobin.com/326974/" TargetMode="External"/><Relationship Id="rId380" Type="http://schemas.openxmlformats.org/officeDocument/2006/relationships/hyperlink" Target="https://www.astrobin.com/402462/" TargetMode="External"/><Relationship Id="rId2061" Type="http://schemas.openxmlformats.org/officeDocument/2006/relationships/hyperlink" Target="https://www.astrobin.com/gngpii/" TargetMode="External"/><Relationship Id="rId240" Type="http://schemas.openxmlformats.org/officeDocument/2006/relationships/hyperlink" Target="https://www.astrobin.com/347244/" TargetMode="External"/><Relationship Id="rId478" Type="http://schemas.openxmlformats.org/officeDocument/2006/relationships/hyperlink" Target="https://app.astrobin.com/i/ko8kvd" TargetMode="External"/><Relationship Id="rId685" Type="http://schemas.openxmlformats.org/officeDocument/2006/relationships/hyperlink" Target="https://www.astrobin.com/fw0npr/" TargetMode="External"/><Relationship Id="rId892" Type="http://schemas.openxmlformats.org/officeDocument/2006/relationships/hyperlink" Target="https://www.astrobin.com/vdrwg3/" TargetMode="External"/><Relationship Id="rId2159" Type="http://schemas.openxmlformats.org/officeDocument/2006/relationships/hyperlink" Target="https://www.astrobin.com/l5p8n8" TargetMode="External"/><Relationship Id="rId2366" Type="http://schemas.openxmlformats.org/officeDocument/2006/relationships/hyperlink" Target="https://www.astrobin.com/hmoyth" TargetMode="External"/><Relationship Id="rId2573" Type="http://schemas.openxmlformats.org/officeDocument/2006/relationships/hyperlink" Target="https://app.astrobin.com/i/b7dugv" TargetMode="External"/><Relationship Id="rId100" Type="http://schemas.openxmlformats.org/officeDocument/2006/relationships/hyperlink" Target="https://app.astrobin.com/i/53iw1t" TargetMode="External"/><Relationship Id="rId338" Type="http://schemas.openxmlformats.org/officeDocument/2006/relationships/hyperlink" Target="https://www.astrobin.com/7lsoag" TargetMode="External"/><Relationship Id="rId545" Type="http://schemas.openxmlformats.org/officeDocument/2006/relationships/hyperlink" Target="https://www.astrobin.com/ki576l/" TargetMode="External"/><Relationship Id="rId752" Type="http://schemas.openxmlformats.org/officeDocument/2006/relationships/hyperlink" Target="https://www.astrobin.com/divr92/" TargetMode="External"/><Relationship Id="rId1175" Type="http://schemas.openxmlformats.org/officeDocument/2006/relationships/hyperlink" Target="https://www.astrobin.com/ycff33/" TargetMode="External"/><Relationship Id="rId1382" Type="http://schemas.openxmlformats.org/officeDocument/2006/relationships/hyperlink" Target="https://www.astrobin.com/j9li8w/" TargetMode="External"/><Relationship Id="rId2019" Type="http://schemas.openxmlformats.org/officeDocument/2006/relationships/hyperlink" Target="https://www.astrobin.com/ptidrv" TargetMode="External"/><Relationship Id="rId2226" Type="http://schemas.openxmlformats.org/officeDocument/2006/relationships/hyperlink" Target="https://www.astrobin.com/97b7o7" TargetMode="External"/><Relationship Id="rId2433" Type="http://schemas.openxmlformats.org/officeDocument/2006/relationships/hyperlink" Target="https://www.astrobin.com/pxiiru" TargetMode="External"/><Relationship Id="rId2640" Type="http://schemas.openxmlformats.org/officeDocument/2006/relationships/hyperlink" Target="https://app.astrobin.com/i/j7wn6u" TargetMode="External"/><Relationship Id="rId405" Type="http://schemas.openxmlformats.org/officeDocument/2006/relationships/hyperlink" Target="https://www.astrobin.com/410776/" TargetMode="External"/><Relationship Id="rId612" Type="http://schemas.openxmlformats.org/officeDocument/2006/relationships/hyperlink" Target="https://www.astrobin.com/d1mzi8" TargetMode="External"/><Relationship Id="rId1035" Type="http://schemas.openxmlformats.org/officeDocument/2006/relationships/hyperlink" Target="https://www.astrobin.com/h7qfgs/" TargetMode="External"/><Relationship Id="rId1242" Type="http://schemas.openxmlformats.org/officeDocument/2006/relationships/hyperlink" Target="https://www.astrobin.com/w8c6el/" TargetMode="External"/><Relationship Id="rId1687" Type="http://schemas.openxmlformats.org/officeDocument/2006/relationships/hyperlink" Target="https://www.astrobin.com/e3q1ke/" TargetMode="External"/><Relationship Id="rId1894" Type="http://schemas.openxmlformats.org/officeDocument/2006/relationships/hyperlink" Target="https://www.astrobin.com/ruacyj" TargetMode="External"/><Relationship Id="rId2500" Type="http://schemas.openxmlformats.org/officeDocument/2006/relationships/hyperlink" Target="https://app.astrobin.com/i/txkvgb" TargetMode="External"/><Relationship Id="rId917" Type="http://schemas.openxmlformats.org/officeDocument/2006/relationships/hyperlink" Target="https://www.astrobin.com/5i9wqh/" TargetMode="External"/><Relationship Id="rId1102" Type="http://schemas.openxmlformats.org/officeDocument/2006/relationships/hyperlink" Target="https://www.astrobin.com/eztg0l" TargetMode="External"/><Relationship Id="rId1547" Type="http://schemas.openxmlformats.org/officeDocument/2006/relationships/hyperlink" Target="https://www.astrobin.com/602noo/" TargetMode="External"/><Relationship Id="rId1754" Type="http://schemas.openxmlformats.org/officeDocument/2006/relationships/hyperlink" Target="https://www.astrobin.com/c77xfo" TargetMode="External"/><Relationship Id="rId1961" Type="http://schemas.openxmlformats.org/officeDocument/2006/relationships/hyperlink" Target="https://www.astrobin.com/algmph" TargetMode="External"/><Relationship Id="rId46" Type="http://schemas.openxmlformats.org/officeDocument/2006/relationships/hyperlink" Target="https://www.astrobin.com/by580c" TargetMode="External"/><Relationship Id="rId1407" Type="http://schemas.openxmlformats.org/officeDocument/2006/relationships/hyperlink" Target="https://www.astrobin.com/35kqwu/" TargetMode="External"/><Relationship Id="rId1614" Type="http://schemas.openxmlformats.org/officeDocument/2006/relationships/hyperlink" Target="https://www.astrobin.com/mba8u8/" TargetMode="External"/><Relationship Id="rId1821" Type="http://schemas.openxmlformats.org/officeDocument/2006/relationships/hyperlink" Target="https://www.astrobin.com/j9nwkh" TargetMode="External"/><Relationship Id="rId195" Type="http://schemas.openxmlformats.org/officeDocument/2006/relationships/hyperlink" Target="https://www.astrobin.com/330296/" TargetMode="External"/><Relationship Id="rId1919" Type="http://schemas.openxmlformats.org/officeDocument/2006/relationships/hyperlink" Target="https://www.astrobin.com/qhi68s" TargetMode="External"/><Relationship Id="rId2083" Type="http://schemas.openxmlformats.org/officeDocument/2006/relationships/hyperlink" Target="https://www.astrobin.com/g3x4c5/?nc=collection&amp;nce=1924" TargetMode="External"/><Relationship Id="rId2290" Type="http://schemas.openxmlformats.org/officeDocument/2006/relationships/hyperlink" Target="https://www.astrobin.com/7856uk" TargetMode="External"/><Relationship Id="rId2388" Type="http://schemas.openxmlformats.org/officeDocument/2006/relationships/hyperlink" Target="https://www.astrobin.com/bjqpm4" TargetMode="External"/><Relationship Id="rId2595" Type="http://schemas.openxmlformats.org/officeDocument/2006/relationships/hyperlink" Target="https://app.astrobin.com/i/x2z1ct" TargetMode="External"/><Relationship Id="rId262" Type="http://schemas.openxmlformats.org/officeDocument/2006/relationships/hyperlink" Target="https://www.astrobin.com/353881/" TargetMode="External"/><Relationship Id="rId567" Type="http://schemas.openxmlformats.org/officeDocument/2006/relationships/hyperlink" Target="https://www.astrobin.com/nonkck" TargetMode="External"/><Relationship Id="rId1197" Type="http://schemas.openxmlformats.org/officeDocument/2006/relationships/hyperlink" Target="https://www.astrobin.com/p0hm3x/" TargetMode="External"/><Relationship Id="rId2150" Type="http://schemas.openxmlformats.org/officeDocument/2006/relationships/hyperlink" Target="https://www.astrobin.com/lqe4ef/" TargetMode="External"/><Relationship Id="rId2248" Type="http://schemas.openxmlformats.org/officeDocument/2006/relationships/hyperlink" Target="https://www.astrobin.com/fmb5je" TargetMode="External"/><Relationship Id="rId122" Type="http://schemas.openxmlformats.org/officeDocument/2006/relationships/hyperlink" Target="https://app.astrobin.com/i/xxtsjg" TargetMode="External"/><Relationship Id="rId774" Type="http://schemas.openxmlformats.org/officeDocument/2006/relationships/hyperlink" Target="https://www.astrobin.com/vxevql/" TargetMode="External"/><Relationship Id="rId981" Type="http://schemas.openxmlformats.org/officeDocument/2006/relationships/hyperlink" Target="https://www.astrobin.com/9jx9ie/" TargetMode="External"/><Relationship Id="rId1057" Type="http://schemas.openxmlformats.org/officeDocument/2006/relationships/hyperlink" Target="https://www.astrobin.com/qeepet" TargetMode="External"/><Relationship Id="rId2010" Type="http://schemas.openxmlformats.org/officeDocument/2006/relationships/hyperlink" Target="https://www.astrobin.com/ndzf28" TargetMode="External"/><Relationship Id="rId2455" Type="http://schemas.openxmlformats.org/officeDocument/2006/relationships/hyperlink" Target="https://www.astrobin.com/pm9ar7" TargetMode="External"/><Relationship Id="rId427" Type="http://schemas.openxmlformats.org/officeDocument/2006/relationships/hyperlink" Target="https://www.astrobin.com/417820/" TargetMode="External"/><Relationship Id="rId634" Type="http://schemas.openxmlformats.org/officeDocument/2006/relationships/hyperlink" Target="https://www.astrobin.com/wbhzjc/" TargetMode="External"/><Relationship Id="rId841" Type="http://schemas.openxmlformats.org/officeDocument/2006/relationships/hyperlink" Target="https://www.astrobin.com/ecx3bq/" TargetMode="External"/><Relationship Id="rId1264" Type="http://schemas.openxmlformats.org/officeDocument/2006/relationships/hyperlink" Target="https://www.astrobin.com/7w6w6r" TargetMode="External"/><Relationship Id="rId1471" Type="http://schemas.openxmlformats.org/officeDocument/2006/relationships/hyperlink" Target="https://www.astrobin.com/bjenkw/" TargetMode="External"/><Relationship Id="rId1569" Type="http://schemas.openxmlformats.org/officeDocument/2006/relationships/hyperlink" Target="https://www.astrobin.com/erdyub/" TargetMode="External"/><Relationship Id="rId2108" Type="http://schemas.openxmlformats.org/officeDocument/2006/relationships/hyperlink" Target="https://www.astrobin.com/cqc09o/" TargetMode="External"/><Relationship Id="rId2315" Type="http://schemas.openxmlformats.org/officeDocument/2006/relationships/hyperlink" Target="https://www.astrobin.com/7zil9c" TargetMode="External"/><Relationship Id="rId2522" Type="http://schemas.openxmlformats.org/officeDocument/2006/relationships/hyperlink" Target="https://app.astrobin.com/i/1fmn60" TargetMode="External"/><Relationship Id="rId701" Type="http://schemas.openxmlformats.org/officeDocument/2006/relationships/hyperlink" Target="https://www.astrobin.com/pefy5j/" TargetMode="External"/><Relationship Id="rId939" Type="http://schemas.openxmlformats.org/officeDocument/2006/relationships/hyperlink" Target="https://app.astrobin.com/i/u6x3n0" TargetMode="External"/><Relationship Id="rId1124" Type="http://schemas.openxmlformats.org/officeDocument/2006/relationships/hyperlink" Target="https://www.astrobin.com/12blwt/" TargetMode="External"/><Relationship Id="rId1331" Type="http://schemas.openxmlformats.org/officeDocument/2006/relationships/hyperlink" Target="https://www.astrobin.com/vlmspk/" TargetMode="External"/><Relationship Id="rId1776" Type="http://schemas.openxmlformats.org/officeDocument/2006/relationships/hyperlink" Target="https://www.astrobin.com/mrla7c" TargetMode="External"/><Relationship Id="rId1983" Type="http://schemas.openxmlformats.org/officeDocument/2006/relationships/hyperlink" Target="https://www.astrobin.com/phat85" TargetMode="External"/><Relationship Id="rId68" Type="http://schemas.openxmlformats.org/officeDocument/2006/relationships/hyperlink" Target="https://app.astrobin.com/i/8jys76" TargetMode="External"/><Relationship Id="rId1429" Type="http://schemas.openxmlformats.org/officeDocument/2006/relationships/hyperlink" Target="https://www.astrobin.com/46c75t/" TargetMode="External"/><Relationship Id="rId1636" Type="http://schemas.openxmlformats.org/officeDocument/2006/relationships/hyperlink" Target="https://www.astrobin.com/8bmlwa/" TargetMode="External"/><Relationship Id="rId1843" Type="http://schemas.openxmlformats.org/officeDocument/2006/relationships/hyperlink" Target="https://www.astrobin.com/1b6oux" TargetMode="External"/><Relationship Id="rId1703" Type="http://schemas.openxmlformats.org/officeDocument/2006/relationships/hyperlink" Target="https://www.astrobin.com/399937/" TargetMode="External"/><Relationship Id="rId1910" Type="http://schemas.openxmlformats.org/officeDocument/2006/relationships/hyperlink" Target="https://www.astrobin.com/5rm0lc" TargetMode="External"/><Relationship Id="rId284" Type="http://schemas.openxmlformats.org/officeDocument/2006/relationships/hyperlink" Target="https://www.astrobin.com/359191/" TargetMode="External"/><Relationship Id="rId491" Type="http://schemas.openxmlformats.org/officeDocument/2006/relationships/hyperlink" Target="https://www.astrobin.com/2o6hqq/" TargetMode="External"/><Relationship Id="rId2172" Type="http://schemas.openxmlformats.org/officeDocument/2006/relationships/hyperlink" Target="https://www.astrobin.com/enqghb" TargetMode="External"/><Relationship Id="rId144" Type="http://schemas.openxmlformats.org/officeDocument/2006/relationships/hyperlink" Target="https://www.astrobin.com/a9xene" TargetMode="External"/><Relationship Id="rId589" Type="http://schemas.openxmlformats.org/officeDocument/2006/relationships/hyperlink" Target="https://www.astrobin.com/57287i/" TargetMode="External"/><Relationship Id="rId796" Type="http://schemas.openxmlformats.org/officeDocument/2006/relationships/hyperlink" Target="https://www.astrobin.com/t2dl1d/" TargetMode="External"/><Relationship Id="rId2477" Type="http://schemas.openxmlformats.org/officeDocument/2006/relationships/hyperlink" Target="https://app.astrobin.com/i/i9sxgt" TargetMode="External"/><Relationship Id="rId351" Type="http://schemas.openxmlformats.org/officeDocument/2006/relationships/hyperlink" Target="https://www.astrobin.com/392147/" TargetMode="External"/><Relationship Id="rId449" Type="http://schemas.openxmlformats.org/officeDocument/2006/relationships/hyperlink" Target="https://www.astrobin.com/06txru" TargetMode="External"/><Relationship Id="rId656" Type="http://schemas.openxmlformats.org/officeDocument/2006/relationships/hyperlink" Target="https://www.astrobin.com/9rj4c9/" TargetMode="External"/><Relationship Id="rId863" Type="http://schemas.openxmlformats.org/officeDocument/2006/relationships/hyperlink" Target="https://www.astrobin.com/njr9xf/" TargetMode="External"/><Relationship Id="rId1079" Type="http://schemas.openxmlformats.org/officeDocument/2006/relationships/hyperlink" Target="https://www.astrobin.com/23h8jc/" TargetMode="External"/><Relationship Id="rId1286" Type="http://schemas.openxmlformats.org/officeDocument/2006/relationships/hyperlink" Target="https://www.astrobin.com/4e6lei/" TargetMode="External"/><Relationship Id="rId1493" Type="http://schemas.openxmlformats.org/officeDocument/2006/relationships/hyperlink" Target="https://www.astrobin.com/ezt42l/" TargetMode="External"/><Relationship Id="rId2032" Type="http://schemas.openxmlformats.org/officeDocument/2006/relationships/hyperlink" Target="https://www.astrobin.com/mnlszs" TargetMode="External"/><Relationship Id="rId2337" Type="http://schemas.openxmlformats.org/officeDocument/2006/relationships/hyperlink" Target="https://www.astrobin.com/00w6za" TargetMode="External"/><Relationship Id="rId2544" Type="http://schemas.openxmlformats.org/officeDocument/2006/relationships/hyperlink" Target="https://app.astrobin.com/i/l8nyul" TargetMode="External"/><Relationship Id="rId211" Type="http://schemas.openxmlformats.org/officeDocument/2006/relationships/hyperlink" Target="https://www.astrobin.com/336606/" TargetMode="External"/><Relationship Id="rId309" Type="http://schemas.openxmlformats.org/officeDocument/2006/relationships/hyperlink" Target="https://www.astrobin.com/yj4pqy" TargetMode="External"/><Relationship Id="rId516" Type="http://schemas.openxmlformats.org/officeDocument/2006/relationships/hyperlink" Target="https://www.astrobin.com/tes1zr/" TargetMode="External"/><Relationship Id="rId1146" Type="http://schemas.openxmlformats.org/officeDocument/2006/relationships/hyperlink" Target="https://www.astrobin.com/lc0971/" TargetMode="External"/><Relationship Id="rId1798" Type="http://schemas.openxmlformats.org/officeDocument/2006/relationships/hyperlink" Target="https://www.astrobin.com/373548/" TargetMode="External"/><Relationship Id="rId723" Type="http://schemas.openxmlformats.org/officeDocument/2006/relationships/hyperlink" Target="https://www.astrobin.com/76lk2e/" TargetMode="External"/><Relationship Id="rId930" Type="http://schemas.openxmlformats.org/officeDocument/2006/relationships/hyperlink" Target="https://www.astrobin.com/iec83x/" TargetMode="External"/><Relationship Id="rId1006" Type="http://schemas.openxmlformats.org/officeDocument/2006/relationships/hyperlink" Target="https://www.astrobin.com/8g9zwx/" TargetMode="External"/><Relationship Id="rId1353" Type="http://schemas.openxmlformats.org/officeDocument/2006/relationships/hyperlink" Target="https://www.astrobin.com/m7ul84/" TargetMode="External"/><Relationship Id="rId1560" Type="http://schemas.openxmlformats.org/officeDocument/2006/relationships/hyperlink" Target="https://www.astrobin.com/ny9tfx/" TargetMode="External"/><Relationship Id="rId1658" Type="http://schemas.openxmlformats.org/officeDocument/2006/relationships/hyperlink" Target="https://www.astrobin.com/m42bti/" TargetMode="External"/><Relationship Id="rId1865" Type="http://schemas.openxmlformats.org/officeDocument/2006/relationships/hyperlink" Target="https://www.astrobin.com/ozaz8i" TargetMode="External"/><Relationship Id="rId2404" Type="http://schemas.openxmlformats.org/officeDocument/2006/relationships/hyperlink" Target="https://www.astrobin.com/nji6rn" TargetMode="External"/><Relationship Id="rId2611" Type="http://schemas.openxmlformats.org/officeDocument/2006/relationships/hyperlink" Target="https://app.astrobin.com/i/1bi8jd" TargetMode="External"/><Relationship Id="rId1213" Type="http://schemas.openxmlformats.org/officeDocument/2006/relationships/hyperlink" Target="https://www.astrobin.com/vc0vkw/" TargetMode="External"/><Relationship Id="rId1420" Type="http://schemas.openxmlformats.org/officeDocument/2006/relationships/hyperlink" Target="https://www.astrobin.com/7ddkb3/" TargetMode="External"/><Relationship Id="rId1518" Type="http://schemas.openxmlformats.org/officeDocument/2006/relationships/hyperlink" Target="https://www.astrobin.com/j22gh5/" TargetMode="External"/><Relationship Id="rId1725" Type="http://schemas.openxmlformats.org/officeDocument/2006/relationships/hyperlink" Target="https://www.astrobin.com/337342/" TargetMode="External"/><Relationship Id="rId1932" Type="http://schemas.openxmlformats.org/officeDocument/2006/relationships/hyperlink" Target="https://www.astrobin.com/gok9f0" TargetMode="External"/><Relationship Id="rId17" Type="http://schemas.openxmlformats.org/officeDocument/2006/relationships/hyperlink" Target="https://www.astrobin.com/373548/" TargetMode="External"/><Relationship Id="rId2194" Type="http://schemas.openxmlformats.org/officeDocument/2006/relationships/hyperlink" Target="https://www.astrobin.com/biqctf/" TargetMode="External"/><Relationship Id="rId166" Type="http://schemas.openxmlformats.org/officeDocument/2006/relationships/hyperlink" Target="https://www.astrobin.com/324850/" TargetMode="External"/><Relationship Id="rId373" Type="http://schemas.openxmlformats.org/officeDocument/2006/relationships/hyperlink" Target="https://www.astrobin.com/400359/" TargetMode="External"/><Relationship Id="rId580" Type="http://schemas.openxmlformats.org/officeDocument/2006/relationships/hyperlink" Target="https://www.astrobin.com/juw3n0/" TargetMode="External"/><Relationship Id="rId2054" Type="http://schemas.openxmlformats.org/officeDocument/2006/relationships/hyperlink" Target="https://www.astrobin.com/60tr0p" TargetMode="External"/><Relationship Id="rId2261" Type="http://schemas.openxmlformats.org/officeDocument/2006/relationships/hyperlink" Target="https://www.astrobin.com/roe3cx/" TargetMode="External"/><Relationship Id="rId2499" Type="http://schemas.openxmlformats.org/officeDocument/2006/relationships/hyperlink" Target="https://app.astrobin.com/i/8tix28" TargetMode="External"/><Relationship Id="rId1" Type="http://schemas.openxmlformats.org/officeDocument/2006/relationships/hyperlink" Target="https://www.astrobin.com/9q95c2/" TargetMode="External"/><Relationship Id="rId233" Type="http://schemas.openxmlformats.org/officeDocument/2006/relationships/hyperlink" Target="https://www.astrobin.com/343194/" TargetMode="External"/><Relationship Id="rId440" Type="http://schemas.openxmlformats.org/officeDocument/2006/relationships/hyperlink" Target="https://www.astrobin.com/pyfxdm" TargetMode="External"/><Relationship Id="rId678" Type="http://schemas.openxmlformats.org/officeDocument/2006/relationships/hyperlink" Target="https://www.astrobin.com/dt6pb7/" TargetMode="External"/><Relationship Id="rId885" Type="http://schemas.openxmlformats.org/officeDocument/2006/relationships/hyperlink" Target="https://www.astrobin.com/exqbjv" TargetMode="External"/><Relationship Id="rId1070" Type="http://schemas.openxmlformats.org/officeDocument/2006/relationships/hyperlink" Target="https://www.astrobin.com/dkzw60" TargetMode="External"/><Relationship Id="rId2121" Type="http://schemas.openxmlformats.org/officeDocument/2006/relationships/hyperlink" Target="https://www.astrobin.com/8qvmmg/" TargetMode="External"/><Relationship Id="rId2359" Type="http://schemas.openxmlformats.org/officeDocument/2006/relationships/hyperlink" Target="https://www.astrobin.com/442cgj" TargetMode="External"/><Relationship Id="rId2566" Type="http://schemas.openxmlformats.org/officeDocument/2006/relationships/hyperlink" Target="https://app.astrobin.com/i/mm4xjc" TargetMode="External"/><Relationship Id="rId300" Type="http://schemas.openxmlformats.org/officeDocument/2006/relationships/hyperlink" Target="https://www.astrobin.com/369142/" TargetMode="External"/><Relationship Id="rId538" Type="http://schemas.openxmlformats.org/officeDocument/2006/relationships/hyperlink" Target="https://www.astrobin.com/dtxags/" TargetMode="External"/><Relationship Id="rId745" Type="http://schemas.openxmlformats.org/officeDocument/2006/relationships/hyperlink" Target="https://www.astrobin.com/z23x4d/" TargetMode="External"/><Relationship Id="rId952" Type="http://schemas.openxmlformats.org/officeDocument/2006/relationships/hyperlink" Target="https://www.astrobin.com/mzfblp/" TargetMode="External"/><Relationship Id="rId1168" Type="http://schemas.openxmlformats.org/officeDocument/2006/relationships/hyperlink" Target="https://www.astrobin.com/vaf1xj/" TargetMode="External"/><Relationship Id="rId1375" Type="http://schemas.openxmlformats.org/officeDocument/2006/relationships/hyperlink" Target="https://www.astrobin.com/wm8vap/" TargetMode="External"/><Relationship Id="rId1582" Type="http://schemas.openxmlformats.org/officeDocument/2006/relationships/hyperlink" Target="https://www.astrobin.com/mhtf2p/" TargetMode="External"/><Relationship Id="rId2219" Type="http://schemas.openxmlformats.org/officeDocument/2006/relationships/hyperlink" Target="https://www.astrobin.com/406677/" TargetMode="External"/><Relationship Id="rId2426" Type="http://schemas.openxmlformats.org/officeDocument/2006/relationships/hyperlink" Target="https://www.astrobin.com/w9d395" TargetMode="External"/><Relationship Id="rId2633" Type="http://schemas.openxmlformats.org/officeDocument/2006/relationships/hyperlink" Target="https://app.astrobin.com/i/krks60" TargetMode="External"/><Relationship Id="rId81" Type="http://schemas.openxmlformats.org/officeDocument/2006/relationships/hyperlink" Target="https://www.astrobin.com/fivawj/" TargetMode="External"/><Relationship Id="rId605" Type="http://schemas.openxmlformats.org/officeDocument/2006/relationships/hyperlink" Target="https://www.astrobin.com/pvmqnm/" TargetMode="External"/><Relationship Id="rId812" Type="http://schemas.openxmlformats.org/officeDocument/2006/relationships/hyperlink" Target="https://www.astrobin.com/v952ad/" TargetMode="External"/><Relationship Id="rId1028" Type="http://schemas.openxmlformats.org/officeDocument/2006/relationships/hyperlink" Target="https://www.astrobin.com/77khgh/" TargetMode="External"/><Relationship Id="rId1235" Type="http://schemas.openxmlformats.org/officeDocument/2006/relationships/hyperlink" Target="https://www.astrobin.com/foy3gg/" TargetMode="External"/><Relationship Id="rId1442" Type="http://schemas.openxmlformats.org/officeDocument/2006/relationships/hyperlink" Target="https://www.astrobin.com/63jvkx/" TargetMode="External"/><Relationship Id="rId1887" Type="http://schemas.openxmlformats.org/officeDocument/2006/relationships/hyperlink" Target="https://www.astrobin.com/hww5vc" TargetMode="External"/><Relationship Id="rId1302" Type="http://schemas.openxmlformats.org/officeDocument/2006/relationships/hyperlink" Target="https://www.astrobin.com/hwm3nt/" TargetMode="External"/><Relationship Id="rId1747" Type="http://schemas.openxmlformats.org/officeDocument/2006/relationships/hyperlink" Target="https://www.astrobin.com/0swsv2" TargetMode="External"/><Relationship Id="rId1954" Type="http://schemas.openxmlformats.org/officeDocument/2006/relationships/hyperlink" Target="https://app.astrobin.com/i/7p64cf" TargetMode="External"/><Relationship Id="rId39" Type="http://schemas.openxmlformats.org/officeDocument/2006/relationships/hyperlink" Target="https://www.astrobin.com/g887k1/?nc=collection&amp;nce=1924" TargetMode="External"/><Relationship Id="rId1607" Type="http://schemas.openxmlformats.org/officeDocument/2006/relationships/hyperlink" Target="https://www.astrobin.com/u4q64r" TargetMode="External"/><Relationship Id="rId1814" Type="http://schemas.openxmlformats.org/officeDocument/2006/relationships/hyperlink" Target="https://www.astrobin.com/c8pjys/?nc=collection&amp;nce=1924" TargetMode="External"/><Relationship Id="rId188" Type="http://schemas.openxmlformats.org/officeDocument/2006/relationships/hyperlink" Target="https://www.astrobin.com/3ndztw" TargetMode="External"/><Relationship Id="rId395" Type="http://schemas.openxmlformats.org/officeDocument/2006/relationships/hyperlink" Target="https://www.astrobin.com/lv2ffz/" TargetMode="External"/><Relationship Id="rId2076" Type="http://schemas.openxmlformats.org/officeDocument/2006/relationships/hyperlink" Target="https://www.astrobin.com/418738/" TargetMode="External"/><Relationship Id="rId2283" Type="http://schemas.openxmlformats.org/officeDocument/2006/relationships/hyperlink" Target="https://www.astrobin.com/9yxe4j/" TargetMode="External"/><Relationship Id="rId2490" Type="http://schemas.openxmlformats.org/officeDocument/2006/relationships/hyperlink" Target="https://app.astrobin.com/i/joj9cz" TargetMode="External"/><Relationship Id="rId2588" Type="http://schemas.openxmlformats.org/officeDocument/2006/relationships/hyperlink" Target="https://app.astrobin.com/i/4mhdpm" TargetMode="External"/><Relationship Id="rId255" Type="http://schemas.openxmlformats.org/officeDocument/2006/relationships/hyperlink" Target="https://www.astrobin.com/351264/" TargetMode="External"/><Relationship Id="rId462" Type="http://schemas.openxmlformats.org/officeDocument/2006/relationships/hyperlink" Target="https://www.astrobin.com/eqc2sd/" TargetMode="External"/><Relationship Id="rId1092" Type="http://schemas.openxmlformats.org/officeDocument/2006/relationships/hyperlink" Target="https://www.astrobin.com/qnylnv/" TargetMode="External"/><Relationship Id="rId1397" Type="http://schemas.openxmlformats.org/officeDocument/2006/relationships/hyperlink" Target="https://www.astrobin.com/k23lzn/" TargetMode="External"/><Relationship Id="rId2143" Type="http://schemas.openxmlformats.org/officeDocument/2006/relationships/hyperlink" Target="https://www.astrobin.com/zxq5jr/" TargetMode="External"/><Relationship Id="rId2350" Type="http://schemas.openxmlformats.org/officeDocument/2006/relationships/hyperlink" Target="https://www.astrobin.com/vrm8ud" TargetMode="External"/><Relationship Id="rId115" Type="http://schemas.openxmlformats.org/officeDocument/2006/relationships/hyperlink" Target="https://app.astrobin.com/i/ch1e64" TargetMode="External"/><Relationship Id="rId322" Type="http://schemas.openxmlformats.org/officeDocument/2006/relationships/hyperlink" Target="https://www.astrobin.com/379934/" TargetMode="External"/><Relationship Id="rId767" Type="http://schemas.openxmlformats.org/officeDocument/2006/relationships/hyperlink" Target="https://www.astrobin.com/ijpsxg/" TargetMode="External"/><Relationship Id="rId974" Type="http://schemas.openxmlformats.org/officeDocument/2006/relationships/hyperlink" Target="https://www.astrobin.com/o6b4f7/" TargetMode="External"/><Relationship Id="rId2003" Type="http://schemas.openxmlformats.org/officeDocument/2006/relationships/hyperlink" Target="https://www.astrobin.com/t3qv42" TargetMode="External"/><Relationship Id="rId2210" Type="http://schemas.openxmlformats.org/officeDocument/2006/relationships/hyperlink" Target="https://www.astrobin.com/cocyaa/" TargetMode="External"/><Relationship Id="rId2448" Type="http://schemas.openxmlformats.org/officeDocument/2006/relationships/hyperlink" Target="https://www.astrobin.com/at4q1m" TargetMode="External"/><Relationship Id="rId627" Type="http://schemas.openxmlformats.org/officeDocument/2006/relationships/hyperlink" Target="https://www.astrobin.com/dxkr6q/" TargetMode="External"/><Relationship Id="rId834" Type="http://schemas.openxmlformats.org/officeDocument/2006/relationships/hyperlink" Target="https://www.astrobin.com/ewqoip/" TargetMode="External"/><Relationship Id="rId1257" Type="http://schemas.openxmlformats.org/officeDocument/2006/relationships/hyperlink" Target="https://www.astrobin.com/2mbco2/" TargetMode="External"/><Relationship Id="rId1464" Type="http://schemas.openxmlformats.org/officeDocument/2006/relationships/hyperlink" Target="https://www.astrobin.com/u43rqq/" TargetMode="External"/><Relationship Id="rId1671" Type="http://schemas.openxmlformats.org/officeDocument/2006/relationships/hyperlink" Target="https://www.astrobin.com/4cdtfl/?q=imm%204298" TargetMode="External"/><Relationship Id="rId2308" Type="http://schemas.openxmlformats.org/officeDocument/2006/relationships/hyperlink" Target="https://www.astrobin.com/sme70y" TargetMode="External"/><Relationship Id="rId2515" Type="http://schemas.openxmlformats.org/officeDocument/2006/relationships/hyperlink" Target="https://app.astrobin.com/i/do1yqx" TargetMode="External"/><Relationship Id="rId901" Type="http://schemas.openxmlformats.org/officeDocument/2006/relationships/hyperlink" Target="https://www.astrobin.com/uni3yt/" TargetMode="External"/><Relationship Id="rId1117" Type="http://schemas.openxmlformats.org/officeDocument/2006/relationships/hyperlink" Target="https://www.astrobin.com/opr9a8/" TargetMode="External"/><Relationship Id="rId1324" Type="http://schemas.openxmlformats.org/officeDocument/2006/relationships/hyperlink" Target="https://www.astrobin.com/w0fsz3/" TargetMode="External"/><Relationship Id="rId1531" Type="http://schemas.openxmlformats.org/officeDocument/2006/relationships/hyperlink" Target="https://www.astrobin.com/qbek6e/" TargetMode="External"/><Relationship Id="rId1769" Type="http://schemas.openxmlformats.org/officeDocument/2006/relationships/hyperlink" Target="https://www.astrobin.com/ei52a2" TargetMode="External"/><Relationship Id="rId1976" Type="http://schemas.openxmlformats.org/officeDocument/2006/relationships/hyperlink" Target="https://www.astrobin.com/h3qq1g" TargetMode="External"/><Relationship Id="rId30" Type="http://schemas.openxmlformats.org/officeDocument/2006/relationships/hyperlink" Target="https://www.astrobin.com/322584/" TargetMode="External"/><Relationship Id="rId1629" Type="http://schemas.openxmlformats.org/officeDocument/2006/relationships/hyperlink" Target="https://www.astrobin.com/g59wg5/" TargetMode="External"/><Relationship Id="rId1836" Type="http://schemas.openxmlformats.org/officeDocument/2006/relationships/hyperlink" Target="https://www.astrobin.com/xm1l59" TargetMode="External"/><Relationship Id="rId1903" Type="http://schemas.openxmlformats.org/officeDocument/2006/relationships/hyperlink" Target="https://www.astrobin.com/cbawgh" TargetMode="External"/><Relationship Id="rId2098" Type="http://schemas.openxmlformats.org/officeDocument/2006/relationships/hyperlink" Target="https://www.astrobin.com/ezgxhx/" TargetMode="External"/><Relationship Id="rId277" Type="http://schemas.openxmlformats.org/officeDocument/2006/relationships/hyperlink" Target="https://app.astrobin.com/i/pkh71q" TargetMode="External"/><Relationship Id="rId484" Type="http://schemas.openxmlformats.org/officeDocument/2006/relationships/hyperlink" Target="https://www.astrobin.com/r1mncp/" TargetMode="External"/><Relationship Id="rId2165" Type="http://schemas.openxmlformats.org/officeDocument/2006/relationships/hyperlink" Target="https://www.astrobin.com/c77xfo" TargetMode="External"/><Relationship Id="rId137" Type="http://schemas.openxmlformats.org/officeDocument/2006/relationships/hyperlink" Target="https://www.astrobin.com/l5a1k8/" TargetMode="External"/><Relationship Id="rId344" Type="http://schemas.openxmlformats.org/officeDocument/2006/relationships/hyperlink" Target="https://www.astrobin.com/f9ltp4" TargetMode="External"/><Relationship Id="rId691" Type="http://schemas.openxmlformats.org/officeDocument/2006/relationships/hyperlink" Target="https://www.astrobin.com/4nai9g/" TargetMode="External"/><Relationship Id="rId789" Type="http://schemas.openxmlformats.org/officeDocument/2006/relationships/hyperlink" Target="https://www.astrobin.com/08yc89/" TargetMode="External"/><Relationship Id="rId996" Type="http://schemas.openxmlformats.org/officeDocument/2006/relationships/hyperlink" Target="https://app.astrobin.com/i/onx11k" TargetMode="External"/><Relationship Id="rId2025" Type="http://schemas.openxmlformats.org/officeDocument/2006/relationships/hyperlink" Target="https://www.astrobin.com/iy4k8f" TargetMode="External"/><Relationship Id="rId2372" Type="http://schemas.openxmlformats.org/officeDocument/2006/relationships/hyperlink" Target="https://www.astrobin.com/oy3prj" TargetMode="External"/><Relationship Id="rId551" Type="http://schemas.openxmlformats.org/officeDocument/2006/relationships/hyperlink" Target="https://www.astrobin.com/ladj0m/" TargetMode="External"/><Relationship Id="rId649" Type="http://schemas.openxmlformats.org/officeDocument/2006/relationships/hyperlink" Target="https://www.astrobin.com/1f61l9/" TargetMode="External"/><Relationship Id="rId856" Type="http://schemas.openxmlformats.org/officeDocument/2006/relationships/hyperlink" Target="https://www.astrobin.com/njbah4/" TargetMode="External"/><Relationship Id="rId1181" Type="http://schemas.openxmlformats.org/officeDocument/2006/relationships/hyperlink" Target="https://www.astrobin.com/gm5y6f/" TargetMode="External"/><Relationship Id="rId1279" Type="http://schemas.openxmlformats.org/officeDocument/2006/relationships/hyperlink" Target="https://www.astrobin.com/u8wsnn/" TargetMode="External"/><Relationship Id="rId1486" Type="http://schemas.openxmlformats.org/officeDocument/2006/relationships/hyperlink" Target="https://www.astrobin.com/xwwhr3/" TargetMode="External"/><Relationship Id="rId2232" Type="http://schemas.openxmlformats.org/officeDocument/2006/relationships/hyperlink" Target="https://www.astrobin.com/fi8zoe" TargetMode="External"/><Relationship Id="rId2537" Type="http://schemas.openxmlformats.org/officeDocument/2006/relationships/hyperlink" Target="https://app.astrobin.com/i/92830h" TargetMode="External"/><Relationship Id="rId204" Type="http://schemas.openxmlformats.org/officeDocument/2006/relationships/hyperlink" Target="https://www.astrobin.com/331899/" TargetMode="External"/><Relationship Id="rId411" Type="http://schemas.openxmlformats.org/officeDocument/2006/relationships/hyperlink" Target="https://app.astrobin.com/i/rcm6s5" TargetMode="External"/><Relationship Id="rId509" Type="http://schemas.openxmlformats.org/officeDocument/2006/relationships/hyperlink" Target="https://app.astrobin.com/i/t92k14" TargetMode="External"/><Relationship Id="rId1041" Type="http://schemas.openxmlformats.org/officeDocument/2006/relationships/hyperlink" Target="https://www.astrobin.com/fqooor/" TargetMode="External"/><Relationship Id="rId1139" Type="http://schemas.openxmlformats.org/officeDocument/2006/relationships/hyperlink" Target="https://www.astrobin.com/ezjsve/" TargetMode="External"/><Relationship Id="rId1346" Type="http://schemas.openxmlformats.org/officeDocument/2006/relationships/hyperlink" Target="https://www.astrobin.com/q03qq0/" TargetMode="External"/><Relationship Id="rId1693" Type="http://schemas.openxmlformats.org/officeDocument/2006/relationships/hyperlink" Target="https://www.astrobin.com/4qjnxn/" TargetMode="External"/><Relationship Id="rId1998" Type="http://schemas.openxmlformats.org/officeDocument/2006/relationships/hyperlink" Target="https://www.astrobin.com/fv7vye" TargetMode="External"/><Relationship Id="rId716" Type="http://schemas.openxmlformats.org/officeDocument/2006/relationships/hyperlink" Target="https://www.astrobin.com/r5qwt5" TargetMode="External"/><Relationship Id="rId923" Type="http://schemas.openxmlformats.org/officeDocument/2006/relationships/hyperlink" Target="https://www.astrobin.com/ozeyn6/" TargetMode="External"/><Relationship Id="rId1553" Type="http://schemas.openxmlformats.org/officeDocument/2006/relationships/hyperlink" Target="https://www.astrobin.com/qi33d3/" TargetMode="External"/><Relationship Id="rId1760" Type="http://schemas.openxmlformats.org/officeDocument/2006/relationships/hyperlink" Target="https://www.astrobin.com/ira47d" TargetMode="External"/><Relationship Id="rId1858" Type="http://schemas.openxmlformats.org/officeDocument/2006/relationships/hyperlink" Target="https://app.astrobin.com/i/gv47jk" TargetMode="External"/><Relationship Id="rId2604" Type="http://schemas.openxmlformats.org/officeDocument/2006/relationships/hyperlink" Target="https://app.astrobin.com/i/2vem7u" TargetMode="External"/><Relationship Id="rId52" Type="http://schemas.openxmlformats.org/officeDocument/2006/relationships/hyperlink" Target="https://www.astrobin.com/6rot1y/" TargetMode="External"/><Relationship Id="rId1206" Type="http://schemas.openxmlformats.org/officeDocument/2006/relationships/hyperlink" Target="https://www.astrobin.com/ah6cbi/" TargetMode="External"/><Relationship Id="rId1413" Type="http://schemas.openxmlformats.org/officeDocument/2006/relationships/hyperlink" Target="https://www.astrobin.com/kvi7fk/" TargetMode="External"/><Relationship Id="rId1620" Type="http://schemas.openxmlformats.org/officeDocument/2006/relationships/hyperlink" Target="https://www.astrobin.com/332irc/" TargetMode="External"/><Relationship Id="rId1718" Type="http://schemas.openxmlformats.org/officeDocument/2006/relationships/hyperlink" Target="https://www.astrobin.com/4qgp8h" TargetMode="External"/><Relationship Id="rId1925" Type="http://schemas.openxmlformats.org/officeDocument/2006/relationships/hyperlink" Target="https://www.astrobin.com/alfs8o" TargetMode="External"/><Relationship Id="rId299" Type="http://schemas.openxmlformats.org/officeDocument/2006/relationships/hyperlink" Target="https://app.astrobin.com/i/awl9qe" TargetMode="External"/><Relationship Id="rId2187" Type="http://schemas.openxmlformats.org/officeDocument/2006/relationships/hyperlink" Target="https://www.astrobin.com/0pxzj0" TargetMode="External"/><Relationship Id="rId2394" Type="http://schemas.openxmlformats.org/officeDocument/2006/relationships/hyperlink" Target="https://www.astrobin.com/7b4sc6" TargetMode="External"/><Relationship Id="rId159" Type="http://schemas.openxmlformats.org/officeDocument/2006/relationships/hyperlink" Target="https://www.astrobin.com/323983/" TargetMode="External"/><Relationship Id="rId366" Type="http://schemas.openxmlformats.org/officeDocument/2006/relationships/hyperlink" Target="https://app.astrobin.com/i/ct8sc3" TargetMode="External"/><Relationship Id="rId573" Type="http://schemas.openxmlformats.org/officeDocument/2006/relationships/hyperlink" Target="https://www.astrobin.com/86rll2" TargetMode="External"/><Relationship Id="rId780" Type="http://schemas.openxmlformats.org/officeDocument/2006/relationships/hyperlink" Target="https://www.astrobin.com/0tg226/" TargetMode="External"/><Relationship Id="rId2047" Type="http://schemas.openxmlformats.org/officeDocument/2006/relationships/hyperlink" Target="https://www.astrobin.com/h477p5" TargetMode="External"/><Relationship Id="rId2254" Type="http://schemas.openxmlformats.org/officeDocument/2006/relationships/hyperlink" Target="https://www.astrobin.com/dhv8qq" TargetMode="External"/><Relationship Id="rId2461" Type="http://schemas.openxmlformats.org/officeDocument/2006/relationships/hyperlink" Target="https://www.astrobin.com/395143" TargetMode="External"/><Relationship Id="rId226" Type="http://schemas.openxmlformats.org/officeDocument/2006/relationships/hyperlink" Target="https://www.astrobin.com/o4c1zq" TargetMode="External"/><Relationship Id="rId433" Type="http://schemas.openxmlformats.org/officeDocument/2006/relationships/hyperlink" Target="https://app.astrobin.com/i/q6q84x" TargetMode="External"/><Relationship Id="rId878" Type="http://schemas.openxmlformats.org/officeDocument/2006/relationships/hyperlink" Target="https://www.astrobin.com/yz5u1e" TargetMode="External"/><Relationship Id="rId1063" Type="http://schemas.openxmlformats.org/officeDocument/2006/relationships/hyperlink" Target="https://www.astrobin.com/xes6uj" TargetMode="External"/><Relationship Id="rId1270" Type="http://schemas.openxmlformats.org/officeDocument/2006/relationships/hyperlink" Target="https://www.astrobin.com/uwzyk7/" TargetMode="External"/><Relationship Id="rId2114" Type="http://schemas.openxmlformats.org/officeDocument/2006/relationships/hyperlink" Target="https://www.astrobin.com/0qosgs/" TargetMode="External"/><Relationship Id="rId2559" Type="http://schemas.openxmlformats.org/officeDocument/2006/relationships/hyperlink" Target="https://app.astrobin.com/i/xxtsjg" TargetMode="External"/><Relationship Id="rId640" Type="http://schemas.openxmlformats.org/officeDocument/2006/relationships/hyperlink" Target="https://www.astrobin.com/3gpxw6/" TargetMode="External"/><Relationship Id="rId738" Type="http://schemas.openxmlformats.org/officeDocument/2006/relationships/hyperlink" Target="https://www.astrobin.com/dv995v/" TargetMode="External"/><Relationship Id="rId945" Type="http://schemas.openxmlformats.org/officeDocument/2006/relationships/hyperlink" Target="https://www.astrobin.com/q5txp2/" TargetMode="External"/><Relationship Id="rId1368" Type="http://schemas.openxmlformats.org/officeDocument/2006/relationships/hyperlink" Target="https://www.astrobin.com/7tze6b/" TargetMode="External"/><Relationship Id="rId1575" Type="http://schemas.openxmlformats.org/officeDocument/2006/relationships/hyperlink" Target="https://www.astrobin.com/6uyzw3/" TargetMode="External"/><Relationship Id="rId1782" Type="http://schemas.openxmlformats.org/officeDocument/2006/relationships/hyperlink" Target="https://www.astrobin.com/xvnskq" TargetMode="External"/><Relationship Id="rId2321" Type="http://schemas.openxmlformats.org/officeDocument/2006/relationships/hyperlink" Target="https://www.astrobin.com/6znzub" TargetMode="External"/><Relationship Id="rId2419" Type="http://schemas.openxmlformats.org/officeDocument/2006/relationships/hyperlink" Target="https://www.astrobin.com/yf5mil" TargetMode="External"/><Relationship Id="rId2626" Type="http://schemas.openxmlformats.org/officeDocument/2006/relationships/hyperlink" Target="https://app.astrobin.com/i/mq3dde" TargetMode="External"/><Relationship Id="rId74" Type="http://schemas.openxmlformats.org/officeDocument/2006/relationships/hyperlink" Target="https://www.astrobin.com/fz6nsx/" TargetMode="External"/><Relationship Id="rId500" Type="http://schemas.openxmlformats.org/officeDocument/2006/relationships/hyperlink" Target="https://www.astrobin.com/1mxk55/" TargetMode="External"/><Relationship Id="rId805" Type="http://schemas.openxmlformats.org/officeDocument/2006/relationships/hyperlink" Target="https://www.astrobin.com/mscc5a/" TargetMode="External"/><Relationship Id="rId1130" Type="http://schemas.openxmlformats.org/officeDocument/2006/relationships/hyperlink" Target="https://www.astrobin.com/tlwrou/" TargetMode="External"/><Relationship Id="rId1228" Type="http://schemas.openxmlformats.org/officeDocument/2006/relationships/hyperlink" Target="https://www.astrobin.com/9iir98/" TargetMode="External"/><Relationship Id="rId1435" Type="http://schemas.openxmlformats.org/officeDocument/2006/relationships/hyperlink" Target="https://www.astrobin.com/1c1s40/" TargetMode="External"/><Relationship Id="rId1642" Type="http://schemas.openxmlformats.org/officeDocument/2006/relationships/hyperlink" Target="https://www.astrobin.com/o6f7wi/" TargetMode="External"/><Relationship Id="rId1947" Type="http://schemas.openxmlformats.org/officeDocument/2006/relationships/hyperlink" Target="https://www.astrobin.com/k0ltfp" TargetMode="External"/><Relationship Id="rId1502" Type="http://schemas.openxmlformats.org/officeDocument/2006/relationships/hyperlink" Target="https://www.astrobin.com/5xabci/" TargetMode="External"/><Relationship Id="rId1807" Type="http://schemas.openxmlformats.org/officeDocument/2006/relationships/hyperlink" Target="https://www.astrobin.com/4j55r7/" TargetMode="External"/><Relationship Id="rId290" Type="http://schemas.openxmlformats.org/officeDocument/2006/relationships/hyperlink" Target="https://www.astrobin.com/362152/" TargetMode="External"/><Relationship Id="rId388" Type="http://schemas.openxmlformats.org/officeDocument/2006/relationships/hyperlink" Target="https://www.astrobin.com/405781/" TargetMode="External"/><Relationship Id="rId2069" Type="http://schemas.openxmlformats.org/officeDocument/2006/relationships/hyperlink" Target="https://www.astrobin.com/42hyb3" TargetMode="External"/><Relationship Id="rId150" Type="http://schemas.openxmlformats.org/officeDocument/2006/relationships/hyperlink" Target="https://www.astrobin.com/ryv3iu" TargetMode="External"/><Relationship Id="rId595" Type="http://schemas.openxmlformats.org/officeDocument/2006/relationships/hyperlink" Target="https://www.astrobin.com/cbppua/" TargetMode="External"/><Relationship Id="rId2276" Type="http://schemas.openxmlformats.org/officeDocument/2006/relationships/hyperlink" Target="https://www.astrobin.com/p40wty/" TargetMode="External"/><Relationship Id="rId2483" Type="http://schemas.openxmlformats.org/officeDocument/2006/relationships/hyperlink" Target="https://app.astrobin.com/i/zrcb28" TargetMode="External"/><Relationship Id="rId248" Type="http://schemas.openxmlformats.org/officeDocument/2006/relationships/hyperlink" Target="https://www.astrobin.com/dcuiyh" TargetMode="External"/><Relationship Id="rId455" Type="http://schemas.openxmlformats.org/officeDocument/2006/relationships/hyperlink" Target="https://www.astrobin.com/hyz6vg/" TargetMode="External"/><Relationship Id="rId662" Type="http://schemas.openxmlformats.org/officeDocument/2006/relationships/hyperlink" Target="https://www.astrobin.com/hbuo9h/" TargetMode="External"/><Relationship Id="rId1085" Type="http://schemas.openxmlformats.org/officeDocument/2006/relationships/hyperlink" Target="https://www.astrobin.com/gmpfl4/" TargetMode="External"/><Relationship Id="rId1292" Type="http://schemas.openxmlformats.org/officeDocument/2006/relationships/hyperlink" Target="https://www.astrobin.com/ldpt94/?q=Imm%20%208696" TargetMode="External"/><Relationship Id="rId2136" Type="http://schemas.openxmlformats.org/officeDocument/2006/relationships/hyperlink" Target="https://www.astrobin.com/d112yk/" TargetMode="External"/><Relationship Id="rId2343" Type="http://schemas.openxmlformats.org/officeDocument/2006/relationships/hyperlink" Target="https://www.astrobin.com/blsg2n/" TargetMode="External"/><Relationship Id="rId2550" Type="http://schemas.openxmlformats.org/officeDocument/2006/relationships/hyperlink" Target="https://app.astrobin.com/i/inowt2" TargetMode="External"/><Relationship Id="rId108" Type="http://schemas.openxmlformats.org/officeDocument/2006/relationships/hyperlink" Target="https://app.astrobin.com/i/hn4pki" TargetMode="External"/><Relationship Id="rId315" Type="http://schemas.openxmlformats.org/officeDocument/2006/relationships/hyperlink" Target="https://app.astrobin.com/i/2hiw9i" TargetMode="External"/><Relationship Id="rId522" Type="http://schemas.openxmlformats.org/officeDocument/2006/relationships/hyperlink" Target="https://www.astrobin.com/4iwtjv/" TargetMode="External"/><Relationship Id="rId967" Type="http://schemas.openxmlformats.org/officeDocument/2006/relationships/hyperlink" Target="https://www.astrobin.com/dppb1p/" TargetMode="External"/><Relationship Id="rId1152" Type="http://schemas.openxmlformats.org/officeDocument/2006/relationships/hyperlink" Target="https://www.astrobin.com/gmunf3/" TargetMode="External"/><Relationship Id="rId1597" Type="http://schemas.openxmlformats.org/officeDocument/2006/relationships/hyperlink" Target="https://www.astrobin.com/gkqgio/" TargetMode="External"/><Relationship Id="rId2203" Type="http://schemas.openxmlformats.org/officeDocument/2006/relationships/hyperlink" Target="https://www.astrobin.com/hfngea" TargetMode="External"/><Relationship Id="rId2410" Type="http://schemas.openxmlformats.org/officeDocument/2006/relationships/hyperlink" Target="https://www.astrobin.com/36cjel" TargetMode="External"/><Relationship Id="rId2648" Type="http://schemas.openxmlformats.org/officeDocument/2006/relationships/hyperlink" Target="https://app.astrobin.com/i/53pgex" TargetMode="External"/><Relationship Id="rId96" Type="http://schemas.openxmlformats.org/officeDocument/2006/relationships/hyperlink" Target="https://app.astrobin.com/i/4w4m9o" TargetMode="External"/><Relationship Id="rId827" Type="http://schemas.openxmlformats.org/officeDocument/2006/relationships/hyperlink" Target="https://www.astrobin.com/pmevxl/" TargetMode="External"/><Relationship Id="rId1012" Type="http://schemas.openxmlformats.org/officeDocument/2006/relationships/hyperlink" Target="https://www.astrobin.com/yoq51b/" TargetMode="External"/><Relationship Id="rId1457" Type="http://schemas.openxmlformats.org/officeDocument/2006/relationships/hyperlink" Target="https://www.astrobin.com/9z5l3k/" TargetMode="External"/><Relationship Id="rId1664" Type="http://schemas.openxmlformats.org/officeDocument/2006/relationships/hyperlink" Target="https://www.astrobin.com/qakoom/" TargetMode="External"/><Relationship Id="rId1871" Type="http://schemas.openxmlformats.org/officeDocument/2006/relationships/hyperlink" Target="https://www.astrobin.com/048exf" TargetMode="External"/><Relationship Id="rId2508" Type="http://schemas.openxmlformats.org/officeDocument/2006/relationships/hyperlink" Target="https://app.astrobin.com/i/su6jqf" TargetMode="External"/><Relationship Id="rId1317" Type="http://schemas.openxmlformats.org/officeDocument/2006/relationships/hyperlink" Target="https://www.astrobin.com/p09n2y/" TargetMode="External"/><Relationship Id="rId1524" Type="http://schemas.openxmlformats.org/officeDocument/2006/relationships/hyperlink" Target="https://www.astrobin.com/ws2182/" TargetMode="External"/><Relationship Id="rId1731" Type="http://schemas.openxmlformats.org/officeDocument/2006/relationships/hyperlink" Target="https://www.astrobin.com/f0wqfk/" TargetMode="External"/><Relationship Id="rId1969" Type="http://schemas.openxmlformats.org/officeDocument/2006/relationships/hyperlink" Target="https://www.astrobin.com/mf6u5j" TargetMode="External"/><Relationship Id="rId23" Type="http://schemas.openxmlformats.org/officeDocument/2006/relationships/hyperlink" Target="https://www.astrobin.com/nh5se7/" TargetMode="External"/><Relationship Id="rId1829" Type="http://schemas.openxmlformats.org/officeDocument/2006/relationships/hyperlink" Target="https://www.astrobin.com/gol9fj" TargetMode="External"/><Relationship Id="rId2298" Type="http://schemas.openxmlformats.org/officeDocument/2006/relationships/hyperlink" Target="https://www.astrobin.com/ae5f0e/" TargetMode="External"/><Relationship Id="rId172" Type="http://schemas.openxmlformats.org/officeDocument/2006/relationships/hyperlink" Target="https://www.astrobin.com/1mqd71" TargetMode="External"/><Relationship Id="rId477" Type="http://schemas.openxmlformats.org/officeDocument/2006/relationships/hyperlink" Target="https://www.astrobin.com/kq1eaw/" TargetMode="External"/><Relationship Id="rId684" Type="http://schemas.openxmlformats.org/officeDocument/2006/relationships/hyperlink" Target="https://www.astrobin.com/py8dgf/" TargetMode="External"/><Relationship Id="rId2060" Type="http://schemas.openxmlformats.org/officeDocument/2006/relationships/hyperlink" Target="https://www.astrobin.com/xwlnwj/" TargetMode="External"/><Relationship Id="rId2158" Type="http://schemas.openxmlformats.org/officeDocument/2006/relationships/hyperlink" Target="https://www.astrobin.com/dyvm2g" TargetMode="External"/><Relationship Id="rId2365" Type="http://schemas.openxmlformats.org/officeDocument/2006/relationships/hyperlink" Target="https://www.astrobin.com/drtdbw" TargetMode="External"/><Relationship Id="rId337" Type="http://schemas.openxmlformats.org/officeDocument/2006/relationships/hyperlink" Target="https://www.astrobin.com/k96zlq" TargetMode="External"/><Relationship Id="rId891" Type="http://schemas.openxmlformats.org/officeDocument/2006/relationships/hyperlink" Target="https://www.astrobin.com/a7iz88/" TargetMode="External"/><Relationship Id="rId989" Type="http://schemas.openxmlformats.org/officeDocument/2006/relationships/hyperlink" Target="https://www.astrobin.com/zhds0t/" TargetMode="External"/><Relationship Id="rId2018" Type="http://schemas.openxmlformats.org/officeDocument/2006/relationships/hyperlink" Target="https://www.astrobin.com/9jv0bd" TargetMode="External"/><Relationship Id="rId2572" Type="http://schemas.openxmlformats.org/officeDocument/2006/relationships/hyperlink" Target="https://app.astrobin.com/i/xqu0x0" TargetMode="External"/><Relationship Id="rId544" Type="http://schemas.openxmlformats.org/officeDocument/2006/relationships/hyperlink" Target="https://www.astrobin.com/k00agt/" TargetMode="External"/><Relationship Id="rId751" Type="http://schemas.openxmlformats.org/officeDocument/2006/relationships/hyperlink" Target="https://www.astrobin.com/is9zt0/" TargetMode="External"/><Relationship Id="rId849" Type="http://schemas.openxmlformats.org/officeDocument/2006/relationships/hyperlink" Target="https://www.astrobin.com/q0ry1c/" TargetMode="External"/><Relationship Id="rId1174" Type="http://schemas.openxmlformats.org/officeDocument/2006/relationships/hyperlink" Target="https://www.astrobin.com/23ljsl/" TargetMode="External"/><Relationship Id="rId1381" Type="http://schemas.openxmlformats.org/officeDocument/2006/relationships/hyperlink" Target="https://www.astrobin.com/r2pxoe/" TargetMode="External"/><Relationship Id="rId1479" Type="http://schemas.openxmlformats.org/officeDocument/2006/relationships/hyperlink" Target="https://www.astrobin.com/drmm8r/" TargetMode="External"/><Relationship Id="rId1686" Type="http://schemas.openxmlformats.org/officeDocument/2006/relationships/hyperlink" Target="https://www.astrobin.com/t8lhej/" TargetMode="External"/><Relationship Id="rId2225" Type="http://schemas.openxmlformats.org/officeDocument/2006/relationships/hyperlink" Target="https://www.astrobin.com/y5xtb1" TargetMode="External"/><Relationship Id="rId2432" Type="http://schemas.openxmlformats.org/officeDocument/2006/relationships/hyperlink" Target="https://www.astrobin.com/u9e85q" TargetMode="External"/><Relationship Id="rId404" Type="http://schemas.openxmlformats.org/officeDocument/2006/relationships/hyperlink" Target="https://www.astrobin.com/6s6pg0" TargetMode="External"/><Relationship Id="rId611" Type="http://schemas.openxmlformats.org/officeDocument/2006/relationships/hyperlink" Target="https://www.astrobin.com/f49lvw" TargetMode="External"/><Relationship Id="rId1034" Type="http://schemas.openxmlformats.org/officeDocument/2006/relationships/hyperlink" Target="https://www.astrobin.com/xl58gc/" TargetMode="External"/><Relationship Id="rId1241" Type="http://schemas.openxmlformats.org/officeDocument/2006/relationships/hyperlink" Target="https://www.astrobin.com/xy6gx6/" TargetMode="External"/><Relationship Id="rId1339" Type="http://schemas.openxmlformats.org/officeDocument/2006/relationships/hyperlink" Target="https://www.astrobin.com/9ce5qw/" TargetMode="External"/><Relationship Id="rId1893" Type="http://schemas.openxmlformats.org/officeDocument/2006/relationships/hyperlink" Target="https://www.astrobin.com/tzj551" TargetMode="External"/><Relationship Id="rId709" Type="http://schemas.openxmlformats.org/officeDocument/2006/relationships/hyperlink" Target="https://www.astrobin.com/z3b4k6" TargetMode="External"/><Relationship Id="rId916" Type="http://schemas.openxmlformats.org/officeDocument/2006/relationships/hyperlink" Target="https://www.astrobin.com/lu4fjy" TargetMode="External"/><Relationship Id="rId1101" Type="http://schemas.openxmlformats.org/officeDocument/2006/relationships/hyperlink" Target="https://www.astrobin.com/6gu2mh/" TargetMode="External"/><Relationship Id="rId1546" Type="http://schemas.openxmlformats.org/officeDocument/2006/relationships/hyperlink" Target="https://www.astrobin.com/08163a/" TargetMode="External"/><Relationship Id="rId1753" Type="http://schemas.openxmlformats.org/officeDocument/2006/relationships/hyperlink" Target="https://www.astrobin.com/ksrv8l" TargetMode="External"/><Relationship Id="rId1960" Type="http://schemas.openxmlformats.org/officeDocument/2006/relationships/hyperlink" Target="https://www.astrobin.com/4eyz0w" TargetMode="External"/><Relationship Id="rId45" Type="http://schemas.openxmlformats.org/officeDocument/2006/relationships/hyperlink" Target="https://www.astrobin.com/t3i8e6" TargetMode="External"/><Relationship Id="rId1406" Type="http://schemas.openxmlformats.org/officeDocument/2006/relationships/hyperlink" Target="https://www.astrobin.com/owgtl6" TargetMode="External"/><Relationship Id="rId1613" Type="http://schemas.openxmlformats.org/officeDocument/2006/relationships/hyperlink" Target="https://www.astrobin.com/nnvr87/" TargetMode="External"/><Relationship Id="rId1820" Type="http://schemas.openxmlformats.org/officeDocument/2006/relationships/hyperlink" Target="https://app.astrobin.com/i/xtwq71" TargetMode="External"/><Relationship Id="rId194" Type="http://schemas.openxmlformats.org/officeDocument/2006/relationships/hyperlink" Target="https://www.astrobin.com/331308/" TargetMode="External"/><Relationship Id="rId1918" Type="http://schemas.openxmlformats.org/officeDocument/2006/relationships/hyperlink" Target="https://www.astrobin.com/620c3c" TargetMode="External"/><Relationship Id="rId2082" Type="http://schemas.openxmlformats.org/officeDocument/2006/relationships/hyperlink" Target="https://www.astrobin.com/f21ikh/" TargetMode="External"/><Relationship Id="rId261" Type="http://schemas.openxmlformats.org/officeDocument/2006/relationships/hyperlink" Target="https://www.astrobin.com/e64eke" TargetMode="External"/><Relationship Id="rId499" Type="http://schemas.openxmlformats.org/officeDocument/2006/relationships/hyperlink" Target="https://www.astrobin.com/d4pn01/" TargetMode="External"/><Relationship Id="rId2387" Type="http://schemas.openxmlformats.org/officeDocument/2006/relationships/hyperlink" Target="https://www.astrobin.com/qf2ow3" TargetMode="External"/><Relationship Id="rId2594" Type="http://schemas.openxmlformats.org/officeDocument/2006/relationships/hyperlink" Target="https://app.astrobin.com/i/acy4iy" TargetMode="External"/><Relationship Id="rId359" Type="http://schemas.openxmlformats.org/officeDocument/2006/relationships/hyperlink" Target="https://www.astrobin.com/ohiuvt" TargetMode="External"/><Relationship Id="rId566" Type="http://schemas.openxmlformats.org/officeDocument/2006/relationships/hyperlink" Target="https://www.astrobin.com/5rmoyz/" TargetMode="External"/><Relationship Id="rId773" Type="http://schemas.openxmlformats.org/officeDocument/2006/relationships/hyperlink" Target="https://www.astrobin.com/us872z/" TargetMode="External"/><Relationship Id="rId1196" Type="http://schemas.openxmlformats.org/officeDocument/2006/relationships/hyperlink" Target="https://www.astrobin.com/fl0g67/" TargetMode="External"/><Relationship Id="rId2247" Type="http://schemas.openxmlformats.org/officeDocument/2006/relationships/hyperlink" Target="https://www.astrobin.com/m9u96f" TargetMode="External"/><Relationship Id="rId2454" Type="http://schemas.openxmlformats.org/officeDocument/2006/relationships/hyperlink" Target="https://www.astrobin.com/vmj3zc" TargetMode="External"/><Relationship Id="rId121" Type="http://schemas.openxmlformats.org/officeDocument/2006/relationships/hyperlink" Target="https://app.astrobin.com/i/ymk08q" TargetMode="External"/><Relationship Id="rId219" Type="http://schemas.openxmlformats.org/officeDocument/2006/relationships/hyperlink" Target="https://www.astrobin.com/340256/" TargetMode="External"/><Relationship Id="rId426" Type="http://schemas.openxmlformats.org/officeDocument/2006/relationships/hyperlink" Target="https://www.astrobin.com/417143/" TargetMode="External"/><Relationship Id="rId633" Type="http://schemas.openxmlformats.org/officeDocument/2006/relationships/hyperlink" Target="https://www.astrobin.com/fi92i1/" TargetMode="External"/><Relationship Id="rId980" Type="http://schemas.openxmlformats.org/officeDocument/2006/relationships/hyperlink" Target="https://www.astrobin.com/vu3lbb/" TargetMode="External"/><Relationship Id="rId1056" Type="http://schemas.openxmlformats.org/officeDocument/2006/relationships/hyperlink" Target="https://www.astrobin.com/3thghe/" TargetMode="External"/><Relationship Id="rId1263" Type="http://schemas.openxmlformats.org/officeDocument/2006/relationships/hyperlink" Target="https://www.astrobin.com/770re6/" TargetMode="External"/><Relationship Id="rId2107" Type="http://schemas.openxmlformats.org/officeDocument/2006/relationships/hyperlink" Target="https://www.astrobin.com/6yhi07/" TargetMode="External"/><Relationship Id="rId2314" Type="http://schemas.openxmlformats.org/officeDocument/2006/relationships/hyperlink" Target="https://www.astrobin.com/irlcwz" TargetMode="External"/><Relationship Id="rId840" Type="http://schemas.openxmlformats.org/officeDocument/2006/relationships/hyperlink" Target="https://www.astrobin.com/3pd2q2/" TargetMode="External"/><Relationship Id="rId938" Type="http://schemas.openxmlformats.org/officeDocument/2006/relationships/hyperlink" Target="https://www.astrobin.com/c1xk2j/" TargetMode="External"/><Relationship Id="rId1470" Type="http://schemas.openxmlformats.org/officeDocument/2006/relationships/hyperlink" Target="https://www.astrobin.com/mekt0k/" TargetMode="External"/><Relationship Id="rId1568" Type="http://schemas.openxmlformats.org/officeDocument/2006/relationships/hyperlink" Target="https://app.astrobin.com/i/gbyhf1" TargetMode="External"/><Relationship Id="rId1775" Type="http://schemas.openxmlformats.org/officeDocument/2006/relationships/hyperlink" Target="https://www.astrobin.com/377576/" TargetMode="External"/><Relationship Id="rId2521" Type="http://schemas.openxmlformats.org/officeDocument/2006/relationships/hyperlink" Target="https://app.astrobin.com/i/r7hbxf" TargetMode="External"/><Relationship Id="rId2619" Type="http://schemas.openxmlformats.org/officeDocument/2006/relationships/hyperlink" Target="https://app.astrobin.com/i/upwxkk" TargetMode="External"/><Relationship Id="rId67" Type="http://schemas.openxmlformats.org/officeDocument/2006/relationships/hyperlink" Target="https://www.astrobin.com/2bk884/" TargetMode="External"/><Relationship Id="rId700" Type="http://schemas.openxmlformats.org/officeDocument/2006/relationships/hyperlink" Target="https://www.astrobin.com/1xczfn/" TargetMode="External"/><Relationship Id="rId1123" Type="http://schemas.openxmlformats.org/officeDocument/2006/relationships/hyperlink" Target="https://www.astrobin.com/jksyg4/" TargetMode="External"/><Relationship Id="rId1330" Type="http://schemas.openxmlformats.org/officeDocument/2006/relationships/hyperlink" Target="https://app.astrobin.com/i/siyf79" TargetMode="External"/><Relationship Id="rId1428" Type="http://schemas.openxmlformats.org/officeDocument/2006/relationships/hyperlink" Target="https://www.astrobin.com/p56u1y/" TargetMode="External"/><Relationship Id="rId1635" Type="http://schemas.openxmlformats.org/officeDocument/2006/relationships/hyperlink" Target="https://www.astrobin.com/79pq5d/" TargetMode="External"/><Relationship Id="rId1982" Type="http://schemas.openxmlformats.org/officeDocument/2006/relationships/hyperlink" Target="https://www.astrobin.com/9bos9v" TargetMode="External"/><Relationship Id="rId1842" Type="http://schemas.openxmlformats.org/officeDocument/2006/relationships/hyperlink" Target="https://www.astrobin.com/6y6l58" TargetMode="External"/><Relationship Id="rId1702" Type="http://schemas.openxmlformats.org/officeDocument/2006/relationships/hyperlink" Target="https://www.astrobin.com/2cqzrr/" TargetMode="External"/><Relationship Id="rId283" Type="http://schemas.openxmlformats.org/officeDocument/2006/relationships/hyperlink" Target="https://www.astrobin.com/360125/" TargetMode="External"/><Relationship Id="rId490" Type="http://schemas.openxmlformats.org/officeDocument/2006/relationships/hyperlink" Target="https://www.astrobin.com/w3sg9e/" TargetMode="External"/><Relationship Id="rId2171" Type="http://schemas.openxmlformats.org/officeDocument/2006/relationships/hyperlink" Target="https://www.astrobin.com/c1tlfm" TargetMode="External"/><Relationship Id="rId143" Type="http://schemas.openxmlformats.org/officeDocument/2006/relationships/hyperlink" Target="https://www.astrobin.com/8fncuj/" TargetMode="External"/><Relationship Id="rId350" Type="http://schemas.openxmlformats.org/officeDocument/2006/relationships/hyperlink" Target="https://app.astrobin.com/i/a35n3g" TargetMode="External"/><Relationship Id="rId588" Type="http://schemas.openxmlformats.org/officeDocument/2006/relationships/hyperlink" Target="https://app.astrobin.com/i/e142q1" TargetMode="External"/><Relationship Id="rId795" Type="http://schemas.openxmlformats.org/officeDocument/2006/relationships/hyperlink" Target="https://www.astrobin.com/x4p4d3/" TargetMode="External"/><Relationship Id="rId2031" Type="http://schemas.openxmlformats.org/officeDocument/2006/relationships/hyperlink" Target="https://www.astrobin.com/si1c6j" TargetMode="External"/><Relationship Id="rId2269" Type="http://schemas.openxmlformats.org/officeDocument/2006/relationships/hyperlink" Target="https://www.astrobin.com/f2fsc0/" TargetMode="External"/><Relationship Id="rId2476" Type="http://schemas.openxmlformats.org/officeDocument/2006/relationships/hyperlink" Target="https://app.astrobin.com/i/kh4zpm" TargetMode="External"/><Relationship Id="rId9" Type="http://schemas.openxmlformats.org/officeDocument/2006/relationships/hyperlink" Target="https://www.astrobin.com/cfbns2/" TargetMode="External"/><Relationship Id="rId210" Type="http://schemas.openxmlformats.org/officeDocument/2006/relationships/hyperlink" Target="https://app.astrobin.com/i/r6aw2s" TargetMode="External"/><Relationship Id="rId448" Type="http://schemas.openxmlformats.org/officeDocument/2006/relationships/hyperlink" Target="https://www.astrobin.com/pnsqjt" TargetMode="External"/><Relationship Id="rId655" Type="http://schemas.openxmlformats.org/officeDocument/2006/relationships/hyperlink" Target="https://www.astrobin.com/qmkoa2/" TargetMode="External"/><Relationship Id="rId862" Type="http://schemas.openxmlformats.org/officeDocument/2006/relationships/hyperlink" Target="https://app.astrobin.com/i/4i18bs" TargetMode="External"/><Relationship Id="rId1078" Type="http://schemas.openxmlformats.org/officeDocument/2006/relationships/hyperlink" Target="https://www.astrobin.com/ckf2yo/" TargetMode="External"/><Relationship Id="rId1285" Type="http://schemas.openxmlformats.org/officeDocument/2006/relationships/hyperlink" Target="https://www.astrobin.com/cb8oa5/" TargetMode="External"/><Relationship Id="rId1492" Type="http://schemas.openxmlformats.org/officeDocument/2006/relationships/hyperlink" Target="https://www.astrobin.com/0t87hh/" TargetMode="External"/><Relationship Id="rId2129" Type="http://schemas.openxmlformats.org/officeDocument/2006/relationships/hyperlink" Target="https://www.astrobin.com/82nbd5/" TargetMode="External"/><Relationship Id="rId2336" Type="http://schemas.openxmlformats.org/officeDocument/2006/relationships/hyperlink" Target="https://www.astrobin.com/8wlvqt" TargetMode="External"/><Relationship Id="rId2543" Type="http://schemas.openxmlformats.org/officeDocument/2006/relationships/hyperlink" Target="https://app.astrobin.com/i/b7qxe4" TargetMode="External"/><Relationship Id="rId308" Type="http://schemas.openxmlformats.org/officeDocument/2006/relationships/hyperlink" Target="https://www.astrobin.com/373866/" TargetMode="External"/><Relationship Id="rId515" Type="http://schemas.openxmlformats.org/officeDocument/2006/relationships/hyperlink" Target="https://app.astrobin.com/i/iyicyu" TargetMode="External"/><Relationship Id="rId722" Type="http://schemas.openxmlformats.org/officeDocument/2006/relationships/hyperlink" Target="https://www.astrobin.com/pgro5p/" TargetMode="External"/><Relationship Id="rId1145" Type="http://schemas.openxmlformats.org/officeDocument/2006/relationships/hyperlink" Target="https://www.astrobin.com/hy87lt/" TargetMode="External"/><Relationship Id="rId1352" Type="http://schemas.openxmlformats.org/officeDocument/2006/relationships/hyperlink" Target="https://www.astrobin.com/nkmut5/" TargetMode="External"/><Relationship Id="rId1797" Type="http://schemas.openxmlformats.org/officeDocument/2006/relationships/hyperlink" Target="https://www.astrobin.com/jo3z3v/" TargetMode="External"/><Relationship Id="rId2403" Type="http://schemas.openxmlformats.org/officeDocument/2006/relationships/hyperlink" Target="https://www.astrobin.com/3dupyn" TargetMode="External"/><Relationship Id="rId89" Type="http://schemas.openxmlformats.org/officeDocument/2006/relationships/hyperlink" Target="https://www.astrobin.com/302679/" TargetMode="External"/><Relationship Id="rId1005" Type="http://schemas.openxmlformats.org/officeDocument/2006/relationships/hyperlink" Target="https://www.astrobin.com/7s6s24/" TargetMode="External"/><Relationship Id="rId1212" Type="http://schemas.openxmlformats.org/officeDocument/2006/relationships/hyperlink" Target="https://www.astrobin.com/pup8rr/" TargetMode="External"/><Relationship Id="rId1657" Type="http://schemas.openxmlformats.org/officeDocument/2006/relationships/hyperlink" Target="https://app.astrobin.com/i/tn3ill" TargetMode="External"/><Relationship Id="rId1864" Type="http://schemas.openxmlformats.org/officeDocument/2006/relationships/hyperlink" Target="https://www.astrobin.com/9bukef" TargetMode="External"/><Relationship Id="rId2610" Type="http://schemas.openxmlformats.org/officeDocument/2006/relationships/hyperlink" Target="https://app.astrobin.com/i/pjctpy" TargetMode="External"/><Relationship Id="rId1517" Type="http://schemas.openxmlformats.org/officeDocument/2006/relationships/hyperlink" Target="https://www.astrobin.com/3uex07/" TargetMode="External"/><Relationship Id="rId1724" Type="http://schemas.openxmlformats.org/officeDocument/2006/relationships/hyperlink" Target="https://www.astrobin.com/suatdx" TargetMode="External"/><Relationship Id="rId16" Type="http://schemas.openxmlformats.org/officeDocument/2006/relationships/hyperlink" Target="https://app.astrobin.com/i/qcxfzy" TargetMode="External"/><Relationship Id="rId1931" Type="http://schemas.openxmlformats.org/officeDocument/2006/relationships/hyperlink" Target="https://www.astrobin.com/e26fwc" TargetMode="External"/><Relationship Id="rId2193" Type="http://schemas.openxmlformats.org/officeDocument/2006/relationships/hyperlink" Target="https://app.astrobin.com/i/vrmjc1" TargetMode="External"/><Relationship Id="rId2498" Type="http://schemas.openxmlformats.org/officeDocument/2006/relationships/hyperlink" Target="https://app.astrobin.com/i/h7gwd8" TargetMode="External"/><Relationship Id="rId165" Type="http://schemas.openxmlformats.org/officeDocument/2006/relationships/hyperlink" Target="https://www.astrobin.com/324816/" TargetMode="External"/><Relationship Id="rId372" Type="http://schemas.openxmlformats.org/officeDocument/2006/relationships/hyperlink" Target="https://www.astrobin.com/400443/" TargetMode="External"/><Relationship Id="rId677" Type="http://schemas.openxmlformats.org/officeDocument/2006/relationships/hyperlink" Target="https://www.astrobin.com/ps0ry4/" TargetMode="External"/><Relationship Id="rId2053" Type="http://schemas.openxmlformats.org/officeDocument/2006/relationships/hyperlink" Target="https://www.astrobin.com/mhvkus" TargetMode="External"/><Relationship Id="rId2260" Type="http://schemas.openxmlformats.org/officeDocument/2006/relationships/hyperlink" Target="https://www.astrobin.com/fjl1ww/" TargetMode="External"/><Relationship Id="rId2358" Type="http://schemas.openxmlformats.org/officeDocument/2006/relationships/hyperlink" Target="https://www.astrobin.com/uj8v93" TargetMode="External"/><Relationship Id="rId232" Type="http://schemas.openxmlformats.org/officeDocument/2006/relationships/hyperlink" Target="https://www.astrobin.com/342184/" TargetMode="External"/><Relationship Id="rId884" Type="http://schemas.openxmlformats.org/officeDocument/2006/relationships/hyperlink" Target="https://www.astrobin.com/om3m7k" TargetMode="External"/><Relationship Id="rId2120" Type="http://schemas.openxmlformats.org/officeDocument/2006/relationships/hyperlink" Target="https://www.astrobin.com/kkekpr/" TargetMode="External"/><Relationship Id="rId2565" Type="http://schemas.openxmlformats.org/officeDocument/2006/relationships/hyperlink" Target="https://app.astrobin.com/i/idc9so" TargetMode="External"/><Relationship Id="rId537" Type="http://schemas.openxmlformats.org/officeDocument/2006/relationships/hyperlink" Target="https://www.astrobin.com/qddssz/" TargetMode="External"/><Relationship Id="rId744" Type="http://schemas.openxmlformats.org/officeDocument/2006/relationships/hyperlink" Target="https://www.astrobin.com/jlf5j5/" TargetMode="External"/><Relationship Id="rId951" Type="http://schemas.openxmlformats.org/officeDocument/2006/relationships/hyperlink" Target="https://www.astrobin.com/c6kulj/" TargetMode="External"/><Relationship Id="rId1167" Type="http://schemas.openxmlformats.org/officeDocument/2006/relationships/hyperlink" Target="https://www.astrobin.com/bp5n18/" TargetMode="External"/><Relationship Id="rId1374" Type="http://schemas.openxmlformats.org/officeDocument/2006/relationships/hyperlink" Target="https://www.astrobin.com/nnk91r/" TargetMode="External"/><Relationship Id="rId1581" Type="http://schemas.openxmlformats.org/officeDocument/2006/relationships/hyperlink" Target="https://www.astrobin.com/9gwrg6/" TargetMode="External"/><Relationship Id="rId1679" Type="http://schemas.openxmlformats.org/officeDocument/2006/relationships/hyperlink" Target="https://www.astrobin.com/vgm45n/" TargetMode="External"/><Relationship Id="rId2218" Type="http://schemas.openxmlformats.org/officeDocument/2006/relationships/hyperlink" Target="https://www.astrobin.com/323764/" TargetMode="External"/><Relationship Id="rId2425" Type="http://schemas.openxmlformats.org/officeDocument/2006/relationships/hyperlink" Target="https://www.astrobin.com/75dnbu" TargetMode="External"/><Relationship Id="rId2632" Type="http://schemas.openxmlformats.org/officeDocument/2006/relationships/hyperlink" Target="https://app.astrobin.com/i/kr5n8a" TargetMode="External"/><Relationship Id="rId80" Type="http://schemas.openxmlformats.org/officeDocument/2006/relationships/hyperlink" Target="https://www.astrobin.com/8ci78c" TargetMode="External"/><Relationship Id="rId604" Type="http://schemas.openxmlformats.org/officeDocument/2006/relationships/hyperlink" Target="https://www.astrobin.com/epganq/" TargetMode="External"/><Relationship Id="rId811" Type="http://schemas.openxmlformats.org/officeDocument/2006/relationships/hyperlink" Target="https://www.astrobin.com/6o7cz1/" TargetMode="External"/><Relationship Id="rId1027" Type="http://schemas.openxmlformats.org/officeDocument/2006/relationships/hyperlink" Target="https://www.astrobin.com/dm0m7o/" TargetMode="External"/><Relationship Id="rId1234" Type="http://schemas.openxmlformats.org/officeDocument/2006/relationships/hyperlink" Target="https://www.astrobin.com/qcih22/" TargetMode="External"/><Relationship Id="rId1441" Type="http://schemas.openxmlformats.org/officeDocument/2006/relationships/hyperlink" Target="https://www.astrobin.com/3is0yw/" TargetMode="External"/><Relationship Id="rId1886" Type="http://schemas.openxmlformats.org/officeDocument/2006/relationships/hyperlink" Target="https://www.astrobin.com/0qfmmb" TargetMode="External"/><Relationship Id="rId909" Type="http://schemas.openxmlformats.org/officeDocument/2006/relationships/hyperlink" Target="https://app.astrobin.com/i/pklwwe" TargetMode="External"/><Relationship Id="rId1301" Type="http://schemas.openxmlformats.org/officeDocument/2006/relationships/hyperlink" Target="https://www.astrobin.com/o347qh/" TargetMode="External"/><Relationship Id="rId1539" Type="http://schemas.openxmlformats.org/officeDocument/2006/relationships/hyperlink" Target="https://www.astrobin.com/3syilk/" TargetMode="External"/><Relationship Id="rId1746" Type="http://schemas.openxmlformats.org/officeDocument/2006/relationships/hyperlink" Target="https://www.astrobin.com/95w8pu" TargetMode="External"/><Relationship Id="rId1953" Type="http://schemas.openxmlformats.org/officeDocument/2006/relationships/hyperlink" Target="https://www.astrobin.com/ms5i9g" TargetMode="External"/><Relationship Id="rId38" Type="http://schemas.openxmlformats.org/officeDocument/2006/relationships/hyperlink" Target="https://www.astrobin.com/r28791" TargetMode="External"/><Relationship Id="rId1606" Type="http://schemas.openxmlformats.org/officeDocument/2006/relationships/hyperlink" Target="https://www.astrobin.com/jakkqs/" TargetMode="External"/><Relationship Id="rId1813" Type="http://schemas.openxmlformats.org/officeDocument/2006/relationships/hyperlink" Target="https://www.astrobin.com/xo81cy/" TargetMode="External"/><Relationship Id="rId187" Type="http://schemas.openxmlformats.org/officeDocument/2006/relationships/hyperlink" Target="https://www.astrobin.com/qsvjhq" TargetMode="External"/><Relationship Id="rId394" Type="http://schemas.openxmlformats.org/officeDocument/2006/relationships/hyperlink" Target="https://www.astrobin.com/406987/" TargetMode="External"/><Relationship Id="rId2075" Type="http://schemas.openxmlformats.org/officeDocument/2006/relationships/hyperlink" Target="https://www.astrobin.com/417321/" TargetMode="External"/><Relationship Id="rId2282" Type="http://schemas.openxmlformats.org/officeDocument/2006/relationships/hyperlink" Target="https://www.astrobin.com/28o4s5/" TargetMode="External"/><Relationship Id="rId254" Type="http://schemas.openxmlformats.org/officeDocument/2006/relationships/hyperlink" Target="https://app.astrobin.com/i/k6m9hm" TargetMode="External"/><Relationship Id="rId699" Type="http://schemas.openxmlformats.org/officeDocument/2006/relationships/hyperlink" Target="https://www.astrobin.com/890si3/" TargetMode="External"/><Relationship Id="rId1091" Type="http://schemas.openxmlformats.org/officeDocument/2006/relationships/hyperlink" Target="https://www.astrobin.com/z8qz9v/" TargetMode="External"/><Relationship Id="rId2587" Type="http://schemas.openxmlformats.org/officeDocument/2006/relationships/hyperlink" Target="https://app.astrobin.com/i/pr15cn" TargetMode="External"/><Relationship Id="rId114" Type="http://schemas.openxmlformats.org/officeDocument/2006/relationships/hyperlink" Target="https://www.astrobin.com/1yjus3" TargetMode="External"/><Relationship Id="rId461" Type="http://schemas.openxmlformats.org/officeDocument/2006/relationships/hyperlink" Target="https://www.astrobin.com/nvnzy7/" TargetMode="External"/><Relationship Id="rId559" Type="http://schemas.openxmlformats.org/officeDocument/2006/relationships/hyperlink" Target="https://www.astrobin.com/12024j/" TargetMode="External"/><Relationship Id="rId766" Type="http://schemas.openxmlformats.org/officeDocument/2006/relationships/hyperlink" Target="https://www.astrobin.com/w90sw6/" TargetMode="External"/><Relationship Id="rId1189" Type="http://schemas.openxmlformats.org/officeDocument/2006/relationships/hyperlink" Target="https://www.astrobin.com/xd4pzk/D/" TargetMode="External"/><Relationship Id="rId1396" Type="http://schemas.openxmlformats.org/officeDocument/2006/relationships/hyperlink" Target="https://www.astrobin.com/50wh8u/" TargetMode="External"/><Relationship Id="rId2142" Type="http://schemas.openxmlformats.org/officeDocument/2006/relationships/hyperlink" Target="https://www.astrobin.com/ln1ki4/" TargetMode="External"/><Relationship Id="rId2447" Type="http://schemas.openxmlformats.org/officeDocument/2006/relationships/hyperlink" Target="https://www.astrobin.com/c697a4" TargetMode="External"/><Relationship Id="rId321" Type="http://schemas.openxmlformats.org/officeDocument/2006/relationships/hyperlink" Target="https://app.astrobin.com/i/gbg6ep" TargetMode="External"/><Relationship Id="rId419" Type="http://schemas.openxmlformats.org/officeDocument/2006/relationships/hyperlink" Target="https://www.astrobin.com/wjzc7c" TargetMode="External"/><Relationship Id="rId626" Type="http://schemas.openxmlformats.org/officeDocument/2006/relationships/hyperlink" Target="https://www.astrobin.com/2vp0y0/" TargetMode="External"/><Relationship Id="rId973" Type="http://schemas.openxmlformats.org/officeDocument/2006/relationships/hyperlink" Target="https://www.astrobin.com/pdcnr8" TargetMode="External"/><Relationship Id="rId1049" Type="http://schemas.openxmlformats.org/officeDocument/2006/relationships/hyperlink" Target="https://www.astrobin.com/oey77r/" TargetMode="External"/><Relationship Id="rId1256" Type="http://schemas.openxmlformats.org/officeDocument/2006/relationships/hyperlink" Target="https://www.astrobin.com/40l7hf/" TargetMode="External"/><Relationship Id="rId2002" Type="http://schemas.openxmlformats.org/officeDocument/2006/relationships/hyperlink" Target="https://www.astrobin.com/sp62u4" TargetMode="External"/><Relationship Id="rId2307" Type="http://schemas.openxmlformats.org/officeDocument/2006/relationships/hyperlink" Target="https://www.astrobin.com/xwdld1" TargetMode="External"/><Relationship Id="rId833" Type="http://schemas.openxmlformats.org/officeDocument/2006/relationships/hyperlink" Target="https://www.astrobin.com/cfbns2/" TargetMode="External"/><Relationship Id="rId1116" Type="http://schemas.openxmlformats.org/officeDocument/2006/relationships/hyperlink" Target="https://www.astrobin.com/8x3obn" TargetMode="External"/><Relationship Id="rId1463" Type="http://schemas.openxmlformats.org/officeDocument/2006/relationships/hyperlink" Target="https://www.astrobin.com/qwhbv5/" TargetMode="External"/><Relationship Id="rId1670" Type="http://schemas.openxmlformats.org/officeDocument/2006/relationships/hyperlink" Target="https://app.astrobin.com/i/mbh9wq" TargetMode="External"/><Relationship Id="rId1768" Type="http://schemas.openxmlformats.org/officeDocument/2006/relationships/hyperlink" Target="https://www.astrobin.com/nbtlw0/" TargetMode="External"/><Relationship Id="rId2514" Type="http://schemas.openxmlformats.org/officeDocument/2006/relationships/hyperlink" Target="https://app.astrobin.com/i/4lslgq" TargetMode="External"/><Relationship Id="rId900" Type="http://schemas.openxmlformats.org/officeDocument/2006/relationships/hyperlink" Target="https://app.astrobin.com/i/do3fpv" TargetMode="External"/><Relationship Id="rId1323" Type="http://schemas.openxmlformats.org/officeDocument/2006/relationships/hyperlink" Target="https://www.astrobin.com/n3jd3u" TargetMode="External"/><Relationship Id="rId1530" Type="http://schemas.openxmlformats.org/officeDocument/2006/relationships/hyperlink" Target="https://www.astrobin.com/bggcno/" TargetMode="External"/><Relationship Id="rId1628" Type="http://schemas.openxmlformats.org/officeDocument/2006/relationships/hyperlink" Target="https://www.astrobin.com/0egrkv/" TargetMode="External"/><Relationship Id="rId1975" Type="http://schemas.openxmlformats.org/officeDocument/2006/relationships/hyperlink" Target="https://www.astrobin.com/bo2tn3" TargetMode="External"/><Relationship Id="rId1835" Type="http://schemas.openxmlformats.org/officeDocument/2006/relationships/hyperlink" Target="https://www.astrobin.com/dur70m" TargetMode="External"/><Relationship Id="rId1902" Type="http://schemas.openxmlformats.org/officeDocument/2006/relationships/hyperlink" Target="https://www.astrobin.com/m6wqhe" TargetMode="External"/><Relationship Id="rId2097" Type="http://schemas.openxmlformats.org/officeDocument/2006/relationships/hyperlink" Target="https://www.astrobin.com/up2m6v/" TargetMode="External"/><Relationship Id="rId276" Type="http://schemas.openxmlformats.org/officeDocument/2006/relationships/hyperlink" Target="https://www.astrobin.com/354812/" TargetMode="External"/><Relationship Id="rId483" Type="http://schemas.openxmlformats.org/officeDocument/2006/relationships/hyperlink" Target="https://www.astrobin.com/sm3ef0/" TargetMode="External"/><Relationship Id="rId690" Type="http://schemas.openxmlformats.org/officeDocument/2006/relationships/hyperlink" Target="https://www.astrobin.com/xgfnbp/" TargetMode="External"/><Relationship Id="rId2164" Type="http://schemas.openxmlformats.org/officeDocument/2006/relationships/hyperlink" Target="https://www.astrobin.com/komhta" TargetMode="External"/><Relationship Id="rId2371" Type="http://schemas.openxmlformats.org/officeDocument/2006/relationships/hyperlink" Target="https://www.astrobin.com/plwra1" TargetMode="External"/><Relationship Id="rId136" Type="http://schemas.openxmlformats.org/officeDocument/2006/relationships/hyperlink" Target="https://www.astrobin.com/ir1b2g/" TargetMode="External"/><Relationship Id="rId343" Type="http://schemas.openxmlformats.org/officeDocument/2006/relationships/hyperlink" Target="https://www.astrobin.com/0jufed" TargetMode="External"/><Relationship Id="rId550" Type="http://schemas.openxmlformats.org/officeDocument/2006/relationships/hyperlink" Target="https://www.astrobin.com/m1psq3/" TargetMode="External"/><Relationship Id="rId788" Type="http://schemas.openxmlformats.org/officeDocument/2006/relationships/hyperlink" Target="https://www.astrobin.com/oipa9z/" TargetMode="External"/><Relationship Id="rId995" Type="http://schemas.openxmlformats.org/officeDocument/2006/relationships/hyperlink" Target="https://www.astrobin.com/t5s6po/" TargetMode="External"/><Relationship Id="rId1180" Type="http://schemas.openxmlformats.org/officeDocument/2006/relationships/hyperlink" Target="https://www.astrobin.com/7kft67/" TargetMode="External"/><Relationship Id="rId2024" Type="http://schemas.openxmlformats.org/officeDocument/2006/relationships/hyperlink" Target="https://www.astrobin.com/8eizib" TargetMode="External"/><Relationship Id="rId2231" Type="http://schemas.openxmlformats.org/officeDocument/2006/relationships/hyperlink" Target="https://www.astrobin.com/8msuqw" TargetMode="External"/><Relationship Id="rId2469" Type="http://schemas.openxmlformats.org/officeDocument/2006/relationships/hyperlink" Target="https://www.astrobin.com/6s6pg0" TargetMode="External"/><Relationship Id="rId203" Type="http://schemas.openxmlformats.org/officeDocument/2006/relationships/hyperlink" Target="https://www.astrobin.com/rwh8pb" TargetMode="External"/><Relationship Id="rId648" Type="http://schemas.openxmlformats.org/officeDocument/2006/relationships/hyperlink" Target="https://www.astrobin.com/x8e20a/" TargetMode="External"/><Relationship Id="rId855" Type="http://schemas.openxmlformats.org/officeDocument/2006/relationships/hyperlink" Target="https://www.astrobin.com/0bvh93/" TargetMode="External"/><Relationship Id="rId1040" Type="http://schemas.openxmlformats.org/officeDocument/2006/relationships/hyperlink" Target="https://www.astrobin.com/wt8h52/" TargetMode="External"/><Relationship Id="rId1278" Type="http://schemas.openxmlformats.org/officeDocument/2006/relationships/hyperlink" Target="https://www.astrobin.com/esbsqq/" TargetMode="External"/><Relationship Id="rId1485" Type="http://schemas.openxmlformats.org/officeDocument/2006/relationships/hyperlink" Target="https://www.astrobin.com/0jrt6i/" TargetMode="External"/><Relationship Id="rId1692" Type="http://schemas.openxmlformats.org/officeDocument/2006/relationships/hyperlink" Target="https://www.astrobin.com/v7uwak/" TargetMode="External"/><Relationship Id="rId2329" Type="http://schemas.openxmlformats.org/officeDocument/2006/relationships/hyperlink" Target="https://www.astrobin.com/i7zjkg" TargetMode="External"/><Relationship Id="rId2536" Type="http://schemas.openxmlformats.org/officeDocument/2006/relationships/hyperlink" Target="https://app.astrobin.com/i/9w4o3c" TargetMode="External"/><Relationship Id="rId410" Type="http://schemas.openxmlformats.org/officeDocument/2006/relationships/hyperlink" Target="https://www.astrobin.com/413561/" TargetMode="External"/><Relationship Id="rId508" Type="http://schemas.openxmlformats.org/officeDocument/2006/relationships/hyperlink" Target="https://www.astrobin.com/kly84j/" TargetMode="External"/><Relationship Id="rId715" Type="http://schemas.openxmlformats.org/officeDocument/2006/relationships/hyperlink" Target="https://www.astrobin.com/r809u7/" TargetMode="External"/><Relationship Id="rId922" Type="http://schemas.openxmlformats.org/officeDocument/2006/relationships/hyperlink" Target="https://www.astrobin.com/56z4hg/" TargetMode="External"/><Relationship Id="rId1138" Type="http://schemas.openxmlformats.org/officeDocument/2006/relationships/hyperlink" Target="https://www.astrobin.com/09wubx/" TargetMode="External"/><Relationship Id="rId1345" Type="http://schemas.openxmlformats.org/officeDocument/2006/relationships/hyperlink" Target="https://www.astrobin.com/1dxrfx/" TargetMode="External"/><Relationship Id="rId1552" Type="http://schemas.openxmlformats.org/officeDocument/2006/relationships/hyperlink" Target="https://www.astrobin.com/vtunuk/" TargetMode="External"/><Relationship Id="rId1997" Type="http://schemas.openxmlformats.org/officeDocument/2006/relationships/hyperlink" Target="https://www.astrobin.com/pymqa3" TargetMode="External"/><Relationship Id="rId2603" Type="http://schemas.openxmlformats.org/officeDocument/2006/relationships/hyperlink" Target="https://app.astrobin.com/i/8gy5sm" TargetMode="External"/><Relationship Id="rId1205" Type="http://schemas.openxmlformats.org/officeDocument/2006/relationships/hyperlink" Target="https://www.astrobin.com/guz9zn/D/" TargetMode="External"/><Relationship Id="rId1857" Type="http://schemas.openxmlformats.org/officeDocument/2006/relationships/hyperlink" Target="https://www.astrobin.com/i0zd3l" TargetMode="External"/><Relationship Id="rId51" Type="http://schemas.openxmlformats.org/officeDocument/2006/relationships/hyperlink" Target="https://www.astrobin.com/0egrkv/" TargetMode="External"/><Relationship Id="rId1412" Type="http://schemas.openxmlformats.org/officeDocument/2006/relationships/hyperlink" Target="https://www.astrobin.com/gvgrh7/" TargetMode="External"/><Relationship Id="rId1717" Type="http://schemas.openxmlformats.org/officeDocument/2006/relationships/hyperlink" Target="https://www.astrobin.com/0q3pas" TargetMode="External"/><Relationship Id="rId1924" Type="http://schemas.openxmlformats.org/officeDocument/2006/relationships/hyperlink" Target="https://www.astrobin.com/z0i6zx" TargetMode="External"/><Relationship Id="rId298" Type="http://schemas.openxmlformats.org/officeDocument/2006/relationships/hyperlink" Target="https://www.astrobin.com/367925/" TargetMode="External"/><Relationship Id="rId158" Type="http://schemas.openxmlformats.org/officeDocument/2006/relationships/hyperlink" Target="https://www.astrobin.com/324030/" TargetMode="External"/><Relationship Id="rId2186" Type="http://schemas.openxmlformats.org/officeDocument/2006/relationships/hyperlink" Target="https://www.astrobin.com/xunm01" TargetMode="External"/><Relationship Id="rId2393" Type="http://schemas.openxmlformats.org/officeDocument/2006/relationships/hyperlink" Target="https://www.astrobin.com/pz6luo" TargetMode="External"/><Relationship Id="rId365" Type="http://schemas.openxmlformats.org/officeDocument/2006/relationships/hyperlink" Target="https://www.astrobin.com/397630/" TargetMode="External"/><Relationship Id="rId572" Type="http://schemas.openxmlformats.org/officeDocument/2006/relationships/hyperlink" Target="https://www.astrobin.com/wmipoh/" TargetMode="External"/><Relationship Id="rId2046" Type="http://schemas.openxmlformats.org/officeDocument/2006/relationships/hyperlink" Target="https://www.astrobin.com/lh3s4i" TargetMode="External"/><Relationship Id="rId2253" Type="http://schemas.openxmlformats.org/officeDocument/2006/relationships/hyperlink" Target="https://www.astrobin.com/liih8p" TargetMode="External"/><Relationship Id="rId2460" Type="http://schemas.openxmlformats.org/officeDocument/2006/relationships/hyperlink" Target="https://www.astrobin.com/wcms0k" TargetMode="External"/><Relationship Id="rId225" Type="http://schemas.openxmlformats.org/officeDocument/2006/relationships/hyperlink" Target="https://www.astrobin.com/340286/" TargetMode="External"/><Relationship Id="rId432" Type="http://schemas.openxmlformats.org/officeDocument/2006/relationships/hyperlink" Target="https://www.astrobin.com/419013/" TargetMode="External"/><Relationship Id="rId877" Type="http://schemas.openxmlformats.org/officeDocument/2006/relationships/hyperlink" Target="https://www.astrobin.com/yepiiv" TargetMode="External"/><Relationship Id="rId1062" Type="http://schemas.openxmlformats.org/officeDocument/2006/relationships/hyperlink" Target="https://www.astrobin.com/a6ov73/" TargetMode="External"/><Relationship Id="rId2113" Type="http://schemas.openxmlformats.org/officeDocument/2006/relationships/hyperlink" Target="https://www.astrobin.com/j2191e/" TargetMode="External"/><Relationship Id="rId2320" Type="http://schemas.openxmlformats.org/officeDocument/2006/relationships/hyperlink" Target="https://www.astrobin.com/mi0y15" TargetMode="External"/><Relationship Id="rId2558" Type="http://schemas.openxmlformats.org/officeDocument/2006/relationships/hyperlink" Target="https://app.astrobin.com/i/xxtsjg" TargetMode="External"/><Relationship Id="rId737" Type="http://schemas.openxmlformats.org/officeDocument/2006/relationships/hyperlink" Target="https://www.astrobin.com/xopueu/" TargetMode="External"/><Relationship Id="rId944" Type="http://schemas.openxmlformats.org/officeDocument/2006/relationships/hyperlink" Target="https://www.astrobin.com/c697a4/" TargetMode="External"/><Relationship Id="rId1367" Type="http://schemas.openxmlformats.org/officeDocument/2006/relationships/hyperlink" Target="https://www.astrobin.com/qov4y1/" TargetMode="External"/><Relationship Id="rId1574" Type="http://schemas.openxmlformats.org/officeDocument/2006/relationships/hyperlink" Target="https://www.astrobin.com/4zccet/" TargetMode="External"/><Relationship Id="rId1781" Type="http://schemas.openxmlformats.org/officeDocument/2006/relationships/hyperlink" Target="https://www.astrobin.com/hvf9g6" TargetMode="External"/><Relationship Id="rId2418" Type="http://schemas.openxmlformats.org/officeDocument/2006/relationships/hyperlink" Target="https://www.astrobin.com/rrkhr4" TargetMode="External"/><Relationship Id="rId2625" Type="http://schemas.openxmlformats.org/officeDocument/2006/relationships/hyperlink" Target="https://app.astrobin.com/i/fvm4z7" TargetMode="External"/><Relationship Id="rId73" Type="http://schemas.openxmlformats.org/officeDocument/2006/relationships/hyperlink" Target="https://www.astrobin.com/gou90y" TargetMode="External"/><Relationship Id="rId804" Type="http://schemas.openxmlformats.org/officeDocument/2006/relationships/hyperlink" Target="https://www.astrobin.com/lyx76e/" TargetMode="External"/><Relationship Id="rId1227" Type="http://schemas.openxmlformats.org/officeDocument/2006/relationships/hyperlink" Target="https://www.astrobin.com/j480w9/" TargetMode="External"/><Relationship Id="rId1434" Type="http://schemas.openxmlformats.org/officeDocument/2006/relationships/hyperlink" Target="https://www.astrobin.com/jhg62l/" TargetMode="External"/><Relationship Id="rId1641" Type="http://schemas.openxmlformats.org/officeDocument/2006/relationships/hyperlink" Target="https://www.astrobin.com/w8iat4/" TargetMode="External"/><Relationship Id="rId1879" Type="http://schemas.openxmlformats.org/officeDocument/2006/relationships/hyperlink" Target="https://www.astrobin.com/a1l9lt" TargetMode="External"/><Relationship Id="rId1501" Type="http://schemas.openxmlformats.org/officeDocument/2006/relationships/hyperlink" Target="https://www.astrobin.com/0zjvnv/" TargetMode="External"/><Relationship Id="rId1739" Type="http://schemas.openxmlformats.org/officeDocument/2006/relationships/hyperlink" Target="https://www.astrobin.com/divr92/" TargetMode="External"/><Relationship Id="rId1946" Type="http://schemas.openxmlformats.org/officeDocument/2006/relationships/hyperlink" Target="https://www.astrobin.com/vnb52k" TargetMode="External"/><Relationship Id="rId1806" Type="http://schemas.openxmlformats.org/officeDocument/2006/relationships/hyperlink" Target="https://www.astrobin.com/8oyrkw/" TargetMode="External"/><Relationship Id="rId387" Type="http://schemas.openxmlformats.org/officeDocument/2006/relationships/hyperlink" Target="https://www.astrobin.com/404964/" TargetMode="External"/><Relationship Id="rId594" Type="http://schemas.openxmlformats.org/officeDocument/2006/relationships/hyperlink" Target="https://www.astrobin.com/jqn8ds/" TargetMode="External"/><Relationship Id="rId2068" Type="http://schemas.openxmlformats.org/officeDocument/2006/relationships/hyperlink" Target="https://www.astrobin.com/286289/" TargetMode="External"/><Relationship Id="rId2275" Type="http://schemas.openxmlformats.org/officeDocument/2006/relationships/hyperlink" Target="https://www.astrobin.com/uccju5/" TargetMode="External"/><Relationship Id="rId247" Type="http://schemas.openxmlformats.org/officeDocument/2006/relationships/hyperlink" Target="https://www.astrobin.com/hac20c/" TargetMode="External"/><Relationship Id="rId899" Type="http://schemas.openxmlformats.org/officeDocument/2006/relationships/hyperlink" Target="https://app.astrobin.com/i/4i18bs" TargetMode="External"/><Relationship Id="rId1084" Type="http://schemas.openxmlformats.org/officeDocument/2006/relationships/hyperlink" Target="https://www.astrobin.com/ynjzwv/" TargetMode="External"/><Relationship Id="rId2482" Type="http://schemas.openxmlformats.org/officeDocument/2006/relationships/hyperlink" Target="https://app.astrobin.com/i/m8xf5e" TargetMode="External"/><Relationship Id="rId107" Type="http://schemas.openxmlformats.org/officeDocument/2006/relationships/hyperlink" Target="https://www.astrobin.com/jdva52" TargetMode="External"/><Relationship Id="rId454" Type="http://schemas.openxmlformats.org/officeDocument/2006/relationships/hyperlink" Target="https://www.astrobin.com/mtk50f/" TargetMode="External"/><Relationship Id="rId661" Type="http://schemas.openxmlformats.org/officeDocument/2006/relationships/hyperlink" Target="https://www.astrobin.com/lqe4ef/" TargetMode="External"/><Relationship Id="rId759" Type="http://schemas.openxmlformats.org/officeDocument/2006/relationships/hyperlink" Target="https://www.astrobin.com/d0czt2/" TargetMode="External"/><Relationship Id="rId966" Type="http://schemas.openxmlformats.org/officeDocument/2006/relationships/hyperlink" Target="https://www.astrobin.com/oqthww/" TargetMode="External"/><Relationship Id="rId1291" Type="http://schemas.openxmlformats.org/officeDocument/2006/relationships/hyperlink" Target="https://www.astrobin.com/lxgrwn/" TargetMode="External"/><Relationship Id="rId1389" Type="http://schemas.openxmlformats.org/officeDocument/2006/relationships/hyperlink" Target="https://www.astrobin.com/u1utmh/" TargetMode="External"/><Relationship Id="rId1596" Type="http://schemas.openxmlformats.org/officeDocument/2006/relationships/hyperlink" Target="https://www.astrobin.com/73pg0o/" TargetMode="External"/><Relationship Id="rId2135" Type="http://schemas.openxmlformats.org/officeDocument/2006/relationships/hyperlink" Target="https://www.astrobin.com/4jtikf/" TargetMode="External"/><Relationship Id="rId2342" Type="http://schemas.openxmlformats.org/officeDocument/2006/relationships/hyperlink" Target="https://www.astrobin.com/4ml39q/" TargetMode="External"/><Relationship Id="rId2647" Type="http://schemas.openxmlformats.org/officeDocument/2006/relationships/hyperlink" Target="https://app.astrobin.com/i/53pgex" TargetMode="External"/><Relationship Id="rId314" Type="http://schemas.openxmlformats.org/officeDocument/2006/relationships/hyperlink" Target="https://www.astrobin.com/376579/" TargetMode="External"/><Relationship Id="rId521" Type="http://schemas.openxmlformats.org/officeDocument/2006/relationships/hyperlink" Target="https://www.astrobin.com/l14en8/" TargetMode="External"/><Relationship Id="rId619" Type="http://schemas.openxmlformats.org/officeDocument/2006/relationships/hyperlink" Target="https://www.astrobin.com/5oj9gw/" TargetMode="External"/><Relationship Id="rId1151" Type="http://schemas.openxmlformats.org/officeDocument/2006/relationships/hyperlink" Target="https://www.astrobin.com/ulj6hb/" TargetMode="External"/><Relationship Id="rId1249" Type="http://schemas.openxmlformats.org/officeDocument/2006/relationships/hyperlink" Target="https://www.astrobin.com/cf3rge/" TargetMode="External"/><Relationship Id="rId2202" Type="http://schemas.openxmlformats.org/officeDocument/2006/relationships/hyperlink" Target="https://www.astrobin.com/g5vmhu" TargetMode="External"/><Relationship Id="rId95" Type="http://schemas.openxmlformats.org/officeDocument/2006/relationships/hyperlink" Target="https://www.astrobin.com/e9w9ng" TargetMode="External"/><Relationship Id="rId826" Type="http://schemas.openxmlformats.org/officeDocument/2006/relationships/hyperlink" Target="https://www.astrobin.com/bjnvx6/" TargetMode="External"/><Relationship Id="rId1011" Type="http://schemas.openxmlformats.org/officeDocument/2006/relationships/hyperlink" Target="https://www.astrobin.com/tf6wtk/" TargetMode="External"/><Relationship Id="rId1109" Type="http://schemas.openxmlformats.org/officeDocument/2006/relationships/hyperlink" Target="https://www.astrobin.com/3757yw/" TargetMode="External"/><Relationship Id="rId1456" Type="http://schemas.openxmlformats.org/officeDocument/2006/relationships/hyperlink" Target="https://www.astrobin.com/48e87y/" TargetMode="External"/><Relationship Id="rId1663" Type="http://schemas.openxmlformats.org/officeDocument/2006/relationships/hyperlink" Target="https://www.astrobin.com/cyqclt/" TargetMode="External"/><Relationship Id="rId1870" Type="http://schemas.openxmlformats.org/officeDocument/2006/relationships/hyperlink" Target="https://www.astrobin.com/w4euvw" TargetMode="External"/><Relationship Id="rId1968" Type="http://schemas.openxmlformats.org/officeDocument/2006/relationships/hyperlink" Target="https://www.astrobin.com/g26yql" TargetMode="External"/><Relationship Id="rId2507" Type="http://schemas.openxmlformats.org/officeDocument/2006/relationships/hyperlink" Target="https://app.astrobin.com/i/yp4d21" TargetMode="External"/><Relationship Id="rId1316" Type="http://schemas.openxmlformats.org/officeDocument/2006/relationships/hyperlink" Target="https://www.astrobin.com/515xfb/" TargetMode="External"/><Relationship Id="rId1523" Type="http://schemas.openxmlformats.org/officeDocument/2006/relationships/hyperlink" Target="https://www.astrobin.com/5ukqui/" TargetMode="External"/><Relationship Id="rId1730" Type="http://schemas.openxmlformats.org/officeDocument/2006/relationships/hyperlink" Target="https://www.astrobin.com/9a8ywj/" TargetMode="External"/><Relationship Id="rId22" Type="http://schemas.openxmlformats.org/officeDocument/2006/relationships/hyperlink" Target="https://www.astrobin.com/399559/" TargetMode="External"/><Relationship Id="rId1828" Type="http://schemas.openxmlformats.org/officeDocument/2006/relationships/hyperlink" Target="https://www.astrobin.com/stfnqh" TargetMode="External"/><Relationship Id="rId171" Type="http://schemas.openxmlformats.org/officeDocument/2006/relationships/hyperlink" Target="https://www.astrobin.com/vhphpe" TargetMode="External"/><Relationship Id="rId2297" Type="http://schemas.openxmlformats.org/officeDocument/2006/relationships/hyperlink" Target="https://www.astrobin.com/he40sy/" TargetMode="External"/><Relationship Id="rId269" Type="http://schemas.openxmlformats.org/officeDocument/2006/relationships/hyperlink" Target="https://www.astrobin.com/355682/" TargetMode="External"/><Relationship Id="rId476" Type="http://schemas.openxmlformats.org/officeDocument/2006/relationships/hyperlink" Target="https://www.astrobin.com/ik0514/" TargetMode="External"/><Relationship Id="rId683" Type="http://schemas.openxmlformats.org/officeDocument/2006/relationships/hyperlink" Target="https://app.astrobin.com/i/18zqkc" TargetMode="External"/><Relationship Id="rId890" Type="http://schemas.openxmlformats.org/officeDocument/2006/relationships/hyperlink" Target="https://www.astrobin.com/z4yytx/" TargetMode="External"/><Relationship Id="rId2157" Type="http://schemas.openxmlformats.org/officeDocument/2006/relationships/hyperlink" Target="https://www.astrobin.com/n39o2s" TargetMode="External"/><Relationship Id="rId2364" Type="http://schemas.openxmlformats.org/officeDocument/2006/relationships/hyperlink" Target="https://www.astrobin.com/9rlmgs" TargetMode="External"/><Relationship Id="rId2571" Type="http://schemas.openxmlformats.org/officeDocument/2006/relationships/hyperlink" Target="https://app.astrobin.com/i/5nzulb" TargetMode="External"/><Relationship Id="rId129" Type="http://schemas.openxmlformats.org/officeDocument/2006/relationships/hyperlink" Target="https://app.astrobin.com/i/lvun1o" TargetMode="External"/><Relationship Id="rId336" Type="http://schemas.openxmlformats.org/officeDocument/2006/relationships/hyperlink" Target="https://www.astrobin.com/385403/" TargetMode="External"/><Relationship Id="rId543" Type="http://schemas.openxmlformats.org/officeDocument/2006/relationships/hyperlink" Target="https://www.astrobin.com/hfewu7/" TargetMode="External"/><Relationship Id="rId988" Type="http://schemas.openxmlformats.org/officeDocument/2006/relationships/hyperlink" Target="https://www.astrobin.com/43dboj/" TargetMode="External"/><Relationship Id="rId1173" Type="http://schemas.openxmlformats.org/officeDocument/2006/relationships/hyperlink" Target="https://www.astrobin.com/2t8wew/" TargetMode="External"/><Relationship Id="rId1380" Type="http://schemas.openxmlformats.org/officeDocument/2006/relationships/hyperlink" Target="https://app.astrobin.com/i/yk2la1" TargetMode="External"/><Relationship Id="rId2017" Type="http://schemas.openxmlformats.org/officeDocument/2006/relationships/hyperlink" Target="https://www.astrobin.com/7minu8" TargetMode="External"/><Relationship Id="rId2224" Type="http://schemas.openxmlformats.org/officeDocument/2006/relationships/hyperlink" Target="https://www.astrobin.com/4avj72/" TargetMode="External"/><Relationship Id="rId403" Type="http://schemas.openxmlformats.org/officeDocument/2006/relationships/hyperlink" Target="https://www.astrobin.com/prhkiw" TargetMode="External"/><Relationship Id="rId750" Type="http://schemas.openxmlformats.org/officeDocument/2006/relationships/hyperlink" Target="https://www.astrobin.com/6qltqx/" TargetMode="External"/><Relationship Id="rId848" Type="http://schemas.openxmlformats.org/officeDocument/2006/relationships/hyperlink" Target="https://www.astrobin.com/545j5x/" TargetMode="External"/><Relationship Id="rId1033" Type="http://schemas.openxmlformats.org/officeDocument/2006/relationships/hyperlink" Target="https://app.astrobin.com/i/2hx6sl" TargetMode="External"/><Relationship Id="rId1478" Type="http://schemas.openxmlformats.org/officeDocument/2006/relationships/hyperlink" Target="https://www.astrobin.com/778w92/" TargetMode="External"/><Relationship Id="rId1685" Type="http://schemas.openxmlformats.org/officeDocument/2006/relationships/hyperlink" Target="https://www.astrobin.com/ak7y99/" TargetMode="External"/><Relationship Id="rId1892" Type="http://schemas.openxmlformats.org/officeDocument/2006/relationships/hyperlink" Target="https://www.astrobin.com/ba13uz" TargetMode="External"/><Relationship Id="rId2431" Type="http://schemas.openxmlformats.org/officeDocument/2006/relationships/hyperlink" Target="https://www.astrobin.com/ghzyjr" TargetMode="External"/><Relationship Id="rId2529" Type="http://schemas.openxmlformats.org/officeDocument/2006/relationships/hyperlink" Target="https://app.astrobin.com/i/4nzqet" TargetMode="External"/><Relationship Id="rId610" Type="http://schemas.openxmlformats.org/officeDocument/2006/relationships/hyperlink" Target="https://www.astrobin.com/gr2rio" TargetMode="External"/><Relationship Id="rId708" Type="http://schemas.openxmlformats.org/officeDocument/2006/relationships/hyperlink" Target="https://www.astrobin.com/ak40mp/" TargetMode="External"/><Relationship Id="rId915" Type="http://schemas.openxmlformats.org/officeDocument/2006/relationships/hyperlink" Target="https://www.astrobin.com/csleiw/" TargetMode="External"/><Relationship Id="rId1240" Type="http://schemas.openxmlformats.org/officeDocument/2006/relationships/hyperlink" Target="https://www.astrobin.com/0vtgs4/C/" TargetMode="External"/><Relationship Id="rId1338" Type="http://schemas.openxmlformats.org/officeDocument/2006/relationships/hyperlink" Target="https://www.astrobin.com/i1z00s/" TargetMode="External"/><Relationship Id="rId1545" Type="http://schemas.openxmlformats.org/officeDocument/2006/relationships/hyperlink" Target="https://www.astrobin.com/n6e9wq/" TargetMode="External"/><Relationship Id="rId1100" Type="http://schemas.openxmlformats.org/officeDocument/2006/relationships/hyperlink" Target="https://www.astrobin.com/j0pbgn/" TargetMode="External"/><Relationship Id="rId1405" Type="http://schemas.openxmlformats.org/officeDocument/2006/relationships/hyperlink" Target="https://www.astrobin.com/8b9fbd/" TargetMode="External"/><Relationship Id="rId1752" Type="http://schemas.openxmlformats.org/officeDocument/2006/relationships/hyperlink" Target="https://www.astrobin.com/ghdc98" TargetMode="External"/><Relationship Id="rId44" Type="http://schemas.openxmlformats.org/officeDocument/2006/relationships/hyperlink" Target="https://www.astrobin.com/xmkn6y" TargetMode="External"/><Relationship Id="rId1612" Type="http://schemas.openxmlformats.org/officeDocument/2006/relationships/hyperlink" Target="https://www.astrobin.com/hm8201/" TargetMode="External"/><Relationship Id="rId1917" Type="http://schemas.openxmlformats.org/officeDocument/2006/relationships/hyperlink" Target="https://www.astrobin.com/vjvw7p" TargetMode="External"/><Relationship Id="rId193" Type="http://schemas.openxmlformats.org/officeDocument/2006/relationships/hyperlink" Target="https://www.astrobin.com/329215/" TargetMode="External"/><Relationship Id="rId498" Type="http://schemas.openxmlformats.org/officeDocument/2006/relationships/hyperlink" Target="https://www.astrobin.com/si9j1r/" TargetMode="External"/><Relationship Id="rId2081" Type="http://schemas.openxmlformats.org/officeDocument/2006/relationships/hyperlink" Target="https://app.astrobin.com/i/ipdkw7" TargetMode="External"/><Relationship Id="rId2179" Type="http://schemas.openxmlformats.org/officeDocument/2006/relationships/hyperlink" Target="https://www.astrobin.com/wwwu1y" TargetMode="External"/><Relationship Id="rId260" Type="http://schemas.openxmlformats.org/officeDocument/2006/relationships/hyperlink" Target="https://www.astrobin.com/j2zhau" TargetMode="External"/><Relationship Id="rId2386" Type="http://schemas.openxmlformats.org/officeDocument/2006/relationships/hyperlink" Target="https://www.astrobin.com/zjivj5" TargetMode="External"/><Relationship Id="rId2593" Type="http://schemas.openxmlformats.org/officeDocument/2006/relationships/hyperlink" Target="https://app.astrobin.com/i/bv8l25" TargetMode="External"/><Relationship Id="rId120" Type="http://schemas.openxmlformats.org/officeDocument/2006/relationships/hyperlink" Target="https://www.astrobin.com/plzvw4" TargetMode="External"/><Relationship Id="rId358" Type="http://schemas.openxmlformats.org/officeDocument/2006/relationships/hyperlink" Target="https://www.astrobin.com/395596/" TargetMode="External"/><Relationship Id="rId565" Type="http://schemas.openxmlformats.org/officeDocument/2006/relationships/hyperlink" Target="https://www.astrobin.com/2c4dah/" TargetMode="External"/><Relationship Id="rId772" Type="http://schemas.openxmlformats.org/officeDocument/2006/relationships/hyperlink" Target="https://www.astrobin.com/j1d45s/" TargetMode="External"/><Relationship Id="rId1195" Type="http://schemas.openxmlformats.org/officeDocument/2006/relationships/hyperlink" Target="https://www.astrobin.com/zm9r2a/" TargetMode="External"/><Relationship Id="rId2039" Type="http://schemas.openxmlformats.org/officeDocument/2006/relationships/hyperlink" Target="https://www.astrobin.com/hxsxyr" TargetMode="External"/><Relationship Id="rId2246" Type="http://schemas.openxmlformats.org/officeDocument/2006/relationships/hyperlink" Target="https://www.astrobin.com/erl7xa" TargetMode="External"/><Relationship Id="rId2453" Type="http://schemas.openxmlformats.org/officeDocument/2006/relationships/hyperlink" Target="https://www.astrobin.com/q2wulx" TargetMode="External"/><Relationship Id="rId218" Type="http://schemas.openxmlformats.org/officeDocument/2006/relationships/hyperlink" Target="https://www.astrobin.com/vfv09f" TargetMode="External"/><Relationship Id="rId425" Type="http://schemas.openxmlformats.org/officeDocument/2006/relationships/hyperlink" Target="https://www.astrobin.com/416922/" TargetMode="External"/><Relationship Id="rId632" Type="http://schemas.openxmlformats.org/officeDocument/2006/relationships/hyperlink" Target="https://www.astrobin.com/25ou7b/" TargetMode="External"/><Relationship Id="rId1055" Type="http://schemas.openxmlformats.org/officeDocument/2006/relationships/hyperlink" Target="https://www.astrobin.com/oob3mp/" TargetMode="External"/><Relationship Id="rId1262" Type="http://schemas.openxmlformats.org/officeDocument/2006/relationships/hyperlink" Target="https://www.astrobin.com/4jzjq6" TargetMode="External"/><Relationship Id="rId2106" Type="http://schemas.openxmlformats.org/officeDocument/2006/relationships/hyperlink" Target="https://www.astrobin.com/bdr8a7/" TargetMode="External"/><Relationship Id="rId2313" Type="http://schemas.openxmlformats.org/officeDocument/2006/relationships/hyperlink" Target="https://www.astrobin.com/rs60tt" TargetMode="External"/><Relationship Id="rId2520" Type="http://schemas.openxmlformats.org/officeDocument/2006/relationships/hyperlink" Target="https://app.astrobin.com/i/9jkp46" TargetMode="External"/><Relationship Id="rId937" Type="http://schemas.openxmlformats.org/officeDocument/2006/relationships/hyperlink" Target="https://www.astrobin.com/eyzzmd/" TargetMode="External"/><Relationship Id="rId1122" Type="http://schemas.openxmlformats.org/officeDocument/2006/relationships/hyperlink" Target="https://www.astrobin.com/zpigkp/" TargetMode="External"/><Relationship Id="rId1567" Type="http://schemas.openxmlformats.org/officeDocument/2006/relationships/hyperlink" Target="https://www.astrobin.com/0zkfu5/" TargetMode="External"/><Relationship Id="rId1774" Type="http://schemas.openxmlformats.org/officeDocument/2006/relationships/hyperlink" Target="https://www.astrobin.com/lhzo44/" TargetMode="External"/><Relationship Id="rId1981" Type="http://schemas.openxmlformats.org/officeDocument/2006/relationships/hyperlink" Target="https://www.astrobin.com/ovqia6" TargetMode="External"/><Relationship Id="rId2618" Type="http://schemas.openxmlformats.org/officeDocument/2006/relationships/hyperlink" Target="https://app.astrobin.com/i/okyzpd" TargetMode="External"/><Relationship Id="rId66" Type="http://schemas.openxmlformats.org/officeDocument/2006/relationships/hyperlink" Target="https://www.astrobin.com/c7bgwq/" TargetMode="External"/><Relationship Id="rId1427" Type="http://schemas.openxmlformats.org/officeDocument/2006/relationships/hyperlink" Target="https://www.astrobin.com/a4wadn/" TargetMode="External"/><Relationship Id="rId1634" Type="http://schemas.openxmlformats.org/officeDocument/2006/relationships/hyperlink" Target="https://www.astrobin.com/emmxpq/" TargetMode="External"/><Relationship Id="rId1841" Type="http://schemas.openxmlformats.org/officeDocument/2006/relationships/hyperlink" Target="https://www.astrobin.com/d2el71" TargetMode="External"/><Relationship Id="rId1939" Type="http://schemas.openxmlformats.org/officeDocument/2006/relationships/hyperlink" Target="https://www.astrobin.com/frzb5w" TargetMode="External"/><Relationship Id="rId1701" Type="http://schemas.openxmlformats.org/officeDocument/2006/relationships/hyperlink" Target="https://www.astrobin.com/k1rz52/?nc=collection&amp;nce=1924" TargetMode="External"/><Relationship Id="rId282" Type="http://schemas.openxmlformats.org/officeDocument/2006/relationships/hyperlink" Target="https://www.astrobin.com/359039/" TargetMode="External"/><Relationship Id="rId587" Type="http://schemas.openxmlformats.org/officeDocument/2006/relationships/hyperlink" Target="https://app.astrobin.com/i/q2jttk" TargetMode="External"/><Relationship Id="rId2170" Type="http://schemas.openxmlformats.org/officeDocument/2006/relationships/hyperlink" Target="https://www.astrobin.com/1dkpxp" TargetMode="External"/><Relationship Id="rId2268" Type="http://schemas.openxmlformats.org/officeDocument/2006/relationships/hyperlink" Target="https://www.astrobin.com/dronr7/" TargetMode="External"/><Relationship Id="rId8" Type="http://schemas.openxmlformats.org/officeDocument/2006/relationships/hyperlink" Target="https://www.astrobin.com/ohp8ws/" TargetMode="External"/><Relationship Id="rId142" Type="http://schemas.openxmlformats.org/officeDocument/2006/relationships/hyperlink" Target="https://www.astrobin.com/hlbfhd/" TargetMode="External"/><Relationship Id="rId447" Type="http://schemas.openxmlformats.org/officeDocument/2006/relationships/hyperlink" Target="https://www.astrobin.com/422867/" TargetMode="External"/><Relationship Id="rId794" Type="http://schemas.openxmlformats.org/officeDocument/2006/relationships/hyperlink" Target="https://www.astrobin.com/2kd86k/" TargetMode="External"/><Relationship Id="rId1077" Type="http://schemas.openxmlformats.org/officeDocument/2006/relationships/hyperlink" Target="https://www.astrobin.com/0bwnia/" TargetMode="External"/><Relationship Id="rId2030" Type="http://schemas.openxmlformats.org/officeDocument/2006/relationships/hyperlink" Target="https://www.astrobin.com/r0tu6o" TargetMode="External"/><Relationship Id="rId2128" Type="http://schemas.openxmlformats.org/officeDocument/2006/relationships/hyperlink" Target="https://www.astrobin.com/x095di/" TargetMode="External"/><Relationship Id="rId2475" Type="http://schemas.openxmlformats.org/officeDocument/2006/relationships/hyperlink" Target="https://app.astrobin.com/i/qsycun" TargetMode="External"/><Relationship Id="rId654" Type="http://schemas.openxmlformats.org/officeDocument/2006/relationships/hyperlink" Target="https://app.astrobin.com/i/upy7u5" TargetMode="External"/><Relationship Id="rId861" Type="http://schemas.openxmlformats.org/officeDocument/2006/relationships/hyperlink" Target="https://www.astrobin.com/pwqz1r/" TargetMode="External"/><Relationship Id="rId959" Type="http://schemas.openxmlformats.org/officeDocument/2006/relationships/hyperlink" Target="https://app.astrobin.com/i/hqekcn" TargetMode="External"/><Relationship Id="rId1284" Type="http://schemas.openxmlformats.org/officeDocument/2006/relationships/hyperlink" Target="https://www.astrobin.com/8jz07y/" TargetMode="External"/><Relationship Id="rId1491" Type="http://schemas.openxmlformats.org/officeDocument/2006/relationships/hyperlink" Target="https://www.astrobin.com/0ohros/" TargetMode="External"/><Relationship Id="rId1589" Type="http://schemas.openxmlformats.org/officeDocument/2006/relationships/hyperlink" Target="https://www.astrobin.com/u38j4e/" TargetMode="External"/><Relationship Id="rId2335" Type="http://schemas.openxmlformats.org/officeDocument/2006/relationships/hyperlink" Target="https://www.astrobin.com/pgja1t" TargetMode="External"/><Relationship Id="rId2542" Type="http://schemas.openxmlformats.org/officeDocument/2006/relationships/hyperlink" Target="https://app.astrobin.com/i/zzxw0c" TargetMode="External"/><Relationship Id="rId307" Type="http://schemas.openxmlformats.org/officeDocument/2006/relationships/hyperlink" Target="https://app.astrobin.com/i/qcxfzy" TargetMode="External"/><Relationship Id="rId514" Type="http://schemas.openxmlformats.org/officeDocument/2006/relationships/hyperlink" Target="https://www.astrobin.com/t0o5c1/" TargetMode="External"/><Relationship Id="rId721" Type="http://schemas.openxmlformats.org/officeDocument/2006/relationships/hyperlink" Target="https://www.astrobin.com/zy3r4x/" TargetMode="External"/><Relationship Id="rId1144" Type="http://schemas.openxmlformats.org/officeDocument/2006/relationships/hyperlink" Target="https://www.astrobin.com/agthtf/" TargetMode="External"/><Relationship Id="rId1351" Type="http://schemas.openxmlformats.org/officeDocument/2006/relationships/hyperlink" Target="https://www.astrobin.com/hodp6w/" TargetMode="External"/><Relationship Id="rId1449" Type="http://schemas.openxmlformats.org/officeDocument/2006/relationships/hyperlink" Target="https://www.astrobin.com/0oapxw/" TargetMode="External"/><Relationship Id="rId1796" Type="http://schemas.openxmlformats.org/officeDocument/2006/relationships/hyperlink" Target="https://www.astrobin.com/rypx47/" TargetMode="External"/><Relationship Id="rId2402" Type="http://schemas.openxmlformats.org/officeDocument/2006/relationships/hyperlink" Target="https://www.astrobin.com/g9dkhi" TargetMode="External"/><Relationship Id="rId88" Type="http://schemas.openxmlformats.org/officeDocument/2006/relationships/hyperlink" Target="https://www.astrobin.com/302253/" TargetMode="External"/><Relationship Id="rId819" Type="http://schemas.openxmlformats.org/officeDocument/2006/relationships/hyperlink" Target="https://www.astrobin.com/w53do3/" TargetMode="External"/><Relationship Id="rId1004" Type="http://schemas.openxmlformats.org/officeDocument/2006/relationships/hyperlink" Target="https://app.astrobin.com/i/skz969" TargetMode="External"/><Relationship Id="rId1211" Type="http://schemas.openxmlformats.org/officeDocument/2006/relationships/hyperlink" Target="https://www.astrobin.com/zcilfv/" TargetMode="External"/><Relationship Id="rId1656" Type="http://schemas.openxmlformats.org/officeDocument/2006/relationships/hyperlink" Target="https://www.astrobin.com/lscq88/" TargetMode="External"/><Relationship Id="rId1863" Type="http://schemas.openxmlformats.org/officeDocument/2006/relationships/hyperlink" Target="https://www.astrobin.com/7djqes" TargetMode="External"/><Relationship Id="rId1309" Type="http://schemas.openxmlformats.org/officeDocument/2006/relationships/hyperlink" Target="https://www.astrobin.com/gz1jj5/" TargetMode="External"/><Relationship Id="rId1516" Type="http://schemas.openxmlformats.org/officeDocument/2006/relationships/hyperlink" Target="https://www.astrobin.com/rel79a/" TargetMode="External"/><Relationship Id="rId1723" Type="http://schemas.openxmlformats.org/officeDocument/2006/relationships/hyperlink" Target="https://www.astrobin.com/x3hz1a" TargetMode="External"/><Relationship Id="rId1930" Type="http://schemas.openxmlformats.org/officeDocument/2006/relationships/hyperlink" Target="https://www.astrobin.com/wxesch" TargetMode="External"/><Relationship Id="rId15" Type="http://schemas.openxmlformats.org/officeDocument/2006/relationships/hyperlink" Target="https://www.astrobin.com/377014/" TargetMode="External"/><Relationship Id="rId2192" Type="http://schemas.openxmlformats.org/officeDocument/2006/relationships/hyperlink" Target="https://www.astrobin.com/lp69q2" TargetMode="External"/><Relationship Id="rId164" Type="http://schemas.openxmlformats.org/officeDocument/2006/relationships/hyperlink" Target="https://www.astrobin.com/7828i5" TargetMode="External"/><Relationship Id="rId371" Type="http://schemas.openxmlformats.org/officeDocument/2006/relationships/hyperlink" Target="https://www.astrobin.com/20ts5o" TargetMode="External"/><Relationship Id="rId2052" Type="http://schemas.openxmlformats.org/officeDocument/2006/relationships/hyperlink" Target="https://www.astrobin.com/q8zsx1" TargetMode="External"/><Relationship Id="rId2497" Type="http://schemas.openxmlformats.org/officeDocument/2006/relationships/hyperlink" Target="https://app.astrobin.com/i/eu5gan" TargetMode="External"/><Relationship Id="rId469" Type="http://schemas.openxmlformats.org/officeDocument/2006/relationships/hyperlink" Target="https://app.astrobin.com/i/ah4jlw" TargetMode="External"/><Relationship Id="rId676" Type="http://schemas.openxmlformats.org/officeDocument/2006/relationships/hyperlink" Target="https://www.astrobin.com/6wysfp/" TargetMode="External"/><Relationship Id="rId883" Type="http://schemas.openxmlformats.org/officeDocument/2006/relationships/hyperlink" Target="https://www.astrobin.com/plx4du" TargetMode="External"/><Relationship Id="rId1099" Type="http://schemas.openxmlformats.org/officeDocument/2006/relationships/hyperlink" Target="https://www.astrobin.com/5z5l63/E/" TargetMode="External"/><Relationship Id="rId2357" Type="http://schemas.openxmlformats.org/officeDocument/2006/relationships/hyperlink" Target="https://www.astrobin.com/2q1rcm" TargetMode="External"/><Relationship Id="rId2564" Type="http://schemas.openxmlformats.org/officeDocument/2006/relationships/hyperlink" Target="https://app.astrobin.com/i/fyqtjm" TargetMode="External"/><Relationship Id="rId231" Type="http://schemas.openxmlformats.org/officeDocument/2006/relationships/hyperlink" Target="https://www.astrobin.com/342388/" TargetMode="External"/><Relationship Id="rId329" Type="http://schemas.openxmlformats.org/officeDocument/2006/relationships/hyperlink" Target="https://www.astrobin.com/y58ybj" TargetMode="External"/><Relationship Id="rId536" Type="http://schemas.openxmlformats.org/officeDocument/2006/relationships/hyperlink" Target="https://www.astrobin.com/loldcc/" TargetMode="External"/><Relationship Id="rId1166" Type="http://schemas.openxmlformats.org/officeDocument/2006/relationships/hyperlink" Target="https://www.astrobin.com/3myom1/" TargetMode="External"/><Relationship Id="rId1373" Type="http://schemas.openxmlformats.org/officeDocument/2006/relationships/hyperlink" Target="https://www.astrobin.com/6ybagq/" TargetMode="External"/><Relationship Id="rId2217" Type="http://schemas.openxmlformats.org/officeDocument/2006/relationships/hyperlink" Target="https://www.astrobin.com/gou90y/" TargetMode="External"/><Relationship Id="rId743" Type="http://schemas.openxmlformats.org/officeDocument/2006/relationships/hyperlink" Target="https://www.astrobin.com/9iwc0n/" TargetMode="External"/><Relationship Id="rId950" Type="http://schemas.openxmlformats.org/officeDocument/2006/relationships/hyperlink" Target="https://www.astrobin.com/v183lv" TargetMode="External"/><Relationship Id="rId1026" Type="http://schemas.openxmlformats.org/officeDocument/2006/relationships/hyperlink" Target="https://www.astrobin.com/v6lzdu/" TargetMode="External"/><Relationship Id="rId1580" Type="http://schemas.openxmlformats.org/officeDocument/2006/relationships/hyperlink" Target="https://www.astrobin.com/6beef3/" TargetMode="External"/><Relationship Id="rId1678" Type="http://schemas.openxmlformats.org/officeDocument/2006/relationships/hyperlink" Target="https://www.astrobin.com/vuv1dn/" TargetMode="External"/><Relationship Id="rId1885" Type="http://schemas.openxmlformats.org/officeDocument/2006/relationships/hyperlink" Target="https://www.astrobin.com/qk4g96" TargetMode="External"/><Relationship Id="rId2424" Type="http://schemas.openxmlformats.org/officeDocument/2006/relationships/hyperlink" Target="https://www.astrobin.com/3ttoxj" TargetMode="External"/><Relationship Id="rId2631" Type="http://schemas.openxmlformats.org/officeDocument/2006/relationships/hyperlink" Target="https://app.astrobin.com/i/x8w00r" TargetMode="External"/><Relationship Id="rId603" Type="http://schemas.openxmlformats.org/officeDocument/2006/relationships/hyperlink" Target="https://app.astrobin.com/i/xjurv0" TargetMode="External"/><Relationship Id="rId810" Type="http://schemas.openxmlformats.org/officeDocument/2006/relationships/hyperlink" Target="https://www.astrobin.com/gd8w1r/" TargetMode="External"/><Relationship Id="rId908" Type="http://schemas.openxmlformats.org/officeDocument/2006/relationships/hyperlink" Target="https://app.astrobin.com/i/sj7bgu" TargetMode="External"/><Relationship Id="rId1233" Type="http://schemas.openxmlformats.org/officeDocument/2006/relationships/hyperlink" Target="https://www.astrobin.com/j7hlme/" TargetMode="External"/><Relationship Id="rId1440" Type="http://schemas.openxmlformats.org/officeDocument/2006/relationships/hyperlink" Target="https://www.astrobin.com/3ig3wm/" TargetMode="External"/><Relationship Id="rId1538" Type="http://schemas.openxmlformats.org/officeDocument/2006/relationships/hyperlink" Target="https://www.astrobin.com/ulgz0o/" TargetMode="External"/><Relationship Id="rId1300" Type="http://schemas.openxmlformats.org/officeDocument/2006/relationships/hyperlink" Target="https://www.astrobin.com/81mae9/" TargetMode="External"/><Relationship Id="rId1745" Type="http://schemas.openxmlformats.org/officeDocument/2006/relationships/hyperlink" Target="https://www.astrobin.com/jklijj" TargetMode="External"/><Relationship Id="rId1952" Type="http://schemas.openxmlformats.org/officeDocument/2006/relationships/hyperlink" Target="https://www.astrobin.com/ep0ejw" TargetMode="External"/><Relationship Id="rId37" Type="http://schemas.openxmlformats.org/officeDocument/2006/relationships/hyperlink" Target="https://www.astrobin.com/rypx47/" TargetMode="External"/><Relationship Id="rId1605" Type="http://schemas.openxmlformats.org/officeDocument/2006/relationships/hyperlink" Target="https://www.astrobin.com/xcrtfo" TargetMode="External"/><Relationship Id="rId1812" Type="http://schemas.openxmlformats.org/officeDocument/2006/relationships/hyperlink" Target="https://www.astrobin.com/zhrjyy/" TargetMode="External"/><Relationship Id="rId186" Type="http://schemas.openxmlformats.org/officeDocument/2006/relationships/hyperlink" Target="https://www.astrobin.com/4431jj" TargetMode="External"/><Relationship Id="rId393" Type="http://schemas.openxmlformats.org/officeDocument/2006/relationships/hyperlink" Target="https://www.astrobin.com/406792/" TargetMode="External"/><Relationship Id="rId2074" Type="http://schemas.openxmlformats.org/officeDocument/2006/relationships/hyperlink" Target="https://www.astrobin.com/411634/" TargetMode="External"/><Relationship Id="rId2281" Type="http://schemas.openxmlformats.org/officeDocument/2006/relationships/hyperlink" Target="https://www.astrobin.com/bdxeea/" TargetMode="External"/><Relationship Id="rId253" Type="http://schemas.openxmlformats.org/officeDocument/2006/relationships/hyperlink" Target="https://www.astrobin.com/0b9c61" TargetMode="External"/><Relationship Id="rId460" Type="http://schemas.openxmlformats.org/officeDocument/2006/relationships/hyperlink" Target="https://www.astrobin.com/1x9mj8/" TargetMode="External"/><Relationship Id="rId698" Type="http://schemas.openxmlformats.org/officeDocument/2006/relationships/hyperlink" Target="https://www.astrobin.com/890si3/" TargetMode="External"/><Relationship Id="rId1090" Type="http://schemas.openxmlformats.org/officeDocument/2006/relationships/hyperlink" Target="https://www.astrobin.com/9nmscy/" TargetMode="External"/><Relationship Id="rId2141" Type="http://schemas.openxmlformats.org/officeDocument/2006/relationships/hyperlink" Target="https://www.astrobin.com/up9d5o/" TargetMode="External"/><Relationship Id="rId2379" Type="http://schemas.openxmlformats.org/officeDocument/2006/relationships/hyperlink" Target="https://www.astrobin.com/f4varj" TargetMode="External"/><Relationship Id="rId2586" Type="http://schemas.openxmlformats.org/officeDocument/2006/relationships/hyperlink" Target="https://app.astrobin.com/i/25tpyl" TargetMode="External"/><Relationship Id="rId113" Type="http://schemas.openxmlformats.org/officeDocument/2006/relationships/hyperlink" Target="https://app.astrobin.com/i/ye4zym" TargetMode="External"/><Relationship Id="rId320" Type="http://schemas.openxmlformats.org/officeDocument/2006/relationships/hyperlink" Target="https://app.astrobin.com/i/gi7crw" TargetMode="External"/><Relationship Id="rId558" Type="http://schemas.openxmlformats.org/officeDocument/2006/relationships/hyperlink" Target="https://www.astrobin.com/t2b7bl" TargetMode="External"/><Relationship Id="rId765" Type="http://schemas.openxmlformats.org/officeDocument/2006/relationships/hyperlink" Target="https://www.astrobin.com/ckociy" TargetMode="External"/><Relationship Id="rId972" Type="http://schemas.openxmlformats.org/officeDocument/2006/relationships/hyperlink" Target="https://www.astrobin.com/8wg32s/" TargetMode="External"/><Relationship Id="rId1188" Type="http://schemas.openxmlformats.org/officeDocument/2006/relationships/hyperlink" Target="https://www.astrobin.com/kw2a6s/C/" TargetMode="External"/><Relationship Id="rId1395" Type="http://schemas.openxmlformats.org/officeDocument/2006/relationships/hyperlink" Target="https://www.astrobin.com/3kyb61/" TargetMode="External"/><Relationship Id="rId2001" Type="http://schemas.openxmlformats.org/officeDocument/2006/relationships/hyperlink" Target="https://www.astrobin.com/2hxqrx" TargetMode="External"/><Relationship Id="rId2239" Type="http://schemas.openxmlformats.org/officeDocument/2006/relationships/hyperlink" Target="https://www.astrobin.com/4noap7" TargetMode="External"/><Relationship Id="rId2446" Type="http://schemas.openxmlformats.org/officeDocument/2006/relationships/hyperlink" Target="https://www.astrobin.com/8hqb01" TargetMode="External"/><Relationship Id="rId2653" Type="http://schemas.openxmlformats.org/officeDocument/2006/relationships/comments" Target="../comments1.xml"/><Relationship Id="rId418" Type="http://schemas.openxmlformats.org/officeDocument/2006/relationships/hyperlink" Target="https://www.astrobin.com/ud0knm" TargetMode="External"/><Relationship Id="rId625" Type="http://schemas.openxmlformats.org/officeDocument/2006/relationships/hyperlink" Target="https://www.astrobin.com/h6x058/" TargetMode="External"/><Relationship Id="rId832" Type="http://schemas.openxmlformats.org/officeDocument/2006/relationships/hyperlink" Target="https://www.astrobin.com/930zpp/" TargetMode="External"/><Relationship Id="rId1048" Type="http://schemas.openxmlformats.org/officeDocument/2006/relationships/hyperlink" Target="https://www.astrobin.com/6f39ap" TargetMode="External"/><Relationship Id="rId1255" Type="http://schemas.openxmlformats.org/officeDocument/2006/relationships/hyperlink" Target="https://www.astrobin.com/11ugih/" TargetMode="External"/><Relationship Id="rId1462" Type="http://schemas.openxmlformats.org/officeDocument/2006/relationships/hyperlink" Target="https://www.astrobin.com/erq660/" TargetMode="External"/><Relationship Id="rId2306" Type="http://schemas.openxmlformats.org/officeDocument/2006/relationships/hyperlink" Target="https://www.astrobin.com/quv8zx" TargetMode="External"/><Relationship Id="rId2513" Type="http://schemas.openxmlformats.org/officeDocument/2006/relationships/hyperlink" Target="https://app.astrobin.com/i/f57k24" TargetMode="External"/><Relationship Id="rId1115" Type="http://schemas.openxmlformats.org/officeDocument/2006/relationships/hyperlink" Target="https://www.astrobin.com/hlbitl" TargetMode="External"/><Relationship Id="rId1322" Type="http://schemas.openxmlformats.org/officeDocument/2006/relationships/hyperlink" Target="https://www.astrobin.com/t9pgzv/" TargetMode="External"/><Relationship Id="rId1767" Type="http://schemas.openxmlformats.org/officeDocument/2006/relationships/hyperlink" Target="https://www.astrobin.com/qelrxt" TargetMode="External"/><Relationship Id="rId1974" Type="http://schemas.openxmlformats.org/officeDocument/2006/relationships/hyperlink" Target="https://www.astrobin.com/08xc9p" TargetMode="External"/><Relationship Id="rId59" Type="http://schemas.openxmlformats.org/officeDocument/2006/relationships/hyperlink" Target="https://www.astrobin.com/bqbn9o/" TargetMode="External"/><Relationship Id="rId1627" Type="http://schemas.openxmlformats.org/officeDocument/2006/relationships/hyperlink" Target="https://www.astrobin.com/p9k38u/" TargetMode="External"/><Relationship Id="rId1834" Type="http://schemas.openxmlformats.org/officeDocument/2006/relationships/hyperlink" Target="https://www.astrobin.com/ehxlrm" TargetMode="External"/><Relationship Id="rId2096" Type="http://schemas.openxmlformats.org/officeDocument/2006/relationships/hyperlink" Target="https://www.astrobin.com/oai3p2/" TargetMode="External"/><Relationship Id="rId1901" Type="http://schemas.openxmlformats.org/officeDocument/2006/relationships/hyperlink" Target="https://www.astrobin.com/6t5en1" TargetMode="External"/><Relationship Id="rId275" Type="http://schemas.openxmlformats.org/officeDocument/2006/relationships/hyperlink" Target="https://www.astrobin.com/353960/" TargetMode="External"/><Relationship Id="rId482" Type="http://schemas.openxmlformats.org/officeDocument/2006/relationships/hyperlink" Target="https://www.astrobin.com/tbjlej" TargetMode="External"/><Relationship Id="rId2163" Type="http://schemas.openxmlformats.org/officeDocument/2006/relationships/hyperlink" Target="https://www.astrobin.com/vpb8j5" TargetMode="External"/><Relationship Id="rId2370" Type="http://schemas.openxmlformats.org/officeDocument/2006/relationships/hyperlink" Target="https://www.astrobin.com/kyyxq8" TargetMode="External"/><Relationship Id="rId135" Type="http://schemas.openxmlformats.org/officeDocument/2006/relationships/hyperlink" Target="https://www.astrobin.com/r7fjbl" TargetMode="External"/><Relationship Id="rId342" Type="http://schemas.openxmlformats.org/officeDocument/2006/relationships/hyperlink" Target="https://app.astrobin.com/i/mozp3q" TargetMode="External"/><Relationship Id="rId787" Type="http://schemas.openxmlformats.org/officeDocument/2006/relationships/hyperlink" Target="https://www.astrobin.com/dpvgae/" TargetMode="External"/><Relationship Id="rId994" Type="http://schemas.openxmlformats.org/officeDocument/2006/relationships/hyperlink" Target="https://www.astrobin.com/jhyxis" TargetMode="External"/><Relationship Id="rId2023" Type="http://schemas.openxmlformats.org/officeDocument/2006/relationships/hyperlink" Target="https://www.astrobin.com/py3gi9" TargetMode="External"/><Relationship Id="rId2230" Type="http://schemas.openxmlformats.org/officeDocument/2006/relationships/hyperlink" Target="https://www.astrobin.com/u5mogl" TargetMode="External"/><Relationship Id="rId2468" Type="http://schemas.openxmlformats.org/officeDocument/2006/relationships/hyperlink" Target="https://www.astrobin.com/1gnk01" TargetMode="External"/><Relationship Id="rId202" Type="http://schemas.openxmlformats.org/officeDocument/2006/relationships/hyperlink" Target="https://www.astrobin.com/332628/" TargetMode="External"/><Relationship Id="rId647" Type="http://schemas.openxmlformats.org/officeDocument/2006/relationships/hyperlink" Target="https://www.astrobin.com/x8e20a/" TargetMode="External"/><Relationship Id="rId854" Type="http://schemas.openxmlformats.org/officeDocument/2006/relationships/hyperlink" Target="https://www.astrobin.com/56v2p8" TargetMode="External"/><Relationship Id="rId1277" Type="http://schemas.openxmlformats.org/officeDocument/2006/relationships/hyperlink" Target="https://www.astrobin.com/4st9dd/" TargetMode="External"/><Relationship Id="rId1484" Type="http://schemas.openxmlformats.org/officeDocument/2006/relationships/hyperlink" Target="https://www.astrobin.com/cvekb4/" TargetMode="External"/><Relationship Id="rId1691" Type="http://schemas.openxmlformats.org/officeDocument/2006/relationships/hyperlink" Target="https://www.astrobin.com/wjzc7c" TargetMode="External"/><Relationship Id="rId2328" Type="http://schemas.openxmlformats.org/officeDocument/2006/relationships/hyperlink" Target="https://www.astrobin.com/oqj603" TargetMode="External"/><Relationship Id="rId2535" Type="http://schemas.openxmlformats.org/officeDocument/2006/relationships/hyperlink" Target="https://app.astrobin.com/i/2r48u5" TargetMode="External"/><Relationship Id="rId507" Type="http://schemas.openxmlformats.org/officeDocument/2006/relationships/hyperlink" Target="https://www.astrobin.com/wfgg4i/" TargetMode="External"/><Relationship Id="rId714" Type="http://schemas.openxmlformats.org/officeDocument/2006/relationships/hyperlink" Target="https://www.astrobin.com/wyxxwb/" TargetMode="External"/><Relationship Id="rId921" Type="http://schemas.openxmlformats.org/officeDocument/2006/relationships/hyperlink" Target="https://app.astrobin.com/i/0evpng" TargetMode="External"/><Relationship Id="rId1137" Type="http://schemas.openxmlformats.org/officeDocument/2006/relationships/hyperlink" Target="https://www.astrobin.com/ksqxd4/" TargetMode="External"/><Relationship Id="rId1344" Type="http://schemas.openxmlformats.org/officeDocument/2006/relationships/hyperlink" Target="https://www.astrobin.com/t2ct2a/" TargetMode="External"/><Relationship Id="rId1551" Type="http://schemas.openxmlformats.org/officeDocument/2006/relationships/hyperlink" Target="https://www.astrobin.com/wivu03/" TargetMode="External"/><Relationship Id="rId1789" Type="http://schemas.openxmlformats.org/officeDocument/2006/relationships/hyperlink" Target="https://www.astrobin.com/ouboh5" TargetMode="External"/><Relationship Id="rId1996" Type="http://schemas.openxmlformats.org/officeDocument/2006/relationships/hyperlink" Target="https://www.astrobin.com/fwufp6" TargetMode="External"/><Relationship Id="rId2602" Type="http://schemas.openxmlformats.org/officeDocument/2006/relationships/hyperlink" Target="https://app.astrobin.com/i/k5acjb" TargetMode="External"/><Relationship Id="rId50" Type="http://schemas.openxmlformats.org/officeDocument/2006/relationships/hyperlink" Target="https://www.astrobin.com/y93uce" TargetMode="External"/><Relationship Id="rId1204" Type="http://schemas.openxmlformats.org/officeDocument/2006/relationships/hyperlink" Target="https://www.astrobin.com/5508eo/" TargetMode="External"/><Relationship Id="rId1411" Type="http://schemas.openxmlformats.org/officeDocument/2006/relationships/hyperlink" Target="https://www.astrobin.com/u6s1yr/" TargetMode="External"/><Relationship Id="rId1649" Type="http://schemas.openxmlformats.org/officeDocument/2006/relationships/hyperlink" Target="https://www.astrobin.com/cgxtrj/" TargetMode="External"/><Relationship Id="rId1856" Type="http://schemas.openxmlformats.org/officeDocument/2006/relationships/hyperlink" Target="https://www.astrobin.com/hezjwe" TargetMode="External"/><Relationship Id="rId1509" Type="http://schemas.openxmlformats.org/officeDocument/2006/relationships/hyperlink" Target="https://www.astrobin.com/n1ea2r/" TargetMode="External"/><Relationship Id="rId1716" Type="http://schemas.openxmlformats.org/officeDocument/2006/relationships/hyperlink" Target="https://www.astrobin.com/55sdp5/" TargetMode="External"/><Relationship Id="rId1923" Type="http://schemas.openxmlformats.org/officeDocument/2006/relationships/hyperlink" Target="https://www.astrobin.com/piqsr3" TargetMode="External"/><Relationship Id="rId297" Type="http://schemas.openxmlformats.org/officeDocument/2006/relationships/hyperlink" Target="https://www.astrobin.com/y6jwhd/" TargetMode="External"/><Relationship Id="rId2185" Type="http://schemas.openxmlformats.org/officeDocument/2006/relationships/hyperlink" Target="https://www.astrobin.com/gok9f0" TargetMode="External"/><Relationship Id="rId2392" Type="http://schemas.openxmlformats.org/officeDocument/2006/relationships/hyperlink" Target="https://app.astrobin.com/i/dymw86" TargetMode="External"/><Relationship Id="rId157" Type="http://schemas.openxmlformats.org/officeDocument/2006/relationships/hyperlink" Target="https://app.astrobin.com/i/fnard3" TargetMode="External"/><Relationship Id="rId364" Type="http://schemas.openxmlformats.org/officeDocument/2006/relationships/hyperlink" Target="https://www.astrobin.com/397326/" TargetMode="External"/><Relationship Id="rId2045" Type="http://schemas.openxmlformats.org/officeDocument/2006/relationships/hyperlink" Target="https://www.astrobin.com/as3cmi" TargetMode="External"/><Relationship Id="rId571" Type="http://schemas.openxmlformats.org/officeDocument/2006/relationships/hyperlink" Target="https://www.astrobin.com/caoil1" TargetMode="External"/><Relationship Id="rId669" Type="http://schemas.openxmlformats.org/officeDocument/2006/relationships/hyperlink" Target="https://www.astrobin.com/bsu27i/" TargetMode="External"/><Relationship Id="rId876" Type="http://schemas.openxmlformats.org/officeDocument/2006/relationships/hyperlink" Target="https://www.astrobin.com/suxvh4" TargetMode="External"/><Relationship Id="rId1299" Type="http://schemas.openxmlformats.org/officeDocument/2006/relationships/hyperlink" Target="https://www.astrobin.com/pcrzn5/" TargetMode="External"/><Relationship Id="rId2252" Type="http://schemas.openxmlformats.org/officeDocument/2006/relationships/hyperlink" Target="https://www.astrobin.com/ecx66r/" TargetMode="External"/><Relationship Id="rId2557" Type="http://schemas.openxmlformats.org/officeDocument/2006/relationships/hyperlink" Target="https://app.astrobin.com/i/wagoak" TargetMode="External"/><Relationship Id="rId224" Type="http://schemas.openxmlformats.org/officeDocument/2006/relationships/hyperlink" Target="https://www.astrobin.com/340428/" TargetMode="External"/><Relationship Id="rId431" Type="http://schemas.openxmlformats.org/officeDocument/2006/relationships/hyperlink" Target="https://app.astrobin.com/i/3754qi" TargetMode="External"/><Relationship Id="rId529" Type="http://schemas.openxmlformats.org/officeDocument/2006/relationships/hyperlink" Target="https://www.astrobin.com/p7ij1o/" TargetMode="External"/><Relationship Id="rId736" Type="http://schemas.openxmlformats.org/officeDocument/2006/relationships/hyperlink" Target="https://www.astrobin.com/6fobtv/" TargetMode="External"/><Relationship Id="rId1061" Type="http://schemas.openxmlformats.org/officeDocument/2006/relationships/hyperlink" Target="https://www.astrobin.com/mri79v/" TargetMode="External"/><Relationship Id="rId1159" Type="http://schemas.openxmlformats.org/officeDocument/2006/relationships/hyperlink" Target="https://www.astrobin.com/u3yztx/" TargetMode="External"/><Relationship Id="rId1366" Type="http://schemas.openxmlformats.org/officeDocument/2006/relationships/hyperlink" Target="https://www.astrobin.com/wfgu5s/" TargetMode="External"/><Relationship Id="rId2112" Type="http://schemas.openxmlformats.org/officeDocument/2006/relationships/hyperlink" Target="https://www.astrobin.com/8c07du/" TargetMode="External"/><Relationship Id="rId2417" Type="http://schemas.openxmlformats.org/officeDocument/2006/relationships/hyperlink" Target="https://www.astrobin.com/el1zr9" TargetMode="External"/><Relationship Id="rId943" Type="http://schemas.openxmlformats.org/officeDocument/2006/relationships/hyperlink" Target="https://www.astrobin.com/0x4u9e" TargetMode="External"/><Relationship Id="rId1019" Type="http://schemas.openxmlformats.org/officeDocument/2006/relationships/hyperlink" Target="https://www.astrobin.com/p7xewc/" TargetMode="External"/><Relationship Id="rId1573" Type="http://schemas.openxmlformats.org/officeDocument/2006/relationships/hyperlink" Target="https://www.astrobin.com/b63rh6/" TargetMode="External"/><Relationship Id="rId1780" Type="http://schemas.openxmlformats.org/officeDocument/2006/relationships/hyperlink" Target="https://www.astrobin.com/8gxh63" TargetMode="External"/><Relationship Id="rId1878" Type="http://schemas.openxmlformats.org/officeDocument/2006/relationships/hyperlink" Target="https://www.astrobin.com/8ej3ct" TargetMode="External"/><Relationship Id="rId2624" Type="http://schemas.openxmlformats.org/officeDocument/2006/relationships/hyperlink" Target="https://app.astrobin.com/i/jo2x9w" TargetMode="External"/><Relationship Id="rId72" Type="http://schemas.openxmlformats.org/officeDocument/2006/relationships/hyperlink" Target="https://www.astrobin.com/n55ddg/" TargetMode="External"/><Relationship Id="rId803" Type="http://schemas.openxmlformats.org/officeDocument/2006/relationships/hyperlink" Target="https://www.astrobin.com/pzga9p/" TargetMode="External"/><Relationship Id="rId1226" Type="http://schemas.openxmlformats.org/officeDocument/2006/relationships/hyperlink" Target="https://www.astrobin.com/xlq32l/" TargetMode="External"/><Relationship Id="rId1433" Type="http://schemas.openxmlformats.org/officeDocument/2006/relationships/hyperlink" Target="https://www.astrobin.com/w4m3r0/" TargetMode="External"/><Relationship Id="rId1640" Type="http://schemas.openxmlformats.org/officeDocument/2006/relationships/hyperlink" Target="https://www.astrobin.com/r62luy/" TargetMode="External"/><Relationship Id="rId1738" Type="http://schemas.openxmlformats.org/officeDocument/2006/relationships/hyperlink" Target="https://www.astrobin.com/isg75r/" TargetMode="External"/><Relationship Id="rId1500" Type="http://schemas.openxmlformats.org/officeDocument/2006/relationships/hyperlink" Target="https://www.astrobin.com/mhpepu/" TargetMode="External"/><Relationship Id="rId1945" Type="http://schemas.openxmlformats.org/officeDocument/2006/relationships/hyperlink" Target="https://www.astrobin.com/izj59r" TargetMode="External"/><Relationship Id="rId1805" Type="http://schemas.openxmlformats.org/officeDocument/2006/relationships/hyperlink" Target="https://www.astrobin.com/gfj0nt/" TargetMode="External"/><Relationship Id="rId179" Type="http://schemas.openxmlformats.org/officeDocument/2006/relationships/hyperlink" Target="https://www.astrobin.com/328302/" TargetMode="External"/><Relationship Id="rId386" Type="http://schemas.openxmlformats.org/officeDocument/2006/relationships/hyperlink" Target="https://www.astrobin.com/404602/" TargetMode="External"/><Relationship Id="rId593" Type="http://schemas.openxmlformats.org/officeDocument/2006/relationships/hyperlink" Target="https://www.astrobin.com/6ggdgr/" TargetMode="External"/><Relationship Id="rId2067" Type="http://schemas.openxmlformats.org/officeDocument/2006/relationships/hyperlink" Target="https://app.astrobin.com/i/xc34pb" TargetMode="External"/><Relationship Id="rId2274" Type="http://schemas.openxmlformats.org/officeDocument/2006/relationships/hyperlink" Target="https://www.astrobin.com/7leroj/" TargetMode="External"/><Relationship Id="rId2481" Type="http://schemas.openxmlformats.org/officeDocument/2006/relationships/hyperlink" Target="https://app.astrobin.com/i/3umduv" TargetMode="External"/><Relationship Id="rId246" Type="http://schemas.openxmlformats.org/officeDocument/2006/relationships/hyperlink" Target="https://www.astrobin.com/349439/" TargetMode="External"/><Relationship Id="rId453" Type="http://schemas.openxmlformats.org/officeDocument/2006/relationships/hyperlink" Target="https://app.astrobin.com/i/ibs0d6" TargetMode="External"/><Relationship Id="rId660" Type="http://schemas.openxmlformats.org/officeDocument/2006/relationships/hyperlink" Target="https://app.astrobin.com/i/81sr23" TargetMode="External"/><Relationship Id="rId898" Type="http://schemas.openxmlformats.org/officeDocument/2006/relationships/hyperlink" Target="https://www.astrobin.com/ho6iya/" TargetMode="External"/><Relationship Id="rId1083" Type="http://schemas.openxmlformats.org/officeDocument/2006/relationships/hyperlink" Target="https://www.astrobin.com/38p8mx/" TargetMode="External"/><Relationship Id="rId1290" Type="http://schemas.openxmlformats.org/officeDocument/2006/relationships/hyperlink" Target="https://www.astrobin.com/ao75i4/" TargetMode="External"/><Relationship Id="rId2134" Type="http://schemas.openxmlformats.org/officeDocument/2006/relationships/hyperlink" Target="https://www.astrobin.com/xthl6b/" TargetMode="External"/><Relationship Id="rId2341" Type="http://schemas.openxmlformats.org/officeDocument/2006/relationships/hyperlink" Target="https://app.astrobin.com/i/3948ni" TargetMode="External"/><Relationship Id="rId2579" Type="http://schemas.openxmlformats.org/officeDocument/2006/relationships/hyperlink" Target="https://app.astrobin.com/i/8x6y6k" TargetMode="External"/><Relationship Id="rId106" Type="http://schemas.openxmlformats.org/officeDocument/2006/relationships/hyperlink" Target="https://www.astrobin.com/303785/" TargetMode="External"/><Relationship Id="rId313" Type="http://schemas.openxmlformats.org/officeDocument/2006/relationships/hyperlink" Target="https://www.astrobin.com/376404/" TargetMode="External"/><Relationship Id="rId758" Type="http://schemas.openxmlformats.org/officeDocument/2006/relationships/hyperlink" Target="https://www.astrobin.com/i5xrdp/" TargetMode="External"/><Relationship Id="rId965" Type="http://schemas.openxmlformats.org/officeDocument/2006/relationships/hyperlink" Target="https://www.astrobin.com/x7bfkp/" TargetMode="External"/><Relationship Id="rId1150" Type="http://schemas.openxmlformats.org/officeDocument/2006/relationships/hyperlink" Target="https://www.astrobin.com/27hpdj/" TargetMode="External"/><Relationship Id="rId1388" Type="http://schemas.openxmlformats.org/officeDocument/2006/relationships/hyperlink" Target="https://www.astrobin.com/4lh7df/" TargetMode="External"/><Relationship Id="rId1595" Type="http://schemas.openxmlformats.org/officeDocument/2006/relationships/hyperlink" Target="https://www.astrobin.com/wmtn03/" TargetMode="External"/><Relationship Id="rId2439" Type="http://schemas.openxmlformats.org/officeDocument/2006/relationships/hyperlink" Target="https://app.astrobin.com/i/40jhv1" TargetMode="External"/><Relationship Id="rId2646" Type="http://schemas.openxmlformats.org/officeDocument/2006/relationships/hyperlink" Target="https://app.astrobin.com/i/c2mfat" TargetMode="External"/><Relationship Id="rId94" Type="http://schemas.openxmlformats.org/officeDocument/2006/relationships/hyperlink" Target="https://www.astrobin.com/0qcgfz" TargetMode="External"/><Relationship Id="rId520" Type="http://schemas.openxmlformats.org/officeDocument/2006/relationships/hyperlink" Target="https://www.astrobin.com/nxf2wj/" TargetMode="External"/><Relationship Id="rId618" Type="http://schemas.openxmlformats.org/officeDocument/2006/relationships/hyperlink" Target="https://www.astrobin.com/zzkpjs/" TargetMode="External"/><Relationship Id="rId825" Type="http://schemas.openxmlformats.org/officeDocument/2006/relationships/hyperlink" Target="https://www.astrobin.com/n11fjj/" TargetMode="External"/><Relationship Id="rId1248" Type="http://schemas.openxmlformats.org/officeDocument/2006/relationships/hyperlink" Target="https://www.astrobin.com/qlu9ax/" TargetMode="External"/><Relationship Id="rId1455" Type="http://schemas.openxmlformats.org/officeDocument/2006/relationships/hyperlink" Target="https://www.astrobin.com/7jrkgf/" TargetMode="External"/><Relationship Id="rId1662" Type="http://schemas.openxmlformats.org/officeDocument/2006/relationships/hyperlink" Target="https://www.astrobin.com/0v6v3k/" TargetMode="External"/><Relationship Id="rId2201" Type="http://schemas.openxmlformats.org/officeDocument/2006/relationships/hyperlink" Target="https://www.astrobin.com/4mmkgh" TargetMode="External"/><Relationship Id="rId2506" Type="http://schemas.openxmlformats.org/officeDocument/2006/relationships/hyperlink" Target="https://app.astrobin.com/i/khq459" TargetMode="External"/><Relationship Id="rId1010" Type="http://schemas.openxmlformats.org/officeDocument/2006/relationships/hyperlink" Target="https://app.astrobin.com/i/kowml6" TargetMode="External"/><Relationship Id="rId1108" Type="http://schemas.openxmlformats.org/officeDocument/2006/relationships/hyperlink" Target="https://www.astrobin.com/6o5gel/" TargetMode="External"/><Relationship Id="rId1315" Type="http://schemas.openxmlformats.org/officeDocument/2006/relationships/hyperlink" Target="https://www.astrobin.com/pxjth0/" TargetMode="External"/><Relationship Id="rId1967" Type="http://schemas.openxmlformats.org/officeDocument/2006/relationships/hyperlink" Target="https://www.astrobin.com/n58xcx" TargetMode="External"/><Relationship Id="rId1522" Type="http://schemas.openxmlformats.org/officeDocument/2006/relationships/hyperlink" Target="https://www.astrobin.com/eki32p/" TargetMode="External"/><Relationship Id="rId21" Type="http://schemas.openxmlformats.org/officeDocument/2006/relationships/hyperlink" Target="https://www.astrobin.com/391543/" TargetMode="External"/><Relationship Id="rId2089" Type="http://schemas.openxmlformats.org/officeDocument/2006/relationships/hyperlink" Target="https://www.astrobin.com/roh7lt/" TargetMode="External"/><Relationship Id="rId2296" Type="http://schemas.openxmlformats.org/officeDocument/2006/relationships/hyperlink" Target="https://www.astrobin.com/4hlq4v" TargetMode="External"/><Relationship Id="rId268" Type="http://schemas.openxmlformats.org/officeDocument/2006/relationships/hyperlink" Target="https://www.astrobin.com/353954/" TargetMode="External"/><Relationship Id="rId475" Type="http://schemas.openxmlformats.org/officeDocument/2006/relationships/hyperlink" Target="https://www.astrobin.com/wwen0r/" TargetMode="External"/><Relationship Id="rId682" Type="http://schemas.openxmlformats.org/officeDocument/2006/relationships/hyperlink" Target="https://app.astrobin.com/i/jnf7lt" TargetMode="External"/><Relationship Id="rId2156" Type="http://schemas.openxmlformats.org/officeDocument/2006/relationships/hyperlink" Target="https://www.astrobin.com/pvy37k" TargetMode="External"/><Relationship Id="rId2363" Type="http://schemas.openxmlformats.org/officeDocument/2006/relationships/hyperlink" Target="https://www.astrobin.com/hhln9q" TargetMode="External"/><Relationship Id="rId2570" Type="http://schemas.openxmlformats.org/officeDocument/2006/relationships/hyperlink" Target="https://app.astrobin.com/i/i82wud" TargetMode="External"/><Relationship Id="rId128" Type="http://schemas.openxmlformats.org/officeDocument/2006/relationships/hyperlink" Target="https://www.astrobin.com/bnwar7/" TargetMode="External"/><Relationship Id="rId335" Type="http://schemas.openxmlformats.org/officeDocument/2006/relationships/hyperlink" Target="https://www.astrobin.com/wfor6m" TargetMode="External"/><Relationship Id="rId542" Type="http://schemas.openxmlformats.org/officeDocument/2006/relationships/hyperlink" Target="https://app.astrobin.com/i/nv5tki" TargetMode="External"/><Relationship Id="rId1172" Type="http://schemas.openxmlformats.org/officeDocument/2006/relationships/hyperlink" Target="https://www.astrobin.com/mua9m7" TargetMode="External"/><Relationship Id="rId2016" Type="http://schemas.openxmlformats.org/officeDocument/2006/relationships/hyperlink" Target="https://www.astrobin.com/g4aioa" TargetMode="External"/><Relationship Id="rId2223" Type="http://schemas.openxmlformats.org/officeDocument/2006/relationships/hyperlink" Target="https://www.astrobin.com/bjmbw6/" TargetMode="External"/><Relationship Id="rId2430" Type="http://schemas.openxmlformats.org/officeDocument/2006/relationships/hyperlink" Target="https://www.astrobin.com/p8b0ew" TargetMode="External"/><Relationship Id="rId402" Type="http://schemas.openxmlformats.org/officeDocument/2006/relationships/hyperlink" Target="https://www.astrobin.com/410038/" TargetMode="External"/><Relationship Id="rId1032" Type="http://schemas.openxmlformats.org/officeDocument/2006/relationships/hyperlink" Target="https://www.astrobin.com/d68h66/" TargetMode="External"/><Relationship Id="rId1989" Type="http://schemas.openxmlformats.org/officeDocument/2006/relationships/hyperlink" Target="https://www.astrobin.com/iakirh" TargetMode="External"/><Relationship Id="rId1849" Type="http://schemas.openxmlformats.org/officeDocument/2006/relationships/hyperlink" Target="https://www.astrobin.com/hqqqm8" TargetMode="External"/><Relationship Id="rId192" Type="http://schemas.openxmlformats.org/officeDocument/2006/relationships/hyperlink" Target="https://www.astrobin.com/329177/" TargetMode="External"/><Relationship Id="rId1709" Type="http://schemas.openxmlformats.org/officeDocument/2006/relationships/hyperlink" Target="https://www.astrobin.com/326974/" TargetMode="External"/><Relationship Id="rId1916" Type="http://schemas.openxmlformats.org/officeDocument/2006/relationships/hyperlink" Target="https://www.astrobin.com/fojcpk" TargetMode="External"/><Relationship Id="rId2080" Type="http://schemas.openxmlformats.org/officeDocument/2006/relationships/hyperlink" Target="https://app.astrobin.com/i/tj6p5g" TargetMode="External"/><Relationship Id="rId869" Type="http://schemas.openxmlformats.org/officeDocument/2006/relationships/hyperlink" Target="https://www.astrobin.com/epl0qa" TargetMode="External"/><Relationship Id="rId1499" Type="http://schemas.openxmlformats.org/officeDocument/2006/relationships/hyperlink" Target="https://www.astrobin.com/zf1z48/" TargetMode="External"/><Relationship Id="rId729" Type="http://schemas.openxmlformats.org/officeDocument/2006/relationships/hyperlink" Target="https://www.astrobin.com/ixlfhy/" TargetMode="External"/><Relationship Id="rId1359" Type="http://schemas.openxmlformats.org/officeDocument/2006/relationships/hyperlink" Target="https://www.astrobin.com/e94i12/" TargetMode="External"/><Relationship Id="rId936" Type="http://schemas.openxmlformats.org/officeDocument/2006/relationships/hyperlink" Target="https://www.astrobin.com/h2scpx/" TargetMode="External"/><Relationship Id="rId1219" Type="http://schemas.openxmlformats.org/officeDocument/2006/relationships/hyperlink" Target="https://www.astrobin.com/ywsx18/" TargetMode="External"/><Relationship Id="rId1566" Type="http://schemas.openxmlformats.org/officeDocument/2006/relationships/hyperlink" Target="https://www.astrobin.com/45w0fr/" TargetMode="External"/><Relationship Id="rId1773" Type="http://schemas.openxmlformats.org/officeDocument/2006/relationships/hyperlink" Target="https://www.astrobin.com/l9p71l" TargetMode="External"/><Relationship Id="rId1980" Type="http://schemas.openxmlformats.org/officeDocument/2006/relationships/hyperlink" Target="https://www.astrobin.com/n3vj42" TargetMode="External"/><Relationship Id="rId2617" Type="http://schemas.openxmlformats.org/officeDocument/2006/relationships/hyperlink" Target="https://app.astrobin.com/i/kstffl" TargetMode="External"/><Relationship Id="rId65" Type="http://schemas.openxmlformats.org/officeDocument/2006/relationships/hyperlink" Target="https://www.astrobin.com/yo16iz" TargetMode="External"/><Relationship Id="rId1426" Type="http://schemas.openxmlformats.org/officeDocument/2006/relationships/hyperlink" Target="https://www.astrobin.com/4r1w06/" TargetMode="External"/><Relationship Id="rId1633" Type="http://schemas.openxmlformats.org/officeDocument/2006/relationships/hyperlink" Target="https://www.astrobin.com/0899f9/" TargetMode="External"/><Relationship Id="rId1840" Type="http://schemas.openxmlformats.org/officeDocument/2006/relationships/hyperlink" Target="https://www.astrobin.com/7tp3of" TargetMode="External"/><Relationship Id="rId1700" Type="http://schemas.openxmlformats.org/officeDocument/2006/relationships/hyperlink" Target="https://www.astrobin.com/3is0yw/" TargetMode="External"/><Relationship Id="rId379" Type="http://schemas.openxmlformats.org/officeDocument/2006/relationships/hyperlink" Target="https://www.astrobin.com/402462/" TargetMode="External"/><Relationship Id="rId586" Type="http://schemas.openxmlformats.org/officeDocument/2006/relationships/hyperlink" Target="https://www.astrobin.com/38yl3j/" TargetMode="External"/><Relationship Id="rId793" Type="http://schemas.openxmlformats.org/officeDocument/2006/relationships/hyperlink" Target="https://www.astrobin.com/8n1tun/" TargetMode="External"/><Relationship Id="rId2267" Type="http://schemas.openxmlformats.org/officeDocument/2006/relationships/hyperlink" Target="https://www.astrobin.com/x5kcqg/" TargetMode="External"/><Relationship Id="rId2474" Type="http://schemas.openxmlformats.org/officeDocument/2006/relationships/hyperlink" Target="https://app.astrobin.com/i/pzh9zq" TargetMode="External"/><Relationship Id="rId239" Type="http://schemas.openxmlformats.org/officeDocument/2006/relationships/hyperlink" Target="https://www.astrobin.com/346001/" TargetMode="External"/><Relationship Id="rId446" Type="http://schemas.openxmlformats.org/officeDocument/2006/relationships/hyperlink" Target="https://www.astrobin.com/h5spoi" TargetMode="External"/><Relationship Id="rId653" Type="http://schemas.openxmlformats.org/officeDocument/2006/relationships/hyperlink" Target="https://www.astrobin.com/r5vzcl/" TargetMode="External"/><Relationship Id="rId1076" Type="http://schemas.openxmlformats.org/officeDocument/2006/relationships/hyperlink" Target="https://www.astrobin.com/kqs5p9/" TargetMode="External"/><Relationship Id="rId1283" Type="http://schemas.openxmlformats.org/officeDocument/2006/relationships/hyperlink" Target="https://www.astrobin.com/ls6alg/" TargetMode="External"/><Relationship Id="rId1490" Type="http://schemas.openxmlformats.org/officeDocument/2006/relationships/hyperlink" Target="https://www.astrobin.com/ak7y99/" TargetMode="External"/><Relationship Id="rId2127" Type="http://schemas.openxmlformats.org/officeDocument/2006/relationships/hyperlink" Target="https://www.astrobin.com/hlq7z6/" TargetMode="External"/><Relationship Id="rId2334" Type="http://schemas.openxmlformats.org/officeDocument/2006/relationships/hyperlink" Target="https://www.astrobin.com/aw0noi" TargetMode="External"/><Relationship Id="rId306" Type="http://schemas.openxmlformats.org/officeDocument/2006/relationships/hyperlink" Target="https://app.astrobin.com/i/cm1t05" TargetMode="External"/><Relationship Id="rId860" Type="http://schemas.openxmlformats.org/officeDocument/2006/relationships/hyperlink" Target="https://www.astrobin.com/9vtyvy/" TargetMode="External"/><Relationship Id="rId1143" Type="http://schemas.openxmlformats.org/officeDocument/2006/relationships/hyperlink" Target="https://www.astrobin.com/2o1or1/" TargetMode="External"/><Relationship Id="rId2541" Type="http://schemas.openxmlformats.org/officeDocument/2006/relationships/hyperlink" Target="https://app.astrobin.com/i/ioriz4" TargetMode="External"/><Relationship Id="rId513" Type="http://schemas.openxmlformats.org/officeDocument/2006/relationships/hyperlink" Target="https://www.astrobin.com/9anxpw/" TargetMode="External"/><Relationship Id="rId720" Type="http://schemas.openxmlformats.org/officeDocument/2006/relationships/hyperlink" Target="https://www.astrobin.com/704r1r/" TargetMode="External"/><Relationship Id="rId1350" Type="http://schemas.openxmlformats.org/officeDocument/2006/relationships/hyperlink" Target="https://www.astrobin.com/nmdzkp/" TargetMode="External"/><Relationship Id="rId2401" Type="http://schemas.openxmlformats.org/officeDocument/2006/relationships/hyperlink" Target="https://www.astrobin.com/pgd1vl" TargetMode="External"/><Relationship Id="rId1003" Type="http://schemas.openxmlformats.org/officeDocument/2006/relationships/hyperlink" Target="https://www.astrobin.com/xqsdnr/" TargetMode="External"/><Relationship Id="rId1210" Type="http://schemas.openxmlformats.org/officeDocument/2006/relationships/hyperlink" Target="https://www.astrobin.com/77jaf4/C/" TargetMode="External"/><Relationship Id="rId2191" Type="http://schemas.openxmlformats.org/officeDocument/2006/relationships/hyperlink" Target="https://www.astrobin.com/zy3r4x" TargetMode="External"/><Relationship Id="rId163" Type="http://schemas.openxmlformats.org/officeDocument/2006/relationships/hyperlink" Target="https://www.astrobin.com/325437/" TargetMode="External"/><Relationship Id="rId370" Type="http://schemas.openxmlformats.org/officeDocument/2006/relationships/hyperlink" Target="https://app.astrobin.com/i/s3i4fr" TargetMode="External"/><Relationship Id="rId2051" Type="http://schemas.openxmlformats.org/officeDocument/2006/relationships/hyperlink" Target="https://www.astrobin.com/43667r" TargetMode="External"/><Relationship Id="rId230" Type="http://schemas.openxmlformats.org/officeDocument/2006/relationships/hyperlink" Target="https://www.astrobin.com/342244/C/" TargetMode="External"/><Relationship Id="rId1677" Type="http://schemas.openxmlformats.org/officeDocument/2006/relationships/hyperlink" Target="https://www.astrobin.com/46hs3g/" TargetMode="External"/><Relationship Id="rId1884" Type="http://schemas.openxmlformats.org/officeDocument/2006/relationships/hyperlink" Target="https://www.astrobin.com/ypstqd" TargetMode="External"/><Relationship Id="rId907" Type="http://schemas.openxmlformats.org/officeDocument/2006/relationships/hyperlink" Target="https://www.astrobin.com/345uck" TargetMode="External"/><Relationship Id="rId1537" Type="http://schemas.openxmlformats.org/officeDocument/2006/relationships/hyperlink" Target="https://www.astrobin.com/8cew57/" TargetMode="External"/><Relationship Id="rId1744" Type="http://schemas.openxmlformats.org/officeDocument/2006/relationships/hyperlink" Target="https://www.astrobin.com/1v1ae3" TargetMode="External"/><Relationship Id="rId1951" Type="http://schemas.openxmlformats.org/officeDocument/2006/relationships/hyperlink" Target="https://www.astrobin.com/d8esbx" TargetMode="External"/><Relationship Id="rId36" Type="http://schemas.openxmlformats.org/officeDocument/2006/relationships/hyperlink" Target="https://www.astrobin.com/uni3yt/" TargetMode="External"/><Relationship Id="rId1604" Type="http://schemas.openxmlformats.org/officeDocument/2006/relationships/hyperlink" Target="https://www.astrobin.com/hpcke5/" TargetMode="External"/><Relationship Id="rId1811" Type="http://schemas.openxmlformats.org/officeDocument/2006/relationships/hyperlink" Target="https://www.astrobin.com/75pba4/" TargetMode="External"/><Relationship Id="rId697" Type="http://schemas.openxmlformats.org/officeDocument/2006/relationships/hyperlink" Target="https://www.astrobin.com/73l9l3/" TargetMode="External"/><Relationship Id="rId2378" Type="http://schemas.openxmlformats.org/officeDocument/2006/relationships/hyperlink" Target="https://www.astrobin.com/4ng4jj" TargetMode="External"/><Relationship Id="rId1187" Type="http://schemas.openxmlformats.org/officeDocument/2006/relationships/hyperlink" Target="https://www.astrobin.com/3rr656/" TargetMode="External"/><Relationship Id="rId2585" Type="http://schemas.openxmlformats.org/officeDocument/2006/relationships/hyperlink" Target="https://app.astrobin.com/i/4h46lh" TargetMode="External"/><Relationship Id="rId557" Type="http://schemas.openxmlformats.org/officeDocument/2006/relationships/hyperlink" Target="https://www.astrobin.com/6tc41c/" TargetMode="External"/><Relationship Id="rId764" Type="http://schemas.openxmlformats.org/officeDocument/2006/relationships/hyperlink" Target="https://www.astrobin.com/fsxxv3/" TargetMode="External"/><Relationship Id="rId971" Type="http://schemas.openxmlformats.org/officeDocument/2006/relationships/hyperlink" Target="https://app.astrobin.com/i/vrmjc1" TargetMode="External"/><Relationship Id="rId1394" Type="http://schemas.openxmlformats.org/officeDocument/2006/relationships/hyperlink" Target="https://www.astrobin.com/ddz23u/" TargetMode="External"/><Relationship Id="rId2238" Type="http://schemas.openxmlformats.org/officeDocument/2006/relationships/hyperlink" Target="https://www.astrobin.com/zwzhm5" TargetMode="External"/><Relationship Id="rId2445" Type="http://schemas.openxmlformats.org/officeDocument/2006/relationships/hyperlink" Target="https://www.astrobin.com/b8ks2i" TargetMode="External"/><Relationship Id="rId2652" Type="http://schemas.openxmlformats.org/officeDocument/2006/relationships/vmlDrawing" Target="../drawings/vmlDrawing1.vml"/><Relationship Id="rId417" Type="http://schemas.openxmlformats.org/officeDocument/2006/relationships/hyperlink" Target="https://www.astrobin.com/415427/" TargetMode="External"/><Relationship Id="rId624" Type="http://schemas.openxmlformats.org/officeDocument/2006/relationships/hyperlink" Target="https://www.astrobin.com/01qrn3/" TargetMode="External"/><Relationship Id="rId831" Type="http://schemas.openxmlformats.org/officeDocument/2006/relationships/hyperlink" Target="https://www.astrobin.com/0hm7sm/" TargetMode="External"/><Relationship Id="rId1047" Type="http://schemas.openxmlformats.org/officeDocument/2006/relationships/hyperlink" Target="https://www.astrobin.com/x4l2kc/" TargetMode="External"/><Relationship Id="rId1254" Type="http://schemas.openxmlformats.org/officeDocument/2006/relationships/hyperlink" Target="https://www.astrobin.com/3oxeds/" TargetMode="External"/><Relationship Id="rId1461" Type="http://schemas.openxmlformats.org/officeDocument/2006/relationships/hyperlink" Target="https://www.astrobin.com/jb9q51/" TargetMode="External"/><Relationship Id="rId2305" Type="http://schemas.openxmlformats.org/officeDocument/2006/relationships/hyperlink" Target="https://www.astrobin.com/bz6gd4" TargetMode="External"/><Relationship Id="rId2512" Type="http://schemas.openxmlformats.org/officeDocument/2006/relationships/hyperlink" Target="https://app.astrobin.com/i/0l5c2t" TargetMode="External"/><Relationship Id="rId1114" Type="http://schemas.openxmlformats.org/officeDocument/2006/relationships/hyperlink" Target="https://www.astrobin.com/nsipdi/" TargetMode="External"/><Relationship Id="rId1321" Type="http://schemas.openxmlformats.org/officeDocument/2006/relationships/hyperlink" Target="https://www.astrobin.com/wgeq5r/" TargetMode="External"/><Relationship Id="rId2095" Type="http://schemas.openxmlformats.org/officeDocument/2006/relationships/hyperlink" Target="https://www.astrobin.com/ic99sc/" TargetMode="External"/><Relationship Id="rId274" Type="http://schemas.openxmlformats.org/officeDocument/2006/relationships/hyperlink" Target="https://www.astrobin.com/353960/" TargetMode="External"/><Relationship Id="rId481" Type="http://schemas.openxmlformats.org/officeDocument/2006/relationships/hyperlink" Target="https://www.astrobin.com/o21ao2/" TargetMode="External"/><Relationship Id="rId2162" Type="http://schemas.openxmlformats.org/officeDocument/2006/relationships/hyperlink" Target="https://www.astrobin.com/os1cbh" TargetMode="External"/><Relationship Id="rId134" Type="http://schemas.openxmlformats.org/officeDocument/2006/relationships/hyperlink" Target="https://www.astrobin.com/6sp2zo/" TargetMode="External"/><Relationship Id="rId341" Type="http://schemas.openxmlformats.org/officeDocument/2006/relationships/hyperlink" Target="https://www.astrobin.com/uj07h7" TargetMode="External"/><Relationship Id="rId2022" Type="http://schemas.openxmlformats.org/officeDocument/2006/relationships/hyperlink" Target="https://www.astrobin.com/izz5b0" TargetMode="External"/><Relationship Id="rId201" Type="http://schemas.openxmlformats.org/officeDocument/2006/relationships/hyperlink" Target="https://www.astrobin.com/y9wx53" TargetMode="External"/><Relationship Id="rId1788" Type="http://schemas.openxmlformats.org/officeDocument/2006/relationships/hyperlink" Target="https://www.astrobin.com/in0oo3/" TargetMode="External"/><Relationship Id="rId1995" Type="http://schemas.openxmlformats.org/officeDocument/2006/relationships/hyperlink" Target="https://www.astrobin.com/92cpoe" TargetMode="External"/><Relationship Id="rId1648" Type="http://schemas.openxmlformats.org/officeDocument/2006/relationships/hyperlink" Target="https://www.astrobin.com/qlm6p2/" TargetMode="External"/><Relationship Id="rId1508" Type="http://schemas.openxmlformats.org/officeDocument/2006/relationships/hyperlink" Target="https://www.astrobin.com/289b8r/" TargetMode="External"/><Relationship Id="rId1855" Type="http://schemas.openxmlformats.org/officeDocument/2006/relationships/hyperlink" Target="https://www.astrobin.com/17f6jv" TargetMode="External"/><Relationship Id="rId1715" Type="http://schemas.openxmlformats.org/officeDocument/2006/relationships/hyperlink" Target="https://www.astrobin.com/ccetlo" TargetMode="External"/><Relationship Id="rId1922" Type="http://schemas.openxmlformats.org/officeDocument/2006/relationships/hyperlink" Target="https://www.astrobin.com/q3juim" TargetMode="External"/><Relationship Id="rId2489" Type="http://schemas.openxmlformats.org/officeDocument/2006/relationships/hyperlink" Target="https://app.astrobin.com/i/534ltn" TargetMode="External"/><Relationship Id="rId668" Type="http://schemas.openxmlformats.org/officeDocument/2006/relationships/hyperlink" Target="https://www.astrobin.com/4q5zsi/" TargetMode="External"/><Relationship Id="rId875" Type="http://schemas.openxmlformats.org/officeDocument/2006/relationships/hyperlink" Target="https://www.astrobin.com/4hbnad/" TargetMode="External"/><Relationship Id="rId1298" Type="http://schemas.openxmlformats.org/officeDocument/2006/relationships/hyperlink" Target="https://www.astrobin.com/wdof4a/" TargetMode="External"/><Relationship Id="rId2349" Type="http://schemas.openxmlformats.org/officeDocument/2006/relationships/hyperlink" Target="https://www.astrobin.com/2e876r" TargetMode="External"/><Relationship Id="rId2556" Type="http://schemas.openxmlformats.org/officeDocument/2006/relationships/hyperlink" Target="https://app.astrobin.com/i/jmjc7i" TargetMode="External"/><Relationship Id="rId528" Type="http://schemas.openxmlformats.org/officeDocument/2006/relationships/hyperlink" Target="https://www.astrobin.com/hnod2y" TargetMode="External"/><Relationship Id="rId735" Type="http://schemas.openxmlformats.org/officeDocument/2006/relationships/hyperlink" Target="https://www.astrobin.com/gjgh4o/" TargetMode="External"/><Relationship Id="rId942" Type="http://schemas.openxmlformats.org/officeDocument/2006/relationships/hyperlink" Target="https://app.astrobin.com/i/g6z0ti" TargetMode="External"/><Relationship Id="rId1158" Type="http://schemas.openxmlformats.org/officeDocument/2006/relationships/hyperlink" Target="https://www.astrobin.com/1ymgpo/" TargetMode="External"/><Relationship Id="rId1365" Type="http://schemas.openxmlformats.org/officeDocument/2006/relationships/hyperlink" Target="https://www.astrobin.com/niewuq/" TargetMode="External"/><Relationship Id="rId1572" Type="http://schemas.openxmlformats.org/officeDocument/2006/relationships/hyperlink" Target="https://www.astrobin.com/t31b5l/" TargetMode="External"/><Relationship Id="rId2209" Type="http://schemas.openxmlformats.org/officeDocument/2006/relationships/hyperlink" Target="https://www.astrobin.com/sgmtiu" TargetMode="External"/><Relationship Id="rId2416" Type="http://schemas.openxmlformats.org/officeDocument/2006/relationships/hyperlink" Target="https://www.astrobin.com/ek1m0l" TargetMode="External"/><Relationship Id="rId2623" Type="http://schemas.openxmlformats.org/officeDocument/2006/relationships/hyperlink" Target="https://app.astrobin.com/i/nahnb4" TargetMode="External"/><Relationship Id="rId1018" Type="http://schemas.openxmlformats.org/officeDocument/2006/relationships/hyperlink" Target="https://www.astrobin.com/u8jr5g/" TargetMode="External"/><Relationship Id="rId1225" Type="http://schemas.openxmlformats.org/officeDocument/2006/relationships/hyperlink" Target="https://www.astrobin.com/ahvqyu/" TargetMode="External"/><Relationship Id="rId1432" Type="http://schemas.openxmlformats.org/officeDocument/2006/relationships/hyperlink" Target="https://www.astrobin.com/63emoq/" TargetMode="External"/><Relationship Id="rId71" Type="http://schemas.openxmlformats.org/officeDocument/2006/relationships/hyperlink" Target="https://www.astrobin.com/n07zmz" TargetMode="External"/><Relationship Id="rId802" Type="http://schemas.openxmlformats.org/officeDocument/2006/relationships/hyperlink" Target="https://www.astrobin.com/r9fujt/" TargetMode="External"/><Relationship Id="rId178" Type="http://schemas.openxmlformats.org/officeDocument/2006/relationships/hyperlink" Target="https://www.astrobin.com/oht1xq" TargetMode="External"/><Relationship Id="rId385" Type="http://schemas.openxmlformats.org/officeDocument/2006/relationships/hyperlink" Target="https://www.astrobin.com/404054/" TargetMode="External"/><Relationship Id="rId592" Type="http://schemas.openxmlformats.org/officeDocument/2006/relationships/hyperlink" Target="https://www.astrobin.com/gb09mg/" TargetMode="External"/><Relationship Id="rId2066" Type="http://schemas.openxmlformats.org/officeDocument/2006/relationships/hyperlink" Target="https://www.astrobin.com/in2ev8/" TargetMode="External"/><Relationship Id="rId2273" Type="http://schemas.openxmlformats.org/officeDocument/2006/relationships/hyperlink" Target="https://www.astrobin.com/c4bviu/" TargetMode="External"/><Relationship Id="rId2480" Type="http://schemas.openxmlformats.org/officeDocument/2006/relationships/hyperlink" Target="https://app.astrobin.com/i/xbxq2l" TargetMode="External"/><Relationship Id="rId245" Type="http://schemas.openxmlformats.org/officeDocument/2006/relationships/hyperlink" Target="https://www.astrobin.com/eeu6fh" TargetMode="External"/><Relationship Id="rId452" Type="http://schemas.openxmlformats.org/officeDocument/2006/relationships/hyperlink" Target="https://www.astrobin.com/gfz254" TargetMode="External"/><Relationship Id="rId1082" Type="http://schemas.openxmlformats.org/officeDocument/2006/relationships/hyperlink" Target="https://www.astrobin.com/tvwbp5/" TargetMode="External"/><Relationship Id="rId2133" Type="http://schemas.openxmlformats.org/officeDocument/2006/relationships/hyperlink" Target="https://www.astrobin.com/eiyjlp/" TargetMode="External"/><Relationship Id="rId2340" Type="http://schemas.openxmlformats.org/officeDocument/2006/relationships/hyperlink" Target="https://www.astrobin.com/64btf0" TargetMode="External"/><Relationship Id="rId105" Type="http://schemas.openxmlformats.org/officeDocument/2006/relationships/hyperlink" Target="https://app.astrobin.com/i/z9iwvc" TargetMode="External"/><Relationship Id="rId312" Type="http://schemas.openxmlformats.org/officeDocument/2006/relationships/hyperlink" Target="https://app.astrobin.com/i/gi7crw" TargetMode="External"/><Relationship Id="rId2200" Type="http://schemas.openxmlformats.org/officeDocument/2006/relationships/hyperlink" Target="https://www.astrobin.com/ilz0wr" TargetMode="External"/><Relationship Id="rId1899" Type="http://schemas.openxmlformats.org/officeDocument/2006/relationships/hyperlink" Target="https://www.astrobin.com/n5w05o" TargetMode="External"/><Relationship Id="rId1759" Type="http://schemas.openxmlformats.org/officeDocument/2006/relationships/hyperlink" Target="https://www.astrobin.com/u4epjz" TargetMode="External"/><Relationship Id="rId1966" Type="http://schemas.openxmlformats.org/officeDocument/2006/relationships/hyperlink" Target="https://www.astrobin.com/c60yxc" TargetMode="External"/><Relationship Id="rId1619" Type="http://schemas.openxmlformats.org/officeDocument/2006/relationships/hyperlink" Target="https://www.astrobin.com/r49eyh/" TargetMode="External"/><Relationship Id="rId1826" Type="http://schemas.openxmlformats.org/officeDocument/2006/relationships/hyperlink" Target="https://www.astrobin.com/3t3fmo" TargetMode="External"/><Relationship Id="rId779" Type="http://schemas.openxmlformats.org/officeDocument/2006/relationships/hyperlink" Target="https://www.astrobin.com/gcrspd/" TargetMode="External"/><Relationship Id="rId986" Type="http://schemas.openxmlformats.org/officeDocument/2006/relationships/hyperlink" Target="https://app.astrobin.com/i/a25dkm" TargetMode="External"/><Relationship Id="rId639" Type="http://schemas.openxmlformats.org/officeDocument/2006/relationships/hyperlink" Target="https://www.astrobin.com/27y4k8/" TargetMode="External"/><Relationship Id="rId1269" Type="http://schemas.openxmlformats.org/officeDocument/2006/relationships/hyperlink" Target="https://www.astrobin.com/kpehun/" TargetMode="External"/><Relationship Id="rId1476" Type="http://schemas.openxmlformats.org/officeDocument/2006/relationships/hyperlink" Target="https://www.astrobin.com/m381bx/" TargetMode="External"/><Relationship Id="rId846" Type="http://schemas.openxmlformats.org/officeDocument/2006/relationships/hyperlink" Target="https://www.astrobin.com/xw35zb/" TargetMode="External"/><Relationship Id="rId1129" Type="http://schemas.openxmlformats.org/officeDocument/2006/relationships/hyperlink" Target="https://www.astrobin.com/mex0s6/" TargetMode="External"/><Relationship Id="rId1683" Type="http://schemas.openxmlformats.org/officeDocument/2006/relationships/hyperlink" Target="https://www.astrobin.com/yjp1pw/" TargetMode="External"/><Relationship Id="rId1890" Type="http://schemas.openxmlformats.org/officeDocument/2006/relationships/hyperlink" Target="https://www.astrobin.com/lnjeu4" TargetMode="External"/><Relationship Id="rId2527" Type="http://schemas.openxmlformats.org/officeDocument/2006/relationships/hyperlink" Target="https://app.astrobin.com/i/uqrino" TargetMode="External"/><Relationship Id="rId706" Type="http://schemas.openxmlformats.org/officeDocument/2006/relationships/hyperlink" Target="https://www.astrobin.com/n1bso5/" TargetMode="External"/><Relationship Id="rId913" Type="http://schemas.openxmlformats.org/officeDocument/2006/relationships/hyperlink" Target="https://www.astrobin.com/xrj3zf/" TargetMode="External"/><Relationship Id="rId1336" Type="http://schemas.openxmlformats.org/officeDocument/2006/relationships/hyperlink" Target="https://www.astrobin.com/6jamxn/" TargetMode="External"/><Relationship Id="rId1543" Type="http://schemas.openxmlformats.org/officeDocument/2006/relationships/hyperlink" Target="https://www.astrobin.com/efvhdf/" TargetMode="External"/><Relationship Id="rId1750" Type="http://schemas.openxmlformats.org/officeDocument/2006/relationships/hyperlink" Target="https://www.astrobin.com/g0m2wy" TargetMode="External"/><Relationship Id="rId42" Type="http://schemas.openxmlformats.org/officeDocument/2006/relationships/hyperlink" Target="https://www.astrobin.com/0f53ly" TargetMode="External"/><Relationship Id="rId1403" Type="http://schemas.openxmlformats.org/officeDocument/2006/relationships/hyperlink" Target="https://www.astrobin.com/v0r1s1/" TargetMode="External"/><Relationship Id="rId1610" Type="http://schemas.openxmlformats.org/officeDocument/2006/relationships/hyperlink" Target="https://www.astrobin.com/rf5273/" TargetMode="External"/><Relationship Id="rId289" Type="http://schemas.openxmlformats.org/officeDocument/2006/relationships/hyperlink" Target="https://www.astrobin.com/358845/" TargetMode="External"/><Relationship Id="rId496" Type="http://schemas.openxmlformats.org/officeDocument/2006/relationships/hyperlink" Target="https://www.astrobin.com/48upv7/" TargetMode="External"/><Relationship Id="rId2177" Type="http://schemas.openxmlformats.org/officeDocument/2006/relationships/hyperlink" Target="https://www.astrobin.com/v55wpi" TargetMode="External"/><Relationship Id="rId2384" Type="http://schemas.openxmlformats.org/officeDocument/2006/relationships/hyperlink" Target="https://www.astrobin.com/audned" TargetMode="External"/><Relationship Id="rId2591" Type="http://schemas.openxmlformats.org/officeDocument/2006/relationships/hyperlink" Target="https://app.astrobin.com/i/du4iu9" TargetMode="External"/><Relationship Id="rId149" Type="http://schemas.openxmlformats.org/officeDocument/2006/relationships/hyperlink" Target="https://www.astrobin.com/ig3ufz" TargetMode="External"/><Relationship Id="rId356" Type="http://schemas.openxmlformats.org/officeDocument/2006/relationships/hyperlink" Target="https://app.astrobin.com/i/f86fr1" TargetMode="External"/><Relationship Id="rId563" Type="http://schemas.openxmlformats.org/officeDocument/2006/relationships/hyperlink" Target="https://www.astrobin.com/uiv06y" TargetMode="External"/><Relationship Id="rId770" Type="http://schemas.openxmlformats.org/officeDocument/2006/relationships/hyperlink" Target="https://www.astrobin.com/mgv5gq/" TargetMode="External"/><Relationship Id="rId1193" Type="http://schemas.openxmlformats.org/officeDocument/2006/relationships/hyperlink" Target="https://www.astrobin.com/lf0jmc/" TargetMode="External"/><Relationship Id="rId2037" Type="http://schemas.openxmlformats.org/officeDocument/2006/relationships/hyperlink" Target="https://www.astrobin.com/4c3g0l" TargetMode="External"/><Relationship Id="rId2244" Type="http://schemas.openxmlformats.org/officeDocument/2006/relationships/hyperlink" Target="https://www.astrobin.com/z4w2jl" TargetMode="External"/><Relationship Id="rId2451" Type="http://schemas.openxmlformats.org/officeDocument/2006/relationships/hyperlink" Target="https://www.astrobin.com/parqt1" TargetMode="External"/><Relationship Id="rId216" Type="http://schemas.openxmlformats.org/officeDocument/2006/relationships/hyperlink" Target="https://www.astrobin.com/337686/" TargetMode="External"/><Relationship Id="rId423" Type="http://schemas.openxmlformats.org/officeDocument/2006/relationships/hyperlink" Target="https://www.astrobin.com/416787/" TargetMode="External"/><Relationship Id="rId1053" Type="http://schemas.openxmlformats.org/officeDocument/2006/relationships/hyperlink" Target="https://www.astrobin.com/t6fw5a" TargetMode="External"/><Relationship Id="rId1260" Type="http://schemas.openxmlformats.org/officeDocument/2006/relationships/hyperlink" Target="https://www.astrobin.com/wfpuog/" TargetMode="External"/><Relationship Id="rId2104" Type="http://schemas.openxmlformats.org/officeDocument/2006/relationships/hyperlink" Target="https://www.astrobin.com/qfizsw/" TargetMode="External"/><Relationship Id="rId630" Type="http://schemas.openxmlformats.org/officeDocument/2006/relationships/hyperlink" Target="https://www.astrobin.com/4t7rgn" TargetMode="External"/><Relationship Id="rId2311" Type="http://schemas.openxmlformats.org/officeDocument/2006/relationships/hyperlink" Target="https://www.astrobin.com/7ya2uz" TargetMode="External"/><Relationship Id="rId1120" Type="http://schemas.openxmlformats.org/officeDocument/2006/relationships/hyperlink" Target="https://www.astrobin.com/shlzz6/" TargetMode="External"/><Relationship Id="rId1937" Type="http://schemas.openxmlformats.org/officeDocument/2006/relationships/hyperlink" Target="https://www.astrobin.com/6bams8" TargetMode="External"/><Relationship Id="rId280" Type="http://schemas.openxmlformats.org/officeDocument/2006/relationships/hyperlink" Target="https://www.astrobin.com/355684/" TargetMode="External"/><Relationship Id="rId140" Type="http://schemas.openxmlformats.org/officeDocument/2006/relationships/hyperlink" Target="https://www.astrobin.com/314614/" TargetMode="External"/><Relationship Id="rId6" Type="http://schemas.openxmlformats.org/officeDocument/2006/relationships/hyperlink" Target="https://www.astrobin.com/95rvt2" TargetMode="External"/><Relationship Id="rId957" Type="http://schemas.openxmlformats.org/officeDocument/2006/relationships/hyperlink" Target="https://www.astrobin.com/tm2h2w/" TargetMode="External"/><Relationship Id="rId1587" Type="http://schemas.openxmlformats.org/officeDocument/2006/relationships/hyperlink" Target="https://www.astrobin.com/bp6411/" TargetMode="External"/><Relationship Id="rId1794" Type="http://schemas.openxmlformats.org/officeDocument/2006/relationships/hyperlink" Target="https://www.astrobin.com/377014/" TargetMode="External"/><Relationship Id="rId2638" Type="http://schemas.openxmlformats.org/officeDocument/2006/relationships/hyperlink" Target="https://app.astrobin.com/i/t2t5kx" TargetMode="External"/><Relationship Id="rId86" Type="http://schemas.openxmlformats.org/officeDocument/2006/relationships/hyperlink" Target="https://www.astrobin.com/hm0x2p" TargetMode="External"/><Relationship Id="rId817" Type="http://schemas.openxmlformats.org/officeDocument/2006/relationships/hyperlink" Target="https://www.astrobin.com/jsibiz/" TargetMode="External"/><Relationship Id="rId1447" Type="http://schemas.openxmlformats.org/officeDocument/2006/relationships/hyperlink" Target="https://www.astrobin.com/w14vr7/" TargetMode="External"/><Relationship Id="rId1654" Type="http://schemas.openxmlformats.org/officeDocument/2006/relationships/hyperlink" Target="https://www.astrobin.com/s7w6wo/" TargetMode="External"/><Relationship Id="rId1861" Type="http://schemas.openxmlformats.org/officeDocument/2006/relationships/hyperlink" Target="https://www.astrobin.com/tzuyt5" TargetMode="External"/><Relationship Id="rId1307" Type="http://schemas.openxmlformats.org/officeDocument/2006/relationships/hyperlink" Target="https://www.astrobin.com/7ix1di/" TargetMode="External"/><Relationship Id="rId1514" Type="http://schemas.openxmlformats.org/officeDocument/2006/relationships/hyperlink" Target="https://www.astrobin.com/h7v8qb/" TargetMode="External"/><Relationship Id="rId1721" Type="http://schemas.openxmlformats.org/officeDocument/2006/relationships/hyperlink" Target="https://www.astrobin.com/auk94j" TargetMode="External"/><Relationship Id="rId13" Type="http://schemas.openxmlformats.org/officeDocument/2006/relationships/hyperlink" Target="https://www.astrobin.com/322584/" TargetMode="External"/><Relationship Id="rId2288" Type="http://schemas.openxmlformats.org/officeDocument/2006/relationships/hyperlink" Target="https://www.astrobin.com/atohfe" TargetMode="External"/><Relationship Id="rId2495" Type="http://schemas.openxmlformats.org/officeDocument/2006/relationships/hyperlink" Target="https://app.astrobin.com/i/joj9cz" TargetMode="External"/><Relationship Id="rId467" Type="http://schemas.openxmlformats.org/officeDocument/2006/relationships/hyperlink" Target="https://www.astrobin.com/3zvjr4/" TargetMode="External"/><Relationship Id="rId1097" Type="http://schemas.openxmlformats.org/officeDocument/2006/relationships/hyperlink" Target="https://www.astrobin.com/nr0048/" TargetMode="External"/><Relationship Id="rId2148" Type="http://schemas.openxmlformats.org/officeDocument/2006/relationships/hyperlink" Target="https://www.astrobin.com/juhmna" TargetMode="External"/><Relationship Id="rId674" Type="http://schemas.openxmlformats.org/officeDocument/2006/relationships/hyperlink" Target="https://app.astrobin.com/i/8iegho" TargetMode="External"/><Relationship Id="rId881" Type="http://schemas.openxmlformats.org/officeDocument/2006/relationships/hyperlink" Target="https://www.astrobin.com/cctgoj/" TargetMode="External"/><Relationship Id="rId2355" Type="http://schemas.openxmlformats.org/officeDocument/2006/relationships/hyperlink" Target="https://www.astrobin.com/j9ch4i" TargetMode="External"/><Relationship Id="rId2562" Type="http://schemas.openxmlformats.org/officeDocument/2006/relationships/hyperlink" Target="https://app.astrobin.com/i/b5n7so" TargetMode="External"/><Relationship Id="rId327" Type="http://schemas.openxmlformats.org/officeDocument/2006/relationships/hyperlink" Target="https://www.astrobin.com/mu726c" TargetMode="External"/><Relationship Id="rId534" Type="http://schemas.openxmlformats.org/officeDocument/2006/relationships/hyperlink" Target="https://www.astrobin.com/urkih0" TargetMode="External"/><Relationship Id="rId741" Type="http://schemas.openxmlformats.org/officeDocument/2006/relationships/hyperlink" Target="https://www.astrobin.com/vys1gi/" TargetMode="External"/><Relationship Id="rId1164" Type="http://schemas.openxmlformats.org/officeDocument/2006/relationships/hyperlink" Target="https://www.astrobin.com/wcjwdn/" TargetMode="External"/><Relationship Id="rId1371" Type="http://schemas.openxmlformats.org/officeDocument/2006/relationships/hyperlink" Target="https://app.astrobin.com/i/102n3s" TargetMode="External"/><Relationship Id="rId2008" Type="http://schemas.openxmlformats.org/officeDocument/2006/relationships/hyperlink" Target="https://www.astrobin.com/323w8m" TargetMode="External"/><Relationship Id="rId2215" Type="http://schemas.openxmlformats.org/officeDocument/2006/relationships/hyperlink" Target="https://www.astrobin.com/3atais/" TargetMode="External"/><Relationship Id="rId2422" Type="http://schemas.openxmlformats.org/officeDocument/2006/relationships/hyperlink" Target="https://www.astrobin.com/flrk3j" TargetMode="External"/><Relationship Id="rId601" Type="http://schemas.openxmlformats.org/officeDocument/2006/relationships/hyperlink" Target="https://www.astrobin.com/qcm9xt/" TargetMode="External"/><Relationship Id="rId1024" Type="http://schemas.openxmlformats.org/officeDocument/2006/relationships/hyperlink" Target="https://www.astrobin.com/v054a3/" TargetMode="External"/><Relationship Id="rId1231" Type="http://schemas.openxmlformats.org/officeDocument/2006/relationships/hyperlink" Target="https://www.astrobin.com/94qlsv/" TargetMode="External"/><Relationship Id="rId184" Type="http://schemas.openxmlformats.org/officeDocument/2006/relationships/hyperlink" Target="https://www.astrobin.com/zsln1q" TargetMode="External"/><Relationship Id="rId391" Type="http://schemas.openxmlformats.org/officeDocument/2006/relationships/hyperlink" Target="https://www.astrobin.com/mx461q" TargetMode="External"/><Relationship Id="rId1908" Type="http://schemas.openxmlformats.org/officeDocument/2006/relationships/hyperlink" Target="https://www.astrobin.com/plw8tc" TargetMode="External"/><Relationship Id="rId2072" Type="http://schemas.openxmlformats.org/officeDocument/2006/relationships/hyperlink" Target="https://app.astrobin.com/i/c9s4bk" TargetMode="External"/><Relationship Id="rId251" Type="http://schemas.openxmlformats.org/officeDocument/2006/relationships/hyperlink" Target="https://www.astrobin.com/350100/" TargetMode="External"/><Relationship Id="rId111" Type="http://schemas.openxmlformats.org/officeDocument/2006/relationships/hyperlink" Target="https://app.astrobin.com/i/0m2kjo" TargetMode="External"/><Relationship Id="rId1698" Type="http://schemas.openxmlformats.org/officeDocument/2006/relationships/hyperlink" Target="https://www.astrobin.com/4sdvtf/" TargetMode="External"/><Relationship Id="rId928" Type="http://schemas.openxmlformats.org/officeDocument/2006/relationships/hyperlink" Target="https://www.astrobin.com/4qjnxn/" TargetMode="External"/><Relationship Id="rId1558" Type="http://schemas.openxmlformats.org/officeDocument/2006/relationships/hyperlink" Target="https://app.astrobin.com/i/k5q2jv" TargetMode="External"/><Relationship Id="rId1765" Type="http://schemas.openxmlformats.org/officeDocument/2006/relationships/hyperlink" Target="https://www.astrobin.com/8ev2x3" TargetMode="External"/><Relationship Id="rId2609" Type="http://schemas.openxmlformats.org/officeDocument/2006/relationships/hyperlink" Target="https://app.astrobin.com/i/97b83w" TargetMode="External"/><Relationship Id="rId57" Type="http://schemas.openxmlformats.org/officeDocument/2006/relationships/hyperlink" Target="https://www.astrobin.com/h2qaam/" TargetMode="External"/><Relationship Id="rId1418" Type="http://schemas.openxmlformats.org/officeDocument/2006/relationships/hyperlink" Target="https://www.astrobin.com/7cpdbf/" TargetMode="External"/><Relationship Id="rId1972" Type="http://schemas.openxmlformats.org/officeDocument/2006/relationships/hyperlink" Target="https://www.astrobin.com/8z0j2f" TargetMode="External"/><Relationship Id="rId1625" Type="http://schemas.openxmlformats.org/officeDocument/2006/relationships/hyperlink" Target="https://www.astrobin.com/x1t1ia/" TargetMode="External"/><Relationship Id="rId1832" Type="http://schemas.openxmlformats.org/officeDocument/2006/relationships/hyperlink" Target="https://www.astrobin.com/1vjxg1" TargetMode="External"/><Relationship Id="rId2399" Type="http://schemas.openxmlformats.org/officeDocument/2006/relationships/hyperlink" Target="https://www.astrobin.com/srkwwa" TargetMode="External"/><Relationship Id="rId578" Type="http://schemas.openxmlformats.org/officeDocument/2006/relationships/hyperlink" Target="https://www.astrobin.com/hdyao5/" TargetMode="External"/><Relationship Id="rId785" Type="http://schemas.openxmlformats.org/officeDocument/2006/relationships/hyperlink" Target="https://www.astrobin.com/al7tjp/" TargetMode="External"/><Relationship Id="rId992" Type="http://schemas.openxmlformats.org/officeDocument/2006/relationships/hyperlink" Target="https://www.astrobin.com/m78xox" TargetMode="External"/><Relationship Id="rId2259" Type="http://schemas.openxmlformats.org/officeDocument/2006/relationships/hyperlink" Target="https://www.astrobin.com/zrxd8k/" TargetMode="External"/><Relationship Id="rId2466" Type="http://schemas.openxmlformats.org/officeDocument/2006/relationships/hyperlink" Target="https://www.astrobin.com/xjille" TargetMode="External"/><Relationship Id="rId438" Type="http://schemas.openxmlformats.org/officeDocument/2006/relationships/hyperlink" Target="https://www.astrobin.com/420558/" TargetMode="External"/><Relationship Id="rId645" Type="http://schemas.openxmlformats.org/officeDocument/2006/relationships/hyperlink" Target="https://www.astrobin.com/46hs3g/" TargetMode="External"/><Relationship Id="rId852" Type="http://schemas.openxmlformats.org/officeDocument/2006/relationships/hyperlink" Target="https://www.astrobin.com/b4izra/" TargetMode="External"/><Relationship Id="rId1068" Type="http://schemas.openxmlformats.org/officeDocument/2006/relationships/hyperlink" Target="https://www.astrobin.com/hwk223/" TargetMode="External"/><Relationship Id="rId1275" Type="http://schemas.openxmlformats.org/officeDocument/2006/relationships/hyperlink" Target="https://www.astrobin.com/h1ryin/" TargetMode="External"/><Relationship Id="rId1482" Type="http://schemas.openxmlformats.org/officeDocument/2006/relationships/hyperlink" Target="https://www.astrobin.com/5dsk09/" TargetMode="External"/><Relationship Id="rId2119" Type="http://schemas.openxmlformats.org/officeDocument/2006/relationships/hyperlink" Target="https://www.astrobin.com/lprt7s/" TargetMode="External"/><Relationship Id="rId2326" Type="http://schemas.openxmlformats.org/officeDocument/2006/relationships/hyperlink" Target="https://www.astrobin.com/98rgxs" TargetMode="External"/><Relationship Id="rId2533" Type="http://schemas.openxmlformats.org/officeDocument/2006/relationships/hyperlink" Target="https://app.astrobin.com/i/5a0l02" TargetMode="External"/><Relationship Id="rId505" Type="http://schemas.openxmlformats.org/officeDocument/2006/relationships/hyperlink" Target="https://www.astrobin.com/c3lm9l/" TargetMode="External"/><Relationship Id="rId712" Type="http://schemas.openxmlformats.org/officeDocument/2006/relationships/hyperlink" Target="https://www.astrobin.com/1p0b1z/" TargetMode="External"/><Relationship Id="rId1135" Type="http://schemas.openxmlformats.org/officeDocument/2006/relationships/hyperlink" Target="https://www.astrobin.com/324e0o/" TargetMode="External"/><Relationship Id="rId1342" Type="http://schemas.openxmlformats.org/officeDocument/2006/relationships/hyperlink" Target="https://www.astrobin.com/9e2mpo/" TargetMode="External"/><Relationship Id="rId1202" Type="http://schemas.openxmlformats.org/officeDocument/2006/relationships/hyperlink" Target="https://www.astrobin.com/kvgvke/" TargetMode="External"/><Relationship Id="rId2600" Type="http://schemas.openxmlformats.org/officeDocument/2006/relationships/hyperlink" Target="https://app.astrobin.com/i/0feg5y" TargetMode="External"/><Relationship Id="rId295" Type="http://schemas.openxmlformats.org/officeDocument/2006/relationships/hyperlink" Target="https://www.astrobin.com/tirnec" TargetMode="External"/><Relationship Id="rId2183" Type="http://schemas.openxmlformats.org/officeDocument/2006/relationships/hyperlink" Target="https://www.astrobin.com/asor8e" TargetMode="External"/><Relationship Id="rId2390" Type="http://schemas.openxmlformats.org/officeDocument/2006/relationships/hyperlink" Target="https://www.astrobin.com/ccw90c" TargetMode="External"/><Relationship Id="rId155" Type="http://schemas.openxmlformats.org/officeDocument/2006/relationships/hyperlink" Target="https://www.astrobin.com/323764/" TargetMode="External"/><Relationship Id="rId362" Type="http://schemas.openxmlformats.org/officeDocument/2006/relationships/hyperlink" Target="https://app.astrobin.com/i/budy8a" TargetMode="External"/><Relationship Id="rId2043" Type="http://schemas.openxmlformats.org/officeDocument/2006/relationships/hyperlink" Target="https://www.astrobin.com/t9nyal" TargetMode="External"/><Relationship Id="rId2250" Type="http://schemas.openxmlformats.org/officeDocument/2006/relationships/hyperlink" Target="https://www.astrobin.com/plumrj" TargetMode="External"/><Relationship Id="rId222" Type="http://schemas.openxmlformats.org/officeDocument/2006/relationships/hyperlink" Target="https://www.astrobin.com/1gnk01" TargetMode="External"/><Relationship Id="rId2110" Type="http://schemas.openxmlformats.org/officeDocument/2006/relationships/hyperlink" Target="https://www.astrobin.com/piabua/" TargetMode="External"/><Relationship Id="rId1669" Type="http://schemas.openxmlformats.org/officeDocument/2006/relationships/hyperlink" Target="https://www.astrobin.com/22ovm4" TargetMode="External"/><Relationship Id="rId1876" Type="http://schemas.openxmlformats.org/officeDocument/2006/relationships/hyperlink" Target="https://www.astrobin.com/5m2zqu" TargetMode="External"/><Relationship Id="rId1529" Type="http://schemas.openxmlformats.org/officeDocument/2006/relationships/hyperlink" Target="https://www.astrobin.com/wae6as/" TargetMode="External"/><Relationship Id="rId1736" Type="http://schemas.openxmlformats.org/officeDocument/2006/relationships/hyperlink" Target="https://www.astrobin.com/1ymgpo/" TargetMode="External"/><Relationship Id="rId1943" Type="http://schemas.openxmlformats.org/officeDocument/2006/relationships/hyperlink" Target="https://www.astrobin.com/cktw82" TargetMode="External"/><Relationship Id="rId28" Type="http://schemas.openxmlformats.org/officeDocument/2006/relationships/hyperlink" Target="https://www.astrobin.com/kp91i3/" TargetMode="External"/><Relationship Id="rId1803" Type="http://schemas.openxmlformats.org/officeDocument/2006/relationships/hyperlink" Target="https://www.astrobin.com/60j28x" TargetMode="External"/><Relationship Id="rId689" Type="http://schemas.openxmlformats.org/officeDocument/2006/relationships/hyperlink" Target="https://www.astrobin.com/z6v7ll/" TargetMode="External"/><Relationship Id="rId896" Type="http://schemas.openxmlformats.org/officeDocument/2006/relationships/hyperlink" Target="https://app.astrobin.com/i/sbi1h3" TargetMode="External"/><Relationship Id="rId2577" Type="http://schemas.openxmlformats.org/officeDocument/2006/relationships/hyperlink" Target="https://app.astrobin.com/i/eu9ywi" TargetMode="External"/><Relationship Id="rId549" Type="http://schemas.openxmlformats.org/officeDocument/2006/relationships/hyperlink" Target="https://www.astrobin.com/io2ynz/" TargetMode="External"/><Relationship Id="rId756" Type="http://schemas.openxmlformats.org/officeDocument/2006/relationships/hyperlink" Target="https://www.astrobin.com/xh8oze/" TargetMode="External"/><Relationship Id="rId1179" Type="http://schemas.openxmlformats.org/officeDocument/2006/relationships/hyperlink" Target="https://www.astrobin.com/ucm7f6/E/" TargetMode="External"/><Relationship Id="rId1386" Type="http://schemas.openxmlformats.org/officeDocument/2006/relationships/hyperlink" Target="https://www.astrobin.com/ovhe6t/" TargetMode="External"/><Relationship Id="rId1593" Type="http://schemas.openxmlformats.org/officeDocument/2006/relationships/hyperlink" Target="https://www.astrobin.com/tesytz/" TargetMode="External"/><Relationship Id="rId2437" Type="http://schemas.openxmlformats.org/officeDocument/2006/relationships/hyperlink" Target="https://app.astrobin.com/i/k2qp32" TargetMode="External"/><Relationship Id="rId409" Type="http://schemas.openxmlformats.org/officeDocument/2006/relationships/hyperlink" Target="https://www.astrobin.com/412789/" TargetMode="External"/><Relationship Id="rId963" Type="http://schemas.openxmlformats.org/officeDocument/2006/relationships/hyperlink" Target="https://www.astrobin.com/et9sey/" TargetMode="External"/><Relationship Id="rId1039" Type="http://schemas.openxmlformats.org/officeDocument/2006/relationships/hyperlink" Target="https://www.astrobin.com/tlzh3e/" TargetMode="External"/><Relationship Id="rId1246" Type="http://schemas.openxmlformats.org/officeDocument/2006/relationships/hyperlink" Target="https://www.astrobin.com/xga7ll/" TargetMode="External"/><Relationship Id="rId2644" Type="http://schemas.openxmlformats.org/officeDocument/2006/relationships/hyperlink" Target="https://app.astrobin.com/i/x85jzc" TargetMode="External"/><Relationship Id="rId92" Type="http://schemas.openxmlformats.org/officeDocument/2006/relationships/hyperlink" Target="https://app.astrobin.com/i/inl2wm" TargetMode="External"/><Relationship Id="rId616" Type="http://schemas.openxmlformats.org/officeDocument/2006/relationships/hyperlink" Target="https://www.astrobin.com/u6uxrv/" TargetMode="External"/><Relationship Id="rId823" Type="http://schemas.openxmlformats.org/officeDocument/2006/relationships/hyperlink" Target="https://www.astrobin.com/r92zjd/" TargetMode="External"/><Relationship Id="rId1453" Type="http://schemas.openxmlformats.org/officeDocument/2006/relationships/hyperlink" Target="https://www.astrobin.com/f42t15/" TargetMode="External"/><Relationship Id="rId1660" Type="http://schemas.openxmlformats.org/officeDocument/2006/relationships/hyperlink" Target="https://www.astrobin.com/xtnul6/" TargetMode="External"/><Relationship Id="rId2504" Type="http://schemas.openxmlformats.org/officeDocument/2006/relationships/hyperlink" Target="https://app.astrobin.com/i/3pqy5x" TargetMode="External"/><Relationship Id="rId1106" Type="http://schemas.openxmlformats.org/officeDocument/2006/relationships/hyperlink" Target="https://www.astrobin.com/f0nzi6/" TargetMode="External"/><Relationship Id="rId1313" Type="http://schemas.openxmlformats.org/officeDocument/2006/relationships/hyperlink" Target="https://www.astrobin.com/c9iry1/" TargetMode="External"/><Relationship Id="rId1520" Type="http://schemas.openxmlformats.org/officeDocument/2006/relationships/hyperlink" Target="https://www.astrobin.com/xyjfus/" TargetMode="External"/><Relationship Id="rId199" Type="http://schemas.openxmlformats.org/officeDocument/2006/relationships/hyperlink" Target="https://www.astrobin.com/330831/" TargetMode="External"/><Relationship Id="rId2087" Type="http://schemas.openxmlformats.org/officeDocument/2006/relationships/hyperlink" Target="https://www.astrobin.com/2txv1h/" TargetMode="External"/><Relationship Id="rId2294" Type="http://schemas.openxmlformats.org/officeDocument/2006/relationships/hyperlink" Target="https://www.astrobin.com/oo4f9i" TargetMode="External"/><Relationship Id="rId266" Type="http://schemas.openxmlformats.org/officeDocument/2006/relationships/hyperlink" Target="https://www.astrobin.com/353957/" TargetMode="External"/><Relationship Id="rId473" Type="http://schemas.openxmlformats.org/officeDocument/2006/relationships/hyperlink" Target="https://www.astrobin.com/nfbhrw/" TargetMode="External"/><Relationship Id="rId680" Type="http://schemas.openxmlformats.org/officeDocument/2006/relationships/hyperlink" Target="https://www.astrobin.com/8mf0xo/" TargetMode="External"/><Relationship Id="rId2154" Type="http://schemas.openxmlformats.org/officeDocument/2006/relationships/hyperlink" Target="https://www.astrobin.com/5byh35" TargetMode="External"/><Relationship Id="rId2361" Type="http://schemas.openxmlformats.org/officeDocument/2006/relationships/hyperlink" Target="https://www.astrobin.com/d6ryxb" TargetMode="External"/><Relationship Id="rId126" Type="http://schemas.openxmlformats.org/officeDocument/2006/relationships/hyperlink" Target="https://www.astrobin.com/2tlawj" TargetMode="External"/><Relationship Id="rId333" Type="http://schemas.openxmlformats.org/officeDocument/2006/relationships/hyperlink" Target="https://www.astrobin.com/4qo7e2/" TargetMode="External"/><Relationship Id="rId540" Type="http://schemas.openxmlformats.org/officeDocument/2006/relationships/hyperlink" Target="https://www.astrobin.com/q4qqfz/" TargetMode="External"/><Relationship Id="rId1170" Type="http://schemas.openxmlformats.org/officeDocument/2006/relationships/hyperlink" Target="https://www.astrobin.com/idkwxb/" TargetMode="External"/><Relationship Id="rId2014" Type="http://schemas.openxmlformats.org/officeDocument/2006/relationships/hyperlink" Target="https://www.astrobin.com/35s82i" TargetMode="External"/><Relationship Id="rId2221" Type="http://schemas.openxmlformats.org/officeDocument/2006/relationships/hyperlink" Target="https://www.astrobin.com/hl4qas/" TargetMode="External"/><Relationship Id="rId1030" Type="http://schemas.openxmlformats.org/officeDocument/2006/relationships/hyperlink" Target="https://www.astrobin.com/3c8m1u/" TargetMode="External"/><Relationship Id="rId400" Type="http://schemas.openxmlformats.org/officeDocument/2006/relationships/hyperlink" Target="https://www.astrobin.com/409189/" TargetMode="External"/><Relationship Id="rId1987" Type="http://schemas.openxmlformats.org/officeDocument/2006/relationships/hyperlink" Target="https://www.astrobin.com/3errx1" TargetMode="External"/><Relationship Id="rId1847" Type="http://schemas.openxmlformats.org/officeDocument/2006/relationships/hyperlink" Target="https://www.astrobin.com/cx1upv" TargetMode="External"/><Relationship Id="rId1707" Type="http://schemas.openxmlformats.org/officeDocument/2006/relationships/hyperlink" Target="https://www.astrobin.com/d5insc/" TargetMode="External"/><Relationship Id="rId190" Type="http://schemas.openxmlformats.org/officeDocument/2006/relationships/hyperlink" Target="https://www.astrobin.com/xxgohg" TargetMode="External"/><Relationship Id="rId1914" Type="http://schemas.openxmlformats.org/officeDocument/2006/relationships/hyperlink" Target="https://www.astrobin.com/rh5kr9" TargetMode="External"/><Relationship Id="rId867" Type="http://schemas.openxmlformats.org/officeDocument/2006/relationships/hyperlink" Target="https://www.astrobin.com/z12gx1/" TargetMode="External"/><Relationship Id="rId1497" Type="http://schemas.openxmlformats.org/officeDocument/2006/relationships/hyperlink" Target="https://www.astrobin.com/uckb3w/" TargetMode="External"/><Relationship Id="rId2548" Type="http://schemas.openxmlformats.org/officeDocument/2006/relationships/hyperlink" Target="https://app.astrobin.com/i/an9bzf" TargetMode="External"/><Relationship Id="rId727" Type="http://schemas.openxmlformats.org/officeDocument/2006/relationships/hyperlink" Target="https://app.astrobin.com/i/tldzgf" TargetMode="External"/><Relationship Id="rId934" Type="http://schemas.openxmlformats.org/officeDocument/2006/relationships/hyperlink" Target="https://www.astrobin.com/7yr3vi/" TargetMode="External"/><Relationship Id="rId1357" Type="http://schemas.openxmlformats.org/officeDocument/2006/relationships/hyperlink" Target="https://www.astrobin.com/176d24/" TargetMode="External"/><Relationship Id="rId1564" Type="http://schemas.openxmlformats.org/officeDocument/2006/relationships/hyperlink" Target="https://www.astrobin.com/y0r23b/" TargetMode="External"/><Relationship Id="rId1771" Type="http://schemas.openxmlformats.org/officeDocument/2006/relationships/hyperlink" Target="https://www.astrobin.com/v0r1s1/" TargetMode="External"/><Relationship Id="rId2408" Type="http://schemas.openxmlformats.org/officeDocument/2006/relationships/hyperlink" Target="https://www.astrobin.com/35u8gz" TargetMode="External"/><Relationship Id="rId2615" Type="http://schemas.openxmlformats.org/officeDocument/2006/relationships/hyperlink" Target="https://app.astrobin.com/i/q4tqcz" TargetMode="External"/><Relationship Id="rId63" Type="http://schemas.openxmlformats.org/officeDocument/2006/relationships/hyperlink" Target="https://www.astrobin.com/awos4a" TargetMode="External"/><Relationship Id="rId1217" Type="http://schemas.openxmlformats.org/officeDocument/2006/relationships/hyperlink" Target="https://www.astrobin.com/y59ra9/" TargetMode="External"/><Relationship Id="rId1424" Type="http://schemas.openxmlformats.org/officeDocument/2006/relationships/hyperlink" Target="https://www.astrobin.com/8j9vpf/" TargetMode="External"/><Relationship Id="rId1631" Type="http://schemas.openxmlformats.org/officeDocument/2006/relationships/hyperlink" Target="https://www.astrobin.com/v9nb7s/" TargetMode="External"/><Relationship Id="rId2198" Type="http://schemas.openxmlformats.org/officeDocument/2006/relationships/hyperlink" Target="https://www.astrobin.com/c9iry1/" TargetMode="External"/><Relationship Id="rId377" Type="http://schemas.openxmlformats.org/officeDocument/2006/relationships/hyperlink" Target="https://www.astrobin.com/401919/" TargetMode="External"/><Relationship Id="rId584" Type="http://schemas.openxmlformats.org/officeDocument/2006/relationships/hyperlink" Target="https://www.astrobin.com/ycymvj/" TargetMode="External"/><Relationship Id="rId2058" Type="http://schemas.openxmlformats.org/officeDocument/2006/relationships/hyperlink" Target="https://www.astrobin.com/f8u2fj" TargetMode="External"/><Relationship Id="rId2265" Type="http://schemas.openxmlformats.org/officeDocument/2006/relationships/hyperlink" Target="https://www.astrobin.com/4xncv8/" TargetMode="External"/><Relationship Id="rId237" Type="http://schemas.openxmlformats.org/officeDocument/2006/relationships/hyperlink" Target="https://www.astrobin.com/344995/" TargetMode="External"/><Relationship Id="rId791" Type="http://schemas.openxmlformats.org/officeDocument/2006/relationships/hyperlink" Target="https://www.astrobin.com/zcveqo/" TargetMode="External"/><Relationship Id="rId1074" Type="http://schemas.openxmlformats.org/officeDocument/2006/relationships/hyperlink" Target="https://www.astrobin.com/yith2w" TargetMode="External"/><Relationship Id="rId2472" Type="http://schemas.openxmlformats.org/officeDocument/2006/relationships/hyperlink" Target="https://app.astrobin.com/i/z1la05" TargetMode="External"/><Relationship Id="rId444" Type="http://schemas.openxmlformats.org/officeDocument/2006/relationships/hyperlink" Target="https://www.astrobin.com/421979/" TargetMode="External"/><Relationship Id="rId651" Type="http://schemas.openxmlformats.org/officeDocument/2006/relationships/hyperlink" Target="https://www.astrobin.com/ofv5yw/" TargetMode="External"/><Relationship Id="rId1281" Type="http://schemas.openxmlformats.org/officeDocument/2006/relationships/hyperlink" Target="https://www.astrobin.com/e2dhc6/" TargetMode="External"/><Relationship Id="rId2125" Type="http://schemas.openxmlformats.org/officeDocument/2006/relationships/hyperlink" Target="https://www.astrobin.com/omko9v/" TargetMode="External"/><Relationship Id="rId2332" Type="http://schemas.openxmlformats.org/officeDocument/2006/relationships/hyperlink" Target="https://www.astrobin.com/yum364" TargetMode="External"/><Relationship Id="rId304" Type="http://schemas.openxmlformats.org/officeDocument/2006/relationships/hyperlink" Target="chttps://app.astrobin.com/i/xtwq71" TargetMode="External"/><Relationship Id="rId511" Type="http://schemas.openxmlformats.org/officeDocument/2006/relationships/hyperlink" Target="https://app.astrobin.com/i/0wg8ry" TargetMode="External"/><Relationship Id="rId1141" Type="http://schemas.openxmlformats.org/officeDocument/2006/relationships/hyperlink" Target="https://www.astrobin.com/9ajh39/" TargetMode="External"/><Relationship Id="rId1001" Type="http://schemas.openxmlformats.org/officeDocument/2006/relationships/hyperlink" Target="https://app.astrobin.com/i/02xoqj" TargetMode="External"/><Relationship Id="rId1958" Type="http://schemas.openxmlformats.org/officeDocument/2006/relationships/hyperlink" Target="https://www.astrobin.com/ifoqsf" TargetMode="External"/><Relationship Id="rId1818" Type="http://schemas.openxmlformats.org/officeDocument/2006/relationships/hyperlink" Target="https://www.astrobin.com/l1mn2a" TargetMode="External"/><Relationship Id="rId161" Type="http://schemas.openxmlformats.org/officeDocument/2006/relationships/hyperlink" Target="https://app.astrobin.com/i/rz9har" TargetMode="External"/><Relationship Id="rId978" Type="http://schemas.openxmlformats.org/officeDocument/2006/relationships/hyperlink" Target="https://www.astrobin.com/omxxco/" TargetMode="External"/><Relationship Id="rId838" Type="http://schemas.openxmlformats.org/officeDocument/2006/relationships/hyperlink" Target="https://www.astrobin.com/gv92ss/" TargetMode="External"/><Relationship Id="rId1468" Type="http://schemas.openxmlformats.org/officeDocument/2006/relationships/hyperlink" Target="https://www.astrobin.com/mda79e/" TargetMode="External"/><Relationship Id="rId1675" Type="http://schemas.openxmlformats.org/officeDocument/2006/relationships/hyperlink" Target="https://www.astrobin.com/49zmc2/" TargetMode="External"/><Relationship Id="rId1882" Type="http://schemas.openxmlformats.org/officeDocument/2006/relationships/hyperlink" Target="https://www.astrobin.com/y3jaaj" TargetMode="External"/><Relationship Id="rId2519" Type="http://schemas.openxmlformats.org/officeDocument/2006/relationships/hyperlink" Target="https://app.astrobin.com/i/gznex5" TargetMode="External"/><Relationship Id="rId1328" Type="http://schemas.openxmlformats.org/officeDocument/2006/relationships/hyperlink" Target="https://www.astrobin.com/36r3pi/" TargetMode="External"/><Relationship Id="rId1535" Type="http://schemas.openxmlformats.org/officeDocument/2006/relationships/hyperlink" Target="https://www.astrobin.com/lgr6bg/" TargetMode="External"/><Relationship Id="rId905" Type="http://schemas.openxmlformats.org/officeDocument/2006/relationships/hyperlink" Target="https://www.astrobin.com/btsw6q/" TargetMode="External"/><Relationship Id="rId1742" Type="http://schemas.openxmlformats.org/officeDocument/2006/relationships/hyperlink" Target="https://www.astrobin.com/xe3gks" TargetMode="External"/><Relationship Id="rId34" Type="http://schemas.openxmlformats.org/officeDocument/2006/relationships/hyperlink" Target="https://www.astrobin.com/im8ave" TargetMode="External"/><Relationship Id="rId1602" Type="http://schemas.openxmlformats.org/officeDocument/2006/relationships/hyperlink" Target="https://www.astrobin.com/53arbc/" TargetMode="External"/><Relationship Id="rId488" Type="http://schemas.openxmlformats.org/officeDocument/2006/relationships/hyperlink" Target="https://www.astrobin.com/9n3jbn/" TargetMode="External"/><Relationship Id="rId695" Type="http://schemas.openxmlformats.org/officeDocument/2006/relationships/hyperlink" Target="https://www.astrobin.com/hunlu0" TargetMode="External"/><Relationship Id="rId2169" Type="http://schemas.openxmlformats.org/officeDocument/2006/relationships/hyperlink" Target="https://www.astrobin.com/fn5rvh" TargetMode="External"/><Relationship Id="rId2376" Type="http://schemas.openxmlformats.org/officeDocument/2006/relationships/hyperlink" Target="https://www.astrobin.com/wjk9z9" TargetMode="External"/><Relationship Id="rId2583" Type="http://schemas.openxmlformats.org/officeDocument/2006/relationships/hyperlink" Target="https://app.astrobin.com/i/wrbfpv" TargetMode="External"/><Relationship Id="rId348" Type="http://schemas.openxmlformats.org/officeDocument/2006/relationships/hyperlink" Target="https://www.astrobin.com/q9x8e4" TargetMode="External"/><Relationship Id="rId555" Type="http://schemas.openxmlformats.org/officeDocument/2006/relationships/hyperlink" Target="https://www.astrobin.com/3ho0ko" TargetMode="External"/><Relationship Id="rId762" Type="http://schemas.openxmlformats.org/officeDocument/2006/relationships/hyperlink" Target="https://www.astrobin.com/vuetw2/" TargetMode="External"/><Relationship Id="rId1185" Type="http://schemas.openxmlformats.org/officeDocument/2006/relationships/hyperlink" Target="https://www.astrobin.com/x2wxm0/D/" TargetMode="External"/><Relationship Id="rId1392" Type="http://schemas.openxmlformats.org/officeDocument/2006/relationships/hyperlink" Target="https://www.astrobin.com/a1c0bc/" TargetMode="External"/><Relationship Id="rId2029" Type="http://schemas.openxmlformats.org/officeDocument/2006/relationships/hyperlink" Target="https://www.astrobin.com/izx4ga" TargetMode="External"/><Relationship Id="rId2236" Type="http://schemas.openxmlformats.org/officeDocument/2006/relationships/hyperlink" Target="https://www.astrobin.com/8909ei" TargetMode="External"/><Relationship Id="rId2443" Type="http://schemas.openxmlformats.org/officeDocument/2006/relationships/hyperlink" Target="https://www.astrobin.com/peqyo2" TargetMode="External"/><Relationship Id="rId2650" Type="http://schemas.openxmlformats.org/officeDocument/2006/relationships/printerSettings" Target="../printerSettings/printerSettings1.bin"/><Relationship Id="rId208" Type="http://schemas.openxmlformats.org/officeDocument/2006/relationships/hyperlink" Target="https://www.astrobin.com/336220/" TargetMode="External"/><Relationship Id="rId415" Type="http://schemas.openxmlformats.org/officeDocument/2006/relationships/hyperlink" Target="https://www.astrobin.com/414929/" TargetMode="External"/><Relationship Id="rId622" Type="http://schemas.openxmlformats.org/officeDocument/2006/relationships/hyperlink" Target="https://www.astrobin.com/v9db0h/" TargetMode="External"/><Relationship Id="rId1045" Type="http://schemas.openxmlformats.org/officeDocument/2006/relationships/hyperlink" Target="https://www.astrobin.com/y16aww/" TargetMode="External"/><Relationship Id="rId1252" Type="http://schemas.openxmlformats.org/officeDocument/2006/relationships/hyperlink" Target="https://www.astrobin.com/yj9ps1/" TargetMode="External"/><Relationship Id="rId2303" Type="http://schemas.openxmlformats.org/officeDocument/2006/relationships/hyperlink" Target="https://www.astrobin.com/mxuqa4" TargetMode="External"/><Relationship Id="rId2510" Type="http://schemas.openxmlformats.org/officeDocument/2006/relationships/hyperlink" Target="https://app.astrobin.com/i/o6w10b" TargetMode="External"/><Relationship Id="rId1112" Type="http://schemas.openxmlformats.org/officeDocument/2006/relationships/hyperlink" Target="https://www.astrobin.com/vvll9u/"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6" Type="http://schemas.openxmlformats.org/officeDocument/2006/relationships/hyperlink" Target="https://www.astrobin.com/tezmpx/" TargetMode="External"/><Relationship Id="rId21" Type="http://schemas.openxmlformats.org/officeDocument/2006/relationships/hyperlink" Target="https://www.astrobin.com/users/GaryI/collections/3767/" TargetMode="External"/><Relationship Id="rId34" Type="http://schemas.openxmlformats.org/officeDocument/2006/relationships/hyperlink" Target="https://www.astrobin.com/swaw3q" TargetMode="External"/><Relationship Id="rId42" Type="http://schemas.openxmlformats.org/officeDocument/2006/relationships/hyperlink" Target="https://www.astrobin.com/users/GaryI/collections/2749/" TargetMode="External"/><Relationship Id="rId47" Type="http://schemas.openxmlformats.org/officeDocument/2006/relationships/hyperlink" Target="https://www.astrobin.com/users/GaryI/collections/10638/" TargetMode="External"/><Relationship Id="rId50" Type="http://schemas.openxmlformats.org/officeDocument/2006/relationships/hyperlink" Target="https://www.astrobin.com/xoac7j" TargetMode="External"/><Relationship Id="rId55" Type="http://schemas.openxmlformats.org/officeDocument/2006/relationships/hyperlink" Target="https://www.astrobin.com/61enl9" TargetMode="External"/><Relationship Id="rId63" Type="http://schemas.openxmlformats.org/officeDocument/2006/relationships/hyperlink" Target="https://www.astrobin.com/m6u288" TargetMode="External"/><Relationship Id="rId7" Type="http://schemas.openxmlformats.org/officeDocument/2006/relationships/hyperlink" Target="https://www.astrobin.com/xwlnwj/" TargetMode="External"/><Relationship Id="rId2" Type="http://schemas.openxmlformats.org/officeDocument/2006/relationships/hyperlink" Target="https://www.astrobin.com/coll9o/" TargetMode="External"/><Relationship Id="rId16" Type="http://schemas.openxmlformats.org/officeDocument/2006/relationships/hyperlink" Target="https://www.astrobin.com/fl1gr7" TargetMode="External"/><Relationship Id="rId29" Type="http://schemas.openxmlformats.org/officeDocument/2006/relationships/hyperlink" Target="https://www.astrobin.com/users/GaryI/collections/512/" TargetMode="External"/><Relationship Id="rId11" Type="http://schemas.openxmlformats.org/officeDocument/2006/relationships/hyperlink" Target="https://www.astrobin.com/gngpii" TargetMode="External"/><Relationship Id="rId24" Type="http://schemas.openxmlformats.org/officeDocument/2006/relationships/hyperlink" Target="https://www.astrobin.com/fkwyh2" TargetMode="External"/><Relationship Id="rId32" Type="http://schemas.openxmlformats.org/officeDocument/2006/relationships/hyperlink" Target="https://www.astrobin.com/users/GaryI/collections/1819/" TargetMode="External"/><Relationship Id="rId37" Type="http://schemas.openxmlformats.org/officeDocument/2006/relationships/hyperlink" Target="https://www.astrobin.com/ojhcg5" TargetMode="External"/><Relationship Id="rId40" Type="http://schemas.openxmlformats.org/officeDocument/2006/relationships/hyperlink" Target="https://www.astrobin.com/vk52wk" TargetMode="External"/><Relationship Id="rId45" Type="http://schemas.openxmlformats.org/officeDocument/2006/relationships/hyperlink" Target="https://www.astrobin.com/7dlh76" TargetMode="External"/><Relationship Id="rId53" Type="http://schemas.openxmlformats.org/officeDocument/2006/relationships/hyperlink" Target="https://www.astrobin.com/users/GaryI/collections/509/" TargetMode="External"/><Relationship Id="rId58" Type="http://schemas.openxmlformats.org/officeDocument/2006/relationships/hyperlink" Target="https://www.astrobin.com/users/GaryI/collections/1895/" TargetMode="External"/><Relationship Id="rId66" Type="http://schemas.openxmlformats.org/officeDocument/2006/relationships/comments" Target="../comments3.xml"/><Relationship Id="rId5" Type="http://schemas.openxmlformats.org/officeDocument/2006/relationships/hyperlink" Target="https://www.astrobin.com/tezmpx/" TargetMode="External"/><Relationship Id="rId61" Type="http://schemas.openxmlformats.org/officeDocument/2006/relationships/hyperlink" Target="https://www.astrobin.com/uo21b7" TargetMode="External"/><Relationship Id="rId19" Type="http://schemas.openxmlformats.org/officeDocument/2006/relationships/hyperlink" Target="https://www.astrobin.com/esls3b/" TargetMode="External"/><Relationship Id="rId14" Type="http://schemas.openxmlformats.org/officeDocument/2006/relationships/hyperlink" Target="https://www.astrobin.com/c8pjys" TargetMode="External"/><Relationship Id="rId22" Type="http://schemas.openxmlformats.org/officeDocument/2006/relationships/hyperlink" Target="https://www.astrobin.com/users/GaryI/collections/4032/" TargetMode="External"/><Relationship Id="rId27" Type="http://schemas.openxmlformats.org/officeDocument/2006/relationships/hyperlink" Target="https://www.astrobin.com/goz9cz" TargetMode="External"/><Relationship Id="rId30" Type="http://schemas.openxmlformats.org/officeDocument/2006/relationships/hyperlink" Target="https://www.astrobin.com/ezgzb9/?nc=collection&amp;nce=1807" TargetMode="External"/><Relationship Id="rId35" Type="http://schemas.openxmlformats.org/officeDocument/2006/relationships/hyperlink" Target="https://www.astrobin.com/users/GaryI/collections/3756/" TargetMode="External"/><Relationship Id="rId43" Type="http://schemas.openxmlformats.org/officeDocument/2006/relationships/hyperlink" Target="https://www.astrobin.com/users/GaryI/collections/3755/" TargetMode="External"/><Relationship Id="rId48" Type="http://schemas.openxmlformats.org/officeDocument/2006/relationships/hyperlink" Target="https://www.astrobin.com/users/GaryI/collections/437/" TargetMode="External"/><Relationship Id="rId56" Type="http://schemas.openxmlformats.org/officeDocument/2006/relationships/hyperlink" Target="https://www.astrobin.com/users/GaryI/collections/7100/" TargetMode="External"/><Relationship Id="rId64" Type="http://schemas.openxmlformats.org/officeDocument/2006/relationships/hyperlink" Target="https://www.astrobin.com/users/GaryI/collections/443/" TargetMode="External"/><Relationship Id="rId8" Type="http://schemas.openxmlformats.org/officeDocument/2006/relationships/hyperlink" Target="https://www.astrobin.com/xh6aja/" TargetMode="External"/><Relationship Id="rId51" Type="http://schemas.openxmlformats.org/officeDocument/2006/relationships/hyperlink" Target="https://www.astrobin.com/users/GaryI/collections/436/" TargetMode="External"/><Relationship Id="rId3" Type="http://schemas.openxmlformats.org/officeDocument/2006/relationships/hyperlink" Target="https://www.astrobin.com/64yx6v/" TargetMode="External"/><Relationship Id="rId12" Type="http://schemas.openxmlformats.org/officeDocument/2006/relationships/hyperlink" Target="https://www.astrobin.com/xo81cy/" TargetMode="External"/><Relationship Id="rId17" Type="http://schemas.openxmlformats.org/officeDocument/2006/relationships/hyperlink" Target="https://www.astrobin.com/8tzwyw/" TargetMode="External"/><Relationship Id="rId25" Type="http://schemas.openxmlformats.org/officeDocument/2006/relationships/hyperlink" Target="https://www.astrobin.com/svio14" TargetMode="External"/><Relationship Id="rId33" Type="http://schemas.openxmlformats.org/officeDocument/2006/relationships/hyperlink" Target="https://www.astrobin.com/users/GaryI/collections/4770/" TargetMode="External"/><Relationship Id="rId38" Type="http://schemas.openxmlformats.org/officeDocument/2006/relationships/hyperlink" Target="https://www.astrobin.com/users/GaryI/collections/10632/" TargetMode="External"/><Relationship Id="rId46" Type="http://schemas.openxmlformats.org/officeDocument/2006/relationships/hyperlink" Target="https://www.astrobin.com/ka1u0d" TargetMode="External"/><Relationship Id="rId59" Type="http://schemas.openxmlformats.org/officeDocument/2006/relationships/hyperlink" Target="https://www.astrobin.com/blhdld" TargetMode="External"/><Relationship Id="rId20" Type="http://schemas.openxmlformats.org/officeDocument/2006/relationships/hyperlink" Target="https://www.astrobin.com/in2ev8/" TargetMode="External"/><Relationship Id="rId41" Type="http://schemas.openxmlformats.org/officeDocument/2006/relationships/hyperlink" Target="https://www.astrobin.com/users/GaryI/collections/3754/" TargetMode="External"/><Relationship Id="rId54" Type="http://schemas.openxmlformats.org/officeDocument/2006/relationships/hyperlink" Target="https://www.astrobin.com/users/GaryI/collections/3761/" TargetMode="External"/><Relationship Id="rId62" Type="http://schemas.openxmlformats.org/officeDocument/2006/relationships/hyperlink" Target="https://www.astrobin.com/t3xvbb" TargetMode="External"/><Relationship Id="rId1" Type="http://schemas.openxmlformats.org/officeDocument/2006/relationships/hyperlink" Target="https://www.astrobin.com/9giffk/" TargetMode="External"/><Relationship Id="rId6" Type="http://schemas.openxmlformats.org/officeDocument/2006/relationships/hyperlink" Target="https://www.astrobin.com/ecx66r/" TargetMode="External"/><Relationship Id="rId15" Type="http://schemas.openxmlformats.org/officeDocument/2006/relationships/hyperlink" Target="https://www.astrobin.com/o8q5w3" TargetMode="External"/><Relationship Id="rId23" Type="http://schemas.openxmlformats.org/officeDocument/2006/relationships/hyperlink" Target="https://www.astrobin.com/z5cor5" TargetMode="External"/><Relationship Id="rId28" Type="http://schemas.openxmlformats.org/officeDocument/2006/relationships/hyperlink" Target="https://www.astrobin.com/users/GaryI/collections/1203/" TargetMode="External"/><Relationship Id="rId36" Type="http://schemas.openxmlformats.org/officeDocument/2006/relationships/hyperlink" Target="https://www.astrobin.com/je9pfd" TargetMode="External"/><Relationship Id="rId49" Type="http://schemas.openxmlformats.org/officeDocument/2006/relationships/hyperlink" Target="https://www.astrobin.com/users/GaryI/collections/16472/" TargetMode="External"/><Relationship Id="rId57" Type="http://schemas.openxmlformats.org/officeDocument/2006/relationships/hyperlink" Target="https://www.astrobin.com/users/GaryI/collections/3759/" TargetMode="External"/><Relationship Id="rId10" Type="http://schemas.openxmlformats.org/officeDocument/2006/relationships/hyperlink" Target="https://www.astrobin.com/zhrjyy/" TargetMode="External"/><Relationship Id="rId31" Type="http://schemas.openxmlformats.org/officeDocument/2006/relationships/hyperlink" Target="https://www.astrobin.com/oqgvc6" TargetMode="External"/><Relationship Id="rId44" Type="http://schemas.openxmlformats.org/officeDocument/2006/relationships/hyperlink" Target="https://www.astrobin.com/users/GaryI/collections/2750/" TargetMode="External"/><Relationship Id="rId52" Type="http://schemas.openxmlformats.org/officeDocument/2006/relationships/hyperlink" Target="https://www.astrobin.com/users/GaryI/collections/23765/" TargetMode="External"/><Relationship Id="rId60" Type="http://schemas.openxmlformats.org/officeDocument/2006/relationships/hyperlink" Target="https://www.astrobin.com/8zw3t5" TargetMode="External"/><Relationship Id="rId65" Type="http://schemas.openxmlformats.org/officeDocument/2006/relationships/vmlDrawing" Target="../drawings/vmlDrawing3.vml"/><Relationship Id="rId4" Type="http://schemas.openxmlformats.org/officeDocument/2006/relationships/hyperlink" Target="https://www.astrobin.com/f8u2fj" TargetMode="External"/><Relationship Id="rId9" Type="http://schemas.openxmlformats.org/officeDocument/2006/relationships/hyperlink" Target="https://www.astrobin.com/75pba4/" TargetMode="External"/><Relationship Id="rId13" Type="http://schemas.openxmlformats.org/officeDocument/2006/relationships/hyperlink" Target="https://www.astrobin.com/c4rkdf" TargetMode="External"/><Relationship Id="rId18" Type="http://schemas.openxmlformats.org/officeDocument/2006/relationships/hyperlink" Target="https://www.astrobin.com/cwqw0m/" TargetMode="External"/><Relationship Id="rId39" Type="http://schemas.openxmlformats.org/officeDocument/2006/relationships/hyperlink" Target="https://www.astrobin.com/en2ke1"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amazon.com/Cambridge-Photographic-Atlas-Galaxies/dp/1107189489/ref=sr_1_2?crid=8LKWQSDXQE2S&amp;keywords=The+Arp+Atlas+of+Peculiar+Galaxies&amp;qid=1697827353&amp;s=books&amp;sprefix=the+arp+atlas+of+peculiar+galaxies%2Cstripbooks%2C105&amp;sr=1-2" TargetMode="External"/><Relationship Id="rId13" Type="http://schemas.openxmlformats.org/officeDocument/2006/relationships/hyperlink" Target="http://www.klima-luft.de/steinicke/ngcic/rev2000/Explan.htm" TargetMode="External"/><Relationship Id="rId18" Type="http://schemas.openxmlformats.org/officeDocument/2006/relationships/vmlDrawing" Target="../drawings/vmlDrawing4.vml"/><Relationship Id="rId3" Type="http://schemas.openxmlformats.org/officeDocument/2006/relationships/hyperlink" Target="https://www.amazon.com/dp/B08RJQGXR1?binding=hardcover&amp;qid=1697825204&amp;sr=8-1&amp;ref=dbs_dp_rwt_sb_pc_thcv" TargetMode="External"/><Relationship Id="rId7" Type="http://schemas.openxmlformats.org/officeDocument/2006/relationships/hyperlink" Target="https://adsabs.harvard.edu/full/1982ApJ...255..382H" TargetMode="External"/><Relationship Id="rId12" Type="http://schemas.openxmlformats.org/officeDocument/2006/relationships/hyperlink" Target="https://www.mantrapskies.com/" TargetMode="External"/><Relationship Id="rId17" Type="http://schemas.openxmlformats.org/officeDocument/2006/relationships/hyperlink" Target="https://www.astrobin.com/users/GaryI/collections" TargetMode="External"/><Relationship Id="rId2" Type="http://schemas.openxmlformats.org/officeDocument/2006/relationships/hyperlink" Target="https://aladin.cds.unistra.fr/AladinLite/" TargetMode="External"/><Relationship Id="rId16" Type="http://schemas.openxmlformats.org/officeDocument/2006/relationships/hyperlink" Target="https://exhibit-archive.library.gatech.edu/barnard/index.html" TargetMode="External"/><Relationship Id="rId1" Type="http://schemas.openxmlformats.org/officeDocument/2006/relationships/hyperlink" Target="https://simbad.u-strasbg.fr/simbad/sim-fid" TargetMode="External"/><Relationship Id="rId6" Type="http://schemas.openxmlformats.org/officeDocument/2006/relationships/hyperlink" Target="https://www.amazon.com/Astrophotography-Sky-Atlas-Charles-Bracken/dp/1517687802/ref=sr_1_1?crid=3U95I5RWP4JYZ&amp;keywords=The+Astrophotography+Sky+Atlas&amp;qid=1697827116&amp;s=books&amp;sprefix=the+astrophotography+sky+atlas%2Cstripbooks%2C112&amp;sr=1-1" TargetMode="External"/><Relationship Id="rId11" Type="http://schemas.openxmlformats.org/officeDocument/2006/relationships/hyperlink" Target="https://www.amazon.com/Imaging-Southern-Sky-Astronomers-Practical/dp/1461447496/ref=sr_1_1?crid=1UCXFH8Y6512H&amp;keywords=Imaging+the+Southern+Sky&amp;qid=1697827606&amp;s=books&amp;sprefix=imaging+the+southern+sky%2Cstripbooks%2C99&amp;sr=1-1" TargetMode="External"/><Relationship Id="rId5" Type="http://schemas.openxmlformats.org/officeDocument/2006/relationships/hyperlink" Target="https://www.amazon.com/Planetary-Nebulae-Observe-Astronomers-Observing/dp/1461417813/ref=sr_1_1?crid=3VT5X9SVBJKN5&amp;keywords=griffiths+planetary&amp;qid=1697825250&amp;sprefix=griffiths+planetary%2Caps%2C111&amp;sr=8-1" TargetMode="External"/><Relationship Id="rId15" Type="http://schemas.openxmlformats.org/officeDocument/2006/relationships/hyperlink" Target="http://galaxymap.org/index.html" TargetMode="External"/><Relationship Id="rId10" Type="http://schemas.openxmlformats.org/officeDocument/2006/relationships/hyperlink" Target="https://www.amazon.com/100-Best-Astrophotography-Targets-Telescopes/dp/1441906029/ref=sr_1_1?crid=2GPM8UXJ2DSL6&amp;keywords=The+100+Best+Astrophotography+Targets&amp;qid=1697827544&amp;s=books&amp;sprefix=the+100+best+astrophotography+targets%2Cstripbooks%2C106&amp;sr=1-1" TargetMode="External"/><Relationship Id="rId19" Type="http://schemas.openxmlformats.org/officeDocument/2006/relationships/comments" Target="../comments4.xml"/><Relationship Id="rId4" Type="http://schemas.openxmlformats.org/officeDocument/2006/relationships/hyperlink" Target="https://www.amazon.com/Practical-Astronomy-your-Calculator-Spreadsheet/dp/1108436072/ref=tmm_pap_swatch_0?_encoding=UTF8&amp;qid=&amp;sr=" TargetMode="External"/><Relationship Id="rId9" Type="http://schemas.openxmlformats.org/officeDocument/2006/relationships/hyperlink" Target="https://www.amazon.com/Arp-Atlas-Peculiar-Galaxies/dp/B000Q8B6RW/ref=sr_1_1?crid=8LKWQSDXQE2S&amp;keywords=The+Arp+Atlas+of+Peculiar+Galaxies&amp;qid=1697827427&amp;s=books&amp;sprefix=the+arp+atlas+of+peculiar+galaxies%2Cstripbooks%2C105&amp;sr=1-1-catcorr" TargetMode="External"/><Relationship Id="rId14" Type="http://schemas.openxmlformats.org/officeDocument/2006/relationships/hyperlink" Target="https://cseligman.com/text/atlas/ngc00.htm"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O3154"/>
  <sheetViews>
    <sheetView tabSelected="1" zoomScaleNormal="100" workbookViewId="0">
      <pane xSplit="11" ySplit="9" topLeftCell="L10" activePane="bottomRight" state="frozen"/>
      <selection pane="topRight" activeCell="L1" sqref="L1"/>
      <selection pane="bottomLeft" activeCell="A10" sqref="A10"/>
      <selection pane="bottomRight" activeCell="BO1" sqref="BK1:BO1048576"/>
    </sheetView>
  </sheetViews>
  <sheetFormatPr defaultRowHeight="15" x14ac:dyDescent="0.25"/>
  <cols>
    <col min="1" max="1" width="15.42578125" style="7" customWidth="1"/>
    <col min="2" max="2" width="6.140625" style="7" customWidth="1"/>
    <col min="3" max="3" width="6.7109375" style="7" customWidth="1"/>
    <col min="4" max="4" width="6.28515625" style="7" customWidth="1"/>
    <col min="5" max="5" width="7.28515625" style="7" customWidth="1"/>
    <col min="6" max="6" width="11.28515625" style="7" customWidth="1"/>
    <col min="7" max="7" width="6.28515625" style="7" customWidth="1"/>
    <col min="8" max="8" width="9.140625" style="7" customWidth="1"/>
    <col min="9" max="9" width="10" style="7" customWidth="1"/>
    <col min="10" max="10" width="7.140625" style="7" customWidth="1"/>
    <col min="11" max="11" width="14.28515625" style="7" customWidth="1"/>
    <col min="12" max="12" width="12.7109375" style="8" customWidth="1"/>
    <col min="13" max="13" width="9.7109375" style="10" customWidth="1"/>
    <col min="14" max="14" width="11.28515625" style="9" customWidth="1"/>
    <col min="15" max="15" width="8.42578125" style="9" customWidth="1"/>
    <col min="16" max="16" width="7.5703125" style="1" customWidth="1"/>
    <col min="17" max="18" width="7.5703125" style="7" customWidth="1"/>
    <col min="19" max="20" width="7.5703125" style="1" customWidth="1"/>
    <col min="21" max="21" width="7.7109375" style="1" customWidth="1"/>
    <col min="22" max="22" width="7.42578125" style="1" customWidth="1"/>
    <col min="23" max="23" width="7.140625" style="2" customWidth="1" collapsed="1"/>
    <col min="24" max="24" width="6.7109375" style="2" customWidth="1" collapsed="1"/>
    <col min="25" max="25" width="6.42578125" style="2" customWidth="1"/>
    <col min="26" max="26" width="6.140625" style="2" customWidth="1"/>
    <col min="27" max="27" width="4.85546875" style="2" customWidth="1"/>
    <col min="28" max="29" width="5" style="2" customWidth="1"/>
    <col min="30" max="30" width="9.140625" style="2" customWidth="1"/>
    <col min="31" max="31" width="8" style="6" customWidth="1"/>
    <col min="32" max="32" width="5.42578125" style="6" customWidth="1"/>
    <col min="33" max="33" width="6.28515625" style="2" customWidth="1"/>
    <col min="34" max="34" width="6.85546875" style="2" customWidth="1"/>
    <col min="35" max="35" width="6.85546875" style="5" customWidth="1"/>
    <col min="36" max="37" width="6.28515625" style="5" customWidth="1"/>
    <col min="38" max="42" width="6.28515625" customWidth="1"/>
    <col min="43" max="44" width="6.28515625" style="5" customWidth="1"/>
    <col min="45" max="57" width="6.28515625" customWidth="1"/>
    <col min="58" max="58" width="5.7109375" customWidth="1"/>
    <col min="59" max="62" width="6.28515625" customWidth="1"/>
    <col min="63" max="63" width="10.140625" style="3" hidden="1" customWidth="1"/>
    <col min="64" max="64" width="7" style="3" hidden="1" customWidth="1"/>
    <col min="65" max="65" width="11.28515625" style="356" hidden="1" customWidth="1"/>
    <col min="66" max="67" width="9.28515625" style="3" hidden="1" customWidth="1"/>
  </cols>
  <sheetData>
    <row r="1" spans="1:67" s="21" customFormat="1" ht="23.25" customHeight="1" thickBot="1" x14ac:dyDescent="0.4">
      <c r="A1" s="23" t="s">
        <v>9581</v>
      </c>
      <c r="B1" s="26"/>
      <c r="C1" s="26"/>
      <c r="D1" s="26"/>
      <c r="E1" s="45"/>
      <c r="F1" s="45"/>
      <c r="G1" s="45"/>
      <c r="H1" s="45"/>
      <c r="I1" s="45"/>
      <c r="J1" s="45"/>
      <c r="K1" s="377" t="s">
        <v>8845</v>
      </c>
      <c r="L1" s="372" t="s">
        <v>3267</v>
      </c>
      <c r="M1" s="120"/>
      <c r="N1" s="365" t="s">
        <v>3084</v>
      </c>
      <c r="O1" s="121"/>
      <c r="P1" s="121"/>
      <c r="Q1" s="121"/>
      <c r="R1" s="121"/>
      <c r="S1" s="121"/>
      <c r="T1" s="122"/>
      <c r="U1" s="209" t="s">
        <v>8878</v>
      </c>
      <c r="V1" s="218"/>
      <c r="W1" s="214" t="s">
        <v>8879</v>
      </c>
      <c r="X1" s="215"/>
      <c r="Y1" s="212"/>
      <c r="Z1" s="136"/>
      <c r="AA1" s="135"/>
      <c r="AB1" s="348"/>
      <c r="AC1" s="135"/>
      <c r="AD1" s="135"/>
      <c r="AE1" s="137"/>
      <c r="AF1" s="137"/>
      <c r="AG1" s="135"/>
      <c r="AH1" s="138"/>
      <c r="AI1" s="349"/>
      <c r="AJ1" s="348"/>
      <c r="AK1" s="139"/>
      <c r="AL1" s="140"/>
      <c r="AM1" s="140"/>
      <c r="AN1" s="140"/>
      <c r="AO1" s="140"/>
      <c r="AP1" s="140"/>
      <c r="AQ1" s="139"/>
      <c r="AR1" s="141"/>
      <c r="AS1" s="140"/>
      <c r="AT1" s="140"/>
      <c r="AU1" s="140"/>
      <c r="AV1" s="140"/>
      <c r="AW1" s="140"/>
      <c r="AX1" s="140"/>
      <c r="AY1" s="140"/>
      <c r="AZ1" s="140"/>
      <c r="BA1" s="140"/>
      <c r="BB1" s="140"/>
      <c r="BC1" s="142"/>
      <c r="BD1" s="140"/>
      <c r="BE1" s="140"/>
      <c r="BF1" s="140"/>
      <c r="BG1" s="156"/>
      <c r="BH1" s="140"/>
      <c r="BI1" s="140"/>
      <c r="BJ1" s="140"/>
      <c r="BK1" s="399" t="s">
        <v>9391</v>
      </c>
      <c r="BL1" s="383"/>
      <c r="BM1" s="384"/>
      <c r="BN1" s="383"/>
      <c r="BO1" s="383"/>
    </row>
    <row r="2" spans="1:67" ht="20.25" customHeight="1" thickBot="1" x14ac:dyDescent="0.3">
      <c r="A2" s="51"/>
      <c r="B2" s="51"/>
      <c r="C2" s="46"/>
      <c r="D2" s="46"/>
      <c r="E2" s="55"/>
      <c r="F2" s="46"/>
      <c r="G2" s="46"/>
      <c r="H2" s="46"/>
      <c r="I2" s="46"/>
      <c r="J2" s="46"/>
      <c r="K2" s="46"/>
      <c r="L2" s="373" t="s">
        <v>3264</v>
      </c>
      <c r="M2" s="375">
        <f>1+(Sunrise(J2000_Bas,DecLat,DecLong,0)/360)+(GMTOffset/24)+(IF(DST="Y", 1, 0)/24)</f>
        <v>1.7835303813599588</v>
      </c>
      <c r="N2" s="123" t="s">
        <v>3268</v>
      </c>
      <c r="O2" s="124">
        <f>IF((J2000_Adj&lt;J2000AdjMoonRise),Moon_Rise,Moon_Rise2)</f>
        <v>1.508905068129631</v>
      </c>
      <c r="P2" s="125" t="s">
        <v>3753</v>
      </c>
      <c r="Q2" s="125" t="s">
        <v>3755</v>
      </c>
      <c r="R2" s="125" t="s">
        <v>3752</v>
      </c>
      <c r="S2" s="125" t="s">
        <v>3756</v>
      </c>
      <c r="T2" s="125" t="s">
        <v>3754</v>
      </c>
      <c r="U2" s="143"/>
      <c r="V2" s="144"/>
      <c r="W2" s="145"/>
      <c r="X2" s="146"/>
      <c r="Y2" s="146"/>
      <c r="Z2" s="147"/>
      <c r="AA2" s="148"/>
      <c r="AB2" s="146"/>
      <c r="AC2" s="149"/>
      <c r="AD2" s="150"/>
      <c r="AE2" s="150"/>
      <c r="AF2" s="150"/>
      <c r="AG2" s="151"/>
      <c r="AH2" s="151"/>
      <c r="AI2" s="152"/>
      <c r="AJ2" s="153"/>
      <c r="AK2" s="154"/>
      <c r="AL2" s="155"/>
      <c r="AM2" s="156"/>
      <c r="AN2" s="156"/>
      <c r="AO2" s="157"/>
      <c r="AP2" s="158"/>
      <c r="AQ2" s="159"/>
      <c r="AR2" s="160"/>
      <c r="AS2" s="161"/>
      <c r="AT2" s="161"/>
      <c r="AU2" s="161"/>
      <c r="AV2" s="161"/>
      <c r="AW2" s="161"/>
      <c r="AX2" s="156"/>
      <c r="AY2" s="156"/>
      <c r="AZ2" s="156"/>
      <c r="BA2" s="156"/>
      <c r="BB2" s="162"/>
      <c r="BC2" s="156"/>
      <c r="BD2" s="158"/>
      <c r="BE2" s="156"/>
      <c r="BF2" s="163"/>
      <c r="BG2" s="163"/>
      <c r="BH2" s="163"/>
      <c r="BI2" s="163"/>
      <c r="BJ2" s="163"/>
      <c r="BK2" s="385"/>
      <c r="BL2" s="385"/>
      <c r="BM2" s="386"/>
      <c r="BN2" s="385"/>
      <c r="BO2" s="385"/>
    </row>
    <row r="3" spans="1:67" ht="24" customHeight="1" thickBot="1" x14ac:dyDescent="0.35">
      <c r="A3" s="48"/>
      <c r="B3" s="354">
        <v>46309.784633070296</v>
      </c>
      <c r="C3" s="25"/>
      <c r="D3" s="64"/>
      <c r="E3" s="65"/>
      <c r="F3" s="341" t="s">
        <v>3080</v>
      </c>
      <c r="G3" s="347" t="s">
        <v>9586</v>
      </c>
      <c r="H3" s="341" t="s">
        <v>3262</v>
      </c>
      <c r="I3" s="342">
        <v>31</v>
      </c>
      <c r="J3" s="343">
        <v>0</v>
      </c>
      <c r="K3" s="344">
        <v>0</v>
      </c>
      <c r="L3" s="373" t="s">
        <v>3265</v>
      </c>
      <c r="M3" s="375">
        <f>1+(Sunrise(J2000_Bas,DecLat,DecLong,0,-12)/360)+(GMTOffset/24)+(IF(DST="Y", 1, 0)/24)</f>
        <v>0.82069349235039046</v>
      </c>
      <c r="N3" s="123" t="s">
        <v>3269</v>
      </c>
      <c r="O3" s="124">
        <f>IF((J2000_Adj&lt;J2000AdjMoonSet),Moon_Set,Moon_Set2)</f>
        <v>0.88588593184492004</v>
      </c>
      <c r="P3" s="126"/>
      <c r="Q3" s="126"/>
      <c r="R3" s="126"/>
      <c r="S3" s="126"/>
      <c r="T3" s="126"/>
      <c r="U3" s="164"/>
      <c r="V3" s="144"/>
      <c r="W3" s="165"/>
      <c r="X3" s="166"/>
      <c r="Y3" s="166"/>
      <c r="Z3" s="364">
        <f>SUBTOTAL(103, A10:A3154)</f>
        <v>3145</v>
      </c>
      <c r="AA3" s="167"/>
      <c r="AB3" s="168"/>
      <c r="AC3" s="169"/>
      <c r="AD3" s="168"/>
      <c r="AE3" s="170"/>
      <c r="AF3" s="170"/>
      <c r="AG3" s="419" t="s">
        <v>7325</v>
      </c>
      <c r="AH3" s="420"/>
      <c r="AI3" s="171"/>
      <c r="AJ3" s="172">
        <f>DegDecimal(I3,J3,K3)</f>
        <v>31</v>
      </c>
      <c r="AK3" s="172"/>
      <c r="AL3" s="173">
        <f>(B3-36526.5)</f>
        <v>9783.284633070296</v>
      </c>
      <c r="AM3" s="174">
        <f>1+ (MoonRise(J2000_Bas,DecLong,DecLat,1)) +(GMTOffset/24)+(IF(DST="Y", 1, 0)/24)</f>
        <v>1.508905068129631</v>
      </c>
      <c r="AN3" s="174">
        <f>1+ (MoonRise(J2000_Bas+1,DecLong,DecLat,1)) +(GMTOffset/24)+(IF(DST="Y", 1, 0)/24)</f>
        <v>1.5443778307114069</v>
      </c>
      <c r="AO3" s="175">
        <f xml:space="preserve"> (MoonRise(J2000_Bas,DecLong,DecLat,1))</f>
        <v>0.71723840146296425</v>
      </c>
      <c r="AP3" s="176">
        <f>(INT(J2000_Bas)+0.5)</f>
        <v>9783.5</v>
      </c>
      <c r="AQ3" s="176">
        <f>Midnight+MoonRiseInc</f>
        <v>9784.217238401463</v>
      </c>
      <c r="AR3" s="176">
        <f>Midnight+MoonRiseInc+(GMTOffset/24)+(IF(DST="Y", 1, 0)/24)</f>
        <v>9784.008905068129</v>
      </c>
      <c r="AS3" s="177"/>
      <c r="AT3" s="177" t="s">
        <v>3870</v>
      </c>
      <c r="AU3" s="177" t="s">
        <v>3871</v>
      </c>
      <c r="AV3" s="177" t="s">
        <v>3306</v>
      </c>
      <c r="AW3" s="346"/>
      <c r="AX3" s="156"/>
      <c r="AY3" s="160"/>
      <c r="AZ3" s="156"/>
      <c r="BA3" s="156"/>
      <c r="BB3" s="156"/>
      <c r="BC3" s="156"/>
      <c r="BD3" s="156"/>
      <c r="BE3" s="156"/>
      <c r="BF3" s="421" t="s">
        <v>9205</v>
      </c>
      <c r="BG3" s="422"/>
      <c r="BH3" s="423"/>
      <c r="BI3" s="183"/>
      <c r="BJ3" s="183"/>
      <c r="BK3" s="385"/>
      <c r="BL3" s="385"/>
      <c r="BM3" s="386"/>
      <c r="BN3" s="385"/>
      <c r="BO3" s="385"/>
    </row>
    <row r="4" spans="1:67" s="1" customFormat="1" ht="25.5" customHeight="1" x14ac:dyDescent="0.25">
      <c r="A4" s="47"/>
      <c r="B4" s="47"/>
      <c r="C4" s="47"/>
      <c r="D4" s="47"/>
      <c r="E4" s="49"/>
      <c r="F4" s="341" t="s">
        <v>5188</v>
      </c>
      <c r="G4" s="345">
        <v>-6</v>
      </c>
      <c r="H4" s="341" t="s">
        <v>3263</v>
      </c>
      <c r="I4" s="342">
        <v>-95</v>
      </c>
      <c r="J4" s="343">
        <v>0</v>
      </c>
      <c r="K4" s="344">
        <v>0</v>
      </c>
      <c r="L4" s="373" t="s">
        <v>3270</v>
      </c>
      <c r="M4" s="375">
        <f>1+(Sunrise(J2000_Bas,DecLat,DecLong,1,-12)/360)+(GMTOffset/24)+(IF(DST="Y", 1, 0)/24)</f>
        <v>1.2709980471489721</v>
      </c>
      <c r="N4" s="123" t="s">
        <v>3081</v>
      </c>
      <c r="O4" s="127">
        <f>moonage(J2000_Bas)</f>
        <v>4.0398752536293614</v>
      </c>
      <c r="P4" s="128"/>
      <c r="Q4" s="128"/>
      <c r="R4" s="128"/>
      <c r="S4" s="128"/>
      <c r="T4" s="129"/>
      <c r="U4" s="210" t="s">
        <v>8880</v>
      </c>
      <c r="V4" s="219">
        <v>90</v>
      </c>
      <c r="W4" s="211" t="s">
        <v>8880</v>
      </c>
      <c r="X4" s="216">
        <v>2400</v>
      </c>
      <c r="Y4" s="183"/>
      <c r="Z4" s="183"/>
      <c r="AA4" s="183"/>
      <c r="AB4" s="183"/>
      <c r="AC4" s="183"/>
      <c r="AD4" s="144"/>
      <c r="AE4" s="168"/>
      <c r="AF4" s="168"/>
      <c r="AG4" s="151"/>
      <c r="AH4" s="144"/>
      <c r="AI4" s="178"/>
      <c r="AJ4" s="179">
        <f>DegDecimal(I4,J4,K4)</f>
        <v>-95</v>
      </c>
      <c r="AK4" s="179"/>
      <c r="AL4" s="173">
        <f>(B3-36526.5) - (IF(DST="y", (1/24), 0)) - (GMTOffset/24)</f>
        <v>9783.4929664036299</v>
      </c>
      <c r="AM4" s="174">
        <f>1+ (MoonRise(J2000_Bas,DecLong,DecLat,3)) +(GMTOffset/24)+(IF(DST="Y", 1, 0)/24)</f>
        <v>0.88588593184492004</v>
      </c>
      <c r="AN4" s="174">
        <f>1+ (MoonRise(J2000_Bas+1,DecLong,DecLat,3)) +(GMTOffset/24)+(IF(DST="Y", 1, 0)/24)</f>
        <v>0.92004421222433541</v>
      </c>
      <c r="AO4" s="175">
        <f xml:space="preserve"> (MoonRise(J2000_Bas,DecLong,DecLat,3))</f>
        <v>9.4219265178253409E-2</v>
      </c>
      <c r="AP4" s="180"/>
      <c r="AQ4" s="176">
        <f>Midnight+MoonSetInc</f>
        <v>9783.5942192651783</v>
      </c>
      <c r="AR4" s="176">
        <f>Midnight+MoonSetInc+(GMTOffset/24)+(IF(DST="Y", 1, 0)/24)</f>
        <v>9783.3858859318443</v>
      </c>
      <c r="AS4" s="181"/>
      <c r="AT4" s="182" t="s">
        <v>5409</v>
      </c>
      <c r="AU4" s="177" t="s">
        <v>5411</v>
      </c>
      <c r="AV4" s="177" t="s">
        <v>5410</v>
      </c>
      <c r="AW4" s="181">
        <f ca="1">INT(NOW())+1+(Sunrise(((NOW()-36526.5) - (IF(DST="y", (1/24), 0)) - (GMTOffset/24)),DecLat,DecLong,0)/360)+(GMTOffset/24)+(IF(DST="Y", 1, 0)/24)</f>
        <v>46309.784598847014</v>
      </c>
      <c r="AX4" s="183"/>
      <c r="AY4" s="183"/>
      <c r="AZ4" s="183"/>
      <c r="BA4" s="183"/>
      <c r="BB4" s="183"/>
      <c r="BC4" s="183"/>
      <c r="BD4" s="183"/>
      <c r="BE4" s="183"/>
      <c r="BF4" s="183"/>
      <c r="BG4" s="183"/>
      <c r="BH4" s="183"/>
      <c r="BI4" s="183"/>
      <c r="BJ4" s="183"/>
      <c r="BK4" s="387"/>
      <c r="BL4" s="387"/>
      <c r="BM4" s="388"/>
      <c r="BN4" s="387"/>
      <c r="BO4" s="387"/>
    </row>
    <row r="5" spans="1:67" ht="29.25" customHeight="1" thickBot="1" x14ac:dyDescent="0.3">
      <c r="A5" s="50"/>
      <c r="B5" s="50"/>
      <c r="C5" s="50"/>
      <c r="D5" s="50"/>
      <c r="E5" s="56"/>
      <c r="F5" s="56"/>
      <c r="G5" s="56"/>
      <c r="H5" s="56"/>
      <c r="I5" s="56"/>
      <c r="J5" s="56"/>
      <c r="K5" s="56"/>
      <c r="L5" s="374" t="s">
        <v>3266</v>
      </c>
      <c r="M5" s="376">
        <f>1+(Sunrise(J2000_Bas,DecLat,DecLong,1)/360)+(GMTOffset/24)+(IF(DST="Y", 1, 0)/24)</f>
        <v>1.3074378575531016</v>
      </c>
      <c r="N5" s="130" t="s">
        <v>3082</v>
      </c>
      <c r="O5" s="131">
        <f ca="1">FORECAST(O4,OFFSET(MoonIllum,MATCH(Moon_Age,MoonAgeDays,1)-1,0,2), OFFSET(MoonAgeDays,MATCH(Moon_Age,MoonAgeDays,1)-1,0,2))</f>
        <v>16.728939655849569</v>
      </c>
      <c r="P5" s="132" t="s">
        <v>3097</v>
      </c>
      <c r="Q5" s="133">
        <f>Moon(J2000_Bas,3)</f>
        <v>249.24191225803111</v>
      </c>
      <c r="R5" s="132" t="s">
        <v>3098</v>
      </c>
      <c r="S5" s="133">
        <f>Moon(J2000_Bas,2)</f>
        <v>-27.084093109737079</v>
      </c>
      <c r="T5" s="134"/>
      <c r="U5" s="208" t="s">
        <v>8881</v>
      </c>
      <c r="V5" s="220">
        <v>-90</v>
      </c>
      <c r="W5" s="191" t="s">
        <v>8881</v>
      </c>
      <c r="X5" s="217">
        <v>0</v>
      </c>
      <c r="Y5" s="207"/>
      <c r="Z5" s="207"/>
      <c r="AA5" s="207"/>
      <c r="AB5" s="207"/>
      <c r="AC5" s="207"/>
      <c r="AD5" s="185"/>
      <c r="AE5" s="186"/>
      <c r="AF5" s="186"/>
      <c r="AG5" s="187"/>
      <c r="AH5" s="184"/>
      <c r="AI5" s="188"/>
      <c r="AJ5" s="189"/>
      <c r="AK5" s="189"/>
      <c r="AL5" s="189"/>
      <c r="AM5" s="189"/>
      <c r="AN5" s="190"/>
      <c r="AO5" s="190"/>
      <c r="AP5" s="190"/>
      <c r="AQ5" s="190"/>
      <c r="AR5" s="190"/>
      <c r="AS5" s="190"/>
      <c r="AT5" s="156"/>
      <c r="AU5" s="156"/>
      <c r="AV5" s="189"/>
      <c r="AW5" s="189"/>
      <c r="AX5" s="156"/>
      <c r="AY5" s="188"/>
      <c r="AZ5" s="156"/>
      <c r="BA5" s="156"/>
      <c r="BB5" s="156"/>
      <c r="BC5" s="156"/>
      <c r="BD5" s="156"/>
      <c r="BE5" s="156"/>
      <c r="BF5" s="156"/>
      <c r="BG5" s="156"/>
      <c r="BH5" s="156"/>
      <c r="BI5" s="156"/>
      <c r="BJ5" s="156"/>
      <c r="BK5" s="385"/>
      <c r="BL5" s="385"/>
      <c r="BM5" s="386"/>
      <c r="BN5" s="385"/>
      <c r="BO5" s="385"/>
    </row>
    <row r="6" spans="1:67" ht="21" customHeight="1" x14ac:dyDescent="0.35">
      <c r="A6" s="366" t="s">
        <v>3078</v>
      </c>
      <c r="B6" s="74"/>
      <c r="C6" s="83"/>
      <c r="D6" s="74"/>
      <c r="E6" s="74"/>
      <c r="F6" s="22"/>
      <c r="G6" s="22"/>
      <c r="H6" s="22"/>
      <c r="I6" s="22"/>
      <c r="J6" s="22"/>
      <c r="K6" s="22"/>
      <c r="L6" s="22"/>
      <c r="M6" s="75"/>
      <c r="N6" s="75"/>
      <c r="O6" s="75"/>
      <c r="P6" s="22"/>
      <c r="Q6" s="22"/>
      <c r="R6" s="22"/>
      <c r="S6" s="22"/>
      <c r="T6" s="22"/>
      <c r="U6" s="22"/>
      <c r="V6" s="22"/>
      <c r="W6" s="367" t="s">
        <v>8877</v>
      </c>
      <c r="X6" s="199"/>
      <c r="Y6" s="200"/>
      <c r="Z6" s="368" t="s">
        <v>8819</v>
      </c>
      <c r="AA6" s="221"/>
      <c r="AB6" s="221"/>
      <c r="AC6" s="222"/>
      <c r="AD6" s="369" t="s">
        <v>4576</v>
      </c>
      <c r="AE6" s="232"/>
      <c r="AF6" s="233"/>
      <c r="AG6" s="370" t="s">
        <v>3084</v>
      </c>
      <c r="AH6" s="40"/>
      <c r="AI6" s="371" t="s">
        <v>3079</v>
      </c>
      <c r="AJ6" s="96"/>
      <c r="AK6" s="96"/>
      <c r="AL6" s="97"/>
      <c r="AM6" s="97"/>
      <c r="AN6" s="97"/>
      <c r="AO6" s="97"/>
      <c r="AP6" s="97"/>
      <c r="AQ6" s="97"/>
      <c r="AR6" s="97"/>
      <c r="AS6" s="97"/>
      <c r="AT6" s="97"/>
      <c r="AU6" s="97"/>
      <c r="AV6" s="98"/>
      <c r="AW6" s="97"/>
      <c r="AX6" s="97"/>
      <c r="AY6" s="97"/>
      <c r="AZ6" s="97"/>
      <c r="BA6" s="97"/>
      <c r="BB6" s="97"/>
      <c r="BC6" s="97"/>
      <c r="BD6" s="97"/>
      <c r="BE6" s="97"/>
      <c r="BF6" s="97"/>
      <c r="BG6" s="97"/>
      <c r="BH6" s="97"/>
      <c r="BI6" s="97"/>
      <c r="BJ6" s="401" t="s">
        <v>9303</v>
      </c>
      <c r="BK6" s="389"/>
      <c r="BL6" s="390"/>
      <c r="BM6" s="391"/>
      <c r="BN6" s="390"/>
      <c r="BO6" s="390"/>
    </row>
    <row r="7" spans="1:67" ht="17.25" customHeight="1" x14ac:dyDescent="0.35">
      <c r="A7" s="76" t="s">
        <v>5629</v>
      </c>
      <c r="B7" s="84"/>
      <c r="C7" s="69"/>
      <c r="D7" s="81" t="s">
        <v>18</v>
      </c>
      <c r="E7" s="66" t="s">
        <v>5628</v>
      </c>
      <c r="F7" s="67" t="s">
        <v>5627</v>
      </c>
      <c r="G7" s="27" t="s">
        <v>19</v>
      </c>
      <c r="H7" s="27" t="s">
        <v>6261</v>
      </c>
      <c r="I7" s="28" t="s">
        <v>6262</v>
      </c>
      <c r="J7" s="27" t="s">
        <v>5413</v>
      </c>
      <c r="K7" s="27" t="s">
        <v>3162</v>
      </c>
      <c r="L7" s="68" t="s">
        <v>2965</v>
      </c>
      <c r="M7" s="69"/>
      <c r="N7" s="68" t="s">
        <v>2964</v>
      </c>
      <c r="O7" s="69"/>
      <c r="P7" s="27" t="s">
        <v>3290</v>
      </c>
      <c r="Q7" s="27" t="s">
        <v>5424</v>
      </c>
      <c r="R7" s="27" t="s">
        <v>5423</v>
      </c>
      <c r="S7" s="27" t="s">
        <v>5244</v>
      </c>
      <c r="T7" s="27" t="s">
        <v>3258</v>
      </c>
      <c r="U7" s="27" t="s">
        <v>5189</v>
      </c>
      <c r="V7" s="195" t="s">
        <v>5190</v>
      </c>
      <c r="W7" s="201" t="s">
        <v>8875</v>
      </c>
      <c r="X7" s="205" t="s">
        <v>8875</v>
      </c>
      <c r="Y7" s="203" t="s">
        <v>8875</v>
      </c>
      <c r="Z7" s="223">
        <f>HOUR(B3)</f>
        <v>18</v>
      </c>
      <c r="AA7" s="224">
        <f>IF(Z7=23,1,IF(Z7=22,0,(Z7+2)))</f>
        <v>20</v>
      </c>
      <c r="AB7" s="224">
        <f>IF(AA7=23,1,IF(AA7=22,0,(AA7+2)))</f>
        <v>22</v>
      </c>
      <c r="AC7" s="225">
        <f>IF(AB7=23,1,IF(AB7=22,0,(AB7+2)))</f>
        <v>0</v>
      </c>
      <c r="AD7" s="234" t="s">
        <v>3086</v>
      </c>
      <c r="AE7" s="235" t="s">
        <v>3087</v>
      </c>
      <c r="AF7" s="236" t="s">
        <v>4578</v>
      </c>
      <c r="AG7" s="41" t="s">
        <v>4577</v>
      </c>
      <c r="AH7" s="42" t="s">
        <v>3088</v>
      </c>
      <c r="AI7" s="99" t="s">
        <v>5643</v>
      </c>
      <c r="AJ7" s="100"/>
      <c r="AK7" s="100"/>
      <c r="AL7" s="100"/>
      <c r="AM7" s="101"/>
      <c r="AN7" s="102" t="s">
        <v>0</v>
      </c>
      <c r="AO7" s="100"/>
      <c r="AP7" s="100"/>
      <c r="AQ7" s="100"/>
      <c r="AR7" s="101"/>
      <c r="AS7" s="102" t="s">
        <v>1</v>
      </c>
      <c r="AT7" s="100"/>
      <c r="AU7" s="100"/>
      <c r="AV7" s="101"/>
      <c r="AW7" s="103" t="s">
        <v>2</v>
      </c>
      <c r="AX7" s="100"/>
      <c r="AY7" s="100"/>
      <c r="AZ7" s="100"/>
      <c r="BA7" s="100"/>
      <c r="BB7" s="100"/>
      <c r="BC7" s="100"/>
      <c r="BD7" s="101"/>
      <c r="BE7" s="103" t="s">
        <v>5646</v>
      </c>
      <c r="BF7" s="100"/>
      <c r="BG7" s="100"/>
      <c r="BH7" s="104"/>
      <c r="BI7" s="400"/>
      <c r="BJ7" s="401" t="s">
        <v>9304</v>
      </c>
      <c r="BK7" s="392" t="s">
        <v>5414</v>
      </c>
      <c r="BL7" s="393"/>
      <c r="BM7" s="394"/>
      <c r="BN7" s="393"/>
      <c r="BO7" s="393"/>
    </row>
    <row r="8" spans="1:67" ht="16.5" customHeight="1" x14ac:dyDescent="0.25">
      <c r="A8" s="78" t="s">
        <v>5630</v>
      </c>
      <c r="B8" s="79" t="s">
        <v>3913</v>
      </c>
      <c r="C8" s="53" t="s">
        <v>5412</v>
      </c>
      <c r="D8" s="82"/>
      <c r="E8" s="57"/>
      <c r="F8" s="58"/>
      <c r="G8" s="30"/>
      <c r="H8" s="31" t="s">
        <v>8867</v>
      </c>
      <c r="I8" s="33" t="s">
        <v>8868</v>
      </c>
      <c r="J8" s="85" t="s">
        <v>5637</v>
      </c>
      <c r="K8" s="29"/>
      <c r="L8" s="70" t="s">
        <v>3101</v>
      </c>
      <c r="M8" s="71" t="s">
        <v>3100</v>
      </c>
      <c r="N8" s="72" t="s">
        <v>3102</v>
      </c>
      <c r="O8" s="73" t="s">
        <v>3100</v>
      </c>
      <c r="P8" s="39"/>
      <c r="Q8" s="32" t="s">
        <v>3293</v>
      </c>
      <c r="R8" s="66"/>
      <c r="S8" s="30" t="s">
        <v>3085</v>
      </c>
      <c r="T8" s="30" t="s">
        <v>3259</v>
      </c>
      <c r="U8" s="32" t="s">
        <v>3260</v>
      </c>
      <c r="V8" s="33" t="s">
        <v>5191</v>
      </c>
      <c r="W8" s="201" t="s">
        <v>8876</v>
      </c>
      <c r="X8" s="205" t="s">
        <v>3288</v>
      </c>
      <c r="Y8" s="203" t="s">
        <v>3162</v>
      </c>
      <c r="Z8" s="226">
        <f>IF((altaz(J2000_Bas,sun(J2000_Bas,2),sun(J2000_Bas,3),DecLat,DecLong,1))&lt;-12,0,IF((altaz(J2000_Bas,sun(J2000_Bas,2),sun(J2000_Bas,3),DecLat,DecLong,1))&lt;0,1,2))</f>
        <v>1</v>
      </c>
      <c r="AA8" s="227">
        <f>IF((altaz((J2000_Bas+(2*0.04167)),sun(J2000_Bas,2),sun(J2000_Bas,3),DecLat,DecLong,1))&lt;-12,0,IF((altaz((J2000_Bas+(2*0.04167)),sun(J2000_Bas,2),sun(J2000_Bas,3),DecLat,DecLong,1))&lt;0,1,2))</f>
        <v>0</v>
      </c>
      <c r="AB8" s="227">
        <f>IF((altaz((J2000_Bas+(4*0.04167)),sun(J2000_Bas,2),sun(J2000_Bas,3),DecLat,DecLong,1))&lt;-12,0,IF((altaz((J2000_Bas+(4*0.04167)),sun(J2000_Bas,2),sun(J2000_Bas,3),DecLat,DecLong,1))&lt;0,1,2))</f>
        <v>0</v>
      </c>
      <c r="AC8" s="228">
        <f>IF((altaz((J2000_Bas++(6*0.04167)),sun(J2000_Bas,2),sun(J2000_Bas,3),DecLat,DecLong,1))&lt;-12,0,IF((altaz((J2000_Bas++(6*0.04167)),sun(J2000_Bas,2),sun(J2000_Bas,3),DecLat,DecLong,1))&lt;0,1,2))</f>
        <v>0</v>
      </c>
      <c r="AD8" s="234"/>
      <c r="AE8" s="235"/>
      <c r="AF8" s="236"/>
      <c r="AG8" s="41"/>
      <c r="AH8" s="42"/>
      <c r="AI8" s="105" t="s">
        <v>20</v>
      </c>
      <c r="AJ8" s="106" t="s">
        <v>4</v>
      </c>
      <c r="AK8" s="193" t="s">
        <v>5645</v>
      </c>
      <c r="AL8" s="108" t="s">
        <v>8678</v>
      </c>
      <c r="AM8" s="109" t="s">
        <v>7325</v>
      </c>
      <c r="AN8" s="110" t="s">
        <v>21</v>
      </c>
      <c r="AO8" s="108" t="s">
        <v>5</v>
      </c>
      <c r="AP8" s="108" t="s">
        <v>7</v>
      </c>
      <c r="AQ8" s="107" t="s">
        <v>6</v>
      </c>
      <c r="AR8" s="111" t="s">
        <v>22</v>
      </c>
      <c r="AS8" s="112" t="s">
        <v>7</v>
      </c>
      <c r="AT8" s="108" t="s">
        <v>8853</v>
      </c>
      <c r="AU8" s="108" t="s">
        <v>8854</v>
      </c>
      <c r="AV8" s="109" t="s">
        <v>8855</v>
      </c>
      <c r="AW8" s="108" t="s">
        <v>8852</v>
      </c>
      <c r="AX8" s="108" t="s">
        <v>23</v>
      </c>
      <c r="AY8" s="108" t="s">
        <v>8</v>
      </c>
      <c r="AZ8" s="108" t="s">
        <v>24</v>
      </c>
      <c r="BA8" s="111" t="s">
        <v>5493</v>
      </c>
      <c r="BB8" s="108" t="s">
        <v>9</v>
      </c>
      <c r="BC8" s="108" t="s">
        <v>16</v>
      </c>
      <c r="BD8" s="109" t="s">
        <v>25</v>
      </c>
      <c r="BE8" s="108" t="s">
        <v>10</v>
      </c>
      <c r="BF8" s="108" t="s">
        <v>26</v>
      </c>
      <c r="BG8" s="108" t="s">
        <v>11</v>
      </c>
      <c r="BH8" s="108" t="s">
        <v>27</v>
      </c>
      <c r="BI8" s="113" t="s">
        <v>9305</v>
      </c>
      <c r="BJ8" s="402"/>
      <c r="BK8" s="392" t="s">
        <v>5412</v>
      </c>
      <c r="BL8" s="392" t="s">
        <v>5412</v>
      </c>
      <c r="BM8" s="395" t="s">
        <v>9312</v>
      </c>
      <c r="BN8" s="392" t="s">
        <v>9213</v>
      </c>
      <c r="BO8" s="392" t="s">
        <v>9392</v>
      </c>
    </row>
    <row r="9" spans="1:67" s="24" customFormat="1" ht="17.25" customHeight="1" thickBot="1" x14ac:dyDescent="0.3">
      <c r="A9" s="77" t="s">
        <v>5631</v>
      </c>
      <c r="B9" s="80" t="s">
        <v>4581</v>
      </c>
      <c r="C9" s="54" t="s">
        <v>4581</v>
      </c>
      <c r="D9" s="38"/>
      <c r="E9" s="35"/>
      <c r="F9" s="35"/>
      <c r="G9" s="61" t="s">
        <v>4379</v>
      </c>
      <c r="H9" s="34"/>
      <c r="I9" s="36"/>
      <c r="J9" s="86" t="s">
        <v>5636</v>
      </c>
      <c r="K9" s="60"/>
      <c r="L9" s="37"/>
      <c r="M9" s="38"/>
      <c r="N9" s="62"/>
      <c r="O9" s="63"/>
      <c r="P9" s="35"/>
      <c r="Q9" s="35" t="s">
        <v>3293</v>
      </c>
      <c r="R9" s="59"/>
      <c r="S9" s="59"/>
      <c r="T9" s="34"/>
      <c r="U9" s="35"/>
      <c r="V9" s="52"/>
      <c r="W9" s="202"/>
      <c r="X9" s="206"/>
      <c r="Y9" s="204"/>
      <c r="Z9" s="229"/>
      <c r="AA9" s="230"/>
      <c r="AB9" s="230"/>
      <c r="AC9" s="231"/>
      <c r="AD9" s="237"/>
      <c r="AE9" s="238"/>
      <c r="AF9" s="239"/>
      <c r="AG9" s="43"/>
      <c r="AH9" s="44"/>
      <c r="AI9" s="213">
        <f t="shared" ref="AI9:BI9" si="0">COUNTA(AI10:AI3154)</f>
        <v>1445</v>
      </c>
      <c r="AJ9" s="114">
        <f t="shared" si="0"/>
        <v>179</v>
      </c>
      <c r="AK9" s="194">
        <f t="shared" si="0"/>
        <v>400</v>
      </c>
      <c r="AL9" s="114">
        <f t="shared" si="0"/>
        <v>110</v>
      </c>
      <c r="AM9" s="114">
        <f t="shared" si="0"/>
        <v>109</v>
      </c>
      <c r="AN9" s="114">
        <f t="shared" si="0"/>
        <v>338</v>
      </c>
      <c r="AO9" s="114">
        <f t="shared" si="0"/>
        <v>100</v>
      </c>
      <c r="AP9" s="114">
        <f t="shared" si="0"/>
        <v>42</v>
      </c>
      <c r="AQ9" s="114">
        <f t="shared" si="0"/>
        <v>847</v>
      </c>
      <c r="AR9" s="114">
        <f t="shared" si="0"/>
        <v>1308</v>
      </c>
      <c r="AS9" s="114">
        <f t="shared" si="0"/>
        <v>84</v>
      </c>
      <c r="AT9" s="114">
        <f t="shared" si="0"/>
        <v>45</v>
      </c>
      <c r="AU9" s="114">
        <f t="shared" si="0"/>
        <v>37</v>
      </c>
      <c r="AV9" s="114">
        <f t="shared" si="0"/>
        <v>34</v>
      </c>
      <c r="AW9" s="114">
        <f t="shared" si="0"/>
        <v>349</v>
      </c>
      <c r="AX9" s="114">
        <f t="shared" si="0"/>
        <v>94</v>
      </c>
      <c r="AY9" s="114">
        <f t="shared" si="0"/>
        <v>225</v>
      </c>
      <c r="AZ9" s="114">
        <f t="shared" si="0"/>
        <v>32</v>
      </c>
      <c r="BA9" s="114">
        <f t="shared" si="0"/>
        <v>105</v>
      </c>
      <c r="BB9" s="114">
        <f t="shared" si="0"/>
        <v>313</v>
      </c>
      <c r="BC9" s="114">
        <f t="shared" si="0"/>
        <v>28</v>
      </c>
      <c r="BD9" s="192">
        <f t="shared" si="0"/>
        <v>159</v>
      </c>
      <c r="BE9" s="114">
        <f t="shared" si="0"/>
        <v>109</v>
      </c>
      <c r="BF9" s="114">
        <f t="shared" si="0"/>
        <v>108</v>
      </c>
      <c r="BG9" s="114">
        <f t="shared" si="0"/>
        <v>109</v>
      </c>
      <c r="BH9" s="114">
        <f t="shared" si="0"/>
        <v>109</v>
      </c>
      <c r="BI9" s="115">
        <f t="shared" si="0"/>
        <v>109</v>
      </c>
      <c r="BJ9" s="403"/>
      <c r="BK9" s="396" t="s">
        <v>5085</v>
      </c>
      <c r="BL9" s="396" t="s">
        <v>5415</v>
      </c>
      <c r="BM9" s="397" t="s">
        <v>9313</v>
      </c>
      <c r="BN9" s="398"/>
      <c r="BO9" s="398" t="s">
        <v>9393</v>
      </c>
    </row>
    <row r="10" spans="1:67" s="24" customFormat="1" ht="15" customHeight="1" x14ac:dyDescent="0.25">
      <c r="A10" s="240" t="s">
        <v>63</v>
      </c>
      <c r="B10" s="241" t="str">
        <f>HYPERLINK(CONCATENATE($AT$3,BK10,$AU$3),$AV$3)</f>
        <v>S</v>
      </c>
      <c r="C10" s="242" t="str">
        <f>HYPERLINK(CONCATENATE($AT$4,BK10,$AU$4,BL10),$AV$4)</f>
        <v>A</v>
      </c>
      <c r="D10" s="243" t="s">
        <v>5187</v>
      </c>
      <c r="E10" s="244" t="s">
        <v>5181</v>
      </c>
      <c r="F10" s="407" t="s">
        <v>7485</v>
      </c>
      <c r="G10" s="416">
        <v>0.8</v>
      </c>
      <c r="H10" s="417">
        <v>8200</v>
      </c>
      <c r="I10" s="245">
        <v>2</v>
      </c>
      <c r="J10" s="246">
        <v>2</v>
      </c>
      <c r="K10" s="247" t="s">
        <v>3332</v>
      </c>
      <c r="L10" s="248">
        <v>1236</v>
      </c>
      <c r="M10" s="249">
        <f>15*(LEFT(TEXT($L10,"000000"),2)+(MID(TEXT($L10,"000000"),3,2)/60)+(RIGHT(TEXT($L10,"000000"),2)/3600))</f>
        <v>3.1500000000000004</v>
      </c>
      <c r="N10" s="250">
        <v>691041</v>
      </c>
      <c r="O10" s="251">
        <f>IF($N10&gt;0,(LEFT(TEXT($N10,"000000"),2)+(MID(TEXT($N10,"000000"),3,2)/60)+(RIGHT(TEXT($N10,"000000"),2)/3600)),-(MID(TEXT($N10,"000000"),2,2)+(MID(TEXT($N10,"000000"),4,2)/60)+(RIGHT(TEXT($N10,"000000"),2)/3600)))</f>
        <v>69.178055555555559</v>
      </c>
      <c r="P10" s="252" t="s">
        <v>52</v>
      </c>
      <c r="Q10" s="253"/>
      <c r="R10" s="247" t="s">
        <v>3293</v>
      </c>
      <c r="S10" s="254" t="s">
        <v>3293</v>
      </c>
      <c r="T10" s="255">
        <v>19</v>
      </c>
      <c r="U10" s="418"/>
      <c r="V10" s="256"/>
      <c r="W10" s="244"/>
      <c r="X10" s="244"/>
      <c r="Y10" s="362"/>
      <c r="Z10" s="257">
        <f>altaz(J2000_Bas,$O10,$M10,DecLat,DecLong,1)</f>
        <v>33.310630397180624</v>
      </c>
      <c r="AA10" s="257">
        <f>altaz((J2000_Bas+(2*0.04167)),$O10,$M10,DecLat,DecLong,1)</f>
        <v>43.547551147698044</v>
      </c>
      <c r="AB10" s="257">
        <f>altaz((J2000_Bas+(4*0.04167)),$O10,$M10,DecLat,DecLong,1)</f>
        <v>50.607242049033211</v>
      </c>
      <c r="AC10" s="257">
        <f>altaz((J2000_Bas+(6*0.04167)),$O10,$M10,DecLat,DecLong,1)</f>
        <v>51.09212244984829</v>
      </c>
      <c r="AD10" s="258">
        <f>1+ transit((J2000_Bas-1),$O10,$M10,DecLat,DecLong)/360 + (GMTOffset/24) + (IF(DST="Y", 1, 0)/24)</f>
        <v>1.0016499597547079</v>
      </c>
      <c r="AE10" s="259">
        <f>DATE(2001,9,21)+(M10/360)*365 - (360*((DecLong/360)- (GMTOffset/24) ))</f>
        <v>37163.193749999999</v>
      </c>
      <c r="AF10" s="260">
        <f>IF(DecLat&gt;0,IF((90 - (DecLat-O10))&gt;90, (90 - (O10-DecLat)), (90 - (DecLat-O10))),IF((90 + (DecLat-O10))&gt;90, (90 + (O10-DecLat)), (90 + (DecLat-O10))))</f>
        <v>51.821944444444441</v>
      </c>
      <c r="AG10" s="257">
        <f>angularseperation(MoonRA,MoonDec,$M10,$O10)</f>
        <v>123.62974653782005</v>
      </c>
      <c r="AH10" s="261">
        <f ca="1">MIN(100,IF($O$5&gt;80,0+30*($AG10/100),IF($O$5&gt;70,0+50*($AG10/100),IF($O$5&gt;60,5+50*($AG10/100),IF($O$5&gt;50,10+60*($AG10/100),IF($O$5&gt;40,15+70*($AG10/100),IF($O$5&gt;30,20+70*($AG10/100),IF($O$5&gt;20,40+55*($AG10/100),(80+(20-$O$5)+30*($AG10/100))))))))))</f>
        <v>100</v>
      </c>
      <c r="AI10" s="262"/>
      <c r="AJ10" s="262"/>
      <c r="AK10" s="262"/>
      <c r="AL10" s="263"/>
      <c r="AM10" s="264"/>
      <c r="AN10" s="263"/>
      <c r="AO10" s="263"/>
      <c r="AP10" s="265"/>
      <c r="AQ10" s="266"/>
      <c r="AR10" s="267"/>
      <c r="AS10" s="263">
        <v>1</v>
      </c>
      <c r="AT10" s="263"/>
      <c r="AU10" s="263"/>
      <c r="AV10" s="264"/>
      <c r="AW10" s="263"/>
      <c r="AX10" s="263"/>
      <c r="AY10" s="263"/>
      <c r="AZ10" s="263"/>
      <c r="BA10" s="263"/>
      <c r="BB10" s="263"/>
      <c r="BC10" s="263"/>
      <c r="BD10" s="264"/>
      <c r="BE10" s="263"/>
      <c r="BF10" s="263"/>
      <c r="BG10" s="263"/>
      <c r="BH10" s="263"/>
      <c r="BI10" s="263"/>
      <c r="BJ10" s="404">
        <f>altaz(J2000_Bas,$O10,$M10,DecLat,DecLong,2)</f>
        <v>24.499814982422816</v>
      </c>
      <c r="BK10" s="378" t="s">
        <v>3914</v>
      </c>
      <c r="BL10" s="379">
        <f>IF((2*G10)/60&lt;0.2,0.2,(2*G10)/60)</f>
        <v>0.2</v>
      </c>
      <c r="BM10" s="380">
        <f>MOD((50000+AD10-$B$3+(0/24)),1)</f>
        <v>0.21701688945904607</v>
      </c>
      <c r="BN10" s="381" t="s">
        <v>9225</v>
      </c>
      <c r="BO10" s="382">
        <v>10</v>
      </c>
    </row>
    <row r="11" spans="1:67" s="24" customFormat="1" ht="15" customHeight="1" x14ac:dyDescent="0.25">
      <c r="A11" s="414" t="s">
        <v>64</v>
      </c>
      <c r="B11" s="241" t="str">
        <f>HYPERLINK(CONCATENATE($AT$3,BK11,$AU$3),$AV$3)</f>
        <v>S</v>
      </c>
      <c r="C11" s="242" t="str">
        <f>HYPERLINK(CONCATENATE($AT$4,BK11,$AU$4,BL11),$AV$4)</f>
        <v>A</v>
      </c>
      <c r="D11" s="243" t="s">
        <v>5187</v>
      </c>
      <c r="E11" s="244" t="s">
        <v>5181</v>
      </c>
      <c r="F11" s="269" t="s">
        <v>7486</v>
      </c>
      <c r="G11" s="270">
        <v>0.5</v>
      </c>
      <c r="H11" s="271">
        <v>13000</v>
      </c>
      <c r="I11" s="245">
        <v>2</v>
      </c>
      <c r="J11" s="246">
        <v>2</v>
      </c>
      <c r="K11" s="247" t="s">
        <v>3321</v>
      </c>
      <c r="L11" s="248">
        <v>4536</v>
      </c>
      <c r="M11" s="249">
        <f>15*(LEFT(TEXT($L11,"000000"),2)+(MID(TEXT($L11,"000000"),3,2)/60)+(RIGHT(TEXT($L11,"000000"),2)/3600))</f>
        <v>11.4</v>
      </c>
      <c r="N11" s="250">
        <v>575724</v>
      </c>
      <c r="O11" s="251">
        <f>IF($N11&gt;0,(LEFT(TEXT($N11,"000000"),2)+(MID(TEXT($N11,"000000"),3,2)/60)+(RIGHT(TEXT($N11,"000000"),2)/3600)),-(MID(TEXT($N11,"000000"),2,2)+(MID(TEXT($N11,"000000"),4,2)/60)+(RIGHT(TEXT($N11,"000000"),2)/3600)))</f>
        <v>57.956666666666671</v>
      </c>
      <c r="P11" s="252" t="s">
        <v>49</v>
      </c>
      <c r="Q11" s="253"/>
      <c r="R11" s="247" t="s">
        <v>3293</v>
      </c>
      <c r="S11" s="272" t="s">
        <v>3293</v>
      </c>
      <c r="T11" s="273">
        <v>15</v>
      </c>
      <c r="U11" s="274"/>
      <c r="V11" s="256"/>
      <c r="W11" s="244"/>
      <c r="X11" s="244"/>
      <c r="Y11" s="362"/>
      <c r="Z11" s="257">
        <f>altaz(J2000_Bas,$O11,$M11,DecLat,DecLong,1)</f>
        <v>28.233378116944341</v>
      </c>
      <c r="AA11" s="257">
        <f>altaz((J2000_Bas+(2*0.04167)),$O11,$M11,DecLat,DecLong,1)</f>
        <v>44.057763197214882</v>
      </c>
      <c r="AB11" s="257">
        <f>altaz((J2000_Bas+(4*0.04167)),$O11,$M11,DecLat,DecLong,1)</f>
        <v>57.991699304678512</v>
      </c>
      <c r="AC11" s="257">
        <f>altaz((J2000_Bas+(6*0.04167)),$O11,$M11,DecLat,DecLong,1)</f>
        <v>62.837715258125343</v>
      </c>
      <c r="AD11" s="258">
        <f>1+ transit((J2000_Bas-1),$O11,$M11,DecLat,DecLong)/360 + (GMTOffset/24) + (IF(DST="Y", 1, 0)/24)</f>
        <v>1.024566624129708</v>
      </c>
      <c r="AE11" s="259">
        <f>DATE(2001,9,21)+(M11/360)*365 - (360*((DecLong/360)- (GMTOffset/24) ))</f>
        <v>37171.558333333334</v>
      </c>
      <c r="AF11" s="260">
        <f>IF(DecLat&gt;0,IF((90 - (DecLat-O11))&gt;90, (90 - (O11-DecLat)), (90 - (DecLat-O11))),IF((90 + (DecLat-O11))&gt;90, (90 + (O11-DecLat)), (90 + (DecLat-O11))))</f>
        <v>63.043333333333329</v>
      </c>
      <c r="AG11" s="257">
        <f>angularseperation(MoonRA,MoonDec,$M11,$O11)</f>
        <v>129.5951528265532</v>
      </c>
      <c r="AH11" s="261">
        <f ca="1">MIN(100,IF($O$5&gt;80,0+30*($AG11/100),IF($O$5&gt;70,0+50*($AG11/100),IF($O$5&gt;60,5+50*($AG11/100),IF($O$5&gt;50,10+60*($AG11/100),IF($O$5&gt;40,15+70*($AG11/100),IF($O$5&gt;30,20+70*($AG11/100),IF($O$5&gt;20,40+55*($AG11/100),(80+(20-$O$5)+30*($AG11/100))))))))))</f>
        <v>100</v>
      </c>
      <c r="AI11" s="262"/>
      <c r="AJ11" s="262"/>
      <c r="AK11" s="262"/>
      <c r="AL11" s="263"/>
      <c r="AM11" s="264"/>
      <c r="AN11" s="263"/>
      <c r="AO11" s="263"/>
      <c r="AP11" s="265"/>
      <c r="AQ11" s="266"/>
      <c r="AR11" s="267"/>
      <c r="AS11" s="263">
        <v>2</v>
      </c>
      <c r="AT11" s="263"/>
      <c r="AU11" s="263"/>
      <c r="AV11" s="264"/>
      <c r="AW11" s="263"/>
      <c r="AX11" s="263"/>
      <c r="AY11" s="263"/>
      <c r="AZ11" s="263"/>
      <c r="BA11" s="263"/>
      <c r="BB11" s="263"/>
      <c r="BC11" s="263"/>
      <c r="BD11" s="264"/>
      <c r="BE11" s="263"/>
      <c r="BF11" s="263"/>
      <c r="BG11" s="263"/>
      <c r="BH11" s="263"/>
      <c r="BI11" s="263"/>
      <c r="BJ11" s="404">
        <f>altaz(J2000_Bas,$O11,$M11,DecLat,DecLong,2)</f>
        <v>36.888819630745871</v>
      </c>
      <c r="BK11" s="378" t="s">
        <v>3915</v>
      </c>
      <c r="BL11" s="379">
        <f>IF((2*G11)/60&lt;0.2,0.2,(2*G11)/60)</f>
        <v>0.2</v>
      </c>
      <c r="BM11" s="380">
        <f>MOD((50000+AD11-$B$3+(0/24)),1)</f>
        <v>0.23993355383572634</v>
      </c>
      <c r="BN11" s="381" t="s">
        <v>9244</v>
      </c>
      <c r="BO11" s="382">
        <v>11</v>
      </c>
    </row>
    <row r="12" spans="1:67" s="24" customFormat="1" ht="15" customHeight="1" x14ac:dyDescent="0.25">
      <c r="A12" s="414" t="s">
        <v>65</v>
      </c>
      <c r="B12" s="241" t="str">
        <f>HYPERLINK(CONCATENATE($AT$3,BK12,$AU$3),$AV$3)</f>
        <v>S</v>
      </c>
      <c r="C12" s="242" t="str">
        <f>HYPERLINK(CONCATENATE($AT$4,BK12,$AU$4,BL12),$AV$4)</f>
        <v>A</v>
      </c>
      <c r="D12" s="243" t="s">
        <v>5187</v>
      </c>
      <c r="E12" s="244" t="s">
        <v>5181</v>
      </c>
      <c r="F12" s="269" t="s">
        <v>7487</v>
      </c>
      <c r="G12" s="273">
        <v>1.2</v>
      </c>
      <c r="H12" s="271">
        <v>8400</v>
      </c>
      <c r="I12" s="245">
        <v>3</v>
      </c>
      <c r="J12" s="246">
        <v>2</v>
      </c>
      <c r="K12" s="247" t="s">
        <v>3323</v>
      </c>
      <c r="L12" s="248">
        <v>21212</v>
      </c>
      <c r="M12" s="249">
        <f>15*(LEFT(TEXT($L12,"000000"),2)+(MID(TEXT($L12,"000000"),3,2)/60)+(RIGHT(TEXT($L12,"000000"),2)/3600))</f>
        <v>33.050000000000004</v>
      </c>
      <c r="N12" s="250">
        <v>640905</v>
      </c>
      <c r="O12" s="251">
        <f>IF($N12&gt;0,(LEFT(TEXT($N12,"000000"),2)+(MID(TEXT($N12,"000000"),3,2)/60)+(RIGHT(TEXT($N12,"000000"),2)/3600)),-(MID(TEXT($N12,"000000"),2,2)+(MID(TEXT($N12,"000000"),4,2)/60)+(RIGHT(TEXT($N12,"000000"),2)/3600)))</f>
        <v>64.151388888888889</v>
      </c>
      <c r="P12" s="252" t="s">
        <v>49</v>
      </c>
      <c r="Q12" s="253"/>
      <c r="R12" s="247" t="s">
        <v>3322</v>
      </c>
      <c r="S12" s="272" t="s">
        <v>3293</v>
      </c>
      <c r="T12" s="273">
        <v>16</v>
      </c>
      <c r="U12" s="274"/>
      <c r="V12" s="256"/>
      <c r="W12" s="244"/>
      <c r="X12" s="244"/>
      <c r="Y12" s="362"/>
      <c r="Z12" s="257">
        <f>altaz(J2000_Bas,$O12,$M12,DecLat,DecLong,1)</f>
        <v>20.728943305099691</v>
      </c>
      <c r="AA12" s="257">
        <f>altaz((J2000_Bas+(2*0.04167)),$O12,$M12,DecLat,DecLong,1)</f>
        <v>33.217113772740838</v>
      </c>
      <c r="AB12" s="257">
        <f>altaz((J2000_Bas+(4*0.04167)),$O12,$M12,DecLat,DecLong,1)</f>
        <v>45.969086668940427</v>
      </c>
      <c r="AC12" s="257">
        <f>altaz((J2000_Bas+(6*0.04167)),$O12,$M12,DecLat,DecLong,1)</f>
        <v>55.214116555457302</v>
      </c>
      <c r="AD12" s="258">
        <f>1+ transit((J2000_Bas-1),$O12,$M12,DecLat,DecLong)/360 + (GMTOffset/24) + (IF(DST="Y", 1, 0)/24)</f>
        <v>1.084705507004708</v>
      </c>
      <c r="AE12" s="259">
        <f>DATE(2001,9,21)+(M12/360)*365 - (360*((DecLong/360)- (GMTOffset/24) ))</f>
        <v>37193.509027777778</v>
      </c>
      <c r="AF12" s="260">
        <f>IF(DecLat&gt;0,IF((90 - (DecLat-O12))&gt;90, (90 - (O12-DecLat)), (90 - (DecLat-O12))),IF((90 + (DecLat-O12))&gt;90, (90 + (O12-DecLat)), (90 + (DecLat-O12))))</f>
        <v>56.848611111111111</v>
      </c>
      <c r="AG12" s="257">
        <f>angularseperation(MoonRA,MoonDec,$M12,$O12)</f>
        <v>136.30485524502592</v>
      </c>
      <c r="AH12" s="261">
        <f ca="1">MIN(100,IF($O$5&gt;80,0+30*($AG12/100),IF($O$5&gt;70,0+50*($AG12/100),IF($O$5&gt;60,5+50*($AG12/100),IF($O$5&gt;50,10+60*($AG12/100),IF($O$5&gt;40,15+70*($AG12/100),IF($O$5&gt;30,20+70*($AG12/100),IF($O$5&gt;20,40+55*($AG12/100),(80+(20-$O$5)+30*($AG12/100))))))))))</f>
        <v>100</v>
      </c>
      <c r="AI12" s="262"/>
      <c r="AJ12" s="262"/>
      <c r="AK12" s="262"/>
      <c r="AL12" s="263"/>
      <c r="AM12" s="264"/>
      <c r="AN12" s="263"/>
      <c r="AO12" s="263"/>
      <c r="AP12" s="265"/>
      <c r="AQ12" s="266"/>
      <c r="AR12" s="267"/>
      <c r="AS12" s="263">
        <v>3</v>
      </c>
      <c r="AT12" s="263"/>
      <c r="AU12" s="263"/>
      <c r="AV12" s="264"/>
      <c r="AW12" s="263"/>
      <c r="AX12" s="263"/>
      <c r="AY12" s="263"/>
      <c r="AZ12" s="263"/>
      <c r="BA12" s="263"/>
      <c r="BB12" s="263">
        <v>189</v>
      </c>
      <c r="BC12" s="263"/>
      <c r="BD12" s="264"/>
      <c r="BE12" s="263"/>
      <c r="BF12" s="263"/>
      <c r="BG12" s="263"/>
      <c r="BH12" s="263"/>
      <c r="BI12" s="263"/>
      <c r="BJ12" s="404">
        <f>altaz(J2000_Bas,$O12,$M12,DecLat,DecLong,2)</f>
        <v>26.467489275817286</v>
      </c>
      <c r="BK12" s="378" t="s">
        <v>3916</v>
      </c>
      <c r="BL12" s="379">
        <f>IF((2*G12)/60&lt;0.2,0.2,(2*G12)/60)</f>
        <v>0.2</v>
      </c>
      <c r="BM12" s="380">
        <f>MOD((50000+AD12-$B$3+(0/24)),1)</f>
        <v>0.30007243670843309</v>
      </c>
      <c r="BN12" s="381" t="s">
        <v>9225</v>
      </c>
      <c r="BO12" s="382">
        <v>12</v>
      </c>
    </row>
    <row r="13" spans="1:67" s="24" customFormat="1" ht="15" customHeight="1" x14ac:dyDescent="0.25">
      <c r="A13" s="414" t="s">
        <v>66</v>
      </c>
      <c r="B13" s="241" t="str">
        <f>HYPERLINK(CONCATENATE($AT$3,BK13,$AU$3),$AV$3)</f>
        <v>S</v>
      </c>
      <c r="C13" s="242" t="str">
        <f>HYPERLINK(CONCATENATE($AT$4,BK13,$AU$4,BL13),$AV$4)</f>
        <v>A</v>
      </c>
      <c r="D13" s="243" t="s">
        <v>5187</v>
      </c>
      <c r="E13" s="244" t="s">
        <v>5181</v>
      </c>
      <c r="F13" s="269" t="s">
        <v>5203</v>
      </c>
      <c r="G13" s="270">
        <v>0.4</v>
      </c>
      <c r="H13" s="271">
        <v>18000</v>
      </c>
      <c r="I13" s="245">
        <v>2</v>
      </c>
      <c r="J13" s="246">
        <v>2</v>
      </c>
      <c r="K13" s="247" t="s">
        <v>3333</v>
      </c>
      <c r="L13" s="248">
        <v>24526</v>
      </c>
      <c r="M13" s="249">
        <f>15*(LEFT(TEXT($L13,"000000"),2)+(MID(TEXT($L13,"000000"),3,2)/60)+(RIGHT(TEXT($L13,"000000"),2)/3600))</f>
        <v>41.358333333333327</v>
      </c>
      <c r="N13" s="250">
        <v>423236</v>
      </c>
      <c r="O13" s="251">
        <f>IF($N13&gt;0,(LEFT(TEXT($N13,"000000"),2)+(MID(TEXT($N13,"000000"),3,2)/60)+(RIGHT(TEXT($N13,"000000"),2)/3600)),-(MID(TEXT($N13,"000000"),2,2)+(MID(TEXT($N13,"000000"),4,2)/60)+(RIGHT(TEXT($N13,"000000"),2)/3600)))</f>
        <v>42.543333333333329</v>
      </c>
      <c r="P13" s="252" t="s">
        <v>43</v>
      </c>
      <c r="Q13" s="253"/>
      <c r="R13" s="247" t="s">
        <v>3293</v>
      </c>
      <c r="S13" s="272" t="s">
        <v>3293</v>
      </c>
      <c r="T13" s="273">
        <v>15</v>
      </c>
      <c r="U13" s="274"/>
      <c r="V13" s="256"/>
      <c r="W13" s="244"/>
      <c r="X13" s="244"/>
      <c r="Y13" s="362"/>
      <c r="Z13" s="257">
        <f>altaz(J2000_Bas,$O13,$M13,DecLat,DecLong,1)</f>
        <v>4.4619293958834136</v>
      </c>
      <c r="AA13" s="257">
        <f>altaz((J2000_Bas+(2*0.04167)),$O13,$M13,DecLat,DecLong,1)</f>
        <v>23.597267547508832</v>
      </c>
      <c r="AB13" s="257">
        <f>altaz((J2000_Bas+(4*0.04167)),$O13,$M13,DecLat,DecLong,1)</f>
        <v>45.136281941611877</v>
      </c>
      <c r="AC13" s="257">
        <f>altaz((J2000_Bas+(6*0.04167)),$O13,$M13,DecLat,DecLong,1)</f>
        <v>66.944747133732918</v>
      </c>
      <c r="AD13" s="258">
        <f>1+ transit((J2000_Bas-1),$O13,$M13,DecLat,DecLong)/360 + (GMTOffset/24) + (IF(DST="Y", 1, 0)/24)</f>
        <v>1.1077842084005414</v>
      </c>
      <c r="AE13" s="259">
        <f>DATE(2001,9,21)+(M13/360)*365 - (360*((DecLong/360)- (GMTOffset/24) ))</f>
        <v>37201.932754629626</v>
      </c>
      <c r="AF13" s="260">
        <f>IF(DecLat&gt;0,IF((90 - (DecLat-O13))&gt;90, (90 - (O13-DecLat)), (90 - (DecLat-O13))),IF((90 + (DecLat-O13))&gt;90, (90 + (O13-DecLat)), (90 + (DecLat-O13))))</f>
        <v>78.456666666666678</v>
      </c>
      <c r="AG13" s="257">
        <f>angularseperation(MoonRA,MoonDec,$M13,$O13)</f>
        <v>152.58088401756882</v>
      </c>
      <c r="AH13" s="261">
        <f ca="1">MIN(100,IF($O$5&gt;80,0+30*($AG13/100),IF($O$5&gt;70,0+50*($AG13/100),IF($O$5&gt;60,5+50*($AG13/100),IF($O$5&gt;50,10+60*($AG13/100),IF($O$5&gt;40,15+70*($AG13/100),IF($O$5&gt;30,20+70*($AG13/100),IF($O$5&gt;20,40+55*($AG13/100),(80+(20-$O$5)+30*($AG13/100))))))))))</f>
        <v>100</v>
      </c>
      <c r="AI13" s="262"/>
      <c r="AJ13" s="262"/>
      <c r="AK13" s="262"/>
      <c r="AL13" s="263"/>
      <c r="AM13" s="264"/>
      <c r="AN13" s="263"/>
      <c r="AO13" s="263"/>
      <c r="AP13" s="265"/>
      <c r="AQ13" s="266"/>
      <c r="AR13" s="267"/>
      <c r="AS13" s="263">
        <v>4</v>
      </c>
      <c r="AT13" s="263"/>
      <c r="AU13" s="263"/>
      <c r="AV13" s="264"/>
      <c r="AW13" s="263"/>
      <c r="AX13" s="263"/>
      <c r="AY13" s="263"/>
      <c r="AZ13" s="263"/>
      <c r="BA13" s="263"/>
      <c r="BB13" s="263"/>
      <c r="BC13" s="263"/>
      <c r="BD13" s="264"/>
      <c r="BE13" s="263"/>
      <c r="BF13" s="263"/>
      <c r="BG13" s="263"/>
      <c r="BH13" s="263"/>
      <c r="BI13" s="263"/>
      <c r="BJ13" s="404">
        <f>altaz(J2000_Bas,$O13,$M13,DecLat,DecLong,2)</f>
        <v>41.89864690822899</v>
      </c>
      <c r="BK13" s="378" t="s">
        <v>3917</v>
      </c>
      <c r="BL13" s="379">
        <f>IF((2*G13)/60&lt;0.2,0.2,(2*G13)/60)</f>
        <v>0.2</v>
      </c>
      <c r="BM13" s="380">
        <f>MOD((50000+AD13-$B$3+(0/24)),1)</f>
        <v>0.32315113810182083</v>
      </c>
      <c r="BN13" s="381" t="s">
        <v>8647</v>
      </c>
      <c r="BO13" s="382">
        <v>13</v>
      </c>
    </row>
    <row r="14" spans="1:67" s="24" customFormat="1" ht="15" customHeight="1" x14ac:dyDescent="0.25">
      <c r="A14" s="414" t="s">
        <v>67</v>
      </c>
      <c r="B14" s="241" t="str">
        <f>HYPERLINK(CONCATENATE($AT$3,BK14,$AU$3),$AV$3)</f>
        <v>S</v>
      </c>
      <c r="C14" s="242" t="str">
        <f>HYPERLINK(CONCATENATE($AT$4,BK14,$AU$4,BL14),$AV$4)</f>
        <v>A</v>
      </c>
      <c r="D14" s="243" t="s">
        <v>5187</v>
      </c>
      <c r="E14" s="244" t="s">
        <v>5181</v>
      </c>
      <c r="F14" s="269" t="s">
        <v>9092</v>
      </c>
      <c r="G14" s="273">
        <v>2.5</v>
      </c>
      <c r="H14" s="271">
        <v>5400</v>
      </c>
      <c r="I14" s="245">
        <v>4</v>
      </c>
      <c r="J14" s="246">
        <v>2</v>
      </c>
      <c r="K14" s="247" t="s">
        <v>3324</v>
      </c>
      <c r="L14" s="248">
        <v>25213</v>
      </c>
      <c r="M14" s="249">
        <f>15*(LEFT(TEXT($L14,"000000"),2)+(MID(TEXT($L14,"000000"),3,2)/60)+(RIGHT(TEXT($L14,"000000"),2)/3600))</f>
        <v>43.054166666666667</v>
      </c>
      <c r="N14" s="250">
        <v>503552</v>
      </c>
      <c r="O14" s="251">
        <f>IF($N14&gt;0,(LEFT(TEXT($N14,"000000"),2)+(MID(TEXT($N14,"000000"),3,2)/60)+(RIGHT(TEXT($N14,"000000"),2)/3600)),-(MID(TEXT($N14,"000000"),2,2)+(MID(TEXT($N14,"000000"),4,2)/60)+(RIGHT(TEXT($N14,"000000"),2)/3600)))</f>
        <v>50.597777777777779</v>
      </c>
      <c r="P14" s="252" t="s">
        <v>43</v>
      </c>
      <c r="Q14" s="253"/>
      <c r="R14" s="247" t="s">
        <v>3293</v>
      </c>
      <c r="S14" s="272" t="s">
        <v>3293</v>
      </c>
      <c r="T14" s="273"/>
      <c r="U14" s="274"/>
      <c r="V14" s="256"/>
      <c r="W14" s="244"/>
      <c r="X14" s="244"/>
      <c r="Y14" s="362"/>
      <c r="Z14" s="257">
        <f>altaz(J2000_Bas,$O14,$M14,DecLat,DecLong,1)</f>
        <v>8.6573036010223721</v>
      </c>
      <c r="AA14" s="257">
        <f>altaz((J2000_Bas+(2*0.04167)),$O14,$M14,DecLat,DecLong,1)</f>
        <v>25.262325391876917</v>
      </c>
      <c r="AB14" s="257">
        <f>altaz((J2000_Bas+(4*0.04167)),$O14,$M14,DecLat,DecLong,1)</f>
        <v>44.046821146646117</v>
      </c>
      <c r="AC14" s="257">
        <f>altaz((J2000_Bas+(6*0.04167)),$O14,$M14,DecLat,DecLong,1)</f>
        <v>62.084107067375015</v>
      </c>
      <c r="AD14" s="258">
        <f>1+ transit((J2000_Bas-1),$O14,$M14,DecLat,DecLong)/360 + (GMTOffset/24) + (IF(DST="Y", 1, 0)/24)</f>
        <v>1.1124948560776247</v>
      </c>
      <c r="AE14" s="259">
        <f>DATE(2001,9,21)+(M14/360)*365 - (360*((DecLong/360)- (GMTOffset/24) ))</f>
        <v>37203.652141203704</v>
      </c>
      <c r="AF14" s="260">
        <f>IF(DecLat&gt;0,IF((90 - (DecLat-O14))&gt;90, (90 - (O14-DecLat)), (90 - (DecLat-O14))),IF((90 + (DecLat-O14))&gt;90, (90 + (O14-DecLat)), (90 + (DecLat-O14))))</f>
        <v>70.402222222222221</v>
      </c>
      <c r="AG14" s="257">
        <f>angularseperation(MoonRA,MoonDec,$M14,$O14)</f>
        <v>149.1992853515334</v>
      </c>
      <c r="AH14" s="261">
        <f ca="1">MIN(100,IF($O$5&gt;80,0+30*($AG14/100),IF($O$5&gt;70,0+50*($AG14/100),IF($O$5&gt;60,5+50*($AG14/100),IF($O$5&gt;50,10+60*($AG14/100),IF($O$5&gt;40,15+70*($AG14/100),IF($O$5&gt;30,20+70*($AG14/100),IF($O$5&gt;20,40+55*($AG14/100),(80+(20-$O$5)+30*($AG14/100))))))))))</f>
        <v>100</v>
      </c>
      <c r="AI14" s="262"/>
      <c r="AJ14" s="262"/>
      <c r="AK14" s="262"/>
      <c r="AL14" s="263"/>
      <c r="AM14" s="264"/>
      <c r="AN14" s="263"/>
      <c r="AO14" s="263"/>
      <c r="AP14" s="265"/>
      <c r="AQ14" s="266"/>
      <c r="AR14" s="267"/>
      <c r="AS14" s="263">
        <v>5</v>
      </c>
      <c r="AT14" s="263"/>
      <c r="AU14" s="263"/>
      <c r="AV14" s="264"/>
      <c r="AW14" s="263"/>
      <c r="AX14" s="263"/>
      <c r="AY14" s="263"/>
      <c r="AZ14" s="263"/>
      <c r="BA14" s="263"/>
      <c r="BB14" s="263"/>
      <c r="BC14" s="263"/>
      <c r="BD14" s="264"/>
      <c r="BE14" s="263"/>
      <c r="BF14" s="263"/>
      <c r="BG14" s="263"/>
      <c r="BH14" s="263"/>
      <c r="BI14" s="263"/>
      <c r="BJ14" s="404">
        <f>altaz(J2000_Bas,$O14,$M14,DecLat,DecLong,2)</f>
        <v>34.878043474892607</v>
      </c>
      <c r="BK14" s="378" t="s">
        <v>3918</v>
      </c>
      <c r="BL14" s="379">
        <f>IF((2*G14)/60&lt;0.2,0.2,(2*G14)/60)</f>
        <v>0.2</v>
      </c>
      <c r="BM14" s="380">
        <f>MOD((50000+AD14-$B$3+(0/24)),1)</f>
        <v>0.32786178577953251</v>
      </c>
      <c r="BN14" s="381"/>
      <c r="BO14" s="382">
        <v>14</v>
      </c>
    </row>
    <row r="15" spans="1:67" s="24" customFormat="1" ht="15" customHeight="1" x14ac:dyDescent="0.25">
      <c r="A15" s="414" t="s">
        <v>68</v>
      </c>
      <c r="B15" s="241" t="str">
        <f>HYPERLINK(CONCATENATE($AT$3,BK15,$AU$3),$AV$3)</f>
        <v>S</v>
      </c>
      <c r="C15" s="242" t="str">
        <f>HYPERLINK(CONCATENATE($AT$4,BK15,$AU$4,BL15),$AV$4)</f>
        <v>A</v>
      </c>
      <c r="D15" s="243" t="s">
        <v>5187</v>
      </c>
      <c r="E15" s="244" t="s">
        <v>5181</v>
      </c>
      <c r="F15" s="269" t="s">
        <v>5204</v>
      </c>
      <c r="G15" s="273">
        <v>3</v>
      </c>
      <c r="H15" s="271">
        <v>3100</v>
      </c>
      <c r="I15" s="245">
        <v>2.7</v>
      </c>
      <c r="J15" s="246">
        <v>2</v>
      </c>
      <c r="K15" s="275" t="s">
        <v>3325</v>
      </c>
      <c r="L15" s="248">
        <v>25853</v>
      </c>
      <c r="M15" s="249">
        <f>15*(LEFT(TEXT($L15,"000000"),2)+(MID(TEXT($L15,"000000"),3,2)/60)+(RIGHT(TEXT($L15,"000000"),2)/3600))</f>
        <v>44.720833333333339</v>
      </c>
      <c r="N15" s="250">
        <v>642959</v>
      </c>
      <c r="O15" s="251">
        <f>IF($N15&gt;0,(LEFT(TEXT($N15,"000000"),2)+(MID(TEXT($N15,"000000"),3,2)/60)+(RIGHT(TEXT($N15,"000000"),2)/3600)),-(MID(TEXT($N15,"000000"),2,2)+(MID(TEXT($N15,"000000"),4,2)/60)+(RIGHT(TEXT($N15,"000000"),2)/3600)))</f>
        <v>64.499722222222218</v>
      </c>
      <c r="P15" s="252" t="s">
        <v>49</v>
      </c>
      <c r="Q15" s="253"/>
      <c r="R15" s="275" t="s">
        <v>3293</v>
      </c>
      <c r="S15" s="272" t="s">
        <v>1043</v>
      </c>
      <c r="T15" s="273">
        <v>15</v>
      </c>
      <c r="U15" s="274"/>
      <c r="V15" s="256"/>
      <c r="W15" s="244"/>
      <c r="X15" s="244"/>
      <c r="Y15" s="362"/>
      <c r="Z15" s="257">
        <f>altaz(J2000_Bas,$O15,$M15,DecLat,DecLong,1)</f>
        <v>16.711213542986989</v>
      </c>
      <c r="AA15" s="257">
        <f>altaz((J2000_Bas+(2*0.04167)),$O15,$M15,DecLat,DecLong,1)</f>
        <v>28.272400149345245</v>
      </c>
      <c r="AB15" s="257">
        <f>altaz((J2000_Bas+(4*0.04167)),$O15,$M15,DecLat,DecLong,1)</f>
        <v>41.10258934471176</v>
      </c>
      <c r="AC15" s="257">
        <f>altaz((J2000_Bas+(6*0.04167)),$O15,$M15,DecLat,DecLong,1)</f>
        <v>52.118084766865827</v>
      </c>
      <c r="AD15" s="258">
        <f>1+ transit((J2000_Bas-1),$O15,$M15,DecLat,DecLong)/360 + (GMTOffset/24) + (IF(DST="Y", 1, 0)/24)</f>
        <v>1.1171244852442912</v>
      </c>
      <c r="AE15" s="259">
        <f>DATE(2001,9,21)+(M15/360)*365 - (360*((DecLong/360)- (GMTOffset/24) ))</f>
        <v>37205.341956018521</v>
      </c>
      <c r="AF15" s="260">
        <f>IF(DecLat&gt;0,IF((90 - (DecLat-O15))&gt;90, (90 - (O15-DecLat)), (90 - (DecLat-O15))),IF((90 + (DecLat-O15))&gt;90, (90 + (O15-DecLat)), (90 + (DecLat-O15))))</f>
        <v>56.500277777777782</v>
      </c>
      <c r="AG15" s="257">
        <f>angularseperation(MoonRA,MoonDec,$M15,$O15)</f>
        <v>139.43583077676902</v>
      </c>
      <c r="AH15" s="261">
        <f ca="1">MIN(100,IF($O$5&gt;80,0+30*($AG15/100),IF($O$5&gt;70,0+50*($AG15/100),IF($O$5&gt;60,5+50*($AG15/100),IF($O$5&gt;50,10+60*($AG15/100),IF($O$5&gt;40,15+70*($AG15/100),IF($O$5&gt;30,20+70*($AG15/100),IF($O$5&gt;20,40+55*($AG15/100),(80+(20-$O$5)+30*($AG15/100))))))))))</f>
        <v>100</v>
      </c>
      <c r="AI15" s="262"/>
      <c r="AJ15" s="262"/>
      <c r="AK15" s="262"/>
      <c r="AL15" s="263"/>
      <c r="AM15" s="264"/>
      <c r="AN15" s="263"/>
      <c r="AO15" s="263"/>
      <c r="AP15" s="265"/>
      <c r="AQ15" s="266"/>
      <c r="AR15" s="267"/>
      <c r="AS15" s="263">
        <v>6</v>
      </c>
      <c r="AT15" s="263"/>
      <c r="AU15" s="263"/>
      <c r="AV15" s="264"/>
      <c r="AW15" s="263"/>
      <c r="AX15" s="263"/>
      <c r="AY15" s="263"/>
      <c r="AZ15" s="263"/>
      <c r="BA15" s="263"/>
      <c r="BB15" s="263"/>
      <c r="BC15" s="263"/>
      <c r="BD15" s="264"/>
      <c r="BE15" s="263"/>
      <c r="BF15" s="263"/>
      <c r="BG15" s="263"/>
      <c r="BH15" s="263"/>
      <c r="BI15" s="263"/>
      <c r="BJ15" s="404">
        <f>altaz(J2000_Bas,$O15,$M15,DecLat,DecLong,2)</f>
        <v>23.216599180676063</v>
      </c>
      <c r="BK15" s="378" t="s">
        <v>3919</v>
      </c>
      <c r="BL15" s="379">
        <f>IF((2*G15)/60&lt;0.2,0.2,(2*G15)/60)</f>
        <v>0.2</v>
      </c>
      <c r="BM15" s="380">
        <f>MOD((50000+AD15-$B$3+(0/24)),1)</f>
        <v>0.33249141494889045</v>
      </c>
      <c r="BN15" s="381" t="s">
        <v>8643</v>
      </c>
      <c r="BO15" s="382">
        <v>15</v>
      </c>
    </row>
    <row r="16" spans="1:67" s="24" customFormat="1" ht="15" customHeight="1" x14ac:dyDescent="0.25">
      <c r="A16" s="414" t="s">
        <v>69</v>
      </c>
      <c r="B16" s="241" t="str">
        <f>HYPERLINK(CONCATENATE($AT$3,BK16,$AU$3),$AV$3)</f>
        <v>S</v>
      </c>
      <c r="C16" s="242" t="str">
        <f>HYPERLINK(CONCATENATE($AT$4,BK16,$AU$4,BL16),$AV$4)</f>
        <v>A</v>
      </c>
      <c r="D16" s="243" t="s">
        <v>5187</v>
      </c>
      <c r="E16" s="244" t="s">
        <v>5181</v>
      </c>
      <c r="F16" s="269" t="s">
        <v>9093</v>
      </c>
      <c r="G16" s="276">
        <v>13</v>
      </c>
      <c r="H16" s="271">
        <v>1800</v>
      </c>
      <c r="I16" s="245">
        <v>6.7</v>
      </c>
      <c r="J16" s="246">
        <v>2</v>
      </c>
      <c r="K16" s="247" t="s">
        <v>9348</v>
      </c>
      <c r="L16" s="248">
        <v>50308</v>
      </c>
      <c r="M16" s="249">
        <f>15*(LEFT(TEXT($L16,"000000"),2)+(MID(TEXT($L16,"000000"),3,2)/60)+(RIGHT(TEXT($L16,"000000"),2)/3600))</f>
        <v>75.783333333333331</v>
      </c>
      <c r="N16" s="250">
        <v>-153613</v>
      </c>
      <c r="O16" s="251">
        <f>IF($N16&gt;0,(LEFT(TEXT($N16,"000000"),2)+(MID(TEXT($N16,"000000"),3,2)/60)+(RIGHT(TEXT($N16,"000000"),2)/3600)),-(MID(TEXT($N16,"000000"),2,2)+(MID(TEXT($N16,"000000"),4,2)/60)+(RIGHT(TEXT($N16,"000000"),2)/3600)))</f>
        <v>-15.60361111111111</v>
      </c>
      <c r="P16" s="252" t="s">
        <v>70</v>
      </c>
      <c r="Q16" s="253"/>
      <c r="R16" s="247" t="s">
        <v>3293</v>
      </c>
      <c r="S16" s="272" t="s">
        <v>3293</v>
      </c>
      <c r="T16" s="273">
        <v>16</v>
      </c>
      <c r="U16" s="274"/>
      <c r="V16" s="256"/>
      <c r="W16" s="244"/>
      <c r="X16" s="244"/>
      <c r="Y16" s="362"/>
      <c r="Z16" s="257">
        <f>altaz(J2000_Bas,$O16,$M16,DecLat,DecLong,1)</f>
        <v>-58.421190165699947</v>
      </c>
      <c r="AA16" s="257">
        <f>altaz((J2000_Bas+(2*0.04167)),$O16,$M16,DecLat,DecLong,1)</f>
        <v>-33.197480356135891</v>
      </c>
      <c r="AB16" s="257">
        <f>altaz((J2000_Bas+(4*0.04167)),$O16,$M16,DecLat,DecLong,1)</f>
        <v>-7.639462191391508</v>
      </c>
      <c r="AC16" s="257">
        <f>altaz((J2000_Bas+(6*0.04167)),$O16,$M16,DecLat,DecLong,1)</f>
        <v>16.268594175172016</v>
      </c>
      <c r="AD16" s="258">
        <f>1+ transit((J2000_Bas-1),$O16,$M16,DecLat,DecLong)/360 + (GMTOffset/24) + (IF(DST="Y", 1, 0)/24)</f>
        <v>1.2034091988380413</v>
      </c>
      <c r="AE16" s="259">
        <f>DATE(2001,9,21)+(M16/360)*365 - (360*((DecLong/360)- (GMTOffset/24) ))</f>
        <v>37236.835879629631</v>
      </c>
      <c r="AF16" s="260">
        <f>IF(DecLat&gt;0,IF((90 - (DecLat-O16))&gt;90, (90 - (O16-DecLat)), (90 - (DecLat-O16))),IF((90 + (DecLat-O16))&gt;90, (90 + (O16-DecLat)), (90 + (DecLat-O16))))</f>
        <v>43.396388888888893</v>
      </c>
      <c r="AG16" s="257">
        <f>angularseperation(MoonRA,MoonDec,$M16,$O16)</f>
        <v>136.84260121522641</v>
      </c>
      <c r="AH16" s="261">
        <f ca="1">MIN(100,IF($O$5&gt;80,0+30*($AG16/100),IF($O$5&gt;70,0+50*($AG16/100),IF($O$5&gt;60,5+50*($AG16/100),IF($O$5&gt;50,10+60*($AG16/100),IF($O$5&gt;40,15+70*($AG16/100),IF($O$5&gt;30,20+70*($AG16/100),IF($O$5&gt;20,40+55*($AG16/100),(80+(20-$O$5)+30*($AG16/100))))))))))</f>
        <v>100</v>
      </c>
      <c r="AI16" s="262"/>
      <c r="AJ16" s="262"/>
      <c r="AK16" s="262"/>
      <c r="AL16" s="263"/>
      <c r="AM16" s="264"/>
      <c r="AN16" s="263"/>
      <c r="AO16" s="263"/>
      <c r="AP16" s="265"/>
      <c r="AQ16" s="266"/>
      <c r="AR16" s="267"/>
      <c r="AS16" s="263">
        <v>7</v>
      </c>
      <c r="AT16" s="263"/>
      <c r="AU16" s="263"/>
      <c r="AV16" s="264"/>
      <c r="AW16" s="263"/>
      <c r="AX16" s="263"/>
      <c r="AY16" s="263"/>
      <c r="AZ16" s="263"/>
      <c r="BA16" s="263"/>
      <c r="BB16" s="263"/>
      <c r="BC16" s="263"/>
      <c r="BD16" s="264"/>
      <c r="BE16" s="263"/>
      <c r="BF16" s="263"/>
      <c r="BG16" s="263"/>
      <c r="BH16" s="263"/>
      <c r="BI16" s="263">
        <v>35</v>
      </c>
      <c r="BJ16" s="404">
        <f>altaz(J2000_Bas,$O16,$M16,DecLat,DecLong,2)</f>
        <v>67.774034918234506</v>
      </c>
      <c r="BK16" s="378" t="s">
        <v>3920</v>
      </c>
      <c r="BL16" s="379">
        <f>IF((2*G16)/60&lt;0.2,0.2,(2*G16)/60)</f>
        <v>0.43333333333333335</v>
      </c>
      <c r="BM16" s="380">
        <f>MOD((50000+AD16-$B$3+(0/24)),1)</f>
        <v>0.41877612854295876</v>
      </c>
      <c r="BN16" s="381"/>
      <c r="BO16" s="382">
        <v>16</v>
      </c>
    </row>
    <row r="17" spans="1:67" s="24" customFormat="1" ht="15" customHeight="1" x14ac:dyDescent="0.25">
      <c r="A17" s="414" t="s">
        <v>71</v>
      </c>
      <c r="B17" s="241" t="str">
        <f>HYPERLINK(CONCATENATE($AT$3,BK17,$AU$3),$AV$3)</f>
        <v>S</v>
      </c>
      <c r="C17" s="242" t="str">
        <f>HYPERLINK(CONCATENATE($AT$4,BK17,$AU$4,BL17),$AV$4)</f>
        <v>A</v>
      </c>
      <c r="D17" s="243" t="s">
        <v>5187</v>
      </c>
      <c r="E17" s="244" t="s">
        <v>5181</v>
      </c>
      <c r="F17" s="269" t="s">
        <v>6173</v>
      </c>
      <c r="G17" s="273">
        <v>1</v>
      </c>
      <c r="H17" s="271">
        <v>5200</v>
      </c>
      <c r="I17" s="245">
        <v>1.5</v>
      </c>
      <c r="J17" s="246">
        <v>1</v>
      </c>
      <c r="K17" s="277" t="s">
        <v>3331</v>
      </c>
      <c r="L17" s="248">
        <v>50638</v>
      </c>
      <c r="M17" s="249">
        <f>15*(LEFT(TEXT($L17,"000000"),2)+(MID(TEXT($L17,"000000"),3,2)/60)+(RIGHT(TEXT($L17,"000000"),2)/3600))</f>
        <v>76.658333333333331</v>
      </c>
      <c r="N17" s="250">
        <v>390808</v>
      </c>
      <c r="O17" s="251">
        <f>IF($N17&gt;0,(LEFT(TEXT($N17,"000000"),2)+(MID(TEXT($N17,"000000"),3,2)/60)+(RIGHT(TEXT($N17,"000000"),2)/3600)),-(MID(TEXT($N17,"000000"),2,2)+(MID(TEXT($N17,"000000"),4,2)/60)+(RIGHT(TEXT($N17,"000000"),2)/3600)))</f>
        <v>39.135555555555555</v>
      </c>
      <c r="P17" s="252" t="s">
        <v>62</v>
      </c>
      <c r="Q17" s="253"/>
      <c r="R17" s="277" t="s">
        <v>3293</v>
      </c>
      <c r="S17" s="272" t="s">
        <v>3293</v>
      </c>
      <c r="T17" s="273">
        <v>18</v>
      </c>
      <c r="U17" s="274"/>
      <c r="V17" s="256"/>
      <c r="W17" s="244"/>
      <c r="X17" s="244"/>
      <c r="Y17" s="362"/>
      <c r="Z17" s="257">
        <f>altaz(J2000_Bas,$O17,$M17,DecLat,DecLong,1)</f>
        <v>-14.743217869267038</v>
      </c>
      <c r="AA17" s="257">
        <f>altaz((J2000_Bas+(2*0.04167)),$O17,$M17,DecLat,DecLong,1)</f>
        <v>-0.74980718812959068</v>
      </c>
      <c r="AB17" s="257">
        <f>altaz((J2000_Bas+(4*0.04167)),$O17,$M17,DecLat,DecLong,1)</f>
        <v>18.628053397719643</v>
      </c>
      <c r="AC17" s="257">
        <f>altaz((J2000_Bas+(6*0.04167)),$O17,$M17,DecLat,DecLong,1)</f>
        <v>40.802546355384351</v>
      </c>
      <c r="AD17" s="258">
        <f>1+ transit((J2000_Bas-1),$O17,$M17,DecLat,DecLong)/360 + (GMTOffset/24) + (IF(DST="Y", 1, 0)/24)</f>
        <v>1.2058397541505415</v>
      </c>
      <c r="AE17" s="259">
        <f>DATE(2001,9,21)+(M17/360)*365 - (360*((DecLong/360)- (GMTOffset/24) ))</f>
        <v>37237.723032407404</v>
      </c>
      <c r="AF17" s="260">
        <f>IF(DecLat&gt;0,IF((90 - (DecLat-O17))&gt;90, (90 - (O17-DecLat)), (90 - (DecLat-O17))),IF((90 + (DecLat-O17))&gt;90, (90 + (O17-DecLat)), (90 + (DecLat-O17))))</f>
        <v>81.864444444444445</v>
      </c>
      <c r="AG17" s="257">
        <f>angularseperation(MoonRA,MoonDec,$M17,$O17)</f>
        <v>166.45421897587249</v>
      </c>
      <c r="AH17" s="261">
        <f ca="1">MIN(100,IF($O$5&gt;80,0+30*($AG17/100),IF($O$5&gt;70,0+50*($AG17/100),IF($O$5&gt;60,5+50*($AG17/100),IF($O$5&gt;50,10+60*($AG17/100),IF($O$5&gt;40,15+70*($AG17/100),IF($O$5&gt;30,20+70*($AG17/100),IF($O$5&gt;20,40+55*($AG17/100),(80+(20-$O$5)+30*($AG17/100))))))))))</f>
        <v>100</v>
      </c>
      <c r="AI17" s="262"/>
      <c r="AJ17" s="262"/>
      <c r="AK17" s="262"/>
      <c r="AL17" s="263"/>
      <c r="AM17" s="264"/>
      <c r="AN17" s="263"/>
      <c r="AO17" s="263"/>
      <c r="AP17" s="265"/>
      <c r="AQ17" s="266"/>
      <c r="AR17" s="267"/>
      <c r="AS17" s="263">
        <v>8</v>
      </c>
      <c r="AT17" s="263"/>
      <c r="AU17" s="263"/>
      <c r="AV17" s="264"/>
      <c r="AW17" s="263"/>
      <c r="AX17" s="263"/>
      <c r="AY17" s="263"/>
      <c r="AZ17" s="263"/>
      <c r="BA17" s="263"/>
      <c r="BB17" s="263"/>
      <c r="BC17" s="263"/>
      <c r="BD17" s="264"/>
      <c r="BE17" s="263"/>
      <c r="BF17" s="263"/>
      <c r="BG17" s="263"/>
      <c r="BH17" s="263"/>
      <c r="BI17" s="263"/>
      <c r="BJ17" s="404">
        <f>altaz(J2000_Bas,$O17,$M17,DecLat,DecLong,2)</f>
        <v>23.144764083754815</v>
      </c>
      <c r="BK17" s="378" t="s">
        <v>3921</v>
      </c>
      <c r="BL17" s="379">
        <f>IF((2*G17)/60&lt;0.2,0.2,(2*G17)/60)</f>
        <v>0.2</v>
      </c>
      <c r="BM17" s="380">
        <f>MOD((50000+AD17-$B$3+(0/24)),1)</f>
        <v>0.42120668385177851</v>
      </c>
      <c r="BN17" s="381"/>
      <c r="BO17" s="382">
        <v>17</v>
      </c>
    </row>
    <row r="18" spans="1:67" s="24" customFormat="1" ht="15" customHeight="1" x14ac:dyDescent="0.25">
      <c r="A18" s="414" t="s">
        <v>72</v>
      </c>
      <c r="B18" s="241" t="str">
        <f>HYPERLINK(CONCATENATE($AT$3,BK18,$AU$3),$AV$3)</f>
        <v>S</v>
      </c>
      <c r="C18" s="242" t="str">
        <f>HYPERLINK(CONCATENATE($AT$4,BK18,$AU$4,BL18),$AV$4)</f>
        <v>A</v>
      </c>
      <c r="D18" s="243" t="s">
        <v>5187</v>
      </c>
      <c r="E18" s="244" t="s">
        <v>5181</v>
      </c>
      <c r="F18" s="269" t="s">
        <v>4792</v>
      </c>
      <c r="G18" s="270">
        <v>0.5</v>
      </c>
      <c r="H18" s="271">
        <v>13000</v>
      </c>
      <c r="I18" s="245">
        <v>2</v>
      </c>
      <c r="J18" s="246">
        <v>2</v>
      </c>
      <c r="K18" s="247" t="s">
        <v>3334</v>
      </c>
      <c r="L18" s="248">
        <v>52900</v>
      </c>
      <c r="M18" s="249">
        <f>15*(LEFT(TEXT($L18,"000000"),2)+(MID(TEXT($L18,"000000"),3,2)/60)+(RIGHT(TEXT($L18,"000000"),2)/3600))</f>
        <v>82.25</v>
      </c>
      <c r="N18" s="250">
        <v>360200</v>
      </c>
      <c r="O18" s="251">
        <f>IF($N18&gt;0,(LEFT(TEXT($N18,"000000"),2)+(MID(TEXT($N18,"000000"),3,2)/60)+(RIGHT(TEXT($N18,"000000"),2)/3600)),-(MID(TEXT($N18,"000000"),2,2)+(MID(TEXT($N18,"000000"),4,2)/60)+(RIGHT(TEXT($N18,"000000"),2)/3600)))</f>
        <v>36.033333333333331</v>
      </c>
      <c r="P18" s="252" t="s">
        <v>62</v>
      </c>
      <c r="Q18" s="253"/>
      <c r="R18" s="247" t="s">
        <v>3293</v>
      </c>
      <c r="S18" s="272" t="s">
        <v>3293</v>
      </c>
      <c r="T18" s="273">
        <v>19</v>
      </c>
      <c r="U18" s="274"/>
      <c r="V18" s="256"/>
      <c r="W18" s="244"/>
      <c r="X18" s="244"/>
      <c r="Y18" s="362"/>
      <c r="Z18" s="257">
        <f>altaz(J2000_Bas,$O18,$M18,DecLat,DecLong,1)</f>
        <v>-19.358582676872928</v>
      </c>
      <c r="AA18" s="257">
        <f>altaz((J2000_Bas+(2*0.04167)),$O18,$M18,DecLat,DecLong,1)</f>
        <v>-6.0878275983980137</v>
      </c>
      <c r="AB18" s="257">
        <f>altaz((J2000_Bas+(4*0.04167)),$O18,$M18,DecLat,DecLong,1)</f>
        <v>13.272130203617523</v>
      </c>
      <c r="AC18" s="257">
        <f>altaz((J2000_Bas+(6*0.04167)),$O18,$M18,DecLat,DecLong,1)</f>
        <v>35.801635178093036</v>
      </c>
      <c r="AD18" s="258">
        <f>1+ transit((J2000_Bas-1),$O18,$M18,DecLat,DecLong)/360 + (GMTOffset/24) + (IF(DST="Y", 1, 0)/24)</f>
        <v>1.2213721600047081</v>
      </c>
      <c r="AE18" s="259">
        <f>DATE(2001,9,21)+(M18/360)*365 - (360*((DecLong/360)- (GMTOffset/24) ))</f>
        <v>37243.392361111109</v>
      </c>
      <c r="AF18" s="260">
        <f>IF(DecLat&gt;0,IF((90 - (DecLat-O18))&gt;90, (90 - (O18-DecLat)), (90 - (DecLat-O18))),IF((90 + (DecLat-O18))&gt;90, (90 + (O18-DecLat)), (90 + (DecLat-O18))))</f>
        <v>84.966666666666669</v>
      </c>
      <c r="AG18" s="257">
        <f>angularseperation(MoonRA,MoonDec,$M18,$O18)</f>
        <v>165.77780423140322</v>
      </c>
      <c r="AH18" s="261">
        <f ca="1">MIN(100,IF($O$5&gt;80,0+30*($AG18/100),IF($O$5&gt;70,0+50*($AG18/100),IF($O$5&gt;60,5+50*($AG18/100),IF($O$5&gt;50,10+60*($AG18/100),IF($O$5&gt;40,15+70*($AG18/100),IF($O$5&gt;30,20+70*($AG18/100),IF($O$5&gt;20,40+55*($AG18/100),(80+(20-$O$5)+30*($AG18/100))))))))))</f>
        <v>100</v>
      </c>
      <c r="AI18" s="262"/>
      <c r="AJ18" s="262"/>
      <c r="AK18" s="262"/>
      <c r="AL18" s="263"/>
      <c r="AM18" s="264"/>
      <c r="AN18" s="263"/>
      <c r="AO18" s="263"/>
      <c r="AP18" s="265"/>
      <c r="AQ18" s="266"/>
      <c r="AR18" s="267"/>
      <c r="AS18" s="263">
        <v>9</v>
      </c>
      <c r="AT18" s="263"/>
      <c r="AU18" s="263"/>
      <c r="AV18" s="264"/>
      <c r="AW18" s="263"/>
      <c r="AX18" s="263"/>
      <c r="AY18" s="263"/>
      <c r="AZ18" s="263"/>
      <c r="BA18" s="263"/>
      <c r="BB18" s="263"/>
      <c r="BC18" s="263"/>
      <c r="BD18" s="264"/>
      <c r="BE18" s="263"/>
      <c r="BF18" s="263"/>
      <c r="BG18" s="263"/>
      <c r="BH18" s="263"/>
      <c r="BI18" s="263"/>
      <c r="BJ18" s="404">
        <f>altaz(J2000_Bas,$O18,$M18,DecLat,DecLong,2)</f>
        <v>20.196710593227724</v>
      </c>
      <c r="BK18" s="378" t="s">
        <v>3922</v>
      </c>
      <c r="BL18" s="379">
        <f>IF((2*G18)/60&lt;0.2,0.2,(2*G18)/60)</f>
        <v>0.2</v>
      </c>
      <c r="BM18" s="380">
        <f>MOD((50000+AD18-$B$3+(0/24)),1)</f>
        <v>0.43673908970959019</v>
      </c>
      <c r="BN18" s="381"/>
      <c r="BO18" s="382">
        <v>18</v>
      </c>
    </row>
    <row r="19" spans="1:67" s="24" customFormat="1" ht="15" customHeight="1" x14ac:dyDescent="0.25">
      <c r="A19" s="414" t="s">
        <v>73</v>
      </c>
      <c r="B19" s="241" t="str">
        <f>HYPERLINK(CONCATENATE($AT$3,BK19,$AU$3),$AV$3)</f>
        <v>S</v>
      </c>
      <c r="C19" s="242" t="str">
        <f>HYPERLINK(CONCATENATE($AT$4,BK19,$AU$4,BL19),$AV$4)</f>
        <v>A</v>
      </c>
      <c r="D19" s="243" t="s">
        <v>5187</v>
      </c>
      <c r="E19" s="244" t="s">
        <v>5181</v>
      </c>
      <c r="F19" s="269" t="s">
        <v>7488</v>
      </c>
      <c r="G19" s="270">
        <v>0.5</v>
      </c>
      <c r="H19" s="271">
        <v>13000</v>
      </c>
      <c r="I19" s="245">
        <v>2</v>
      </c>
      <c r="J19" s="246">
        <v>2</v>
      </c>
      <c r="K19" s="247" t="s">
        <v>3327</v>
      </c>
      <c r="L19" s="248">
        <v>53148</v>
      </c>
      <c r="M19" s="249">
        <f>15*(LEFT(TEXT($L19,"000000"),2)+(MID(TEXT($L19,"000000"),3,2)/60)+(RIGHT(TEXT($L19,"000000"),2)/3600))</f>
        <v>82.95</v>
      </c>
      <c r="N19" s="250">
        <v>65609</v>
      </c>
      <c r="O19" s="251">
        <f>IF($N19&gt;0,(LEFT(TEXT($N19,"000000"),2)+(MID(TEXT($N19,"000000"),3,2)/60)+(RIGHT(TEXT($N19,"000000"),2)/3600)),-(MID(TEXT($N19,"000000"),2,2)+(MID(TEXT($N19,"000000"),4,2)/60)+(RIGHT(TEXT($N19,"000000"),2)/3600)))</f>
        <v>6.935833333333334</v>
      </c>
      <c r="P19" s="252" t="s">
        <v>41</v>
      </c>
      <c r="Q19" s="253"/>
      <c r="R19" s="247" t="s">
        <v>3326</v>
      </c>
      <c r="S19" s="272" t="s">
        <v>3293</v>
      </c>
      <c r="T19" s="273">
        <v>14</v>
      </c>
      <c r="U19" s="274"/>
      <c r="V19" s="256"/>
      <c r="W19" s="244"/>
      <c r="X19" s="244"/>
      <c r="Y19" s="362"/>
      <c r="Z19" s="257">
        <f>altaz(J2000_Bas,$O19,$M19,DecLat,DecLong,1)</f>
        <v>-46.116606298197325</v>
      </c>
      <c r="AA19" s="257">
        <f>altaz((J2000_Bas+(2*0.04167)),$O19,$M19,DecLat,DecLong,1)</f>
        <v>-26.631970244717255</v>
      </c>
      <c r="AB19" s="257">
        <f>altaz((J2000_Bas+(4*0.04167)),$O19,$M19,DecLat,DecLong,1)</f>
        <v>-2.1911958483278751</v>
      </c>
      <c r="AC19" s="257">
        <f>altaz((J2000_Bas+(6*0.04167)),$O19,$M19,DecLat,DecLong,1)</f>
        <v>23.506161798183655</v>
      </c>
      <c r="AD19" s="258">
        <f>1+ transit((J2000_Bas-1),$O19,$M19,DecLat,DecLong)/360 + (GMTOffset/24) + (IF(DST="Y", 1, 0)/24)</f>
        <v>1.2233166042547081</v>
      </c>
      <c r="AE19" s="259">
        <f>DATE(2001,9,21)+(M19/360)*365 - (360*((DecLong/360)- (GMTOffset/24) ))</f>
        <v>37244.102083333331</v>
      </c>
      <c r="AF19" s="260">
        <f>IF(DecLat&gt;0,IF((90 - (DecLat-O19))&gt;90, (90 - (O19-DecLat)), (90 - (DecLat-O19))),IF((90 + (DecLat-O19))&gt;90, (90 + (O19-DecLat)), (90 + (DecLat-O19))))</f>
        <v>65.935833333333335</v>
      </c>
      <c r="AG19" s="257">
        <f>angularseperation(MoonRA,MoonDec,$M19,$O19)</f>
        <v>156.01181865336198</v>
      </c>
      <c r="AH19" s="261">
        <f ca="1">MIN(100,IF($O$5&gt;80,0+30*($AG19/100),IF($O$5&gt;70,0+50*($AG19/100),IF($O$5&gt;60,5+50*($AG19/100),IF($O$5&gt;50,10+60*($AG19/100),IF($O$5&gt;40,15+70*($AG19/100),IF($O$5&gt;30,20+70*($AG19/100),IF($O$5&gt;20,40+55*($AG19/100),(80+(20-$O$5)+30*($AG19/100))))))))))</f>
        <v>100</v>
      </c>
      <c r="AI19" s="262"/>
      <c r="AJ19" s="262"/>
      <c r="AK19" s="262"/>
      <c r="AL19" s="263"/>
      <c r="AM19" s="264"/>
      <c r="AN19" s="263"/>
      <c r="AO19" s="263"/>
      <c r="AP19" s="265"/>
      <c r="AQ19" s="266"/>
      <c r="AR19" s="267"/>
      <c r="AS19" s="263">
        <v>10</v>
      </c>
      <c r="AT19" s="263"/>
      <c r="AU19" s="263">
        <v>107</v>
      </c>
      <c r="AV19" s="264"/>
      <c r="AW19" s="263"/>
      <c r="AX19" s="263"/>
      <c r="AY19" s="263"/>
      <c r="AZ19" s="263"/>
      <c r="BA19" s="263"/>
      <c r="BB19" s="263"/>
      <c r="BC19" s="263"/>
      <c r="BD19" s="264"/>
      <c r="BE19" s="263"/>
      <c r="BF19" s="263"/>
      <c r="BG19" s="263"/>
      <c r="BH19" s="263"/>
      <c r="BI19" s="263"/>
      <c r="BJ19" s="404">
        <f>altaz(J2000_Bas,$O19,$M19,DecLat,DecLong,2)</f>
        <v>34.107976308305396</v>
      </c>
      <c r="BK19" s="378" t="s">
        <v>3923</v>
      </c>
      <c r="BL19" s="379">
        <f>IF((2*G19)/60&lt;0.2,0.2,(2*G19)/60)</f>
        <v>0.2</v>
      </c>
      <c r="BM19" s="380">
        <f>MOD((50000+AD19-$B$3+(0/24)),1)</f>
        <v>0.43868353396101156</v>
      </c>
      <c r="BN19" s="381" t="s">
        <v>9225</v>
      </c>
      <c r="BO19" s="382">
        <v>19</v>
      </c>
    </row>
    <row r="20" spans="1:67" s="24" customFormat="1" ht="15" customHeight="1" x14ac:dyDescent="0.25">
      <c r="A20" s="414" t="s">
        <v>74</v>
      </c>
      <c r="B20" s="241" t="str">
        <f>HYPERLINK(CONCATENATE($AT$3,BK20,$AU$3),$AV$3)</f>
        <v>S</v>
      </c>
      <c r="C20" s="242" t="str">
        <f>HYPERLINK(CONCATENATE($AT$4,BK20,$AU$4,BL20),$AV$4)</f>
        <v>A</v>
      </c>
      <c r="D20" s="243" t="s">
        <v>5638</v>
      </c>
      <c r="E20" s="244" t="s">
        <v>5192</v>
      </c>
      <c r="F20" s="269"/>
      <c r="G20" s="273">
        <v>1</v>
      </c>
      <c r="H20" s="271" t="s">
        <v>6500</v>
      </c>
      <c r="I20" s="244" t="s">
        <v>6500</v>
      </c>
      <c r="J20" s="246">
        <v>0</v>
      </c>
      <c r="K20" s="247" t="s">
        <v>9582</v>
      </c>
      <c r="L20" s="248">
        <v>53722</v>
      </c>
      <c r="M20" s="249">
        <f>15*(LEFT(TEXT($L20,"000000"),2)+(MID(TEXT($L20,"000000"),3,2)/60)+(RIGHT(TEXT($L20,"000000"),2)/3600))</f>
        <v>84.341666666666669</v>
      </c>
      <c r="N20" s="250">
        <v>81531</v>
      </c>
      <c r="O20" s="251">
        <f>IF($N20&gt;0,(LEFT(TEXT($N20,"000000"),2)+(MID(TEXT($N20,"000000"),3,2)/60)+(RIGHT(TEXT($N20,"000000"),2)/3600)),-(MID(TEXT($N20,"000000"),2,2)+(MID(TEXT($N20,"000000"),4,2)/60)+(RIGHT(TEXT($N20,"000000"),2)/3600)))</f>
        <v>8.2586111111111116</v>
      </c>
      <c r="P20" s="252" t="s">
        <v>75</v>
      </c>
      <c r="Q20" s="253"/>
      <c r="R20" s="247" t="s">
        <v>3293</v>
      </c>
      <c r="S20" s="272" t="s">
        <v>3293</v>
      </c>
      <c r="T20" s="273"/>
      <c r="U20" s="274"/>
      <c r="V20" s="256"/>
      <c r="W20" s="244"/>
      <c r="X20" s="244"/>
      <c r="Y20" s="362"/>
      <c r="Z20" s="257">
        <f>altaz(J2000_Bas,$O20,$M20,DecLat,DecLong,1)</f>
        <v>-45.593702176296318</v>
      </c>
      <c r="AA20" s="257">
        <f>altaz((J2000_Bas+(2*0.04167)),$O20,$M20,DecLat,DecLong,1)</f>
        <v>-26.822978311772136</v>
      </c>
      <c r="AB20" s="257">
        <f>altaz((J2000_Bas+(4*0.04167)),$O20,$M20,DecLat,DecLong,1)</f>
        <v>-2.6691109404093392</v>
      </c>
      <c r="AC20" s="257">
        <f>altaz((J2000_Bas+(6*0.04167)),$O20,$M20,DecLat,DecLong,1)</f>
        <v>22.990509532347946</v>
      </c>
      <c r="AD20" s="258">
        <f>1+ transit((J2000_Bas-1),$O20,$M20,DecLat,DecLong)/360 + (GMTOffset/24) + (IF(DST="Y", 1, 0)/24)</f>
        <v>1.2271823446088745</v>
      </c>
      <c r="AE20" s="259">
        <f>DATE(2001,9,21)+(M20/360)*365 - (360*((DecLong/360)- (GMTOffset/24) ))</f>
        <v>37245.513078703705</v>
      </c>
      <c r="AF20" s="260">
        <f>IF(DecLat&gt;0,IF((90 - (DecLat-O20))&gt;90, (90 - (O20-DecLat)), (90 - (DecLat-O20))),IF((90 + (DecLat-O20))&gt;90, (90 + (O20-DecLat)), (90 + (DecLat-O20))))</f>
        <v>67.258611111111108</v>
      </c>
      <c r="AG20" s="257">
        <f>angularseperation(MoonRA,MoonDec,$M20,$O20)</f>
        <v>156.36021912399343</v>
      </c>
      <c r="AH20" s="261">
        <f ca="1">MIN(100,IF($O$5&gt;80,0+30*($AG20/100),IF($O$5&gt;70,0+50*($AG20/100),IF($O$5&gt;60,5+50*($AG20/100),IF($O$5&gt;50,10+60*($AG20/100),IF($O$5&gt;40,15+70*($AG20/100),IF($O$5&gt;30,20+70*($AG20/100),IF($O$5&gt;20,40+55*($AG20/100),(80+(20-$O$5)+30*($AG20/100))))))))))</f>
        <v>100</v>
      </c>
      <c r="AI20" s="262"/>
      <c r="AJ20" s="262"/>
      <c r="AK20" s="262"/>
      <c r="AL20" s="263"/>
      <c r="AM20" s="264"/>
      <c r="AN20" s="263"/>
      <c r="AO20" s="263"/>
      <c r="AP20" s="265"/>
      <c r="AQ20" s="266"/>
      <c r="AR20" s="267"/>
      <c r="AS20" s="263">
        <v>11</v>
      </c>
      <c r="AT20" s="263"/>
      <c r="AU20" s="263"/>
      <c r="AV20" s="264"/>
      <c r="AW20" s="263"/>
      <c r="AX20" s="263"/>
      <c r="AY20" s="263"/>
      <c r="AZ20" s="263"/>
      <c r="BA20" s="263"/>
      <c r="BB20" s="263"/>
      <c r="BC20" s="263"/>
      <c r="BD20" s="264"/>
      <c r="BE20" s="263"/>
      <c r="BF20" s="263"/>
      <c r="BG20" s="263"/>
      <c r="BH20" s="263"/>
      <c r="BI20" s="263"/>
      <c r="BJ20" s="404">
        <f>altaz(J2000_Bas,$O20,$M20,DecLat,DecLong,2)</f>
        <v>31.468476495977207</v>
      </c>
      <c r="BK20" s="378" t="s">
        <v>3924</v>
      </c>
      <c r="BL20" s="379">
        <f>IF((2*G20)/60&lt;0.2,0.2,(2*G20)/60)</f>
        <v>0.2</v>
      </c>
      <c r="BM20" s="380">
        <f>MOD((50000+AD20-$B$3+(0/24)),1)</f>
        <v>0.442549274310295</v>
      </c>
      <c r="BN20" s="381"/>
      <c r="BO20" s="382">
        <v>20</v>
      </c>
    </row>
    <row r="21" spans="1:67" s="24" customFormat="1" ht="15" customHeight="1" x14ac:dyDescent="0.25">
      <c r="A21" s="414" t="s">
        <v>76</v>
      </c>
      <c r="B21" s="241" t="str">
        <f>HYPERLINK(CONCATENATE($AT$3,BK21,$AU$3),$AV$3)</f>
        <v>S</v>
      </c>
      <c r="C21" s="242" t="str">
        <f>HYPERLINK(CONCATENATE($AT$4,BK21,$AU$4,BL21),$AV$4)</f>
        <v>A</v>
      </c>
      <c r="D21" s="243" t="s">
        <v>5187</v>
      </c>
      <c r="E21" s="244" t="s">
        <v>5181</v>
      </c>
      <c r="F21" s="269" t="s">
        <v>5205</v>
      </c>
      <c r="G21" s="270">
        <v>0.7</v>
      </c>
      <c r="H21" s="271">
        <v>7000</v>
      </c>
      <c r="I21" s="245">
        <v>1.4</v>
      </c>
      <c r="J21" s="246">
        <v>2</v>
      </c>
      <c r="K21" s="247" t="s">
        <v>3330</v>
      </c>
      <c r="L21" s="248">
        <v>60223</v>
      </c>
      <c r="M21" s="249">
        <f>15*(LEFT(TEXT($L21,"000000"),2)+(MID(TEXT($L21,"000000"),3,2)/60)+(RIGHT(TEXT($L21,"000000"),2)/3600))</f>
        <v>90.595833333333331</v>
      </c>
      <c r="N21" s="250">
        <v>93903</v>
      </c>
      <c r="O21" s="251">
        <f>IF($N21&gt;0,(LEFT(TEXT($N21,"000000"),2)+(MID(TEXT($N21,"000000"),3,2)/60)+(RIGHT(TEXT($N21,"000000"),2)/3600)),-(MID(TEXT($N21,"000000"),2,2)+(MID(TEXT($N21,"000000"),4,2)/60)+(RIGHT(TEXT($N21,"000000"),2)/3600)))</f>
        <v>9.6508333333333329</v>
      </c>
      <c r="P21" s="252" t="s">
        <v>41</v>
      </c>
      <c r="Q21" s="253"/>
      <c r="R21" s="247" t="s">
        <v>3293</v>
      </c>
      <c r="S21" s="272" t="s">
        <v>3293</v>
      </c>
      <c r="T21" s="273">
        <v>12</v>
      </c>
      <c r="U21" s="274"/>
      <c r="V21" s="256"/>
      <c r="W21" s="244"/>
      <c r="X21" s="244"/>
      <c r="Y21" s="362"/>
      <c r="Z21" s="257">
        <f>altaz(J2000_Bas,$O21,$M21,DecLat,DecLong,1)</f>
        <v>-46.746267433414822</v>
      </c>
      <c r="AA21" s="257">
        <f>altaz((J2000_Bas+(2*0.04167)),$O21,$M21,DecLat,DecLong,1)</f>
        <v>-30.400560037193998</v>
      </c>
      <c r="AB21" s="257">
        <f>altaz((J2000_Bas+(4*0.04167)),$O21,$M21,DecLat,DecLong,1)</f>
        <v>-7.1318893642627152</v>
      </c>
      <c r="AC21" s="257">
        <f>altaz((J2000_Bas+(6*0.04167)),$O21,$M21,DecLat,DecLong,1)</f>
        <v>18.327495761281853</v>
      </c>
      <c r="AD21" s="258">
        <f>1+ transit((J2000_Bas-1),$O21,$M21,DecLat,DecLong)/360 + (GMTOffset/24) + (IF(DST="Y", 1, 0)/24)</f>
        <v>1.2445550280567914</v>
      </c>
      <c r="AE21" s="259">
        <f>DATE(2001,9,21)+(M21/360)*365 - (360*((DecLong/360)- (GMTOffset/24) ))</f>
        <v>37251.854108796295</v>
      </c>
      <c r="AF21" s="260">
        <f>IF(DecLat&gt;0,IF((90 - (DecLat-O21))&gt;90, (90 - (O21-DecLat)), (90 - (DecLat-O21))),IF((90 + (DecLat-O21))&gt;90, (90 + (O21-DecLat)), (90 + (DecLat-O21))))</f>
        <v>68.650833333333338</v>
      </c>
      <c r="AG21" s="257">
        <f>angularseperation(MoonRA,MoonDec,$M21,$O21)</f>
        <v>153.35584282777174</v>
      </c>
      <c r="AH21" s="261">
        <f ca="1">MIN(100,IF($O$5&gt;80,0+30*($AG21/100),IF($O$5&gt;70,0+50*($AG21/100),IF($O$5&gt;60,5+50*($AG21/100),IF($O$5&gt;50,10+60*($AG21/100),IF($O$5&gt;40,15+70*($AG21/100),IF($O$5&gt;30,20+70*($AG21/100),IF($O$5&gt;20,40+55*($AG21/100),(80+(20-$O$5)+30*($AG21/100))))))))))</f>
        <v>100</v>
      </c>
      <c r="AI21" s="262"/>
      <c r="AJ21" s="262"/>
      <c r="AK21" s="262"/>
      <c r="AL21" s="263"/>
      <c r="AM21" s="264"/>
      <c r="AN21" s="263"/>
      <c r="AO21" s="263"/>
      <c r="AP21" s="265"/>
      <c r="AQ21" s="266"/>
      <c r="AR21" s="267"/>
      <c r="AS21" s="263">
        <v>12</v>
      </c>
      <c r="AT21" s="263"/>
      <c r="AU21" s="263"/>
      <c r="AV21" s="264"/>
      <c r="AW21" s="263"/>
      <c r="AX21" s="263"/>
      <c r="AY21" s="263"/>
      <c r="AZ21" s="263"/>
      <c r="BA21" s="263"/>
      <c r="BB21" s="263"/>
      <c r="BC21" s="263"/>
      <c r="BD21" s="264"/>
      <c r="BE21" s="263"/>
      <c r="BF21" s="263"/>
      <c r="BG21" s="263"/>
      <c r="BH21" s="263"/>
      <c r="BI21" s="263"/>
      <c r="BJ21" s="404">
        <f>altaz(J2000_Bas,$O21,$M21,DecLat,DecLong,2)</f>
        <v>22.471425488889402</v>
      </c>
      <c r="BK21" s="378" t="s">
        <v>3925</v>
      </c>
      <c r="BL21" s="379">
        <f>IF((2*G21)/60&lt;0.2,0.2,(2*G21)/60)</f>
        <v>0.2</v>
      </c>
      <c r="BM21" s="380">
        <f>MOD((50000+AD21-$B$3+(0/24)),1)</f>
        <v>0.45992195775761502</v>
      </c>
      <c r="BN21" s="381" t="s">
        <v>9225</v>
      </c>
      <c r="BO21" s="382">
        <v>21</v>
      </c>
    </row>
    <row r="22" spans="1:67" s="24" customFormat="1" ht="15" customHeight="1" x14ac:dyDescent="0.25">
      <c r="A22" s="414" t="s">
        <v>77</v>
      </c>
      <c r="B22" s="241" t="str">
        <f>HYPERLINK(CONCATENATE($AT$3,BK22,$AU$3),$AV$3)</f>
        <v>S</v>
      </c>
      <c r="C22" s="242" t="str">
        <f>HYPERLINK(CONCATENATE($AT$4,BK22,$AU$4,BL22),$AV$4)</f>
        <v>A</v>
      </c>
      <c r="D22" s="243" t="s">
        <v>5187</v>
      </c>
      <c r="E22" s="244" t="s">
        <v>5181</v>
      </c>
      <c r="F22" s="269" t="s">
        <v>5206</v>
      </c>
      <c r="G22" s="273">
        <v>3</v>
      </c>
      <c r="H22" s="271">
        <v>4000</v>
      </c>
      <c r="I22" s="245">
        <v>3.5</v>
      </c>
      <c r="J22" s="246">
        <v>3</v>
      </c>
      <c r="K22" s="247" t="s">
        <v>3329</v>
      </c>
      <c r="L22" s="248">
        <v>60447</v>
      </c>
      <c r="M22" s="249">
        <f>15*(LEFT(TEXT($L22,"000000"),2)+(MID(TEXT($L22,"000000"),3,2)/60)+(RIGHT(TEXT($L22,"000000"),2)/3600))</f>
        <v>91.19583333333334</v>
      </c>
      <c r="N22" s="250">
        <v>35627</v>
      </c>
      <c r="O22" s="251">
        <f>IF($N22&gt;0,(LEFT(TEXT($N22,"000000"),2)+(MID(TEXT($N22,"000000"),3,2)/60)+(RIGHT(TEXT($N22,"000000"),2)/3600)),-(MID(TEXT($N22,"000000"),2,2)+(MID(TEXT($N22,"000000"),4,2)/60)+(RIGHT(TEXT($N22,"000000"),2)/3600)))</f>
        <v>3.9408333333333334</v>
      </c>
      <c r="P22" s="252" t="s">
        <v>41</v>
      </c>
      <c r="Q22" s="253"/>
      <c r="R22" s="247" t="s">
        <v>3293</v>
      </c>
      <c r="S22" s="272" t="s">
        <v>3293</v>
      </c>
      <c r="T22" s="273">
        <v>15</v>
      </c>
      <c r="U22" s="274"/>
      <c r="V22" s="256"/>
      <c r="W22" s="244"/>
      <c r="X22" s="244"/>
      <c r="Y22" s="362"/>
      <c r="Z22" s="257">
        <f>altaz(J2000_Bas,$O22,$M22,DecLat,DecLong,1)</f>
        <v>-52.311601338030108</v>
      </c>
      <c r="AA22" s="257">
        <f>altaz((J2000_Bas+(2*0.04167)),$O22,$M22,DecLat,DecLong,1)</f>
        <v>-34.779848670590752</v>
      </c>
      <c r="AB22" s="257">
        <f>altaz((J2000_Bas+(4*0.04167)),$O22,$M22,DecLat,DecLong,1)</f>
        <v>-10.735633750222478</v>
      </c>
      <c r="AC22" s="257">
        <f>altaz((J2000_Bas+(6*0.04167)),$O22,$M22,DecLat,DecLong,1)</f>
        <v>14.927365444287283</v>
      </c>
      <c r="AD22" s="258">
        <f>1+ transit((J2000_Bas-1),$O22,$M22,DecLat,DecLong)/360 + (GMTOffset/24) + (IF(DST="Y", 1, 0)/24)</f>
        <v>1.2462216945567914</v>
      </c>
      <c r="AE22" s="259">
        <f>DATE(2001,9,21)+(M22/360)*365 - (360*((DecLong/360)- (GMTOffset/24) ))</f>
        <v>37252.462442129632</v>
      </c>
      <c r="AF22" s="260">
        <f>IF(DecLat&gt;0,IF((90 - (DecLat-O22))&gt;90, (90 - (O22-DecLat)), (90 - (DecLat-O22))),IF((90 + (DecLat-O22))&gt;90, (90 + (O22-DecLat)), (90 + (DecLat-O22))))</f>
        <v>62.94083333333333</v>
      </c>
      <c r="AG22" s="257">
        <f>angularseperation(MoonRA,MoonDec,$M22,$O22)</f>
        <v>148.77239318258947</v>
      </c>
      <c r="AH22" s="261">
        <f ca="1">MIN(100,IF($O$5&gt;80,0+30*($AG22/100),IF($O$5&gt;70,0+50*($AG22/100),IF($O$5&gt;60,5+50*($AG22/100),IF($O$5&gt;50,10+60*($AG22/100),IF($O$5&gt;40,15+70*($AG22/100),IF($O$5&gt;30,20+70*($AG22/100),IF($O$5&gt;20,40+55*($AG22/100),(80+(20-$O$5)+30*($AG22/100))))))))))</f>
        <v>100</v>
      </c>
      <c r="AI22" s="262"/>
      <c r="AJ22" s="262"/>
      <c r="AK22" s="262"/>
      <c r="AL22" s="263"/>
      <c r="AM22" s="264"/>
      <c r="AN22" s="263"/>
      <c r="AO22" s="263"/>
      <c r="AP22" s="265"/>
      <c r="AQ22" s="266"/>
      <c r="AR22" s="267"/>
      <c r="AS22" s="263">
        <v>13</v>
      </c>
      <c r="AT22" s="263"/>
      <c r="AU22" s="263"/>
      <c r="AV22" s="264"/>
      <c r="AW22" s="263"/>
      <c r="AX22" s="263"/>
      <c r="AY22" s="263"/>
      <c r="AZ22" s="263"/>
      <c r="BA22" s="263"/>
      <c r="BB22" s="263"/>
      <c r="BC22" s="263"/>
      <c r="BD22" s="264"/>
      <c r="BE22" s="263"/>
      <c r="BF22" s="263"/>
      <c r="BG22" s="263"/>
      <c r="BH22" s="263"/>
      <c r="BI22" s="263"/>
      <c r="BJ22" s="404">
        <f>altaz(J2000_Bas,$O22,$M22,DecLat,DecLong,2)</f>
        <v>24.646996675085163</v>
      </c>
      <c r="BK22" s="378" t="s">
        <v>3926</v>
      </c>
      <c r="BL22" s="379">
        <f>IF((2*G22)/60&lt;0.2,0.2,(2*G22)/60)</f>
        <v>0.2</v>
      </c>
      <c r="BM22" s="380">
        <f>MOD((50000+AD22-$B$3+(0/24)),1)</f>
        <v>0.46158862426091218</v>
      </c>
      <c r="BN22" s="381" t="s">
        <v>8665</v>
      </c>
      <c r="BO22" s="382">
        <v>22</v>
      </c>
    </row>
    <row r="23" spans="1:67" s="24" customFormat="1" ht="15" customHeight="1" x14ac:dyDescent="0.25">
      <c r="A23" s="414" t="s">
        <v>78</v>
      </c>
      <c r="B23" s="241" t="str">
        <f>HYPERLINK(CONCATENATE($AT$3,BK23,$AU$3),$AV$3)</f>
        <v>S</v>
      </c>
      <c r="C23" s="242" t="str">
        <f>HYPERLINK(CONCATENATE($AT$4,BK23,$AU$4,BL23),$AV$4)</f>
        <v>A</v>
      </c>
      <c r="D23" s="243" t="s">
        <v>5187</v>
      </c>
      <c r="E23" s="244" t="s">
        <v>5181</v>
      </c>
      <c r="F23" s="269" t="s">
        <v>9094</v>
      </c>
      <c r="G23" s="270">
        <v>0.7</v>
      </c>
      <c r="H23" s="271">
        <v>11000</v>
      </c>
      <c r="I23" s="245">
        <v>2.1</v>
      </c>
      <c r="J23" s="246">
        <v>2</v>
      </c>
      <c r="K23" s="247" t="s">
        <v>3328</v>
      </c>
      <c r="L23" s="248">
        <v>61109</v>
      </c>
      <c r="M23" s="249">
        <f>15*(LEFT(TEXT($L23,"000000"),2)+(MID(TEXT($L23,"000000"),3,2)/60)+(RIGHT(TEXT($L23,"000000"),2)/3600))</f>
        <v>92.787500000000009</v>
      </c>
      <c r="N23" s="250">
        <v>114647</v>
      </c>
      <c r="O23" s="251">
        <f>IF($N23&gt;0,(LEFT(TEXT($N23,"000000"),2)+(MID(TEXT($N23,"000000"),3,2)/60)+(RIGHT(TEXT($N23,"000000"),2)/3600)),-(MID(TEXT($N23,"000000"),2,2)+(MID(TEXT($N23,"000000"),4,2)/60)+(RIGHT(TEXT($N23,"000000"),2)/3600)))</f>
        <v>11.779722222222222</v>
      </c>
      <c r="P23" s="252" t="s">
        <v>41</v>
      </c>
      <c r="Q23" s="253"/>
      <c r="R23" s="247" t="s">
        <v>3293</v>
      </c>
      <c r="S23" s="272" t="s">
        <v>3293</v>
      </c>
      <c r="T23" s="273">
        <v>15</v>
      </c>
      <c r="U23" s="274"/>
      <c r="V23" s="256"/>
      <c r="W23" s="244"/>
      <c r="X23" s="244"/>
      <c r="Y23" s="362"/>
      <c r="Z23" s="257">
        <f>altaz(J2000_Bas,$O23,$M23,DecLat,DecLong,1)</f>
        <v>-45.377423925988765</v>
      </c>
      <c r="AA23" s="257">
        <f>altaz((J2000_Bas+(2*0.04167)),$O23,$M23,DecLat,DecLong,1)</f>
        <v>-30.367444299471039</v>
      </c>
      <c r="AB23" s="257">
        <f>altaz((J2000_Bas+(4*0.04167)),$O23,$M23,DecLat,DecLong,1)</f>
        <v>-7.7471788451546413</v>
      </c>
      <c r="AC23" s="257">
        <f>altaz((J2000_Bas+(6*0.04167)),$O23,$M23,DecLat,DecLong,1)</f>
        <v>17.492888371513004</v>
      </c>
      <c r="AD23" s="258">
        <f>1+ transit((J2000_Bas-1),$O23,$M23,DecLat,DecLong)/360 + (GMTOffset/24) + (IF(DST="Y", 1, 0)/24)</f>
        <v>1.2506429904109579</v>
      </c>
      <c r="AE23" s="259">
        <f>DATE(2001,9,21)+(M23/360)*365 - (360*((DecLong/360)- (GMTOffset/24) ))</f>
        <v>37254.076215277775</v>
      </c>
      <c r="AF23" s="260">
        <f>IF(DecLat&gt;0,IF((90 - (DecLat-O23))&gt;90, (90 - (O23-DecLat)), (90 - (DecLat-O23))),IF((90 + (DecLat-O23))&gt;90, (90 + (O23-DecLat)), (90 + (DecLat-O23))))</f>
        <v>70.779722222222219</v>
      </c>
      <c r="AG23" s="257">
        <f>angularseperation(MoonRA,MoonDec,$M23,$O23)</f>
        <v>153.121979765015</v>
      </c>
      <c r="AH23" s="261">
        <f ca="1">MIN(100,IF($O$5&gt;80,0+30*($AG23/100),IF($O$5&gt;70,0+50*($AG23/100),IF($O$5&gt;60,5+50*($AG23/100),IF($O$5&gt;50,10+60*($AG23/100),IF($O$5&gt;40,15+70*($AG23/100),IF($O$5&gt;30,20+70*($AG23/100),IF($O$5&gt;20,40+55*($AG23/100),(80+(20-$O$5)+30*($AG23/100))))))))))</f>
        <v>100</v>
      </c>
      <c r="AI23" s="262"/>
      <c r="AJ23" s="262"/>
      <c r="AK23" s="262"/>
      <c r="AL23" s="263"/>
      <c r="AM23" s="264"/>
      <c r="AN23" s="263"/>
      <c r="AO23" s="263"/>
      <c r="AP23" s="265"/>
      <c r="AQ23" s="266"/>
      <c r="AR23" s="267"/>
      <c r="AS23" s="263">
        <v>14</v>
      </c>
      <c r="AT23" s="263"/>
      <c r="AU23" s="263"/>
      <c r="AV23" s="264"/>
      <c r="AW23" s="263"/>
      <c r="AX23" s="263"/>
      <c r="AY23" s="263"/>
      <c r="AZ23" s="263"/>
      <c r="BA23" s="263"/>
      <c r="BB23" s="263"/>
      <c r="BC23" s="263"/>
      <c r="BD23" s="264"/>
      <c r="BE23" s="263"/>
      <c r="BF23" s="263"/>
      <c r="BG23" s="263"/>
      <c r="BH23" s="263"/>
      <c r="BI23" s="263"/>
      <c r="BJ23" s="404">
        <f>altaz(J2000_Bas,$O23,$M23,DecLat,DecLong,2)</f>
        <v>18.578109576907963</v>
      </c>
      <c r="BK23" s="378" t="s">
        <v>3927</v>
      </c>
      <c r="BL23" s="379">
        <f>IF((2*G23)/60&lt;0.2,0.2,(2*G23)/60)</f>
        <v>0.2</v>
      </c>
      <c r="BM23" s="380">
        <f>MOD((50000+AD23-$B$3+(0/24)),1)</f>
        <v>0.46600992011372</v>
      </c>
      <c r="BN23" s="381"/>
      <c r="BO23" s="382">
        <v>23</v>
      </c>
    </row>
    <row r="24" spans="1:67" s="24" customFormat="1" ht="15" customHeight="1" x14ac:dyDescent="0.25">
      <c r="A24" s="414" t="s">
        <v>79</v>
      </c>
      <c r="B24" s="241" t="str">
        <f>HYPERLINK(CONCATENATE($AT$3,BK24,$AU$3),$AV$3)</f>
        <v>S</v>
      </c>
      <c r="C24" s="242" t="str">
        <f>HYPERLINK(CONCATENATE($AT$4,BK24,$AU$4,BL24),$AV$4)</f>
        <v>A</v>
      </c>
      <c r="D24" s="243" t="s">
        <v>5187</v>
      </c>
      <c r="E24" s="244" t="s">
        <v>5181</v>
      </c>
      <c r="F24" s="269" t="s">
        <v>5754</v>
      </c>
      <c r="G24" s="270">
        <v>0.6</v>
      </c>
      <c r="H24" s="271">
        <v>12000</v>
      </c>
      <c r="I24" s="245">
        <v>2</v>
      </c>
      <c r="J24" s="246">
        <v>2</v>
      </c>
      <c r="K24" s="247" t="s">
        <v>3335</v>
      </c>
      <c r="L24" s="248">
        <v>62702</v>
      </c>
      <c r="M24" s="249">
        <f>15*(LEFT(TEXT($L24,"000000"),2)+(MID(TEXT($L24,"000000"),3,2)/60)+(RIGHT(TEXT($L24,"000000"),2)/3600))</f>
        <v>96.75833333333334</v>
      </c>
      <c r="N24" s="250">
        <v>-252254</v>
      </c>
      <c r="O24" s="251">
        <f>IF($N24&gt;0,(LEFT(TEXT($N24,"000000"),2)+(MID(TEXT($N24,"000000"),3,2)/60)+(RIGHT(TEXT($N24,"000000"),2)/3600)),-(MID(TEXT($N24,"000000"),2,2)+(MID(TEXT($N24,"000000"),4,2)/60)+(RIGHT(TEXT($N24,"000000"),2)/3600)))</f>
        <v>-25.381666666666668</v>
      </c>
      <c r="P24" s="252" t="s">
        <v>80</v>
      </c>
      <c r="Q24" s="253"/>
      <c r="R24" s="247" t="s">
        <v>3293</v>
      </c>
      <c r="S24" s="272" t="s">
        <v>3293</v>
      </c>
      <c r="T24" s="273">
        <v>16</v>
      </c>
      <c r="U24" s="274"/>
      <c r="V24" s="256"/>
      <c r="W24" s="244"/>
      <c r="X24" s="244"/>
      <c r="Y24" s="362"/>
      <c r="Z24" s="257">
        <f>altaz(J2000_Bas,$O24,$M24,DecLat,DecLong,1)</f>
        <v>-80.109611231610842</v>
      </c>
      <c r="AA24" s="257">
        <f>altaz((J2000_Bas+(2*0.04167)),$O24,$M24,DecLat,DecLong,1)</f>
        <v>-55.065268860420673</v>
      </c>
      <c r="AB24" s="257">
        <f>altaz((J2000_Bas+(4*0.04167)),$O24,$M24,DecLat,DecLong,1)</f>
        <v>-29.542922275952645</v>
      </c>
      <c r="AC24" s="257">
        <f>altaz((J2000_Bas+(6*0.04167)),$O24,$M24,DecLat,DecLong,1)</f>
        <v>-5.3350313073041074</v>
      </c>
      <c r="AD24" s="258">
        <f>1+ transit((J2000_Bas-1),$O24,$M24,DecLat,DecLong)/360 + (GMTOffset/24) + (IF(DST="Y", 1, 0)/24)</f>
        <v>1.2616730819005413</v>
      </c>
      <c r="AE24" s="259">
        <f>DATE(2001,9,21)+(M24/360)*365 - (360*((DecLong/360)- (GMTOffset/24) ))</f>
        <v>37258.102199074077</v>
      </c>
      <c r="AF24" s="260">
        <f>IF(DecLat&gt;0,IF((90 - (DecLat-O24))&gt;90, (90 - (O24-DecLat)), (90 - (DecLat-O24))),IF((90 + (DecLat-O24))&gt;90, (90 + (O24-DecLat)), (90 + (DecLat-O24))))</f>
        <v>33.618333333333332</v>
      </c>
      <c r="AG24" s="257">
        <f>angularseperation(MoonRA,MoonDec,$M24,$O24)</f>
        <v>121.21432175299142</v>
      </c>
      <c r="AH24" s="261">
        <f ca="1">MIN(100,IF($O$5&gt;80,0+30*($AG24/100),IF($O$5&gt;70,0+50*($AG24/100),IF($O$5&gt;60,5+50*($AG24/100),IF($O$5&gt;50,10+60*($AG24/100),IF($O$5&gt;40,15+70*($AG24/100),IF($O$5&gt;30,20+70*($AG24/100),IF($O$5&gt;20,40+55*($AG24/100),(80+(20-$O$5)+30*($AG24/100))))))))))</f>
        <v>100</v>
      </c>
      <c r="AI24" s="262"/>
      <c r="AJ24" s="262"/>
      <c r="AK24" s="262"/>
      <c r="AL24" s="263"/>
      <c r="AM24" s="264"/>
      <c r="AN24" s="263"/>
      <c r="AO24" s="263"/>
      <c r="AP24" s="265"/>
      <c r="AQ24" s="266"/>
      <c r="AR24" s="267"/>
      <c r="AS24" s="263">
        <v>15</v>
      </c>
      <c r="AT24" s="263"/>
      <c r="AU24" s="263"/>
      <c r="AV24" s="264"/>
      <c r="AW24" s="263"/>
      <c r="AX24" s="263"/>
      <c r="AY24" s="263"/>
      <c r="AZ24" s="263"/>
      <c r="BA24" s="263"/>
      <c r="BB24" s="263"/>
      <c r="BC24" s="263"/>
      <c r="BD24" s="264"/>
      <c r="BE24" s="263"/>
      <c r="BF24" s="263"/>
      <c r="BG24" s="263"/>
      <c r="BH24" s="263"/>
      <c r="BI24" s="263"/>
      <c r="BJ24" s="404">
        <f>altaz(J2000_Bas,$O24,$M24,DecLat,DecLong,2)</f>
        <v>57.670203924447904</v>
      </c>
      <c r="BK24" s="378" t="s">
        <v>3928</v>
      </c>
      <c r="BL24" s="379">
        <f>IF((2*G24)/60&lt;0.2,0.2,(2*G24)/60)</f>
        <v>0.2</v>
      </c>
      <c r="BM24" s="380">
        <f>MOD((50000+AD24-$B$3+(0/24)),1)</f>
        <v>0.47704001160309417</v>
      </c>
      <c r="BN24" s="381"/>
      <c r="BO24" s="382">
        <v>24</v>
      </c>
    </row>
    <row r="25" spans="1:67" s="24" customFormat="1" ht="15" customHeight="1" x14ac:dyDescent="0.25">
      <c r="A25" s="414" t="s">
        <v>81</v>
      </c>
      <c r="B25" s="241" t="str">
        <f>HYPERLINK(CONCATENATE($AT$3,BK25,$AU$3),$AV$3)</f>
        <v>S</v>
      </c>
      <c r="C25" s="242" t="str">
        <f>HYPERLINK(CONCATENATE($AT$4,BK25,$AU$4,BL25),$AV$4)</f>
        <v>A</v>
      </c>
      <c r="D25" s="243" t="s">
        <v>5187</v>
      </c>
      <c r="E25" s="244" t="s">
        <v>5181</v>
      </c>
      <c r="F25" s="269" t="s">
        <v>5207</v>
      </c>
      <c r="G25" s="273">
        <v>2.4</v>
      </c>
      <c r="H25" s="271">
        <v>4400</v>
      </c>
      <c r="I25" s="245">
        <v>3</v>
      </c>
      <c r="J25" s="246">
        <v>1</v>
      </c>
      <c r="K25" s="247" t="s">
        <v>3336</v>
      </c>
      <c r="L25" s="248">
        <v>64355</v>
      </c>
      <c r="M25" s="249">
        <f>15*(LEFT(TEXT($L25,"000000"),2)+(MID(TEXT($L25,"000000"),3,2)/60)+(RIGHT(TEXT($L25,"000000"),2)/3600))</f>
        <v>100.97916666666666</v>
      </c>
      <c r="N25" s="250">
        <v>614725</v>
      </c>
      <c r="O25" s="251">
        <f>IF($N25&gt;0,(LEFT(TEXT($N25,"000000"),2)+(MID(TEXT($N25,"000000"),3,2)/60)+(RIGHT(TEXT($N25,"000000"),2)/3600)),-(MID(TEXT($N25,"000000"),2,2)+(MID(TEXT($N25,"000000"),4,2)/60)+(RIGHT(TEXT($N25,"000000"),2)/3600)))</f>
        <v>61.790277777777774</v>
      </c>
      <c r="P25" s="252" t="s">
        <v>82</v>
      </c>
      <c r="Q25" s="253"/>
      <c r="R25" s="247" t="s">
        <v>3293</v>
      </c>
      <c r="S25" s="272" t="s">
        <v>3293</v>
      </c>
      <c r="T25" s="273">
        <v>16</v>
      </c>
      <c r="U25" s="274"/>
      <c r="V25" s="256"/>
      <c r="W25" s="244"/>
      <c r="X25" s="244"/>
      <c r="Y25" s="362"/>
      <c r="Z25" s="257">
        <f>altaz(J2000_Bas,$O25,$M25,DecLat,DecLong,1)</f>
        <v>2.8795586531844934</v>
      </c>
      <c r="AA25" s="257">
        <f>altaz((J2000_Bas+(2*0.04167)),$O25,$M25,DecLat,DecLong,1)</f>
        <v>7.0303753511490772</v>
      </c>
      <c r="AB25" s="257">
        <f>altaz((J2000_Bas+(4*0.04167)),$O25,$M25,DecLat,DecLong,1)</f>
        <v>16.490761374756964</v>
      </c>
      <c r="AC25" s="257">
        <f>altaz((J2000_Bas+(6*0.04167)),$O25,$M25,DecLat,DecLong,1)</f>
        <v>29.414829701085395</v>
      </c>
      <c r="AD25" s="258">
        <f>1+ transit((J2000_Bas-1),$O25,$M25,DecLat,DecLong)/360 + (GMTOffset/24) + (IF(DST="Y", 1, 0)/24)</f>
        <v>1.2733976177651247</v>
      </c>
      <c r="AE25" s="259">
        <f>DATE(2001,9,21)+(M25/360)*365 - (360*((DecLong/360)- (GMTOffset/24) ))</f>
        <v>37262.381655092591</v>
      </c>
      <c r="AF25" s="260">
        <f>IF(DecLat&gt;0,IF((90 - (DecLat-O25))&gt;90, (90 - (O25-DecLat)), (90 - (DecLat-O25))),IF((90 + (DecLat-O25))&gt;90, (90 + (O25-DecLat)), (90 + (DecLat-O25))))</f>
        <v>59.209722222222226</v>
      </c>
      <c r="AG25" s="257">
        <f>angularseperation(MoonRA,MoonDec,$M25,$O25)</f>
        <v>139.38936827049548</v>
      </c>
      <c r="AH25" s="261">
        <f ca="1">MIN(100,IF($O$5&gt;80,0+30*($AG25/100),IF($O$5&gt;70,0+50*($AG25/100),IF($O$5&gt;60,5+50*($AG25/100),IF($O$5&gt;50,10+60*($AG25/100),IF($O$5&gt;40,15+70*($AG25/100),IF($O$5&gt;30,20+70*($AG25/100),IF($O$5&gt;20,40+55*($AG25/100),(80+(20-$O$5)+30*($AG25/100))))))))))</f>
        <v>100</v>
      </c>
      <c r="AI25" s="262"/>
      <c r="AJ25" s="262"/>
      <c r="AK25" s="262"/>
      <c r="AL25" s="263"/>
      <c r="AM25" s="264"/>
      <c r="AN25" s="263"/>
      <c r="AO25" s="263"/>
      <c r="AP25" s="265"/>
      <c r="AQ25" s="266"/>
      <c r="AR25" s="267"/>
      <c r="AS25" s="263">
        <v>16</v>
      </c>
      <c r="AT25" s="263"/>
      <c r="AU25" s="263"/>
      <c r="AV25" s="264"/>
      <c r="AW25" s="263"/>
      <c r="AX25" s="263"/>
      <c r="AY25" s="263"/>
      <c r="AZ25" s="263"/>
      <c r="BA25" s="263"/>
      <c r="BB25" s="263"/>
      <c r="BC25" s="263"/>
      <c r="BD25" s="264"/>
      <c r="BE25" s="263"/>
      <c r="BF25" s="263"/>
      <c r="BG25" s="263"/>
      <c r="BH25" s="263"/>
      <c r="BI25" s="263"/>
      <c r="BJ25" s="404">
        <f>altaz(J2000_Bas,$O25,$M25,DecLat,DecLong,2)</f>
        <v>2.3752286034683334</v>
      </c>
      <c r="BK25" s="378" t="s">
        <v>3929</v>
      </c>
      <c r="BL25" s="379">
        <f>IF((2*G25)/60&lt;0.2,0.2,(2*G25)/60)</f>
        <v>0.2</v>
      </c>
      <c r="BM25" s="380">
        <f>MOD((50000+AD25-$B$3+(0/24)),1)</f>
        <v>0.48876454746641684</v>
      </c>
      <c r="BN25" s="381"/>
      <c r="BO25" s="382">
        <v>25</v>
      </c>
    </row>
    <row r="26" spans="1:67" s="24" customFormat="1" ht="15" customHeight="1" x14ac:dyDescent="0.25">
      <c r="A26" s="414" t="s">
        <v>83</v>
      </c>
      <c r="B26" s="241" t="str">
        <f>HYPERLINK(CONCATENATE($AT$3,BK26,$AU$3),$AV$3)</f>
        <v>S</v>
      </c>
      <c r="C26" s="242" t="str">
        <f>HYPERLINK(CONCATENATE($AT$4,BK26,$AU$4,BL26),$AV$4)</f>
        <v>A</v>
      </c>
      <c r="D26" s="243" t="s">
        <v>5187</v>
      </c>
      <c r="E26" s="244" t="s">
        <v>5181</v>
      </c>
      <c r="F26" s="269" t="s">
        <v>7489</v>
      </c>
      <c r="G26" s="273">
        <v>1.4</v>
      </c>
      <c r="H26" s="271">
        <v>5000</v>
      </c>
      <c r="I26" s="245">
        <v>2</v>
      </c>
      <c r="J26" s="246">
        <v>2</v>
      </c>
      <c r="K26" s="247" t="s">
        <v>3337</v>
      </c>
      <c r="L26" s="248">
        <v>65614</v>
      </c>
      <c r="M26" s="249">
        <f>15*(LEFT(TEXT($L26,"000000"),2)+(MID(TEXT($L26,"000000"),3,2)/60)+(RIGHT(TEXT($L26,"000000"),2)/3600))</f>
        <v>104.05833333333334</v>
      </c>
      <c r="N26" s="250">
        <v>-25308</v>
      </c>
      <c r="O26" s="251">
        <f>IF($N26&gt;0,(LEFT(TEXT($N26,"000000"),2)+(MID(TEXT($N26,"000000"),3,2)/60)+(RIGHT(TEXT($N26,"000000"),2)/3600)),-(MID(TEXT($N26,"000000"),2,2)+(MID(TEXT($N26,"000000"),4,2)/60)+(RIGHT(TEXT($N26,"000000"),2)/3600)))</f>
        <v>-2.8855555555555554</v>
      </c>
      <c r="P26" s="252" t="s">
        <v>47</v>
      </c>
      <c r="Q26" s="253"/>
      <c r="R26" s="247" t="s">
        <v>3293</v>
      </c>
      <c r="S26" s="272" t="s">
        <v>3293</v>
      </c>
      <c r="T26" s="273">
        <v>17</v>
      </c>
      <c r="U26" s="274"/>
      <c r="V26" s="256"/>
      <c r="W26" s="244"/>
      <c r="X26" s="244"/>
      <c r="Y26" s="362"/>
      <c r="Z26" s="257">
        <f>altaz(J2000_Bas,$O26,$M26,DecLat,DecLong,1)</f>
        <v>-61.825689207840497</v>
      </c>
      <c r="AA26" s="257">
        <f>altaz((J2000_Bas+(2*0.04167)),$O26,$M26,DecLat,DecLong,1)</f>
        <v>-48.737558465574701</v>
      </c>
      <c r="AB26" s="257">
        <f>altaz((J2000_Bas+(4*0.04167)),$O26,$M26,DecLat,DecLong,1)</f>
        <v>-25.235287989381607</v>
      </c>
      <c r="AC26" s="257">
        <f>altaz((J2000_Bas+(6*0.04167)),$O26,$M26,DecLat,DecLong,1)</f>
        <v>0.3955997323058642</v>
      </c>
      <c r="AD26" s="258">
        <f>1+ transit((J2000_Bas-1),$O26,$M26,DecLat,DecLong)/360 + (GMTOffset/24) + (IF(DST="Y", 1, 0)/24)</f>
        <v>1.2819508576505414</v>
      </c>
      <c r="AE26" s="259">
        <f>DATE(2001,9,21)+(M26/360)*365 - (360*((DecLong/360)- (GMTOffset/24) ))</f>
        <v>37265.503587962965</v>
      </c>
      <c r="AF26" s="260">
        <f>IF(DecLat&gt;0,IF((90 - (DecLat-O26))&gt;90, (90 - (O26-DecLat)), (90 - (DecLat-O26))),IF((90 + (DecLat-O26))&gt;90, (90 + (O26-DecLat)), (90 + (DecLat-O26))))</f>
        <v>56.114444444444445</v>
      </c>
      <c r="AG26" s="257">
        <f>angularseperation(MoonRA,MoonDec,$M26,$O26)</f>
        <v>135.00015506978815</v>
      </c>
      <c r="AH26" s="261">
        <f ca="1">MIN(100,IF($O$5&gt;80,0+30*($AG26/100),IF($O$5&gt;70,0+50*($AG26/100),IF($O$5&gt;60,5+50*($AG26/100),IF($O$5&gt;50,10+60*($AG26/100),IF($O$5&gt;40,15+70*($AG26/100),IF($O$5&gt;30,20+70*($AG26/100),IF($O$5&gt;20,40+55*($AG26/100),(80+(20-$O$5)+30*($AG26/100))))))))))</f>
        <v>100</v>
      </c>
      <c r="AI26" s="262"/>
      <c r="AJ26" s="262"/>
      <c r="AK26" s="262"/>
      <c r="AL26" s="263"/>
      <c r="AM26" s="264"/>
      <c r="AN26" s="263"/>
      <c r="AO26" s="263"/>
      <c r="AP26" s="265"/>
      <c r="AQ26" s="266"/>
      <c r="AR26" s="267"/>
      <c r="AS26" s="263">
        <v>18</v>
      </c>
      <c r="AT26" s="263"/>
      <c r="AU26" s="263"/>
      <c r="AV26" s="264"/>
      <c r="AW26" s="263"/>
      <c r="AX26" s="263"/>
      <c r="AY26" s="263"/>
      <c r="AZ26" s="263"/>
      <c r="BA26" s="263"/>
      <c r="BB26" s="263"/>
      <c r="BC26" s="263"/>
      <c r="BD26" s="264"/>
      <c r="BE26" s="263"/>
      <c r="BF26" s="263"/>
      <c r="BG26" s="263"/>
      <c r="BH26" s="263"/>
      <c r="BI26" s="263"/>
      <c r="BJ26" s="404">
        <f>altaz(J2000_Bas,$O26,$M26,DecLat,DecLong,2)</f>
        <v>4.1154362595572973</v>
      </c>
      <c r="BK26" s="378" t="s">
        <v>3930</v>
      </c>
      <c r="BL26" s="379">
        <f>IF((2*G26)/60&lt;0.2,0.2,(2*G26)/60)</f>
        <v>0.2</v>
      </c>
      <c r="BM26" s="380">
        <f>MOD((50000+AD26-$B$3+(0/24)),1)</f>
        <v>0.49731778735440457</v>
      </c>
      <c r="BN26" s="381" t="s">
        <v>9243</v>
      </c>
      <c r="BO26" s="382">
        <v>26</v>
      </c>
    </row>
    <row r="27" spans="1:67" s="24" customFormat="1" ht="15" customHeight="1" x14ac:dyDescent="0.25">
      <c r="A27" s="414" t="s">
        <v>84</v>
      </c>
      <c r="B27" s="241" t="str">
        <f>HYPERLINK(CONCATENATE($AT$3,BK27,$AU$3),$AV$3)</f>
        <v>S</v>
      </c>
      <c r="C27" s="242" t="str">
        <f>HYPERLINK(CONCATENATE($AT$4,BK27,$AU$4,BL27),$AV$4)</f>
        <v>A</v>
      </c>
      <c r="D27" s="243" t="s">
        <v>5187</v>
      </c>
      <c r="E27" s="244" t="s">
        <v>5181</v>
      </c>
      <c r="F27" s="269" t="s">
        <v>9095</v>
      </c>
      <c r="G27" s="273">
        <v>1.4</v>
      </c>
      <c r="H27" s="271">
        <v>7500</v>
      </c>
      <c r="I27" s="245">
        <v>3</v>
      </c>
      <c r="J27" s="246">
        <v>2</v>
      </c>
      <c r="K27" s="247" t="s">
        <v>4665</v>
      </c>
      <c r="L27" s="248">
        <v>65957</v>
      </c>
      <c r="M27" s="249">
        <f>15*(LEFT(TEXT($L27,"000000"),2)+(MID(TEXT($L27,"000000"),3,2)/60)+(RIGHT(TEXT($L27,"000000"),2)/3600))</f>
        <v>104.9875</v>
      </c>
      <c r="N27" s="250">
        <v>143647</v>
      </c>
      <c r="O27" s="251">
        <f>IF($N27&gt;0,(LEFT(TEXT($N27,"000000"),2)+(MID(TEXT($N27,"000000"),3,2)/60)+(RIGHT(TEXT($N27,"000000"),2)/3600)),-(MID(TEXT($N27,"000000"),2,2)+(MID(TEXT($N27,"000000"),4,2)/60)+(RIGHT(TEXT($N27,"000000"),2)/3600)))</f>
        <v>14.613055555555555</v>
      </c>
      <c r="P27" s="252" t="s">
        <v>85</v>
      </c>
      <c r="Q27" s="253"/>
      <c r="R27" s="247" t="s">
        <v>3293</v>
      </c>
      <c r="S27" s="272" t="s">
        <v>3293</v>
      </c>
      <c r="T27" s="273">
        <v>16</v>
      </c>
      <c r="U27" s="274"/>
      <c r="V27" s="256"/>
      <c r="W27" s="244"/>
      <c r="X27" s="244"/>
      <c r="Y27" s="362"/>
      <c r="Z27" s="257">
        <f>altaz(J2000_Bas,$O27,$M27,DecLat,DecLong,1)</f>
        <v>-44.376508297726026</v>
      </c>
      <c r="AA27" s="257">
        <f>altaz((J2000_Bas+(2*0.04167)),$O27,$M27,DecLat,DecLong,1)</f>
        <v>-35.470607322250892</v>
      </c>
      <c r="AB27" s="257">
        <f>altaz((J2000_Bas+(4*0.04167)),$O27,$M27,DecLat,DecLong,1)</f>
        <v>-15.655152692827192</v>
      </c>
      <c r="AC27" s="257">
        <f>altaz((J2000_Bas+(6*0.04167)),$O27,$M27,DecLat,DecLong,1)</f>
        <v>8.5286825156423376</v>
      </c>
      <c r="AD27" s="258">
        <f>1+ transit((J2000_Bas-1),$O27,$M27,DecLat,DecLong)/360 + (GMTOffset/24) + (IF(DST="Y", 1, 0)/24)</f>
        <v>1.2845318759109581</v>
      </c>
      <c r="AE27" s="259">
        <f>DATE(2001,9,21)+(M27/360)*365 - (360*((DecLong/360)- (GMTOffset/24) ))</f>
        <v>37266.445659722223</v>
      </c>
      <c r="AF27" s="260">
        <f>IF(DecLat&gt;0,IF((90 - (DecLat-O27))&gt;90, (90 - (O27-DecLat)), (90 - (DecLat-O27))),IF((90 + (DecLat-O27))&gt;90, (90 + (O27-DecLat)), (90 + (DecLat-O27))))</f>
        <v>73.613055555555547</v>
      </c>
      <c r="AG27" s="257">
        <f>angularseperation(MoonRA,MoonDec,$M27,$O27)</f>
        <v>144.49924061089146</v>
      </c>
      <c r="AH27" s="261">
        <f ca="1">MIN(100,IF($O$5&gt;80,0+30*($AG27/100),IF($O$5&gt;70,0+50*($AG27/100),IF($O$5&gt;60,5+50*($AG27/100),IF($O$5&gt;50,10+60*($AG27/100),IF($O$5&gt;40,15+70*($AG27/100),IF($O$5&gt;30,20+70*($AG27/100),IF($O$5&gt;20,40+55*($AG27/100),(80+(20-$O$5)+30*($AG27/100))))))))))</f>
        <v>100</v>
      </c>
      <c r="AI27" s="262"/>
      <c r="AJ27" s="262"/>
      <c r="AK27" s="262"/>
      <c r="AL27" s="263"/>
      <c r="AM27" s="264"/>
      <c r="AN27" s="263"/>
      <c r="AO27" s="263"/>
      <c r="AP27" s="265"/>
      <c r="AQ27" s="266"/>
      <c r="AR27" s="267"/>
      <c r="AS27" s="263">
        <v>19</v>
      </c>
      <c r="AT27" s="263"/>
      <c r="AU27" s="263"/>
      <c r="AV27" s="264"/>
      <c r="AW27" s="263"/>
      <c r="AX27" s="263"/>
      <c r="AY27" s="263"/>
      <c r="AZ27" s="263"/>
      <c r="BA27" s="263"/>
      <c r="BB27" s="263"/>
      <c r="BC27" s="263"/>
      <c r="BD27" s="264"/>
      <c r="BE27" s="263"/>
      <c r="BF27" s="263"/>
      <c r="BG27" s="263"/>
      <c r="BH27" s="263"/>
      <c r="BI27" s="263"/>
      <c r="BJ27" s="404">
        <f>altaz(J2000_Bas,$O27,$M27,DecLat,DecLong,2)</f>
        <v>1.3743534233842583</v>
      </c>
      <c r="BK27" s="378" t="s">
        <v>3931</v>
      </c>
      <c r="BL27" s="379">
        <f>IF((2*G27)/60&lt;0.2,0.2,(2*G27)/60)</f>
        <v>0.2</v>
      </c>
      <c r="BM27" s="380">
        <f>MOD((50000+AD27-$B$3+(0/24)),1)</f>
        <v>0.49989880561770406</v>
      </c>
      <c r="BN27" s="381"/>
      <c r="BO27" s="382">
        <v>27</v>
      </c>
    </row>
    <row r="28" spans="1:67" s="24" customFormat="1" ht="15" customHeight="1" x14ac:dyDescent="0.25">
      <c r="A28" s="414" t="s">
        <v>86</v>
      </c>
      <c r="B28" s="241" t="str">
        <f>HYPERLINK(CONCATENATE($AT$3,BK28,$AU$3),$AV$3)</f>
        <v>S</v>
      </c>
      <c r="C28" s="242" t="str">
        <f>HYPERLINK(CONCATENATE($AT$4,BK28,$AU$4,BL28),$AV$4)</f>
        <v>A</v>
      </c>
      <c r="D28" s="243" t="s">
        <v>5187</v>
      </c>
      <c r="E28" s="244" t="s">
        <v>5181</v>
      </c>
      <c r="F28" s="269" t="s">
        <v>5209</v>
      </c>
      <c r="G28" s="273">
        <v>1</v>
      </c>
      <c r="H28" s="271">
        <v>6500</v>
      </c>
      <c r="I28" s="245">
        <v>2</v>
      </c>
      <c r="J28" s="246">
        <v>1</v>
      </c>
      <c r="K28" s="247" t="s">
        <v>4985</v>
      </c>
      <c r="L28" s="248">
        <v>72258</v>
      </c>
      <c r="M28" s="249">
        <f>15*(LEFT(TEXT($L28,"000000"),2)+(MID(TEXT($L28,"000000"),3,2)/60)+(RIGHT(TEXT($L28,"000000"),2)/3600))</f>
        <v>110.74166666666666</v>
      </c>
      <c r="N28" s="250">
        <v>14537</v>
      </c>
      <c r="O28" s="251">
        <f>IF($N28&gt;0,(LEFT(TEXT($N28,"000000"),2)+(MID(TEXT($N28,"000000"),3,2)/60)+(RIGHT(TEXT($N28,"000000"),2)/3600)),-(MID(TEXT($N28,"000000"),2,2)+(MID(TEXT($N28,"000000"),4,2)/60)+(RIGHT(TEXT($N28,"000000"),2)/3600)))</f>
        <v>1.7602777777777778</v>
      </c>
      <c r="P28" s="252" t="s">
        <v>87</v>
      </c>
      <c r="Q28" s="253"/>
      <c r="R28" s="247" t="s">
        <v>3293</v>
      </c>
      <c r="S28" s="272" t="s">
        <v>3293</v>
      </c>
      <c r="T28" s="273">
        <v>17</v>
      </c>
      <c r="U28" s="274"/>
      <c r="V28" s="256"/>
      <c r="W28" s="244"/>
      <c r="X28" s="244"/>
      <c r="Y28" s="362"/>
      <c r="Z28" s="257">
        <f>altaz(J2000_Bas,$O28,$M28,DecLat,DecLong,1)</f>
        <v>-56.930884666085028</v>
      </c>
      <c r="AA28" s="257">
        <f>altaz((J2000_Bas+(2*0.04167)),$O28,$M28,DecLat,DecLong,1)</f>
        <v>-49.329714291829539</v>
      </c>
      <c r="AB28" s="257">
        <f>altaz((J2000_Bas+(4*0.04167)),$O28,$M28,DecLat,DecLong,1)</f>
        <v>-28.054852213989601</v>
      </c>
      <c r="AC28" s="257">
        <f>altaz((J2000_Bas+(6*0.04167)),$O28,$M28,DecLat,DecLong,1)</f>
        <v>-2.9338211940156307</v>
      </c>
      <c r="AD28" s="258">
        <f>1+ transit((J2000_Bas-1),$O28,$M28,DecLat,DecLong)/360 + (GMTOffset/24) + (IF(DST="Y", 1, 0)/24)</f>
        <v>1.3005156706088747</v>
      </c>
      <c r="AE28" s="259">
        <f>DATE(2001,9,21)+(M28/360)*365 - (360*((DecLong/360)- (GMTOffset/24) ))</f>
        <v>37272.279745370368</v>
      </c>
      <c r="AF28" s="260">
        <f>IF(DecLat&gt;0,IF((90 - (DecLat-O28))&gt;90, (90 - (O28-DecLat)), (90 - (DecLat-O28))),IF((90 + (DecLat-O28))&gt;90, (90 + (O28-DecLat)), (90 + (DecLat-O28))))</f>
        <v>60.760277777777773</v>
      </c>
      <c r="AG28" s="257">
        <f>angularseperation(MoonRA,MoonDec,$M28,$O28)</f>
        <v>132.88259184139659</v>
      </c>
      <c r="AH28" s="261">
        <f ca="1">MIN(100,IF($O$5&gt;80,0+30*($AG28/100),IF($O$5&gt;70,0+50*($AG28/100),IF($O$5&gt;60,5+50*($AG28/100),IF($O$5&gt;50,10+60*($AG28/100),IF($O$5&gt;40,15+70*($AG28/100),IF($O$5&gt;30,20+70*($AG28/100),IF($O$5&gt;20,40+55*($AG28/100),(80+(20-$O$5)+30*($AG28/100))))))))))</f>
        <v>100</v>
      </c>
      <c r="AI28" s="262"/>
      <c r="AJ28" s="262"/>
      <c r="AK28" s="262"/>
      <c r="AL28" s="263"/>
      <c r="AM28" s="264"/>
      <c r="AN28" s="263"/>
      <c r="AO28" s="263"/>
      <c r="AP28" s="265"/>
      <c r="AQ28" s="266"/>
      <c r="AR28" s="267"/>
      <c r="AS28" s="263">
        <v>20</v>
      </c>
      <c r="AT28" s="263"/>
      <c r="AU28" s="263"/>
      <c r="AV28" s="264"/>
      <c r="AW28" s="263"/>
      <c r="AX28" s="263"/>
      <c r="AY28" s="263"/>
      <c r="AZ28" s="263"/>
      <c r="BA28" s="263"/>
      <c r="BB28" s="263"/>
      <c r="BC28" s="263"/>
      <c r="BD28" s="264"/>
      <c r="BE28" s="263"/>
      <c r="BF28" s="263"/>
      <c r="BG28" s="263"/>
      <c r="BH28" s="263"/>
      <c r="BI28" s="263"/>
      <c r="BJ28" s="404">
        <f>altaz(J2000_Bas,$O28,$M28,DecLat,DecLong,2)</f>
        <v>351.29542504704591</v>
      </c>
      <c r="BK28" s="378" t="s">
        <v>3932</v>
      </c>
      <c r="BL28" s="379">
        <f>IF((2*G28)/60&lt;0.2,0.2,(2*G28)/60)</f>
        <v>0.2</v>
      </c>
      <c r="BM28" s="380">
        <f>MOD((50000+AD28-$B$3+(0/24)),1)</f>
        <v>0.51588260030985111</v>
      </c>
      <c r="BN28" s="381" t="s">
        <v>8665</v>
      </c>
      <c r="BO28" s="382">
        <v>28</v>
      </c>
    </row>
    <row r="29" spans="1:67" s="24" customFormat="1" ht="15" customHeight="1" x14ac:dyDescent="0.25">
      <c r="A29" s="414" t="s">
        <v>88</v>
      </c>
      <c r="B29" s="241" t="str">
        <f>HYPERLINK(CONCATENATE($AT$3,BK29,$AU$3),$AV$3)</f>
        <v>S</v>
      </c>
      <c r="C29" s="242" t="str">
        <f>HYPERLINK(CONCATENATE($AT$4,BK29,$AU$4,BL29),$AV$4)</f>
        <v>A</v>
      </c>
      <c r="D29" s="243" t="s">
        <v>5187</v>
      </c>
      <c r="E29" s="244" t="s">
        <v>5181</v>
      </c>
      <c r="F29" s="269" t="s">
        <v>5210</v>
      </c>
      <c r="G29" s="273">
        <v>8</v>
      </c>
      <c r="H29" s="271">
        <v>1500</v>
      </c>
      <c r="I29" s="245">
        <v>3.5</v>
      </c>
      <c r="J29" s="246">
        <v>5</v>
      </c>
      <c r="K29" s="247" t="s">
        <v>4582</v>
      </c>
      <c r="L29" s="248">
        <v>72903</v>
      </c>
      <c r="M29" s="249">
        <f>15*(LEFT(TEXT($L29,"000000"),2)+(MID(TEXT($L29,"000000"),3,2)/60)+(RIGHT(TEXT($L29,"000000"),2)/3600))</f>
        <v>112.2625</v>
      </c>
      <c r="N29" s="250">
        <v>131448</v>
      </c>
      <c r="O29" s="251">
        <f>IF($N29&gt;0,(LEFT(TEXT($N29,"000000"),2)+(MID(TEXT($N29,"000000"),3,2)/60)+(RIGHT(TEXT($N29,"000000"),2)/3600)),-(MID(TEXT($N29,"000000"),2,2)+(MID(TEXT($N29,"000000"),4,2)/60)+(RIGHT(TEXT($N29,"000000"),2)/3600)))</f>
        <v>13.246666666666666</v>
      </c>
      <c r="P29" s="252" t="s">
        <v>85</v>
      </c>
      <c r="Q29" s="253" t="s">
        <v>7029</v>
      </c>
      <c r="R29" s="278" t="s">
        <v>3386</v>
      </c>
      <c r="S29" s="272" t="s">
        <v>3293</v>
      </c>
      <c r="T29" s="273">
        <v>11</v>
      </c>
      <c r="U29" s="274"/>
      <c r="V29" s="256"/>
      <c r="W29" s="244"/>
      <c r="X29" s="244"/>
      <c r="Y29" s="362"/>
      <c r="Z29" s="257">
        <f>altaz(J2000_Bas,$O29,$M29,DecLat,DecLong,1)</f>
        <v>-45.34630585653165</v>
      </c>
      <c r="AA29" s="257">
        <f>altaz((J2000_Bas+(2*0.04167)),$O29,$M29,DecLat,DecLong,1)</f>
        <v>-40.183913018164752</v>
      </c>
      <c r="AB29" s="257">
        <f>altaz((J2000_Bas+(4*0.04167)),$O29,$M29,DecLat,DecLong,1)</f>
        <v>-21.930142928166457</v>
      </c>
      <c r="AC29" s="257">
        <f>altaz((J2000_Bas+(6*0.04167)),$O29,$M29,DecLat,DecLong,1)</f>
        <v>1.7600003159660149</v>
      </c>
      <c r="AD29" s="258">
        <f>1+ transit((J2000_Bas-1),$O29,$M29,DecLat,DecLong)/360 + (GMTOffset/24) + (IF(DST="Y", 1, 0)/24)</f>
        <v>1.304740207223458</v>
      </c>
      <c r="AE29" s="259">
        <f>DATE(2001,9,21)+(M29/360)*365 - (360*((DecLong/360)- (GMTOffset/24) ))</f>
        <v>37273.821701388886</v>
      </c>
      <c r="AF29" s="260">
        <f>IF(DecLat&gt;0,IF((90 - (DecLat-O29))&gt;90, (90 - (O29-DecLat)), (90 - (DecLat-O29))),IF((90 + (DecLat-O29))&gt;90, (90 + (O29-DecLat)), (90 + (DecLat-O29))))</f>
        <v>72.24666666666667</v>
      </c>
      <c r="AG29" s="257">
        <f>angularseperation(MoonRA,MoonDec,$M29,$O29)</f>
        <v>137.55653739679687</v>
      </c>
      <c r="AH29" s="261">
        <f ca="1">MIN(100,IF($O$5&gt;80,0+30*($AG29/100),IF($O$5&gt;70,0+50*($AG29/100),IF($O$5&gt;60,5+50*($AG29/100),IF($O$5&gt;50,10+60*($AG29/100),IF($O$5&gt;40,15+70*($AG29/100),IF($O$5&gt;30,20+70*($AG29/100),IF($O$5&gt;20,40+55*($AG29/100),(80+(20-$O$5)+30*($AG29/100))))))))))</f>
        <v>100</v>
      </c>
      <c r="AI29" s="262"/>
      <c r="AJ29" s="262"/>
      <c r="AK29" s="262"/>
      <c r="AL29" s="263"/>
      <c r="AM29" s="264"/>
      <c r="AN29" s="263"/>
      <c r="AO29" s="263"/>
      <c r="AP29" s="265"/>
      <c r="AQ29" s="266"/>
      <c r="AR29" s="267"/>
      <c r="AS29" s="263">
        <v>21</v>
      </c>
      <c r="AT29" s="263"/>
      <c r="AU29" s="263"/>
      <c r="AV29" s="264"/>
      <c r="AW29" s="263"/>
      <c r="AX29" s="263"/>
      <c r="AY29" s="263"/>
      <c r="AZ29" s="263"/>
      <c r="BA29" s="263"/>
      <c r="BB29" s="263">
        <v>274</v>
      </c>
      <c r="BC29" s="263"/>
      <c r="BD29" s="264"/>
      <c r="BE29" s="263"/>
      <c r="BF29" s="263"/>
      <c r="BG29" s="263">
        <v>43</v>
      </c>
      <c r="BH29" s="263"/>
      <c r="BI29" s="263"/>
      <c r="BJ29" s="404">
        <f>altaz(J2000_Bas,$O29,$M29,DecLat,DecLong,2)</f>
        <v>351.31420039979929</v>
      </c>
      <c r="BK29" s="378" t="s">
        <v>3933</v>
      </c>
      <c r="BL29" s="379">
        <f>IF((2*G29)/60&lt;0.2,0.2,(2*G29)/60)</f>
        <v>0.26666666666666666</v>
      </c>
      <c r="BM29" s="380">
        <f>MOD((50000+AD29-$B$3+(0/24)),1)</f>
        <v>0.52010713693016442</v>
      </c>
      <c r="BN29" s="381"/>
      <c r="BO29" s="382">
        <v>29</v>
      </c>
    </row>
    <row r="30" spans="1:67" s="24" customFormat="1" ht="15" customHeight="1" x14ac:dyDescent="0.25">
      <c r="A30" s="414" t="s">
        <v>89</v>
      </c>
      <c r="B30" s="241" t="str">
        <f>HYPERLINK(CONCATENATE($AT$3,BK30,$AU$3),$AV$3)</f>
        <v>S</v>
      </c>
      <c r="C30" s="242" t="str">
        <f>HYPERLINK(CONCATENATE($AT$4,BK30,$AU$4,BL30),$AV$4)</f>
        <v>A</v>
      </c>
      <c r="D30" s="243" t="s">
        <v>5187</v>
      </c>
      <c r="E30" s="244" t="s">
        <v>5181</v>
      </c>
      <c r="F30" s="269" t="s">
        <v>5211</v>
      </c>
      <c r="G30" s="273">
        <v>2</v>
      </c>
      <c r="H30" s="271">
        <v>2800</v>
      </c>
      <c r="I30" s="245">
        <v>1.6</v>
      </c>
      <c r="J30" s="246">
        <v>3</v>
      </c>
      <c r="K30" s="277" t="s">
        <v>3339</v>
      </c>
      <c r="L30" s="248">
        <v>73606</v>
      </c>
      <c r="M30" s="249">
        <f>15*(LEFT(TEXT($L30,"000000"),2)+(MID(TEXT($L30,"000000"),3,2)/60)+(RIGHT(TEXT($L30,"000000"),2)/3600))</f>
        <v>114.02500000000001</v>
      </c>
      <c r="N30" s="250">
        <v>22400</v>
      </c>
      <c r="O30" s="251">
        <f>IF($N30&gt;0,(LEFT(TEXT($N30,"000000"),2)+(MID(TEXT($N30,"000000"),3,2)/60)+(RIGHT(TEXT($N30,"000000"),2)/3600)),-(MID(TEXT($N30,"000000"),2,2)+(MID(TEXT($N30,"000000"),4,2)/60)+(RIGHT(TEXT($N30,"000000"),2)/3600)))</f>
        <v>2.4</v>
      </c>
      <c r="P30" s="252" t="s">
        <v>87</v>
      </c>
      <c r="Q30" s="253"/>
      <c r="R30" s="277" t="s">
        <v>3338</v>
      </c>
      <c r="S30" s="272" t="s">
        <v>3293</v>
      </c>
      <c r="T30" s="273">
        <v>15</v>
      </c>
      <c r="U30" s="274"/>
      <c r="V30" s="256"/>
      <c r="W30" s="244"/>
      <c r="X30" s="244"/>
      <c r="Y30" s="362"/>
      <c r="Z30" s="257">
        <f>altaz(J2000_Bas,$O30,$M30,DecLat,DecLong,1)</f>
        <v>-55.737473179472666</v>
      </c>
      <c r="AA30" s="257">
        <f>altaz((J2000_Bas+(2*0.04167)),$O30,$M30,DecLat,DecLong,1)</f>
        <v>-50.546306497601606</v>
      </c>
      <c r="AB30" s="257">
        <f>altaz((J2000_Bas+(4*0.04167)),$O30,$M30,DecLat,DecLong,1)</f>
        <v>-30.262644506289739</v>
      </c>
      <c r="AC30" s="257">
        <f>altaz((J2000_Bas+(6*0.04167)),$O30,$M30,DecLat,DecLong,1)</f>
        <v>-5.4051862837097984</v>
      </c>
      <c r="AD30" s="258">
        <f>1+ transit((J2000_Bas-1),$O30,$M30,DecLat,DecLong)/360 + (GMTOffset/24) + (IF(DST="Y", 1, 0)/24)</f>
        <v>1.309636040067208</v>
      </c>
      <c r="AE30" s="259">
        <f>DATE(2001,9,21)+(M30/360)*365 - (360*((DecLong/360)- (GMTOffset/24) ))</f>
        <v>37275.608680555553</v>
      </c>
      <c r="AF30" s="260">
        <f>IF(DecLat&gt;0,IF((90 - (DecLat-O30))&gt;90, (90 - (O30-DecLat)), (90 - (DecLat-O30))),IF((90 + (DecLat-O30))&gt;90, (90 + (O30-DecLat)), (90 + (DecLat-O30))))</f>
        <v>61.4</v>
      </c>
      <c r="AG30" s="257">
        <f>angularseperation(MoonRA,MoonDec,$M30,$O30)</f>
        <v>130.57594547404977</v>
      </c>
      <c r="AH30" s="261">
        <f ca="1">MIN(100,IF($O$5&gt;80,0+30*($AG30/100),IF($O$5&gt;70,0+50*($AG30/100),IF($O$5&gt;60,5+50*($AG30/100),IF($O$5&gt;50,10+60*($AG30/100),IF($O$5&gt;40,15+70*($AG30/100),IF($O$5&gt;30,20+70*($AG30/100),IF($O$5&gt;20,40+55*($AG30/100),(80+(20-$O$5)+30*($AG30/100))))))))))</f>
        <v>100</v>
      </c>
      <c r="AI30" s="262"/>
      <c r="AJ30" s="262"/>
      <c r="AK30" s="262"/>
      <c r="AL30" s="263"/>
      <c r="AM30" s="264"/>
      <c r="AN30" s="263"/>
      <c r="AO30" s="263"/>
      <c r="AP30" s="265"/>
      <c r="AQ30" s="266"/>
      <c r="AR30" s="267"/>
      <c r="AS30" s="263">
        <v>22</v>
      </c>
      <c r="AT30" s="263"/>
      <c r="AU30" s="263">
        <v>111</v>
      </c>
      <c r="AV30" s="264"/>
      <c r="AW30" s="263"/>
      <c r="AX30" s="263"/>
      <c r="AY30" s="263"/>
      <c r="AZ30" s="263"/>
      <c r="BA30" s="263"/>
      <c r="BB30" s="263"/>
      <c r="BC30" s="263"/>
      <c r="BD30" s="264"/>
      <c r="BE30" s="263"/>
      <c r="BF30" s="263"/>
      <c r="BG30" s="263"/>
      <c r="BH30" s="263"/>
      <c r="BI30" s="263"/>
      <c r="BJ30" s="404">
        <f>altaz(J2000_Bas,$O30,$M30,DecLat,DecLong,2)</f>
        <v>345.66003849956593</v>
      </c>
      <c r="BK30" s="378" t="s">
        <v>3934</v>
      </c>
      <c r="BL30" s="379">
        <f>IF((2*G30)/60&lt;0.2,0.2,(2*G30)/60)</f>
        <v>0.2</v>
      </c>
      <c r="BM30" s="380">
        <f>MOD((50000+AD30-$B$3+(0/24)),1)</f>
        <v>0.52500296977086691</v>
      </c>
      <c r="BN30" s="381"/>
      <c r="BO30" s="382">
        <v>30</v>
      </c>
    </row>
    <row r="31" spans="1:67" s="24" customFormat="1" ht="15" customHeight="1" x14ac:dyDescent="0.25">
      <c r="A31" s="414" t="s">
        <v>90</v>
      </c>
      <c r="B31" s="241" t="str">
        <f>HYPERLINK(CONCATENATE($AT$3,BK31,$AU$3),$AV$3)</f>
        <v>S</v>
      </c>
      <c r="C31" s="242" t="str">
        <f>HYPERLINK(CONCATENATE($AT$4,BK31,$AU$4,BL31),$AV$4)</f>
        <v>A</v>
      </c>
      <c r="D31" s="243" t="s">
        <v>5187</v>
      </c>
      <c r="E31" s="244" t="s">
        <v>5181</v>
      </c>
      <c r="F31" s="269" t="s">
        <v>7490</v>
      </c>
      <c r="G31" s="273">
        <v>1</v>
      </c>
      <c r="H31" s="271">
        <v>7500</v>
      </c>
      <c r="I31" s="245">
        <v>2.2000000000000002</v>
      </c>
      <c r="J31" s="246">
        <v>1</v>
      </c>
      <c r="K31" s="247" t="s">
        <v>3340</v>
      </c>
      <c r="L31" s="248">
        <v>74319</v>
      </c>
      <c r="M31" s="249">
        <f>15*(LEFT(TEXT($L31,"000000"),2)+(MID(TEXT($L31,"000000"),3,2)/60)+(RIGHT(TEXT($L31,"000000"),2)/3600))</f>
        <v>115.82916666666667</v>
      </c>
      <c r="N31" s="250">
        <v>-344513</v>
      </c>
      <c r="O31" s="251">
        <f>IF($N31&gt;0,(LEFT(TEXT($N31,"000000"),2)+(MID(TEXT($N31,"000000"),3,2)/60)+(RIGHT(TEXT($N31,"000000"),2)/3600)),-(MID(TEXT($N31,"000000"),2,2)+(MID(TEXT($N31,"000000"),4,2)/60)+(RIGHT(TEXT($N31,"000000"),2)/3600)))</f>
        <v>-34.753611111111113</v>
      </c>
      <c r="P31" s="252" t="s">
        <v>91</v>
      </c>
      <c r="Q31" s="253"/>
      <c r="R31" s="247" t="s">
        <v>3293</v>
      </c>
      <c r="S31" s="272" t="s">
        <v>3293</v>
      </c>
      <c r="T31" s="273">
        <v>13</v>
      </c>
      <c r="U31" s="274"/>
      <c r="V31" s="256"/>
      <c r="W31" s="244"/>
      <c r="X31" s="244"/>
      <c r="Y31" s="362"/>
      <c r="Z31" s="257">
        <f>altaz(J2000_Bas,$O31,$M31,DecLat,DecLong,1)</f>
        <v>-80.939495271066235</v>
      </c>
      <c r="AA31" s="257">
        <f>altaz((J2000_Bas+(2*0.04167)),$O31,$M31,DecLat,DecLong,1)</f>
        <v>-72.609804846819245</v>
      </c>
      <c r="AB31" s="257">
        <f>altaz((J2000_Bas+(4*0.04167)),$O31,$M31,DecLat,DecLong,1)</f>
        <v>-47.99201828131676</v>
      </c>
      <c r="AC31" s="257">
        <f>altaz((J2000_Bas+(6*0.04167)),$O31,$M31,DecLat,DecLong,1)</f>
        <v>-24.249858001510347</v>
      </c>
      <c r="AD31" s="258">
        <f>1+ transit((J2000_Bas-1),$O31,$M31,DecLat,DecLong)/360 + (GMTOffset/24) + (IF(DST="Y", 1, 0)/24)</f>
        <v>1.3146476136401246</v>
      </c>
      <c r="AE31" s="259">
        <f>DATE(2001,9,21)+(M31/360)*365 - (360*((DecLong/360)- (GMTOffset/24) ))</f>
        <v>37277.437905092593</v>
      </c>
      <c r="AF31" s="260">
        <f>IF(DecLat&gt;0,IF((90 - (DecLat-O31))&gt;90, (90 - (O31-DecLat)), (90 - (DecLat-O31))),IF((90 + (DecLat-O31))&gt;90, (90 + (O31-DecLat)), (90 + (DecLat-O31))))</f>
        <v>24.246388888888887</v>
      </c>
      <c r="AG31" s="257">
        <f>angularseperation(MoonRA,MoonDec,$M31,$O31)</f>
        <v>104.07486549672271</v>
      </c>
      <c r="AH31" s="261">
        <f ca="1">MIN(100,IF($O$5&gt;80,0+30*($AG31/100),IF($O$5&gt;70,0+50*($AG31/100),IF($O$5&gt;60,5+50*($AG31/100),IF($O$5&gt;50,10+60*($AG31/100),IF($O$5&gt;40,15+70*($AG31/100),IF($O$5&gt;30,20+70*($AG31/100),IF($O$5&gt;20,40+55*($AG31/100),(80+(20-$O$5)+30*($AG31/100))))))))))</f>
        <v>100</v>
      </c>
      <c r="AI31" s="262"/>
      <c r="AJ31" s="262"/>
      <c r="AK31" s="262"/>
      <c r="AL31" s="263"/>
      <c r="AM31" s="264"/>
      <c r="AN31" s="263"/>
      <c r="AO31" s="263"/>
      <c r="AP31" s="265"/>
      <c r="AQ31" s="266"/>
      <c r="AR31" s="267"/>
      <c r="AS31" s="263">
        <v>23</v>
      </c>
      <c r="AT31" s="263"/>
      <c r="AU31" s="263"/>
      <c r="AV31" s="264"/>
      <c r="AW31" s="263"/>
      <c r="AX31" s="263"/>
      <c r="AY31" s="263"/>
      <c r="AZ31" s="263"/>
      <c r="BA31" s="263"/>
      <c r="BB31" s="263"/>
      <c r="BC31" s="263"/>
      <c r="BD31" s="264"/>
      <c r="BE31" s="263"/>
      <c r="BF31" s="263"/>
      <c r="BG31" s="263"/>
      <c r="BH31" s="263"/>
      <c r="BI31" s="263"/>
      <c r="BJ31" s="404">
        <f>altaz(J2000_Bas,$O31,$M31,DecLat,DecLong,2)</f>
        <v>242.92606617731096</v>
      </c>
      <c r="BK31" s="378" t="s">
        <v>3935</v>
      </c>
      <c r="BL31" s="379">
        <f>IF((2*G31)/60&lt;0.2,0.2,(2*G31)/60)</f>
        <v>0.2</v>
      </c>
      <c r="BM31" s="380">
        <f>MOD((50000+AD31-$B$3+(0/24)),1)</f>
        <v>0.53001454334298614</v>
      </c>
      <c r="BN31" s="381" t="s">
        <v>9244</v>
      </c>
      <c r="BO31" s="382">
        <v>31</v>
      </c>
    </row>
    <row r="32" spans="1:67" s="24" customFormat="1" ht="15" customHeight="1" x14ac:dyDescent="0.25">
      <c r="A32" s="414" t="s">
        <v>92</v>
      </c>
      <c r="B32" s="241" t="str">
        <f>HYPERLINK(CONCATENATE($AT$3,BK32,$AU$3),$AV$3)</f>
        <v>S</v>
      </c>
      <c r="C32" s="242" t="str">
        <f>HYPERLINK(CONCATENATE($AT$4,BK32,$AU$4,BL32),$AV$4)</f>
        <v>A</v>
      </c>
      <c r="D32" s="243" t="s">
        <v>5187</v>
      </c>
      <c r="E32" s="244" t="s">
        <v>5181</v>
      </c>
      <c r="F32" s="269" t="s">
        <v>9096</v>
      </c>
      <c r="G32" s="273">
        <v>7</v>
      </c>
      <c r="H32" s="271">
        <v>2300</v>
      </c>
      <c r="I32" s="245">
        <v>4.5</v>
      </c>
      <c r="J32" s="246">
        <v>3</v>
      </c>
      <c r="K32" s="247" t="s">
        <v>3341</v>
      </c>
      <c r="L32" s="248">
        <v>75138</v>
      </c>
      <c r="M32" s="249">
        <f>15*(LEFT(TEXT($L32,"000000"),2)+(MID(TEXT($L32,"000000"),3,2)/60)+(RIGHT(TEXT($L32,"000000"),2)/3600))</f>
        <v>117.90833333333333</v>
      </c>
      <c r="N32" s="250">
        <v>30027</v>
      </c>
      <c r="O32" s="251">
        <f>IF($N32&gt;0,(LEFT(TEXT($N32,"000000"),2)+(MID(TEXT($N32,"000000"),3,2)/60)+(RIGHT(TEXT($N32,"000000"),2)/3600)),-(MID(TEXT($N32,"000000"),2,2)+(MID(TEXT($N32,"000000"),4,2)/60)+(RIGHT(TEXT($N32,"000000"),2)/3600)))</f>
        <v>3.0074999999999998</v>
      </c>
      <c r="P32" s="252" t="s">
        <v>87</v>
      </c>
      <c r="Q32" s="253"/>
      <c r="R32" s="247" t="s">
        <v>3293</v>
      </c>
      <c r="S32" s="272" t="s">
        <v>3293</v>
      </c>
      <c r="T32" s="273">
        <v>14</v>
      </c>
      <c r="U32" s="274"/>
      <c r="V32" s="256"/>
      <c r="W32" s="244"/>
      <c r="X32" s="244"/>
      <c r="Y32" s="362"/>
      <c r="Z32" s="257">
        <f>altaz(J2000_Bas,$O32,$M32,DecLat,DecLong,1)</f>
        <v>-54.149777188454081</v>
      </c>
      <c r="AA32" s="257">
        <f>altaz((J2000_Bas+(2*0.04167)),$O32,$M32,DecLat,DecLong,1)</f>
        <v>-51.835490625886806</v>
      </c>
      <c r="AB32" s="257">
        <f>altaz((J2000_Bas+(4*0.04167)),$O32,$M32,DecLat,DecLong,1)</f>
        <v>-32.875430343738557</v>
      </c>
      <c r="AC32" s="257">
        <f>altaz((J2000_Bas+(6*0.04167)),$O32,$M32,DecLat,DecLong,1)</f>
        <v>-8.3870666112287804</v>
      </c>
      <c r="AD32" s="258">
        <f>1+ transit((J2000_Bas-1),$O32,$M32,DecLat,DecLong)/360 + (GMTOffset/24) + (IF(DST="Y", 1, 0)/24)</f>
        <v>1.3204230760255413</v>
      </c>
      <c r="AE32" s="259">
        <f>DATE(2001,9,21)+(M32/360)*365 - (360*((DecLong/360)- (GMTOffset/24) ))</f>
        <v>37279.545949074076</v>
      </c>
      <c r="AF32" s="260">
        <f>IF(DecLat&gt;0,IF((90 - (DecLat-O32))&gt;90, (90 - (O32-DecLat)), (90 - (DecLat-O32))),IF((90 + (DecLat-O32))&gt;90, (90 + (O32-DecLat)), (90 + (DecLat-O32))))</f>
        <v>62.0075</v>
      </c>
      <c r="AG32" s="257">
        <f>angularseperation(MoonRA,MoonDec,$M32,$O32)</f>
        <v>127.6687466935999</v>
      </c>
      <c r="AH32" s="261">
        <f ca="1">MIN(100,IF($O$5&gt;80,0+30*($AG32/100),IF($O$5&gt;70,0+50*($AG32/100),IF($O$5&gt;60,5+50*($AG32/100),IF($O$5&gt;50,10+60*($AG32/100),IF($O$5&gt;40,15+70*($AG32/100),IF($O$5&gt;30,20+70*($AG32/100),IF($O$5&gt;20,40+55*($AG32/100),(80+(20-$O$5)+30*($AG32/100))))))))))</f>
        <v>100</v>
      </c>
      <c r="AI32" s="262"/>
      <c r="AJ32" s="262"/>
      <c r="AK32" s="262"/>
      <c r="AL32" s="263"/>
      <c r="AM32" s="264"/>
      <c r="AN32" s="263"/>
      <c r="AO32" s="263"/>
      <c r="AP32" s="265"/>
      <c r="AQ32" s="266"/>
      <c r="AR32" s="267"/>
      <c r="AS32" s="263">
        <v>24</v>
      </c>
      <c r="AT32" s="263"/>
      <c r="AU32" s="263"/>
      <c r="AV32" s="264"/>
      <c r="AW32" s="263"/>
      <c r="AX32" s="263"/>
      <c r="AY32" s="263"/>
      <c r="AZ32" s="263"/>
      <c r="BA32" s="263"/>
      <c r="BB32" s="263"/>
      <c r="BC32" s="263"/>
      <c r="BD32" s="264"/>
      <c r="BE32" s="263"/>
      <c r="BF32" s="263"/>
      <c r="BG32" s="263"/>
      <c r="BH32" s="263"/>
      <c r="BI32" s="263"/>
      <c r="BJ32" s="404">
        <f>altaz(J2000_Bas,$O32,$M32,DecLat,DecLong,2)</f>
        <v>339.4047068942491</v>
      </c>
      <c r="BK32" s="378" t="s">
        <v>3936</v>
      </c>
      <c r="BL32" s="379">
        <f>IF((2*G32)/60&lt;0.2,0.2,(2*G32)/60)</f>
        <v>0.23333333333333334</v>
      </c>
      <c r="BM32" s="380">
        <f>MOD((50000+AD32-$B$3+(0/24)),1)</f>
        <v>0.53579000572790392</v>
      </c>
      <c r="BN32" s="381"/>
      <c r="BO32" s="382">
        <v>32</v>
      </c>
    </row>
    <row r="33" spans="1:67" s="24" customFormat="1" ht="15" customHeight="1" x14ac:dyDescent="0.25">
      <c r="A33" s="414" t="s">
        <v>93</v>
      </c>
      <c r="B33" s="241" t="str">
        <f>HYPERLINK(CONCATENATE($AT$3,BK33,$AU$3),$AV$3)</f>
        <v>S</v>
      </c>
      <c r="C33" s="242" t="str">
        <f>HYPERLINK(CONCATENATE($AT$4,BK33,$AU$4,BL33),$AV$4)</f>
        <v>A</v>
      </c>
      <c r="D33" s="243" t="s">
        <v>5187</v>
      </c>
      <c r="E33" s="244" t="s">
        <v>5181</v>
      </c>
      <c r="F33" s="269" t="s">
        <v>9097</v>
      </c>
      <c r="G33" s="273">
        <v>3</v>
      </c>
      <c r="H33" s="271">
        <v>2500</v>
      </c>
      <c r="I33" s="245">
        <v>2.2000000000000002</v>
      </c>
      <c r="J33" s="246">
        <v>2</v>
      </c>
      <c r="K33" s="247" t="s">
        <v>3342</v>
      </c>
      <c r="L33" s="248">
        <v>80645</v>
      </c>
      <c r="M33" s="249">
        <f>15*(LEFT(TEXT($L33,"000000"),2)+(MID(TEXT($L33,"000000"),3,2)/60)+(RIGHT(TEXT($L33,"000000"),2)/3600))</f>
        <v>121.68749999999999</v>
      </c>
      <c r="N33" s="250">
        <v>-25243</v>
      </c>
      <c r="O33" s="251">
        <f>IF($N33&gt;0,(LEFT(TEXT($N33,"000000"),2)+(MID(TEXT($N33,"000000"),3,2)/60)+(RIGHT(TEXT($N33,"000000"),2)/3600)),-(MID(TEXT($N33,"000000"),2,2)+(MID(TEXT($N33,"000000"),4,2)/60)+(RIGHT(TEXT($N33,"000000"),2)/3600)))</f>
        <v>-2.8786111111111112</v>
      </c>
      <c r="P33" s="252" t="s">
        <v>47</v>
      </c>
      <c r="Q33" s="253"/>
      <c r="R33" s="247" t="s">
        <v>5495</v>
      </c>
      <c r="S33" s="272" t="s">
        <v>3293</v>
      </c>
      <c r="T33" s="273">
        <v>18</v>
      </c>
      <c r="U33" s="274"/>
      <c r="V33" s="256"/>
      <c r="W33" s="244"/>
      <c r="X33" s="244"/>
      <c r="Y33" s="362"/>
      <c r="Z33" s="257">
        <f>altaz(J2000_Bas,$O33,$M33,DecLat,DecLong,1)</f>
        <v>-58.219614774778677</v>
      </c>
      <c r="AA33" s="257">
        <f>altaz((J2000_Bas+(2*0.04167)),$O33,$M33,DecLat,DecLong,1)</f>
        <v>-58.765998133767923</v>
      </c>
      <c r="AB33" s="257">
        <f>altaz((J2000_Bas+(4*0.04167)),$O33,$M33,DecLat,DecLong,1)</f>
        <v>-39.541286197743815</v>
      </c>
      <c r="AC33" s="257">
        <f>altaz((J2000_Bas+(6*0.04167)),$O33,$M33,DecLat,DecLong,1)</f>
        <v>-14.693846813722242</v>
      </c>
      <c r="AD33" s="258">
        <f>1+ transit((J2000_Bas-1),$O33,$M33,DecLat,DecLong)/360 + (GMTOffset/24) + (IF(DST="Y", 1, 0)/24)</f>
        <v>1.3309207601609578</v>
      </c>
      <c r="AE33" s="259">
        <f>DATE(2001,9,21)+(M33/360)*365 - (360*((DecLong/360)- (GMTOffset/24) ))</f>
        <v>37283.377604166664</v>
      </c>
      <c r="AF33" s="260">
        <f>IF(DecLat&gt;0,IF((90 - (DecLat-O33))&gt;90, (90 - (O33-DecLat)), (90 - (DecLat-O33))),IF((90 + (DecLat-O33))&gt;90, (90 + (O33-DecLat)), (90 + (DecLat-O33))))</f>
        <v>56.121388888888887</v>
      </c>
      <c r="AG33" s="257">
        <f>angularseperation(MoonRA,MoonDec,$M33,$O33)</f>
        <v>121.27356893999747</v>
      </c>
      <c r="AH33" s="261">
        <f ca="1">MIN(100,IF($O$5&gt;80,0+30*($AG33/100),IF($O$5&gt;70,0+50*($AG33/100),IF($O$5&gt;60,5+50*($AG33/100),IF($O$5&gt;50,10+60*($AG33/100),IF($O$5&gt;40,15+70*($AG33/100),IF($O$5&gt;30,20+70*($AG33/100),IF($O$5&gt;20,40+55*($AG33/100),(80+(20-$O$5)+30*($AG33/100))))))))))</f>
        <v>100</v>
      </c>
      <c r="AI33" s="262"/>
      <c r="AJ33" s="262"/>
      <c r="AK33" s="262"/>
      <c r="AL33" s="263"/>
      <c r="AM33" s="264"/>
      <c r="AN33" s="263"/>
      <c r="AO33" s="263"/>
      <c r="AP33" s="265"/>
      <c r="AQ33" s="266"/>
      <c r="AR33" s="267"/>
      <c r="AS33" s="263">
        <v>25</v>
      </c>
      <c r="AT33" s="263"/>
      <c r="AU33" s="263">
        <v>113</v>
      </c>
      <c r="AV33" s="264"/>
      <c r="AW33" s="263"/>
      <c r="AX33" s="263"/>
      <c r="AY33" s="263"/>
      <c r="AZ33" s="263"/>
      <c r="BA33" s="263"/>
      <c r="BB33" s="263"/>
      <c r="BC33" s="263"/>
      <c r="BD33" s="264"/>
      <c r="BE33" s="263"/>
      <c r="BF33" s="263"/>
      <c r="BG33" s="263"/>
      <c r="BH33" s="263"/>
      <c r="BI33" s="263"/>
      <c r="BJ33" s="404">
        <f>altaz(J2000_Bas,$O33,$M33,DecLat,DecLong,2)</f>
        <v>329.15817222731829</v>
      </c>
      <c r="BK33" s="378" t="s">
        <v>3937</v>
      </c>
      <c r="BL33" s="379">
        <f>IF((2*G33)/60&lt;0.2,0.2,(2*G33)/60)</f>
        <v>0.2</v>
      </c>
      <c r="BM33" s="380">
        <f>MOD((50000+AD33-$B$3+(0/24)),1)</f>
        <v>0.54628768986731302</v>
      </c>
      <c r="BN33" s="381"/>
      <c r="BO33" s="382">
        <v>33</v>
      </c>
    </row>
    <row r="34" spans="1:67" s="24" customFormat="1" ht="15" customHeight="1" x14ac:dyDescent="0.25">
      <c r="A34" s="414" t="s">
        <v>94</v>
      </c>
      <c r="B34" s="241" t="str">
        <f>HYPERLINK(CONCATENATE($AT$3,BK34,$AU$3),$AV$3)</f>
        <v>S</v>
      </c>
      <c r="C34" s="242" t="str">
        <f>HYPERLINK(CONCATENATE($AT$4,BK34,$AU$4,BL34),$AV$4)</f>
        <v>A</v>
      </c>
      <c r="D34" s="243" t="s">
        <v>5187</v>
      </c>
      <c r="E34" s="244" t="s">
        <v>5181</v>
      </c>
      <c r="F34" s="269" t="s">
        <v>7491</v>
      </c>
      <c r="G34" s="270">
        <v>0.7</v>
      </c>
      <c r="H34" s="271">
        <v>11000</v>
      </c>
      <c r="I34" s="245">
        <v>2.1</v>
      </c>
      <c r="J34" s="246">
        <v>2</v>
      </c>
      <c r="K34" s="247" t="s">
        <v>3343</v>
      </c>
      <c r="L34" s="248">
        <v>80901</v>
      </c>
      <c r="M34" s="249">
        <f>15*(LEFT(TEXT($L34,"000000"),2)+(MID(TEXT($L34,"000000"),3,2)/60)+(RIGHT(TEXT($L34,"000000"),2)/3600))</f>
        <v>122.25416666666666</v>
      </c>
      <c r="N34" s="250">
        <v>-324015</v>
      </c>
      <c r="O34" s="251">
        <f>IF($N34&gt;0,(LEFT(TEXT($N34,"000000"),2)+(MID(TEXT($N34,"000000"),3,2)/60)+(RIGHT(TEXT($N34,"000000"),2)/3600)),-(MID(TEXT($N34,"000000"),2,2)+(MID(TEXT($N34,"000000"),4,2)/60)+(RIGHT(TEXT($N34,"000000"),2)/3600)))</f>
        <v>-32.670833333333334</v>
      </c>
      <c r="P34" s="252" t="s">
        <v>91</v>
      </c>
      <c r="Q34" s="253"/>
      <c r="R34" s="247" t="s">
        <v>3293</v>
      </c>
      <c r="S34" s="272" t="s">
        <v>3293</v>
      </c>
      <c r="T34" s="273">
        <v>18</v>
      </c>
      <c r="U34" s="274"/>
      <c r="V34" s="256"/>
      <c r="W34" s="244"/>
      <c r="X34" s="244"/>
      <c r="Y34" s="362"/>
      <c r="Z34" s="257">
        <f>altaz(J2000_Bas,$O34,$M34,DecLat,DecLong,1)</f>
        <v>-76.106405456529671</v>
      </c>
      <c r="AA34" s="257">
        <f>altaz((J2000_Bas+(2*0.04167)),$O34,$M34,DecLat,DecLong,1)</f>
        <v>-78.138543395632837</v>
      </c>
      <c r="AB34" s="257">
        <f>altaz((J2000_Bas+(4*0.04167)),$O34,$M34,DecLat,DecLong,1)</f>
        <v>-52.919093751885931</v>
      </c>
      <c r="AC34" s="257">
        <f>altaz((J2000_Bas+(6*0.04167)),$O34,$M34,DecLat,DecLong,1)</f>
        <v>-28.482140315536594</v>
      </c>
      <c r="AD34" s="258">
        <f>1+ transit((J2000_Bas-1),$O34,$M34,DecLat,DecLong)/360 + (GMTOffset/24) + (IF(DST="Y", 1, 0)/24)</f>
        <v>1.3324948340776246</v>
      </c>
      <c r="AE34" s="259">
        <f>DATE(2001,9,21)+(M34/360)*365 - (360*((DecLong/360)- (GMTOffset/24) ))</f>
        <v>37283.952141203707</v>
      </c>
      <c r="AF34" s="260">
        <f>IF(DecLat&gt;0,IF((90 - (DecLat-O34))&gt;90, (90 - (O34-DecLat)), (90 - (DecLat-O34))),IF((90 + (DecLat-O34))&gt;90, (90 + (O34-DecLat)), (90 + (DecLat-O34))))</f>
        <v>26.329166666666666</v>
      </c>
      <c r="AG34" s="257">
        <f>angularseperation(MoonRA,MoonDec,$M34,$O34)</f>
        <v>101.83781484928372</v>
      </c>
      <c r="AH34" s="261">
        <f ca="1">MIN(100,IF($O$5&gt;80,0+30*($AG34/100),IF($O$5&gt;70,0+50*($AG34/100),IF($O$5&gt;60,5+50*($AG34/100),IF($O$5&gt;50,10+60*($AG34/100),IF($O$5&gt;40,15+70*($AG34/100),IF($O$5&gt;30,20+70*($AG34/100),IF($O$5&gt;20,40+55*($AG34/100),(80+(20-$O$5)+30*($AG34/100))))))))))</f>
        <v>100</v>
      </c>
      <c r="AI34" s="262"/>
      <c r="AJ34" s="262"/>
      <c r="AK34" s="262"/>
      <c r="AL34" s="263"/>
      <c r="AM34" s="264"/>
      <c r="AN34" s="263"/>
      <c r="AO34" s="263"/>
      <c r="AP34" s="265"/>
      <c r="AQ34" s="266"/>
      <c r="AR34" s="267"/>
      <c r="AS34" s="263">
        <v>26</v>
      </c>
      <c r="AT34" s="263"/>
      <c r="AU34" s="263"/>
      <c r="AV34" s="264"/>
      <c r="AW34" s="263"/>
      <c r="AX34" s="263"/>
      <c r="AY34" s="263"/>
      <c r="AZ34" s="263"/>
      <c r="BA34" s="263"/>
      <c r="BB34" s="263"/>
      <c r="BC34" s="263"/>
      <c r="BD34" s="264"/>
      <c r="BE34" s="263"/>
      <c r="BF34" s="263"/>
      <c r="BG34" s="263"/>
      <c r="BH34" s="263"/>
      <c r="BI34" s="263"/>
      <c r="BJ34" s="404">
        <f>altaz(J2000_Bas,$O34,$M34,DecLat,DecLong,2)</f>
        <v>258.83851203216341</v>
      </c>
      <c r="BK34" s="378" t="s">
        <v>3938</v>
      </c>
      <c r="BL34" s="379">
        <f>IF((2*G34)/60&lt;0.2,0.2,(2*G34)/60)</f>
        <v>0.2</v>
      </c>
      <c r="BM34" s="380">
        <f>MOD((50000+AD34-$B$3+(0/24)),1)</f>
        <v>0.54786176377820084</v>
      </c>
      <c r="BN34" s="381" t="s">
        <v>9243</v>
      </c>
      <c r="BO34" s="382">
        <v>34</v>
      </c>
    </row>
    <row r="35" spans="1:67" s="24" customFormat="1" ht="15" customHeight="1" x14ac:dyDescent="0.25">
      <c r="A35" s="414" t="s">
        <v>95</v>
      </c>
      <c r="B35" s="241" t="str">
        <f>HYPERLINK(CONCATENATE($AT$3,BK35,$AU$3),$AV$3)</f>
        <v>S</v>
      </c>
      <c r="C35" s="242" t="str">
        <f>HYPERLINK(CONCATENATE($AT$4,BK35,$AU$4,BL35),$AV$4)</f>
        <v>A</v>
      </c>
      <c r="D35" s="243" t="s">
        <v>5187</v>
      </c>
      <c r="E35" s="244" t="s">
        <v>5181</v>
      </c>
      <c r="F35" s="269" t="s">
        <v>9098</v>
      </c>
      <c r="G35" s="273">
        <v>1</v>
      </c>
      <c r="H35" s="271">
        <v>7700</v>
      </c>
      <c r="I35" s="245">
        <v>2.1</v>
      </c>
      <c r="J35" s="246">
        <v>2</v>
      </c>
      <c r="K35" s="247" t="s">
        <v>3344</v>
      </c>
      <c r="L35" s="248">
        <v>83153</v>
      </c>
      <c r="M35" s="249">
        <f>15*(LEFT(TEXT($L35,"000000"),2)+(MID(TEXT($L35,"000000"),3,2)/60)+(RIGHT(TEXT($L35,"000000"),2)/3600))</f>
        <v>127.97083333333335</v>
      </c>
      <c r="N35" s="250">
        <v>-320607</v>
      </c>
      <c r="O35" s="251">
        <f>IF($N35&gt;0,(LEFT(TEXT($N35,"000000"),2)+(MID(TEXT($N35,"000000"),3,2)/60)+(RIGHT(TEXT($N35,"000000"),2)/3600)),-(MID(TEXT($N35,"000000"),2,2)+(MID(TEXT($N35,"000000"),4,2)/60)+(RIGHT(TEXT($N35,"000000"),2)/3600)))</f>
        <v>-32.101944444444449</v>
      </c>
      <c r="P35" s="252" t="s">
        <v>96</v>
      </c>
      <c r="Q35" s="253"/>
      <c r="R35" s="247" t="s">
        <v>5496</v>
      </c>
      <c r="S35" s="272" t="s">
        <v>3293</v>
      </c>
      <c r="T35" s="273">
        <v>16</v>
      </c>
      <c r="U35" s="274"/>
      <c r="V35" s="256"/>
      <c r="W35" s="244"/>
      <c r="X35" s="244"/>
      <c r="Y35" s="362"/>
      <c r="Z35" s="257">
        <f>altaz(J2000_Bas,$O35,$M35,DecLat,DecLong,1)</f>
        <v>-71.279120773806866</v>
      </c>
      <c r="AA35" s="257">
        <f>altaz((J2000_Bas+(2*0.04167)),$O35,$M35,DecLat,DecLong,1)</f>
        <v>-82.99801951018955</v>
      </c>
      <c r="AB35" s="257">
        <f>altaz((J2000_Bas+(4*0.04167)),$O35,$M35,DecLat,DecLong,1)</f>
        <v>-57.598805527404096</v>
      </c>
      <c r="AC35" s="257">
        <f>altaz((J2000_Bas+(6*0.04167)),$O35,$M35,DecLat,DecLong,1)</f>
        <v>-32.844005677917934</v>
      </c>
      <c r="AD35" s="258">
        <f>1+ transit((J2000_Bas-1),$O35,$M35,DecLat,DecLong)/360 + (GMTOffset/24) + (IF(DST="Y", 1, 0)/24)</f>
        <v>1.3483744621192912</v>
      </c>
      <c r="AE35" s="259">
        <f>DATE(2001,9,21)+(M35/360)*365 - (360*((DecLong/360)- (GMTOffset/24) ))</f>
        <v>37289.748206018521</v>
      </c>
      <c r="AF35" s="260">
        <f>IF(DecLat&gt;0,IF((90 - (DecLat-O35))&gt;90, (90 - (O35-DecLat)), (90 - (DecLat-O35))),IF((90 + (DecLat-O35))&gt;90, (90 + (O35-DecLat)), (90 + (DecLat-O35))))</f>
        <v>26.898055555555551</v>
      </c>
      <c r="AG35" s="257">
        <f>angularseperation(MoonRA,MoonDec,$M35,$O35)</f>
        <v>98.600467825769726</v>
      </c>
      <c r="AH35" s="261">
        <f ca="1">MIN(100,IF($O$5&gt;80,0+30*($AG35/100),IF($O$5&gt;70,0+50*($AG35/100),IF($O$5&gt;60,5+50*($AG35/100),IF($O$5&gt;50,10+60*($AG35/100),IF($O$5&gt;40,15+70*($AG35/100),IF($O$5&gt;30,20+70*($AG35/100),IF($O$5&gt;20,40+55*($AG35/100),(80+(20-$O$5)+30*($AG35/100))))))))))</f>
        <v>100</v>
      </c>
      <c r="AI35" s="262"/>
      <c r="AJ35" s="262"/>
      <c r="AK35" s="262"/>
      <c r="AL35" s="263"/>
      <c r="AM35" s="264"/>
      <c r="AN35" s="263"/>
      <c r="AO35" s="263"/>
      <c r="AP35" s="265"/>
      <c r="AQ35" s="266"/>
      <c r="AR35" s="267"/>
      <c r="AS35" s="263">
        <v>27</v>
      </c>
      <c r="AT35" s="263"/>
      <c r="AU35" s="263">
        <v>101</v>
      </c>
      <c r="AV35" s="264"/>
      <c r="AW35" s="263"/>
      <c r="AX35" s="263"/>
      <c r="AY35" s="263"/>
      <c r="AZ35" s="263"/>
      <c r="BA35" s="263"/>
      <c r="BB35" s="263"/>
      <c r="BC35" s="263"/>
      <c r="BD35" s="264"/>
      <c r="BE35" s="263"/>
      <c r="BF35" s="263"/>
      <c r="BG35" s="263"/>
      <c r="BH35" s="263"/>
      <c r="BI35" s="263"/>
      <c r="BJ35" s="404">
        <f>altaz(J2000_Bas,$O35,$M35,DecLat,DecLong,2)</f>
        <v>260.87330806002501</v>
      </c>
      <c r="BK35" s="378" t="s">
        <v>3939</v>
      </c>
      <c r="BL35" s="379">
        <f>IF((2*G35)/60&lt;0.2,0.2,(2*G35)/60)</f>
        <v>0.2</v>
      </c>
      <c r="BM35" s="380">
        <f>MOD((50000+AD35-$B$3+(0/24)),1)</f>
        <v>0.56374139182298677</v>
      </c>
      <c r="BN35" s="381" t="s">
        <v>9225</v>
      </c>
      <c r="BO35" s="382">
        <v>35</v>
      </c>
    </row>
    <row r="36" spans="1:67" s="24" customFormat="1" ht="15" customHeight="1" x14ac:dyDescent="0.25">
      <c r="A36" s="414" t="s">
        <v>97</v>
      </c>
      <c r="B36" s="241" t="str">
        <f>HYPERLINK(CONCATENATE($AT$3,BK36,$AU$3),$AV$3)</f>
        <v>S</v>
      </c>
      <c r="C36" s="242" t="str">
        <f>HYPERLINK(CONCATENATE($AT$4,BK36,$AU$4,BL36),$AV$4)</f>
        <v>A</v>
      </c>
      <c r="D36" s="243" t="s">
        <v>5187</v>
      </c>
      <c r="E36" s="244" t="s">
        <v>5181</v>
      </c>
      <c r="F36" s="269" t="s">
        <v>5213</v>
      </c>
      <c r="G36" s="273">
        <v>8</v>
      </c>
      <c r="H36" s="271">
        <v>1250</v>
      </c>
      <c r="I36" s="245">
        <v>3</v>
      </c>
      <c r="J36" s="246">
        <v>1</v>
      </c>
      <c r="K36" s="247" t="s">
        <v>3345</v>
      </c>
      <c r="L36" s="248">
        <v>84135</v>
      </c>
      <c r="M36" s="249">
        <f>15*(LEFT(TEXT($L36,"000000"),2)+(MID(TEXT($L36,"000000"),3,2)/60)+(RIGHT(TEXT($L36,"000000"),2)/3600))</f>
        <v>130.39583333333334</v>
      </c>
      <c r="N36" s="250">
        <v>581354</v>
      </c>
      <c r="O36" s="251">
        <f>IF($N36&gt;0,(LEFT(TEXT($N36,"000000"),2)+(MID(TEXT($N36,"000000"),3,2)/60)+(RIGHT(TEXT($N36,"000000"),2)/3600)),-(MID(TEXT($N36,"000000"),2,2)+(MID(TEXT($N36,"000000"),4,2)/60)+(RIGHT(TEXT($N36,"000000"),2)/3600)))</f>
        <v>58.231666666666669</v>
      </c>
      <c r="P36" s="252" t="s">
        <v>37</v>
      </c>
      <c r="Q36" s="253"/>
      <c r="R36" s="247" t="s">
        <v>3293</v>
      </c>
      <c r="S36" s="272" t="s">
        <v>3293</v>
      </c>
      <c r="T36" s="273">
        <v>14</v>
      </c>
      <c r="U36" s="274"/>
      <c r="V36" s="256"/>
      <c r="W36" s="244"/>
      <c r="X36" s="244"/>
      <c r="Y36" s="362"/>
      <c r="Z36" s="257">
        <f>altaz(J2000_Bas,$O36,$M36,DecLat,DecLong,1)</f>
        <v>1.5400449235336944</v>
      </c>
      <c r="AA36" s="257">
        <f>altaz((J2000_Bas+(2*0.04167)),$O36,$M36,DecLat,DecLong,1)</f>
        <v>-0.64086442497536045</v>
      </c>
      <c r="AB36" s="257">
        <f>altaz((J2000_Bas+(4*0.04167)),$O36,$M36,DecLat,DecLong,1)</f>
        <v>4.1141472304466724</v>
      </c>
      <c r="AC36" s="257">
        <f>altaz((J2000_Bas+(6*0.04167)),$O36,$M36,DecLat,DecLong,1)</f>
        <v>14.673970086125737</v>
      </c>
      <c r="AD36" s="258">
        <f>1+ transit((J2000_Bas-1),$O36,$M36,DecLat,DecLong)/360 + (GMTOffset/24) + (IF(DST="Y", 1, 0)/24)</f>
        <v>1.3551105725567913</v>
      </c>
      <c r="AE36" s="259">
        <f>DATE(2001,9,21)+(M36/360)*365 - (360*((DecLong/360)- (GMTOffset/24) ))</f>
        <v>37292.206886574073</v>
      </c>
      <c r="AF36" s="260">
        <f>IF(DecLat&gt;0,IF((90 - (DecLat-O36))&gt;90, (90 - (O36-DecLat)), (90 - (DecLat-O36))),IF((90 + (DecLat-O36))&gt;90, (90 + (O36-DecLat)), (90 + (DecLat-O36))))</f>
        <v>62.768333333333331</v>
      </c>
      <c r="AG36" s="257">
        <f>angularseperation(MoonRA,MoonDec,$M36,$O36)</f>
        <v>127.82411968434427</v>
      </c>
      <c r="AH36" s="261">
        <f ca="1">MIN(100,IF($O$5&gt;80,0+30*($AG36/100),IF($O$5&gt;70,0+50*($AG36/100),IF($O$5&gt;60,5+50*($AG36/100),IF($O$5&gt;50,10+60*($AG36/100),IF($O$5&gt;40,15+70*($AG36/100),IF($O$5&gt;30,20+70*($AG36/100),IF($O$5&gt;20,40+55*($AG36/100),(80+(20-$O$5)+30*($AG36/100))))))))))</f>
        <v>100</v>
      </c>
      <c r="AI36" s="262"/>
      <c r="AJ36" s="262"/>
      <c r="AK36" s="262"/>
      <c r="AL36" s="263"/>
      <c r="AM36" s="264"/>
      <c r="AN36" s="263"/>
      <c r="AO36" s="263"/>
      <c r="AP36" s="265"/>
      <c r="AQ36" s="266"/>
      <c r="AR36" s="267"/>
      <c r="AS36" s="263">
        <v>28</v>
      </c>
      <c r="AT36" s="263"/>
      <c r="AU36" s="263"/>
      <c r="AV36" s="264"/>
      <c r="AW36" s="263"/>
      <c r="AX36" s="263"/>
      <c r="AY36" s="263"/>
      <c r="AZ36" s="263"/>
      <c r="BA36" s="263"/>
      <c r="BB36" s="263"/>
      <c r="BC36" s="263"/>
      <c r="BD36" s="264"/>
      <c r="BE36" s="263"/>
      <c r="BF36" s="263"/>
      <c r="BG36" s="263"/>
      <c r="BH36" s="263"/>
      <c r="BI36" s="263"/>
      <c r="BJ36" s="404">
        <f>altaz(J2000_Bas,$O36,$M36,DecLat,DecLong,2)</f>
        <v>347.4368569987804</v>
      </c>
      <c r="BK36" s="378" t="s">
        <v>3940</v>
      </c>
      <c r="BL36" s="379">
        <f>IF((2*G36)/60&lt;0.2,0.2,(2*G36)/60)</f>
        <v>0.26666666666666666</v>
      </c>
      <c r="BM36" s="380">
        <f>MOD((50000+AD36-$B$3+(0/24)),1)</f>
        <v>0.57047750226047356</v>
      </c>
      <c r="BN36" s="381"/>
      <c r="BO36" s="382">
        <v>36</v>
      </c>
    </row>
    <row r="37" spans="1:67" s="24" customFormat="1" ht="15" customHeight="1" x14ac:dyDescent="0.25">
      <c r="A37" s="414" t="s">
        <v>98</v>
      </c>
      <c r="B37" s="241" t="str">
        <f>HYPERLINK(CONCATENATE($AT$3,BK37,$AU$3),$AV$3)</f>
        <v>S</v>
      </c>
      <c r="C37" s="242" t="str">
        <f>HYPERLINK(CONCATENATE($AT$4,BK37,$AU$4,BL37),$AV$4)</f>
        <v>A</v>
      </c>
      <c r="D37" s="243" t="s">
        <v>5187</v>
      </c>
      <c r="E37" s="244" t="s">
        <v>5181</v>
      </c>
      <c r="F37" s="269" t="s">
        <v>9099</v>
      </c>
      <c r="G37" s="273">
        <v>6</v>
      </c>
      <c r="H37" s="271">
        <v>3600</v>
      </c>
      <c r="I37" s="245">
        <v>6</v>
      </c>
      <c r="J37" s="246">
        <v>2</v>
      </c>
      <c r="K37" s="247" t="s">
        <v>3346</v>
      </c>
      <c r="L37" s="248">
        <v>84014</v>
      </c>
      <c r="M37" s="249">
        <f>15*(LEFT(TEXT($L37,"000000"),2)+(MID(TEXT($L37,"000000"),3,2)/60)+(RIGHT(TEXT($L37,"000000"),2)/3600))</f>
        <v>130.05833333333334</v>
      </c>
      <c r="N37" s="250">
        <v>-205341</v>
      </c>
      <c r="O37" s="251">
        <f>IF($N37&gt;0,(LEFT(TEXT($N37,"000000"),2)+(MID(TEXT($N37,"000000"),3,2)/60)+(RIGHT(TEXT($N37,"000000"),2)/3600)),-(MID(TEXT($N37,"000000"),2,2)+(MID(TEXT($N37,"000000"),4,2)/60)+(RIGHT(TEXT($N37,"000000"),2)/3600)))</f>
        <v>-20.894722222222221</v>
      </c>
      <c r="P37" s="252" t="s">
        <v>96</v>
      </c>
      <c r="Q37" s="253"/>
      <c r="R37" s="247" t="s">
        <v>3293</v>
      </c>
      <c r="S37" s="272" t="s">
        <v>3293</v>
      </c>
      <c r="T37" s="273">
        <v>14</v>
      </c>
      <c r="U37" s="274"/>
      <c r="V37" s="256"/>
      <c r="W37" s="244"/>
      <c r="X37" s="244"/>
      <c r="Y37" s="362"/>
      <c r="Z37" s="257">
        <f>altaz(J2000_Bas,$O37,$M37,DecLat,DecLong,1)</f>
        <v>-66.19683858257531</v>
      </c>
      <c r="AA37" s="257">
        <f>altaz((J2000_Bas+(2*0.04167)),$O37,$M37,DecLat,DecLong,1)</f>
        <v>-78.538352507423639</v>
      </c>
      <c r="AB37" s="257">
        <f>altaz((J2000_Bas+(4*0.04167)),$O37,$M37,DecLat,DecLong,1)</f>
        <v>-56.162022111115945</v>
      </c>
      <c r="AC37" s="257">
        <f>altaz((J2000_Bas+(6*0.04167)),$O37,$M37,DecLat,DecLong,1)</f>
        <v>-30.455832178869127</v>
      </c>
      <c r="AD37" s="258">
        <f>1+ transit((J2000_Bas-1),$O37,$M37,DecLat,DecLong)/360 + (GMTOffset/24) + (IF(DST="Y", 1, 0)/24)</f>
        <v>1.3541730726505412</v>
      </c>
      <c r="AE37" s="259">
        <f>DATE(2001,9,21)+(M37/360)*365 - (360*((DecLong/360)- (GMTOffset/24) ))</f>
        <v>37291.864699074074</v>
      </c>
      <c r="AF37" s="260">
        <f>IF(DecLat&gt;0,IF((90 - (DecLat-O37))&gt;90, (90 - (O37-DecLat)), (90 - (DecLat-O37))),IF((90 + (DecLat-O37))&gt;90, (90 + (O37-DecLat)), (90 + (DecLat-O37))))</f>
        <v>38.105277777777779</v>
      </c>
      <c r="AG37" s="257">
        <f>angularseperation(MoonRA,MoonDec,$M37,$O37)</f>
        <v>104.07577650974444</v>
      </c>
      <c r="AH37" s="261">
        <f ca="1">MIN(100,IF($O$5&gt;80,0+30*($AG37/100),IF($O$5&gt;70,0+50*($AG37/100),IF($O$5&gt;60,5+50*($AG37/100),IF($O$5&gt;50,10+60*($AG37/100),IF($O$5&gt;40,15+70*($AG37/100),IF($O$5&gt;30,20+70*($AG37/100),IF($O$5&gt;20,40+55*($AG37/100),(80+(20-$O$5)+30*($AG37/100))))))))))</f>
        <v>100</v>
      </c>
      <c r="AI37" s="262"/>
      <c r="AJ37" s="262"/>
      <c r="AK37" s="262"/>
      <c r="AL37" s="263"/>
      <c r="AM37" s="264"/>
      <c r="AN37" s="263"/>
      <c r="AO37" s="263"/>
      <c r="AP37" s="265"/>
      <c r="AQ37" s="266"/>
      <c r="AR37" s="267"/>
      <c r="AS37" s="263">
        <v>29</v>
      </c>
      <c r="AT37" s="263"/>
      <c r="AU37" s="263"/>
      <c r="AV37" s="264"/>
      <c r="AW37" s="263"/>
      <c r="AX37" s="263"/>
      <c r="AY37" s="263"/>
      <c r="AZ37" s="263"/>
      <c r="BA37" s="263"/>
      <c r="BB37" s="263"/>
      <c r="BC37" s="263"/>
      <c r="BD37" s="264"/>
      <c r="BE37" s="263"/>
      <c r="BF37" s="263"/>
      <c r="BG37" s="263"/>
      <c r="BH37" s="263"/>
      <c r="BI37" s="263"/>
      <c r="BJ37" s="404">
        <f>altaz(J2000_Bas,$O37,$M37,DecLat,DecLong,2)</f>
        <v>289.34115451609205</v>
      </c>
      <c r="BK37" s="378" t="s">
        <v>3941</v>
      </c>
      <c r="BL37" s="379">
        <f>IF((2*G37)/60&lt;0.2,0.2,(2*G37)/60)</f>
        <v>0.2</v>
      </c>
      <c r="BM37" s="380">
        <f>MOD((50000+AD37-$B$3+(0/24)),1)</f>
        <v>0.56954000235418789</v>
      </c>
      <c r="BN37" s="381"/>
      <c r="BO37" s="382">
        <v>37</v>
      </c>
    </row>
    <row r="38" spans="1:67" s="24" customFormat="1" ht="15" customHeight="1" x14ac:dyDescent="0.25">
      <c r="A38" s="414" t="s">
        <v>99</v>
      </c>
      <c r="B38" s="241" t="str">
        <f>HYPERLINK(CONCATENATE($AT$3,BK38,$AU$3),$AV$3)</f>
        <v>S</v>
      </c>
      <c r="C38" s="242" t="str">
        <f>HYPERLINK(CONCATENATE($AT$4,BK38,$AU$4,BL38),$AV$4)</f>
        <v>A</v>
      </c>
      <c r="D38" s="243" t="s">
        <v>5187</v>
      </c>
      <c r="E38" s="244" t="s">
        <v>5181</v>
      </c>
      <c r="F38" s="269" t="s">
        <v>5214</v>
      </c>
      <c r="G38" s="273">
        <v>2</v>
      </c>
      <c r="H38" s="271">
        <v>7000</v>
      </c>
      <c r="I38" s="245">
        <v>4</v>
      </c>
      <c r="J38" s="246">
        <v>3</v>
      </c>
      <c r="K38" s="247" t="s">
        <v>3347</v>
      </c>
      <c r="L38" s="248">
        <v>84654</v>
      </c>
      <c r="M38" s="249">
        <f>15*(LEFT(TEXT($L38,"000000"),2)+(MID(TEXT($L38,"000000"),3,2)/60)+(RIGHT(TEXT($L38,"000000"),2)/3600))</f>
        <v>131.72500000000002</v>
      </c>
      <c r="N38" s="250">
        <v>175233</v>
      </c>
      <c r="O38" s="251">
        <f>IF($N38&gt;0,(LEFT(TEXT($N38,"000000"),2)+(MID(TEXT($N38,"000000"),3,2)/60)+(RIGHT(TEXT($N38,"000000"),2)/3600)),-(MID(TEXT($N38,"000000"),2,2)+(MID(TEXT($N38,"000000"),4,2)/60)+(RIGHT(TEXT($N38,"000000"),2)/3600)))</f>
        <v>17.875833333333333</v>
      </c>
      <c r="P38" s="252" t="s">
        <v>100</v>
      </c>
      <c r="Q38" s="253"/>
      <c r="R38" s="247" t="s">
        <v>3293</v>
      </c>
      <c r="S38" s="272" t="s">
        <v>3293</v>
      </c>
      <c r="T38" s="273">
        <v>13</v>
      </c>
      <c r="U38" s="274"/>
      <c r="V38" s="256"/>
      <c r="W38" s="244"/>
      <c r="X38" s="244"/>
      <c r="Y38" s="362"/>
      <c r="Z38" s="257">
        <f>altaz(J2000_Bas,$O38,$M38,DecLat,DecLong,1)</f>
        <v>-35.229627782858472</v>
      </c>
      <c r="AA38" s="257">
        <f>altaz((J2000_Bas+(2*0.04167)),$O38,$M38,DecLat,DecLong,1)</f>
        <v>-40.944665722091806</v>
      </c>
      <c r="AB38" s="257">
        <f>altaz((J2000_Bas+(4*0.04167)),$O38,$M38,DecLat,DecLong,1)</f>
        <v>-30.973859950436943</v>
      </c>
      <c r="AC38" s="257">
        <f>altaz((J2000_Bas+(6*0.04167)),$O38,$M38,DecLat,DecLong,1)</f>
        <v>-11.110968759123937</v>
      </c>
      <c r="AD38" s="258">
        <f>1+ transit((J2000_Bas-1),$O38,$M38,DecLat,DecLong)/360 + (GMTOffset/24) + (IF(DST="Y", 1, 0)/24)</f>
        <v>1.358802701817208</v>
      </c>
      <c r="AE38" s="259">
        <f>DATE(2001,9,21)+(M38/360)*365 - (360*((DecLong/360)- (GMTOffset/24) ))</f>
        <v>37293.554513888892</v>
      </c>
      <c r="AF38" s="260">
        <f>IF(DecLat&gt;0,IF((90 - (DecLat-O38))&gt;90, (90 - (O38-DecLat)), (90 - (DecLat-O38))),IF((90 + (DecLat-O38))&gt;90, (90 + (O38-DecLat)), (90 + (DecLat-O38))))</f>
        <v>76.875833333333333</v>
      </c>
      <c r="AG38" s="257">
        <f>angularseperation(MoonRA,MoonDec,$M38,$O38)</f>
        <v>122.08953638326732</v>
      </c>
      <c r="AH38" s="261">
        <f ca="1">MIN(100,IF($O$5&gt;80,0+30*($AG38/100),IF($O$5&gt;70,0+50*($AG38/100),IF($O$5&gt;60,5+50*($AG38/100),IF($O$5&gt;50,10+60*($AG38/100),IF($O$5&gt;40,15+70*($AG38/100),IF($O$5&gt;30,20+70*($AG38/100),IF($O$5&gt;20,40+55*($AG38/100),(80+(20-$O$5)+30*($AG38/100))))))))))</f>
        <v>100</v>
      </c>
      <c r="AI38" s="262"/>
      <c r="AJ38" s="262"/>
      <c r="AK38" s="262"/>
      <c r="AL38" s="263"/>
      <c r="AM38" s="264"/>
      <c r="AN38" s="263"/>
      <c r="AO38" s="263"/>
      <c r="AP38" s="265"/>
      <c r="AQ38" s="266"/>
      <c r="AR38" s="267"/>
      <c r="AS38" s="263">
        <v>30</v>
      </c>
      <c r="AT38" s="263"/>
      <c r="AU38" s="263"/>
      <c r="AV38" s="264"/>
      <c r="AW38" s="263"/>
      <c r="AX38" s="263"/>
      <c r="AY38" s="263"/>
      <c r="AZ38" s="263"/>
      <c r="BA38" s="263"/>
      <c r="BB38" s="263"/>
      <c r="BC38" s="263"/>
      <c r="BD38" s="264"/>
      <c r="BE38" s="263"/>
      <c r="BF38" s="263"/>
      <c r="BG38" s="263"/>
      <c r="BH38" s="263"/>
      <c r="BI38" s="263"/>
      <c r="BJ38" s="404">
        <f>altaz(J2000_Bas,$O38,$M38,DecLat,DecLong,2)</f>
        <v>329.6238605969948</v>
      </c>
      <c r="BK38" s="378" t="s">
        <v>3942</v>
      </c>
      <c r="BL38" s="379">
        <f>IF((2*G38)/60&lt;0.2,0.2,(2*G38)/60)</f>
        <v>0.2</v>
      </c>
      <c r="BM38" s="380">
        <f>MOD((50000+AD38-$B$3+(0/24)),1)</f>
        <v>0.57416963152354583</v>
      </c>
      <c r="BN38" s="381"/>
      <c r="BO38" s="382">
        <v>38</v>
      </c>
    </row>
    <row r="39" spans="1:67" s="24" customFormat="1" ht="15" customHeight="1" x14ac:dyDescent="0.25">
      <c r="A39" s="414" t="s">
        <v>101</v>
      </c>
      <c r="B39" s="241" t="str">
        <f>HYPERLINK(CONCATENATE($AT$3,BK39,$AU$3),$AV$3)</f>
        <v>S</v>
      </c>
      <c r="C39" s="242" t="str">
        <f>HYPERLINK(CONCATENATE($AT$4,BK39,$AU$4,BL39),$AV$4)</f>
        <v>A</v>
      </c>
      <c r="D39" s="243" t="s">
        <v>5187</v>
      </c>
      <c r="E39" s="244" t="s">
        <v>5181</v>
      </c>
      <c r="F39" s="269" t="s">
        <v>5215</v>
      </c>
      <c r="G39" s="276">
        <v>15</v>
      </c>
      <c r="H39" s="271">
        <v>1800</v>
      </c>
      <c r="I39" s="245">
        <v>8</v>
      </c>
      <c r="J39" s="246">
        <v>4</v>
      </c>
      <c r="K39" s="247" t="s">
        <v>9358</v>
      </c>
      <c r="L39" s="248">
        <v>85413</v>
      </c>
      <c r="M39" s="249">
        <f>15*(LEFT(TEXT($L39,"000000"),2)+(MID(TEXT($L39,"000000"),3,2)/60)+(RIGHT(TEXT($L39,"000000"),2)/3600))</f>
        <v>133.55416666666667</v>
      </c>
      <c r="N39" s="250">
        <v>85359</v>
      </c>
      <c r="O39" s="251">
        <f>IF($N39&gt;0,(LEFT(TEXT($N39,"000000"),2)+(MID(TEXT($N39,"000000"),3,2)/60)+(RIGHT(TEXT($N39,"000000"),2)/3600)),-(MID(TEXT($N39,"000000"),2,2)+(MID(TEXT($N39,"000000"),4,2)/60)+(RIGHT(TEXT($N39,"000000"),2)/3600)))</f>
        <v>8.8997222222222216</v>
      </c>
      <c r="P39" s="252" t="s">
        <v>100</v>
      </c>
      <c r="Q39" s="253"/>
      <c r="R39" s="247" t="s">
        <v>3349</v>
      </c>
      <c r="S39" s="272" t="s">
        <v>3348</v>
      </c>
      <c r="T39" s="273">
        <v>12</v>
      </c>
      <c r="U39" s="274"/>
      <c r="V39" s="256"/>
      <c r="W39" s="244"/>
      <c r="X39" s="244"/>
      <c r="Y39" s="362"/>
      <c r="Z39" s="257">
        <f>altaz(J2000_Bas,$O39,$M39,DecLat,DecLong,1)</f>
        <v>-42.154463475280565</v>
      </c>
      <c r="AA39" s="257">
        <f>altaz((J2000_Bas+(2*0.04167)),$O39,$M39,DecLat,DecLong,1)</f>
        <v>-50.026426311556904</v>
      </c>
      <c r="AB39" s="257">
        <f>altaz((J2000_Bas+(4*0.04167)),$O39,$M39,DecLat,DecLong,1)</f>
        <v>-39.316943966808211</v>
      </c>
      <c r="AC39" s="257">
        <f>altaz((J2000_Bas+(6*0.04167)),$O39,$M39,DecLat,DecLong,1)</f>
        <v>-17.980873617033382</v>
      </c>
      <c r="AD39" s="258">
        <f>1+ transit((J2000_Bas-1),$O39,$M39,DecLat,DecLong)/360 + (GMTOffset/24) + (IF(DST="Y", 1, 0)/24)</f>
        <v>1.3638837198276248</v>
      </c>
      <c r="AE39" s="259">
        <f>DATE(2001,9,21)+(M39/360)*365 - (360*((DecLong/360)- (GMTOffset/24) ))</f>
        <v>37295.409085648149</v>
      </c>
      <c r="AF39" s="260">
        <f>IF(DecLat&gt;0,IF((90 - (DecLat-O39))&gt;90, (90 - (O39-DecLat)), (90 - (DecLat-O39))),IF((90 + (DecLat-O39))&gt;90, (90 + (O39-DecLat)), (90 + (DecLat-O39))))</f>
        <v>67.899722222222223</v>
      </c>
      <c r="AG39" s="257">
        <f>angularseperation(MoonRA,MoonDec,$M39,$O39)</f>
        <v>116.85427262510817</v>
      </c>
      <c r="AH39" s="261">
        <f ca="1">MIN(100,IF($O$5&gt;80,0+30*($AG39/100),IF($O$5&gt;70,0+50*($AG39/100),IF($O$5&gt;60,5+50*($AG39/100),IF($O$5&gt;50,10+60*($AG39/100),IF($O$5&gt;40,15+70*($AG39/100),IF($O$5&gt;30,20+70*($AG39/100),IF($O$5&gt;20,40+55*($AG39/100),(80+(20-$O$5)+30*($AG39/100))))))))))</f>
        <v>100</v>
      </c>
      <c r="AI39" s="262"/>
      <c r="AJ39" s="262"/>
      <c r="AK39" s="262"/>
      <c r="AL39" s="263"/>
      <c r="AM39" s="264"/>
      <c r="AN39" s="263"/>
      <c r="AO39" s="263"/>
      <c r="AP39" s="265"/>
      <c r="AQ39" s="266"/>
      <c r="AR39" s="267"/>
      <c r="AS39" s="263">
        <v>31</v>
      </c>
      <c r="AT39" s="263"/>
      <c r="AU39" s="263"/>
      <c r="AV39" s="264"/>
      <c r="AW39" s="263"/>
      <c r="AX39" s="263"/>
      <c r="AY39" s="263"/>
      <c r="AZ39" s="263"/>
      <c r="BA39" s="263"/>
      <c r="BB39" s="263">
        <v>290</v>
      </c>
      <c r="BC39" s="263"/>
      <c r="BD39" s="264"/>
      <c r="BE39" s="263"/>
      <c r="BF39" s="263"/>
      <c r="BG39" s="263"/>
      <c r="BH39" s="263"/>
      <c r="BI39" s="263">
        <v>61</v>
      </c>
      <c r="BJ39" s="404">
        <f>altaz(J2000_Bas,$O39,$M39,DecLat,DecLong,2)</f>
        <v>321.94464607623075</v>
      </c>
      <c r="BK39" s="378" t="s">
        <v>3943</v>
      </c>
      <c r="BL39" s="379">
        <f>IF((2*G39)/60&lt;0.2,0.2,(2*G39)/60)</f>
        <v>0.5</v>
      </c>
      <c r="BM39" s="380">
        <f>MOD((50000+AD39-$B$3+(0/24)),1)</f>
        <v>0.57925064953451511</v>
      </c>
      <c r="BN39" s="381" t="s">
        <v>8647</v>
      </c>
      <c r="BO39" s="382">
        <v>39</v>
      </c>
    </row>
    <row r="40" spans="1:67" s="24" customFormat="1" ht="15" customHeight="1" x14ac:dyDescent="0.25">
      <c r="A40" s="414" t="s">
        <v>102</v>
      </c>
      <c r="B40" s="241" t="str">
        <f>HYPERLINK(CONCATENATE($AT$3,BK40,$AU$3),$AV$3)</f>
        <v>S</v>
      </c>
      <c r="C40" s="242" t="str">
        <f>HYPERLINK(CONCATENATE($AT$4,BK40,$AU$4,BL40),$AV$4)</f>
        <v>A</v>
      </c>
      <c r="D40" s="243" t="s">
        <v>5187</v>
      </c>
      <c r="E40" s="244" t="s">
        <v>5181</v>
      </c>
      <c r="F40" s="269" t="s">
        <v>5218</v>
      </c>
      <c r="G40" s="273">
        <v>4</v>
      </c>
      <c r="H40" s="271">
        <v>2500</v>
      </c>
      <c r="I40" s="245">
        <v>3</v>
      </c>
      <c r="J40" s="246">
        <v>4</v>
      </c>
      <c r="K40" s="247" t="s">
        <v>3351</v>
      </c>
      <c r="L40" s="248">
        <v>93909</v>
      </c>
      <c r="M40" s="249">
        <f>15*(LEFT(TEXT($L40,"000000"),2)+(MID(TEXT($L40,"000000"),3,2)/60)+(RIGHT(TEXT($L40,"000000"),2)/3600))</f>
        <v>144.78749999999999</v>
      </c>
      <c r="N40" s="250">
        <v>-24833</v>
      </c>
      <c r="O40" s="251">
        <f>IF($N40&gt;0,(LEFT(TEXT($N40,"000000"),2)+(MID(TEXT($N40,"000000"),3,2)/60)+(RIGHT(TEXT($N40,"000000"),2)/3600)),-(MID(TEXT($N40,"000000"),2,2)+(MID(TEXT($N40,"000000"),4,2)/60)+(RIGHT(TEXT($N40,"000000"),2)/3600)))</f>
        <v>-2.8091666666666666</v>
      </c>
      <c r="P40" s="252" t="s">
        <v>103</v>
      </c>
      <c r="Q40" s="253" t="s">
        <v>6967</v>
      </c>
      <c r="R40" s="247" t="s">
        <v>3293</v>
      </c>
      <c r="S40" s="272" t="s">
        <v>3293</v>
      </c>
      <c r="T40" s="273">
        <v>13</v>
      </c>
      <c r="U40" s="274"/>
      <c r="V40" s="256"/>
      <c r="W40" s="244"/>
      <c r="X40" s="244"/>
      <c r="Y40" s="362"/>
      <c r="Z40" s="257">
        <f>altaz(J2000_Bas,$O40,$M40,DecLat,DecLong,1)</f>
        <v>-43.83656658639412</v>
      </c>
      <c r="AA40" s="257">
        <f>altaz((J2000_Bas+(2*0.04167)),$O40,$M40,DecLat,DecLong,1)</f>
        <v>-60.636631469360189</v>
      </c>
      <c r="AB40" s="257">
        <f>altaz((J2000_Bas+(4*0.04167)),$O40,$M40,DecLat,DecLong,1)</f>
        <v>-55.329737160459281</v>
      </c>
      <c r="AC40" s="257">
        <f>altaz((J2000_Bas+(6*0.04167)),$O40,$M40,DecLat,DecLong,1)</f>
        <v>-33.956617482947969</v>
      </c>
      <c r="AD40" s="258">
        <f>1+ transit((J2000_Bas-1),$O40,$M40,DecLat,DecLong)/360 + (GMTOffset/24) + (IF(DST="Y", 1, 0)/24)</f>
        <v>1.395087420410958</v>
      </c>
      <c r="AE40" s="259">
        <f>DATE(2001,9,21)+(M40/360)*365 - (360*((DecLong/360)- (GMTOffset/24) ))</f>
        <v>37306.798437500001</v>
      </c>
      <c r="AF40" s="260">
        <f>IF(DecLat&gt;0,IF((90 - (DecLat-O40))&gt;90, (90 - (O40-DecLat)), (90 - (DecLat-O40))),IF((90 + (DecLat-O40))&gt;90, (90 + (O40-DecLat)), (90 + (DecLat-O40))))</f>
        <v>56.19083333333333</v>
      </c>
      <c r="AG40" s="257">
        <f>angularseperation(MoonRA,MoonDec,$M40,$O40)</f>
        <v>101.51685687686357</v>
      </c>
      <c r="AH40" s="261">
        <f ca="1">MIN(100,IF($O$5&gt;80,0+30*($AG40/100),IF($O$5&gt;70,0+50*($AG40/100),IF($O$5&gt;60,5+50*($AG40/100),IF($O$5&gt;50,10+60*($AG40/100),IF($O$5&gt;40,15+70*($AG40/100),IF($O$5&gt;30,20+70*($AG40/100),IF($O$5&gt;20,40+55*($AG40/100),(80+(20-$O$5)+30*($AG40/100))))))))))</f>
        <v>100</v>
      </c>
      <c r="AI40" s="262"/>
      <c r="AJ40" s="262"/>
      <c r="AK40" s="262"/>
      <c r="AL40" s="263"/>
      <c r="AM40" s="264"/>
      <c r="AN40" s="263"/>
      <c r="AO40" s="263"/>
      <c r="AP40" s="265"/>
      <c r="AQ40" s="266"/>
      <c r="AR40" s="267"/>
      <c r="AS40" s="263">
        <v>33</v>
      </c>
      <c r="AT40" s="263"/>
      <c r="AU40" s="263"/>
      <c r="AV40" s="264"/>
      <c r="AW40" s="263"/>
      <c r="AX40" s="263"/>
      <c r="AY40" s="263"/>
      <c r="AZ40" s="263"/>
      <c r="BA40" s="263"/>
      <c r="BB40" s="263"/>
      <c r="BC40" s="263"/>
      <c r="BD40" s="264"/>
      <c r="BE40" s="263"/>
      <c r="BF40" s="263"/>
      <c r="BG40" s="263">
        <v>49</v>
      </c>
      <c r="BH40" s="263"/>
      <c r="BI40" s="263"/>
      <c r="BJ40" s="404">
        <f>altaz(J2000_Bas,$O40,$M40,DecLat,DecLong,2)</f>
        <v>299.84629441464472</v>
      </c>
      <c r="BK40" s="378" t="s">
        <v>3944</v>
      </c>
      <c r="BL40" s="379">
        <f>IF((2*G40)/60&lt;0.2,0.2,(2*G40)/60)</f>
        <v>0.2</v>
      </c>
      <c r="BM40" s="380">
        <f>MOD((50000+AD40-$B$3+(0/24)),1)</f>
        <v>0.61045435011328664</v>
      </c>
      <c r="BN40" s="381" t="s">
        <v>9246</v>
      </c>
      <c r="BO40" s="382">
        <v>40</v>
      </c>
    </row>
    <row r="41" spans="1:67" s="24" customFormat="1" ht="15" customHeight="1" x14ac:dyDescent="0.25">
      <c r="A41" s="414" t="s">
        <v>104</v>
      </c>
      <c r="B41" s="241" t="str">
        <f>HYPERLINK(CONCATENATE($AT$3,BK41,$AU$3),$AV$3)</f>
        <v>S</v>
      </c>
      <c r="C41" s="242" t="str">
        <f>HYPERLINK(CONCATENATE($AT$4,BK41,$AU$4,BL41),$AV$4)</f>
        <v>A</v>
      </c>
      <c r="D41" s="243" t="s">
        <v>5187</v>
      </c>
      <c r="E41" s="244" t="s">
        <v>5181</v>
      </c>
      <c r="F41" s="269" t="s">
        <v>9100</v>
      </c>
      <c r="G41" s="273">
        <v>5</v>
      </c>
      <c r="H41" s="271">
        <v>2400</v>
      </c>
      <c r="I41" s="245">
        <v>3.3</v>
      </c>
      <c r="J41" s="246">
        <v>2</v>
      </c>
      <c r="K41" s="247" t="s">
        <v>3352</v>
      </c>
      <c r="L41" s="248">
        <v>94535</v>
      </c>
      <c r="M41" s="249">
        <f>15*(LEFT(TEXT($L41,"000000"),2)+(MID(TEXT($L41,"000000"),3,2)/60)+(RIGHT(TEXT($L41,"000000"),2)/3600))</f>
        <v>146.39583333333334</v>
      </c>
      <c r="N41" s="250">
        <v>-131014</v>
      </c>
      <c r="O41" s="251">
        <f>IF($N41&gt;0,(LEFT(TEXT($N41,"000000"),2)+(MID(TEXT($N41,"000000"),3,2)/60)+(RIGHT(TEXT($N41,"000000"),2)/3600)),-(MID(TEXT($N41,"000000"),2,2)+(MID(TEXT($N41,"000000"),4,2)/60)+(RIGHT(TEXT($N41,"000000"),2)/3600)))</f>
        <v>-13.170555555555556</v>
      </c>
      <c r="P41" s="252" t="s">
        <v>103</v>
      </c>
      <c r="Q41" s="253"/>
      <c r="R41" s="247" t="s">
        <v>3293</v>
      </c>
      <c r="S41" s="272" t="s">
        <v>3293</v>
      </c>
      <c r="T41" s="273">
        <v>15</v>
      </c>
      <c r="U41" s="274"/>
      <c r="V41" s="256"/>
      <c r="W41" s="244"/>
      <c r="X41" s="244"/>
      <c r="Y41" s="362"/>
      <c r="Z41" s="257">
        <f>altaz(J2000_Bas,$O41,$M41,DecLat,DecLong,1)</f>
        <v>-48.851902976178351</v>
      </c>
      <c r="AA41" s="257">
        <f>altaz((J2000_Bas+(2*0.04167)),$O41,$M41,DecLat,DecLong,1)</f>
        <v>-69.801111376197497</v>
      </c>
      <c r="AB41" s="257">
        <f>altaz((J2000_Bas+(4*0.04167)),$O41,$M41,DecLat,DecLong,1)</f>
        <v>-64.521795781549429</v>
      </c>
      <c r="AC41" s="257">
        <f>altaz((J2000_Bas+(6*0.04167)),$O41,$M41,DecLat,DecLong,1)</f>
        <v>-40.94932687772198</v>
      </c>
      <c r="AD41" s="258">
        <f>1+ transit((J2000_Bas-1),$O41,$M41,DecLat,DecLong)/360 + (GMTOffset/24) + (IF(DST="Y", 1, 0)/24)</f>
        <v>1.3995550125567913</v>
      </c>
      <c r="AE41" s="259">
        <f>DATE(2001,9,21)+(M41/360)*365 - (360*((DecLong/360)- (GMTOffset/24) ))</f>
        <v>37308.429108796299</v>
      </c>
      <c r="AF41" s="260">
        <f>IF(DecLat&gt;0,IF((90 - (DecLat-O41))&gt;90, (90 - (O41-DecLat)), (90 - (DecLat-O41))),IF((90 + (DecLat-O41))&gt;90, (90 + (O41-DecLat)), (90 + (DecLat-O41))))</f>
        <v>45.829444444444448</v>
      </c>
      <c r="AG41" s="257">
        <f>angularseperation(MoonRA,MoonDec,$M41,$O41)</f>
        <v>95.10635560668733</v>
      </c>
      <c r="AH41" s="261">
        <f ca="1">MIN(100,IF($O$5&gt;80,0+30*($AG41/100),IF($O$5&gt;70,0+50*($AG41/100),IF($O$5&gt;60,5+50*($AG41/100),IF($O$5&gt;50,10+60*($AG41/100),IF($O$5&gt;40,15+70*($AG41/100),IF($O$5&gt;30,20+70*($AG41/100),IF($O$5&gt;20,40+55*($AG41/100),(80+(20-$O$5)+30*($AG41/100))))))))))</f>
        <v>100</v>
      </c>
      <c r="AI41" s="262"/>
      <c r="AJ41" s="262"/>
      <c r="AK41" s="262"/>
      <c r="AL41" s="263"/>
      <c r="AM41" s="264"/>
      <c r="AN41" s="263"/>
      <c r="AO41" s="263"/>
      <c r="AP41" s="265"/>
      <c r="AQ41" s="266"/>
      <c r="AR41" s="267"/>
      <c r="AS41" s="263">
        <v>34</v>
      </c>
      <c r="AT41" s="263"/>
      <c r="AU41" s="263"/>
      <c r="AV41" s="264"/>
      <c r="AW41" s="263"/>
      <c r="AX41" s="263"/>
      <c r="AY41" s="263"/>
      <c r="AZ41" s="263"/>
      <c r="BA41" s="263"/>
      <c r="BB41" s="263"/>
      <c r="BC41" s="263"/>
      <c r="BD41" s="264"/>
      <c r="BE41" s="263"/>
      <c r="BF41" s="263"/>
      <c r="BG41" s="263"/>
      <c r="BH41" s="263"/>
      <c r="BI41" s="263"/>
      <c r="BJ41" s="404">
        <f>altaz(J2000_Bas,$O41,$M41,DecLat,DecLong,2)</f>
        <v>286.4775298979053</v>
      </c>
      <c r="BK41" s="378" t="s">
        <v>3945</v>
      </c>
      <c r="BL41" s="379">
        <f>IF((2*G41)/60&lt;0.2,0.2,(2*G41)/60)</f>
        <v>0.2</v>
      </c>
      <c r="BM41" s="380">
        <f>MOD((50000+AD41-$B$3+(0/24)),1)</f>
        <v>0.61492194225866115</v>
      </c>
      <c r="BN41" s="381" t="s">
        <v>8643</v>
      </c>
      <c r="BO41" s="382">
        <v>41</v>
      </c>
    </row>
    <row r="42" spans="1:67" s="24" customFormat="1" ht="15" customHeight="1" x14ac:dyDescent="0.25">
      <c r="A42" s="414" t="s">
        <v>105</v>
      </c>
      <c r="B42" s="241" t="str">
        <f>HYPERLINK(CONCATENATE($AT$3,BK42,$AU$3),$AV$3)</f>
        <v>S</v>
      </c>
      <c r="C42" s="242" t="str">
        <f>HYPERLINK(CONCATENATE($AT$4,BK42,$AU$4,BL42),$AV$4)</f>
        <v>A</v>
      </c>
      <c r="D42" s="243" t="s">
        <v>5187</v>
      </c>
      <c r="E42" s="244" t="s">
        <v>5183</v>
      </c>
      <c r="F42" s="269" t="s">
        <v>9164</v>
      </c>
      <c r="G42" s="276">
        <v>32</v>
      </c>
      <c r="H42" s="271">
        <v>600</v>
      </c>
      <c r="I42" s="245">
        <v>5.5</v>
      </c>
      <c r="J42" s="246">
        <v>4</v>
      </c>
      <c r="K42" s="247" t="s">
        <v>4881</v>
      </c>
      <c r="L42" s="248">
        <v>125341</v>
      </c>
      <c r="M42" s="249">
        <f>15*(LEFT(TEXT($L42,"000000"),2)+(MID(TEXT($L42,"000000"),3,2)/60)+(RIGHT(TEXT($L42,"000000"),2)/3600))</f>
        <v>193.42083333333332</v>
      </c>
      <c r="N42" s="250">
        <v>-225142</v>
      </c>
      <c r="O42" s="251">
        <f>IF($N42&gt;0,(LEFT(TEXT($N42,"000000"),2)+(MID(TEXT($N42,"000000"),3,2)/60)+(RIGHT(TEXT($N42,"000000"),2)/3600)),-(MID(TEXT($N42,"000000"),2,2)+(MID(TEXT($N42,"000000"),4,2)/60)+(RIGHT(TEXT($N42,"000000"),2)/3600)))</f>
        <v>-22.861666666666668</v>
      </c>
      <c r="P42" s="252" t="s">
        <v>103</v>
      </c>
      <c r="Q42" s="253"/>
      <c r="R42" s="247" t="s">
        <v>3350</v>
      </c>
      <c r="S42" s="272" t="s">
        <v>3293</v>
      </c>
      <c r="T42" s="273">
        <v>10</v>
      </c>
      <c r="U42" s="274"/>
      <c r="V42" s="256"/>
      <c r="W42" s="244"/>
      <c r="X42" s="244"/>
      <c r="Y42" s="362"/>
      <c r="Z42" s="257">
        <f>altaz(J2000_Bas,$O42,$M42,DecLat,DecLong,1)</f>
        <v>-13.63139403371807</v>
      </c>
      <c r="AA42" s="257">
        <f>altaz((J2000_Bas+(2*0.04167)),$O42,$M42,DecLat,DecLong,1)</f>
        <v>-38.785402438736952</v>
      </c>
      <c r="AB42" s="257">
        <f>altaz((J2000_Bas+(4*0.04167)),$O42,$M42,DecLat,DecLong,1)</f>
        <v>-64.458976264978631</v>
      </c>
      <c r="AC42" s="257">
        <f>altaz((J2000_Bas+(6*0.04167)),$O42,$M42,DecLat,DecLong,1)</f>
        <v>-81.479226948535455</v>
      </c>
      <c r="AD42" s="258">
        <f>1+ transit((J2000_Bas-1),$O42,$M42,DecLat,DecLong)/360 + (GMTOffset/24) + (IF(DST="Y", 1, 0)/24)</f>
        <v>1.5301799994942913</v>
      </c>
      <c r="AE42" s="259">
        <f>DATE(2001,9,21)+(M42/360)*365 - (360*((DecLong/360)- (GMTOffset/24) ))</f>
        <v>37356.107233796298</v>
      </c>
      <c r="AF42" s="260">
        <f>IF(DecLat&gt;0,IF((90 - (DecLat-O42))&gt;90, (90 - (O42-DecLat)), (90 - (DecLat-O42))),IF((90 + (DecLat-O42))&gt;90, (90 + (O42-DecLat)), (90 + (DecLat-O42))))</f>
        <v>36.138333333333335</v>
      </c>
      <c r="AG42" s="257">
        <f>angularseperation(MoonRA,MoonDec,$M42,$O42)</f>
        <v>50.374291089779518</v>
      </c>
      <c r="AH42" s="261">
        <f ca="1">MIN(100,IF($O$5&gt;80,0+30*($AG42/100),IF($O$5&gt;70,0+50*($AG42/100),IF($O$5&gt;60,5+50*($AG42/100),IF($O$5&gt;50,10+60*($AG42/100),IF($O$5&gt;40,15+70*($AG42/100),IF($O$5&gt;30,20+70*($AG42/100),IF($O$5&gt;20,40+55*($AG42/100),(80+(20-$O$5)+30*($AG42/100))))))))))</f>
        <v>98.38334767108428</v>
      </c>
      <c r="AI42" s="262"/>
      <c r="AJ42" s="262"/>
      <c r="AK42" s="262"/>
      <c r="AL42" s="263"/>
      <c r="AM42" s="264"/>
      <c r="AN42" s="263"/>
      <c r="AO42" s="263"/>
      <c r="AP42" s="265"/>
      <c r="AQ42" s="266"/>
      <c r="AR42" s="267"/>
      <c r="AS42" s="263">
        <v>35</v>
      </c>
      <c r="AT42" s="263"/>
      <c r="AU42" s="263"/>
      <c r="AV42" s="264"/>
      <c r="AW42" s="263"/>
      <c r="AX42" s="263"/>
      <c r="AY42" s="263"/>
      <c r="AZ42" s="263"/>
      <c r="BA42" s="263"/>
      <c r="BB42" s="263">
        <v>313</v>
      </c>
      <c r="BC42" s="263"/>
      <c r="BD42" s="264"/>
      <c r="BE42" s="263"/>
      <c r="BF42" s="263"/>
      <c r="BG42" s="263">
        <v>57</v>
      </c>
      <c r="BH42" s="263"/>
      <c r="BI42" s="263"/>
      <c r="BJ42" s="404">
        <f>altaz(J2000_Bas,$O42,$M42,DecLat,DecLong,2)</f>
        <v>251.29649553356427</v>
      </c>
      <c r="BK42" s="378" t="s">
        <v>3946</v>
      </c>
      <c r="BL42" s="379">
        <f>IF((2*G42)/60&lt;0.2,0.2,(2*G42)/60)</f>
        <v>1.0666666666666667</v>
      </c>
      <c r="BM42" s="380">
        <f>MOD((50000+AD42-$B$3+(0/24)),1)</f>
        <v>0.74554692919627996</v>
      </c>
      <c r="BN42" s="381" t="s">
        <v>9217</v>
      </c>
      <c r="BO42" s="382">
        <v>42</v>
      </c>
    </row>
    <row r="43" spans="1:67" s="24" customFormat="1" ht="15" customHeight="1" x14ac:dyDescent="0.25">
      <c r="A43" s="414" t="s">
        <v>106</v>
      </c>
      <c r="B43" s="241" t="str">
        <f>HYPERLINK(CONCATENATE($AT$3,BK43,$AU$3),$AV$3)</f>
        <v>S</v>
      </c>
      <c r="C43" s="242" t="str">
        <f>HYPERLINK(CONCATENATE($AT$4,BK43,$AU$4,BL43),$AV$4)</f>
        <v>A</v>
      </c>
      <c r="D43" s="243" t="s">
        <v>5187</v>
      </c>
      <c r="E43" s="244" t="s">
        <v>5181</v>
      </c>
      <c r="F43" s="269" t="s">
        <v>9110</v>
      </c>
      <c r="G43" s="273">
        <v>8</v>
      </c>
      <c r="H43" s="271">
        <v>800</v>
      </c>
      <c r="I43" s="245">
        <v>2</v>
      </c>
      <c r="J43" s="246">
        <v>2</v>
      </c>
      <c r="K43" s="247" t="s">
        <v>4882</v>
      </c>
      <c r="L43" s="248">
        <v>134041</v>
      </c>
      <c r="M43" s="249">
        <f>15*(LEFT(TEXT($L43,"000000"),2)+(MID(TEXT($L43,"000000"),3,2)/60)+(RIGHT(TEXT($L43,"000000"),2)/3600))</f>
        <v>205.17083333333332</v>
      </c>
      <c r="N43" s="250">
        <v>-195257</v>
      </c>
      <c r="O43" s="251">
        <f>IF($N43&gt;0,(LEFT(TEXT($N43,"000000"),2)+(MID(TEXT($N43,"000000"),3,2)/60)+(RIGHT(TEXT($N43,"000000"),2)/3600)),-(MID(TEXT($N43,"000000"),2,2)+(MID(TEXT($N43,"000000"),4,2)/60)+(RIGHT(TEXT($N43,"000000"),2)/3600)))</f>
        <v>-19.8825</v>
      </c>
      <c r="P43" s="252" t="s">
        <v>61</v>
      </c>
      <c r="Q43" s="253"/>
      <c r="R43" s="247" t="s">
        <v>3293</v>
      </c>
      <c r="S43" s="272" t="s">
        <v>3293</v>
      </c>
      <c r="T43" s="273">
        <v>12</v>
      </c>
      <c r="U43" s="274"/>
      <c r="V43" s="256"/>
      <c r="W43" s="244"/>
      <c r="X43" s="244"/>
      <c r="Y43" s="362"/>
      <c r="Z43" s="257">
        <f>altaz(J2000_Bas,$O43,$M43,DecLat,DecLong,1)</f>
        <v>-2.6781837332946901</v>
      </c>
      <c r="AA43" s="257">
        <f>altaz((J2000_Bas+(2*0.04167)),$O43,$M43,DecLat,DecLong,1)</f>
        <v>-27.576479205711433</v>
      </c>
      <c r="AB43" s="257">
        <f>altaz((J2000_Bas+(4*0.04167)),$O43,$M43,DecLat,DecLong,1)</f>
        <v>-53.283635940900894</v>
      </c>
      <c r="AC43" s="257">
        <f>altaz((J2000_Bas+(6*0.04167)),$O43,$M43,DecLat,DecLong,1)</f>
        <v>-76.287357219229648</v>
      </c>
      <c r="AD43" s="258">
        <f>1+ transit((J2000_Bas-1),$O43,$M43,DecLat,DecLong)/360 + (GMTOffset/24) + (IF(DST="Y", 1, 0)/24)</f>
        <v>1.5628188851192912</v>
      </c>
      <c r="AE43" s="259">
        <f>DATE(2001,9,21)+(M43/360)*365 - (360*((DecLong/360)- (GMTOffset/24) ))</f>
        <v>37368.020428240743</v>
      </c>
      <c r="AF43" s="260">
        <f>IF(DecLat&gt;0,IF((90 - (DecLat-O43))&gt;90, (90 - (O43-DecLat)), (90 - (DecLat-O43))),IF((90 + (DecLat-O43))&gt;90, (90 + (O43-DecLat)), (90 + (DecLat-O43))))</f>
        <v>39.1175</v>
      </c>
      <c r="AG43" s="257">
        <f>angularseperation(MoonRA,MoonDec,$M43,$O43)</f>
        <v>40.852024738799777</v>
      </c>
      <c r="AH43" s="261">
        <f ca="1">MIN(100,IF($O$5&gt;80,0+30*($AG43/100),IF($O$5&gt;70,0+50*($AG43/100),IF($O$5&gt;60,5+50*($AG43/100),IF($O$5&gt;50,10+60*($AG43/100),IF($O$5&gt;40,15+70*($AG43/100),IF($O$5&gt;30,20+70*($AG43/100),IF($O$5&gt;20,40+55*($AG43/100),(80+(20-$O$5)+30*($AG43/100))))))))))</f>
        <v>95.526667765790364</v>
      </c>
      <c r="AI43" s="262"/>
      <c r="AJ43" s="262"/>
      <c r="AK43" s="262"/>
      <c r="AL43" s="263"/>
      <c r="AM43" s="264"/>
      <c r="AN43" s="263"/>
      <c r="AO43" s="263"/>
      <c r="AP43" s="265"/>
      <c r="AQ43" s="266"/>
      <c r="AR43" s="267"/>
      <c r="AS43" s="263">
        <v>36</v>
      </c>
      <c r="AT43" s="263"/>
      <c r="AU43" s="263"/>
      <c r="AV43" s="264"/>
      <c r="AW43" s="263"/>
      <c r="AX43" s="263"/>
      <c r="AY43" s="263"/>
      <c r="AZ43" s="263"/>
      <c r="BA43" s="263"/>
      <c r="BB43" s="263"/>
      <c r="BC43" s="263"/>
      <c r="BD43" s="264"/>
      <c r="BE43" s="263"/>
      <c r="BF43" s="263"/>
      <c r="BG43" s="263"/>
      <c r="BH43" s="263"/>
      <c r="BI43" s="263"/>
      <c r="BJ43" s="404">
        <f>altaz(J2000_Bas,$O43,$M43,DecLat,DecLong,2)</f>
        <v>248.34047233448385</v>
      </c>
      <c r="BK43" s="378" t="s">
        <v>3947</v>
      </c>
      <c r="BL43" s="379">
        <f>IF((2*G43)/60&lt;0.2,0.2,(2*G43)/60)</f>
        <v>0.26666666666666666</v>
      </c>
      <c r="BM43" s="380">
        <f>MOD((50000+AD43-$B$3+(0/24)),1)</f>
        <v>0.77818581482279114</v>
      </c>
      <c r="BN43" s="381"/>
      <c r="BO43" s="382">
        <v>43</v>
      </c>
    </row>
    <row r="44" spans="1:67" s="24" customFormat="1" ht="15" customHeight="1" x14ac:dyDescent="0.25">
      <c r="A44" s="414" t="s">
        <v>107</v>
      </c>
      <c r="B44" s="241" t="str">
        <f>HYPERLINK(CONCATENATE($AT$3,BK44,$AU$3),$AV$3)</f>
        <v>S</v>
      </c>
      <c r="C44" s="242" t="str">
        <f>HYPERLINK(CONCATENATE($AT$4,BK44,$AU$4,BL44),$AV$4)</f>
        <v>A</v>
      </c>
      <c r="D44" s="243" t="s">
        <v>5187</v>
      </c>
      <c r="E44" s="244" t="s">
        <v>5181</v>
      </c>
      <c r="F44" s="269" t="s">
        <v>7492</v>
      </c>
      <c r="G44" s="273">
        <v>1</v>
      </c>
      <c r="H44" s="271">
        <v>8000</v>
      </c>
      <c r="I44" s="245">
        <v>2.2999999999999998</v>
      </c>
      <c r="J44" s="246">
        <v>2</v>
      </c>
      <c r="K44" s="247" t="s">
        <v>4986</v>
      </c>
      <c r="L44" s="248">
        <v>140426</v>
      </c>
      <c r="M44" s="249">
        <f>15*(LEFT(TEXT($L44,"000000"),2)+(MID(TEXT($L44,"000000"),3,2)/60)+(RIGHT(TEXT($L44,"000000"),2)/3600))</f>
        <v>211.10833333333332</v>
      </c>
      <c r="N44" s="250">
        <v>-171341</v>
      </c>
      <c r="O44" s="251">
        <f>IF($N44&gt;0,(LEFT(TEXT($N44,"000000"),2)+(MID(TEXT($N44,"000000"),3,2)/60)+(RIGHT(TEXT($N44,"000000"),2)/3600)),-(MID(TEXT($N44,"000000"),2,2)+(MID(TEXT($N44,"000000"),4,2)/60)+(RIGHT(TEXT($N44,"000000"),2)/3600)))</f>
        <v>-17.228055555555553</v>
      </c>
      <c r="P44" s="252" t="s">
        <v>61</v>
      </c>
      <c r="Q44" s="253"/>
      <c r="R44" s="247" t="s">
        <v>3353</v>
      </c>
      <c r="S44" s="272" t="s">
        <v>3293</v>
      </c>
      <c r="T44" s="273">
        <v>13.9</v>
      </c>
      <c r="U44" s="274"/>
      <c r="V44" s="256"/>
      <c r="W44" s="244"/>
      <c r="X44" s="244"/>
      <c r="Y44" s="362"/>
      <c r="Z44" s="257">
        <f>altaz(J2000_Bas,$O44,$M44,DecLat,DecLong,1)</f>
        <v>3.4865568540667931</v>
      </c>
      <c r="AA44" s="257">
        <f>altaz((J2000_Bas+(2*0.04167)),$O44,$M44,DecLat,DecLong,1)</f>
        <v>-21.355110621232377</v>
      </c>
      <c r="AB44" s="257">
        <f>altaz((J2000_Bas+(4*0.04167)),$O44,$M44,DecLat,DecLong,1)</f>
        <v>-47.062452907366186</v>
      </c>
      <c r="AC44" s="257">
        <f>altaz((J2000_Bas+(6*0.04167)),$O44,$M44,DecLat,DecLong,1)</f>
        <v>-70.716928390297312</v>
      </c>
      <c r="AD44" s="258">
        <f>1+ transit((J2000_Bas-1),$O44,$M44,DecLat,DecLong)/360 + (GMTOffset/24) + (IF(DST="Y", 1, 0)/24)</f>
        <v>1.5793119390255412</v>
      </c>
      <c r="AE44" s="259">
        <f>DATE(2001,9,21)+(M44/360)*365 - (360*((DecLong/360)- (GMTOffset/24) ))</f>
        <v>37374.040393518517</v>
      </c>
      <c r="AF44" s="260">
        <f>IF(DecLat&gt;0,IF((90 - (DecLat-O44))&gt;90, (90 - (O44-DecLat)), (90 - (DecLat-O44))),IF((90 + (DecLat-O44))&gt;90, (90 + (O44-DecLat)), (90 + (DecLat-O44))))</f>
        <v>41.771944444444443</v>
      </c>
      <c r="AG44" s="257">
        <f>angularseperation(MoonRA,MoonDec,$M44,$O44)</f>
        <v>36.510831439932588</v>
      </c>
      <c r="AH44" s="261">
        <f ca="1">MIN(100,IF($O$5&gt;80,0+30*($AG44/100),IF($O$5&gt;70,0+50*($AG44/100),IF($O$5&gt;60,5+50*($AG44/100),IF($O$5&gt;50,10+60*($AG44/100),IF($O$5&gt;40,15+70*($AG44/100),IF($O$5&gt;30,20+70*($AG44/100),IF($O$5&gt;20,40+55*($AG44/100),(80+(20-$O$5)+30*($AG44/100))))))))))</f>
        <v>94.224309776130212</v>
      </c>
      <c r="AI44" s="262"/>
      <c r="AJ44" s="262">
        <v>972</v>
      </c>
      <c r="AK44" s="262"/>
      <c r="AL44" s="263"/>
      <c r="AM44" s="264"/>
      <c r="AN44" s="263"/>
      <c r="AO44" s="263"/>
      <c r="AP44" s="265"/>
      <c r="AQ44" s="266"/>
      <c r="AR44" s="267"/>
      <c r="AS44" s="263">
        <v>37</v>
      </c>
      <c r="AT44" s="263"/>
      <c r="AU44" s="263"/>
      <c r="AV44" s="264"/>
      <c r="AW44" s="263"/>
      <c r="AX44" s="263"/>
      <c r="AY44" s="263"/>
      <c r="AZ44" s="263"/>
      <c r="BA44" s="263"/>
      <c r="BB44" s="263"/>
      <c r="BC44" s="263"/>
      <c r="BD44" s="264"/>
      <c r="BE44" s="263"/>
      <c r="BF44" s="263"/>
      <c r="BG44" s="263"/>
      <c r="BH44" s="263"/>
      <c r="BI44" s="263"/>
      <c r="BJ44" s="404">
        <f>altaz(J2000_Bas,$O44,$M44,DecLat,DecLong,2)</f>
        <v>247.49413594096194</v>
      </c>
      <c r="BK44" s="378" t="s">
        <v>3948</v>
      </c>
      <c r="BL44" s="379">
        <f>IF((2*G44)/60&lt;0.2,0.2,(2*G44)/60)</f>
        <v>0.2</v>
      </c>
      <c r="BM44" s="380">
        <f>MOD((50000+AD44-$B$3+(0/24)),1)</f>
        <v>0.79467886873317184</v>
      </c>
      <c r="BN44" s="381" t="s">
        <v>9225</v>
      </c>
      <c r="BO44" s="382">
        <v>44</v>
      </c>
    </row>
    <row r="45" spans="1:67" s="24" customFormat="1" ht="15" customHeight="1" x14ac:dyDescent="0.25">
      <c r="A45" s="414" t="s">
        <v>108</v>
      </c>
      <c r="B45" s="241" t="str">
        <f>HYPERLINK(CONCATENATE($AT$3,BK45,$AU$3),$AV$3)</f>
        <v>S</v>
      </c>
      <c r="C45" s="242" t="str">
        <f>HYPERLINK(CONCATENATE($AT$4,BK45,$AU$4,BL45),$AV$4)</f>
        <v>A</v>
      </c>
      <c r="D45" s="243" t="s">
        <v>5187</v>
      </c>
      <c r="E45" s="244" t="s">
        <v>5181</v>
      </c>
      <c r="F45" s="269" t="s">
        <v>5217</v>
      </c>
      <c r="G45" s="273">
        <v>2.5</v>
      </c>
      <c r="H45" s="271">
        <v>2000</v>
      </c>
      <c r="I45" s="245">
        <v>1.5</v>
      </c>
      <c r="J45" s="246">
        <v>3</v>
      </c>
      <c r="K45" s="247" t="s">
        <v>3390</v>
      </c>
      <c r="L45" s="248">
        <v>162317</v>
      </c>
      <c r="M45" s="249">
        <f>15*(LEFT(TEXT($L45,"000000"),2)+(MID(TEXT($L45,"000000"),3,2)/60)+(RIGHT(TEXT($L45,"000000"),2)/3600))</f>
        <v>245.82083333333335</v>
      </c>
      <c r="N45" s="250">
        <v>-314457</v>
      </c>
      <c r="O45" s="251">
        <f>IF($N45&gt;0,(LEFT(TEXT($N45,"000000"),2)+(MID(TEXT($N45,"000000"),3,2)/60)+(RIGHT(TEXT($N45,"000000"),2)/3600)),-(MID(TEXT($N45,"000000"),2,2)+(MID(TEXT($N45,"000000"),4,2)/60)+(RIGHT(TEXT($N45,"000000"),2)/3600)))</f>
        <v>-31.749166666666667</v>
      </c>
      <c r="P45" s="252" t="s">
        <v>109</v>
      </c>
      <c r="Q45" s="253"/>
      <c r="R45" s="247" t="s">
        <v>8848</v>
      </c>
      <c r="S45" s="272" t="s">
        <v>3293</v>
      </c>
      <c r="T45" s="273">
        <v>16</v>
      </c>
      <c r="U45" s="274"/>
      <c r="V45" s="256"/>
      <c r="W45" s="244"/>
      <c r="X45" s="244"/>
      <c r="Y45" s="362"/>
      <c r="Z45" s="257">
        <f>altaz(J2000_Bas,$O45,$M45,DecLat,DecLong,1)</f>
        <v>16.610685088885525</v>
      </c>
      <c r="AA45" s="257">
        <f>altaz((J2000_Bas+(2*0.04167)),$O45,$M45,DecLat,DecLong,1)</f>
        <v>-1.4269118136999386</v>
      </c>
      <c r="AB45" s="257">
        <f>altaz((J2000_Bas+(4*0.04167)),$O45,$M45,DecLat,DecLong,1)</f>
        <v>-23.701998055370975</v>
      </c>
      <c r="AC45" s="257">
        <f>altaz((J2000_Bas+(6*0.04167)),$O45,$M45,DecLat,DecLong,1)</f>
        <v>-48.053729936070511</v>
      </c>
      <c r="AD45" s="258">
        <f>1+ transit((J2000_Bas-1),$O45,$M45,DecLat,DecLong)/360 + (GMTOffset/24) + (IF(DST="Y", 1, 0)/24)</f>
        <v>1.6757355404942913</v>
      </c>
      <c r="AE45" s="259">
        <f>DATE(2001,9,21)+(M45/360)*365 - (360*((DecLong/360)- (GMTOffset/24) ))</f>
        <v>37409.235011574077</v>
      </c>
      <c r="AF45" s="260">
        <f>IF(DecLat&gt;0,IF((90 - (DecLat-O45))&gt;90, (90 - (O45-DecLat)), (90 - (DecLat-O45))),IF((90 + (DecLat-O45))&gt;90, (90 + (O45-DecLat)), (90 + (DecLat-O45))))</f>
        <v>27.250833333333333</v>
      </c>
      <c r="AG45" s="257">
        <f>angularseperation(MoonRA,MoonDec,$M45,$O45)</f>
        <v>5.5347183672914992</v>
      </c>
      <c r="AH45" s="261">
        <f ca="1">MIN(100,IF($O$5&gt;80,0+30*($AG45/100),IF($O$5&gt;70,0+50*($AG45/100),IF($O$5&gt;60,5+50*($AG45/100),IF($O$5&gt;50,10+60*($AG45/100),IF($O$5&gt;40,15+70*($AG45/100),IF($O$5&gt;30,20+70*($AG45/100),IF($O$5&gt;20,40+55*($AG45/100),(80+(20-$O$5)+30*($AG45/100))))))))))</f>
        <v>84.931475854337876</v>
      </c>
      <c r="AI45" s="262"/>
      <c r="AJ45" s="262"/>
      <c r="AK45" s="262"/>
      <c r="AL45" s="263"/>
      <c r="AM45" s="264"/>
      <c r="AN45" s="263"/>
      <c r="AO45" s="263"/>
      <c r="AP45" s="265"/>
      <c r="AQ45" s="266"/>
      <c r="AR45" s="267"/>
      <c r="AS45" s="263">
        <v>38</v>
      </c>
      <c r="AT45" s="263"/>
      <c r="AU45" s="263">
        <v>103</v>
      </c>
      <c r="AV45" s="264"/>
      <c r="AW45" s="263"/>
      <c r="AX45" s="263"/>
      <c r="AY45" s="263"/>
      <c r="AZ45" s="263"/>
      <c r="BA45" s="263"/>
      <c r="BB45" s="263"/>
      <c r="BC45" s="263"/>
      <c r="BD45" s="264"/>
      <c r="BE45" s="263"/>
      <c r="BF45" s="263"/>
      <c r="BG45" s="263"/>
      <c r="BH45" s="263"/>
      <c r="BI45" s="263"/>
      <c r="BJ45" s="404">
        <f>altaz(J2000_Bas,$O45,$M45,DecLat,DecLong,2)</f>
        <v>214.92880819159785</v>
      </c>
      <c r="BK45" s="378" t="s">
        <v>3949</v>
      </c>
      <c r="BL45" s="379">
        <f>IF((2*G45)/60&lt;0.2,0.2,(2*G45)/60)</f>
        <v>0.2</v>
      </c>
      <c r="BM45" s="380">
        <f>MOD((50000+AD45-$B$3+(0/24)),1)</f>
        <v>0.89110247019561939</v>
      </c>
      <c r="BN45" s="381"/>
      <c r="BO45" s="382">
        <v>45</v>
      </c>
    </row>
    <row r="46" spans="1:67" s="24" customFormat="1" ht="15" customHeight="1" x14ac:dyDescent="0.25">
      <c r="A46" s="414" t="s">
        <v>110</v>
      </c>
      <c r="B46" s="241" t="str">
        <f>HYPERLINK(CONCATENATE($AT$3,BK46,$AU$3),$AV$3)</f>
        <v>S</v>
      </c>
      <c r="C46" s="242" t="str">
        <f>HYPERLINK(CONCATENATE($AT$4,BK46,$AU$4,BL46),$AV$4)</f>
        <v>A</v>
      </c>
      <c r="D46" s="243" t="s">
        <v>5187</v>
      </c>
      <c r="E46" s="244" t="s">
        <v>5181</v>
      </c>
      <c r="F46" s="269" t="s">
        <v>5218</v>
      </c>
      <c r="G46" s="273">
        <v>3</v>
      </c>
      <c r="H46" s="271">
        <v>4000</v>
      </c>
      <c r="I46" s="245">
        <v>3.5</v>
      </c>
      <c r="J46" s="246">
        <v>4</v>
      </c>
      <c r="K46" s="247" t="s">
        <v>3400</v>
      </c>
      <c r="L46" s="248">
        <v>162733</v>
      </c>
      <c r="M46" s="249">
        <f>15*(LEFT(TEXT($L46,"000000"),2)+(MID(TEXT($L46,"000000"),3,2)/60)+(RIGHT(TEXT($L46,"000000"),2)/3600))</f>
        <v>246.88749999999996</v>
      </c>
      <c r="N46" s="250">
        <v>275434</v>
      </c>
      <c r="O46" s="251">
        <f>IF($N46&gt;0,(LEFT(TEXT($N46,"000000"),2)+(MID(TEXT($N46,"000000"),3,2)/60)+(RIGHT(TEXT($N46,"000000"),2)/3600)),-(MID(TEXT($N46,"000000"),2,2)+(MID(TEXT($N46,"000000"),4,2)/60)+(RIGHT(TEXT($N46,"000000"),2)/3600)))</f>
        <v>27.909444444444443</v>
      </c>
      <c r="P46" s="252" t="s">
        <v>111</v>
      </c>
      <c r="Q46" s="253"/>
      <c r="R46" s="247" t="s">
        <v>3293</v>
      </c>
      <c r="S46" s="272" t="s">
        <v>3293</v>
      </c>
      <c r="T46" s="273">
        <v>13</v>
      </c>
      <c r="U46" s="274"/>
      <c r="V46" s="256"/>
      <c r="W46" s="244"/>
      <c r="X46" s="244"/>
      <c r="Y46" s="362"/>
      <c r="Z46" s="257">
        <f>altaz(J2000_Bas,$O46,$M46,DecLat,DecLong,1)</f>
        <v>55.973776408792986</v>
      </c>
      <c r="AA46" s="257">
        <f>altaz((J2000_Bas+(2*0.04167)),$O46,$M46,DecLat,DecLong,1)</f>
        <v>30.668041953618875</v>
      </c>
      <c r="AB46" s="257">
        <f>altaz((J2000_Bas+(4*0.04167)),$O46,$M46,DecLat,DecLong,1)</f>
        <v>6.8270520459956279</v>
      </c>
      <c r="AC46" s="257">
        <f>altaz((J2000_Bas+(6*0.04167)),$O46,$M46,DecLat,DecLong,1)</f>
        <v>-13.850698793091251</v>
      </c>
      <c r="AD46" s="258">
        <f>1+ transit((J2000_Bas-1),$O46,$M46,DecLat,DecLong)/360 + (GMTOffset/24) + (IF(DST="Y", 1, 0)/24)</f>
        <v>1.6786985031609578</v>
      </c>
      <c r="AE46" s="259">
        <f>DATE(2001,9,21)+(M46/360)*365 - (360*((DecLong/360)- (GMTOffset/24) ))</f>
        <v>37410.316493055558</v>
      </c>
      <c r="AF46" s="260">
        <f>IF(DecLat&gt;0,IF((90 - (DecLat-O46))&gt;90, (90 - (O46-DecLat)), (90 - (DecLat-O46))),IF((90 + (DecLat-O46))&gt;90, (90 + (O46-DecLat)), (90 + (DecLat-O46))))</f>
        <v>86.909444444444446</v>
      </c>
      <c r="AG46" s="257">
        <f>angularseperation(MoonRA,MoonDec,$M46,$O46)</f>
        <v>55.039984007290577</v>
      </c>
      <c r="AH46" s="261">
        <f ca="1">MIN(100,IF($O$5&gt;80,0+30*($AG46/100),IF($O$5&gt;70,0+50*($AG46/100),IF($O$5&gt;60,5+50*($AG46/100),IF($O$5&gt;50,10+60*($AG46/100),IF($O$5&gt;40,15+70*($AG46/100),IF($O$5&gt;30,20+70*($AG46/100),IF($O$5&gt;20,40+55*($AG46/100),(80+(20-$O$5)+30*($AG46/100))))))))))</f>
        <v>99.783055546337607</v>
      </c>
      <c r="AI46" s="262"/>
      <c r="AJ46" s="262"/>
      <c r="AK46" s="262"/>
      <c r="AL46" s="263"/>
      <c r="AM46" s="264"/>
      <c r="AN46" s="263"/>
      <c r="AO46" s="263"/>
      <c r="AP46" s="265"/>
      <c r="AQ46" s="266"/>
      <c r="AR46" s="267"/>
      <c r="AS46" s="263">
        <v>39</v>
      </c>
      <c r="AT46" s="263"/>
      <c r="AU46" s="263"/>
      <c r="AV46" s="264"/>
      <c r="AW46" s="263"/>
      <c r="AX46" s="263"/>
      <c r="AY46" s="263"/>
      <c r="AZ46" s="263"/>
      <c r="BA46" s="263"/>
      <c r="BB46" s="263"/>
      <c r="BC46" s="263"/>
      <c r="BD46" s="264"/>
      <c r="BE46" s="263"/>
      <c r="BF46" s="263"/>
      <c r="BG46" s="263"/>
      <c r="BH46" s="263">
        <v>42</v>
      </c>
      <c r="BI46" s="263"/>
      <c r="BJ46" s="404">
        <f>altaz(J2000_Bas,$O46,$M46,DecLat,DecLong,2)</f>
        <v>274.93014810431873</v>
      </c>
      <c r="BK46" s="378" t="s">
        <v>3950</v>
      </c>
      <c r="BL46" s="379">
        <f>IF((2*G46)/60&lt;0.2,0.2,(2*G46)/60)</f>
        <v>0.2</v>
      </c>
      <c r="BM46" s="380">
        <f>MOD((50000+AD46-$B$3+(0/24)),1)</f>
        <v>0.89406543286168016</v>
      </c>
      <c r="BN46" s="381" t="s">
        <v>9246</v>
      </c>
      <c r="BO46" s="382">
        <v>46</v>
      </c>
    </row>
    <row r="47" spans="1:67" s="24" customFormat="1" ht="15" customHeight="1" x14ac:dyDescent="0.25">
      <c r="A47" s="414" t="s">
        <v>112</v>
      </c>
      <c r="B47" s="241" t="str">
        <f>HYPERLINK(CONCATENATE($AT$3,BK47,$AU$3),$AV$3)</f>
        <v>S</v>
      </c>
      <c r="C47" s="242" t="str">
        <f>HYPERLINK(CONCATENATE($AT$4,BK47,$AU$4,BL47),$AV$4)</f>
        <v>A</v>
      </c>
      <c r="D47" s="243" t="s">
        <v>5187</v>
      </c>
      <c r="E47" s="244" t="s">
        <v>5181</v>
      </c>
      <c r="F47" s="269" t="s">
        <v>5219</v>
      </c>
      <c r="G47" s="270">
        <v>0.6</v>
      </c>
      <c r="H47" s="271">
        <v>13000</v>
      </c>
      <c r="I47" s="245">
        <v>2.2000000000000002</v>
      </c>
      <c r="J47" s="246">
        <v>2</v>
      </c>
      <c r="K47" s="247" t="s">
        <v>8354</v>
      </c>
      <c r="L47" s="248">
        <v>164834</v>
      </c>
      <c r="M47" s="249">
        <f>15*(LEFT(TEXT($L47,"000000"),2)+(MID(TEXT($L47,"000000"),3,2)/60)+(RIGHT(TEXT($L47,"000000"),2)/3600))</f>
        <v>252.14166666666668</v>
      </c>
      <c r="N47" s="250">
        <v>-210040</v>
      </c>
      <c r="O47" s="251">
        <f>IF($N47&gt;0,(LEFT(TEXT($N47,"000000"),2)+(MID(TEXT($N47,"000000"),3,2)/60)+(RIGHT(TEXT($N47,"000000"),2)/3600)),-(MID(TEXT($N47,"000000"),2,2)+(MID(TEXT($N47,"000000"),4,2)/60)+(RIGHT(TEXT($N47,"000000"),2)/3600)))</f>
        <v>-21.011111111111113</v>
      </c>
      <c r="P47" s="252" t="s">
        <v>113</v>
      </c>
      <c r="Q47" s="253"/>
      <c r="R47" s="247" t="s">
        <v>3293</v>
      </c>
      <c r="S47" s="272" t="s">
        <v>3293</v>
      </c>
      <c r="T47" s="273">
        <v>18</v>
      </c>
      <c r="U47" s="274"/>
      <c r="V47" s="256"/>
      <c r="W47" s="244"/>
      <c r="X47" s="244"/>
      <c r="Y47" s="362"/>
      <c r="Z47" s="257">
        <f>altaz(J2000_Bas,$O47,$M47,DecLat,DecLong,1)</f>
        <v>28.671861273108071</v>
      </c>
      <c r="AA47" s="257">
        <f>altaz((J2000_Bas+(2*0.04167)),$O47,$M47,DecLat,DecLong,1)</f>
        <v>9.6013020160794635</v>
      </c>
      <c r="AB47" s="257">
        <f>altaz((J2000_Bas+(4*0.04167)),$O47,$M47,DecLat,DecLong,1)</f>
        <v>-13.939805664802911</v>
      </c>
      <c r="AC47" s="257">
        <f>altaz((J2000_Bas+(6*0.04167)),$O47,$M47,DecLat,DecLong,1)</f>
        <v>-39.304706446023943</v>
      </c>
      <c r="AD47" s="258">
        <f>1+ transit((J2000_Bas-1),$O47,$M47,DecLat,DecLong)/360 + (GMTOffset/24) + (IF(DST="Y", 1, 0)/24)</f>
        <v>1.6932934091088747</v>
      </c>
      <c r="AE47" s="259">
        <f>DATE(2001,9,21)+(M47/360)*365 - (360*((DecLong/360)- (GMTOffset/24) ))</f>
        <v>37415.643634259257</v>
      </c>
      <c r="AF47" s="260">
        <f>IF(DecLat&gt;0,IF((90 - (DecLat-O47))&gt;90, (90 - (O47-DecLat)), (90 - (DecLat-O47))),IF((90 + (DecLat-O47))&gt;90, (90 + (O47-DecLat)), (90 + (DecLat-O47))))</f>
        <v>37.988888888888887</v>
      </c>
      <c r="AG47" s="257">
        <f>angularseperation(MoonRA,MoonDec,$M47,$O47)</f>
        <v>6.6244003213633711</v>
      </c>
      <c r="AH47" s="261">
        <f ca="1">MIN(100,IF($O$5&gt;80,0+30*($AG47/100),IF($O$5&gt;70,0+50*($AG47/100),IF($O$5&gt;60,5+50*($AG47/100),IF($O$5&gt;50,10+60*($AG47/100),IF($O$5&gt;40,15+70*($AG47/100),IF($O$5&gt;30,20+70*($AG47/100),IF($O$5&gt;20,40+55*($AG47/100),(80+(20-$O$5)+30*($AG47/100))))))))))</f>
        <v>85.258380440559435</v>
      </c>
      <c r="AI47" s="262"/>
      <c r="AJ47" s="262"/>
      <c r="AK47" s="262"/>
      <c r="AL47" s="263"/>
      <c r="AM47" s="264"/>
      <c r="AN47" s="263"/>
      <c r="AO47" s="263"/>
      <c r="AP47" s="265"/>
      <c r="AQ47" s="266"/>
      <c r="AR47" s="267"/>
      <c r="AS47" s="263">
        <v>40</v>
      </c>
      <c r="AT47" s="263"/>
      <c r="AU47" s="263"/>
      <c r="AV47" s="264"/>
      <c r="AW47" s="263"/>
      <c r="AX47" s="263"/>
      <c r="AY47" s="263"/>
      <c r="AZ47" s="263"/>
      <c r="BA47" s="263"/>
      <c r="BB47" s="263"/>
      <c r="BC47" s="263"/>
      <c r="BD47" s="264"/>
      <c r="BE47" s="263"/>
      <c r="BF47" s="263"/>
      <c r="BG47" s="263"/>
      <c r="BH47" s="263"/>
      <c r="BI47" s="263"/>
      <c r="BJ47" s="404">
        <f>altaz(J2000_Bas,$O47,$M47,DecLat,DecLong,2)</f>
        <v>216.35766755041706</v>
      </c>
      <c r="BK47" s="378" t="s">
        <v>3951</v>
      </c>
      <c r="BL47" s="379">
        <f>IF((2*G47)/60&lt;0.2,0.2,(2*G47)/60)</f>
        <v>0.2</v>
      </c>
      <c r="BM47" s="380">
        <f>MOD((50000+AD47-$B$3+(0/24)),1)</f>
        <v>0.90866033881320618</v>
      </c>
      <c r="BN47" s="381" t="s">
        <v>8665</v>
      </c>
      <c r="BO47" s="382">
        <v>47</v>
      </c>
    </row>
    <row r="48" spans="1:67" s="24" customFormat="1" ht="15" customHeight="1" x14ac:dyDescent="0.25">
      <c r="A48" s="414" t="s">
        <v>114</v>
      </c>
      <c r="B48" s="241" t="str">
        <f>HYPERLINK(CONCATENATE($AT$3,BK48,$AU$3),$AV$3)</f>
        <v>S</v>
      </c>
      <c r="C48" s="242" t="str">
        <f>HYPERLINK(CONCATENATE($AT$4,BK48,$AU$4,BL48),$AV$4)</f>
        <v>A</v>
      </c>
      <c r="D48" s="243" t="s">
        <v>5187</v>
      </c>
      <c r="E48" s="244" t="s">
        <v>5181</v>
      </c>
      <c r="F48" s="269" t="s">
        <v>9095</v>
      </c>
      <c r="G48" s="270">
        <v>0.4</v>
      </c>
      <c r="H48" s="271">
        <v>15000</v>
      </c>
      <c r="I48" s="245">
        <v>1.7</v>
      </c>
      <c r="J48" s="246">
        <v>2</v>
      </c>
      <c r="K48" s="247" t="s">
        <v>3410</v>
      </c>
      <c r="L48" s="248">
        <v>172904</v>
      </c>
      <c r="M48" s="249">
        <f>15*(LEFT(TEXT($L48,"000000"),2)+(MID(TEXT($L48,"000000"),3,2)/60)+(RIGHT(TEXT($L48,"000000"),2)/3600))</f>
        <v>262.26666666666671</v>
      </c>
      <c r="N48" s="250">
        <v>-151321</v>
      </c>
      <c r="O48" s="251">
        <f>IF($N48&gt;0,(LEFT(TEXT($N48,"000000"),2)+(MID(TEXT($N48,"000000"),3,2)/60)+(RIGHT(TEXT($N48,"000000"),2)/3600)),-(MID(TEXT($N48,"000000"),2,2)+(MID(TEXT($N48,"000000"),4,2)/60)+(RIGHT(TEXT($N48,"000000"),2)/3600)))</f>
        <v>-15.2225</v>
      </c>
      <c r="P48" s="252" t="s">
        <v>115</v>
      </c>
      <c r="Q48" s="253"/>
      <c r="R48" s="247" t="s">
        <v>3293</v>
      </c>
      <c r="S48" s="272" t="s">
        <v>3293</v>
      </c>
      <c r="T48" s="273">
        <v>16</v>
      </c>
      <c r="U48" s="274"/>
      <c r="V48" s="256"/>
      <c r="W48" s="244"/>
      <c r="X48" s="244"/>
      <c r="Y48" s="362"/>
      <c r="Z48" s="257">
        <f>altaz(J2000_Bas,$O48,$M48,DecLat,DecLong,1)</f>
        <v>38.454727942815268</v>
      </c>
      <c r="AA48" s="257">
        <f>altaz((J2000_Bas+(2*0.04167)),$O48,$M48,DecLat,DecLong,1)</f>
        <v>20.671771075106673</v>
      </c>
      <c r="AB48" s="257">
        <f>altaz((J2000_Bas+(4*0.04167)),$O48,$M48,DecLat,DecLong,1)</f>
        <v>-2.7176894826070264</v>
      </c>
      <c r="AC48" s="257">
        <f>altaz((J2000_Bas+(6*0.04167)),$O48,$M48,DecLat,DecLong,1)</f>
        <v>-28.131971870851238</v>
      </c>
      <c r="AD48" s="258">
        <f>1+ transit((J2000_Bas-1),$O48,$M48,DecLat,DecLong)/360 + (GMTOffset/24) + (IF(DST="Y", 1, 0)/24)</f>
        <v>1.7214184062963749</v>
      </c>
      <c r="AE48" s="259">
        <f>DATE(2001,9,21)+(M48/360)*365 - (360*((DecLong/360)- (GMTOffset/24) ))</f>
        <v>37425.909259259257</v>
      </c>
      <c r="AF48" s="260">
        <f>IF(DecLat&gt;0,IF((90 - (DecLat-O48))&gt;90, (90 - (O48-DecLat)), (90 - (DecLat-O48))),IF((90 + (DecLat-O48))&gt;90, (90 + (O48-DecLat)), (90 + (DecLat-O48))))</f>
        <v>43.777500000000003</v>
      </c>
      <c r="AG48" s="257">
        <f>angularseperation(MoonRA,MoonDec,$M48,$O48)</f>
        <v>16.952909126481597</v>
      </c>
      <c r="AH48" s="261">
        <f ca="1">MIN(100,IF($O$5&gt;80,0+30*($AG48/100),IF($O$5&gt;70,0+50*($AG48/100),IF($O$5&gt;60,5+50*($AG48/100),IF($O$5&gt;50,10+60*($AG48/100),IF($O$5&gt;40,15+70*($AG48/100),IF($O$5&gt;30,20+70*($AG48/100),IF($O$5&gt;20,40+55*($AG48/100),(80+(20-$O$5)+30*($AG48/100))))))))))</f>
        <v>88.356933082094912</v>
      </c>
      <c r="AI48" s="262"/>
      <c r="AJ48" s="262"/>
      <c r="AK48" s="262"/>
      <c r="AL48" s="263"/>
      <c r="AM48" s="264"/>
      <c r="AN48" s="263"/>
      <c r="AO48" s="263"/>
      <c r="AP48" s="265"/>
      <c r="AQ48" s="266"/>
      <c r="AR48" s="267"/>
      <c r="AS48" s="263">
        <v>41</v>
      </c>
      <c r="AT48" s="263"/>
      <c r="AU48" s="263"/>
      <c r="AV48" s="264"/>
      <c r="AW48" s="263"/>
      <c r="AX48" s="263"/>
      <c r="AY48" s="263"/>
      <c r="AZ48" s="263"/>
      <c r="BA48" s="263"/>
      <c r="BB48" s="263"/>
      <c r="BC48" s="263"/>
      <c r="BD48" s="264"/>
      <c r="BE48" s="263"/>
      <c r="BF48" s="263"/>
      <c r="BG48" s="263"/>
      <c r="BH48" s="263"/>
      <c r="BI48" s="263"/>
      <c r="BJ48" s="404">
        <f>altaz(J2000_Bas,$O48,$M48,DecLat,DecLong,2)</f>
        <v>209.73417757238477</v>
      </c>
      <c r="BK48" s="378" t="s">
        <v>3952</v>
      </c>
      <c r="BL48" s="379">
        <f>IF((2*G48)/60&lt;0.2,0.2,(2*G48)/60)</f>
        <v>0.2</v>
      </c>
      <c r="BM48" s="380">
        <f>MOD((50000+AD48-$B$3+(0/24)),1)</f>
        <v>0.93678533600177616</v>
      </c>
      <c r="BN48" s="381"/>
      <c r="BO48" s="382">
        <v>48</v>
      </c>
    </row>
    <row r="49" spans="1:67" s="24" customFormat="1" ht="15" customHeight="1" x14ac:dyDescent="0.25">
      <c r="A49" s="414" t="s">
        <v>116</v>
      </c>
      <c r="B49" s="241" t="str">
        <f>HYPERLINK(CONCATENATE($AT$3,BK49,$AU$3),$AV$3)</f>
        <v>S</v>
      </c>
      <c r="C49" s="242" t="str">
        <f>HYPERLINK(CONCATENATE($AT$4,BK49,$AU$4,BL49),$AV$4)</f>
        <v>A</v>
      </c>
      <c r="D49" s="243" t="s">
        <v>5187</v>
      </c>
      <c r="E49" s="244" t="s">
        <v>5181</v>
      </c>
      <c r="F49" s="269" t="s">
        <v>5220</v>
      </c>
      <c r="G49" s="273">
        <v>1</v>
      </c>
      <c r="H49" s="271">
        <v>11000</v>
      </c>
      <c r="I49" s="245">
        <v>3</v>
      </c>
      <c r="J49" s="246">
        <v>1</v>
      </c>
      <c r="K49" s="247" t="s">
        <v>4880</v>
      </c>
      <c r="L49" s="248">
        <v>173131</v>
      </c>
      <c r="M49" s="249">
        <f>15*(LEFT(TEXT($L49,"000000"),2)+(MID(TEXT($L49,"000000"),3,2)/60)+(RIGHT(TEXT($L49,"000000"),2)/3600))</f>
        <v>262.87916666666666</v>
      </c>
      <c r="N49" s="250">
        <v>-81910</v>
      </c>
      <c r="O49" s="251">
        <f>IF($N49&gt;0,(LEFT(TEXT($N49,"000000"),2)+(MID(TEXT($N49,"000000"),3,2)/60)+(RIGHT(TEXT($N49,"000000"),2)/3600)),-(MID(TEXT($N49,"000000"),2,2)+(MID(TEXT($N49,"000000"),4,2)/60)+(RIGHT(TEXT($N49,"000000"),2)/3600)))</f>
        <v>-8.3194444444444446</v>
      </c>
      <c r="P49" s="252" t="s">
        <v>113</v>
      </c>
      <c r="Q49" s="253"/>
      <c r="R49" s="247" t="s">
        <v>3293</v>
      </c>
      <c r="S49" s="272" t="s">
        <v>3293</v>
      </c>
      <c r="T49" s="273">
        <v>20</v>
      </c>
      <c r="U49" s="274"/>
      <c r="V49" s="256"/>
      <c r="W49" s="244"/>
      <c r="X49" s="244"/>
      <c r="Y49" s="362"/>
      <c r="Z49" s="257">
        <f>altaz(J2000_Bas,$O49,$M49,DecLat,DecLong,1)</f>
        <v>44.868799040146158</v>
      </c>
      <c r="AA49" s="257">
        <f>altaz((J2000_Bas+(2*0.04167)),$O49,$M49,DecLat,DecLong,1)</f>
        <v>25.686283751305208</v>
      </c>
      <c r="AB49" s="257">
        <f>altaz((J2000_Bas+(4*0.04167)),$O49,$M49,DecLat,DecLong,1)</f>
        <v>1.4062720167092218</v>
      </c>
      <c r="AC49" s="257">
        <f>altaz((J2000_Bas+(6*0.04167)),$O49,$M49,DecLat,DecLong,1)</f>
        <v>-24.270841582877619</v>
      </c>
      <c r="AD49" s="258">
        <f>1+ transit((J2000_Bas-1),$O49,$M49,DecLat,DecLong)/360 + (GMTOffset/24) + (IF(DST="Y", 1, 0)/24)</f>
        <v>1.7231197950151247</v>
      </c>
      <c r="AE49" s="259">
        <f>DATE(2001,9,21)+(M49/360)*365 - (360*((DecLong/360)- (GMTOffset/24) ))</f>
        <v>37426.530266203707</v>
      </c>
      <c r="AF49" s="260">
        <f>IF(DecLat&gt;0,IF((90 - (DecLat-O49))&gt;90, (90 - (O49-DecLat)), (90 - (DecLat-O49))),IF((90 + (DecLat-O49))&gt;90, (90 + (O49-DecLat)), (90 + (DecLat-O49))))</f>
        <v>50.680555555555557</v>
      </c>
      <c r="AG49" s="257">
        <f>angularseperation(MoonRA,MoonDec,$M49,$O49)</f>
        <v>22.778052242025854</v>
      </c>
      <c r="AH49" s="261">
        <f ca="1">MIN(100,IF($O$5&gt;80,0+30*($AG49/100),IF($O$5&gt;70,0+50*($AG49/100),IF($O$5&gt;60,5+50*($AG49/100),IF($O$5&gt;50,10+60*($AG49/100),IF($O$5&gt;40,15+70*($AG49/100),IF($O$5&gt;30,20+70*($AG49/100),IF($O$5&gt;20,40+55*($AG49/100),(80+(20-$O$5)+30*($AG49/100))))))))))</f>
        <v>90.104476016758184</v>
      </c>
      <c r="AI49" s="262"/>
      <c r="AJ49" s="262"/>
      <c r="AK49" s="262"/>
      <c r="AL49" s="263"/>
      <c r="AM49" s="264"/>
      <c r="AN49" s="263"/>
      <c r="AO49" s="263"/>
      <c r="AP49" s="265"/>
      <c r="AQ49" s="266"/>
      <c r="AR49" s="267"/>
      <c r="AS49" s="263">
        <v>42</v>
      </c>
      <c r="AT49" s="263"/>
      <c r="AU49" s="263"/>
      <c r="AV49" s="264"/>
      <c r="AW49" s="263"/>
      <c r="AX49" s="263"/>
      <c r="AY49" s="263"/>
      <c r="AZ49" s="263"/>
      <c r="BA49" s="263"/>
      <c r="BB49" s="263"/>
      <c r="BC49" s="263"/>
      <c r="BD49" s="264"/>
      <c r="BE49" s="263"/>
      <c r="BF49" s="263"/>
      <c r="BG49" s="263"/>
      <c r="BH49" s="263"/>
      <c r="BI49" s="263"/>
      <c r="BJ49" s="404">
        <f>altaz(J2000_Bas,$O49,$M49,DecLat,DecLong,2)</f>
        <v>213.24926995112534</v>
      </c>
      <c r="BK49" s="378" t="s">
        <v>3953</v>
      </c>
      <c r="BL49" s="379">
        <f>IF((2*G49)/60&lt;0.2,0.2,(2*G49)/60)</f>
        <v>0.2</v>
      </c>
      <c r="BM49" s="380">
        <f>MOD((50000+AD49-$B$3+(0/24)),1)</f>
        <v>0.93848672472086037</v>
      </c>
      <c r="BN49" s="381" t="s">
        <v>8665</v>
      </c>
      <c r="BO49" s="382">
        <v>49</v>
      </c>
    </row>
    <row r="50" spans="1:67" s="24" customFormat="1" ht="15" customHeight="1" x14ac:dyDescent="0.25">
      <c r="A50" s="414" t="s">
        <v>117</v>
      </c>
      <c r="B50" s="241" t="str">
        <f>HYPERLINK(CONCATENATE($AT$3,BK50,$AU$3),$AV$3)</f>
        <v>S</v>
      </c>
      <c r="C50" s="242" t="str">
        <f>HYPERLINK(CONCATENATE($AT$4,BK50,$AU$4,BL50),$AV$4)</f>
        <v>A</v>
      </c>
      <c r="D50" s="243" t="s">
        <v>5187</v>
      </c>
      <c r="E50" s="244" t="s">
        <v>5181</v>
      </c>
      <c r="F50" s="269" t="s">
        <v>5221</v>
      </c>
      <c r="G50" s="273">
        <v>1.3</v>
      </c>
      <c r="H50" s="271">
        <v>5000</v>
      </c>
      <c r="I50" s="245">
        <v>2</v>
      </c>
      <c r="J50" s="246">
        <v>3</v>
      </c>
      <c r="K50" s="247" t="s">
        <v>4660</v>
      </c>
      <c r="L50" s="248">
        <v>175332</v>
      </c>
      <c r="M50" s="249">
        <f>15*(LEFT(TEXT($L50,"000000"),2)+(MID(TEXT($L50,"000000"),3,2)/60)+(RIGHT(TEXT($L50,"000000"),2)/3600))</f>
        <v>268.38333333333333</v>
      </c>
      <c r="N50" s="250">
        <v>103720</v>
      </c>
      <c r="O50" s="251">
        <f>IF($N50&gt;0,(LEFT(TEXT($N50,"000000"),2)+(MID(TEXT($N50,"000000"),3,2)/60)+(RIGHT(TEXT($N50,"000000"),2)/3600)),-(MID(TEXT($N50,"000000"),2,2)+(MID(TEXT($N50,"000000"),4,2)/60)+(RIGHT(TEXT($N50,"000000"),2)/3600)))</f>
        <v>10.622222222222224</v>
      </c>
      <c r="P50" s="252" t="s">
        <v>113</v>
      </c>
      <c r="Q50" s="253"/>
      <c r="R50" s="247" t="s">
        <v>3293</v>
      </c>
      <c r="S50" s="272" t="s">
        <v>3293</v>
      </c>
      <c r="T50" s="273">
        <v>15</v>
      </c>
      <c r="U50" s="274"/>
      <c r="V50" s="256"/>
      <c r="W50" s="244"/>
      <c r="X50" s="244"/>
      <c r="Y50" s="362"/>
      <c r="Z50" s="257">
        <f>altaz(J2000_Bas,$O50,$M50,DecLat,DecLong,1)</f>
        <v>63.882793341807314</v>
      </c>
      <c r="AA50" s="257">
        <f>altaz((J2000_Bas+(2*0.04167)),$O50,$M50,DecLat,DecLong,1)</f>
        <v>41.444583241137259</v>
      </c>
      <c r="AB50" s="257">
        <f>altaz((J2000_Bas+(4*0.04167)),$O50,$M50,DecLat,DecLong,1)</f>
        <v>15.851316252106658</v>
      </c>
      <c r="AC50" s="257">
        <f>altaz((J2000_Bas+(6*0.04167)),$O50,$M50,DecLat,DecLong,1)</f>
        <v>-9.4173255627713193</v>
      </c>
      <c r="AD50" s="258">
        <f>1+ transit((J2000_Bas-1),$O50,$M50,DecLat,DecLong)/360 + (GMTOffset/24) + (IF(DST="Y", 1, 0)/24)</f>
        <v>1.7384091453380413</v>
      </c>
      <c r="AE50" s="259">
        <f>DATE(2001,9,21)+(M50/360)*365 - (360*((DecLong/360)- (GMTOffset/24) ))</f>
        <v>37432.110879629632</v>
      </c>
      <c r="AF50" s="260">
        <f>IF(DecLat&gt;0,IF((90 - (DecLat-O50))&gt;90, (90 - (O50-DecLat)), (90 - (DecLat-O50))),IF((90 + (DecLat-O50))&gt;90, (90 + (O50-DecLat)), (90 + (DecLat-O50))))</f>
        <v>69.62222222222222</v>
      </c>
      <c r="AG50" s="257">
        <f>angularseperation(MoonRA,MoonDec,$M50,$O50)</f>
        <v>42.031685930557074</v>
      </c>
      <c r="AH50" s="261">
        <f ca="1">MIN(100,IF($O$5&gt;80,0+30*($AG50/100),IF($O$5&gt;70,0+50*($AG50/100),IF($O$5&gt;60,5+50*($AG50/100),IF($O$5&gt;50,10+60*($AG50/100),IF($O$5&gt;40,15+70*($AG50/100),IF($O$5&gt;30,20+70*($AG50/100),IF($O$5&gt;20,40+55*($AG50/100),(80+(20-$O$5)+30*($AG50/100))))))))))</f>
        <v>95.88056612331755</v>
      </c>
      <c r="AI50" s="262"/>
      <c r="AJ50" s="262"/>
      <c r="AK50" s="262"/>
      <c r="AL50" s="263"/>
      <c r="AM50" s="264"/>
      <c r="AN50" s="263"/>
      <c r="AO50" s="263"/>
      <c r="AP50" s="265"/>
      <c r="AQ50" s="266"/>
      <c r="AR50" s="267"/>
      <c r="AS50" s="263">
        <v>43</v>
      </c>
      <c r="AT50" s="263"/>
      <c r="AU50" s="263"/>
      <c r="AV50" s="264"/>
      <c r="AW50" s="263"/>
      <c r="AX50" s="263"/>
      <c r="AY50" s="263"/>
      <c r="AZ50" s="263"/>
      <c r="BA50" s="263"/>
      <c r="BB50" s="263"/>
      <c r="BC50" s="263"/>
      <c r="BD50" s="264"/>
      <c r="BE50" s="263"/>
      <c r="BF50" s="263"/>
      <c r="BG50" s="263"/>
      <c r="BH50" s="263"/>
      <c r="BI50" s="263"/>
      <c r="BJ50" s="404">
        <f>altaz(J2000_Bas,$O50,$M50,DecLat,DecLong,2)</f>
        <v>222.51820980153849</v>
      </c>
      <c r="BK50" s="378" t="s">
        <v>3954</v>
      </c>
      <c r="BL50" s="379">
        <f>IF((2*G50)/60&lt;0.2,0.2,(2*G50)/60)</f>
        <v>0.2</v>
      </c>
      <c r="BM50" s="380">
        <f>MOD((50000+AD50-$B$3+(0/24)),1)</f>
        <v>0.95377607503905892</v>
      </c>
      <c r="BN50" s="381" t="s">
        <v>8643</v>
      </c>
      <c r="BO50" s="382">
        <v>50</v>
      </c>
    </row>
    <row r="51" spans="1:67" s="24" customFormat="1" ht="15" customHeight="1" x14ac:dyDescent="0.25">
      <c r="A51" s="414" t="s">
        <v>118</v>
      </c>
      <c r="B51" s="241" t="str">
        <f>HYPERLINK(CONCATENATE($AT$3,BK51,$AU$3),$AV$3)</f>
        <v>S</v>
      </c>
      <c r="C51" s="242" t="str">
        <f>HYPERLINK(CONCATENATE($AT$4,BK51,$AU$4,BL51),$AV$4)</f>
        <v>A</v>
      </c>
      <c r="D51" s="243" t="s">
        <v>5187</v>
      </c>
      <c r="E51" s="244" t="s">
        <v>5181</v>
      </c>
      <c r="F51" s="269" t="s">
        <v>9101</v>
      </c>
      <c r="G51" s="273">
        <v>1</v>
      </c>
      <c r="H51" s="271">
        <v>7000</v>
      </c>
      <c r="I51" s="245">
        <v>2</v>
      </c>
      <c r="J51" s="246">
        <v>2</v>
      </c>
      <c r="K51" s="247" t="s">
        <v>3401</v>
      </c>
      <c r="L51" s="248">
        <v>183011</v>
      </c>
      <c r="M51" s="249">
        <f>15*(LEFT(TEXT($L51,"000000"),2)+(MID(TEXT($L51,"000000"),3,2)/60)+(RIGHT(TEXT($L51,"000000"),2)/3600))</f>
        <v>277.54583333333335</v>
      </c>
      <c r="N51" s="250">
        <v>-164527</v>
      </c>
      <c r="O51" s="251">
        <f>IF($N51&gt;0,(LEFT(TEXT($N51,"000000"),2)+(MID(TEXT($N51,"000000"),3,2)/60)+(RIGHT(TEXT($N51,"000000"),2)/3600)),-(MID(TEXT($N51,"000000"),2,2)+(MID(TEXT($N51,"000000"),4,2)/60)+(RIGHT(TEXT($N51,"000000"),2)/3600)))</f>
        <v>-16.7575</v>
      </c>
      <c r="P51" s="252" t="s">
        <v>119</v>
      </c>
      <c r="Q51" s="253"/>
      <c r="R51" s="247" t="s">
        <v>3293</v>
      </c>
      <c r="S51" s="272" t="s">
        <v>3293</v>
      </c>
      <c r="T51" s="273">
        <v>16</v>
      </c>
      <c r="U51" s="274"/>
      <c r="V51" s="256"/>
      <c r="W51" s="244"/>
      <c r="X51" s="244"/>
      <c r="Y51" s="362"/>
      <c r="Z51" s="257">
        <f>altaz(J2000_Bas,$O51,$M51,DecLat,DecLong,1)</f>
        <v>41.555540608249274</v>
      </c>
      <c r="AA51" s="257">
        <f>altaz((J2000_Bas+(2*0.04167)),$O51,$M51,DecLat,DecLong,1)</f>
        <v>29.569119399965459</v>
      </c>
      <c r="AB51" s="257">
        <f>altaz((J2000_Bas+(4*0.04167)),$O51,$M51,DecLat,DecLong,1)</f>
        <v>8.6638328594825769</v>
      </c>
      <c r="AC51" s="257">
        <f>altaz((J2000_Bas+(6*0.04167)),$O51,$M51,DecLat,DecLong,1)</f>
        <v>-15.830596696673089</v>
      </c>
      <c r="AD51" s="258">
        <f>1+ transit((J2000_Bas-1),$O51,$M51,DecLat,DecLong)/360 + (GMTOffset/24) + (IF(DST="Y", 1, 0)/24)</f>
        <v>1.7638605316817915</v>
      </c>
      <c r="AE51" s="259">
        <f>DATE(2001,9,21)+(M51/360)*365 - (360*((DecLong/360)- (GMTOffset/24) ))</f>
        <v>37441.400636574072</v>
      </c>
      <c r="AF51" s="260">
        <f>IF(DecLat&gt;0,IF((90 - (DecLat-O51))&gt;90, (90 - (O51-DecLat)), (90 - (DecLat-O51))),IF((90 + (DecLat-O51))&gt;90, (90 + (O51-DecLat)), (90 + (DecLat-O51))))</f>
        <v>42.2425</v>
      </c>
      <c r="AG51" s="257">
        <f>angularseperation(MoonRA,MoonDec,$M51,$O51)</f>
        <v>28.130298469721648</v>
      </c>
      <c r="AH51" s="261">
        <f ca="1">MIN(100,IF($O$5&gt;80,0+30*($AG51/100),IF($O$5&gt;70,0+50*($AG51/100),IF($O$5&gt;60,5+50*($AG51/100),IF($O$5&gt;50,10+60*($AG51/100),IF($O$5&gt;40,15+70*($AG51/100),IF($O$5&gt;30,20+70*($AG51/100),IF($O$5&gt;20,40+55*($AG51/100),(80+(20-$O$5)+30*($AG51/100))))))))))</f>
        <v>91.710149885066926</v>
      </c>
      <c r="AI51" s="262"/>
      <c r="AJ51" s="262"/>
      <c r="AK51" s="262"/>
      <c r="AL51" s="263"/>
      <c r="AM51" s="264"/>
      <c r="AN51" s="263"/>
      <c r="AO51" s="263"/>
      <c r="AP51" s="265"/>
      <c r="AQ51" s="266"/>
      <c r="AR51" s="267"/>
      <c r="AS51" s="263">
        <v>44</v>
      </c>
      <c r="AT51" s="263"/>
      <c r="AU51" s="263"/>
      <c r="AV51" s="264"/>
      <c r="AW51" s="263"/>
      <c r="AX51" s="263"/>
      <c r="AY51" s="263"/>
      <c r="AZ51" s="263"/>
      <c r="BA51" s="263"/>
      <c r="BB51" s="263"/>
      <c r="BC51" s="263"/>
      <c r="BD51" s="264"/>
      <c r="BE51" s="263"/>
      <c r="BF51" s="263"/>
      <c r="BG51" s="263"/>
      <c r="BH51" s="263"/>
      <c r="BI51" s="263"/>
      <c r="BJ51" s="404">
        <f>altaz(J2000_Bas,$O51,$M51,DecLat,DecLong,2)</f>
        <v>190.84664885619696</v>
      </c>
      <c r="BK51" s="378" t="s">
        <v>3955</v>
      </c>
      <c r="BL51" s="379">
        <f>IF((2*G51)/60&lt;0.2,0.2,(2*G51)/60)</f>
        <v>0.2</v>
      </c>
      <c r="BM51" s="380">
        <f>MOD((50000+AD51-$B$3+(0/24)),1)</f>
        <v>0.97922746138647199</v>
      </c>
      <c r="BN51" s="381"/>
      <c r="BO51" s="382">
        <v>51</v>
      </c>
    </row>
    <row r="52" spans="1:67" s="24" customFormat="1" ht="15" customHeight="1" x14ac:dyDescent="0.25">
      <c r="A52" s="414" t="s">
        <v>120</v>
      </c>
      <c r="B52" s="241" t="str">
        <f>HYPERLINK(CONCATENATE($AT$3,BK52,$AU$3),$AV$3)</f>
        <v>S</v>
      </c>
      <c r="C52" s="242" t="str">
        <f>HYPERLINK(CONCATENATE($AT$4,BK52,$AU$4,BL52),$AV$4)</f>
        <v>A</v>
      </c>
      <c r="D52" s="243" t="s">
        <v>5187</v>
      </c>
      <c r="E52" s="244" t="s">
        <v>5181</v>
      </c>
      <c r="F52" s="269" t="s">
        <v>5222</v>
      </c>
      <c r="G52" s="273">
        <v>7</v>
      </c>
      <c r="H52" s="271" t="s">
        <v>6500</v>
      </c>
      <c r="I52" s="244" t="s">
        <v>6500</v>
      </c>
      <c r="J52" s="246">
        <v>2</v>
      </c>
      <c r="K52" s="247" t="s">
        <v>3402</v>
      </c>
      <c r="L52" s="248">
        <v>183017</v>
      </c>
      <c r="M52" s="249">
        <f>15*(LEFT(TEXT($L52,"000000"),2)+(MID(TEXT($L52,"000000"),3,2)/60)+(RIGHT(TEXT($L52,"000000"),2)/3600))</f>
        <v>277.57083333333338</v>
      </c>
      <c r="N52" s="250">
        <v>-113654</v>
      </c>
      <c r="O52" s="251">
        <f>IF($N52&gt;0,(LEFT(TEXT($N52,"000000"),2)+(MID(TEXT($N52,"000000"),3,2)/60)+(RIGHT(TEXT($N52,"000000"),2)/3600)),-(MID(TEXT($N52,"000000"),2,2)+(MID(TEXT($N52,"000000"),4,2)/60)+(RIGHT(TEXT($N52,"000000"),2)/3600)))</f>
        <v>-11.615</v>
      </c>
      <c r="P52" s="252" t="s">
        <v>121</v>
      </c>
      <c r="Q52" s="253"/>
      <c r="R52" s="247" t="s">
        <v>3293</v>
      </c>
      <c r="S52" s="272" t="s">
        <v>3293</v>
      </c>
      <c r="T52" s="273">
        <v>13</v>
      </c>
      <c r="U52" s="274"/>
      <c r="V52" s="256"/>
      <c r="W52" s="244"/>
      <c r="X52" s="244"/>
      <c r="Y52" s="362"/>
      <c r="Z52" s="257">
        <f>altaz(J2000_Bas,$O52,$M52,DecLat,DecLong,1)</f>
        <v>46.622510572610175</v>
      </c>
      <c r="AA52" s="257">
        <f>altaz((J2000_Bas+(2*0.04167)),$O52,$M52,DecLat,DecLong,1)</f>
        <v>33.589947236469939</v>
      </c>
      <c r="AB52" s="257">
        <f>altaz((J2000_Bas+(4*0.04167)),$O52,$M52,DecLat,DecLong,1)</f>
        <v>11.691910016372752</v>
      </c>
      <c r="AC52" s="257">
        <f>altaz((J2000_Bas+(6*0.04167)),$O52,$M52,DecLat,DecLong,1)</f>
        <v>-13.325600857606691</v>
      </c>
      <c r="AD52" s="258">
        <f>1+ transit((J2000_Bas-1),$O52,$M52,DecLat,DecLong)/360 + (GMTOffset/24) + (IF(DST="Y", 1, 0)/24)</f>
        <v>1.7639299761192915</v>
      </c>
      <c r="AE52" s="259">
        <f>DATE(2001,9,21)+(M52/360)*365 - (360*((DecLong/360)- (GMTOffset/24) ))</f>
        <v>37441.425983796296</v>
      </c>
      <c r="AF52" s="260">
        <f>IF(DecLat&gt;0,IF((90 - (DecLat-O52))&gt;90, (90 - (O52-DecLat)), (90 - (DecLat-O52))),IF((90 + (DecLat-O52))&gt;90, (90 + (O52-DecLat)), (90 + (DecLat-O52))))</f>
        <v>47.384999999999998</v>
      </c>
      <c r="AG52" s="257">
        <f>angularseperation(MoonRA,MoonDec,$M52,$O52)</f>
        <v>30.758663734145316</v>
      </c>
      <c r="AH52" s="261">
        <f ca="1">MIN(100,IF($O$5&gt;80,0+30*($AG52/100),IF($O$5&gt;70,0+50*($AG52/100),IF($O$5&gt;60,5+50*($AG52/100),IF($O$5&gt;50,10+60*($AG52/100),IF($O$5&gt;40,15+70*($AG52/100),IF($O$5&gt;30,20+70*($AG52/100),IF($O$5&gt;20,40+55*($AG52/100),(80+(20-$O$5)+30*($AG52/100))))))))))</f>
        <v>92.498659464394024</v>
      </c>
      <c r="AI52" s="262"/>
      <c r="AJ52" s="262"/>
      <c r="AK52" s="262"/>
      <c r="AL52" s="263"/>
      <c r="AM52" s="264"/>
      <c r="AN52" s="263"/>
      <c r="AO52" s="263"/>
      <c r="AP52" s="265"/>
      <c r="AQ52" s="266"/>
      <c r="AR52" s="267"/>
      <c r="AS52" s="263">
        <v>45</v>
      </c>
      <c r="AT52" s="263"/>
      <c r="AU52" s="263"/>
      <c r="AV52" s="264"/>
      <c r="AW52" s="263"/>
      <c r="AX52" s="263"/>
      <c r="AY52" s="263"/>
      <c r="AZ52" s="263"/>
      <c r="BA52" s="263"/>
      <c r="BB52" s="263"/>
      <c r="BC52" s="263"/>
      <c r="BD52" s="264"/>
      <c r="BE52" s="263"/>
      <c r="BF52" s="263"/>
      <c r="BG52" s="263"/>
      <c r="BH52" s="263"/>
      <c r="BI52" s="263"/>
      <c r="BJ52" s="404">
        <f>altaz(J2000_Bas,$O52,$M52,DecLat,DecLong,2)</f>
        <v>192.07123723673479</v>
      </c>
      <c r="BK52" s="378" t="s">
        <v>3956</v>
      </c>
      <c r="BL52" s="379">
        <f>IF((2*G52)/60&lt;0.2,0.2,(2*G52)/60)</f>
        <v>0.23333333333333334</v>
      </c>
      <c r="BM52" s="380">
        <f>MOD((50000+AD52-$B$3+(0/24)),1)</f>
        <v>0.97929690582532203</v>
      </c>
      <c r="BN52" s="381"/>
      <c r="BO52" s="382">
        <v>52</v>
      </c>
    </row>
    <row r="53" spans="1:67" s="24" customFormat="1" ht="15" customHeight="1" x14ac:dyDescent="0.25">
      <c r="A53" s="414" t="s">
        <v>122</v>
      </c>
      <c r="B53" s="241" t="str">
        <f>HYPERLINK(CONCATENATE($AT$3,BK53,$AU$3),$AV$3)</f>
        <v>S</v>
      </c>
      <c r="C53" s="242" t="str">
        <f>HYPERLINK(CONCATENATE($AT$4,BK53,$AU$4,BL53),$AV$4)</f>
        <v>A</v>
      </c>
      <c r="D53" s="243" t="s">
        <v>5187</v>
      </c>
      <c r="E53" s="244" t="s">
        <v>5181</v>
      </c>
      <c r="F53" s="269" t="s">
        <v>5223</v>
      </c>
      <c r="G53" s="273">
        <v>1.3</v>
      </c>
      <c r="H53" s="271">
        <v>7200</v>
      </c>
      <c r="I53" s="245">
        <v>2.7</v>
      </c>
      <c r="J53" s="246">
        <v>2</v>
      </c>
      <c r="K53" s="247" t="s">
        <v>3403</v>
      </c>
      <c r="L53" s="248">
        <v>183119</v>
      </c>
      <c r="M53" s="249">
        <f>15*(LEFT(TEXT($L53,"000000"),2)+(MID(TEXT($L53,"000000"),3,2)/60)+(RIGHT(TEXT($L53,"000000"),2)/3600))</f>
        <v>277.82916666666665</v>
      </c>
      <c r="N53" s="250">
        <v>265617</v>
      </c>
      <c r="O53" s="251">
        <f>IF($N53&gt;0,(LEFT(TEXT($N53,"000000"),2)+(MID(TEXT($N53,"000000"),3,2)/60)+(RIGHT(TEXT($N53,"000000"),2)/3600)),-(MID(TEXT($N53,"000000"),2,2)+(MID(TEXT($N53,"000000"),4,2)/60)+(RIGHT(TEXT($N53,"000000"),2)/3600)))</f>
        <v>26.938055555555557</v>
      </c>
      <c r="P53" s="252" t="s">
        <v>123</v>
      </c>
      <c r="Q53" s="253"/>
      <c r="R53" s="247" t="s">
        <v>3293</v>
      </c>
      <c r="S53" s="272" t="s">
        <v>3293</v>
      </c>
      <c r="T53" s="273">
        <v>15</v>
      </c>
      <c r="U53" s="274"/>
      <c r="V53" s="256"/>
      <c r="W53" s="244"/>
      <c r="X53" s="244"/>
      <c r="Y53" s="362"/>
      <c r="Z53" s="257">
        <f>altaz(J2000_Bas,$O53,$M53,DecLat,DecLong,1)</f>
        <v>81.779782256722129</v>
      </c>
      <c r="AA53" s="257">
        <f>altaz((J2000_Bas+(2*0.04167)),$O53,$M53,DecLat,DecLong,1)</f>
        <v>56.446421246777057</v>
      </c>
      <c r="AB53" s="257">
        <f>altaz((J2000_Bas+(4*0.04167)),$O53,$M53,DecLat,DecLong,1)</f>
        <v>31.020530450920482</v>
      </c>
      <c r="AC53" s="257">
        <f>altaz((J2000_Bas+(6*0.04167)),$O53,$M53,DecLat,DecLong,1)</f>
        <v>6.9693051628915343</v>
      </c>
      <c r="AD53" s="258">
        <f>1+ transit((J2000_Bas-1),$O53,$M53,DecLat,DecLong)/360 + (GMTOffset/24) + (IF(DST="Y", 1, 0)/24)</f>
        <v>1.7646475686401246</v>
      </c>
      <c r="AE53" s="259">
        <f>DATE(2001,9,21)+(M53/360)*365 - (360*((DecLong/360)- (GMTOffset/24) ))</f>
        <v>37441.687905092593</v>
      </c>
      <c r="AF53" s="260">
        <f>IF(DecLat&gt;0,IF((90 - (DecLat-O53))&gt;90, (90 - (O53-DecLat)), (90 - (DecLat-O53))),IF((90 + (DecLat-O53))&gt;90, (90 + (O53-DecLat)), (90 + (DecLat-O53))))</f>
        <v>85.938055555555565</v>
      </c>
      <c r="AG53" s="257">
        <f>angularseperation(MoonRA,MoonDec,$M53,$O53)</f>
        <v>60.612883658559952</v>
      </c>
      <c r="AH53" s="261">
        <f ca="1">MIN(100,IF($O$5&gt;80,0+30*($AG53/100),IF($O$5&gt;70,0+50*($AG53/100),IF($O$5&gt;60,5+50*($AG53/100),IF($O$5&gt;50,10+60*($AG53/100),IF($O$5&gt;40,15+70*($AG53/100),IF($O$5&gt;30,20+70*($AG53/100),IF($O$5&gt;20,40+55*($AG53/100),(80+(20-$O$5)+30*($AG53/100))))))))))</f>
        <v>100</v>
      </c>
      <c r="AI53" s="262"/>
      <c r="AJ53" s="262"/>
      <c r="AK53" s="262"/>
      <c r="AL53" s="263"/>
      <c r="AM53" s="264"/>
      <c r="AN53" s="263"/>
      <c r="AO53" s="263"/>
      <c r="AP53" s="265"/>
      <c r="AQ53" s="266"/>
      <c r="AR53" s="267"/>
      <c r="AS53" s="263">
        <v>46</v>
      </c>
      <c r="AT53" s="263"/>
      <c r="AU53" s="263"/>
      <c r="AV53" s="264"/>
      <c r="AW53" s="263"/>
      <c r="AX53" s="263"/>
      <c r="AY53" s="263"/>
      <c r="AZ53" s="263"/>
      <c r="BA53" s="263"/>
      <c r="BB53" s="263"/>
      <c r="BC53" s="263"/>
      <c r="BD53" s="264"/>
      <c r="BE53" s="263"/>
      <c r="BF53" s="263"/>
      <c r="BG53" s="263"/>
      <c r="BH53" s="263"/>
      <c r="BI53" s="263"/>
      <c r="BJ53" s="404">
        <f>altaz(J2000_Bas,$O53,$M53,DecLat,DecLong,2)</f>
        <v>242.43178358163965</v>
      </c>
      <c r="BK53" s="378" t="s">
        <v>3957</v>
      </c>
      <c r="BL53" s="379">
        <f>IF((2*G53)/60&lt;0.2,0.2,(2*G53)/60)</f>
        <v>0.2</v>
      </c>
      <c r="BM53" s="380">
        <f>MOD((50000+AD53-$B$3+(0/24)),1)</f>
        <v>0.98001449834555387</v>
      </c>
      <c r="BN53" s="381" t="s">
        <v>8647</v>
      </c>
      <c r="BO53" s="382">
        <v>53</v>
      </c>
    </row>
    <row r="54" spans="1:67" s="24" customFormat="1" ht="15" customHeight="1" x14ac:dyDescent="0.25">
      <c r="A54" s="414" t="s">
        <v>124</v>
      </c>
      <c r="B54" s="241" t="str">
        <f>HYPERLINK(CONCATENATE($AT$3,BK54,$AU$3),$AV$3)</f>
        <v>S</v>
      </c>
      <c r="C54" s="242" t="str">
        <f>HYPERLINK(CONCATENATE($AT$4,BK54,$AU$4,BL54),$AV$4)</f>
        <v>A</v>
      </c>
      <c r="D54" s="243" t="s">
        <v>5187</v>
      </c>
      <c r="E54" s="244" t="s">
        <v>5181</v>
      </c>
      <c r="F54" s="269" t="s">
        <v>9102</v>
      </c>
      <c r="G54" s="270">
        <v>0.3</v>
      </c>
      <c r="H54" s="271">
        <v>30000</v>
      </c>
      <c r="I54" s="245">
        <v>2.6</v>
      </c>
      <c r="J54" s="246">
        <v>2</v>
      </c>
      <c r="K54" s="247" t="s">
        <v>4884</v>
      </c>
      <c r="L54" s="248">
        <v>183522</v>
      </c>
      <c r="M54" s="249">
        <f>15*(LEFT(TEXT($L54,"000000"),2)+(MID(TEXT($L54,"000000"),3,2)/60)+(RIGHT(TEXT($L54,"000000"),2)/3600))</f>
        <v>278.84166666666664</v>
      </c>
      <c r="N54" s="250">
        <v>-1332</v>
      </c>
      <c r="O54" s="251">
        <f>IF($N54&gt;0,(LEFT(TEXT($N54,"000000"),2)+(MID(TEXT($N54,"000000"),3,2)/60)+(RIGHT(TEXT($N54,"000000"),2)/3600)),-(MID(TEXT($N54,"000000"),2,2)+(MID(TEXT($N54,"000000"),4,2)/60)+(RIGHT(TEXT($N54,"000000"),2)/3600)))</f>
        <v>-0.22555555555555556</v>
      </c>
      <c r="P54" s="252" t="s">
        <v>115</v>
      </c>
      <c r="Q54" s="253"/>
      <c r="R54" s="247" t="s">
        <v>3293</v>
      </c>
      <c r="S54" s="272" t="s">
        <v>3293</v>
      </c>
      <c r="T54" s="273">
        <v>19</v>
      </c>
      <c r="U54" s="274"/>
      <c r="V54" s="256"/>
      <c r="W54" s="244"/>
      <c r="X54" s="244"/>
      <c r="Y54" s="362"/>
      <c r="Z54" s="257">
        <f>altaz(J2000_Bas,$O54,$M54,DecLat,DecLong,1)</f>
        <v>58.043172984691594</v>
      </c>
      <c r="AA54" s="257">
        <f>altaz((J2000_Bas+(2*0.04167)),$O54,$M54,DecLat,DecLong,1)</f>
        <v>42.868245324013792</v>
      </c>
      <c r="AB54" s="257">
        <f>altaz((J2000_Bas+(4*0.04167)),$O54,$M54,DecLat,DecLong,1)</f>
        <v>19.16812326359404</v>
      </c>
      <c r="AC54" s="257">
        <f>altaz((J2000_Bas+(6*0.04167)),$O54,$M54,DecLat,DecLong,1)</f>
        <v>-6.4676685735583668</v>
      </c>
      <c r="AD54" s="258">
        <f>1+ transit((J2000_Bas-1),$O54,$M54,DecLat,DecLong)/360 + (GMTOffset/24) + (IF(DST="Y", 1, 0)/24)</f>
        <v>1.7674600683588746</v>
      </c>
      <c r="AE54" s="259">
        <f>DATE(2001,9,21)+(M54/360)*365 - (360*((DecLong/360)- (GMTOffset/24) ))</f>
        <v>37442.714467592596</v>
      </c>
      <c r="AF54" s="260">
        <f>IF(DecLat&gt;0,IF((90 - (DecLat-O54))&gt;90, (90 - (O54-DecLat)), (90 - (DecLat-O54))),IF((90 + (DecLat-O54))&gt;90, (90 + (O54-DecLat)), (90 + (DecLat-O54))))</f>
        <v>58.774444444444441</v>
      </c>
      <c r="AG54" s="257">
        <f>angularseperation(MoonRA,MoonDec,$M54,$O54)</f>
        <v>39.110237833055685</v>
      </c>
      <c r="AH54" s="261">
        <f ca="1">MIN(100,IF($O$5&gt;80,0+30*($AG54/100),IF($O$5&gt;70,0+50*($AG54/100),IF($O$5&gt;60,5+50*($AG54/100),IF($O$5&gt;50,10+60*($AG54/100),IF($O$5&gt;40,15+70*($AG54/100),IF($O$5&gt;30,20+70*($AG54/100),IF($O$5&gt;20,40+55*($AG54/100),(80+(20-$O$5)+30*($AG54/100))))))))))</f>
        <v>95.004131694067127</v>
      </c>
      <c r="AI54" s="262"/>
      <c r="AJ54" s="262"/>
      <c r="AK54" s="262"/>
      <c r="AL54" s="263"/>
      <c r="AM54" s="264"/>
      <c r="AN54" s="263"/>
      <c r="AO54" s="263"/>
      <c r="AP54" s="265"/>
      <c r="AQ54" s="266"/>
      <c r="AR54" s="267"/>
      <c r="AS54" s="263">
        <v>47</v>
      </c>
      <c r="AT54" s="263"/>
      <c r="AU54" s="263"/>
      <c r="AV54" s="264"/>
      <c r="AW54" s="263"/>
      <c r="AX54" s="263"/>
      <c r="AY54" s="263"/>
      <c r="AZ54" s="263"/>
      <c r="BA54" s="263"/>
      <c r="BB54" s="263"/>
      <c r="BC54" s="263"/>
      <c r="BD54" s="264"/>
      <c r="BE54" s="263"/>
      <c r="BF54" s="263"/>
      <c r="BG54" s="263"/>
      <c r="BH54" s="263"/>
      <c r="BI54" s="263"/>
      <c r="BJ54" s="404">
        <f>altaz(J2000_Bas,$O54,$M54,DecLat,DecLong,2)</f>
        <v>193.62229821242033</v>
      </c>
      <c r="BK54" s="378" t="s">
        <v>3958</v>
      </c>
      <c r="BL54" s="379">
        <f>IF((2*G54)/60&lt;0.2,0.2,(2*G54)/60)</f>
        <v>0.2</v>
      </c>
      <c r="BM54" s="380">
        <f>MOD((50000+AD54-$B$3+(0/24)),1)</f>
        <v>0.98282699806441087</v>
      </c>
      <c r="BN54" s="381"/>
      <c r="BO54" s="382">
        <v>54</v>
      </c>
    </row>
    <row r="55" spans="1:67" s="24" customFormat="1" ht="15" customHeight="1" x14ac:dyDescent="0.25">
      <c r="A55" s="414" t="s">
        <v>125</v>
      </c>
      <c r="B55" s="241" t="str">
        <f>HYPERLINK(CONCATENATE($AT$3,BK55,$AU$3),$AV$3)</f>
        <v>S</v>
      </c>
      <c r="C55" s="242" t="str">
        <f>HYPERLINK(CONCATENATE($AT$4,BK55,$AU$4,BL55),$AV$4)</f>
        <v>A</v>
      </c>
      <c r="D55" s="243" t="s">
        <v>5187</v>
      </c>
      <c r="E55" s="244" t="s">
        <v>5181</v>
      </c>
      <c r="F55" s="269" t="s">
        <v>4797</v>
      </c>
      <c r="G55" s="270">
        <v>0.8</v>
      </c>
      <c r="H55" s="271">
        <v>11800</v>
      </c>
      <c r="I55" s="245">
        <v>2.7</v>
      </c>
      <c r="J55" s="246">
        <v>2</v>
      </c>
      <c r="K55" s="247" t="s">
        <v>3391</v>
      </c>
      <c r="L55" s="248">
        <v>184249</v>
      </c>
      <c r="M55" s="249">
        <f>15*(LEFT(TEXT($L55,"000000"),2)+(MID(TEXT($L55,"000000"),3,2)/60)+(RIGHT(TEXT($L55,"000000"),2)/3600))</f>
        <v>280.70416666666665</v>
      </c>
      <c r="N55" s="250">
        <v>-31300</v>
      </c>
      <c r="O55" s="251">
        <f>IF($N55&gt;0,(LEFT(TEXT($N55,"000000"),2)+(MID(TEXT($N55,"000000"),3,2)/60)+(RIGHT(TEXT($N55,"000000"),2)/3600)),-(MID(TEXT($N55,"000000"),2,2)+(MID(TEXT($N55,"000000"),4,2)/60)+(RIGHT(TEXT($N55,"000000"),2)/3600)))</f>
        <v>-3.2166666666666668</v>
      </c>
      <c r="P55" s="252" t="s">
        <v>126</v>
      </c>
      <c r="Q55" s="253"/>
      <c r="R55" s="247" t="s">
        <v>3293</v>
      </c>
      <c r="S55" s="272" t="s">
        <v>3293</v>
      </c>
      <c r="T55" s="273">
        <v>17</v>
      </c>
      <c r="U55" s="274"/>
      <c r="V55" s="256"/>
      <c r="W55" s="244"/>
      <c r="X55" s="244"/>
      <c r="Y55" s="362"/>
      <c r="Z55" s="257">
        <f>altaz(J2000_Bas,$O55,$M55,DecLat,DecLong,1)</f>
        <v>55.412505196085171</v>
      </c>
      <c r="AA55" s="257">
        <f>altaz((J2000_Bas+(2*0.04167)),$O55,$M55,DecLat,DecLong,1)</f>
        <v>41.978162772259779</v>
      </c>
      <c r="AB55" s="257">
        <f>altaz((J2000_Bas+(4*0.04167)),$O55,$M55,DecLat,DecLong,1)</f>
        <v>19.053003243051581</v>
      </c>
      <c r="AC55" s="257">
        <f>altaz((J2000_Bas+(6*0.04167)),$O55,$M55,DecLat,DecLong,1)</f>
        <v>-6.4133605649152923</v>
      </c>
      <c r="AD55" s="258">
        <f>1+ transit((J2000_Bas-1),$O55,$M55,DecLat,DecLong)/360 + (GMTOffset/24) + (IF(DST="Y", 1, 0)/24)</f>
        <v>1.7726336789526247</v>
      </c>
      <c r="AE55" s="259">
        <f>DATE(2001,9,21)+(M55/360)*365 - (360*((DecLong/360)- (GMTOffset/24) ))</f>
        <v>37444.602835648147</v>
      </c>
      <c r="AF55" s="260">
        <f>IF(DecLat&gt;0,IF((90 - (DecLat-O55))&gt;90, (90 - (O55-DecLat)), (90 - (DecLat-O55))),IF((90 + (DecLat-O55))&gt;90, (90 + (O55-DecLat)), (90 + (DecLat-O55))))</f>
        <v>55.783333333333331</v>
      </c>
      <c r="AG55" s="257">
        <f>angularseperation(MoonRA,MoonDec,$M55,$O55)</f>
        <v>38.390501493629621</v>
      </c>
      <c r="AH55" s="261">
        <f ca="1">MIN(100,IF($O$5&gt;80,0+30*($AG55/100),IF($O$5&gt;70,0+50*($AG55/100),IF($O$5&gt;60,5+50*($AG55/100),IF($O$5&gt;50,10+60*($AG55/100),IF($O$5&gt;40,15+70*($AG55/100),IF($O$5&gt;30,20+70*($AG55/100),IF($O$5&gt;20,40+55*($AG55/100),(80+(20-$O$5)+30*($AG55/100))))))))))</f>
        <v>94.788210792239312</v>
      </c>
      <c r="AI55" s="262"/>
      <c r="AJ55" s="262"/>
      <c r="AK55" s="262"/>
      <c r="AL55" s="263"/>
      <c r="AM55" s="264"/>
      <c r="AN55" s="263"/>
      <c r="AO55" s="263"/>
      <c r="AP55" s="265"/>
      <c r="AQ55" s="266"/>
      <c r="AR55" s="267"/>
      <c r="AS55" s="263">
        <v>48</v>
      </c>
      <c r="AT55" s="263"/>
      <c r="AU55" s="263"/>
      <c r="AV55" s="264"/>
      <c r="AW55" s="263"/>
      <c r="AX55" s="263"/>
      <c r="AY55" s="263"/>
      <c r="AZ55" s="263"/>
      <c r="BA55" s="263"/>
      <c r="BB55" s="263"/>
      <c r="BC55" s="263"/>
      <c r="BD55" s="264"/>
      <c r="BE55" s="263"/>
      <c r="BF55" s="263"/>
      <c r="BG55" s="263"/>
      <c r="BH55" s="263"/>
      <c r="BI55" s="263"/>
      <c r="BJ55" s="404">
        <f>altaz(J2000_Bas,$O55,$M55,DecLat,DecLong,2)</f>
        <v>189.34721997384528</v>
      </c>
      <c r="BK55" s="378" t="s">
        <v>3959</v>
      </c>
      <c r="BL55" s="379">
        <f>IF((2*G55)/60&lt;0.2,0.2,(2*G55)/60)</f>
        <v>0.2</v>
      </c>
      <c r="BM55" s="380">
        <f>MOD((50000+AD55-$B$3+(0/24)),1)</f>
        <v>0.98800060865323758</v>
      </c>
      <c r="BN55" s="381" t="s">
        <v>8647</v>
      </c>
      <c r="BO55" s="382">
        <v>55</v>
      </c>
    </row>
    <row r="56" spans="1:67" s="24" customFormat="1" ht="15" customHeight="1" x14ac:dyDescent="0.25">
      <c r="A56" s="414" t="s">
        <v>127</v>
      </c>
      <c r="B56" s="241" t="str">
        <f>HYPERLINK(CONCATENATE($AT$3,BK56,$AU$3),$AV$3)</f>
        <v>S</v>
      </c>
      <c r="C56" s="242" t="str">
        <f>HYPERLINK(CONCATENATE($AT$4,BK56,$AU$4,BL56),$AV$4)</f>
        <v>A</v>
      </c>
      <c r="D56" s="243" t="s">
        <v>5187</v>
      </c>
      <c r="E56" s="244" t="s">
        <v>5181</v>
      </c>
      <c r="F56" s="269" t="s">
        <v>5208</v>
      </c>
      <c r="G56" s="273">
        <v>1</v>
      </c>
      <c r="H56" s="271" t="s">
        <v>6500</v>
      </c>
      <c r="I56" s="244" t="s">
        <v>6500</v>
      </c>
      <c r="J56" s="246">
        <v>2</v>
      </c>
      <c r="K56" s="247" t="s">
        <v>4638</v>
      </c>
      <c r="L56" s="248">
        <v>185329</v>
      </c>
      <c r="M56" s="249">
        <f>15*(LEFT(TEXT($L56,"000000"),2)+(MID(TEXT($L56,"000000"),3,2)/60)+(RIGHT(TEXT($L56,"000000"),2)/3600))</f>
        <v>283.37083333333328</v>
      </c>
      <c r="N56" s="250">
        <v>-62914</v>
      </c>
      <c r="O56" s="251">
        <f>IF($N56&gt;0,(LEFT(TEXT($N56,"000000"),2)+(MID(TEXT($N56,"000000"),3,2)/60)+(RIGHT(TEXT($N56,"000000"),2)/3600)),-(MID(TEXT($N56,"000000"),2,2)+(MID(TEXT($N56,"000000"),4,2)/60)+(RIGHT(TEXT($N56,"000000"),2)/3600)))</f>
        <v>-6.487222222222222</v>
      </c>
      <c r="P56" s="252" t="s">
        <v>121</v>
      </c>
      <c r="Q56" s="253"/>
      <c r="R56" s="247" t="s">
        <v>3293</v>
      </c>
      <c r="S56" s="272" t="s">
        <v>3392</v>
      </c>
      <c r="T56" s="273">
        <v>16</v>
      </c>
      <c r="U56" s="274"/>
      <c r="V56" s="256"/>
      <c r="W56" s="244"/>
      <c r="X56" s="244"/>
      <c r="Y56" s="362"/>
      <c r="Z56" s="257">
        <f>altaz(J2000_Bas,$O56,$M56,DecLat,DecLong,1)</f>
        <v>52.42828636965303</v>
      </c>
      <c r="AA56" s="257">
        <f>altaz((J2000_Bas+(2*0.04167)),$O56,$M56,DecLat,DecLong,1)</f>
        <v>41.176129270381225</v>
      </c>
      <c r="AB56" s="257">
        <f>altaz((J2000_Bas+(4*0.04167)),$O56,$M56,DecLat,DecLong,1)</f>
        <v>19.335504669289438</v>
      </c>
      <c r="AC56" s="257">
        <f>altaz((J2000_Bas+(6*0.04167)),$O56,$M56,DecLat,DecLong,1)</f>
        <v>-5.8003520035074763</v>
      </c>
      <c r="AD56" s="258">
        <f>1+ transit((J2000_Bas-1),$O56,$M56,DecLat,DecLong)/360 + (GMTOffset/24) + (IF(DST="Y", 1, 0)/24)</f>
        <v>1.7800410856192912</v>
      </c>
      <c r="AE56" s="259">
        <f>DATE(2001,9,21)+(M56/360)*365 - (360*((DecLong/360)- (GMTOffset/24) ))</f>
        <v>37447.306539351848</v>
      </c>
      <c r="AF56" s="260">
        <f>IF(DecLat&gt;0,IF((90 - (DecLat-O56))&gt;90, (90 - (O56-DecLat)), (90 - (DecLat-O56))),IF((90 + (DecLat-O56))&gt;90, (90 + (O56-DecLat)), (90 + (DecLat-O56))))</f>
        <v>52.512777777777778</v>
      </c>
      <c r="AG56" s="257">
        <f>angularseperation(MoonRA,MoonDec,$M56,$O56)</f>
        <v>38.397194790410232</v>
      </c>
      <c r="AH56" s="261">
        <f ca="1">MIN(100,IF($O$5&gt;80,0+30*($AG56/100),IF($O$5&gt;70,0+50*($AG56/100),IF($O$5&gt;60,5+50*($AG56/100),IF($O$5&gt;50,10+60*($AG56/100),IF($O$5&gt;40,15+70*($AG56/100),IF($O$5&gt;30,20+70*($AG56/100),IF($O$5&gt;20,40+55*($AG56/100),(80+(20-$O$5)+30*($AG56/100))))))))))</f>
        <v>94.790218781273495</v>
      </c>
      <c r="AI56" s="262"/>
      <c r="AJ56" s="262"/>
      <c r="AK56" s="262"/>
      <c r="AL56" s="263"/>
      <c r="AM56" s="264"/>
      <c r="AN56" s="263"/>
      <c r="AO56" s="263"/>
      <c r="AP56" s="265"/>
      <c r="AQ56" s="266"/>
      <c r="AR56" s="267"/>
      <c r="AS56" s="263">
        <v>49</v>
      </c>
      <c r="AT56" s="263"/>
      <c r="AU56" s="263"/>
      <c r="AV56" s="264"/>
      <c r="AW56" s="263"/>
      <c r="AX56" s="263"/>
      <c r="AY56" s="263"/>
      <c r="AZ56" s="263"/>
      <c r="BA56" s="263"/>
      <c r="BB56" s="263"/>
      <c r="BC56" s="263"/>
      <c r="BD56" s="264"/>
      <c r="BE56" s="263"/>
      <c r="BF56" s="263"/>
      <c r="BG56" s="263"/>
      <c r="BH56" s="263"/>
      <c r="BI56" s="263"/>
      <c r="BJ56" s="404">
        <f>altaz(J2000_Bas,$O56,$M56,DecLat,DecLong,2)</f>
        <v>184.2910230714497</v>
      </c>
      <c r="BK56" s="378" t="s">
        <v>3960</v>
      </c>
      <c r="BL56" s="379">
        <f>IF((2*G56)/60&lt;0.2,0.2,(2*G56)/60)</f>
        <v>0.2</v>
      </c>
      <c r="BM56" s="380">
        <f>MOD((50000+AD56-$B$3+(0/24)),1)</f>
        <v>0.99540801532566547</v>
      </c>
      <c r="BN56" s="381" t="s">
        <v>8665</v>
      </c>
      <c r="BO56" s="382">
        <v>56</v>
      </c>
    </row>
    <row r="57" spans="1:67" s="24" customFormat="1" ht="15" customHeight="1" x14ac:dyDescent="0.25">
      <c r="A57" s="414" t="s">
        <v>128</v>
      </c>
      <c r="B57" s="241" t="str">
        <f>HYPERLINK(CONCATENATE($AT$3,BK57,$AU$3),$AV$3)</f>
        <v>S</v>
      </c>
      <c r="C57" s="242" t="str">
        <f>HYPERLINK(CONCATENATE($AT$4,BK57,$AU$4,BL57),$AV$4)</f>
        <v>A</v>
      </c>
      <c r="D57" s="243" t="s">
        <v>5187</v>
      </c>
      <c r="E57" s="244" t="s">
        <v>5181</v>
      </c>
      <c r="F57" s="269" t="s">
        <v>5203</v>
      </c>
      <c r="G57" s="270">
        <v>0.5</v>
      </c>
      <c r="H57" s="271">
        <v>17000</v>
      </c>
      <c r="I57" s="245">
        <v>2.4</v>
      </c>
      <c r="J57" s="246">
        <v>2</v>
      </c>
      <c r="K57" s="247" t="s">
        <v>3411</v>
      </c>
      <c r="L57" s="248">
        <v>185920</v>
      </c>
      <c r="M57" s="249">
        <f>15*(LEFT(TEXT($L57,"000000"),2)+(MID(TEXT($L57,"000000"),3,2)/60)+(RIGHT(TEXT($L57,"000000"),2)/3600))</f>
        <v>284.83333333333337</v>
      </c>
      <c r="N57" s="250">
        <v>482757</v>
      </c>
      <c r="O57" s="251">
        <f>IF($N57&gt;0,(LEFT(TEXT($N57,"000000"),2)+(MID(TEXT($N57,"000000"),3,2)/60)+(RIGHT(TEXT($N57,"000000"),2)/3600)),-(MID(TEXT($N57,"000000"),2,2)+(MID(TEXT($N57,"000000"),4,2)/60)+(RIGHT(TEXT($N57,"000000"),2)/3600)))</f>
        <v>48.465833333333336</v>
      </c>
      <c r="P57" s="252" t="s">
        <v>34</v>
      </c>
      <c r="Q57" s="253"/>
      <c r="R57" s="247" t="s">
        <v>3354</v>
      </c>
      <c r="S57" s="272" t="s">
        <v>3293</v>
      </c>
      <c r="T57" s="273">
        <v>13</v>
      </c>
      <c r="U57" s="274"/>
      <c r="V57" s="256"/>
      <c r="W57" s="244"/>
      <c r="X57" s="244"/>
      <c r="Y57" s="362"/>
      <c r="Z57" s="257">
        <f>altaz(J2000_Bas,$O57,$M57,DecLat,DecLong,1)</f>
        <v>72.511587353361037</v>
      </c>
      <c r="AA57" s="257">
        <f>altaz((J2000_Bas+(2*0.04167)),$O57,$M57,DecLat,DecLong,1)</f>
        <v>60.623398059886448</v>
      </c>
      <c r="AB57" s="257">
        <f>altaz((J2000_Bas+(4*0.04167)),$O57,$M57,DecLat,DecLong,1)</f>
        <v>41.158358468544101</v>
      </c>
      <c r="AC57" s="257">
        <f>altaz((J2000_Bas+(6*0.04167)),$O57,$M57,DecLat,DecLong,1)</f>
        <v>21.803437789789324</v>
      </c>
      <c r="AD57" s="258">
        <f>1+ transit((J2000_Bas-1),$O57,$M57,DecLat,DecLong)/360 + (GMTOffset/24) + (IF(DST="Y", 1, 0)/24)</f>
        <v>1.7841035852130414</v>
      </c>
      <c r="AE57" s="259">
        <f>DATE(2001,9,21)+(M57/360)*365 - (360*((DecLong/360)- (GMTOffset/24) ))</f>
        <v>37448.789351851854</v>
      </c>
      <c r="AF57" s="260">
        <f>IF(DecLat&gt;0,IF((90 - (DecLat-O57))&gt;90, (90 - (O57-DecLat)), (90 - (DecLat-O57))),IF((90 + (DecLat-O57))&gt;90, (90 + (O57-DecLat)), (90 + (DecLat-O57))))</f>
        <v>72.534166666666664</v>
      </c>
      <c r="AG57" s="257">
        <f>angularseperation(MoonRA,MoonDec,$M57,$O57)</f>
        <v>81.995493409865986</v>
      </c>
      <c r="AH57" s="261">
        <f ca="1">MIN(100,IF($O$5&gt;80,0+30*($AG57/100),IF($O$5&gt;70,0+50*($AG57/100),IF($O$5&gt;60,5+50*($AG57/100),IF($O$5&gt;50,10+60*($AG57/100),IF($O$5&gt;40,15+70*($AG57/100),IF($O$5&gt;30,20+70*($AG57/100),IF($O$5&gt;20,40+55*($AG57/100),(80+(20-$O$5)+30*($AG57/100))))))))))</f>
        <v>100</v>
      </c>
      <c r="AI57" s="262">
        <v>6742</v>
      </c>
      <c r="AJ57" s="262"/>
      <c r="AK57" s="262"/>
      <c r="AL57" s="263"/>
      <c r="AM57" s="264"/>
      <c r="AN57" s="263"/>
      <c r="AO57" s="263"/>
      <c r="AP57" s="265"/>
      <c r="AQ57" s="266"/>
      <c r="AR57" s="267"/>
      <c r="AS57" s="263">
        <v>50</v>
      </c>
      <c r="AT57" s="263"/>
      <c r="AU57" s="263"/>
      <c r="AV57" s="264"/>
      <c r="AW57" s="263"/>
      <c r="AX57" s="263"/>
      <c r="AY57" s="263"/>
      <c r="AZ57" s="263"/>
      <c r="BA57" s="263"/>
      <c r="BB57" s="263"/>
      <c r="BC57" s="263"/>
      <c r="BD57" s="264"/>
      <c r="BE57" s="263"/>
      <c r="BF57" s="263"/>
      <c r="BG57" s="263"/>
      <c r="BH57" s="263"/>
      <c r="BI57" s="263"/>
      <c r="BJ57" s="404">
        <f>altaz(J2000_Bas,$O57,$M57,DecLat,DecLong,2)</f>
        <v>357.41931934773436</v>
      </c>
      <c r="BK57" s="378" t="s">
        <v>3961</v>
      </c>
      <c r="BL57" s="379">
        <f>IF((2*G57)/60&lt;0.2,0.2,(2*G57)/60)</f>
        <v>0.2</v>
      </c>
      <c r="BM57" s="380">
        <f>MOD((50000+AD57-$B$3+(0/24)),1)</f>
        <v>0.99947051491471939</v>
      </c>
      <c r="BN57" s="381" t="s">
        <v>8647</v>
      </c>
      <c r="BO57" s="382">
        <v>57</v>
      </c>
    </row>
    <row r="58" spans="1:67" s="24" customFormat="1" ht="15" customHeight="1" x14ac:dyDescent="0.25">
      <c r="A58" s="414" t="s">
        <v>129</v>
      </c>
      <c r="B58" s="241" t="str">
        <f>HYPERLINK(CONCATENATE($AT$3,BK58,$AU$3),$AV$3)</f>
        <v>S</v>
      </c>
      <c r="C58" s="242" t="str">
        <f>HYPERLINK(CONCATENATE($AT$4,BK58,$AU$4,BL58),$AV$4)</f>
        <v>A</v>
      </c>
      <c r="D58" s="243" t="s">
        <v>5187</v>
      </c>
      <c r="E58" s="244" t="s">
        <v>5181</v>
      </c>
      <c r="F58" s="269" t="s">
        <v>5209</v>
      </c>
      <c r="G58" s="273">
        <v>1</v>
      </c>
      <c r="H58" s="271">
        <v>6000</v>
      </c>
      <c r="I58" s="245">
        <v>1.7</v>
      </c>
      <c r="J58" s="246">
        <v>2</v>
      </c>
      <c r="K58" s="247" t="s">
        <v>3412</v>
      </c>
      <c r="L58" s="248">
        <v>190101</v>
      </c>
      <c r="M58" s="249">
        <f>15*(LEFT(TEXT($L58,"000000"),2)+(MID(TEXT($L58,"000000"),3,2)/60)+(RIGHT(TEXT($L58,"000000"),2)/3600))</f>
        <v>285.25416666666666</v>
      </c>
      <c r="N58" s="250">
        <v>-181216</v>
      </c>
      <c r="O58" s="251">
        <f>IF($N58&gt;0,(LEFT(TEXT($N58,"000000"),2)+(MID(TEXT($N58,"000000"),3,2)/60)+(RIGHT(TEXT($N58,"000000"),2)/3600)),-(MID(TEXT($N58,"000000"),2,2)+(MID(TEXT($N58,"000000"),4,2)/60)+(RIGHT(TEXT($N58,"000000"),2)/3600)))</f>
        <v>-18.204444444444444</v>
      </c>
      <c r="P58" s="252" t="s">
        <v>119</v>
      </c>
      <c r="Q58" s="253"/>
      <c r="R58" s="247" t="s">
        <v>3293</v>
      </c>
      <c r="S58" s="272" t="s">
        <v>3293</v>
      </c>
      <c r="T58" s="273">
        <v>14</v>
      </c>
      <c r="U58" s="274"/>
      <c r="V58" s="256"/>
      <c r="W58" s="244"/>
      <c r="X58" s="244"/>
      <c r="Y58" s="362"/>
      <c r="Z58" s="257">
        <f>altaz(J2000_Bas,$O58,$M58,DecLat,DecLong,1)</f>
        <v>40.790297747123162</v>
      </c>
      <c r="AA58" s="257">
        <f>altaz((J2000_Bas+(2*0.04167)),$O58,$M58,DecLat,DecLong,1)</f>
        <v>32.566470426374984</v>
      </c>
      <c r="AB58" s="257">
        <f>altaz((J2000_Bas+(4*0.04167)),$O58,$M58,DecLat,DecLong,1)</f>
        <v>13.584858292929997</v>
      </c>
      <c r="AC58" s="257">
        <f>altaz((J2000_Bas+(6*0.04167)),$O58,$M58,DecLat,DecLong,1)</f>
        <v>-10.086975360393279</v>
      </c>
      <c r="AD58" s="258">
        <f>1+ transit((J2000_Bas-1),$O58,$M58,DecLat,DecLong)/360 + (GMTOffset/24) + (IF(DST="Y", 1, 0)/24)</f>
        <v>1.7852725665776246</v>
      </c>
      <c r="AE58" s="259">
        <f>DATE(2001,9,21)+(M58/360)*365 - (360*((DecLong/360)- (GMTOffset/24) ))</f>
        <v>37449.21603009259</v>
      </c>
      <c r="AF58" s="260">
        <f>IF(DecLat&gt;0,IF((90 - (DecLat-O58))&gt;90, (90 - (O58-DecLat)), (90 - (DecLat-O58))),IF((90 + (DecLat-O58))&gt;90, (90 + (O58-DecLat)), (90 + (DecLat-O58))))</f>
        <v>40.795555555555552</v>
      </c>
      <c r="AG58" s="257">
        <f>angularseperation(MoonRA,MoonDec,$M58,$O58)</f>
        <v>34.271387663256213</v>
      </c>
      <c r="AH58" s="261">
        <f ca="1">MIN(100,IF($O$5&gt;80,0+30*($AG58/100),IF($O$5&gt;70,0+50*($AG58/100),IF($O$5&gt;60,5+50*($AG58/100),IF($O$5&gt;50,10+60*($AG58/100),IF($O$5&gt;40,15+70*($AG58/100),IF($O$5&gt;30,20+70*($AG58/100),IF($O$5&gt;20,40+55*($AG58/100),(80+(20-$O$5)+30*($AG58/100))))))))))</f>
        <v>93.552476643127292</v>
      </c>
      <c r="AI58" s="262"/>
      <c r="AJ58" s="262"/>
      <c r="AK58" s="262"/>
      <c r="AL58" s="263"/>
      <c r="AM58" s="264"/>
      <c r="AN58" s="263"/>
      <c r="AO58" s="263"/>
      <c r="AP58" s="265"/>
      <c r="AQ58" s="266"/>
      <c r="AR58" s="267"/>
      <c r="AS58" s="263">
        <v>51</v>
      </c>
      <c r="AT58" s="263"/>
      <c r="AU58" s="263"/>
      <c r="AV58" s="264"/>
      <c r="AW58" s="263"/>
      <c r="AX58" s="263"/>
      <c r="AY58" s="263"/>
      <c r="AZ58" s="263"/>
      <c r="BA58" s="263"/>
      <c r="BB58" s="263"/>
      <c r="BC58" s="263"/>
      <c r="BD58" s="264"/>
      <c r="BE58" s="263"/>
      <c r="BF58" s="263"/>
      <c r="BG58" s="263"/>
      <c r="BH58" s="263"/>
      <c r="BI58" s="263"/>
      <c r="BJ58" s="404">
        <f>altaz(J2000_Bas,$O58,$M58,DecLat,DecLong,2)</f>
        <v>180.93911569728078</v>
      </c>
      <c r="BK58" s="378" t="s">
        <v>3962</v>
      </c>
      <c r="BL58" s="379">
        <f>IF((2*G58)/60&lt;0.2,0.2,(2*G58)/60)</f>
        <v>0.2</v>
      </c>
      <c r="BM58" s="380">
        <f>MOD((50000+AD58-$B$3+(0/24)),1)</f>
        <v>6.3949628383852541E-4</v>
      </c>
      <c r="BN58" s="381" t="s">
        <v>9243</v>
      </c>
      <c r="BO58" s="382">
        <v>58</v>
      </c>
    </row>
    <row r="59" spans="1:67" s="24" customFormat="1" ht="15" customHeight="1" x14ac:dyDescent="0.25">
      <c r="A59" s="414" t="s">
        <v>130</v>
      </c>
      <c r="B59" s="241" t="str">
        <f>HYPERLINK(CONCATENATE($AT$3,BK59,$AU$3),$AV$3)</f>
        <v>S</v>
      </c>
      <c r="C59" s="242" t="str">
        <f>HYPERLINK(CONCATENATE($AT$4,BK59,$AU$4,BL59),$AV$4)</f>
        <v>A</v>
      </c>
      <c r="D59" s="243" t="s">
        <v>5187</v>
      </c>
      <c r="E59" s="244" t="s">
        <v>5181</v>
      </c>
      <c r="F59" s="269" t="s">
        <v>9103</v>
      </c>
      <c r="G59" s="273">
        <v>1</v>
      </c>
      <c r="H59" s="271">
        <v>6000</v>
      </c>
      <c r="I59" s="245">
        <v>1.7</v>
      </c>
      <c r="J59" s="246">
        <v>2</v>
      </c>
      <c r="K59" s="247" t="s">
        <v>8355</v>
      </c>
      <c r="L59" s="248">
        <v>190432</v>
      </c>
      <c r="M59" s="249">
        <f>15*(LEFT(TEXT($L59,"000000"),2)+(MID(TEXT($L59,"000000"),3,2)/60)+(RIGHT(TEXT($L59,"000000"),2)/3600))</f>
        <v>286.13333333333333</v>
      </c>
      <c r="N59" s="250">
        <v>175710</v>
      </c>
      <c r="O59" s="251">
        <f>IF($N59&gt;0,(LEFT(TEXT($N59,"000000"),2)+(MID(TEXT($N59,"000000"),3,2)/60)+(RIGHT(TEXT($N59,"000000"),2)/3600)),-(MID(TEXT($N59,"000000"),2,2)+(MID(TEXT($N59,"000000"),4,2)/60)+(RIGHT(TEXT($N59,"000000"),2)/3600)))</f>
        <v>17.952777777777776</v>
      </c>
      <c r="P59" s="252" t="s">
        <v>126</v>
      </c>
      <c r="Q59" s="253"/>
      <c r="R59" s="247" t="s">
        <v>3293</v>
      </c>
      <c r="S59" s="272" t="s">
        <v>3293</v>
      </c>
      <c r="T59" s="273">
        <v>14</v>
      </c>
      <c r="U59" s="274"/>
      <c r="V59" s="256"/>
      <c r="W59" s="244"/>
      <c r="X59" s="244"/>
      <c r="Y59" s="362"/>
      <c r="Z59" s="257">
        <f>altaz(J2000_Bas,$O59,$M59,DecLat,DecLong,1)</f>
        <v>76.952239279363695</v>
      </c>
      <c r="AA59" s="257">
        <f>altaz((J2000_Bas+(2*0.04167)),$O59,$M59,DecLat,DecLong,1)</f>
        <v>59.913018041306685</v>
      </c>
      <c r="AB59" s="257">
        <f>altaz((J2000_Bas+(4*0.04167)),$O59,$M59,DecLat,DecLong,1)</f>
        <v>34.471406952154013</v>
      </c>
      <c r="AC59" s="257">
        <f>altaz((J2000_Bas+(6*0.04167)),$O59,$M59,DecLat,DecLong,1)</f>
        <v>9.0329407897567773</v>
      </c>
      <c r="AD59" s="258">
        <f>1+ transit((J2000_Bas-1),$O59,$M59,DecLat,DecLong)/360 + (GMTOffset/24) + (IF(DST="Y", 1, 0)/24)</f>
        <v>1.7877146959630414</v>
      </c>
      <c r="AE59" s="259">
        <f>DATE(2001,9,21)+(M59/360)*365 - (360*((DecLong/360)- (GMTOffset/24) ))</f>
        <v>37450.107407407406</v>
      </c>
      <c r="AF59" s="260">
        <f>IF(DecLat&gt;0,IF((90 - (DecLat-O59))&gt;90, (90 - (O59-DecLat)), (90 - (DecLat-O59))),IF((90 + (DecLat-O59))&gt;90, (90 + (O59-DecLat)), (90 + (DecLat-O59))))</f>
        <v>76.952777777777783</v>
      </c>
      <c r="AG59" s="257">
        <f>angularseperation(MoonRA,MoonDec,$M59,$O59)</f>
        <v>57.516088584726866</v>
      </c>
      <c r="AH59" s="261">
        <f ca="1">MIN(100,IF($O$5&gt;80,0+30*($AG59/100),IF($O$5&gt;70,0+50*($AG59/100),IF($O$5&gt;60,5+50*($AG59/100),IF($O$5&gt;50,10+60*($AG59/100),IF($O$5&gt;40,15+70*($AG59/100),IF($O$5&gt;30,20+70*($AG59/100),IF($O$5&gt;20,40+55*($AG59/100),(80+(20-$O$5)+30*($AG59/100))))))))))</f>
        <v>100</v>
      </c>
      <c r="AI59" s="262"/>
      <c r="AJ59" s="262"/>
      <c r="AK59" s="262"/>
      <c r="AL59" s="263"/>
      <c r="AM59" s="264"/>
      <c r="AN59" s="263"/>
      <c r="AO59" s="263"/>
      <c r="AP59" s="265"/>
      <c r="AQ59" s="266"/>
      <c r="AR59" s="267"/>
      <c r="AS59" s="263">
        <v>52</v>
      </c>
      <c r="AT59" s="263"/>
      <c r="AU59" s="263"/>
      <c r="AV59" s="264"/>
      <c r="AW59" s="263"/>
      <c r="AX59" s="263"/>
      <c r="AY59" s="263"/>
      <c r="AZ59" s="263"/>
      <c r="BA59" s="263"/>
      <c r="BB59" s="263"/>
      <c r="BC59" s="263"/>
      <c r="BD59" s="264"/>
      <c r="BE59" s="263"/>
      <c r="BF59" s="263"/>
      <c r="BG59" s="263"/>
      <c r="BH59" s="263"/>
      <c r="BI59" s="263"/>
      <c r="BJ59" s="404">
        <f>altaz(J2000_Bas,$O59,$M59,DecLat,DecLong,2)</f>
        <v>179.44922731248587</v>
      </c>
      <c r="BK59" s="378" t="s">
        <v>3963</v>
      </c>
      <c r="BL59" s="379">
        <f>IF((2*G59)/60&lt;0.2,0.2,(2*G59)/60)</f>
        <v>0.2</v>
      </c>
      <c r="BM59" s="380">
        <f>MOD((50000+AD59-$B$3+(0/24)),1)</f>
        <v>3.0816256694379263E-3</v>
      </c>
      <c r="BN59" s="381"/>
      <c r="BO59" s="382">
        <v>59</v>
      </c>
    </row>
    <row r="60" spans="1:67" s="24" customFormat="1" ht="15" customHeight="1" x14ac:dyDescent="0.25">
      <c r="A60" s="414" t="s">
        <v>131</v>
      </c>
      <c r="B60" s="241" t="str">
        <f>HYPERLINK(CONCATENATE($AT$3,BK60,$AU$3),$AV$3)</f>
        <v>S</v>
      </c>
      <c r="C60" s="242" t="str">
        <f>HYPERLINK(CONCATENATE($AT$4,BK60,$AU$4,BL60),$AV$4)</f>
        <v>A</v>
      </c>
      <c r="D60" s="243" t="s">
        <v>5187</v>
      </c>
      <c r="E60" s="244" t="s">
        <v>5181</v>
      </c>
      <c r="F60" s="269" t="s">
        <v>5212</v>
      </c>
      <c r="G60" s="270">
        <v>0.5</v>
      </c>
      <c r="H60" s="271">
        <v>6300</v>
      </c>
      <c r="I60" s="245">
        <v>1</v>
      </c>
      <c r="J60" s="246">
        <v>2</v>
      </c>
      <c r="K60" s="247" t="s">
        <v>4883</v>
      </c>
      <c r="L60" s="248">
        <v>190646</v>
      </c>
      <c r="M60" s="249">
        <f>15*(LEFT(TEXT($L60,"000000"),2)+(MID(TEXT($L60,"000000"),3,2)/60)+(RIGHT(TEXT($L60,"000000"),2)/3600))</f>
        <v>286.69166666666672</v>
      </c>
      <c r="N60" s="250">
        <v>62356</v>
      </c>
      <c r="O60" s="251">
        <f>IF($N60&gt;0,(LEFT(TEXT($N60,"000000"),2)+(MID(TEXT($N60,"000000"),3,2)/60)+(RIGHT(TEXT($N60,"000000"),2)/3600)),-(MID(TEXT($N60,"000000"),2,2)+(MID(TEXT($N60,"000000"),4,2)/60)+(RIGHT(TEXT($N60,"000000"),2)/3600)))</f>
        <v>6.3988888888888891</v>
      </c>
      <c r="P60" s="252" t="s">
        <v>126</v>
      </c>
      <c r="Q60" s="253"/>
      <c r="R60" s="247" t="s">
        <v>3293</v>
      </c>
      <c r="S60" s="272" t="s">
        <v>3293</v>
      </c>
      <c r="T60" s="273">
        <v>14</v>
      </c>
      <c r="U60" s="274"/>
      <c r="V60" s="256"/>
      <c r="W60" s="244"/>
      <c r="X60" s="244"/>
      <c r="Y60" s="362"/>
      <c r="Z60" s="257">
        <f>altaz(J2000_Bas,$O60,$M60,DecLat,DecLong,1)</f>
        <v>65.390412571229064</v>
      </c>
      <c r="AA60" s="257">
        <f>altaz((J2000_Bas+(2*0.04167)),$O60,$M60,DecLat,DecLong,1)</f>
        <v>53.087845075024958</v>
      </c>
      <c r="AB60" s="257">
        <f>altaz((J2000_Bas+(4*0.04167)),$O60,$M60,DecLat,DecLong,1)</f>
        <v>29.340014292686742</v>
      </c>
      <c r="AC60" s="257">
        <f>altaz((J2000_Bas+(6*0.04167)),$O60,$M60,DecLat,DecLong,1)</f>
        <v>3.6622067090713464</v>
      </c>
      <c r="AD60" s="258">
        <f>1+ transit((J2000_Bas-1),$O60,$M60,DecLat,DecLong)/360 + (GMTOffset/24) + (IF(DST="Y", 1, 0)/24)</f>
        <v>1.7892656217338747</v>
      </c>
      <c r="AE60" s="259">
        <f>DATE(2001,9,21)+(M60/360)*365 - (360*((DecLong/360)- (GMTOffset/24) ))</f>
        <v>37450.673495370371</v>
      </c>
      <c r="AF60" s="260">
        <f>IF(DecLat&gt;0,IF((90 - (DecLat-O60))&gt;90, (90 - (O60-DecLat)), (90 - (DecLat-O60))),IF((90 + (DecLat-O60))&gt;90, (90 + (O60-DecLat)), (90 + (DecLat-O60))))</f>
        <v>65.398888888888891</v>
      </c>
      <c r="AG60" s="257">
        <f>angularseperation(MoonRA,MoonDec,$M60,$O60)</f>
        <v>49.331432940509245</v>
      </c>
      <c r="AH60" s="261">
        <f ca="1">MIN(100,IF($O$5&gt;80,0+30*($AG60/100),IF($O$5&gt;70,0+50*($AG60/100),IF($O$5&gt;60,5+50*($AG60/100),IF($O$5&gt;50,10+60*($AG60/100),IF($O$5&gt;40,15+70*($AG60/100),IF($O$5&gt;30,20+70*($AG60/100),IF($O$5&gt;20,40+55*($AG60/100),(80+(20-$O$5)+30*($AG60/100))))))))))</f>
        <v>98.070490226303207</v>
      </c>
      <c r="AI60" s="262"/>
      <c r="AJ60" s="262"/>
      <c r="AK60" s="262"/>
      <c r="AL60" s="263"/>
      <c r="AM60" s="264"/>
      <c r="AN60" s="263"/>
      <c r="AO60" s="263"/>
      <c r="AP60" s="265"/>
      <c r="AQ60" s="266"/>
      <c r="AR60" s="267"/>
      <c r="AS60" s="263">
        <v>53</v>
      </c>
      <c r="AT60" s="263"/>
      <c r="AU60" s="263"/>
      <c r="AV60" s="264"/>
      <c r="AW60" s="263"/>
      <c r="AX60" s="263"/>
      <c r="AY60" s="263"/>
      <c r="AZ60" s="263"/>
      <c r="BA60" s="263"/>
      <c r="BB60" s="263"/>
      <c r="BC60" s="263"/>
      <c r="BD60" s="264"/>
      <c r="BE60" s="263"/>
      <c r="BF60" s="263"/>
      <c r="BG60" s="263"/>
      <c r="BH60" s="263"/>
      <c r="BI60" s="263"/>
      <c r="BJ60" s="404">
        <f>altaz(J2000_Bas,$O60,$M60,DecLat,DecLong,2)</f>
        <v>178.35549854441911</v>
      </c>
      <c r="BK60" s="378" t="s">
        <v>3964</v>
      </c>
      <c r="BL60" s="379">
        <f>IF((2*G60)/60&lt;0.2,0.2,(2*G60)/60)</f>
        <v>0.2</v>
      </c>
      <c r="BM60" s="380">
        <f>MOD((50000+AD60-$B$3+(0/24)),1)</f>
        <v>4.6325514413183555E-3</v>
      </c>
      <c r="BN60" s="381" t="s">
        <v>8665</v>
      </c>
      <c r="BO60" s="382">
        <v>60</v>
      </c>
    </row>
    <row r="61" spans="1:67" s="24" customFormat="1" ht="15" customHeight="1" x14ac:dyDescent="0.25">
      <c r="A61" s="414" t="s">
        <v>132</v>
      </c>
      <c r="B61" s="241" t="str">
        <f>HYPERLINK(CONCATENATE($AT$3,BK61,$AU$3),$AV$3)</f>
        <v>S</v>
      </c>
      <c r="C61" s="242" t="str">
        <f>HYPERLINK(CONCATENATE($AT$4,BK61,$AU$4,BL61),$AV$4)</f>
        <v>A</v>
      </c>
      <c r="D61" s="243" t="s">
        <v>5187</v>
      </c>
      <c r="E61" s="244" t="s">
        <v>5181</v>
      </c>
      <c r="F61" s="269" t="s">
        <v>4796</v>
      </c>
      <c r="G61" s="273">
        <v>1</v>
      </c>
      <c r="H61" s="271">
        <v>9000</v>
      </c>
      <c r="I61" s="245">
        <v>2.6</v>
      </c>
      <c r="J61" s="246">
        <v>1</v>
      </c>
      <c r="K61" s="247" t="s">
        <v>3393</v>
      </c>
      <c r="L61" s="248">
        <v>190839</v>
      </c>
      <c r="M61" s="249">
        <f>15*(LEFT(TEXT($L61,"000000"),2)+(MID(TEXT($L61,"000000"),3,2)/60)+(RIGHT(TEXT($L61,"000000"),2)/3600))</f>
        <v>287.16250000000002</v>
      </c>
      <c r="N61" s="250">
        <v>225851</v>
      </c>
      <c r="O61" s="251">
        <f>IF($N61&gt;0,(LEFT(TEXT($N61,"000000"),2)+(MID(TEXT($N61,"000000"),3,2)/60)+(RIGHT(TEXT($N61,"000000"),2)/3600)),-(MID(TEXT($N61,"000000"),2,2)+(MID(TEXT($N61,"000000"),4,2)/60)+(RIGHT(TEXT($N61,"000000"),2)/3600)))</f>
        <v>22.980833333333333</v>
      </c>
      <c r="P61" s="252" t="s">
        <v>133</v>
      </c>
      <c r="Q61" s="253"/>
      <c r="R61" s="247" t="s">
        <v>3293</v>
      </c>
      <c r="S61" s="272" t="s">
        <v>3293</v>
      </c>
      <c r="T61" s="273">
        <v>17</v>
      </c>
      <c r="U61" s="274"/>
      <c r="V61" s="256"/>
      <c r="W61" s="244"/>
      <c r="X61" s="244"/>
      <c r="Y61" s="362"/>
      <c r="Z61" s="257">
        <f>altaz(J2000_Bas,$O61,$M61,DecLat,DecLong,1)</f>
        <v>81.914696478591566</v>
      </c>
      <c r="AA61" s="257">
        <f>altaz((J2000_Bas+(2*0.04167)),$O61,$M61,DecLat,DecLong,1)</f>
        <v>63.097960146539826</v>
      </c>
      <c r="AB61" s="257">
        <f>altaz((J2000_Bas+(4*0.04167)),$O61,$M61,DecLat,DecLong,1)</f>
        <v>37.402497236991451</v>
      </c>
      <c r="AC61" s="257">
        <f>altaz((J2000_Bas+(6*0.04167)),$O61,$M61,DecLat,DecLong,1)</f>
        <v>12.331294379086181</v>
      </c>
      <c r="AD61" s="258">
        <f>1+ transit((J2000_Bas-1),$O61,$M61,DecLat,DecLong)/360 + (GMTOffset/24) + (IF(DST="Y", 1, 0)/24)</f>
        <v>1.7905734919734579</v>
      </c>
      <c r="AE61" s="259">
        <f>DATE(2001,9,21)+(M61/360)*365 - (360*((DecLong/360)- (GMTOffset/24) ))</f>
        <v>37451.150868055556</v>
      </c>
      <c r="AF61" s="260">
        <f>IF(DecLat&gt;0,IF((90 - (DecLat-O61))&gt;90, (90 - (O61-DecLat)), (90 - (DecLat-O61))),IF((90 + (DecLat-O61))&gt;90, (90 + (O61-DecLat)), (90 + (DecLat-O61))))</f>
        <v>81.980833333333337</v>
      </c>
      <c r="AG61" s="257">
        <f>angularseperation(MoonRA,MoonDec,$M61,$O61)</f>
        <v>62.039999359454363</v>
      </c>
      <c r="AH61" s="261">
        <f ca="1">MIN(100,IF($O$5&gt;80,0+30*($AG61/100),IF($O$5&gt;70,0+50*($AG61/100),IF($O$5&gt;60,5+50*($AG61/100),IF($O$5&gt;50,10+60*($AG61/100),IF($O$5&gt;40,15+70*($AG61/100),IF($O$5&gt;30,20+70*($AG61/100),IF($O$5&gt;20,40+55*($AG61/100),(80+(20-$O$5)+30*($AG61/100))))))))))</f>
        <v>100</v>
      </c>
      <c r="AI61" s="262"/>
      <c r="AJ61" s="262"/>
      <c r="AK61" s="262"/>
      <c r="AL61" s="263"/>
      <c r="AM61" s="264"/>
      <c r="AN61" s="263"/>
      <c r="AO61" s="263"/>
      <c r="AP61" s="265"/>
      <c r="AQ61" s="266"/>
      <c r="AR61" s="267"/>
      <c r="AS61" s="263">
        <v>54</v>
      </c>
      <c r="AT61" s="263"/>
      <c r="AU61" s="263"/>
      <c r="AV61" s="264"/>
      <c r="AW61" s="263"/>
      <c r="AX61" s="263"/>
      <c r="AY61" s="263"/>
      <c r="AZ61" s="263"/>
      <c r="BA61" s="263"/>
      <c r="BB61" s="263"/>
      <c r="BC61" s="263"/>
      <c r="BD61" s="264"/>
      <c r="BE61" s="263"/>
      <c r="BF61" s="263"/>
      <c r="BG61" s="263"/>
      <c r="BH61" s="263"/>
      <c r="BI61" s="263"/>
      <c r="BJ61" s="404">
        <f>altaz(J2000_Bas,$O61,$M61,DecLat,DecLong,2)</f>
        <v>172.38594205728438</v>
      </c>
      <c r="BK61" s="378" t="s">
        <v>3965</v>
      </c>
      <c r="BL61" s="379">
        <f>IF((2*G61)/60&lt;0.2,0.2,(2*G61)/60)</f>
        <v>0.2</v>
      </c>
      <c r="BM61" s="380">
        <f>MOD((50000+AD61-$B$3+(0/24)),1)</f>
        <v>5.9404216808616184E-3</v>
      </c>
      <c r="BN61" s="381"/>
      <c r="BO61" s="382">
        <v>61</v>
      </c>
    </row>
    <row r="62" spans="1:67" s="24" customFormat="1" ht="15" customHeight="1" x14ac:dyDescent="0.25">
      <c r="A62" s="414" t="s">
        <v>134</v>
      </c>
      <c r="B62" s="241" t="str">
        <f>HYPERLINK(CONCATENATE($AT$3,BK62,$AU$3),$AV$3)</f>
        <v>S</v>
      </c>
      <c r="C62" s="242" t="str">
        <f>HYPERLINK(CONCATENATE($AT$4,BK62,$AU$4,BL62),$AV$4)</f>
        <v>A</v>
      </c>
      <c r="D62" s="243" t="s">
        <v>5187</v>
      </c>
      <c r="E62" s="244" t="s">
        <v>5181</v>
      </c>
      <c r="F62" s="269" t="s">
        <v>9101</v>
      </c>
      <c r="G62" s="273">
        <v>1.3</v>
      </c>
      <c r="H62" s="271">
        <v>8200</v>
      </c>
      <c r="I62" s="245">
        <v>3</v>
      </c>
      <c r="J62" s="246">
        <v>2</v>
      </c>
      <c r="K62" s="247" t="s">
        <v>4987</v>
      </c>
      <c r="L62" s="248">
        <v>191030</v>
      </c>
      <c r="M62" s="249">
        <f>15*(LEFT(TEXT($L62,"000000"),2)+(MID(TEXT($L62,"000000"),3,2)/60)+(RIGHT(TEXT($L62,"000000"),2)/3600))</f>
        <v>287.625</v>
      </c>
      <c r="N62" s="250">
        <v>-22102</v>
      </c>
      <c r="O62" s="251">
        <f>IF($N62&gt;0,(LEFT(TEXT($N62,"000000"),2)+(MID(TEXT($N62,"000000"),3,2)/60)+(RIGHT(TEXT($N62,"000000"),2)/3600)),-(MID(TEXT($N62,"000000"),2,2)+(MID(TEXT($N62,"000000"),4,2)/60)+(RIGHT(TEXT($N62,"000000"),2)/3600)))</f>
        <v>-2.3505555555555557</v>
      </c>
      <c r="P62" s="252" t="s">
        <v>126</v>
      </c>
      <c r="Q62" s="253"/>
      <c r="R62" s="247" t="s">
        <v>3293</v>
      </c>
      <c r="S62" s="272" t="s">
        <v>3293</v>
      </c>
      <c r="T62" s="273">
        <v>13</v>
      </c>
      <c r="U62" s="274"/>
      <c r="V62" s="256"/>
      <c r="W62" s="244"/>
      <c r="X62" s="244"/>
      <c r="Y62" s="362"/>
      <c r="Z62" s="257">
        <f>altaz(J2000_Bas,$O62,$M62,DecLat,DecLong,1)</f>
        <v>56.613680884479258</v>
      </c>
      <c r="AA62" s="257">
        <f>altaz((J2000_Bas+(2*0.04167)),$O62,$M62,DecLat,DecLong,1)</f>
        <v>47.037981835337021</v>
      </c>
      <c r="AB62" s="257">
        <f>altaz((J2000_Bas+(4*0.04167)),$O62,$M62,DecLat,DecLong,1)</f>
        <v>25.199591314135162</v>
      </c>
      <c r="AC62" s="257">
        <f>altaz((J2000_Bas+(6*0.04167)),$O62,$M62,DecLat,DecLong,1)</f>
        <v>-3.8144273061453925E-2</v>
      </c>
      <c r="AD62" s="258">
        <f>1+ transit((J2000_Bas-1),$O62,$M62,DecLat,DecLong)/360 + (GMTOffset/24) + (IF(DST="Y", 1, 0)/24)</f>
        <v>1.7918582140672081</v>
      </c>
      <c r="AE62" s="259">
        <f>DATE(2001,9,21)+(M62/360)*365 - (360*((DecLong/360)- (GMTOffset/24) ))</f>
        <v>37451.619791666664</v>
      </c>
      <c r="AF62" s="260">
        <f>IF(DecLat&gt;0,IF((90 - (DecLat-O62))&gt;90, (90 - (O62-DecLat)), (90 - (DecLat-O62))),IF((90 + (DecLat-O62))&gt;90, (90 + (O62-DecLat)), (90 + (DecLat-O62))))</f>
        <v>56.649444444444441</v>
      </c>
      <c r="AG62" s="257">
        <f>angularseperation(MoonRA,MoonDec,$M62,$O62)</f>
        <v>44.274595086132777</v>
      </c>
      <c r="AH62" s="261">
        <f ca="1">MIN(100,IF($O$5&gt;80,0+30*($AG62/100),IF($O$5&gt;70,0+50*($AG62/100),IF($O$5&gt;60,5+50*($AG62/100),IF($O$5&gt;50,10+60*($AG62/100),IF($O$5&gt;40,15+70*($AG62/100),IF($O$5&gt;30,20+70*($AG62/100),IF($O$5&gt;20,40+55*($AG62/100),(80+(20-$O$5)+30*($AG62/100))))))))))</f>
        <v>96.553438869990259</v>
      </c>
      <c r="AI62" s="262"/>
      <c r="AJ62" s="262"/>
      <c r="AK62" s="262"/>
      <c r="AL62" s="263"/>
      <c r="AM62" s="264"/>
      <c r="AN62" s="263"/>
      <c r="AO62" s="263"/>
      <c r="AP62" s="265"/>
      <c r="AQ62" s="266"/>
      <c r="AR62" s="267"/>
      <c r="AS62" s="263">
        <v>55</v>
      </c>
      <c r="AT62" s="263"/>
      <c r="AU62" s="263"/>
      <c r="AV62" s="264"/>
      <c r="AW62" s="263"/>
      <c r="AX62" s="263"/>
      <c r="AY62" s="263"/>
      <c r="AZ62" s="263"/>
      <c r="BA62" s="263"/>
      <c r="BB62" s="263"/>
      <c r="BC62" s="263"/>
      <c r="BD62" s="264"/>
      <c r="BE62" s="263"/>
      <c r="BF62" s="263"/>
      <c r="BG62" s="263"/>
      <c r="BH62" s="263"/>
      <c r="BI62" s="263"/>
      <c r="BJ62" s="404">
        <f>altaz(J2000_Bas,$O62,$M62,DecLat,DecLong,2)</f>
        <v>177.0533146768137</v>
      </c>
      <c r="BK62" s="378" t="s">
        <v>3966</v>
      </c>
      <c r="BL62" s="379">
        <f>IF((2*G62)/60&lt;0.2,0.2,(2*G62)/60)</f>
        <v>0.2</v>
      </c>
      <c r="BM62" s="380">
        <f>MOD((50000+AD62-$B$3+(0/24)),1)</f>
        <v>7.2251437741215341E-3</v>
      </c>
      <c r="BN62" s="381"/>
      <c r="BO62" s="382">
        <v>62</v>
      </c>
    </row>
    <row r="63" spans="1:67" s="24" customFormat="1" ht="15" customHeight="1" x14ac:dyDescent="0.25">
      <c r="A63" s="414" t="s">
        <v>135</v>
      </c>
      <c r="B63" s="241" t="str">
        <f>HYPERLINK(CONCATENATE($AT$3,BK63,$AU$3),$AV$3)</f>
        <v>S</v>
      </c>
      <c r="C63" s="242" t="str">
        <f>HYPERLINK(CONCATENATE($AT$4,BK63,$AU$4,BL63),$AV$4)</f>
        <v>A</v>
      </c>
      <c r="D63" s="243" t="s">
        <v>5187</v>
      </c>
      <c r="E63" s="244" t="s">
        <v>5181</v>
      </c>
      <c r="F63" s="269" t="s">
        <v>7493</v>
      </c>
      <c r="G63" s="273">
        <v>3</v>
      </c>
      <c r="H63" s="271">
        <v>4900</v>
      </c>
      <c r="I63" s="279">
        <v>4</v>
      </c>
      <c r="J63" s="246">
        <v>2</v>
      </c>
      <c r="K63" s="247" t="s">
        <v>3416</v>
      </c>
      <c r="L63" s="248">
        <v>191307</v>
      </c>
      <c r="M63" s="249">
        <f>15*(LEFT(TEXT($L63,"000000"),2)+(MID(TEXT($L63,"000000"),3,2)/60)+(RIGHT(TEXT($L63,"000000"),2)/3600))</f>
        <v>288.27916666666664</v>
      </c>
      <c r="N63" s="250">
        <v>25249</v>
      </c>
      <c r="O63" s="251">
        <f>IF($N63&gt;0,(LEFT(TEXT($N63,"000000"),2)+(MID(TEXT($N63,"000000"),3,2)/60)+(RIGHT(TEXT($N63,"000000"),2)/3600)),-(MID(TEXT($N63,"000000"),2,2)+(MID(TEXT($N63,"000000"),4,2)/60)+(RIGHT(TEXT($N63,"000000"),2)/3600)))</f>
        <v>2.8802777777777777</v>
      </c>
      <c r="P63" s="252" t="s">
        <v>126</v>
      </c>
      <c r="Q63" s="253"/>
      <c r="R63" s="247" t="s">
        <v>3293</v>
      </c>
      <c r="S63" s="272" t="s">
        <v>3293</v>
      </c>
      <c r="T63" s="273"/>
      <c r="U63" s="274"/>
      <c r="V63" s="256"/>
      <c r="W63" s="244"/>
      <c r="X63" s="244"/>
      <c r="Y63" s="362"/>
      <c r="Z63" s="257">
        <f>altaz(J2000_Bas,$O63,$M63,DecLat,DecLong,1)</f>
        <v>61.798249352834155</v>
      </c>
      <c r="AA63" s="257">
        <f>altaz((J2000_Bas+(2*0.04167)),$O63,$M63,DecLat,DecLong,1)</f>
        <v>51.545334326835565</v>
      </c>
      <c r="AB63" s="257">
        <f>altaz((J2000_Bas+(4*0.04167)),$O63,$M63,DecLat,DecLong,1)</f>
        <v>28.743977462611738</v>
      </c>
      <c r="AC63" s="257">
        <f>altaz((J2000_Bas+(6*0.04167)),$O63,$M63,DecLat,DecLong,1)</f>
        <v>3.2159367726390888</v>
      </c>
      <c r="AD63" s="258">
        <f>1+ transit((J2000_Bas-1),$O63,$M63,DecLat,DecLong)/360 + (GMTOffset/24) + (IF(DST="Y", 1, 0)/24)</f>
        <v>1.7936753435151249</v>
      </c>
      <c r="AE63" s="259">
        <f>DATE(2001,9,21)+(M63/360)*365 - (360*((DecLong/360)- (GMTOffset/24) ))</f>
        <v>37452.283043981479</v>
      </c>
      <c r="AF63" s="260">
        <f>IF(DecLat&gt;0,IF((90 - (DecLat-O63))&gt;90, (90 - (O63-DecLat)), (90 - (DecLat-O63))),IF((90 + (DecLat-O63))&gt;90, (90 + (O63-DecLat)), (90 + (DecLat-O63))))</f>
        <v>61.880277777777778</v>
      </c>
      <c r="AG63" s="257">
        <f>angularseperation(MoonRA,MoonDec,$M63,$O63)</f>
        <v>48.101958416895357</v>
      </c>
      <c r="AH63" s="261">
        <f ca="1">MIN(100,IF($O$5&gt;80,0+30*($AG63/100),IF($O$5&gt;70,0+50*($AG63/100),IF($O$5&gt;60,5+50*($AG63/100),IF($O$5&gt;50,10+60*($AG63/100),IF($O$5&gt;40,15+70*($AG63/100),IF($O$5&gt;30,20+70*($AG63/100),IF($O$5&gt;20,40+55*($AG63/100),(80+(20-$O$5)+30*($AG63/100))))))))))</f>
        <v>97.70164786921903</v>
      </c>
      <c r="AI63" s="262"/>
      <c r="AJ63" s="262"/>
      <c r="AK63" s="262"/>
      <c r="AL63" s="263"/>
      <c r="AM63" s="264"/>
      <c r="AN63" s="263"/>
      <c r="AO63" s="263"/>
      <c r="AP63" s="265"/>
      <c r="AQ63" s="266"/>
      <c r="AR63" s="267"/>
      <c r="AS63" s="263">
        <v>56</v>
      </c>
      <c r="AT63" s="263"/>
      <c r="AU63" s="263"/>
      <c r="AV63" s="264"/>
      <c r="AW63" s="263"/>
      <c r="AX63" s="263"/>
      <c r="AY63" s="263"/>
      <c r="AZ63" s="263"/>
      <c r="BA63" s="263"/>
      <c r="BB63" s="263"/>
      <c r="BC63" s="263"/>
      <c r="BD63" s="264"/>
      <c r="BE63" s="263"/>
      <c r="BF63" s="263"/>
      <c r="BG63" s="263"/>
      <c r="BH63" s="263"/>
      <c r="BI63" s="263"/>
      <c r="BJ63" s="404">
        <f>altaz(J2000_Bas,$O63,$M63,DecLat,DecLong,2)</f>
        <v>175.18440246070676</v>
      </c>
      <c r="BK63" s="378" t="s">
        <v>3967</v>
      </c>
      <c r="BL63" s="379">
        <f>IF((2*G63)/60&lt;0.2,0.2,(2*G63)/60)</f>
        <v>0.2</v>
      </c>
      <c r="BM63" s="380">
        <f>MOD((50000+AD63-$B$3+(0/24)),1)</f>
        <v>9.0422732173465192E-3</v>
      </c>
      <c r="BN63" s="381" t="s">
        <v>9243</v>
      </c>
      <c r="BO63" s="382">
        <v>63</v>
      </c>
    </row>
    <row r="64" spans="1:67" s="24" customFormat="1" ht="15" customHeight="1" x14ac:dyDescent="0.25">
      <c r="A64" s="414" t="s">
        <v>136</v>
      </c>
      <c r="B64" s="241" t="str">
        <f>HYPERLINK(CONCATENATE($AT$3,BK64,$AU$3),$AV$3)</f>
        <v>S</v>
      </c>
      <c r="C64" s="242" t="str">
        <f>HYPERLINK(CONCATENATE($AT$4,BK64,$AU$4,BL64),$AV$4)</f>
        <v>A</v>
      </c>
      <c r="D64" s="243" t="s">
        <v>5187</v>
      </c>
      <c r="E64" s="244" t="s">
        <v>5181</v>
      </c>
      <c r="F64" s="269" t="s">
        <v>4798</v>
      </c>
      <c r="G64" s="273">
        <v>1</v>
      </c>
      <c r="H64" s="271">
        <v>7000</v>
      </c>
      <c r="I64" s="245">
        <v>2</v>
      </c>
      <c r="J64" s="246">
        <v>2</v>
      </c>
      <c r="K64" s="247" t="s">
        <v>3413</v>
      </c>
      <c r="L64" s="248">
        <v>191704</v>
      </c>
      <c r="M64" s="249">
        <f>15*(LEFT(TEXT($L64,"000000"),2)+(MID(TEXT($L64,"000000"),3,2)/60)+(RIGHT(TEXT($L64,"000000"),2)/3600))</f>
        <v>289.26666666666671</v>
      </c>
      <c r="N64" s="250">
        <v>253726</v>
      </c>
      <c r="O64" s="251">
        <f>IF($N64&gt;0,(LEFT(TEXT($N64,"000000"),2)+(MID(TEXT($N64,"000000"),3,2)/60)+(RIGHT(TEXT($N64,"000000"),2)/3600)),-(MID(TEXT($N64,"000000"),2,2)+(MID(TEXT($N64,"000000"),4,2)/60)+(RIGHT(TEXT($N64,"000000"),2)/3600)))</f>
        <v>25.623888888888889</v>
      </c>
      <c r="P64" s="252" t="s">
        <v>133</v>
      </c>
      <c r="Q64" s="253"/>
      <c r="R64" s="247" t="s">
        <v>3293</v>
      </c>
      <c r="S64" s="272" t="s">
        <v>3293</v>
      </c>
      <c r="T64" s="273">
        <v>14</v>
      </c>
      <c r="U64" s="274"/>
      <c r="V64" s="256"/>
      <c r="W64" s="244"/>
      <c r="X64" s="244"/>
      <c r="Y64" s="362"/>
      <c r="Z64" s="257">
        <f>altaz(J2000_Bas,$O64,$M64,DecLat,DecLong,1)</f>
        <v>83.905063463317077</v>
      </c>
      <c r="AA64" s="257">
        <f>altaz((J2000_Bas+(2*0.04167)),$O64,$M64,DecLat,DecLong,1)</f>
        <v>65.847480887948322</v>
      </c>
      <c r="AB64" s="257">
        <f>altaz((J2000_Bas+(4*0.04167)),$O64,$M64,DecLat,DecLong,1)</f>
        <v>40.146283127321794</v>
      </c>
      <c r="AC64" s="257">
        <f>altaz((J2000_Bas+(6*0.04167)),$O64,$M64,DecLat,DecLong,1)</f>
        <v>15.267339767904017</v>
      </c>
      <c r="AD64" s="258">
        <f>1+ transit((J2000_Bas-1),$O64,$M64,DecLat,DecLong)/360 + (GMTOffset/24) + (IF(DST="Y", 1, 0)/24)</f>
        <v>1.7964183987963749</v>
      </c>
      <c r="AE64" s="259">
        <f>DATE(2001,9,21)+(M64/360)*365 - (360*((DecLong/360)- (GMTOffset/24) ))</f>
        <v>37453.284259259257</v>
      </c>
      <c r="AF64" s="260">
        <f>IF(DecLat&gt;0,IF((90 - (DecLat-O64))&gt;90, (90 - (O64-DecLat)), (90 - (DecLat-O64))),IF((90 + (DecLat-O64))&gt;90, (90 + (O64-DecLat)), (90 + (DecLat-O64))))</f>
        <v>84.623888888888885</v>
      </c>
      <c r="AG64" s="257">
        <f>angularseperation(MoonRA,MoonDec,$M64,$O64)</f>
        <v>65.301671388473096</v>
      </c>
      <c r="AH64" s="261">
        <f ca="1">MIN(100,IF($O$5&gt;80,0+30*($AG64/100),IF($O$5&gt;70,0+50*($AG64/100),IF($O$5&gt;60,5+50*($AG64/100),IF($O$5&gt;50,10+60*($AG64/100),IF($O$5&gt;40,15+70*($AG64/100),IF($O$5&gt;30,20+70*($AG64/100),IF($O$5&gt;20,40+55*($AG64/100),(80+(20-$O$5)+30*($AG64/100))))))))))</f>
        <v>100</v>
      </c>
      <c r="AI64" s="262"/>
      <c r="AJ64" s="262"/>
      <c r="AK64" s="262"/>
      <c r="AL64" s="263"/>
      <c r="AM64" s="264"/>
      <c r="AN64" s="263"/>
      <c r="AO64" s="263"/>
      <c r="AP64" s="265"/>
      <c r="AQ64" s="266"/>
      <c r="AR64" s="267"/>
      <c r="AS64" s="263">
        <v>57</v>
      </c>
      <c r="AT64" s="263"/>
      <c r="AU64" s="263"/>
      <c r="AV64" s="264"/>
      <c r="AW64" s="263"/>
      <c r="AX64" s="263"/>
      <c r="AY64" s="263"/>
      <c r="AZ64" s="263"/>
      <c r="BA64" s="263"/>
      <c r="BB64" s="263"/>
      <c r="BC64" s="263"/>
      <c r="BD64" s="264"/>
      <c r="BE64" s="263"/>
      <c r="BF64" s="263"/>
      <c r="BG64" s="263"/>
      <c r="BH64" s="263"/>
      <c r="BI64" s="263"/>
      <c r="BJ64" s="404">
        <f>altaz(J2000_Bas,$O64,$M64,DecLat,DecLong,2)</f>
        <v>151.08478662964797</v>
      </c>
      <c r="BK64" s="378" t="s">
        <v>3968</v>
      </c>
      <c r="BL64" s="379">
        <f>IF((2*G64)/60&lt;0.2,0.2,(2*G64)/60)</f>
        <v>0.2</v>
      </c>
      <c r="BM64" s="380">
        <f>MOD((50000+AD64-$B$3+(0/24)),1)</f>
        <v>1.1785328497353476E-2</v>
      </c>
      <c r="BN64" s="381"/>
      <c r="BO64" s="382">
        <v>64</v>
      </c>
    </row>
    <row r="65" spans="1:67" s="24" customFormat="1" ht="15" customHeight="1" x14ac:dyDescent="0.25">
      <c r="A65" s="414" t="s">
        <v>137</v>
      </c>
      <c r="B65" s="241" t="str">
        <f>HYPERLINK(CONCATENATE($AT$3,BK65,$AU$3),$AV$3)</f>
        <v>S</v>
      </c>
      <c r="C65" s="242" t="str">
        <f>HYPERLINK(CONCATENATE($AT$4,BK65,$AU$4,BL65),$AV$4)</f>
        <v>A</v>
      </c>
      <c r="D65" s="243" t="s">
        <v>5187</v>
      </c>
      <c r="E65" s="244" t="s">
        <v>5181</v>
      </c>
      <c r="F65" s="269" t="s">
        <v>7494</v>
      </c>
      <c r="G65" s="270">
        <v>0.8</v>
      </c>
      <c r="H65" s="271" t="s">
        <v>6500</v>
      </c>
      <c r="I65" s="244" t="s">
        <v>6500</v>
      </c>
      <c r="J65" s="246">
        <v>2</v>
      </c>
      <c r="K65" s="247" t="s">
        <v>3417</v>
      </c>
      <c r="L65" s="248">
        <v>191820</v>
      </c>
      <c r="M65" s="249">
        <f>15*(LEFT(TEXT($L65,"000000"),2)+(MID(TEXT($L65,"000000"),3,2)/60)+(RIGHT(TEXT($L65,"000000"),2)/3600))</f>
        <v>289.58333333333337</v>
      </c>
      <c r="N65" s="250">
        <v>14651</v>
      </c>
      <c r="O65" s="251">
        <f>IF($N65&gt;0,(LEFT(TEXT($N65,"000000"),2)+(MID(TEXT($N65,"000000"),3,2)/60)+(RIGHT(TEXT($N65,"000000"),2)/3600)),-(MID(TEXT($N65,"000000"),2,2)+(MID(TEXT($N65,"000000"),4,2)/60)+(RIGHT(TEXT($N65,"000000"),2)/3600)))</f>
        <v>1.7808333333333333</v>
      </c>
      <c r="P65" s="252" t="s">
        <v>126</v>
      </c>
      <c r="Q65" s="253"/>
      <c r="R65" s="247" t="s">
        <v>3293</v>
      </c>
      <c r="S65" s="272" t="s">
        <v>3293</v>
      </c>
      <c r="T65" s="273"/>
      <c r="U65" s="274"/>
      <c r="V65" s="256"/>
      <c r="W65" s="244"/>
      <c r="X65" s="244"/>
      <c r="Y65" s="362"/>
      <c r="Z65" s="257">
        <f>altaz(J2000_Bas,$O65,$M65,DecLat,DecLong,1)</f>
        <v>60.58511965444265</v>
      </c>
      <c r="AA65" s="257">
        <f>altaz((J2000_Bas+(2*0.04167)),$O65,$M65,DecLat,DecLong,1)</f>
        <v>51.510100961644149</v>
      </c>
      <c r="AB65" s="257">
        <f>altaz((J2000_Bas+(4*0.04167)),$O65,$M65,DecLat,DecLong,1)</f>
        <v>29.194558470126363</v>
      </c>
      <c r="AC65" s="257">
        <f>altaz((J2000_Bas+(6*0.04167)),$O65,$M65,DecLat,DecLong,1)</f>
        <v>3.7686468056373341</v>
      </c>
      <c r="AD65" s="258">
        <f>1+ transit((J2000_Bas-1),$O65,$M65,DecLat,DecLong)/360 + (GMTOffset/24) + (IF(DST="Y", 1, 0)/24)</f>
        <v>1.7972980283380415</v>
      </c>
      <c r="AE65" s="259">
        <f>DATE(2001,9,21)+(M65/360)*365 - (360*((DecLong/360)- (GMTOffset/24) ))</f>
        <v>37453.605324074073</v>
      </c>
      <c r="AF65" s="260">
        <f>IF(DecLat&gt;0,IF((90 - (DecLat-O65))&gt;90, (90 - (O65-DecLat)), (90 - (DecLat-O65))),IF((90 + (DecLat-O65))&gt;90, (90 + (O65-DecLat)), (90 + (DecLat-O65))))</f>
        <v>60.780833333333334</v>
      </c>
      <c r="AG65" s="257">
        <f>angularseperation(MoonRA,MoonDec,$M65,$O65)</f>
        <v>48.38359655351686</v>
      </c>
      <c r="AH65" s="261">
        <f ca="1">MIN(100,IF($O$5&gt;80,0+30*($AG65/100),IF($O$5&gt;70,0+50*($AG65/100),IF($O$5&gt;60,5+50*($AG65/100),IF($O$5&gt;50,10+60*($AG65/100),IF($O$5&gt;40,15+70*($AG65/100),IF($O$5&gt;30,20+70*($AG65/100),IF($O$5&gt;20,40+55*($AG65/100),(80+(20-$O$5)+30*($AG65/100))))))))))</f>
        <v>97.786139310205485</v>
      </c>
      <c r="AI65" s="262"/>
      <c r="AJ65" s="262"/>
      <c r="AK65" s="262"/>
      <c r="AL65" s="263"/>
      <c r="AM65" s="264"/>
      <c r="AN65" s="263"/>
      <c r="AO65" s="263"/>
      <c r="AP65" s="265"/>
      <c r="AQ65" s="266"/>
      <c r="AR65" s="267"/>
      <c r="AS65" s="263">
        <v>58</v>
      </c>
      <c r="AT65" s="263"/>
      <c r="AU65" s="263"/>
      <c r="AV65" s="264"/>
      <c r="AW65" s="263"/>
      <c r="AX65" s="263"/>
      <c r="AY65" s="263"/>
      <c r="AZ65" s="263"/>
      <c r="BA65" s="263"/>
      <c r="BB65" s="263"/>
      <c r="BC65" s="263"/>
      <c r="BD65" s="264"/>
      <c r="BE65" s="263"/>
      <c r="BF65" s="263"/>
      <c r="BG65" s="263"/>
      <c r="BH65" s="263"/>
      <c r="BI65" s="263"/>
      <c r="BJ65" s="404">
        <f>altaz(J2000_Bas,$O65,$M65,DecLat,DecLong,2)</f>
        <v>172.69776096422763</v>
      </c>
      <c r="BK65" s="378" t="s">
        <v>3969</v>
      </c>
      <c r="BL65" s="379">
        <f>IF((2*G65)/60&lt;0.2,0.2,(2*G65)/60)</f>
        <v>0.2</v>
      </c>
      <c r="BM65" s="380">
        <f>MOD((50000+AD65-$B$3+(0/24)),1)</f>
        <v>1.2664958041568752E-2</v>
      </c>
      <c r="BN65" s="381" t="s">
        <v>9225</v>
      </c>
      <c r="BO65" s="382">
        <v>65</v>
      </c>
    </row>
    <row r="66" spans="1:67" s="24" customFormat="1" ht="15" customHeight="1" x14ac:dyDescent="0.25">
      <c r="A66" s="414" t="s">
        <v>138</v>
      </c>
      <c r="B66" s="241" t="str">
        <f>HYPERLINK(CONCATENATE($AT$3,BK66,$AU$3),$AV$3)</f>
        <v>S</v>
      </c>
      <c r="C66" s="242" t="str">
        <f>HYPERLINK(CONCATENATE($AT$4,BK66,$AU$4,BL66),$AV$4)</f>
        <v>A</v>
      </c>
      <c r="D66" s="243" t="s">
        <v>5187</v>
      </c>
      <c r="E66" s="244" t="s">
        <v>5181</v>
      </c>
      <c r="F66" s="269" t="s">
        <v>5732</v>
      </c>
      <c r="G66" s="273">
        <v>1.8</v>
      </c>
      <c r="H66" s="271">
        <v>4600</v>
      </c>
      <c r="I66" s="245">
        <v>2.4</v>
      </c>
      <c r="J66" s="246">
        <v>2</v>
      </c>
      <c r="K66" s="247" t="s">
        <v>3418</v>
      </c>
      <c r="L66" s="248">
        <v>191841</v>
      </c>
      <c r="M66" s="249">
        <f>15*(LEFT(TEXT($L66,"000000"),2)+(MID(TEXT($L66,"000000"),3,2)/60)+(RIGHT(TEXT($L66,"000000"),2)/3600))</f>
        <v>289.67083333333335</v>
      </c>
      <c r="N66" s="250">
        <v>193356</v>
      </c>
      <c r="O66" s="251">
        <f>IF($N66&gt;0,(LEFT(TEXT($N66,"000000"),2)+(MID(TEXT($N66,"000000"),3,2)/60)+(RIGHT(TEXT($N66,"000000"),2)/3600)),-(MID(TEXT($N66,"000000"),2,2)+(MID(TEXT($N66,"000000"),4,2)/60)+(RIGHT(TEXT($N66,"000000"),2)/3600)))</f>
        <v>19.565555555555555</v>
      </c>
      <c r="P66" s="252" t="s">
        <v>139</v>
      </c>
      <c r="Q66" s="253"/>
      <c r="R66" s="247" t="s">
        <v>3293</v>
      </c>
      <c r="S66" s="272" t="s">
        <v>3293</v>
      </c>
      <c r="T66" s="273">
        <v>16</v>
      </c>
      <c r="U66" s="274"/>
      <c r="V66" s="256"/>
      <c r="W66" s="244"/>
      <c r="X66" s="244"/>
      <c r="Y66" s="362"/>
      <c r="Z66" s="257">
        <f>altaz(J2000_Bas,$O66,$M66,DecLat,DecLong,1)</f>
        <v>78.096800867631273</v>
      </c>
      <c r="AA66" s="257">
        <f>altaz((J2000_Bas+(2*0.04167)),$O66,$M66,DecLat,DecLong,1)</f>
        <v>63.613807928529624</v>
      </c>
      <c r="AB66" s="257">
        <f>altaz((J2000_Bas+(4*0.04167)),$O66,$M66,DecLat,DecLong,1)</f>
        <v>38.188683106735063</v>
      </c>
      <c r="AC66" s="257">
        <f>altaz((J2000_Bas+(6*0.04167)),$O66,$M66,DecLat,DecLong,1)</f>
        <v>12.743330342053865</v>
      </c>
      <c r="AD66" s="258">
        <f>1+ transit((J2000_Bas-1),$O66,$M66,DecLat,DecLong)/360 + (GMTOffset/24) + (IF(DST="Y", 1, 0)/24)</f>
        <v>1.7975410838692916</v>
      </c>
      <c r="AE66" s="259">
        <f>DATE(2001,9,21)+(M66/360)*365 - (360*((DecLong/360)- (GMTOffset/24) ))</f>
        <v>37453.694039351853</v>
      </c>
      <c r="AF66" s="260">
        <f>IF(DecLat&gt;0,IF((90 - (DecLat-O66))&gt;90, (90 - (O66-DecLat)), (90 - (DecLat-O66))),IF((90 + (DecLat-O66))&gt;90, (90 + (O66-DecLat)), (90 + (DecLat-O66))))</f>
        <v>78.565555555555562</v>
      </c>
      <c r="AG66" s="257">
        <f>angularseperation(MoonRA,MoonDec,$M66,$O66)</f>
        <v>60.913439005134471</v>
      </c>
      <c r="AH66" s="261">
        <f ca="1">MIN(100,IF($O$5&gt;80,0+30*($AG66/100),IF($O$5&gt;70,0+50*($AG66/100),IF($O$5&gt;60,5+50*($AG66/100),IF($O$5&gt;50,10+60*($AG66/100),IF($O$5&gt;40,15+70*($AG66/100),IF($O$5&gt;30,20+70*($AG66/100),IF($O$5&gt;20,40+55*($AG66/100),(80+(20-$O$5)+30*($AG66/100))))))))))</f>
        <v>100</v>
      </c>
      <c r="AI66" s="262"/>
      <c r="AJ66" s="262"/>
      <c r="AK66" s="262"/>
      <c r="AL66" s="263"/>
      <c r="AM66" s="264"/>
      <c r="AN66" s="263"/>
      <c r="AO66" s="263"/>
      <c r="AP66" s="265"/>
      <c r="AQ66" s="266"/>
      <c r="AR66" s="267"/>
      <c r="AS66" s="263">
        <v>59</v>
      </c>
      <c r="AT66" s="263"/>
      <c r="AU66" s="263"/>
      <c r="AV66" s="264"/>
      <c r="AW66" s="263"/>
      <c r="AX66" s="263"/>
      <c r="AY66" s="263"/>
      <c r="AZ66" s="263"/>
      <c r="BA66" s="263"/>
      <c r="BB66" s="263"/>
      <c r="BC66" s="263"/>
      <c r="BD66" s="264"/>
      <c r="BE66" s="263"/>
      <c r="BF66" s="263"/>
      <c r="BG66" s="263"/>
      <c r="BH66" s="263"/>
      <c r="BI66" s="263"/>
      <c r="BJ66" s="404">
        <f>altaz(J2000_Bas,$O66,$M66,DecLat,DecLong,2)</f>
        <v>163.00577476723845</v>
      </c>
      <c r="BK66" s="378" t="s">
        <v>3970</v>
      </c>
      <c r="BL66" s="379">
        <f>IF((2*G66)/60&lt;0.2,0.2,(2*G66)/60)</f>
        <v>0.2</v>
      </c>
      <c r="BM66" s="380">
        <f>MOD((50000+AD66-$B$3+(0/24)),1)</f>
        <v>1.2908013573905919E-2</v>
      </c>
      <c r="BN66" s="381"/>
      <c r="BO66" s="382">
        <v>66</v>
      </c>
    </row>
    <row r="67" spans="1:67" s="24" customFormat="1" ht="15" customHeight="1" x14ac:dyDescent="0.25">
      <c r="A67" s="414" t="s">
        <v>140</v>
      </c>
      <c r="B67" s="241" t="str">
        <f>HYPERLINK(CONCATENATE($AT$3,BK67,$AU$3),$AV$3)</f>
        <v>S</v>
      </c>
      <c r="C67" s="242" t="str">
        <f>HYPERLINK(CONCATENATE($AT$4,BK67,$AU$4,BL67),$AV$4)</f>
        <v>A</v>
      </c>
      <c r="D67" s="243" t="s">
        <v>5187</v>
      </c>
      <c r="E67" s="244" t="s">
        <v>5181</v>
      </c>
      <c r="F67" s="269" t="s">
        <v>4798</v>
      </c>
      <c r="G67" s="273">
        <v>1.7</v>
      </c>
      <c r="H67" s="271">
        <v>5600</v>
      </c>
      <c r="I67" s="245">
        <v>2.7</v>
      </c>
      <c r="J67" s="246">
        <v>2</v>
      </c>
      <c r="K67" s="247" t="s">
        <v>8356</v>
      </c>
      <c r="L67" s="248">
        <v>191917</v>
      </c>
      <c r="M67" s="249">
        <f>15*(LEFT(TEXT($L67,"000000"),2)+(MID(TEXT($L67,"000000"),3,2)/60)+(RIGHT(TEXT($L67,"000000"),2)/3600))</f>
        <v>289.82083333333333</v>
      </c>
      <c r="N67" s="250">
        <v>-121452</v>
      </c>
      <c r="O67" s="251">
        <f>IF($N67&gt;0,(LEFT(TEXT($N67,"000000"),2)+(MID(TEXT($N67,"000000"),3,2)/60)+(RIGHT(TEXT($N67,"000000"),2)/3600)),-(MID(TEXT($N67,"000000"),2,2)+(MID(TEXT($N67,"000000"),4,2)/60)+(RIGHT(TEXT($N67,"000000"),2)/3600)))</f>
        <v>-12.247777777777777</v>
      </c>
      <c r="P67" s="252" t="s">
        <v>119</v>
      </c>
      <c r="Q67" s="253"/>
      <c r="R67" s="247" t="s">
        <v>3293</v>
      </c>
      <c r="S67" s="272" t="s">
        <v>3293</v>
      </c>
      <c r="T67" s="273">
        <v>16</v>
      </c>
      <c r="U67" s="274"/>
      <c r="V67" s="256"/>
      <c r="W67" s="244"/>
      <c r="X67" s="244"/>
      <c r="Y67" s="362"/>
      <c r="Z67" s="257">
        <f>altaz(J2000_Bas,$O67,$M67,DecLat,DecLong,1)</f>
        <v>46.596962527737986</v>
      </c>
      <c r="AA67" s="257">
        <f>altaz((J2000_Bas+(2*0.04167)),$O67,$M67,DecLat,DecLong,1)</f>
        <v>39.934132738412941</v>
      </c>
      <c r="AB67" s="257">
        <f>altaz((J2000_Bas+(4*0.04167)),$O67,$M67,DecLat,DecLong,1)</f>
        <v>20.786735850507622</v>
      </c>
      <c r="AC67" s="257">
        <f>altaz((J2000_Bas+(6*0.04167)),$O67,$M67,DecLat,DecLong,1)</f>
        <v>-3.2779607327702238</v>
      </c>
      <c r="AD67" s="258">
        <f>1+ transit((J2000_Bas-1),$O67,$M67,DecLat,DecLong)/360 + (GMTOffset/24) + (IF(DST="Y", 1, 0)/24)</f>
        <v>1.7979577504942916</v>
      </c>
      <c r="AE67" s="259">
        <f>DATE(2001,9,21)+(M67/360)*365 - (360*((DecLong/360)- (GMTOffset/24) ))</f>
        <v>37453.846122685187</v>
      </c>
      <c r="AF67" s="260">
        <f>IF(DecLat&gt;0,IF((90 - (DecLat-O67))&gt;90, (90 - (O67-DecLat)), (90 - (DecLat-O67))),IF((90 + (DecLat-O67))&gt;90, (90 + (O67-DecLat)), (90 + (DecLat-O67))))</f>
        <v>46.752222222222223</v>
      </c>
      <c r="AG67" s="257">
        <f>angularseperation(MoonRA,MoonDec,$M67,$O67)</f>
        <v>40.762930548681965</v>
      </c>
      <c r="AH67" s="261">
        <f ca="1">MIN(100,IF($O$5&gt;80,0+30*($AG67/100),IF($O$5&gt;70,0+50*($AG67/100),IF($O$5&gt;60,5+50*($AG67/100),IF($O$5&gt;50,10+60*($AG67/100),IF($O$5&gt;40,15+70*($AG67/100),IF($O$5&gt;30,20+70*($AG67/100),IF($O$5&gt;20,40+55*($AG67/100),(80+(20-$O$5)+30*($AG67/100))))))))))</f>
        <v>95.49993950875502</v>
      </c>
      <c r="AI67" s="262"/>
      <c r="AJ67" s="262"/>
      <c r="AK67" s="262"/>
      <c r="AL67" s="263"/>
      <c r="AM67" s="264"/>
      <c r="AN67" s="263"/>
      <c r="AO67" s="263"/>
      <c r="AP67" s="265"/>
      <c r="AQ67" s="266"/>
      <c r="AR67" s="267"/>
      <c r="AS67" s="263">
        <v>60</v>
      </c>
      <c r="AT67" s="263"/>
      <c r="AU67" s="263"/>
      <c r="AV67" s="264"/>
      <c r="AW67" s="263"/>
      <c r="AX67" s="263"/>
      <c r="AY67" s="263"/>
      <c r="AZ67" s="263"/>
      <c r="BA67" s="263"/>
      <c r="BB67" s="263"/>
      <c r="BC67" s="263"/>
      <c r="BD67" s="264"/>
      <c r="BE67" s="263"/>
      <c r="BF67" s="263"/>
      <c r="BG67" s="263"/>
      <c r="BH67" s="263"/>
      <c r="BI67" s="263"/>
      <c r="BJ67" s="404">
        <f>altaz(J2000_Bas,$O67,$M67,DecLat,DecLong,2)</f>
        <v>174.56557234042694</v>
      </c>
      <c r="BK67" s="378" t="s">
        <v>3971</v>
      </c>
      <c r="BL67" s="379">
        <f>IF((2*G67)/60&lt;0.2,0.2,(2*G67)/60)</f>
        <v>0.2</v>
      </c>
      <c r="BM67" s="380">
        <f>MOD((50000+AD67-$B$3+(0/24)),1)</f>
        <v>1.332468019973021E-2</v>
      </c>
      <c r="BN67" s="381"/>
      <c r="BO67" s="382">
        <v>67</v>
      </c>
    </row>
    <row r="68" spans="1:67" s="24" customFormat="1" ht="15" customHeight="1" x14ac:dyDescent="0.25">
      <c r="A68" s="414" t="s">
        <v>141</v>
      </c>
      <c r="B68" s="241" t="str">
        <f>HYPERLINK(CONCATENATE($AT$3,BK68,$AU$3),$AV$3)</f>
        <v>S</v>
      </c>
      <c r="C68" s="242" t="str">
        <f>HYPERLINK(CONCATENATE($AT$4,BK68,$AU$4,BL68),$AV$4)</f>
        <v>A</v>
      </c>
      <c r="D68" s="243" t="s">
        <v>5187</v>
      </c>
      <c r="E68" s="244" t="s">
        <v>5181</v>
      </c>
      <c r="F68" s="269" t="s">
        <v>5224</v>
      </c>
      <c r="G68" s="273">
        <v>3</v>
      </c>
      <c r="H68" s="271">
        <v>3000</v>
      </c>
      <c r="I68" s="245">
        <v>2.6</v>
      </c>
      <c r="J68" s="246">
        <v>2</v>
      </c>
      <c r="K68" s="247" t="s">
        <v>3419</v>
      </c>
      <c r="L68" s="248">
        <v>191910</v>
      </c>
      <c r="M68" s="249">
        <f>15*(LEFT(TEXT($L68,"000000"),2)+(MID(TEXT($L68,"000000"),3,2)/60)+(RIGHT(TEXT($L68,"000000"),2)/3600))</f>
        <v>289.79166666666663</v>
      </c>
      <c r="N68" s="250">
        <v>461436</v>
      </c>
      <c r="O68" s="251">
        <f>IF($N68&gt;0,(LEFT(TEXT($N68,"000000"),2)+(MID(TEXT($N68,"000000"),3,2)/60)+(RIGHT(TEXT($N68,"000000"),2)/3600)),-(MID(TEXT($N68,"000000"),2,2)+(MID(TEXT($N68,"000000"),4,2)/60)+(RIGHT(TEXT($N68,"000000"),2)/3600)))</f>
        <v>46.243333333333332</v>
      </c>
      <c r="P68" s="252" t="s">
        <v>60</v>
      </c>
      <c r="Q68" s="253"/>
      <c r="R68" s="247" t="s">
        <v>3293</v>
      </c>
      <c r="S68" s="272" t="s">
        <v>3293</v>
      </c>
      <c r="T68" s="273">
        <v>14</v>
      </c>
      <c r="U68" s="274"/>
      <c r="V68" s="256"/>
      <c r="W68" s="244"/>
      <c r="X68" s="244"/>
      <c r="Y68" s="362"/>
      <c r="Z68" s="257">
        <f>altaz(J2000_Bas,$O68,$M68,DecLat,DecLong,1)</f>
        <v>74.476787321858495</v>
      </c>
      <c r="AA68" s="257">
        <f>altaz((J2000_Bas+(2*0.04167)),$O68,$M68,DecLat,DecLong,1)</f>
        <v>64.618560308918717</v>
      </c>
      <c r="AB68" s="257">
        <f>altaz((J2000_Bas+(4*0.04167)),$O68,$M68,DecLat,DecLong,1)</f>
        <v>44.445774135765454</v>
      </c>
      <c r="AC68" s="257">
        <f>altaz((J2000_Bas+(6*0.04167)),$O68,$M68,DecLat,DecLong,1)</f>
        <v>24.114384344167661</v>
      </c>
      <c r="AD68" s="258">
        <f>1+ transit((J2000_Bas-1),$O68,$M68,DecLat,DecLong)/360 + (GMTOffset/24) + (IF(DST="Y", 1, 0)/24)</f>
        <v>1.7978767319838747</v>
      </c>
      <c r="AE68" s="259">
        <f>DATE(2001,9,21)+(M68/360)*365 - (360*((DecLong/360)- (GMTOffset/24) ))</f>
        <v>37453.816550925927</v>
      </c>
      <c r="AF68" s="260">
        <f>IF(DecLat&gt;0,IF((90 - (DecLat-O68))&gt;90, (90 - (O68-DecLat)), (90 - (DecLat-O68))),IF((90 + (DecLat-O68))&gt;90, (90 + (O68-DecLat)), (90 + (DecLat-O68))))</f>
        <v>74.756666666666661</v>
      </c>
      <c r="AG68" s="257">
        <f>angularseperation(MoonRA,MoonDec,$M68,$O68)</f>
        <v>82.008680020777774</v>
      </c>
      <c r="AH68" s="261">
        <f ca="1">MIN(100,IF($O$5&gt;80,0+30*($AG68/100),IF($O$5&gt;70,0+50*($AG68/100),IF($O$5&gt;60,5+50*($AG68/100),IF($O$5&gt;50,10+60*($AG68/100),IF($O$5&gt;40,15+70*($AG68/100),IF($O$5&gt;30,20+70*($AG68/100),IF($O$5&gt;20,40+55*($AG68/100),(80+(20-$O$5)+30*($AG68/100))))))))))</f>
        <v>100</v>
      </c>
      <c r="AI68" s="262"/>
      <c r="AJ68" s="262"/>
      <c r="AK68" s="262"/>
      <c r="AL68" s="263"/>
      <c r="AM68" s="264"/>
      <c r="AN68" s="263"/>
      <c r="AO68" s="263"/>
      <c r="AP68" s="265"/>
      <c r="AQ68" s="266"/>
      <c r="AR68" s="267"/>
      <c r="AS68" s="263">
        <v>61</v>
      </c>
      <c r="AT68" s="263"/>
      <c r="AU68" s="263"/>
      <c r="AV68" s="264"/>
      <c r="AW68" s="263"/>
      <c r="AX68" s="263"/>
      <c r="AY68" s="263"/>
      <c r="AZ68" s="263"/>
      <c r="BA68" s="263"/>
      <c r="BB68" s="263"/>
      <c r="BC68" s="263"/>
      <c r="BD68" s="264"/>
      <c r="BE68" s="263"/>
      <c r="BF68" s="263"/>
      <c r="BG68" s="263"/>
      <c r="BH68" s="263"/>
      <c r="BI68" s="263"/>
      <c r="BJ68" s="404">
        <f>altaz(J2000_Bas,$O68,$M68,DecLat,DecLong,2)</f>
        <v>9.8325625433376285</v>
      </c>
      <c r="BK68" s="378" t="s">
        <v>3972</v>
      </c>
      <c r="BL68" s="379">
        <f>IF((2*G68)/60&lt;0.2,0.2,(2*G68)/60)</f>
        <v>0.2</v>
      </c>
      <c r="BM68" s="380">
        <f>MOD((50000+AD68-$B$3+(0/24)),1)</f>
        <v>1.3243661691376474E-2</v>
      </c>
      <c r="BN68" s="381" t="s">
        <v>8643</v>
      </c>
      <c r="BO68" s="382">
        <v>68</v>
      </c>
    </row>
    <row r="69" spans="1:67" s="24" customFormat="1" ht="15" customHeight="1" x14ac:dyDescent="0.25">
      <c r="A69" s="414" t="s">
        <v>142</v>
      </c>
      <c r="B69" s="241" t="str">
        <f>HYPERLINK(CONCATENATE($AT$3,BK69,$AU$3),$AV$3)</f>
        <v>S</v>
      </c>
      <c r="C69" s="242" t="str">
        <f>HYPERLINK(CONCATENATE($AT$4,BK69,$AU$4,BL69),$AV$4)</f>
        <v>A</v>
      </c>
      <c r="D69" s="243" t="s">
        <v>5187</v>
      </c>
      <c r="E69" s="244" t="s">
        <v>5181</v>
      </c>
      <c r="F69" s="269" t="s">
        <v>5225</v>
      </c>
      <c r="G69" s="273">
        <v>3</v>
      </c>
      <c r="H69" s="271">
        <v>1600</v>
      </c>
      <c r="I69" s="245">
        <v>1.4</v>
      </c>
      <c r="J69" s="246">
        <v>3</v>
      </c>
      <c r="K69" s="247" t="s">
        <v>3420</v>
      </c>
      <c r="L69" s="248">
        <v>193318</v>
      </c>
      <c r="M69" s="249">
        <f>15*(LEFT(TEXT($L69,"000000"),2)+(MID(TEXT($L69,"000000"),3,2)/60)+(RIGHT(TEXT($L69,"000000"),2)/3600))</f>
        <v>293.32499999999999</v>
      </c>
      <c r="N69" s="250">
        <v>103701</v>
      </c>
      <c r="O69" s="251">
        <f>IF($N69&gt;0,(LEFT(TEXT($N69,"000000"),2)+(MID(TEXT($N69,"000000"),3,2)/60)+(RIGHT(TEXT($N69,"000000"),2)/3600)),-(MID(TEXT($N69,"000000"),2,2)+(MID(TEXT($N69,"000000"),4,2)/60)+(RIGHT(TEXT($N69,"000000"),2)/3600)))</f>
        <v>10.616944444444444</v>
      </c>
      <c r="P69" s="252" t="s">
        <v>126</v>
      </c>
      <c r="Q69" s="253"/>
      <c r="R69" s="247" t="s">
        <v>3293</v>
      </c>
      <c r="S69" s="272" t="s">
        <v>3293</v>
      </c>
      <c r="T69" s="273">
        <v>15</v>
      </c>
      <c r="U69" s="274"/>
      <c r="V69" s="256"/>
      <c r="W69" s="244"/>
      <c r="X69" s="244"/>
      <c r="Y69" s="362"/>
      <c r="Z69" s="257">
        <f>altaz(J2000_Bas,$O69,$M69,DecLat,DecLong,1)</f>
        <v>68.515125818065371</v>
      </c>
      <c r="AA69" s="257">
        <f>altaz((J2000_Bas+(2*0.04167)),$O69,$M69,DecLat,DecLong,1)</f>
        <v>60.665056213196628</v>
      </c>
      <c r="AB69" s="257">
        <f>altaz((J2000_Bas+(4*0.04167)),$O69,$M69,DecLat,DecLong,1)</f>
        <v>37.136437926154315</v>
      </c>
      <c r="AC69" s="257">
        <f>altaz((J2000_Bas+(6*0.04167)),$O69,$M69,DecLat,DecLong,1)</f>
        <v>11.453288263895098</v>
      </c>
      <c r="AD69" s="258">
        <f>1+ transit((J2000_Bas-1),$O69,$M69,DecLat,DecLong)/360 + (GMTOffset/24) + (IF(DST="Y", 1, 0)/24)</f>
        <v>1.8076915458172083</v>
      </c>
      <c r="AE69" s="259">
        <f>DATE(2001,9,21)+(M69/360)*365 - (360*((DecLong/360)- (GMTOffset/24) ))</f>
        <v>37457.398958333331</v>
      </c>
      <c r="AF69" s="260">
        <f>IF(DecLat&gt;0,IF((90 - (DecLat-O69))&gt;90, (90 - (O69-DecLat)), (90 - (DecLat-O69))),IF((90 + (DecLat-O69))&gt;90, (90 + (O69-DecLat)), (90 + (DecLat-O69))))</f>
        <v>69.616944444444442</v>
      </c>
      <c r="AG69" s="257">
        <f>angularseperation(MoonRA,MoonDec,$M69,$O69)</f>
        <v>56.994110844348086</v>
      </c>
      <c r="AH69" s="261">
        <f ca="1">MIN(100,IF($O$5&gt;80,0+30*($AG69/100),IF($O$5&gt;70,0+50*($AG69/100),IF($O$5&gt;60,5+50*($AG69/100),IF($O$5&gt;50,10+60*($AG69/100),IF($O$5&gt;40,15+70*($AG69/100),IF($O$5&gt;30,20+70*($AG69/100),IF($O$5&gt;20,40+55*($AG69/100),(80+(20-$O$5)+30*($AG69/100))))))))))</f>
        <v>100</v>
      </c>
      <c r="AI69" s="262"/>
      <c r="AJ69" s="262"/>
      <c r="AK69" s="262"/>
      <c r="AL69" s="263"/>
      <c r="AM69" s="264"/>
      <c r="AN69" s="263"/>
      <c r="AO69" s="263"/>
      <c r="AP69" s="265"/>
      <c r="AQ69" s="266"/>
      <c r="AR69" s="267"/>
      <c r="AS69" s="263">
        <v>62</v>
      </c>
      <c r="AT69" s="263"/>
      <c r="AU69" s="263"/>
      <c r="AV69" s="264"/>
      <c r="AW69" s="263"/>
      <c r="AX69" s="263"/>
      <c r="AY69" s="263"/>
      <c r="AZ69" s="263"/>
      <c r="BA69" s="263"/>
      <c r="BB69" s="263"/>
      <c r="BC69" s="263"/>
      <c r="BD69" s="264"/>
      <c r="BE69" s="263"/>
      <c r="BF69" s="263"/>
      <c r="BG69" s="263"/>
      <c r="BH69" s="263"/>
      <c r="BI69" s="263"/>
      <c r="BJ69" s="404">
        <f>altaz(J2000_Bas,$O69,$M69,DecLat,DecLong,2)</f>
        <v>159.99945615174263</v>
      </c>
      <c r="BK69" s="378" t="s">
        <v>3973</v>
      </c>
      <c r="BL69" s="379">
        <f>IF((2*G69)/60&lt;0.2,0.2,(2*G69)/60)</f>
        <v>0.2</v>
      </c>
      <c r="BM69" s="380">
        <f>MOD((50000+AD69-$B$3+(0/24)),1)</f>
        <v>2.3058475519064814E-2</v>
      </c>
      <c r="BN69" s="381" t="s">
        <v>9243</v>
      </c>
      <c r="BO69" s="382">
        <v>69</v>
      </c>
    </row>
    <row r="70" spans="1:67" s="24" customFormat="1" ht="15" customHeight="1" x14ac:dyDescent="0.25">
      <c r="A70" s="414" t="s">
        <v>143</v>
      </c>
      <c r="B70" s="241" t="str">
        <f>HYPERLINK(CONCATENATE($AT$3,BK70,$AU$3),$AV$3)</f>
        <v>S</v>
      </c>
      <c r="C70" s="242" t="str">
        <f>HYPERLINK(CONCATENATE($AT$4,BK70,$AU$4,BL70),$AV$4)</f>
        <v>A</v>
      </c>
      <c r="D70" s="243" t="s">
        <v>5187</v>
      </c>
      <c r="E70" s="244" t="s">
        <v>5181</v>
      </c>
      <c r="F70" s="269" t="s">
        <v>4799</v>
      </c>
      <c r="G70" s="270">
        <v>0.7</v>
      </c>
      <c r="H70" s="271">
        <v>9000</v>
      </c>
      <c r="I70" s="245">
        <v>1.8</v>
      </c>
      <c r="J70" s="246">
        <v>2</v>
      </c>
      <c r="K70" s="247" t="s">
        <v>3421</v>
      </c>
      <c r="L70" s="248">
        <v>194210</v>
      </c>
      <c r="M70" s="249">
        <f>15*(LEFT(TEXT($L70,"000000"),2)+(MID(TEXT($L70,"000000"),3,2)/60)+(RIGHT(TEXT($L70,"000000"),2)/3600))</f>
        <v>295.54166666666663</v>
      </c>
      <c r="N70" s="250">
        <v>170508</v>
      </c>
      <c r="O70" s="251">
        <f>IF($N70&gt;0,(LEFT(TEXT($N70,"000000"),2)+(MID(TEXT($N70,"000000"),3,2)/60)+(RIGHT(TEXT($N70,"000000"),2)/3600)),-(MID(TEXT($N70,"000000"),2,2)+(MID(TEXT($N70,"000000"),4,2)/60)+(RIGHT(TEXT($N70,"000000"),2)/3600)))</f>
        <v>17.085555555555555</v>
      </c>
      <c r="P70" s="252" t="s">
        <v>139</v>
      </c>
      <c r="Q70" s="253"/>
      <c r="R70" s="247" t="s">
        <v>3293</v>
      </c>
      <c r="S70" s="272" t="s">
        <v>3293</v>
      </c>
      <c r="T70" s="273">
        <v>17</v>
      </c>
      <c r="U70" s="274"/>
      <c r="V70" s="256"/>
      <c r="W70" s="244"/>
      <c r="X70" s="244"/>
      <c r="Y70" s="362"/>
      <c r="Z70" s="257">
        <f>altaz(J2000_Bas,$O70,$M70,DecLat,DecLong,1)</f>
        <v>73.602609163331209</v>
      </c>
      <c r="AA70" s="257">
        <f>altaz((J2000_Bas+(2*0.04167)),$O70,$M70,DecLat,DecLong,1)</f>
        <v>66.71369174498129</v>
      </c>
      <c r="AB70" s="257">
        <f>altaz((J2000_Bas+(4*0.04167)),$O70,$M70,DecLat,DecLong,1)</f>
        <v>42.147738628851016</v>
      </c>
      <c r="AC70" s="257">
        <f>altaz((J2000_Bas+(6*0.04167)),$O70,$M70,DecLat,DecLong,1)</f>
        <v>16.470407256763885</v>
      </c>
      <c r="AD70" s="258">
        <f>1+ transit((J2000_Bas-1),$O70,$M70,DecLat,DecLong)/360 + (GMTOffset/24) + (IF(DST="Y", 1, 0)/24)</f>
        <v>1.8138489526088744</v>
      </c>
      <c r="AE70" s="259">
        <f>DATE(2001,9,21)+(M70/360)*365 - (360*((DecLong/360)- (GMTOffset/24) ))</f>
        <v>37459.646412037036</v>
      </c>
      <c r="AF70" s="260">
        <f>IF(DecLat&gt;0,IF((90 - (DecLat-O70))&gt;90, (90 - (O70-DecLat)), (90 - (DecLat-O70))),IF((90 + (DecLat-O70))&gt;90, (90 + (O70-DecLat)), (90 + (DecLat-O70))))</f>
        <v>76.085555555555558</v>
      </c>
      <c r="AG70" s="257">
        <f>angularseperation(MoonRA,MoonDec,$M70,$O70)</f>
        <v>62.985937866335789</v>
      </c>
      <c r="AH70" s="261">
        <f ca="1">MIN(100,IF($O$5&gt;80,0+30*($AG70/100),IF($O$5&gt;70,0+50*($AG70/100),IF($O$5&gt;60,5+50*($AG70/100),IF($O$5&gt;50,10+60*($AG70/100),IF($O$5&gt;40,15+70*($AG70/100),IF($O$5&gt;30,20+70*($AG70/100),IF($O$5&gt;20,40+55*($AG70/100),(80+(20-$O$5)+30*($AG70/100))))))))))</f>
        <v>100</v>
      </c>
      <c r="AI70" s="262"/>
      <c r="AJ70" s="262"/>
      <c r="AK70" s="262"/>
      <c r="AL70" s="263"/>
      <c r="AM70" s="264"/>
      <c r="AN70" s="263"/>
      <c r="AO70" s="263"/>
      <c r="AP70" s="265"/>
      <c r="AQ70" s="266"/>
      <c r="AR70" s="267"/>
      <c r="AS70" s="263">
        <v>63</v>
      </c>
      <c r="AT70" s="263"/>
      <c r="AU70" s="263"/>
      <c r="AV70" s="264"/>
      <c r="AW70" s="263"/>
      <c r="AX70" s="263"/>
      <c r="AY70" s="263"/>
      <c r="AZ70" s="263"/>
      <c r="BA70" s="263"/>
      <c r="BB70" s="263"/>
      <c r="BC70" s="263"/>
      <c r="BD70" s="264"/>
      <c r="BE70" s="263"/>
      <c r="BF70" s="263"/>
      <c r="BG70" s="263"/>
      <c r="BH70" s="263"/>
      <c r="BI70" s="263"/>
      <c r="BJ70" s="404">
        <f>altaz(J2000_Bas,$O70,$M70,DecLat,DecLong,2)</f>
        <v>145.8659794327877</v>
      </c>
      <c r="BK70" s="378" t="s">
        <v>3974</v>
      </c>
      <c r="BL70" s="379">
        <f>IF((2*G70)/60&lt;0.2,0.2,(2*G70)/60)</f>
        <v>0.2</v>
      </c>
      <c r="BM70" s="380">
        <f>MOD((50000+AD70-$B$3+(0/24)),1)</f>
        <v>2.9215882314019836E-2</v>
      </c>
      <c r="BN70" s="381"/>
      <c r="BO70" s="382">
        <v>70</v>
      </c>
    </row>
    <row r="71" spans="1:67" s="24" customFormat="1" ht="15" customHeight="1" x14ac:dyDescent="0.25">
      <c r="A71" s="414" t="s">
        <v>144</v>
      </c>
      <c r="B71" s="241" t="str">
        <f>HYPERLINK(CONCATENATE($AT$3,BK71,$AU$3),$AV$3)</f>
        <v>S</v>
      </c>
      <c r="C71" s="242" t="str">
        <f>HYPERLINK(CONCATENATE($AT$4,BK71,$AU$4,BL71),$AV$4)</f>
        <v>A</v>
      </c>
      <c r="D71" s="243" t="s">
        <v>5638</v>
      </c>
      <c r="E71" s="244" t="s">
        <v>5192</v>
      </c>
      <c r="F71" s="269" t="s">
        <v>3306</v>
      </c>
      <c r="G71" s="273">
        <v>1</v>
      </c>
      <c r="H71" s="271">
        <v>170</v>
      </c>
      <c r="I71" s="246">
        <v>50</v>
      </c>
      <c r="J71" s="246">
        <v>0</v>
      </c>
      <c r="K71" s="247" t="s">
        <v>5434</v>
      </c>
      <c r="L71" s="248">
        <v>194536</v>
      </c>
      <c r="M71" s="249">
        <f>15*(LEFT(TEXT($L71,"000000"),2)+(MID(TEXT($L71,"000000"),3,2)/60)+(RIGHT(TEXT($L71,"000000"),2)/3600))</f>
        <v>296.40000000000003</v>
      </c>
      <c r="N71" s="250">
        <v>53400</v>
      </c>
      <c r="O71" s="251">
        <f>IF($N71&gt;0,(LEFT(TEXT($N71,"000000"),2)+(MID(TEXT($N71,"000000"),3,2)/60)+(RIGHT(TEXT($N71,"000000"),2)/3600)),-(MID(TEXT($N71,"000000"),2,2)+(MID(TEXT($N71,"000000"),4,2)/60)+(RIGHT(TEXT($N71,"000000"),2)/3600)))</f>
        <v>5.5666666666666664</v>
      </c>
      <c r="P71" s="252" t="s">
        <v>126</v>
      </c>
      <c r="Q71" s="253"/>
      <c r="R71" s="247" t="s">
        <v>3293</v>
      </c>
      <c r="S71" s="272" t="s">
        <v>3293</v>
      </c>
      <c r="T71" s="273"/>
      <c r="U71" s="274"/>
      <c r="V71" s="280">
        <v>55</v>
      </c>
      <c r="W71" s="244"/>
      <c r="X71" s="244"/>
      <c r="Y71" s="362"/>
      <c r="Z71" s="257">
        <f>altaz(J2000_Bas,$O71,$M71,DecLat,DecLong,1)</f>
        <v>62.757499875877862</v>
      </c>
      <c r="AA71" s="257">
        <f>altaz((J2000_Bas+(2*0.04167)),$O71,$M71,DecLat,DecLong,1)</f>
        <v>58.563314982965942</v>
      </c>
      <c r="AB71" s="257">
        <f>altaz((J2000_Bas+(4*0.04167)),$O71,$M71,DecLat,DecLong,1)</f>
        <v>36.937130645648566</v>
      </c>
      <c r="AC71" s="257">
        <f>altaz((J2000_Bas+(6*0.04167)),$O71,$M71,DecLat,DecLong,1)</f>
        <v>11.549331998053587</v>
      </c>
      <c r="AD71" s="258">
        <f>1+ transit((J2000_Bas-1),$O71,$M71,DecLat,DecLong)/360 + (GMTOffset/24) + (IF(DST="Y", 1, 0)/24)</f>
        <v>1.8162332116297082</v>
      </c>
      <c r="AE71" s="259">
        <f>DATE(2001,9,21)+(M71/360)*365 - (360*((DecLong/360)- (GMTOffset/24) ))</f>
        <v>37460.51666666667</v>
      </c>
      <c r="AF71" s="260">
        <f>IF(DecLat&gt;0,IF((90 - (DecLat-O71))&gt;90, (90 - (O71-DecLat)), (90 - (DecLat-O71))),IF((90 + (DecLat-O71))&gt;90, (90 + (O71-DecLat)), (90 + (DecLat-O71))))</f>
        <v>64.566666666666663</v>
      </c>
      <c r="AG71" s="257">
        <f>angularseperation(MoonRA,MoonDec,$M71,$O71)</f>
        <v>56.055457770431595</v>
      </c>
      <c r="AH71" s="261">
        <f ca="1">MIN(100,IF($O$5&gt;80,0+30*($AG71/100),IF($O$5&gt;70,0+50*($AG71/100),IF($O$5&gt;60,5+50*($AG71/100),IF($O$5&gt;50,10+60*($AG71/100),IF($O$5&gt;40,15+70*($AG71/100),IF($O$5&gt;30,20+70*($AG71/100),IF($O$5&gt;20,40+55*($AG71/100),(80+(20-$O$5)+30*($AG71/100))))))))))</f>
        <v>100</v>
      </c>
      <c r="AI71" s="262"/>
      <c r="AJ71" s="262"/>
      <c r="AK71" s="262"/>
      <c r="AL71" s="263"/>
      <c r="AM71" s="264"/>
      <c r="AN71" s="263"/>
      <c r="AO71" s="263"/>
      <c r="AP71" s="265"/>
      <c r="AQ71" s="266"/>
      <c r="AR71" s="267"/>
      <c r="AS71" s="263">
        <v>64</v>
      </c>
      <c r="AT71" s="263"/>
      <c r="AU71" s="263"/>
      <c r="AV71" s="264"/>
      <c r="AW71" s="263"/>
      <c r="AX71" s="263"/>
      <c r="AY71" s="263"/>
      <c r="AZ71" s="263"/>
      <c r="BA71" s="263"/>
      <c r="BB71" s="263"/>
      <c r="BC71" s="263"/>
      <c r="BD71" s="264"/>
      <c r="BE71" s="263"/>
      <c r="BF71" s="263"/>
      <c r="BG71" s="263"/>
      <c r="BH71" s="263"/>
      <c r="BI71" s="263"/>
      <c r="BJ71" s="404">
        <f>altaz(J2000_Bas,$O71,$M71,DecLat,DecLong,2)</f>
        <v>156.89623602255378</v>
      </c>
      <c r="BK71" s="378" t="s">
        <v>3975</v>
      </c>
      <c r="BL71" s="379">
        <f>IF((2*G71)/60&lt;0.2,0.2,(2*G71)/60)</f>
        <v>0.2</v>
      </c>
      <c r="BM71" s="380">
        <f>MOD((50000+AD71-$B$3+(0/24)),1)</f>
        <v>3.1600141330272891E-2</v>
      </c>
      <c r="BN71" s="381"/>
      <c r="BO71" s="382">
        <v>71</v>
      </c>
    </row>
    <row r="72" spans="1:67" s="24" customFormat="1" ht="15" customHeight="1" x14ac:dyDescent="0.25">
      <c r="A72" s="414" t="s">
        <v>145</v>
      </c>
      <c r="B72" s="241" t="str">
        <f>HYPERLINK(CONCATENATE($AT$3,BK72,$AU$3),$AV$3)</f>
        <v>S</v>
      </c>
      <c r="C72" s="242" t="str">
        <f>HYPERLINK(CONCATENATE($AT$4,BK72,$AU$4,BL72),$AV$4)</f>
        <v>A</v>
      </c>
      <c r="D72" s="243" t="s">
        <v>5187</v>
      </c>
      <c r="E72" s="244" t="s">
        <v>5181</v>
      </c>
      <c r="F72" s="269" t="s">
        <v>4798</v>
      </c>
      <c r="G72" s="273">
        <v>4</v>
      </c>
      <c r="H72" s="271">
        <v>4000</v>
      </c>
      <c r="I72" s="245">
        <v>5</v>
      </c>
      <c r="J72" s="246">
        <v>3</v>
      </c>
      <c r="K72" s="247" t="s">
        <v>8357</v>
      </c>
      <c r="L72" s="248">
        <v>194634</v>
      </c>
      <c r="M72" s="249">
        <f>15*(LEFT(TEXT($L72,"000000"),2)+(MID(TEXT($L72,"000000"),3,2)/60)+(RIGHT(TEXT($L72,"000000"),2)/3600))</f>
        <v>296.64166666666665</v>
      </c>
      <c r="N72" s="250">
        <v>-230812</v>
      </c>
      <c r="O72" s="251">
        <f>IF($N72&gt;0,(LEFT(TEXT($N72,"000000"),2)+(MID(TEXT($N72,"000000"),3,2)/60)+(RIGHT(TEXT($N72,"000000"),2)/3600)),-(MID(TEXT($N72,"000000"),2,2)+(MID(TEXT($N72,"000000"),4,2)/60)+(RIGHT(TEXT($N72,"000000"),2)/3600)))</f>
        <v>-23.136666666666667</v>
      </c>
      <c r="P72" s="252" t="s">
        <v>119</v>
      </c>
      <c r="Q72" s="253"/>
      <c r="R72" s="247" t="s">
        <v>5497</v>
      </c>
      <c r="S72" s="272" t="s">
        <v>3293</v>
      </c>
      <c r="T72" s="273">
        <v>14</v>
      </c>
      <c r="U72" s="274"/>
      <c r="V72" s="256"/>
      <c r="W72" s="244"/>
      <c r="X72" s="244"/>
      <c r="Y72" s="362"/>
      <c r="Z72" s="257">
        <f>altaz(J2000_Bas,$O72,$M72,DecLat,DecLong,1)</f>
        <v>34.911052933294087</v>
      </c>
      <c r="AA72" s="257">
        <f>altaz((J2000_Bas+(2*0.04167)),$O72,$M72,DecLat,DecLong,1)</f>
        <v>32.744404097083191</v>
      </c>
      <c r="AB72" s="257">
        <f>altaz((J2000_Bas+(4*0.04167)),$O72,$M72,DecLat,DecLong,1)</f>
        <v>18.01255846182961</v>
      </c>
      <c r="AC72" s="257">
        <f>altaz((J2000_Bas+(6*0.04167)),$O72,$M72,DecLat,DecLong,1)</f>
        <v>-3.4558465008217323</v>
      </c>
      <c r="AD72" s="258">
        <f>1+ transit((J2000_Bas-1),$O72,$M72,DecLat,DecLong)/360 + (GMTOffset/24) + (IF(DST="Y", 1, 0)/24)</f>
        <v>1.8169045078588748</v>
      </c>
      <c r="AE72" s="259">
        <f>DATE(2001,9,21)+(M72/360)*365 - (360*((DecLong/360)- (GMTOffset/24) ))</f>
        <v>37460.761689814812</v>
      </c>
      <c r="AF72" s="260">
        <f>IF(DecLat&gt;0,IF((90 - (DecLat-O72))&gt;90, (90 - (O72-DecLat)), (90 - (DecLat-O72))),IF((90 + (DecLat-O72))&gt;90, (90 + (O72-DecLat)), (90 + (DecLat-O72))))</f>
        <v>35.86333333333333</v>
      </c>
      <c r="AG72" s="257">
        <f>angularseperation(MoonRA,MoonDec,$M72,$O72)</f>
        <v>42.854852804208207</v>
      </c>
      <c r="AH72" s="261">
        <f ca="1">MIN(100,IF($O$5&gt;80,0+30*($AG72/100),IF($O$5&gt;70,0+50*($AG72/100),IF($O$5&gt;60,5+50*($AG72/100),IF($O$5&gt;50,10+60*($AG72/100),IF($O$5&gt;40,15+70*($AG72/100),IF($O$5&gt;30,20+70*($AG72/100),IF($O$5&gt;20,40+55*($AG72/100),(80+(20-$O$5)+30*($AG72/100))))))))))</f>
        <v>96.127516185412887</v>
      </c>
      <c r="AI72" s="262"/>
      <c r="AJ72" s="262"/>
      <c r="AK72" s="262"/>
      <c r="AL72" s="263"/>
      <c r="AM72" s="264"/>
      <c r="AN72" s="263"/>
      <c r="AO72" s="263"/>
      <c r="AP72" s="265"/>
      <c r="AQ72" s="266"/>
      <c r="AR72" s="267"/>
      <c r="AS72" s="263">
        <v>65</v>
      </c>
      <c r="AT72" s="263"/>
      <c r="AU72" s="263"/>
      <c r="AV72" s="264"/>
      <c r="AW72" s="263"/>
      <c r="AX72" s="263"/>
      <c r="AY72" s="263"/>
      <c r="AZ72" s="263"/>
      <c r="BA72" s="263"/>
      <c r="BB72" s="263">
        <v>52</v>
      </c>
      <c r="BC72" s="263"/>
      <c r="BD72" s="264"/>
      <c r="BE72" s="263"/>
      <c r="BF72" s="263"/>
      <c r="BG72" s="263"/>
      <c r="BH72" s="263"/>
      <c r="BI72" s="263"/>
      <c r="BJ72" s="404">
        <f>altaz(J2000_Bas,$O72,$M72,DecLat,DecLong,2)</f>
        <v>168.05172406850636</v>
      </c>
      <c r="BK72" s="378" t="s">
        <v>3976</v>
      </c>
      <c r="BL72" s="379">
        <f>IF((2*G72)/60&lt;0.2,0.2,(2*G72)/60)</f>
        <v>0.2</v>
      </c>
      <c r="BM72" s="380">
        <f>MOD((50000+AD72-$B$3+(0/24)),1)</f>
        <v>3.2271437565214001E-2</v>
      </c>
      <c r="BN72" s="381"/>
      <c r="BO72" s="382">
        <v>72</v>
      </c>
    </row>
    <row r="73" spans="1:67" s="24" customFormat="1" ht="15" customHeight="1" x14ac:dyDescent="0.25">
      <c r="A73" s="414" t="s">
        <v>146</v>
      </c>
      <c r="B73" s="241" t="str">
        <f>HYPERLINK(CONCATENATE($AT$3,BK73,$AU$3),$AV$3)</f>
        <v>S</v>
      </c>
      <c r="C73" s="242" t="str">
        <f>HYPERLINK(CONCATENATE($AT$4,BK73,$AU$4,BL73),$AV$4)</f>
        <v>A</v>
      </c>
      <c r="D73" s="243" t="s">
        <v>5187</v>
      </c>
      <c r="E73" s="244" t="s">
        <v>5181</v>
      </c>
      <c r="F73" s="269" t="s">
        <v>4796</v>
      </c>
      <c r="G73" s="273">
        <v>4.5</v>
      </c>
      <c r="H73" s="271">
        <v>2000</v>
      </c>
      <c r="I73" s="245">
        <v>2.5</v>
      </c>
      <c r="J73" s="246">
        <v>2</v>
      </c>
      <c r="K73" s="247" t="s">
        <v>3422</v>
      </c>
      <c r="L73" s="248">
        <v>195732</v>
      </c>
      <c r="M73" s="249">
        <f>15*(LEFT(TEXT($L73,"000000"),2)+(MID(TEXT($L73,"000000"),3,2)/60)+(RIGHT(TEXT($L73,"000000"),2)/3600))</f>
        <v>299.38333333333333</v>
      </c>
      <c r="N73" s="250">
        <v>-213637</v>
      </c>
      <c r="O73" s="251">
        <f>IF($N73&gt;0,(LEFT(TEXT($N73,"000000"),2)+(MID(TEXT($N73,"000000"),3,2)/60)+(RIGHT(TEXT($N73,"000000"),2)/3600)),-(MID(TEXT($N73,"000000"),2,2)+(MID(TEXT($N73,"000000"),4,2)/60)+(RIGHT(TEXT($N73,"000000"),2)/3600)))</f>
        <v>-21.610277777777778</v>
      </c>
      <c r="P73" s="252" t="s">
        <v>119</v>
      </c>
      <c r="Q73" s="253"/>
      <c r="R73" s="247" t="s">
        <v>3293</v>
      </c>
      <c r="S73" s="272" t="s">
        <v>3293</v>
      </c>
      <c r="T73" s="273">
        <v>17</v>
      </c>
      <c r="U73" s="274"/>
      <c r="V73" s="256"/>
      <c r="W73" s="244"/>
      <c r="X73" s="244"/>
      <c r="Y73" s="362"/>
      <c r="Z73" s="257">
        <f>altaz(J2000_Bas,$O73,$M73,DecLat,DecLong,1)</f>
        <v>35.845395439210776</v>
      </c>
      <c r="AA73" s="257">
        <f>altaz((J2000_Bas+(2*0.04167)),$O73,$M73,DecLat,DecLong,1)</f>
        <v>35.002067887050806</v>
      </c>
      <c r="AB73" s="257">
        <f>altaz((J2000_Bas+(4*0.04167)),$O73,$M73,DecLat,DecLong,1)</f>
        <v>20.852367026672454</v>
      </c>
      <c r="AC73" s="257">
        <f>altaz((J2000_Bas+(6*0.04167)),$O73,$M73,DecLat,DecLong,1)</f>
        <v>-0.49818918996358658</v>
      </c>
      <c r="AD73" s="258">
        <f>1+ transit((J2000_Bas-1),$O73,$M73,DecLat,DecLong)/360 + (GMTOffset/24) + (IF(DST="Y", 1, 0)/24)</f>
        <v>1.8245202478380411</v>
      </c>
      <c r="AE73" s="259">
        <f>DATE(2001,9,21)+(M73/360)*365 - (360*((DecLong/360)- (GMTOffset/24) ))</f>
        <v>37463.541435185187</v>
      </c>
      <c r="AF73" s="260">
        <f>IF(DecLat&gt;0,IF((90 - (DecLat-O73))&gt;90, (90 - (O73-DecLat)), (90 - (DecLat-O73))),IF((90 + (DecLat-O73))&gt;90, (90 + (O73-DecLat)), (90 + (DecLat-O73))))</f>
        <v>37.389722222222218</v>
      </c>
      <c r="AG73" s="257">
        <f>angularseperation(MoonRA,MoonDec,$M73,$O73)</f>
        <v>45.718204645381711</v>
      </c>
      <c r="AH73" s="261">
        <f ca="1">MIN(100,IF($O$5&gt;80,0+30*($AG73/100),IF($O$5&gt;70,0+50*($AG73/100),IF($O$5&gt;60,5+50*($AG73/100),IF($O$5&gt;50,10+60*($AG73/100),IF($O$5&gt;40,15+70*($AG73/100),IF($O$5&gt;30,20+70*($AG73/100),IF($O$5&gt;20,40+55*($AG73/100),(80+(20-$O$5)+30*($AG73/100))))))))))</f>
        <v>96.986521737764946</v>
      </c>
      <c r="AI73" s="262"/>
      <c r="AJ73" s="262"/>
      <c r="AK73" s="262"/>
      <c r="AL73" s="263"/>
      <c r="AM73" s="264"/>
      <c r="AN73" s="263"/>
      <c r="AO73" s="263"/>
      <c r="AP73" s="265"/>
      <c r="AQ73" s="266"/>
      <c r="AR73" s="267"/>
      <c r="AS73" s="263">
        <v>66</v>
      </c>
      <c r="AT73" s="263"/>
      <c r="AU73" s="263"/>
      <c r="AV73" s="264"/>
      <c r="AW73" s="263"/>
      <c r="AX73" s="263"/>
      <c r="AY73" s="263"/>
      <c r="AZ73" s="263"/>
      <c r="BA73" s="263"/>
      <c r="BB73" s="263"/>
      <c r="BC73" s="263"/>
      <c r="BD73" s="264"/>
      <c r="BE73" s="263"/>
      <c r="BF73" s="263"/>
      <c r="BG73" s="263"/>
      <c r="BH73" s="263"/>
      <c r="BI73" s="263"/>
      <c r="BJ73" s="404">
        <f>altaz(J2000_Bas,$O73,$M73,DecLat,DecLong,2)</f>
        <v>164.60776609641064</v>
      </c>
      <c r="BK73" s="378" t="s">
        <v>3977</v>
      </c>
      <c r="BL73" s="379">
        <f>IF((2*G73)/60&lt;0.2,0.2,(2*G73)/60)</f>
        <v>0.2</v>
      </c>
      <c r="BM73" s="380">
        <f>MOD((50000+AD73-$B$3+(0/24)),1)</f>
        <v>3.9887177539640106E-2</v>
      </c>
      <c r="BN73" s="381"/>
      <c r="BO73" s="382">
        <v>73</v>
      </c>
    </row>
    <row r="74" spans="1:67" s="24" customFormat="1" ht="15" customHeight="1" x14ac:dyDescent="0.25">
      <c r="A74" s="414" t="s">
        <v>147</v>
      </c>
      <c r="B74" s="241" t="str">
        <f>HYPERLINK(CONCATENATE($AT$3,BK74,$AU$3),$AV$3)</f>
        <v>S</v>
      </c>
      <c r="C74" s="242" t="str">
        <f>HYPERLINK(CONCATENATE($AT$4,BK74,$AU$4,BL74),$AV$4)</f>
        <v>A</v>
      </c>
      <c r="D74" s="243" t="s">
        <v>5187</v>
      </c>
      <c r="E74" s="244" t="s">
        <v>5181</v>
      </c>
      <c r="F74" s="269" t="s">
        <v>9104</v>
      </c>
      <c r="G74" s="273">
        <v>1</v>
      </c>
      <c r="H74" s="271">
        <v>6500</v>
      </c>
      <c r="I74" s="245">
        <v>2</v>
      </c>
      <c r="J74" s="246">
        <v>2</v>
      </c>
      <c r="K74" s="247" t="s">
        <v>8358</v>
      </c>
      <c r="L74" s="248">
        <v>195829</v>
      </c>
      <c r="M74" s="249">
        <f>15*(LEFT(TEXT($L74,"000000"),2)+(MID(TEXT($L74,"000000"),3,2)/60)+(RIGHT(TEXT($L74,"000000"),2)/3600))</f>
        <v>299.62083333333328</v>
      </c>
      <c r="N74" s="250">
        <v>30223</v>
      </c>
      <c r="O74" s="251">
        <f>IF($N74&gt;0,(LEFT(TEXT($N74,"000000"),2)+(MID(TEXT($N74,"000000"),3,2)/60)+(RIGHT(TEXT($N74,"000000"),2)/3600)),-(MID(TEXT($N74,"000000"),2,2)+(MID(TEXT($N74,"000000"),4,2)/60)+(RIGHT(TEXT($N74,"000000"),2)/3600)))</f>
        <v>3.0397222222222222</v>
      </c>
      <c r="P74" s="252" t="s">
        <v>126</v>
      </c>
      <c r="Q74" s="253"/>
      <c r="R74" s="247" t="s">
        <v>3293</v>
      </c>
      <c r="S74" s="272" t="s">
        <v>3293</v>
      </c>
      <c r="T74" s="273">
        <v>14</v>
      </c>
      <c r="U74" s="274"/>
      <c r="V74" s="256"/>
      <c r="W74" s="244"/>
      <c r="X74" s="244"/>
      <c r="Y74" s="362"/>
      <c r="Z74" s="257">
        <f>altaz(J2000_Bas,$O74,$M74,DecLat,DecLong,1)</f>
        <v>59.227835998975699</v>
      </c>
      <c r="AA74" s="257">
        <f>altaz((J2000_Bas+(2*0.04167)),$O74,$M74,DecLat,DecLong,1)</f>
        <v>58.012840418240543</v>
      </c>
      <c r="AB74" s="257">
        <f>altaz((J2000_Bas+(4*0.04167)),$O74,$M74,DecLat,DecLong,1)</f>
        <v>38.022059966326765</v>
      </c>
      <c r="AC74" s="257">
        <f>altaz((J2000_Bas+(6*0.04167)),$O74,$M74,DecLat,DecLong,1)</f>
        <v>13.012519421494055</v>
      </c>
      <c r="AD74" s="258">
        <f>1+ transit((J2000_Bas-1),$O74,$M74,DecLat,DecLong)/360 + (GMTOffset/24) + (IF(DST="Y", 1, 0)/24)</f>
        <v>1.8251799699942912</v>
      </c>
      <c r="AE74" s="259">
        <f>DATE(2001,9,21)+(M74/360)*365 - (360*((DecLong/360)- (GMTOffset/24) ))</f>
        <v>37463.782233796293</v>
      </c>
      <c r="AF74" s="260">
        <f>IF(DecLat&gt;0,IF((90 - (DecLat-O74))&gt;90, (90 - (O74-DecLat)), (90 - (DecLat-O74))),IF((90 + (DecLat-O74))&gt;90, (90 + (O74-DecLat)), (90 + (DecLat-O74))))</f>
        <v>62.039722222222224</v>
      </c>
      <c r="AG74" s="257">
        <f>angularseperation(MoonRA,MoonDec,$M74,$O74)</f>
        <v>57.123268324973409</v>
      </c>
      <c r="AH74" s="261">
        <f ca="1">MIN(100,IF($O$5&gt;80,0+30*($AG74/100),IF($O$5&gt;70,0+50*($AG74/100),IF($O$5&gt;60,5+50*($AG74/100),IF($O$5&gt;50,10+60*($AG74/100),IF($O$5&gt;40,15+70*($AG74/100),IF($O$5&gt;30,20+70*($AG74/100),IF($O$5&gt;20,40+55*($AG74/100),(80+(20-$O$5)+30*($AG74/100))))))))))</f>
        <v>100</v>
      </c>
      <c r="AI74" s="262"/>
      <c r="AJ74" s="262"/>
      <c r="AK74" s="262"/>
      <c r="AL74" s="263"/>
      <c r="AM74" s="264"/>
      <c r="AN74" s="263"/>
      <c r="AO74" s="263"/>
      <c r="AP74" s="265"/>
      <c r="AQ74" s="266"/>
      <c r="AR74" s="267"/>
      <c r="AS74" s="263">
        <v>67</v>
      </c>
      <c r="AT74" s="263"/>
      <c r="AU74" s="263"/>
      <c r="AV74" s="264"/>
      <c r="AW74" s="263"/>
      <c r="AX74" s="263"/>
      <c r="AY74" s="263"/>
      <c r="AZ74" s="263"/>
      <c r="BA74" s="263"/>
      <c r="BB74" s="263"/>
      <c r="BC74" s="263"/>
      <c r="BD74" s="264"/>
      <c r="BE74" s="263"/>
      <c r="BF74" s="263"/>
      <c r="BG74" s="263"/>
      <c r="BH74" s="263"/>
      <c r="BI74" s="263"/>
      <c r="BJ74" s="404">
        <f>altaz(J2000_Bas,$O74,$M74,DecLat,DecLong,2)</f>
        <v>152.641651605428</v>
      </c>
      <c r="BK74" s="378" t="s">
        <v>3978</v>
      </c>
      <c r="BL74" s="379">
        <f>IF((2*G74)/60&lt;0.2,0.2,(2*G74)/60)</f>
        <v>0.2</v>
      </c>
      <c r="BM74" s="380">
        <f>MOD((50000+AD74-$B$3+(0/24)),1)</f>
        <v>4.0546899697801564E-2</v>
      </c>
      <c r="BN74" s="381"/>
      <c r="BO74" s="382">
        <v>74</v>
      </c>
    </row>
    <row r="75" spans="1:67" s="24" customFormat="1" ht="15" customHeight="1" x14ac:dyDescent="0.25">
      <c r="A75" s="414" t="s">
        <v>148</v>
      </c>
      <c r="B75" s="241" t="str">
        <f>HYPERLINK(CONCATENATE($AT$3,BK75,$AU$3),$AV$3)</f>
        <v>S</v>
      </c>
      <c r="C75" s="242" t="str">
        <f>HYPERLINK(CONCATENATE($AT$4,BK75,$AU$4,BL75),$AV$4)</f>
        <v>A</v>
      </c>
      <c r="D75" s="243" t="s">
        <v>5187</v>
      </c>
      <c r="E75" s="244" t="s">
        <v>5181</v>
      </c>
      <c r="F75" s="269" t="s">
        <v>9105</v>
      </c>
      <c r="G75" s="270">
        <v>0.7</v>
      </c>
      <c r="H75" s="271">
        <v>6760</v>
      </c>
      <c r="I75" s="279">
        <v>1.5</v>
      </c>
      <c r="J75" s="246">
        <v>2</v>
      </c>
      <c r="K75" s="247" t="s">
        <v>8453</v>
      </c>
      <c r="L75" s="248">
        <v>200011</v>
      </c>
      <c r="M75" s="249">
        <f>15*(LEFT(TEXT($L75,"000000"),2)+(MID(TEXT($L75,"000000"),3,2)/60)+(RIGHT(TEXT($L75,"000000"),2)/3600))</f>
        <v>300.04583333333335</v>
      </c>
      <c r="N75" s="250">
        <v>214258</v>
      </c>
      <c r="O75" s="251">
        <f>IF($N75&gt;0,(LEFT(TEXT($N75,"000000"),2)+(MID(TEXT($N75,"000000"),3,2)/60)+(RIGHT(TEXT($N75,"000000"),2)/3600)),-(MID(TEXT($N75,"000000"),2,2)+(MID(TEXT($N75,"000000"),4,2)/60)+(RIGHT(TEXT($N75,"000000"),2)/3600)))</f>
        <v>21.716111111111111</v>
      </c>
      <c r="P75" s="252" t="s">
        <v>133</v>
      </c>
      <c r="Q75" s="253"/>
      <c r="R75" s="247" t="s">
        <v>3293</v>
      </c>
      <c r="S75" s="272" t="s">
        <v>3293</v>
      </c>
      <c r="T75" s="273">
        <v>15</v>
      </c>
      <c r="U75" s="274"/>
      <c r="V75" s="256"/>
      <c r="W75" s="244"/>
      <c r="X75" s="244"/>
      <c r="Y75" s="362"/>
      <c r="Z75" s="257">
        <f>altaz(J2000_Bas,$O75,$M75,DecLat,DecLong,1)</f>
        <v>74.386916194261602</v>
      </c>
      <c r="AA75" s="257">
        <f>altaz((J2000_Bas+(2*0.04167)),$O75,$M75,DecLat,DecLong,1)</f>
        <v>72.919682889322971</v>
      </c>
      <c r="AB75" s="257">
        <f>altaz((J2000_Bas+(4*0.04167)),$O75,$M75,DecLat,DecLong,1)</f>
        <v>47.943759080175447</v>
      </c>
      <c r="AC75" s="257">
        <f>altaz((J2000_Bas+(6*0.04167)),$O75,$M75,DecLat,DecLong,1)</f>
        <v>22.357194037097514</v>
      </c>
      <c r="AD75" s="258">
        <f>1+ transit((J2000_Bas-1),$O75,$M75,DecLat,DecLong)/360 + (GMTOffset/24) + (IF(DST="Y", 1, 0)/24)</f>
        <v>1.8263605254317914</v>
      </c>
      <c r="AE75" s="259">
        <f>DATE(2001,9,21)+(M75/360)*365 - (360*((DecLong/360)- (GMTOffset/24) ))</f>
        <v>37464.213136574072</v>
      </c>
      <c r="AF75" s="260">
        <f>IF(DecLat&gt;0,IF((90 - (DecLat-O75))&gt;90, (90 - (O75-DecLat)), (90 - (DecLat-O75))),IF((90 + (DecLat-O75))&gt;90, (90 + (O75-DecLat)), (90 + (DecLat-O75))))</f>
        <v>80.716111111111104</v>
      </c>
      <c r="AG75" s="257">
        <f>angularseperation(MoonRA,MoonDec,$M75,$O75)</f>
        <v>69.25093784464795</v>
      </c>
      <c r="AH75" s="261">
        <f ca="1">MIN(100,IF($O$5&gt;80,0+30*($AG75/100),IF($O$5&gt;70,0+50*($AG75/100),IF($O$5&gt;60,5+50*($AG75/100),IF($O$5&gt;50,10+60*($AG75/100),IF($O$5&gt;40,15+70*($AG75/100),IF($O$5&gt;30,20+70*($AG75/100),IF($O$5&gt;20,40+55*($AG75/100),(80+(20-$O$5)+30*($AG75/100))))))))))</f>
        <v>100</v>
      </c>
      <c r="AI75" s="262"/>
      <c r="AJ75" s="262"/>
      <c r="AK75" s="262"/>
      <c r="AL75" s="263"/>
      <c r="AM75" s="264"/>
      <c r="AN75" s="263"/>
      <c r="AO75" s="263"/>
      <c r="AP75" s="265"/>
      <c r="AQ75" s="266"/>
      <c r="AR75" s="267"/>
      <c r="AS75" s="263">
        <v>68</v>
      </c>
      <c r="AT75" s="263"/>
      <c r="AU75" s="263"/>
      <c r="AV75" s="264"/>
      <c r="AW75" s="263"/>
      <c r="AX75" s="263"/>
      <c r="AY75" s="263"/>
      <c r="AZ75" s="263"/>
      <c r="BA75" s="263"/>
      <c r="BB75" s="263"/>
      <c r="BC75" s="263"/>
      <c r="BD75" s="264"/>
      <c r="BE75" s="263"/>
      <c r="BF75" s="263"/>
      <c r="BG75" s="263"/>
      <c r="BH75" s="263"/>
      <c r="BI75" s="263"/>
      <c r="BJ75" s="404">
        <f>altaz(J2000_Bas,$O75,$M75,DecLat,DecLong,2)</f>
        <v>123.11222296383627</v>
      </c>
      <c r="BK75" s="378" t="s">
        <v>3979</v>
      </c>
      <c r="BL75" s="379">
        <f>IF((2*G75)/60&lt;0.2,0.2,(2*G75)/60)</f>
        <v>0.2</v>
      </c>
      <c r="BM75" s="380">
        <f>MOD((50000+AD75-$B$3+(0/24)),1)</f>
        <v>4.1727455136424396E-2</v>
      </c>
      <c r="BN75" s="381"/>
      <c r="BO75" s="382">
        <v>75</v>
      </c>
    </row>
    <row r="76" spans="1:67" s="24" customFormat="1" ht="15" customHeight="1" x14ac:dyDescent="0.25">
      <c r="A76" s="414" t="s">
        <v>149</v>
      </c>
      <c r="B76" s="241" t="str">
        <f>HYPERLINK(CONCATENATE($AT$3,BK76,$AU$3),$AV$3)</f>
        <v>S</v>
      </c>
      <c r="C76" s="242" t="str">
        <f>HYPERLINK(CONCATENATE($AT$4,BK76,$AU$4,BL76),$AV$4)</f>
        <v>A</v>
      </c>
      <c r="D76" s="243" t="s">
        <v>5187</v>
      </c>
      <c r="E76" s="244" t="s">
        <v>5181</v>
      </c>
      <c r="F76" s="269" t="s">
        <v>5226</v>
      </c>
      <c r="G76" s="270">
        <v>0.4</v>
      </c>
      <c r="H76" s="271">
        <v>14000</v>
      </c>
      <c r="I76" s="245">
        <v>1.7</v>
      </c>
      <c r="J76" s="246">
        <v>2</v>
      </c>
      <c r="K76" s="247" t="s">
        <v>4988</v>
      </c>
      <c r="L76" s="248">
        <v>201956</v>
      </c>
      <c r="M76" s="249">
        <f>15*(LEFT(TEXT($L76,"000000"),2)+(MID(TEXT($L76,"000000"),3,2)/60)+(RIGHT(TEXT($L76,"000000"),2)/3600))</f>
        <v>304.98333333333329</v>
      </c>
      <c r="N76" s="250">
        <v>382431</v>
      </c>
      <c r="O76" s="251">
        <f>IF($N76&gt;0,(LEFT(TEXT($N76,"000000"),2)+(MID(TEXT($N76,"000000"),3,2)/60)+(RIGHT(TEXT($N76,"000000"),2)/3600)),-(MID(TEXT($N76,"000000"),2,2)+(MID(TEXT($N76,"000000"),4,2)/60)+(RIGHT(TEXT($N76,"000000"),2)/3600)))</f>
        <v>38.408611111111107</v>
      </c>
      <c r="P76" s="252" t="s">
        <v>60</v>
      </c>
      <c r="Q76" s="253"/>
      <c r="R76" s="247" t="s">
        <v>3293</v>
      </c>
      <c r="S76" s="272" t="s">
        <v>3293</v>
      </c>
      <c r="T76" s="273"/>
      <c r="U76" s="274"/>
      <c r="V76" s="256"/>
      <c r="W76" s="244"/>
      <c r="X76" s="244"/>
      <c r="Y76" s="362"/>
      <c r="Z76" s="257">
        <f>altaz(J2000_Bas,$O76,$M76,DecLat,DecLong,1)</f>
        <v>72.77156881126659</v>
      </c>
      <c r="AA76" s="257">
        <f>altaz((J2000_Bas+(2*0.04167)),$O76,$M76,DecLat,DecLong,1)</f>
        <v>78.259114807032816</v>
      </c>
      <c r="AB76" s="257">
        <f>altaz((J2000_Bas+(4*0.04167)),$O76,$M76,DecLat,DecLong,1)</f>
        <v>55.633576975912028</v>
      </c>
      <c r="AC76" s="257">
        <f>altaz((J2000_Bas+(6*0.04167)),$O76,$M76,DecLat,DecLong,1)</f>
        <v>32.386253443667741</v>
      </c>
      <c r="AD76" s="258">
        <f>1+ transit((J2000_Bas-1),$O76,$M76,DecLat,DecLong)/360 + (GMTOffset/24) + (IF(DST="Y", 1, 0)/24)</f>
        <v>1.8400758018380412</v>
      </c>
      <c r="AE76" s="259">
        <f>DATE(2001,9,21)+(M76/360)*365 - (360*((DecLong/360)- (GMTOffset/24) ))</f>
        <v>37469.219212962962</v>
      </c>
      <c r="AF76" s="260">
        <f>IF(DecLat&gt;0,IF((90 - (DecLat-O76))&gt;90, (90 - (O76-DecLat)), (90 - (DecLat-O76))),IF((90 + (DecLat-O76))&gt;90, (90 + (O76-DecLat)), (90 + (DecLat-O76))))</f>
        <v>82.591388888888901</v>
      </c>
      <c r="AG76" s="257">
        <f>angularseperation(MoonRA,MoonDec,$M76,$O76)</f>
        <v>83.691739972587982</v>
      </c>
      <c r="AH76" s="261">
        <f ca="1">MIN(100,IF($O$5&gt;80,0+30*($AG76/100),IF($O$5&gt;70,0+50*($AG76/100),IF($O$5&gt;60,5+50*($AG76/100),IF($O$5&gt;50,10+60*($AG76/100),IF($O$5&gt;40,15+70*($AG76/100),IF($O$5&gt;30,20+70*($AG76/100),IF($O$5&gt;20,40+55*($AG76/100),(80+(20-$O$5)+30*($AG76/100))))))))))</f>
        <v>100</v>
      </c>
      <c r="AI76" s="262"/>
      <c r="AJ76" s="262"/>
      <c r="AK76" s="262"/>
      <c r="AL76" s="263"/>
      <c r="AM76" s="264"/>
      <c r="AN76" s="263"/>
      <c r="AO76" s="263"/>
      <c r="AP76" s="265"/>
      <c r="AQ76" s="266"/>
      <c r="AR76" s="267"/>
      <c r="AS76" s="263">
        <v>69</v>
      </c>
      <c r="AT76" s="263"/>
      <c r="AU76" s="263"/>
      <c r="AV76" s="264"/>
      <c r="AW76" s="263"/>
      <c r="AX76" s="263"/>
      <c r="AY76" s="263"/>
      <c r="AZ76" s="263"/>
      <c r="BA76" s="263"/>
      <c r="BB76" s="263"/>
      <c r="BC76" s="263"/>
      <c r="BD76" s="264"/>
      <c r="BE76" s="263"/>
      <c r="BF76" s="263"/>
      <c r="BG76" s="263"/>
      <c r="BH76" s="263"/>
      <c r="BI76" s="263"/>
      <c r="BJ76" s="404">
        <f>altaz(J2000_Bas,$O76,$M76,DecLat,DecLong,2)</f>
        <v>59.373181463072228</v>
      </c>
      <c r="BK76" s="378" t="s">
        <v>3980</v>
      </c>
      <c r="BL76" s="379">
        <f>IF((2*G76)/60&lt;0.2,0.2,(2*G76)/60)</f>
        <v>0.2</v>
      </c>
      <c r="BM76" s="380">
        <f>MOD((50000+AD76-$B$3+(0/24)),1)</f>
        <v>5.5442731543735135E-2</v>
      </c>
      <c r="BN76" s="381" t="s">
        <v>8665</v>
      </c>
      <c r="BO76" s="382">
        <v>76</v>
      </c>
    </row>
    <row r="77" spans="1:67" s="24" customFormat="1" ht="15" customHeight="1" x14ac:dyDescent="0.25">
      <c r="A77" s="414" t="s">
        <v>150</v>
      </c>
      <c r="B77" s="241" t="str">
        <f>HYPERLINK(CONCATENATE($AT$3,BK77,$AU$3),$AV$3)</f>
        <v>S</v>
      </c>
      <c r="C77" s="242" t="str">
        <f>HYPERLINK(CONCATENATE($AT$4,BK77,$AU$4,BL77),$AV$4)</f>
        <v>A</v>
      </c>
      <c r="D77" s="243" t="s">
        <v>5187</v>
      </c>
      <c r="E77" s="244" t="s">
        <v>5181</v>
      </c>
      <c r="F77" s="269" t="s">
        <v>7495</v>
      </c>
      <c r="G77" s="273">
        <v>1</v>
      </c>
      <c r="H77" s="271">
        <v>12000</v>
      </c>
      <c r="I77" s="245">
        <v>3.5</v>
      </c>
      <c r="J77" s="246">
        <v>2</v>
      </c>
      <c r="K77" s="247" t="s">
        <v>8359</v>
      </c>
      <c r="L77" s="248">
        <v>203133</v>
      </c>
      <c r="M77" s="249">
        <f>15*(LEFT(TEXT($L77,"000000"),2)+(MID(TEXT($L77,"000000"),3,2)/60)+(RIGHT(TEXT($L77,"000000"),2)/3600))</f>
        <v>307.88749999999999</v>
      </c>
      <c r="N77" s="250">
        <v>-70521</v>
      </c>
      <c r="O77" s="251">
        <f>IF($N77&gt;0,(LEFT(TEXT($N77,"000000"),2)+(MID(TEXT($N77,"000000"),3,2)/60)+(RIGHT(TEXT($N77,"000000"),2)/3600)),-(MID(TEXT($N77,"000000"),2,2)+(MID(TEXT($N77,"000000"),4,2)/60)+(RIGHT(TEXT($N77,"000000"),2)/3600)))</f>
        <v>-7.0891666666666664</v>
      </c>
      <c r="P77" s="252" t="s">
        <v>126</v>
      </c>
      <c r="Q77" s="253" t="s">
        <v>6968</v>
      </c>
      <c r="R77" s="247" t="s">
        <v>3293</v>
      </c>
      <c r="S77" s="272" t="s">
        <v>3293</v>
      </c>
      <c r="T77" s="273">
        <v>15</v>
      </c>
      <c r="U77" s="274"/>
      <c r="V77" s="256"/>
      <c r="W77" s="244"/>
      <c r="X77" s="244"/>
      <c r="Y77" s="362"/>
      <c r="Z77" s="257">
        <f>altaz(J2000_Bas,$O77,$M77,DecLat,DecLong,1)</f>
        <v>46.531431576271331</v>
      </c>
      <c r="AA77" s="257">
        <f>altaz((J2000_Bas+(2*0.04167)),$O77,$M77,DecLat,DecLong,1)</f>
        <v>51.110287400980852</v>
      </c>
      <c r="AB77" s="257">
        <f>altaz((J2000_Bas+(4*0.04167)),$O77,$M77,DecLat,DecLong,1)</f>
        <v>37.165871709197162</v>
      </c>
      <c r="AC77" s="257">
        <f>altaz((J2000_Bas+(6*0.04167)),$O77,$M77,DecLat,DecLong,1)</f>
        <v>14.477538749736976</v>
      </c>
      <c r="AD77" s="258">
        <f>1+ transit((J2000_Bas-1),$O77,$M77,DecLat,DecLong)/360 + (GMTOffset/24) + (IF(DST="Y", 1, 0)/24)</f>
        <v>1.848142930660958</v>
      </c>
      <c r="AE77" s="259">
        <f>DATE(2001,9,21)+(M77/360)*365 - (360*((DecLong/360)- (GMTOffset/24) ))</f>
        <v>37472.163715277777</v>
      </c>
      <c r="AF77" s="260">
        <f>IF(DecLat&gt;0,IF((90 - (DecLat-O77))&gt;90, (90 - (O77-DecLat)), (90 - (DecLat-O77))),IF((90 + (DecLat-O77))&gt;90, (90 + (O77-DecLat)), (90 + (DecLat-O77))))</f>
        <v>51.910833333333336</v>
      </c>
      <c r="AG77" s="257">
        <f>angularseperation(MoonRA,MoonDec,$M77,$O77)</f>
        <v>58.94109846788205</v>
      </c>
      <c r="AH77" s="261">
        <f ca="1">MIN(100,IF($O$5&gt;80,0+30*($AG77/100),IF($O$5&gt;70,0+50*($AG77/100),IF($O$5&gt;60,5+50*($AG77/100),IF($O$5&gt;50,10+60*($AG77/100),IF($O$5&gt;40,15+70*($AG77/100),IF($O$5&gt;30,20+70*($AG77/100),IF($O$5&gt;20,40+55*($AG77/100),(80+(20-$O$5)+30*($AG77/100))))))))))</f>
        <v>100</v>
      </c>
      <c r="AI77" s="262"/>
      <c r="AJ77" s="262"/>
      <c r="AK77" s="262"/>
      <c r="AL77" s="263"/>
      <c r="AM77" s="264"/>
      <c r="AN77" s="263"/>
      <c r="AO77" s="263"/>
      <c r="AP77" s="265"/>
      <c r="AQ77" s="266"/>
      <c r="AR77" s="267"/>
      <c r="AS77" s="263">
        <v>70</v>
      </c>
      <c r="AT77" s="263"/>
      <c r="AU77" s="263"/>
      <c r="AV77" s="264"/>
      <c r="AW77" s="263"/>
      <c r="AX77" s="263"/>
      <c r="AY77" s="263"/>
      <c r="AZ77" s="263"/>
      <c r="BA77" s="263"/>
      <c r="BB77" s="263"/>
      <c r="BC77" s="263"/>
      <c r="BD77" s="264"/>
      <c r="BE77" s="263"/>
      <c r="BF77" s="263"/>
      <c r="BG77" s="263"/>
      <c r="BH77" s="263"/>
      <c r="BI77" s="263"/>
      <c r="BJ77" s="404">
        <f>altaz(J2000_Bas,$O77,$M77,DecLat,DecLong,2)</f>
        <v>147.47486340101884</v>
      </c>
      <c r="BK77" s="378" t="s">
        <v>3981</v>
      </c>
      <c r="BL77" s="379">
        <f>IF((2*G77)/60&lt;0.2,0.2,(2*G77)/60)</f>
        <v>0.2</v>
      </c>
      <c r="BM77" s="380">
        <f>MOD((50000+AD77-$B$3+(0/24)),1)</f>
        <v>6.3509860367048532E-2</v>
      </c>
      <c r="BN77" s="381" t="s">
        <v>9243</v>
      </c>
      <c r="BO77" s="382">
        <v>77</v>
      </c>
    </row>
    <row r="78" spans="1:67" s="24" customFormat="1" ht="15" customHeight="1" x14ac:dyDescent="0.25">
      <c r="A78" s="414" t="s">
        <v>151</v>
      </c>
      <c r="B78" s="241" t="str">
        <f>HYPERLINK(CONCATENATE($AT$3,BK78,$AU$3),$AV$3)</f>
        <v>S</v>
      </c>
      <c r="C78" s="242" t="str">
        <f>HYPERLINK(CONCATENATE($AT$4,BK78,$AU$4,BL78),$AV$4)</f>
        <v>A</v>
      </c>
      <c r="D78" s="243" t="s">
        <v>5187</v>
      </c>
      <c r="E78" s="244" t="s">
        <v>5181</v>
      </c>
      <c r="F78" s="269" t="s">
        <v>7496</v>
      </c>
      <c r="G78" s="273">
        <v>3</v>
      </c>
      <c r="H78" s="271">
        <v>2400</v>
      </c>
      <c r="I78" s="245">
        <v>2</v>
      </c>
      <c r="J78" s="246">
        <v>2</v>
      </c>
      <c r="K78" s="247" t="s">
        <v>3415</v>
      </c>
      <c r="L78" s="248">
        <v>203223</v>
      </c>
      <c r="M78" s="249">
        <f>15*(LEFT(TEXT($L78,"000000"),2)+(MID(TEXT($L78,"000000"),3,2)/60)+(RIGHT(TEXT($L78,"000000"),2)/3600))</f>
        <v>308.09583333333336</v>
      </c>
      <c r="N78" s="250">
        <v>472104</v>
      </c>
      <c r="O78" s="251">
        <f>IF($N78&gt;0,(LEFT(TEXT($N78,"000000"),2)+(MID(TEXT($N78,"000000"),3,2)/60)+(RIGHT(TEXT($N78,"000000"),2)/3600)),-(MID(TEXT($N78,"000000"),2,2)+(MID(TEXT($N78,"000000"),4,2)/60)+(RIGHT(TEXT($N78,"000000"),2)/3600)))</f>
        <v>47.351111111111109</v>
      </c>
      <c r="P78" s="252" t="s">
        <v>60</v>
      </c>
      <c r="Q78" s="253"/>
      <c r="R78" s="247" t="s">
        <v>3355</v>
      </c>
      <c r="S78" s="272" t="s">
        <v>2556</v>
      </c>
      <c r="T78" s="273">
        <v>15</v>
      </c>
      <c r="U78" s="274"/>
      <c r="V78" s="256"/>
      <c r="W78" s="244"/>
      <c r="X78" s="244"/>
      <c r="Y78" s="362"/>
      <c r="Z78" s="257">
        <f>altaz(J2000_Bas,$O78,$M78,DecLat,DecLong,1)</f>
        <v>66.47889197325668</v>
      </c>
      <c r="AA78" s="257">
        <f>altaz((J2000_Bas+(2*0.04167)),$O78,$M78,DecLat,DecLong,1)</f>
        <v>72.537792107709521</v>
      </c>
      <c r="AB78" s="257">
        <f>altaz((J2000_Bas+(4*0.04167)),$O78,$M78,DecLat,DecLong,1)</f>
        <v>56.717105973011776</v>
      </c>
      <c r="AC78" s="257">
        <f>altaz((J2000_Bas+(6*0.04167)),$O78,$M78,DecLat,DecLong,1)</f>
        <v>36.502565314899648</v>
      </c>
      <c r="AD78" s="258">
        <f>1+ transit((J2000_Bas-1),$O78,$M78,DecLat,DecLong)/360 + (GMTOffset/24) + (IF(DST="Y", 1, 0)/24)</f>
        <v>1.8487216343067912</v>
      </c>
      <c r="AE78" s="259">
        <f>DATE(2001,9,21)+(M78/360)*365 - (360*((DecLong/360)- (GMTOffset/24) ))</f>
        <v>37472.374942129631</v>
      </c>
      <c r="AF78" s="260">
        <f>IF(DecLat&gt;0,IF((90 - (DecLat-O78))&gt;90, (90 - (O78-DecLat)), (90 - (DecLat-O78))),IF((90 + (DecLat-O78))&gt;90, (90 + (O78-DecLat)), (90 + (DecLat-O78))))</f>
        <v>73.648888888888891</v>
      </c>
      <c r="AG78" s="257">
        <f>angularseperation(MoonRA,MoonDec,$M78,$O78)</f>
        <v>91.311489580077023</v>
      </c>
      <c r="AH78" s="261">
        <f ca="1">MIN(100,IF($O$5&gt;80,0+30*($AG78/100),IF($O$5&gt;70,0+50*($AG78/100),IF($O$5&gt;60,5+50*($AG78/100),IF($O$5&gt;50,10+60*($AG78/100),IF($O$5&gt;40,15+70*($AG78/100),IF($O$5&gt;30,20+70*($AG78/100),IF($O$5&gt;20,40+55*($AG78/100),(80+(20-$O$5)+30*($AG78/100))))))))))</f>
        <v>100</v>
      </c>
      <c r="AI78" s="262"/>
      <c r="AJ78" s="262"/>
      <c r="AK78" s="262"/>
      <c r="AL78" s="263"/>
      <c r="AM78" s="264"/>
      <c r="AN78" s="263"/>
      <c r="AO78" s="263"/>
      <c r="AP78" s="265"/>
      <c r="AQ78" s="266"/>
      <c r="AR78" s="267"/>
      <c r="AS78" s="263">
        <v>71</v>
      </c>
      <c r="AT78" s="263"/>
      <c r="AU78" s="263"/>
      <c r="AV78" s="264"/>
      <c r="AW78" s="263"/>
      <c r="AX78" s="263"/>
      <c r="AY78" s="263"/>
      <c r="AZ78" s="263"/>
      <c r="BA78" s="263"/>
      <c r="BB78" s="263">
        <v>116</v>
      </c>
      <c r="BC78" s="263"/>
      <c r="BD78" s="264"/>
      <c r="BE78" s="263"/>
      <c r="BF78" s="263"/>
      <c r="BG78" s="263"/>
      <c r="BH78" s="263">
        <v>68</v>
      </c>
      <c r="BI78" s="263"/>
      <c r="BJ78" s="404">
        <f>altaz(J2000_Bas,$O78,$M78,DecLat,DecLong,2)</f>
        <v>39.680424872043346</v>
      </c>
      <c r="BK78" s="378" t="s">
        <v>3982</v>
      </c>
      <c r="BL78" s="379">
        <f>IF((2*G78)/60&lt;0.2,0.2,(2*G78)/60)</f>
        <v>0.2</v>
      </c>
      <c r="BM78" s="380">
        <f>MOD((50000+AD78-$B$3+(0/24)),1)</f>
        <v>6.4088564009580296E-2</v>
      </c>
      <c r="BN78" s="381" t="s">
        <v>9225</v>
      </c>
      <c r="BO78" s="382">
        <v>78</v>
      </c>
    </row>
    <row r="79" spans="1:67" s="24" customFormat="1" ht="15" customHeight="1" x14ac:dyDescent="0.25">
      <c r="A79" s="414" t="s">
        <v>152</v>
      </c>
      <c r="B79" s="241" t="str">
        <f>HYPERLINK(CONCATENATE($AT$3,BK79,$AU$3),$AV$3)</f>
        <v>S</v>
      </c>
      <c r="C79" s="242" t="str">
        <f>HYPERLINK(CONCATENATE($AT$4,BK79,$AU$4,BL79),$AV$4)</f>
        <v>A</v>
      </c>
      <c r="D79" s="243" t="s">
        <v>5187</v>
      </c>
      <c r="E79" s="244" t="s">
        <v>5181</v>
      </c>
      <c r="F79" s="269" t="s">
        <v>5752</v>
      </c>
      <c r="G79" s="273">
        <v>3</v>
      </c>
      <c r="H79" s="271">
        <v>3700</v>
      </c>
      <c r="I79" s="245">
        <v>3</v>
      </c>
      <c r="J79" s="246">
        <v>3</v>
      </c>
      <c r="K79" s="247" t="s">
        <v>3414</v>
      </c>
      <c r="L79" s="248">
        <v>205002</v>
      </c>
      <c r="M79" s="249">
        <f>15*(LEFT(TEXT($L79,"000000"),2)+(MID(TEXT($L79,"000000"),3,2)/60)+(RIGHT(TEXT($L79,"000000"),2)/3600))</f>
        <v>312.50833333333327</v>
      </c>
      <c r="N79" s="250">
        <v>133328</v>
      </c>
      <c r="O79" s="251">
        <f>IF($N79&gt;0,(LEFT(TEXT($N79,"000000"),2)+(MID(TEXT($N79,"000000"),3,2)/60)+(RIGHT(TEXT($N79,"000000"),2)/3600)),-(MID(TEXT($N79,"000000"),2,2)+(MID(TEXT($N79,"000000"),4,2)/60)+(RIGHT(TEXT($N79,"000000"),2)/3600)))</f>
        <v>13.557777777777778</v>
      </c>
      <c r="P79" s="252" t="s">
        <v>153</v>
      </c>
      <c r="Q79" s="253"/>
      <c r="R79" s="247" t="s">
        <v>3293</v>
      </c>
      <c r="S79" s="272" t="s">
        <v>3293</v>
      </c>
      <c r="T79" s="273">
        <v>13</v>
      </c>
      <c r="U79" s="274"/>
      <c r="V79" s="256"/>
      <c r="W79" s="244"/>
      <c r="X79" s="244"/>
      <c r="Y79" s="362"/>
      <c r="Z79" s="257">
        <f>altaz(J2000_Bas,$O79,$M79,DecLat,DecLong,1)</f>
        <v>60.0467877897539</v>
      </c>
      <c r="AA79" s="257">
        <f>altaz((J2000_Bas+(2*0.04167)),$O79,$M79,DecLat,DecLong,1)</f>
        <v>72.249789453346636</v>
      </c>
      <c r="AB79" s="257">
        <f>altaz((J2000_Bas+(4*0.04167)),$O79,$M79,DecLat,DecLong,1)</f>
        <v>54.516777856029442</v>
      </c>
      <c r="AC79" s="257">
        <f>altaz((J2000_Bas+(6*0.04167)),$O79,$M79,DecLat,DecLong,1)</f>
        <v>29.295650732815897</v>
      </c>
      <c r="AD79" s="258">
        <f>1+ transit((J2000_Bas-1),$O79,$M79,DecLat,DecLong)/360 + (GMTOffset/24) + (IF(DST="Y", 1, 0)/24)</f>
        <v>1.8609785775255412</v>
      </c>
      <c r="AE79" s="259">
        <f>DATE(2001,9,21)+(M79/360)*365 - (360*((DecLong/360)- (GMTOffset/24) ))</f>
        <v>37476.848726851851</v>
      </c>
      <c r="AF79" s="260">
        <f>IF(DecLat&gt;0,IF((90 - (DecLat-O79))&gt;90, (90 - (O79-DecLat)), (90 - (DecLat-O79))),IF((90 + (DecLat-O79))&gt;90, (90 + (O79-DecLat)), (90 + (DecLat-O79))))</f>
        <v>72.557777777777773</v>
      </c>
      <c r="AG79" s="257">
        <f>angularseperation(MoonRA,MoonDec,$M79,$O79)</f>
        <v>73.583469589297025</v>
      </c>
      <c r="AH79" s="261">
        <f ca="1">MIN(100,IF($O$5&gt;80,0+30*($AG79/100),IF($O$5&gt;70,0+50*($AG79/100),IF($O$5&gt;60,5+50*($AG79/100),IF($O$5&gt;50,10+60*($AG79/100),IF($O$5&gt;40,15+70*($AG79/100),IF($O$5&gt;30,20+70*($AG79/100),IF($O$5&gt;20,40+55*($AG79/100),(80+(20-$O$5)+30*($AG79/100))))))))))</f>
        <v>100</v>
      </c>
      <c r="AI79" s="262"/>
      <c r="AJ79" s="262"/>
      <c r="AK79" s="262"/>
      <c r="AL79" s="263"/>
      <c r="AM79" s="264"/>
      <c r="AN79" s="263"/>
      <c r="AO79" s="263"/>
      <c r="AP79" s="265"/>
      <c r="AQ79" s="266"/>
      <c r="AR79" s="267"/>
      <c r="AS79" s="263">
        <v>72</v>
      </c>
      <c r="AT79" s="263"/>
      <c r="AU79" s="263"/>
      <c r="AV79" s="264"/>
      <c r="AW79" s="263"/>
      <c r="AX79" s="263"/>
      <c r="AY79" s="263"/>
      <c r="AZ79" s="263"/>
      <c r="BA79" s="263"/>
      <c r="BB79" s="263"/>
      <c r="BC79" s="263"/>
      <c r="BD79" s="264"/>
      <c r="BE79" s="263"/>
      <c r="BF79" s="263"/>
      <c r="BG79" s="263"/>
      <c r="BH79" s="263">
        <v>37</v>
      </c>
      <c r="BI79" s="263"/>
      <c r="BJ79" s="404">
        <f>altaz(J2000_Bas,$O79,$M79,DecLat,DecLong,2)</f>
        <v>119.66537919973717</v>
      </c>
      <c r="BK79" s="378" t="s">
        <v>3983</v>
      </c>
      <c r="BL79" s="379">
        <f>IF((2*G79)/60&lt;0.2,0.2,(2*G79)/60)</f>
        <v>0.2</v>
      </c>
      <c r="BM79" s="380">
        <f>MOD((50000+AD79-$B$3+(0/24)),1)</f>
        <v>7.6345507230143994E-2</v>
      </c>
      <c r="BN79" s="381"/>
      <c r="BO79" s="382">
        <v>79</v>
      </c>
    </row>
    <row r="80" spans="1:67" s="24" customFormat="1" ht="15" customHeight="1" x14ac:dyDescent="0.25">
      <c r="A80" s="414" t="s">
        <v>154</v>
      </c>
      <c r="B80" s="241" t="str">
        <f>HYPERLINK(CONCATENATE($AT$3,BK80,$AU$3),$AV$3)</f>
        <v>S</v>
      </c>
      <c r="C80" s="242" t="str">
        <f>HYPERLINK(CONCATENATE($AT$4,BK80,$AU$4,BL80),$AV$4)</f>
        <v>A</v>
      </c>
      <c r="D80" s="243" t="s">
        <v>5187</v>
      </c>
      <c r="E80" s="244" t="s">
        <v>5181</v>
      </c>
      <c r="F80" s="269" t="s">
        <v>9095</v>
      </c>
      <c r="G80" s="273">
        <v>1.4</v>
      </c>
      <c r="H80" s="271">
        <v>6000</v>
      </c>
      <c r="I80" s="245">
        <v>2.4</v>
      </c>
      <c r="J80" s="246">
        <v>2</v>
      </c>
      <c r="K80" s="247" t="s">
        <v>3409</v>
      </c>
      <c r="L80" s="248">
        <v>205626</v>
      </c>
      <c r="M80" s="249">
        <f>15*(LEFT(TEXT($L80,"000000"),2)+(MID(TEXT($L80,"000000"),3,2)/60)+(RIGHT(TEXT($L80,"000000"),2)/3600))</f>
        <v>314.10833333333335</v>
      </c>
      <c r="N80" s="250">
        <v>572556</v>
      </c>
      <c r="O80" s="251">
        <f>IF($N80&gt;0,(LEFT(TEXT($N80,"000000"),2)+(MID(TEXT($N80,"000000"),3,2)/60)+(RIGHT(TEXT($N80,"000000"),2)/3600)),-(MID(TEXT($N80,"000000"),2,2)+(MID(TEXT($N80,"000000"),4,2)/60)+(RIGHT(TEXT($N80,"000000"),2)/3600)))</f>
        <v>57.432222222222222</v>
      </c>
      <c r="P80" s="252" t="s">
        <v>52</v>
      </c>
      <c r="Q80" s="253"/>
      <c r="R80" s="247" t="s">
        <v>3293</v>
      </c>
      <c r="S80" s="272" t="s">
        <v>3293</v>
      </c>
      <c r="T80" s="273">
        <v>17</v>
      </c>
      <c r="U80" s="274"/>
      <c r="V80" s="256"/>
      <c r="W80" s="244"/>
      <c r="X80" s="244"/>
      <c r="Y80" s="362"/>
      <c r="Z80" s="257">
        <f>altaz(J2000_Bas,$O80,$M80,DecLat,DecLong,1)</f>
        <v>57.251376820087167</v>
      </c>
      <c r="AA80" s="257">
        <f>altaz((J2000_Bas+(2*0.04167)),$O80,$M80,DecLat,DecLong,1)</f>
        <v>63.532382387127129</v>
      </c>
      <c r="AB80" s="257">
        <f>altaz((J2000_Bas+(4*0.04167)),$O80,$M80,DecLat,DecLong,1)</f>
        <v>55.59646469381336</v>
      </c>
      <c r="AC80" s="257">
        <f>altaz((J2000_Bas+(6*0.04167)),$O80,$M80,DecLat,DecLong,1)</f>
        <v>40.512778327317854</v>
      </c>
      <c r="AD80" s="258">
        <f>1+ transit((J2000_Bas-1),$O80,$M80,DecLat,DecLong)/360 + (GMTOffset/24) + (IF(DST="Y", 1, 0)/24)</f>
        <v>1.8654230215255414</v>
      </c>
      <c r="AE80" s="259">
        <f>DATE(2001,9,21)+(M80/360)*365 - (360*((DecLong/360)- (GMTOffset/24) ))</f>
        <v>37478.470949074072</v>
      </c>
      <c r="AF80" s="260">
        <f>IF(DecLat&gt;0,IF((90 - (DecLat-O80))&gt;90, (90 - (O80-DecLat)), (90 - (DecLat-O80))),IF((90 + (DecLat-O80))&gt;90, (90 + (O80-DecLat)), (90 + (DecLat-O80))))</f>
        <v>63.567777777777778</v>
      </c>
      <c r="AG80" s="257">
        <f>angularseperation(MoonRA,MoonDec,$M80,$O80)</f>
        <v>100.37823578418555</v>
      </c>
      <c r="AH80" s="261">
        <f ca="1">MIN(100,IF($O$5&gt;80,0+30*($AG80/100),IF($O$5&gt;70,0+50*($AG80/100),IF($O$5&gt;60,5+50*($AG80/100),IF($O$5&gt;50,10+60*($AG80/100),IF($O$5&gt;40,15+70*($AG80/100),IF($O$5&gt;30,20+70*($AG80/100),IF($O$5&gt;20,40+55*($AG80/100),(80+(20-$O$5)+30*($AG80/100))))))))))</f>
        <v>100</v>
      </c>
      <c r="AI80" s="262"/>
      <c r="AJ80" s="262"/>
      <c r="AK80" s="262"/>
      <c r="AL80" s="263"/>
      <c r="AM80" s="264"/>
      <c r="AN80" s="263"/>
      <c r="AO80" s="263"/>
      <c r="AP80" s="265"/>
      <c r="AQ80" s="266"/>
      <c r="AR80" s="267"/>
      <c r="AS80" s="263">
        <v>73</v>
      </c>
      <c r="AT80" s="263"/>
      <c r="AU80" s="263"/>
      <c r="AV80" s="264"/>
      <c r="AW80" s="263"/>
      <c r="AX80" s="263"/>
      <c r="AY80" s="263"/>
      <c r="AZ80" s="263"/>
      <c r="BA80" s="263"/>
      <c r="BB80" s="263"/>
      <c r="BC80" s="263"/>
      <c r="BD80" s="264"/>
      <c r="BE80" s="263"/>
      <c r="BF80" s="263"/>
      <c r="BG80" s="263"/>
      <c r="BH80" s="263"/>
      <c r="BI80" s="263"/>
      <c r="BJ80" s="404">
        <f>altaz(J2000_Bas,$O80,$M80,DecLat,DecLong,2)</f>
        <v>27.955492122607691</v>
      </c>
      <c r="BK80" s="378" t="s">
        <v>3984</v>
      </c>
      <c r="BL80" s="379">
        <f>IF((2*G80)/60&lt;0.2,0.2,(2*G80)/60)</f>
        <v>0.2</v>
      </c>
      <c r="BM80" s="380">
        <f>MOD((50000+AD80-$B$3+(0/24)),1)</f>
        <v>8.0789951229235157E-2</v>
      </c>
      <c r="BN80" s="381"/>
      <c r="BO80" s="382">
        <v>80</v>
      </c>
    </row>
    <row r="81" spans="1:67" s="24" customFormat="1" ht="15" customHeight="1" x14ac:dyDescent="0.25">
      <c r="A81" s="414" t="s">
        <v>155</v>
      </c>
      <c r="B81" s="241" t="str">
        <f>HYPERLINK(CONCATENATE($AT$3,BK81,$AU$3),$AV$3)</f>
        <v>S</v>
      </c>
      <c r="C81" s="242" t="str">
        <f>HYPERLINK(CONCATENATE($AT$4,BK81,$AU$4,BL81),$AV$4)</f>
        <v>A</v>
      </c>
      <c r="D81" s="243" t="s">
        <v>5187</v>
      </c>
      <c r="E81" s="244" t="s">
        <v>5181</v>
      </c>
      <c r="F81" s="269" t="s">
        <v>5227</v>
      </c>
      <c r="G81" s="273">
        <v>9</v>
      </c>
      <c r="H81" s="271">
        <v>2200</v>
      </c>
      <c r="I81" s="245">
        <v>5.7</v>
      </c>
      <c r="J81" s="246">
        <v>2</v>
      </c>
      <c r="K81" s="247" t="s">
        <v>3394</v>
      </c>
      <c r="L81" s="248">
        <v>211652</v>
      </c>
      <c r="M81" s="249">
        <f>15*(LEFT(TEXT($L81,"000000"),2)+(MID(TEXT($L81,"000000"),3,2)/60)+(RIGHT(TEXT($L81,"000000"),2)/3600))</f>
        <v>319.21666666666664</v>
      </c>
      <c r="N81" s="250">
        <v>240851</v>
      </c>
      <c r="O81" s="251">
        <f>IF($N81&gt;0,(LEFT(TEXT($N81,"000000"),2)+(MID(TEXT($N81,"000000"),3,2)/60)+(RIGHT(TEXT($N81,"000000"),2)/3600)),-(MID(TEXT($N81,"000000"),2,2)+(MID(TEXT($N81,"000000"),4,2)/60)+(RIGHT(TEXT($N81,"000000"),2)/3600)))</f>
        <v>24.147500000000001</v>
      </c>
      <c r="P81" s="252" t="s">
        <v>133</v>
      </c>
      <c r="Q81" s="253"/>
      <c r="R81" s="247" t="s">
        <v>3293</v>
      </c>
      <c r="S81" s="272" t="s">
        <v>3293</v>
      </c>
      <c r="T81" s="273">
        <v>16</v>
      </c>
      <c r="U81" s="274"/>
      <c r="V81" s="256"/>
      <c r="W81" s="244"/>
      <c r="X81" s="244"/>
      <c r="Y81" s="362"/>
      <c r="Z81" s="257">
        <f>altaz(J2000_Bas,$O81,$M81,DecLat,DecLong,1)</f>
        <v>59.891272258507648</v>
      </c>
      <c r="AA81" s="257">
        <f>altaz((J2000_Bas+(2*0.04167)),$O81,$M81,DecLat,DecLong,1)</f>
        <v>82.608455894275863</v>
      </c>
      <c r="AB81" s="257">
        <f>altaz((J2000_Bas+(4*0.04167)),$O81,$M81,DecLat,DecLong,1)</f>
        <v>65.214624352516168</v>
      </c>
      <c r="AC81" s="257">
        <f>altaz((J2000_Bas+(6*0.04167)),$O81,$M81,DecLat,DecLong,1)</f>
        <v>39.511831487534579</v>
      </c>
      <c r="AD81" s="258">
        <f>1+ transit((J2000_Bas-1),$O81,$M81,DecLat,DecLong)/360 + (GMTOffset/24) + (IF(DST="Y", 1, 0)/24)</f>
        <v>1.8796128349213743</v>
      </c>
      <c r="AE81" s="259">
        <f>DATE(2001,9,21)+(M81/360)*365 - (360*((DecLong/360)- (GMTOffset/24) ))</f>
        <v>37483.650231481479</v>
      </c>
      <c r="AF81" s="260">
        <f>IF(DecLat&gt;0,IF((90 - (DecLat-O81))&gt;90, (90 - (O81-DecLat)), (90 - (DecLat-O81))),IF((90 + (DecLat-O81))&gt;90, (90 + (O81-DecLat)), (90 + (DecLat-O81))))</f>
        <v>83.147500000000008</v>
      </c>
      <c r="AG81" s="257">
        <f>angularseperation(MoonRA,MoonDec,$M81,$O81)</f>
        <v>84.724344976071677</v>
      </c>
      <c r="AH81" s="261">
        <f ca="1">MIN(100,IF($O$5&gt;80,0+30*($AG81/100),IF($O$5&gt;70,0+50*($AG81/100),IF($O$5&gt;60,5+50*($AG81/100),IF($O$5&gt;50,10+60*($AG81/100),IF($O$5&gt;40,15+70*($AG81/100),IF($O$5&gt;30,20+70*($AG81/100),IF($O$5&gt;20,40+55*($AG81/100),(80+(20-$O$5)+30*($AG81/100))))))))))</f>
        <v>100</v>
      </c>
      <c r="AI81" s="262"/>
      <c r="AJ81" s="262"/>
      <c r="AK81" s="262"/>
      <c r="AL81" s="263"/>
      <c r="AM81" s="264"/>
      <c r="AN81" s="263"/>
      <c r="AO81" s="263"/>
      <c r="AP81" s="265"/>
      <c r="AQ81" s="266"/>
      <c r="AR81" s="267"/>
      <c r="AS81" s="263">
        <v>74</v>
      </c>
      <c r="AT81" s="263"/>
      <c r="AU81" s="263"/>
      <c r="AV81" s="264"/>
      <c r="AW81" s="263"/>
      <c r="AX81" s="263"/>
      <c r="AY81" s="263"/>
      <c r="AZ81" s="263"/>
      <c r="BA81" s="263"/>
      <c r="BB81" s="263"/>
      <c r="BC81" s="263"/>
      <c r="BD81" s="264"/>
      <c r="BE81" s="263"/>
      <c r="BF81" s="263"/>
      <c r="BG81" s="263"/>
      <c r="BH81" s="263"/>
      <c r="BI81" s="263"/>
      <c r="BJ81" s="404">
        <f>altaz(J2000_Bas,$O81,$M81,DecLat,DecLong,2)</f>
        <v>94.864015806091331</v>
      </c>
      <c r="BK81" s="378" t="s">
        <v>3985</v>
      </c>
      <c r="BL81" s="379">
        <f>IF((2*G81)/60&lt;0.2,0.2,(2*G81)/60)</f>
        <v>0.3</v>
      </c>
      <c r="BM81" s="380">
        <f>MOD((50000+AD81-$B$3+(0/24)),1)</f>
        <v>9.4979764624440577E-2</v>
      </c>
      <c r="BN81" s="381" t="s">
        <v>8665</v>
      </c>
      <c r="BO81" s="382">
        <v>81</v>
      </c>
    </row>
    <row r="82" spans="1:67" s="24" customFormat="1" ht="15" customHeight="1" x14ac:dyDescent="0.25">
      <c r="A82" s="414" t="s">
        <v>156</v>
      </c>
      <c r="B82" s="241" t="str">
        <f>HYPERLINK(CONCATENATE($AT$3,BK82,$AU$3),$AV$3)</f>
        <v>S</v>
      </c>
      <c r="C82" s="242" t="str">
        <f>HYPERLINK(CONCATENATE($AT$4,BK82,$AU$4,BL82),$AV$4)</f>
        <v>A</v>
      </c>
      <c r="D82" s="243" t="s">
        <v>5187</v>
      </c>
      <c r="E82" s="244" t="s">
        <v>5181</v>
      </c>
      <c r="F82" s="269" t="s">
        <v>4798</v>
      </c>
      <c r="G82" s="273">
        <v>1</v>
      </c>
      <c r="H82" s="271">
        <v>6000</v>
      </c>
      <c r="I82" s="245">
        <v>1.7</v>
      </c>
      <c r="J82" s="246">
        <v>2</v>
      </c>
      <c r="K82" s="247" t="s">
        <v>3408</v>
      </c>
      <c r="L82" s="248">
        <v>212624</v>
      </c>
      <c r="M82" s="249">
        <f>15*(LEFT(TEXT($L82,"000000"),2)+(MID(TEXT($L82,"000000"),3,2)/60)+(RIGHT(TEXT($L82,"000000"),2)/3600))</f>
        <v>321.60000000000002</v>
      </c>
      <c r="N82" s="250">
        <v>625328</v>
      </c>
      <c r="O82" s="251">
        <f>IF($N82&gt;0,(LEFT(TEXT($N82,"000000"),2)+(MID(TEXT($N82,"000000"),3,2)/60)+(RIGHT(TEXT($N82,"000000"),2)/3600)),-(MID(TEXT($N82,"000000"),2,2)+(MID(TEXT($N82,"000000"),4,2)/60)+(RIGHT(TEXT($N82,"000000"),2)/3600)))</f>
        <v>62.891111111111108</v>
      </c>
      <c r="P82" s="252" t="s">
        <v>52</v>
      </c>
      <c r="Q82" s="253"/>
      <c r="R82" s="247" t="s">
        <v>3357</v>
      </c>
      <c r="S82" s="272" t="s">
        <v>3293</v>
      </c>
      <c r="T82" s="273">
        <v>15</v>
      </c>
      <c r="U82" s="274"/>
      <c r="V82" s="256"/>
      <c r="W82" s="244"/>
      <c r="X82" s="244"/>
      <c r="Y82" s="362"/>
      <c r="Z82" s="257">
        <f>altaz(J2000_Bas,$O82,$M82,DecLat,DecLong,1)</f>
        <v>50.901405844038386</v>
      </c>
      <c r="AA82" s="257">
        <f>altaz((J2000_Bas+(2*0.04167)),$O82,$M82,DecLat,DecLong,1)</f>
        <v>57.913492703015422</v>
      </c>
      <c r="AB82" s="257">
        <f>altaz((J2000_Bas+(4*0.04167)),$O82,$M82,DecLat,DecLong,1)</f>
        <v>54.457231117135933</v>
      </c>
      <c r="AC82" s="257">
        <f>altaz((J2000_Bas+(6*0.04167)),$O82,$M82,DecLat,DecLong,1)</f>
        <v>43.189192819255148</v>
      </c>
      <c r="AD82" s="258">
        <f>1+ transit((J2000_Bas-1),$O82,$M82,DecLat,DecLong)/360 + (GMTOffset/24) + (IF(DST="Y", 1, 0)/24)</f>
        <v>1.8862332046297083</v>
      </c>
      <c r="AE82" s="259">
        <f>DATE(2001,9,21)+(M82/360)*365 - (360*((DecLong/360)- (GMTOffset/24) ))</f>
        <v>37486.066666666666</v>
      </c>
      <c r="AF82" s="260">
        <f>IF(DecLat&gt;0,IF((90 - (DecLat-O82))&gt;90, (90 - (O82-DecLat)), (90 - (DecLat-O82))),IF((90 + (DecLat-O82))&gt;90, (90 + (O82-DecLat)), (90 + (DecLat-O82))))</f>
        <v>58.108888888888892</v>
      </c>
      <c r="AG82" s="257">
        <f>angularseperation(MoonRA,MoonDec,$M82,$O82)</f>
        <v>106.39881446755258</v>
      </c>
      <c r="AH82" s="261">
        <f ca="1">MIN(100,IF($O$5&gt;80,0+30*($AG82/100),IF($O$5&gt;70,0+50*($AG82/100),IF($O$5&gt;60,5+50*($AG82/100),IF($O$5&gt;50,10+60*($AG82/100),IF($O$5&gt;40,15+70*($AG82/100),IF($O$5&gt;30,20+70*($AG82/100),IF($O$5&gt;20,40+55*($AG82/100),(80+(20-$O$5)+30*($AG82/100))))))))))</f>
        <v>100</v>
      </c>
      <c r="AI82" s="262">
        <v>7076</v>
      </c>
      <c r="AJ82" s="262"/>
      <c r="AK82" s="262"/>
      <c r="AL82" s="263"/>
      <c r="AM82" s="264"/>
      <c r="AN82" s="263"/>
      <c r="AO82" s="263"/>
      <c r="AP82" s="265"/>
      <c r="AQ82" s="266"/>
      <c r="AR82" s="267"/>
      <c r="AS82" s="263">
        <v>75</v>
      </c>
      <c r="AT82" s="263"/>
      <c r="AU82" s="263"/>
      <c r="AV82" s="264"/>
      <c r="AW82" s="263"/>
      <c r="AX82" s="263"/>
      <c r="AY82" s="263"/>
      <c r="AZ82" s="263"/>
      <c r="BA82" s="263"/>
      <c r="BB82" s="263"/>
      <c r="BC82" s="263"/>
      <c r="BD82" s="264"/>
      <c r="BE82" s="263"/>
      <c r="BF82" s="263"/>
      <c r="BG82" s="263"/>
      <c r="BH82" s="263"/>
      <c r="BI82" s="263"/>
      <c r="BJ82" s="404">
        <f>altaz(J2000_Bas,$O82,$M82,DecLat,DecLong,2)</f>
        <v>24.87170505191699</v>
      </c>
      <c r="BK82" s="378" t="s">
        <v>3986</v>
      </c>
      <c r="BL82" s="379">
        <f>IF((2*G82)/60&lt;0.2,0.2,(2*G82)/60)</f>
        <v>0.2</v>
      </c>
      <c r="BM82" s="380">
        <f>MOD((50000+AD82-$B$3+(0/24)),1)</f>
        <v>0.10160013433051063</v>
      </c>
      <c r="BN82" s="381"/>
      <c r="BO82" s="382">
        <v>82</v>
      </c>
    </row>
    <row r="83" spans="1:67" s="24" customFormat="1" ht="15" customHeight="1" x14ac:dyDescent="0.25">
      <c r="A83" s="414" t="s">
        <v>157</v>
      </c>
      <c r="B83" s="241" t="str">
        <f>HYPERLINK(CONCATENATE($AT$3,BK83,$AU$3),$AV$3)</f>
        <v>S</v>
      </c>
      <c r="C83" s="242" t="str">
        <f>HYPERLINK(CONCATENATE($AT$4,BK83,$AU$4,BL83),$AV$4)</f>
        <v>A</v>
      </c>
      <c r="D83" s="243" t="s">
        <v>5638</v>
      </c>
      <c r="E83" s="244" t="s">
        <v>5192</v>
      </c>
      <c r="F83" s="269" t="s">
        <v>3306</v>
      </c>
      <c r="G83" s="270">
        <v>0.3</v>
      </c>
      <c r="H83" s="271" t="s">
        <v>6500</v>
      </c>
      <c r="I83" s="244" t="s">
        <v>6500</v>
      </c>
      <c r="J83" s="246">
        <v>0</v>
      </c>
      <c r="K83" s="247" t="s">
        <v>5435</v>
      </c>
      <c r="L83" s="248">
        <v>213004</v>
      </c>
      <c r="M83" s="249">
        <f>15*(LEFT(TEXT($L83,"000000"),2)+(MID(TEXT($L83,"000000"),3,2)/60)+(RIGHT(TEXT($L83,"000000"),2)/3600))</f>
        <v>322.51666666666665</v>
      </c>
      <c r="N83" s="250">
        <v>-24830</v>
      </c>
      <c r="O83" s="251">
        <f>IF($N83&gt;0,(LEFT(TEXT($N83,"000000"),2)+(MID(TEXT($N83,"000000"),3,2)/60)+(RIGHT(TEXT($N83,"000000"),2)/3600)),-(MID(TEXT($N83,"000000"),2,2)+(MID(TEXT($N83,"000000"),4,2)/60)+(RIGHT(TEXT($N83,"000000"),2)/3600)))</f>
        <v>-2.8083333333333331</v>
      </c>
      <c r="P83" s="252" t="s">
        <v>158</v>
      </c>
      <c r="Q83" s="253"/>
      <c r="R83" s="247" t="s">
        <v>3293</v>
      </c>
      <c r="S83" s="272" t="s">
        <v>3293</v>
      </c>
      <c r="T83" s="273"/>
      <c r="U83" s="274"/>
      <c r="V83" s="280"/>
      <c r="W83" s="244"/>
      <c r="X83" s="244"/>
      <c r="Y83" s="362"/>
      <c r="Z83" s="257">
        <f>altaz(J2000_Bas,$O83,$M83,DecLat,DecLong,1)</f>
        <v>41.517836922752537</v>
      </c>
      <c r="AA83" s="257">
        <f>altaz((J2000_Bas+(2*0.04167)),$O83,$M83,DecLat,DecLong,1)</f>
        <v>55.64112383499053</v>
      </c>
      <c r="AB83" s="257">
        <f>altaz((J2000_Bas+(4*0.04167)),$O83,$M83,DecLat,DecLong,1)</f>
        <v>49.373377885800863</v>
      </c>
      <c r="AC83" s="257">
        <f>altaz((J2000_Bas+(6*0.04167)),$O83,$M83,DecLat,DecLong,1)</f>
        <v>28.759470595786794</v>
      </c>
      <c r="AD83" s="258">
        <f>1+ transit((J2000_Bas-1),$O83,$M83,DecLat,DecLong)/360 + (GMTOffset/24) + (IF(DST="Y", 1, 0)/24)</f>
        <v>1.8887795006713748</v>
      </c>
      <c r="AE83" s="259">
        <f>DATE(2001,9,21)+(M83/360)*365 - (360*((DecLong/360)- (GMTOffset/24) ))</f>
        <v>37486.996064814812</v>
      </c>
      <c r="AF83" s="260">
        <f>IF(DecLat&gt;0,IF((90 - (DecLat-O83))&gt;90, (90 - (O83-DecLat)), (90 - (DecLat-O83))),IF((90 + (DecLat-O83))&gt;90, (90 + (O83-DecLat)), (90 + (DecLat-O83))))</f>
        <v>56.19166666666667</v>
      </c>
      <c r="AG83" s="257">
        <f>angularseperation(MoonRA,MoonDec,$M83,$O83)</f>
        <v>73.845782577078623</v>
      </c>
      <c r="AH83" s="261">
        <f ca="1">MIN(100,IF($O$5&gt;80,0+30*($AG83/100),IF($O$5&gt;70,0+50*($AG83/100),IF($O$5&gt;60,5+50*($AG83/100),IF($O$5&gt;50,10+60*($AG83/100),IF($O$5&gt;40,15+70*($AG83/100),IF($O$5&gt;30,20+70*($AG83/100),IF($O$5&gt;20,40+55*($AG83/100),(80+(20-$O$5)+30*($AG83/100))))))))))</f>
        <v>100</v>
      </c>
      <c r="AI83" s="262"/>
      <c r="AJ83" s="262"/>
      <c r="AK83" s="262"/>
      <c r="AL83" s="263"/>
      <c r="AM83" s="264"/>
      <c r="AN83" s="263"/>
      <c r="AO83" s="263"/>
      <c r="AP83" s="265"/>
      <c r="AQ83" s="266"/>
      <c r="AR83" s="267"/>
      <c r="AS83" s="263">
        <v>76</v>
      </c>
      <c r="AT83" s="263"/>
      <c r="AU83" s="263"/>
      <c r="AV83" s="264"/>
      <c r="AW83" s="263"/>
      <c r="AX83" s="263"/>
      <c r="AY83" s="263"/>
      <c r="AZ83" s="263"/>
      <c r="BA83" s="263"/>
      <c r="BB83" s="263"/>
      <c r="BC83" s="263"/>
      <c r="BD83" s="264"/>
      <c r="BE83" s="263"/>
      <c r="BF83" s="263"/>
      <c r="BG83" s="263"/>
      <c r="BH83" s="263"/>
      <c r="BI83" s="263"/>
      <c r="BJ83" s="404">
        <f>altaz(J2000_Bas,$O83,$M83,DecLat,DecLong,2)</f>
        <v>127.46450022196183</v>
      </c>
      <c r="BK83" s="378" t="s">
        <v>3987</v>
      </c>
      <c r="BL83" s="379">
        <f>IF((2*G83)/60&lt;0.2,0.2,(2*G83)/60)</f>
        <v>0.2</v>
      </c>
      <c r="BM83" s="380">
        <f>MOD((50000+AD83-$B$3+(0/24)),1)</f>
        <v>0.10414643037802307</v>
      </c>
      <c r="BN83" s="381"/>
      <c r="BO83" s="382">
        <v>83</v>
      </c>
    </row>
    <row r="84" spans="1:67" s="24" customFormat="1" ht="15" customHeight="1" x14ac:dyDescent="0.25">
      <c r="A84" s="414" t="s">
        <v>159</v>
      </c>
      <c r="B84" s="241" t="str">
        <f>HYPERLINK(CONCATENATE($AT$3,BK84,$AU$3),$AV$3)</f>
        <v>S</v>
      </c>
      <c r="C84" s="242" t="str">
        <f>HYPERLINK(CONCATENATE($AT$4,BK84,$AU$4,BL84),$AV$4)</f>
        <v>A</v>
      </c>
      <c r="D84" s="243" t="s">
        <v>5187</v>
      </c>
      <c r="E84" s="244" t="s">
        <v>5181</v>
      </c>
      <c r="F84" s="269" t="s">
        <v>4800</v>
      </c>
      <c r="G84" s="273">
        <v>1.4</v>
      </c>
      <c r="H84" s="271">
        <v>30000</v>
      </c>
      <c r="I84" s="281">
        <v>12</v>
      </c>
      <c r="J84" s="246">
        <v>2</v>
      </c>
      <c r="K84" s="247" t="s">
        <v>3395</v>
      </c>
      <c r="L84" s="248">
        <v>213211</v>
      </c>
      <c r="M84" s="249">
        <f>15*(LEFT(TEXT($L84,"000000"),2)+(MID(TEXT($L84,"000000"),3,2)/60)+(RIGHT(TEXT($L84,"000000"),2)/3600))</f>
        <v>323.04583333333335</v>
      </c>
      <c r="N84" s="250">
        <v>555246</v>
      </c>
      <c r="O84" s="251">
        <f>IF($N84&gt;0,(LEFT(TEXT($N84,"000000"),2)+(MID(TEXT($N84,"000000"),3,2)/60)+(RIGHT(TEXT($N84,"000000"),2)/3600)),-(MID(TEXT($N84,"000000"),2,2)+(MID(TEXT($N84,"000000"),4,2)/60)+(RIGHT(TEXT($N84,"000000"),2)/3600)))</f>
        <v>55.879444444444445</v>
      </c>
      <c r="P84" s="252" t="s">
        <v>52</v>
      </c>
      <c r="Q84" s="253"/>
      <c r="R84" s="247" t="s">
        <v>3356</v>
      </c>
      <c r="S84" s="272" t="s">
        <v>3293</v>
      </c>
      <c r="T84" s="273">
        <v>14</v>
      </c>
      <c r="U84" s="274"/>
      <c r="V84" s="256"/>
      <c r="W84" s="244"/>
      <c r="X84" s="244"/>
      <c r="Y84" s="362"/>
      <c r="Z84" s="257">
        <f>altaz(J2000_Bas,$O84,$M84,DecLat,DecLong,1)</f>
        <v>54.111314449089043</v>
      </c>
      <c r="AA84" s="257">
        <f>altaz((J2000_Bas+(2*0.04167)),$O84,$M84,DecLat,DecLong,1)</f>
        <v>64.642502191384153</v>
      </c>
      <c r="AB84" s="257">
        <f>altaz((J2000_Bas+(4*0.04167)),$O84,$M84,DecLat,DecLong,1)</f>
        <v>60.291573872084918</v>
      </c>
      <c r="AC84" s="257">
        <f>altaz((J2000_Bas+(6*0.04167)),$O84,$M84,DecLat,DecLong,1)</f>
        <v>45.588240926366105</v>
      </c>
      <c r="AD84" s="258">
        <f>1+ transit((J2000_Bas-1),$O84,$M84,DecLat,DecLong)/360 + (GMTOffset/24) + (IF(DST="Y", 1, 0)/24)</f>
        <v>1.8902494079317915</v>
      </c>
      <c r="AE84" s="259">
        <f>DATE(2001,9,21)+(M84/360)*365 - (360*((DecLong/360)- (GMTOffset/24) ))</f>
        <v>37487.532581018517</v>
      </c>
      <c r="AF84" s="260">
        <f>IF(DecLat&gt;0,IF((90 - (DecLat-O84))&gt;90, (90 - (O84-DecLat)), (90 - (DecLat-O84))),IF((90 + (DecLat-O84))&gt;90, (90 + (O84-DecLat)), (90 + (DecLat-O84))))</f>
        <v>65.120555555555555</v>
      </c>
      <c r="AG84" s="257">
        <f>angularseperation(MoonRA,MoonDec,$M84,$O84)</f>
        <v>103.74614540281343</v>
      </c>
      <c r="AH84" s="261">
        <f ca="1">MIN(100,IF($O$5&gt;80,0+30*($AG84/100),IF($O$5&gt;70,0+50*($AG84/100),IF($O$5&gt;60,5+50*($AG84/100),IF($O$5&gt;50,10+60*($AG84/100),IF($O$5&gt;40,15+70*($AG84/100),IF($O$5&gt;30,20+70*($AG84/100),IF($O$5&gt;20,40+55*($AG84/100),(80+(20-$O$5)+30*($AG84/100))))))))))</f>
        <v>100</v>
      </c>
      <c r="AI84" s="262"/>
      <c r="AJ84" s="262"/>
      <c r="AK84" s="262"/>
      <c r="AL84" s="263"/>
      <c r="AM84" s="264"/>
      <c r="AN84" s="263"/>
      <c r="AO84" s="263"/>
      <c r="AP84" s="265"/>
      <c r="AQ84" s="266"/>
      <c r="AR84" s="267"/>
      <c r="AS84" s="263">
        <v>77</v>
      </c>
      <c r="AT84" s="263"/>
      <c r="AU84" s="263"/>
      <c r="AV84" s="264"/>
      <c r="AW84" s="263"/>
      <c r="AX84" s="263"/>
      <c r="AY84" s="263">
        <v>443</v>
      </c>
      <c r="AZ84" s="263"/>
      <c r="BA84" s="263"/>
      <c r="BB84" s="263">
        <v>128</v>
      </c>
      <c r="BC84" s="263"/>
      <c r="BD84" s="264"/>
      <c r="BE84" s="263"/>
      <c r="BF84" s="263"/>
      <c r="BG84" s="263"/>
      <c r="BH84" s="263"/>
      <c r="BI84" s="263"/>
      <c r="BJ84" s="404">
        <f>altaz(J2000_Bas,$O84,$M84,DecLat,DecLong,2)</f>
        <v>35.200681392300986</v>
      </c>
      <c r="BK84" s="378" t="s">
        <v>3988</v>
      </c>
      <c r="BL84" s="379">
        <f>IF((2*G84)/60&lt;0.2,0.2,(2*G84)/60)</f>
        <v>0.2</v>
      </c>
      <c r="BM84" s="380">
        <f>MOD((50000+AD84-$B$3+(0/24)),1)</f>
        <v>0.1056163376342738</v>
      </c>
      <c r="BN84" s="381"/>
      <c r="BO84" s="382">
        <v>84</v>
      </c>
    </row>
    <row r="85" spans="1:67" s="24" customFormat="1" ht="15" customHeight="1" x14ac:dyDescent="0.25">
      <c r="A85" s="414" t="s">
        <v>160</v>
      </c>
      <c r="B85" s="241" t="str">
        <f>HYPERLINK(CONCATENATE($AT$3,BK85,$AU$3),$AV$3)</f>
        <v>S</v>
      </c>
      <c r="C85" s="242" t="str">
        <f>HYPERLINK(CONCATENATE($AT$4,BK85,$AU$4,BL85),$AV$4)</f>
        <v>A</v>
      </c>
      <c r="D85" s="243" t="s">
        <v>5187</v>
      </c>
      <c r="E85" s="244" t="s">
        <v>5181</v>
      </c>
      <c r="F85" s="269" t="s">
        <v>5216</v>
      </c>
      <c r="G85" s="273">
        <v>2</v>
      </c>
      <c r="H85" s="271">
        <v>2300</v>
      </c>
      <c r="I85" s="245">
        <v>1.3</v>
      </c>
      <c r="J85" s="246">
        <v>3</v>
      </c>
      <c r="K85" s="247" t="s">
        <v>3407</v>
      </c>
      <c r="L85" s="248">
        <v>213529</v>
      </c>
      <c r="M85" s="249">
        <f>15*(LEFT(TEXT($L85,"000000"),2)+(MID(TEXT($L85,"000000"),3,2)/60)+(RIGHT(TEXT($L85,"000000"),2)/3600))</f>
        <v>323.87083333333328</v>
      </c>
      <c r="N85" s="250">
        <v>314145</v>
      </c>
      <c r="O85" s="251">
        <f>IF($N85&gt;0,(LEFT(TEXT($N85,"000000"),2)+(MID(TEXT($N85,"000000"),3,2)/60)+(RIGHT(TEXT($N85,"000000"),2)/3600)),-(MID(TEXT($N85,"000000"),2,2)+(MID(TEXT($N85,"000000"),4,2)/60)+(RIGHT(TEXT($N85,"000000"),2)/3600)))</f>
        <v>31.695833333333333</v>
      </c>
      <c r="P85" s="252" t="s">
        <v>60</v>
      </c>
      <c r="Q85" s="253"/>
      <c r="R85" s="247" t="s">
        <v>3293</v>
      </c>
      <c r="S85" s="272" t="s">
        <v>3293</v>
      </c>
      <c r="T85" s="273">
        <v>13</v>
      </c>
      <c r="U85" s="274"/>
      <c r="V85" s="256"/>
      <c r="W85" s="244"/>
      <c r="X85" s="244"/>
      <c r="Y85" s="362"/>
      <c r="Z85" s="257">
        <f>altaz(J2000_Bas,$O85,$M85,DecLat,DecLong,1)</f>
        <v>57.816816306543487</v>
      </c>
      <c r="AA85" s="257">
        <f>altaz((J2000_Bas+(2*0.04167)),$O85,$M85,DecLat,DecLong,1)</f>
        <v>83.31770892207318</v>
      </c>
      <c r="AB85" s="257">
        <f>altaz((J2000_Bas+(4*0.04167)),$O85,$M85,DecLat,DecLong,1)</f>
        <v>70.974912901750869</v>
      </c>
      <c r="AC85" s="257">
        <f>altaz((J2000_Bas+(6*0.04167)),$O85,$M85,DecLat,DecLong,1)</f>
        <v>45.704223628177111</v>
      </c>
      <c r="AD85" s="258">
        <f>1+ transit((J2000_Bas-1),$O85,$M85,DecLat,DecLong)/360 + (GMTOffset/24) + (IF(DST="Y", 1, 0)/24)</f>
        <v>1.8925410743692914</v>
      </c>
      <c r="AE85" s="259">
        <f>DATE(2001,9,21)+(M85/360)*365 - (360*((DecLong/360)- (GMTOffset/24) ))</f>
        <v>37488.369039351848</v>
      </c>
      <c r="AF85" s="260">
        <f>IF(DecLat&gt;0,IF((90 - (DecLat-O85))&gt;90, (90 - (O85-DecLat)), (90 - (DecLat-O85))),IF((90 + (DecLat-O85))&gt;90, (90 + (O85-DecLat)), (90 + (DecLat-O85))))</f>
        <v>89.304166666666674</v>
      </c>
      <c r="AG85" s="257">
        <f>angularseperation(MoonRA,MoonDec,$M85,$O85)</f>
        <v>92.201615203704435</v>
      </c>
      <c r="AH85" s="261">
        <f ca="1">MIN(100,IF($O$5&gt;80,0+30*($AG85/100),IF($O$5&gt;70,0+50*($AG85/100),IF($O$5&gt;60,5+50*($AG85/100),IF($O$5&gt;50,10+60*($AG85/100),IF($O$5&gt;40,15+70*($AG85/100),IF($O$5&gt;30,20+70*($AG85/100),IF($O$5&gt;20,40+55*($AG85/100),(80+(20-$O$5)+30*($AG85/100))))))))))</f>
        <v>100</v>
      </c>
      <c r="AI85" s="262"/>
      <c r="AJ85" s="262"/>
      <c r="AK85" s="262"/>
      <c r="AL85" s="263"/>
      <c r="AM85" s="264"/>
      <c r="AN85" s="263"/>
      <c r="AO85" s="263"/>
      <c r="AP85" s="265"/>
      <c r="AQ85" s="266"/>
      <c r="AR85" s="267"/>
      <c r="AS85" s="263">
        <v>78</v>
      </c>
      <c r="AT85" s="263"/>
      <c r="AU85" s="263"/>
      <c r="AV85" s="264"/>
      <c r="AW85" s="263"/>
      <c r="AX85" s="263"/>
      <c r="AY85" s="263"/>
      <c r="AZ85" s="263"/>
      <c r="BA85" s="263"/>
      <c r="BB85" s="263"/>
      <c r="BC85" s="263"/>
      <c r="BD85" s="264"/>
      <c r="BE85" s="263"/>
      <c r="BF85" s="263"/>
      <c r="BG85" s="263"/>
      <c r="BH85" s="263">
        <v>39</v>
      </c>
      <c r="BI85" s="263"/>
      <c r="BJ85" s="404">
        <f>altaz(J2000_Bas,$O85,$M85,DecLat,DecLong,2)</f>
        <v>78.693844890227822</v>
      </c>
      <c r="BK85" s="378" t="s">
        <v>3989</v>
      </c>
      <c r="BL85" s="379">
        <f>IF((2*G85)/60&lt;0.2,0.2,(2*G85)/60)</f>
        <v>0.2</v>
      </c>
      <c r="BM85" s="380">
        <f>MOD((50000+AD85-$B$3+(0/24)),1)</f>
        <v>0.10790800407266943</v>
      </c>
      <c r="BN85" s="381"/>
      <c r="BO85" s="382">
        <v>85</v>
      </c>
    </row>
    <row r="86" spans="1:67" s="24" customFormat="1" ht="15" customHeight="1" x14ac:dyDescent="0.25">
      <c r="A86" s="414" t="s">
        <v>161</v>
      </c>
      <c r="B86" s="241" t="str">
        <f>HYPERLINK(CONCATENATE($AT$3,BK86,$AU$3),$AV$3)</f>
        <v>S</v>
      </c>
      <c r="C86" s="242" t="str">
        <f>HYPERLINK(CONCATENATE($AT$4,BK86,$AU$4,BL86),$AV$4)</f>
        <v>A</v>
      </c>
      <c r="D86" s="243" t="s">
        <v>5187</v>
      </c>
      <c r="E86" s="244" t="s">
        <v>5181</v>
      </c>
      <c r="F86" s="269" t="s">
        <v>5228</v>
      </c>
      <c r="G86" s="273">
        <v>2</v>
      </c>
      <c r="H86" s="271">
        <v>4000</v>
      </c>
      <c r="I86" s="245">
        <v>2.2999999999999998</v>
      </c>
      <c r="J86" s="246">
        <v>3</v>
      </c>
      <c r="K86" s="247" t="s">
        <v>3406</v>
      </c>
      <c r="L86" s="248">
        <v>222617</v>
      </c>
      <c r="M86" s="249">
        <f>15*(LEFT(TEXT($L86,"000000"),2)+(MID(TEXT($L86,"000000"),3,2)/60)+(RIGHT(TEXT($L86,"000000"),2)/3600))</f>
        <v>336.57083333333338</v>
      </c>
      <c r="N86" s="250">
        <v>544941</v>
      </c>
      <c r="O86" s="251">
        <f>IF($N86&gt;0,(LEFT(TEXT($N86,"000000"),2)+(MID(TEXT($N86,"000000"),3,2)/60)+(RIGHT(TEXT($N86,"000000"),2)/3600)),-(MID(TEXT($N86,"000000"),2,2)+(MID(TEXT($N86,"000000"),4,2)/60)+(RIGHT(TEXT($N86,"000000"),2)/3600)))</f>
        <v>54.828055555555558</v>
      </c>
      <c r="P86" s="252" t="s">
        <v>58</v>
      </c>
      <c r="Q86" s="253"/>
      <c r="R86" s="247" t="s">
        <v>3293</v>
      </c>
      <c r="S86" s="272" t="s">
        <v>3293</v>
      </c>
      <c r="T86" s="273">
        <v>15</v>
      </c>
      <c r="U86" s="274"/>
      <c r="V86" s="256"/>
      <c r="W86" s="244"/>
      <c r="X86" s="244"/>
      <c r="Y86" s="362"/>
      <c r="Z86" s="257">
        <f>altaz(J2000_Bas,$O86,$M86,DecLat,DecLong,1)</f>
        <v>47.275087977489967</v>
      </c>
      <c r="AA86" s="257">
        <f>altaz((J2000_Bas+(2*0.04167)),$O86,$M86,DecLat,DecLong,1)</f>
        <v>62.072723431905878</v>
      </c>
      <c r="AB86" s="257">
        <f>altaz((J2000_Bas+(4*0.04167)),$O86,$M86,DecLat,DecLong,1)</f>
        <v>65.209382159379217</v>
      </c>
      <c r="AC86" s="257">
        <f>altaz((J2000_Bas+(6*0.04167)),$O86,$M86,DecLat,DecLong,1)</f>
        <v>53.223964181560717</v>
      </c>
      <c r="AD86" s="258">
        <f>1+ transit((J2000_Bas-1),$O86,$M86,DecLat,DecLong)/360 + (GMTOffset/24) + (IF(DST="Y", 1, 0)/24)</f>
        <v>1.9278188486192913</v>
      </c>
      <c r="AE86" s="259">
        <f>DATE(2001,9,21)+(M86/360)*365 - (360*((DecLong/360)- (GMTOffset/24) ))</f>
        <v>37501.245428240742</v>
      </c>
      <c r="AF86" s="260">
        <f>IF(DecLat&gt;0,IF((90 - (DecLat-O86))&gt;90, (90 - (O86-DecLat)), (90 - (DecLat-O86))),IF((90 + (DecLat-O86))&gt;90, (90 + (O86-DecLat)), (90 + (DecLat-O86))))</f>
        <v>66.171944444444449</v>
      </c>
      <c r="AG86" s="257">
        <f>angularseperation(MoonRA,MoonDec,$M86,$O86)</f>
        <v>110.38166439191947</v>
      </c>
      <c r="AH86" s="261">
        <f ca="1">MIN(100,IF($O$5&gt;80,0+30*($AG86/100),IF($O$5&gt;70,0+50*($AG86/100),IF($O$5&gt;60,5+50*($AG86/100),IF($O$5&gt;50,10+60*($AG86/100),IF($O$5&gt;40,15+70*($AG86/100),IF($O$5&gt;30,20+70*($AG86/100),IF($O$5&gt;20,40+55*($AG86/100),(80+(20-$O$5)+30*($AG86/100))))))))))</f>
        <v>100</v>
      </c>
      <c r="AI86" s="262"/>
      <c r="AJ86" s="262"/>
      <c r="AK86" s="262"/>
      <c r="AL86" s="263"/>
      <c r="AM86" s="264"/>
      <c r="AN86" s="263"/>
      <c r="AO86" s="263"/>
      <c r="AP86" s="265"/>
      <c r="AQ86" s="266"/>
      <c r="AR86" s="267"/>
      <c r="AS86" s="263">
        <v>79</v>
      </c>
      <c r="AT86" s="263"/>
      <c r="AU86" s="263"/>
      <c r="AV86" s="264"/>
      <c r="AW86" s="263"/>
      <c r="AX86" s="263"/>
      <c r="AY86" s="263"/>
      <c r="AZ86" s="263"/>
      <c r="BA86" s="263"/>
      <c r="BB86" s="263"/>
      <c r="BC86" s="263"/>
      <c r="BD86" s="264"/>
      <c r="BE86" s="263"/>
      <c r="BF86" s="263"/>
      <c r="BG86" s="263"/>
      <c r="BH86" s="263">
        <v>38</v>
      </c>
      <c r="BI86" s="263"/>
      <c r="BJ86" s="404">
        <f>altaz(J2000_Bas,$O86,$M86,DecLat,DecLong,2)</f>
        <v>40.976957988982193</v>
      </c>
      <c r="BK86" s="378" t="s">
        <v>3990</v>
      </c>
      <c r="BL86" s="379">
        <f>IF((2*G86)/60&lt;0.2,0.2,(2*G86)/60)</f>
        <v>0.2</v>
      </c>
      <c r="BM86" s="380">
        <f>MOD((50000+AD86-$B$3+(0/24)),1)</f>
        <v>0.14318577832455048</v>
      </c>
      <c r="BN86" s="381"/>
      <c r="BO86" s="382">
        <v>86</v>
      </c>
    </row>
    <row r="87" spans="1:67" s="24" customFormat="1" ht="15" customHeight="1" x14ac:dyDescent="0.25">
      <c r="A87" s="414" t="s">
        <v>162</v>
      </c>
      <c r="B87" s="241" t="str">
        <f>HYPERLINK(CONCATENATE($AT$3,BK87,$AU$3),$AV$3)</f>
        <v>S</v>
      </c>
      <c r="C87" s="242" t="str">
        <f>HYPERLINK(CONCATENATE($AT$4,BK87,$AU$4,BL87),$AV$4)</f>
        <v>A</v>
      </c>
      <c r="D87" s="243" t="s">
        <v>5187</v>
      </c>
      <c r="E87" s="244" t="s">
        <v>5181</v>
      </c>
      <c r="F87" s="269" t="s">
        <v>9102</v>
      </c>
      <c r="G87" s="273">
        <v>2.2000000000000002</v>
      </c>
      <c r="H87" s="271">
        <v>6000</v>
      </c>
      <c r="I87" s="245">
        <v>3.8</v>
      </c>
      <c r="J87" s="246">
        <v>2</v>
      </c>
      <c r="K87" s="247" t="s">
        <v>3405</v>
      </c>
      <c r="L87" s="248">
        <v>223446</v>
      </c>
      <c r="M87" s="249">
        <f>15*(LEFT(TEXT($L87,"000000"),2)+(MID(TEXT($L87,"000000"),3,2)/60)+(RIGHT(TEXT($L87,"000000"),2)/3600))</f>
        <v>338.69166666666666</v>
      </c>
      <c r="N87" s="250">
        <v>522604</v>
      </c>
      <c r="O87" s="251">
        <f>IF($N87&gt;0,(LEFT(TEXT($N87,"000000"),2)+(MID(TEXT($N87,"000000"),3,2)/60)+(RIGHT(TEXT($N87,"000000"),2)/3600)),-(MID(TEXT($N87,"000000"),2,2)+(MID(TEXT($N87,"000000"),4,2)/60)+(RIGHT(TEXT($N87,"000000"),2)/3600)))</f>
        <v>52.434444444444438</v>
      </c>
      <c r="P87" s="252" t="s">
        <v>58</v>
      </c>
      <c r="Q87" s="253"/>
      <c r="R87" s="247" t="s">
        <v>3293</v>
      </c>
      <c r="S87" s="272" t="s">
        <v>3293</v>
      </c>
      <c r="T87" s="273">
        <v>16</v>
      </c>
      <c r="U87" s="274"/>
      <c r="V87" s="256"/>
      <c r="W87" s="244"/>
      <c r="X87" s="244"/>
      <c r="Y87" s="362"/>
      <c r="Z87" s="257">
        <f>altaz(J2000_Bas,$O87,$M87,DecLat,DecLong,1)</f>
        <v>46.469682187035723</v>
      </c>
      <c r="AA87" s="257">
        <f>altaz((J2000_Bas+(2*0.04167)),$O87,$M87,DecLat,DecLong,1)</f>
        <v>62.960219912085812</v>
      </c>
      <c r="AB87" s="257">
        <f>altaz((J2000_Bas+(4*0.04167)),$O87,$M87,DecLat,DecLong,1)</f>
        <v>67.878775984489934</v>
      </c>
      <c r="AC87" s="257">
        <f>altaz((J2000_Bas+(6*0.04167)),$O87,$M87,DecLat,DecLong,1)</f>
        <v>55.334461985157915</v>
      </c>
      <c r="AD87" s="258">
        <f>1+ transit((J2000_Bas-1),$O87,$M87,DecLat,DecLong)/360 + (GMTOffset/24) + (IF(DST="Y", 1, 0)/24)</f>
        <v>1.9337100517338748</v>
      </c>
      <c r="AE87" s="259">
        <f>DATE(2001,9,21)+(M87/360)*365 - (360*((DecLong/360)- (GMTOffset/24) ))</f>
        <v>37503.39571759259</v>
      </c>
      <c r="AF87" s="260">
        <f>IF(DecLat&gt;0,IF((90 - (DecLat-O87))&gt;90, (90 - (O87-DecLat)), (90 - (DecLat-O87))),IF((90 + (DecLat-O87))&gt;90, (90 + (O87-DecLat)), (90 + (DecLat-O87))))</f>
        <v>68.565555555555562</v>
      </c>
      <c r="AG87" s="257">
        <f>angularseperation(MoonRA,MoonDec,$M87,$O87)</f>
        <v>110.83523340711417</v>
      </c>
      <c r="AH87" s="261">
        <f ca="1">MIN(100,IF($O$5&gt;80,0+30*($AG87/100),IF($O$5&gt;70,0+50*($AG87/100),IF($O$5&gt;60,5+50*($AG87/100),IF($O$5&gt;50,10+60*($AG87/100),IF($O$5&gt;40,15+70*($AG87/100),IF($O$5&gt;30,20+70*($AG87/100),IF($O$5&gt;20,40+55*($AG87/100),(80+(20-$O$5)+30*($AG87/100))))))))))</f>
        <v>100</v>
      </c>
      <c r="AI87" s="262"/>
      <c r="AJ87" s="262"/>
      <c r="AK87" s="262"/>
      <c r="AL87" s="263"/>
      <c r="AM87" s="264"/>
      <c r="AN87" s="263"/>
      <c r="AO87" s="263"/>
      <c r="AP87" s="265"/>
      <c r="AQ87" s="266"/>
      <c r="AR87" s="267"/>
      <c r="AS87" s="263">
        <v>80</v>
      </c>
      <c r="AT87" s="263"/>
      <c r="AU87" s="263"/>
      <c r="AV87" s="264"/>
      <c r="AW87" s="263"/>
      <c r="AX87" s="263"/>
      <c r="AY87" s="263"/>
      <c r="AZ87" s="263"/>
      <c r="BA87" s="263"/>
      <c r="BB87" s="263"/>
      <c r="BC87" s="263"/>
      <c r="BD87" s="264"/>
      <c r="BE87" s="263"/>
      <c r="BF87" s="263"/>
      <c r="BG87" s="263"/>
      <c r="BH87" s="263"/>
      <c r="BI87" s="263"/>
      <c r="BJ87" s="404">
        <f>altaz(J2000_Bas,$O87,$M87,DecLat,DecLong,2)</f>
        <v>44.752662951097804</v>
      </c>
      <c r="BK87" s="378" t="s">
        <v>3991</v>
      </c>
      <c r="BL87" s="379">
        <f>IF((2*G87)/60&lt;0.2,0.2,(2*G87)/60)</f>
        <v>0.2</v>
      </c>
      <c r="BM87" s="380">
        <f>MOD((50000+AD87-$B$3+(0/24)),1)</f>
        <v>0.14907698144088499</v>
      </c>
      <c r="BN87" s="381"/>
      <c r="BO87" s="382">
        <v>87</v>
      </c>
    </row>
    <row r="88" spans="1:67" s="24" customFormat="1" ht="15" customHeight="1" x14ac:dyDescent="0.25">
      <c r="A88" s="414" t="s">
        <v>163</v>
      </c>
      <c r="B88" s="241" t="str">
        <f>HYPERLINK(CONCATENATE($AT$3,BK88,$AU$3),$AV$3)</f>
        <v>S</v>
      </c>
      <c r="C88" s="242" t="str">
        <f>HYPERLINK(CONCATENATE($AT$4,BK88,$AU$4,BL88),$AV$4)</f>
        <v>A</v>
      </c>
      <c r="D88" s="243" t="s">
        <v>5187</v>
      </c>
      <c r="E88" s="244" t="s">
        <v>5181</v>
      </c>
      <c r="F88" s="269" t="s">
        <v>5209</v>
      </c>
      <c r="G88" s="270">
        <v>0.7</v>
      </c>
      <c r="H88" s="271">
        <v>14000</v>
      </c>
      <c r="I88" s="245">
        <v>2.8</v>
      </c>
      <c r="J88" s="246">
        <v>2</v>
      </c>
      <c r="K88" s="247" t="s">
        <v>3396</v>
      </c>
      <c r="L88" s="248">
        <v>224225</v>
      </c>
      <c r="M88" s="249">
        <f>15*(LEFT(TEXT($L88,"000000"),2)+(MID(TEXT($L88,"000000"),3,2)/60)+(RIGHT(TEXT($L88,"000000"),2)/3600))</f>
        <v>340.60416666666663</v>
      </c>
      <c r="N88" s="250">
        <v>802633</v>
      </c>
      <c r="O88" s="251">
        <f>IF($N88&gt;0,(LEFT(TEXT($N88,"000000"),2)+(MID(TEXT($N88,"000000"),3,2)/60)+(RIGHT(TEXT($N88,"000000"),2)/3600)),-(MID(TEXT($N88,"000000"),2,2)+(MID(TEXT($N88,"000000"),4,2)/60)+(RIGHT(TEXT($N88,"000000"),2)/3600)))</f>
        <v>80.44250000000001</v>
      </c>
      <c r="P88" s="252" t="s">
        <v>52</v>
      </c>
      <c r="Q88" s="253"/>
      <c r="R88" s="247" t="s">
        <v>3358</v>
      </c>
      <c r="S88" s="272" t="s">
        <v>3293</v>
      </c>
      <c r="T88" s="273">
        <v>14</v>
      </c>
      <c r="U88" s="274"/>
      <c r="V88" s="256"/>
      <c r="W88" s="244"/>
      <c r="X88" s="244"/>
      <c r="Y88" s="362"/>
      <c r="Z88" s="257">
        <f>altaz(J2000_Bas,$O88,$M88,DecLat,DecLong,1)</f>
        <v>36.180448946976348</v>
      </c>
      <c r="AA88" s="257">
        <f>altaz((J2000_Bas+(2*0.04167)),$O88,$M88,DecLat,DecLong,1)</f>
        <v>39.596643738733761</v>
      </c>
      <c r="AB88" s="257">
        <f>altaz((J2000_Bas+(4*0.04167)),$O88,$M88,DecLat,DecLong,1)</f>
        <v>40.506886321480977</v>
      </c>
      <c r="AC88" s="257">
        <f>altaz((J2000_Bas+(6*0.04167)),$O88,$M88,DecLat,DecLong,1)</f>
        <v>38.574787575756595</v>
      </c>
      <c r="AD88" s="258">
        <f>1+ transit((J2000_Bas-1),$O88,$M88,DecLat,DecLong)/360 + (GMTOffset/24) + (IF(DST="Y", 1, 0)/24)</f>
        <v>1.9390225512026247</v>
      </c>
      <c r="AE88" s="259">
        <f>DATE(2001,9,21)+(M88/360)*365 - (360*((DecLong/360)- (GMTOffset/24) ))</f>
        <v>37505.334780092591</v>
      </c>
      <c r="AF88" s="260">
        <f>IF(DecLat&gt;0,IF((90 - (DecLat-O88))&gt;90, (90 - (O88-DecLat)), (90 - (DecLat-O88))),IF((90 + (DecLat-O88))&gt;90, (90 + (O88-DecLat)), (90 + (DecLat-O88))))</f>
        <v>40.55749999999999</v>
      </c>
      <c r="AG88" s="257">
        <f>angularseperation(MoonRA,MoonDec,$M88,$O88)</f>
        <v>116.90370691830732</v>
      </c>
      <c r="AH88" s="261">
        <f ca="1">MIN(100,IF($O$5&gt;80,0+30*($AG88/100),IF($O$5&gt;70,0+50*($AG88/100),IF($O$5&gt;60,5+50*($AG88/100),IF($O$5&gt;50,10+60*($AG88/100),IF($O$5&gt;40,15+70*($AG88/100),IF($O$5&gt;30,20+70*($AG88/100),IF($O$5&gt;20,40+55*($AG88/100),(80+(20-$O$5)+30*($AG88/100))))))))))</f>
        <v>100</v>
      </c>
      <c r="AI88" s="262"/>
      <c r="AJ88" s="262">
        <v>1454</v>
      </c>
      <c r="AK88" s="262"/>
      <c r="AL88" s="263"/>
      <c r="AM88" s="264"/>
      <c r="AN88" s="263"/>
      <c r="AO88" s="263"/>
      <c r="AP88" s="265"/>
      <c r="AQ88" s="266"/>
      <c r="AR88" s="359">
        <v>2783080</v>
      </c>
      <c r="AS88" s="263">
        <v>81</v>
      </c>
      <c r="AT88" s="263"/>
      <c r="AU88" s="263"/>
      <c r="AV88" s="264"/>
      <c r="AW88" s="263"/>
      <c r="AX88" s="263"/>
      <c r="AY88" s="263"/>
      <c r="AZ88" s="263"/>
      <c r="BA88" s="263"/>
      <c r="BB88" s="263"/>
      <c r="BC88" s="263"/>
      <c r="BD88" s="264"/>
      <c r="BE88" s="263"/>
      <c r="BF88" s="263"/>
      <c r="BG88" s="263"/>
      <c r="BH88" s="263"/>
      <c r="BI88" s="263"/>
      <c r="BJ88" s="404">
        <f>altaz(J2000_Bas,$O88,$M88,DecLat,DecLong,2)</f>
        <v>9.6529085625896194</v>
      </c>
      <c r="BK88" s="378" t="s">
        <v>3992</v>
      </c>
      <c r="BL88" s="379">
        <f>IF((2*G88)/60&lt;0.2,0.2,(2*G88)/60)</f>
        <v>0.2</v>
      </c>
      <c r="BM88" s="380">
        <f>MOD((50000+AD88-$B$3+(0/24)),1)</f>
        <v>0.15438948090741178</v>
      </c>
      <c r="BN88" s="381" t="s">
        <v>8665</v>
      </c>
      <c r="BO88" s="382">
        <v>88</v>
      </c>
    </row>
    <row r="89" spans="1:67" s="24" customFormat="1" ht="15" customHeight="1" x14ac:dyDescent="0.25">
      <c r="A89" s="414" t="s">
        <v>164</v>
      </c>
      <c r="B89" s="241" t="str">
        <f>HYPERLINK(CONCATENATE($AT$3,BK89,$AU$3),$AV$3)</f>
        <v>S</v>
      </c>
      <c r="C89" s="242" t="str">
        <f>HYPERLINK(CONCATENATE($AT$4,BK89,$AU$4,BL89),$AV$4)</f>
        <v>A</v>
      </c>
      <c r="D89" s="243" t="s">
        <v>5187</v>
      </c>
      <c r="E89" s="244" t="s">
        <v>5181</v>
      </c>
      <c r="F89" s="269" t="s">
        <v>9106</v>
      </c>
      <c r="G89" s="273">
        <v>1.7</v>
      </c>
      <c r="H89" s="271">
        <v>6500</v>
      </c>
      <c r="I89" s="245">
        <v>3.2</v>
      </c>
      <c r="J89" s="246">
        <v>2</v>
      </c>
      <c r="K89" s="247" t="s">
        <v>3404</v>
      </c>
      <c r="L89" s="248">
        <v>234547</v>
      </c>
      <c r="M89" s="249">
        <f>15*(LEFT(TEXT($L89,"000000"),2)+(MID(TEXT($L89,"000000"),3,2)/60)+(RIGHT(TEXT($L89,"000000"),2)/3600))</f>
        <v>356.44583333333333</v>
      </c>
      <c r="N89" s="250">
        <v>570401</v>
      </c>
      <c r="O89" s="251">
        <f>IF($N89&gt;0,(LEFT(TEXT($N89,"000000"),2)+(MID(TEXT($N89,"000000"),3,2)/60)+(RIGHT(TEXT($N89,"000000"),2)/3600)),-(MID(TEXT($N89,"000000"),2,2)+(MID(TEXT($N89,"000000"),4,2)/60)+(RIGHT(TEXT($N89,"000000"),2)/3600)))</f>
        <v>57.066944444444445</v>
      </c>
      <c r="P89" s="252" t="s">
        <v>49</v>
      </c>
      <c r="Q89" s="253"/>
      <c r="R89" s="247" t="s">
        <v>3293</v>
      </c>
      <c r="S89" s="272" t="s">
        <v>3293</v>
      </c>
      <c r="T89" s="273">
        <v>13</v>
      </c>
      <c r="U89" s="274"/>
      <c r="V89" s="256"/>
      <c r="W89" s="244"/>
      <c r="X89" s="244"/>
      <c r="Y89" s="362"/>
      <c r="Z89" s="257">
        <f>altaz(J2000_Bas,$O89,$M89,DecLat,DecLong,1)</f>
        <v>36.034072232750546</v>
      </c>
      <c r="AA89" s="257">
        <f>altaz((J2000_Bas+(2*0.04167)),$O89,$M89,DecLat,DecLong,1)</f>
        <v>51.940813138420602</v>
      </c>
      <c r="AB89" s="257">
        <f>altaz((J2000_Bas+(4*0.04167)),$O89,$M89,DecLat,DecLong,1)</f>
        <v>62.975101527641485</v>
      </c>
      <c r="AC89" s="257">
        <f>altaz((J2000_Bas+(6*0.04167)),$O89,$M89,DecLat,DecLong,1)</f>
        <v>60.540384830358562</v>
      </c>
      <c r="AD89" s="258">
        <f>1+ transit((J2000_Bas-1),$O89,$M89,DecLat,DecLong)/360 + (GMTOffset/24) + (IF(DST="Y", 1, 0)/24)</f>
        <v>1.9830271764317915</v>
      </c>
      <c r="AE89" s="259">
        <f>DATE(2001,9,21)+(M89/360)*365 - (360*((DecLong/360)- (GMTOffset/24) ))</f>
        <v>37521.396469907406</v>
      </c>
      <c r="AF89" s="260">
        <f>IF(DecLat&gt;0,IF((90 - (DecLat-O89))&gt;90, (90 - (O89-DecLat)), (90 - (DecLat-O89))),IF((90 + (DecLat-O89))&gt;90, (90 + (O89-DecLat)), (90 + (DecLat-O89))))</f>
        <v>63.933055555555555</v>
      </c>
      <c r="AG89" s="257">
        <f>angularseperation(MoonRA,MoonDec,$M89,$O89)</f>
        <v>121.68848646844971</v>
      </c>
      <c r="AH89" s="261">
        <f ca="1">MIN(100,IF($O$5&gt;80,0+30*($AG89/100),IF($O$5&gt;70,0+50*($AG89/100),IF($O$5&gt;60,5+50*($AG89/100),IF($O$5&gt;50,10+60*($AG89/100),IF($O$5&gt;40,15+70*($AG89/100),IF($O$5&gt;30,20+70*($AG89/100),IF($O$5&gt;20,40+55*($AG89/100),(80+(20-$O$5)+30*($AG89/100))))))))))</f>
        <v>100</v>
      </c>
      <c r="AI89" s="262"/>
      <c r="AJ89" s="262"/>
      <c r="AK89" s="262"/>
      <c r="AL89" s="263"/>
      <c r="AM89" s="264"/>
      <c r="AN89" s="263"/>
      <c r="AO89" s="263"/>
      <c r="AP89" s="265"/>
      <c r="AQ89" s="266"/>
      <c r="AR89" s="267"/>
      <c r="AS89" s="263">
        <v>82</v>
      </c>
      <c r="AT89" s="263"/>
      <c r="AU89" s="263"/>
      <c r="AV89" s="264"/>
      <c r="AW89" s="263"/>
      <c r="AX89" s="263"/>
      <c r="AY89" s="263"/>
      <c r="AZ89" s="263"/>
      <c r="BA89" s="263"/>
      <c r="BB89" s="263"/>
      <c r="BC89" s="263"/>
      <c r="BD89" s="264"/>
      <c r="BE89" s="263"/>
      <c r="BF89" s="263"/>
      <c r="BG89" s="263"/>
      <c r="BH89" s="263"/>
      <c r="BI89" s="263"/>
      <c r="BJ89" s="404">
        <f>altaz(J2000_Bas,$O89,$M89,DecLat,DecLong,2)</f>
        <v>39.309225958659859</v>
      </c>
      <c r="BK89" s="378" t="s">
        <v>3993</v>
      </c>
      <c r="BL89" s="379">
        <f>IF((2*G89)/60&lt;0.2,0.2,(2*G89)/60)</f>
        <v>0.2</v>
      </c>
      <c r="BM89" s="380">
        <f>MOD((50000+AD89-$B$3+(0/24)),1)</f>
        <v>0.19839410613349173</v>
      </c>
      <c r="BN89" s="381"/>
      <c r="BO89" s="382">
        <v>89</v>
      </c>
    </row>
    <row r="90" spans="1:67" s="24" customFormat="1" ht="15" customHeight="1" x14ac:dyDescent="0.25">
      <c r="A90" s="414" t="s">
        <v>165</v>
      </c>
      <c r="B90" s="241" t="str">
        <f>HYPERLINK(CONCATENATE($AT$3,BK90,$AU$3),$AV$3)</f>
        <v>S</v>
      </c>
      <c r="C90" s="242" t="str">
        <f>HYPERLINK(CONCATENATE($AT$4,BK90,$AU$4,BL90),$AV$4)</f>
        <v>A</v>
      </c>
      <c r="D90" s="243" t="s">
        <v>5187</v>
      </c>
      <c r="E90" s="244" t="s">
        <v>5181</v>
      </c>
      <c r="F90" s="269" t="s">
        <v>7497</v>
      </c>
      <c r="G90" s="270">
        <v>0.7</v>
      </c>
      <c r="H90" s="271" t="s">
        <v>6500</v>
      </c>
      <c r="I90" s="244" t="s">
        <v>6500</v>
      </c>
      <c r="J90" s="246">
        <v>1</v>
      </c>
      <c r="K90" s="247" t="s">
        <v>3397</v>
      </c>
      <c r="L90" s="248">
        <v>234646</v>
      </c>
      <c r="M90" s="249">
        <f>15*(LEFT(TEXT($L90,"000000"),2)+(MID(TEXT($L90,"000000"),3,2)/60)+(RIGHT(TEXT($L90,"000000"),2)/3600))</f>
        <v>356.69166666666666</v>
      </c>
      <c r="N90" s="250">
        <v>544440</v>
      </c>
      <c r="O90" s="251">
        <f>IF($N90&gt;0,(LEFT(TEXT($N90,"000000"),2)+(MID(TEXT($N90,"000000"),3,2)/60)+(RIGHT(TEXT($N90,"000000"),2)/3600)),-(MID(TEXT($N90,"000000"),2,2)+(MID(TEXT($N90,"000000"),4,2)/60)+(RIGHT(TEXT($N90,"000000"),2)/3600)))</f>
        <v>54.744444444444447</v>
      </c>
      <c r="P90" s="252" t="s">
        <v>49</v>
      </c>
      <c r="Q90" s="253"/>
      <c r="R90" s="247" t="s">
        <v>3293</v>
      </c>
      <c r="S90" s="272" t="s">
        <v>3293</v>
      </c>
      <c r="T90" s="273">
        <v>15</v>
      </c>
      <c r="U90" s="274"/>
      <c r="V90" s="256"/>
      <c r="W90" s="244"/>
      <c r="X90" s="244"/>
      <c r="Y90" s="362"/>
      <c r="Z90" s="257">
        <f>altaz(J2000_Bas,$O90,$M90,DecLat,DecLong,1)</f>
        <v>35.746013601576941</v>
      </c>
      <c r="AA90" s="257">
        <f>altaz((J2000_Bas+(2*0.04167)),$O90,$M90,DecLat,DecLong,1)</f>
        <v>52.770453763338196</v>
      </c>
      <c r="AB90" s="257">
        <f>altaz((J2000_Bas+(4*0.04167)),$O90,$M90,DecLat,DecLong,1)</f>
        <v>65.098636911894985</v>
      </c>
      <c r="AC90" s="257">
        <f>altaz((J2000_Bas+(6*0.04167)),$O90,$M90,DecLat,DecLong,1)</f>
        <v>62.471906241483438</v>
      </c>
      <c r="AD90" s="258">
        <f>1+ transit((J2000_Bas-1),$O90,$M90,DecLat,DecLong)/360 + (GMTOffset/24) + (IF(DST="Y", 1, 0)/24)</f>
        <v>1.9837100467338746</v>
      </c>
      <c r="AE90" s="259">
        <f>DATE(2001,9,21)+(M90/360)*365 - (360*((DecLong/360)- (GMTOffset/24) ))</f>
        <v>37521.64571759259</v>
      </c>
      <c r="AF90" s="260">
        <f>IF(DecLat&gt;0,IF((90 - (DecLat-O90))&gt;90, (90 - (O90-DecLat)), (90 - (DecLat-O90))),IF((90 + (DecLat-O90))&gt;90, (90 + (O90-DecLat)), (90 + (DecLat-O90))))</f>
        <v>66.25555555555556</v>
      </c>
      <c r="AG90" s="257">
        <f>angularseperation(MoonRA,MoonDec,$M90,$O90)</f>
        <v>121.72885521416134</v>
      </c>
      <c r="AH90" s="261">
        <f ca="1">MIN(100,IF($O$5&gt;80,0+30*($AG90/100),IF($O$5&gt;70,0+50*($AG90/100),IF($O$5&gt;60,5+50*($AG90/100),IF($O$5&gt;50,10+60*($AG90/100),IF($O$5&gt;40,15+70*($AG90/100),IF($O$5&gt;30,20+70*($AG90/100),IF($O$5&gt;20,40+55*($AG90/100),(80+(20-$O$5)+30*($AG90/100))))))))))</f>
        <v>100</v>
      </c>
      <c r="AI90" s="262"/>
      <c r="AJ90" s="262"/>
      <c r="AK90" s="262"/>
      <c r="AL90" s="263"/>
      <c r="AM90" s="264"/>
      <c r="AN90" s="263"/>
      <c r="AO90" s="263"/>
      <c r="AP90" s="265"/>
      <c r="AQ90" s="266"/>
      <c r="AR90" s="267"/>
      <c r="AS90" s="263">
        <v>83</v>
      </c>
      <c r="AT90" s="263"/>
      <c r="AU90" s="263"/>
      <c r="AV90" s="264"/>
      <c r="AW90" s="263"/>
      <c r="AX90" s="263"/>
      <c r="AY90" s="263"/>
      <c r="AZ90" s="263"/>
      <c r="BA90" s="263"/>
      <c r="BB90" s="263"/>
      <c r="BC90" s="263"/>
      <c r="BD90" s="264"/>
      <c r="BE90" s="263"/>
      <c r="BF90" s="263"/>
      <c r="BG90" s="263"/>
      <c r="BH90" s="263"/>
      <c r="BI90" s="263"/>
      <c r="BJ90" s="404">
        <f>altaz(J2000_Bas,$O90,$M90,DecLat,DecLong,2)</f>
        <v>42.159050648448691</v>
      </c>
      <c r="BK90" s="378" t="s">
        <v>3994</v>
      </c>
      <c r="BL90" s="379">
        <f>IF((2*G90)/60&lt;0.2,0.2,(2*G90)/60)</f>
        <v>0.2</v>
      </c>
      <c r="BM90" s="380">
        <f>MOD((50000+AD90-$B$3+(0/24)),1)</f>
        <v>0.19907697643793654</v>
      </c>
      <c r="BN90" s="381" t="s">
        <v>9225</v>
      </c>
      <c r="BO90" s="382">
        <v>90</v>
      </c>
    </row>
    <row r="91" spans="1:67" s="24" customFormat="1" ht="15" customHeight="1" x14ac:dyDescent="0.25">
      <c r="A91" s="414" t="s">
        <v>166</v>
      </c>
      <c r="B91" s="241" t="str">
        <f>HYPERLINK(CONCATENATE($AT$3,BK91,$AU$3),$AV$3)</f>
        <v>S</v>
      </c>
      <c r="C91" s="242" t="str">
        <f>HYPERLINK(CONCATENATE($AT$4,BK91,$AU$4,BL91),$AV$4)</f>
        <v>A</v>
      </c>
      <c r="D91" s="243" t="s">
        <v>5187</v>
      </c>
      <c r="E91" s="244" t="s">
        <v>5181</v>
      </c>
      <c r="F91" s="269" t="s">
        <v>9107</v>
      </c>
      <c r="G91" s="273">
        <v>2.7</v>
      </c>
      <c r="H91" s="271">
        <v>5000</v>
      </c>
      <c r="I91" s="245">
        <v>4</v>
      </c>
      <c r="J91" s="246">
        <v>2</v>
      </c>
      <c r="K91" s="247" t="s">
        <v>3398</v>
      </c>
      <c r="L91" s="248">
        <v>234745</v>
      </c>
      <c r="M91" s="249">
        <f>15*(LEFT(TEXT($L91,"000000"),2)+(MID(TEXT($L91,"000000"),3,2)/60)+(RIGHT(TEXT($L91,"000000"),2)/3600))</f>
        <v>356.9375</v>
      </c>
      <c r="N91" s="250">
        <v>512358</v>
      </c>
      <c r="O91" s="251">
        <f>IF($N91&gt;0,(LEFT(TEXT($N91,"000000"),2)+(MID(TEXT($N91,"000000"),3,2)/60)+(RIGHT(TEXT($N91,"000000"),2)/3600)),-(MID(TEXT($N91,"000000"),2,2)+(MID(TEXT($N91,"000000"),4,2)/60)+(RIGHT(TEXT($N91,"000000"),2)/3600)))</f>
        <v>51.399444444444441</v>
      </c>
      <c r="P91" s="252" t="s">
        <v>49</v>
      </c>
      <c r="Q91" s="253"/>
      <c r="R91" s="247" t="s">
        <v>3293</v>
      </c>
      <c r="S91" s="272" t="s">
        <v>3293</v>
      </c>
      <c r="T91" s="273">
        <v>13</v>
      </c>
      <c r="U91" s="274"/>
      <c r="V91" s="256"/>
      <c r="W91" s="244"/>
      <c r="X91" s="244"/>
      <c r="Y91" s="362"/>
      <c r="Z91" s="257">
        <f>altaz(J2000_Bas,$O91,$M91,DecLat,DecLong,1)</f>
        <v>35.253161867113633</v>
      </c>
      <c r="AA91" s="257">
        <f>altaz((J2000_Bas+(2*0.04167)),$O91,$M91,DecLat,DecLong,1)</f>
        <v>53.806288736216906</v>
      </c>
      <c r="AB91" s="257">
        <f>altaz((J2000_Bas+(4*0.04167)),$O91,$M91,DecLat,DecLong,1)</f>
        <v>68.105609640594238</v>
      </c>
      <c r="AC91" s="257">
        <f>altaz((J2000_Bas+(6*0.04167)),$O91,$M91,DecLat,DecLong,1)</f>
        <v>65.117638847290294</v>
      </c>
      <c r="AD91" s="258">
        <f>1+ transit((J2000_Bas-1),$O91,$M91,DecLat,DecLong)/360 + (GMTOffset/24) + (IF(DST="Y", 1, 0)/24)</f>
        <v>1.9843929170359578</v>
      </c>
      <c r="AE91" s="259">
        <f>DATE(2001,9,21)+(M91/360)*365 - (360*((DecLong/360)- (GMTOffset/24) ))</f>
        <v>37521.894965277781</v>
      </c>
      <c r="AF91" s="260">
        <f>IF(DecLat&gt;0,IF((90 - (DecLat-O91))&gt;90, (90 - (O91-DecLat)), (90 - (DecLat-O91))),IF((90 + (DecLat-O91))&gt;90, (90 + (O91-DecLat)), (90 + (DecLat-O91))))</f>
        <v>69.600555555555559</v>
      </c>
      <c r="AG91" s="257">
        <f>angularseperation(MoonRA,MoonDec,$M91,$O91)</f>
        <v>121.64553379130462</v>
      </c>
      <c r="AH91" s="261">
        <f ca="1">MIN(100,IF($O$5&gt;80,0+30*($AG91/100),IF($O$5&gt;70,0+50*($AG91/100),IF($O$5&gt;60,5+50*($AG91/100),IF($O$5&gt;50,10+60*($AG91/100),IF($O$5&gt;40,15+70*($AG91/100),IF($O$5&gt;30,20+70*($AG91/100),IF($O$5&gt;20,40+55*($AG91/100),(80+(20-$O$5)+30*($AG91/100))))))))))</f>
        <v>100</v>
      </c>
      <c r="AI91" s="262"/>
      <c r="AJ91" s="262"/>
      <c r="AK91" s="262"/>
      <c r="AL91" s="263"/>
      <c r="AM91" s="264"/>
      <c r="AN91" s="263"/>
      <c r="AO91" s="263"/>
      <c r="AP91" s="265"/>
      <c r="AQ91" s="266"/>
      <c r="AR91" s="267"/>
      <c r="AS91" s="263">
        <v>84</v>
      </c>
      <c r="AT91" s="263"/>
      <c r="AU91" s="263"/>
      <c r="AV91" s="264"/>
      <c r="AW91" s="263"/>
      <c r="AX91" s="263"/>
      <c r="AY91" s="263"/>
      <c r="AZ91" s="263"/>
      <c r="BA91" s="263"/>
      <c r="BB91" s="263"/>
      <c r="BC91" s="263"/>
      <c r="BD91" s="264"/>
      <c r="BE91" s="263"/>
      <c r="BF91" s="263"/>
      <c r="BG91" s="263"/>
      <c r="BH91" s="263"/>
      <c r="BI91" s="263"/>
      <c r="BJ91" s="404">
        <f>altaz(J2000_Bas,$O91,$M91,DecLat,DecLong,2)</f>
        <v>46.227300348029495</v>
      </c>
      <c r="BK91" s="378" t="s">
        <v>3995</v>
      </c>
      <c r="BL91" s="379">
        <f>IF((2*G91)/60&lt;0.2,0.2,(2*G91)/60)</f>
        <v>0.2</v>
      </c>
      <c r="BM91" s="380">
        <f>MOD((50000+AD91-$B$3+(0/24)),1)</f>
        <v>0.19975984674238134</v>
      </c>
      <c r="BN91" s="381" t="s">
        <v>9225</v>
      </c>
      <c r="BO91" s="382">
        <v>91</v>
      </c>
    </row>
    <row r="92" spans="1:67" s="24" customFormat="1" ht="15" customHeight="1" x14ac:dyDescent="0.25">
      <c r="A92" s="414" t="s">
        <v>167</v>
      </c>
      <c r="B92" s="241" t="str">
        <f>HYPERLINK(CONCATENATE($AT$3,BK92,$AU$3),$AV$3)</f>
        <v>S</v>
      </c>
      <c r="C92" s="242" t="str">
        <f>HYPERLINK(CONCATENATE($AT$4,BK92,$AU$4,BL92),$AV$4)</f>
        <v>A</v>
      </c>
      <c r="D92" s="243" t="s">
        <v>5187</v>
      </c>
      <c r="E92" s="244" t="s">
        <v>16</v>
      </c>
      <c r="F92" s="269"/>
      <c r="G92" s="276">
        <v>35</v>
      </c>
      <c r="H92" s="271">
        <v>10000</v>
      </c>
      <c r="I92" s="281">
        <v>100</v>
      </c>
      <c r="J92" s="246">
        <v>5</v>
      </c>
      <c r="K92" s="277" t="s">
        <v>8360</v>
      </c>
      <c r="L92" s="248">
        <v>235954</v>
      </c>
      <c r="M92" s="249">
        <f>15*(LEFT(TEXT($L92,"000000"),2)+(MID(TEXT($L92,"000000"),3,2)/60)+(RIGHT(TEXT($L92,"000000"),2)/3600))</f>
        <v>359.97500000000002</v>
      </c>
      <c r="N92" s="250">
        <v>622651</v>
      </c>
      <c r="O92" s="251">
        <f>IF($N92&gt;0,(LEFT(TEXT($N92,"000000"),2)+(MID(TEXT($N92,"000000"),3,2)/60)+(RIGHT(TEXT($N92,"000000"),2)/3600)),-(MID(TEXT($N92,"000000"),2,2)+(MID(TEXT($N92,"000000"),4,2)/60)+(RIGHT(TEXT($N92,"000000"),2)/3600)))</f>
        <v>62.447499999999998</v>
      </c>
      <c r="P92" s="252" t="s">
        <v>49</v>
      </c>
      <c r="Q92" s="253" t="s">
        <v>6994</v>
      </c>
      <c r="R92" s="277" t="s">
        <v>3385</v>
      </c>
      <c r="S92" s="272" t="s">
        <v>3293</v>
      </c>
      <c r="T92" s="273"/>
      <c r="U92" s="274"/>
      <c r="V92" s="256"/>
      <c r="W92" s="244"/>
      <c r="X92" s="244"/>
      <c r="Y92" s="362"/>
      <c r="Z92" s="257">
        <f>altaz(J2000_Bas,$O92,$M92,DecLat,DecLong,1)</f>
        <v>34.478580536383177</v>
      </c>
      <c r="AA92" s="257">
        <f>altaz((J2000_Bas+(2*0.04167)),$O92,$M92,DecLat,DecLong,1)</f>
        <v>47.934348610846264</v>
      </c>
      <c r="AB92" s="257">
        <f>altaz((J2000_Bas+(4*0.04167)),$O92,$M92,DecLat,DecLong,1)</f>
        <v>57.316689450231927</v>
      </c>
      <c r="AC92" s="257">
        <f>altaz((J2000_Bas+(6*0.04167)),$O92,$M92,DecLat,DecLong,1)</f>
        <v>56.847508870957626</v>
      </c>
      <c r="AD92" s="258">
        <f>1+ transit((J2000_Bas-1),$O92,$M92,DecLat,DecLong)/360 + (GMTOffset/24) + (IF(DST="Y", 1, 0)/24)</f>
        <v>1.9928304161922081</v>
      </c>
      <c r="AE92" s="259">
        <f>DATE(2001,9,21)+(M92/360)*365 - (360*((DecLong/360)- (GMTOffset/24) ))</f>
        <v>37524.974652777775</v>
      </c>
      <c r="AF92" s="260">
        <f>IF(DecLat&gt;0,IF((90 - (DecLat-O92))&gt;90, (90 - (O92-DecLat)), (90 - (DecLat-O92))),IF((90 + (DecLat-O92))&gt;90, (90 + (O92-DecLat)), (90 + (DecLat-O92))))</f>
        <v>58.552500000000002</v>
      </c>
      <c r="AG92" s="257">
        <f>angularseperation(MoonRA,MoonDec,$M92,$O92)</f>
        <v>123.32980151038457</v>
      </c>
      <c r="AH92" s="261">
        <f ca="1">MIN(100,IF($O$5&gt;80,0+30*($AG92/100),IF($O$5&gt;70,0+50*($AG92/100),IF($O$5&gt;60,5+50*($AG92/100),IF($O$5&gt;50,10+60*($AG92/100),IF($O$5&gt;40,15+70*($AG92/100),IF($O$5&gt;30,20+70*($AG92/100),IF($O$5&gt;20,40+55*($AG92/100),(80+(20-$O$5)+30*($AG92/100))))))))))</f>
        <v>100</v>
      </c>
      <c r="AI92" s="262"/>
      <c r="AJ92" s="262"/>
      <c r="AK92" s="262"/>
      <c r="AL92" s="263"/>
      <c r="AM92" s="264"/>
      <c r="AN92" s="263"/>
      <c r="AO92" s="263"/>
      <c r="AP92" s="265"/>
      <c r="AQ92" s="266"/>
      <c r="AR92" s="267"/>
      <c r="AS92" s="263">
        <v>85</v>
      </c>
      <c r="AT92" s="263"/>
      <c r="AU92" s="263"/>
      <c r="AV92" s="264"/>
      <c r="AW92" s="263"/>
      <c r="AX92" s="263"/>
      <c r="AY92" s="263">
        <v>576</v>
      </c>
      <c r="AZ92" s="263"/>
      <c r="BA92" s="263"/>
      <c r="BB92" s="263"/>
      <c r="BC92" s="361" t="s">
        <v>3049</v>
      </c>
      <c r="BD92" s="264"/>
      <c r="BE92" s="263"/>
      <c r="BF92" s="263"/>
      <c r="BG92" s="263">
        <v>109</v>
      </c>
      <c r="BH92" s="263"/>
      <c r="BI92" s="263"/>
      <c r="BJ92" s="404">
        <f>altaz(J2000_Bas,$O92,$M92,DecLat,DecLong,2)</f>
        <v>32.637270871426338</v>
      </c>
      <c r="BK92" s="378" t="s">
        <v>3996</v>
      </c>
      <c r="BL92" s="379">
        <f>IF((2*G92)/60&lt;0.2,0.2,(2*G92)/60)</f>
        <v>1.1666666666666667</v>
      </c>
      <c r="BM92" s="380">
        <f>MOD((50000+AD92-$B$3+(0/24)),1)</f>
        <v>0.20819734589895234</v>
      </c>
      <c r="BN92" s="381"/>
      <c r="BO92" s="382">
        <v>92</v>
      </c>
    </row>
    <row r="93" spans="1:67" s="24" customFormat="1" ht="15" customHeight="1" x14ac:dyDescent="0.25">
      <c r="A93" s="414" t="s">
        <v>168</v>
      </c>
      <c r="B93" s="241" t="str">
        <f>HYPERLINK(CONCATENATE($AT$3,BK93,$AU$3),$AV$3)</f>
        <v>S</v>
      </c>
      <c r="C93" s="242" t="str">
        <f>HYPERLINK(CONCATENATE($AT$4,BK93,$AU$4,BL93),$AV$4)</f>
        <v>A</v>
      </c>
      <c r="D93" s="243" t="s">
        <v>5187</v>
      </c>
      <c r="E93" s="244" t="s">
        <v>5181</v>
      </c>
      <c r="F93" s="269" t="s">
        <v>5729</v>
      </c>
      <c r="G93" s="273">
        <v>1.3</v>
      </c>
      <c r="H93" s="271">
        <v>7300</v>
      </c>
      <c r="I93" s="279">
        <v>3</v>
      </c>
      <c r="J93" s="246">
        <v>2</v>
      </c>
      <c r="K93" s="247" t="s">
        <v>3399</v>
      </c>
      <c r="L93" s="248">
        <v>133</v>
      </c>
      <c r="M93" s="249">
        <f>15*(LEFT(TEXT($L93,"000000"),2)+(MID(TEXT($L93,"000000"),3,2)/60)+(RIGHT(TEXT($L93,"000000"),2)/3600))</f>
        <v>0.38750000000000001</v>
      </c>
      <c r="N93" s="250">
        <v>704242</v>
      </c>
      <c r="O93" s="251">
        <f>IF($N93&gt;0,(LEFT(TEXT($N93,"000000"),2)+(MID(TEXT($N93,"000000"),3,2)/60)+(RIGHT(TEXT($N93,"000000"),2)/3600)),-(MID(TEXT($N93,"000000"),2,2)+(MID(TEXT($N93,"000000"),4,2)/60)+(RIGHT(TEXT($N93,"000000"),2)/3600)))</f>
        <v>70.711666666666673</v>
      </c>
      <c r="P93" s="252" t="s">
        <v>52</v>
      </c>
      <c r="Q93" s="253"/>
      <c r="R93" s="247" t="s">
        <v>3293</v>
      </c>
      <c r="S93" s="272" t="s">
        <v>3293</v>
      </c>
      <c r="T93" s="273"/>
      <c r="U93" s="274"/>
      <c r="V93" s="256"/>
      <c r="W93" s="244"/>
      <c r="X93" s="244"/>
      <c r="Y93" s="362"/>
      <c r="Z93" s="257">
        <f>altaz(J2000_Bas,$O93,$M93,DecLat,DecLong,1)</f>
        <v>34.217946121313894</v>
      </c>
      <c r="AA93" s="257">
        <f>altaz((J2000_Bas+(2*0.04167)),$O93,$M93,DecLat,DecLong,1)</f>
        <v>43.53275759717642</v>
      </c>
      <c r="AB93" s="257">
        <f>altaz((J2000_Bas+(4*0.04167)),$O93,$M93,DecLat,DecLong,1)</f>
        <v>49.517036398493325</v>
      </c>
      <c r="AC93" s="257">
        <f>altaz((J2000_Bas+(6*0.04167)),$O93,$M93,DecLat,DecLong,1)</f>
        <v>49.330302289455808</v>
      </c>
      <c r="AD93" s="258">
        <f>1+ transit((J2000_Bas-1),$O93,$M93,DecLat,DecLong)/360 + (GMTOffset/24) + (IF(DST="Y", 1, 0)/24)</f>
        <v>0.9939763494109578</v>
      </c>
      <c r="AE93" s="259">
        <f>DATE(2001,9,21)+(M93/360)*365 - (360*((DecLong/360)- (GMTOffset/24) ))</f>
        <v>37160.392881944441</v>
      </c>
      <c r="AF93" s="260">
        <f>IF(DecLat&gt;0,IF((90 - (DecLat-O93))&gt;90, (90 - (O93-DecLat)), (90 - (DecLat-O93))),IF((90 + (DecLat-O93))&gt;90, (90 + (O93-DecLat)), (90 + (DecLat-O93))))</f>
        <v>50.288333333333327</v>
      </c>
      <c r="AG93" s="257">
        <f>angularseperation(MoonRA,MoonDec,$M93,$O93)</f>
        <v>122.40048836620046</v>
      </c>
      <c r="AH93" s="261">
        <f ca="1">MIN(100,IF($O$5&gt;80,0+30*($AG93/100),IF($O$5&gt;70,0+50*($AG93/100),IF($O$5&gt;60,5+50*($AG93/100),IF($O$5&gt;50,10+60*($AG93/100),IF($O$5&gt;40,15+70*($AG93/100),IF($O$5&gt;30,20+70*($AG93/100),IF($O$5&gt;20,40+55*($AG93/100),(80+(20-$O$5)+30*($AG93/100))))))))))</f>
        <v>100</v>
      </c>
      <c r="AI93" s="262"/>
      <c r="AJ93" s="262"/>
      <c r="AK93" s="262"/>
      <c r="AL93" s="263"/>
      <c r="AM93" s="264"/>
      <c r="AN93" s="263"/>
      <c r="AO93" s="263"/>
      <c r="AP93" s="265"/>
      <c r="AQ93" s="266"/>
      <c r="AR93" s="267"/>
      <c r="AS93" s="263">
        <v>86</v>
      </c>
      <c r="AT93" s="263"/>
      <c r="AU93" s="263"/>
      <c r="AV93" s="264"/>
      <c r="AW93" s="263"/>
      <c r="AX93" s="263"/>
      <c r="AY93" s="263"/>
      <c r="AZ93" s="263"/>
      <c r="BA93" s="263"/>
      <c r="BB93" s="263"/>
      <c r="BC93" s="263"/>
      <c r="BD93" s="264"/>
      <c r="BE93" s="263"/>
      <c r="BF93" s="263"/>
      <c r="BG93" s="263"/>
      <c r="BH93" s="263"/>
      <c r="BI93" s="263"/>
      <c r="BJ93" s="404">
        <f>altaz(J2000_Bas,$O93,$M93,DecLat,DecLong,2)</f>
        <v>22.626646175755535</v>
      </c>
      <c r="BK93" s="378" t="s">
        <v>3997</v>
      </c>
      <c r="BL93" s="379">
        <f>IF((2*G93)/60&lt;0.2,0.2,(2*G93)/60)</f>
        <v>0.2</v>
      </c>
      <c r="BM93" s="380">
        <f>MOD((50000+AD93-$B$3+(0/24)),1)</f>
        <v>0.20934327911527362</v>
      </c>
      <c r="BN93" s="381"/>
      <c r="BO93" s="382">
        <v>93</v>
      </c>
    </row>
    <row r="94" spans="1:67" s="24" customFormat="1" ht="15" customHeight="1" x14ac:dyDescent="0.25">
      <c r="A94" s="411" t="s">
        <v>169</v>
      </c>
      <c r="B94" s="241" t="str">
        <f>HYPERLINK(CONCATENATE($AT$3,BK94,$AU$3),$AV$3)</f>
        <v>S</v>
      </c>
      <c r="C94" s="242" t="str">
        <f>HYPERLINK(CONCATENATE($AT$4,BK94,$AU$4,BL94),$AV$4)</f>
        <v>A</v>
      </c>
      <c r="D94" s="243" t="s">
        <v>5638</v>
      </c>
      <c r="E94" s="244" t="s">
        <v>5336</v>
      </c>
      <c r="F94" s="269">
        <v>70</v>
      </c>
      <c r="G94" s="282">
        <v>40</v>
      </c>
      <c r="H94" s="283">
        <v>600</v>
      </c>
      <c r="I94" s="284">
        <v>7000</v>
      </c>
      <c r="J94" s="246">
        <v>2</v>
      </c>
      <c r="K94" s="247" t="s">
        <v>5755</v>
      </c>
      <c r="L94" s="248">
        <v>5621</v>
      </c>
      <c r="M94" s="249">
        <f>15*(LEFT(TEXT($L94,"000000"),2)+(MID(TEXT($L94,"000000"),3,2)/60)+(RIGHT(TEXT($L94,"000000"),2)/3600))</f>
        <v>14.0875</v>
      </c>
      <c r="N94" s="250">
        <v>-11547</v>
      </c>
      <c r="O94" s="251">
        <f>IF($N94&gt;0,(LEFT(TEXT($N94,"000000"),2)+(MID(TEXT($N94,"000000"),3,2)/60)+(RIGHT(TEXT($N94,"000000"),2)/3600)),-(MID(TEXT($N94,"000000"),2,2)+(MID(TEXT($N94,"000000"),4,2)/60)+(RIGHT(TEXT($N94,"000000"),2)/3600)))</f>
        <v>-1.2630555555555556</v>
      </c>
      <c r="P94" s="252" t="s">
        <v>75</v>
      </c>
      <c r="Q94" s="253"/>
      <c r="R94" s="277" t="s">
        <v>3293</v>
      </c>
      <c r="S94" s="272" t="s">
        <v>3293</v>
      </c>
      <c r="T94" s="273">
        <v>15</v>
      </c>
      <c r="U94" s="274"/>
      <c r="V94" s="280"/>
      <c r="W94" s="244"/>
      <c r="X94" s="244"/>
      <c r="Y94" s="362"/>
      <c r="Z94" s="257">
        <f>altaz(J2000_Bas,$O94,$M94,DecLat,DecLong,1)</f>
        <v>0.99046008233470517</v>
      </c>
      <c r="AA94" s="257">
        <f>altaz((J2000_Bas+(2*0.04167)),$O94,$M94,DecLat,DecLong,1)</f>
        <v>26.280247222475424</v>
      </c>
      <c r="AB94" s="257">
        <f>altaz((J2000_Bas+(4*0.04167)),$O94,$M94,DecLat,DecLong,1)</f>
        <v>48.235394637029906</v>
      </c>
      <c r="AC94" s="257">
        <f>altaz((J2000_Bas+(6*0.04167)),$O94,$M94,DecLat,DecLong,1)</f>
        <v>57.671118270028607</v>
      </c>
      <c r="AD94" s="258">
        <f>1+ transit((J2000_Bas-1),$O94,$M94,DecLat,DecLong)/360 + (GMTOffset/24) + (IF(DST="Y", 1, 0)/24)</f>
        <v>1.032031901160958</v>
      </c>
      <c r="AE94" s="259">
        <f>DATE(2001,9,21)+(M94/360)*365 - (360*((DecLong/360)- (GMTOffset/24) ))</f>
        <v>37174.283159722225</v>
      </c>
      <c r="AF94" s="260">
        <f>IF(DecLat&gt;0,IF((90 - (DecLat-O94))&gt;90, (90 - (O94-DecLat)), (90 - (DecLat-O94))),IF((90 + (DecLat-O94))&gt;90, (90 + (O94-DecLat)), (90 + (DecLat-O94))))</f>
        <v>57.736944444444447</v>
      </c>
      <c r="AG94" s="257">
        <f>angularseperation(MoonRA,MoonDec,$M94,$O94)</f>
        <v>119.90415737758696</v>
      </c>
      <c r="AH94" s="261">
        <f ca="1">MIN(100,IF($O$5&gt;80,0+30*($AG94/100),IF($O$5&gt;70,0+50*($AG94/100),IF($O$5&gt;60,5+50*($AG94/100),IF($O$5&gt;50,10+60*($AG94/100),IF($O$5&gt;40,15+70*($AG94/100),IF($O$5&gt;30,20+70*($AG94/100),IF($O$5&gt;20,40+55*($AG94/100),(80+(20-$O$5)+30*($AG94/100))))))))))</f>
        <v>100</v>
      </c>
      <c r="AI94" s="263"/>
      <c r="AJ94" s="263"/>
      <c r="AK94" s="263"/>
      <c r="AL94" s="263"/>
      <c r="AM94" s="264"/>
      <c r="AN94" s="263"/>
      <c r="AO94" s="263"/>
      <c r="AP94" s="265">
        <v>119</v>
      </c>
      <c r="AQ94" s="265"/>
      <c r="AR94" s="285"/>
      <c r="AS94" s="263"/>
      <c r="AT94" s="263"/>
      <c r="AU94" s="263"/>
      <c r="AV94" s="264"/>
      <c r="AW94" s="263"/>
      <c r="AX94" s="263"/>
      <c r="AY94" s="263"/>
      <c r="AZ94" s="263"/>
      <c r="BA94" s="263"/>
      <c r="BB94" s="263"/>
      <c r="BC94" s="263"/>
      <c r="BD94" s="264"/>
      <c r="BE94" s="263"/>
      <c r="BF94" s="263"/>
      <c r="BG94" s="263"/>
      <c r="BH94" s="263"/>
      <c r="BI94" s="263"/>
      <c r="BJ94" s="404">
        <f>altaz(J2000_Bas,$O94,$M94,DecLat,DecLong,2)</f>
        <v>92.069261177877706</v>
      </c>
      <c r="BK94" s="378" t="s">
        <v>3872</v>
      </c>
      <c r="BL94" s="379">
        <f>IF((2*G94)/60&lt;0.2,0.2,(2*G94)/60)</f>
        <v>1.3333333333333333</v>
      </c>
      <c r="BM94" s="380">
        <f>MOD((50000+AD94-$B$3+(0/24)),1)</f>
        <v>0.24739883086294867</v>
      </c>
      <c r="BN94" s="381"/>
      <c r="BO94" s="382">
        <v>94</v>
      </c>
    </row>
    <row r="95" spans="1:67" s="24" customFormat="1" ht="15" customHeight="1" x14ac:dyDescent="0.25">
      <c r="A95" s="411" t="s">
        <v>170</v>
      </c>
      <c r="B95" s="241" t="str">
        <f>HYPERLINK(CONCATENATE($AT$3,BK95,$AU$3),$AV$3)</f>
        <v>S</v>
      </c>
      <c r="C95" s="242" t="str">
        <f>HYPERLINK(CONCATENATE($AT$4,BK95,$AU$4,BL95),$AV$4)</f>
        <v>A</v>
      </c>
      <c r="D95" s="243" t="s">
        <v>5638</v>
      </c>
      <c r="E95" s="244" t="s">
        <v>5336</v>
      </c>
      <c r="F95" s="269">
        <v>70</v>
      </c>
      <c r="G95" s="282">
        <v>40</v>
      </c>
      <c r="H95" s="283">
        <v>750</v>
      </c>
      <c r="I95" s="284">
        <v>9000</v>
      </c>
      <c r="J95" s="246">
        <v>1</v>
      </c>
      <c r="K95" s="247" t="s">
        <v>8856</v>
      </c>
      <c r="L95" s="248">
        <v>10852</v>
      </c>
      <c r="M95" s="249">
        <f>15*(LEFT(TEXT($L95,"000000"),2)+(MID(TEXT($L95,"000000"),3,2)/60)+(RIGHT(TEXT($L95,"000000"),2)/3600))</f>
        <v>17.216666666666669</v>
      </c>
      <c r="N95" s="250">
        <v>-152501</v>
      </c>
      <c r="O95" s="251">
        <f>IF($N95&gt;0,(LEFT(TEXT($N95,"000000"),2)+(MID(TEXT($N95,"000000"),3,2)/60)+(RIGHT(TEXT($N95,"000000"),2)/3600)),-(MID(TEXT($N95,"000000"),2,2)+(MID(TEXT($N95,"000000"),4,2)/60)+(RIGHT(TEXT($N95,"000000"),2)/3600)))</f>
        <v>-15.416944444444443</v>
      </c>
      <c r="P95" s="252" t="s">
        <v>75</v>
      </c>
      <c r="Q95" s="253"/>
      <c r="R95" s="277" t="s">
        <v>3293</v>
      </c>
      <c r="S95" s="272" t="s">
        <v>3293</v>
      </c>
      <c r="T95" s="273">
        <v>15</v>
      </c>
      <c r="U95" s="274"/>
      <c r="V95" s="280"/>
      <c r="W95" s="244"/>
      <c r="X95" s="244"/>
      <c r="Y95" s="362"/>
      <c r="Z95" s="257">
        <f>altaz(J2000_Bas,$O95,$M95,DecLat,DecLong,1)</f>
        <v>-8.8835080563451871</v>
      </c>
      <c r="AA95" s="257">
        <f>altaz((J2000_Bas+(2*0.04167)),$O95,$M95,DecLat,DecLong,1)</f>
        <v>15.192144481887425</v>
      </c>
      <c r="AB95" s="257">
        <f>altaz((J2000_Bas+(4*0.04167)),$O95,$M95,DecLat,DecLong,1)</f>
        <v>34.823142040036593</v>
      </c>
      <c r="AC95" s="257">
        <f>altaz((J2000_Bas+(6*0.04167)),$O95,$M95,DecLat,DecLong,1)</f>
        <v>43.573874300453809</v>
      </c>
      <c r="AD95" s="258">
        <f>1+ transit((J2000_Bas-1),$O95,$M95,DecLat,DecLong)/360 + (GMTOffset/24) + (IF(DST="Y", 1, 0)/24)</f>
        <v>1.0407240299213747</v>
      </c>
      <c r="AE95" s="259">
        <f>DATE(2001,9,21)+(M95/360)*365 - (360*((DecLong/360)- (GMTOffset/24) ))</f>
        <v>37177.455787037034</v>
      </c>
      <c r="AF95" s="260">
        <f>IF(DecLat&gt;0,IF((90 - (DecLat-O95))&gt;90, (90 - (O95-DecLat)), (90 - (DecLat-O95))),IF((90 + (DecLat-O95))&gt;90, (90 + (O95-DecLat)), (90 + (DecLat-O95))))</f>
        <v>43.583055555555561</v>
      </c>
      <c r="AG95" s="257">
        <f>angularseperation(MoonRA,MoonDec,$M95,$O95)</f>
        <v>114.02207026330757</v>
      </c>
      <c r="AH95" s="261">
        <f ca="1">MIN(100,IF($O$5&gt;80,0+30*($AG95/100),IF($O$5&gt;70,0+50*($AG95/100),IF($O$5&gt;60,5+50*($AG95/100),IF($O$5&gt;50,10+60*($AG95/100),IF($O$5&gt;40,15+70*($AG95/100),IF($O$5&gt;30,20+70*($AG95/100),IF($O$5&gt;20,40+55*($AG95/100),(80+(20-$O$5)+30*($AG95/100))))))))))</f>
        <v>100</v>
      </c>
      <c r="AI95" s="263"/>
      <c r="AJ95" s="263"/>
      <c r="AK95" s="263"/>
      <c r="AL95" s="263"/>
      <c r="AM95" s="264"/>
      <c r="AN95" s="263"/>
      <c r="AO95" s="263"/>
      <c r="AP95" s="265">
        <v>151</v>
      </c>
      <c r="AQ95" s="265"/>
      <c r="AR95" s="285"/>
      <c r="AS95" s="263"/>
      <c r="AT95" s="263"/>
      <c r="AU95" s="263"/>
      <c r="AV95" s="264"/>
      <c r="AW95" s="263"/>
      <c r="AX95" s="263"/>
      <c r="AY95" s="263"/>
      <c r="AZ95" s="263"/>
      <c r="BA95" s="263"/>
      <c r="BB95" s="263"/>
      <c r="BC95" s="263"/>
      <c r="BD95" s="264"/>
      <c r="BE95" s="263"/>
      <c r="BF95" s="263"/>
      <c r="BG95" s="263"/>
      <c r="BH95" s="263"/>
      <c r="BI95" s="263"/>
      <c r="BJ95" s="404">
        <f>altaz(J2000_Bas,$O95,$M95,DecLat,DecLong,2)</f>
        <v>102.70842577763503</v>
      </c>
      <c r="BK95" s="378" t="s">
        <v>3873</v>
      </c>
      <c r="BL95" s="379">
        <f>IF((2*G95)/60&lt;0.2,0.2,(2*G95)/60)</f>
        <v>1.3333333333333333</v>
      </c>
      <c r="BM95" s="380">
        <f>MOD((50000+AD95-$B$3+(0/24)),1)</f>
        <v>0.25609095962863648</v>
      </c>
      <c r="BN95" s="381"/>
      <c r="BO95" s="382">
        <v>95</v>
      </c>
    </row>
    <row r="96" spans="1:67" s="24" customFormat="1" ht="15" customHeight="1" x14ac:dyDescent="0.25">
      <c r="A96" s="411" t="s">
        <v>171</v>
      </c>
      <c r="B96" s="241" t="str">
        <f>HYPERLINK(CONCATENATE($AT$3,BK96,$AU$3),$AV$3)</f>
        <v>S</v>
      </c>
      <c r="C96" s="242" t="str">
        <f>HYPERLINK(CONCATENATE($AT$4,BK96,$AU$4,BL96),$AV$4)</f>
        <v>A</v>
      </c>
      <c r="D96" s="243" t="s">
        <v>5638</v>
      </c>
      <c r="E96" s="244" t="s">
        <v>5336</v>
      </c>
      <c r="F96" s="269">
        <v>40</v>
      </c>
      <c r="G96" s="282">
        <v>30</v>
      </c>
      <c r="H96" s="283">
        <v>230</v>
      </c>
      <c r="I96" s="284">
        <v>2000</v>
      </c>
      <c r="J96" s="246">
        <v>3</v>
      </c>
      <c r="K96" s="247" t="s">
        <v>3779</v>
      </c>
      <c r="L96" s="248">
        <v>12533</v>
      </c>
      <c r="M96" s="249">
        <f>15*(LEFT(TEXT($L96,"000000"),2)+(MID(TEXT($L96,"000000"),3,2)/60)+(RIGHT(TEXT($L96,"000000"),2)/3600))</f>
        <v>21.387500000000003</v>
      </c>
      <c r="N96" s="250">
        <v>-13025</v>
      </c>
      <c r="O96" s="251">
        <f>IF($N96&gt;0,(LEFT(TEXT($N96,"000000"),2)+(MID(TEXT($N96,"000000"),3,2)/60)+(RIGHT(TEXT($N96,"000000"),2)/3600)),-(MID(TEXT($N96,"000000"),2,2)+(MID(TEXT($N96,"000000"),4,2)/60)+(RIGHT(TEXT($N96,"000000"),2)/3600)))</f>
        <v>-1.5069444444444444</v>
      </c>
      <c r="P96" s="252" t="s">
        <v>75</v>
      </c>
      <c r="Q96" s="253"/>
      <c r="R96" s="247" t="s">
        <v>3466</v>
      </c>
      <c r="S96" s="272" t="s">
        <v>3293</v>
      </c>
      <c r="T96" s="273">
        <v>13.9</v>
      </c>
      <c r="U96" s="274"/>
      <c r="V96" s="280"/>
      <c r="W96" s="244"/>
      <c r="X96" s="244"/>
      <c r="Y96" s="362"/>
      <c r="Z96" s="257">
        <f>altaz(J2000_Bas,$O96,$M96,DecLat,DecLong,1)</f>
        <v>-5.3913477451771197</v>
      </c>
      <c r="AA96" s="257">
        <f>altaz((J2000_Bas+(2*0.04167)),$O96,$M96,DecLat,DecLong,1)</f>
        <v>20.151833028332387</v>
      </c>
      <c r="AB96" s="257">
        <f>altaz((J2000_Bas+(4*0.04167)),$O96,$M96,DecLat,DecLong,1)</f>
        <v>43.354240093040424</v>
      </c>
      <c r="AC96" s="257">
        <f>altaz((J2000_Bas+(6*0.04167)),$O96,$M96,DecLat,DecLong,1)</f>
        <v>57.128754963915675</v>
      </c>
      <c r="AD96" s="258">
        <f>1+ transit((J2000_Bas-1),$O96,$M96,DecLat,DecLong)/360 + (GMTOffset/24) + (IF(DST="Y", 1, 0)/24)</f>
        <v>1.0523096769109579</v>
      </c>
      <c r="AE96" s="259">
        <f>DATE(2001,9,21)+(M96/360)*365 - (360*((DecLong/360)- (GMTOffset/24) ))</f>
        <v>37181.684548611112</v>
      </c>
      <c r="AF96" s="260">
        <f>IF(DecLat&gt;0,IF((90 - (DecLat-O96))&gt;90, (90 - (O96-DecLat)), (90 - (DecLat-O96))),IF((90 + (DecLat-O96))&gt;90, (90 + (O96-DecLat)), (90 + (DecLat-O96))))</f>
        <v>57.493055555555557</v>
      </c>
      <c r="AG96" s="257">
        <f>angularseperation(MoonRA,MoonDec,$M96,$O96)</f>
        <v>125.82082731337876</v>
      </c>
      <c r="AH96" s="261">
        <f ca="1">MIN(100,IF($O$5&gt;80,0+30*($AG96/100),IF($O$5&gt;70,0+50*($AG96/100),IF($O$5&gt;60,5+50*($AG96/100),IF($O$5&gt;50,10+60*($AG96/100),IF($O$5&gt;40,15+70*($AG96/100),IF($O$5&gt;30,20+70*($AG96/100),IF($O$5&gt;20,40+55*($AG96/100),(80+(20-$O$5)+30*($AG96/100))))))))))</f>
        <v>100</v>
      </c>
      <c r="AI96" s="262"/>
      <c r="AJ96" s="262"/>
      <c r="AK96" s="262"/>
      <c r="AL96" s="263"/>
      <c r="AM96" s="264"/>
      <c r="AN96" s="263"/>
      <c r="AO96" s="263"/>
      <c r="AP96" s="265">
        <v>194</v>
      </c>
      <c r="AQ96" s="266"/>
      <c r="AR96" s="267"/>
      <c r="AS96" s="263"/>
      <c r="AT96" s="263"/>
      <c r="AU96" s="263"/>
      <c r="AV96" s="264"/>
      <c r="AW96" s="263"/>
      <c r="AX96" s="263"/>
      <c r="AY96" s="263"/>
      <c r="AZ96" s="263"/>
      <c r="BA96" s="263"/>
      <c r="BB96" s="263"/>
      <c r="BC96" s="263"/>
      <c r="BD96" s="264"/>
      <c r="BE96" s="263"/>
      <c r="BF96" s="263"/>
      <c r="BG96" s="263"/>
      <c r="BH96" s="263"/>
      <c r="BI96" s="263"/>
      <c r="BJ96" s="404">
        <f>altaz(J2000_Bas,$O96,$M96,DecLat,DecLong,2)</f>
        <v>88.516450820906883</v>
      </c>
      <c r="BK96" s="378" t="s">
        <v>3874</v>
      </c>
      <c r="BL96" s="379">
        <f>IF((2*G96)/60&lt;0.2,0.2,(2*G96)/60)</f>
        <v>1</v>
      </c>
      <c r="BM96" s="380">
        <f>MOD((50000+AD96-$B$3+(0/24)),1)</f>
        <v>0.26767660661425907</v>
      </c>
      <c r="BN96" s="381"/>
      <c r="BO96" s="382">
        <v>96</v>
      </c>
    </row>
    <row r="97" spans="1:67" s="24" customFormat="1" ht="15" customHeight="1" x14ac:dyDescent="0.25">
      <c r="A97" s="411" t="s">
        <v>172</v>
      </c>
      <c r="B97" s="241" t="str">
        <f>HYPERLINK(CONCATENATE($AT$3,BK97,$AU$3),$AV$3)</f>
        <v>S</v>
      </c>
      <c r="C97" s="242" t="str">
        <f>HYPERLINK(CONCATENATE($AT$4,BK97,$AU$4,BL97),$AV$4)</f>
        <v>A</v>
      </c>
      <c r="D97" s="243" t="s">
        <v>5638</v>
      </c>
      <c r="E97" s="244" t="s">
        <v>5336</v>
      </c>
      <c r="F97" s="269">
        <v>40</v>
      </c>
      <c r="G97" s="282">
        <v>100</v>
      </c>
      <c r="H97" s="283">
        <v>220</v>
      </c>
      <c r="I97" s="284">
        <v>6000</v>
      </c>
      <c r="J97" s="246">
        <v>4</v>
      </c>
      <c r="K97" s="247" t="s">
        <v>3780</v>
      </c>
      <c r="L97" s="248">
        <v>15250</v>
      </c>
      <c r="M97" s="249">
        <f>15*(LEFT(TEXT($L97,"000000"),2)+(MID(TEXT($L97,"000000"),3,2)/60)+(RIGHT(TEXT($L97,"000000"),2)/3600))</f>
        <v>28.208333333333332</v>
      </c>
      <c r="N97" s="250">
        <v>360846</v>
      </c>
      <c r="O97" s="251">
        <f>IF($N97&gt;0,(LEFT(TEXT($N97,"000000"),2)+(MID(TEXT($N97,"000000"),3,2)/60)+(RIGHT(TEXT($N97,"000000"),2)/3600)),-(MID(TEXT($N97,"000000"),2,2)+(MID(TEXT($N97,"000000"),4,2)/60)+(RIGHT(TEXT($N97,"000000"),2)/3600)))</f>
        <v>36.146111111111111</v>
      </c>
      <c r="P97" s="252" t="s">
        <v>36</v>
      </c>
      <c r="Q97" s="253"/>
      <c r="R97" s="247" t="s">
        <v>3770</v>
      </c>
      <c r="S97" s="272" t="s">
        <v>3293</v>
      </c>
      <c r="T97" s="273">
        <v>13.3</v>
      </c>
      <c r="U97" s="274"/>
      <c r="V97" s="280"/>
      <c r="W97" s="244"/>
      <c r="X97" s="244"/>
      <c r="Y97" s="362"/>
      <c r="Z97" s="257">
        <f>altaz(J2000_Bas,$O97,$M97,DecLat,DecLong,1)</f>
        <v>9.0590362400624507</v>
      </c>
      <c r="AA97" s="257">
        <f>altaz((J2000_Bas+(2*0.04167)),$O97,$M97,DecLat,DecLong,1)</f>
        <v>31.084046832163395</v>
      </c>
      <c r="AB97" s="257">
        <f>altaz((J2000_Bas+(4*0.04167)),$O97,$M97,DecLat,DecLong,1)</f>
        <v>54.873545688488448</v>
      </c>
      <c r="AC97" s="257">
        <f>altaz((J2000_Bas+(6*0.04167)),$O97,$M97,DecLat,DecLong,1)</f>
        <v>78.802502245122611</v>
      </c>
      <c r="AD97" s="258">
        <f>1+ transit((J2000_Bas-1),$O97,$M97,DecLat,DecLong)/360 + (GMTOffset/24) + (IF(DST="Y", 1, 0)/24)</f>
        <v>1.0712564342755413</v>
      </c>
      <c r="AE97" s="259">
        <f>DATE(2001,9,21)+(M97/360)*365 - (360*((DecLong/360)- (GMTOffset/24) ))</f>
        <v>37188.600115740737</v>
      </c>
      <c r="AF97" s="260">
        <f>IF(DecLat&gt;0,IF((90 - (DecLat-O97))&gt;90, (90 - (O97-DecLat)), (90 - (DecLat-O97))),IF((90 + (DecLat-O97))&gt;90, (90 + (O97-DecLat)), (90 + (DecLat-O97))))</f>
        <v>84.853888888888889</v>
      </c>
      <c r="AG97" s="257">
        <f>angularseperation(MoonRA,MoonDec,$M97,$O97)</f>
        <v>144.18270861540779</v>
      </c>
      <c r="AH97" s="261">
        <f ca="1">MIN(100,IF($O$5&gt;80,0+30*($AG97/100),IF($O$5&gt;70,0+50*($AG97/100),IF($O$5&gt;60,5+50*($AG97/100),IF($O$5&gt;50,10+60*($AG97/100),IF($O$5&gt;40,15+70*($AG97/100),IF($O$5&gt;30,20+70*($AG97/100),IF($O$5&gt;20,40+55*($AG97/100),(80+(20-$O$5)+30*($AG97/100))))))))))</f>
        <v>100</v>
      </c>
      <c r="AI97" s="262"/>
      <c r="AJ97" s="262"/>
      <c r="AK97" s="262"/>
      <c r="AL97" s="263"/>
      <c r="AM97" s="264"/>
      <c r="AN97" s="263"/>
      <c r="AO97" s="263"/>
      <c r="AP97" s="265">
        <v>262</v>
      </c>
      <c r="AQ97" s="266"/>
      <c r="AR97" s="267"/>
      <c r="AS97" s="263"/>
      <c r="AT97" s="263"/>
      <c r="AU97" s="263"/>
      <c r="AV97" s="264"/>
      <c r="AW97" s="263"/>
      <c r="AX97" s="263"/>
      <c r="AY97" s="263"/>
      <c r="AZ97" s="263"/>
      <c r="BA97" s="263"/>
      <c r="BB97" s="263"/>
      <c r="BC97" s="263"/>
      <c r="BD97" s="264"/>
      <c r="BE97" s="263"/>
      <c r="BF97" s="263"/>
      <c r="BG97" s="263"/>
      <c r="BH97" s="263"/>
      <c r="BI97" s="263"/>
      <c r="BJ97" s="404">
        <f>altaz(J2000_Bas,$O97,$M97,DecLat,DecLong,2)</f>
        <v>53.056685788847602</v>
      </c>
      <c r="BK97" s="378" t="s">
        <v>3875</v>
      </c>
      <c r="BL97" s="379">
        <f>IF((2*G97)/60&lt;0.2,0.2,(2*G97)/60)</f>
        <v>3.3333333333333335</v>
      </c>
      <c r="BM97" s="380">
        <f>MOD((50000+AD97-$B$3+(0/24)),1)</f>
        <v>0.28662336397974286</v>
      </c>
      <c r="BN97" s="381"/>
      <c r="BO97" s="382">
        <v>97</v>
      </c>
    </row>
    <row r="98" spans="1:67" s="24" customFormat="1" ht="15" customHeight="1" x14ac:dyDescent="0.25">
      <c r="A98" s="411" t="s">
        <v>173</v>
      </c>
      <c r="B98" s="241" t="str">
        <f>HYPERLINK(CONCATENATE($AT$3,BK98,$AU$3),$AV$3)</f>
        <v>S</v>
      </c>
      <c r="C98" s="242" t="str">
        <f>HYPERLINK(CONCATENATE($AT$4,BK98,$AU$4,BL98),$AV$4)</f>
        <v>A</v>
      </c>
      <c r="D98" s="243" t="s">
        <v>5638</v>
      </c>
      <c r="E98" s="244" t="s">
        <v>5336</v>
      </c>
      <c r="F98" s="269">
        <v>30</v>
      </c>
      <c r="G98" s="282">
        <v>60</v>
      </c>
      <c r="H98" s="283">
        <v>260</v>
      </c>
      <c r="I98" s="284">
        <v>4500</v>
      </c>
      <c r="J98" s="246">
        <v>2</v>
      </c>
      <c r="K98" s="247" t="s">
        <v>3784</v>
      </c>
      <c r="L98" s="248">
        <v>22551</v>
      </c>
      <c r="M98" s="249">
        <f>15*(LEFT(TEXT($L98,"000000"),2)+(MID(TEXT($L98,"000000"),3,2)/60)+(RIGHT(TEXT($L98,"000000"),2)/3600))</f>
        <v>36.462499999999999</v>
      </c>
      <c r="N98" s="250">
        <v>415230</v>
      </c>
      <c r="O98" s="251">
        <f>IF($N98&gt;0,(LEFT(TEXT($N98,"000000"),2)+(MID(TEXT($N98,"000000"),3,2)/60)+(RIGHT(TEXT($N98,"000000"),2)/3600)),-(MID(TEXT($N98,"000000"),2,2)+(MID(TEXT($N98,"000000"),4,2)/60)+(RIGHT(TEXT($N98,"000000"),2)/3600)))</f>
        <v>41.875</v>
      </c>
      <c r="P98" s="252" t="s">
        <v>36</v>
      </c>
      <c r="Q98" s="253"/>
      <c r="R98" s="247" t="s">
        <v>3771</v>
      </c>
      <c r="S98" s="272" t="s">
        <v>3781</v>
      </c>
      <c r="T98" s="273">
        <v>13.3</v>
      </c>
      <c r="U98" s="274"/>
      <c r="V98" s="280"/>
      <c r="W98" s="244"/>
      <c r="X98" s="244"/>
      <c r="Y98" s="362"/>
      <c r="Z98" s="257">
        <f>altaz(J2000_Bas,$O98,$M98,DecLat,DecLong,1)</f>
        <v>6.9319863838457394</v>
      </c>
      <c r="AA98" s="257">
        <f>altaz((J2000_Bas+(2*0.04167)),$O98,$M98,DecLat,DecLong,1)</f>
        <v>26.775952896052814</v>
      </c>
      <c r="AB98" s="257">
        <f>altaz((J2000_Bas+(4*0.04167)),$O98,$M98,DecLat,DecLong,1)</f>
        <v>48.726032998473109</v>
      </c>
      <c r="AC98" s="257">
        <f>altaz((J2000_Bas+(6*0.04167)),$O98,$M98,DecLat,DecLong,1)</f>
        <v>70.520409109069377</v>
      </c>
      <c r="AD98" s="258">
        <f>1+ transit((J2000_Bas-1),$O98,$M98,DecLat,DecLong)/360 + (GMTOffset/24) + (IF(DST="Y", 1, 0)/24)</f>
        <v>1.0941846727234579</v>
      </c>
      <c r="AE98" s="259">
        <f>DATE(2001,9,21)+(M98/360)*365 - (360*((DecLong/360)- (GMTOffset/24) ))</f>
        <v>37196.968923611108</v>
      </c>
      <c r="AF98" s="260">
        <f>IF(DecLat&gt;0,IF((90 - (DecLat-O98))&gt;90, (90 - (O98-DecLat)), (90 - (DecLat-O98))),IF((90 + (DecLat-O98))&gt;90, (90 + (O98-DecLat)), (90 + (DecLat-O98))))</f>
        <v>79.125</v>
      </c>
      <c r="AG98" s="257">
        <f>angularseperation(MoonRA,MoonDec,$M98,$O98)</f>
        <v>149.46248809612041</v>
      </c>
      <c r="AH98" s="261">
        <f ca="1">MIN(100,IF($O$5&gt;80,0+30*($AG98/100),IF($O$5&gt;70,0+50*($AG98/100),IF($O$5&gt;60,5+50*($AG98/100),IF($O$5&gt;50,10+60*($AG98/100),IF($O$5&gt;40,15+70*($AG98/100),IF($O$5&gt;30,20+70*($AG98/100),IF($O$5&gt;20,40+55*($AG98/100),(80+(20-$O$5)+30*($AG98/100))))))))))</f>
        <v>100</v>
      </c>
      <c r="AI98" s="262"/>
      <c r="AJ98" s="262"/>
      <c r="AK98" s="262"/>
      <c r="AL98" s="263"/>
      <c r="AM98" s="264"/>
      <c r="AN98" s="263"/>
      <c r="AO98" s="263"/>
      <c r="AP98" s="265">
        <v>347</v>
      </c>
      <c r="AQ98" s="266"/>
      <c r="AR98" s="267"/>
      <c r="AS98" s="263"/>
      <c r="AT98" s="263"/>
      <c r="AU98" s="263"/>
      <c r="AV98" s="264"/>
      <c r="AW98" s="263"/>
      <c r="AX98" s="263"/>
      <c r="AY98" s="263"/>
      <c r="AZ98" s="263"/>
      <c r="BA98" s="263"/>
      <c r="BB98" s="263"/>
      <c r="BC98" s="263"/>
      <c r="BD98" s="264"/>
      <c r="BE98" s="263"/>
      <c r="BF98" s="263"/>
      <c r="BG98" s="263"/>
      <c r="BH98" s="263"/>
      <c r="BI98" s="263"/>
      <c r="BJ98" s="404">
        <f>altaz(J2000_Bas,$O98,$M98,DecLat,DecLong,2)</f>
        <v>44.649538201014444</v>
      </c>
      <c r="BK98" s="378" t="s">
        <v>3876</v>
      </c>
      <c r="BL98" s="379">
        <f>IF((2*G98)/60&lt;0.2,0.2,(2*G98)/60)</f>
        <v>2</v>
      </c>
      <c r="BM98" s="380">
        <f>MOD((50000+AD98-$B$3+(0/24)),1)</f>
        <v>0.30955160242592683</v>
      </c>
      <c r="BN98" s="381"/>
      <c r="BO98" s="382">
        <v>98</v>
      </c>
    </row>
    <row r="99" spans="1:67" s="24" customFormat="1" ht="15" customHeight="1" x14ac:dyDescent="0.25">
      <c r="A99" s="411" t="s">
        <v>174</v>
      </c>
      <c r="B99" s="241" t="str">
        <f>HYPERLINK(CONCATENATE($AT$3,BK99,$AU$3),$AV$3)</f>
        <v>S</v>
      </c>
      <c r="C99" s="242" t="str">
        <f>HYPERLINK(CONCATENATE($AT$4,BK99,$AU$4,BL99),$AV$4)</f>
        <v>A</v>
      </c>
      <c r="D99" s="243" t="s">
        <v>5638</v>
      </c>
      <c r="E99" s="244" t="s">
        <v>5336</v>
      </c>
      <c r="F99" s="269">
        <v>50</v>
      </c>
      <c r="G99" s="282">
        <v>40</v>
      </c>
      <c r="H99" s="283">
        <v>700</v>
      </c>
      <c r="I99" s="284">
        <v>9000</v>
      </c>
      <c r="J99" s="246">
        <v>3</v>
      </c>
      <c r="K99" s="247" t="s">
        <v>7259</v>
      </c>
      <c r="L99" s="248">
        <v>30144</v>
      </c>
      <c r="M99" s="249">
        <f>15*(LEFT(TEXT($L99,"000000"),2)+(MID(TEXT($L99,"000000"),3,2)/60)+(RIGHT(TEXT($L99,"000000"),2)/3600))</f>
        <v>45.433333333333337</v>
      </c>
      <c r="N99" s="250">
        <v>355048</v>
      </c>
      <c r="O99" s="251">
        <f>IF($N99&gt;0,(LEFT(TEXT($N99,"000000"),2)+(MID(TEXT($N99,"000000"),3,2)/60)+(RIGHT(TEXT($N99,"000000"),2)/3600)),-(MID(TEXT($N99,"000000"),2,2)+(MID(TEXT($N99,"000000"),4,2)/60)+(RIGHT(TEXT($N99,"000000"),2)/3600)))</f>
        <v>35.846666666666671</v>
      </c>
      <c r="P99" s="252" t="s">
        <v>43</v>
      </c>
      <c r="Q99" s="253" t="s">
        <v>175</v>
      </c>
      <c r="R99" s="247" t="s">
        <v>3772</v>
      </c>
      <c r="S99" s="272" t="s">
        <v>3293</v>
      </c>
      <c r="T99" s="273">
        <v>14.7</v>
      </c>
      <c r="U99" s="274"/>
      <c r="V99" s="280"/>
      <c r="W99" s="244"/>
      <c r="X99" s="244"/>
      <c r="Y99" s="362"/>
      <c r="Z99" s="257">
        <f>altaz(J2000_Bas,$O99,$M99,DecLat,DecLong,1)</f>
        <v>-2.2805721480970789</v>
      </c>
      <c r="AA99" s="257">
        <f>altaz((J2000_Bas+(2*0.04167)),$O99,$M99,DecLat,DecLong,1)</f>
        <v>18.031771780549743</v>
      </c>
      <c r="AB99" s="257">
        <f>altaz((J2000_Bas+(4*0.04167)),$O99,$M99,DecLat,DecLong,1)</f>
        <v>41.052130782619138</v>
      </c>
      <c r="AC99" s="257">
        <f>altaz((J2000_Bas+(6*0.04167)),$O99,$M99,DecLat,DecLong,1)</f>
        <v>65.266691437214632</v>
      </c>
      <c r="AD99" s="258">
        <f>1+ transit((J2000_Bas-1),$O99,$M99,DecLat,DecLong)/360 + (GMTOffset/24) + (IF(DST="Y", 1, 0)/24)</f>
        <v>1.1191036517130415</v>
      </c>
      <c r="AE99" s="259">
        <f>DATE(2001,9,21)+(M99/360)*365 - (360*((DecLong/360)- (GMTOffset/24) ))</f>
        <v>37206.064351851855</v>
      </c>
      <c r="AF99" s="260">
        <f>IF(DecLat&gt;0,IF((90 - (DecLat-O99))&gt;90, (90 - (O99-DecLat)), (90 - (DecLat-O99))),IF((90 + (DecLat-O99))&gt;90, (90 + (O99-DecLat)), (90 + (DecLat-O99))))</f>
        <v>85.153333333333336</v>
      </c>
      <c r="AG99" s="257">
        <f>angularseperation(MoonRA,MoonDec,$M99,$O99)</f>
        <v>157.95831877124738</v>
      </c>
      <c r="AH99" s="261">
        <f ca="1">MIN(100,IF($O$5&gt;80,0+30*($AG99/100),IF($O$5&gt;70,0+50*($AG99/100),IF($O$5&gt;60,5+50*($AG99/100),IF($O$5&gt;50,10+60*($AG99/100),IF($O$5&gt;40,15+70*($AG99/100),IF($O$5&gt;30,20+70*($AG99/100),IF($O$5&gt;20,40+55*($AG99/100),(80+(20-$O$5)+30*($AG99/100))))))))))</f>
        <v>100</v>
      </c>
      <c r="AI99" s="262"/>
      <c r="AJ99" s="262"/>
      <c r="AK99" s="262"/>
      <c r="AL99" s="263"/>
      <c r="AM99" s="264"/>
      <c r="AN99" s="263"/>
      <c r="AO99" s="263"/>
      <c r="AP99" s="265">
        <v>407</v>
      </c>
      <c r="AQ99" s="266">
        <v>2489</v>
      </c>
      <c r="AR99" s="267"/>
      <c r="AS99" s="263"/>
      <c r="AT99" s="263"/>
      <c r="AU99" s="263"/>
      <c r="AV99" s="264"/>
      <c r="AW99" s="263"/>
      <c r="AX99" s="263"/>
      <c r="AY99" s="263"/>
      <c r="AZ99" s="263"/>
      <c r="BA99" s="263"/>
      <c r="BB99" s="263"/>
      <c r="BC99" s="263"/>
      <c r="BD99" s="264"/>
      <c r="BE99" s="263"/>
      <c r="BF99" s="263"/>
      <c r="BG99" s="263"/>
      <c r="BH99" s="263"/>
      <c r="BI99" s="263"/>
      <c r="BJ99" s="404">
        <f>altaz(J2000_Bas,$O99,$M99,DecLat,DecLong,2)</f>
        <v>44.95416957978167</v>
      </c>
      <c r="BK99" s="378" t="s">
        <v>3877</v>
      </c>
      <c r="BL99" s="379">
        <f>IF((2*G99)/60&lt;0.2,0.2,(2*G99)/60)</f>
        <v>1.3333333333333333</v>
      </c>
      <c r="BM99" s="380">
        <f>MOD((50000+AD99-$B$3+(0/24)),1)</f>
        <v>0.33447058141609887</v>
      </c>
      <c r="BN99" s="381"/>
      <c r="BO99" s="382">
        <v>99</v>
      </c>
    </row>
    <row r="100" spans="1:67" s="24" customFormat="1" ht="15" customHeight="1" x14ac:dyDescent="0.25">
      <c r="A100" s="411" t="s">
        <v>176</v>
      </c>
      <c r="B100" s="241" t="str">
        <f>HYPERLINK(CONCATENATE($AT$3,BK100,$AU$3),$AV$3)</f>
        <v>S</v>
      </c>
      <c r="C100" s="242" t="str">
        <f>HYPERLINK(CONCATENATE($AT$4,BK100,$AU$4,BL100),$AV$4)</f>
        <v>A</v>
      </c>
      <c r="D100" s="243" t="s">
        <v>5638</v>
      </c>
      <c r="E100" s="244" t="s">
        <v>5336</v>
      </c>
      <c r="F100" s="269">
        <v>90</v>
      </c>
      <c r="G100" s="282">
        <v>190</v>
      </c>
      <c r="H100" s="283">
        <v>200</v>
      </c>
      <c r="I100" s="284">
        <v>10600</v>
      </c>
      <c r="J100" s="246">
        <v>4</v>
      </c>
      <c r="K100" s="247" t="s">
        <v>5632</v>
      </c>
      <c r="L100" s="248">
        <v>31836</v>
      </c>
      <c r="M100" s="249">
        <f>15*(LEFT(TEXT($L100,"000000"),2)+(MID(TEXT($L100,"000000"),3,2)/60)+(RIGHT(TEXT($L100,"000000"),2)/3600))</f>
        <v>49.649999999999991</v>
      </c>
      <c r="N100" s="250">
        <v>413054</v>
      </c>
      <c r="O100" s="251">
        <f>IF($N100&gt;0,(LEFT(TEXT($N100,"000000"),2)+(MID(TEXT($N100,"000000"),3,2)/60)+(RIGHT(TEXT($N100,"000000"),2)/3600)),-(MID(TEXT($N100,"000000"),2,2)+(MID(TEXT($N100,"000000"),4,2)/60)+(RIGHT(TEXT($N100,"000000"),2)/3600)))</f>
        <v>41.515000000000001</v>
      </c>
      <c r="P100" s="252" t="s">
        <v>43</v>
      </c>
      <c r="Q100" s="253" t="s">
        <v>3252</v>
      </c>
      <c r="R100" s="247" t="s">
        <v>7348</v>
      </c>
      <c r="S100" s="272" t="s">
        <v>3293</v>
      </c>
      <c r="T100" s="273">
        <v>11.6</v>
      </c>
      <c r="U100" s="274"/>
      <c r="V100" s="280"/>
      <c r="W100" s="244"/>
      <c r="X100" s="244"/>
      <c r="Y100" s="362"/>
      <c r="Z100" s="257">
        <f>altaz(J2000_Bas,$O100,$M100,DecLat,DecLong,1)</f>
        <v>-0.81652483163114953</v>
      </c>
      <c r="AA100" s="257">
        <f>altaz((J2000_Bas+(2*0.04167)),$O100,$M100,DecLat,DecLong,1)</f>
        <v>17.547127840732809</v>
      </c>
      <c r="AB100" s="257">
        <f>altaz((J2000_Bas+(4*0.04167)),$O100,$M100,DecLat,DecLong,1)</f>
        <v>38.901031834311858</v>
      </c>
      <c r="AC100" s="257">
        <f>altaz((J2000_Bas+(6*0.04167)),$O100,$M100,DecLat,DecLong,1)</f>
        <v>61.311900520932795</v>
      </c>
      <c r="AD100" s="258">
        <f>1+ transit((J2000_Bas-1),$O100,$M100,DecLat,DecLong)/360 + (GMTOffset/24) + (IF(DST="Y", 1, 0)/24)</f>
        <v>1.130816613504708</v>
      </c>
      <c r="AE100" s="259">
        <f>DATE(2001,9,21)+(M100/360)*365 - (360*((DecLong/360)- (GMTOffset/24) ))</f>
        <v>37210.339583333334</v>
      </c>
      <c r="AF100" s="260">
        <f>IF(DecLat&gt;0,IF((90 - (DecLat-O100))&gt;90, (90 - (O100-DecLat)), (90 - (DecLat-O100))),IF((90 + (DecLat-O100))&gt;90, (90 + (O100-DecLat)), (90 + (DecLat-O100))))</f>
        <v>79.484999999999999</v>
      </c>
      <c r="AG100" s="257">
        <f>angularseperation(MoonRA,MoonDec,$M100,$O100)</f>
        <v>158.41173483267585</v>
      </c>
      <c r="AH100" s="261">
        <f ca="1">MIN(100,IF($O$5&gt;80,0+30*($AG100/100),IF($O$5&gt;70,0+50*($AG100/100),IF($O$5&gt;60,5+50*($AG100/100),IF($O$5&gt;50,10+60*($AG100/100),IF($O$5&gt;40,15+70*($AG100/100),IF($O$5&gt;30,20+70*($AG100/100),IF($O$5&gt;20,40+55*($AG100/100),(80+(20-$O$5)+30*($AG100/100))))))))))</f>
        <v>100</v>
      </c>
      <c r="AI100" s="262">
        <v>1275</v>
      </c>
      <c r="AJ100" s="262"/>
      <c r="AK100" s="262"/>
      <c r="AL100" s="263"/>
      <c r="AM100" s="264">
        <v>24</v>
      </c>
      <c r="AN100" s="263"/>
      <c r="AO100" s="263"/>
      <c r="AP100" s="265">
        <v>426</v>
      </c>
      <c r="AQ100" s="266">
        <v>2669</v>
      </c>
      <c r="AR100" s="267">
        <v>12429</v>
      </c>
      <c r="AS100" s="263"/>
      <c r="AT100" s="263"/>
      <c r="AU100" s="263"/>
      <c r="AV100" s="264"/>
      <c r="AW100" s="263"/>
      <c r="AX100" s="263"/>
      <c r="AY100" s="263"/>
      <c r="AZ100" s="263"/>
      <c r="BA100" s="263"/>
      <c r="BB100" s="263"/>
      <c r="BC100" s="263"/>
      <c r="BD100" s="264"/>
      <c r="BE100" s="263"/>
      <c r="BF100" s="263"/>
      <c r="BG100" s="263"/>
      <c r="BH100" s="263"/>
      <c r="BI100" s="263"/>
      <c r="BJ100" s="404">
        <f>altaz(J2000_Bas,$O100,$M100,DecLat,DecLong,2)</f>
        <v>38.564635257069781</v>
      </c>
      <c r="BK100" s="378" t="s">
        <v>3878</v>
      </c>
      <c r="BL100" s="379">
        <f>IF((2*G100)/60&lt;0.2,0.2,(2*G100)/60)</f>
        <v>6.333333333333333</v>
      </c>
      <c r="BM100" s="380">
        <f>MOD((50000+AD100-$B$3+(0/24)),1)</f>
        <v>0.34618354320991784</v>
      </c>
      <c r="BN100" s="381"/>
      <c r="BO100" s="382">
        <v>100</v>
      </c>
    </row>
    <row r="101" spans="1:67" s="24" customFormat="1" ht="15" customHeight="1" x14ac:dyDescent="0.25">
      <c r="A101" s="411" t="s">
        <v>177</v>
      </c>
      <c r="B101" s="241" t="str">
        <f>HYPERLINK(CONCATENATE($AT$3,BK101,$AU$3),$AV$3)</f>
        <v>S</v>
      </c>
      <c r="C101" s="242" t="str">
        <f>HYPERLINK(CONCATENATE($AT$4,BK101,$AU$4,BL101),$AV$4)</f>
        <v>A</v>
      </c>
      <c r="D101" s="243" t="s">
        <v>5638</v>
      </c>
      <c r="E101" s="244" t="s">
        <v>5336</v>
      </c>
      <c r="F101" s="269">
        <v>50</v>
      </c>
      <c r="G101" s="282">
        <v>20</v>
      </c>
      <c r="H101" s="283">
        <v>400</v>
      </c>
      <c r="I101" s="284">
        <v>2500</v>
      </c>
      <c r="J101" s="246">
        <v>3</v>
      </c>
      <c r="K101" s="247" t="s">
        <v>3785</v>
      </c>
      <c r="L101" s="248">
        <v>51635</v>
      </c>
      <c r="M101" s="249">
        <f>15*(LEFT(TEXT($L101,"000000"),2)+(MID(TEXT($L101,"000000"),3,2)/60)+(RIGHT(TEXT($L101,"000000"),2)/3600))</f>
        <v>79.145833333333329</v>
      </c>
      <c r="N101" s="250">
        <v>62814</v>
      </c>
      <c r="O101" s="251">
        <f>IF($N101&gt;0,(LEFT(TEXT($N101,"000000"),2)+(MID(TEXT($N101,"000000"),3,2)/60)+(RIGHT(TEXT($N101,"000000"),2)/3600)),-(MID(TEXT($N101,"000000"),2,2)+(MID(TEXT($N101,"000000"),4,2)/60)+(RIGHT(TEXT($N101,"000000"),2)/3600)))</f>
        <v>6.4705555555555554</v>
      </c>
      <c r="P101" s="252" t="s">
        <v>41</v>
      </c>
      <c r="Q101" s="253"/>
      <c r="R101" s="247" t="s">
        <v>3773</v>
      </c>
      <c r="S101" s="272" t="s">
        <v>3782</v>
      </c>
      <c r="T101" s="273">
        <v>14.4</v>
      </c>
      <c r="U101" s="274"/>
      <c r="V101" s="280"/>
      <c r="W101" s="244"/>
      <c r="X101" s="244"/>
      <c r="Y101" s="362"/>
      <c r="Z101" s="257">
        <f>altaz(J2000_Bas,$O101,$M101,DecLat,DecLong,1)</f>
        <v>-44.57156824166173</v>
      </c>
      <c r="AA101" s="257">
        <f>altaz((J2000_Bas+(2*0.04167)),$O101,$M101,DecLat,DecLong,1)</f>
        <v>-23.989111701383521</v>
      </c>
      <c r="AB101" s="257">
        <f>altaz((J2000_Bas+(4*0.04167)),$O101,$M101,DecLat,DecLong,1)</f>
        <v>0.79358807419323174</v>
      </c>
      <c r="AC101" s="257">
        <f>altaz((J2000_Bas+(6*0.04167)),$O101,$M101,DecLat,DecLong,1)</f>
        <v>26.498202961122828</v>
      </c>
      <c r="AD101" s="258">
        <f>1+ transit((J2000_Bas-1),$O101,$M101,DecLat,DecLong)/360 + (GMTOffset/24) + (IF(DST="Y", 1, 0)/24)</f>
        <v>1.2127494756817914</v>
      </c>
      <c r="AE101" s="259">
        <f>DATE(2001,9,21)+(M101/360)*365 - (360*((DecLong/360)- (GMTOffset/24) ))</f>
        <v>37240.245081018518</v>
      </c>
      <c r="AF101" s="260">
        <f>IF(DecLat&gt;0,IF((90 - (DecLat-O101))&gt;90, (90 - (O101-DecLat)), (90 - (DecLat-O101))),IF((90 + (DecLat-O101))&gt;90, (90 + (O101-DecLat)), (90 + (DecLat-O101))))</f>
        <v>65.470555555555563</v>
      </c>
      <c r="AG101" s="257">
        <f>angularseperation(MoonRA,MoonDec,$M101,$O101)</f>
        <v>157.33782749579154</v>
      </c>
      <c r="AH101" s="261">
        <f ca="1">MIN(100,IF($O$5&gt;80,0+30*($AG101/100),IF($O$5&gt;70,0+50*($AG101/100),IF($O$5&gt;60,5+50*($AG101/100),IF($O$5&gt;50,10+60*($AG101/100),IF($O$5&gt;40,15+70*($AG101/100),IF($O$5&gt;30,20+70*($AG101/100),IF($O$5&gt;20,40+55*($AG101/100),(80+(20-$O$5)+30*($AG101/100))))))))))</f>
        <v>100</v>
      </c>
      <c r="AI101" s="262"/>
      <c r="AJ101" s="262"/>
      <c r="AK101" s="262"/>
      <c r="AL101" s="263"/>
      <c r="AM101" s="264"/>
      <c r="AN101" s="263"/>
      <c r="AO101" s="263"/>
      <c r="AP101" s="265">
        <v>539</v>
      </c>
      <c r="AQ101" s="266"/>
      <c r="AR101" s="267"/>
      <c r="AS101" s="263"/>
      <c r="AT101" s="263"/>
      <c r="AU101" s="263"/>
      <c r="AV101" s="264"/>
      <c r="AW101" s="263"/>
      <c r="AX101" s="263"/>
      <c r="AY101" s="263"/>
      <c r="AZ101" s="263"/>
      <c r="BA101" s="263"/>
      <c r="BB101" s="263"/>
      <c r="BC101" s="263"/>
      <c r="BD101" s="264"/>
      <c r="BE101" s="263"/>
      <c r="BF101" s="263"/>
      <c r="BG101" s="263"/>
      <c r="BH101" s="263"/>
      <c r="BI101" s="263"/>
      <c r="BJ101" s="404">
        <f>altaz(J2000_Bas,$O101,$M101,DecLat,DecLong,2)</f>
        <v>39.059283500480213</v>
      </c>
      <c r="BK101" s="378" t="s">
        <v>3879</v>
      </c>
      <c r="BL101" s="379">
        <f>IF((2*G101)/60&lt;0.2,0.2,(2*G101)/60)</f>
        <v>0.66666666666666663</v>
      </c>
      <c r="BM101" s="380">
        <f>MOD((50000+AD101-$B$3+(0/24)),1)</f>
        <v>0.42811640538275242</v>
      </c>
      <c r="BN101" s="381" t="s">
        <v>9218</v>
      </c>
      <c r="BO101" s="382">
        <v>101</v>
      </c>
    </row>
    <row r="102" spans="1:67" s="24" customFormat="1" ht="15" customHeight="1" x14ac:dyDescent="0.25">
      <c r="A102" s="412" t="s">
        <v>178</v>
      </c>
      <c r="B102" s="241" t="str">
        <f>HYPERLINK(CONCATENATE($AT$3,BK102,$AU$3),$AV$3)</f>
        <v>S</v>
      </c>
      <c r="C102" s="242" t="str">
        <f>HYPERLINK(CONCATENATE($AT$4,BK102,$AU$4,BL102),$AV$4)</f>
        <v>A</v>
      </c>
      <c r="D102" s="243" t="s">
        <v>5638</v>
      </c>
      <c r="E102" s="244" t="s">
        <v>5336</v>
      </c>
      <c r="F102" s="269">
        <v>40</v>
      </c>
      <c r="G102" s="282">
        <v>30</v>
      </c>
      <c r="H102" s="283">
        <v>250</v>
      </c>
      <c r="I102" s="284">
        <v>2200</v>
      </c>
      <c r="J102" s="246">
        <v>2</v>
      </c>
      <c r="K102" s="247" t="s">
        <v>7260</v>
      </c>
      <c r="L102" s="248">
        <v>70910</v>
      </c>
      <c r="M102" s="249">
        <f>15*(LEFT(TEXT($L102,"000000"),2)+(MID(TEXT($L102,"000000"),3,2)/60)+(RIGHT(TEXT($L102,"000000"),2)/3600))</f>
        <v>107.29166666666669</v>
      </c>
      <c r="N102" s="250">
        <v>483810</v>
      </c>
      <c r="O102" s="251">
        <f>IF($N102&gt;0,(LEFT(TEXT($N102,"000000"),2)+(MID(TEXT($N102,"000000"),3,2)/60)+(RIGHT(TEXT($N102,"000000"),2)/3600)),-(MID(TEXT($N102,"000000"),2,2)+(MID(TEXT($N102,"000000"),4,2)/60)+(RIGHT(TEXT($N102,"000000"),2)/3600)))</f>
        <v>48.636111111111113</v>
      </c>
      <c r="P102" s="252" t="s">
        <v>82</v>
      </c>
      <c r="Q102" s="253"/>
      <c r="R102" s="277" t="s">
        <v>3774</v>
      </c>
      <c r="S102" s="272" t="s">
        <v>3293</v>
      </c>
      <c r="T102" s="273">
        <v>13.8</v>
      </c>
      <c r="U102" s="274"/>
      <c r="V102" s="280"/>
      <c r="W102" s="244"/>
      <c r="X102" s="244"/>
      <c r="Y102" s="362"/>
      <c r="Z102" s="257">
        <f>altaz(J2000_Bas,$O102,$M102,DecLat,DecLong,1)</f>
        <v>-10.355539378146259</v>
      </c>
      <c r="AA102" s="257">
        <f>altaz((J2000_Bas+(2*0.04167)),$O102,$M102,DecLat,DecLong,1)</f>
        <v>-6.3069334482308017</v>
      </c>
      <c r="AB102" s="257">
        <f>altaz((J2000_Bas+(4*0.04167)),$O102,$M102,DecLat,DecLong,1)</f>
        <v>5.3817610511707992</v>
      </c>
      <c r="AC102" s="257">
        <f>altaz((J2000_Bas+(6*0.04167)),$O102,$M102,DecLat,DecLong,1)</f>
        <v>22.105576493070931</v>
      </c>
      <c r="AD102" s="258">
        <f>1+ transit((J2000_Bas-1),$O102,$M102,DecLat,DecLong)/360 + (GMTOffset/24) + (IF(DST="Y", 1, 0)/24)</f>
        <v>1.2909323382338747</v>
      </c>
      <c r="AE102" s="259">
        <f>DATE(2001,9,21)+(M102/360)*365 - (360*((DecLong/360)- (GMTOffset/24) ))</f>
        <v>37268.781828703701</v>
      </c>
      <c r="AF102" s="260">
        <f>IF(DecLat&gt;0,IF((90 - (DecLat-O102))&gt;90, (90 - (O102-DecLat)), (90 - (DecLat-O102))),IF((90 + (DecLat-O102))&gt;90, (90 + (O102-DecLat)), (90 + (DecLat-O102))))</f>
        <v>72.36388888888888</v>
      </c>
      <c r="AG102" s="257">
        <f>angularseperation(MoonRA,MoonDec,$M102,$O102)</f>
        <v>143.61425496628468</v>
      </c>
      <c r="AH102" s="261">
        <f ca="1">MIN(100,IF($O$5&gt;80,0+30*($AG102/100),IF($O$5&gt;70,0+50*($AG102/100),IF($O$5&gt;60,5+50*($AG102/100),IF($O$5&gt;50,10+60*($AG102/100),IF($O$5&gt;40,15+70*($AG102/100),IF($O$5&gt;30,20+70*($AG102/100),IF($O$5&gt;20,40+55*($AG102/100),(80+(20-$O$5)+30*($AG102/100))))))))))</f>
        <v>100</v>
      </c>
      <c r="AI102" s="263"/>
      <c r="AJ102" s="263"/>
      <c r="AK102" s="263"/>
      <c r="AL102" s="263"/>
      <c r="AM102" s="264"/>
      <c r="AN102" s="263"/>
      <c r="AO102" s="263"/>
      <c r="AP102" s="265">
        <v>569</v>
      </c>
      <c r="AQ102" s="265"/>
      <c r="AR102" s="285"/>
      <c r="AS102" s="263"/>
      <c r="AT102" s="263"/>
      <c r="AU102" s="263"/>
      <c r="AV102" s="264"/>
      <c r="AW102" s="263"/>
      <c r="AX102" s="263"/>
      <c r="AY102" s="263"/>
      <c r="AZ102" s="263"/>
      <c r="BA102" s="263"/>
      <c r="BB102" s="263"/>
      <c r="BC102" s="263"/>
      <c r="BD102" s="264"/>
      <c r="BE102" s="263"/>
      <c r="BF102" s="263"/>
      <c r="BG102" s="263"/>
      <c r="BH102" s="263"/>
      <c r="BI102" s="263"/>
      <c r="BJ102" s="404">
        <f>altaz(J2000_Bas,$O102,$M102,DecLat,DecLong,2)</f>
        <v>359.13408712820586</v>
      </c>
      <c r="BK102" s="378" t="s">
        <v>3880</v>
      </c>
      <c r="BL102" s="379">
        <f>IF((2*G102)/60&lt;0.2,0.2,(2*G102)/60)</f>
        <v>1</v>
      </c>
      <c r="BM102" s="380">
        <f>MOD((50000+AD102-$B$3+(0/24)),1)</f>
        <v>0.50629926793772029</v>
      </c>
      <c r="BN102" s="381"/>
      <c r="BO102" s="382">
        <v>102</v>
      </c>
    </row>
    <row r="103" spans="1:67" s="24" customFormat="1" ht="15" customHeight="1" x14ac:dyDescent="0.25">
      <c r="A103" s="411" t="s">
        <v>179</v>
      </c>
      <c r="B103" s="241" t="str">
        <f>HYPERLINK(CONCATENATE($AT$3,BK103,$AU$3),$AV$3)</f>
        <v>S</v>
      </c>
      <c r="C103" s="242" t="str">
        <f>HYPERLINK(CONCATENATE($AT$4,BK103,$AU$4,BL103),$AV$4)</f>
        <v>A</v>
      </c>
      <c r="D103" s="243" t="s">
        <v>5638</v>
      </c>
      <c r="E103" s="244" t="s">
        <v>5336</v>
      </c>
      <c r="F103" s="269">
        <v>40</v>
      </c>
      <c r="G103" s="282">
        <v>30</v>
      </c>
      <c r="H103" s="283">
        <v>370</v>
      </c>
      <c r="I103" s="284">
        <v>3000</v>
      </c>
      <c r="J103" s="246">
        <v>1</v>
      </c>
      <c r="K103" s="247" t="s">
        <v>5757</v>
      </c>
      <c r="L103" s="248">
        <v>81434</v>
      </c>
      <c r="M103" s="249">
        <f>15*(LEFT(TEXT($L103,"000000"),2)+(MID(TEXT($L103,"000000"),3,2)/60)+(RIGHT(TEXT($L103,"000000"),2)/3600))</f>
        <v>123.64166666666665</v>
      </c>
      <c r="N103" s="250">
        <v>580252</v>
      </c>
      <c r="O103" s="251">
        <f>IF($N103&gt;0,(LEFT(TEXT($N103,"000000"),2)+(MID(TEXT($N103,"000000"),3,2)/60)+(RIGHT(TEXT($N103,"000000"),2)/3600)),-(MID(TEXT($N103,"000000"),2,2)+(MID(TEXT($N103,"000000"),4,2)/60)+(RIGHT(TEXT($N103,"000000"),2)/3600)))</f>
        <v>58.047777777777775</v>
      </c>
      <c r="P103" s="252" t="s">
        <v>82</v>
      </c>
      <c r="Q103" s="253"/>
      <c r="R103" s="277" t="s">
        <v>3293</v>
      </c>
      <c r="S103" s="272" t="s">
        <v>3293</v>
      </c>
      <c r="T103" s="273">
        <v>14.9</v>
      </c>
      <c r="U103" s="274"/>
      <c r="V103" s="280"/>
      <c r="W103" s="244"/>
      <c r="X103" s="244"/>
      <c r="Y103" s="362"/>
      <c r="Z103" s="257">
        <f>altaz(J2000_Bas,$O103,$M103,DecLat,DecLong,1)</f>
        <v>0.26979004327697204</v>
      </c>
      <c r="AA103" s="257">
        <f>altaz((J2000_Bas+(2*0.04167)),$O103,$M103,DecLat,DecLong,1)</f>
        <v>-0.34143627312250729</v>
      </c>
      <c r="AB103" s="257">
        <f>altaz((J2000_Bas+(4*0.04167)),$O103,$M103,DecLat,DecLong,1)</f>
        <v>5.8957757065729082</v>
      </c>
      <c r="AC103" s="257">
        <f>altaz((J2000_Bas+(6*0.04167)),$O103,$M103,DecLat,DecLong,1)</f>
        <v>17.545490501318849</v>
      </c>
      <c r="AD103" s="258">
        <f>1+ transit((J2000_Bas-1),$O103,$M103,DecLat,DecLong)/360 + (GMTOffset/24) + (IF(DST="Y", 1, 0)/24)</f>
        <v>1.3363490003588747</v>
      </c>
      <c r="AE103" s="259">
        <f>DATE(2001,9,21)+(M103/360)*365 - (360*((DecLong/360)- (GMTOffset/24) ))</f>
        <v>37285.358912037038</v>
      </c>
      <c r="AF103" s="260">
        <f>IF(DecLat&gt;0,IF((90 - (DecLat-O103))&gt;90, (90 - (O103-DecLat)), (90 - (DecLat-O103))),IF((90 + (DecLat-O103))&gt;90, (90 + (O103-DecLat)), (90 + (DecLat-O103))))</f>
        <v>62.952222222222225</v>
      </c>
      <c r="AG103" s="257">
        <f>angularseperation(MoonRA,MoonDec,$M103,$O103)</f>
        <v>131.34570133140423</v>
      </c>
      <c r="AH103" s="261">
        <f ca="1">MIN(100,IF($O$5&gt;80,0+30*($AG103/100),IF($O$5&gt;70,0+50*($AG103/100),IF($O$5&gt;60,5+50*($AG103/100),IF($O$5&gt;50,10+60*($AG103/100),IF($O$5&gt;40,15+70*($AG103/100),IF($O$5&gt;30,20+70*($AG103/100),IF($O$5&gt;20,40+55*($AG103/100),(80+(20-$O$5)+30*($AG103/100))))))))))</f>
        <v>100</v>
      </c>
      <c r="AI103" s="263"/>
      <c r="AJ103" s="263"/>
      <c r="AK103" s="263"/>
      <c r="AL103" s="263"/>
      <c r="AM103" s="264"/>
      <c r="AN103" s="263"/>
      <c r="AO103" s="263"/>
      <c r="AP103" s="265">
        <v>634</v>
      </c>
      <c r="AQ103" s="265"/>
      <c r="AR103" s="285"/>
      <c r="AS103" s="263"/>
      <c r="AT103" s="263"/>
      <c r="AU103" s="263"/>
      <c r="AV103" s="264"/>
      <c r="AW103" s="263"/>
      <c r="AX103" s="263"/>
      <c r="AY103" s="263"/>
      <c r="AZ103" s="263"/>
      <c r="BA103" s="263"/>
      <c r="BB103" s="263"/>
      <c r="BC103" s="263"/>
      <c r="BD103" s="264"/>
      <c r="BE103" s="263"/>
      <c r="BF103" s="263"/>
      <c r="BG103" s="263"/>
      <c r="BH103" s="263"/>
      <c r="BI103" s="263"/>
      <c r="BJ103" s="404">
        <f>altaz(J2000_Bas,$O103,$M103,DecLat,DecLong,2)</f>
        <v>350.7720217915807</v>
      </c>
      <c r="BK103" s="378" t="s">
        <v>3881</v>
      </c>
      <c r="BL103" s="379">
        <f>IF((2*G103)/60&lt;0.2,0.2,(2*G103)/60)</f>
        <v>1</v>
      </c>
      <c r="BM103" s="380">
        <f>MOD((50000+AD103-$B$3+(0/24)),1)</f>
        <v>0.55171593006525654</v>
      </c>
      <c r="BN103" s="381"/>
      <c r="BO103" s="382">
        <v>103</v>
      </c>
    </row>
    <row r="104" spans="1:67" s="24" customFormat="1" ht="15" customHeight="1" x14ac:dyDescent="0.25">
      <c r="A104" s="411" t="s">
        <v>180</v>
      </c>
      <c r="B104" s="241" t="str">
        <f>HYPERLINK(CONCATENATE($AT$3,BK104,$AU$3),$AV$3)</f>
        <v>S</v>
      </c>
      <c r="C104" s="242" t="str">
        <f>HYPERLINK(CONCATENATE($AT$4,BK104,$AU$4,BL104),$AV$4)</f>
        <v>A</v>
      </c>
      <c r="D104" s="243" t="s">
        <v>5638</v>
      </c>
      <c r="E104" s="244" t="s">
        <v>5336</v>
      </c>
      <c r="F104" s="269">
        <v>90</v>
      </c>
      <c r="G104" s="282">
        <v>50</v>
      </c>
      <c r="H104" s="283">
        <v>800</v>
      </c>
      <c r="I104" s="284">
        <v>11000</v>
      </c>
      <c r="J104" s="246">
        <v>2</v>
      </c>
      <c r="K104" s="247" t="s">
        <v>3783</v>
      </c>
      <c r="L104" s="248">
        <v>90850</v>
      </c>
      <c r="M104" s="249">
        <f>15*(LEFT(TEXT($L104,"000000"),2)+(MID(TEXT($L104,"000000"),3,2)/60)+(RIGHT(TEXT($L104,"000000"),2)/3600))</f>
        <v>137.20833333333334</v>
      </c>
      <c r="N104" s="250">
        <v>-93912</v>
      </c>
      <c r="O104" s="251">
        <f>IF($N104&gt;0,(LEFT(TEXT($N104,"000000"),2)+(MID(TEXT($N104,"000000"),3,2)/60)+(RIGHT(TEXT($N104,"000000"),2)/3600)),-(MID(TEXT($N104,"000000"),2,2)+(MID(TEXT($N104,"000000"),4,2)/60)+(RIGHT(TEXT($N104,"000000"),2)/3600)))</f>
        <v>-9.6533333333333342</v>
      </c>
      <c r="P104" s="252" t="s">
        <v>103</v>
      </c>
      <c r="Q104" s="253"/>
      <c r="R104" s="247" t="s">
        <v>3293</v>
      </c>
      <c r="S104" s="272" t="s">
        <v>3293</v>
      </c>
      <c r="T104" s="273">
        <v>15.2</v>
      </c>
      <c r="U104" s="274"/>
      <c r="V104" s="280"/>
      <c r="W104" s="244"/>
      <c r="X104" s="244"/>
      <c r="Y104" s="362"/>
      <c r="Z104" s="257">
        <f>altaz(J2000_Bas,$O104,$M104,DecLat,DecLong,1)</f>
        <v>-54.011006774800663</v>
      </c>
      <c r="AA104" s="257">
        <f>altaz((J2000_Bas+(2*0.04167)),$O104,$M104,DecLat,DecLong,1)</f>
        <v>-68.62788362118107</v>
      </c>
      <c r="AB104" s="257">
        <f>altaz((J2000_Bas+(4*0.04167)),$O104,$M104,DecLat,DecLong,1)</f>
        <v>-55.660196360180755</v>
      </c>
      <c r="AC104" s="257">
        <f>altaz((J2000_Bas+(6*0.04167)),$O104,$M104,DecLat,DecLong,1)</f>
        <v>-31.398117923658802</v>
      </c>
      <c r="AD104" s="258">
        <f>1+ transit((J2000_Bas-1),$O104,$M104,DecLat,DecLong)/360 + (GMTOffset/24) + (IF(DST="Y", 1, 0)/24)</f>
        <v>1.3740341817755415</v>
      </c>
      <c r="AE104" s="259">
        <f>DATE(2001,9,21)+(M104/360)*365 - (360*((DecLong/360)- (GMTOffset/24) ))</f>
        <v>37299.114004629628</v>
      </c>
      <c r="AF104" s="260">
        <f>IF(DecLat&gt;0,IF((90 - (DecLat-O104))&gt;90, (90 - (O104-DecLat)), (90 - (DecLat-O104))),IF((90 + (DecLat-O104))&gt;90, (90 + (O104-DecLat)), (90 + (DecLat-O104))))</f>
        <v>49.346666666666664</v>
      </c>
      <c r="AG104" s="257">
        <f>angularseperation(MoonRA,MoonDec,$M104,$O104)</f>
        <v>104.65119642113946</v>
      </c>
      <c r="AH104" s="261">
        <f ca="1">MIN(100,IF($O$5&gt;80,0+30*($AG104/100),IF($O$5&gt;70,0+50*($AG104/100),IF($O$5&gt;60,5+50*($AG104/100),IF($O$5&gt;50,10+60*($AG104/100),IF($O$5&gt;40,15+70*($AG104/100),IF($O$5&gt;30,20+70*($AG104/100),IF($O$5&gt;20,40+55*($AG104/100),(80+(20-$O$5)+30*($AG104/100))))))))))</f>
        <v>100</v>
      </c>
      <c r="AI104" s="262"/>
      <c r="AJ104" s="262"/>
      <c r="AK104" s="262"/>
      <c r="AL104" s="263"/>
      <c r="AM104" s="264"/>
      <c r="AN104" s="263"/>
      <c r="AO104" s="263"/>
      <c r="AP104" s="265">
        <v>754</v>
      </c>
      <c r="AQ104" s="266"/>
      <c r="AR104" s="267"/>
      <c r="AS104" s="263"/>
      <c r="AT104" s="263"/>
      <c r="AU104" s="263"/>
      <c r="AV104" s="264"/>
      <c r="AW104" s="263"/>
      <c r="AX104" s="263"/>
      <c r="AY104" s="263"/>
      <c r="AZ104" s="263"/>
      <c r="BA104" s="263"/>
      <c r="BB104" s="263"/>
      <c r="BC104" s="263"/>
      <c r="BD104" s="264"/>
      <c r="BE104" s="263"/>
      <c r="BF104" s="263"/>
      <c r="BG104" s="263"/>
      <c r="BH104" s="263"/>
      <c r="BI104" s="263"/>
      <c r="BJ104" s="404">
        <f>altaz(J2000_Bas,$O104,$M104,DecLat,DecLong,2)</f>
        <v>299.6326001035867</v>
      </c>
      <c r="BK104" s="378" t="s">
        <v>3882</v>
      </c>
      <c r="BL104" s="379">
        <f>IF((2*G104)/60&lt;0.2,0.2,(2*G104)/60)</f>
        <v>1.6666666666666667</v>
      </c>
      <c r="BM104" s="380">
        <f>MOD((50000+AD104-$B$3+(0/24)),1)</f>
        <v>0.589401111479674</v>
      </c>
      <c r="BN104" s="381"/>
      <c r="BO104" s="382">
        <v>104</v>
      </c>
    </row>
    <row r="105" spans="1:67" s="24" customFormat="1" ht="15" customHeight="1" x14ac:dyDescent="0.25">
      <c r="A105" s="411" t="s">
        <v>181</v>
      </c>
      <c r="B105" s="241" t="str">
        <f>HYPERLINK(CONCATENATE($AT$3,BK105,$AU$3),$AV$3)</f>
        <v>S</v>
      </c>
      <c r="C105" s="242" t="str">
        <f>HYPERLINK(CONCATENATE($AT$4,BK105,$AU$4,BL105),$AV$4)</f>
        <v>A</v>
      </c>
      <c r="D105" s="243" t="s">
        <v>5638</v>
      </c>
      <c r="E105" s="244" t="s">
        <v>5336</v>
      </c>
      <c r="F105" s="269">
        <v>30</v>
      </c>
      <c r="G105" s="282">
        <v>50</v>
      </c>
      <c r="H105" s="283">
        <v>300</v>
      </c>
      <c r="I105" s="284">
        <v>4500</v>
      </c>
      <c r="J105" s="246">
        <v>2</v>
      </c>
      <c r="K105" s="247" t="s">
        <v>6389</v>
      </c>
      <c r="L105" s="248">
        <v>91951</v>
      </c>
      <c r="M105" s="249">
        <f>15*(LEFT(TEXT($L105,"000000"),2)+(MID(TEXT($L105,"000000"),3,2)/60)+(RIGHT(TEXT($L105,"000000"),2)/3600))</f>
        <v>139.96249999999998</v>
      </c>
      <c r="N105" s="250">
        <v>334617</v>
      </c>
      <c r="O105" s="251">
        <f>IF($N105&gt;0,(LEFT(TEXT($N105,"000000"),2)+(MID(TEXT($N105,"000000"),3,2)/60)+(RIGHT(TEXT($N105,"000000"),2)/3600)),-(MID(TEXT($N105,"000000"),2,2)+(MID(TEXT($N105,"000000"),4,2)/60)+(RIGHT(TEXT($N105,"000000"),2)/3600)))</f>
        <v>33.771388888888886</v>
      </c>
      <c r="P105" s="252" t="s">
        <v>82</v>
      </c>
      <c r="Q105" s="253"/>
      <c r="R105" s="247" t="s">
        <v>3293</v>
      </c>
      <c r="S105" s="272" t="s">
        <v>3293</v>
      </c>
      <c r="T105" s="273">
        <v>13.8</v>
      </c>
      <c r="U105" s="274"/>
      <c r="V105" s="280"/>
      <c r="W105" s="244"/>
      <c r="X105" s="244"/>
      <c r="Y105" s="362"/>
      <c r="Z105" s="257">
        <f>altaz(J2000_Bas,$O105,$M105,DecLat,DecLong,1)</f>
        <v>-17.739754537450636</v>
      </c>
      <c r="AA105" s="257">
        <f>altaz((J2000_Bas+(2*0.04167)),$O105,$M105,DecLat,DecLong,1)</f>
        <v>-25.125464438235703</v>
      </c>
      <c r="AB105" s="257">
        <f>altaz((J2000_Bas+(4*0.04167)),$O105,$M105,DecLat,DecLong,1)</f>
        <v>-20.669320347329847</v>
      </c>
      <c r="AC105" s="257">
        <f>altaz((J2000_Bas+(6*0.04167)),$O105,$M105,DecLat,DecLong,1)</f>
        <v>-6.2639337151691823</v>
      </c>
      <c r="AD105" s="258">
        <f>1+ transit((J2000_Bas-1),$O105,$M105,DecLat,DecLong)/360 + (GMTOffset/24) + (IF(DST="Y", 1, 0)/24)</f>
        <v>1.381684643973458</v>
      </c>
      <c r="AE105" s="259">
        <f>DATE(2001,9,21)+(M105/360)*365 - (360*((DecLong/360)- (GMTOffset/24) ))</f>
        <v>37301.906423611108</v>
      </c>
      <c r="AF105" s="260">
        <f>IF(DecLat&gt;0,IF((90 - (DecLat-O105))&gt;90, (90 - (O105-DecLat)), (90 - (DecLat-O105))),IF((90 + (DecLat-O105))&gt;90, (90 + (O105-DecLat)), (90 + (DecLat-O105))))</f>
        <v>87.228611111111121</v>
      </c>
      <c r="AG105" s="257">
        <f>angularseperation(MoonRA,MoonDec,$M105,$O105)</f>
        <v>119.83180800328725</v>
      </c>
      <c r="AH105" s="261">
        <f ca="1">MIN(100,IF($O$5&gt;80,0+30*($AG105/100),IF($O$5&gt;70,0+50*($AG105/100),IF($O$5&gt;60,5+50*($AG105/100),IF($O$5&gt;50,10+60*($AG105/100),IF($O$5&gt;40,15+70*($AG105/100),IF($O$5&gt;30,20+70*($AG105/100),IF($O$5&gt;20,40+55*($AG105/100),(80+(20-$O$5)+30*($AG105/100))))))))))</f>
        <v>100</v>
      </c>
      <c r="AI105" s="262"/>
      <c r="AJ105" s="262"/>
      <c r="AK105" s="262"/>
      <c r="AL105" s="263"/>
      <c r="AM105" s="264"/>
      <c r="AN105" s="263"/>
      <c r="AO105" s="263"/>
      <c r="AP105" s="265">
        <v>779</v>
      </c>
      <c r="AQ105" s="266"/>
      <c r="AR105" s="267"/>
      <c r="AS105" s="263"/>
      <c r="AT105" s="263"/>
      <c r="AU105" s="263"/>
      <c r="AV105" s="264"/>
      <c r="AW105" s="263"/>
      <c r="AX105" s="263"/>
      <c r="AY105" s="263"/>
      <c r="AZ105" s="263"/>
      <c r="BA105" s="263"/>
      <c r="BB105" s="263"/>
      <c r="BC105" s="263"/>
      <c r="BD105" s="264"/>
      <c r="BE105" s="263"/>
      <c r="BF105" s="263"/>
      <c r="BG105" s="263"/>
      <c r="BH105" s="263"/>
      <c r="BI105" s="263"/>
      <c r="BJ105" s="404">
        <f>altaz(J2000_Bas,$O105,$M105,DecLat,DecLong,2)</f>
        <v>330.82128770589293</v>
      </c>
      <c r="BK105" s="378" t="s">
        <v>3883</v>
      </c>
      <c r="BL105" s="379">
        <f>IF((2*G105)/60&lt;0.2,0.2,(2*G105)/60)</f>
        <v>1.6666666666666667</v>
      </c>
      <c r="BM105" s="380">
        <f>MOD((50000+AD105-$B$3+(0/24)),1)</f>
        <v>0.59705157367716311</v>
      </c>
      <c r="BN105" s="381"/>
      <c r="BO105" s="382">
        <v>105</v>
      </c>
    </row>
    <row r="106" spans="1:67" s="24" customFormat="1" ht="15" customHeight="1" x14ac:dyDescent="0.25">
      <c r="A106" s="411" t="s">
        <v>182</v>
      </c>
      <c r="B106" s="241" t="str">
        <f>HYPERLINK(CONCATENATE($AT$3,BK106,$AU$3),$AV$3)</f>
        <v>S</v>
      </c>
      <c r="C106" s="242" t="str">
        <f>HYPERLINK(CONCATENATE($AT$4,BK106,$AU$4,BL106),$AV$4)</f>
        <v>A</v>
      </c>
      <c r="D106" s="243" t="s">
        <v>5638</v>
      </c>
      <c r="E106" s="244" t="s">
        <v>5336</v>
      </c>
      <c r="F106" s="269">
        <v>50</v>
      </c>
      <c r="G106" s="282">
        <v>170</v>
      </c>
      <c r="H106" s="283">
        <v>180</v>
      </c>
      <c r="I106" s="284">
        <v>9000</v>
      </c>
      <c r="J106" s="246">
        <v>3</v>
      </c>
      <c r="K106" s="247" t="s">
        <v>4662</v>
      </c>
      <c r="L106" s="248">
        <v>103651</v>
      </c>
      <c r="M106" s="249">
        <f>15*(LEFT(TEXT($L106,"000000"),2)+(MID(TEXT($L106,"000000"),3,2)/60)+(RIGHT(TEXT($L106,"000000"),2)/3600))</f>
        <v>159.21249999999998</v>
      </c>
      <c r="N106" s="250">
        <v>-273135</v>
      </c>
      <c r="O106" s="251">
        <f>IF($N106&gt;0,(LEFT(TEXT($N106,"000000"),2)+(MID(TEXT($N106,"000000"),3,2)/60)+(RIGHT(TEXT($N106,"000000"),2)/3600)),-(MID(TEXT($N106,"000000"),2,2)+(MID(TEXT($N106,"000000"),4,2)/60)+(RIGHT(TEXT($N106,"000000"),2)/3600)))</f>
        <v>-27.526388888888889</v>
      </c>
      <c r="P106" s="252" t="s">
        <v>103</v>
      </c>
      <c r="Q106" s="253"/>
      <c r="R106" s="247" t="s">
        <v>3778</v>
      </c>
      <c r="S106" s="272" t="s">
        <v>3293</v>
      </c>
      <c r="T106" s="273">
        <v>12.7</v>
      </c>
      <c r="U106" s="274"/>
      <c r="V106" s="280"/>
      <c r="W106" s="244"/>
      <c r="X106" s="244"/>
      <c r="Y106" s="362"/>
      <c r="Z106" s="257">
        <f>altaz(J2000_Bas,$O106,$M106,DecLat,DecLong,1)</f>
        <v>-43.888882411094315</v>
      </c>
      <c r="AA106" s="257">
        <f>altaz((J2000_Bas+(2*0.04167)),$O106,$M106,DecLat,DecLong,1)</f>
        <v>-69.567557943074959</v>
      </c>
      <c r="AB106" s="257">
        <f>altaz((J2000_Bas+(4*0.04167)),$O106,$M106,DecLat,DecLong,1)</f>
        <v>-83.007753994658401</v>
      </c>
      <c r="AC106" s="257">
        <f>altaz((J2000_Bas+(6*0.04167)),$O106,$M106,DecLat,DecLong,1)</f>
        <v>-57.64507461974452</v>
      </c>
      <c r="AD106" s="258">
        <f>1+ transit((J2000_Bas-1),$O106,$M106,DecLat,DecLong)/360 + (GMTOffset/24) + (IF(DST="Y", 1, 0)/24)</f>
        <v>1.4351568608484579</v>
      </c>
      <c r="AE106" s="259">
        <f>DATE(2001,9,21)+(M106/360)*365 - (360*((DecLong/360)- (GMTOffset/24) ))</f>
        <v>37321.423784722225</v>
      </c>
      <c r="AF106" s="260">
        <f>IF(DecLat&gt;0,IF((90 - (DecLat-O106))&gt;90, (90 - (O106-DecLat)), (90 - (DecLat-O106))),IF((90 + (DecLat-O106))&gt;90, (90 + (O106-DecLat)), (90 + (DecLat-O106))))</f>
        <v>31.473611111111111</v>
      </c>
      <c r="AG106" s="257">
        <f>angularseperation(MoonRA,MoonDec,$M106,$O106)</f>
        <v>77.876840550664056</v>
      </c>
      <c r="AH106" s="261">
        <f ca="1">MIN(100,IF($O$5&gt;80,0+30*($AG106/100),IF($O$5&gt;70,0+50*($AG106/100),IF($O$5&gt;60,5+50*($AG106/100),IF($O$5&gt;50,10+60*($AG106/100),IF($O$5&gt;40,15+70*($AG106/100),IF($O$5&gt;30,20+70*($AG106/100),IF($O$5&gt;20,40+55*($AG106/100),(80+(20-$O$5)+30*($AG106/100))))))))))</f>
        <v>100</v>
      </c>
      <c r="AI106" s="262"/>
      <c r="AJ106" s="262"/>
      <c r="AK106" s="262"/>
      <c r="AL106" s="263"/>
      <c r="AM106" s="264"/>
      <c r="AN106" s="263"/>
      <c r="AO106" s="263"/>
      <c r="AP106" s="265">
        <v>1060</v>
      </c>
      <c r="AQ106" s="266"/>
      <c r="AR106" s="267"/>
      <c r="AS106" s="263"/>
      <c r="AT106" s="263"/>
      <c r="AU106" s="263"/>
      <c r="AV106" s="264"/>
      <c r="AW106" s="263"/>
      <c r="AX106" s="263"/>
      <c r="AY106" s="263"/>
      <c r="AZ106" s="263"/>
      <c r="BA106" s="263"/>
      <c r="BB106" s="263"/>
      <c r="BC106" s="263"/>
      <c r="BD106" s="264"/>
      <c r="BE106" s="263"/>
      <c r="BF106" s="263"/>
      <c r="BG106" s="263"/>
      <c r="BH106" s="263"/>
      <c r="BI106" s="263"/>
      <c r="BJ106" s="404">
        <f>altaz(J2000_Bas,$O106,$M106,DecLat,DecLong,2)</f>
        <v>260.20431410335772</v>
      </c>
      <c r="BK106" s="378" t="s">
        <v>3884</v>
      </c>
      <c r="BL106" s="379">
        <f>IF((2*G106)/60&lt;0.2,0.2,(2*G106)/60)</f>
        <v>5.666666666666667</v>
      </c>
      <c r="BM106" s="380">
        <f>MOD((50000+AD106-$B$3+(0/24)),1)</f>
        <v>0.65052379055123311</v>
      </c>
      <c r="BN106" s="381"/>
      <c r="BO106" s="382">
        <v>106</v>
      </c>
    </row>
    <row r="107" spans="1:67" s="24" customFormat="1" ht="15" customHeight="1" x14ac:dyDescent="0.25">
      <c r="A107" s="411" t="s">
        <v>4098</v>
      </c>
      <c r="B107" s="241" t="str">
        <f>HYPERLINK(CONCATENATE($AT$3,BK107,$AU$3),$AV$3)</f>
        <v>S</v>
      </c>
      <c r="C107" s="242" t="str">
        <f>HYPERLINK(CONCATENATE($AT$4,BK107,$AU$4,BL107),$AV$4)</f>
        <v>A</v>
      </c>
      <c r="D107" s="243" t="s">
        <v>5638</v>
      </c>
      <c r="E107" s="244" t="s">
        <v>5336</v>
      </c>
      <c r="F107" s="269">
        <v>60</v>
      </c>
      <c r="G107" s="282">
        <v>20</v>
      </c>
      <c r="H107" s="283">
        <v>1100</v>
      </c>
      <c r="I107" s="284">
        <v>6000</v>
      </c>
      <c r="J107" s="246">
        <v>2</v>
      </c>
      <c r="K107" s="247" t="s">
        <v>8419</v>
      </c>
      <c r="L107" s="248">
        <v>105348</v>
      </c>
      <c r="M107" s="249">
        <f>15*(LEFT(TEXT($L107,"000000"),2)+(MID(TEXT($L107,"000000"),3,2)/60)+(RIGHT(TEXT($L107,"000000"),2)/3600))</f>
        <v>163.44999999999999</v>
      </c>
      <c r="N107" s="286">
        <v>165026</v>
      </c>
      <c r="O107" s="251">
        <f>IF($N107&gt;0,(LEFT(TEXT($N107,"000000"),2)+(MID(TEXT($N107,"000000"),3,2)/60)+(RIGHT(TEXT($N107,"000000"),2)/3600)),-(MID(TEXT($N107,"000000"),2,2)+(MID(TEXT($N107,"000000"),4,2)/60)+(RIGHT(TEXT($N107,"000000"),2)/3600)))</f>
        <v>16.840555555555554</v>
      </c>
      <c r="P107" s="252" t="s">
        <v>183</v>
      </c>
      <c r="Q107" s="253"/>
      <c r="R107" s="247" t="s">
        <v>3293</v>
      </c>
      <c r="S107" s="272" t="s">
        <v>1860</v>
      </c>
      <c r="T107" s="273">
        <v>16</v>
      </c>
      <c r="U107" s="274"/>
      <c r="V107" s="280"/>
      <c r="W107" s="244"/>
      <c r="X107" s="244"/>
      <c r="Y107" s="362"/>
      <c r="Z107" s="257">
        <f>altaz(J2000_Bas,$O107,$M107,DecLat,DecLong,1)</f>
        <v>-16.991425629253204</v>
      </c>
      <c r="AA107" s="257">
        <f>altaz((J2000_Bas+(2*0.04167)),$O107,$M107,DecLat,DecLong,1)</f>
        <v>-35.408616854236989</v>
      </c>
      <c r="AB107" s="257">
        <f>altaz((J2000_Bas+(4*0.04167)),$O107,$M107,DecLat,DecLong,1)</f>
        <v>-42.087953159491803</v>
      </c>
      <c r="AC107" s="257">
        <f>altaz((J2000_Bas+(6*0.04167)),$O107,$M107,DecLat,DecLong,1)</f>
        <v>-32.70727543664168</v>
      </c>
      <c r="AD107" s="258">
        <f>1+ transit((J2000_Bas-1),$O107,$M107,DecLat,DecLong)/360 + (GMTOffset/24) + (IF(DST="Y", 1, 0)/24)</f>
        <v>1.4469276930047081</v>
      </c>
      <c r="AE107" s="259">
        <f>DATE(2001,9,21)+(M107/360)*365 - (360*((DecLong/360)- (GMTOffset/24) ))</f>
        <v>37325.720138888886</v>
      </c>
      <c r="AF107" s="260">
        <f>IF(DecLat&gt;0,IF((90 - (DecLat-O107))&gt;90, (90 - (O107-DecLat)), (90 - (DecLat-O107))),IF((90 + (DecLat-O107))&gt;90, (90 + (O107-DecLat)), (90 + (DecLat-O107))))</f>
        <v>75.840555555555554</v>
      </c>
      <c r="AG107" s="257">
        <f>angularseperation(MoonRA,MoonDec,$M107,$O107)</f>
        <v>93.978010835999584</v>
      </c>
      <c r="AH107" s="261">
        <f ca="1">MIN(100,IF($O$5&gt;80,0+30*($AG107/100),IF($O$5&gt;70,0+50*($AG107/100),IF($O$5&gt;60,5+50*($AG107/100),IF($O$5&gt;50,10+60*($AG107/100),IF($O$5&gt;40,15+70*($AG107/100),IF($O$5&gt;30,20+70*($AG107/100),IF($O$5&gt;20,40+55*($AG107/100),(80+(20-$O$5)+30*($AG107/100))))))))))</f>
        <v>100</v>
      </c>
      <c r="AI107" s="262"/>
      <c r="AJ107" s="262"/>
      <c r="AK107" s="262"/>
      <c r="AL107" s="263"/>
      <c r="AM107" s="264"/>
      <c r="AN107" s="263"/>
      <c r="AO107" s="263"/>
      <c r="AP107" s="265">
        <v>1126</v>
      </c>
      <c r="AQ107" s="266"/>
      <c r="AR107" s="267"/>
      <c r="AS107" s="263"/>
      <c r="AT107" s="263"/>
      <c r="AU107" s="263"/>
      <c r="AV107" s="264"/>
      <c r="AW107" s="263"/>
      <c r="AX107" s="263"/>
      <c r="AY107" s="263"/>
      <c r="AZ107" s="263"/>
      <c r="BA107" s="263"/>
      <c r="BB107" s="263"/>
      <c r="BC107" s="263"/>
      <c r="BD107" s="264"/>
      <c r="BE107" s="263"/>
      <c r="BF107" s="263"/>
      <c r="BG107" s="263"/>
      <c r="BH107" s="263"/>
      <c r="BI107" s="263"/>
      <c r="BJ107" s="404">
        <f>altaz(J2000_Bas,$O107,$M107,DecLat,DecLong,2)</f>
        <v>302.48064987718021</v>
      </c>
      <c r="BK107" s="378" t="s">
        <v>3885</v>
      </c>
      <c r="BL107" s="379">
        <f>IF((2*G107)/60&lt;0.2,0.2,(2*G107)/60)</f>
        <v>0.66666666666666663</v>
      </c>
      <c r="BM107" s="380">
        <f>MOD((50000+AD107-$B$3+(0/24)),1)</f>
        <v>0.66229462270712247</v>
      </c>
      <c r="BN107" s="381"/>
      <c r="BO107" s="382">
        <v>107</v>
      </c>
    </row>
    <row r="108" spans="1:67" s="24" customFormat="1" ht="13.5" customHeight="1" x14ac:dyDescent="0.25">
      <c r="A108" s="411" t="s">
        <v>184</v>
      </c>
      <c r="B108" s="241" t="str">
        <f>HYPERLINK(CONCATENATE($AT$3,BK108,$AU$3),$AV$3)</f>
        <v>S</v>
      </c>
      <c r="C108" s="242" t="str">
        <f>HYPERLINK(CONCATENATE($AT$4,BK108,$AU$4,BL108),$AV$4)</f>
        <v>A</v>
      </c>
      <c r="D108" s="243" t="s">
        <v>5638</v>
      </c>
      <c r="E108" s="244" t="s">
        <v>5336</v>
      </c>
      <c r="F108" s="269">
        <v>50</v>
      </c>
      <c r="G108" s="282">
        <v>30</v>
      </c>
      <c r="H108" s="283">
        <v>400</v>
      </c>
      <c r="I108" s="284">
        <v>3500</v>
      </c>
      <c r="J108" s="246">
        <v>3</v>
      </c>
      <c r="K108" s="247" t="s">
        <v>5758</v>
      </c>
      <c r="L108" s="248">
        <v>111048</v>
      </c>
      <c r="M108" s="249">
        <f>15*(LEFT(TEXT($L108,"000000"),2)+(MID(TEXT($L108,"000000"),3,2)/60)+(RIGHT(TEXT($L108,"000000"),2)/3600))</f>
        <v>167.7</v>
      </c>
      <c r="N108" s="250">
        <v>284042</v>
      </c>
      <c r="O108" s="251">
        <f>IF($N108&gt;0,(LEFT(TEXT($N108,"000000"),2)+(MID(TEXT($N108,"000000"),3,2)/60)+(RIGHT(TEXT($N108,"000000"),2)/3600)),-(MID(TEXT($N108,"000000"),2,2)+(MID(TEXT($N108,"000000"),4,2)/60)+(RIGHT(TEXT($N108,"000000"),2)/3600)))</f>
        <v>28.678333333333335</v>
      </c>
      <c r="P108" s="252" t="s">
        <v>37</v>
      </c>
      <c r="Q108" s="253"/>
      <c r="R108" s="247" t="s">
        <v>3777</v>
      </c>
      <c r="S108" s="272" t="s">
        <v>3293</v>
      </c>
      <c r="T108" s="273">
        <v>14.3</v>
      </c>
      <c r="U108" s="274"/>
      <c r="V108" s="280"/>
      <c r="W108" s="244"/>
      <c r="X108" s="244"/>
      <c r="Y108" s="362"/>
      <c r="Z108" s="257">
        <f>altaz(J2000_Bas,$O108,$M108,DecLat,DecLong,1)</f>
        <v>-6.2801550917734978</v>
      </c>
      <c r="AA108" s="257">
        <f>altaz((J2000_Bas+(2*0.04167)),$O108,$M108,DecLat,DecLong,1)</f>
        <v>-23.157625199933751</v>
      </c>
      <c r="AB108" s="257">
        <f>altaz((J2000_Bas+(4*0.04167)),$O108,$M108,DecLat,DecLong,1)</f>
        <v>-30.303912315368137</v>
      </c>
      <c r="AC108" s="257">
        <f>altaz((J2000_Bas+(6*0.04167)),$O108,$M108,DecLat,DecLong,1)</f>
        <v>-24.416702327778349</v>
      </c>
      <c r="AD108" s="258">
        <f>1+ transit((J2000_Bas-1),$O108,$M108,DecLat,DecLong)/360 + (GMTOffset/24) + (IF(DST="Y", 1, 0)/24)</f>
        <v>1.4587332473797081</v>
      </c>
      <c r="AE108" s="259">
        <f>DATE(2001,9,21)+(M108/360)*365 - (360*((DecLong/360)- (GMTOffset/24) ))</f>
        <v>37330.029166666667</v>
      </c>
      <c r="AF108" s="260">
        <f>IF(DecLat&gt;0,IF((90 - (DecLat-O108))&gt;90, (90 - (O108-DecLat)), (90 - (DecLat-O108))),IF((90 + (DecLat-O108))&gt;90, (90 + (O108-DecLat)), (90 + (DecLat-O108))))</f>
        <v>87.678333333333342</v>
      </c>
      <c r="AG108" s="257">
        <f>angularseperation(MoonRA,MoonDec,$M108,$O108)</f>
        <v>95.946628098598353</v>
      </c>
      <c r="AH108" s="261">
        <f ca="1">MIN(100,IF($O$5&gt;80,0+30*($AG108/100),IF($O$5&gt;70,0+50*($AG108/100),IF($O$5&gt;60,5+50*($AG108/100),IF($O$5&gt;50,10+60*($AG108/100),IF($O$5&gt;40,15+70*($AG108/100),IF($O$5&gt;30,20+70*($AG108/100),IF($O$5&gt;20,40+55*($AG108/100),(80+(20-$O$5)+30*($AG108/100))))))))))</f>
        <v>100</v>
      </c>
      <c r="AI108" s="262"/>
      <c r="AJ108" s="262"/>
      <c r="AK108" s="262"/>
      <c r="AL108" s="263"/>
      <c r="AM108" s="264"/>
      <c r="AN108" s="263"/>
      <c r="AO108" s="263"/>
      <c r="AP108" s="265">
        <v>1185</v>
      </c>
      <c r="AQ108" s="266"/>
      <c r="AR108" s="267"/>
      <c r="AS108" s="263"/>
      <c r="AT108" s="263"/>
      <c r="AU108" s="263"/>
      <c r="AV108" s="264"/>
      <c r="AW108" s="263"/>
      <c r="AX108" s="263"/>
      <c r="AY108" s="263"/>
      <c r="AZ108" s="263"/>
      <c r="BA108" s="263"/>
      <c r="BB108" s="263"/>
      <c r="BC108" s="263"/>
      <c r="BD108" s="264"/>
      <c r="BE108" s="263"/>
      <c r="BF108" s="263"/>
      <c r="BG108" s="263"/>
      <c r="BH108" s="263"/>
      <c r="BI108" s="263"/>
      <c r="BJ108" s="404">
        <f>altaz(J2000_Bas,$O108,$M108,DecLat,DecLong,2)</f>
        <v>309.00312626066221</v>
      </c>
      <c r="BK108" s="378" t="s">
        <v>3886</v>
      </c>
      <c r="BL108" s="379">
        <f>IF((2*G108)/60&lt;0.2,0.2,(2*G108)/60)</f>
        <v>1</v>
      </c>
      <c r="BM108" s="380">
        <f>MOD((50000+AD108-$B$3+(0/24)),1)</f>
        <v>0.67410017708607484</v>
      </c>
      <c r="BN108" s="381"/>
      <c r="BO108" s="382">
        <v>108</v>
      </c>
    </row>
    <row r="109" spans="1:67" s="24" customFormat="1" ht="15" customHeight="1" x14ac:dyDescent="0.25">
      <c r="A109" s="412" t="s">
        <v>185</v>
      </c>
      <c r="B109" s="241" t="str">
        <f>HYPERLINK(CONCATENATE($AT$3,BK109,$AU$3),$AV$3)</f>
        <v>S</v>
      </c>
      <c r="C109" s="242" t="str">
        <f>HYPERLINK(CONCATENATE($AT$4,BK109,$AU$4,BL109),$AV$4)</f>
        <v>A</v>
      </c>
      <c r="D109" s="243" t="s">
        <v>5638</v>
      </c>
      <c r="E109" s="244" t="s">
        <v>5336</v>
      </c>
      <c r="F109" s="269">
        <v>50</v>
      </c>
      <c r="G109" s="282">
        <v>20</v>
      </c>
      <c r="H109" s="283">
        <v>650</v>
      </c>
      <c r="I109" s="284">
        <v>4000</v>
      </c>
      <c r="J109" s="246">
        <v>2</v>
      </c>
      <c r="K109" s="247" t="s">
        <v>7261</v>
      </c>
      <c r="L109" s="248">
        <v>111629</v>
      </c>
      <c r="M109" s="249">
        <f>15*(LEFT(TEXT($L109,"000000"),2)+(MID(TEXT($L109,"000000"),3,2)/60)+(RIGHT(TEXT($L109,"000000"),2)/3600))</f>
        <v>169.12083333333334</v>
      </c>
      <c r="N109" s="250">
        <v>291637</v>
      </c>
      <c r="O109" s="251">
        <f>IF($N109&gt;0,(LEFT(TEXT($N109,"000000"),2)+(MID(TEXT($N109,"000000"),3,2)/60)+(RIGHT(TEXT($N109,"000000"),2)/3600)),-(MID(TEXT($N109,"000000"),2,2)+(MID(TEXT($N109,"000000"),4,2)/60)+(RIGHT(TEXT($N109,"000000"),2)/3600)))</f>
        <v>29.276944444444442</v>
      </c>
      <c r="P109" s="252" t="s">
        <v>37</v>
      </c>
      <c r="Q109" s="253"/>
      <c r="R109" s="277" t="s">
        <v>3293</v>
      </c>
      <c r="S109" s="272" t="s">
        <v>3293</v>
      </c>
      <c r="T109" s="273">
        <v>14.5</v>
      </c>
      <c r="U109" s="274"/>
      <c r="V109" s="280"/>
      <c r="W109" s="244"/>
      <c r="X109" s="244"/>
      <c r="Y109" s="362"/>
      <c r="Z109" s="257">
        <f>altaz(J2000_Bas,$O109,$M109,DecLat,DecLong,1)</f>
        <v>-4.9446734482062471</v>
      </c>
      <c r="AA109" s="257">
        <f>altaz((J2000_Bas+(2*0.04167)),$O109,$M109,DecLat,DecLong,1)</f>
        <v>-22.02099627157542</v>
      </c>
      <c r="AB109" s="257">
        <f>altaz((J2000_Bas+(4*0.04167)),$O109,$M109,DecLat,DecLong,1)</f>
        <v>-29.657746480252577</v>
      </c>
      <c r="AC109" s="257">
        <f>altaz((J2000_Bas+(6*0.04167)),$O109,$M109,DecLat,DecLong,1)</f>
        <v>-24.425643344157422</v>
      </c>
      <c r="AD109" s="258">
        <f>1+ transit((J2000_Bas-1),$O109,$M109,DecLat,DecLong)/360 + (GMTOffset/24) + (IF(DST="Y", 1, 0)/24)</f>
        <v>1.4626800062442913</v>
      </c>
      <c r="AE109" s="259">
        <f>DATE(2001,9,21)+(M109/360)*365 - (360*((DecLong/360)- (GMTOffset/24) ))</f>
        <v>37331.469733796293</v>
      </c>
      <c r="AF109" s="260">
        <f>IF(DecLat&gt;0,IF((90 - (DecLat-O109))&gt;90, (90 - (O109-DecLat)), (90 - (DecLat-O109))),IF((90 + (DecLat-O109))&gt;90, (90 + (O109-DecLat)), (90 + (DecLat-O109))))</f>
        <v>88.276944444444439</v>
      </c>
      <c r="AG109" s="257">
        <f>angularseperation(MoonRA,MoonDec,$M109,$O109)</f>
        <v>95.129899870882568</v>
      </c>
      <c r="AH109" s="261">
        <f ca="1">MIN(100,IF($O$5&gt;80,0+30*($AG109/100),IF($O$5&gt;70,0+50*($AG109/100),IF($O$5&gt;60,5+50*($AG109/100),IF($O$5&gt;50,10+60*($AG109/100),IF($O$5&gt;40,15+70*($AG109/100),IF($O$5&gt;30,20+70*($AG109/100),IF($O$5&gt;20,40+55*($AG109/100),(80+(20-$O$5)+30*($AG109/100))))))))))</f>
        <v>100</v>
      </c>
      <c r="AI109" s="263"/>
      <c r="AJ109" s="263"/>
      <c r="AK109" s="263"/>
      <c r="AL109" s="263"/>
      <c r="AM109" s="264"/>
      <c r="AN109" s="263"/>
      <c r="AO109" s="263"/>
      <c r="AP109" s="265">
        <v>1213</v>
      </c>
      <c r="AQ109" s="265"/>
      <c r="AR109" s="285"/>
      <c r="AS109" s="263"/>
      <c r="AT109" s="263"/>
      <c r="AU109" s="263"/>
      <c r="AV109" s="264"/>
      <c r="AW109" s="263"/>
      <c r="AX109" s="263"/>
      <c r="AY109" s="263"/>
      <c r="AZ109" s="263"/>
      <c r="BA109" s="263"/>
      <c r="BB109" s="263"/>
      <c r="BC109" s="263"/>
      <c r="BD109" s="264"/>
      <c r="BE109" s="263"/>
      <c r="BF109" s="263"/>
      <c r="BG109" s="263"/>
      <c r="BH109" s="263"/>
      <c r="BI109" s="263"/>
      <c r="BJ109" s="404">
        <f>altaz(J2000_Bas,$O109,$M109,DecLat,DecLong,2)</f>
        <v>308.6554428041419</v>
      </c>
      <c r="BK109" s="378" t="s">
        <v>3887</v>
      </c>
      <c r="BL109" s="379">
        <f>IF((2*G109)/60&lt;0.2,0.2,(2*G109)/60)</f>
        <v>0.66666666666666663</v>
      </c>
      <c r="BM109" s="380">
        <f>MOD((50000+AD109-$B$3+(0/24)),1)</f>
        <v>0.67804693595098797</v>
      </c>
      <c r="BN109" s="381"/>
      <c r="BO109" s="382">
        <v>109</v>
      </c>
    </row>
    <row r="110" spans="1:67" s="24" customFormat="1" ht="15" customHeight="1" x14ac:dyDescent="0.25">
      <c r="A110" s="412" t="s">
        <v>186</v>
      </c>
      <c r="B110" s="241" t="str">
        <f>HYPERLINK(CONCATENATE($AT$3,BK110,$AU$3),$AV$3)</f>
        <v>S</v>
      </c>
      <c r="C110" s="242" t="str">
        <f>HYPERLINK(CONCATENATE($AT$4,BK110,$AU$4,BL110),$AV$4)</f>
        <v>A</v>
      </c>
      <c r="D110" s="243" t="s">
        <v>5638</v>
      </c>
      <c r="E110" s="244" t="s">
        <v>5336</v>
      </c>
      <c r="F110" s="269">
        <v>50</v>
      </c>
      <c r="G110" s="282">
        <v>50</v>
      </c>
      <c r="H110" s="283">
        <v>500</v>
      </c>
      <c r="I110" s="284">
        <v>7000</v>
      </c>
      <c r="J110" s="246">
        <v>1</v>
      </c>
      <c r="K110" s="247" t="s">
        <v>5759</v>
      </c>
      <c r="L110" s="248">
        <v>112130</v>
      </c>
      <c r="M110" s="249">
        <f>15*(LEFT(TEXT($L110,"000000"),2)+(MID(TEXT($L110,"000000"),3,2)/60)+(RIGHT(TEXT($L110,"000000"),2)/3600))</f>
        <v>170.375</v>
      </c>
      <c r="N110" s="250">
        <v>342033</v>
      </c>
      <c r="O110" s="251">
        <f>IF($N110&gt;0,(LEFT(TEXT($N110,"000000"),2)+(MID(TEXT($N110,"000000"),3,2)/60)+(RIGHT(TEXT($N110,"000000"),2)/3600)),-(MID(TEXT($N110,"000000"),2,2)+(MID(TEXT($N110,"000000"),4,2)/60)+(RIGHT(TEXT($N110,"000000"),2)/3600)))</f>
        <v>34.342500000000001</v>
      </c>
      <c r="P110" s="252" t="s">
        <v>37</v>
      </c>
      <c r="Q110" s="253"/>
      <c r="R110" s="277" t="s">
        <v>3776</v>
      </c>
      <c r="S110" s="272" t="s">
        <v>3293</v>
      </c>
      <c r="T110" s="273">
        <v>13.8</v>
      </c>
      <c r="U110" s="274"/>
      <c r="V110" s="280"/>
      <c r="W110" s="244"/>
      <c r="X110" s="244"/>
      <c r="Y110" s="362"/>
      <c r="Z110" s="257">
        <f>altaz(J2000_Bas,$O110,$M110,DecLat,DecLong,1)</f>
        <v>-0.89165990945296181</v>
      </c>
      <c r="AA110" s="257">
        <f>altaz((J2000_Bas+(2*0.04167)),$O110,$M110,DecLat,DecLong,1)</f>
        <v>-17.109544423719978</v>
      </c>
      <c r="AB110" s="257">
        <f>altaz((J2000_Bas+(4*0.04167)),$O110,$M110,DecLat,DecLong,1)</f>
        <v>-24.537543846592804</v>
      </c>
      <c r="AC110" s="257">
        <f>altaz((J2000_Bas+(6*0.04167)),$O110,$M110,DecLat,DecLong,1)</f>
        <v>-20.255466781745703</v>
      </c>
      <c r="AD110" s="258">
        <f>1+ transit((J2000_Bas-1),$O110,$M110,DecLat,DecLong)/360 + (GMTOffset/24) + (IF(DST="Y", 1, 0)/24)</f>
        <v>1.4661638021922079</v>
      </c>
      <c r="AE110" s="259">
        <f>DATE(2001,9,21)+(M110/360)*365 - (360*((DecLong/360)- (GMTOffset/24) ))</f>
        <v>37332.741319444445</v>
      </c>
      <c r="AF110" s="260">
        <f>IF(DecLat&gt;0,IF((90 - (DecLat-O110))&gt;90, (90 - (O110-DecLat)), (90 - (DecLat-O110))),IF((90 + (DecLat-O110))&gt;90, (90 + (O110-DecLat)), (90 + (DecLat-O110))))</f>
        <v>86.657499999999999</v>
      </c>
      <c r="AG110" s="257">
        <f>angularseperation(MoonRA,MoonDec,$M110,$O110)</f>
        <v>96.598133329974033</v>
      </c>
      <c r="AH110" s="261">
        <f ca="1">MIN(100,IF($O$5&gt;80,0+30*($AG110/100),IF($O$5&gt;70,0+50*($AG110/100),IF($O$5&gt;60,5+50*($AG110/100),IF($O$5&gt;50,10+60*($AG110/100),IF($O$5&gt;40,15+70*($AG110/100),IF($O$5&gt;30,20+70*($AG110/100),IF($O$5&gt;20,40+55*($AG110/100),(80+(20-$O$5)+30*($AG110/100))))))))))</f>
        <v>100</v>
      </c>
      <c r="AI110" s="263"/>
      <c r="AJ110" s="263"/>
      <c r="AK110" s="263"/>
      <c r="AL110" s="263"/>
      <c r="AM110" s="264"/>
      <c r="AN110" s="263"/>
      <c r="AO110" s="263"/>
      <c r="AP110" s="265">
        <v>1228</v>
      </c>
      <c r="AQ110" s="265"/>
      <c r="AR110" s="285"/>
      <c r="AS110" s="263"/>
      <c r="AT110" s="263"/>
      <c r="AU110" s="263"/>
      <c r="AV110" s="264"/>
      <c r="AW110" s="263"/>
      <c r="AX110" s="263"/>
      <c r="AY110" s="263"/>
      <c r="AZ110" s="263"/>
      <c r="BA110" s="263"/>
      <c r="BB110" s="263"/>
      <c r="BC110" s="263"/>
      <c r="BD110" s="264"/>
      <c r="BE110" s="263"/>
      <c r="BF110" s="263"/>
      <c r="BG110" s="263"/>
      <c r="BH110" s="263"/>
      <c r="BI110" s="263"/>
      <c r="BJ110" s="404">
        <f>altaz(J2000_Bas,$O110,$M110,DecLat,DecLong,2)</f>
        <v>311.88012313054338</v>
      </c>
      <c r="BK110" s="378" t="s">
        <v>3888</v>
      </c>
      <c r="BL110" s="379">
        <f>IF((2*G110)/60&lt;0.2,0.2,(2*G110)/60)</f>
        <v>1.6666666666666667</v>
      </c>
      <c r="BM110" s="380">
        <f>MOD((50000+AD110-$B$3+(0/24)),1)</f>
        <v>0.68153073189751012</v>
      </c>
      <c r="BN110" s="381"/>
      <c r="BO110" s="382">
        <v>110</v>
      </c>
    </row>
    <row r="111" spans="1:67" s="24" customFormat="1" ht="15" customHeight="1" x14ac:dyDescent="0.25">
      <c r="A111" s="411" t="s">
        <v>187</v>
      </c>
      <c r="B111" s="241" t="str">
        <f>HYPERLINK(CONCATENATE($AT$3,BK111,$AU$3),$AV$3)</f>
        <v>S</v>
      </c>
      <c r="C111" s="242" t="str">
        <f>HYPERLINK(CONCATENATE($AT$4,BK111,$AU$4,BL111),$AV$4)</f>
        <v>A</v>
      </c>
      <c r="D111" s="243" t="s">
        <v>5638</v>
      </c>
      <c r="E111" s="244" t="s">
        <v>5336</v>
      </c>
      <c r="F111" s="269">
        <v>40</v>
      </c>
      <c r="G111" s="282">
        <v>34</v>
      </c>
      <c r="H111" s="283">
        <v>500</v>
      </c>
      <c r="I111" s="284">
        <v>5000</v>
      </c>
      <c r="J111" s="246">
        <v>2</v>
      </c>
      <c r="K111" s="277" t="s">
        <v>3786</v>
      </c>
      <c r="L111" s="248">
        <v>113449</v>
      </c>
      <c r="M111" s="249">
        <f>15*(LEFT(TEXT($L111,"000000"),2)+(MID(TEXT($L111,"000000"),3,2)/60)+(RIGHT(TEXT($L111,"000000"),2)/3600))</f>
        <v>173.70416666666665</v>
      </c>
      <c r="N111" s="250">
        <v>490325</v>
      </c>
      <c r="O111" s="251">
        <f>IF($N111&gt;0,(LEFT(TEXT($N111,"000000"),2)+(MID(TEXT($N111,"000000"),3,2)/60)+(RIGHT(TEXT($N111,"000000"),2)/3600)),-(MID(TEXT($N111,"000000"),2,2)+(MID(TEXT($N111,"000000"),4,2)/60)+(RIGHT(TEXT($N111,"000000"),2)/3600)))</f>
        <v>49.05694444444444</v>
      </c>
      <c r="P111" s="252" t="s">
        <v>37</v>
      </c>
      <c r="Q111" s="253"/>
      <c r="R111" s="277" t="s">
        <v>3775</v>
      </c>
      <c r="S111" s="272" t="s">
        <v>3293</v>
      </c>
      <c r="T111" s="273">
        <v>13.9</v>
      </c>
      <c r="U111" s="274"/>
      <c r="V111" s="280"/>
      <c r="W111" s="244"/>
      <c r="X111" s="244"/>
      <c r="Y111" s="362"/>
      <c r="Z111" s="257">
        <f>altaz(J2000_Bas,$O111,$M111,DecLat,DecLong,1)</f>
        <v>10.131606003282572</v>
      </c>
      <c r="AA111" s="257">
        <f>altaz((J2000_Bas+(2*0.04167)),$O111,$M111,DecLat,DecLong,1)</f>
        <v>-3.2042082194864521</v>
      </c>
      <c r="AB111" s="257">
        <f>altaz((J2000_Bas+(4*0.04167)),$O111,$M111,DecLat,DecLong,1)</f>
        <v>-9.6612216751327917</v>
      </c>
      <c r="AC111" s="257">
        <f>altaz((J2000_Bas+(6*0.04167)),$O111,$M111,DecLat,DecLong,1)</f>
        <v>-7.4531879660304474</v>
      </c>
      <c r="AD111" s="258">
        <f>1+ transit((J2000_Bas-1),$O111,$M111,DecLat,DecLong)/360 + (GMTOffset/24) + (IF(DST="Y", 1, 0)/24)</f>
        <v>1.4754114864526247</v>
      </c>
      <c r="AE111" s="259">
        <f>DATE(2001,9,21)+(M111/360)*365 - (360*((DecLong/360)- (GMTOffset/24) ))</f>
        <v>37336.116724537038</v>
      </c>
      <c r="AF111" s="260">
        <f>IF(DecLat&gt;0,IF((90 - (DecLat-O111))&gt;90, (90 - (O111-DecLat)), (90 - (DecLat-O111))),IF((90 + (DecLat-O111))&gt;90, (90 + (O111-DecLat)), (90 + (DecLat-O111))))</f>
        <v>71.94305555555556</v>
      </c>
      <c r="AG111" s="257">
        <f>angularseperation(MoonRA,MoonDec,$M111,$O111)</f>
        <v>101.43189297327626</v>
      </c>
      <c r="AH111" s="261">
        <f ca="1">MIN(100,IF($O$5&gt;80,0+30*($AG111/100),IF($O$5&gt;70,0+50*($AG111/100),IF($O$5&gt;60,5+50*($AG111/100),IF($O$5&gt;50,10+60*($AG111/100),IF($O$5&gt;40,15+70*($AG111/100),IF($O$5&gt;30,20+70*($AG111/100),IF($O$5&gt;20,40+55*($AG111/100),(80+(20-$O$5)+30*($AG111/100))))))))))</f>
        <v>100</v>
      </c>
      <c r="AI111" s="263"/>
      <c r="AJ111" s="263"/>
      <c r="AK111" s="263"/>
      <c r="AL111" s="263"/>
      <c r="AM111" s="264"/>
      <c r="AN111" s="263"/>
      <c r="AO111" s="263"/>
      <c r="AP111" s="265">
        <v>1314</v>
      </c>
      <c r="AQ111" s="265"/>
      <c r="AR111" s="285"/>
      <c r="AS111" s="263"/>
      <c r="AT111" s="263"/>
      <c r="AU111" s="263"/>
      <c r="AV111" s="264"/>
      <c r="AW111" s="263"/>
      <c r="AX111" s="263"/>
      <c r="AY111" s="263"/>
      <c r="AZ111" s="263"/>
      <c r="BA111" s="263"/>
      <c r="BB111" s="263"/>
      <c r="BC111" s="263"/>
      <c r="BD111" s="264"/>
      <c r="BE111" s="263"/>
      <c r="BF111" s="263"/>
      <c r="BG111" s="263"/>
      <c r="BH111" s="263"/>
      <c r="BI111" s="263"/>
      <c r="BJ111" s="404">
        <f>altaz(J2000_Bas,$O111,$M111,DecLat,DecLong,2)</f>
        <v>321.98200829304272</v>
      </c>
      <c r="BK111" s="378" t="s">
        <v>3889</v>
      </c>
      <c r="BL111" s="379">
        <f>IF((2*G111)/60&lt;0.2,0.2,(2*G111)/60)</f>
        <v>1.1333333333333333</v>
      </c>
      <c r="BM111" s="380">
        <f>MOD((50000+AD111-$B$3+(0/24)),1)</f>
        <v>0.69077841615944635</v>
      </c>
      <c r="BN111" s="381"/>
      <c r="BO111" s="382">
        <v>111</v>
      </c>
    </row>
    <row r="112" spans="1:67" s="24" customFormat="1" ht="15" customHeight="1" x14ac:dyDescent="0.25">
      <c r="A112" s="411" t="s">
        <v>188</v>
      </c>
      <c r="B112" s="241" t="str">
        <f>HYPERLINK(CONCATENATE($AT$3,BK112,$AU$3),$AV$3)</f>
        <v>S</v>
      </c>
      <c r="C112" s="242" t="str">
        <f>HYPERLINK(CONCATENATE($AT$4,BK112,$AU$4,BL112),$AV$4)</f>
        <v>A</v>
      </c>
      <c r="D112" s="243" t="s">
        <v>5638</v>
      </c>
      <c r="E112" s="244" t="s">
        <v>5336</v>
      </c>
      <c r="F112" s="269">
        <v>120</v>
      </c>
      <c r="G112" s="282">
        <v>100</v>
      </c>
      <c r="H112" s="283">
        <v>330</v>
      </c>
      <c r="I112" s="284">
        <v>10000</v>
      </c>
      <c r="J112" s="246">
        <v>4</v>
      </c>
      <c r="K112" s="247" t="s">
        <v>3787</v>
      </c>
      <c r="L112" s="248">
        <v>114429</v>
      </c>
      <c r="M112" s="249">
        <f>15*(LEFT(TEXT($L112,"000000"),2)+(MID(TEXT($L112,"000000"),3,2)/60)+(RIGHT(TEXT($L112,"000000"),2)/3600))</f>
        <v>176.12083333333334</v>
      </c>
      <c r="N112" s="250">
        <v>195021</v>
      </c>
      <c r="O112" s="251">
        <f>IF($N112&gt;0,(LEFT(TEXT($N112,"000000"),2)+(MID(TEXT($N112,"000000"),3,2)/60)+(RIGHT(TEXT($N112,"000000"),2)/3600)),-(MID(TEXT($N112,"000000"),2,2)+(MID(TEXT($N112,"000000"),4,2)/60)+(RIGHT(TEXT($N112,"000000"),2)/3600)))</f>
        <v>19.839166666666664</v>
      </c>
      <c r="P112" s="252" t="s">
        <v>183</v>
      </c>
      <c r="Q112" s="253"/>
      <c r="R112" s="247" t="s">
        <v>3293</v>
      </c>
      <c r="S112" s="272" t="s">
        <v>3293</v>
      </c>
      <c r="T112" s="273">
        <v>13.5</v>
      </c>
      <c r="U112" s="274"/>
      <c r="V112" s="280"/>
      <c r="W112" s="244"/>
      <c r="X112" s="244"/>
      <c r="Y112" s="362"/>
      <c r="Z112" s="257">
        <f>altaz(J2000_Bas,$O112,$M112,DecLat,DecLong,1)</f>
        <v>-5.7052410047848179</v>
      </c>
      <c r="AA112" s="257">
        <f>altaz((J2000_Bas+(2*0.04167)),$O112,$M112,DecLat,DecLong,1)</f>
        <v>-26.267202642226422</v>
      </c>
      <c r="AB112" s="257">
        <f>altaz((J2000_Bas+(4*0.04167)),$O112,$M112,DecLat,DecLong,1)</f>
        <v>-38.270436897588048</v>
      </c>
      <c r="AC112" s="257">
        <f>altaz((J2000_Bas+(6*0.04167)),$O112,$M112,DecLat,DecLong,1)</f>
        <v>-35.606840020743107</v>
      </c>
      <c r="AD112" s="258">
        <f>1+ transit((J2000_Bas-1),$O112,$M112,DecLat,DecLong)/360 + (GMTOffset/24) + (IF(DST="Y", 1, 0)/24)</f>
        <v>1.4821244487442913</v>
      </c>
      <c r="AE112" s="259">
        <f>DATE(2001,9,21)+(M112/360)*365 - (360*((DecLong/360)- (GMTOffset/24) ))</f>
        <v>37338.56695601852</v>
      </c>
      <c r="AF112" s="260">
        <f>IF(DecLat&gt;0,IF((90 - (DecLat-O112))&gt;90, (90 - (O112-DecLat)), (90 - (DecLat-O112))),IF((90 + (DecLat-O112))&gt;90, (90 + (O112-DecLat)), (90 + (DecLat-O112))))</f>
        <v>78.839166666666671</v>
      </c>
      <c r="AG112" s="257">
        <f>angularseperation(MoonRA,MoonDec,$M112,$O112)</f>
        <v>84.914173534848715</v>
      </c>
      <c r="AH112" s="261">
        <f ca="1">MIN(100,IF($O$5&gt;80,0+30*($AG112/100),IF($O$5&gt;70,0+50*($AG112/100),IF($O$5&gt;60,5+50*($AG112/100),IF($O$5&gt;50,10+60*($AG112/100),IF($O$5&gt;40,15+70*($AG112/100),IF($O$5&gt;30,20+70*($AG112/100),IF($O$5&gt;20,40+55*($AG112/100),(80+(20-$O$5)+30*($AG112/100))))))))))</f>
        <v>100</v>
      </c>
      <c r="AI112" s="262"/>
      <c r="AJ112" s="262"/>
      <c r="AK112" s="262"/>
      <c r="AL112" s="263"/>
      <c r="AM112" s="264"/>
      <c r="AN112" s="263"/>
      <c r="AO112" s="263"/>
      <c r="AP112" s="265">
        <v>1367</v>
      </c>
      <c r="AQ112" s="266"/>
      <c r="AR112" s="267"/>
      <c r="AS112" s="263"/>
      <c r="AT112" s="263"/>
      <c r="AU112" s="263"/>
      <c r="AV112" s="264"/>
      <c r="AW112" s="263"/>
      <c r="AX112" s="263"/>
      <c r="AY112" s="263"/>
      <c r="AZ112" s="263"/>
      <c r="BA112" s="263"/>
      <c r="BB112" s="263"/>
      <c r="BC112" s="263"/>
      <c r="BD112" s="264"/>
      <c r="BE112" s="263"/>
      <c r="BF112" s="263"/>
      <c r="BG112" s="263"/>
      <c r="BH112" s="263"/>
      <c r="BI112" s="263"/>
      <c r="BJ112" s="404">
        <f>altaz(J2000_Bas,$O112,$M112,DecLat,DecLong,2)</f>
        <v>297.25384836867846</v>
      </c>
      <c r="BK112" s="378" t="s">
        <v>3890</v>
      </c>
      <c r="BL112" s="379">
        <f>IF((2*G112)/60&lt;0.2,0.2,(2*G112)/60)</f>
        <v>3.3333333333333335</v>
      </c>
      <c r="BM112" s="380">
        <f>MOD((50000+AD112-$B$3+(0/24)),1)</f>
        <v>0.69749137845064979</v>
      </c>
      <c r="BN112" s="381"/>
      <c r="BO112" s="382">
        <v>112</v>
      </c>
    </row>
    <row r="113" spans="1:67" s="24" customFormat="1" ht="15" customHeight="1" x14ac:dyDescent="0.25">
      <c r="A113" s="411" t="s">
        <v>189</v>
      </c>
      <c r="B113" s="241" t="str">
        <f>HYPERLINK(CONCATENATE($AT$3,BK113,$AU$3),$AV$3)</f>
        <v>S</v>
      </c>
      <c r="C113" s="242" t="str">
        <f>HYPERLINK(CONCATENATE($AT$4,BK113,$AU$4,BL113),$AV$4)</f>
        <v>A</v>
      </c>
      <c r="D113" s="243" t="s">
        <v>5638</v>
      </c>
      <c r="E113" s="244" t="s">
        <v>5336</v>
      </c>
      <c r="F113" s="269">
        <v>120</v>
      </c>
      <c r="G113" s="282">
        <v>25</v>
      </c>
      <c r="H113" s="283">
        <v>2000</v>
      </c>
      <c r="I113" s="284">
        <v>15000</v>
      </c>
      <c r="J113" s="246">
        <v>2</v>
      </c>
      <c r="K113" s="247" t="s">
        <v>4616</v>
      </c>
      <c r="L113" s="248">
        <v>121323</v>
      </c>
      <c r="M113" s="249">
        <f>15*(LEFT(TEXT($L113,"000000"),2)+(MID(TEXT($L113,"000000"),3,2)/60)+(RIGHT(TEXT($L113,"000000"),2)/3600))</f>
        <v>183.34583333333333</v>
      </c>
      <c r="N113" s="286">
        <v>291323</v>
      </c>
      <c r="O113" s="251">
        <f>IF($N113&gt;0,(LEFT(TEXT($N113,"000000"),2)+(MID(TEXT($N113,"000000"),3,2)/60)+(RIGHT(TEXT($N113,"000000"),2)/3600)),-(MID(TEXT($N113,"000000"),2,2)+(MID(TEXT($N113,"000000"),4,2)/60)+(RIGHT(TEXT($N113,"000000"),2)/3600)))</f>
        <v>29.223055555555554</v>
      </c>
      <c r="P113" s="252" t="s">
        <v>190</v>
      </c>
      <c r="Q113" s="253"/>
      <c r="R113" s="247" t="s">
        <v>3293</v>
      </c>
      <c r="S113" s="272" t="s">
        <v>3788</v>
      </c>
      <c r="T113" s="273">
        <v>17</v>
      </c>
      <c r="U113" s="274"/>
      <c r="V113" s="280"/>
      <c r="W113" s="244"/>
      <c r="X113" s="244"/>
      <c r="Y113" s="362"/>
      <c r="Z113" s="257">
        <f>altaz(J2000_Bas,$O113,$M113,DecLat,DecLong,1)</f>
        <v>5.0219155376454001</v>
      </c>
      <c r="AA113" s="257">
        <f>altaz((J2000_Bas+(2*0.04167)),$O113,$M113,DecLat,DecLong,1)</f>
        <v>-14.848349735459312</v>
      </c>
      <c r="AB113" s="257">
        <f>altaz((J2000_Bas+(4*0.04167)),$O113,$M113,DecLat,DecLong,1)</f>
        <v>-27.598289958753959</v>
      </c>
      <c r="AC113" s="257">
        <f>altaz((J2000_Bas+(6*0.04167)),$O113,$M113,DecLat,DecLong,1)</f>
        <v>-28.536198991568384</v>
      </c>
      <c r="AD113" s="258">
        <f>1+ transit((J2000_Bas-1),$O113,$M113,DecLat,DecLong)/360 + (GMTOffset/24) + (IF(DST="Y", 1, 0)/24)</f>
        <v>1.5021938911817914</v>
      </c>
      <c r="AE113" s="259">
        <f>DATE(2001,9,21)+(M113/360)*365 - (360*((DecLong/360)- (GMTOffset/24) ))</f>
        <v>37345.89230324074</v>
      </c>
      <c r="AF113" s="260">
        <f>IF(DecLat&gt;0,IF((90 - (DecLat-O113))&gt;90, (90 - (O113-DecLat)), (90 - (DecLat-O113))),IF((90 + (DecLat-O113))&gt;90, (90 + (O113-DecLat)), (90 + (DecLat-O113))))</f>
        <v>88.223055555555561</v>
      </c>
      <c r="AG113" s="257">
        <f>angularseperation(MoonRA,MoonDec,$M113,$O113)</f>
        <v>84.545862649799346</v>
      </c>
      <c r="AH113" s="261">
        <f ca="1">MIN(100,IF($O$5&gt;80,0+30*($AG113/100),IF($O$5&gt;70,0+50*($AG113/100),IF($O$5&gt;60,5+50*($AG113/100),IF($O$5&gt;50,10+60*($AG113/100),IF($O$5&gt;40,15+70*($AG113/100),IF($O$5&gt;30,20+70*($AG113/100),IF($O$5&gt;20,40+55*($AG113/100),(80+(20-$O$5)+30*($AG113/100))))))))))</f>
        <v>100</v>
      </c>
      <c r="AI113" s="262"/>
      <c r="AJ113" s="262"/>
      <c r="AK113" s="262"/>
      <c r="AL113" s="263"/>
      <c r="AM113" s="264"/>
      <c r="AN113" s="263"/>
      <c r="AO113" s="263"/>
      <c r="AP113" s="265">
        <v>1495</v>
      </c>
      <c r="AQ113" s="266"/>
      <c r="AR113" s="267"/>
      <c r="AS113" s="263"/>
      <c r="AT113" s="263"/>
      <c r="AU113" s="263"/>
      <c r="AV113" s="264"/>
      <c r="AW113" s="263"/>
      <c r="AX113" s="263"/>
      <c r="AY113" s="263"/>
      <c r="AZ113" s="263"/>
      <c r="BA113" s="263"/>
      <c r="BB113" s="263"/>
      <c r="BC113" s="263"/>
      <c r="BD113" s="264"/>
      <c r="BE113" s="263"/>
      <c r="BF113" s="263"/>
      <c r="BG113" s="263"/>
      <c r="BH113" s="263"/>
      <c r="BI113" s="263"/>
      <c r="BJ113" s="404">
        <f>altaz(J2000_Bas,$O113,$M113,DecLat,DecLong,2)</f>
        <v>301.26237160160412</v>
      </c>
      <c r="BK113" s="378" t="s">
        <v>3891</v>
      </c>
      <c r="BL113" s="379">
        <f>IF((2*G113)/60&lt;0.2,0.2,(2*G113)/60)</f>
        <v>0.83333333333333337</v>
      </c>
      <c r="BM113" s="380">
        <f>MOD((50000+AD113-$B$3+(0/24)),1)</f>
        <v>0.71756082088541007</v>
      </c>
      <c r="BN113" s="381" t="s">
        <v>9088</v>
      </c>
      <c r="BO113" s="382">
        <v>113</v>
      </c>
    </row>
    <row r="114" spans="1:67" s="24" customFormat="1" ht="15" customHeight="1" x14ac:dyDescent="0.25">
      <c r="A114" s="412" t="s">
        <v>191</v>
      </c>
      <c r="B114" s="241" t="str">
        <f>HYPERLINK(CONCATENATE($AT$3,BK114,$AU$3),$AV$3)</f>
        <v>S</v>
      </c>
      <c r="C114" s="242" t="str">
        <f>HYPERLINK(CONCATENATE($AT$4,BK114,$AU$4,BL114),$AV$4)</f>
        <v>A</v>
      </c>
      <c r="D114" s="243" t="s">
        <v>5638</v>
      </c>
      <c r="E114" s="244" t="s">
        <v>5336</v>
      </c>
      <c r="F114" s="269">
        <v>30</v>
      </c>
      <c r="G114" s="282">
        <v>30</v>
      </c>
      <c r="H114" s="283">
        <v>640</v>
      </c>
      <c r="I114" s="284">
        <v>6000</v>
      </c>
      <c r="J114" s="246">
        <v>1</v>
      </c>
      <c r="K114" s="247" t="s">
        <v>5760</v>
      </c>
      <c r="L114" s="248">
        <v>125250</v>
      </c>
      <c r="M114" s="249">
        <f>15*(LEFT(TEXT($L114,"000000"),2)+(MID(TEXT($L114,"000000"),3,2)/60)+(RIGHT(TEXT($L114,"000000"),2)/3600))</f>
        <v>193.20833333333334</v>
      </c>
      <c r="N114" s="250">
        <v>-152617</v>
      </c>
      <c r="O114" s="251">
        <f>IF($N114&gt;0,(LEFT(TEXT($N114,"000000"),2)+(MID(TEXT($N114,"000000"),3,2)/60)+(RIGHT(TEXT($N114,"000000"),2)/3600)),-(MID(TEXT($N114,"000000"),2,2)+(MID(TEXT($N114,"000000"),4,2)/60)+(RIGHT(TEXT($N114,"000000"),2)/3600)))</f>
        <v>-15.438055555555556</v>
      </c>
      <c r="P114" s="252" t="s">
        <v>192</v>
      </c>
      <c r="Q114" s="253"/>
      <c r="R114" s="277" t="s">
        <v>3293</v>
      </c>
      <c r="S114" s="272" t="s">
        <v>3293</v>
      </c>
      <c r="T114" s="273">
        <v>15.4</v>
      </c>
      <c r="U114" s="274"/>
      <c r="V114" s="280"/>
      <c r="W114" s="244"/>
      <c r="X114" s="244"/>
      <c r="Y114" s="362"/>
      <c r="Z114" s="257">
        <f>altaz(J2000_Bas,$O114,$M114,DecLat,DecLong,1)</f>
        <v>-10.217230685009493</v>
      </c>
      <c r="AA114" s="257">
        <f>altaz((J2000_Bas+(2*0.04167)),$O114,$M114,DecLat,DecLong,1)</f>
        <v>-35.84802568255423</v>
      </c>
      <c r="AB114" s="257">
        <f>altaz((J2000_Bas+(4*0.04167)),$O114,$M114,DecLat,DecLong,1)</f>
        <v>-60.814598110087836</v>
      </c>
      <c r="AC114" s="257">
        <f>altaz((J2000_Bas+(6*0.04167)),$O114,$M114,DecLat,DecLong,1)</f>
        <v>-74.19036195927707</v>
      </c>
      <c r="AD114" s="258">
        <f>1+ transit((J2000_Bas-1),$O114,$M114,DecLat,DecLong)/360 + (GMTOffset/24) + (IF(DST="Y", 1, 0)/24)</f>
        <v>1.5295897217755414</v>
      </c>
      <c r="AE114" s="259">
        <f>DATE(2001,9,21)+(M114/360)*365 - (360*((DecLong/360)- (GMTOffset/24) ))</f>
        <v>37355.891782407409</v>
      </c>
      <c r="AF114" s="260">
        <f>IF(DecLat&gt;0,IF((90 - (DecLat-O114))&gt;90, (90 - (O114-DecLat)), (90 - (DecLat-O114))),IF((90 + (DecLat-O114))&gt;90, (90 + (O114-DecLat)), (90 + (DecLat-O114))))</f>
        <v>43.561944444444443</v>
      </c>
      <c r="AG114" s="257">
        <f>angularseperation(MoonRA,MoonDec,$M114,$O114)</f>
        <v>53.080729291055519</v>
      </c>
      <c r="AH114" s="261">
        <f ca="1">MIN(100,IF($O$5&gt;80,0+30*($AG114/100),IF($O$5&gt;70,0+50*($AG114/100),IF($O$5&gt;60,5+50*($AG114/100),IF($O$5&gt;50,10+60*($AG114/100),IF($O$5&gt;40,15+70*($AG114/100),IF($O$5&gt;30,20+70*($AG114/100),IF($O$5&gt;20,40+55*($AG114/100),(80+(20-$O$5)+30*($AG114/100))))))))))</f>
        <v>99.195279131467089</v>
      </c>
      <c r="AI114" s="263"/>
      <c r="AJ114" s="263"/>
      <c r="AK114" s="263"/>
      <c r="AL114" s="263"/>
      <c r="AM114" s="264"/>
      <c r="AN114" s="263"/>
      <c r="AO114" s="263"/>
      <c r="AP114" s="265">
        <v>1631</v>
      </c>
      <c r="AQ114" s="265"/>
      <c r="AR114" s="285"/>
      <c r="AS114" s="263"/>
      <c r="AT114" s="263"/>
      <c r="AU114" s="263"/>
      <c r="AV114" s="264"/>
      <c r="AW114" s="263"/>
      <c r="AX114" s="263"/>
      <c r="AY114" s="263"/>
      <c r="AZ114" s="263"/>
      <c r="BA114" s="263"/>
      <c r="BB114" s="263"/>
      <c r="BC114" s="263"/>
      <c r="BD114" s="264"/>
      <c r="BE114" s="263"/>
      <c r="BF114" s="263"/>
      <c r="BG114" s="263"/>
      <c r="BH114" s="263"/>
      <c r="BI114" s="263"/>
      <c r="BJ114" s="404">
        <f>altaz(J2000_Bas,$O114,$M114,DecLat,DecLong,2)</f>
        <v>258.03821831615886</v>
      </c>
      <c r="BK114" s="378" t="s">
        <v>3892</v>
      </c>
      <c r="BL114" s="379">
        <f>IF((2*G114)/60&lt;0.2,0.2,(2*G114)/60)</f>
        <v>1</v>
      </c>
      <c r="BM114" s="380">
        <f>MOD((50000+AD114-$B$3+(0/24)),1)</f>
        <v>0.74495665147696855</v>
      </c>
      <c r="BN114" s="381"/>
      <c r="BO114" s="382">
        <v>114</v>
      </c>
    </row>
    <row r="115" spans="1:67" s="24" customFormat="1" ht="15" customHeight="1" x14ac:dyDescent="0.25">
      <c r="A115" s="411" t="s">
        <v>193</v>
      </c>
      <c r="B115" s="241" t="str">
        <f>HYPERLINK(CONCATENATE($AT$3,BK115,$AU$3),$AV$3)</f>
        <v>S</v>
      </c>
      <c r="C115" s="242" t="str">
        <f>HYPERLINK(CONCATENATE($AT$4,BK115,$AU$4,BL115),$AV$4)</f>
        <v>A</v>
      </c>
      <c r="D115" s="243" t="s">
        <v>5638</v>
      </c>
      <c r="E115" s="244" t="s">
        <v>5336</v>
      </c>
      <c r="F115" s="269">
        <v>100</v>
      </c>
      <c r="G115" s="282">
        <v>64</v>
      </c>
      <c r="H115" s="283">
        <v>300</v>
      </c>
      <c r="I115" s="284">
        <v>6000</v>
      </c>
      <c r="J115" s="246">
        <v>4</v>
      </c>
      <c r="K115" s="247" t="s">
        <v>3789</v>
      </c>
      <c r="L115" s="248">
        <v>125949</v>
      </c>
      <c r="M115" s="249">
        <f>15*(LEFT(TEXT($L115,"000000"),2)+(MID(TEXT($L115,"000000"),3,2)/60)+(RIGHT(TEXT($L115,"000000"),2)/3600))</f>
        <v>194.95416666666665</v>
      </c>
      <c r="N115" s="250">
        <v>275851</v>
      </c>
      <c r="O115" s="251">
        <f>IF($N115&gt;0,(LEFT(TEXT($N115,"000000"),2)+(MID(TEXT($N115,"000000"),3,2)/60)+(RIGHT(TEXT($N115,"000000"),2)/3600)),-(MID(TEXT($N115,"000000"),2,2)+(MID(TEXT($N115,"000000"),4,2)/60)+(RIGHT(TEXT($N115,"000000"),2)/3600)))</f>
        <v>27.980833333333333</v>
      </c>
      <c r="P115" s="252" t="s">
        <v>190</v>
      </c>
      <c r="Q115" s="253" t="s">
        <v>3792</v>
      </c>
      <c r="R115" s="247" t="s">
        <v>7359</v>
      </c>
      <c r="S115" s="272" t="s">
        <v>3293</v>
      </c>
      <c r="T115" s="273">
        <v>13.5</v>
      </c>
      <c r="U115" s="274"/>
      <c r="V115" s="280"/>
      <c r="W115" s="244"/>
      <c r="X115" s="244"/>
      <c r="Y115" s="362"/>
      <c r="Z115" s="257">
        <f>altaz(J2000_Bas,$O115,$M115,DecLat,DecLong,1)</f>
        <v>13.167143934054039</v>
      </c>
      <c r="AA115" s="257">
        <f>altaz((J2000_Bas+(2*0.04167)),$O115,$M115,DecLat,DecLong,1)</f>
        <v>-8.6112280695334551</v>
      </c>
      <c r="AB115" s="257">
        <f>altaz((J2000_Bas+(4*0.04167)),$O115,$M115,DecLat,DecLong,1)</f>
        <v>-24.948566409639987</v>
      </c>
      <c r="AC115" s="257">
        <f>altaz((J2000_Bas+(6*0.04167)),$O115,$M115,DecLat,DecLong,1)</f>
        <v>-31.006099494381978</v>
      </c>
      <c r="AD115" s="258">
        <f>1+ transit((J2000_Bas-1),$O115,$M115,DecLat,DecLong)/360 + (GMTOffset/24) + (IF(DST="Y", 1, 0)/24)</f>
        <v>1.5344392583276247</v>
      </c>
      <c r="AE115" s="259">
        <f>DATE(2001,9,21)+(M115/360)*365 - (360*((DecLong/360)- (GMTOffset/24) ))</f>
        <v>37357.661863425928</v>
      </c>
      <c r="AF115" s="260">
        <f>IF(DecLat&gt;0,IF((90 - (DecLat-O115))&gt;90, (90 - (O115-DecLat)), (90 - (DecLat-O115))),IF((90 + (DecLat-O115))&gt;90, (90 + (O115-DecLat)), (90 + (DecLat-O115))))</f>
        <v>86.980833333333337</v>
      </c>
      <c r="AG115" s="257">
        <f>angularseperation(MoonRA,MoonDec,$M115,$O115)</f>
        <v>75.798168476363415</v>
      </c>
      <c r="AH115" s="261">
        <f ca="1">MIN(100,IF($O$5&gt;80,0+30*($AG115/100),IF($O$5&gt;70,0+50*($AG115/100),IF($O$5&gt;60,5+50*($AG115/100),IF($O$5&gt;50,10+60*($AG115/100),IF($O$5&gt;40,15+70*($AG115/100),IF($O$5&gt;30,20+70*($AG115/100),IF($O$5&gt;20,40+55*($AG115/100),(80+(20-$O$5)+30*($AG115/100))))))))))</f>
        <v>100</v>
      </c>
      <c r="AI115" s="262">
        <v>4889</v>
      </c>
      <c r="AJ115" s="262"/>
      <c r="AK115" s="262"/>
      <c r="AL115" s="263"/>
      <c r="AM115" s="264">
        <v>35</v>
      </c>
      <c r="AN115" s="263"/>
      <c r="AO115" s="263"/>
      <c r="AP115" s="265">
        <v>1656</v>
      </c>
      <c r="AQ115" s="266"/>
      <c r="AR115" s="267">
        <v>44715</v>
      </c>
      <c r="AS115" s="263"/>
      <c r="AT115" s="263"/>
      <c r="AU115" s="263"/>
      <c r="AV115" s="264"/>
      <c r="AW115" s="263"/>
      <c r="AX115" s="263"/>
      <c r="AY115" s="263"/>
      <c r="AZ115" s="263"/>
      <c r="BA115" s="263"/>
      <c r="BB115" s="263"/>
      <c r="BC115" s="263"/>
      <c r="BD115" s="264"/>
      <c r="BE115" s="263"/>
      <c r="BF115" s="263"/>
      <c r="BG115" s="263"/>
      <c r="BH115" s="263"/>
      <c r="BI115" s="263"/>
      <c r="BJ115" s="404">
        <f>altaz(J2000_Bas,$O115,$M115,DecLat,DecLong,2)</f>
        <v>294.93363317940941</v>
      </c>
      <c r="BK115" s="378" t="s">
        <v>3893</v>
      </c>
      <c r="BL115" s="379">
        <f>IF((2*G115)/60&lt;0.2,0.2,(2*G115)/60)</f>
        <v>2.1333333333333333</v>
      </c>
      <c r="BM115" s="380">
        <f>MOD((50000+AD115-$B$3+(0/24)),1)</f>
        <v>0.74980618803238031</v>
      </c>
      <c r="BN115" s="381"/>
      <c r="BO115" s="382">
        <v>115</v>
      </c>
    </row>
    <row r="116" spans="1:67" s="24" customFormat="1" ht="15" customHeight="1" x14ac:dyDescent="0.25">
      <c r="A116" s="411" t="s">
        <v>194</v>
      </c>
      <c r="B116" s="241" t="str">
        <f>HYPERLINK(CONCATENATE($AT$3,BK116,$AU$3),$AV$3)</f>
        <v>S</v>
      </c>
      <c r="C116" s="242" t="str">
        <f>HYPERLINK(CONCATENATE($AT$4,BK116,$AU$4,BL116),$AV$4)</f>
        <v>A</v>
      </c>
      <c r="D116" s="243" t="s">
        <v>5638</v>
      </c>
      <c r="E116" s="244" t="s">
        <v>5336</v>
      </c>
      <c r="F116" s="269">
        <v>230</v>
      </c>
      <c r="G116" s="282">
        <v>20</v>
      </c>
      <c r="H116" s="283">
        <v>2500</v>
      </c>
      <c r="I116" s="284">
        <v>14000</v>
      </c>
      <c r="J116" s="246">
        <v>2</v>
      </c>
      <c r="K116" s="247" t="s">
        <v>5195</v>
      </c>
      <c r="L116" s="248">
        <v>131134</v>
      </c>
      <c r="M116" s="249">
        <f>15*(LEFT(TEXT($L116,"000000"),2)+(MID(TEXT($L116,"000000"),3,2)/60)+(RIGHT(TEXT($L116,"000000"),2)/3600))</f>
        <v>197.89166666666665</v>
      </c>
      <c r="N116" s="250">
        <v>-12155</v>
      </c>
      <c r="O116" s="251">
        <f>IF($N116&gt;0,(LEFT(TEXT($N116,"000000"),2)+(MID(TEXT($N116,"000000"),3,2)/60)+(RIGHT(TEXT($N116,"000000"),2)/3600)),-(MID(TEXT($N116,"000000"),2,2)+(MID(TEXT($N116,"000000"),4,2)/60)+(RIGHT(TEXT($N116,"000000"),2)/3600)))</f>
        <v>-1.3652777777777778</v>
      </c>
      <c r="P116" s="252" t="s">
        <v>61</v>
      </c>
      <c r="Q116" s="253"/>
      <c r="R116" s="277" t="s">
        <v>3293</v>
      </c>
      <c r="S116" s="272" t="s">
        <v>3293</v>
      </c>
      <c r="T116" s="273">
        <v>17.600000000000001</v>
      </c>
      <c r="U116" s="274"/>
      <c r="V116" s="280"/>
      <c r="W116" s="244"/>
      <c r="X116" s="244"/>
      <c r="Y116" s="362"/>
      <c r="Z116" s="257">
        <f>altaz(J2000_Bas,$O116,$M116,DecLat,DecLong,1)</f>
        <v>0.91540557988393423</v>
      </c>
      <c r="AA116" s="257">
        <f>altaz((J2000_Bas+(2*0.04167)),$O116,$M116,DecLat,DecLong,1)</f>
        <v>-24.654929361528232</v>
      </c>
      <c r="AB116" s="257">
        <f>altaz((J2000_Bas+(4*0.04167)),$O116,$M116,DecLat,DecLong,1)</f>
        <v>-47.833315223953342</v>
      </c>
      <c r="AC116" s="257">
        <f>altaz((J2000_Bas+(6*0.04167)),$O116,$M116,DecLat,DecLong,1)</f>
        <v>-60.324857014432503</v>
      </c>
      <c r="AD116" s="258">
        <f>1+ transit((J2000_Bas-1),$O116,$M116,DecLat,DecLong)/360 + (GMTOffset/24) + (IF(DST="Y", 1, 0)/24)</f>
        <v>1.5425989797338746</v>
      </c>
      <c r="AE116" s="259">
        <f>DATE(2001,9,21)+(M116/360)*365 - (360*((DecLong/360)- (GMTOffset/24) ))</f>
        <v>37360.640162037038</v>
      </c>
      <c r="AF116" s="260">
        <f>IF(DecLat&gt;0,IF((90 - (DecLat-O116))&gt;90, (90 - (O116-DecLat)), (90 - (DecLat-O116))),IF((90 + (DecLat-O116))&gt;90, (90 + (O116-DecLat)), (90 + (DecLat-O116))))</f>
        <v>57.634722222222223</v>
      </c>
      <c r="AG116" s="257">
        <f>angularseperation(MoonRA,MoonDec,$M116,$O116)</f>
        <v>55.475490128153901</v>
      </c>
      <c r="AH116" s="261">
        <f ca="1">MIN(100,IF($O$5&gt;80,0+30*($AG116/100),IF($O$5&gt;70,0+50*($AG116/100),IF($O$5&gt;60,5+50*($AG116/100),IF($O$5&gt;50,10+60*($AG116/100),IF($O$5&gt;40,15+70*($AG116/100),IF($O$5&gt;30,20+70*($AG116/100),IF($O$5&gt;20,40+55*($AG116/100),(80+(20-$O$5)+30*($AG116/100))))))))))</f>
        <v>99.913707382596598</v>
      </c>
      <c r="AI116" s="263"/>
      <c r="AJ116" s="263"/>
      <c r="AK116" s="263"/>
      <c r="AL116" s="263"/>
      <c r="AM116" s="264"/>
      <c r="AN116" s="263"/>
      <c r="AO116" s="263"/>
      <c r="AP116" s="265">
        <v>1689</v>
      </c>
      <c r="AQ116" s="265"/>
      <c r="AR116" s="285"/>
      <c r="AS116" s="263"/>
      <c r="AT116" s="263"/>
      <c r="AU116" s="263"/>
      <c r="AV116" s="264"/>
      <c r="AW116" s="263"/>
      <c r="AX116" s="263"/>
      <c r="AY116" s="263"/>
      <c r="AZ116" s="263"/>
      <c r="BA116" s="263"/>
      <c r="BB116" s="263"/>
      <c r="BC116" s="263"/>
      <c r="BD116" s="264"/>
      <c r="BE116" s="263"/>
      <c r="BF116" s="263"/>
      <c r="BG116" s="263"/>
      <c r="BH116" s="263"/>
      <c r="BI116" s="263"/>
      <c r="BJ116" s="404">
        <f>altaz(J2000_Bas,$O116,$M116,DecLat,DecLong,2)</f>
        <v>267.85659091150058</v>
      </c>
      <c r="BK116" s="378" t="s">
        <v>3894</v>
      </c>
      <c r="BL116" s="379">
        <f>IF((2*G116)/60&lt;0.2,0.2,(2*G116)/60)</f>
        <v>0.66666666666666663</v>
      </c>
      <c r="BM116" s="380">
        <f>MOD((50000+AD116-$B$3+(0/24)),1)</f>
        <v>0.75796590944082709</v>
      </c>
      <c r="BN116" s="381"/>
      <c r="BO116" s="382">
        <v>116</v>
      </c>
    </row>
    <row r="117" spans="1:67" s="24" customFormat="1" ht="15" customHeight="1" x14ac:dyDescent="0.25">
      <c r="A117" s="412" t="s">
        <v>195</v>
      </c>
      <c r="B117" s="241" t="str">
        <f>HYPERLINK(CONCATENATE($AT$3,BK117,$AU$3),$AV$3)</f>
        <v>S</v>
      </c>
      <c r="C117" s="242" t="str">
        <f>HYPERLINK(CONCATENATE($AT$4,BK117,$AU$4,BL117),$AV$4)</f>
        <v>A</v>
      </c>
      <c r="D117" s="243" t="s">
        <v>5638</v>
      </c>
      <c r="E117" s="244" t="s">
        <v>5336</v>
      </c>
      <c r="F117" s="269">
        <v>40</v>
      </c>
      <c r="G117" s="282">
        <v>22</v>
      </c>
      <c r="H117" s="283">
        <v>500</v>
      </c>
      <c r="I117" s="284">
        <v>3500</v>
      </c>
      <c r="J117" s="246">
        <v>1</v>
      </c>
      <c r="K117" s="247" t="s">
        <v>5761</v>
      </c>
      <c r="L117" s="248">
        <v>151645</v>
      </c>
      <c r="M117" s="249">
        <f>15*(LEFT(TEXT($L117,"000000"),2)+(MID(TEXT($L117,"000000"),3,2)/60)+(RIGHT(TEXT($L117,"000000"),2)/3600))</f>
        <v>229.1875</v>
      </c>
      <c r="N117" s="250">
        <v>70101</v>
      </c>
      <c r="O117" s="251">
        <f>IF($N117&gt;0,(LEFT(TEXT($N117,"000000"),2)+(MID(TEXT($N117,"000000"),3,2)/60)+(RIGHT(TEXT($N117,"000000"),2)/3600)),-(MID(TEXT($N117,"000000"),2,2)+(MID(TEXT($N117,"000000"),4,2)/60)+(RIGHT(TEXT($N117,"000000"),2)/3600)))</f>
        <v>7.0169444444444444</v>
      </c>
      <c r="P117" s="252" t="s">
        <v>115</v>
      </c>
      <c r="Q117" s="253"/>
      <c r="R117" s="277" t="s">
        <v>3293</v>
      </c>
      <c r="S117" s="272" t="s">
        <v>3293</v>
      </c>
      <c r="T117" s="273">
        <v>15</v>
      </c>
      <c r="U117" s="274"/>
      <c r="V117" s="280"/>
      <c r="W117" s="244"/>
      <c r="X117" s="244"/>
      <c r="Y117" s="362"/>
      <c r="Z117" s="257">
        <f>altaz(J2000_Bas,$O117,$M117,DecLat,DecLong,1)</f>
        <v>31.908780542531694</v>
      </c>
      <c r="AA117" s="257">
        <f>altaz((J2000_Bas+(2*0.04167)),$O117,$M117,DecLat,DecLong,1)</f>
        <v>6.2536849869764399</v>
      </c>
      <c r="AB117" s="257">
        <f>altaz((J2000_Bas+(4*0.04167)),$O117,$M117,DecLat,DecLong,1)</f>
        <v>-18.850730869231423</v>
      </c>
      <c r="AC117" s="257">
        <f>altaz((J2000_Bas+(6*0.04167)),$O117,$M117,DecLat,DecLong,1)</f>
        <v>-40.62712676144421</v>
      </c>
      <c r="AD117" s="258">
        <f>1+ transit((J2000_Bas-1),$O117,$M117,DecLat,DecLong)/360 + (GMTOffset/24) + (IF(DST="Y", 1, 0)/24)</f>
        <v>1.6295318414109581</v>
      </c>
      <c r="AE117" s="259">
        <f>DATE(2001,9,21)+(M117/360)*365 - (360*((DecLong/360)- (GMTOffset/24) ))</f>
        <v>37392.370659722219</v>
      </c>
      <c r="AF117" s="260">
        <f>IF(DecLat&gt;0,IF((90 - (DecLat-O117))&gt;90, (90 - (O117-DecLat)), (90 - (DecLat-O117))),IF((90 + (DecLat-O117))&gt;90, (90 + (O117-DecLat)), (90 + (DecLat-O117))))</f>
        <v>66.016944444444448</v>
      </c>
      <c r="AG117" s="257">
        <f>angularseperation(MoonRA,MoonDec,$M117,$O117)</f>
        <v>39.242910748982773</v>
      </c>
      <c r="AH117" s="261">
        <f ca="1">MIN(100,IF($O$5&gt;80,0+30*($AG117/100),IF($O$5&gt;70,0+50*($AG117/100),IF($O$5&gt;60,5+50*($AG117/100),IF($O$5&gt;50,10+60*($AG117/100),IF($O$5&gt;40,15+70*($AG117/100),IF($O$5&gt;30,20+70*($AG117/100),IF($O$5&gt;20,40+55*($AG117/100),(80+(20-$O$5)+30*($AG117/100))))))))))</f>
        <v>95.043933568845262</v>
      </c>
      <c r="AI117" s="263"/>
      <c r="AJ117" s="263"/>
      <c r="AK117" s="263"/>
      <c r="AL117" s="263"/>
      <c r="AM117" s="264"/>
      <c r="AN117" s="263"/>
      <c r="AO117" s="263"/>
      <c r="AP117" s="265">
        <v>2052</v>
      </c>
      <c r="AQ117" s="265"/>
      <c r="AR117" s="285"/>
      <c r="AS117" s="263"/>
      <c r="AT117" s="263"/>
      <c r="AU117" s="263"/>
      <c r="AV117" s="264"/>
      <c r="AW117" s="263"/>
      <c r="AX117" s="263"/>
      <c r="AY117" s="263"/>
      <c r="AZ117" s="263"/>
      <c r="BA117" s="263"/>
      <c r="BB117" s="263"/>
      <c r="BC117" s="263"/>
      <c r="BD117" s="264"/>
      <c r="BE117" s="263"/>
      <c r="BF117" s="263"/>
      <c r="BG117" s="263"/>
      <c r="BH117" s="263"/>
      <c r="BI117" s="263"/>
      <c r="BJ117" s="404">
        <f>altaz(J2000_Bas,$O117,$M117,DecLat,DecLong,2)</f>
        <v>258.09780254870259</v>
      </c>
      <c r="BK117" s="378" t="s">
        <v>3895</v>
      </c>
      <c r="BL117" s="379">
        <f>IF((2*G117)/60&lt;0.2,0.2,(2*G117)/60)</f>
        <v>0.73333333333333328</v>
      </c>
      <c r="BM117" s="380">
        <f>MOD((50000+AD117-$B$3+(0/24)),1)</f>
        <v>0.8448987711162772</v>
      </c>
      <c r="BN117" s="381"/>
      <c r="BO117" s="382">
        <v>117</v>
      </c>
    </row>
    <row r="118" spans="1:67" s="24" customFormat="1" ht="15" customHeight="1" x14ac:dyDescent="0.25">
      <c r="A118" s="412" t="s">
        <v>196</v>
      </c>
      <c r="B118" s="241" t="str">
        <f>HYPERLINK(CONCATENATE($AT$3,BK118,$AU$3),$AV$3)</f>
        <v>S</v>
      </c>
      <c r="C118" s="242" t="str">
        <f>HYPERLINK(CONCATENATE($AT$4,BK118,$AU$4,BL118),$AV$4)</f>
        <v>A</v>
      </c>
      <c r="D118" s="243" t="s">
        <v>5638</v>
      </c>
      <c r="E118" s="244" t="s">
        <v>5336</v>
      </c>
      <c r="F118" s="269">
        <v>60</v>
      </c>
      <c r="G118" s="282">
        <v>22</v>
      </c>
      <c r="H118" s="283">
        <v>500</v>
      </c>
      <c r="I118" s="284">
        <v>3500</v>
      </c>
      <c r="J118" s="246">
        <v>2</v>
      </c>
      <c r="K118" s="247" t="s">
        <v>5762</v>
      </c>
      <c r="L118" s="248">
        <v>152302</v>
      </c>
      <c r="M118" s="249">
        <f>15*(LEFT(TEXT($L118,"000000"),2)+(MID(TEXT($L118,"000000"),3,2)/60)+(RIGHT(TEXT($L118,"000000"),2)/3600))</f>
        <v>230.75833333333333</v>
      </c>
      <c r="N118" s="250">
        <v>83822</v>
      </c>
      <c r="O118" s="251">
        <f>IF($N118&gt;0,(LEFT(TEXT($N118,"000000"),2)+(MID(TEXT($N118,"000000"),3,2)/60)+(RIGHT(TEXT($N118,"000000"),2)/3600)),-(MID(TEXT($N118,"000000"),2,2)+(MID(TEXT($N118,"000000"),4,2)/60)+(RIGHT(TEXT($N118,"000000"),2)/3600)))</f>
        <v>8.6394444444444431</v>
      </c>
      <c r="P118" s="252" t="s">
        <v>115</v>
      </c>
      <c r="Q118" s="253"/>
      <c r="R118" s="277" t="s">
        <v>3293</v>
      </c>
      <c r="S118" s="272" t="s">
        <v>3293</v>
      </c>
      <c r="T118" s="273">
        <v>15.1</v>
      </c>
      <c r="U118" s="274"/>
      <c r="V118" s="280"/>
      <c r="W118" s="244"/>
      <c r="X118" s="244"/>
      <c r="Y118" s="362"/>
      <c r="Z118" s="257">
        <f>altaz(J2000_Bas,$O118,$M118,DecLat,DecLong,1)</f>
        <v>34.088656598198114</v>
      </c>
      <c r="AA118" s="257">
        <f>altaz((J2000_Bas+(2*0.04167)),$O118,$M118,DecLat,DecLong,1)</f>
        <v>8.4171960146629115</v>
      </c>
      <c r="AB118" s="257">
        <f>altaz((J2000_Bas+(4*0.04167)),$O118,$M118,DecLat,DecLong,1)</f>
        <v>-16.637116774560273</v>
      </c>
      <c r="AC118" s="257">
        <f>altaz((J2000_Bas+(6*0.04167)),$O118,$M118,DecLat,DecLong,1)</f>
        <v>-38.390230203834761</v>
      </c>
      <c r="AD118" s="258">
        <f>1+ transit((J2000_Bas-1),$O118,$M118,DecLat,DecLong)/360 + (GMTOffset/24) + (IF(DST="Y", 1, 0)/24)</f>
        <v>1.6338952669005413</v>
      </c>
      <c r="AE118" s="259">
        <f>DATE(2001,9,21)+(M118/360)*365 - (360*((DecLong/360)- (GMTOffset/24) ))</f>
        <v>37393.963310185187</v>
      </c>
      <c r="AF118" s="260">
        <f>IF(DecLat&gt;0,IF((90 - (DecLat-O118))&gt;90, (90 - (O118-DecLat)), (90 - (DecLat-O118))),IF((90 + (DecLat-O118))&gt;90, (90 + (O118-DecLat)), (90 + (DecLat-O118))))</f>
        <v>67.63944444444445</v>
      </c>
      <c r="AG118" s="257">
        <f>angularseperation(MoonRA,MoonDec,$M118,$O118)</f>
        <v>39.965055710081209</v>
      </c>
      <c r="AH118" s="261">
        <f ca="1">MIN(100,IF($O$5&gt;80,0+30*($AG118/100),IF($O$5&gt;70,0+50*($AG118/100),IF($O$5&gt;60,5+50*($AG118/100),IF($O$5&gt;50,10+60*($AG118/100),IF($O$5&gt;40,15+70*($AG118/100),IF($O$5&gt;30,20+70*($AG118/100),IF($O$5&gt;20,40+55*($AG118/100),(80+(20-$O$5)+30*($AG118/100))))))))))</f>
        <v>95.260577057174785</v>
      </c>
      <c r="AI118" s="263"/>
      <c r="AJ118" s="263"/>
      <c r="AK118" s="263"/>
      <c r="AL118" s="263"/>
      <c r="AM118" s="264"/>
      <c r="AN118" s="263"/>
      <c r="AO118" s="263"/>
      <c r="AP118" s="265">
        <v>2063</v>
      </c>
      <c r="AQ118" s="265"/>
      <c r="AR118" s="285"/>
      <c r="AS118" s="263"/>
      <c r="AT118" s="263"/>
      <c r="AU118" s="263"/>
      <c r="AV118" s="264"/>
      <c r="AW118" s="263"/>
      <c r="AX118" s="263"/>
      <c r="AY118" s="263"/>
      <c r="AZ118" s="263"/>
      <c r="BA118" s="263"/>
      <c r="BB118" s="263"/>
      <c r="BC118" s="263"/>
      <c r="BD118" s="264"/>
      <c r="BE118" s="263"/>
      <c r="BF118" s="263"/>
      <c r="BG118" s="263"/>
      <c r="BH118" s="263"/>
      <c r="BI118" s="263"/>
      <c r="BJ118" s="404">
        <f>altaz(J2000_Bas,$O118,$M118,DecLat,DecLong,2)</f>
        <v>258.75337398476933</v>
      </c>
      <c r="BK118" s="378" t="s">
        <v>3896</v>
      </c>
      <c r="BL118" s="379">
        <f>IF((2*G118)/60&lt;0.2,0.2,(2*G118)/60)</f>
        <v>0.73333333333333328</v>
      </c>
      <c r="BM118" s="380">
        <f>MOD((50000+AD118-$B$3+(0/24)),1)</f>
        <v>0.84926219660701463</v>
      </c>
      <c r="BN118" s="381"/>
      <c r="BO118" s="382">
        <v>118</v>
      </c>
    </row>
    <row r="119" spans="1:67" s="24" customFormat="1" ht="15" customHeight="1" x14ac:dyDescent="0.25">
      <c r="A119" s="411" t="s">
        <v>197</v>
      </c>
      <c r="B119" s="241" t="str">
        <f>HYPERLINK(CONCATENATE($AT$3,BK119,$AU$3),$AV$3)</f>
        <v>S</v>
      </c>
      <c r="C119" s="242" t="str">
        <f>HYPERLINK(CONCATENATE($AT$4,BK119,$AU$4,BL119),$AV$4)</f>
        <v>A</v>
      </c>
      <c r="D119" s="243" t="s">
        <v>5638</v>
      </c>
      <c r="E119" s="244" t="s">
        <v>5336</v>
      </c>
      <c r="F119" s="269">
        <v>110</v>
      </c>
      <c r="G119" s="282">
        <v>20</v>
      </c>
      <c r="H119" s="283">
        <v>1000</v>
      </c>
      <c r="I119" s="284">
        <v>5500</v>
      </c>
      <c r="J119" s="246">
        <v>3</v>
      </c>
      <c r="K119" s="247" t="s">
        <v>3790</v>
      </c>
      <c r="L119" s="248">
        <v>152243</v>
      </c>
      <c r="M119" s="249">
        <f>15*(LEFT(TEXT($L119,"000000"),2)+(MID(TEXT($L119,"000000"),3,2)/60)+(RIGHT(TEXT($L119,"000000"),2)/3600))</f>
        <v>230.67916666666667</v>
      </c>
      <c r="N119" s="250">
        <v>274321</v>
      </c>
      <c r="O119" s="251">
        <f>IF($N119&gt;0,(LEFT(TEXT($N119,"000000"),2)+(MID(TEXT($N119,"000000"),3,2)/60)+(RIGHT(TEXT($N119,"000000"),2)/3600)),-(MID(TEXT($N119,"000000"),2,2)+(MID(TEXT($N119,"000000"),4,2)/60)+(RIGHT(TEXT($N119,"000000"),2)/3600)))</f>
        <v>27.722499999999997</v>
      </c>
      <c r="P119" s="252" t="s">
        <v>198</v>
      </c>
      <c r="Q119" s="253"/>
      <c r="R119" s="247" t="s">
        <v>3293</v>
      </c>
      <c r="S119" s="272" t="s">
        <v>3293</v>
      </c>
      <c r="T119" s="273">
        <v>15.6</v>
      </c>
      <c r="U119" s="274"/>
      <c r="V119" s="280"/>
      <c r="W119" s="244"/>
      <c r="X119" s="244"/>
      <c r="Y119" s="362"/>
      <c r="Z119" s="257">
        <f>altaz(J2000_Bas,$O119,$M119,DecLat,DecLong,1)</f>
        <v>42.166660092143978</v>
      </c>
      <c r="AA119" s="257">
        <f>altaz((J2000_Bas+(2*0.04167)),$O119,$M119,DecLat,DecLong,1)</f>
        <v>17.477881508468535</v>
      </c>
      <c r="AB119" s="257">
        <f>altaz((J2000_Bas+(4*0.04167)),$O119,$M119,DecLat,DecLong,1)</f>
        <v>-4.9899563332456438</v>
      </c>
      <c r="AC119" s="257">
        <f>altaz((J2000_Bas+(6*0.04167)),$O119,$M119,DecLat,DecLong,1)</f>
        <v>-22.725262247124327</v>
      </c>
      <c r="AD119" s="258">
        <f>1+ transit((J2000_Bas-1),$O119,$M119,DecLat,DecLong)/360 + (GMTOffset/24) + (IF(DST="Y", 1, 0)/24)</f>
        <v>1.6336753595151248</v>
      </c>
      <c r="AE119" s="259">
        <f>DATE(2001,9,21)+(M119/360)*365 - (360*((DecLong/360)- (GMTOffset/24) ))</f>
        <v>37393.883043981485</v>
      </c>
      <c r="AF119" s="260">
        <f>IF(DecLat&gt;0,IF((90 - (DecLat-O119))&gt;90, (90 - (O119-DecLat)), (90 - (DecLat-O119))),IF((90 + (DecLat-O119))&gt;90, (90 + (O119-DecLat)), (90 + (DecLat-O119))))</f>
        <v>86.722499999999997</v>
      </c>
      <c r="AG119" s="257">
        <f>angularseperation(MoonRA,MoonDec,$M119,$O119)</f>
        <v>57.633307777428634</v>
      </c>
      <c r="AH119" s="261">
        <f ca="1">MIN(100,IF($O$5&gt;80,0+30*($AG119/100),IF($O$5&gt;70,0+50*($AG119/100),IF($O$5&gt;60,5+50*($AG119/100),IF($O$5&gt;50,10+60*($AG119/100),IF($O$5&gt;40,15+70*($AG119/100),IF($O$5&gt;30,20+70*($AG119/100),IF($O$5&gt;20,40+55*($AG119/100),(80+(20-$O$5)+30*($AG119/100))))))))))</f>
        <v>100</v>
      </c>
      <c r="AI119" s="262"/>
      <c r="AJ119" s="262"/>
      <c r="AK119" s="262"/>
      <c r="AL119" s="263"/>
      <c r="AM119" s="264"/>
      <c r="AN119" s="263"/>
      <c r="AO119" s="263"/>
      <c r="AP119" s="265">
        <v>2065</v>
      </c>
      <c r="AQ119" s="266"/>
      <c r="AR119" s="267"/>
      <c r="AS119" s="263"/>
      <c r="AT119" s="263"/>
      <c r="AU119" s="263"/>
      <c r="AV119" s="264"/>
      <c r="AW119" s="263"/>
      <c r="AX119" s="263"/>
      <c r="AY119" s="263"/>
      <c r="AZ119" s="263"/>
      <c r="BA119" s="263"/>
      <c r="BB119" s="263"/>
      <c r="BC119" s="263"/>
      <c r="BD119" s="264"/>
      <c r="BE119" s="263"/>
      <c r="BF119" s="263"/>
      <c r="BG119" s="263"/>
      <c r="BH119" s="263"/>
      <c r="BI119" s="263"/>
      <c r="BJ119" s="404">
        <f>altaz(J2000_Bas,$O119,$M119,DecLat,DecLong,2)</f>
        <v>280.83685687395837</v>
      </c>
      <c r="BK119" s="378" t="s">
        <v>3897</v>
      </c>
      <c r="BL119" s="379">
        <f>IF((2*G119)/60&lt;0.2,0.2,(2*G119)/60)</f>
        <v>0.66666666666666663</v>
      </c>
      <c r="BM119" s="380">
        <f>MOD((50000+AD119-$B$3+(0/24)),1)</f>
        <v>0.84904228922096081</v>
      </c>
      <c r="BN119" s="381" t="s">
        <v>9088</v>
      </c>
      <c r="BO119" s="382">
        <v>119</v>
      </c>
    </row>
    <row r="120" spans="1:67" s="24" customFormat="1" ht="15" customHeight="1" x14ac:dyDescent="0.25">
      <c r="A120" s="412" t="s">
        <v>199</v>
      </c>
      <c r="B120" s="241" t="str">
        <f>HYPERLINK(CONCATENATE($AT$3,BK120,$AU$3),$AV$3)</f>
        <v>S</v>
      </c>
      <c r="C120" s="242" t="str">
        <f>HYPERLINK(CONCATENATE($AT$4,BK120,$AU$4,BL120),$AV$4)</f>
        <v>A</v>
      </c>
      <c r="D120" s="243" t="s">
        <v>5638</v>
      </c>
      <c r="E120" s="244" t="s">
        <v>5336</v>
      </c>
      <c r="F120" s="269">
        <v>60</v>
      </c>
      <c r="G120" s="282">
        <v>20</v>
      </c>
      <c r="H120" s="283">
        <v>920</v>
      </c>
      <c r="I120" s="284">
        <v>5000</v>
      </c>
      <c r="J120" s="246">
        <v>0</v>
      </c>
      <c r="K120" s="247" t="s">
        <v>5763</v>
      </c>
      <c r="L120" s="248">
        <v>152805</v>
      </c>
      <c r="M120" s="249">
        <f>15*(LEFT(TEXT($L120,"000000"),2)+(MID(TEXT($L120,"000000"),3,2)/60)+(RIGHT(TEXT($L120,"000000"),2)/3600))</f>
        <v>232.02083333333331</v>
      </c>
      <c r="N120" s="250">
        <v>285240</v>
      </c>
      <c r="O120" s="251">
        <f>IF($N120&gt;0,(LEFT(TEXT($N120,"000000"),2)+(MID(TEXT($N120,"000000"),3,2)/60)+(RIGHT(TEXT($N120,"000000"),2)/3600)),-(MID(TEXT($N120,"000000"),2,2)+(MID(TEXT($N120,"000000"),4,2)/60)+(RIGHT(TEXT($N120,"000000"),2)/3600)))</f>
        <v>28.87777777777778</v>
      </c>
      <c r="P120" s="252" t="s">
        <v>198</v>
      </c>
      <c r="Q120" s="253"/>
      <c r="R120" s="277" t="s">
        <v>3293</v>
      </c>
      <c r="S120" s="272" t="s">
        <v>3293</v>
      </c>
      <c r="T120" s="273">
        <v>15.4</v>
      </c>
      <c r="U120" s="274"/>
      <c r="V120" s="280"/>
      <c r="W120" s="244"/>
      <c r="X120" s="244"/>
      <c r="Y120" s="362"/>
      <c r="Z120" s="257">
        <f>altaz(J2000_Bas,$O120,$M120,DecLat,DecLong,1)</f>
        <v>43.638565206081765</v>
      </c>
      <c r="AA120" s="257">
        <f>altaz((J2000_Bas+(2*0.04167)),$O120,$M120,DecLat,DecLong,1)</f>
        <v>19.045966152347471</v>
      </c>
      <c r="AB120" s="257">
        <f>altaz((J2000_Bas+(4*0.04167)),$O120,$M120,DecLat,DecLong,1)</f>
        <v>-3.3456339129833363</v>
      </c>
      <c r="AC120" s="257">
        <f>altaz((J2000_Bas+(6*0.04167)),$O120,$M120,DecLat,DecLong,1)</f>
        <v>-21.118980119471065</v>
      </c>
      <c r="AD120" s="258">
        <f>1+ transit((J2000_Bas-1),$O120,$M120,DecLat,DecLong)/360 + (GMTOffset/24) + (IF(DST="Y", 1, 0)/24)</f>
        <v>1.6374022109942914</v>
      </c>
      <c r="AE120" s="259">
        <f>DATE(2001,9,21)+(M120/360)*365 - (360*((DecLong/360)- (GMTOffset/24) ))</f>
        <v>37395.243344907409</v>
      </c>
      <c r="AF120" s="260">
        <f>IF(DecLat&gt;0,IF((90 - (DecLat-O120))&gt;90, (90 - (O120-DecLat)), (90 - (DecLat-O120))),IF((90 + (DecLat-O120))&gt;90, (90 + (O120-DecLat)), (90 + (DecLat-O120))))</f>
        <v>87.87777777777778</v>
      </c>
      <c r="AG120" s="257">
        <f>angularseperation(MoonRA,MoonDec,$M120,$O120)</f>
        <v>58.345663062189452</v>
      </c>
      <c r="AH120" s="261">
        <f ca="1">MIN(100,IF($O$5&gt;80,0+30*($AG120/100),IF($O$5&gt;70,0+50*($AG120/100),IF($O$5&gt;60,5+50*($AG120/100),IF($O$5&gt;50,10+60*($AG120/100),IF($O$5&gt;40,15+70*($AG120/100),IF($O$5&gt;30,20+70*($AG120/100),IF($O$5&gt;20,40+55*($AG120/100),(80+(20-$O$5)+30*($AG120/100))))))))))</f>
        <v>100</v>
      </c>
      <c r="AI120" s="263"/>
      <c r="AJ120" s="263"/>
      <c r="AK120" s="263"/>
      <c r="AL120" s="263"/>
      <c r="AM120" s="264"/>
      <c r="AN120" s="263"/>
      <c r="AO120" s="263"/>
      <c r="AP120" s="265">
        <v>2079</v>
      </c>
      <c r="AQ120" s="265"/>
      <c r="AR120" s="285"/>
      <c r="AS120" s="263"/>
      <c r="AT120" s="263"/>
      <c r="AU120" s="263"/>
      <c r="AV120" s="264"/>
      <c r="AW120" s="263"/>
      <c r="AX120" s="263"/>
      <c r="AY120" s="263"/>
      <c r="AZ120" s="263"/>
      <c r="BA120" s="263"/>
      <c r="BB120" s="263"/>
      <c r="BC120" s="263"/>
      <c r="BD120" s="264"/>
      <c r="BE120" s="263"/>
      <c r="BF120" s="263"/>
      <c r="BG120" s="263"/>
      <c r="BH120" s="263"/>
      <c r="BI120" s="263"/>
      <c r="BJ120" s="404">
        <f>altaz(J2000_Bas,$O120,$M120,DecLat,DecLong,2)</f>
        <v>281.86178671559998</v>
      </c>
      <c r="BK120" s="378" t="s">
        <v>3898</v>
      </c>
      <c r="BL120" s="379">
        <f>IF((2*G120)/60&lt;0.2,0.2,(2*G120)/60)</f>
        <v>0.66666666666666663</v>
      </c>
      <c r="BM120" s="380">
        <f>MOD((50000+AD120-$B$3+(0/24)),1)</f>
        <v>0.85276914069982013</v>
      </c>
      <c r="BN120" s="381"/>
      <c r="BO120" s="382">
        <v>120</v>
      </c>
    </row>
    <row r="121" spans="1:67" s="24" customFormat="1" ht="15" customHeight="1" x14ac:dyDescent="0.25">
      <c r="A121" s="412" t="s">
        <v>200</v>
      </c>
      <c r="B121" s="241" t="str">
        <f>HYPERLINK(CONCATENATE($AT$3,BK121,$AU$3),$AV$3)</f>
        <v>S</v>
      </c>
      <c r="C121" s="242" t="str">
        <f>HYPERLINK(CONCATENATE($AT$4,BK121,$AU$4,BL121),$AV$4)</f>
        <v>A</v>
      </c>
      <c r="D121" s="243" t="s">
        <v>5638</v>
      </c>
      <c r="E121" s="244" t="s">
        <v>5336</v>
      </c>
      <c r="F121" s="269">
        <v>50</v>
      </c>
      <c r="G121" s="282">
        <v>40</v>
      </c>
      <c r="H121" s="283">
        <v>500</v>
      </c>
      <c r="I121" s="284">
        <v>6000</v>
      </c>
      <c r="J121" s="246">
        <v>2</v>
      </c>
      <c r="K121" s="247" t="s">
        <v>5764</v>
      </c>
      <c r="L121" s="248">
        <v>160217</v>
      </c>
      <c r="M121" s="249">
        <f>15*(LEFT(TEXT($L121,"000000"),2)+(MID(TEXT($L121,"000000"),3,2)/60)+(RIGHT(TEXT($L121,"000000"),2)/3600))</f>
        <v>240.57083333333338</v>
      </c>
      <c r="N121" s="250">
        <v>155443</v>
      </c>
      <c r="O121" s="251">
        <f>IF($N121&gt;0,(LEFT(TEXT($N121,"000000"),2)+(MID(TEXT($N121,"000000"),3,2)/60)+(RIGHT(TEXT($N121,"000000"),2)/3600)),-(MID(TEXT($N121,"000000"),2,2)+(MID(TEXT($N121,"000000"),4,2)/60)+(RIGHT(TEXT($N121,"000000"),2)/3600)))</f>
        <v>15.911944444444444</v>
      </c>
      <c r="P121" s="252" t="s">
        <v>111</v>
      </c>
      <c r="Q121" s="253"/>
      <c r="R121" s="277" t="s">
        <v>3293</v>
      </c>
      <c r="S121" s="272" t="s">
        <v>3293</v>
      </c>
      <c r="T121" s="273">
        <v>13.8</v>
      </c>
      <c r="U121" s="274"/>
      <c r="V121" s="280"/>
      <c r="W121" s="244"/>
      <c r="X121" s="244"/>
      <c r="Y121" s="362"/>
      <c r="Z121" s="257">
        <f>altaz(J2000_Bas,$O121,$M121,DecLat,DecLong,1)</f>
        <v>46.027957850145306</v>
      </c>
      <c r="AA121" s="257">
        <f>altaz((J2000_Bas+(2*0.04167)),$O121,$M121,DecLat,DecLong,1)</f>
        <v>20.32650124579801</v>
      </c>
      <c r="AB121" s="257">
        <f>altaz((J2000_Bas+(4*0.04167)),$O121,$M121,DecLat,DecLong,1)</f>
        <v>-4.6165388800168863</v>
      </c>
      <c r="AC121" s="257">
        <f>altaz((J2000_Bas+(6*0.04167)),$O121,$M121,DecLat,DecLong,1)</f>
        <v>-26.654775350218149</v>
      </c>
      <c r="AD121" s="258">
        <f>1+ transit((J2000_Bas-1),$O121,$M121,DecLat,DecLong)/360 + (GMTOffset/24) + (IF(DST="Y", 1, 0)/24)</f>
        <v>1.6611522086192914</v>
      </c>
      <c r="AE121" s="259">
        <f>DATE(2001,9,21)+(M121/360)*365 - (360*((DecLong/360)- (GMTOffset/24) ))</f>
        <v>37403.912094907406</v>
      </c>
      <c r="AF121" s="260">
        <f>IF(DecLat&gt;0,IF((90 - (DecLat-O121))&gt;90, (90 - (O121-DecLat)), (90 - (DecLat-O121))),IF((90 + (DecLat-O121))&gt;90, (90 + (O121-DecLat)), (90 + (DecLat-O121))))</f>
        <v>74.911944444444444</v>
      </c>
      <c r="AG121" s="257">
        <f>angularseperation(MoonRA,MoonDec,$M121,$O121)</f>
        <v>43.812077968740994</v>
      </c>
      <c r="AH121" s="261">
        <f ca="1">MIN(100,IF($O$5&gt;80,0+30*($AG121/100),IF($O$5&gt;70,0+50*($AG121/100),IF($O$5&gt;60,5+50*($AG121/100),IF($O$5&gt;50,10+60*($AG121/100),IF($O$5&gt;40,15+70*($AG121/100),IF($O$5&gt;30,20+70*($AG121/100),IF($O$5&gt;20,40+55*($AG121/100),(80+(20-$O$5)+30*($AG121/100))))))))))</f>
        <v>96.414683734772723</v>
      </c>
      <c r="AI121" s="263"/>
      <c r="AJ121" s="263"/>
      <c r="AK121" s="263"/>
      <c r="AL121" s="263"/>
      <c r="AM121" s="264"/>
      <c r="AN121" s="263"/>
      <c r="AO121" s="263"/>
      <c r="AP121" s="265">
        <v>2147</v>
      </c>
      <c r="AQ121" s="265"/>
      <c r="AR121" s="285"/>
      <c r="AS121" s="263"/>
      <c r="AT121" s="263"/>
      <c r="AU121" s="263"/>
      <c r="AV121" s="264"/>
      <c r="AW121" s="263"/>
      <c r="AX121" s="263"/>
      <c r="AY121" s="263"/>
      <c r="AZ121" s="263"/>
      <c r="BA121" s="263"/>
      <c r="BB121" s="263"/>
      <c r="BC121" s="263"/>
      <c r="BD121" s="264"/>
      <c r="BE121" s="263"/>
      <c r="BF121" s="263"/>
      <c r="BG121" s="263"/>
      <c r="BH121" s="263"/>
      <c r="BI121" s="263"/>
      <c r="BJ121" s="404">
        <f>altaz(J2000_Bas,$O121,$M121,DecLat,DecLong,2)</f>
        <v>260.66822277104171</v>
      </c>
      <c r="BK121" s="378" t="s">
        <v>3899</v>
      </c>
      <c r="BL121" s="379">
        <f>IF((2*G121)/60&lt;0.2,0.2,(2*G121)/60)</f>
        <v>1.3333333333333333</v>
      </c>
      <c r="BM121" s="380">
        <f>MOD((50000+AD121-$B$3+(0/24)),1)</f>
        <v>0.87651913832087303</v>
      </c>
      <c r="BN121" s="381"/>
      <c r="BO121" s="382">
        <v>121</v>
      </c>
    </row>
    <row r="122" spans="1:67" s="24" customFormat="1" ht="15" customHeight="1" x14ac:dyDescent="0.25">
      <c r="A122" s="411" t="s">
        <v>201</v>
      </c>
      <c r="B122" s="241" t="str">
        <f>HYPERLINK(CONCATENATE($AT$3,BK122,$AU$3),$AV$3)</f>
        <v>S</v>
      </c>
      <c r="C122" s="242" t="str">
        <f>HYPERLINK(CONCATENATE($AT$4,BK122,$AU$4,BL122),$AV$4)</f>
        <v>A</v>
      </c>
      <c r="D122" s="243" t="s">
        <v>5638</v>
      </c>
      <c r="E122" s="244" t="s">
        <v>5336</v>
      </c>
      <c r="F122" s="269">
        <v>90</v>
      </c>
      <c r="G122" s="282">
        <v>60</v>
      </c>
      <c r="H122" s="283">
        <v>500</v>
      </c>
      <c r="I122" s="284">
        <v>9000</v>
      </c>
      <c r="J122" s="246">
        <v>4</v>
      </c>
      <c r="K122" s="247" t="s">
        <v>3793</v>
      </c>
      <c r="L122" s="248">
        <v>160515</v>
      </c>
      <c r="M122" s="249">
        <f>15*(LEFT(TEXT($L122,"000000"),2)+(MID(TEXT($L122,"000000"),3,2)/60)+(RIGHT(TEXT($L122,"000000"),2)/3600))</f>
        <v>241.31249999999997</v>
      </c>
      <c r="N122" s="250">
        <v>174455</v>
      </c>
      <c r="O122" s="251">
        <f>IF($N122&gt;0,(LEFT(TEXT($N122,"000000"),2)+(MID(TEXT($N122,"000000"),3,2)/60)+(RIGHT(TEXT($N122,"000000"),2)/3600)),-(MID(TEXT($N122,"000000"),2,2)+(MID(TEXT($N122,"000000"),4,2)/60)+(RIGHT(TEXT($N122,"000000"),2)/3600)))</f>
        <v>17.748611111111114</v>
      </c>
      <c r="P122" s="252" t="s">
        <v>111</v>
      </c>
      <c r="Q122" s="253" t="s">
        <v>3791</v>
      </c>
      <c r="R122" s="247" t="s">
        <v>3293</v>
      </c>
      <c r="S122" s="272" t="s">
        <v>3293</v>
      </c>
      <c r="T122" s="273">
        <v>13.8</v>
      </c>
      <c r="U122" s="274"/>
      <c r="V122" s="280"/>
      <c r="W122" s="244"/>
      <c r="X122" s="244"/>
      <c r="Y122" s="362"/>
      <c r="Z122" s="257">
        <f>altaz(J2000_Bas,$O122,$M122,DecLat,DecLong,1)</f>
        <v>47.508566293044893</v>
      </c>
      <c r="AA122" s="257">
        <f>altaz((J2000_Bas+(2*0.04167)),$O122,$M122,DecLat,DecLong,1)</f>
        <v>21.801748307276586</v>
      </c>
      <c r="AB122" s="257">
        <f>altaz((J2000_Bas+(4*0.04167)),$O122,$M122,DecLat,DecLong,1)</f>
        <v>-3.0007335057240874</v>
      </c>
      <c r="AC122" s="257">
        <f>altaz((J2000_Bas+(6*0.04167)),$O122,$M122,DecLat,DecLong,1)</f>
        <v>-24.814904942406876</v>
      </c>
      <c r="AD122" s="258">
        <f>1+ transit((J2000_Bas-1),$O122,$M122,DecLat,DecLong)/360 + (GMTOffset/24) + (IF(DST="Y", 1, 0)/24)</f>
        <v>1.663212393598458</v>
      </c>
      <c r="AE122" s="259">
        <f>DATE(2001,9,21)+(M122/360)*365 - (360*((DecLong/360)- (GMTOffset/24) ))</f>
        <v>37404.6640625</v>
      </c>
      <c r="AF122" s="260">
        <f>IF(DecLat&gt;0,IF((90 - (DecLat-O122))&gt;90, (90 - (O122-DecLat)), (90 - (DecLat-O122))),IF((90 + (DecLat-O122))&gt;90, (90 + (O122-DecLat)), (90 + (DecLat-O122))))</f>
        <v>76.748611111111117</v>
      </c>
      <c r="AG122" s="257">
        <f>angularseperation(MoonRA,MoonDec,$M122,$O122)</f>
        <v>45.487820559298846</v>
      </c>
      <c r="AH122" s="261">
        <f ca="1">MIN(100,IF($O$5&gt;80,0+30*($AG122/100),IF($O$5&gt;70,0+50*($AG122/100),IF($O$5&gt;60,5+50*($AG122/100),IF($O$5&gt;50,10+60*($AG122/100),IF($O$5&gt;40,15+70*($AG122/100),IF($O$5&gt;30,20+70*($AG122/100),IF($O$5&gt;20,40+55*($AG122/100),(80+(20-$O$5)+30*($AG122/100))))))))))</f>
        <v>96.917406511940086</v>
      </c>
      <c r="AI122" s="262"/>
      <c r="AJ122" s="262"/>
      <c r="AK122" s="262"/>
      <c r="AL122" s="263"/>
      <c r="AM122" s="264"/>
      <c r="AN122" s="263"/>
      <c r="AO122" s="263"/>
      <c r="AP122" s="265">
        <v>2151</v>
      </c>
      <c r="AQ122" s="266"/>
      <c r="AR122" s="267"/>
      <c r="AS122" s="263"/>
      <c r="AT122" s="263"/>
      <c r="AU122" s="263"/>
      <c r="AV122" s="264"/>
      <c r="AW122" s="263"/>
      <c r="AX122" s="263"/>
      <c r="AY122" s="263"/>
      <c r="AZ122" s="263"/>
      <c r="BA122" s="263"/>
      <c r="BB122" s="263"/>
      <c r="BC122" s="263"/>
      <c r="BD122" s="264"/>
      <c r="BE122" s="263"/>
      <c r="BF122" s="263"/>
      <c r="BG122" s="263">
        <v>66</v>
      </c>
      <c r="BH122" s="263"/>
      <c r="BI122" s="263"/>
      <c r="BJ122" s="404">
        <f>altaz(J2000_Bas,$O122,$M122,DecLat,DecLong,2)</f>
        <v>262.56366174264383</v>
      </c>
      <c r="BK122" s="378" t="s">
        <v>3900</v>
      </c>
      <c r="BL122" s="379">
        <f>IF((2*G122)/60&lt;0.2,0.2,(2*G122)/60)</f>
        <v>2</v>
      </c>
      <c r="BM122" s="380">
        <f>MOD((50000+AD122-$B$3+(0/24)),1)</f>
        <v>0.87857932330371113</v>
      </c>
      <c r="BN122" s="381"/>
      <c r="BO122" s="382">
        <v>122</v>
      </c>
    </row>
    <row r="123" spans="1:67" s="24" customFormat="1" ht="15" customHeight="1" x14ac:dyDescent="0.25">
      <c r="A123" s="412" t="s">
        <v>202</v>
      </c>
      <c r="B123" s="241" t="str">
        <f>HYPERLINK(CONCATENATE($AT$3,BK123,$AU$3),$AV$3)</f>
        <v>S</v>
      </c>
      <c r="C123" s="242" t="str">
        <f>HYPERLINK(CONCATENATE($AT$4,BK123,$AU$4,BL123),$AV$4)</f>
        <v>A</v>
      </c>
      <c r="D123" s="243" t="s">
        <v>5638</v>
      </c>
      <c r="E123" s="244" t="s">
        <v>5336</v>
      </c>
      <c r="F123" s="269">
        <v>60</v>
      </c>
      <c r="G123" s="282">
        <v>40</v>
      </c>
      <c r="H123" s="283">
        <v>600</v>
      </c>
      <c r="I123" s="284">
        <v>7000</v>
      </c>
      <c r="J123" s="246">
        <v>1</v>
      </c>
      <c r="K123" s="247" t="s">
        <v>5765</v>
      </c>
      <c r="L123" s="248">
        <v>160522</v>
      </c>
      <c r="M123" s="249">
        <f>15*(LEFT(TEXT($L123,"000000"),2)+(MID(TEXT($L123,"000000"),3,2)/60)+(RIGHT(TEXT($L123,"000000"),2)/3600))</f>
        <v>241.34166666666664</v>
      </c>
      <c r="N123" s="250">
        <v>162655</v>
      </c>
      <c r="O123" s="251">
        <f>IF($N123&gt;0,(LEFT(TEXT($N123,"000000"),2)+(MID(TEXT($N123,"000000"),3,2)/60)+(RIGHT(TEXT($N123,"000000"),2)/3600)),-(MID(TEXT($N123,"000000"),2,2)+(MID(TEXT($N123,"000000"),4,2)/60)+(RIGHT(TEXT($N123,"000000"),2)/3600)))</f>
        <v>16.448611111111113</v>
      </c>
      <c r="P123" s="252" t="s">
        <v>111</v>
      </c>
      <c r="Q123" s="253"/>
      <c r="R123" s="277" t="s">
        <v>3293</v>
      </c>
      <c r="S123" s="272" t="s">
        <v>3293</v>
      </c>
      <c r="T123" s="273">
        <v>13.8</v>
      </c>
      <c r="U123" s="274"/>
      <c r="V123" s="280"/>
      <c r="W123" s="244"/>
      <c r="X123" s="244"/>
      <c r="Y123" s="362"/>
      <c r="Z123" s="257">
        <f>altaz(J2000_Bas,$O123,$M123,DecLat,DecLong,1)</f>
        <v>46.934080949759569</v>
      </c>
      <c r="AA123" s="257">
        <f>altaz((J2000_Bas+(2*0.04167)),$O123,$M123,DecLat,DecLong,1)</f>
        <v>21.231218170419783</v>
      </c>
      <c r="AB123" s="257">
        <f>altaz((J2000_Bas+(4*0.04167)),$O123,$M123,DecLat,DecLong,1)</f>
        <v>-3.7027200126784803</v>
      </c>
      <c r="AC123" s="257">
        <f>altaz((J2000_Bas+(6*0.04167)),$O123,$M123,DecLat,DecLong,1)</f>
        <v>-25.75986596680076</v>
      </c>
      <c r="AD123" s="258">
        <f>1+ transit((J2000_Bas-1),$O123,$M123,DecLat,DecLong)/360 + (GMTOffset/24) + (IF(DST="Y", 1, 0)/24)</f>
        <v>1.6632934121088747</v>
      </c>
      <c r="AE123" s="259">
        <f>DATE(2001,9,21)+(M123/360)*365 - (360*((DecLong/360)- (GMTOffset/24) ))</f>
        <v>37404.69363425926</v>
      </c>
      <c r="AF123" s="260">
        <f>IF(DecLat&gt;0,IF((90 - (DecLat-O123))&gt;90, (90 - (O123-DecLat)), (90 - (DecLat-O123))),IF((90 + (DecLat-O123))&gt;90, (90 + (O123-DecLat)), (90 + (DecLat-O123))))</f>
        <v>75.44861111111112</v>
      </c>
      <c r="AG123" s="257">
        <f>angularseperation(MoonRA,MoonDec,$M123,$O123)</f>
        <v>44.202773617723857</v>
      </c>
      <c r="AH123" s="261">
        <f ca="1">MIN(100,IF($O$5&gt;80,0+30*($AG123/100),IF($O$5&gt;70,0+50*($AG123/100),IF($O$5&gt;60,5+50*($AG123/100),IF($O$5&gt;50,10+60*($AG123/100),IF($O$5&gt;40,15+70*($AG123/100),IF($O$5&gt;30,20+70*($AG123/100),IF($O$5&gt;20,40+55*($AG123/100),(80+(20-$O$5)+30*($AG123/100))))))))))</f>
        <v>96.53189242946759</v>
      </c>
      <c r="AI123" s="263"/>
      <c r="AJ123" s="263"/>
      <c r="AK123" s="263"/>
      <c r="AL123" s="263"/>
      <c r="AM123" s="264"/>
      <c r="AN123" s="263"/>
      <c r="AO123" s="263"/>
      <c r="AP123" s="265">
        <v>2152</v>
      </c>
      <c r="AQ123" s="265"/>
      <c r="AR123" s="285"/>
      <c r="AS123" s="263"/>
      <c r="AT123" s="263"/>
      <c r="AU123" s="263"/>
      <c r="AV123" s="264"/>
      <c r="AW123" s="263"/>
      <c r="AX123" s="263"/>
      <c r="AY123" s="263"/>
      <c r="AZ123" s="263"/>
      <c r="BA123" s="263"/>
      <c r="BB123" s="263"/>
      <c r="BC123" s="263"/>
      <c r="BD123" s="264"/>
      <c r="BE123" s="263"/>
      <c r="BF123" s="263"/>
      <c r="BG123" s="263"/>
      <c r="BH123" s="263"/>
      <c r="BI123" s="263"/>
      <c r="BJ123" s="404">
        <f>altaz(J2000_Bas,$O123,$M123,DecLat,DecLong,2)</f>
        <v>260.84603897942634</v>
      </c>
      <c r="BK123" s="378" t="s">
        <v>3901</v>
      </c>
      <c r="BL123" s="379">
        <f>IF((2*G123)/60&lt;0.2,0.2,(2*G123)/60)</f>
        <v>1.3333333333333333</v>
      </c>
      <c r="BM123" s="380">
        <f>MOD((50000+AD123-$B$3+(0/24)),1)</f>
        <v>0.87866034181206487</v>
      </c>
      <c r="BN123" s="381"/>
      <c r="BO123" s="382">
        <v>123</v>
      </c>
    </row>
    <row r="124" spans="1:67" s="24" customFormat="1" ht="15" customHeight="1" x14ac:dyDescent="0.25">
      <c r="A124" s="411" t="s">
        <v>203</v>
      </c>
      <c r="B124" s="241" t="str">
        <f>HYPERLINK(CONCATENATE($AT$3,BK124,$AU$3),$AV$3)</f>
        <v>S</v>
      </c>
      <c r="C124" s="242" t="str">
        <f>HYPERLINK(CONCATENATE($AT$4,BK124,$AU$4,BL124),$AV$4)</f>
        <v>A</v>
      </c>
      <c r="D124" s="243" t="s">
        <v>5638</v>
      </c>
      <c r="E124" s="244" t="s">
        <v>5336</v>
      </c>
      <c r="F124" s="269">
        <v>50</v>
      </c>
      <c r="G124" s="282">
        <v>60</v>
      </c>
      <c r="H124" s="283">
        <v>500</v>
      </c>
      <c r="I124" s="284">
        <v>8500</v>
      </c>
      <c r="J124" s="246">
        <v>2</v>
      </c>
      <c r="K124" s="247" t="s">
        <v>3794</v>
      </c>
      <c r="L124" s="248">
        <v>161230</v>
      </c>
      <c r="M124" s="249">
        <f>15*(LEFT(TEXT($L124,"000000"),2)+(MID(TEXT($L124,"000000"),3,2)/60)+(RIGHT(TEXT($L124,"000000"),2)/3600))</f>
        <v>243.12499999999997</v>
      </c>
      <c r="N124" s="250">
        <v>293223</v>
      </c>
      <c r="O124" s="251">
        <f>IF($N124&gt;0,(LEFT(TEXT($N124,"000000"),2)+(MID(TEXT($N124,"000000"),3,2)/60)+(RIGHT(TEXT($N124,"000000"),2)/3600)),-(MID(TEXT($N124,"000000"),2,2)+(MID(TEXT($N124,"000000"),4,2)/60)+(RIGHT(TEXT($N124,"000000"),2)/3600)))</f>
        <v>29.539722222222224</v>
      </c>
      <c r="P124" s="252" t="s">
        <v>198</v>
      </c>
      <c r="Q124" s="253"/>
      <c r="R124" s="247" t="s">
        <v>3638</v>
      </c>
      <c r="S124" s="272" t="s">
        <v>3293</v>
      </c>
      <c r="T124" s="273">
        <v>13.7</v>
      </c>
      <c r="U124" s="274"/>
      <c r="V124" s="280"/>
      <c r="W124" s="244"/>
      <c r="X124" s="244"/>
      <c r="Y124" s="362"/>
      <c r="Z124" s="257">
        <f>altaz(J2000_Bas,$O124,$M124,DecLat,DecLong,1)</f>
        <v>53.17002908588055</v>
      </c>
      <c r="AA124" s="257">
        <f>altaz((J2000_Bas+(2*0.04167)),$O124,$M124,DecLat,DecLong,1)</f>
        <v>28.192403754221388</v>
      </c>
      <c r="AB124" s="257">
        <f>altaz((J2000_Bas+(4*0.04167)),$O124,$M124,DecLat,DecLong,1)</f>
        <v>4.9092913061767121</v>
      </c>
      <c r="AC124" s="257">
        <f>altaz((J2000_Bas+(6*0.04167)),$O124,$M124,DecLat,DecLong,1)</f>
        <v>-14.82805871087702</v>
      </c>
      <c r="AD124" s="258">
        <f>1+ transit((J2000_Bas-1),$O124,$M124,DecLat,DecLong)/360 + (GMTOffset/24) + (IF(DST="Y", 1, 0)/24)</f>
        <v>1.668247115317208</v>
      </c>
      <c r="AE124" s="259">
        <f>DATE(2001,9,21)+(M124/360)*365 - (360*((DecLong/360)- (GMTOffset/24) ))</f>
        <v>37406.501736111109</v>
      </c>
      <c r="AF124" s="260">
        <f>IF(DecLat&gt;0,IF((90 - (DecLat-O124))&gt;90, (90 - (O124-DecLat)), (90 - (DecLat-O124))),IF((90 + (DecLat-O124))&gt;90, (90 + (O124-DecLat)), (90 + (DecLat-O124))))</f>
        <v>88.539722222222224</v>
      </c>
      <c r="AG124" s="257">
        <f>angularseperation(MoonRA,MoonDec,$M124,$O124)</f>
        <v>56.925882349348285</v>
      </c>
      <c r="AH124" s="261">
        <f ca="1">MIN(100,IF($O$5&gt;80,0+30*($AG124/100),IF($O$5&gt;70,0+50*($AG124/100),IF($O$5&gt;60,5+50*($AG124/100),IF($O$5&gt;50,10+60*($AG124/100),IF($O$5&gt;40,15+70*($AG124/100),IF($O$5&gt;30,20+70*($AG124/100),IF($O$5&gt;20,40+55*($AG124/100),(80+(20-$O$5)+30*($AG124/100))))))))))</f>
        <v>100</v>
      </c>
      <c r="AI124" s="262">
        <v>6085</v>
      </c>
      <c r="AJ124" s="262"/>
      <c r="AK124" s="262"/>
      <c r="AL124" s="263"/>
      <c r="AM124" s="264"/>
      <c r="AN124" s="263"/>
      <c r="AO124" s="263"/>
      <c r="AP124" s="265">
        <v>2162</v>
      </c>
      <c r="AQ124" s="266">
        <v>10269</v>
      </c>
      <c r="AR124" s="267">
        <v>57486</v>
      </c>
      <c r="AS124" s="263"/>
      <c r="AT124" s="263"/>
      <c r="AU124" s="263"/>
      <c r="AV124" s="264"/>
      <c r="AW124" s="263"/>
      <c r="AX124" s="263"/>
      <c r="AY124" s="263"/>
      <c r="AZ124" s="263"/>
      <c r="BA124" s="263"/>
      <c r="BB124" s="263"/>
      <c r="BC124" s="263"/>
      <c r="BD124" s="264"/>
      <c r="BE124" s="263"/>
      <c r="BF124" s="263"/>
      <c r="BG124" s="263"/>
      <c r="BH124" s="263"/>
      <c r="BI124" s="263"/>
      <c r="BJ124" s="404">
        <f>altaz(J2000_Bas,$O124,$M124,DecLat,DecLong,2)</f>
        <v>279.04534410305871</v>
      </c>
      <c r="BK124" s="378" t="s">
        <v>3902</v>
      </c>
      <c r="BL124" s="379">
        <f>IF((2*G124)/60&lt;0.2,0.2,(2*G124)/60)</f>
        <v>2</v>
      </c>
      <c r="BM124" s="380">
        <f>MOD((50000+AD124-$B$3+(0/24)),1)</f>
        <v>0.88361404502211371</v>
      </c>
      <c r="BN124" s="381"/>
      <c r="BO124" s="382">
        <v>124</v>
      </c>
    </row>
    <row r="125" spans="1:67" s="24" customFormat="1" ht="15" customHeight="1" x14ac:dyDescent="0.25">
      <c r="A125" s="411" t="s">
        <v>204</v>
      </c>
      <c r="B125" s="241" t="str">
        <f>HYPERLINK(CONCATENATE($AT$3,BK125,$AU$3),$AV$3)</f>
        <v>S</v>
      </c>
      <c r="C125" s="242" t="str">
        <f>HYPERLINK(CONCATENATE($AT$4,BK125,$AU$4,BL125),$AV$4)</f>
        <v>A</v>
      </c>
      <c r="D125" s="243" t="s">
        <v>5638</v>
      </c>
      <c r="E125" s="244" t="s">
        <v>5336</v>
      </c>
      <c r="F125" s="269">
        <v>70</v>
      </c>
      <c r="G125" s="282">
        <v>90</v>
      </c>
      <c r="H125" s="283">
        <v>420</v>
      </c>
      <c r="I125" s="284">
        <v>12000</v>
      </c>
      <c r="J125" s="246">
        <v>1</v>
      </c>
      <c r="K125" s="247" t="s">
        <v>3795</v>
      </c>
      <c r="L125" s="248">
        <v>162810</v>
      </c>
      <c r="M125" s="249">
        <f>15*(LEFT(TEXT($L125,"000000"),2)+(MID(TEXT($L125,"000000"),3,2)/60)+(RIGHT(TEXT($L125,"000000"),2)/3600))</f>
        <v>247.04166666666663</v>
      </c>
      <c r="N125" s="250">
        <v>405426</v>
      </c>
      <c r="O125" s="251">
        <f>IF($N125&gt;0,(LEFT(TEXT($N125,"000000"),2)+(MID(TEXT($N125,"000000"),3,2)/60)+(RIGHT(TEXT($N125,"000000"),2)/3600)),-(MID(TEXT($N125,"000000"),2,2)+(MID(TEXT($N125,"000000"),4,2)/60)+(RIGHT(TEXT($N125,"000000"),2)/3600)))</f>
        <v>40.907222222222224</v>
      </c>
      <c r="P125" s="252" t="s">
        <v>111</v>
      </c>
      <c r="Q125" s="253"/>
      <c r="R125" s="247" t="s">
        <v>3643</v>
      </c>
      <c r="S125" s="272" t="s">
        <v>3293</v>
      </c>
      <c r="T125" s="273">
        <v>13.9</v>
      </c>
      <c r="U125" s="274"/>
      <c r="V125" s="280"/>
      <c r="W125" s="244"/>
      <c r="X125" s="244"/>
      <c r="Y125" s="362"/>
      <c r="Z125" s="257">
        <f>altaz(J2000_Bas,$O125,$M125,DecLat,DecLong,1)</f>
        <v>57.245395796640551</v>
      </c>
      <c r="AA125" s="257">
        <f>altaz((J2000_Bas+(2*0.04167)),$O125,$M125,DecLat,DecLong,1)</f>
        <v>34.676606931149273</v>
      </c>
      <c r="AB125" s="257">
        <f>altaz((J2000_Bas+(4*0.04167)),$O125,$M125,DecLat,DecLong,1)</f>
        <v>13.560487432204352</v>
      </c>
      <c r="AC125" s="257">
        <f>altaz((J2000_Bas+(6*0.04167)),$O125,$M125,DecLat,DecLong,1)</f>
        <v>-4.1463834529969876</v>
      </c>
      <c r="AD125" s="258">
        <f>1+ transit((J2000_Bas-1),$O125,$M125,DecLat,DecLong)/360 + (GMTOffset/24) + (IF(DST="Y", 1, 0)/24)</f>
        <v>1.6791267438588746</v>
      </c>
      <c r="AE125" s="259">
        <f>DATE(2001,9,21)+(M125/360)*365 - (360*((DecLong/360)- (GMTOffset/24) ))</f>
        <v>37410.472800925927</v>
      </c>
      <c r="AF125" s="260">
        <f>IF(DecLat&gt;0,IF((90 - (DecLat-O125))&gt;90, (90 - (O125-DecLat)), (90 - (DecLat-O125))),IF((90 + (DecLat-O125))&gt;90, (90 + (O125-DecLat)), (90 + (DecLat-O125))))</f>
        <v>80.092777777777769</v>
      </c>
      <c r="AG125" s="257">
        <f>angularseperation(MoonRA,MoonDec,$M125,$O125)</f>
        <v>68.021969944061297</v>
      </c>
      <c r="AH125" s="261">
        <f ca="1">MIN(100,IF($O$5&gt;80,0+30*($AG125/100),IF($O$5&gt;70,0+50*($AG125/100),IF($O$5&gt;60,5+50*($AG125/100),IF($O$5&gt;50,10+60*($AG125/100),IF($O$5&gt;40,15+70*($AG125/100),IF($O$5&gt;30,20+70*($AG125/100),IF($O$5&gt;20,40+55*($AG125/100),(80+(20-$O$5)+30*($AG125/100))))))))))</f>
        <v>100</v>
      </c>
      <c r="AI125" s="262">
        <v>6175</v>
      </c>
      <c r="AJ125" s="262"/>
      <c r="AK125" s="262"/>
      <c r="AL125" s="263"/>
      <c r="AM125" s="264"/>
      <c r="AN125" s="263"/>
      <c r="AO125" s="263"/>
      <c r="AP125" s="265">
        <v>2197</v>
      </c>
      <c r="AQ125" s="266">
        <v>10422</v>
      </c>
      <c r="AR125" s="267">
        <v>58362</v>
      </c>
      <c r="AS125" s="263"/>
      <c r="AT125" s="263"/>
      <c r="AU125" s="263"/>
      <c r="AV125" s="264"/>
      <c r="AW125" s="263"/>
      <c r="AX125" s="263"/>
      <c r="AY125" s="263"/>
      <c r="AZ125" s="263"/>
      <c r="BA125" s="263"/>
      <c r="BB125" s="263"/>
      <c r="BC125" s="263"/>
      <c r="BD125" s="264"/>
      <c r="BE125" s="263"/>
      <c r="BF125" s="263"/>
      <c r="BG125" s="263"/>
      <c r="BH125" s="263"/>
      <c r="BI125" s="263"/>
      <c r="BJ125" s="404">
        <f>altaz(J2000_Bas,$O125,$M125,DecLat,DecLong,2)</f>
        <v>298.55660167674279</v>
      </c>
      <c r="BK125" s="378" t="s">
        <v>3903</v>
      </c>
      <c r="BL125" s="379">
        <f>IF((2*G125)/60&lt;0.2,0.2,(2*G125)/60)</f>
        <v>3</v>
      </c>
      <c r="BM125" s="380">
        <f>MOD((50000+AD125-$B$3+(0/24)),1)</f>
        <v>0.89449367356428411</v>
      </c>
      <c r="BN125" s="381"/>
      <c r="BO125" s="382">
        <v>125</v>
      </c>
    </row>
    <row r="126" spans="1:67" s="24" customFormat="1" ht="15" customHeight="1" x14ac:dyDescent="0.25">
      <c r="A126" s="411" t="s">
        <v>205</v>
      </c>
      <c r="B126" s="241" t="str">
        <f>HYPERLINK(CONCATENATE($AT$3,BK126,$AU$3),$AV$3)</f>
        <v>S</v>
      </c>
      <c r="C126" s="242" t="str">
        <f>HYPERLINK(CONCATENATE($AT$4,BK126,$AU$4,BL126),$AV$4)</f>
        <v>A</v>
      </c>
      <c r="D126" s="243" t="s">
        <v>5638</v>
      </c>
      <c r="E126" s="244" t="s">
        <v>5336</v>
      </c>
      <c r="F126" s="269">
        <v>90</v>
      </c>
      <c r="G126" s="282">
        <v>50</v>
      </c>
      <c r="H126" s="283">
        <v>420</v>
      </c>
      <c r="I126" s="284">
        <v>12000</v>
      </c>
      <c r="J126" s="246">
        <v>1</v>
      </c>
      <c r="K126" s="247" t="s">
        <v>4620</v>
      </c>
      <c r="L126" s="248">
        <v>162837</v>
      </c>
      <c r="M126" s="249">
        <f>15*(LEFT(TEXT($L126,"000000"),2)+(MID(TEXT($L126,"000000"),3,2)/60)+(RIGHT(TEXT($L126,"000000"),2)/3600))</f>
        <v>247.15416666666664</v>
      </c>
      <c r="N126" s="250">
        <v>393128</v>
      </c>
      <c r="O126" s="251">
        <f>IF($N126&gt;0,(LEFT(TEXT($N126,"000000"),2)+(MID(TEXT($N126,"000000"),3,2)/60)+(RIGHT(TEXT($N126,"000000"),2)/3600)),-(MID(TEXT($N126,"000000"),2,2)+(MID(TEXT($N126,"000000"),4,2)/60)+(RIGHT(TEXT($N126,"000000"),2)/3600)))</f>
        <v>39.524444444444441</v>
      </c>
      <c r="P126" s="252" t="s">
        <v>111</v>
      </c>
      <c r="Q126" s="253"/>
      <c r="R126" s="247" t="s">
        <v>3641</v>
      </c>
      <c r="S126" s="272" t="s">
        <v>3293</v>
      </c>
      <c r="T126" s="273">
        <v>13.9</v>
      </c>
      <c r="U126" s="274"/>
      <c r="V126" s="280"/>
      <c r="W126" s="244"/>
      <c r="X126" s="244"/>
      <c r="Y126" s="362"/>
      <c r="Z126" s="257">
        <f>altaz(J2000_Bas,$O126,$M126,DecLat,DecLong,1)</f>
        <v>57.426881989017261</v>
      </c>
      <c r="AA126" s="257">
        <f>altaz((J2000_Bas+(2*0.04167)),$O126,$M126,DecLat,DecLong,1)</f>
        <v>34.43291226636908</v>
      </c>
      <c r="AB126" s="257">
        <f>altaz((J2000_Bas+(4*0.04167)),$O126,$M126,DecLat,DecLong,1)</f>
        <v>12.952482045862746</v>
      </c>
      <c r="AC126" s="257">
        <f>altaz((J2000_Bas+(6*0.04167)),$O126,$M126,DecLat,DecLong,1)</f>
        <v>-5.1195476505711062</v>
      </c>
      <c r="AD126" s="258">
        <f>1+ transit((J2000_Bas-1),$O126,$M126,DecLat,DecLong)/360 + (GMTOffset/24) + (IF(DST="Y", 1, 0)/24)</f>
        <v>1.6794392438276247</v>
      </c>
      <c r="AE126" s="259">
        <f>DATE(2001,9,21)+(M126/360)*365 - (360*((DecLong/360)- (GMTOffset/24) ))</f>
        <v>37410.586863425924</v>
      </c>
      <c r="AF126" s="260">
        <f>IF(DecLat&gt;0,IF((90 - (DecLat-O126))&gt;90, (90 - (O126-DecLat)), (90 - (DecLat-O126))),IF((90 + (DecLat-O126))&gt;90, (90 + (O126-DecLat)), (90 + (DecLat-O126))))</f>
        <v>81.475555555555559</v>
      </c>
      <c r="AG126" s="257">
        <f>angularseperation(MoonRA,MoonDec,$M126,$O126)</f>
        <v>66.636992779421092</v>
      </c>
      <c r="AH126" s="261">
        <f ca="1">MIN(100,IF($O$5&gt;80,0+30*($AG126/100),IF($O$5&gt;70,0+50*($AG126/100),IF($O$5&gt;60,5+50*($AG126/100),IF($O$5&gt;50,10+60*($AG126/100),IF($O$5&gt;40,15+70*($AG126/100),IF($O$5&gt;30,20+70*($AG126/100),IF($O$5&gt;20,40+55*($AG126/100),(80+(20-$O$5)+30*($AG126/100))))))))))</f>
        <v>100</v>
      </c>
      <c r="AI126" s="262">
        <v>6166</v>
      </c>
      <c r="AJ126" s="262"/>
      <c r="AK126" s="262"/>
      <c r="AL126" s="263"/>
      <c r="AM126" s="264"/>
      <c r="AN126" s="263"/>
      <c r="AO126" s="263"/>
      <c r="AP126" s="265">
        <v>2199</v>
      </c>
      <c r="AQ126" s="266">
        <v>10409</v>
      </c>
      <c r="AR126" s="267">
        <v>58265</v>
      </c>
      <c r="AS126" s="263"/>
      <c r="AT126" s="263"/>
      <c r="AU126" s="263"/>
      <c r="AV126" s="264"/>
      <c r="AW126" s="263"/>
      <c r="AX126" s="263"/>
      <c r="AY126" s="263"/>
      <c r="AZ126" s="263"/>
      <c r="BA126" s="263"/>
      <c r="BB126" s="263"/>
      <c r="BC126" s="263"/>
      <c r="BD126" s="264"/>
      <c r="BE126" s="263"/>
      <c r="BF126" s="263"/>
      <c r="BG126" s="263"/>
      <c r="BH126" s="263">
        <v>63</v>
      </c>
      <c r="BI126" s="263"/>
      <c r="BJ126" s="404">
        <f>altaz(J2000_Bas,$O126,$M126,DecLat,DecLong,2)</f>
        <v>296.0115473863728</v>
      </c>
      <c r="BK126" s="378" t="s">
        <v>3904</v>
      </c>
      <c r="BL126" s="379">
        <f>IF((2*G126)/60&lt;0.2,0.2,(2*G126)/60)</f>
        <v>1.6666666666666667</v>
      </c>
      <c r="BM126" s="380">
        <f>MOD((50000+AD126-$B$3+(0/24)),1)</f>
        <v>0.89480617352819536</v>
      </c>
      <c r="BN126" s="381"/>
      <c r="BO126" s="382">
        <v>126</v>
      </c>
    </row>
    <row r="127" spans="1:67" s="24" customFormat="1" ht="15" customHeight="1" x14ac:dyDescent="0.25">
      <c r="A127" s="411" t="s">
        <v>33</v>
      </c>
      <c r="B127" s="241" t="str">
        <f>HYPERLINK(CONCATENATE($AT$3,BK127,$AU$3),$AV$3)</f>
        <v>S</v>
      </c>
      <c r="C127" s="242" t="str">
        <f>HYPERLINK(CONCATENATE($AT$4,BK127,$AU$4,BL127),$AV$4)</f>
        <v>A</v>
      </c>
      <c r="D127" s="243" t="s">
        <v>5638</v>
      </c>
      <c r="E127" s="244" t="s">
        <v>5336</v>
      </c>
      <c r="F127" s="269">
        <v>200</v>
      </c>
      <c r="G127" s="282">
        <v>10</v>
      </c>
      <c r="H127" s="283">
        <v>2300</v>
      </c>
      <c r="I127" s="284">
        <v>7500</v>
      </c>
      <c r="J127" s="246">
        <v>2</v>
      </c>
      <c r="K127" s="247" t="s">
        <v>4886</v>
      </c>
      <c r="L127" s="248">
        <v>163554</v>
      </c>
      <c r="M127" s="249">
        <f>15*(LEFT(TEXT($L127,"000000"),2)+(MID(TEXT($L127,"000000"),3,2)/60)+(RIGHT(TEXT($L127,"000000"),2)/3600))</f>
        <v>248.97499999999999</v>
      </c>
      <c r="N127" s="250">
        <v>661400</v>
      </c>
      <c r="O127" s="251">
        <f>IF($N127&gt;0,(LEFT(TEXT($N127,"000000"),2)+(MID(TEXT($N127,"000000"),3,2)/60)+(RIGHT(TEXT($N127,"000000"),2)/3600)),-(MID(TEXT($N127,"000000"),2,2)+(MID(TEXT($N127,"000000"),4,2)/60)+(RIGHT(TEXT($N127,"000000"),2)/3600)))</f>
        <v>66.233333333333334</v>
      </c>
      <c r="P127" s="252" t="s">
        <v>34</v>
      </c>
      <c r="Q127" s="253"/>
      <c r="R127" s="247" t="s">
        <v>3293</v>
      </c>
      <c r="S127" s="272" t="s">
        <v>3293</v>
      </c>
      <c r="T127" s="273">
        <v>17.7</v>
      </c>
      <c r="U127" s="274"/>
      <c r="V127" s="280"/>
      <c r="W127" s="244"/>
      <c r="X127" s="244"/>
      <c r="Y127" s="362"/>
      <c r="Z127" s="257">
        <f>altaz(J2000_Bas,$O127,$M127,DecLat,DecLong,1)</f>
        <v>48.343917610577556</v>
      </c>
      <c r="AA127" s="257">
        <f>altaz((J2000_Bas+(2*0.04167)),$O127,$M127,DecLat,DecLong,1)</f>
        <v>37.280308711547448</v>
      </c>
      <c r="AB127" s="257">
        <f>altaz((J2000_Bas+(4*0.04167)),$O127,$M127,DecLat,DecLong,1)</f>
        <v>25.345979872438996</v>
      </c>
      <c r="AC127" s="257">
        <f>altaz((J2000_Bas+(6*0.04167)),$O127,$M127,DecLat,DecLong,1)</f>
        <v>15.195382662242153</v>
      </c>
      <c r="AD127" s="258">
        <f>1+ transit((J2000_Bas-1),$O127,$M127,DecLat,DecLong)/360 + (GMTOffset/24) + (IF(DST="Y", 1, 0)/24)</f>
        <v>1.684497113692208</v>
      </c>
      <c r="AE127" s="259">
        <f>DATE(2001,9,21)+(M127/360)*365 - (360*((DecLong/360)- (GMTOffset/24) ))</f>
        <v>37412.432986111111</v>
      </c>
      <c r="AF127" s="260">
        <f>IF(DecLat&gt;0,IF((90 - (DecLat-O127))&gt;90, (90 - (O127-DecLat)), (90 - (DecLat-O127))),IF((90 + (DecLat-O127))&gt;90, (90 + (O127-DecLat)), (90 + (DecLat-O127))))</f>
        <v>54.766666666666666</v>
      </c>
      <c r="AG127" s="257">
        <f>angularseperation(MoonRA,MoonDec,$M127,$O127)</f>
        <v>93.317649896250487</v>
      </c>
      <c r="AH127" s="261">
        <f ca="1">MIN(100,IF($O$5&gt;80,0+30*($AG127/100),IF($O$5&gt;70,0+50*($AG127/100),IF($O$5&gt;60,5+50*($AG127/100),IF($O$5&gt;50,10+60*($AG127/100),IF($O$5&gt;40,15+70*($AG127/100),IF($O$5&gt;30,20+70*($AG127/100),IF($O$5&gt;20,40+55*($AG127/100),(80+(20-$O$5)+30*($AG127/100))))))))))</f>
        <v>100</v>
      </c>
      <c r="AI127" s="262"/>
      <c r="AJ127" s="262"/>
      <c r="AK127" s="262"/>
      <c r="AL127" s="263"/>
      <c r="AM127" s="264"/>
      <c r="AN127" s="263"/>
      <c r="AO127" s="263"/>
      <c r="AP127" s="265">
        <v>2218</v>
      </c>
      <c r="AQ127" s="266"/>
      <c r="AR127" s="267"/>
      <c r="AS127" s="263"/>
      <c r="AT127" s="263"/>
      <c r="AU127" s="263"/>
      <c r="AV127" s="264"/>
      <c r="AW127" s="263"/>
      <c r="AX127" s="263"/>
      <c r="AY127" s="263"/>
      <c r="AZ127" s="263"/>
      <c r="BA127" s="263"/>
      <c r="BB127" s="263"/>
      <c r="BC127" s="263"/>
      <c r="BD127" s="264"/>
      <c r="BE127" s="263"/>
      <c r="BF127" s="263"/>
      <c r="BG127" s="263"/>
      <c r="BH127" s="263"/>
      <c r="BI127" s="263"/>
      <c r="BJ127" s="404">
        <f>altaz(J2000_Bas,$O127,$M127,DecLat,DecLong,2)</f>
        <v>338.58368723009312</v>
      </c>
      <c r="BK127" s="378" t="s">
        <v>3905</v>
      </c>
      <c r="BL127" s="379">
        <f>IF((2*G127)/60&lt;0.2,0.2,(2*G127)/60)</f>
        <v>0.33333333333333331</v>
      </c>
      <c r="BM127" s="380">
        <f>MOD((50000+AD127-$B$3+(0/24)),1)</f>
        <v>0.89986404339288129</v>
      </c>
      <c r="BN127" s="381" t="s">
        <v>9111</v>
      </c>
      <c r="BO127" s="382">
        <v>127</v>
      </c>
    </row>
    <row r="128" spans="1:67" s="24" customFormat="1" ht="15" customHeight="1" x14ac:dyDescent="0.25">
      <c r="A128" s="411" t="s">
        <v>206</v>
      </c>
      <c r="B128" s="241" t="str">
        <f>HYPERLINK(CONCATENATE($AT$3,BK128,$AU$3),$AV$3)</f>
        <v>S</v>
      </c>
      <c r="C128" s="242" t="str">
        <f>HYPERLINK(CONCATENATE($AT$4,BK128,$AU$4,BL128),$AV$4)</f>
        <v>A</v>
      </c>
      <c r="D128" s="243" t="s">
        <v>5638</v>
      </c>
      <c r="E128" s="244" t="s">
        <v>5626</v>
      </c>
      <c r="F128" s="269">
        <v>12</v>
      </c>
      <c r="G128" s="282">
        <v>20</v>
      </c>
      <c r="H128" s="283">
        <v>500</v>
      </c>
      <c r="I128" s="284">
        <v>3000</v>
      </c>
      <c r="J128" s="246">
        <v>3</v>
      </c>
      <c r="K128" s="247" t="s">
        <v>3796</v>
      </c>
      <c r="L128" s="248">
        <v>165055</v>
      </c>
      <c r="M128" s="249">
        <f>15*(LEFT(TEXT($L128,"000000"),2)+(MID(TEXT($L128,"000000"),3,2)/60)+(RIGHT(TEXT($L128,"000000"),2)/3600))</f>
        <v>252.72916666666669</v>
      </c>
      <c r="N128" s="250">
        <v>813401</v>
      </c>
      <c r="O128" s="251">
        <f>IF($N128&gt;0,(LEFT(TEXT($N128,"000000"),2)+(MID(TEXT($N128,"000000"),3,2)/60)+(RIGHT(TEXT($N128,"000000"),2)/3600)),-(MID(TEXT($N128,"000000"),2,2)+(MID(TEXT($N128,"000000"),4,2)/60)+(RIGHT(TEXT($N128,"000000"),2)/3600)))</f>
        <v>81.566944444444445</v>
      </c>
      <c r="P128" s="252" t="s">
        <v>208</v>
      </c>
      <c r="Q128" s="253"/>
      <c r="R128" s="253" t="s">
        <v>207</v>
      </c>
      <c r="S128" s="272" t="s">
        <v>3293</v>
      </c>
      <c r="T128" s="273">
        <v>15.3</v>
      </c>
      <c r="U128" s="274"/>
      <c r="V128" s="280"/>
      <c r="W128" s="244"/>
      <c r="X128" s="244"/>
      <c r="Y128" s="362"/>
      <c r="Z128" s="257">
        <f>altaz(J2000_Bas,$O128,$M128,DecLat,DecLong,1)</f>
        <v>37.92054048523142</v>
      </c>
      <c r="AA128" s="257">
        <f>altaz((J2000_Bas+(2*0.04167)),$O128,$M128,DecLat,DecLong,1)</f>
        <v>34.46051464270159</v>
      </c>
      <c r="AB128" s="257">
        <f>altaz((J2000_Bas+(4*0.04167)),$O128,$M128,DecLat,DecLong,1)</f>
        <v>30.127175792116347</v>
      </c>
      <c r="AC128" s="257">
        <f>altaz((J2000_Bas+(6*0.04167)),$O128,$M128,DecLat,DecLong,1)</f>
        <v>26.106282709595362</v>
      </c>
      <c r="AD128" s="258">
        <f>1+ transit((J2000_Bas-1),$O128,$M128,DecLat,DecLong)/360 + (GMTOffset/24) + (IF(DST="Y", 1, 0)/24)</f>
        <v>1.6949253533901247</v>
      </c>
      <c r="AE128" s="259">
        <f>DATE(2001,9,21)+(M128/360)*365 - (360*((DecLong/360)- (GMTOffset/24) ))</f>
        <v>37416.239293981482</v>
      </c>
      <c r="AF128" s="260">
        <f>IF(DecLat&gt;0,IF((90 - (DecLat-O128))&gt;90, (90 - (O128-DecLat)), (90 - (DecLat-O128))),IF((90 + (DecLat-O128))&gt;90, (90 + (O128-DecLat)), (90 + (DecLat-O128))))</f>
        <v>39.433055555555555</v>
      </c>
      <c r="AG128" s="257">
        <f>angularseperation(MoonRA,MoonDec,$M128,$O128)</f>
        <v>108.66565852113695</v>
      </c>
      <c r="AH128" s="261">
        <f ca="1">MIN(100,IF($O$5&gt;80,0+30*($AG128/100),IF($O$5&gt;70,0+50*($AG128/100),IF($O$5&gt;60,5+50*($AG128/100),IF($O$5&gt;50,10+60*($AG128/100),IF($O$5&gt;40,15+70*($AG128/100),IF($O$5&gt;30,20+70*($AG128/100),IF($O$5&gt;20,40+55*($AG128/100),(80+(20-$O$5)+30*($AG128/100))))))))))</f>
        <v>100</v>
      </c>
      <c r="AI128" s="262"/>
      <c r="AJ128" s="262"/>
      <c r="AK128" s="262"/>
      <c r="AL128" s="263"/>
      <c r="AM128" s="264"/>
      <c r="AN128" s="263"/>
      <c r="AO128" s="263"/>
      <c r="AP128" s="265">
        <v>2247</v>
      </c>
      <c r="AQ128" s="266">
        <v>10638</v>
      </c>
      <c r="AR128" s="267"/>
      <c r="AS128" s="263"/>
      <c r="AT128" s="263"/>
      <c r="AU128" s="263"/>
      <c r="AV128" s="264"/>
      <c r="AW128" s="263"/>
      <c r="AX128" s="263"/>
      <c r="AY128" s="263"/>
      <c r="AZ128" s="263"/>
      <c r="BA128" s="263"/>
      <c r="BB128" s="263"/>
      <c r="BC128" s="263"/>
      <c r="BD128" s="264"/>
      <c r="BE128" s="263"/>
      <c r="BF128" s="263"/>
      <c r="BG128" s="263"/>
      <c r="BH128" s="263">
        <v>64</v>
      </c>
      <c r="BI128" s="263"/>
      <c r="BJ128" s="404">
        <f>altaz(J2000_Bas,$O128,$M128,DecLat,DecLong,2)</f>
        <v>354.14598796517095</v>
      </c>
      <c r="BK128" s="378" t="s">
        <v>3906</v>
      </c>
      <c r="BL128" s="379">
        <f>IF((2*G128)/60&lt;0.2,0.2,(2*G128)/60)</f>
        <v>0.66666666666666663</v>
      </c>
      <c r="BM128" s="380">
        <f>MOD((50000+AD128-$B$3+(0/24)),1)</f>
        <v>0.91029228309344035</v>
      </c>
      <c r="BN128" s="381"/>
      <c r="BO128" s="382">
        <v>128</v>
      </c>
    </row>
    <row r="129" spans="1:67" s="24" customFormat="1" ht="15" customHeight="1" x14ac:dyDescent="0.25">
      <c r="A129" s="412" t="s">
        <v>209</v>
      </c>
      <c r="B129" s="241" t="str">
        <f>HYPERLINK(CONCATENATE($AT$3,BK129,$AU$3),$AV$3)</f>
        <v>S</v>
      </c>
      <c r="C129" s="242" t="str">
        <f>HYPERLINK(CONCATENATE($AT$4,BK129,$AU$4,BL129),$AV$4)</f>
        <v>A</v>
      </c>
      <c r="D129" s="243" t="s">
        <v>5638</v>
      </c>
      <c r="E129" s="244" t="s">
        <v>5336</v>
      </c>
      <c r="F129" s="269">
        <v>90</v>
      </c>
      <c r="G129" s="282">
        <v>30</v>
      </c>
      <c r="H129" s="283">
        <v>850</v>
      </c>
      <c r="I129" s="284">
        <v>8000</v>
      </c>
      <c r="J129" s="246">
        <v>0</v>
      </c>
      <c r="K129" s="247" t="s">
        <v>5766</v>
      </c>
      <c r="L129" s="248">
        <v>170343</v>
      </c>
      <c r="M129" s="249">
        <f>15*(LEFT(TEXT($L129,"000000"),2)+(MID(TEXT($L129,"000000"),3,2)/60)+(RIGHT(TEXT($L129,"000000"),2)/3600))</f>
        <v>255.9291666666667</v>
      </c>
      <c r="N129" s="250">
        <v>784303</v>
      </c>
      <c r="O129" s="251">
        <f>IF($N129&gt;0,(LEFT(TEXT($N129,"000000"),2)+(MID(TEXT($N129,"000000"),3,2)/60)+(RIGHT(TEXT($N129,"000000"),2)/3600)),-(MID(TEXT($N129,"000000"),2,2)+(MID(TEXT($N129,"000000"),4,2)/60)+(RIGHT(TEXT($N129,"000000"),2)/3600)))</f>
        <v>78.717500000000001</v>
      </c>
      <c r="P129" s="252" t="s">
        <v>208</v>
      </c>
      <c r="Q129" s="253"/>
      <c r="R129" s="277" t="s">
        <v>3293</v>
      </c>
      <c r="S129" s="272" t="s">
        <v>3293</v>
      </c>
      <c r="T129" s="273">
        <v>15.3</v>
      </c>
      <c r="U129" s="274"/>
      <c r="V129" s="280"/>
      <c r="W129" s="244"/>
      <c r="X129" s="244"/>
      <c r="Y129" s="362"/>
      <c r="Z129" s="257">
        <f>altaz(J2000_Bas,$O129,$M129,DecLat,DecLong,1)</f>
        <v>40.557523967479661</v>
      </c>
      <c r="AA129" s="257">
        <f>altaz((J2000_Bas+(2*0.04167)),$O129,$M129,DecLat,DecLong,1)</f>
        <v>36.053102055074625</v>
      </c>
      <c r="AB129" s="257">
        <f>altaz((J2000_Bas+(4*0.04167)),$O129,$M129,DecLat,DecLong,1)</f>
        <v>30.28985651782148</v>
      </c>
      <c r="AC129" s="257">
        <f>altaz((J2000_Bas+(6*0.04167)),$O129,$M129,DecLat,DecLong,1)</f>
        <v>24.86022240877903</v>
      </c>
      <c r="AD129" s="258">
        <f>1+ transit((J2000_Bas-1),$O129,$M129,DecLat,DecLong)/360 + (GMTOffset/24) + (IF(DST="Y", 1, 0)/24)</f>
        <v>1.7038142413901249</v>
      </c>
      <c r="AE129" s="259">
        <f>DATE(2001,9,21)+(M129/360)*365 - (360*((DecLong/360)- (GMTOffset/24) ))</f>
        <v>37419.483738425923</v>
      </c>
      <c r="AF129" s="260">
        <f>IF(DecLat&gt;0,IF((90 - (DecLat-O129))&gt;90, (90 - (O129-DecLat)), (90 - (DecLat-O129))),IF((90 + (DecLat-O129))&gt;90, (90 + (O129-DecLat)), (90 + (DecLat-O129))))</f>
        <v>42.282499999999999</v>
      </c>
      <c r="AG129" s="257">
        <f>angularseperation(MoonRA,MoonDec,$M129,$O129)</f>
        <v>105.87217343144839</v>
      </c>
      <c r="AH129" s="261">
        <f ca="1">MIN(100,IF($O$5&gt;80,0+30*($AG129/100),IF($O$5&gt;70,0+50*($AG129/100),IF($O$5&gt;60,5+50*($AG129/100),IF($O$5&gt;50,10+60*($AG129/100),IF($O$5&gt;40,15+70*($AG129/100),IF($O$5&gt;30,20+70*($AG129/100),IF($O$5&gt;20,40+55*($AG129/100),(80+(20-$O$5)+30*($AG129/100))))))))))</f>
        <v>100</v>
      </c>
      <c r="AI129" s="263"/>
      <c r="AJ129" s="263"/>
      <c r="AK129" s="263"/>
      <c r="AL129" s="263"/>
      <c r="AM129" s="264"/>
      <c r="AN129" s="263"/>
      <c r="AO129" s="263"/>
      <c r="AP129" s="265">
        <v>2256</v>
      </c>
      <c r="AQ129" s="265"/>
      <c r="AR129" s="285"/>
      <c r="AS129" s="263"/>
      <c r="AT129" s="263"/>
      <c r="AU129" s="263"/>
      <c r="AV129" s="264"/>
      <c r="AW129" s="263"/>
      <c r="AX129" s="263"/>
      <c r="AY129" s="263"/>
      <c r="AZ129" s="263"/>
      <c r="BA129" s="263"/>
      <c r="BB129" s="263"/>
      <c r="BC129" s="263"/>
      <c r="BD129" s="264"/>
      <c r="BE129" s="263"/>
      <c r="BF129" s="263"/>
      <c r="BG129" s="263"/>
      <c r="BH129" s="263"/>
      <c r="BI129" s="263"/>
      <c r="BJ129" s="404">
        <f>altaz(J2000_Bas,$O129,$M129,DecLat,DecLong,2)</f>
        <v>352.58573666379431</v>
      </c>
      <c r="BK129" s="378" t="s">
        <v>3907</v>
      </c>
      <c r="BL129" s="379">
        <f>IF((2*G129)/60&lt;0.2,0.2,(2*G129)/60)</f>
        <v>1</v>
      </c>
      <c r="BM129" s="380">
        <f>MOD((50000+AD129-$B$3+(0/24)),1)</f>
        <v>0.91918117109162267</v>
      </c>
      <c r="BN129" s="381"/>
      <c r="BO129" s="382">
        <v>129</v>
      </c>
    </row>
    <row r="130" spans="1:67" s="24" customFormat="1" ht="14.25" customHeight="1" x14ac:dyDescent="0.25">
      <c r="A130" s="288" t="s">
        <v>210</v>
      </c>
      <c r="B130" s="241" t="str">
        <f>HYPERLINK(CONCATENATE($AT$3,BK130,$AU$3),$AV$3)</f>
        <v>S</v>
      </c>
      <c r="C130" s="242" t="str">
        <f>HYPERLINK(CONCATENATE($AT$4,BK130,$AU$4,BL130),$AV$4)</f>
        <v>A</v>
      </c>
      <c r="D130" s="243" t="s">
        <v>5638</v>
      </c>
      <c r="E130" s="244" t="s">
        <v>5336</v>
      </c>
      <c r="F130" s="269">
        <v>30</v>
      </c>
      <c r="G130" s="282">
        <v>30</v>
      </c>
      <c r="H130" s="283">
        <v>500</v>
      </c>
      <c r="I130" s="284">
        <v>4400</v>
      </c>
      <c r="J130" s="246">
        <v>2</v>
      </c>
      <c r="K130" s="247" t="s">
        <v>3797</v>
      </c>
      <c r="L130" s="248">
        <v>231824</v>
      </c>
      <c r="M130" s="249">
        <f>15*(LEFT(TEXT($L130,"000000"),2)+(MID(TEXT($L130,"000000"),3,2)/60)+(RIGHT(TEXT($L130,"000000"),2)/3600))</f>
        <v>349.6</v>
      </c>
      <c r="N130" s="250">
        <v>184425</v>
      </c>
      <c r="O130" s="251">
        <f>IF($N130&gt;0,(LEFT(TEXT($N130,"000000"),2)+(MID(TEXT($N130,"000000"),3,2)/60)+(RIGHT(TEXT($N130,"000000"),2)/3600)),-(MID(TEXT($N130,"000000"),2,2)+(MID(TEXT($N130,"000000"),4,2)/60)+(RIGHT(TEXT($N130,"000000"),2)/3600)))</f>
        <v>18.740277777777777</v>
      </c>
      <c r="P130" s="252" t="s">
        <v>39</v>
      </c>
      <c r="Q130" s="253"/>
      <c r="R130" s="247" t="s">
        <v>3798</v>
      </c>
      <c r="S130" s="272" t="s">
        <v>3293</v>
      </c>
      <c r="T130" s="273">
        <v>15.3</v>
      </c>
      <c r="U130" s="274"/>
      <c r="V130" s="280"/>
      <c r="W130" s="244"/>
      <c r="X130" s="244"/>
      <c r="Y130" s="362"/>
      <c r="Z130" s="257">
        <f>altaz(J2000_Bas,$O130,$M130,DecLat,DecLong,1)</f>
        <v>31.76424424819113</v>
      </c>
      <c r="AA130" s="257">
        <f>altaz((J2000_Bas+(2*0.04167)),$O130,$M130,DecLat,DecLong,1)</f>
        <v>57.379103341724687</v>
      </c>
      <c r="AB130" s="257">
        <f>altaz((J2000_Bas+(4*0.04167)),$O130,$M130,DecLat,DecLong,1)</f>
        <v>77.35429822689396</v>
      </c>
      <c r="AC130" s="257">
        <f>altaz((J2000_Bas+(6*0.04167)),$O130,$M130,DecLat,DecLong,1)</f>
        <v>62.989118339410972</v>
      </c>
      <c r="AD130" s="258">
        <f>1+ transit((J2000_Bas-1),$O130,$M130,DecLat,DecLong)/360 + (GMTOffset/24) + (IF(DST="Y", 1, 0)/24)</f>
        <v>1.9640109746297083</v>
      </c>
      <c r="AE130" s="259">
        <f>DATE(2001,9,21)+(M130/360)*365 - (360*((DecLong/360)- (GMTOffset/24) ))</f>
        <v>37514.455555555556</v>
      </c>
      <c r="AF130" s="260">
        <f>IF(DecLat&gt;0,IF((90 - (DecLat-O130))&gt;90, (90 - (O130-DecLat)), (90 - (DecLat-O130))),IF((90 + (DecLat-O130))&gt;90, (90 + (O130-DecLat)), (90 + (DecLat-O130))))</f>
        <v>77.740277777777777</v>
      </c>
      <c r="AG130" s="257">
        <f>angularseperation(MoonRA,MoonDec,$M130,$O130)</f>
        <v>107.32991411670619</v>
      </c>
      <c r="AH130" s="261">
        <f ca="1">MIN(100,IF($O$5&gt;80,0+30*($AG130/100),IF($O$5&gt;70,0+50*($AG130/100),IF($O$5&gt;60,5+50*($AG130/100),IF($O$5&gt;50,10+60*($AG130/100),IF($O$5&gt;40,15+70*($AG130/100),IF($O$5&gt;30,20+70*($AG130/100),IF($O$5&gt;20,40+55*($AG130/100),(80+(20-$O$5)+30*($AG130/100))))))))))</f>
        <v>100</v>
      </c>
      <c r="AI130" s="262"/>
      <c r="AJ130" s="262"/>
      <c r="AK130" s="262"/>
      <c r="AL130" s="263"/>
      <c r="AM130" s="264"/>
      <c r="AN130" s="263"/>
      <c r="AO130" s="263"/>
      <c r="AP130" s="265">
        <v>2572</v>
      </c>
      <c r="AQ130" s="266"/>
      <c r="AR130" s="267"/>
      <c r="AS130" s="263"/>
      <c r="AT130" s="263"/>
      <c r="AU130" s="263"/>
      <c r="AV130" s="264"/>
      <c r="AW130" s="263"/>
      <c r="AX130" s="263"/>
      <c r="AY130" s="263"/>
      <c r="AZ130" s="263"/>
      <c r="BA130" s="263"/>
      <c r="BB130" s="263"/>
      <c r="BC130" s="263"/>
      <c r="BD130" s="264"/>
      <c r="BE130" s="263"/>
      <c r="BF130" s="263"/>
      <c r="BG130" s="263"/>
      <c r="BH130" s="263"/>
      <c r="BI130" s="263"/>
      <c r="BJ130" s="404">
        <f>altaz(J2000_Bas,$O130,$M130,DecLat,DecLong,2)</f>
        <v>86.054185057469851</v>
      </c>
      <c r="BK130" s="378" t="s">
        <v>3908</v>
      </c>
      <c r="BL130" s="379">
        <f>IF((2*G130)/60&lt;0.2,0.2,(2*G130)/60)</f>
        <v>1</v>
      </c>
      <c r="BM130" s="380">
        <f>MOD((50000+AD130-$B$3+(0/24)),1)</f>
        <v>0.17937790433643386</v>
      </c>
      <c r="BN130" s="381"/>
      <c r="BO130" s="382">
        <v>130</v>
      </c>
    </row>
    <row r="131" spans="1:67" s="24" customFormat="1" ht="15" customHeight="1" x14ac:dyDescent="0.25">
      <c r="A131" s="288" t="s">
        <v>211</v>
      </c>
      <c r="B131" s="241" t="str">
        <f>HYPERLINK(CONCATENATE($AT$3,BK131,$AU$3),$AV$3)</f>
        <v>S</v>
      </c>
      <c r="C131" s="242" t="str">
        <f>HYPERLINK(CONCATENATE($AT$4,BK131,$AU$4,BL131),$AV$4)</f>
        <v>A</v>
      </c>
      <c r="D131" s="243" t="s">
        <v>5638</v>
      </c>
      <c r="E131" s="244" t="s">
        <v>5336</v>
      </c>
      <c r="F131" s="269">
        <v>40</v>
      </c>
      <c r="G131" s="282">
        <v>30</v>
      </c>
      <c r="H131" s="283">
        <v>500</v>
      </c>
      <c r="I131" s="284">
        <v>4300</v>
      </c>
      <c r="J131" s="246">
        <v>3</v>
      </c>
      <c r="K131" s="247" t="s">
        <v>3799</v>
      </c>
      <c r="L131" s="248">
        <v>232431</v>
      </c>
      <c r="M131" s="249">
        <f>15*(LEFT(TEXT($L131,"000000"),2)+(MID(TEXT($L131,"000000"),3,2)/60)+(RIGHT(TEXT($L131,"000000"),2)/3600))</f>
        <v>351.12916666666666</v>
      </c>
      <c r="N131" s="250">
        <v>143829</v>
      </c>
      <c r="O131" s="251">
        <f>IF($N131&gt;0,(LEFT(TEXT($N131,"000000"),2)+(MID(TEXT($N131,"000000"),3,2)/60)+(RIGHT(TEXT($N131,"000000"),2)/3600)),-(MID(TEXT($N131,"000000"),2,2)+(MID(TEXT($N131,"000000"),4,2)/60)+(RIGHT(TEXT($N131,"000000"),2)/3600)))</f>
        <v>14.641388888888889</v>
      </c>
      <c r="P131" s="252" t="s">
        <v>39</v>
      </c>
      <c r="Q131" s="253"/>
      <c r="R131" s="247" t="s">
        <v>3699</v>
      </c>
      <c r="S131" s="272" t="s">
        <v>3293</v>
      </c>
      <c r="T131" s="273">
        <v>15.1</v>
      </c>
      <c r="U131" s="274"/>
      <c r="V131" s="280"/>
      <c r="W131" s="244"/>
      <c r="X131" s="244"/>
      <c r="Y131" s="362"/>
      <c r="Z131" s="257">
        <f>altaz(J2000_Bas,$O131,$M131,DecLat,DecLong,1)</f>
        <v>28.621120174848851</v>
      </c>
      <c r="AA131" s="257">
        <f>altaz((J2000_Bas+(2*0.04167)),$O131,$M131,DecLat,DecLong,1)</f>
        <v>54.016455456112155</v>
      </c>
      <c r="AB131" s="257">
        <f>altaz((J2000_Bas+(4*0.04167)),$O131,$M131,DecLat,DecLong,1)</f>
        <v>73.021670372546183</v>
      </c>
      <c r="AC131" s="257">
        <f>altaz((J2000_Bas+(6*0.04167)),$O131,$M131,DecLat,DecLong,1)</f>
        <v>61.767637321873885</v>
      </c>
      <c r="AD131" s="258">
        <f>1+ transit((J2000_Bas-1),$O131,$M131,DecLat,DecLong)/360 + (GMTOffset/24) + (IF(DST="Y", 1, 0)/24)</f>
        <v>1.9682586593901246</v>
      </c>
      <c r="AE131" s="259">
        <f>DATE(2001,9,21)+(M131/360)*365 - (360*((DecLong/360)- (GMTOffset/24) ))</f>
        <v>37516.005960648152</v>
      </c>
      <c r="AF131" s="260">
        <f>IF(DecLat&gt;0,IF((90 - (DecLat-O131))&gt;90, (90 - (O131-DecLat)), (90 - (DecLat-O131))),IF((90 + (DecLat-O131))&gt;90, (90 + (O131-DecLat)), (90 + (DecLat-O131))))</f>
        <v>73.641388888888883</v>
      </c>
      <c r="AG131" s="257">
        <f>angularseperation(MoonRA,MoonDec,$M131,$O131)</f>
        <v>107.00931746243167</v>
      </c>
      <c r="AH131" s="261">
        <f ca="1">MIN(100,IF($O$5&gt;80,0+30*($AG131/100),IF($O$5&gt;70,0+50*($AG131/100),IF($O$5&gt;60,5+50*($AG131/100),IF($O$5&gt;50,10+60*($AG131/100),IF($O$5&gt;40,15+70*($AG131/100),IF($O$5&gt;30,20+70*($AG131/100),IF($O$5&gt;20,40+55*($AG131/100),(80+(20-$O$5)+30*($AG131/100))))))))))</f>
        <v>100</v>
      </c>
      <c r="AI131" s="262">
        <v>7649</v>
      </c>
      <c r="AJ131" s="262"/>
      <c r="AK131" s="262"/>
      <c r="AL131" s="263"/>
      <c r="AM131" s="264"/>
      <c r="AN131" s="263"/>
      <c r="AO131" s="263"/>
      <c r="AP131" s="265">
        <v>2593</v>
      </c>
      <c r="AQ131" s="266"/>
      <c r="AR131" s="267">
        <v>71343</v>
      </c>
      <c r="AS131" s="263"/>
      <c r="AT131" s="263"/>
      <c r="AU131" s="263"/>
      <c r="AV131" s="264"/>
      <c r="AW131" s="263"/>
      <c r="AX131" s="263"/>
      <c r="AY131" s="263"/>
      <c r="AZ131" s="263"/>
      <c r="BA131" s="263"/>
      <c r="BB131" s="263"/>
      <c r="BC131" s="263"/>
      <c r="BD131" s="264"/>
      <c r="BE131" s="263"/>
      <c r="BF131" s="263"/>
      <c r="BG131" s="263"/>
      <c r="BH131" s="263"/>
      <c r="BI131" s="263"/>
      <c r="BJ131" s="404">
        <f>altaz(J2000_Bas,$O131,$M131,DecLat,DecLong,2)</f>
        <v>89.538756470201164</v>
      </c>
      <c r="BK131" s="378" t="s">
        <v>3909</v>
      </c>
      <c r="BL131" s="379">
        <f>IF((2*G131)/60&lt;0.2,0.2,(2*G131)/60)</f>
        <v>1</v>
      </c>
      <c r="BM131" s="380">
        <f>MOD((50000+AD131-$B$3+(0/24)),1)</f>
        <v>0.18362558909575455</v>
      </c>
      <c r="BN131" s="381"/>
      <c r="BO131" s="382">
        <v>131</v>
      </c>
    </row>
    <row r="132" spans="1:67" s="24" customFormat="1" ht="15" customHeight="1" x14ac:dyDescent="0.25">
      <c r="A132" s="287" t="s">
        <v>212</v>
      </c>
      <c r="B132" s="241" t="str">
        <f>HYPERLINK(CONCATENATE($AT$3,BK132,$AU$3),$AV$3)</f>
        <v>S</v>
      </c>
      <c r="C132" s="242" t="str">
        <f>HYPERLINK(CONCATENATE($AT$4,BK132,$AU$4,BL132),$AV$4)</f>
        <v>A</v>
      </c>
      <c r="D132" s="243" t="s">
        <v>5638</v>
      </c>
      <c r="E132" s="244" t="s">
        <v>5336</v>
      </c>
      <c r="F132" s="269">
        <v>50</v>
      </c>
      <c r="G132" s="282">
        <v>20</v>
      </c>
      <c r="H132" s="283">
        <v>425</v>
      </c>
      <c r="I132" s="284">
        <v>2500</v>
      </c>
      <c r="J132" s="246">
        <v>2</v>
      </c>
      <c r="K132" s="247" t="s">
        <v>5767</v>
      </c>
      <c r="L132" s="248">
        <v>233818</v>
      </c>
      <c r="M132" s="249">
        <f>15*(LEFT(TEXT($L132,"000000"),2)+(MID(TEXT($L132,"000000"),3,2)/60)+(RIGHT(TEXT($L132,"000000"),2)/3600))</f>
        <v>354.57499999999999</v>
      </c>
      <c r="N132" s="250">
        <v>270237</v>
      </c>
      <c r="O132" s="251">
        <f>IF($N132&gt;0,(LEFT(TEXT($N132,"000000"),2)+(MID(TEXT($N132,"000000"),3,2)/60)+(RIGHT(TEXT($N132,"000000"),2)/3600)),-(MID(TEXT($N132,"000000"),2,2)+(MID(TEXT($N132,"000000"),4,2)/60)+(RIGHT(TEXT($N132,"000000"),2)/3600)))</f>
        <v>27.043611111111112</v>
      </c>
      <c r="P132" s="252" t="s">
        <v>39</v>
      </c>
      <c r="Q132" s="253"/>
      <c r="R132" s="277" t="s">
        <v>3293</v>
      </c>
      <c r="S132" s="272" t="s">
        <v>3293</v>
      </c>
      <c r="T132" s="273">
        <v>13.8</v>
      </c>
      <c r="U132" s="274"/>
      <c r="V132" s="280"/>
      <c r="W132" s="244"/>
      <c r="X132" s="244"/>
      <c r="Y132" s="362"/>
      <c r="Z132" s="257">
        <f>altaz(J2000_Bas,$O132,$M132,DecLat,DecLong,1)</f>
        <v>30.869056897286303</v>
      </c>
      <c r="AA132" s="257">
        <f>altaz((J2000_Bas+(2*0.04167)),$O132,$M132,DecLat,DecLong,1)</f>
        <v>56.279033623556181</v>
      </c>
      <c r="AB132" s="257">
        <f>altaz((J2000_Bas+(4*0.04167)),$O132,$M132,DecLat,DecLong,1)</f>
        <v>81.658304059522308</v>
      </c>
      <c r="AC132" s="257">
        <f>altaz((J2000_Bas+(6*0.04167)),$O132,$M132,DecLat,DecLong,1)</f>
        <v>70.666190125574531</v>
      </c>
      <c r="AD132" s="258">
        <f>1+ transit((J2000_Bas-1),$O132,$M132,DecLat,DecLong)/360 + (GMTOffset/24) + (IF(DST="Y", 1, 0)/24)</f>
        <v>1.9778304176922077</v>
      </c>
      <c r="AE132" s="259">
        <f>DATE(2001,9,21)+(M132/360)*365 - (360*((DecLong/360)- (GMTOffset/24) ))</f>
        <v>37519.499652777777</v>
      </c>
      <c r="AF132" s="260">
        <f>IF(DecLat&gt;0,IF((90 - (DecLat-O132))&gt;90, (90 - (O132-DecLat)), (90 - (DecLat-O132))),IF((90 + (DecLat-O132))&gt;90, (90 + (O132-DecLat)), (90 + (DecLat-O132))))</f>
        <v>86.043611111111119</v>
      </c>
      <c r="AG132" s="257">
        <f>angularseperation(MoonRA,MoonDec,$M132,$O132)</f>
        <v>114.62641842790529</v>
      </c>
      <c r="AH132" s="261">
        <f ca="1">MIN(100,IF($O$5&gt;80,0+30*($AG132/100),IF($O$5&gt;70,0+50*($AG132/100),IF($O$5&gt;60,5+50*($AG132/100),IF($O$5&gt;50,10+60*($AG132/100),IF($O$5&gt;40,15+70*($AG132/100),IF($O$5&gt;30,20+70*($AG132/100),IF($O$5&gt;20,40+55*($AG132/100),(80+(20-$O$5)+30*($AG132/100))))))))))</f>
        <v>100</v>
      </c>
      <c r="AI132" s="263"/>
      <c r="AJ132" s="263"/>
      <c r="AK132" s="263"/>
      <c r="AL132" s="263"/>
      <c r="AM132" s="264"/>
      <c r="AN132" s="263"/>
      <c r="AO132" s="263"/>
      <c r="AP132" s="265">
        <v>2634</v>
      </c>
      <c r="AQ132" s="265"/>
      <c r="AR132" s="285"/>
      <c r="AS132" s="263"/>
      <c r="AT132" s="263"/>
      <c r="AU132" s="263"/>
      <c r="AV132" s="264"/>
      <c r="AW132" s="263"/>
      <c r="AX132" s="263"/>
      <c r="AY132" s="263"/>
      <c r="AZ132" s="263"/>
      <c r="BA132" s="263"/>
      <c r="BB132" s="263"/>
      <c r="BC132" s="263"/>
      <c r="BD132" s="264"/>
      <c r="BE132" s="263"/>
      <c r="BF132" s="263"/>
      <c r="BG132" s="263"/>
      <c r="BH132" s="263"/>
      <c r="BI132" s="263"/>
      <c r="BJ132" s="404">
        <f>altaz(J2000_Bas,$O132,$M132,DecLat,DecLong,2)</f>
        <v>75.000828179230012</v>
      </c>
      <c r="BK132" s="378" t="s">
        <v>3910</v>
      </c>
      <c r="BL132" s="379">
        <f>IF((2*G132)/60&lt;0.2,0.2,(2*G132)/60)</f>
        <v>0.66666666666666663</v>
      </c>
      <c r="BM132" s="380">
        <f>MOD((50000+AD132-$B$3+(0/24)),1)</f>
        <v>0.19319734739838168</v>
      </c>
      <c r="BN132" s="381"/>
      <c r="BO132" s="382">
        <v>132</v>
      </c>
    </row>
    <row r="133" spans="1:67" s="24" customFormat="1" ht="15" customHeight="1" x14ac:dyDescent="0.25">
      <c r="A133" s="288" t="s">
        <v>213</v>
      </c>
      <c r="B133" s="241" t="str">
        <f>HYPERLINK(CONCATENATE($AT$3,BK133,$AU$3),$AV$3)</f>
        <v>S</v>
      </c>
      <c r="C133" s="242" t="str">
        <f>HYPERLINK(CONCATENATE($AT$4,BK133,$AU$4,BL133),$AV$4)</f>
        <v>A</v>
      </c>
      <c r="D133" s="243" t="s">
        <v>5638</v>
      </c>
      <c r="E133" s="244" t="s">
        <v>5336</v>
      </c>
      <c r="F133" s="269">
        <v>30</v>
      </c>
      <c r="G133" s="282">
        <v>60</v>
      </c>
      <c r="H133" s="283">
        <v>340</v>
      </c>
      <c r="I133" s="284">
        <v>6000</v>
      </c>
      <c r="J133" s="246">
        <v>3</v>
      </c>
      <c r="K133" s="247" t="s">
        <v>3800</v>
      </c>
      <c r="L133" s="248">
        <v>235056</v>
      </c>
      <c r="M133" s="249">
        <f>15*(LEFT(TEXT($L133,"000000"),2)+(MID(TEXT($L133,"000000"),3,2)/60)+(RIGHT(TEXT($L133,"000000"),2)/3600))</f>
        <v>357.73333333333329</v>
      </c>
      <c r="N133" s="250">
        <v>270941</v>
      </c>
      <c r="O133" s="251">
        <f>IF($N133&gt;0,(LEFT(TEXT($N133,"000000"),2)+(MID(TEXT($N133,"000000"),3,2)/60)+(RIGHT(TEXT($N133,"000000"),2)/3600)),-(MID(TEXT($N133,"000000"),2,2)+(MID(TEXT($N133,"000000"),4,2)/60)+(RIGHT(TEXT($N133,"000000"),2)/3600)))</f>
        <v>27.161388888888887</v>
      </c>
      <c r="P133" s="252" t="s">
        <v>39</v>
      </c>
      <c r="Q133" s="253"/>
      <c r="R133" s="247" t="s">
        <v>3293</v>
      </c>
      <c r="S133" s="272" t="s">
        <v>3293</v>
      </c>
      <c r="T133" s="273">
        <v>13.8</v>
      </c>
      <c r="U133" s="274"/>
      <c r="V133" s="280"/>
      <c r="W133" s="244"/>
      <c r="X133" s="244"/>
      <c r="Y133" s="362"/>
      <c r="Z133" s="257">
        <f>altaz(J2000_Bas,$O133,$M133,DecLat,DecLong,1)</f>
        <v>28.306623487963304</v>
      </c>
      <c r="AA133" s="257">
        <f>altaz((J2000_Bas+(2*0.04167)),$O133,$M133,DecLat,DecLong,1)</f>
        <v>53.611081139420932</v>
      </c>
      <c r="AB133" s="257">
        <f>altaz((J2000_Bas+(4*0.04167)),$O133,$M133,DecLat,DecLong,1)</f>
        <v>79.198503642068658</v>
      </c>
      <c r="AC133" s="257">
        <f>altaz((J2000_Bas+(6*0.04167)),$O133,$M133,DecLat,DecLong,1)</f>
        <v>73.385274976127945</v>
      </c>
      <c r="AD133" s="258">
        <f>1+ transit((J2000_Bas-1),$O133,$M133,DecLat,DecLong)/360 + (GMTOffset/24) + (IF(DST="Y", 1, 0)/24)</f>
        <v>1.9866035649630411</v>
      </c>
      <c r="AE133" s="259">
        <f>DATE(2001,9,21)+(M133/360)*365 - (360*((DecLong/360)- (GMTOffset/24) ))</f>
        <v>37522.701851851853</v>
      </c>
      <c r="AF133" s="260">
        <f>IF(DecLat&gt;0,IF((90 - (DecLat-O133))&gt;90, (90 - (O133-DecLat)), (90 - (DecLat-O133))),IF((90 + (DecLat-O133))&gt;90, (90 + (O133-DecLat)), (90 + (DecLat-O133))))</f>
        <v>86.161388888888894</v>
      </c>
      <c r="AG133" s="257">
        <f>angularseperation(MoonRA,MoonDec,$M133,$O133)</f>
        <v>117.32808887630193</v>
      </c>
      <c r="AH133" s="261">
        <f ca="1">MIN(100,IF($O$5&gt;80,0+30*($AG133/100),IF($O$5&gt;70,0+50*($AG133/100),IF($O$5&gt;60,5+50*($AG133/100),IF($O$5&gt;50,10+60*($AG133/100),IF($O$5&gt;40,15+70*($AG133/100),IF($O$5&gt;30,20+70*($AG133/100),IF($O$5&gt;20,40+55*($AG133/100),(80+(20-$O$5)+30*($AG133/100))))))))))</f>
        <v>100</v>
      </c>
      <c r="AI133" s="262"/>
      <c r="AJ133" s="262"/>
      <c r="AK133" s="262"/>
      <c r="AL133" s="263"/>
      <c r="AM133" s="264"/>
      <c r="AN133" s="263"/>
      <c r="AO133" s="263"/>
      <c r="AP133" s="265">
        <v>2666</v>
      </c>
      <c r="AQ133" s="266"/>
      <c r="AR133" s="267"/>
      <c r="AS133" s="263"/>
      <c r="AT133" s="263"/>
      <c r="AU133" s="263"/>
      <c r="AV133" s="264"/>
      <c r="AW133" s="263"/>
      <c r="AX133" s="263"/>
      <c r="AY133" s="263"/>
      <c r="AZ133" s="263"/>
      <c r="BA133" s="263"/>
      <c r="BB133" s="263"/>
      <c r="BC133" s="263"/>
      <c r="BD133" s="264"/>
      <c r="BE133" s="263"/>
      <c r="BF133" s="263"/>
      <c r="BG133" s="263"/>
      <c r="BH133" s="263"/>
      <c r="BI133" s="263"/>
      <c r="BJ133" s="404">
        <f>altaz(J2000_Bas,$O133,$M133,DecLat,DecLong,2)</f>
        <v>73.663453998952676</v>
      </c>
      <c r="BK133" s="378" t="s">
        <v>3911</v>
      </c>
      <c r="BL133" s="379">
        <f>IF((2*G133)/60&lt;0.2,0.2,(2*G133)/60)</f>
        <v>2</v>
      </c>
      <c r="BM133" s="380">
        <f>MOD((50000+AD133-$B$3+(0/24)),1)</f>
        <v>0.20197049466514727</v>
      </c>
      <c r="BN133" s="381"/>
      <c r="BO133" s="382">
        <v>133</v>
      </c>
    </row>
    <row r="134" spans="1:67" s="24" customFormat="1" ht="15" customHeight="1" x14ac:dyDescent="0.25">
      <c r="A134" s="288" t="s">
        <v>214</v>
      </c>
      <c r="B134" s="241" t="str">
        <f>HYPERLINK(CONCATENATE($AT$3,BK134,$AU$3),$AV$3)</f>
        <v>S</v>
      </c>
      <c r="C134" s="242" t="str">
        <f>HYPERLINK(CONCATENATE($AT$4,BK134,$AU$4,BL134),$AV$4)</f>
        <v>A</v>
      </c>
      <c r="D134" s="243" t="s">
        <v>5638</v>
      </c>
      <c r="E134" s="244" t="s">
        <v>5336</v>
      </c>
      <c r="F134" s="269">
        <v>60</v>
      </c>
      <c r="G134" s="282">
        <v>60</v>
      </c>
      <c r="H134" s="283">
        <v>65</v>
      </c>
      <c r="I134" s="284">
        <v>1200</v>
      </c>
      <c r="J134" s="246">
        <v>2</v>
      </c>
      <c r="K134" s="247" t="s">
        <v>4885</v>
      </c>
      <c r="L134" s="248">
        <v>33628</v>
      </c>
      <c r="M134" s="249">
        <f>15*(LEFT(TEXT($L134,"000000"),2)+(MID(TEXT($L134,"000000"),3,2)/60)+(RIGHT(TEXT($L134,"000000"),2)/3600))</f>
        <v>54.116666666666667</v>
      </c>
      <c r="N134" s="250">
        <v>-345833</v>
      </c>
      <c r="O134" s="251">
        <f>IF($N134&gt;0,(LEFT(TEXT($N134,"000000"),2)+(MID(TEXT($N134,"000000"),3,2)/60)+(RIGHT(TEXT($N134,"000000"),2)/3600)),-(MID(TEXT($N134,"000000"),2,2)+(MID(TEXT($N134,"000000"),4,2)/60)+(RIGHT(TEXT($N134,"000000"),2)/3600)))</f>
        <v>-34.975833333333334</v>
      </c>
      <c r="P134" s="252" t="s">
        <v>215</v>
      </c>
      <c r="Q134" s="253"/>
      <c r="R134" s="247" t="s">
        <v>3293</v>
      </c>
      <c r="S134" s="272" t="s">
        <v>3293</v>
      </c>
      <c r="T134" s="273">
        <v>10.3</v>
      </c>
      <c r="U134" s="274"/>
      <c r="V134" s="280"/>
      <c r="W134" s="244"/>
      <c r="X134" s="244"/>
      <c r="Y134" s="362"/>
      <c r="Z134" s="257">
        <f>altaz(J2000_Bas,$O134,$M134,DecLat,DecLong,1)</f>
        <v>-46.781789694727365</v>
      </c>
      <c r="AA134" s="257">
        <f>altaz((J2000_Bas+(2*0.04167)),$O134,$M134,DecLat,DecLong,1)</f>
        <v>-23.162675090262592</v>
      </c>
      <c r="AB134" s="257">
        <f>altaz((J2000_Bas+(4*0.04167)),$O134,$M134,DecLat,DecLong,1)</f>
        <v>-1.8052516888425432</v>
      </c>
      <c r="AC134" s="257">
        <f>altaz((J2000_Bas+(6*0.04167)),$O134,$M134,DecLat,DecLong,1)</f>
        <v>15.027434546083406</v>
      </c>
      <c r="AD134" s="258">
        <f>1+ transit((J2000_Bas-1),$O134,$M134,DecLat,DecLong)/360 + (GMTOffset/24) + (IF(DST="Y", 1, 0)/24)</f>
        <v>1.1432240196713745</v>
      </c>
      <c r="AE134" s="259">
        <f>DATE(2001,9,21)+(M134/360)*365 - (360*((DecLong/360)- (GMTOffset/24) ))</f>
        <v>37214.868287037039</v>
      </c>
      <c r="AF134" s="260">
        <f>IF(DecLat&gt;0,IF((90 - (DecLat-O134))&gt;90, (90 - (O134-DecLat)), (90 - (DecLat-O134))),IF((90 + (DecLat-O134))&gt;90, (90 + (O134-DecLat)), (90 + (DecLat-O134))))</f>
        <v>24.024166666666673</v>
      </c>
      <c r="AG134" s="257">
        <f>angularseperation(MoonRA,MoonDec,$M134,$O134)</f>
        <v>116.31302427257729</v>
      </c>
      <c r="AH134" s="261">
        <f ca="1">MIN(100,IF($O$5&gt;80,0+30*($AG134/100),IF($O$5&gt;70,0+50*($AG134/100),IF($O$5&gt;60,5+50*($AG134/100),IF($O$5&gt;50,10+60*($AG134/100),IF($O$5&gt;40,15+70*($AG134/100),IF($O$5&gt;30,20+70*($AG134/100),IF($O$5&gt;20,40+55*($AG134/100),(80+(20-$O$5)+30*($AG134/100))))))))))</f>
        <v>100</v>
      </c>
      <c r="AI134" s="262"/>
      <c r="AJ134" s="262"/>
      <c r="AK134" s="262"/>
      <c r="AL134" s="263"/>
      <c r="AM134" s="264"/>
      <c r="AN134" s="263"/>
      <c r="AO134" s="263"/>
      <c r="AP134" s="265" t="s">
        <v>216</v>
      </c>
      <c r="AQ134" s="266"/>
      <c r="AR134" s="267"/>
      <c r="AS134" s="263"/>
      <c r="AT134" s="263"/>
      <c r="AU134" s="263"/>
      <c r="AV134" s="264"/>
      <c r="AW134" s="263"/>
      <c r="AX134" s="263"/>
      <c r="AY134" s="263"/>
      <c r="AZ134" s="263"/>
      <c r="BA134" s="263"/>
      <c r="BB134" s="263"/>
      <c r="BC134" s="263"/>
      <c r="BD134" s="264"/>
      <c r="BE134" s="263"/>
      <c r="BF134" s="263"/>
      <c r="BG134" s="263"/>
      <c r="BH134" s="263"/>
      <c r="BI134" s="263"/>
      <c r="BJ134" s="404">
        <f>altaz(J2000_Bas,$O134,$M134,DecLat,DecLong,2)</f>
        <v>109.70327255589102</v>
      </c>
      <c r="BK134" s="378" t="s">
        <v>3912</v>
      </c>
      <c r="BL134" s="379">
        <f>IF((2*G134)/60&lt;0.2,0.2,(2*G134)/60)</f>
        <v>2</v>
      </c>
      <c r="BM134" s="380">
        <f>MOD((50000+AD134-$B$3+(0/24)),1)</f>
        <v>0.35859094937768532</v>
      </c>
      <c r="BN134" s="381"/>
      <c r="BO134" s="382">
        <v>134</v>
      </c>
    </row>
    <row r="135" spans="1:67" s="24" customFormat="1" ht="15" customHeight="1" x14ac:dyDescent="0.25">
      <c r="A135" s="288" t="s">
        <v>35</v>
      </c>
      <c r="B135" s="241" t="str">
        <f>HYPERLINK(CONCATENATE($AT$3,BK135,$AU$3),$AV$3)</f>
        <v>S</v>
      </c>
      <c r="C135" s="242" t="str">
        <f>HYPERLINK(CONCATENATE($AT$4,BK135,$AU$4,BL135),$AV$4)</f>
        <v>A</v>
      </c>
      <c r="D135" s="243" t="s">
        <v>5638</v>
      </c>
      <c r="E135" s="244" t="s">
        <v>5192</v>
      </c>
      <c r="F135" s="269"/>
      <c r="G135" s="270">
        <v>0.1</v>
      </c>
      <c r="H135" s="283">
        <v>11000</v>
      </c>
      <c r="I135" s="244" t="s">
        <v>6500</v>
      </c>
      <c r="J135" s="246">
        <v>4</v>
      </c>
      <c r="K135" s="277" t="s">
        <v>8361</v>
      </c>
      <c r="L135" s="248">
        <v>14709</v>
      </c>
      <c r="M135" s="249">
        <f>15*(LEFT(TEXT($L135,"000000"),2)+(MID(TEXT($L135,"000000"),3,2)/60)+(RIGHT(TEXT($L135,"000000"),2)/3600))</f>
        <v>26.787499999999998</v>
      </c>
      <c r="N135" s="250">
        <v>463037</v>
      </c>
      <c r="O135" s="251">
        <f>IF($N135&gt;0,(LEFT(TEXT($N135,"000000"),2)+(MID(TEXT($N135,"000000"),3,2)/60)+(RIGHT(TEXT($N135,"000000"),2)/3600)),-(MID(TEXT($N135,"000000"),2,2)+(MID(TEXT($N135,"000000"),4,2)/60)+(RIGHT(TEXT($N135,"000000"),2)/3600)))</f>
        <v>46.51027777777778</v>
      </c>
      <c r="P135" s="252" t="s">
        <v>36</v>
      </c>
      <c r="Q135" s="253" t="s">
        <v>35</v>
      </c>
      <c r="R135" s="277" t="s">
        <v>3293</v>
      </c>
      <c r="S135" s="272" t="s">
        <v>3293</v>
      </c>
      <c r="T135" s="273"/>
      <c r="U135" s="274"/>
      <c r="V135" s="280"/>
      <c r="W135" s="244"/>
      <c r="X135" s="244"/>
      <c r="Y135" s="362"/>
      <c r="Z135" s="257">
        <f>altaz(J2000_Bas,$O135,$M135,DecLat,DecLong,1)</f>
        <v>15.264262239262568</v>
      </c>
      <c r="AA135" s="257">
        <f>altaz((J2000_Bas+(2*0.04167)),$O135,$M135,DecLat,DecLong,1)</f>
        <v>34.655026282174028</v>
      </c>
      <c r="AB135" s="257">
        <f>altaz((J2000_Bas+(4*0.04167)),$O135,$M135,DecLat,DecLong,1)</f>
        <v>55.231736372118213</v>
      </c>
      <c r="AC135" s="257">
        <f>altaz((J2000_Bas+(6*0.04167)),$O135,$M135,DecLat,DecLong,1)</f>
        <v>72.486385675929483</v>
      </c>
      <c r="AD135" s="258">
        <f>1+ transit((J2000_Bas-1),$O135,$M135,DecLat,DecLong)/360 + (GMTOffset/24) + (IF(DST="Y", 1, 0)/24)</f>
        <v>1.0673096754109579</v>
      </c>
      <c r="AE135" s="259">
        <f>DATE(2001,9,21)+(M135/360)*365 - (360*((DecLong/360)- (GMTOffset/24) ))</f>
        <v>37187.159548611111</v>
      </c>
      <c r="AF135" s="260">
        <f>IF(DecLat&gt;0,IF((90 - (DecLat-O135))&gt;90, (90 - (O135-DecLat)), (90 - (DecLat-O135))),IF((90 + (DecLat-O135))&gt;90, (90 + (O135-DecLat)), (90 + (DecLat-O135))))</f>
        <v>74.489722222222213</v>
      </c>
      <c r="AG135" s="257">
        <f>angularseperation(MoonRA,MoonDec,$M135,$O135)</f>
        <v>141.48230207582995</v>
      </c>
      <c r="AH135" s="261">
        <f ca="1">MIN(100,IF($O$5&gt;80,0+30*($AG135/100),IF($O$5&gt;70,0+50*($AG135/100),IF($O$5&gt;60,5+50*($AG135/100),IF($O$5&gt;50,10+60*($AG135/100),IF($O$5&gt;40,15+70*($AG135/100),IF($O$5&gt;30,20+70*($AG135/100),IF($O$5&gt;20,40+55*($AG135/100),(80+(20-$O$5)+30*($AG135/100))))))))))</f>
        <v>100</v>
      </c>
      <c r="AI135" s="262"/>
      <c r="AJ135" s="262"/>
      <c r="AK135" s="262"/>
      <c r="AL135" s="263"/>
      <c r="AM135" s="264"/>
      <c r="AN135" s="263"/>
      <c r="AO135" s="263"/>
      <c r="AP135" s="265"/>
      <c r="AQ135" s="266"/>
      <c r="AR135" s="267"/>
      <c r="AS135" s="263"/>
      <c r="AT135" s="263"/>
      <c r="AU135" s="263"/>
      <c r="AV135" s="264"/>
      <c r="AW135" s="263"/>
      <c r="AX135" s="263"/>
      <c r="AY135" s="263"/>
      <c r="AZ135" s="263"/>
      <c r="BA135" s="263"/>
      <c r="BB135" s="263"/>
      <c r="BC135" s="263"/>
      <c r="BD135" s="264"/>
      <c r="BE135" s="263"/>
      <c r="BF135" s="263"/>
      <c r="BG135" s="263"/>
      <c r="BH135" s="263"/>
      <c r="BI135" s="263"/>
      <c r="BJ135" s="404">
        <f>altaz(J2000_Bas,$O135,$M135,DecLat,DecLong,2)</f>
        <v>44.490480105913512</v>
      </c>
      <c r="BK135" s="378" t="s">
        <v>35</v>
      </c>
      <c r="BL135" s="379">
        <f>IF((2*G135)/60&lt;0.2,0.2,(2*G135)/60)</f>
        <v>0.2</v>
      </c>
      <c r="BM135" s="380">
        <f>MOD((50000+AD135-$B$3+(0/24)),1)</f>
        <v>0.28267660511482973</v>
      </c>
      <c r="BN135" s="381" t="s">
        <v>9111</v>
      </c>
      <c r="BO135" s="382">
        <v>135</v>
      </c>
    </row>
    <row r="136" spans="1:67" s="24" customFormat="1" ht="15" customHeight="1" x14ac:dyDescent="0.25">
      <c r="A136" s="288" t="s">
        <v>217</v>
      </c>
      <c r="B136" s="241" t="str">
        <f>HYPERLINK(CONCATENATE($AT$3,BK136,$AU$3),$AV$3)</f>
        <v>S</v>
      </c>
      <c r="C136" s="242" t="str">
        <f>HYPERLINK(CONCATENATE($AT$4,BK136,$AU$4,BL136),$AV$4)</f>
        <v>A</v>
      </c>
      <c r="D136" s="243" t="s">
        <v>5638</v>
      </c>
      <c r="E136" s="244" t="s">
        <v>5192</v>
      </c>
      <c r="F136" s="269" t="s">
        <v>8706</v>
      </c>
      <c r="G136" s="273">
        <v>2</v>
      </c>
      <c r="H136" s="283">
        <v>240</v>
      </c>
      <c r="I136" s="246">
        <v>140</v>
      </c>
      <c r="J136" s="246">
        <v>3</v>
      </c>
      <c r="K136" s="247" t="s">
        <v>3804</v>
      </c>
      <c r="L136" s="248">
        <v>92437</v>
      </c>
      <c r="M136" s="249">
        <f>15*(LEFT(TEXT($L136,"000000"),2)+(MID(TEXT($L136,"000000"),3,2)/60)+(RIGHT(TEXT($L136,"000000"),2)/3600))</f>
        <v>141.1541666666667</v>
      </c>
      <c r="N136" s="250">
        <v>492100</v>
      </c>
      <c r="O136" s="251">
        <f>IF($N136&gt;0,(LEFT(TEXT($N136,"000000"),2)+(MID(TEXT($N136,"000000"),3,2)/60)+(RIGHT(TEXT($N136,"000000"),2)/3600)),-(MID(TEXT($N136,"000000"),2,2)+(MID(TEXT($N136,"000000"),4,2)/60)+(RIGHT(TEXT($N136,"000000"),2)/3600)))</f>
        <v>49.35</v>
      </c>
      <c r="P136" s="252" t="s">
        <v>37</v>
      </c>
      <c r="Q136" s="253"/>
      <c r="R136" s="247" t="s">
        <v>3526</v>
      </c>
      <c r="S136" s="272" t="s">
        <v>504</v>
      </c>
      <c r="T136" s="273">
        <v>12.3</v>
      </c>
      <c r="U136" s="289">
        <v>22.59</v>
      </c>
      <c r="V136" s="280">
        <v>0</v>
      </c>
      <c r="W136" s="244"/>
      <c r="X136" s="244"/>
      <c r="Y136" s="362"/>
      <c r="Z136" s="257">
        <f>altaz(J2000_Bas,$O136,$M136,DecLat,DecLong,1)</f>
        <v>-3.7725998076942759</v>
      </c>
      <c r="AA136" s="257">
        <f>altaz((J2000_Bas+(2*0.04167)),$O136,$M136,DecLat,DecLong,1)</f>
        <v>-9.5232024446727657</v>
      </c>
      <c r="AB136" s="257">
        <f>altaz((J2000_Bas+(4*0.04167)),$O136,$M136,DecLat,DecLong,1)</f>
        <v>-6.6174693415789969</v>
      </c>
      <c r="AC136" s="257">
        <f>altaz((J2000_Bas+(6*0.04167)),$O136,$M136,DecLat,DecLong,1)</f>
        <v>4.0884922608184144</v>
      </c>
      <c r="AD136" s="258">
        <f>1+ transit((J2000_Bas-1),$O136,$M136,DecLat,DecLong)/360 + (GMTOffset/24) + (IF(DST="Y", 1, 0)/24)</f>
        <v>1.3849948288276248</v>
      </c>
      <c r="AE136" s="259">
        <f>DATE(2001,9,21)+(M136/360)*365 - (360*((DecLong/360)- (GMTOffset/24) ))</f>
        <v>37303.114641203705</v>
      </c>
      <c r="AF136" s="260">
        <f>IF(DecLat&gt;0,IF((90 - (DecLat-O136))&gt;90, (90 - (O136-DecLat)), (90 - (DecLat-O136))),IF((90 + (DecLat-O136))&gt;90, (90 + (O136-DecLat)), (90 + (DecLat-O136))))</f>
        <v>71.650000000000006</v>
      </c>
      <c r="AG136" s="257">
        <f>angularseperation(MoonRA,MoonDec,$M136,$O136)</f>
        <v>121.7025880148711</v>
      </c>
      <c r="AH136" s="261">
        <f ca="1">MIN(100,IF($O$5&gt;80,0+30*($AG136/100),IF($O$5&gt;70,0+50*($AG136/100),IF($O$5&gt;60,5+50*($AG136/100),IF($O$5&gt;50,10+60*($AG136/100),IF($O$5&gt;40,15+70*($AG136/100),IF($O$5&gt;30,20+70*($AG136/100),IF($O$5&gt;20,40+55*($AG136/100),(80+(20-$O$5)+30*($AG136/100))))))))))</f>
        <v>100</v>
      </c>
      <c r="AI136" s="262">
        <v>2857</v>
      </c>
      <c r="AJ136" s="262"/>
      <c r="AK136" s="262"/>
      <c r="AL136" s="263"/>
      <c r="AM136" s="264"/>
      <c r="AN136" s="263">
        <v>1</v>
      </c>
      <c r="AO136" s="263"/>
      <c r="AP136" s="265"/>
      <c r="AQ136" s="266">
        <v>5000</v>
      </c>
      <c r="AR136" s="267">
        <v>26666</v>
      </c>
      <c r="AS136" s="263"/>
      <c r="AT136" s="263"/>
      <c r="AU136" s="263"/>
      <c r="AV136" s="264"/>
      <c r="AW136" s="263"/>
      <c r="AX136" s="263"/>
      <c r="AY136" s="263"/>
      <c r="AZ136" s="263"/>
      <c r="BA136" s="263"/>
      <c r="BB136" s="263"/>
      <c r="BC136" s="263"/>
      <c r="BD136" s="264"/>
      <c r="BE136" s="263"/>
      <c r="BF136" s="263"/>
      <c r="BG136" s="263"/>
      <c r="BH136" s="263"/>
      <c r="BI136" s="263"/>
      <c r="BJ136" s="404">
        <f>altaz(J2000_Bas,$O136,$M136,DecLat,DecLong,2)</f>
        <v>337.92170660971658</v>
      </c>
      <c r="BK136" s="378" t="s">
        <v>217</v>
      </c>
      <c r="BL136" s="379">
        <f>IF((2*G136)/60&lt;0.2,0.2,(2*G136)/60)</f>
        <v>0.2</v>
      </c>
      <c r="BM136" s="380">
        <f>MOD((50000+AD136-$B$3+(0/24)),1)</f>
        <v>0.60036175853019813</v>
      </c>
      <c r="BN136" s="381"/>
      <c r="BO136" s="382">
        <v>136</v>
      </c>
    </row>
    <row r="137" spans="1:67" s="24" customFormat="1" ht="15" customHeight="1" x14ac:dyDescent="0.25">
      <c r="A137" s="288" t="s">
        <v>218</v>
      </c>
      <c r="B137" s="241" t="str">
        <f>HYPERLINK(CONCATENATE($AT$3,BK137,$AU$3),$AV$3)</f>
        <v>S</v>
      </c>
      <c r="C137" s="242" t="str">
        <f>HYPERLINK(CONCATENATE($AT$4,BK137,$AU$4,BL137),$AV$4)</f>
        <v>A</v>
      </c>
      <c r="D137" s="243" t="s">
        <v>5638</v>
      </c>
      <c r="E137" s="244" t="s">
        <v>3259</v>
      </c>
      <c r="F137" s="269"/>
      <c r="G137" s="273">
        <v>2.2999999999999998</v>
      </c>
      <c r="H137" s="283">
        <v>50</v>
      </c>
      <c r="I137" s="246">
        <v>35</v>
      </c>
      <c r="J137" s="246">
        <v>2</v>
      </c>
      <c r="K137" s="247" t="s">
        <v>3805</v>
      </c>
      <c r="L137" s="248">
        <v>161618</v>
      </c>
      <c r="M137" s="249">
        <f>15*(LEFT(TEXT($L137,"000000"),2)+(MID(TEXT($L137,"000000"),3,2)/60)+(RIGHT(TEXT($L137,"000000"),2)/3600))</f>
        <v>244.07499999999996</v>
      </c>
      <c r="N137" s="250">
        <v>470200</v>
      </c>
      <c r="O137" s="251">
        <f>IF($N137&gt;0,(LEFT(TEXT($N137,"000000"),2)+(MID(TEXT($N137,"000000"),3,2)/60)+(RIGHT(TEXT($N137,"000000"),2)/3600)),-(MID(TEXT($N137,"000000"),2,2)+(MID(TEXT($N137,"000000"),4,2)/60)+(RIGHT(TEXT($N137,"000000"),2)/3600)))</f>
        <v>47.033333333333331</v>
      </c>
      <c r="P137" s="252" t="s">
        <v>111</v>
      </c>
      <c r="Q137" s="253"/>
      <c r="R137" s="247" t="s">
        <v>3293</v>
      </c>
      <c r="S137" s="272" t="s">
        <v>3293</v>
      </c>
      <c r="T137" s="273">
        <v>13.2</v>
      </c>
      <c r="U137" s="274"/>
      <c r="V137" s="280">
        <v>45</v>
      </c>
      <c r="W137" s="244"/>
      <c r="X137" s="244"/>
      <c r="Y137" s="362"/>
      <c r="Z137" s="257">
        <f>altaz(J2000_Bas,$O137,$M137,DecLat,DecLong,1)</f>
        <v>54.246099304046822</v>
      </c>
      <c r="AA137" s="257">
        <f>altaz((J2000_Bas+(2*0.04167)),$O137,$M137,DecLat,DecLong,1)</f>
        <v>33.868986381378605</v>
      </c>
      <c r="AB137" s="257">
        <f>altaz((J2000_Bas+(4*0.04167)),$O137,$M137,DecLat,DecLong,1)</f>
        <v>14.740896468646266</v>
      </c>
      <c r="AC137" s="257">
        <f>altaz((J2000_Bas+(6*0.04167)),$O137,$M137,DecLat,DecLong,1)</f>
        <v>-0.88313417031188168</v>
      </c>
      <c r="AD137" s="258">
        <f>1+ transit((J2000_Bas-1),$O137,$M137,DecLat,DecLong)/360 + (GMTOffset/24) + (IF(DST="Y", 1, 0)/24)</f>
        <v>1.670886003942208</v>
      </c>
      <c r="AE137" s="259">
        <f>DATE(2001,9,21)+(M137/360)*365 - (360*((DecLong/360)- (GMTOffset/24) ))</f>
        <v>37407.464930555558</v>
      </c>
      <c r="AF137" s="260">
        <f>IF(DecLat&gt;0,IF((90 - (DecLat-O137))&gt;90, (90 - (O137-DecLat)), (90 - (DecLat-O137))),IF((90 + (DecLat-O137))&gt;90, (90 + (O137-DecLat)), (90 + (DecLat-O137))))</f>
        <v>73.966666666666669</v>
      </c>
      <c r="AG137" s="257">
        <f>angularseperation(MoonRA,MoonDec,$M137,$O137)</f>
        <v>74.264261324032489</v>
      </c>
      <c r="AH137" s="261">
        <f ca="1">MIN(100,IF($O$5&gt;80,0+30*($AG137/100),IF($O$5&gt;70,0+50*($AG137/100),IF($O$5&gt;60,5+50*($AG137/100),IF($O$5&gt;50,10+60*($AG137/100),IF($O$5&gt;40,15+70*($AG137/100),IF($O$5&gt;30,20+70*($AG137/100),IF($O$5&gt;20,40+55*($AG137/100),(80+(20-$O$5)+30*($AG137/100))))))))))</f>
        <v>100</v>
      </c>
      <c r="AI137" s="262"/>
      <c r="AJ137" s="262"/>
      <c r="AK137" s="262"/>
      <c r="AL137" s="263"/>
      <c r="AM137" s="264"/>
      <c r="AN137" s="263">
        <v>2</v>
      </c>
      <c r="AO137" s="263"/>
      <c r="AP137" s="265"/>
      <c r="AQ137" s="266">
        <v>10310</v>
      </c>
      <c r="AR137" s="267">
        <v>57678</v>
      </c>
      <c r="AS137" s="263"/>
      <c r="AT137" s="263"/>
      <c r="AU137" s="263"/>
      <c r="AV137" s="264"/>
      <c r="AW137" s="263"/>
      <c r="AX137" s="263"/>
      <c r="AY137" s="263"/>
      <c r="AZ137" s="263"/>
      <c r="BA137" s="263"/>
      <c r="BB137" s="263"/>
      <c r="BC137" s="263"/>
      <c r="BD137" s="264"/>
      <c r="BE137" s="263"/>
      <c r="BF137" s="263"/>
      <c r="BG137" s="263"/>
      <c r="BH137" s="263"/>
      <c r="BI137" s="263"/>
      <c r="BJ137" s="404">
        <f>altaz(J2000_Bas,$O137,$M137,DecLat,DecLong,2)</f>
        <v>308.79216962737979</v>
      </c>
      <c r="BK137" s="378" t="s">
        <v>218</v>
      </c>
      <c r="BL137" s="379">
        <f>IF((2*G137)/60&lt;0.2,0.2,(2*G137)/60)</f>
        <v>0.2</v>
      </c>
      <c r="BM137" s="380">
        <f>MOD((50000+AD137-$B$3+(0/24)),1)</f>
        <v>0.88625293364748359</v>
      </c>
      <c r="BN137" s="381"/>
      <c r="BO137" s="382">
        <v>137</v>
      </c>
    </row>
    <row r="138" spans="1:67" s="24" customFormat="1" ht="15" customHeight="1" x14ac:dyDescent="0.25">
      <c r="A138" s="288" t="s">
        <v>219</v>
      </c>
      <c r="B138" s="241" t="str">
        <f>HYPERLINK(CONCATENATE($AT$3,BK138,$AU$3),$AV$3)</f>
        <v>S</v>
      </c>
      <c r="C138" s="242" t="str">
        <f>HYPERLINK(CONCATENATE($AT$4,BK138,$AU$4,BL138),$AV$4)</f>
        <v>A</v>
      </c>
      <c r="D138" s="243" t="s">
        <v>5638</v>
      </c>
      <c r="E138" s="244" t="s">
        <v>3259</v>
      </c>
      <c r="F138" s="269"/>
      <c r="G138" s="273">
        <v>3</v>
      </c>
      <c r="H138" s="283">
        <v>60</v>
      </c>
      <c r="I138" s="246">
        <v>50</v>
      </c>
      <c r="J138" s="246">
        <v>2</v>
      </c>
      <c r="K138" s="247" t="s">
        <v>3806</v>
      </c>
      <c r="L138" s="248">
        <v>223634</v>
      </c>
      <c r="M138" s="249">
        <f>15*(LEFT(TEXT($L138,"000000"),2)+(MID(TEXT($L138,"000000"),3,2)/60)+(RIGHT(TEXT($L138,"000000"),2)/3600))</f>
        <v>339.14166666666671</v>
      </c>
      <c r="N138" s="250">
        <v>-25400</v>
      </c>
      <c r="O138" s="251">
        <f>IF($N138&gt;0,(LEFT(TEXT($N138,"000000"),2)+(MID(TEXT($N138,"000000"),3,2)/60)+(RIGHT(TEXT($N138,"000000"),2)/3600)),-(MID(TEXT($N138,"000000"),2,2)+(MID(TEXT($N138,"000000"),4,2)/60)+(RIGHT(TEXT($N138,"000000"),2)/3600)))</f>
        <v>-2.9</v>
      </c>
      <c r="P138" s="252" t="s">
        <v>3119</v>
      </c>
      <c r="Q138" s="253"/>
      <c r="R138" s="247" t="s">
        <v>3293</v>
      </c>
      <c r="S138" s="272" t="s">
        <v>3293</v>
      </c>
      <c r="T138" s="273">
        <v>13.4</v>
      </c>
      <c r="U138" s="274"/>
      <c r="V138" s="280">
        <v>50</v>
      </c>
      <c r="W138" s="244"/>
      <c r="X138" s="244"/>
      <c r="Y138" s="362"/>
      <c r="Z138" s="257">
        <f>altaz(J2000_Bas,$O138,$M138,DecLat,DecLong,1)</f>
        <v>29.174927291625057</v>
      </c>
      <c r="AA138" s="257">
        <f>altaz((J2000_Bas+(2*0.04167)),$O138,$M138,DecLat,DecLong,1)</f>
        <v>49.609026588812533</v>
      </c>
      <c r="AB138" s="257">
        <f>altaz((J2000_Bas+(4*0.04167)),$O138,$M138,DecLat,DecLong,1)</f>
        <v>55.444428624926587</v>
      </c>
      <c r="AC138" s="257">
        <f>altaz((J2000_Bas+(6*0.04167)),$O138,$M138,DecLat,DecLong,1)</f>
        <v>41.040968964155375</v>
      </c>
      <c r="AD138" s="258">
        <f>1+ transit((J2000_Bas-1),$O138,$M138,DecLat,DecLong)/360 + (GMTOffset/24) + (IF(DST="Y", 1, 0)/24)</f>
        <v>1.9349600516088745</v>
      </c>
      <c r="AE138" s="259">
        <f>DATE(2001,9,21)+(M138/360)*365 - (360*((DecLong/360)- (GMTOffset/24) ))</f>
        <v>37503.851967592593</v>
      </c>
      <c r="AF138" s="260">
        <f>IF(DecLat&gt;0,IF((90 - (DecLat-O138))&gt;90, (90 - (O138-DecLat)), (90 - (DecLat-O138))),IF((90 + (DecLat-O138))&gt;90, (90 + (O138-DecLat)), (90 + (DecLat-O138))))</f>
        <v>56.1</v>
      </c>
      <c r="AG138" s="257">
        <f>angularseperation(MoonRA,MoonDec,$M138,$O138)</f>
        <v>88.590919960915215</v>
      </c>
      <c r="AH138" s="261">
        <f ca="1">MIN(100,IF($O$5&gt;80,0+30*($AG138/100),IF($O$5&gt;70,0+50*($AG138/100),IF($O$5&gt;60,5+50*($AG138/100),IF($O$5&gt;50,10+60*($AG138/100),IF($O$5&gt;40,15+70*($AG138/100),IF($O$5&gt;30,20+70*($AG138/100),IF($O$5&gt;20,40+55*($AG138/100),(80+(20-$O$5)+30*($AG138/100))))))))))</f>
        <v>100</v>
      </c>
      <c r="AI138" s="262"/>
      <c r="AJ138" s="262"/>
      <c r="AK138" s="262"/>
      <c r="AL138" s="263"/>
      <c r="AM138" s="264"/>
      <c r="AN138" s="263">
        <v>3</v>
      </c>
      <c r="AO138" s="263"/>
      <c r="AP138" s="265"/>
      <c r="AQ138" s="266"/>
      <c r="AR138" s="267">
        <v>69293</v>
      </c>
      <c r="AS138" s="263"/>
      <c r="AT138" s="263"/>
      <c r="AU138" s="263"/>
      <c r="AV138" s="264"/>
      <c r="AW138" s="263"/>
      <c r="AX138" s="263"/>
      <c r="AY138" s="263"/>
      <c r="AZ138" s="263"/>
      <c r="BA138" s="263"/>
      <c r="BB138" s="263"/>
      <c r="BC138" s="263"/>
      <c r="BD138" s="264"/>
      <c r="BE138" s="263"/>
      <c r="BF138" s="263"/>
      <c r="BG138" s="263"/>
      <c r="BH138" s="263"/>
      <c r="BI138" s="263"/>
      <c r="BJ138" s="404">
        <f>altaz(J2000_Bas,$O138,$M138,DecLat,DecLong,2)</f>
        <v>113.76986695747837</v>
      </c>
      <c r="BK138" s="378" t="s">
        <v>219</v>
      </c>
      <c r="BL138" s="379">
        <f>IF((2*G138)/60&lt;0.2,0.2,(2*G138)/60)</f>
        <v>0.2</v>
      </c>
      <c r="BM138" s="380">
        <f>MOD((50000+AD138-$B$3+(0/24)),1)</f>
        <v>0.15032698131108191</v>
      </c>
      <c r="BN138" s="381"/>
      <c r="BO138" s="382">
        <v>138</v>
      </c>
    </row>
    <row r="139" spans="1:67" s="24" customFormat="1" ht="15" customHeight="1" x14ac:dyDescent="0.25">
      <c r="A139" s="288" t="s">
        <v>220</v>
      </c>
      <c r="B139" s="241" t="str">
        <f>HYPERLINK(CONCATENATE($AT$3,BK139,$AU$3),$AV$3)</f>
        <v>S</v>
      </c>
      <c r="C139" s="242" t="str">
        <f>HYPERLINK(CONCATENATE($AT$4,BK139,$AU$4,BL139),$AV$4)</f>
        <v>A</v>
      </c>
      <c r="D139" s="243" t="s">
        <v>5638</v>
      </c>
      <c r="E139" s="244" t="s">
        <v>3259</v>
      </c>
      <c r="F139" s="269" t="s">
        <v>3287</v>
      </c>
      <c r="G139" s="273">
        <v>2.2000000000000002</v>
      </c>
      <c r="H139" s="283">
        <v>75</v>
      </c>
      <c r="I139" s="246">
        <v>50</v>
      </c>
      <c r="J139" s="246">
        <v>1</v>
      </c>
      <c r="K139" s="247" t="s">
        <v>3807</v>
      </c>
      <c r="L139" s="248">
        <v>14825</v>
      </c>
      <c r="M139" s="249">
        <f>15*(LEFT(TEXT($L139,"000000"),2)+(MID(TEXT($L139,"000000"),3,2)/60)+(RIGHT(TEXT($L139,"000000"),2)/3600))</f>
        <v>27.104166666666668</v>
      </c>
      <c r="N139" s="250">
        <v>-122200</v>
      </c>
      <c r="O139" s="251">
        <f>IF($N139&gt;0,(LEFT(TEXT($N139,"000000"),2)+(MID(TEXT($N139,"000000"),3,2)/60)+(RIGHT(TEXT($N139,"000000"),2)/3600)),-(MID(TEXT($N139,"000000"),2,2)+(MID(TEXT($N139,"000000"),4,2)/60)+(RIGHT(TEXT($N139,"000000"),2)/3600)))</f>
        <v>-12.366666666666667</v>
      </c>
      <c r="P139" s="252" t="s">
        <v>75</v>
      </c>
      <c r="Q139" s="253"/>
      <c r="R139" s="247" t="s">
        <v>3293</v>
      </c>
      <c r="S139" s="272" t="s">
        <v>3293</v>
      </c>
      <c r="T139" s="273">
        <v>14</v>
      </c>
      <c r="U139" s="274"/>
      <c r="V139" s="280">
        <v>10</v>
      </c>
      <c r="W139" s="244"/>
      <c r="X139" s="244"/>
      <c r="Y139" s="362"/>
      <c r="Z139" s="257">
        <f>altaz(J2000_Bas,$O139,$M139,DecLat,DecLong,1)</f>
        <v>-15.754782348856347</v>
      </c>
      <c r="AA139" s="257">
        <f>altaz((J2000_Bas+(2*0.04167)),$O139,$M139,DecLat,DecLong,1)</f>
        <v>9.3260311096093798</v>
      </c>
      <c r="AB139" s="257">
        <f>altaz((J2000_Bas+(4*0.04167)),$O139,$M139,DecLat,DecLong,1)</f>
        <v>31.482965399182561</v>
      </c>
      <c r="AC139" s="257">
        <f>altaz((J2000_Bas+(6*0.04167)),$O139,$M139,DecLat,DecLong,1)</f>
        <v>45.398878608290772</v>
      </c>
      <c r="AD139" s="258">
        <f>1+ transit((J2000_Bas-1),$O139,$M139,DecLat,DecLong)/360 + (GMTOffset/24) + (IF(DST="Y", 1, 0)/24)</f>
        <v>1.0681893049526248</v>
      </c>
      <c r="AE139" s="259">
        <f>DATE(2001,9,21)+(M139/360)*365 - (360*((DecLong/360)- (GMTOffset/24) ))</f>
        <v>37187.480613425927</v>
      </c>
      <c r="AF139" s="260">
        <f>IF(DecLat&gt;0,IF((90 - (DecLat-O139))&gt;90, (90 - (O139-DecLat)), (90 - (DecLat-O139))),IF((90 + (DecLat-O139))&gt;90, (90 + (O139-DecLat)), (90 + (DecLat-O139))))</f>
        <v>46.633333333333333</v>
      </c>
      <c r="AG139" s="257">
        <f>angularseperation(MoonRA,MoonDec,$M139,$O139)</f>
        <v>123.18800660999945</v>
      </c>
      <c r="AH139" s="261">
        <f ca="1">MIN(100,IF($O$5&gt;80,0+30*($AG139/100),IF($O$5&gt;70,0+50*($AG139/100),IF($O$5&gt;60,5+50*($AG139/100),IF($O$5&gt;50,10+60*($AG139/100),IF($O$5&gt;40,15+70*($AG139/100),IF($O$5&gt;30,20+70*($AG139/100),IF($O$5&gt;20,40+55*($AG139/100),(80+(20-$O$5)+30*($AG139/100))))))))))</f>
        <v>100</v>
      </c>
      <c r="AI139" s="262"/>
      <c r="AJ139" s="262"/>
      <c r="AK139" s="262"/>
      <c r="AL139" s="263"/>
      <c r="AM139" s="264"/>
      <c r="AN139" s="263">
        <v>4</v>
      </c>
      <c r="AO139" s="263"/>
      <c r="AP139" s="265"/>
      <c r="AQ139" s="266"/>
      <c r="AR139" s="267">
        <v>6626</v>
      </c>
      <c r="AS139" s="263"/>
      <c r="AT139" s="263"/>
      <c r="AU139" s="263"/>
      <c r="AV139" s="264"/>
      <c r="AW139" s="263"/>
      <c r="AX139" s="263"/>
      <c r="AY139" s="263"/>
      <c r="AZ139" s="263"/>
      <c r="BA139" s="263"/>
      <c r="BB139" s="263"/>
      <c r="BC139" s="263"/>
      <c r="BD139" s="264"/>
      <c r="BE139" s="263"/>
      <c r="BF139" s="263"/>
      <c r="BG139" s="263"/>
      <c r="BH139" s="263"/>
      <c r="BI139" s="263"/>
      <c r="BJ139" s="404">
        <f>altaz(J2000_Bas,$O139,$M139,DecLat,DecLong,2)</f>
        <v>95.168950833710241</v>
      </c>
      <c r="BK139" s="378" t="s">
        <v>220</v>
      </c>
      <c r="BL139" s="379">
        <f>IF((2*G139)/60&lt;0.2,0.2,(2*G139)/60)</f>
        <v>0.2</v>
      </c>
      <c r="BM139" s="380">
        <f>MOD((50000+AD139-$B$3+(0/24)),1)</f>
        <v>0.283556234659045</v>
      </c>
      <c r="BN139" s="381"/>
      <c r="BO139" s="382">
        <v>139</v>
      </c>
    </row>
    <row r="140" spans="1:67" s="24" customFormat="1" ht="15" customHeight="1" x14ac:dyDescent="0.25">
      <c r="A140" s="288" t="s">
        <v>221</v>
      </c>
      <c r="B140" s="241" t="str">
        <f>HYPERLINK(CONCATENATE($AT$3,BK140,$AU$3),$AV$3)</f>
        <v>S</v>
      </c>
      <c r="C140" s="242" t="str">
        <f>HYPERLINK(CONCATENATE($AT$4,BK140,$AU$4,BL140),$AV$4)</f>
        <v>A</v>
      </c>
      <c r="D140" s="243" t="s">
        <v>5638</v>
      </c>
      <c r="E140" s="244" t="s">
        <v>3259</v>
      </c>
      <c r="F140" s="269"/>
      <c r="G140" s="273">
        <v>2</v>
      </c>
      <c r="H140" s="283">
        <v>90</v>
      </c>
      <c r="I140" s="246">
        <v>50</v>
      </c>
      <c r="J140" s="246">
        <v>2</v>
      </c>
      <c r="K140" s="247" t="s">
        <v>3808</v>
      </c>
      <c r="L140" s="248">
        <v>112424</v>
      </c>
      <c r="M140" s="249">
        <f>15*(LEFT(TEXT($L140,"000000"),2)+(MID(TEXT($L140,"000000"),3,2)/60)+(RIGHT(TEXT($L140,"000000"),2)/3600))</f>
        <v>171.1</v>
      </c>
      <c r="N140" s="250">
        <v>31900</v>
      </c>
      <c r="O140" s="251">
        <f>IF($N140&gt;0,(LEFT(TEXT($N140,"000000"),2)+(MID(TEXT($N140,"000000"),3,2)/60)+(RIGHT(TEXT($N140,"000000"),2)/3600)),-(MID(TEXT($N140,"000000"),2,2)+(MID(TEXT($N140,"000000"),4,2)/60)+(RIGHT(TEXT($N140,"000000"),2)/3600)))</f>
        <v>3.3166666666666664</v>
      </c>
      <c r="P140" s="252" t="s">
        <v>183</v>
      </c>
      <c r="Q140" s="253"/>
      <c r="R140" s="247" t="s">
        <v>3559</v>
      </c>
      <c r="S140" s="272" t="s">
        <v>3293</v>
      </c>
      <c r="T140" s="273">
        <v>13.2</v>
      </c>
      <c r="U140" s="289">
        <v>22.990000000000002</v>
      </c>
      <c r="V140" s="280">
        <v>40</v>
      </c>
      <c r="W140" s="244"/>
      <c r="X140" s="244"/>
      <c r="Y140" s="362"/>
      <c r="Z140" s="257">
        <f>altaz(J2000_Bas,$O140,$M140,DecLat,DecLong,1)</f>
        <v>-19.301068327907888</v>
      </c>
      <c r="AA140" s="257">
        <f>altaz((J2000_Bas+(2*0.04167)),$O140,$M140,DecLat,DecLong,1)</f>
        <v>-42.149478510454685</v>
      </c>
      <c r="AB140" s="257">
        <f>altaz((J2000_Bas+(4*0.04167)),$O140,$M140,DecLat,DecLong,1)</f>
        <v>-55.363121295000184</v>
      </c>
      <c r="AC140" s="257">
        <f>altaz((J2000_Bas+(6*0.04167)),$O140,$M140,DecLat,DecLong,1)</f>
        <v>-48.139328052444334</v>
      </c>
      <c r="AD140" s="258">
        <f>1+ transit((J2000_Bas-1),$O140,$M140,DecLat,DecLong)/360 + (GMTOffset/24) + (IF(DST="Y", 1, 0)/24)</f>
        <v>1.468177690879708</v>
      </c>
      <c r="AE140" s="259">
        <f>DATE(2001,9,21)+(M140/360)*365 - (360*((DecLong/360)- (GMTOffset/24) ))</f>
        <v>37333.476388888892</v>
      </c>
      <c r="AF140" s="260">
        <f>IF(DecLat&gt;0,IF((90 - (DecLat-O140))&gt;90, (90 - (O140-DecLat)), (90 - (DecLat-O140))),IF((90 + (DecLat-O140))&gt;90, (90 + (O140-DecLat)), (90 + (DecLat-O140))))</f>
        <v>62.316666666666663</v>
      </c>
      <c r="AG140" s="257">
        <f>angularseperation(MoonRA,MoonDec,$M140,$O140)</f>
        <v>81.007399850331453</v>
      </c>
      <c r="AH140" s="261">
        <f ca="1">MIN(100,IF($O$5&gt;80,0+30*($AG140/100),IF($O$5&gt;70,0+50*($AG140/100),IF($O$5&gt;60,5+50*($AG140/100),IF($O$5&gt;50,10+60*($AG140/100),IF($O$5&gt;40,15+70*($AG140/100),IF($O$5&gt;30,20+70*($AG140/100),IF($O$5&gt;20,40+55*($AG140/100),(80+(20-$O$5)+30*($AG140/100))))))))))</f>
        <v>100</v>
      </c>
      <c r="AI140" s="262">
        <v>3664</v>
      </c>
      <c r="AJ140" s="262"/>
      <c r="AK140" s="262"/>
      <c r="AL140" s="263"/>
      <c r="AM140" s="264"/>
      <c r="AN140" s="263">
        <v>5</v>
      </c>
      <c r="AO140" s="263"/>
      <c r="AP140" s="265"/>
      <c r="AQ140" s="266">
        <v>6419</v>
      </c>
      <c r="AR140" s="267">
        <v>35041</v>
      </c>
      <c r="AS140" s="263"/>
      <c r="AT140" s="263"/>
      <c r="AU140" s="263"/>
      <c r="AV140" s="264"/>
      <c r="AW140" s="263"/>
      <c r="AX140" s="263"/>
      <c r="AY140" s="263"/>
      <c r="AZ140" s="263"/>
      <c r="BA140" s="263"/>
      <c r="BB140" s="263"/>
      <c r="BC140" s="263"/>
      <c r="BD140" s="264"/>
      <c r="BE140" s="263"/>
      <c r="BF140" s="263"/>
      <c r="BG140" s="263"/>
      <c r="BH140" s="263"/>
      <c r="BI140" s="263"/>
      <c r="BJ140" s="404">
        <f>altaz(J2000_Bas,$O140,$M140,DecLat,DecLong,2)</f>
        <v>286.37634460173319</v>
      </c>
      <c r="BK140" s="378" t="s">
        <v>221</v>
      </c>
      <c r="BL140" s="379">
        <f>IF((2*G140)/60&lt;0.2,0.2,(2*G140)/60)</f>
        <v>0.2</v>
      </c>
      <c r="BM140" s="380">
        <f>MOD((50000+AD140-$B$3+(0/24)),1)</f>
        <v>0.68354462058050558</v>
      </c>
      <c r="BN140" s="381" t="s">
        <v>9221</v>
      </c>
      <c r="BO140" s="382">
        <v>140</v>
      </c>
    </row>
    <row r="141" spans="1:67" s="24" customFormat="1" ht="15" customHeight="1" x14ac:dyDescent="0.25">
      <c r="A141" s="288" t="s">
        <v>222</v>
      </c>
      <c r="B141" s="241" t="str">
        <f>HYPERLINK(CONCATENATE($AT$3,BK141,$AU$3),$AV$3)</f>
        <v>S</v>
      </c>
      <c r="C141" s="242" t="str">
        <f>HYPERLINK(CONCATENATE($AT$4,BK141,$AU$4,BL141),$AV$4)</f>
        <v>A</v>
      </c>
      <c r="D141" s="243" t="s">
        <v>5638</v>
      </c>
      <c r="E141" s="244" t="s">
        <v>29</v>
      </c>
      <c r="F141" s="269"/>
      <c r="G141" s="273">
        <v>1</v>
      </c>
      <c r="H141" s="283">
        <v>22</v>
      </c>
      <c r="I141" s="279">
        <v>7</v>
      </c>
      <c r="J141" s="246">
        <v>3</v>
      </c>
      <c r="K141" s="247" t="s">
        <v>3809</v>
      </c>
      <c r="L141" s="248">
        <v>81315</v>
      </c>
      <c r="M141" s="249">
        <f>15*(LEFT(TEXT($L141,"000000"),2)+(MID(TEXT($L141,"000000"),3,2)/60)+(RIGHT(TEXT($L141,"000000"),2)/3600))</f>
        <v>123.3125</v>
      </c>
      <c r="N141" s="250">
        <v>455930</v>
      </c>
      <c r="O141" s="251">
        <f>IF($N141&gt;0,(LEFT(TEXT($N141,"000000"),2)+(MID(TEXT($N141,"000000"),3,2)/60)+(RIGHT(TEXT($N141,"000000"),2)/3600)),-(MID(TEXT($N141,"000000"),2,2)+(MID(TEXT($N141,"000000"),4,2)/60)+(RIGHT(TEXT($N141,"000000"),2)/3600)))</f>
        <v>45.991666666666667</v>
      </c>
      <c r="P141" s="252" t="s">
        <v>82</v>
      </c>
      <c r="Q141" s="253" t="s">
        <v>6856</v>
      </c>
      <c r="R141" s="247" t="s">
        <v>3508</v>
      </c>
      <c r="S141" s="272" t="s">
        <v>3293</v>
      </c>
      <c r="T141" s="273">
        <v>11.7</v>
      </c>
      <c r="U141" s="289">
        <v>21.490000000000002</v>
      </c>
      <c r="V141" s="280">
        <v>35</v>
      </c>
      <c r="W141" s="244"/>
      <c r="X141" s="244"/>
      <c r="Y141" s="362"/>
      <c r="Z141" s="257">
        <f>altaz(J2000_Bas,$O141,$M141,DecLat,DecLong,1)</f>
        <v>-11.427103308103604</v>
      </c>
      <c r="AA141" s="257">
        <f>altaz((J2000_Bas+(2*0.04167)),$O141,$M141,DecLat,DecLong,1)</f>
        <v>-12.14296826738931</v>
      </c>
      <c r="AB141" s="257">
        <f>altaz((J2000_Bas+(4*0.04167)),$O141,$M141,DecLat,DecLong,1)</f>
        <v>-3.7901869388223619</v>
      </c>
      <c r="AC141" s="257">
        <f>altaz((J2000_Bas+(6*0.04167)),$O141,$M141,DecLat,DecLong,1)</f>
        <v>11.289172750534737</v>
      </c>
      <c r="AD141" s="258">
        <f>1+ transit((J2000_Bas-1),$O141,$M141,DecLat,DecLong)/360 + (GMTOffset/24) + (IF(DST="Y", 1, 0)/24)</f>
        <v>1.3354346485984581</v>
      </c>
      <c r="AE141" s="259">
        <f>DATE(2001,9,21)+(M141/360)*365 - (360*((DecLong/360)- (GMTOffset/24) ))</f>
        <v>37285.025173611109</v>
      </c>
      <c r="AF141" s="260">
        <f>IF(DecLat&gt;0,IF((90 - (DecLat-O141))&gt;90, (90 - (O141-DecLat)), (90 - (DecLat-O141))),IF((90 + (DecLat-O141))&gt;90, (90 + (O141-DecLat)), (90 + (DecLat-O141))))</f>
        <v>75.008333333333326</v>
      </c>
      <c r="AG141" s="257">
        <f>angularseperation(MoonRA,MoonDec,$M141,$O141)</f>
        <v>133.66495590852239</v>
      </c>
      <c r="AH141" s="261">
        <f ca="1">MIN(100,IF($O$5&gt;80,0+30*($AG141/100),IF($O$5&gt;70,0+50*($AG141/100),IF($O$5&gt;60,5+50*($AG141/100),IF($O$5&gt;50,10+60*($AG141/100),IF($O$5&gt;40,15+70*($AG141/100),IF($O$5&gt;30,20+70*($AG141/100),IF($O$5&gt;20,40+55*($AG141/100),(80+(20-$O$5)+30*($AG141/100))))))))))</f>
        <v>100</v>
      </c>
      <c r="AI141" s="262">
        <v>2537</v>
      </c>
      <c r="AJ141" s="262"/>
      <c r="AK141" s="262"/>
      <c r="AL141" s="263"/>
      <c r="AM141" s="264"/>
      <c r="AN141" s="263">
        <v>6</v>
      </c>
      <c r="AO141" s="263"/>
      <c r="AP141" s="265"/>
      <c r="AQ141" s="266">
        <v>4274</v>
      </c>
      <c r="AR141" s="267">
        <v>23040</v>
      </c>
      <c r="AS141" s="263"/>
      <c r="AT141" s="263"/>
      <c r="AU141" s="263"/>
      <c r="AV141" s="264"/>
      <c r="AW141" s="263"/>
      <c r="AX141" s="263"/>
      <c r="AY141" s="263"/>
      <c r="AZ141" s="263"/>
      <c r="BA141" s="263"/>
      <c r="BB141" s="263"/>
      <c r="BC141" s="263"/>
      <c r="BD141" s="264"/>
      <c r="BE141" s="263"/>
      <c r="BF141" s="263"/>
      <c r="BG141" s="263"/>
      <c r="BH141" s="263"/>
      <c r="BI141" s="263"/>
      <c r="BJ141" s="404">
        <f>altaz(J2000_Bas,$O141,$M141,DecLat,DecLong,2)</f>
        <v>347.82490576866149</v>
      </c>
      <c r="BK141" s="378" t="s">
        <v>222</v>
      </c>
      <c r="BL141" s="379">
        <f>IF((2*G141)/60&lt;0.2,0.2,(2*G141)/60)</f>
        <v>0.2</v>
      </c>
      <c r="BM141" s="380">
        <f>MOD((50000+AD141-$B$3+(0/24)),1)</f>
        <v>0.55080157830525422</v>
      </c>
      <c r="BN141" s="381"/>
      <c r="BO141" s="382">
        <v>141</v>
      </c>
    </row>
    <row r="142" spans="1:67" s="24" customFormat="1" ht="15" customHeight="1" x14ac:dyDescent="0.25">
      <c r="A142" s="288" t="s">
        <v>223</v>
      </c>
      <c r="B142" s="241" t="str">
        <f>HYPERLINK(CONCATENATE($AT$3,BK142,$AU$3),$AV$3)</f>
        <v>S</v>
      </c>
      <c r="C142" s="242" t="str">
        <f>HYPERLINK(CONCATENATE($AT$4,BK142,$AU$4,BL142),$AV$4)</f>
        <v>A</v>
      </c>
      <c r="D142" s="243" t="s">
        <v>5638</v>
      </c>
      <c r="E142" s="244" t="s">
        <v>5192</v>
      </c>
      <c r="F142" s="269" t="s">
        <v>8885</v>
      </c>
      <c r="G142" s="273">
        <v>1.1000000000000001</v>
      </c>
      <c r="H142" s="283">
        <v>240</v>
      </c>
      <c r="I142" s="246">
        <v>80</v>
      </c>
      <c r="J142" s="246">
        <v>1</v>
      </c>
      <c r="K142" s="247" t="s">
        <v>3810</v>
      </c>
      <c r="L142" s="248">
        <v>85017</v>
      </c>
      <c r="M142" s="249">
        <f>15*(LEFT(TEXT($L142,"000000"),2)+(MID(TEXT($L142,"000000"),3,2)/60)+(RIGHT(TEXT($L142,"000000"),2)/3600))</f>
        <v>132.57083333333333</v>
      </c>
      <c r="N142" s="250">
        <v>-163400</v>
      </c>
      <c r="O142" s="251">
        <f>IF($N142&gt;0,(LEFT(TEXT($N142,"000000"),2)+(MID(TEXT($N142,"000000"),3,2)/60)+(RIGHT(TEXT($N142,"000000"),2)/3600)),-(MID(TEXT($N142,"000000"),2,2)+(MID(TEXT($N142,"000000"),4,2)/60)+(RIGHT(TEXT($N142,"000000"),2)/3600)))</f>
        <v>-16.566666666666666</v>
      </c>
      <c r="P142" s="252" t="s">
        <v>103</v>
      </c>
      <c r="Q142" s="253"/>
      <c r="R142" s="247" t="s">
        <v>3293</v>
      </c>
      <c r="S142" s="272" t="s">
        <v>3293</v>
      </c>
      <c r="T142" s="273">
        <v>14.5</v>
      </c>
      <c r="U142" s="274"/>
      <c r="V142" s="280">
        <v>60</v>
      </c>
      <c r="W142" s="244"/>
      <c r="X142" s="244"/>
      <c r="Y142" s="362"/>
      <c r="Z142" s="257">
        <f>altaz(J2000_Bas,$O142,$M142,DecLat,DecLong,1)</f>
        <v>-61.845815129159092</v>
      </c>
      <c r="AA142" s="257">
        <f>altaz((J2000_Bas+(2*0.04167)),$O142,$M142,DecLat,DecLong,1)</f>
        <v>-75.215298017626239</v>
      </c>
      <c r="AB142" s="257">
        <f>altaz((J2000_Bas+(4*0.04167)),$O142,$M142,DecLat,DecLong,1)</f>
        <v>-56.218279081291534</v>
      </c>
      <c r="AC142" s="257">
        <f>altaz((J2000_Bas+(6*0.04167)),$O142,$M142,DecLat,DecLong,1)</f>
        <v>-30.734545009205988</v>
      </c>
      <c r="AD142" s="258">
        <f>1+ transit((J2000_Bas-1),$O142,$M142,DecLat,DecLong)/360 + (GMTOffset/24) + (IF(DST="Y", 1, 0)/24)</f>
        <v>1.3611522386192914</v>
      </c>
      <c r="AE142" s="259">
        <f>DATE(2001,9,21)+(M142/360)*365 - (360*((DecLong/360)- (GMTOffset/24) ))</f>
        <v>37294.412094907406</v>
      </c>
      <c r="AF142" s="260">
        <f>IF(DecLat&gt;0,IF((90 - (DecLat-O142))&gt;90, (90 - (O142-DecLat)), (90 - (DecLat-O142))),IF((90 + (DecLat-O142))&gt;90, (90 + (O142-DecLat)), (90 + (DecLat-O142))))</f>
        <v>42.433333333333337</v>
      </c>
      <c r="AG142" s="257">
        <f>angularseperation(MoonRA,MoonDec,$M142,$O142)</f>
        <v>104.66906007615712</v>
      </c>
      <c r="AH142" s="261">
        <f ca="1">MIN(100,IF($O$5&gt;80,0+30*($AG142/100),IF($O$5&gt;70,0+50*($AG142/100),IF($O$5&gt;60,5+50*($AG142/100),IF($O$5&gt;50,10+60*($AG142/100),IF($O$5&gt;40,15+70*($AG142/100),IF($O$5&gt;30,20+70*($AG142/100),IF($O$5&gt;20,40+55*($AG142/100),(80+(20-$O$5)+30*($AG142/100))))))))))</f>
        <v>100</v>
      </c>
      <c r="AI142" s="262"/>
      <c r="AJ142" s="262"/>
      <c r="AK142" s="262"/>
      <c r="AL142" s="263"/>
      <c r="AM142" s="264"/>
      <c r="AN142" s="263">
        <v>7</v>
      </c>
      <c r="AO142" s="263"/>
      <c r="AP142" s="265"/>
      <c r="AQ142" s="266"/>
      <c r="AR142" s="267">
        <v>24836</v>
      </c>
      <c r="AS142" s="263"/>
      <c r="AT142" s="263"/>
      <c r="AU142" s="263"/>
      <c r="AV142" s="264"/>
      <c r="AW142" s="263"/>
      <c r="AX142" s="263"/>
      <c r="AY142" s="263"/>
      <c r="AZ142" s="263"/>
      <c r="BA142" s="263"/>
      <c r="BB142" s="263"/>
      <c r="BC142" s="263"/>
      <c r="BD142" s="264"/>
      <c r="BE142" s="263"/>
      <c r="BF142" s="263"/>
      <c r="BG142" s="263"/>
      <c r="BH142" s="263"/>
      <c r="BI142" s="263"/>
      <c r="BJ142" s="404">
        <f>altaz(J2000_Bas,$O142,$M142,DecLat,DecLong,2)</f>
        <v>294.69404484944772</v>
      </c>
      <c r="BK142" s="378" t="s">
        <v>223</v>
      </c>
      <c r="BL142" s="379">
        <f>IF((2*G142)/60&lt;0.2,0.2,(2*G142)/60)</f>
        <v>0.2</v>
      </c>
      <c r="BM142" s="380">
        <f>MOD((50000+AD142-$B$3+(0/24)),1)</f>
        <v>0.57651916832401184</v>
      </c>
      <c r="BN142" s="381"/>
      <c r="BO142" s="382">
        <v>142</v>
      </c>
    </row>
    <row r="143" spans="1:67" s="24" customFormat="1" ht="15" customHeight="1" x14ac:dyDescent="0.25">
      <c r="A143" s="288" t="s">
        <v>224</v>
      </c>
      <c r="B143" s="241" t="str">
        <f>HYPERLINK(CONCATENATE($AT$3,BK143,$AU$3),$AV$3)</f>
        <v>S</v>
      </c>
      <c r="C143" s="242" t="str">
        <f>HYPERLINK(CONCATENATE($AT$4,BK143,$AU$4,BL143),$AV$4)</f>
        <v>A</v>
      </c>
      <c r="D143" s="243" t="s">
        <v>5638</v>
      </c>
      <c r="E143" s="244" t="s">
        <v>5192</v>
      </c>
      <c r="F143" s="269" t="s">
        <v>8886</v>
      </c>
      <c r="G143" s="273">
        <v>2</v>
      </c>
      <c r="H143" s="283">
        <v>330</v>
      </c>
      <c r="I143" s="246">
        <v>185</v>
      </c>
      <c r="J143" s="246">
        <v>2</v>
      </c>
      <c r="K143" s="247" t="s">
        <v>3811</v>
      </c>
      <c r="L143" s="248">
        <v>12224</v>
      </c>
      <c r="M143" s="249">
        <f>15*(LEFT(TEXT($L143,"000000"),2)+(MID(TEXT($L143,"000000"),3,2)/60)+(RIGHT(TEXT($L143,"000000"),2)/3600))</f>
        <v>20.599999999999998</v>
      </c>
      <c r="N143" s="250">
        <v>-5231</v>
      </c>
      <c r="O143" s="251">
        <f>IF($N143&gt;0,(LEFT(TEXT($N143,"000000"),2)+(MID(TEXT($N143,"000000"),3,2)/60)+(RIGHT(TEXT($N143,"000000"),2)/3600)),-(MID(TEXT($N143,"000000"),2,2)+(MID(TEXT($N143,"000000"),4,2)/60)+(RIGHT(TEXT($N143,"000000"),2)/3600)))</f>
        <v>-0.87527777777777782</v>
      </c>
      <c r="P143" s="252" t="s">
        <v>75</v>
      </c>
      <c r="Q143" s="253"/>
      <c r="R143" s="247" t="s">
        <v>3462</v>
      </c>
      <c r="S143" s="272" t="s">
        <v>4178</v>
      </c>
      <c r="T143" s="273">
        <v>13</v>
      </c>
      <c r="U143" s="289">
        <v>22.39</v>
      </c>
      <c r="V143" s="280">
        <v>65</v>
      </c>
      <c r="W143" s="244"/>
      <c r="X143" s="244"/>
      <c r="Y143" s="362"/>
      <c r="Z143" s="257">
        <f>altaz(J2000_Bas,$O143,$M143,DecLat,DecLong,1)</f>
        <v>-4.3911124469461331</v>
      </c>
      <c r="AA143" s="257">
        <f>altaz((J2000_Bas+(2*0.04167)),$O143,$M143,DecLat,DecLong,1)</f>
        <v>21.157695770735813</v>
      </c>
      <c r="AB143" s="257">
        <f>altaz((J2000_Bas+(4*0.04167)),$O143,$M143,DecLat,DecLong,1)</f>
        <v>44.352517066795279</v>
      </c>
      <c r="AC143" s="257">
        <f>altaz((J2000_Bas+(6*0.04167)),$O143,$M143,DecLat,DecLong,1)</f>
        <v>57.858605730396796</v>
      </c>
      <c r="AD143" s="258">
        <f>1+ transit((J2000_Bas-1),$O143,$M143,DecLat,DecLong)/360 + (GMTOffset/24) + (IF(DST="Y", 1, 0)/24)</f>
        <v>1.050122177129708</v>
      </c>
      <c r="AE143" s="259">
        <f>DATE(2001,9,21)+(M143/360)*365 - (360*((DecLong/360)- (GMTOffset/24) ))</f>
        <v>37180.886111111111</v>
      </c>
      <c r="AF143" s="260">
        <f>IF(DecLat&gt;0,IF((90 - (DecLat-O143))&gt;90, (90 - (O143-DecLat)), (90 - (DecLat-O143))),IF((90 + (DecLat-O143))&gt;90, (90 + (O143-DecLat)), (90 + (DecLat-O143))))</f>
        <v>58.124722222222218</v>
      </c>
      <c r="AG143" s="257">
        <f>angularseperation(MoonRA,MoonDec,$M143,$O143)</f>
        <v>125.54058536084864</v>
      </c>
      <c r="AH143" s="261">
        <f ca="1">MIN(100,IF($O$5&gt;80,0+30*($AG143/100),IF($O$5&gt;70,0+50*($AG143/100),IF($O$5&gt;60,5+50*($AG143/100),IF($O$5&gt;50,10+60*($AG143/100),IF($O$5&gt;40,15+70*($AG143/100),IF($O$5&gt;30,20+70*($AG143/100),IF($O$5&gt;20,40+55*($AG143/100),(80+(20-$O$5)+30*($AG143/100))))))))))</f>
        <v>100</v>
      </c>
      <c r="AI143" s="262">
        <v>497</v>
      </c>
      <c r="AJ143" s="262"/>
      <c r="AK143" s="262"/>
      <c r="AL143" s="263"/>
      <c r="AM143" s="264"/>
      <c r="AN143" s="263">
        <v>8</v>
      </c>
      <c r="AO143" s="263"/>
      <c r="AP143" s="265"/>
      <c r="AQ143" s="266">
        <v>915</v>
      </c>
      <c r="AR143" s="267">
        <v>4992</v>
      </c>
      <c r="AS143" s="263"/>
      <c r="AT143" s="263"/>
      <c r="AU143" s="263"/>
      <c r="AV143" s="264"/>
      <c r="AW143" s="263"/>
      <c r="AX143" s="263"/>
      <c r="AY143" s="263"/>
      <c r="AZ143" s="263"/>
      <c r="BA143" s="263"/>
      <c r="BB143" s="263"/>
      <c r="BC143" s="263"/>
      <c r="BD143" s="264"/>
      <c r="BE143" s="263"/>
      <c r="BF143" s="263"/>
      <c r="BG143" s="263"/>
      <c r="BH143" s="263"/>
      <c r="BI143" s="263"/>
      <c r="BJ143" s="404">
        <f>altaz(J2000_Bas,$O143,$M143,DecLat,DecLong,2)</f>
        <v>88.380254489865877</v>
      </c>
      <c r="BK143" s="378" t="s">
        <v>224</v>
      </c>
      <c r="BL143" s="379">
        <f>IF((2*G143)/60&lt;0.2,0.2,(2*G143)/60)</f>
        <v>0.2</v>
      </c>
      <c r="BM143" s="380">
        <f>MOD((50000+AD143-$B$3+(0/24)),1)</f>
        <v>0.26548910683050053</v>
      </c>
      <c r="BN143" s="381"/>
      <c r="BO143" s="382">
        <v>143</v>
      </c>
    </row>
    <row r="144" spans="1:67" s="24" customFormat="1" ht="15" customHeight="1" x14ac:dyDescent="0.25">
      <c r="A144" s="288" t="s">
        <v>225</v>
      </c>
      <c r="B144" s="241" t="str">
        <f>HYPERLINK(CONCATENATE($AT$3,BK144,$AU$3),$AV$3)</f>
        <v>S</v>
      </c>
      <c r="C144" s="242" t="str">
        <f>HYPERLINK(CONCATENATE($AT$4,BK144,$AU$4,BL144),$AV$4)</f>
        <v>A</v>
      </c>
      <c r="D144" s="243" t="s">
        <v>5638</v>
      </c>
      <c r="E144" s="244" t="s">
        <v>5192</v>
      </c>
      <c r="F144" s="269" t="s">
        <v>8886</v>
      </c>
      <c r="G144" s="273">
        <v>3</v>
      </c>
      <c r="H144" s="283">
        <v>160</v>
      </c>
      <c r="I144" s="246">
        <v>130</v>
      </c>
      <c r="J144" s="246">
        <v>2</v>
      </c>
      <c r="K144" s="247" t="s">
        <v>3812</v>
      </c>
      <c r="L144" s="248">
        <v>81459</v>
      </c>
      <c r="M144" s="249">
        <f>15*(LEFT(TEXT($L144,"000000"),2)+(MID(TEXT($L144,"000000"),3,2)/60)+(RIGHT(TEXT($L144,"000000"),2)/3600))</f>
        <v>123.74583333333332</v>
      </c>
      <c r="N144" s="250">
        <v>733400</v>
      </c>
      <c r="O144" s="251">
        <f>IF($N144&gt;0,(LEFT(TEXT($N144,"000000"),2)+(MID(TEXT($N144,"000000"),3,2)/60)+(RIGHT(TEXT($N144,"000000"),2)/3600)),-(MID(TEXT($N144,"000000"),2,2)+(MID(TEXT($N144,"000000"),4,2)/60)+(RIGHT(TEXT($N144,"000000"),2)/3600)))</f>
        <v>73.566666666666663</v>
      </c>
      <c r="P144" s="252" t="s">
        <v>226</v>
      </c>
      <c r="Q144" s="253"/>
      <c r="R144" s="247" t="s">
        <v>3506</v>
      </c>
      <c r="S144" s="272" t="s">
        <v>3293</v>
      </c>
      <c r="T144" s="273">
        <v>11.9</v>
      </c>
      <c r="U144" s="289">
        <v>22.490000000000002</v>
      </c>
      <c r="V144" s="280">
        <v>50</v>
      </c>
      <c r="W144" s="244"/>
      <c r="X144" s="244"/>
      <c r="Y144" s="362"/>
      <c r="Z144" s="257">
        <f>altaz(J2000_Bas,$O144,$M144,DecLat,DecLong,1)</f>
        <v>15.250593555906963</v>
      </c>
      <c r="AA144" s="257">
        <f>altaz((J2000_Bas+(2*0.04167)),$O144,$M144,DecLat,DecLong,1)</f>
        <v>14.898644255268577</v>
      </c>
      <c r="AB144" s="257">
        <f>altaz((J2000_Bas+(4*0.04167)),$O144,$M144,DecLat,DecLong,1)</f>
        <v>18.360979701038609</v>
      </c>
      <c r="AC144" s="257">
        <f>altaz((J2000_Bas+(6*0.04167)),$O144,$M144,DecLat,DecLong,1)</f>
        <v>24.905432037373256</v>
      </c>
      <c r="AD144" s="258">
        <f>1+ transit((J2000_Bas-1),$O144,$M144,DecLat,DecLong)/360 + (GMTOffset/24) + (IF(DST="Y", 1, 0)/24)</f>
        <v>1.3366383521817913</v>
      </c>
      <c r="AE144" s="259">
        <f>DATE(2001,9,21)+(M144/360)*365 - (360*((DecLong/360)- (GMTOffset/24) ))</f>
        <v>37285.464525462965</v>
      </c>
      <c r="AF144" s="260">
        <f>IF(DecLat&gt;0,IF((90 - (DecLat-O144))&gt;90, (90 - (O144-DecLat)), (90 - (DecLat-O144))),IF((90 + (DecLat-O144))&gt;90, (90 + (O144-DecLat)), (90 + (DecLat-O144))))</f>
        <v>47.433333333333337</v>
      </c>
      <c r="AG144" s="257">
        <f>angularseperation(MoonRA,MoonDec,$M144,$O144)</f>
        <v>125.6583016013879</v>
      </c>
      <c r="AH144" s="261">
        <f ca="1">MIN(100,IF($O$5&gt;80,0+30*($AG144/100),IF($O$5&gt;70,0+50*($AG144/100),IF($O$5&gt;60,5+50*($AG144/100),IF($O$5&gt;50,10+60*($AG144/100),IF($O$5&gt;40,15+70*($AG144/100),IF($O$5&gt;30,20+70*($AG144/100),IF($O$5&gt;20,40+55*($AG144/100),(80+(20-$O$5)+30*($AG144/100))))))))))</f>
        <v>100</v>
      </c>
      <c r="AI144" s="262">
        <v>2523</v>
      </c>
      <c r="AJ144" s="262"/>
      <c r="AK144" s="262"/>
      <c r="AL144" s="263"/>
      <c r="AM144" s="264"/>
      <c r="AN144" s="263">
        <v>9</v>
      </c>
      <c r="AO144" s="263"/>
      <c r="AP144" s="265"/>
      <c r="AQ144" s="266">
        <v>4271</v>
      </c>
      <c r="AR144" s="267">
        <v>23128</v>
      </c>
      <c r="AS144" s="263"/>
      <c r="AT144" s="263"/>
      <c r="AU144" s="263"/>
      <c r="AV144" s="264"/>
      <c r="AW144" s="263"/>
      <c r="AX144" s="263"/>
      <c r="AY144" s="263"/>
      <c r="AZ144" s="263"/>
      <c r="BA144" s="263"/>
      <c r="BB144" s="263"/>
      <c r="BC144" s="263"/>
      <c r="BD144" s="264"/>
      <c r="BE144" s="263"/>
      <c r="BF144" s="263"/>
      <c r="BG144" s="263"/>
      <c r="BH144" s="263"/>
      <c r="BI144" s="263"/>
      <c r="BJ144" s="404">
        <f>altaz(J2000_Bas,$O144,$M144,DecLat,DecLong,2)</f>
        <v>354.87315909476348</v>
      </c>
      <c r="BK144" s="378" t="s">
        <v>225</v>
      </c>
      <c r="BL144" s="379">
        <f>IF((2*G144)/60&lt;0.2,0.2,(2*G144)/60)</f>
        <v>0.2</v>
      </c>
      <c r="BM144" s="380">
        <f>MOD((50000+AD144-$B$3+(0/24)),1)</f>
        <v>0.55200528188288445</v>
      </c>
      <c r="BN144" s="381"/>
      <c r="BO144" s="382">
        <v>144</v>
      </c>
    </row>
    <row r="145" spans="1:67" s="24" customFormat="1" ht="15" customHeight="1" x14ac:dyDescent="0.25">
      <c r="A145" s="288" t="s">
        <v>227</v>
      </c>
      <c r="B145" s="241" t="str">
        <f>HYPERLINK(CONCATENATE($AT$3,BK145,$AU$3),$AV$3)</f>
        <v>S</v>
      </c>
      <c r="C145" s="242" t="str">
        <f>HYPERLINK(CONCATENATE($AT$4,BK145,$AU$4,BL145),$AV$4)</f>
        <v>A</v>
      </c>
      <c r="D145" s="243" t="s">
        <v>5638</v>
      </c>
      <c r="E145" s="244" t="s">
        <v>8641</v>
      </c>
      <c r="F145" s="269"/>
      <c r="G145" s="273">
        <v>1</v>
      </c>
      <c r="H145" s="283">
        <v>420</v>
      </c>
      <c r="I145" s="246">
        <v>120</v>
      </c>
      <c r="J145" s="246">
        <v>2</v>
      </c>
      <c r="K145" s="247" t="s">
        <v>3813</v>
      </c>
      <c r="L145" s="248">
        <v>21826</v>
      </c>
      <c r="M145" s="249">
        <f>15*(LEFT(TEXT($L145,"000000"),2)+(MID(TEXT($L145,"000000"),3,2)/60)+(RIGHT(TEXT($L145,"000000"),2)/3600))</f>
        <v>34.608333333333327</v>
      </c>
      <c r="N145" s="250">
        <v>53900</v>
      </c>
      <c r="O145" s="251">
        <f>IF($N145&gt;0,(LEFT(TEXT($N145,"000000"),2)+(MID(TEXT($N145,"000000"),3,2)/60)+(RIGHT(TEXT($N145,"000000"),2)/3600)),-(MID(TEXT($N145,"000000"),2,2)+(MID(TEXT($N145,"000000"),4,2)/60)+(RIGHT(TEXT($N145,"000000"),2)/3600)))</f>
        <v>5.65</v>
      </c>
      <c r="P145" s="252" t="s">
        <v>75</v>
      </c>
      <c r="Q145" s="253"/>
      <c r="R145" s="247" t="s">
        <v>3293</v>
      </c>
      <c r="S145" s="272" t="s">
        <v>3293</v>
      </c>
      <c r="T145" s="273">
        <v>13.8</v>
      </c>
      <c r="U145" s="274"/>
      <c r="V145" s="280">
        <v>45</v>
      </c>
      <c r="W145" s="244"/>
      <c r="X145" s="244"/>
      <c r="Y145" s="362"/>
      <c r="Z145" s="257">
        <f>altaz(J2000_Bas,$O145,$M145,DecLat,DecLong,1)</f>
        <v>-12.794070834174835</v>
      </c>
      <c r="AA145" s="257">
        <f>altaz((J2000_Bas+(2*0.04167)),$O145,$M145,DecLat,DecLong,1)</f>
        <v>12.735988472945532</v>
      </c>
      <c r="AB145" s="257">
        <f>altaz((J2000_Bas+(4*0.04167)),$O145,$M145,DecLat,DecLong,1)</f>
        <v>38.070418543717572</v>
      </c>
      <c r="AC145" s="257">
        <f>altaz((J2000_Bas+(6*0.04167)),$O145,$M145,DecLat,DecLong,1)</f>
        <v>59.353124707011801</v>
      </c>
      <c r="AD145" s="258">
        <f>1+ transit((J2000_Bas-1),$O145,$M145,DecLat,DecLong)/360 + (GMTOffset/24) + (IF(DST="Y", 1, 0)/24)</f>
        <v>1.0890342102755413</v>
      </c>
      <c r="AE145" s="259">
        <f>DATE(2001,9,21)+(M145/360)*365 - (360*((DecLong/360)- (GMTOffset/24) ))</f>
        <v>37195.089004629626</v>
      </c>
      <c r="AF145" s="260">
        <f>IF(DecLat&gt;0,IF((90 - (DecLat-O145))&gt;90, (90 - (O145-DecLat)), (90 - (DecLat-O145))),IF((90 + (DecLat-O145))&gt;90, (90 + (O145-DecLat)), (90 + (DecLat-O145))))</f>
        <v>64.650000000000006</v>
      </c>
      <c r="AG145" s="257">
        <f>angularseperation(MoonRA,MoonDec,$M145,$O145)</f>
        <v>140.69997421287101</v>
      </c>
      <c r="AH145" s="261">
        <f ca="1">MIN(100,IF($O$5&gt;80,0+30*($AG145/100),IF($O$5&gt;70,0+50*($AG145/100),IF($O$5&gt;60,5+50*($AG145/100),IF($O$5&gt;50,10+60*($AG145/100),IF($O$5&gt;40,15+70*($AG145/100),IF($O$5&gt;30,20+70*($AG145/100),IF($O$5&gt;20,40+55*($AG145/100),(80+(20-$O$5)+30*($AG145/100))))))))))</f>
        <v>100</v>
      </c>
      <c r="AI145" s="262"/>
      <c r="AJ145" s="262"/>
      <c r="AK145" s="262"/>
      <c r="AL145" s="263"/>
      <c r="AM145" s="264"/>
      <c r="AN145" s="263">
        <v>10</v>
      </c>
      <c r="AO145" s="263"/>
      <c r="AP145" s="265"/>
      <c r="AQ145" s="266">
        <v>1775</v>
      </c>
      <c r="AR145" s="267">
        <v>8802</v>
      </c>
      <c r="AS145" s="263"/>
      <c r="AT145" s="263"/>
      <c r="AU145" s="263"/>
      <c r="AV145" s="264"/>
      <c r="AW145" s="263"/>
      <c r="AX145" s="263"/>
      <c r="AY145" s="263"/>
      <c r="AZ145" s="263"/>
      <c r="BA145" s="263"/>
      <c r="BB145" s="263"/>
      <c r="BC145" s="263"/>
      <c r="BD145" s="264"/>
      <c r="BE145" s="263"/>
      <c r="BF145" s="263"/>
      <c r="BG145" s="263"/>
      <c r="BH145" s="263"/>
      <c r="BI145" s="263"/>
      <c r="BJ145" s="404">
        <f>altaz(J2000_Bas,$O145,$M145,DecLat,DecLong,2)</f>
        <v>75.27217392883766</v>
      </c>
      <c r="BK145" s="378" t="s">
        <v>227</v>
      </c>
      <c r="BL145" s="379">
        <f>IF((2*G145)/60&lt;0.2,0.2,(2*G145)/60)</f>
        <v>0.2</v>
      </c>
      <c r="BM145" s="380">
        <f>MOD((50000+AD145-$B$3+(0/24)),1)</f>
        <v>0.30440113997610752</v>
      </c>
      <c r="BN145" s="381"/>
      <c r="BO145" s="382">
        <v>145</v>
      </c>
    </row>
    <row r="146" spans="1:67" s="24" customFormat="1" ht="15" customHeight="1" x14ac:dyDescent="0.25">
      <c r="A146" s="288" t="s">
        <v>228</v>
      </c>
      <c r="B146" s="241" t="str">
        <f>HYPERLINK(CONCATENATE($AT$3,BK146,$AU$3),$AV$3)</f>
        <v>S</v>
      </c>
      <c r="C146" s="242" t="str">
        <f>HYPERLINK(CONCATENATE($AT$4,BK146,$AU$4,BL146),$AV$4)</f>
        <v>A</v>
      </c>
      <c r="D146" s="243" t="s">
        <v>5638</v>
      </c>
      <c r="E146" s="244" t="s">
        <v>5192</v>
      </c>
      <c r="F146" s="269" t="s">
        <v>8887</v>
      </c>
      <c r="G146" s="273">
        <v>1.5</v>
      </c>
      <c r="H146" s="283">
        <v>440</v>
      </c>
      <c r="I146" s="246">
        <v>200</v>
      </c>
      <c r="J146" s="246">
        <v>2</v>
      </c>
      <c r="K146" s="247" t="s">
        <v>3814</v>
      </c>
      <c r="L146" s="248">
        <v>10923</v>
      </c>
      <c r="M146" s="249">
        <f>15*(LEFT(TEXT($L146,"000000"),2)+(MID(TEXT($L146,"000000"),3,2)/60)+(RIGHT(TEXT($L146,"000000"),2)/3600))</f>
        <v>17.345833333333335</v>
      </c>
      <c r="N146" s="250">
        <v>142000</v>
      </c>
      <c r="O146" s="251">
        <f>IF($N146&gt;0,(LEFT(TEXT($N146,"000000"),2)+(MID(TEXT($N146,"000000"),3,2)/60)+(RIGHT(TEXT($N146,"000000"),2)/3600)),-(MID(TEXT($N146,"000000"),2,2)+(MID(TEXT($N146,"000000"),4,2)/60)+(RIGHT(TEXT($N146,"000000"),2)/3600)))</f>
        <v>14.333333333333334</v>
      </c>
      <c r="P146" s="252" t="s">
        <v>158</v>
      </c>
      <c r="Q146" s="253"/>
      <c r="R146" s="247" t="s">
        <v>3293</v>
      </c>
      <c r="S146" s="272" t="s">
        <v>3293</v>
      </c>
      <c r="T146" s="273">
        <v>14</v>
      </c>
      <c r="U146" s="274"/>
      <c r="V146" s="280">
        <v>60</v>
      </c>
      <c r="W146" s="244"/>
      <c r="X146" s="244"/>
      <c r="Y146" s="362"/>
      <c r="Z146" s="257">
        <f>altaz(J2000_Bas,$O146,$M146,DecLat,DecLong,1)</f>
        <v>6.2021484516693173</v>
      </c>
      <c r="AA146" s="257">
        <f>altaz((J2000_Bas+(2*0.04167)),$O146,$M146,DecLat,DecLong,1)</f>
        <v>31.792749078531827</v>
      </c>
      <c r="AB146" s="257">
        <f>altaz((J2000_Bas+(4*0.04167)),$O146,$M146,DecLat,DecLong,1)</f>
        <v>56.936445578487913</v>
      </c>
      <c r="AC146" s="257">
        <f>altaz((J2000_Bas+(6*0.04167)),$O146,$M146,DecLat,DecLong,1)</f>
        <v>73.303361241309787</v>
      </c>
      <c r="AD146" s="258">
        <f>1+ transit((J2000_Bas-1),$O146,$M146,DecLat,DecLong)/360 + (GMTOffset/24) + (IF(DST="Y", 1, 0)/24)</f>
        <v>1.0410828261817913</v>
      </c>
      <c r="AE146" s="259">
        <f>DATE(2001,9,21)+(M146/360)*365 - (360*((DecLong/360)- (GMTOffset/24) ))</f>
        <v>37177.586747685185</v>
      </c>
      <c r="AF146" s="260">
        <f>IF(DecLat&gt;0,IF((90 - (DecLat-O146))&gt;90, (90 - (O146-DecLat)), (90 - (DecLat-O146))),IF((90 + (DecLat-O146))&gt;90, (90 + (O146-DecLat)), (90 + (DecLat-O146))))</f>
        <v>73.333333333333343</v>
      </c>
      <c r="AG146" s="257">
        <f>angularseperation(MoonRA,MoonDec,$M146,$O146)</f>
        <v>130.16804148580766</v>
      </c>
      <c r="AH146" s="261">
        <f ca="1">MIN(100,IF($O$5&gt;80,0+30*($AG146/100),IF($O$5&gt;70,0+50*($AG146/100),IF($O$5&gt;60,5+50*($AG146/100),IF($O$5&gt;50,10+60*($AG146/100),IF($O$5&gt;40,15+70*($AG146/100),IF($O$5&gt;30,20+70*($AG146/100),IF($O$5&gt;20,40+55*($AG146/100),(80+(20-$O$5)+30*($AG146/100))))))))))</f>
        <v>100</v>
      </c>
      <c r="AI146" s="262"/>
      <c r="AJ146" s="262"/>
      <c r="AK146" s="262"/>
      <c r="AL146" s="263"/>
      <c r="AM146" s="264"/>
      <c r="AN146" s="263">
        <v>11</v>
      </c>
      <c r="AO146" s="263"/>
      <c r="AP146" s="265"/>
      <c r="AQ146" s="266">
        <v>717</v>
      </c>
      <c r="AR146" s="267"/>
      <c r="AS146" s="263"/>
      <c r="AT146" s="263"/>
      <c r="AU146" s="263"/>
      <c r="AV146" s="264"/>
      <c r="AW146" s="263"/>
      <c r="AX146" s="263"/>
      <c r="AY146" s="263"/>
      <c r="AZ146" s="263"/>
      <c r="BA146" s="263"/>
      <c r="BB146" s="263"/>
      <c r="BC146" s="263"/>
      <c r="BD146" s="264"/>
      <c r="BE146" s="263"/>
      <c r="BF146" s="263"/>
      <c r="BG146" s="263"/>
      <c r="BH146" s="263"/>
      <c r="BI146" s="263"/>
      <c r="BJ146" s="404">
        <f>altaz(J2000_Bas,$O146,$M146,DecLat,DecLong,2)</f>
        <v>76.984290471860987</v>
      </c>
      <c r="BK146" s="378" t="s">
        <v>228</v>
      </c>
      <c r="BL146" s="379">
        <f>IF((2*G146)/60&lt;0.2,0.2,(2*G146)/60)</f>
        <v>0.2</v>
      </c>
      <c r="BM146" s="380">
        <f>MOD((50000+AD146-$B$3+(0/24)),1)</f>
        <v>0.25644975588511443</v>
      </c>
      <c r="BN146" s="381"/>
      <c r="BO146" s="382">
        <v>146</v>
      </c>
    </row>
    <row r="147" spans="1:67" s="24" customFormat="1" ht="15" customHeight="1" x14ac:dyDescent="0.25">
      <c r="A147" s="288" t="s">
        <v>229</v>
      </c>
      <c r="B147" s="241" t="str">
        <f>HYPERLINK(CONCATENATE($AT$3,BK147,$AU$3),$AV$3)</f>
        <v>S</v>
      </c>
      <c r="C147" s="242" t="str">
        <f>HYPERLINK(CONCATENATE($AT$4,BK147,$AU$4,BL147),$AV$4)</f>
        <v>A</v>
      </c>
      <c r="D147" s="243" t="s">
        <v>5638</v>
      </c>
      <c r="E147" s="244" t="s">
        <v>5192</v>
      </c>
      <c r="F147" s="269" t="s">
        <v>8888</v>
      </c>
      <c r="G147" s="273">
        <v>2</v>
      </c>
      <c r="H147" s="283">
        <v>65</v>
      </c>
      <c r="I147" s="246">
        <v>40</v>
      </c>
      <c r="J147" s="246">
        <v>2</v>
      </c>
      <c r="K147" s="247" t="s">
        <v>3815</v>
      </c>
      <c r="L147" s="248">
        <v>83517</v>
      </c>
      <c r="M147" s="249">
        <f>15*(LEFT(TEXT($L147,"000000"),2)+(MID(TEXT($L147,"000000"),3,2)/60)+(RIGHT(TEXT($L147,"000000"),2)/3600))</f>
        <v>128.82083333333333</v>
      </c>
      <c r="N147" s="250">
        <v>282800</v>
      </c>
      <c r="O147" s="251">
        <f>IF($N147&gt;0,(LEFT(TEXT($N147,"000000"),2)+(MID(TEXT($N147,"000000"),3,2)/60)+(RIGHT(TEXT($N147,"000000"),2)/3600)),-(MID(TEXT($N147,"000000"),2,2)+(MID(TEXT($N147,"000000"),4,2)/60)+(RIGHT(TEXT($N147,"000000"),2)/3600)))</f>
        <v>28.466666666666665</v>
      </c>
      <c r="P147" s="252" t="s">
        <v>100</v>
      </c>
      <c r="Q147" s="253"/>
      <c r="R147" s="247" t="s">
        <v>3510</v>
      </c>
      <c r="S147" s="272" t="s">
        <v>3293</v>
      </c>
      <c r="T147" s="273">
        <v>12.3</v>
      </c>
      <c r="U147" s="289">
        <v>22.490000000000002</v>
      </c>
      <c r="V147" s="280">
        <v>55</v>
      </c>
      <c r="W147" s="244"/>
      <c r="X147" s="244"/>
      <c r="Y147" s="362"/>
      <c r="Z147" s="257">
        <f>altaz(J2000_Bas,$O147,$M147,DecLat,DecLong,1)</f>
        <v>-26.683915255562841</v>
      </c>
      <c r="AA147" s="257">
        <f>altaz((J2000_Bas+(2*0.04167)),$O147,$M147,DecLat,DecLong,1)</f>
        <v>-30.131604949946805</v>
      </c>
      <c r="AB147" s="257">
        <f>altaz((J2000_Bas+(4*0.04167)),$O147,$M147,DecLat,DecLong,1)</f>
        <v>-20.70256435835292</v>
      </c>
      <c r="AC147" s="257">
        <f>altaz((J2000_Bas+(6*0.04167)),$O147,$M147,DecLat,DecLong,1)</f>
        <v>-2.5021424242606978</v>
      </c>
      <c r="AD147" s="258">
        <f>1+ transit((J2000_Bas-1),$O147,$M147,DecLat,DecLong)/360 + (GMTOffset/24) + (IF(DST="Y", 1, 0)/24)</f>
        <v>1.3507355729942911</v>
      </c>
      <c r="AE147" s="259">
        <f>DATE(2001,9,21)+(M147/360)*365 - (360*((DecLong/360)- (GMTOffset/24) ))</f>
        <v>37290.610011574077</v>
      </c>
      <c r="AF147" s="260">
        <f>IF(DecLat&gt;0,IF((90 - (DecLat-O147))&gt;90, (90 - (O147-DecLat)), (90 - (DecLat-O147))),IF((90 + (DecLat-O147))&gt;90, (90 + (O147-DecLat)), (90 + (DecLat-O147))))</f>
        <v>87.466666666666669</v>
      </c>
      <c r="AG147" s="257">
        <f>angularseperation(MoonRA,MoonDec,$M147,$O147)</f>
        <v>127.83093594595317</v>
      </c>
      <c r="AH147" s="261">
        <f ca="1">MIN(100,IF($O$5&gt;80,0+30*($AG147/100),IF($O$5&gt;70,0+50*($AG147/100),IF($O$5&gt;60,5+50*($AG147/100),IF($O$5&gt;50,10+60*($AG147/100),IF($O$5&gt;40,15+70*($AG147/100),IF($O$5&gt;30,20+70*($AG147/100),IF($O$5&gt;20,40+55*($AG147/100),(80+(20-$O$5)+30*($AG147/100))))))))))</f>
        <v>100</v>
      </c>
      <c r="AI147" s="262">
        <v>2608</v>
      </c>
      <c r="AJ147" s="262"/>
      <c r="AK147" s="262"/>
      <c r="AL147" s="263"/>
      <c r="AM147" s="264"/>
      <c r="AN147" s="263">
        <v>12</v>
      </c>
      <c r="AO147" s="263"/>
      <c r="AP147" s="265"/>
      <c r="AQ147" s="266">
        <v>4484</v>
      </c>
      <c r="AR147" s="267">
        <v>24111</v>
      </c>
      <c r="AS147" s="263"/>
      <c r="AT147" s="263"/>
      <c r="AU147" s="263"/>
      <c r="AV147" s="264"/>
      <c r="AW147" s="263"/>
      <c r="AX147" s="263"/>
      <c r="AY147" s="263"/>
      <c r="AZ147" s="263"/>
      <c r="BA147" s="263"/>
      <c r="BB147" s="263"/>
      <c r="BC147" s="263"/>
      <c r="BD147" s="264"/>
      <c r="BE147" s="263"/>
      <c r="BF147" s="263"/>
      <c r="BG147" s="263"/>
      <c r="BH147" s="263"/>
      <c r="BI147" s="263"/>
      <c r="BJ147" s="404">
        <f>altaz(J2000_Bas,$O147,$M147,DecLat,DecLong,2)</f>
        <v>337.56983138450539</v>
      </c>
      <c r="BK147" s="378" t="s">
        <v>229</v>
      </c>
      <c r="BL147" s="379">
        <f>IF((2*G147)/60&lt;0.2,0.2,(2*G147)/60)</f>
        <v>0.2</v>
      </c>
      <c r="BM147" s="380">
        <f>MOD((50000+AD147-$B$3+(0/24)),1)</f>
        <v>0.56610250270023244</v>
      </c>
      <c r="BN147" s="381" t="s">
        <v>9221</v>
      </c>
      <c r="BO147" s="382">
        <v>147</v>
      </c>
    </row>
    <row r="148" spans="1:67" s="24" customFormat="1" ht="15" customHeight="1" x14ac:dyDescent="0.25">
      <c r="A148" s="288" t="s">
        <v>230</v>
      </c>
      <c r="B148" s="241" t="str">
        <f>HYPERLINK(CONCATENATE($AT$3,BK148,$AU$3),$AV$3)</f>
        <v>S</v>
      </c>
      <c r="C148" s="242" t="str">
        <f>HYPERLINK(CONCATENATE($AT$4,BK148,$AU$4,BL148),$AV$4)</f>
        <v>A</v>
      </c>
      <c r="D148" s="243" t="s">
        <v>5638</v>
      </c>
      <c r="E148" s="244" t="s">
        <v>5192</v>
      </c>
      <c r="F148" s="269" t="s">
        <v>8886</v>
      </c>
      <c r="G148" s="273">
        <v>2</v>
      </c>
      <c r="H148" s="283">
        <v>90</v>
      </c>
      <c r="I148" s="246">
        <v>50</v>
      </c>
      <c r="J148" s="246">
        <v>2</v>
      </c>
      <c r="K148" s="247" t="s">
        <v>8454</v>
      </c>
      <c r="L148" s="248">
        <v>230002</v>
      </c>
      <c r="M148" s="249">
        <f>15*(LEFT(TEXT($L148,"000000"),2)+(MID(TEXT($L148,"000000"),3,2)/60)+(RIGHT(TEXT($L148,"000000"),2)/3600))</f>
        <v>345.00833333333333</v>
      </c>
      <c r="N148" s="250">
        <v>155900</v>
      </c>
      <c r="O148" s="251">
        <f>IF($N148&gt;0,(LEFT(TEXT($N148,"000000"),2)+(MID(TEXT($N148,"000000"),3,2)/60)+(RIGHT(TEXT($N148,"000000"),2)/3600)),-(MID(TEXT($N148,"000000"),2,2)+(MID(TEXT($N148,"000000"),4,2)/60)+(RIGHT(TEXT($N148,"000000"),2)/3600)))</f>
        <v>15.983333333333333</v>
      </c>
      <c r="P148" s="252" t="s">
        <v>39</v>
      </c>
      <c r="Q148" s="253"/>
      <c r="R148" s="247" t="s">
        <v>3694</v>
      </c>
      <c r="S148" s="272" t="s">
        <v>3293</v>
      </c>
      <c r="T148" s="273">
        <v>11.7</v>
      </c>
      <c r="U148" s="289">
        <v>21.79</v>
      </c>
      <c r="V148" s="280">
        <v>65</v>
      </c>
      <c r="W148" s="244"/>
      <c r="X148" s="244"/>
      <c r="Y148" s="362"/>
      <c r="Z148" s="257">
        <f>altaz(J2000_Bas,$O148,$M148,DecLat,DecLong,1)</f>
        <v>34.482645767423485</v>
      </c>
      <c r="AA148" s="257">
        <f>altaz((J2000_Bas+(2*0.04167)),$O148,$M148,DecLat,DecLong,1)</f>
        <v>59.66444434878067</v>
      </c>
      <c r="AB148" s="257">
        <f>altaz((J2000_Bas+(4*0.04167)),$O148,$M148,DecLat,DecLong,1)</f>
        <v>74.945816777017484</v>
      </c>
      <c r="AC148" s="257">
        <f>altaz((J2000_Bas+(6*0.04167)),$O148,$M148,DecLat,DecLong,1)</f>
        <v>57.812445256839965</v>
      </c>
      <c r="AD148" s="258">
        <f>1+ transit((J2000_Bas-1),$O148,$M148,DecLat,DecLong)/360 + (GMTOffset/24) + (IF(DST="Y", 1, 0)/24)</f>
        <v>1.9512563462755412</v>
      </c>
      <c r="AE148" s="259">
        <f>DATE(2001,9,21)+(M148/360)*365 - (360*((DecLong/360)- (GMTOffset/24) ))</f>
        <v>37509.800115740742</v>
      </c>
      <c r="AF148" s="260">
        <f>IF(DecLat&gt;0,IF((90 - (DecLat-O148))&gt;90, (90 - (O148-DecLat)), (90 - (DecLat-O148))),IF((90 + (DecLat-O148))&gt;90, (90 + (O148-DecLat)), (90 + (DecLat-O148))))</f>
        <v>74.983333333333334</v>
      </c>
      <c r="AG148" s="257">
        <f>angularseperation(MoonRA,MoonDec,$M148,$O148)</f>
        <v>102.2024635688426</v>
      </c>
      <c r="AH148" s="261">
        <f ca="1">MIN(100,IF($O$5&gt;80,0+30*($AG148/100),IF($O$5&gt;70,0+50*($AG148/100),IF($O$5&gt;60,5+50*($AG148/100),IF($O$5&gt;50,10+60*($AG148/100),IF($O$5&gt;40,15+70*($AG148/100),IF($O$5&gt;30,20+70*($AG148/100),IF($O$5&gt;20,40+55*($AG148/100),(80+(20-$O$5)+30*($AG148/100))))))))))</f>
        <v>100</v>
      </c>
      <c r="AI148" s="262">
        <v>7448</v>
      </c>
      <c r="AJ148" s="262"/>
      <c r="AK148" s="262">
        <v>390</v>
      </c>
      <c r="AL148" s="263"/>
      <c r="AM148" s="264"/>
      <c r="AN148" s="263">
        <v>13</v>
      </c>
      <c r="AO148" s="263"/>
      <c r="AP148" s="265"/>
      <c r="AQ148" s="266">
        <v>12294</v>
      </c>
      <c r="AR148" s="267">
        <v>70213</v>
      </c>
      <c r="AS148" s="263"/>
      <c r="AT148" s="263"/>
      <c r="AU148" s="263"/>
      <c r="AV148" s="264"/>
      <c r="AW148" s="263"/>
      <c r="AX148" s="263"/>
      <c r="AY148" s="263"/>
      <c r="AZ148" s="263"/>
      <c r="BA148" s="263"/>
      <c r="BB148" s="263"/>
      <c r="BC148" s="263"/>
      <c r="BD148" s="264"/>
      <c r="BE148" s="263"/>
      <c r="BF148" s="263"/>
      <c r="BG148" s="263"/>
      <c r="BH148" s="263"/>
      <c r="BI148" s="263"/>
      <c r="BJ148" s="404">
        <f>altaz(J2000_Bas,$O148,$M148,DecLat,DecLong,2)</f>
        <v>91.316586717655895</v>
      </c>
      <c r="BK148" s="378" t="s">
        <v>230</v>
      </c>
      <c r="BL148" s="379">
        <f>IF((2*G148)/60&lt;0.2,0.2,(2*G148)/60)</f>
        <v>0.2</v>
      </c>
      <c r="BM148" s="380">
        <f>MOD((50000+AD148-$B$3+(0/24)),1)</f>
        <v>0.16662327598169213</v>
      </c>
      <c r="BN148" s="381"/>
      <c r="BO148" s="382">
        <v>148</v>
      </c>
    </row>
    <row r="149" spans="1:67" s="24" customFormat="1" ht="15" customHeight="1" x14ac:dyDescent="0.25">
      <c r="A149" s="288" t="s">
        <v>231</v>
      </c>
      <c r="B149" s="241" t="str">
        <f>HYPERLINK(CONCATENATE($AT$3,BK149,$AU$3),$AV$3)</f>
        <v>S</v>
      </c>
      <c r="C149" s="242" t="str">
        <f>HYPERLINK(CONCATENATE($AT$4,BK149,$AU$4,BL149),$AV$4)</f>
        <v>A</v>
      </c>
      <c r="D149" s="243" t="s">
        <v>5638</v>
      </c>
      <c r="E149" s="244" t="s">
        <v>4292</v>
      </c>
      <c r="F149" s="269"/>
      <c r="G149" s="273">
        <v>4</v>
      </c>
      <c r="H149" s="283">
        <v>50</v>
      </c>
      <c r="I149" s="246">
        <v>60</v>
      </c>
      <c r="J149" s="246">
        <v>2</v>
      </c>
      <c r="K149" s="247" t="s">
        <v>3816</v>
      </c>
      <c r="L149" s="248">
        <v>223545</v>
      </c>
      <c r="M149" s="249">
        <f>15*(LEFT(TEXT($L149,"000000"),2)+(MID(TEXT($L149,"000000"),3,2)/60)+(RIGHT(TEXT($L149,"000000"),2)/3600))</f>
        <v>338.9375</v>
      </c>
      <c r="N149" s="250">
        <v>-260300</v>
      </c>
      <c r="O149" s="251">
        <f>IF($N149&gt;0,(LEFT(TEXT($N149,"000000"),2)+(MID(TEXT($N149,"000000"),3,2)/60)+(RIGHT(TEXT($N149,"000000"),2)/3600)),-(MID(TEXT($N149,"000000"),2,2)+(MID(TEXT($N149,"000000"),4,2)/60)+(RIGHT(TEXT($N149,"000000"),2)/3600)))</f>
        <v>-26.05</v>
      </c>
      <c r="P149" s="252" t="s">
        <v>232</v>
      </c>
      <c r="Q149" s="253"/>
      <c r="R149" s="247" t="s">
        <v>3692</v>
      </c>
      <c r="S149" s="272" t="s">
        <v>3293</v>
      </c>
      <c r="T149" s="273">
        <v>13</v>
      </c>
      <c r="U149" s="289">
        <v>22.19</v>
      </c>
      <c r="V149" s="280">
        <v>70</v>
      </c>
      <c r="W149" s="244"/>
      <c r="X149" s="244"/>
      <c r="Y149" s="362"/>
      <c r="Z149" s="257">
        <f>altaz(J2000_Bas,$O149,$M149,DecLat,DecLong,1)</f>
        <v>13.766640734807657</v>
      </c>
      <c r="AA149" s="257">
        <f>altaz((J2000_Bas+(2*0.04167)),$O149,$M149,DecLat,DecLong,1)</f>
        <v>28.912426024586487</v>
      </c>
      <c r="AB149" s="257">
        <f>altaz((J2000_Bas+(4*0.04167)),$O149,$M149,DecLat,DecLong,1)</f>
        <v>32.532423706379895</v>
      </c>
      <c r="AC149" s="257">
        <f>altaz((J2000_Bas+(6*0.04167)),$O149,$M149,DecLat,DecLong,1)</f>
        <v>22.721399639912761</v>
      </c>
      <c r="AD149" s="258">
        <f>1+ transit((J2000_Bas-1),$O149,$M149,DecLat,DecLong)/360 + (GMTOffset/24) + (IF(DST="Y", 1, 0)/24)</f>
        <v>1.9343929220359579</v>
      </c>
      <c r="AE149" s="259">
        <f>DATE(2001,9,21)+(M149/360)*365 - (360*((DecLong/360)- (GMTOffset/24) ))</f>
        <v>37503.644965277781</v>
      </c>
      <c r="AF149" s="260">
        <f>IF(DecLat&gt;0,IF((90 - (DecLat-O149))&gt;90, (90 - (O149-DecLat)), (90 - (DecLat-O149))),IF((90 + (DecLat-O149))&gt;90, (90 + (O149-DecLat)), (90 + (DecLat-O149))))</f>
        <v>32.950000000000003</v>
      </c>
      <c r="AG149" s="257">
        <f>angularseperation(MoonRA,MoonDec,$M149,$O149)</f>
        <v>78.217549157745012</v>
      </c>
      <c r="AH149" s="261">
        <f ca="1">MIN(100,IF($O$5&gt;80,0+30*($AG149/100),IF($O$5&gt;70,0+50*($AG149/100),IF($O$5&gt;60,5+50*($AG149/100),IF($O$5&gt;50,10+60*($AG149/100),IF($O$5&gt;40,15+70*($AG149/100),IF($O$5&gt;30,20+70*($AG149/100),IF($O$5&gt;20,40+55*($AG149/100),(80+(20-$O$5)+30*($AG149/100))))))))))</f>
        <v>100</v>
      </c>
      <c r="AI149" s="262">
        <v>7314</v>
      </c>
      <c r="AJ149" s="262"/>
      <c r="AK149" s="262"/>
      <c r="AL149" s="263"/>
      <c r="AM149" s="264"/>
      <c r="AN149" s="263">
        <v>14</v>
      </c>
      <c r="AO149" s="263"/>
      <c r="AP149" s="265"/>
      <c r="AQ149" s="266"/>
      <c r="AR149" s="267">
        <v>69253</v>
      </c>
      <c r="AS149" s="263"/>
      <c r="AT149" s="263"/>
      <c r="AU149" s="263"/>
      <c r="AV149" s="264"/>
      <c r="AW149" s="263"/>
      <c r="AX149" s="263"/>
      <c r="AY149" s="263"/>
      <c r="AZ149" s="263"/>
      <c r="BA149" s="263"/>
      <c r="BB149" s="263"/>
      <c r="BC149" s="263"/>
      <c r="BD149" s="264"/>
      <c r="BE149" s="263"/>
      <c r="BF149" s="263"/>
      <c r="BG149" s="263"/>
      <c r="BH149" s="263"/>
      <c r="BI149" s="263"/>
      <c r="BJ149" s="404">
        <f>altaz(J2000_Bas,$O149,$M149,DecLat,DecLong,2)</f>
        <v>132.43093575723566</v>
      </c>
      <c r="BK149" s="378" t="s">
        <v>231</v>
      </c>
      <c r="BL149" s="379">
        <f>IF((2*G149)/60&lt;0.2,0.2,(2*G149)/60)</f>
        <v>0.2</v>
      </c>
      <c r="BM149" s="380">
        <f>MOD((50000+AD149-$B$3+(0/24)),1)</f>
        <v>0.14975985173805384</v>
      </c>
      <c r="BN149" s="381"/>
      <c r="BO149" s="382">
        <v>149</v>
      </c>
    </row>
    <row r="150" spans="1:67" s="24" customFormat="1" ht="15" customHeight="1" x14ac:dyDescent="0.25">
      <c r="A150" s="288" t="s">
        <v>233</v>
      </c>
      <c r="B150" s="241" t="str">
        <f>HYPERLINK(CONCATENATE($AT$3,BK150,$AU$3),$AV$3)</f>
        <v>S</v>
      </c>
      <c r="C150" s="242" t="str">
        <f>HYPERLINK(CONCATENATE($AT$4,BK150,$AU$4,BL150),$AV$4)</f>
        <v>A</v>
      </c>
      <c r="D150" s="243" t="s">
        <v>5638</v>
      </c>
      <c r="E150" s="244" t="s">
        <v>5192</v>
      </c>
      <c r="F150" s="269" t="s">
        <v>8889</v>
      </c>
      <c r="G150" s="273">
        <v>1.8</v>
      </c>
      <c r="H150" s="283">
        <v>120</v>
      </c>
      <c r="I150" s="246">
        <v>65</v>
      </c>
      <c r="J150" s="246">
        <v>2</v>
      </c>
      <c r="K150" s="247" t="s">
        <v>3817</v>
      </c>
      <c r="L150" s="248">
        <v>225139</v>
      </c>
      <c r="M150" s="249">
        <f>15*(LEFT(TEXT($L150,"000000"),2)+(MID(TEXT($L150,"000000"),3,2)/60)+(RIGHT(TEXT($L150,"000000"),2)/3600))</f>
        <v>342.91250000000002</v>
      </c>
      <c r="N150" s="250">
        <v>-53300</v>
      </c>
      <c r="O150" s="251">
        <f>IF($N150&gt;0,(LEFT(TEXT($N150,"000000"),2)+(MID(TEXT($N150,"000000"),3,2)/60)+(RIGHT(TEXT($N150,"000000"),2)/3600)),-(MID(TEXT($N150,"000000"),2,2)+(MID(TEXT($N150,"000000"),4,2)/60)+(RIGHT(TEXT($N150,"000000"),2)/3600)))</f>
        <v>-5.55</v>
      </c>
      <c r="P150" s="252" t="s">
        <v>3119</v>
      </c>
      <c r="Q150" s="253"/>
      <c r="R150" s="247" t="s">
        <v>3693</v>
      </c>
      <c r="S150" s="272" t="s">
        <v>3293</v>
      </c>
      <c r="T150" s="273">
        <v>12.9</v>
      </c>
      <c r="U150" s="289">
        <v>22.29</v>
      </c>
      <c r="V150" s="280">
        <v>70</v>
      </c>
      <c r="W150" s="244"/>
      <c r="X150" s="244"/>
      <c r="Y150" s="362"/>
      <c r="Z150" s="257">
        <f>altaz(J2000_Bas,$O150,$M150,DecLat,DecLong,1)</f>
        <v>24.580519559902964</v>
      </c>
      <c r="AA150" s="257">
        <f>altaz((J2000_Bas+(2*0.04167)),$O150,$M150,DecLat,DecLong,1)</f>
        <v>45.359295701916352</v>
      </c>
      <c r="AB150" s="257">
        <f>altaz((J2000_Bas+(4*0.04167)),$O150,$M150,DecLat,DecLong,1)</f>
        <v>53.317442283392239</v>
      </c>
      <c r="AC150" s="257">
        <f>altaz((J2000_Bas+(6*0.04167)),$O150,$M150,DecLat,DecLong,1)</f>
        <v>41.52132381556639</v>
      </c>
      <c r="AD150" s="258">
        <f>1+ transit((J2000_Bas-1),$O150,$M150,DecLat,DecLong)/360 + (GMTOffset/24) + (IF(DST="Y", 1, 0)/24)</f>
        <v>1.9454345875984582</v>
      </c>
      <c r="AE150" s="259">
        <f>DATE(2001,9,21)+(M150/360)*365 - (360*((DecLong/360)- (GMTOffset/24) ))</f>
        <v>37507.675173611111</v>
      </c>
      <c r="AF150" s="260">
        <f>IF(DecLat&gt;0,IF((90 - (DecLat-O150))&gt;90, (90 - (O150-DecLat)), (90 - (DecLat-O150))),IF((90 + (DecLat-O150))&gt;90, (90 + (O150-DecLat)), (90 + (DecLat-O150))))</f>
        <v>53.45</v>
      </c>
      <c r="AG150" s="257">
        <f>angularseperation(MoonRA,MoonDec,$M150,$O150)</f>
        <v>90.727590546372682</v>
      </c>
      <c r="AH150" s="261">
        <f ca="1">MIN(100,IF($O$5&gt;80,0+30*($AG150/100),IF($O$5&gt;70,0+50*($AG150/100),IF($O$5&gt;60,5+50*($AG150/100),IF($O$5&gt;50,10+60*($AG150/100),IF($O$5&gt;40,15+70*($AG150/100),IF($O$5&gt;30,20+70*($AG150/100),IF($O$5&gt;20,40+55*($AG150/100),(80+(20-$O$5)+30*($AG150/100))))))))))</f>
        <v>100</v>
      </c>
      <c r="AI150" s="262">
        <v>7393</v>
      </c>
      <c r="AJ150" s="262"/>
      <c r="AK150" s="262"/>
      <c r="AL150" s="263"/>
      <c r="AM150" s="264"/>
      <c r="AN150" s="263">
        <v>15</v>
      </c>
      <c r="AO150" s="263"/>
      <c r="AP150" s="265"/>
      <c r="AQ150" s="266"/>
      <c r="AR150" s="267">
        <v>69874</v>
      </c>
      <c r="AS150" s="263"/>
      <c r="AT150" s="263"/>
      <c r="AU150" s="263"/>
      <c r="AV150" s="264"/>
      <c r="AW150" s="263"/>
      <c r="AX150" s="263"/>
      <c r="AY150" s="263"/>
      <c r="AZ150" s="263"/>
      <c r="BA150" s="263"/>
      <c r="BB150" s="263"/>
      <c r="BC150" s="263"/>
      <c r="BD150" s="264"/>
      <c r="BE150" s="263"/>
      <c r="BF150" s="263"/>
      <c r="BG150" s="263"/>
      <c r="BH150" s="263"/>
      <c r="BI150" s="263"/>
      <c r="BJ150" s="404">
        <f>altaz(J2000_Bas,$O150,$M150,DecLat,DecLong,2)</f>
        <v>113.51083565871005</v>
      </c>
      <c r="BK150" s="378" t="s">
        <v>233</v>
      </c>
      <c r="BL150" s="379">
        <f>IF((2*G150)/60&lt;0.2,0.2,(2*G150)/60)</f>
        <v>0.2</v>
      </c>
      <c r="BM150" s="380">
        <f>MOD((50000+AD150-$B$3+(0/24)),1)</f>
        <v>0.16080151730420766</v>
      </c>
      <c r="BN150" s="381" t="s">
        <v>9221</v>
      </c>
      <c r="BO150" s="382">
        <v>150</v>
      </c>
    </row>
    <row r="151" spans="1:67" s="24" customFormat="1" ht="15" customHeight="1" x14ac:dyDescent="0.25">
      <c r="A151" s="288" t="s">
        <v>234</v>
      </c>
      <c r="B151" s="241" t="str">
        <f>HYPERLINK(CONCATENATE($AT$3,BK151,$AU$3),$AV$3)</f>
        <v>S</v>
      </c>
      <c r="C151" s="242" t="str">
        <f>HYPERLINK(CONCATENATE($AT$4,BK151,$AU$4,BL151),$AV$4)</f>
        <v>A</v>
      </c>
      <c r="D151" s="243" t="s">
        <v>5638</v>
      </c>
      <c r="E151" s="244" t="s">
        <v>5192</v>
      </c>
      <c r="F151" s="269" t="s">
        <v>8885</v>
      </c>
      <c r="G151" s="273">
        <v>1</v>
      </c>
      <c r="H151" s="283">
        <v>240</v>
      </c>
      <c r="I151" s="246">
        <v>70</v>
      </c>
      <c r="J151" s="246">
        <v>2</v>
      </c>
      <c r="K151" s="247" t="s">
        <v>3818</v>
      </c>
      <c r="L151" s="248">
        <v>74442</v>
      </c>
      <c r="M151" s="249">
        <f>15*(LEFT(TEXT($L151,"000000"),2)+(MID(TEXT($L151,"000000"),3,2)/60)+(RIGHT(TEXT($L151,"000000"),2)/3600))</f>
        <v>116.175</v>
      </c>
      <c r="N151" s="250">
        <v>734900</v>
      </c>
      <c r="O151" s="251">
        <f>IF($N151&gt;0,(LEFT(TEXT($N151,"000000"),2)+(MID(TEXT($N151,"000000"),3,2)/60)+(RIGHT(TEXT($N151,"000000"),2)/3600)),-(MID(TEXT($N151,"000000"),2,2)+(MID(TEXT($N151,"000000"),4,2)/60)+(RIGHT(TEXT($N151,"000000"),2)/3600)))</f>
        <v>73.816666666666663</v>
      </c>
      <c r="P151" s="252" t="s">
        <v>226</v>
      </c>
      <c r="Q151" s="253"/>
      <c r="R151" s="247" t="s">
        <v>3293</v>
      </c>
      <c r="S151" s="272" t="s">
        <v>3293</v>
      </c>
      <c r="T151" s="273">
        <v>14.6</v>
      </c>
      <c r="U151" s="274"/>
      <c r="V151" s="280">
        <v>60</v>
      </c>
      <c r="W151" s="244"/>
      <c r="X151" s="244"/>
      <c r="Y151" s="362"/>
      <c r="Z151" s="257">
        <f>altaz(J2000_Bas,$O151,$M151,DecLat,DecLong,1)</f>
        <v>15.03934726184765</v>
      </c>
      <c r="AA151" s="257">
        <f>altaz((J2000_Bas+(2*0.04167)),$O151,$M151,DecLat,DecLong,1)</f>
        <v>15.664837226145403</v>
      </c>
      <c r="AB151" s="257">
        <f>altaz((J2000_Bas+(4*0.04167)),$O151,$M151,DecLat,DecLong,1)</f>
        <v>19.941191514729809</v>
      </c>
      <c r="AC151" s="257">
        <f>altaz((J2000_Bas+(6*0.04167)),$O151,$M151,DecLat,DecLong,1)</f>
        <v>26.967067996518054</v>
      </c>
      <c r="AD151" s="258">
        <f>1+ transit((J2000_Bas-1),$O151,$M151,DecLat,DecLong)/360 + (GMTOffset/24) + (IF(DST="Y", 1, 0)/24)</f>
        <v>1.315608261692208</v>
      </c>
      <c r="AE151" s="259">
        <f>DATE(2001,9,21)+(M151/360)*365 - (360*((DecLong/360)- (GMTOffset/24) ))</f>
        <v>37277.788541666669</v>
      </c>
      <c r="AF151" s="260">
        <f>IF(DecLat&gt;0,IF((90 - (DecLat-O151))&gt;90, (90 - (O151-DecLat)), (90 - (DecLat-O151))),IF((90 + (DecLat-O151))&gt;90, (90 + (O151-DecLat)), (90 + (DecLat-O151))))</f>
        <v>47.183333333333337</v>
      </c>
      <c r="AG151" s="257">
        <f>angularseperation(MoonRA,MoonDec,$M151,$O151)</f>
        <v>127.3516212857752</v>
      </c>
      <c r="AH151" s="261">
        <f ca="1">MIN(100,IF($O$5&gt;80,0+30*($AG151/100),IF($O$5&gt;70,0+50*($AG151/100),IF($O$5&gt;60,5+50*($AG151/100),IF($O$5&gt;50,10+60*($AG151/100),IF($O$5&gt;40,15+70*($AG151/100),IF($O$5&gt;30,20+70*($AG151/100),IF($O$5&gt;20,40+55*($AG151/100),(80+(20-$O$5)+30*($AG151/100))))))))))</f>
        <v>100</v>
      </c>
      <c r="AI151" s="262"/>
      <c r="AJ151" s="262"/>
      <c r="AK151" s="262"/>
      <c r="AL151" s="263"/>
      <c r="AM151" s="264"/>
      <c r="AN151" s="263">
        <v>17</v>
      </c>
      <c r="AO151" s="263"/>
      <c r="AP151" s="265"/>
      <c r="AQ151" s="266">
        <v>3972</v>
      </c>
      <c r="AR151" s="267">
        <v>21693</v>
      </c>
      <c r="AS151" s="263"/>
      <c r="AT151" s="263"/>
      <c r="AU151" s="263"/>
      <c r="AV151" s="264"/>
      <c r="AW151" s="263"/>
      <c r="AX151" s="263"/>
      <c r="AY151" s="263"/>
      <c r="AZ151" s="263"/>
      <c r="BA151" s="263"/>
      <c r="BB151" s="263"/>
      <c r="BC151" s="263"/>
      <c r="BD151" s="264"/>
      <c r="BE151" s="263"/>
      <c r="BF151" s="263"/>
      <c r="BG151" s="263"/>
      <c r="BH151" s="263"/>
      <c r="BI151" s="263"/>
      <c r="BJ151" s="404">
        <f>altaz(J2000_Bas,$O151,$M151,DecLat,DecLong,2)</f>
        <v>357.07841809295479</v>
      </c>
      <c r="BK151" s="378" t="s">
        <v>234</v>
      </c>
      <c r="BL151" s="379">
        <f>IF((2*G151)/60&lt;0.2,0.2,(2*G151)/60)</f>
        <v>0.2</v>
      </c>
      <c r="BM151" s="380">
        <f>MOD((50000+AD151-$B$3+(0/24)),1)</f>
        <v>0.53097519139555516</v>
      </c>
      <c r="BN151" s="381"/>
      <c r="BO151" s="382">
        <v>151</v>
      </c>
    </row>
    <row r="152" spans="1:67" s="24" customFormat="1" ht="15" customHeight="1" x14ac:dyDescent="0.25">
      <c r="A152" s="288" t="s">
        <v>235</v>
      </c>
      <c r="B152" s="241" t="str">
        <f>HYPERLINK(CONCATENATE($AT$3,BK152,$AU$3),$AV$3)</f>
        <v>S</v>
      </c>
      <c r="C152" s="242" t="str">
        <f>HYPERLINK(CONCATENATE($AT$4,BK152,$AU$4,BL152),$AV$4)</f>
        <v>A</v>
      </c>
      <c r="D152" s="243" t="s">
        <v>5638</v>
      </c>
      <c r="E152" s="244" t="s">
        <v>5192</v>
      </c>
      <c r="F152" s="269" t="s">
        <v>8890</v>
      </c>
      <c r="G152" s="273">
        <v>5</v>
      </c>
      <c r="H152" s="283">
        <v>50</v>
      </c>
      <c r="I152" s="246">
        <v>70</v>
      </c>
      <c r="J152" s="246">
        <v>2</v>
      </c>
      <c r="K152" s="247" t="s">
        <v>3819</v>
      </c>
      <c r="L152" s="248">
        <v>120535</v>
      </c>
      <c r="M152" s="249">
        <f>15*(LEFT(TEXT($L152,"000000"),2)+(MID(TEXT($L152,"000000"),3,2)/60)+(RIGHT(TEXT($L152,"000000"),2)/3600))</f>
        <v>181.39583333333334</v>
      </c>
      <c r="N152" s="250">
        <v>503200</v>
      </c>
      <c r="O152" s="251">
        <f>IF($N152&gt;0,(LEFT(TEXT($N152,"000000"),2)+(MID(TEXT($N152,"000000"),3,2)/60)+(RIGHT(TEXT($N152,"000000"),2)/3600)),-(MID(TEXT($N152,"000000"),2,2)+(MID(TEXT($N152,"000000"),4,2)/60)+(RIGHT(TEXT($N152,"000000"),2)/3600)))</f>
        <v>50.533333333333331</v>
      </c>
      <c r="P152" s="252" t="s">
        <v>37</v>
      </c>
      <c r="Q152" s="253"/>
      <c r="R152" s="247" t="s">
        <v>3574</v>
      </c>
      <c r="S152" s="272" t="s">
        <v>3293</v>
      </c>
      <c r="T152" s="273">
        <v>10.6</v>
      </c>
      <c r="U152" s="289">
        <v>22.09</v>
      </c>
      <c r="V152" s="280">
        <v>70</v>
      </c>
      <c r="W152" s="244"/>
      <c r="X152" s="244"/>
      <c r="Y152" s="362"/>
      <c r="Z152" s="257">
        <f>altaz(J2000_Bas,$O152,$M152,DecLat,DecLong,1)</f>
        <v>15.082311810682519</v>
      </c>
      <c r="AA152" s="257">
        <f>altaz((J2000_Bas+(2*0.04167)),$O152,$M152,DecLat,DecLong,1)</f>
        <v>0.82664369321248843</v>
      </c>
      <c r="AB152" s="257">
        <f>altaz((J2000_Bas+(4*0.04167)),$O152,$M152,DecLat,DecLong,1)</f>
        <v>-7.3605857530952026</v>
      </c>
      <c r="AC152" s="257">
        <f>altaz((J2000_Bas+(6*0.04167)),$O152,$M152,DecLat,DecLong,1)</f>
        <v>-7.4124434910799835</v>
      </c>
      <c r="AD152" s="258">
        <f>1+ transit((J2000_Bas-1),$O152,$M152,DecLat,DecLong)/360 + (GMTOffset/24) + (IF(DST="Y", 1, 0)/24)</f>
        <v>1.4967772250567914</v>
      </c>
      <c r="AE152" s="259">
        <f>DATE(2001,9,21)+(M152/360)*365 - (360*((DecLong/360)- (GMTOffset/24) ))</f>
        <v>37343.915219907409</v>
      </c>
      <c r="AF152" s="260">
        <f>IF(DecLat&gt;0,IF((90 - (DecLat-O152))&gt;90, (90 - (O152-DecLat)), (90 - (DecLat-O152))),IF((90 + (DecLat-O152))&gt;90, (90 + (O152-DecLat)), (90 + (DecLat-O152))))</f>
        <v>70.466666666666669</v>
      </c>
      <c r="AG152" s="257">
        <f>angularseperation(MoonRA,MoonDec,$M152,$O152)</f>
        <v>97.936703722593748</v>
      </c>
      <c r="AH152" s="261">
        <f ca="1">MIN(100,IF($O$5&gt;80,0+30*($AG152/100),IF($O$5&gt;70,0+50*($AG152/100),IF($O$5&gt;60,5+50*($AG152/100),IF($O$5&gt;50,10+60*($AG152/100),IF($O$5&gt;40,15+70*($AG152/100),IF($O$5&gt;30,20+70*($AG152/100),IF($O$5&gt;20,40+55*($AG152/100),(80+(20-$O$5)+30*($AG152/100))))))))))</f>
        <v>100</v>
      </c>
      <c r="AI152" s="262">
        <v>4088</v>
      </c>
      <c r="AJ152" s="262"/>
      <c r="AK152" s="262">
        <v>208</v>
      </c>
      <c r="AL152" s="263"/>
      <c r="AM152" s="264"/>
      <c r="AN152" s="263">
        <v>18</v>
      </c>
      <c r="AO152" s="263"/>
      <c r="AP152" s="265"/>
      <c r="AQ152" s="266">
        <v>7081</v>
      </c>
      <c r="AR152" s="267">
        <v>38302</v>
      </c>
      <c r="AS152" s="263"/>
      <c r="AT152" s="263"/>
      <c r="AU152" s="263"/>
      <c r="AV152" s="264"/>
      <c r="AW152" s="263"/>
      <c r="AX152" s="263"/>
      <c r="AY152" s="263"/>
      <c r="AZ152" s="263"/>
      <c r="BA152" s="263"/>
      <c r="BB152" s="263"/>
      <c r="BC152" s="263"/>
      <c r="BD152" s="264"/>
      <c r="BE152" s="263"/>
      <c r="BF152" s="263"/>
      <c r="BG152" s="263"/>
      <c r="BH152" s="263"/>
      <c r="BI152" s="263"/>
      <c r="BJ152" s="404">
        <f>altaz(J2000_Bas,$O152,$M152,DecLat,DecLong,2)</f>
        <v>320.42937028433579</v>
      </c>
      <c r="BK152" s="378" t="s">
        <v>235</v>
      </c>
      <c r="BL152" s="379">
        <f>IF((2*G152)/60&lt;0.2,0.2,(2*G152)/60)</f>
        <v>0.2</v>
      </c>
      <c r="BM152" s="380">
        <f>MOD((50000+AD152-$B$3+(0/24)),1)</f>
        <v>0.7121441547642462</v>
      </c>
      <c r="BN152" s="381"/>
      <c r="BO152" s="382">
        <v>152</v>
      </c>
    </row>
    <row r="153" spans="1:67" s="24" customFormat="1" ht="15" customHeight="1" x14ac:dyDescent="0.25">
      <c r="A153" s="288" t="s">
        <v>236</v>
      </c>
      <c r="B153" s="241" t="str">
        <f>HYPERLINK(CONCATENATE($AT$3,BK153,$AU$3),$AV$3)</f>
        <v>S</v>
      </c>
      <c r="C153" s="242" t="str">
        <f>HYPERLINK(CONCATENATE($AT$4,BK153,$AU$4,BL153),$AV$4)</f>
        <v>A</v>
      </c>
      <c r="D153" s="243" t="s">
        <v>5638</v>
      </c>
      <c r="E153" s="244" t="s">
        <v>5192</v>
      </c>
      <c r="F153" s="269" t="s">
        <v>8889</v>
      </c>
      <c r="G153" s="273">
        <v>2</v>
      </c>
      <c r="H153" s="283">
        <v>190.08108000000001</v>
      </c>
      <c r="I153" s="246">
        <v>110</v>
      </c>
      <c r="J153" s="246">
        <v>2</v>
      </c>
      <c r="K153" s="247" t="s">
        <v>3820</v>
      </c>
      <c r="L153" s="248">
        <v>3145</v>
      </c>
      <c r="M153" s="249">
        <f>15*(LEFT(TEXT($L153,"000000"),2)+(MID(TEXT($L153,"000000"),3,2)/60)+(RIGHT(TEXT($L153,"000000"),2)/3600))</f>
        <v>7.9375</v>
      </c>
      <c r="N153" s="250">
        <v>-50900</v>
      </c>
      <c r="O153" s="251">
        <f>IF($N153&gt;0,(LEFT(TEXT($N153,"000000"),2)+(MID(TEXT($N153,"000000"),3,2)/60)+(RIGHT(TEXT($N153,"000000"),2)/3600)),-(MID(TEXT($N153,"000000"),2,2)+(MID(TEXT($N153,"000000"),4,2)/60)+(RIGHT(TEXT($N153,"000000"),2)/3600)))</f>
        <v>-5.15</v>
      </c>
      <c r="P153" s="252" t="s">
        <v>75</v>
      </c>
      <c r="Q153" s="253"/>
      <c r="R153" s="247" t="s">
        <v>3454</v>
      </c>
      <c r="S153" s="272" t="s">
        <v>3293</v>
      </c>
      <c r="T153" s="273">
        <v>12.7</v>
      </c>
      <c r="U153" s="289">
        <v>22.39</v>
      </c>
      <c r="V153" s="280">
        <v>15</v>
      </c>
      <c r="W153" s="244"/>
      <c r="X153" s="244"/>
      <c r="Y153" s="362"/>
      <c r="Z153" s="257">
        <f>altaz(J2000_Bas,$O153,$M153,DecLat,DecLong,1)</f>
        <v>4.2174718905472588</v>
      </c>
      <c r="AA153" s="257">
        <f>altaz((J2000_Bas+(2*0.04167)),$O153,$M153,DecLat,DecLong,1)</f>
        <v>28.758475614889889</v>
      </c>
      <c r="AB153" s="257">
        <f>altaz((J2000_Bas+(4*0.04167)),$O153,$M153,DecLat,DecLong,1)</f>
        <v>48.297782529079001</v>
      </c>
      <c r="AC153" s="257">
        <f>altaz((J2000_Bas+(6*0.04167)),$O153,$M153,DecLat,DecLong,1)</f>
        <v>52.986444466459943</v>
      </c>
      <c r="AD153" s="258">
        <f>1+ transit((J2000_Bas-1),$O153,$M153,DecLat,DecLong)/360 + (GMTOffset/24) + (IF(DST="Y", 1, 0)/24)</f>
        <v>1.0149485695359579</v>
      </c>
      <c r="AE153" s="259">
        <f>DATE(2001,9,21)+(M153/360)*365 - (360*((DecLong/360)- (GMTOffset/24) ))</f>
        <v>37168.047743055555</v>
      </c>
      <c r="AF153" s="260">
        <f>IF(DecLat&gt;0,IF((90 - (DecLat-O153))&gt;90, (90 - (O153-DecLat)), (90 - (DecLat-O153))),IF((90 + (DecLat-O153))&gt;90, (90 + (O153-DecLat)), (90 + (DecLat-O153))))</f>
        <v>53.85</v>
      </c>
      <c r="AG153" s="257">
        <f>angularseperation(MoonRA,MoonDec,$M153,$O153)</f>
        <v>112.63795441608671</v>
      </c>
      <c r="AH153" s="261">
        <f ca="1">MIN(100,IF($O$5&gt;80,0+30*($AG153/100),IF($O$5&gt;70,0+50*($AG153/100),IF($O$5&gt;60,5+50*($AG153/100),IF($O$5&gt;50,10+60*($AG153/100),IF($O$5&gt;40,15+70*($AG153/100),IF($O$5&gt;30,20+70*($AG153/100),IF($O$5&gt;20,40+55*($AG153/100),(80+(20-$O$5)+30*($AG153/100))))))))))</f>
        <v>100</v>
      </c>
      <c r="AI153" s="262">
        <v>145</v>
      </c>
      <c r="AJ153" s="262"/>
      <c r="AK153" s="262"/>
      <c r="AL153" s="263"/>
      <c r="AM153" s="264"/>
      <c r="AN153" s="263">
        <v>19</v>
      </c>
      <c r="AO153" s="263"/>
      <c r="AP153" s="265"/>
      <c r="AQ153" s="266"/>
      <c r="AR153" s="267">
        <v>1941</v>
      </c>
      <c r="AS153" s="263"/>
      <c r="AT153" s="263"/>
      <c r="AU153" s="263"/>
      <c r="AV153" s="264"/>
      <c r="AW153" s="263"/>
      <c r="AX153" s="263"/>
      <c r="AY153" s="263"/>
      <c r="AZ153" s="263"/>
      <c r="BA153" s="263"/>
      <c r="BB153" s="263"/>
      <c r="BC153" s="263"/>
      <c r="BD153" s="264"/>
      <c r="BE153" s="263"/>
      <c r="BF153" s="263"/>
      <c r="BG153" s="263"/>
      <c r="BH153" s="263"/>
      <c r="BI153" s="263"/>
      <c r="BJ153" s="404">
        <f>altaz(J2000_Bas,$O153,$M153,DecLat,DecLong,2)</f>
        <v>98.587178308845949</v>
      </c>
      <c r="BK153" s="378" t="s">
        <v>236</v>
      </c>
      <c r="BL153" s="379">
        <f>IF((2*G153)/60&lt;0.2,0.2,(2*G153)/60)</f>
        <v>0.2</v>
      </c>
      <c r="BM153" s="380">
        <f>MOD((50000+AD153-$B$3+(0/24)),1)</f>
        <v>0.23031549924053252</v>
      </c>
      <c r="BN153" s="381" t="s">
        <v>6500</v>
      </c>
      <c r="BO153" s="382">
        <v>153</v>
      </c>
    </row>
    <row r="154" spans="1:67" s="24" customFormat="1" ht="15" customHeight="1" x14ac:dyDescent="0.25">
      <c r="A154" s="288" t="s">
        <v>237</v>
      </c>
      <c r="B154" s="241" t="str">
        <f>HYPERLINK(CONCATENATE($AT$3,BK154,$AU$3),$AV$3)</f>
        <v>S</v>
      </c>
      <c r="C154" s="242" t="str">
        <f>HYPERLINK(CONCATENATE($AT$4,BK154,$AU$4,BL154),$AV$4)</f>
        <v>A</v>
      </c>
      <c r="D154" s="243" t="s">
        <v>5638</v>
      </c>
      <c r="E154" s="244" t="s">
        <v>5192</v>
      </c>
      <c r="F154" s="269" t="s">
        <v>8885</v>
      </c>
      <c r="G154" s="273">
        <v>1.1000000000000001</v>
      </c>
      <c r="H154" s="283">
        <v>200</v>
      </c>
      <c r="I154" s="246">
        <v>70</v>
      </c>
      <c r="J154" s="246">
        <v>2</v>
      </c>
      <c r="K154" s="247" t="s">
        <v>4989</v>
      </c>
      <c r="L154" s="248">
        <v>41953</v>
      </c>
      <c r="M154" s="249">
        <f>15*(LEFT(TEXT($L154,"000000"),2)+(MID(TEXT($L154,"000000"),3,2)/60)+(RIGHT(TEXT($L154,"000000"),2)/3600))</f>
        <v>64.970833333333331</v>
      </c>
      <c r="N154" s="250">
        <v>20500</v>
      </c>
      <c r="O154" s="251">
        <f>IF($N154&gt;0,(LEFT(TEXT($N154,"000000"),2)+(MID(TEXT($N154,"000000"),3,2)/60)+(RIGHT(TEXT($N154,"000000"),2)/3600)),-(MID(TEXT($N154,"000000"),2,2)+(MID(TEXT($N154,"000000"),4,2)/60)+(RIGHT(TEXT($N154,"000000"),2)/3600)))</f>
        <v>2.0833333333333335</v>
      </c>
      <c r="P154" s="252" t="s">
        <v>56</v>
      </c>
      <c r="Q154" s="253"/>
      <c r="R154" s="247" t="s">
        <v>3293</v>
      </c>
      <c r="S154" s="272" t="s">
        <v>3293</v>
      </c>
      <c r="T154" s="273">
        <v>14.4</v>
      </c>
      <c r="U154" s="274"/>
      <c r="V154" s="280">
        <v>55</v>
      </c>
      <c r="W154" s="244"/>
      <c r="X154" s="244"/>
      <c r="Y154" s="362"/>
      <c r="Z154" s="257">
        <f>altaz(J2000_Bas,$O154,$M154,DecLat,DecLong,1)</f>
        <v>-38.86221128027637</v>
      </c>
      <c r="AA154" s="257">
        <f>altaz((J2000_Bas+(2*0.04167)),$O154,$M154,DecLat,DecLong,1)</f>
        <v>-14.981883399989616</v>
      </c>
      <c r="AB154" s="257">
        <f>altaz((J2000_Bas+(4*0.04167)),$O154,$M154,DecLat,DecLong,1)</f>
        <v>10.667977000530289</v>
      </c>
      <c r="AC154" s="257">
        <f>altaz((J2000_Bas+(6*0.04167)),$O154,$M154,DecLat,DecLong,1)</f>
        <v>35.726544120384951</v>
      </c>
      <c r="AD154" s="258">
        <f>1+ transit((J2000_Bas-1),$O154,$M154,DecLat,DecLong)/360 + (GMTOffset/24) + (IF(DST="Y", 1, 0)/24)</f>
        <v>1.1733744796192913</v>
      </c>
      <c r="AE154" s="259">
        <f>DATE(2001,9,21)+(M154/360)*365 - (360*((DecLong/360)- (GMTOffset/24) ))</f>
        <v>37225.873206018521</v>
      </c>
      <c r="AF154" s="260">
        <f>IF(DecLat&gt;0,IF((90 - (DecLat-O154))&gt;90, (90 - (O154-DecLat)), (90 - (DecLat-O154))),IF((90 + (DecLat-O154))&gt;90, (90 + (O154-DecLat)), (90 + (DecLat-O154))))</f>
        <v>61.083333333333329</v>
      </c>
      <c r="AG154" s="257">
        <f>angularseperation(MoonRA,MoonDec,$M154,$O154)</f>
        <v>154.66632448193459</v>
      </c>
      <c r="AH154" s="261">
        <f ca="1">MIN(100,IF($O$5&gt;80,0+30*($AG154/100),IF($O$5&gt;70,0+50*($AG154/100),IF($O$5&gt;60,5+50*($AG154/100),IF($O$5&gt;50,10+60*($AG154/100),IF($O$5&gt;40,15+70*($AG154/100),IF($O$5&gt;30,20+70*($AG154/100),IF($O$5&gt;20,40+55*($AG154/100),(80+(20-$O$5)+30*($AG154/100))))))))))</f>
        <v>100</v>
      </c>
      <c r="AI154" s="262"/>
      <c r="AJ154" s="262"/>
      <c r="AK154" s="262"/>
      <c r="AL154" s="263"/>
      <c r="AM154" s="264"/>
      <c r="AN154" s="263">
        <v>20</v>
      </c>
      <c r="AO154" s="263"/>
      <c r="AP154" s="265"/>
      <c r="AQ154" s="266">
        <v>3014</v>
      </c>
      <c r="AR154" s="267">
        <v>14892</v>
      </c>
      <c r="AS154" s="263"/>
      <c r="AT154" s="263"/>
      <c r="AU154" s="263"/>
      <c r="AV154" s="264"/>
      <c r="AW154" s="263"/>
      <c r="AX154" s="263"/>
      <c r="AY154" s="263"/>
      <c r="AZ154" s="263"/>
      <c r="BA154" s="263"/>
      <c r="BB154" s="263"/>
      <c r="BC154" s="263"/>
      <c r="BD154" s="264"/>
      <c r="BE154" s="263"/>
      <c r="BF154" s="263"/>
      <c r="BG154" s="263"/>
      <c r="BH154" s="263"/>
      <c r="BI154" s="263"/>
      <c r="BJ154" s="404">
        <f>altaz(J2000_Bas,$O154,$M154,DecLat,DecLong,2)</f>
        <v>57.408498213340273</v>
      </c>
      <c r="BK154" s="378" t="s">
        <v>237</v>
      </c>
      <c r="BL154" s="379">
        <f>IF((2*G154)/60&lt;0.2,0.2,(2*G154)/60)</f>
        <v>0.2</v>
      </c>
      <c r="BM154" s="380">
        <f>MOD((50000+AD154-$B$3+(0/24)),1)</f>
        <v>0.38874140932603041</v>
      </c>
      <c r="BN154" s="381" t="s">
        <v>9286</v>
      </c>
      <c r="BO154" s="382">
        <v>154</v>
      </c>
    </row>
    <row r="155" spans="1:67" s="24" customFormat="1" ht="15" customHeight="1" x14ac:dyDescent="0.25">
      <c r="A155" s="288" t="s">
        <v>238</v>
      </c>
      <c r="B155" s="241" t="str">
        <f>HYPERLINK(CONCATENATE($AT$3,BK155,$AU$3),$AV$3)</f>
        <v>S</v>
      </c>
      <c r="C155" s="242" t="str">
        <f>HYPERLINK(CONCATENATE($AT$4,BK155,$AU$4,BL155),$AV$4)</f>
        <v>A</v>
      </c>
      <c r="D155" s="243" t="s">
        <v>5638</v>
      </c>
      <c r="E155" s="244" t="s">
        <v>5192</v>
      </c>
      <c r="F155" s="269" t="s">
        <v>6163</v>
      </c>
      <c r="G155" s="270">
        <v>0.8</v>
      </c>
      <c r="H155" s="283">
        <v>400</v>
      </c>
      <c r="I155" s="246">
        <v>100</v>
      </c>
      <c r="J155" s="246">
        <v>2</v>
      </c>
      <c r="K155" s="247" t="s">
        <v>3821</v>
      </c>
      <c r="L155" s="248">
        <v>110458</v>
      </c>
      <c r="M155" s="249">
        <f>15*(LEFT(TEXT($L155,"000000"),2)+(MID(TEXT($L155,"000000"),3,2)/60)+(RIGHT(TEXT($L155,"000000"),2)/3600))</f>
        <v>166.24166666666667</v>
      </c>
      <c r="N155" s="250">
        <v>300100</v>
      </c>
      <c r="O155" s="251">
        <f>IF($N155&gt;0,(LEFT(TEXT($N155,"000000"),2)+(MID(TEXT($N155,"000000"),3,2)/60)+(RIGHT(TEXT($N155,"000000"),2)/3600)),-(MID(TEXT($N155,"000000"),2,2)+(MID(TEXT($N155,"000000"),4,2)/60)+(RIGHT(TEXT($N155,"000000"),2)/3600)))</f>
        <v>30.016666666666666</v>
      </c>
      <c r="P155" s="252" t="s">
        <v>239</v>
      </c>
      <c r="Q155" s="253"/>
      <c r="R155" s="247" t="s">
        <v>3293</v>
      </c>
      <c r="S155" s="272" t="s">
        <v>3293</v>
      </c>
      <c r="T155" s="273">
        <v>15</v>
      </c>
      <c r="U155" s="274"/>
      <c r="V155" s="280">
        <v>65</v>
      </c>
      <c r="W155" s="244"/>
      <c r="X155" s="244"/>
      <c r="Y155" s="362"/>
      <c r="Z155" s="257">
        <f>altaz(J2000_Bas,$O155,$M155,DecLat,DecLong,1)</f>
        <v>-6.3596087689234491</v>
      </c>
      <c r="AA155" s="257">
        <f>altaz((J2000_Bas+(2*0.04167)),$O155,$M155,DecLat,DecLong,1)</f>
        <v>-22.588853435442516</v>
      </c>
      <c r="AB155" s="257">
        <f>altaz((J2000_Bas+(4*0.04167)),$O155,$M155,DecLat,DecLong,1)</f>
        <v>-28.983297102232623</v>
      </c>
      <c r="AC155" s="257">
        <f>altaz((J2000_Bas+(6*0.04167)),$O155,$M155,DecLat,DecLong,1)</f>
        <v>-22.64524116277801</v>
      </c>
      <c r="AD155" s="258">
        <f>1+ transit((J2000_Bas-1),$O155,$M155,DecLat,DecLong)/360 + (GMTOffset/24) + (IF(DST="Y", 1, 0)/24)</f>
        <v>1.4546823218588747</v>
      </c>
      <c r="AE155" s="259">
        <f>DATE(2001,9,21)+(M155/360)*365 - (360*((DecLong/360)- (GMTOffset/24) ))</f>
        <v>37328.550578703704</v>
      </c>
      <c r="AF155" s="260">
        <f>IF(DecLat&gt;0,IF((90 - (DecLat-O155))&gt;90, (90 - (O155-DecLat)), (90 - (DecLat-O155))),IF((90 + (DecLat-O155))&gt;90, (90 + (O155-DecLat)), (90 + (DecLat-O155))))</f>
        <v>89.016666666666666</v>
      </c>
      <c r="AG155" s="257">
        <f>angularseperation(MoonRA,MoonDec,$M155,$O155)</f>
        <v>97.69007296909831</v>
      </c>
      <c r="AH155" s="261">
        <f ca="1">MIN(100,IF($O$5&gt;80,0+30*($AG155/100),IF($O$5&gt;70,0+50*($AG155/100),IF($O$5&gt;60,5+50*($AG155/100),IF($O$5&gt;50,10+60*($AG155/100),IF($O$5&gt;40,15+70*($AG155/100),IF($O$5&gt;30,20+70*($AG155/100),IF($O$5&gt;20,40+55*($AG155/100),(80+(20-$O$5)+30*($AG155/100))))))))))</f>
        <v>100</v>
      </c>
      <c r="AI155" s="262"/>
      <c r="AJ155" s="262"/>
      <c r="AK155" s="262"/>
      <c r="AL155" s="263"/>
      <c r="AM155" s="264"/>
      <c r="AN155" s="263">
        <v>21</v>
      </c>
      <c r="AO155" s="263"/>
      <c r="AP155" s="265"/>
      <c r="AQ155" s="266"/>
      <c r="AR155" s="267">
        <v>33487</v>
      </c>
      <c r="AS155" s="263"/>
      <c r="AT155" s="263"/>
      <c r="AU155" s="263"/>
      <c r="AV155" s="264"/>
      <c r="AW155" s="263"/>
      <c r="AX155" s="263"/>
      <c r="AY155" s="263"/>
      <c r="AZ155" s="263"/>
      <c r="BA155" s="263"/>
      <c r="BB155" s="263"/>
      <c r="BC155" s="263"/>
      <c r="BD155" s="264"/>
      <c r="BE155" s="263"/>
      <c r="BF155" s="263"/>
      <c r="BG155" s="263"/>
      <c r="BH155" s="263"/>
      <c r="BI155" s="263"/>
      <c r="BJ155" s="404">
        <f>altaz(J2000_Bas,$O155,$M155,DecLat,DecLong,2)</f>
        <v>310.85845966208791</v>
      </c>
      <c r="BK155" s="378" t="s">
        <v>238</v>
      </c>
      <c r="BL155" s="379">
        <f>IF((2*G155)/60&lt;0.2,0.2,(2*G155)/60)</f>
        <v>0.2</v>
      </c>
      <c r="BM155" s="380">
        <f>MOD((50000+AD155-$B$3+(0/24)),1)</f>
        <v>0.67004925156652462</v>
      </c>
      <c r="BN155" s="381" t="s">
        <v>9287</v>
      </c>
      <c r="BO155" s="382">
        <v>155</v>
      </c>
    </row>
    <row r="156" spans="1:67" s="24" customFormat="1" ht="15" customHeight="1" x14ac:dyDescent="0.25">
      <c r="A156" s="288" t="s">
        <v>240</v>
      </c>
      <c r="B156" s="241" t="str">
        <f>HYPERLINK(CONCATENATE($AT$3,BK156,$AU$3),$AV$3)</f>
        <v>S</v>
      </c>
      <c r="C156" s="242" t="str">
        <f>HYPERLINK(CONCATENATE($AT$4,BK156,$AU$4,BL156),$AV$4)</f>
        <v>A</v>
      </c>
      <c r="D156" s="243" t="s">
        <v>5638</v>
      </c>
      <c r="E156" s="244" t="s">
        <v>3259</v>
      </c>
      <c r="F156" s="269"/>
      <c r="G156" s="273">
        <v>2</v>
      </c>
      <c r="H156" s="283">
        <v>80</v>
      </c>
      <c r="I156" s="246">
        <v>45</v>
      </c>
      <c r="J156" s="246">
        <v>2</v>
      </c>
      <c r="K156" s="247" t="s">
        <v>3822</v>
      </c>
      <c r="L156" s="248">
        <v>115930</v>
      </c>
      <c r="M156" s="249">
        <f>15*(LEFT(TEXT($L156,"000000"),2)+(MID(TEXT($L156,"000000"),3,2)/60)+(RIGHT(TEXT($L156,"000000"),2)/3600))</f>
        <v>179.87499999999997</v>
      </c>
      <c r="N156" s="250">
        <v>-191500</v>
      </c>
      <c r="O156" s="251">
        <f>IF($N156&gt;0,(LEFT(TEXT($N156,"000000"),2)+(MID(TEXT($N156,"000000"),3,2)/60)+(RIGHT(TEXT($N156,"000000"),2)/3600)),-(MID(TEXT($N156,"000000"),2,2)+(MID(TEXT($N156,"000000"),4,2)/60)+(RIGHT(TEXT($N156,"000000"),2)/3600)))</f>
        <v>-19.25</v>
      </c>
      <c r="P156" s="252" t="s">
        <v>192</v>
      </c>
      <c r="Q156" s="253"/>
      <c r="R156" s="247" t="s">
        <v>3573</v>
      </c>
      <c r="S156" s="272" t="s">
        <v>461</v>
      </c>
      <c r="T156" s="273">
        <v>11.1</v>
      </c>
      <c r="U156" s="289">
        <v>21.990000000000002</v>
      </c>
      <c r="V156" s="280">
        <v>40</v>
      </c>
      <c r="W156" s="244"/>
      <c r="X156" s="244"/>
      <c r="Y156" s="362"/>
      <c r="Z156" s="257">
        <f>altaz(J2000_Bas,$O156,$M156,DecLat,DecLong,1)</f>
        <v>-23.240582780100425</v>
      </c>
      <c r="AA156" s="257">
        <f>altaz((J2000_Bas+(2*0.04167)),$O156,$M156,DecLat,DecLong,1)</f>
        <v>-48.938161261947137</v>
      </c>
      <c r="AB156" s="257">
        <f>altaz((J2000_Bas+(4*0.04167)),$O156,$M156,DecLat,DecLong,1)</f>
        <v>-72.942493562226076</v>
      </c>
      <c r="AC156" s="257">
        <f>altaz((J2000_Bas+(6*0.04167)),$O156,$M156,DecLat,DecLong,1)</f>
        <v>-71.119459569613824</v>
      </c>
      <c r="AD156" s="258">
        <f>1+ transit((J2000_Bas-1),$O156,$M156,DecLat,DecLong)/360 + (GMTOffset/24) + (IF(DST="Y", 1, 0)/24)</f>
        <v>1.492552688442208</v>
      </c>
      <c r="AE156" s="259">
        <f>DATE(2001,9,21)+(M156/360)*365 - (360*((DecLong/360)- (GMTOffset/24) ))</f>
        <v>37342.373263888891</v>
      </c>
      <c r="AF156" s="260">
        <f>IF(DecLat&gt;0,IF((90 - (DecLat-O156))&gt;90, (90 - (O156-DecLat)), (90 - (DecLat-O156))),IF((90 + (DecLat-O156))&gt;90, (90 + (O156-DecLat)), (90 + (DecLat-O156))))</f>
        <v>39.75</v>
      </c>
      <c r="AG156" s="257">
        <f>angularseperation(MoonRA,MoonDec,$M156,$O156)</f>
        <v>63.493100612716404</v>
      </c>
      <c r="AH156" s="261">
        <f ca="1">MIN(100,IF($O$5&gt;80,0+30*($AG156/100),IF($O$5&gt;70,0+50*($AG156/100),IF($O$5&gt;60,5+50*($AG156/100),IF($O$5&gt;50,10+60*($AG156/100),IF($O$5&gt;40,15+70*($AG156/100),IF($O$5&gt;30,20+70*($AG156/100),IF($O$5&gt;20,40+55*($AG156/100),(80+(20-$O$5)+30*($AG156/100))))))))))</f>
        <v>100</v>
      </c>
      <c r="AI156" s="262">
        <v>4027</v>
      </c>
      <c r="AJ156" s="262"/>
      <c r="AK156" s="262">
        <v>201</v>
      </c>
      <c r="AL156" s="263"/>
      <c r="AM156" s="264"/>
      <c r="AN156" s="263">
        <v>22</v>
      </c>
      <c r="AO156" s="263"/>
      <c r="AP156" s="265"/>
      <c r="AQ156" s="266"/>
      <c r="AR156" s="267">
        <v>37773</v>
      </c>
      <c r="AS156" s="263"/>
      <c r="AT156" s="263"/>
      <c r="AU156" s="263"/>
      <c r="AV156" s="264"/>
      <c r="AW156" s="263"/>
      <c r="AX156" s="263"/>
      <c r="AY156" s="263"/>
      <c r="AZ156" s="263"/>
      <c r="BA156" s="263"/>
      <c r="BB156" s="263"/>
      <c r="BC156" s="263"/>
      <c r="BD156" s="264"/>
      <c r="BE156" s="263"/>
      <c r="BF156" s="263"/>
      <c r="BG156" s="263"/>
      <c r="BH156" s="263"/>
      <c r="BI156" s="263"/>
      <c r="BJ156" s="404">
        <f>altaz(J2000_Bas,$O156,$M156,DecLat,DecLong,2)</f>
        <v>260.76051644911723</v>
      </c>
      <c r="BK156" s="378" t="s">
        <v>240</v>
      </c>
      <c r="BL156" s="379">
        <f>IF((2*G156)/60&lt;0.2,0.2,(2*G156)/60)</f>
        <v>0.2</v>
      </c>
      <c r="BM156" s="380">
        <f>MOD((50000+AD156-$B$3+(0/24)),1)</f>
        <v>0.70791961814393289</v>
      </c>
      <c r="BN156" s="381"/>
      <c r="BO156" s="382">
        <v>156</v>
      </c>
    </row>
    <row r="157" spans="1:67" s="24" customFormat="1" ht="15" customHeight="1" x14ac:dyDescent="0.25">
      <c r="A157" s="288" t="s">
        <v>241</v>
      </c>
      <c r="B157" s="241" t="str">
        <f>HYPERLINK(CONCATENATE($AT$3,BK157,$AU$3),$AV$3)</f>
        <v>S</v>
      </c>
      <c r="C157" s="242" t="str">
        <f>HYPERLINK(CONCATENATE($AT$4,BK157,$AU$4,BL157),$AV$4)</f>
        <v>A</v>
      </c>
      <c r="D157" s="243" t="s">
        <v>5638</v>
      </c>
      <c r="E157" s="244" t="s">
        <v>3259</v>
      </c>
      <c r="F157" s="269"/>
      <c r="G157" s="273">
        <v>4</v>
      </c>
      <c r="H157" s="283">
        <v>24.992550000000001</v>
      </c>
      <c r="I157" s="246">
        <v>30</v>
      </c>
      <c r="J157" s="246">
        <v>2</v>
      </c>
      <c r="K157" s="247" t="s">
        <v>3823</v>
      </c>
      <c r="L157" s="248">
        <v>124132</v>
      </c>
      <c r="M157" s="249">
        <f>15*(LEFT(TEXT($L157,"000000"),2)+(MID(TEXT($L157,"000000"),3,2)/60)+(RIGHT(TEXT($L157,"000000"),2)/3600))</f>
        <v>190.38333333333333</v>
      </c>
      <c r="N157" s="250">
        <v>410900</v>
      </c>
      <c r="O157" s="251">
        <f>IF($N157&gt;0,(LEFT(TEXT($N157,"000000"),2)+(MID(TEXT($N157,"000000"),3,2)/60)+(RIGHT(TEXT($N157,"000000"),2)/3600)),-(MID(TEXT($N157,"000000"),2,2)+(MID(TEXT($N157,"000000"),4,2)/60)+(RIGHT(TEXT($N157,"000000"),2)/3600)))</f>
        <v>41.15</v>
      </c>
      <c r="P157" s="252" t="s">
        <v>242</v>
      </c>
      <c r="Q157" s="253"/>
      <c r="R157" s="247" t="s">
        <v>3593</v>
      </c>
      <c r="S157" s="272" t="s">
        <v>3293</v>
      </c>
      <c r="T157" s="273">
        <v>10.8</v>
      </c>
      <c r="U157" s="289">
        <v>22.39</v>
      </c>
      <c r="V157" s="280">
        <v>30</v>
      </c>
      <c r="W157" s="244"/>
      <c r="X157" s="244"/>
      <c r="Y157" s="362"/>
      <c r="Z157" s="257">
        <f>altaz(J2000_Bas,$O157,$M157,DecLat,DecLong,1)</f>
        <v>16.004439600794573</v>
      </c>
      <c r="AA157" s="257">
        <f>altaz((J2000_Bas+(2*0.04167)),$O157,$M157,DecLat,DecLong,1)</f>
        <v>-2.1641686358039585</v>
      </c>
      <c r="AB157" s="257">
        <f>altaz((J2000_Bas+(4*0.04167)),$O157,$M157,DecLat,DecLong,1)</f>
        <v>-14.462802030293693</v>
      </c>
      <c r="AC157" s="257">
        <f>altaz((J2000_Bas+(6*0.04167)),$O157,$M157,DecLat,DecLong,1)</f>
        <v>-17.64619790124268</v>
      </c>
      <c r="AD157" s="258">
        <f>1+ transit((J2000_Bas-1),$O157,$M157,DecLat,DecLong)/360 + (GMTOffset/24) + (IF(DST="Y", 1, 0)/24)</f>
        <v>1.5217425003380414</v>
      </c>
      <c r="AE157" s="259">
        <f>DATE(2001,9,21)+(M157/360)*365 - (360*((DecLong/360)- (GMTOffset/24) ))</f>
        <v>37353.027546296296</v>
      </c>
      <c r="AF157" s="260">
        <f>IF(DecLat&gt;0,IF((90 - (DecLat-O157))&gt;90, (90 - (O157-DecLat)), (90 - (DecLat-O157))),IF((90 + (DecLat-O157))&gt;90, (90 + (O157-DecLat)), (90 + (DecLat-O157))))</f>
        <v>79.849999999999994</v>
      </c>
      <c r="AG157" s="257">
        <f>angularseperation(MoonRA,MoonDec,$M157,$O157)</f>
        <v>87.300003686527646</v>
      </c>
      <c r="AH157" s="261">
        <f ca="1">MIN(100,IF($O$5&gt;80,0+30*($AG157/100),IF($O$5&gt;70,0+50*($AG157/100),IF($O$5&gt;60,5+50*($AG157/100),IF($O$5&gt;50,10+60*($AG157/100),IF($O$5&gt;40,15+70*($AG157/100),IF($O$5&gt;30,20+70*($AG157/100),IF($O$5&gt;20,40+55*($AG157/100),(80+(20-$O$5)+30*($AG157/100))))))))))</f>
        <v>100</v>
      </c>
      <c r="AI157" s="262">
        <v>4618</v>
      </c>
      <c r="AJ157" s="262"/>
      <c r="AK157" s="262">
        <v>264</v>
      </c>
      <c r="AL157" s="263"/>
      <c r="AM157" s="264"/>
      <c r="AN157" s="263">
        <v>23</v>
      </c>
      <c r="AO157" s="263"/>
      <c r="AP157" s="265"/>
      <c r="AQ157" s="266"/>
      <c r="AR157" s="267">
        <v>42575</v>
      </c>
      <c r="AS157" s="263"/>
      <c r="AT157" s="263"/>
      <c r="AU157" s="263"/>
      <c r="AV157" s="264"/>
      <c r="AW157" s="263"/>
      <c r="AX157" s="263"/>
      <c r="AY157" s="263"/>
      <c r="AZ157" s="263"/>
      <c r="BA157" s="263"/>
      <c r="BB157" s="263"/>
      <c r="BC157" s="263"/>
      <c r="BD157" s="264"/>
      <c r="BE157" s="263"/>
      <c r="BF157" s="263"/>
      <c r="BG157" s="263"/>
      <c r="BH157" s="263"/>
      <c r="BI157" s="263"/>
      <c r="BJ157" s="404">
        <f>altaz(J2000_Bas,$O157,$M157,DecLat,DecLong,2)</f>
        <v>308.77717867349475</v>
      </c>
      <c r="BK157" s="378" t="s">
        <v>241</v>
      </c>
      <c r="BL157" s="379">
        <f>IF((2*G157)/60&lt;0.2,0.2,(2*G157)/60)</f>
        <v>0.2</v>
      </c>
      <c r="BM157" s="380">
        <f>MOD((50000+AD157-$B$3+(0/24)),1)</f>
        <v>0.73710943003970897</v>
      </c>
      <c r="BN157" s="381"/>
      <c r="BO157" s="382">
        <v>157</v>
      </c>
    </row>
    <row r="158" spans="1:67" s="24" customFormat="1" ht="15" customHeight="1" x14ac:dyDescent="0.25">
      <c r="A158" s="288" t="s">
        <v>243</v>
      </c>
      <c r="B158" s="241" t="str">
        <f>HYPERLINK(CONCATENATE($AT$3,BK158,$AU$3),$AV$3)</f>
        <v>S</v>
      </c>
      <c r="C158" s="242" t="str">
        <f>HYPERLINK(CONCATENATE($AT$4,BK158,$AU$4,BL158),$AV$4)</f>
        <v>A</v>
      </c>
      <c r="D158" s="243" t="s">
        <v>5638</v>
      </c>
      <c r="E158" s="244" t="s">
        <v>3259</v>
      </c>
      <c r="F158" s="269"/>
      <c r="G158" s="273">
        <v>1.5</v>
      </c>
      <c r="H158" s="283">
        <v>55</v>
      </c>
      <c r="I158" s="246">
        <v>25</v>
      </c>
      <c r="J158" s="246">
        <v>2</v>
      </c>
      <c r="K158" s="247" t="s">
        <v>3824</v>
      </c>
      <c r="L158" s="248">
        <v>105445</v>
      </c>
      <c r="M158" s="249">
        <f>15*(LEFT(TEXT($L158,"000000"),2)+(MID(TEXT($L158,"000000"),3,2)/60)+(RIGHT(TEXT($L158,"000000"),2)/3600))</f>
        <v>163.6875</v>
      </c>
      <c r="N158" s="250">
        <v>565700</v>
      </c>
      <c r="O158" s="251">
        <f>IF($N158&gt;0,(LEFT(TEXT($N158,"000000"),2)+(MID(TEXT($N158,"000000"),3,2)/60)+(RIGHT(TEXT($N158,"000000"),2)/3600)),-(MID(TEXT($N158,"000000"),2,2)+(MID(TEXT($N158,"000000"),4,2)/60)+(RIGHT(TEXT($N158,"000000"),2)/3600)))</f>
        <v>56.95</v>
      </c>
      <c r="P158" s="252" t="s">
        <v>37</v>
      </c>
      <c r="Q158" s="253"/>
      <c r="R158" s="247" t="s">
        <v>3549</v>
      </c>
      <c r="S158" s="272" t="s">
        <v>3293</v>
      </c>
      <c r="T158" s="273">
        <v>12.6</v>
      </c>
      <c r="U158" s="289">
        <v>22.19</v>
      </c>
      <c r="V158" s="280">
        <v>35</v>
      </c>
      <c r="W158" s="244"/>
      <c r="X158" s="244"/>
      <c r="Y158" s="362"/>
      <c r="Z158" s="257">
        <f>altaz(J2000_Bas,$O158,$M158,DecLat,DecLong,1)</f>
        <v>10.474751057223218</v>
      </c>
      <c r="AA158" s="257">
        <f>altaz((J2000_Bas+(2*0.04167)),$O158,$M158,DecLat,DecLong,1)</f>
        <v>0.99851479679815958</v>
      </c>
      <c r="AB158" s="257">
        <f>altaz((J2000_Bas+(4*0.04167)),$O158,$M158,DecLat,DecLong,1)</f>
        <v>-2.0248122358561536</v>
      </c>
      <c r="AC158" s="257">
        <f>altaz((J2000_Bas+(6*0.04167)),$O158,$M158,DecLat,DecLong,1)</f>
        <v>2.1628855200828117</v>
      </c>
      <c r="AD158" s="258">
        <f>1+ transit((J2000_Bas-1),$O158,$M158,DecLat,DecLong)/360 + (GMTOffset/24) + (IF(DST="Y", 1, 0)/24)</f>
        <v>1.447587415160958</v>
      </c>
      <c r="AE158" s="259">
        <f>DATE(2001,9,21)+(M158/360)*365 - (360*((DecLong/360)- (GMTOffset/24) ))</f>
        <v>37325.9609375</v>
      </c>
      <c r="AF158" s="260">
        <f>IF(DecLat&gt;0,IF((90 - (DecLat-O158))&gt;90, (90 - (O158-DecLat)), (90 - (DecLat-O158))),IF((90 + (DecLat-O158))&gt;90, (90 + (O158-DecLat)), (90 + (DecLat-O158))))</f>
        <v>64.05</v>
      </c>
      <c r="AG158" s="257">
        <f>angularseperation(MoonRA,MoonDec,$M158,$O158)</f>
        <v>110.12021548007932</v>
      </c>
      <c r="AH158" s="261">
        <f ca="1">MIN(100,IF($O$5&gt;80,0+30*($AG158/100),IF($O$5&gt;70,0+50*($AG158/100),IF($O$5&gt;60,5+50*($AG158/100),IF($O$5&gt;50,10+60*($AG158/100),IF($O$5&gt;40,15+70*($AG158/100),IF($O$5&gt;30,20+70*($AG158/100),IF($O$5&gt;20,40+55*($AG158/100),(80+(20-$O$5)+30*($AG158/100))))))))))</f>
        <v>100</v>
      </c>
      <c r="AI158" s="262">
        <v>3445</v>
      </c>
      <c r="AJ158" s="262"/>
      <c r="AK158" s="262"/>
      <c r="AL158" s="263"/>
      <c r="AM158" s="264"/>
      <c r="AN158" s="263">
        <v>24</v>
      </c>
      <c r="AO158" s="263"/>
      <c r="AP158" s="265"/>
      <c r="AQ158" s="266">
        <v>6021</v>
      </c>
      <c r="AR158" s="267">
        <v>32772</v>
      </c>
      <c r="AS158" s="263"/>
      <c r="AT158" s="263"/>
      <c r="AU158" s="263"/>
      <c r="AV158" s="264"/>
      <c r="AW158" s="263"/>
      <c r="AX158" s="263"/>
      <c r="AY158" s="263"/>
      <c r="AZ158" s="263"/>
      <c r="BA158" s="263"/>
      <c r="BB158" s="263"/>
      <c r="BC158" s="263"/>
      <c r="BD158" s="264"/>
      <c r="BE158" s="263"/>
      <c r="BF158" s="263"/>
      <c r="BG158" s="263"/>
      <c r="BH158" s="263"/>
      <c r="BI158" s="263"/>
      <c r="BJ158" s="404">
        <f>altaz(J2000_Bas,$O158,$M158,DecLat,DecLong,2)</f>
        <v>332.04907231523941</v>
      </c>
      <c r="BK158" s="378" t="s">
        <v>243</v>
      </c>
      <c r="BL158" s="379">
        <f>IF((2*G158)/60&lt;0.2,0.2,(2*G158)/60)</f>
        <v>0.2</v>
      </c>
      <c r="BM158" s="380">
        <f>MOD((50000+AD158-$B$3+(0/24)),1)</f>
        <v>0.66295434486528393</v>
      </c>
      <c r="BN158" s="381"/>
      <c r="BO158" s="382">
        <v>158</v>
      </c>
    </row>
    <row r="159" spans="1:67" s="24" customFormat="1" ht="15" customHeight="1" x14ac:dyDescent="0.25">
      <c r="A159" s="288" t="s">
        <v>244</v>
      </c>
      <c r="B159" s="241" t="str">
        <f>HYPERLINK(CONCATENATE($AT$3,BK159,$AU$3),$AV$3)</f>
        <v>S</v>
      </c>
      <c r="C159" s="242" t="str">
        <f>HYPERLINK(CONCATENATE($AT$4,BK159,$AU$4,BL159),$AV$4)</f>
        <v>A</v>
      </c>
      <c r="D159" s="243" t="s">
        <v>5638</v>
      </c>
      <c r="E159" s="244" t="s">
        <v>5192</v>
      </c>
      <c r="F159" s="269" t="s">
        <v>8889</v>
      </c>
      <c r="G159" s="273">
        <v>2.8</v>
      </c>
      <c r="H159" s="283">
        <v>120</v>
      </c>
      <c r="I159" s="246">
        <v>100</v>
      </c>
      <c r="J159" s="246">
        <v>2</v>
      </c>
      <c r="K159" s="247" t="s">
        <v>3825</v>
      </c>
      <c r="L159" s="248">
        <v>72714</v>
      </c>
      <c r="M159" s="249">
        <f>15*(LEFT(TEXT($L159,"000000"),2)+(MID(TEXT($L159,"000000"),3,2)/60)+(RIGHT(TEXT($L159,"000000"),2)/3600))</f>
        <v>111.80833333333334</v>
      </c>
      <c r="N159" s="286">
        <v>854516</v>
      </c>
      <c r="O159" s="251">
        <f>IF($N159&gt;0,(LEFT(TEXT($N159,"000000"),2)+(MID(TEXT($N159,"000000"),3,2)/60)+(RIGHT(TEXT($N159,"000000"),2)/3600)),-(MID(TEXT($N159,"000000"),2,2)+(MID(TEXT($N159,"000000"),4,2)/60)+(RIGHT(TEXT($N159,"000000"),2)/3600)))</f>
        <v>85.754444444444445</v>
      </c>
      <c r="P159" s="252" t="s">
        <v>52</v>
      </c>
      <c r="Q159" s="253"/>
      <c r="R159" s="247" t="s">
        <v>3497</v>
      </c>
      <c r="S159" s="272" t="s">
        <v>332</v>
      </c>
      <c r="T159" s="273">
        <v>11.4</v>
      </c>
      <c r="U159" s="289">
        <v>22.29</v>
      </c>
      <c r="V159" s="280">
        <v>20</v>
      </c>
      <c r="W159" s="244"/>
      <c r="X159" s="244"/>
      <c r="Y159" s="362"/>
      <c r="Z159" s="257">
        <f>altaz(J2000_Bas,$O159,$M159,DecLat,DecLong,1)</f>
        <v>26.77533170846921</v>
      </c>
      <c r="AA159" s="257">
        <f>altaz((J2000_Bas+(2*0.04167)),$O159,$M159,DecLat,DecLong,1)</f>
        <v>27.115142026428217</v>
      </c>
      <c r="AB159" s="257">
        <f>altaz((J2000_Bas+(4*0.04167)),$O159,$M159,DecLat,DecLong,1)</f>
        <v>28.466965518755199</v>
      </c>
      <c r="AC159" s="257">
        <f>altaz((J2000_Bas+(6*0.04167)),$O159,$M159,DecLat,DecLong,1)</f>
        <v>30.496470060344205</v>
      </c>
      <c r="AD159" s="258">
        <f>1+ transit((J2000_Bas-1),$O159,$M159,DecLat,DecLong)/360 + (GMTOffset/24) + (IF(DST="Y", 1, 0)/24)</f>
        <v>1.3034786332755413</v>
      </c>
      <c r="AE159" s="259">
        <f>DATE(2001,9,21)+(M159/360)*365 - (360*((DecLong/360)- (GMTOffset/24) ))</f>
        <v>37273.361226851855</v>
      </c>
      <c r="AF159" s="260">
        <f>IF(DecLat&gt;0,IF((90 - (DecLat-O159))&gt;90, (90 - (O159-DecLat)), (90 - (DecLat-O159))),IF((90 + (DecLat-O159))&gt;90, (90 + (O159-DecLat)), (90 + (DecLat-O159))))</f>
        <v>35.245555555555555</v>
      </c>
      <c r="AG159" s="257">
        <f>angularseperation(MoonRA,MoonDec,$M159,$O159)</f>
        <v>120.17168366811839</v>
      </c>
      <c r="AH159" s="261">
        <f ca="1">MIN(100,IF($O$5&gt;80,0+30*($AG159/100),IF($O$5&gt;70,0+50*($AG159/100),IF($O$5&gt;60,5+50*($AG159/100),IF($O$5&gt;50,10+60*($AG159/100),IF($O$5&gt;40,15+70*($AG159/100),IF($O$5&gt;30,20+70*($AG159/100),IF($O$5&gt;20,40+55*($AG159/100),(80+(20-$O$5)+30*($AG159/100))))))))))</f>
        <v>100</v>
      </c>
      <c r="AI159" s="262">
        <v>2276</v>
      </c>
      <c r="AJ159" s="262"/>
      <c r="AK159" s="262"/>
      <c r="AL159" s="263"/>
      <c r="AM159" s="264"/>
      <c r="AN159" s="263">
        <v>25</v>
      </c>
      <c r="AO159" s="263"/>
      <c r="AP159" s="265"/>
      <c r="AQ159" s="266">
        <v>3740</v>
      </c>
      <c r="AR159" s="267">
        <v>21039</v>
      </c>
      <c r="AS159" s="263"/>
      <c r="AT159" s="263"/>
      <c r="AU159" s="263"/>
      <c r="AV159" s="264"/>
      <c r="AW159" s="263"/>
      <c r="AX159" s="263"/>
      <c r="AY159" s="263"/>
      <c r="AZ159" s="263"/>
      <c r="BA159" s="263"/>
      <c r="BB159" s="263"/>
      <c r="BC159" s="263"/>
      <c r="BD159" s="264"/>
      <c r="BE159" s="263"/>
      <c r="BF159" s="263"/>
      <c r="BG159" s="263"/>
      <c r="BH159" s="263"/>
      <c r="BI159" s="263"/>
      <c r="BJ159" s="404">
        <f>altaz(J2000_Bas,$O159,$M159,DecLat,DecLong,2)</f>
        <v>359.51939671833384</v>
      </c>
      <c r="BK159" s="378" t="s">
        <v>244</v>
      </c>
      <c r="BL159" s="379">
        <f>IF((2*G159)/60&lt;0.2,0.2,(2*G159)/60)</f>
        <v>0.2</v>
      </c>
      <c r="BM159" s="380">
        <f>MOD((50000+AD159-$B$3+(0/24)),1)</f>
        <v>0.51884556298318785</v>
      </c>
      <c r="BN159" s="381"/>
      <c r="BO159" s="382">
        <v>159</v>
      </c>
    </row>
    <row r="160" spans="1:67" s="24" customFormat="1" ht="15" customHeight="1" x14ac:dyDescent="0.25">
      <c r="A160" s="288" t="s">
        <v>245</v>
      </c>
      <c r="B160" s="241" t="str">
        <f>HYPERLINK(CONCATENATE($AT$3,BK160,$AU$3),$AV$3)</f>
        <v>S</v>
      </c>
      <c r="C160" s="242" t="str">
        <f>HYPERLINK(CONCATENATE($AT$4,BK160,$AU$4,BL160),$AV$4)</f>
        <v>A</v>
      </c>
      <c r="D160" s="243" t="s">
        <v>5638</v>
      </c>
      <c r="E160" s="244" t="s">
        <v>5192</v>
      </c>
      <c r="F160" s="269" t="s">
        <v>8713</v>
      </c>
      <c r="G160" s="273">
        <v>4</v>
      </c>
      <c r="H160" s="283">
        <v>80</v>
      </c>
      <c r="I160" s="246">
        <v>90</v>
      </c>
      <c r="J160" s="246">
        <v>3</v>
      </c>
      <c r="K160" s="247" t="s">
        <v>3826</v>
      </c>
      <c r="L160" s="248">
        <v>112102</v>
      </c>
      <c r="M160" s="249">
        <f>15*(LEFT(TEXT($L160,"000000"),2)+(MID(TEXT($L160,"000000"),3,2)/60)+(RIGHT(TEXT($L160,"000000"),2)/3600))</f>
        <v>170.25833333333333</v>
      </c>
      <c r="N160" s="250">
        <v>531000</v>
      </c>
      <c r="O160" s="251">
        <f>IF($N160&gt;0,(LEFT(TEXT($N160,"000000"),2)+(MID(TEXT($N160,"000000"),3,2)/60)+(RIGHT(TEXT($N160,"000000"),2)/3600)),-(MID(TEXT($N160,"000000"),2,2)+(MID(TEXT($N160,"000000"),4,2)/60)+(RIGHT(TEXT($N160,"000000"),2)/3600)))</f>
        <v>53.166666666666664</v>
      </c>
      <c r="P160" s="252" t="s">
        <v>37</v>
      </c>
      <c r="Q160" s="253"/>
      <c r="R160" s="247" t="s">
        <v>3557</v>
      </c>
      <c r="S160" s="272" t="s">
        <v>3293</v>
      </c>
      <c r="T160" s="273">
        <v>10.4</v>
      </c>
      <c r="U160" s="289">
        <v>22.59</v>
      </c>
      <c r="V160" s="280">
        <v>15</v>
      </c>
      <c r="W160" s="244"/>
      <c r="X160" s="244"/>
      <c r="Y160" s="362"/>
      <c r="Z160" s="257">
        <f>altaz(J2000_Bas,$O160,$M160,DecLat,DecLong,1)</f>
        <v>10.896093121083682</v>
      </c>
      <c r="AA160" s="257">
        <f>altaz((J2000_Bas+(2*0.04167)),$O160,$M160,DecLat,DecLong,1)</f>
        <v>-0.7404860808819349</v>
      </c>
      <c r="AB160" s="257">
        <f>altaz((J2000_Bas+(4*0.04167)),$O160,$M160,DecLat,DecLong,1)</f>
        <v>-5.7580906520165493</v>
      </c>
      <c r="AC160" s="257">
        <f>altaz((J2000_Bas+(6*0.04167)),$O160,$M160,DecLat,DecLong,1)</f>
        <v>-2.8451754943708778</v>
      </c>
      <c r="AD160" s="258">
        <f>1+ transit((J2000_Bas-1),$O160,$M160,DecLat,DecLong)/360 + (GMTOffset/24) + (IF(DST="Y", 1, 0)/24)</f>
        <v>1.4658397281505413</v>
      </c>
      <c r="AE160" s="259">
        <f>DATE(2001,9,21)+(M160/360)*365 - (360*((DecLong/360)- (GMTOffset/24) ))</f>
        <v>37332.623032407406</v>
      </c>
      <c r="AF160" s="260">
        <f>IF(DecLat&gt;0,IF((90 - (DecLat-O160))&gt;90, (90 - (O160-DecLat)), (90 - (DecLat-O160))),IF((90 + (DecLat-O160))&gt;90, (90 + (O160-DecLat)), (90 + (DecLat-O160))))</f>
        <v>67.833333333333343</v>
      </c>
      <c r="AG160" s="257">
        <f>angularseperation(MoonRA,MoonDec,$M160,$O160)</f>
        <v>105.21359841249517</v>
      </c>
      <c r="AH160" s="261">
        <f ca="1">MIN(100,IF($O$5&gt;80,0+30*($AG160/100),IF($O$5&gt;70,0+50*($AG160/100),IF($O$5&gt;60,5+50*($AG160/100),IF($O$5&gt;50,10+60*($AG160/100),IF($O$5&gt;40,15+70*($AG160/100),IF($O$5&gt;30,20+70*($AG160/100),IF($O$5&gt;20,40+55*($AG160/100),(80+(20-$O$5)+30*($AG160/100))))))))))</f>
        <v>100</v>
      </c>
      <c r="AI160" s="262">
        <v>3631</v>
      </c>
      <c r="AJ160" s="262"/>
      <c r="AK160" s="262">
        <v>176</v>
      </c>
      <c r="AL160" s="263"/>
      <c r="AM160" s="264"/>
      <c r="AN160" s="263">
        <v>27</v>
      </c>
      <c r="AO160" s="263"/>
      <c r="AP160" s="265"/>
      <c r="AQ160" s="266">
        <v>6360</v>
      </c>
      <c r="AR160" s="267">
        <v>34767</v>
      </c>
      <c r="AS160" s="263"/>
      <c r="AT160" s="263"/>
      <c r="AU160" s="263"/>
      <c r="AV160" s="264"/>
      <c r="AW160" s="263"/>
      <c r="AX160" s="263"/>
      <c r="AY160" s="263"/>
      <c r="AZ160" s="263"/>
      <c r="BA160" s="263"/>
      <c r="BB160" s="263"/>
      <c r="BC160" s="263"/>
      <c r="BD160" s="264"/>
      <c r="BE160" s="263"/>
      <c r="BF160" s="263"/>
      <c r="BG160" s="263"/>
      <c r="BH160" s="263"/>
      <c r="BI160" s="263"/>
      <c r="BJ160" s="404">
        <f>altaz(J2000_Bas,$O160,$M160,DecLat,DecLong,2)</f>
        <v>326.63993467559976</v>
      </c>
      <c r="BK160" s="378" t="s">
        <v>245</v>
      </c>
      <c r="BL160" s="379">
        <f>IF((2*G160)/60&lt;0.2,0.2,(2*G160)/60)</f>
        <v>0.2</v>
      </c>
      <c r="BM160" s="380">
        <f>MOD((50000+AD160-$B$3+(0/24)),1)</f>
        <v>0.68120665785681922</v>
      </c>
      <c r="BN160" s="381"/>
      <c r="BO160" s="382">
        <v>160</v>
      </c>
    </row>
    <row r="161" spans="1:67" s="24" customFormat="1" ht="15" customHeight="1" x14ac:dyDescent="0.25">
      <c r="A161" s="288" t="s">
        <v>246</v>
      </c>
      <c r="B161" s="241" t="str">
        <f>HYPERLINK(CONCATENATE($AT$3,BK161,$AU$3),$AV$3)</f>
        <v>S</v>
      </c>
      <c r="C161" s="242" t="str">
        <f>HYPERLINK(CONCATENATE($AT$4,BK161,$AU$4,BL161),$AV$4)</f>
        <v>A</v>
      </c>
      <c r="D161" s="243" t="s">
        <v>5638</v>
      </c>
      <c r="E161" s="244" t="s">
        <v>5192</v>
      </c>
      <c r="F161" s="269" t="s">
        <v>8891</v>
      </c>
      <c r="G161" s="273">
        <v>2.4</v>
      </c>
      <c r="H161" s="283">
        <v>150</v>
      </c>
      <c r="I161" s="246">
        <v>100</v>
      </c>
      <c r="J161" s="246">
        <v>2</v>
      </c>
      <c r="K161" s="247" t="s">
        <v>3827</v>
      </c>
      <c r="L161" s="248">
        <v>232827</v>
      </c>
      <c r="M161" s="249">
        <f>15*(LEFT(TEXT($L161,"000000"),2)+(MID(TEXT($L161,"000000"),3,2)/60)+(RIGHT(TEXT($L161,"000000"),2)/3600))</f>
        <v>352.11249999999995</v>
      </c>
      <c r="N161" s="250">
        <v>222500</v>
      </c>
      <c r="O161" s="251">
        <f>IF($N161&gt;0,(LEFT(TEXT($N161,"000000"),2)+(MID(TEXT($N161,"000000"),3,2)/60)+(RIGHT(TEXT($N161,"000000"),2)/3600)),-(MID(TEXT($N161,"000000"),2,2)+(MID(TEXT($N161,"000000"),4,2)/60)+(RIGHT(TEXT($N161,"000000"),2)/3600)))</f>
        <v>22.416666666666668</v>
      </c>
      <c r="P161" s="252" t="s">
        <v>39</v>
      </c>
      <c r="Q161" s="253"/>
      <c r="R161" s="247" t="s">
        <v>3701</v>
      </c>
      <c r="S161" s="272" t="s">
        <v>3293</v>
      </c>
      <c r="T161" s="273">
        <v>11.8</v>
      </c>
      <c r="U161" s="289">
        <v>22.09</v>
      </c>
      <c r="V161" s="280">
        <v>45</v>
      </c>
      <c r="W161" s="244"/>
      <c r="X161" s="244"/>
      <c r="Y161" s="362"/>
      <c r="Z161" s="257">
        <f>altaz(J2000_Bas,$O161,$M161,DecLat,DecLong,1)</f>
        <v>31.152105880937281</v>
      </c>
      <c r="AA161" s="257">
        <f>altaz((J2000_Bas+(2*0.04167)),$O161,$M161,DecLat,DecLong,1)</f>
        <v>56.851880821736472</v>
      </c>
      <c r="AB161" s="257">
        <f>altaz((J2000_Bas+(4*0.04167)),$O161,$M161,DecLat,DecLong,1)</f>
        <v>79.913408375063739</v>
      </c>
      <c r="AC161" s="257">
        <f>altaz((J2000_Bas+(6*0.04167)),$O161,$M161,DecLat,DecLong,1)</f>
        <v>66.850573260614254</v>
      </c>
      <c r="AD161" s="258">
        <f>1+ transit((J2000_Bas-1),$O161,$M161,DecLat,DecLong)/360 + (GMTOffset/24) + (IF(DST="Y", 1, 0)/24)</f>
        <v>1.970990140598458</v>
      </c>
      <c r="AE161" s="259">
        <f>DATE(2001,9,21)+(M161/360)*365 - (360*((DecLong/360)- (GMTOffset/24) ))</f>
        <v>37517.002951388888</v>
      </c>
      <c r="AF161" s="260">
        <f>IF(DecLat&gt;0,IF((90 - (DecLat-O161))&gt;90, (90 - (O161-DecLat)), (90 - (DecLat-O161))),IF((90 + (DecLat-O161))&gt;90, (90 + (O161-DecLat)), (90 + (DecLat-O161))))</f>
        <v>81.416666666666671</v>
      </c>
      <c r="AG161" s="257">
        <f>angularseperation(MoonRA,MoonDec,$M161,$O161)</f>
        <v>110.91358484415866</v>
      </c>
      <c r="AH161" s="261">
        <f ca="1">MIN(100,IF($O$5&gt;80,0+30*($AG161/100),IF($O$5&gt;70,0+50*($AG161/100),IF($O$5&gt;60,5+50*($AG161/100),IF($O$5&gt;50,10+60*($AG161/100),IF($O$5&gt;40,15+70*($AG161/100),IF($O$5&gt;30,20+70*($AG161/100),IF($O$5&gt;20,40+55*($AG161/100),(80+(20-$O$5)+30*($AG161/100))))))))))</f>
        <v>100</v>
      </c>
      <c r="AI161" s="262">
        <v>7678</v>
      </c>
      <c r="AJ161" s="262"/>
      <c r="AK161" s="262"/>
      <c r="AL161" s="263"/>
      <c r="AM161" s="264"/>
      <c r="AN161" s="263">
        <v>28</v>
      </c>
      <c r="AO161" s="263"/>
      <c r="AP161" s="265"/>
      <c r="AQ161" s="266">
        <v>12614</v>
      </c>
      <c r="AR161" s="267">
        <v>71534</v>
      </c>
      <c r="AS161" s="263"/>
      <c r="AT161" s="263"/>
      <c r="AU161" s="263"/>
      <c r="AV161" s="264"/>
      <c r="AW161" s="263"/>
      <c r="AX161" s="263"/>
      <c r="AY161" s="263"/>
      <c r="AZ161" s="263"/>
      <c r="BA161" s="263"/>
      <c r="BB161" s="263"/>
      <c r="BC161" s="263"/>
      <c r="BD161" s="264"/>
      <c r="BE161" s="263"/>
      <c r="BF161" s="263"/>
      <c r="BG161" s="263"/>
      <c r="BH161" s="263"/>
      <c r="BI161" s="263"/>
      <c r="BJ161" s="404">
        <f>altaz(J2000_Bas,$O161,$M161,DecLat,DecLong,2)</f>
        <v>80.988156572203593</v>
      </c>
      <c r="BK161" s="378" t="s">
        <v>246</v>
      </c>
      <c r="BL161" s="379">
        <f>IF((2*G161)/60&lt;0.2,0.2,(2*G161)/60)</f>
        <v>0.2</v>
      </c>
      <c r="BM161" s="380">
        <f>MOD((50000+AD161-$B$3+(0/24)),1)</f>
        <v>0.18635707029898185</v>
      </c>
      <c r="BN161" s="381"/>
      <c r="BO161" s="382">
        <v>161</v>
      </c>
    </row>
    <row r="162" spans="1:67" s="24" customFormat="1" ht="15" customHeight="1" x14ac:dyDescent="0.25">
      <c r="A162" s="288" t="s">
        <v>247</v>
      </c>
      <c r="B162" s="241" t="str">
        <f>HYPERLINK(CONCATENATE($AT$3,BK162,$AU$3),$AV$3)</f>
        <v>S</v>
      </c>
      <c r="C162" s="242" t="str">
        <f>HYPERLINK(CONCATENATE($AT$4,BK162,$AU$4,BL162),$AV$4)</f>
        <v>A</v>
      </c>
      <c r="D162" s="243" t="s">
        <v>5638</v>
      </c>
      <c r="E162" s="244" t="s">
        <v>5178</v>
      </c>
      <c r="F162" s="269"/>
      <c r="G162" s="273">
        <v>1</v>
      </c>
      <c r="H162" s="283">
        <v>380</v>
      </c>
      <c r="I162" s="246">
        <v>110</v>
      </c>
      <c r="J162" s="246">
        <v>2</v>
      </c>
      <c r="K162" s="247" t="s">
        <v>3828</v>
      </c>
      <c r="L162" s="248">
        <v>172242</v>
      </c>
      <c r="M162" s="249">
        <f>15*(LEFT(TEXT($L162,"000000"),2)+(MID(TEXT($L162,"000000"),3,2)/60)+(RIGHT(TEXT($L162,"000000"),2)/3600))</f>
        <v>260.67500000000001</v>
      </c>
      <c r="N162" s="250">
        <v>621000</v>
      </c>
      <c r="O162" s="251">
        <f>IF($N162&gt;0,(LEFT(TEXT($N162,"000000"),2)+(MID(TEXT($N162,"000000"),3,2)/60)+(RIGHT(TEXT($N162,"000000"),2)/3600)),-(MID(TEXT($N162,"000000"),2,2)+(MID(TEXT($N162,"000000"),4,2)/60)+(RIGHT(TEXT($N162,"000000"),2)/3600)))</f>
        <v>62.166666666666664</v>
      </c>
      <c r="P162" s="252" t="s">
        <v>34</v>
      </c>
      <c r="Q162" s="253"/>
      <c r="R162" s="247" t="s">
        <v>3654</v>
      </c>
      <c r="S162" s="272" t="s">
        <v>3293</v>
      </c>
      <c r="T162" s="273">
        <v>14.2</v>
      </c>
      <c r="U162" s="289">
        <v>21.29</v>
      </c>
      <c r="V162" s="280"/>
      <c r="W162" s="244"/>
      <c r="X162" s="244"/>
      <c r="Y162" s="362"/>
      <c r="Z162" s="257">
        <f>altaz(J2000_Bas,$O162,$M162,DecLat,DecLong,1)</f>
        <v>54.805042277737897</v>
      </c>
      <c r="AA162" s="257">
        <f>altaz((J2000_Bas+(2*0.04167)),$O162,$M162,DecLat,DecLong,1)</f>
        <v>43.050382285036683</v>
      </c>
      <c r="AB162" s="257">
        <f>altaz((J2000_Bas+(4*0.04167)),$O162,$M162,DecLat,DecLong,1)</f>
        <v>29.135471955997819</v>
      </c>
      <c r="AC162" s="257">
        <f>altaz((J2000_Bas+(6*0.04167)),$O162,$M162,DecLat,DecLong,1)</f>
        <v>16.418132473508759</v>
      </c>
      <c r="AD162" s="258">
        <f>1+ transit((J2000_Bas-1),$O162,$M162,DecLat,DecLong)/360 + (GMTOffset/24) + (IF(DST="Y", 1, 0)/24)</f>
        <v>1.7169971104422082</v>
      </c>
      <c r="AE162" s="259">
        <f>DATE(2001,9,21)+(M162/360)*365 - (360*((DecLong/360)- (GMTOffset/24) ))</f>
        <v>37424.295486111114</v>
      </c>
      <c r="AF162" s="260">
        <f>IF(DecLat&gt;0,IF((90 - (DecLat-O162))&gt;90, (90 - (O162-DecLat)), (90 - (DecLat-O162))),IF((90 + (DecLat-O162))&gt;90, (90 + (O162-DecLat)), (90 + (DecLat-O162))))</f>
        <v>58.833333333333336</v>
      </c>
      <c r="AG162" s="257">
        <f>angularseperation(MoonRA,MoonDec,$M162,$O162)</f>
        <v>89.723401467022015</v>
      </c>
      <c r="AH162" s="261">
        <f ca="1">MIN(100,IF($O$5&gt;80,0+30*($AG162/100),IF($O$5&gt;70,0+50*($AG162/100),IF($O$5&gt;60,5+50*($AG162/100),IF($O$5&gt;50,10+60*($AG162/100),IF($O$5&gt;40,15+70*($AG162/100),IF($O$5&gt;30,20+70*($AG162/100),IF($O$5&gt;20,40+55*($AG162/100),(80+(20-$O$5)+30*($AG162/100))))))))))</f>
        <v>100</v>
      </c>
      <c r="AI162" s="262">
        <v>6365</v>
      </c>
      <c r="AJ162" s="262"/>
      <c r="AK162" s="262"/>
      <c r="AL162" s="263"/>
      <c r="AM162" s="264"/>
      <c r="AN162" s="263">
        <v>30</v>
      </c>
      <c r="AO162" s="263"/>
      <c r="AP162" s="265"/>
      <c r="AQ162" s="266">
        <v>10833</v>
      </c>
      <c r="AR162" s="267">
        <v>60171</v>
      </c>
      <c r="AS162" s="263"/>
      <c r="AT162" s="263"/>
      <c r="AU162" s="263"/>
      <c r="AV162" s="264"/>
      <c r="AW162" s="263"/>
      <c r="AX162" s="263"/>
      <c r="AY162" s="263"/>
      <c r="AZ162" s="263"/>
      <c r="BA162" s="263"/>
      <c r="BB162" s="263"/>
      <c r="BC162" s="263"/>
      <c r="BD162" s="264"/>
      <c r="BE162" s="263"/>
      <c r="BF162" s="263"/>
      <c r="BG162" s="263"/>
      <c r="BH162" s="263"/>
      <c r="BI162" s="263"/>
      <c r="BJ162" s="404">
        <f>altaz(J2000_Bas,$O162,$M162,DecLat,DecLong,2)</f>
        <v>339.72358829152614</v>
      </c>
      <c r="BK162" s="378" t="s">
        <v>247</v>
      </c>
      <c r="BL162" s="379">
        <f>IF((2*G162)/60&lt;0.2,0.2,(2*G162)/60)</f>
        <v>0.2</v>
      </c>
      <c r="BM162" s="380">
        <f>MOD((50000+AD162-$B$3+(0/24)),1)</f>
        <v>0.93236404014896834</v>
      </c>
      <c r="BN162" s="381"/>
      <c r="BO162" s="382">
        <v>162</v>
      </c>
    </row>
    <row r="163" spans="1:67" s="24" customFormat="1" ht="15" customHeight="1" x14ac:dyDescent="0.25">
      <c r="A163" s="288" t="s">
        <v>248</v>
      </c>
      <c r="B163" s="241" t="str">
        <f>HYPERLINK(CONCATENATE($AT$3,BK163,$AU$3),$AV$3)</f>
        <v>S</v>
      </c>
      <c r="C163" s="242" t="str">
        <f>HYPERLINK(CONCATENATE($AT$4,BK163,$AU$4,BL163),$AV$4)</f>
        <v>A</v>
      </c>
      <c r="D163" s="243" t="s">
        <v>5638</v>
      </c>
      <c r="E163" s="244" t="s">
        <v>5192</v>
      </c>
      <c r="F163" s="269" t="s">
        <v>8891</v>
      </c>
      <c r="G163" s="273">
        <v>3</v>
      </c>
      <c r="H163" s="283">
        <v>70</v>
      </c>
      <c r="I163" s="246">
        <v>60</v>
      </c>
      <c r="J163" s="246">
        <v>3</v>
      </c>
      <c r="K163" s="247" t="s">
        <v>3829</v>
      </c>
      <c r="L163" s="248">
        <v>15108</v>
      </c>
      <c r="M163" s="249">
        <f>15*(LEFT(TEXT($L163,"000000"),2)+(MID(TEXT($L163,"000000"),3,2)/60)+(RIGHT(TEXT($L163,"000000"),2)/3600))</f>
        <v>27.783333333333331</v>
      </c>
      <c r="N163" s="250">
        <v>215400</v>
      </c>
      <c r="O163" s="251">
        <f>IF($N163&gt;0,(LEFT(TEXT($N163,"000000"),2)+(MID(TEXT($N163,"000000"),3,2)/60)+(RIGHT(TEXT($N163,"000000"),2)/3600)),-(MID(TEXT($N163,"000000"),2,2)+(MID(TEXT($N163,"000000"),4,2)/60)+(RIGHT(TEXT($N163,"000000"),2)/3600)))</f>
        <v>21.9</v>
      </c>
      <c r="P163" s="252" t="s">
        <v>249</v>
      </c>
      <c r="Q163" s="253"/>
      <c r="R163" s="247" t="s">
        <v>3712</v>
      </c>
      <c r="S163" s="272" t="s">
        <v>3293</v>
      </c>
      <c r="T163" s="273">
        <v>13.1</v>
      </c>
      <c r="U163" s="289">
        <v>23.69</v>
      </c>
      <c r="V163" s="280">
        <v>30</v>
      </c>
      <c r="W163" s="244"/>
      <c r="X163" s="244"/>
      <c r="Y163" s="362"/>
      <c r="Z163" s="257">
        <f>altaz(J2000_Bas,$O163,$M163,DecLat,DecLong,1)</f>
        <v>1.7034901355306129</v>
      </c>
      <c r="AA163" s="257">
        <f>altaz((J2000_Bas+(2*0.04167)),$O163,$M163,DecLat,DecLong,1)</f>
        <v>26.223581486629378</v>
      </c>
      <c r="AB163" s="257">
        <f>altaz((J2000_Bas+(4*0.04167)),$O163,$M163,DecLat,DecLong,1)</f>
        <v>51.880761474962007</v>
      </c>
      <c r="AC163" s="257">
        <f>altaz((J2000_Bas+(6*0.04167)),$O163,$M163,DecLat,DecLong,1)</f>
        <v>76.257383655886329</v>
      </c>
      <c r="AD163" s="258">
        <f>1+ transit((J2000_Bas-1),$O163,$M163,DecLat,DecLong)/360 + (GMTOffset/24) + (IF(DST="Y", 1, 0)/24)</f>
        <v>1.0700758788380413</v>
      </c>
      <c r="AE163" s="259">
        <f>DATE(2001,9,21)+(M163/360)*365 - (360*((DecLong/360)- (GMTOffset/24) ))</f>
        <v>37188.169212962966</v>
      </c>
      <c r="AF163" s="260">
        <f>IF(DecLat&gt;0,IF((90 - (DecLat-O163))&gt;90, (90 - (O163-DecLat)), (90 - (DecLat-O163))),IF((90 + (DecLat-O163))&gt;90, (90 + (O163-DecLat)), (90 + (DecLat-O163))))</f>
        <v>80.900000000000006</v>
      </c>
      <c r="AG163" s="257">
        <f>angularseperation(MoonRA,MoonDec,$M163,$O163)</f>
        <v>142.0847128108114</v>
      </c>
      <c r="AH163" s="261">
        <f ca="1">MIN(100,IF($O$5&gt;80,0+30*($AG163/100),IF($O$5&gt;70,0+50*($AG163/100),IF($O$5&gt;60,5+50*($AG163/100),IF($O$5&gt;50,10+60*($AG163/100),IF($O$5&gt;40,15+70*($AG163/100),IF($O$5&gt;30,20+70*($AG163/100),IF($O$5&gt;20,40+55*($AG163/100),(80+(20-$O$5)+30*($AG163/100))))))))))</f>
        <v>100</v>
      </c>
      <c r="AI163" s="262"/>
      <c r="AJ163" s="262">
        <v>167</v>
      </c>
      <c r="AK163" s="262"/>
      <c r="AL163" s="263"/>
      <c r="AM163" s="264"/>
      <c r="AN163" s="263">
        <v>31</v>
      </c>
      <c r="AO163" s="263"/>
      <c r="AP163" s="265"/>
      <c r="AQ163" s="266">
        <v>1313</v>
      </c>
      <c r="AR163" s="267">
        <v>6833</v>
      </c>
      <c r="AS163" s="263"/>
      <c r="AT163" s="263"/>
      <c r="AU163" s="263"/>
      <c r="AV163" s="264"/>
      <c r="AW163" s="263"/>
      <c r="AX163" s="263"/>
      <c r="AY163" s="263"/>
      <c r="AZ163" s="263"/>
      <c r="BA163" s="263"/>
      <c r="BB163" s="263"/>
      <c r="BC163" s="263"/>
      <c r="BD163" s="264"/>
      <c r="BE163" s="263"/>
      <c r="BF163" s="263"/>
      <c r="BG163" s="263"/>
      <c r="BH163" s="263"/>
      <c r="BI163" s="263"/>
      <c r="BJ163" s="404">
        <f>altaz(J2000_Bas,$O163,$M163,DecLat,DecLong,2)</f>
        <v>65.325503428362978</v>
      </c>
      <c r="BK163" s="378" t="s">
        <v>248</v>
      </c>
      <c r="BL163" s="379">
        <f>IF((2*G163)/60&lt;0.2,0.2,(2*G163)/60)</f>
        <v>0.2</v>
      </c>
      <c r="BM163" s="380">
        <f>MOD((50000+AD163-$B$3+(0/24)),1)</f>
        <v>0.28544280854112003</v>
      </c>
      <c r="BN163" s="381" t="s">
        <v>9223</v>
      </c>
      <c r="BO163" s="382">
        <v>163</v>
      </c>
    </row>
    <row r="164" spans="1:67" s="24" customFormat="1" ht="15" customHeight="1" x14ac:dyDescent="0.25">
      <c r="A164" s="288" t="s">
        <v>250</v>
      </c>
      <c r="B164" s="241" t="str">
        <f>HYPERLINK(CONCATENATE($AT$3,BK164,$AU$3),$AV$3)</f>
        <v>S</v>
      </c>
      <c r="C164" s="242" t="str">
        <f>HYPERLINK(CONCATENATE($AT$4,BK164,$AU$4,BL164),$AV$4)</f>
        <v>A</v>
      </c>
      <c r="D164" s="243" t="s">
        <v>5638</v>
      </c>
      <c r="E164" s="244" t="s">
        <v>29</v>
      </c>
      <c r="F164" s="269"/>
      <c r="G164" s="273">
        <v>1.1000000000000001</v>
      </c>
      <c r="H164" s="283">
        <v>50</v>
      </c>
      <c r="I164" s="246">
        <v>15</v>
      </c>
      <c r="J164" s="246">
        <v>2</v>
      </c>
      <c r="K164" s="247" t="s">
        <v>3830</v>
      </c>
      <c r="L164" s="248">
        <v>171307</v>
      </c>
      <c r="M164" s="249">
        <f>15*(LEFT(TEXT($L164,"000000"),2)+(MID(TEXT($L164,"000000"),3,2)/60)+(RIGHT(TEXT($L164,"000000"),2)/3600))</f>
        <v>258.27916666666664</v>
      </c>
      <c r="N164" s="250">
        <v>591900</v>
      </c>
      <c r="O164" s="251">
        <f>IF($N164&gt;0,(LEFT(TEXT($N164,"000000"),2)+(MID(TEXT($N164,"000000"),3,2)/60)+(RIGHT(TEXT($N164,"000000"),2)/3600)),-(MID(TEXT($N164,"000000"),2,2)+(MID(TEXT($N164,"000000"),4,2)/60)+(RIGHT(TEXT($N164,"000000"),2)/3600)))</f>
        <v>59.31666666666667</v>
      </c>
      <c r="P164" s="252" t="s">
        <v>34</v>
      </c>
      <c r="Q164" s="253"/>
      <c r="R164" s="247" t="s">
        <v>3293</v>
      </c>
      <c r="S164" s="272" t="s">
        <v>3293</v>
      </c>
      <c r="T164" s="273">
        <v>14</v>
      </c>
      <c r="U164" s="274"/>
      <c r="V164" s="280"/>
      <c r="W164" s="244"/>
      <c r="X164" s="244"/>
      <c r="Y164" s="362"/>
      <c r="Z164" s="257">
        <f>altaz(J2000_Bas,$O164,$M164,DecLat,DecLong,1)</f>
        <v>56.111742607651912</v>
      </c>
      <c r="AA164" s="257">
        <f>altaz((J2000_Bas+(2*0.04167)),$O164,$M164,DecLat,DecLong,1)</f>
        <v>42.52912122215902</v>
      </c>
      <c r="AB164" s="257">
        <f>altaz((J2000_Bas+(4*0.04167)),$O164,$M164,DecLat,DecLong,1)</f>
        <v>27.323769847826743</v>
      </c>
      <c r="AC164" s="257">
        <f>altaz((J2000_Bas+(6*0.04167)),$O164,$M164,DecLat,DecLong,1)</f>
        <v>13.753058853351844</v>
      </c>
      <c r="AD164" s="258">
        <f>1+ transit((J2000_Bas-1),$O164,$M164,DecLat,DecLong)/360 + (GMTOffset/24) + (IF(DST="Y", 1, 0)/24)</f>
        <v>1.7103420185151246</v>
      </c>
      <c r="AE164" s="259">
        <f>DATE(2001,9,21)+(M164/360)*365 - (360*((DecLong/360)- (GMTOffset/24) ))</f>
        <v>37421.866377314815</v>
      </c>
      <c r="AF164" s="260">
        <f>IF(DecLat&gt;0,IF((90 - (DecLat-O164))&gt;90, (90 - (O164-DecLat)), (90 - (DecLat-O164))),IF((90 + (DecLat-O164))&gt;90, (90 + (O164-DecLat)), (90 + (DecLat-O164))))</f>
        <v>61.68333333333333</v>
      </c>
      <c r="AG164" s="257">
        <f>angularseperation(MoonRA,MoonDec,$M164,$O164)</f>
        <v>86.724485608482226</v>
      </c>
      <c r="AH164" s="261">
        <f ca="1">MIN(100,IF($O$5&gt;80,0+30*($AG164/100),IF($O$5&gt;70,0+50*($AG164/100),IF($O$5&gt;60,5+50*($AG164/100),IF($O$5&gt;50,10+60*($AG164/100),IF($O$5&gt;40,15+70*($AG164/100),IF($O$5&gt;30,20+70*($AG164/100),IF($O$5&gt;20,40+55*($AG164/100),(80+(20-$O$5)+30*($AG164/100))))))))))</f>
        <v>100</v>
      </c>
      <c r="AI164" s="262"/>
      <c r="AJ164" s="262"/>
      <c r="AK164" s="262"/>
      <c r="AL164" s="263"/>
      <c r="AM164" s="264"/>
      <c r="AN164" s="263">
        <v>32</v>
      </c>
      <c r="AO164" s="263"/>
      <c r="AP164" s="265"/>
      <c r="AQ164" s="266">
        <v>10770</v>
      </c>
      <c r="AR164" s="267">
        <v>59862</v>
      </c>
      <c r="AS164" s="263"/>
      <c r="AT164" s="263"/>
      <c r="AU164" s="263"/>
      <c r="AV164" s="264"/>
      <c r="AW164" s="263"/>
      <c r="AX164" s="263"/>
      <c r="AY164" s="263"/>
      <c r="AZ164" s="263"/>
      <c r="BA164" s="263"/>
      <c r="BB164" s="263"/>
      <c r="BC164" s="263"/>
      <c r="BD164" s="264"/>
      <c r="BE164" s="263"/>
      <c r="BF164" s="263"/>
      <c r="BG164" s="263"/>
      <c r="BH164" s="263"/>
      <c r="BI164" s="263"/>
      <c r="BJ164" s="404">
        <f>altaz(J2000_Bas,$O164,$M164,DecLat,DecLong,2)</f>
        <v>334.80151816526416</v>
      </c>
      <c r="BK164" s="378" t="s">
        <v>250</v>
      </c>
      <c r="BL164" s="379">
        <f>IF((2*G164)/60&lt;0.2,0.2,(2*G164)/60)</f>
        <v>0.2</v>
      </c>
      <c r="BM164" s="380">
        <f>MOD((50000+AD164-$B$3+(0/24)),1)</f>
        <v>0.92570894821983529</v>
      </c>
      <c r="BN164" s="381" t="s">
        <v>9223</v>
      </c>
      <c r="BO164" s="382">
        <v>164</v>
      </c>
    </row>
    <row r="165" spans="1:67" s="24" customFormat="1" ht="15" customHeight="1" x14ac:dyDescent="0.25">
      <c r="A165" s="288" t="s">
        <v>251</v>
      </c>
      <c r="B165" s="241" t="str">
        <f>HYPERLINK(CONCATENATE($AT$3,BK165,$AU$3),$AV$3)</f>
        <v>S</v>
      </c>
      <c r="C165" s="242" t="str">
        <f>HYPERLINK(CONCATENATE($AT$4,BK165,$AU$4,BL165),$AV$4)</f>
        <v>A</v>
      </c>
      <c r="D165" s="243" t="s">
        <v>5638</v>
      </c>
      <c r="E165" s="244" t="s">
        <v>5192</v>
      </c>
      <c r="F165" s="269" t="s">
        <v>3306</v>
      </c>
      <c r="G165" s="273">
        <v>1</v>
      </c>
      <c r="H165" s="283">
        <v>330</v>
      </c>
      <c r="I165" s="246">
        <v>100</v>
      </c>
      <c r="J165" s="246">
        <v>2</v>
      </c>
      <c r="K165" s="247" t="s">
        <v>3831</v>
      </c>
      <c r="L165" s="248">
        <v>133728</v>
      </c>
      <c r="M165" s="249">
        <f>15*(LEFT(TEXT($L165,"000000"),2)+(MID(TEXT($L165,"000000"),3,2)/60)+(RIGHT(TEXT($L165,"000000"),2)/3600))</f>
        <v>204.36666666666667</v>
      </c>
      <c r="N165" s="250">
        <v>62500</v>
      </c>
      <c r="O165" s="251">
        <f>IF($N165&gt;0,(LEFT(TEXT($N165,"000000"),2)+(MID(TEXT($N165,"000000"),3,2)/60)+(RIGHT(TEXT($N165,"000000"),2)/3600)),-(MID(TEXT($N165,"000000"),2,2)+(MID(TEXT($N165,"000000"),4,2)/60)+(RIGHT(TEXT($N165,"000000"),2)/3600)))</f>
        <v>6.416666666666667</v>
      </c>
      <c r="P165" s="252" t="s">
        <v>61</v>
      </c>
      <c r="Q165" s="253"/>
      <c r="R165" s="247" t="s">
        <v>3293</v>
      </c>
      <c r="S165" s="272" t="s">
        <v>551</v>
      </c>
      <c r="T165" s="273">
        <v>15</v>
      </c>
      <c r="U165" s="274"/>
      <c r="V165" s="280">
        <v>75</v>
      </c>
      <c r="W165" s="244"/>
      <c r="X165" s="244"/>
      <c r="Y165" s="362"/>
      <c r="Z165" s="257">
        <f>altaz(J2000_Bas,$O165,$M165,DecLat,DecLong,1)</f>
        <v>10.455038936085975</v>
      </c>
      <c r="AA165" s="257">
        <f>altaz((J2000_Bas+(2*0.04167)),$O165,$M165,DecLat,DecLong,1)</f>
        <v>-14.932028249719648</v>
      </c>
      <c r="AB165" s="257">
        <f>altaz((J2000_Bas+(4*0.04167)),$O165,$M165,DecLat,DecLong,1)</f>
        <v>-37.725400341042906</v>
      </c>
      <c r="AC165" s="257">
        <f>altaz((J2000_Bas+(6*0.04167)),$O165,$M165,DecLat,DecLong,1)</f>
        <v>-51.787158197501228</v>
      </c>
      <c r="AD165" s="258">
        <f>1+ transit((J2000_Bas-1),$O165,$M165,DecLat,DecLong)/360 + (GMTOffset/24) + (IF(DST="Y", 1, 0)/24)</f>
        <v>1.5605850890463746</v>
      </c>
      <c r="AE165" s="259">
        <f>DATE(2001,9,21)+(M165/360)*365 - (360*((DecLong/360)- (GMTOffset/24) ))</f>
        <v>37367.205092592594</v>
      </c>
      <c r="AF165" s="260">
        <f>IF(DecLat&gt;0,IF((90 - (DecLat-O165))&gt;90, (90 - (O165-DecLat)), (90 - (DecLat-O165))),IF((90 + (DecLat-O165))&gt;90, (90 + (O165-DecLat)), (90 + (DecLat-O165))))</f>
        <v>65.416666666666671</v>
      </c>
      <c r="AG165" s="257">
        <f>angularseperation(MoonRA,MoonDec,$M165,$O165)</f>
        <v>54.823400218443645</v>
      </c>
      <c r="AH165" s="261">
        <f ca="1">MIN(100,IF($O$5&gt;80,0+30*($AG165/100),IF($O$5&gt;70,0+50*($AG165/100),IF($O$5&gt;60,5+50*($AG165/100),IF($O$5&gt;50,10+60*($AG165/100),IF($O$5&gt;40,15+70*($AG165/100),IF($O$5&gt;30,20+70*($AG165/100),IF($O$5&gt;20,40+55*($AG165/100),(80+(20-$O$5)+30*($AG165/100))))))))))</f>
        <v>99.718080409683523</v>
      </c>
      <c r="AI165" s="262"/>
      <c r="AJ165" s="262"/>
      <c r="AK165" s="262"/>
      <c r="AL165" s="263"/>
      <c r="AM165" s="264"/>
      <c r="AN165" s="263">
        <v>33</v>
      </c>
      <c r="AO165" s="263"/>
      <c r="AP165" s="265"/>
      <c r="AQ165" s="266">
        <v>8613</v>
      </c>
      <c r="AR165" s="267"/>
      <c r="AS165" s="263"/>
      <c r="AT165" s="263"/>
      <c r="AU165" s="263"/>
      <c r="AV165" s="264"/>
      <c r="AW165" s="263"/>
      <c r="AX165" s="263"/>
      <c r="AY165" s="263"/>
      <c r="AZ165" s="263"/>
      <c r="BA165" s="263"/>
      <c r="BB165" s="263"/>
      <c r="BC165" s="263"/>
      <c r="BD165" s="264"/>
      <c r="BE165" s="263"/>
      <c r="BF165" s="263"/>
      <c r="BG165" s="263"/>
      <c r="BH165" s="263"/>
      <c r="BI165" s="263"/>
      <c r="BJ165" s="404">
        <f>altaz(J2000_Bas,$O165,$M165,DecLat,DecLong,2)</f>
        <v>271.24378808383523</v>
      </c>
      <c r="BK165" s="378" t="s">
        <v>251</v>
      </c>
      <c r="BL165" s="379">
        <f>IF((2*G165)/60&lt;0.2,0.2,(2*G165)/60)</f>
        <v>0.2</v>
      </c>
      <c r="BM165" s="380">
        <f>MOD((50000+AD165-$B$3+(0/24)),1)</f>
        <v>0.77595201875374187</v>
      </c>
      <c r="BN165" s="381" t="s">
        <v>9223</v>
      </c>
      <c r="BO165" s="382">
        <v>165</v>
      </c>
    </row>
    <row r="166" spans="1:67" s="24" customFormat="1" ht="15" customHeight="1" x14ac:dyDescent="0.25">
      <c r="A166" s="288" t="s">
        <v>252</v>
      </c>
      <c r="B166" s="241" t="str">
        <f>HYPERLINK(CONCATENATE($AT$3,BK166,$AU$3),$AV$3)</f>
        <v>S</v>
      </c>
      <c r="C166" s="242" t="str">
        <f>HYPERLINK(CONCATENATE($AT$4,BK166,$AU$4,BL166),$AV$4)</f>
        <v>A</v>
      </c>
      <c r="D166" s="243" t="s">
        <v>5638</v>
      </c>
      <c r="E166" s="244" t="s">
        <v>5192</v>
      </c>
      <c r="F166" s="269" t="s">
        <v>8717</v>
      </c>
      <c r="G166" s="273">
        <v>1.5</v>
      </c>
      <c r="H166" s="283">
        <v>210</v>
      </c>
      <c r="I166" s="246">
        <v>90</v>
      </c>
      <c r="J166" s="246">
        <v>2</v>
      </c>
      <c r="K166" s="247" t="s">
        <v>3832</v>
      </c>
      <c r="L166" s="248">
        <v>124137</v>
      </c>
      <c r="M166" s="249">
        <f>15*(LEFT(TEXT($L166,"000000"),2)+(MID(TEXT($L166,"000000"),3,2)/60)+(RIGHT(TEXT($L166,"000000"),2)/3600))</f>
        <v>190.40416666666667</v>
      </c>
      <c r="N166" s="250">
        <v>260400</v>
      </c>
      <c r="O166" s="251">
        <f>IF($N166&gt;0,(LEFT(TEXT($N166,"000000"),2)+(MID(TEXT($N166,"000000"),3,2)/60)+(RIGHT(TEXT($N166,"000000"),2)/3600)),-(MID(TEXT($N166,"000000"),2,2)+(MID(TEXT($N166,"000000"),4,2)/60)+(RIGHT(TEXT($N166,"000000"),2)/3600)))</f>
        <v>26.066666666666666</v>
      </c>
      <c r="P166" s="252" t="s">
        <v>190</v>
      </c>
      <c r="Q166" s="253"/>
      <c r="R166" s="247" t="s">
        <v>3592</v>
      </c>
      <c r="S166" s="272" t="s">
        <v>3293</v>
      </c>
      <c r="T166" s="273">
        <v>15.2</v>
      </c>
      <c r="U166" s="289">
        <v>22.39</v>
      </c>
      <c r="V166" s="280">
        <v>70</v>
      </c>
      <c r="W166" s="244"/>
      <c r="X166" s="244"/>
      <c r="Y166" s="362"/>
      <c r="Z166" s="257">
        <f>altaz(J2000_Bas,$O166,$M166,DecLat,DecLong,1)</f>
        <v>8.6964804459891241</v>
      </c>
      <c r="AA166" s="257">
        <f>altaz((J2000_Bas+(2*0.04167)),$O166,$M166,DecLat,DecLong,1)</f>
        <v>-12.874293348197426</v>
      </c>
      <c r="AB166" s="257">
        <f>altaz((J2000_Bas+(4*0.04167)),$O166,$M166,DecLat,DecLong,1)</f>
        <v>-28.412640721730337</v>
      </c>
      <c r="AC166" s="257">
        <f>altaz((J2000_Bas+(6*0.04167)),$O166,$M166,DecLat,DecLong,1)</f>
        <v>-32.659817444254102</v>
      </c>
      <c r="AD166" s="258">
        <f>1+ transit((J2000_Bas-1),$O166,$M166,DecLat,DecLong)/360 + (GMTOffset/24) + (IF(DST="Y", 1, 0)/24)</f>
        <v>1.5218003707026246</v>
      </c>
      <c r="AE166" s="259">
        <f>DATE(2001,9,21)+(M166/360)*365 - (360*((DecLong/360)- (GMTOffset/24) ))</f>
        <v>37353.048668981479</v>
      </c>
      <c r="AF166" s="260">
        <f>IF(DecLat&gt;0,IF((90 - (DecLat-O166))&gt;90, (90 - (O166-DecLat)), (90 - (DecLat-O166))),IF((90 + (DecLat-O166))&gt;90, (90 + (O166-DecLat)), (90 + (DecLat-O166))))</f>
        <v>85.066666666666663</v>
      </c>
      <c r="AG166" s="257">
        <f>angularseperation(MoonRA,MoonDec,$M166,$O166)</f>
        <v>77.655457920645503</v>
      </c>
      <c r="AH166" s="261">
        <f ca="1">MIN(100,IF($O$5&gt;80,0+30*($AG166/100),IF($O$5&gt;70,0+50*($AG166/100),IF($O$5&gt;60,5+50*($AG166/100),IF($O$5&gt;50,10+60*($AG166/100),IF($O$5&gt;40,15+70*($AG166/100),IF($O$5&gt;30,20+70*($AG166/100),IF($O$5&gt;20,40+55*($AG166/100),(80+(20-$O$5)+30*($AG166/100))))))))))</f>
        <v>100</v>
      </c>
      <c r="AI166" s="262">
        <v>4613</v>
      </c>
      <c r="AJ166" s="262"/>
      <c r="AK166" s="262"/>
      <c r="AL166" s="263"/>
      <c r="AM166" s="264"/>
      <c r="AN166" s="263">
        <v>34</v>
      </c>
      <c r="AO166" s="263"/>
      <c r="AP166" s="265"/>
      <c r="AQ166" s="266"/>
      <c r="AR166" s="267">
        <v>42570</v>
      </c>
      <c r="AS166" s="263"/>
      <c r="AT166" s="263"/>
      <c r="AU166" s="263"/>
      <c r="AV166" s="264"/>
      <c r="AW166" s="263"/>
      <c r="AX166" s="263"/>
      <c r="AY166" s="263"/>
      <c r="AZ166" s="263"/>
      <c r="BA166" s="263"/>
      <c r="BB166" s="263"/>
      <c r="BC166" s="263"/>
      <c r="BD166" s="264"/>
      <c r="BE166" s="263"/>
      <c r="BF166" s="263"/>
      <c r="BG166" s="263"/>
      <c r="BH166" s="263"/>
      <c r="BI166" s="263"/>
      <c r="BJ166" s="404">
        <f>altaz(J2000_Bas,$O166,$M166,DecLat,DecLong,2)</f>
        <v>295.25790791281958</v>
      </c>
      <c r="BK166" s="378" t="s">
        <v>252</v>
      </c>
      <c r="BL166" s="379">
        <f>IF((2*G166)/60&lt;0.2,0.2,(2*G166)/60)</f>
        <v>0.2</v>
      </c>
      <c r="BM166" s="380">
        <f>MOD((50000+AD166-$B$3+(0/24)),1)</f>
        <v>0.73716730040905531</v>
      </c>
      <c r="BN166" s="381" t="s">
        <v>9223</v>
      </c>
      <c r="BO166" s="382">
        <v>166</v>
      </c>
    </row>
    <row r="167" spans="1:67" s="24" customFormat="1" ht="15" customHeight="1" x14ac:dyDescent="0.25">
      <c r="A167" s="288" t="s">
        <v>253</v>
      </c>
      <c r="B167" s="241" t="str">
        <f>HYPERLINK(CONCATENATE($AT$3,BK167,$AU$3),$AV$3)</f>
        <v>S</v>
      </c>
      <c r="C167" s="242" t="str">
        <f>HYPERLINK(CONCATENATE($AT$4,BK167,$AU$4,BL167),$AV$4)</f>
        <v>A</v>
      </c>
      <c r="D167" s="243" t="s">
        <v>5638</v>
      </c>
      <c r="E167" s="244" t="s">
        <v>5192</v>
      </c>
      <c r="F167" s="269" t="s">
        <v>8885</v>
      </c>
      <c r="G167" s="273">
        <v>2</v>
      </c>
      <c r="H167" s="283">
        <v>220</v>
      </c>
      <c r="I167" s="246">
        <v>125</v>
      </c>
      <c r="J167" s="246">
        <v>2</v>
      </c>
      <c r="K167" s="247" t="s">
        <v>3833</v>
      </c>
      <c r="L167" s="248">
        <v>2223</v>
      </c>
      <c r="M167" s="249">
        <f>15*(LEFT(TEXT($L167,"000000"),2)+(MID(TEXT($L167,"000000"),3,2)/60)+(RIGHT(TEXT($L167,"000000"),2)/3600))</f>
        <v>5.5958333333333332</v>
      </c>
      <c r="N167" s="250">
        <v>-11800</v>
      </c>
      <c r="O167" s="251">
        <f>IF($N167&gt;0,(LEFT(TEXT($N167,"000000"),2)+(MID(TEXT($N167,"000000"),3,2)/60)+(RIGHT(TEXT($N167,"000000"),2)/3600)),-(MID(TEXT($N167,"000000"),2,2)+(MID(TEXT($N167,"000000"),4,2)/60)+(RIGHT(TEXT($N167,"000000"),2)/3600)))</f>
        <v>-1.3</v>
      </c>
      <c r="P167" s="252" t="s">
        <v>158</v>
      </c>
      <c r="Q167" s="253"/>
      <c r="R167" s="247" t="s">
        <v>3293</v>
      </c>
      <c r="S167" s="272" t="s">
        <v>3293</v>
      </c>
      <c r="T167" s="273">
        <v>15.5</v>
      </c>
      <c r="U167" s="274"/>
      <c r="V167" s="280">
        <v>65</v>
      </c>
      <c r="W167" s="244"/>
      <c r="X167" s="244"/>
      <c r="Y167" s="362"/>
      <c r="Z167" s="257">
        <f>altaz(J2000_Bas,$O167,$M167,DecLat,DecLong,1)</f>
        <v>8.2278707110528053</v>
      </c>
      <c r="AA167" s="257">
        <f>altaz((J2000_Bas+(2*0.04167)),$O167,$M167,DecLat,DecLong,1)</f>
        <v>33.008194616674039</v>
      </c>
      <c r="AB167" s="257">
        <f>altaz((J2000_Bas+(4*0.04167)),$O167,$M167,DecLat,DecLong,1)</f>
        <v>52.795912727381932</v>
      </c>
      <c r="AC167" s="257">
        <f>altaz((J2000_Bas+(6*0.04167)),$O167,$M167,DecLat,DecLong,1)</f>
        <v>56.147215574636228</v>
      </c>
      <c r="AD167" s="258">
        <f>1+ transit((J2000_Bas-1),$O167,$M167,DecLat,DecLong)/360 + (GMTOffset/24) + (IF(DST="Y", 1, 0)/24)</f>
        <v>1.0084439405567913</v>
      </c>
      <c r="AE167" s="259">
        <f>DATE(2001,9,21)+(M167/360)*365 - (360*((DecLong/360)- (GMTOffset/24) ))</f>
        <v>37165.67355324074</v>
      </c>
      <c r="AF167" s="260">
        <f>IF(DecLat&gt;0,IF((90 - (DecLat-O167))&gt;90, (90 - (O167-DecLat)), (90 - (DecLat-O167))),IF((90 + (DecLat-O167))&gt;90, (90 + (O167-DecLat)), (90 + (DecLat-O167))))</f>
        <v>57.7</v>
      </c>
      <c r="AG167" s="257">
        <f>angularseperation(MoonRA,MoonDec,$M167,$O167)</f>
        <v>112.63153791372254</v>
      </c>
      <c r="AH167" s="261">
        <f ca="1">MIN(100,IF($O$5&gt;80,0+30*($AG167/100),IF($O$5&gt;70,0+50*($AG167/100),IF($O$5&gt;60,5+50*($AG167/100),IF($O$5&gt;50,10+60*($AG167/100),IF($O$5&gt;40,15+70*($AG167/100),IF($O$5&gt;30,20+70*($AG167/100),IF($O$5&gt;20,40+55*($AG167/100),(80+(20-$O$5)+30*($AG167/100))))))))))</f>
        <v>100</v>
      </c>
      <c r="AI167" s="262"/>
      <c r="AJ167" s="262"/>
      <c r="AK167" s="262"/>
      <c r="AL167" s="263"/>
      <c r="AM167" s="264"/>
      <c r="AN167" s="263">
        <v>35</v>
      </c>
      <c r="AO167" s="263"/>
      <c r="AP167" s="265"/>
      <c r="AQ167" s="266">
        <v>212</v>
      </c>
      <c r="AR167" s="267">
        <v>1434</v>
      </c>
      <c r="AS167" s="263"/>
      <c r="AT167" s="263"/>
      <c r="AU167" s="263"/>
      <c r="AV167" s="264"/>
      <c r="AW167" s="263"/>
      <c r="AX167" s="263"/>
      <c r="AY167" s="263"/>
      <c r="AZ167" s="263"/>
      <c r="BA167" s="263"/>
      <c r="BB167" s="263"/>
      <c r="BC167" s="263"/>
      <c r="BD167" s="264"/>
      <c r="BE167" s="263"/>
      <c r="BF167" s="263"/>
      <c r="BG167" s="263"/>
      <c r="BH167" s="263"/>
      <c r="BI167" s="263"/>
      <c r="BJ167" s="404">
        <f>altaz(J2000_Bas,$O167,$M167,DecLat,DecLong,2)</f>
        <v>96.52442632521786</v>
      </c>
      <c r="BK167" s="378" t="s">
        <v>253</v>
      </c>
      <c r="BL167" s="379">
        <f>IF((2*G167)/60&lt;0.2,0.2,(2*G167)/60)</f>
        <v>0.2</v>
      </c>
      <c r="BM167" s="380">
        <f>MOD((50000+AD167-$B$3+(0/24)),1)</f>
        <v>0.22381087025860325</v>
      </c>
      <c r="BN167" s="381"/>
      <c r="BO167" s="382">
        <v>167</v>
      </c>
    </row>
    <row r="168" spans="1:67" s="24" customFormat="1" ht="15" customHeight="1" x14ac:dyDescent="0.25">
      <c r="A168" s="288" t="s">
        <v>254</v>
      </c>
      <c r="B168" s="241" t="str">
        <f>HYPERLINK(CONCATENATE($AT$3,BK168,$AU$3),$AV$3)</f>
        <v>S</v>
      </c>
      <c r="C168" s="242" t="str">
        <f>HYPERLINK(CONCATENATE($AT$4,BK168,$AU$4,BL168),$AV$4)</f>
        <v>A</v>
      </c>
      <c r="D168" s="243" t="s">
        <v>5638</v>
      </c>
      <c r="E168" s="244" t="s">
        <v>5192</v>
      </c>
      <c r="F168" s="269" t="s">
        <v>8885</v>
      </c>
      <c r="G168" s="273">
        <v>1.4</v>
      </c>
      <c r="H168" s="283">
        <v>220</v>
      </c>
      <c r="I168" s="246">
        <v>90</v>
      </c>
      <c r="J168" s="246">
        <v>2</v>
      </c>
      <c r="K168" s="247" t="s">
        <v>3834</v>
      </c>
      <c r="L168" s="248">
        <v>133414</v>
      </c>
      <c r="M168" s="249">
        <f>15*(LEFT(TEXT($L168,"000000"),2)+(MID(TEXT($L168,"000000"),3,2)/60)+(RIGHT(TEXT($L168,"000000"),2)/3600))</f>
        <v>203.55833333333334</v>
      </c>
      <c r="N168" s="250">
        <v>312500</v>
      </c>
      <c r="O168" s="251">
        <f>IF($N168&gt;0,(LEFT(TEXT($N168,"000000"),2)+(MID(TEXT($N168,"000000"),3,2)/60)+(RIGHT(TEXT($N168,"000000"),2)/3600)),-(MID(TEXT($N168,"000000"),2,2)+(MID(TEXT($N168,"000000"),4,2)/60)+(RIGHT(TEXT($N168,"000000"),2)/3600)))</f>
        <v>31.416666666666668</v>
      </c>
      <c r="P168" s="252" t="s">
        <v>242</v>
      </c>
      <c r="Q168" s="253"/>
      <c r="R168" s="247" t="s">
        <v>3293</v>
      </c>
      <c r="S168" s="272" t="s">
        <v>399</v>
      </c>
      <c r="T168" s="273">
        <v>15</v>
      </c>
      <c r="U168" s="274"/>
      <c r="V168" s="280">
        <v>30</v>
      </c>
      <c r="W168" s="244"/>
      <c r="X168" s="244"/>
      <c r="Y168" s="362"/>
      <c r="Z168" s="257">
        <f>altaz(J2000_Bas,$O168,$M168,DecLat,DecLong,1)</f>
        <v>21.386255561670978</v>
      </c>
      <c r="AA168" s="257">
        <f>altaz((J2000_Bas+(2*0.04167)),$O168,$M168,DecLat,DecLong,1)</f>
        <v>-0.67654334110418823</v>
      </c>
      <c r="AB168" s="257">
        <f>altaz((J2000_Bas+(4*0.04167)),$O168,$M168,DecLat,DecLong,1)</f>
        <v>-18.225342013972252</v>
      </c>
      <c r="AC168" s="257">
        <f>altaz((J2000_Bas+(6*0.04167)),$O168,$M168,DecLat,DecLong,1)</f>
        <v>-27.20049428664371</v>
      </c>
      <c r="AD168" s="258">
        <f>1+ transit((J2000_Bas-1),$O168,$M168,DecLat,DecLong)/360 + (GMTOffset/24) + (IF(DST="Y", 1, 0)/24)</f>
        <v>1.5583397189005415</v>
      </c>
      <c r="AE168" s="259">
        <f>DATE(2001,9,21)+(M168/360)*365 - (360*((DecLong/360)- (GMTOffset/24) ))</f>
        <v>37366.38553240741</v>
      </c>
      <c r="AF168" s="260">
        <f>IF(DecLat&gt;0,IF((90 - (DecLat-O168))&gt;90, (90 - (O168-DecLat)), (90 - (DecLat-O168))),IF((90 + (DecLat-O168))&gt;90, (90 + (O168-DecLat)), (90 + (DecLat-O168))))</f>
        <v>89.583333333333329</v>
      </c>
      <c r="AG168" s="257">
        <f>angularseperation(MoonRA,MoonDec,$M168,$O168)</f>
        <v>72.932713552786169</v>
      </c>
      <c r="AH168" s="261">
        <f ca="1">MIN(100,IF($O$5&gt;80,0+30*($AG168/100),IF($O$5&gt;70,0+50*($AG168/100),IF($O$5&gt;60,5+50*($AG168/100),IF($O$5&gt;50,10+60*($AG168/100),IF($O$5&gt;40,15+70*($AG168/100),IF($O$5&gt;30,20+70*($AG168/100),IF($O$5&gt;20,40+55*($AG168/100),(80+(20-$O$5)+30*($AG168/100))))))))))</f>
        <v>100</v>
      </c>
      <c r="AI168" s="262"/>
      <c r="AJ168" s="262"/>
      <c r="AK168" s="262"/>
      <c r="AL168" s="263"/>
      <c r="AM168" s="264"/>
      <c r="AN168" s="263">
        <v>36</v>
      </c>
      <c r="AO168" s="263"/>
      <c r="AP168" s="265"/>
      <c r="AQ168" s="266">
        <v>8548</v>
      </c>
      <c r="AR168" s="267">
        <v>47808</v>
      </c>
      <c r="AS168" s="263"/>
      <c r="AT168" s="263"/>
      <c r="AU168" s="263"/>
      <c r="AV168" s="264"/>
      <c r="AW168" s="263"/>
      <c r="AX168" s="263"/>
      <c r="AY168" s="263"/>
      <c r="AZ168" s="263"/>
      <c r="BA168" s="263"/>
      <c r="BB168" s="263"/>
      <c r="BC168" s="263"/>
      <c r="BD168" s="264"/>
      <c r="BE168" s="263"/>
      <c r="BF168" s="263"/>
      <c r="BG168" s="263"/>
      <c r="BH168" s="263"/>
      <c r="BI168" s="263"/>
      <c r="BJ168" s="404">
        <f>altaz(J2000_Bas,$O168,$M168,DecLat,DecLong,2)</f>
        <v>294.69436874395575</v>
      </c>
      <c r="BK168" s="378" t="s">
        <v>254</v>
      </c>
      <c r="BL168" s="379">
        <f>IF((2*G168)/60&lt;0.2,0.2,(2*G168)/60)</f>
        <v>0.2</v>
      </c>
      <c r="BM168" s="380">
        <f>MOD((50000+AD168-$B$3+(0/24)),1)</f>
        <v>0.77370664860791294</v>
      </c>
      <c r="BN168" s="381" t="s">
        <v>9223</v>
      </c>
      <c r="BO168" s="382">
        <v>168</v>
      </c>
    </row>
    <row r="169" spans="1:67" s="24" customFormat="1" ht="15" customHeight="1" x14ac:dyDescent="0.25">
      <c r="A169" s="288" t="s">
        <v>255</v>
      </c>
      <c r="B169" s="241" t="str">
        <f>HYPERLINK(CONCATENATE($AT$3,BK169,$AU$3),$AV$3)</f>
        <v>S</v>
      </c>
      <c r="C169" s="242" t="str">
        <f>HYPERLINK(CONCATENATE($AT$4,BK169,$AU$4,BL169),$AV$4)</f>
        <v>A</v>
      </c>
      <c r="D169" s="243" t="s">
        <v>5638</v>
      </c>
      <c r="E169" s="244" t="s">
        <v>5192</v>
      </c>
      <c r="F169" s="269" t="s">
        <v>8889</v>
      </c>
      <c r="G169" s="273">
        <v>2</v>
      </c>
      <c r="H169" s="283">
        <v>75</v>
      </c>
      <c r="I169" s="246">
        <v>45</v>
      </c>
      <c r="J169" s="246">
        <v>2</v>
      </c>
      <c r="K169" s="247" t="s">
        <v>3838</v>
      </c>
      <c r="L169" s="248">
        <v>172936</v>
      </c>
      <c r="M169" s="249">
        <f>15*(LEFT(TEXT($L169,"000000"),2)+(MID(TEXT($L169,"000000"),3,2)/60)+(RIGHT(TEXT($L169,"000000"),2)/3600))</f>
        <v>262.40000000000003</v>
      </c>
      <c r="N169" s="250">
        <v>754200</v>
      </c>
      <c r="O169" s="251">
        <f>IF($N169&gt;0,(LEFT(TEXT($N169,"000000"),2)+(MID(TEXT($N169,"000000"),3,2)/60)+(RIGHT(TEXT($N169,"000000"),2)/3600)),-(MID(TEXT($N169,"000000"),2,2)+(MID(TEXT($N169,"000000"),4,2)/60)+(RIGHT(TEXT($N169,"000000"),2)/3600)))</f>
        <v>75.7</v>
      </c>
      <c r="P169" s="252" t="s">
        <v>34</v>
      </c>
      <c r="Q169" s="253"/>
      <c r="R169" s="247" t="s">
        <v>3657</v>
      </c>
      <c r="S169" s="272" t="s">
        <v>3293</v>
      </c>
      <c r="T169" s="273">
        <v>11.8</v>
      </c>
      <c r="U169" s="289">
        <v>22.29</v>
      </c>
      <c r="V169" s="280">
        <v>15</v>
      </c>
      <c r="W169" s="244"/>
      <c r="X169" s="244"/>
      <c r="Y169" s="362"/>
      <c r="Z169" s="257">
        <f>altaz(J2000_Bas,$O169,$M169,DecLat,DecLong,1)</f>
        <v>43.875046554794558</v>
      </c>
      <c r="AA169" s="257">
        <f>altaz((J2000_Bas+(2*0.04167)),$O169,$M169,DecLat,DecLong,1)</f>
        <v>38.642484668722275</v>
      </c>
      <c r="AB169" s="257">
        <f>altaz((J2000_Bas+(4*0.04167)),$O169,$M169,DecLat,DecLong,1)</f>
        <v>31.469826556548988</v>
      </c>
      <c r="AC169" s="257">
        <f>altaz((J2000_Bas+(6*0.04167)),$O169,$M169,DecLat,DecLong,1)</f>
        <v>24.421833520182172</v>
      </c>
      <c r="AD169" s="258">
        <f>1+ transit((J2000_Bas-1),$O169,$M169,DecLat,DecLong)/360 + (GMTOffset/24) + (IF(DST="Y", 1, 0)/24)</f>
        <v>1.721788776629708</v>
      </c>
      <c r="AE169" s="259">
        <f>DATE(2001,9,21)+(M169/360)*365 - (360*((DecLong/360)- (GMTOffset/24) ))</f>
        <v>37426.044444444444</v>
      </c>
      <c r="AF169" s="260">
        <f>IF(DecLat&gt;0,IF((90 - (DecLat-O169))&gt;90, (90 - (O169-DecLat)), (90 - (DecLat-O169))),IF((90 + (DecLat-O169))&gt;90, (90 + (O169-DecLat)), (90 + (DecLat-O169))))</f>
        <v>45.3</v>
      </c>
      <c r="AG169" s="257">
        <f>angularseperation(MoonRA,MoonDec,$M169,$O169)</f>
        <v>103.12353866581688</v>
      </c>
      <c r="AH169" s="261">
        <f ca="1">MIN(100,IF($O$5&gt;80,0+30*($AG169/100),IF($O$5&gt;70,0+50*($AG169/100),IF($O$5&gt;60,5+50*($AG169/100),IF($O$5&gt;50,10+60*($AG169/100),IF($O$5&gt;40,15+70*($AG169/100),IF($O$5&gt;30,20+70*($AG169/100),IF($O$5&gt;20,40+55*($AG169/100),(80+(20-$O$5)+30*($AG169/100))))))))))</f>
        <v>100</v>
      </c>
      <c r="AI169" s="262">
        <v>6412</v>
      </c>
      <c r="AJ169" s="262"/>
      <c r="AK169" s="262"/>
      <c r="AL169" s="263"/>
      <c r="AM169" s="264"/>
      <c r="AN169" s="263">
        <v>38</v>
      </c>
      <c r="AO169" s="263"/>
      <c r="AP169" s="265"/>
      <c r="AQ169" s="266">
        <v>10897</v>
      </c>
      <c r="AR169" s="267">
        <v>60393</v>
      </c>
      <c r="AS169" s="263"/>
      <c r="AT169" s="263"/>
      <c r="AU169" s="263"/>
      <c r="AV169" s="264"/>
      <c r="AW169" s="263"/>
      <c r="AX169" s="263"/>
      <c r="AY169" s="263"/>
      <c r="AZ169" s="263"/>
      <c r="BA169" s="263"/>
      <c r="BB169" s="263"/>
      <c r="BC169" s="263"/>
      <c r="BD169" s="264"/>
      <c r="BE169" s="263"/>
      <c r="BF169" s="263"/>
      <c r="BG169" s="263"/>
      <c r="BH169" s="263"/>
      <c r="BI169" s="263"/>
      <c r="BJ169" s="404">
        <f>altaz(J2000_Bas,$O169,$M169,DecLat,DecLong,2)</f>
        <v>352.1145340761849</v>
      </c>
      <c r="BK169" s="378" t="s">
        <v>255</v>
      </c>
      <c r="BL169" s="379">
        <f>IF((2*G169)/60&lt;0.2,0.2,(2*G169)/60)</f>
        <v>0.2</v>
      </c>
      <c r="BM169" s="380">
        <f>MOD((50000+AD169-$B$3+(0/24)),1)</f>
        <v>0.93715570633503376</v>
      </c>
      <c r="BN169" s="381"/>
      <c r="BO169" s="382">
        <v>169</v>
      </c>
    </row>
    <row r="170" spans="1:67" s="24" customFormat="1" ht="15" customHeight="1" x14ac:dyDescent="0.25">
      <c r="A170" s="288" t="s">
        <v>256</v>
      </c>
      <c r="B170" s="241" t="str">
        <f>HYPERLINK(CONCATENATE($AT$3,BK170,$AU$3),$AV$3)</f>
        <v>S</v>
      </c>
      <c r="C170" s="242" t="str">
        <f>HYPERLINK(CONCATENATE($AT$4,BK170,$AU$4,BL170),$AV$4)</f>
        <v>A</v>
      </c>
      <c r="D170" s="243" t="s">
        <v>5638</v>
      </c>
      <c r="E170" s="244" t="s">
        <v>5192</v>
      </c>
      <c r="F170" s="269" t="s">
        <v>8892</v>
      </c>
      <c r="G170" s="273">
        <v>1.4</v>
      </c>
      <c r="H170" s="283">
        <v>80</v>
      </c>
      <c r="I170" s="246">
        <v>35</v>
      </c>
      <c r="J170" s="246">
        <v>1</v>
      </c>
      <c r="K170" s="247" t="s">
        <v>3839</v>
      </c>
      <c r="L170" s="248">
        <v>32942</v>
      </c>
      <c r="M170" s="249">
        <f>15*(LEFT(TEXT($L170,"000000"),2)+(MID(TEXT($L170,"000000"),3,2)/60)+(RIGHT(TEXT($L170,"000000"),2)/3600))</f>
        <v>52.425000000000004</v>
      </c>
      <c r="N170" s="250">
        <v>-221600</v>
      </c>
      <c r="O170" s="251">
        <f>IF($N170&gt;0,(LEFT(TEXT($N170,"000000"),2)+(MID(TEXT($N170,"000000"),3,2)/60)+(RIGHT(TEXT($N170,"000000"),2)/3600)),-(MID(TEXT($N170,"000000"),2,2)+(MID(TEXT($N170,"000000"),4,2)/60)+(RIGHT(TEXT($N170,"000000"),2)/3600)))</f>
        <v>-22.266666666666666</v>
      </c>
      <c r="P170" s="252" t="s">
        <v>257</v>
      </c>
      <c r="Q170" s="253"/>
      <c r="R170" s="247" t="s">
        <v>3483</v>
      </c>
      <c r="S170" s="272" t="s">
        <v>3293</v>
      </c>
      <c r="T170" s="273">
        <v>13.2</v>
      </c>
      <c r="U170" s="289">
        <v>22.79</v>
      </c>
      <c r="V170" s="280">
        <v>5</v>
      </c>
      <c r="W170" s="244"/>
      <c r="X170" s="244"/>
      <c r="Y170" s="362"/>
      <c r="Z170" s="257">
        <f>altaz(J2000_Bas,$O170,$M170,DecLat,DecLong,1)</f>
        <v>-41.769465948501519</v>
      </c>
      <c r="AA170" s="257">
        <f>altaz((J2000_Bas+(2*0.04167)),$O170,$M170,DecLat,DecLong,1)</f>
        <v>-16.422864272171726</v>
      </c>
      <c r="AB170" s="257">
        <f>altaz((J2000_Bas+(4*0.04167)),$O170,$M170,DecLat,DecLong,1)</f>
        <v>7.1391502351476523</v>
      </c>
      <c r="AC170" s="257">
        <f>altaz((J2000_Bas+(6*0.04167)),$O170,$M170,DecLat,DecLong,1)</f>
        <v>26.43732147360183</v>
      </c>
      <c r="AD170" s="258">
        <f>1+ transit((J2000_Bas-1),$O170,$M170,DecLat,DecLong)/360 + (GMTOffset/24) + (IF(DST="Y", 1, 0)/24)</f>
        <v>1.138524946067208</v>
      </c>
      <c r="AE170" s="259">
        <f>DATE(2001,9,21)+(M170/360)*365 - (360*((DecLong/360)- (GMTOffset/24) ))</f>
        <v>37213.153124999997</v>
      </c>
      <c r="AF170" s="260">
        <f>IF(DecLat&gt;0,IF((90 - (DecLat-O170))&gt;90, (90 - (O170-DecLat)), (90 - (DecLat-O170))),IF((90 + (DecLat-O170))&gt;90, (90 + (O170-DecLat)), (90 + (DecLat-O170))))</f>
        <v>36.733333333333334</v>
      </c>
      <c r="AG170" s="257">
        <f>angularseperation(MoonRA,MoonDec,$M170,$O170)</f>
        <v>128.03841691671377</v>
      </c>
      <c r="AH170" s="261">
        <f ca="1">MIN(100,IF($O$5&gt;80,0+30*($AG170/100),IF($O$5&gt;70,0+50*($AG170/100),IF($O$5&gt;60,5+50*($AG170/100),IF($O$5&gt;50,10+60*($AG170/100),IF($O$5&gt;40,15+70*($AG170/100),IF($O$5&gt;30,20+70*($AG170/100),IF($O$5&gt;20,40+55*($AG170/100),(80+(20-$O$5)+30*($AG170/100))))))))))</f>
        <v>100</v>
      </c>
      <c r="AI170" s="262">
        <v>1347</v>
      </c>
      <c r="AJ170" s="262"/>
      <c r="AK170" s="262"/>
      <c r="AL170" s="263"/>
      <c r="AM170" s="264"/>
      <c r="AN170" s="263">
        <v>39</v>
      </c>
      <c r="AO170" s="263"/>
      <c r="AP170" s="265"/>
      <c r="AQ170" s="266"/>
      <c r="AR170" s="267">
        <v>12989</v>
      </c>
      <c r="AS170" s="263"/>
      <c r="AT170" s="263"/>
      <c r="AU170" s="263"/>
      <c r="AV170" s="264"/>
      <c r="AW170" s="263"/>
      <c r="AX170" s="263"/>
      <c r="AY170" s="263"/>
      <c r="AZ170" s="263"/>
      <c r="BA170" s="263"/>
      <c r="BB170" s="263"/>
      <c r="BC170" s="263"/>
      <c r="BD170" s="264"/>
      <c r="BE170" s="263"/>
      <c r="BF170" s="263"/>
      <c r="BG170" s="263"/>
      <c r="BH170" s="263"/>
      <c r="BI170" s="263"/>
      <c r="BJ170" s="404">
        <f>altaz(J2000_Bas,$O170,$M170,DecLat,DecLong,2)</f>
        <v>93.213113528067282</v>
      </c>
      <c r="BK170" s="378" t="s">
        <v>256</v>
      </c>
      <c r="BL170" s="379">
        <f>IF((2*G170)/60&lt;0.2,0.2,(2*G170)/60)</f>
        <v>0.2</v>
      </c>
      <c r="BM170" s="380">
        <f>MOD((50000+AD170-$B$3+(0/24)),1)</f>
        <v>0.35389187576947734</v>
      </c>
      <c r="BN170" s="381"/>
      <c r="BO170" s="382">
        <v>170</v>
      </c>
    </row>
    <row r="171" spans="1:67" s="24" customFormat="1" ht="15" customHeight="1" x14ac:dyDescent="0.25">
      <c r="A171" s="288" t="s">
        <v>258</v>
      </c>
      <c r="B171" s="241" t="str">
        <f>HYPERLINK(CONCATENATE($AT$3,BK171,$AU$3),$AV$3)</f>
        <v>S</v>
      </c>
      <c r="C171" s="242" t="str">
        <f>HYPERLINK(CONCATENATE($AT$4,BK171,$AU$4,BL171),$AV$4)</f>
        <v>A</v>
      </c>
      <c r="D171" s="243" t="s">
        <v>5638</v>
      </c>
      <c r="E171" s="244" t="s">
        <v>5178</v>
      </c>
      <c r="F171" s="269" t="s">
        <v>8646</v>
      </c>
      <c r="G171" s="270">
        <v>0.5</v>
      </c>
      <c r="H171" s="283">
        <v>800</v>
      </c>
      <c r="I171" s="246">
        <v>120</v>
      </c>
      <c r="J171" s="246">
        <v>0</v>
      </c>
      <c r="K171" s="247" t="s">
        <v>8362</v>
      </c>
      <c r="L171" s="248">
        <v>132920</v>
      </c>
      <c r="M171" s="249">
        <f>15*(LEFT(TEXT($L171,"000000"),2)+(MID(TEXT($L171,"000000"),3,2)/60)+(RIGHT(TEXT($L171,"000000"),2)/3600))</f>
        <v>202.33333333333334</v>
      </c>
      <c r="N171" s="250">
        <v>372400</v>
      </c>
      <c r="O171" s="251">
        <f>IF($N171&gt;0,(LEFT(TEXT($N171,"000000"),2)+(MID(TEXT($N171,"000000"),3,2)/60)+(RIGHT(TEXT($N171,"000000"),2)/3600)),-(MID(TEXT($N171,"000000"),2,2)+(MID(TEXT($N171,"000000"),4,2)/60)+(RIGHT(TEXT($N171,"000000"),2)/3600)))</f>
        <v>37.4</v>
      </c>
      <c r="P171" s="252" t="s">
        <v>242</v>
      </c>
      <c r="Q171" s="253"/>
      <c r="R171" s="247" t="s">
        <v>3743</v>
      </c>
      <c r="S171" s="272" t="s">
        <v>3293</v>
      </c>
      <c r="T171" s="273">
        <v>15</v>
      </c>
      <c r="U171" s="289">
        <v>22.19</v>
      </c>
      <c r="V171" s="280"/>
      <c r="W171" s="244"/>
      <c r="X171" s="244"/>
      <c r="Y171" s="362"/>
      <c r="Z171" s="257">
        <f>altaz(J2000_Bas,$O171,$M171,DecLat,DecLong,1)</f>
        <v>22.824364947375614</v>
      </c>
      <c r="AA171" s="257">
        <f>altaz((J2000_Bas+(2*0.04167)),$O171,$M171,DecLat,DecLong,1)</f>
        <v>2.208215830444292</v>
      </c>
      <c r="AB171" s="257">
        <f>altaz((J2000_Bas+(4*0.04167)),$O171,$M171,DecLat,DecLong,1)</f>
        <v>-13.706253696745804</v>
      </c>
      <c r="AC171" s="257">
        <f>altaz((J2000_Bas+(6*0.04167)),$O171,$M171,DecLat,DecLong,1)</f>
        <v>-21.364380390288915</v>
      </c>
      <c r="AD171" s="258">
        <f>1+ transit((J2000_Bas-1),$O171,$M171,DecLat,DecLong)/360 + (GMTOffset/24) + (IF(DST="Y", 1, 0)/24)</f>
        <v>1.5549369414630414</v>
      </c>
      <c r="AE171" s="259">
        <f>DATE(2001,9,21)+(M171/360)*365 - (360*((DecLong/360)- (GMTOffset/24) ))</f>
        <v>37365.143518518518</v>
      </c>
      <c r="AF171" s="260">
        <f>IF(DecLat&gt;0,IF((90 - (DecLat-O171))&gt;90, (90 - (O171-DecLat)), (90 - (DecLat-O171))),IF((90 + (DecLat-O171))&gt;90, (90 + (O171-DecLat)), (90 + (DecLat-O171))))</f>
        <v>83.6</v>
      </c>
      <c r="AG171" s="257">
        <f>angularseperation(MoonRA,MoonDec,$M171,$O171)</f>
        <v>78.073054585790715</v>
      </c>
      <c r="AH171" s="261">
        <f ca="1">MIN(100,IF($O$5&gt;80,0+30*($AG171/100),IF($O$5&gt;70,0+50*($AG171/100),IF($O$5&gt;60,5+50*($AG171/100),IF($O$5&gt;50,10+60*($AG171/100),IF($O$5&gt;40,15+70*($AG171/100),IF($O$5&gt;30,20+70*($AG171/100),IF($O$5&gt;20,40+55*($AG171/100),(80+(20-$O$5)+30*($AG171/100))))))))))</f>
        <v>100</v>
      </c>
      <c r="AI171" s="262"/>
      <c r="AJ171" s="262">
        <v>4271</v>
      </c>
      <c r="AK171" s="262"/>
      <c r="AL171" s="263"/>
      <c r="AM171" s="264"/>
      <c r="AN171" s="263">
        <v>40</v>
      </c>
      <c r="AO171" s="263"/>
      <c r="AP171" s="265"/>
      <c r="AQ171" s="266"/>
      <c r="AR171" s="267">
        <v>47334</v>
      </c>
      <c r="AS171" s="263"/>
      <c r="AT171" s="263"/>
      <c r="AU171" s="263"/>
      <c r="AV171" s="264"/>
      <c r="AW171" s="263"/>
      <c r="AX171" s="263"/>
      <c r="AY171" s="263"/>
      <c r="AZ171" s="263"/>
      <c r="BA171" s="263"/>
      <c r="BB171" s="263"/>
      <c r="BC171" s="263"/>
      <c r="BD171" s="264"/>
      <c r="BE171" s="263"/>
      <c r="BF171" s="263"/>
      <c r="BG171" s="263"/>
      <c r="BH171" s="263"/>
      <c r="BI171" s="263"/>
      <c r="BJ171" s="404">
        <f>altaz(J2000_Bas,$O171,$M171,DecLat,DecLong,2)</f>
        <v>301.05780638270232</v>
      </c>
      <c r="BK171" s="378" t="s">
        <v>258</v>
      </c>
      <c r="BL171" s="379">
        <f>IF((2*G171)/60&lt;0.2,0.2,(2*G171)/60)</f>
        <v>0.2</v>
      </c>
      <c r="BM171" s="380">
        <f>MOD((50000+AD171-$B$3+(0/24)),1)</f>
        <v>0.77030387116974453</v>
      </c>
      <c r="BN171" s="381"/>
      <c r="BO171" s="382">
        <v>171</v>
      </c>
    </row>
    <row r="172" spans="1:67" s="24" customFormat="1" ht="15" customHeight="1" x14ac:dyDescent="0.25">
      <c r="A172" s="288" t="s">
        <v>259</v>
      </c>
      <c r="B172" s="241" t="str">
        <f>HYPERLINK(CONCATENATE($AT$3,BK172,$AU$3),$AV$3)</f>
        <v>S</v>
      </c>
      <c r="C172" s="242" t="str">
        <f>HYPERLINK(CONCATENATE($AT$4,BK172,$AU$4,BL172),$AV$4)</f>
        <v>A</v>
      </c>
      <c r="D172" s="243" t="s">
        <v>5638</v>
      </c>
      <c r="E172" s="244" t="s">
        <v>5625</v>
      </c>
      <c r="F172" s="290">
        <v>5</v>
      </c>
      <c r="G172" s="291">
        <v>1.7</v>
      </c>
      <c r="H172" s="283">
        <v>270</v>
      </c>
      <c r="I172" s="284">
        <v>130</v>
      </c>
      <c r="J172" s="246">
        <v>3</v>
      </c>
      <c r="K172" s="247" t="s">
        <v>3836</v>
      </c>
      <c r="L172" s="248">
        <v>150242</v>
      </c>
      <c r="M172" s="249">
        <f>15*(LEFT(TEXT($L172,"000000"),2)+(MID(TEXT($L172,"000000"),3,2)/60)+(RIGHT(TEXT($L172,"000000"),2)/3600))</f>
        <v>225.67500000000001</v>
      </c>
      <c r="N172" s="250">
        <v>231900</v>
      </c>
      <c r="O172" s="251">
        <f>IF($N172&gt;0,(LEFT(TEXT($N172,"000000"),2)+(MID(TEXT($N172,"000000"),3,2)/60)+(RIGHT(TEXT($N172,"000000"),2)/3600)),-(MID(TEXT($N172,"000000"),2,2)+(MID(TEXT($N172,"000000"),4,2)/60)+(RIGHT(TEXT($N172,"000000"),2)/3600)))</f>
        <v>23.316666666666666</v>
      </c>
      <c r="P172" s="252" t="s">
        <v>260</v>
      </c>
      <c r="Q172" s="253"/>
      <c r="R172" s="292" t="s">
        <v>4297</v>
      </c>
      <c r="S172" s="272" t="s">
        <v>3293</v>
      </c>
      <c r="T172" s="273">
        <v>12.5</v>
      </c>
      <c r="U172" s="289">
        <v>24.5</v>
      </c>
      <c r="V172" s="280">
        <v>10</v>
      </c>
      <c r="W172" s="244"/>
      <c r="X172" s="244"/>
      <c r="Y172" s="362"/>
      <c r="Z172" s="257">
        <f>altaz(J2000_Bas,$O172,$M172,DecLat,DecLong,1)</f>
        <v>36.408326351415504</v>
      </c>
      <c r="AA172" s="257">
        <f>altaz((J2000_Bas+(2*0.04167)),$O172,$M172,DecLat,DecLong,1)</f>
        <v>11.431485024530913</v>
      </c>
      <c r="AB172" s="257">
        <f>altaz((J2000_Bas+(4*0.04167)),$O172,$M172,DecLat,DecLong,1)</f>
        <v>-11.280840606492193</v>
      </c>
      <c r="AC172" s="257">
        <f>altaz((J2000_Bas+(6*0.04167)),$O172,$M172,DecLat,DecLong,1)</f>
        <v>-28.803207647929725</v>
      </c>
      <c r="AD172" s="258">
        <f>1+ transit((J2000_Bas-1),$O172,$M172,DecLat,DecLong)/360 + (GMTOffset/24) + (IF(DST="Y", 1, 0)/24)</f>
        <v>1.619774897942208</v>
      </c>
      <c r="AE172" s="259">
        <f>DATE(2001,9,21)+(M172/360)*365 - (360*((DecLong/360)- (GMTOffset/24) ))</f>
        <v>37388.809374999997</v>
      </c>
      <c r="AF172" s="260">
        <f>IF(DecLat&gt;0,IF((90 - (DecLat-O172))&gt;90, (90 - (O172-DecLat)), (90 - (DecLat-O172))),IF((90 + (DecLat-O172))&gt;90, (90 + (O172-DecLat)), (90 + (DecLat-O172))))</f>
        <v>82.316666666666663</v>
      </c>
      <c r="AG172" s="257">
        <f>angularseperation(MoonRA,MoonDec,$M172,$O172)</f>
        <v>55.304242760940845</v>
      </c>
      <c r="AH172" s="261">
        <f ca="1">MIN(100,IF($O$5&gt;80,0+30*($AG172/100),IF($O$5&gt;70,0+50*($AG172/100),IF($O$5&gt;60,5+50*($AG172/100),IF($O$5&gt;50,10+60*($AG172/100),IF($O$5&gt;40,15+70*($AG172/100),IF($O$5&gt;30,20+70*($AG172/100),IF($O$5&gt;20,40+55*($AG172/100),(80+(20-$O$5)+30*($AG172/100))))))))))</f>
        <v>99.862333172432685</v>
      </c>
      <c r="AI172" s="262">
        <v>5839</v>
      </c>
      <c r="AJ172" s="262"/>
      <c r="AK172" s="262"/>
      <c r="AL172" s="263"/>
      <c r="AM172" s="264"/>
      <c r="AN172" s="263">
        <v>42</v>
      </c>
      <c r="AO172" s="263">
        <v>73</v>
      </c>
      <c r="AP172" s="265"/>
      <c r="AQ172" s="266">
        <v>9673</v>
      </c>
      <c r="AR172" s="267">
        <v>53709</v>
      </c>
      <c r="AS172" s="263"/>
      <c r="AT172" s="263"/>
      <c r="AU172" s="263"/>
      <c r="AV172" s="264"/>
      <c r="AW172" s="263"/>
      <c r="AX172" s="263"/>
      <c r="AY172" s="263"/>
      <c r="AZ172" s="263"/>
      <c r="BA172" s="263"/>
      <c r="BB172" s="263"/>
      <c r="BC172" s="263"/>
      <c r="BD172" s="264"/>
      <c r="BE172" s="263"/>
      <c r="BF172" s="263"/>
      <c r="BG172" s="263"/>
      <c r="BH172" s="263"/>
      <c r="BI172" s="263"/>
      <c r="BJ172" s="404">
        <f>altaz(J2000_Bas,$O172,$M172,DecLat,DecLong,2)</f>
        <v>277.50628127233716</v>
      </c>
      <c r="BK172" s="378" t="s">
        <v>4070</v>
      </c>
      <c r="BL172" s="379">
        <f>IF((2*G172)/60&lt;0.2,0.2,(2*G172)/60)</f>
        <v>0.2</v>
      </c>
      <c r="BM172" s="380">
        <f>MOD((50000+AD172-$B$3+(0/24)),1)</f>
        <v>0.83514182764338329</v>
      </c>
      <c r="BN172" s="381"/>
      <c r="BO172" s="382">
        <v>172</v>
      </c>
    </row>
    <row r="173" spans="1:67" s="24" customFormat="1" ht="15" customHeight="1" x14ac:dyDescent="0.25">
      <c r="A173" s="288" t="s">
        <v>261</v>
      </c>
      <c r="B173" s="241" t="str">
        <f>HYPERLINK(CONCATENATE($AT$3,BK173,$AU$3),$AV$3)</f>
        <v>S</v>
      </c>
      <c r="C173" s="242" t="str">
        <f>HYPERLINK(CONCATENATE($AT$4,BK173,$AU$4,BL173),$AV$4)</f>
        <v>A</v>
      </c>
      <c r="D173" s="243" t="s">
        <v>5638</v>
      </c>
      <c r="E173" s="244" t="s">
        <v>5192</v>
      </c>
      <c r="F173" s="269" t="s">
        <v>8893</v>
      </c>
      <c r="G173" s="273">
        <v>2</v>
      </c>
      <c r="H173" s="283">
        <v>260</v>
      </c>
      <c r="I173" s="246">
        <v>150</v>
      </c>
      <c r="J173" s="246">
        <v>2</v>
      </c>
      <c r="K173" s="247" t="s">
        <v>3840</v>
      </c>
      <c r="L173" s="248">
        <v>102415</v>
      </c>
      <c r="M173" s="249">
        <f>15*(LEFT(TEXT($L173,"000000"),2)+(MID(TEXT($L173,"000000"),3,2)/60)+(RIGHT(TEXT($L173,"000000"),2)/3600))</f>
        <v>156.0625</v>
      </c>
      <c r="N173" s="250">
        <v>164400</v>
      </c>
      <c r="O173" s="251">
        <f>IF($N173&gt;0,(LEFT(TEXT($N173,"000000"),2)+(MID(TEXT($N173,"000000"),3,2)/60)+(RIGHT(TEXT($N173,"000000"),2)/3600)),-(MID(TEXT($N173,"000000"),2,2)+(MID(TEXT($N173,"000000"),4,2)/60)+(RIGHT(TEXT($N173,"000000"),2)/3600)))</f>
        <v>16.733333333333334</v>
      </c>
      <c r="P173" s="252" t="s">
        <v>183</v>
      </c>
      <c r="Q173" s="253"/>
      <c r="R173" s="247" t="s">
        <v>3719</v>
      </c>
      <c r="S173" s="272" t="s">
        <v>482</v>
      </c>
      <c r="T173" s="273">
        <v>14</v>
      </c>
      <c r="U173" s="289">
        <v>22.09</v>
      </c>
      <c r="V173" s="280">
        <v>30</v>
      </c>
      <c r="W173" s="244"/>
      <c r="X173" s="244"/>
      <c r="Y173" s="362"/>
      <c r="Z173" s="257">
        <f>altaz(J2000_Bas,$O173,$M173,DecLat,DecLong,1)</f>
        <v>-22.253151428672155</v>
      </c>
      <c r="AA173" s="257">
        <f>altaz((J2000_Bas+(2*0.04167)),$O173,$M173,DecLat,DecLong,1)</f>
        <v>-38.550073541926423</v>
      </c>
      <c r="AB173" s="257">
        <f>altaz((J2000_Bas+(4*0.04167)),$O173,$M173,DecLat,DecLong,1)</f>
        <v>-41.2875229280802</v>
      </c>
      <c r="AC173" s="257">
        <f>altaz((J2000_Bas+(6*0.04167)),$O173,$M173,DecLat,DecLong,1)</f>
        <v>-28.603591907242791</v>
      </c>
      <c r="AD173" s="258">
        <f>1+ transit((J2000_Bas-1),$O173,$M173,DecLat,DecLong)/360 + (GMTOffset/24) + (IF(DST="Y", 1, 0)/24)</f>
        <v>1.426406861723458</v>
      </c>
      <c r="AE173" s="259">
        <f>DATE(2001,9,21)+(M173/360)*365 - (360*((DecLong/360)- (GMTOffset/24) ))</f>
        <v>37318.230034722219</v>
      </c>
      <c r="AF173" s="260">
        <f>IF(DecLat&gt;0,IF((90 - (DecLat-O173))&gt;90, (90 - (O173-DecLat)), (90 - (DecLat-O173))),IF((90 + (DecLat-O173))&gt;90, (90 + (O173-DecLat)), (90 + (DecLat-O173))))</f>
        <v>75.733333333333334</v>
      </c>
      <c r="AG173" s="257">
        <f>angularseperation(MoonRA,MoonDec,$M173,$O173)</f>
        <v>100.2752924082304</v>
      </c>
      <c r="AH173" s="261">
        <f ca="1">MIN(100,IF($O$5&gt;80,0+30*($AG173/100),IF($O$5&gt;70,0+50*($AG173/100),IF($O$5&gt;60,5+50*($AG173/100),IF($O$5&gt;50,10+60*($AG173/100),IF($O$5&gt;40,15+70*($AG173/100),IF($O$5&gt;30,20+70*($AG173/100),IF($O$5&gt;20,40+55*($AG173/100),(80+(20-$O$5)+30*($AG173/100))))))))))</f>
        <v>100</v>
      </c>
      <c r="AI173" s="262"/>
      <c r="AJ173" s="262">
        <v>607</v>
      </c>
      <c r="AK173" s="262"/>
      <c r="AL173" s="263"/>
      <c r="AM173" s="264"/>
      <c r="AN173" s="263">
        <v>43</v>
      </c>
      <c r="AO173" s="263"/>
      <c r="AP173" s="265"/>
      <c r="AQ173" s="266">
        <v>5628</v>
      </c>
      <c r="AR173" s="267">
        <v>30496</v>
      </c>
      <c r="AS173" s="263"/>
      <c r="AT173" s="263"/>
      <c r="AU173" s="263"/>
      <c r="AV173" s="264"/>
      <c r="AW173" s="263"/>
      <c r="AX173" s="263"/>
      <c r="AY173" s="263"/>
      <c r="AZ173" s="263"/>
      <c r="BA173" s="263"/>
      <c r="BB173" s="263"/>
      <c r="BC173" s="263"/>
      <c r="BD173" s="264"/>
      <c r="BE173" s="263"/>
      <c r="BF173" s="263"/>
      <c r="BG173" s="263"/>
      <c r="BH173" s="263"/>
      <c r="BI173" s="263"/>
      <c r="BJ173" s="404">
        <f>altaz(J2000_Bas,$O173,$M173,DecLat,DecLong,2)</f>
        <v>307.50151116145753</v>
      </c>
      <c r="BK173" s="378" t="s">
        <v>261</v>
      </c>
      <c r="BL173" s="379">
        <f>IF((2*G173)/60&lt;0.2,0.2,(2*G173)/60)</f>
        <v>0.2</v>
      </c>
      <c r="BM173" s="380">
        <f>MOD((50000+AD173-$B$3+(0/24)),1)</f>
        <v>0.64177379143075086</v>
      </c>
      <c r="BN173" s="381"/>
      <c r="BO173" s="382">
        <v>173</v>
      </c>
    </row>
    <row r="174" spans="1:67" s="24" customFormat="1" ht="15" customHeight="1" x14ac:dyDescent="0.25">
      <c r="A174" s="288" t="s">
        <v>262</v>
      </c>
      <c r="B174" s="241" t="str">
        <f>HYPERLINK(CONCATENATE($AT$3,BK174,$AU$3),$AV$3)</f>
        <v>S</v>
      </c>
      <c r="C174" s="242" t="str">
        <f>HYPERLINK(CONCATENATE($AT$4,BK174,$AU$4,BL174),$AV$4)</f>
        <v>A</v>
      </c>
      <c r="D174" s="243" t="s">
        <v>5638</v>
      </c>
      <c r="E174" s="244" t="s">
        <v>5192</v>
      </c>
      <c r="F174" s="269" t="s">
        <v>8886</v>
      </c>
      <c r="G174" s="273">
        <v>1.5</v>
      </c>
      <c r="H174" s="283">
        <v>230</v>
      </c>
      <c r="I174" s="246">
        <v>100</v>
      </c>
      <c r="J174" s="246">
        <v>2</v>
      </c>
      <c r="K174" s="247" t="s">
        <v>3841</v>
      </c>
      <c r="L174" s="248">
        <v>102532</v>
      </c>
      <c r="M174" s="249">
        <f>15*(LEFT(TEXT($L174,"000000"),2)+(MID(TEXT($L174,"000000"),3,2)/60)+(RIGHT(TEXT($L174,"000000"),2)/3600))</f>
        <v>156.38333333333333</v>
      </c>
      <c r="N174" s="250">
        <v>-21300</v>
      </c>
      <c r="O174" s="251">
        <f>IF($N174&gt;0,(LEFT(TEXT($N174,"000000"),2)+(MID(TEXT($N174,"000000"),3,2)/60)+(RIGHT(TEXT($N174,"000000"),2)/3600)),-(MID(TEXT($N174,"000000"),2,2)+(MID(TEXT($N174,"000000"),4,2)/60)+(RIGHT(TEXT($N174,"000000"),2)/3600)))</f>
        <v>-2.2166666666666668</v>
      </c>
      <c r="P174" s="252" t="s">
        <v>263</v>
      </c>
      <c r="Q174" s="253"/>
      <c r="R174" s="247" t="s">
        <v>3720</v>
      </c>
      <c r="S174" s="272" t="s">
        <v>3293</v>
      </c>
      <c r="T174" s="273">
        <v>13.3</v>
      </c>
      <c r="U174" s="289">
        <v>22.09</v>
      </c>
      <c r="V174" s="280">
        <v>60</v>
      </c>
      <c r="W174" s="244"/>
      <c r="X174" s="244"/>
      <c r="Y174" s="362"/>
      <c r="Z174" s="257">
        <f>altaz(J2000_Bas,$O174,$M174,DecLat,DecLong,1)</f>
        <v>-34.479632700121599</v>
      </c>
      <c r="AA174" s="257">
        <f>altaz((J2000_Bas+(2*0.04167)),$O174,$M174,DecLat,DecLong,1)</f>
        <v>-55.413177429269403</v>
      </c>
      <c r="AB174" s="257">
        <f>altaz((J2000_Bas+(4*0.04167)),$O174,$M174,DecLat,DecLong,1)</f>
        <v>-59.766189029609727</v>
      </c>
      <c r="AC174" s="257">
        <f>altaz((J2000_Bas+(6*0.04167)),$O174,$M174,DecLat,DecLong,1)</f>
        <v>-42.631242814911928</v>
      </c>
      <c r="AD174" s="258">
        <f>1+ transit((J2000_Bas-1),$O174,$M174,DecLat,DecLong)/360 + (GMTOffset/24) + (IF(DST="Y", 1, 0)/24)</f>
        <v>1.4272980653380414</v>
      </c>
      <c r="AE174" s="259">
        <f>DATE(2001,9,21)+(M174/360)*365 - (360*((DecLong/360)- (GMTOffset/24) ))</f>
        <v>37318.555324074077</v>
      </c>
      <c r="AF174" s="260">
        <f>IF(DecLat&gt;0,IF((90 - (DecLat-O174))&gt;90, (90 - (O174-DecLat)), (90 - (DecLat-O174))),IF((90 + (DecLat-O174))&gt;90, (90 + (O174-DecLat)), (90 + (DecLat-O174))))</f>
        <v>56.783333333333331</v>
      </c>
      <c r="AG174" s="257">
        <f>angularseperation(MoonRA,MoonDec,$M174,$O174)</f>
        <v>91.533337005916152</v>
      </c>
      <c r="AH174" s="261">
        <f ca="1">MIN(100,IF($O$5&gt;80,0+30*($AG174/100),IF($O$5&gt;70,0+50*($AG174/100),IF($O$5&gt;60,5+50*($AG174/100),IF($O$5&gt;50,10+60*($AG174/100),IF($O$5&gt;40,15+70*($AG174/100),IF($O$5&gt;30,20+70*($AG174/100),IF($O$5&gt;20,40+55*($AG174/100),(80+(20-$O$5)+30*($AG174/100))))))))))</f>
        <v>100</v>
      </c>
      <c r="AI174" s="262"/>
      <c r="AJ174" s="262">
        <v>609</v>
      </c>
      <c r="AK174" s="262"/>
      <c r="AL174" s="263"/>
      <c r="AM174" s="264"/>
      <c r="AN174" s="263">
        <v>44</v>
      </c>
      <c r="AO174" s="263"/>
      <c r="AP174" s="265"/>
      <c r="AQ174" s="266">
        <v>5641</v>
      </c>
      <c r="AR174" s="267">
        <v>30600</v>
      </c>
      <c r="AS174" s="263"/>
      <c r="AT174" s="263"/>
      <c r="AU174" s="263"/>
      <c r="AV174" s="264"/>
      <c r="AW174" s="263"/>
      <c r="AX174" s="263"/>
      <c r="AY174" s="263"/>
      <c r="AZ174" s="263"/>
      <c r="BA174" s="263"/>
      <c r="BB174" s="263"/>
      <c r="BC174" s="263"/>
      <c r="BD174" s="264"/>
      <c r="BE174" s="263"/>
      <c r="BF174" s="263"/>
      <c r="BG174" s="263"/>
      <c r="BH174" s="263"/>
      <c r="BI174" s="263"/>
      <c r="BJ174" s="404">
        <f>altaz(J2000_Bas,$O174,$M174,DecLat,DecLong,2)</f>
        <v>290.97163660690774</v>
      </c>
      <c r="BK174" s="378" t="s">
        <v>262</v>
      </c>
      <c r="BL174" s="379">
        <f>IF((2*G174)/60&lt;0.2,0.2,(2*G174)/60)</f>
        <v>0.2</v>
      </c>
      <c r="BM174" s="380">
        <f>MOD((50000+AD174-$B$3+(0/24)),1)</f>
        <v>0.64266499504446983</v>
      </c>
      <c r="BN174" s="381"/>
      <c r="BO174" s="382">
        <v>174</v>
      </c>
    </row>
    <row r="175" spans="1:67" s="24" customFormat="1" ht="15" customHeight="1" x14ac:dyDescent="0.25">
      <c r="A175" s="288" t="s">
        <v>264</v>
      </c>
      <c r="B175" s="241" t="str">
        <f>HYPERLINK(CONCATENATE($AT$3,BK175,$AU$3),$AV$3)</f>
        <v>S</v>
      </c>
      <c r="C175" s="242" t="str">
        <f>HYPERLINK(CONCATENATE($AT$4,BK175,$AU$4,BL175),$AV$4)</f>
        <v>A</v>
      </c>
      <c r="D175" s="243" t="s">
        <v>5638</v>
      </c>
      <c r="E175" s="244" t="s">
        <v>5192</v>
      </c>
      <c r="F175" s="269" t="s">
        <v>3306</v>
      </c>
      <c r="G175" s="273">
        <v>1</v>
      </c>
      <c r="H175" s="283">
        <v>400</v>
      </c>
      <c r="I175" s="246">
        <v>120</v>
      </c>
      <c r="J175" s="246">
        <v>2</v>
      </c>
      <c r="K175" s="247" t="s">
        <v>3842</v>
      </c>
      <c r="L175" s="248">
        <v>141927</v>
      </c>
      <c r="M175" s="249">
        <f>15*(LEFT(TEXT($L175,"000000"),2)+(MID(TEXT($L175,"000000"),3,2)/60)+(RIGHT(TEXT($L175,"000000"),2)/3600))</f>
        <v>214.86250000000001</v>
      </c>
      <c r="N175" s="250">
        <v>515500</v>
      </c>
      <c r="O175" s="251">
        <f>IF($N175&gt;0,(LEFT(TEXT($N175,"000000"),2)+(MID(TEXT($N175,"000000"),3,2)/60)+(RIGHT(TEXT($N175,"000000"),2)/3600)),-(MID(TEXT($N175,"000000"),2,2)+(MID(TEXT($N175,"000000"),4,2)/60)+(RIGHT(TEXT($N175,"000000"),2)/3600)))</f>
        <v>51.916666666666664</v>
      </c>
      <c r="P175" s="252" t="s">
        <v>260</v>
      </c>
      <c r="Q175" s="253"/>
      <c r="R175" s="247" t="s">
        <v>3293</v>
      </c>
      <c r="S175" s="272" t="s">
        <v>3293</v>
      </c>
      <c r="T175" s="273">
        <v>16</v>
      </c>
      <c r="U175" s="274"/>
      <c r="V175" s="280">
        <v>65</v>
      </c>
      <c r="W175" s="244"/>
      <c r="X175" s="244"/>
      <c r="Y175" s="362"/>
      <c r="Z175" s="257">
        <f>altaz(J2000_Bas,$O175,$M175,DecLat,DecLong,1)</f>
        <v>35.190785298019151</v>
      </c>
      <c r="AA175" s="257">
        <f>altaz((J2000_Bas+(2*0.04167)),$O175,$M175,DecLat,DecLong,1)</f>
        <v>17.606474796579242</v>
      </c>
      <c r="AB175" s="257">
        <f>altaz((J2000_Bas+(4*0.04167)),$O175,$M175,DecLat,DecLong,1)</f>
        <v>3.23220597974163</v>
      </c>
      <c r="AC175" s="257">
        <f>altaz((J2000_Bas+(6*0.04167)),$O175,$M175,DecLat,DecLong,1)</f>
        <v>-5.4904158906547194</v>
      </c>
      <c r="AD175" s="258">
        <f>1+ transit((J2000_Bas-1),$O175,$M175,DecLat,DecLong)/360 + (GMTOffset/24) + (IF(DST="Y", 1, 0)/24)</f>
        <v>1.589740178723458</v>
      </c>
      <c r="AE175" s="259">
        <f>DATE(2001,9,21)+(M175/360)*365 - (360*((DecLong/360)- (GMTOffset/24) ))</f>
        <v>37377.846701388888</v>
      </c>
      <c r="AF175" s="260">
        <f>IF(DecLat&gt;0,IF((90 - (DecLat-O175))&gt;90, (90 - (O175-DecLat)), (90 - (DecLat-O175))),IF((90 + (DecLat-O175))&gt;90, (90 + (O175-DecLat)), (90 + (DecLat-O175))))</f>
        <v>69.083333333333343</v>
      </c>
      <c r="AG175" s="257">
        <f>angularseperation(MoonRA,MoonDec,$M175,$O175)</f>
        <v>84.556423497576674</v>
      </c>
      <c r="AH175" s="261">
        <f ca="1">MIN(100,IF($O$5&gt;80,0+30*($AG175/100),IF($O$5&gt;70,0+50*($AG175/100),IF($O$5&gt;60,5+50*($AG175/100),IF($O$5&gt;50,10+60*($AG175/100),IF($O$5&gt;40,15+70*($AG175/100),IF($O$5&gt;30,20+70*($AG175/100),IF($O$5&gt;20,40+55*($AG175/100),(80+(20-$O$5)+30*($AG175/100))))))))))</f>
        <v>100</v>
      </c>
      <c r="AI175" s="262"/>
      <c r="AJ175" s="262"/>
      <c r="AK175" s="262"/>
      <c r="AL175" s="263"/>
      <c r="AM175" s="264"/>
      <c r="AN175" s="263">
        <v>45</v>
      </c>
      <c r="AO175" s="263"/>
      <c r="AP175" s="265"/>
      <c r="AQ175" s="266">
        <v>9178</v>
      </c>
      <c r="AR175" s="267">
        <v>51214</v>
      </c>
      <c r="AS175" s="263"/>
      <c r="AT175" s="263"/>
      <c r="AU175" s="263"/>
      <c r="AV175" s="264"/>
      <c r="AW175" s="263"/>
      <c r="AX175" s="263"/>
      <c r="AY175" s="263"/>
      <c r="AZ175" s="263"/>
      <c r="BA175" s="263"/>
      <c r="BB175" s="263"/>
      <c r="BC175" s="263"/>
      <c r="BD175" s="264"/>
      <c r="BE175" s="263"/>
      <c r="BF175" s="263"/>
      <c r="BG175" s="263"/>
      <c r="BH175" s="263"/>
      <c r="BI175" s="263"/>
      <c r="BJ175" s="404">
        <f>altaz(J2000_Bas,$O175,$M175,DecLat,DecLong,2)</f>
        <v>314.42025126384419</v>
      </c>
      <c r="BK175" s="378" t="s">
        <v>264</v>
      </c>
      <c r="BL175" s="379">
        <f>IF((2*G175)/60&lt;0.2,0.2,(2*G175)/60)</f>
        <v>0.2</v>
      </c>
      <c r="BM175" s="380">
        <f>MOD((50000+AD175-$B$3+(0/24)),1)</f>
        <v>0.80510710842645494</v>
      </c>
      <c r="BN175" s="381"/>
      <c r="BO175" s="382">
        <v>175</v>
      </c>
    </row>
    <row r="176" spans="1:67" s="24" customFormat="1" ht="15" customHeight="1" x14ac:dyDescent="0.25">
      <c r="A176" s="288" t="s">
        <v>265</v>
      </c>
      <c r="B176" s="241" t="str">
        <f>HYPERLINK(CONCATENATE($AT$3,BK176,$AU$3),$AV$3)</f>
        <v>S</v>
      </c>
      <c r="C176" s="242" t="str">
        <f>HYPERLINK(CONCATENATE($AT$4,BK176,$AU$4,BL176),$AV$4)</f>
        <v>A</v>
      </c>
      <c r="D176" s="243" t="s">
        <v>5638</v>
      </c>
      <c r="E176" s="244" t="s">
        <v>5192</v>
      </c>
      <c r="F176" s="269" t="s">
        <v>8885</v>
      </c>
      <c r="G176" s="273">
        <v>1</v>
      </c>
      <c r="H176" s="283">
        <v>250</v>
      </c>
      <c r="I176" s="246">
        <v>70</v>
      </c>
      <c r="J176" s="246">
        <v>2</v>
      </c>
      <c r="K176" s="247" t="s">
        <v>3843</v>
      </c>
      <c r="L176" s="248">
        <v>233341</v>
      </c>
      <c r="M176" s="249">
        <f>15*(LEFT(TEXT($L176,"000000"),2)+(MID(TEXT($L176,"000000"),3,2)/60)+(RIGHT(TEXT($L176,"000000"),2)/3600))</f>
        <v>353.42083333333335</v>
      </c>
      <c r="N176" s="250">
        <v>300200</v>
      </c>
      <c r="O176" s="251">
        <f>IF($N176&gt;0,(LEFT(TEXT($N176,"000000"),2)+(MID(TEXT($N176,"000000"),3,2)/60)+(RIGHT(TEXT($N176,"000000"),2)/3600)),-(MID(TEXT($N176,"000000"),2,2)+(MID(TEXT($N176,"000000"),4,2)/60)+(RIGHT(TEXT($N176,"000000"),2)/3600)))</f>
        <v>30.033333333333335</v>
      </c>
      <c r="P176" s="252" t="s">
        <v>39</v>
      </c>
      <c r="Q176" s="253"/>
      <c r="R176" s="247" t="s">
        <v>3293</v>
      </c>
      <c r="S176" s="272" t="s">
        <v>3293</v>
      </c>
      <c r="T176" s="273">
        <v>15</v>
      </c>
      <c r="U176" s="274"/>
      <c r="V176" s="280">
        <v>55</v>
      </c>
      <c r="W176" s="244"/>
      <c r="X176" s="244"/>
      <c r="Y176" s="362"/>
      <c r="Z176" s="257">
        <f>altaz(J2000_Bas,$O176,$M176,DecLat,DecLong,1)</f>
        <v>32.870244706429503</v>
      </c>
      <c r="AA176" s="257">
        <f>altaz((J2000_Bas+(2*0.04167)),$O176,$M176,DecLat,DecLong,1)</f>
        <v>57.9751842553719</v>
      </c>
      <c r="AB176" s="257">
        <f>altaz((J2000_Bas+(4*0.04167)),$O176,$M176,DecLat,DecLong,1)</f>
        <v>83.681857840846945</v>
      </c>
      <c r="AC176" s="257">
        <f>altaz((J2000_Bas+(6*0.04167)),$O176,$M176,DecLat,DecLong,1)</f>
        <v>70.338359752694359</v>
      </c>
      <c r="AD176" s="258">
        <f>1+ transit((J2000_Bas-1),$O176,$M176,DecLat,DecLong)/360 + (GMTOffset/24) + (IF(DST="Y", 1, 0)/24)</f>
        <v>1.9746243994942911</v>
      </c>
      <c r="AE176" s="259">
        <f>DATE(2001,9,21)+(M176/360)*365 - (360*((DecLong/360)- (GMTOffset/24) ))</f>
        <v>37518.329456018517</v>
      </c>
      <c r="AF176" s="260">
        <f>IF(DecLat&gt;0,IF((90 - (DecLat-O176))&gt;90, (90 - (O176-DecLat)), (90 - (DecLat-O176))),IF((90 + (DecLat-O176))&gt;90, (90 + (O176-DecLat)), (90 + (DecLat-O176))))</f>
        <v>89.033333333333331</v>
      </c>
      <c r="AG176" s="257">
        <f>angularseperation(MoonRA,MoonDec,$M176,$O176)</f>
        <v>114.62550984195738</v>
      </c>
      <c r="AH176" s="261">
        <f ca="1">MIN(100,IF($O$5&gt;80,0+30*($AG176/100),IF($O$5&gt;70,0+50*($AG176/100),IF($O$5&gt;60,5+50*($AG176/100),IF($O$5&gt;50,10+60*($AG176/100),IF($O$5&gt;40,15+70*($AG176/100),IF($O$5&gt;30,20+70*($AG176/100),IF($O$5&gt;20,40+55*($AG176/100),(80+(20-$O$5)+30*($AG176/100))))))))))</f>
        <v>100</v>
      </c>
      <c r="AI176" s="262"/>
      <c r="AJ176" s="262"/>
      <c r="AK176" s="262"/>
      <c r="AL176" s="263"/>
      <c r="AM176" s="264"/>
      <c r="AN176" s="263">
        <v>46</v>
      </c>
      <c r="AO176" s="263"/>
      <c r="AP176" s="265"/>
      <c r="AQ176" s="266">
        <v>12665</v>
      </c>
      <c r="AR176" s="267">
        <v>71748</v>
      </c>
      <c r="AS176" s="263"/>
      <c r="AT176" s="263"/>
      <c r="AU176" s="263"/>
      <c r="AV176" s="264"/>
      <c r="AW176" s="263"/>
      <c r="AX176" s="263"/>
      <c r="AY176" s="263"/>
      <c r="AZ176" s="263"/>
      <c r="BA176" s="263"/>
      <c r="BB176" s="263"/>
      <c r="BC176" s="263"/>
      <c r="BD176" s="264"/>
      <c r="BE176" s="263"/>
      <c r="BF176" s="263"/>
      <c r="BG176" s="263"/>
      <c r="BH176" s="263"/>
      <c r="BI176" s="263"/>
      <c r="BJ176" s="404">
        <f>altaz(J2000_Bas,$O176,$M176,DecLat,DecLong,2)</f>
        <v>72.125453877622107</v>
      </c>
      <c r="BK176" s="378" t="s">
        <v>265</v>
      </c>
      <c r="BL176" s="379">
        <f>IF((2*G176)/60&lt;0.2,0.2,(2*G176)/60)</f>
        <v>0.2</v>
      </c>
      <c r="BM176" s="380">
        <f>MOD((50000+AD176-$B$3+(0/24)),1)</f>
        <v>0.18999132919998374</v>
      </c>
      <c r="BN176" s="381" t="s">
        <v>8795</v>
      </c>
      <c r="BO176" s="382">
        <v>176</v>
      </c>
    </row>
    <row r="177" spans="1:67" s="24" customFormat="1" ht="15" customHeight="1" x14ac:dyDescent="0.25">
      <c r="A177" s="288" t="s">
        <v>266</v>
      </c>
      <c r="B177" s="241" t="str">
        <f>HYPERLINK(CONCATENATE($AT$3,BK177,$AU$3),$AV$3)</f>
        <v>S</v>
      </c>
      <c r="C177" s="242" t="str">
        <f>HYPERLINK(CONCATENATE($AT$4,BK177,$AU$4,BL177),$AV$4)</f>
        <v>A</v>
      </c>
      <c r="D177" s="243" t="s">
        <v>5638</v>
      </c>
      <c r="E177" s="244" t="s">
        <v>5192</v>
      </c>
      <c r="F177" s="269" t="s">
        <v>8894</v>
      </c>
      <c r="G177" s="270">
        <v>0.7</v>
      </c>
      <c r="H177" s="283">
        <v>580</v>
      </c>
      <c r="I177" s="246">
        <v>120</v>
      </c>
      <c r="J177" s="246">
        <v>0</v>
      </c>
      <c r="K177" s="247" t="s">
        <v>3844</v>
      </c>
      <c r="L177" s="248">
        <v>144712</v>
      </c>
      <c r="M177" s="249">
        <f>15*(LEFT(TEXT($L177,"000000"),2)+(MID(TEXT($L177,"000000"),3,2)/60)+(RIGHT(TEXT($L177,"000000"),2)/3600))</f>
        <v>221.8</v>
      </c>
      <c r="N177" s="250">
        <v>185100</v>
      </c>
      <c r="O177" s="251">
        <f>IF($N177&gt;0,(LEFT(TEXT($N177,"000000"),2)+(MID(TEXT($N177,"000000"),3,2)/60)+(RIGHT(TEXT($N177,"000000"),2)/3600)),-(MID(TEXT($N177,"000000"),2,2)+(MID(TEXT($N177,"000000"),4,2)/60)+(RIGHT(TEXT($N177,"000000"),2)/3600)))</f>
        <v>18.850000000000001</v>
      </c>
      <c r="P177" s="252" t="s">
        <v>260</v>
      </c>
      <c r="Q177" s="253"/>
      <c r="R177" s="247" t="s">
        <v>3293</v>
      </c>
      <c r="S177" s="272" t="s">
        <v>4191</v>
      </c>
      <c r="T177" s="273">
        <v>16</v>
      </c>
      <c r="U177" s="274"/>
      <c r="V177" s="280">
        <v>70</v>
      </c>
      <c r="W177" s="244"/>
      <c r="X177" s="244"/>
      <c r="Y177" s="362"/>
      <c r="Z177" s="257">
        <f>altaz(J2000_Bas,$O177,$M177,DecLat,DecLong,1)</f>
        <v>31.293924619106345</v>
      </c>
      <c r="AA177" s="257">
        <f>altaz((J2000_Bas+(2*0.04167)),$O177,$M177,DecLat,DecLong,1)</f>
        <v>6.0711420338860016</v>
      </c>
      <c r="AB177" s="257">
        <f>altaz((J2000_Bas+(4*0.04167)),$O177,$M177,DecLat,DecLong,1)</f>
        <v>-16.951592369052367</v>
      </c>
      <c r="AC177" s="257">
        <f>altaz((J2000_Bas+(6*0.04167)),$O177,$M177,DecLat,DecLong,1)</f>
        <v>-34.43713799577872</v>
      </c>
      <c r="AD177" s="258">
        <f>1+ transit((J2000_Bas-1),$O177,$M177,DecLat,DecLong)/360 + (GMTOffset/24) + (IF(DST="Y", 1, 0)/24)</f>
        <v>1.6090110101297082</v>
      </c>
      <c r="AE177" s="259">
        <f>DATE(2001,9,21)+(M177/360)*365 - (360*((DecLong/360)- (GMTOffset/24) ))</f>
        <v>37384.880555555559</v>
      </c>
      <c r="AF177" s="260">
        <f>IF(DecLat&gt;0,IF((90 - (DecLat-O177))&gt;90, (90 - (O177-DecLat)), (90 - (DecLat-O177))),IF((90 + (DecLat-O177))&gt;90, (90 + (O177-DecLat)), (90 + (DecLat-O177))))</f>
        <v>77.849999999999994</v>
      </c>
      <c r="AG177" s="257">
        <f>angularseperation(MoonRA,MoonDec,$M177,$O177)</f>
        <v>53.081666887483003</v>
      </c>
      <c r="AH177" s="261">
        <f ca="1">MIN(100,IF($O$5&gt;80,0+30*($AG177/100),IF($O$5&gt;70,0+50*($AG177/100),IF($O$5&gt;60,5+50*($AG177/100),IF($O$5&gt;50,10+60*($AG177/100),IF($O$5&gt;40,15+70*($AG177/100),IF($O$5&gt;30,20+70*($AG177/100),IF($O$5&gt;20,40+55*($AG177/100),(80+(20-$O$5)+30*($AG177/100))))))))))</f>
        <v>99.195560410395331</v>
      </c>
      <c r="AI177" s="262"/>
      <c r="AJ177" s="262"/>
      <c r="AK177" s="262"/>
      <c r="AL177" s="263"/>
      <c r="AM177" s="264"/>
      <c r="AN177" s="263">
        <v>47</v>
      </c>
      <c r="AO177" s="263"/>
      <c r="AP177" s="265"/>
      <c r="AQ177" s="266"/>
      <c r="AR177" s="267">
        <v>52803</v>
      </c>
      <c r="AS177" s="263"/>
      <c r="AT177" s="263"/>
      <c r="AU177" s="263"/>
      <c r="AV177" s="264"/>
      <c r="AW177" s="263"/>
      <c r="AX177" s="263"/>
      <c r="AY177" s="263"/>
      <c r="AZ177" s="263"/>
      <c r="BA177" s="263"/>
      <c r="BB177" s="263"/>
      <c r="BC177" s="263"/>
      <c r="BD177" s="264"/>
      <c r="BE177" s="263"/>
      <c r="BF177" s="263"/>
      <c r="BG177" s="263"/>
      <c r="BH177" s="263"/>
      <c r="BI177" s="263"/>
      <c r="BJ177" s="404">
        <f>altaz(J2000_Bas,$O177,$M177,DecLat,DecLong,2)</f>
        <v>274.35077092391782</v>
      </c>
      <c r="BK177" s="378" t="s">
        <v>266</v>
      </c>
      <c r="BL177" s="379">
        <f>IF((2*G177)/60&lt;0.2,0.2,(2*G177)/60)</f>
        <v>0.2</v>
      </c>
      <c r="BM177" s="380">
        <f>MOD((50000+AD177-$B$3+(0/24)),1)</f>
        <v>0.82437793983262964</v>
      </c>
      <c r="BN177" s="381"/>
      <c r="BO177" s="382">
        <v>177</v>
      </c>
    </row>
    <row r="178" spans="1:67" s="24" customFormat="1" ht="15" customHeight="1" x14ac:dyDescent="0.25">
      <c r="A178" s="288" t="s">
        <v>267</v>
      </c>
      <c r="B178" s="241" t="str">
        <f>HYPERLINK(CONCATENATE($AT$3,BK178,$AU$3),$AV$3)</f>
        <v>S</v>
      </c>
      <c r="C178" s="242" t="str">
        <f>HYPERLINK(CONCATENATE($AT$4,BK178,$AU$4,BL178),$AV$4)</f>
        <v>A</v>
      </c>
      <c r="D178" s="243" t="s">
        <v>5638</v>
      </c>
      <c r="E178" s="244" t="s">
        <v>5192</v>
      </c>
      <c r="F178" s="269" t="s">
        <v>8885</v>
      </c>
      <c r="G178" s="270">
        <v>0.5</v>
      </c>
      <c r="H178" s="283">
        <v>650</v>
      </c>
      <c r="I178" s="246">
        <v>95</v>
      </c>
      <c r="J178" s="246">
        <v>2</v>
      </c>
      <c r="K178" s="247" t="s">
        <v>4990</v>
      </c>
      <c r="L178" s="248">
        <v>11956</v>
      </c>
      <c r="M178" s="249">
        <f>15*(LEFT(TEXT($L178,"000000"),2)+(MID(TEXT($L178,"000000"),3,2)/60)+(RIGHT(TEXT($L178,"000000"),2)/3600))</f>
        <v>19.983333333333334</v>
      </c>
      <c r="N178" s="250">
        <v>122000</v>
      </c>
      <c r="O178" s="251">
        <f>IF($N178&gt;0,(LEFT(TEXT($N178,"000000"),2)+(MID(TEXT($N178,"000000"),3,2)/60)+(RIGHT(TEXT($N178,"000000"),2)/3600)),-(MID(TEXT($N178,"000000"),2,2)+(MID(TEXT($N178,"000000"),4,2)/60)+(RIGHT(TEXT($N178,"000000"),2)/3600)))</f>
        <v>12.333333333333334</v>
      </c>
      <c r="P178" s="252" t="s">
        <v>158</v>
      </c>
      <c r="Q178" s="253"/>
      <c r="R178" s="247" t="s">
        <v>3293</v>
      </c>
      <c r="S178" s="272" t="s">
        <v>4175</v>
      </c>
      <c r="T178" s="273">
        <v>16</v>
      </c>
      <c r="U178" s="274"/>
      <c r="V178" s="280">
        <v>75</v>
      </c>
      <c r="W178" s="244"/>
      <c r="X178" s="244"/>
      <c r="Y178" s="362"/>
      <c r="Z178" s="257">
        <f>altaz(J2000_Bas,$O178,$M178,DecLat,DecLong,1)</f>
        <v>2.973826383269675</v>
      </c>
      <c r="AA178" s="257">
        <f>altaz((J2000_Bas+(2*0.04167)),$O178,$M178,DecLat,DecLong,1)</f>
        <v>28.584895853400148</v>
      </c>
      <c r="AB178" s="257">
        <f>altaz((J2000_Bas+(4*0.04167)),$O178,$M178,DecLat,DecLong,1)</f>
        <v>53.684787587261965</v>
      </c>
      <c r="AC178" s="257">
        <f>altaz((J2000_Bas+(6*0.04167)),$O178,$M178,DecLat,DecLong,1)</f>
        <v>71.018840979212726</v>
      </c>
      <c r="AD178" s="258">
        <f>1+ transit((J2000_Bas-1),$O178,$M178,DecLat,DecLong)/360 + (GMTOffset/24) + (IF(DST="Y", 1, 0)/24)</f>
        <v>1.0484092143380412</v>
      </c>
      <c r="AE178" s="259">
        <f>DATE(2001,9,21)+(M178/360)*365 - (360*((DecLong/360)- (GMTOffset/24) ))</f>
        <v>37180.260879629626</v>
      </c>
      <c r="AF178" s="260">
        <f>IF(DecLat&gt;0,IF((90 - (DecLat-O178))&gt;90, (90 - (O178-DecLat)), (90 - (DecLat-O178))),IF((90 + (DecLat-O178))&gt;90, (90 + (O178-DecLat)), (90 + (DecLat-O178))))</f>
        <v>71.333333333333343</v>
      </c>
      <c r="AG178" s="257">
        <f>angularseperation(MoonRA,MoonDec,$M178,$O178)</f>
        <v>131.67597898381092</v>
      </c>
      <c r="AH178" s="261">
        <f ca="1">MIN(100,IF($O$5&gt;80,0+30*($AG178/100),IF($O$5&gt;70,0+50*($AG178/100),IF($O$5&gt;60,5+50*($AG178/100),IF($O$5&gt;50,10+60*($AG178/100),IF($O$5&gt;40,15+70*($AG178/100),IF($O$5&gt;30,20+70*($AG178/100),IF($O$5&gt;20,40+55*($AG178/100),(80+(20-$O$5)+30*($AG178/100))))))))))</f>
        <v>100</v>
      </c>
      <c r="AI178" s="262"/>
      <c r="AJ178" s="262"/>
      <c r="AK178" s="262"/>
      <c r="AL178" s="263"/>
      <c r="AM178" s="264"/>
      <c r="AN178" s="263">
        <v>48</v>
      </c>
      <c r="AO178" s="263"/>
      <c r="AP178" s="265"/>
      <c r="AQ178" s="266"/>
      <c r="AR178" s="267">
        <v>4789</v>
      </c>
      <c r="AS178" s="263"/>
      <c r="AT178" s="263"/>
      <c r="AU178" s="263"/>
      <c r="AV178" s="264"/>
      <c r="AW178" s="263"/>
      <c r="AX178" s="263"/>
      <c r="AY178" s="263"/>
      <c r="AZ178" s="263"/>
      <c r="BA178" s="263"/>
      <c r="BB178" s="263"/>
      <c r="BC178" s="263"/>
      <c r="BD178" s="264"/>
      <c r="BE178" s="263"/>
      <c r="BF178" s="263"/>
      <c r="BG178" s="263"/>
      <c r="BH178" s="263"/>
      <c r="BI178" s="263"/>
      <c r="BJ178" s="404">
        <f>altaz(J2000_Bas,$O178,$M178,DecLat,DecLong,2)</f>
        <v>77.390036286406783</v>
      </c>
      <c r="BK178" s="378" t="s">
        <v>267</v>
      </c>
      <c r="BL178" s="379">
        <f>IF((2*G178)/60&lt;0.2,0.2,(2*G178)/60)</f>
        <v>0.2</v>
      </c>
      <c r="BM178" s="380">
        <f>MOD((50000+AD178-$B$3+(0/24)),1)</f>
        <v>0.26377614404191263</v>
      </c>
      <c r="BN178" s="381"/>
      <c r="BO178" s="382">
        <v>178</v>
      </c>
    </row>
    <row r="179" spans="1:67" s="24" customFormat="1" ht="15" customHeight="1" x14ac:dyDescent="0.25">
      <c r="A179" s="288" t="s">
        <v>268</v>
      </c>
      <c r="B179" s="241" t="str">
        <f>HYPERLINK(CONCATENATE($AT$3,BK179,$AU$3),$AV$3)</f>
        <v>S</v>
      </c>
      <c r="C179" s="242" t="str">
        <f>HYPERLINK(CONCATENATE($AT$4,BK179,$AU$4,BL179),$AV$4)</f>
        <v>A</v>
      </c>
      <c r="D179" s="243" t="s">
        <v>5638</v>
      </c>
      <c r="E179" s="244" t="s">
        <v>5192</v>
      </c>
      <c r="F179" s="269" t="s">
        <v>8895</v>
      </c>
      <c r="G179" s="273">
        <v>2</v>
      </c>
      <c r="H179" s="283">
        <v>105</v>
      </c>
      <c r="I179" s="246">
        <v>60</v>
      </c>
      <c r="J179" s="246">
        <v>2</v>
      </c>
      <c r="K179" s="247" t="s">
        <v>7262</v>
      </c>
      <c r="L179" s="248">
        <v>143225</v>
      </c>
      <c r="M179" s="249">
        <f>15*(LEFT(TEXT($L179,"000000"),2)+(MID(TEXT($L179,"000000"),3,2)/60)+(RIGHT(TEXT($L179,"000000"),2)/3600))</f>
        <v>218.10416666666666</v>
      </c>
      <c r="N179" s="250">
        <v>80400</v>
      </c>
      <c r="O179" s="251">
        <f>IF($N179&gt;0,(LEFT(TEXT($N179,"000000"),2)+(MID(TEXT($N179,"000000"),3,2)/60)+(RIGHT(TEXT($N179,"000000"),2)/3600)),-(MID(TEXT($N179,"000000"),2,2)+(MID(TEXT($N179,"000000"),4,2)/60)+(RIGHT(TEXT($N179,"000000"),2)/3600)))</f>
        <v>8.0666666666666664</v>
      </c>
      <c r="P179" s="252" t="s">
        <v>260</v>
      </c>
      <c r="Q179" s="253"/>
      <c r="R179" s="247" t="s">
        <v>3624</v>
      </c>
      <c r="S179" s="272" t="s">
        <v>3293</v>
      </c>
      <c r="T179" s="273">
        <v>12.9</v>
      </c>
      <c r="U179" s="289">
        <v>21.79</v>
      </c>
      <c r="V179" s="280">
        <v>45</v>
      </c>
      <c r="W179" s="244"/>
      <c r="X179" s="244"/>
      <c r="Y179" s="362"/>
      <c r="Z179" s="257">
        <f>altaz(J2000_Bas,$O179,$M179,DecLat,DecLong,1)</f>
        <v>23.053485363318501</v>
      </c>
      <c r="AA179" s="257">
        <f>altaz((J2000_Bas+(2*0.04167)),$O179,$M179,DecLat,DecLong,1)</f>
        <v>-2.6131420534488563</v>
      </c>
      <c r="AB179" s="257">
        <f>altaz((J2000_Bas+(4*0.04167)),$O179,$M179,DecLat,DecLong,1)</f>
        <v>-26.809050563767887</v>
      </c>
      <c r="AC179" s="257">
        <f>altaz((J2000_Bas+(6*0.04167)),$O179,$M179,DecLat,DecLong,1)</f>
        <v>-45.680606945364133</v>
      </c>
      <c r="AD179" s="258">
        <f>1+ transit((J2000_Bas-1),$O179,$M179,DecLat,DecLong)/360 + (GMTOffset/24) + (IF(DST="Y", 1, 0)/24)</f>
        <v>1.5987448074526247</v>
      </c>
      <c r="AE179" s="259">
        <f>DATE(2001,9,21)+(M179/360)*365 - (360*((DecLong/360)- (GMTOffset/24) ))</f>
        <v>37381.133391203701</v>
      </c>
      <c r="AF179" s="260">
        <f>IF(DecLat&gt;0,IF((90 - (DecLat-O179))&gt;90, (90 - (O179-DecLat)), (90 - (DecLat-O179))),IF((90 + (DecLat-O179))&gt;90, (90 + (O179-DecLat)), (90 + (DecLat-O179))))</f>
        <v>67.066666666666663</v>
      </c>
      <c r="AG179" s="257">
        <f>angularseperation(MoonRA,MoonDec,$M179,$O179)</f>
        <v>46.319603580985465</v>
      </c>
      <c r="AH179" s="261">
        <f ca="1">MIN(100,IF($O$5&gt;80,0+30*($AG179/100),IF($O$5&gt;70,0+50*($AG179/100),IF($O$5&gt;60,5+50*($AG179/100),IF($O$5&gt;50,10+60*($AG179/100),IF($O$5&gt;40,15+70*($AG179/100),IF($O$5&gt;30,20+70*($AG179/100),IF($O$5&gt;20,40+55*($AG179/100),(80+(20-$O$5)+30*($AG179/100))))))))))</f>
        <v>97.166941418446072</v>
      </c>
      <c r="AI179" s="262">
        <v>5665</v>
      </c>
      <c r="AJ179" s="262"/>
      <c r="AK179" s="262"/>
      <c r="AL179" s="263"/>
      <c r="AM179" s="264"/>
      <c r="AN179" s="263">
        <v>49</v>
      </c>
      <c r="AO179" s="263"/>
      <c r="AP179" s="265"/>
      <c r="AQ179" s="266">
        <v>9352</v>
      </c>
      <c r="AR179" s="267">
        <v>51953</v>
      </c>
      <c r="AS179" s="263"/>
      <c r="AT179" s="263"/>
      <c r="AU179" s="263"/>
      <c r="AV179" s="264"/>
      <c r="AW179" s="263"/>
      <c r="AX179" s="263"/>
      <c r="AY179" s="263"/>
      <c r="AZ179" s="263"/>
      <c r="BA179" s="263"/>
      <c r="BB179" s="263"/>
      <c r="BC179" s="263"/>
      <c r="BD179" s="264"/>
      <c r="BE179" s="263"/>
      <c r="BF179" s="263"/>
      <c r="BG179" s="263"/>
      <c r="BH179" s="263"/>
      <c r="BI179" s="263"/>
      <c r="BJ179" s="404">
        <f>altaz(J2000_Bas,$O179,$M179,DecLat,DecLong,2)</f>
        <v>265.53811767853654</v>
      </c>
      <c r="BK179" s="378" t="s">
        <v>268</v>
      </c>
      <c r="BL179" s="379">
        <f>IF((2*G179)/60&lt;0.2,0.2,(2*G179)/60)</f>
        <v>0.2</v>
      </c>
      <c r="BM179" s="380">
        <f>MOD((50000+AD179-$B$3+(0/24)),1)</f>
        <v>0.81411173715605401</v>
      </c>
      <c r="BN179" s="381" t="s">
        <v>9221</v>
      </c>
      <c r="BO179" s="382">
        <v>179</v>
      </c>
    </row>
    <row r="180" spans="1:67" s="24" customFormat="1" ht="15" customHeight="1" x14ac:dyDescent="0.25">
      <c r="A180" s="288" t="s">
        <v>269</v>
      </c>
      <c r="B180" s="241" t="str">
        <f>HYPERLINK(CONCATENATE($AT$3,BK180,$AU$3),$AV$3)</f>
        <v>S</v>
      </c>
      <c r="C180" s="242" t="str">
        <f>HYPERLINK(CONCATENATE($AT$4,BK180,$AU$4,BL180),$AV$4)</f>
        <v>A</v>
      </c>
      <c r="D180" s="243" t="s">
        <v>5638</v>
      </c>
      <c r="E180" s="244" t="s">
        <v>5192</v>
      </c>
      <c r="F180" s="269" t="s">
        <v>8892</v>
      </c>
      <c r="G180" s="270">
        <v>0.55000000000000004</v>
      </c>
      <c r="H180" s="283">
        <v>420</v>
      </c>
      <c r="I180" s="246">
        <v>70</v>
      </c>
      <c r="J180" s="246">
        <v>0</v>
      </c>
      <c r="K180" s="247" t="s">
        <v>3845</v>
      </c>
      <c r="L180" s="248">
        <v>235758</v>
      </c>
      <c r="M180" s="249">
        <f>15*(LEFT(TEXT($L180,"000000"),2)+(MID(TEXT($L180,"000000"),3,2)/60)+(RIGHT(TEXT($L180,"000000"),2)/3600))</f>
        <v>359.49166666666667</v>
      </c>
      <c r="N180" s="250">
        <v>-140100</v>
      </c>
      <c r="O180" s="251">
        <f>IF($N180&gt;0,(LEFT(TEXT($N180,"000000"),2)+(MID(TEXT($N180,"000000"),3,2)/60)+(RIGHT(TEXT($N180,"000000"),2)/3600)),-(MID(TEXT($N180,"000000"),2,2)+(MID(TEXT($N180,"000000"),4,2)/60)+(RIGHT(TEXT($N180,"000000"),2)/3600)))</f>
        <v>-14.016666666666667</v>
      </c>
      <c r="P180" s="252" t="s">
        <v>75</v>
      </c>
      <c r="Q180" s="253"/>
      <c r="R180" s="247" t="s">
        <v>3733</v>
      </c>
      <c r="S180" s="272" t="s">
        <v>3293</v>
      </c>
      <c r="T180" s="273">
        <v>13.8</v>
      </c>
      <c r="U180" s="289">
        <v>21.59</v>
      </c>
      <c r="V180" s="280">
        <v>10</v>
      </c>
      <c r="W180" s="244"/>
      <c r="X180" s="244"/>
      <c r="Y180" s="362"/>
      <c r="Z180" s="257">
        <f>altaz(J2000_Bas,$O180,$M180,DecLat,DecLong,1)</f>
        <v>6.4080319066100646</v>
      </c>
      <c r="AA180" s="257">
        <f>altaz((J2000_Bas+(2*0.04167)),$O180,$M180,DecLat,DecLong,1)</f>
        <v>28.650355320465653</v>
      </c>
      <c r="AB180" s="257">
        <f>altaz((J2000_Bas+(4*0.04167)),$O180,$M180,DecLat,DecLong,1)</f>
        <v>43.198555134457393</v>
      </c>
      <c r="AC180" s="257">
        <f>altaz((J2000_Bas+(6*0.04167)),$O180,$M180,DecLat,DecLong,1)</f>
        <v>42.187148815590902</v>
      </c>
      <c r="AD180" s="258">
        <f>1+ transit((J2000_Bas-1),$O180,$M180,DecLat,DecLong)/360 + (GMTOffset/24) + (IF(DST="Y", 1, 0)/24)</f>
        <v>1.9914878237338749</v>
      </c>
      <c r="AE180" s="259">
        <f>DATE(2001,9,21)+(M180/360)*365 - (360*((DecLong/360)- (GMTOffset/24) ))</f>
        <v>37524.484606481485</v>
      </c>
      <c r="AF180" s="260">
        <f>IF(DecLat&gt;0,IF((90 - (DecLat-O180))&gt;90, (90 - (O180-DecLat)), (90 - (DecLat-O180))),IF((90 + (DecLat-O180))&gt;90, (90 + (O180-DecLat)), (90 + (DecLat-O180))))</f>
        <v>44.983333333333334</v>
      </c>
      <c r="AG180" s="257">
        <f>angularseperation(MoonRA,MoonDec,$M180,$O180)</f>
        <v>100.87737749722767</v>
      </c>
      <c r="AH180" s="261">
        <f ca="1">MIN(100,IF($O$5&gt;80,0+30*($AG180/100),IF($O$5&gt;70,0+50*($AG180/100),IF($O$5&gt;60,5+50*($AG180/100),IF($O$5&gt;50,10+60*($AG180/100),IF($O$5&gt;40,15+70*($AG180/100),IF($O$5&gt;30,20+70*($AG180/100),IF($O$5&gt;20,40+55*($AG180/100),(80+(20-$O$5)+30*($AG180/100))))))))))</f>
        <v>100</v>
      </c>
      <c r="AI180" s="262"/>
      <c r="AJ180" s="262">
        <v>1520</v>
      </c>
      <c r="AK180" s="262"/>
      <c r="AL180" s="263"/>
      <c r="AM180" s="264"/>
      <c r="AN180" s="263">
        <v>50</v>
      </c>
      <c r="AO180" s="263"/>
      <c r="AP180" s="265"/>
      <c r="AQ180" s="266"/>
      <c r="AR180" s="267">
        <v>73057</v>
      </c>
      <c r="AS180" s="263"/>
      <c r="AT180" s="263"/>
      <c r="AU180" s="263"/>
      <c r="AV180" s="264"/>
      <c r="AW180" s="263"/>
      <c r="AX180" s="263"/>
      <c r="AY180" s="263"/>
      <c r="AZ180" s="263"/>
      <c r="BA180" s="263"/>
      <c r="BB180" s="263"/>
      <c r="BC180" s="263"/>
      <c r="BD180" s="264"/>
      <c r="BE180" s="263"/>
      <c r="BF180" s="263"/>
      <c r="BG180" s="263"/>
      <c r="BH180" s="263"/>
      <c r="BI180" s="263"/>
      <c r="BJ180" s="404">
        <f>altaz(J2000_Bas,$O180,$M180,DecLat,DecLong,2)</f>
        <v>110.59882882201903</v>
      </c>
      <c r="BK180" s="378" t="s">
        <v>269</v>
      </c>
      <c r="BL180" s="379">
        <f>IF((2*G180)/60&lt;0.2,0.2,(2*G180)/60)</f>
        <v>0.2</v>
      </c>
      <c r="BM180" s="380">
        <f>MOD((50000+AD180-$B$3+(0/24)),1)</f>
        <v>0.20685475343634607</v>
      </c>
      <c r="BN180" s="381"/>
      <c r="BO180" s="382">
        <v>180</v>
      </c>
    </row>
    <row r="181" spans="1:67" s="24" customFormat="1" ht="15" customHeight="1" x14ac:dyDescent="0.25">
      <c r="A181" s="288" t="s">
        <v>270</v>
      </c>
      <c r="B181" s="241" t="str">
        <f>HYPERLINK(CONCATENATE($AT$3,BK181,$AU$3),$AV$3)</f>
        <v>S</v>
      </c>
      <c r="C181" s="242" t="str">
        <f>HYPERLINK(CONCATENATE($AT$4,BK181,$AU$4,BL181),$AV$4)</f>
        <v>A</v>
      </c>
      <c r="D181" s="243" t="s">
        <v>5638</v>
      </c>
      <c r="E181" s="244" t="s">
        <v>5192</v>
      </c>
      <c r="F181" s="269" t="s">
        <v>8808</v>
      </c>
      <c r="G181" s="270">
        <v>0.5</v>
      </c>
      <c r="H181" s="271" t="s">
        <v>6500</v>
      </c>
      <c r="I181" s="244" t="s">
        <v>6500</v>
      </c>
      <c r="J181" s="246">
        <v>0</v>
      </c>
      <c r="K181" s="247" t="s">
        <v>3846</v>
      </c>
      <c r="L181" s="248">
        <v>616</v>
      </c>
      <c r="M181" s="249">
        <f>15*(LEFT(TEXT($L181,"000000"),2)+(MID(TEXT($L181,"000000"),3,2)/60)+(RIGHT(TEXT($L181,"000000"),2)/3600))</f>
        <v>1.5666666666666669</v>
      </c>
      <c r="N181" s="286">
        <v>-132601</v>
      </c>
      <c r="O181" s="251">
        <f>IF($N181&gt;0,(LEFT(TEXT($N181,"000000"),2)+(MID(TEXT($N181,"000000"),3,2)/60)+(RIGHT(TEXT($N181,"000000"),2)/3600)),-(MID(TEXT($N181,"000000"),2,2)+(MID(TEXT($N181,"000000"),4,2)/60)+(RIGHT(TEXT($N181,"000000"),2)/3600)))</f>
        <v>-13.433611111111111</v>
      </c>
      <c r="P181" s="252" t="s">
        <v>75</v>
      </c>
      <c r="Q181" s="253"/>
      <c r="R181" s="247" t="s">
        <v>3293</v>
      </c>
      <c r="S181" s="272" t="s">
        <v>363</v>
      </c>
      <c r="T181" s="273">
        <v>15</v>
      </c>
      <c r="U181" s="274"/>
      <c r="V181" s="280">
        <v>0</v>
      </c>
      <c r="W181" s="244"/>
      <c r="X181" s="244"/>
      <c r="Y181" s="362"/>
      <c r="Z181" s="257">
        <f>altaz(J2000_Bas,$O181,$M181,DecLat,DecLong,1)</f>
        <v>5.0595099445526692</v>
      </c>
      <c r="AA181" s="257">
        <f>altaz((J2000_Bas+(2*0.04167)),$O181,$M181,DecLat,DecLong,1)</f>
        <v>27.704944441221219</v>
      </c>
      <c r="AB181" s="257">
        <f>altaz((J2000_Bas+(4*0.04167)),$O181,$M181,DecLat,DecLong,1)</f>
        <v>43.168593399246788</v>
      </c>
      <c r="AC181" s="257">
        <f>altaz((J2000_Bas+(6*0.04167)),$O181,$M181,DecLat,DecLong,1)</f>
        <v>43.378212389342934</v>
      </c>
      <c r="AD181" s="258">
        <f>1+ transit((J2000_Bas-1),$O181,$M181,DecLat,DecLong)/360 + (GMTOffset/24) + (IF(DST="Y", 1, 0)/24)</f>
        <v>0.99725181204637459</v>
      </c>
      <c r="AE181" s="259">
        <f>DATE(2001,9,21)+(M181/360)*365 - (360*((DecLong/360)- (GMTOffset/24) ))</f>
        <v>37161.588425925926</v>
      </c>
      <c r="AF181" s="260">
        <f>IF(DecLat&gt;0,IF((90 - (DecLat-O181))&gt;90, (90 - (O181-DecLat)), (90 - (DecLat-O181))),IF((90 + (DecLat-O181))&gt;90, (90 + (O181-DecLat)), (90 + (DecLat-O181))))</f>
        <v>45.566388888888888</v>
      </c>
      <c r="AG181" s="257">
        <f>angularseperation(MoonRA,MoonDec,$M181,$O181)</f>
        <v>102.8954808012053</v>
      </c>
      <c r="AH181" s="261">
        <f ca="1">MIN(100,IF($O$5&gt;80,0+30*($AG181/100),IF($O$5&gt;70,0+50*($AG181/100),IF($O$5&gt;60,5+50*($AG181/100),IF($O$5&gt;50,10+60*($AG181/100),IF($O$5&gt;40,15+70*($AG181/100),IF($O$5&gt;30,20+70*($AG181/100),IF($O$5&gt;20,40+55*($AG181/100),(80+(20-$O$5)+30*($AG181/100))))))))))</f>
        <v>100</v>
      </c>
      <c r="AI181" s="262"/>
      <c r="AJ181" s="262"/>
      <c r="AK181" s="262"/>
      <c r="AL181" s="263"/>
      <c r="AM181" s="264"/>
      <c r="AN181" s="263">
        <v>51</v>
      </c>
      <c r="AO181" s="263"/>
      <c r="AP181" s="265"/>
      <c r="AQ181" s="266"/>
      <c r="AR181" s="267">
        <v>475</v>
      </c>
      <c r="AS181" s="263"/>
      <c r="AT181" s="263"/>
      <c r="AU181" s="263"/>
      <c r="AV181" s="264"/>
      <c r="AW181" s="263"/>
      <c r="AX181" s="263"/>
      <c r="AY181" s="263"/>
      <c r="AZ181" s="263"/>
      <c r="BA181" s="263"/>
      <c r="BB181" s="263"/>
      <c r="BC181" s="263"/>
      <c r="BD181" s="264"/>
      <c r="BE181" s="263"/>
      <c r="BF181" s="263"/>
      <c r="BG181" s="263"/>
      <c r="BH181" s="263"/>
      <c r="BI181" s="263"/>
      <c r="BJ181" s="404">
        <f>altaz(J2000_Bas,$O181,$M181,DecLat,DecLong,2)</f>
        <v>108.98303114682182</v>
      </c>
      <c r="BK181" s="378" t="s">
        <v>270</v>
      </c>
      <c r="BL181" s="379">
        <f>IF((2*G181)/60&lt;0.2,0.2,(2*G181)/60)</f>
        <v>0.2</v>
      </c>
      <c r="BM181" s="380">
        <f>MOD((50000+AD181-$B$3+(0/24)),1)</f>
        <v>0.2126187417525216</v>
      </c>
      <c r="BN181" s="381"/>
      <c r="BO181" s="382">
        <v>181</v>
      </c>
    </row>
    <row r="182" spans="1:67" s="24" customFormat="1" ht="15" customHeight="1" x14ac:dyDescent="0.25">
      <c r="A182" s="288" t="s">
        <v>271</v>
      </c>
      <c r="B182" s="241" t="str">
        <f>HYPERLINK(CONCATENATE($AT$3,BK182,$AU$3),$AV$3)</f>
        <v>S</v>
      </c>
      <c r="C182" s="242" t="str">
        <f>HYPERLINK(CONCATENATE($AT$4,BK182,$AU$4,BL182),$AV$4)</f>
        <v>A</v>
      </c>
      <c r="D182" s="243" t="s">
        <v>5638</v>
      </c>
      <c r="E182" s="244" t="s">
        <v>5192</v>
      </c>
      <c r="F182" s="269" t="s">
        <v>3306</v>
      </c>
      <c r="G182" s="270">
        <v>0.6</v>
      </c>
      <c r="H182" s="283">
        <v>390</v>
      </c>
      <c r="I182" s="246">
        <v>70</v>
      </c>
      <c r="J182" s="246">
        <v>1</v>
      </c>
      <c r="K182" s="247" t="s">
        <v>3847</v>
      </c>
      <c r="L182" s="248">
        <v>51944</v>
      </c>
      <c r="M182" s="249">
        <f>15*(LEFT(TEXT($L182,"000000"),2)+(MID(TEXT($L182,"000000"),3,2)/60)+(RIGHT(TEXT($L182,"000000"),2)/3600))</f>
        <v>79.933333333333337</v>
      </c>
      <c r="N182" s="250">
        <v>34300</v>
      </c>
      <c r="O182" s="251">
        <f>IF($N182&gt;0,(LEFT(TEXT($N182,"000000"),2)+(MID(TEXT($N182,"000000"),3,2)/60)+(RIGHT(TEXT($N182,"000000"),2)/3600)),-(MID(TEXT($N182,"000000"),2,2)+(MID(TEXT($N182,"000000"),4,2)/60)+(RIGHT(TEXT($N182,"000000"),2)/3600)))</f>
        <v>3.7166666666666668</v>
      </c>
      <c r="P182" s="252" t="s">
        <v>41</v>
      </c>
      <c r="Q182" s="253"/>
      <c r="R182" s="247" t="s">
        <v>3293</v>
      </c>
      <c r="S182" s="272" t="s">
        <v>3293</v>
      </c>
      <c r="T182" s="273">
        <v>16</v>
      </c>
      <c r="U182" s="274"/>
      <c r="V182" s="280">
        <v>70</v>
      </c>
      <c r="W182" s="244"/>
      <c r="X182" s="244"/>
      <c r="Y182" s="362"/>
      <c r="Z182" s="257">
        <f>altaz(J2000_Bas,$O182,$M182,DecLat,DecLong,1)</f>
        <v>-47.303530437325627</v>
      </c>
      <c r="AA182" s="257">
        <f>altaz((J2000_Bas+(2*0.04167)),$O182,$M182,DecLat,DecLong,1)</f>
        <v>-26.296853001968302</v>
      </c>
      <c r="AB182" s="257">
        <f>altaz((J2000_Bas+(4*0.04167)),$O182,$M182,DecLat,DecLong,1)</f>
        <v>-1.3024737017288772</v>
      </c>
      <c r="AC182" s="257">
        <f>altaz((J2000_Bas+(6*0.04167)),$O182,$M182,DecLat,DecLong,1)</f>
        <v>24.373316335215126</v>
      </c>
      <c r="AD182" s="258">
        <f>1+ transit((J2000_Bas-1),$O182,$M182,DecLat,DecLong)/360 + (GMTOffset/24) + (IF(DST="Y", 1, 0)/24)</f>
        <v>1.2149369754630415</v>
      </c>
      <c r="AE182" s="259">
        <f>DATE(2001,9,21)+(M182/360)*365 - (360*((DecLong/360)- (GMTOffset/24) ))</f>
        <v>37241.04351851852</v>
      </c>
      <c r="AF182" s="260">
        <f>IF(DecLat&gt;0,IF((90 - (DecLat-O182))&gt;90, (90 - (O182-DecLat)), (90 - (DecLat-O182))),IF((90 + (DecLat-O182))&gt;90, (90 + (O182-DecLat)), (90 + (DecLat-O182))))</f>
        <v>62.716666666666669</v>
      </c>
      <c r="AG182" s="257">
        <f>angularseperation(MoonRA,MoonDec,$M182,$O182)</f>
        <v>154.49623605709527</v>
      </c>
      <c r="AH182" s="261">
        <f ca="1">MIN(100,IF($O$5&gt;80,0+30*($AG182/100),IF($O$5&gt;70,0+50*($AG182/100),IF($O$5&gt;60,5+50*($AG182/100),IF($O$5&gt;50,10+60*($AG182/100),IF($O$5&gt;40,15+70*($AG182/100),IF($O$5&gt;30,20+70*($AG182/100),IF($O$5&gt;20,40+55*($AG182/100),(80+(20-$O$5)+30*($AG182/100))))))))))</f>
        <v>100</v>
      </c>
      <c r="AI182" s="262"/>
      <c r="AJ182" s="262"/>
      <c r="AK182" s="262"/>
      <c r="AL182" s="263"/>
      <c r="AM182" s="264"/>
      <c r="AN182" s="263">
        <v>52</v>
      </c>
      <c r="AO182" s="263"/>
      <c r="AP182" s="265"/>
      <c r="AQ182" s="266"/>
      <c r="AR182" s="267">
        <v>17109</v>
      </c>
      <c r="AS182" s="263"/>
      <c r="AT182" s="263"/>
      <c r="AU182" s="263"/>
      <c r="AV182" s="264"/>
      <c r="AW182" s="263"/>
      <c r="AX182" s="263"/>
      <c r="AY182" s="263"/>
      <c r="AZ182" s="263"/>
      <c r="BA182" s="263"/>
      <c r="BB182" s="263"/>
      <c r="BC182" s="263"/>
      <c r="BD182" s="264"/>
      <c r="BE182" s="263"/>
      <c r="BF182" s="263"/>
      <c r="BG182" s="263"/>
      <c r="BH182" s="263"/>
      <c r="BI182" s="263"/>
      <c r="BJ182" s="404">
        <f>altaz(J2000_Bas,$O182,$M182,DecLat,DecLong,2)</f>
        <v>40.292922268667951</v>
      </c>
      <c r="BK182" s="378" t="s">
        <v>271</v>
      </c>
      <c r="BL182" s="379">
        <f>IF((2*G182)/60&lt;0.2,0.2,(2*G182)/60)</f>
        <v>0.2</v>
      </c>
      <c r="BM182" s="380">
        <f>MOD((50000+AD182-$B$3+(0/24)),1)</f>
        <v>0.43030390516651096</v>
      </c>
      <c r="BN182" s="381"/>
      <c r="BO182" s="382">
        <v>182</v>
      </c>
    </row>
    <row r="183" spans="1:67" s="24" customFormat="1" ht="15" customHeight="1" x14ac:dyDescent="0.25">
      <c r="A183" s="288" t="s">
        <v>272</v>
      </c>
      <c r="B183" s="241" t="str">
        <f>HYPERLINK(CONCATENATE($AT$3,BK183,$AU$3),$AV$3)</f>
        <v>S</v>
      </c>
      <c r="C183" s="242" t="str">
        <f>HYPERLINK(CONCATENATE($AT$4,BK183,$AU$4,BL183),$AV$4)</f>
        <v>A</v>
      </c>
      <c r="D183" s="243" t="s">
        <v>5638</v>
      </c>
      <c r="E183" s="244" t="s">
        <v>5192</v>
      </c>
      <c r="F183" s="269" t="s">
        <v>8886</v>
      </c>
      <c r="G183" s="273">
        <v>1</v>
      </c>
      <c r="H183" s="283">
        <v>485.77805999999998</v>
      </c>
      <c r="I183" s="246">
        <v>140</v>
      </c>
      <c r="J183" s="246">
        <v>2</v>
      </c>
      <c r="K183" s="247" t="s">
        <v>3848</v>
      </c>
      <c r="L183" s="248">
        <v>103517</v>
      </c>
      <c r="M183" s="249">
        <f>15*(LEFT(TEXT($L183,"000000"),2)+(MID(TEXT($L183,"000000"),3,2)/60)+(RIGHT(TEXT($L183,"000000"),2)/3600))</f>
        <v>158.82083333333333</v>
      </c>
      <c r="N183" s="250">
        <v>-171600</v>
      </c>
      <c r="O183" s="251">
        <f>IF($N183&gt;0,(LEFT(TEXT($N183,"000000"),2)+(MID(TEXT($N183,"000000"),3,2)/60)+(RIGHT(TEXT($N183,"000000"),2)/3600)),-(MID(TEXT($N183,"000000"),2,2)+(MID(TEXT($N183,"000000"),4,2)/60)+(RIGHT(TEXT($N183,"000000"),2)/3600)))</f>
        <v>-17.266666666666666</v>
      </c>
      <c r="P183" s="252" t="s">
        <v>103</v>
      </c>
      <c r="Q183" s="253"/>
      <c r="R183" s="247" t="s">
        <v>3541</v>
      </c>
      <c r="S183" s="272" t="s">
        <v>3293</v>
      </c>
      <c r="T183" s="273">
        <v>14.5</v>
      </c>
      <c r="U183" s="289">
        <v>21.490000000000002</v>
      </c>
      <c r="V183" s="280">
        <v>65</v>
      </c>
      <c r="W183" s="244"/>
      <c r="X183" s="244"/>
      <c r="Y183" s="362"/>
      <c r="Z183" s="257">
        <f>altaz(J2000_Bas,$O183,$M183,DecLat,DecLong,1)</f>
        <v>-40.357388617315586</v>
      </c>
      <c r="AA183" s="257">
        <f>altaz((J2000_Bas+(2*0.04167)),$O183,$M183,DecLat,DecLong,1)</f>
        <v>-65.205801237049059</v>
      </c>
      <c r="AB183" s="257">
        <f>altaz((J2000_Bas+(4*0.04167)),$O183,$M183,DecLat,DecLong,1)</f>
        <v>-74.727461312396571</v>
      </c>
      <c r="AC183" s="257">
        <f>altaz((J2000_Bas+(6*0.04167)),$O183,$M183,DecLat,DecLong,1)</f>
        <v>-53.400649490557988</v>
      </c>
      <c r="AD183" s="258">
        <f>1+ transit((J2000_Bas-1),$O183,$M183,DecLat,DecLong)/360 + (GMTOffset/24) + (IF(DST="Y", 1, 0)/24)</f>
        <v>1.4340688979942913</v>
      </c>
      <c r="AE183" s="259">
        <f>DATE(2001,9,21)+(M183/360)*365 - (360*((DecLong/360)- (GMTOffset/24) ))</f>
        <v>37321.026678240742</v>
      </c>
      <c r="AF183" s="260">
        <f>IF(DecLat&gt;0,IF((90 - (DecLat-O183))&gt;90, (90 - (O183-DecLat)), (90 - (DecLat-O183))),IF((90 + (DecLat-O183))&gt;90, (90 + (O183-DecLat)), (90 + (DecLat-O183))))</f>
        <v>41.733333333333334</v>
      </c>
      <c r="AG183" s="257">
        <f>angularseperation(MoonRA,MoonDec,$M183,$O183)</f>
        <v>82.594381955074113</v>
      </c>
      <c r="AH183" s="261">
        <f ca="1">MIN(100,IF($O$5&gt;80,0+30*($AG183/100),IF($O$5&gt;70,0+50*($AG183/100),IF($O$5&gt;60,5+50*($AG183/100),IF($O$5&gt;50,10+60*($AG183/100),IF($O$5&gt;40,15+70*($AG183/100),IF($O$5&gt;30,20+70*($AG183/100),IF($O$5&gt;20,40+55*($AG183/100),(80+(20-$O$5)+30*($AG183/100))))))))))</f>
        <v>100</v>
      </c>
      <c r="AI183" s="262">
        <v>3290</v>
      </c>
      <c r="AJ183" s="262"/>
      <c r="AK183" s="262"/>
      <c r="AL183" s="263"/>
      <c r="AM183" s="264"/>
      <c r="AN183" s="263">
        <v>53</v>
      </c>
      <c r="AO183" s="263"/>
      <c r="AP183" s="265"/>
      <c r="AQ183" s="266"/>
      <c r="AR183" s="267">
        <v>31346</v>
      </c>
      <c r="AS183" s="263"/>
      <c r="AT183" s="263"/>
      <c r="AU183" s="263"/>
      <c r="AV183" s="264"/>
      <c r="AW183" s="263"/>
      <c r="AX183" s="263"/>
      <c r="AY183" s="263"/>
      <c r="AZ183" s="263"/>
      <c r="BA183" s="263"/>
      <c r="BB183" s="263"/>
      <c r="BC183" s="263"/>
      <c r="BD183" s="264"/>
      <c r="BE183" s="263"/>
      <c r="BF183" s="263"/>
      <c r="BG183" s="263"/>
      <c r="BH183" s="263"/>
      <c r="BI183" s="263"/>
      <c r="BJ183" s="404">
        <f>altaz(J2000_Bas,$O183,$M183,DecLat,DecLong,2)</f>
        <v>273.22054516466886</v>
      </c>
      <c r="BK183" s="378" t="s">
        <v>272</v>
      </c>
      <c r="BL183" s="379">
        <f>IF((2*G183)/60&lt;0.2,0.2,(2*G183)/60)</f>
        <v>0.2</v>
      </c>
      <c r="BM183" s="380">
        <f>MOD((50000+AD183-$B$3+(0/24)),1)</f>
        <v>0.64943582769774366</v>
      </c>
      <c r="BN183" s="381"/>
      <c r="BO183" s="382">
        <v>183</v>
      </c>
    </row>
    <row r="184" spans="1:67" s="24" customFormat="1" ht="15" customHeight="1" x14ac:dyDescent="0.25">
      <c r="A184" s="288" t="s">
        <v>273</v>
      </c>
      <c r="B184" s="241" t="str">
        <f>HYPERLINK(CONCATENATE($AT$3,BK184,$AU$3),$AV$3)</f>
        <v>S</v>
      </c>
      <c r="C184" s="242" t="str">
        <f>HYPERLINK(CONCATENATE($AT$4,BK184,$AU$4,BL184),$AV$4)</f>
        <v>A</v>
      </c>
      <c r="D184" s="243" t="s">
        <v>5638</v>
      </c>
      <c r="E184" s="244" t="s">
        <v>5192</v>
      </c>
      <c r="F184" s="269" t="s">
        <v>8894</v>
      </c>
      <c r="G184" s="273">
        <v>1</v>
      </c>
      <c r="H184" s="283">
        <v>600</v>
      </c>
      <c r="I184" s="246">
        <v>170</v>
      </c>
      <c r="J184" s="246">
        <v>2</v>
      </c>
      <c r="K184" s="247" t="s">
        <v>3849</v>
      </c>
      <c r="L184" s="248">
        <v>22359</v>
      </c>
      <c r="M184" s="249">
        <f>15*(LEFT(TEXT($L184,"000000"),2)+(MID(TEXT($L184,"000000"),3,2)/60)+(RIGHT(TEXT($L184,"000000"),2)/3600))</f>
        <v>35.99583333333333</v>
      </c>
      <c r="N184" s="250">
        <v>-44100</v>
      </c>
      <c r="O184" s="251">
        <f>IF($N184&gt;0,(LEFT(TEXT($N184,"000000"),2)+(MID(TEXT($N184,"000000"),3,2)/60)+(RIGHT(TEXT($N184,"000000"),2)/3600)),-(MID(TEXT($N184,"000000"),2,2)+(MID(TEXT($N184,"000000"),4,2)/60)+(RIGHT(TEXT($N184,"000000"),2)/3600)))</f>
        <v>-4.6833333333333336</v>
      </c>
      <c r="P184" s="252" t="s">
        <v>75</v>
      </c>
      <c r="Q184" s="253"/>
      <c r="R184" s="247" t="s">
        <v>3293</v>
      </c>
      <c r="S184" s="272" t="s">
        <v>3293</v>
      </c>
      <c r="T184" s="273">
        <v>15</v>
      </c>
      <c r="U184" s="274"/>
      <c r="V184" s="280">
        <v>50</v>
      </c>
      <c r="W184" s="244"/>
      <c r="X184" s="244"/>
      <c r="Y184" s="362"/>
      <c r="Z184" s="257">
        <f>altaz(J2000_Bas,$O184,$M184,DecLat,DecLong,1)</f>
        <v>-19.520651020413737</v>
      </c>
      <c r="AA184" s="257">
        <f>altaz((J2000_Bas+(2*0.04167)),$O184,$M184,DecLat,DecLong,1)</f>
        <v>6.1791421111543832</v>
      </c>
      <c r="AB184" s="257">
        <f>altaz((J2000_Bas+(4*0.04167)),$O184,$M184,DecLat,DecLong,1)</f>
        <v>30.603308001162514</v>
      </c>
      <c r="AC184" s="257">
        <f>altaz((J2000_Bas+(6*0.04167)),$O184,$M184,DecLat,DecLong,1)</f>
        <v>49.645442480817984</v>
      </c>
      <c r="AD184" s="258">
        <f>1+ transit((J2000_Bas-1),$O184,$M184,DecLat,DecLong)/360 + (GMTOffset/24) + (IF(DST="Y", 1, 0)/24)</f>
        <v>1.0928883765567914</v>
      </c>
      <c r="AE184" s="259">
        <f>DATE(2001,9,21)+(M184/360)*365 - (360*((DecLong/360)- (GMTOffset/24) ))</f>
        <v>37196.495775462965</v>
      </c>
      <c r="AF184" s="260">
        <f>IF(DecLat&gt;0,IF((90 - (DecLat-O184))&gt;90, (90 - (O184-DecLat)), (90 - (DecLat-O184))),IF((90 + (DecLat-O184))&gt;90, (90 + (O184-DecLat)), (90 + (DecLat-O184))))</f>
        <v>54.316666666666663</v>
      </c>
      <c r="AG184" s="257">
        <f>angularseperation(MoonRA,MoonDec,$M184,$O184)</f>
        <v>134.82560513931341</v>
      </c>
      <c r="AH184" s="261">
        <f ca="1">MIN(100,IF($O$5&gt;80,0+30*($AG184/100),IF($O$5&gt;70,0+50*($AG184/100),IF($O$5&gt;60,5+50*($AG184/100),IF($O$5&gt;50,10+60*($AG184/100),IF($O$5&gt;40,15+70*($AG184/100),IF($O$5&gt;30,20+70*($AG184/100),IF($O$5&gt;20,40+55*($AG184/100),(80+(20-$O$5)+30*($AG184/100))))))))))</f>
        <v>100</v>
      </c>
      <c r="AI184" s="262"/>
      <c r="AJ184" s="262"/>
      <c r="AK184" s="262"/>
      <c r="AL184" s="263"/>
      <c r="AM184" s="264"/>
      <c r="AN184" s="263">
        <v>54</v>
      </c>
      <c r="AO184" s="263"/>
      <c r="AP184" s="265"/>
      <c r="AQ184" s="266"/>
      <c r="AR184" s="267">
        <v>9107</v>
      </c>
      <c r="AS184" s="263"/>
      <c r="AT184" s="263"/>
      <c r="AU184" s="263"/>
      <c r="AV184" s="264"/>
      <c r="AW184" s="263"/>
      <c r="AX184" s="263"/>
      <c r="AY184" s="263"/>
      <c r="AZ184" s="263"/>
      <c r="BA184" s="263"/>
      <c r="BB184" s="263"/>
      <c r="BC184" s="263"/>
      <c r="BD184" s="264"/>
      <c r="BE184" s="263"/>
      <c r="BF184" s="263"/>
      <c r="BG184" s="263"/>
      <c r="BH184" s="263"/>
      <c r="BI184" s="263"/>
      <c r="BJ184" s="404">
        <f>altaz(J2000_Bas,$O184,$M184,DecLat,DecLong,2)</f>
        <v>83.571877143325338</v>
      </c>
      <c r="BK184" s="378" t="s">
        <v>273</v>
      </c>
      <c r="BL184" s="379">
        <f>IF((2*G184)/60&lt;0.2,0.2,(2*G184)/60)</f>
        <v>0.2</v>
      </c>
      <c r="BM184" s="380">
        <f>MOD((50000+AD184-$B$3+(0/24)),1)</f>
        <v>0.30825530626316322</v>
      </c>
      <c r="BN184" s="381" t="s">
        <v>8795</v>
      </c>
      <c r="BO184" s="382">
        <v>184</v>
      </c>
    </row>
    <row r="185" spans="1:67" s="24" customFormat="1" ht="15" customHeight="1" x14ac:dyDescent="0.25">
      <c r="A185" s="288" t="s">
        <v>274</v>
      </c>
      <c r="B185" s="241" t="str">
        <f>HYPERLINK(CONCATENATE($AT$3,BK185,$AU$3),$AV$3)</f>
        <v>S</v>
      </c>
      <c r="C185" s="242" t="str">
        <f>HYPERLINK(CONCATENATE($AT$4,BK185,$AU$4,BL185),$AV$4)</f>
        <v>A</v>
      </c>
      <c r="D185" s="243" t="s">
        <v>5638</v>
      </c>
      <c r="E185" s="244" t="s">
        <v>5337</v>
      </c>
      <c r="F185" s="269" t="s">
        <v>9138</v>
      </c>
      <c r="G185" s="270">
        <v>0.7</v>
      </c>
      <c r="H185" s="283">
        <v>500</v>
      </c>
      <c r="I185" s="246">
        <v>100</v>
      </c>
      <c r="J185" s="246">
        <v>3</v>
      </c>
      <c r="K185" s="247" t="s">
        <v>8502</v>
      </c>
      <c r="L185" s="248">
        <v>91600</v>
      </c>
      <c r="M185" s="249">
        <f>15*(LEFT(TEXT($L185,"000000"),2)+(MID(TEXT($L185,"000000"),3,2)/60)+(RIGHT(TEXT($L185,"000000"),2)/3600))</f>
        <v>139</v>
      </c>
      <c r="N185" s="250">
        <v>442100</v>
      </c>
      <c r="O185" s="251">
        <f>IF($N185&gt;0,(LEFT(TEXT($N185,"000000"),2)+(MID(TEXT($N185,"000000"),3,2)/60)+(RIGHT(TEXT($N185,"000000"),2)/3600)),-(MID(TEXT($N185,"000000"),2,2)+(MID(TEXT($N185,"000000"),4,2)/60)+(RIGHT(TEXT($N185,"000000"),2)/3600)))</f>
        <v>44.35</v>
      </c>
      <c r="P185" s="252" t="s">
        <v>82</v>
      </c>
      <c r="Q185" s="253" t="s">
        <v>6874</v>
      </c>
      <c r="R185" s="247" t="s">
        <v>3293</v>
      </c>
      <c r="S185" s="272" t="s">
        <v>3293</v>
      </c>
      <c r="T185" s="273">
        <v>14.9</v>
      </c>
      <c r="U185" s="274"/>
      <c r="V185" s="280"/>
      <c r="W185" s="244"/>
      <c r="X185" s="244"/>
      <c r="Y185" s="362"/>
      <c r="Z185" s="257">
        <f>altaz(J2000_Bas,$O185,$M185,DecLat,DecLong,1)</f>
        <v>-8.8612897307721248</v>
      </c>
      <c r="AA185" s="257">
        <f>altaz((J2000_Bas+(2*0.04167)),$O185,$M185,DecLat,DecLong,1)</f>
        <v>-14.603106404256204</v>
      </c>
      <c r="AB185" s="257">
        <f>altaz((J2000_Bas+(4*0.04167)),$O185,$M185,DecLat,DecLong,1)</f>
        <v>-10.676887964054076</v>
      </c>
      <c r="AC185" s="257">
        <f>altaz((J2000_Bas+(6*0.04167)),$O185,$M185,DecLat,DecLong,1)</f>
        <v>1.6331686193466817</v>
      </c>
      <c r="AD185" s="258">
        <f>1+ transit((J2000_Bas-1),$O185,$M185,DecLat,DecLong)/360 + (GMTOffset/24) + (IF(DST="Y", 1, 0)/24)</f>
        <v>1.3790110331297081</v>
      </c>
      <c r="AE185" s="259">
        <f>DATE(2001,9,21)+(M185/360)*365 - (360*((DecLong/360)- (GMTOffset/24) ))</f>
        <v>37300.930555555555</v>
      </c>
      <c r="AF185" s="260">
        <f>IF(DecLat&gt;0,IF((90 - (DecLat-O185))&gt;90, (90 - (O185-DecLat)), (90 - (DecLat-O185))),IF((90 + (DecLat-O185))&gt;90, (90 + (O185-DecLat)), (90 + (DecLat-O185))))</f>
        <v>76.650000000000006</v>
      </c>
      <c r="AG185" s="257">
        <f>angularseperation(MoonRA,MoonDec,$M185,$O185)</f>
        <v>122.58484529089968</v>
      </c>
      <c r="AH185" s="261">
        <f ca="1">MIN(100,IF($O$5&gt;80,0+30*($AG185/100),IF($O$5&gt;70,0+50*($AG185/100),IF($O$5&gt;60,5+50*($AG185/100),IF($O$5&gt;50,10+60*($AG185/100),IF($O$5&gt;40,15+70*($AG185/100),IF($O$5&gt;30,20+70*($AG185/100),IF($O$5&gt;20,40+55*($AG185/100),(80+(20-$O$5)+30*($AG185/100))))))))))</f>
        <v>100</v>
      </c>
      <c r="AI185" s="262"/>
      <c r="AJ185" s="262"/>
      <c r="AK185" s="262"/>
      <c r="AL185" s="263"/>
      <c r="AM185" s="264"/>
      <c r="AN185" s="263">
        <v>55</v>
      </c>
      <c r="AO185" s="263"/>
      <c r="AP185" s="265"/>
      <c r="AQ185" s="266">
        <v>4881</v>
      </c>
      <c r="AR185" s="267"/>
      <c r="AS185" s="263"/>
      <c r="AT185" s="263"/>
      <c r="AU185" s="263"/>
      <c r="AV185" s="264"/>
      <c r="AW185" s="263"/>
      <c r="AX185" s="263"/>
      <c r="AY185" s="263"/>
      <c r="AZ185" s="263"/>
      <c r="BA185" s="263"/>
      <c r="BB185" s="263"/>
      <c r="BC185" s="263"/>
      <c r="BD185" s="264"/>
      <c r="BE185" s="263"/>
      <c r="BF185" s="263"/>
      <c r="BG185" s="263"/>
      <c r="BH185" s="263"/>
      <c r="BI185" s="263"/>
      <c r="BJ185" s="404">
        <f>altaz(J2000_Bas,$O185,$M185,DecLat,DecLong,2)</f>
        <v>336.78771447840558</v>
      </c>
      <c r="BK185" s="378" t="s">
        <v>274</v>
      </c>
      <c r="BL185" s="379">
        <f>IF((2*G185)/60&lt;0.2,0.2,(2*G185)/60)</f>
        <v>0.2</v>
      </c>
      <c r="BM185" s="380">
        <f>MOD((50000+AD185-$B$3+(0/24)),1)</f>
        <v>0.59437796283600619</v>
      </c>
      <c r="BN185" s="381" t="s">
        <v>9283</v>
      </c>
      <c r="BO185" s="382">
        <v>185</v>
      </c>
    </row>
    <row r="186" spans="1:67" s="24" customFormat="1" ht="15" customHeight="1" x14ac:dyDescent="0.25">
      <c r="A186" s="288" t="s">
        <v>275</v>
      </c>
      <c r="B186" s="241" t="str">
        <f>HYPERLINK(CONCATENATE($AT$3,BK186,$AU$3),$AV$3)</f>
        <v>S</v>
      </c>
      <c r="C186" s="242" t="str">
        <f>HYPERLINK(CONCATENATE($AT$4,BK186,$AU$4,BL186),$AV$4)</f>
        <v>A</v>
      </c>
      <c r="D186" s="243" t="s">
        <v>5638</v>
      </c>
      <c r="E186" s="244" t="s">
        <v>5192</v>
      </c>
      <c r="F186" s="269" t="s">
        <v>8896</v>
      </c>
      <c r="G186" s="273">
        <v>1</v>
      </c>
      <c r="H186" s="283">
        <v>370</v>
      </c>
      <c r="I186" s="246">
        <v>100</v>
      </c>
      <c r="J186" s="246">
        <v>1</v>
      </c>
      <c r="K186" s="247" t="s">
        <v>3850</v>
      </c>
      <c r="L186" s="248">
        <v>15725</v>
      </c>
      <c r="M186" s="249">
        <f>15*(LEFT(TEXT($L186,"000000"),2)+(MID(TEXT($L186,"000000"),3,2)/60)+(RIGHT(TEXT($L186,"000000"),2)/3600))</f>
        <v>29.354166666666664</v>
      </c>
      <c r="N186" s="250">
        <v>171300</v>
      </c>
      <c r="O186" s="251">
        <f>IF($N186&gt;0,(LEFT(TEXT($N186,"000000"),2)+(MID(TEXT($N186,"000000"),3,2)/60)+(RIGHT(TEXT($N186,"000000"),2)/3600)),-(MID(TEXT($N186,"000000"),2,2)+(MID(TEXT($N186,"000000"),4,2)/60)+(RIGHT(TEXT($N186,"000000"),2)/3600)))</f>
        <v>17.216666666666665</v>
      </c>
      <c r="P186" s="252" t="s">
        <v>249</v>
      </c>
      <c r="Q186" s="253"/>
      <c r="R186" s="247" t="s">
        <v>3293</v>
      </c>
      <c r="S186" s="272" t="s">
        <v>3293</v>
      </c>
      <c r="T186" s="273">
        <v>15</v>
      </c>
      <c r="U186" s="274"/>
      <c r="V186" s="280">
        <v>25</v>
      </c>
      <c r="W186" s="244"/>
      <c r="X186" s="244"/>
      <c r="Y186" s="362"/>
      <c r="Z186" s="257">
        <f>altaz(J2000_Bas,$O186,$M186,DecLat,DecLong,1)</f>
        <v>-2.0991045611976755</v>
      </c>
      <c r="AA186" s="257">
        <f>altaz((J2000_Bas+(2*0.04167)),$O186,$M186,DecLat,DecLong,1)</f>
        <v>22.840984119771203</v>
      </c>
      <c r="AB186" s="257">
        <f>altaz((J2000_Bas+(4*0.04167)),$O186,$M186,DecLat,DecLong,1)</f>
        <v>48.544117661523892</v>
      </c>
      <c r="AC186" s="257">
        <f>altaz((J2000_Bas+(6*0.04167)),$O186,$M186,DecLat,DecLong,1)</f>
        <v>71.787332300838912</v>
      </c>
      <c r="AD186" s="258">
        <f>1+ transit((J2000_Bas-1),$O186,$M186,DecLat,DecLong)/360 + (GMTOffset/24) + (IF(DST="Y", 1, 0)/24)</f>
        <v>1.0744393043276246</v>
      </c>
      <c r="AE186" s="259">
        <f>DATE(2001,9,21)+(M186/360)*365 - (360*((DecLong/360)- (GMTOffset/24) ))</f>
        <v>37189.761863425927</v>
      </c>
      <c r="AF186" s="260">
        <f>IF(DecLat&gt;0,IF((90 - (DecLat-O186))&gt;90, (90 - (O186-DecLat)), (90 - (DecLat-O186))),IF((90 + (DecLat-O186))&gt;90, (90 + (O186-DecLat)), (90 + (DecLat-O186))))</f>
        <v>76.216666666666669</v>
      </c>
      <c r="AG186" s="257">
        <f>angularseperation(MoonRA,MoonDec,$M186,$O186)</f>
        <v>141.93486001724648</v>
      </c>
      <c r="AH186" s="261">
        <f ca="1">MIN(100,IF($O$5&gt;80,0+30*($AG186/100),IF($O$5&gt;70,0+50*($AG186/100),IF($O$5&gt;60,5+50*($AG186/100),IF($O$5&gt;50,10+60*($AG186/100),IF($O$5&gt;40,15+70*($AG186/100),IF($O$5&gt;30,20+70*($AG186/100),IF($O$5&gt;20,40+55*($AG186/100),(80+(20-$O$5)+30*($AG186/100))))))))))</f>
        <v>100</v>
      </c>
      <c r="AI186" s="262"/>
      <c r="AJ186" s="262"/>
      <c r="AK186" s="262"/>
      <c r="AL186" s="263"/>
      <c r="AM186" s="264"/>
      <c r="AN186" s="263">
        <v>56</v>
      </c>
      <c r="AO186" s="263"/>
      <c r="AP186" s="265"/>
      <c r="AQ186" s="266">
        <v>1432</v>
      </c>
      <c r="AR186" s="267">
        <v>7359</v>
      </c>
      <c r="AS186" s="263"/>
      <c r="AT186" s="263"/>
      <c r="AU186" s="263"/>
      <c r="AV186" s="264"/>
      <c r="AW186" s="263"/>
      <c r="AX186" s="263"/>
      <c r="AY186" s="263"/>
      <c r="AZ186" s="263"/>
      <c r="BA186" s="263"/>
      <c r="BB186" s="263"/>
      <c r="BC186" s="263"/>
      <c r="BD186" s="264"/>
      <c r="BE186" s="263"/>
      <c r="BF186" s="263"/>
      <c r="BG186" s="263"/>
      <c r="BH186" s="263"/>
      <c r="BI186" s="263"/>
      <c r="BJ186" s="404">
        <f>altaz(J2000_Bas,$O186,$M186,DecLat,DecLong,2)</f>
        <v>68.434657239442345</v>
      </c>
      <c r="BK186" s="378" t="s">
        <v>275</v>
      </c>
      <c r="BL186" s="379">
        <f>IF((2*G186)/60&lt;0.2,0.2,(2*G186)/60)</f>
        <v>0.2</v>
      </c>
      <c r="BM186" s="380">
        <f>MOD((50000+AD186-$B$3+(0/24)),1)</f>
        <v>0.28980623403185746</v>
      </c>
      <c r="BN186" s="381"/>
      <c r="BO186" s="382">
        <v>186</v>
      </c>
    </row>
    <row r="187" spans="1:67" s="24" customFormat="1" ht="15" customHeight="1" x14ac:dyDescent="0.25">
      <c r="A187" s="288" t="s">
        <v>276</v>
      </c>
      <c r="B187" s="241" t="str">
        <f>HYPERLINK(CONCATENATE($AT$3,BK187,$AU$3),$AV$3)</f>
        <v>S</v>
      </c>
      <c r="C187" s="242" t="str">
        <f>HYPERLINK(CONCATENATE($AT$4,BK187,$AU$4,BL187),$AV$4)</f>
        <v>A</v>
      </c>
      <c r="D187" s="243" t="s">
        <v>5638</v>
      </c>
      <c r="E187" s="244" t="s">
        <v>5192</v>
      </c>
      <c r="F187" s="269" t="s">
        <v>6163</v>
      </c>
      <c r="G187" s="270">
        <v>0.5</v>
      </c>
      <c r="H187" s="283">
        <v>800</v>
      </c>
      <c r="I187" s="246">
        <v>130</v>
      </c>
      <c r="J187" s="246">
        <v>1</v>
      </c>
      <c r="K187" s="247" t="s">
        <v>3851</v>
      </c>
      <c r="L187" s="248">
        <v>131640</v>
      </c>
      <c r="M187" s="249">
        <f>15*(LEFT(TEXT($L187,"000000"),2)+(MID(TEXT($L187,"000000"),3,2)/60)+(RIGHT(TEXT($L187,"000000"),2)/3600))</f>
        <v>199.16666666666669</v>
      </c>
      <c r="N187" s="250">
        <v>142600</v>
      </c>
      <c r="O187" s="251">
        <f>IF($N187&gt;0,(LEFT(TEXT($N187,"000000"),2)+(MID(TEXT($N187,"000000"),3,2)/60)+(RIGHT(TEXT($N187,"000000"),2)/3600)),-(MID(TEXT($N187,"000000"),2,2)+(MID(TEXT($N187,"000000"),4,2)/60)+(RIGHT(TEXT($N187,"000000"),2)/3600)))</f>
        <v>14.433333333333334</v>
      </c>
      <c r="P187" s="252" t="s">
        <v>190</v>
      </c>
      <c r="Q187" s="253"/>
      <c r="R187" s="247" t="s">
        <v>3293</v>
      </c>
      <c r="S187" s="272" t="s">
        <v>3293</v>
      </c>
      <c r="T187" s="273">
        <v>15.5</v>
      </c>
      <c r="U187" s="274"/>
      <c r="V187" s="280">
        <v>20</v>
      </c>
      <c r="W187" s="244"/>
      <c r="X187" s="244"/>
      <c r="Y187" s="362"/>
      <c r="Z187" s="257">
        <f>altaz(J2000_Bas,$O187,$M187,DecLat,DecLong,1)</f>
        <v>10.031696726101535</v>
      </c>
      <c r="AA187" s="257">
        <f>altaz((J2000_Bas+(2*0.04167)),$O187,$M187,DecLat,DecLong,1)</f>
        <v>-14.327387112800317</v>
      </c>
      <c r="AB187" s="257">
        <f>altaz((J2000_Bas+(4*0.04167)),$O187,$M187,DecLat,DecLong,1)</f>
        <v>-34.600905915177457</v>
      </c>
      <c r="AC187" s="257">
        <f>altaz((J2000_Bas+(6*0.04167)),$O187,$M187,DecLat,DecLong,1)</f>
        <v>-44.480620106357058</v>
      </c>
      <c r="AD187" s="258">
        <f>1+ transit((J2000_Bas-1),$O187,$M187,DecLat,DecLong)/360 + (GMTOffset/24) + (IF(DST="Y", 1, 0)/24)</f>
        <v>1.5461406460463747</v>
      </c>
      <c r="AE187" s="259">
        <f>DATE(2001,9,21)+(M187/360)*365 - (360*((DecLong/360)- (GMTOffset/24) ))</f>
        <v>37361.932870370372</v>
      </c>
      <c r="AF187" s="260">
        <f>IF(DecLat&gt;0,IF((90 - (DecLat-O187))&gt;90, (90 - (O187-DecLat)), (90 - (DecLat-O187))),IF((90 + (DecLat-O187))&gt;90, (90 + (O187-DecLat)), (90 + (DecLat-O187))))</f>
        <v>73.433333333333337</v>
      </c>
      <c r="AG187" s="257">
        <f>angularseperation(MoonRA,MoonDec,$M187,$O187)</f>
        <v>63.90352572668796</v>
      </c>
      <c r="AH187" s="261">
        <f ca="1">MIN(100,IF($O$5&gt;80,0+30*($AG187/100),IF($O$5&gt;70,0+50*($AG187/100),IF($O$5&gt;60,5+50*($AG187/100),IF($O$5&gt;50,10+60*($AG187/100),IF($O$5&gt;40,15+70*($AG187/100),IF($O$5&gt;30,20+70*($AG187/100),IF($O$5&gt;20,40+55*($AG187/100),(80+(20-$O$5)+30*($AG187/100))))))))))</f>
        <v>100</v>
      </c>
      <c r="AI187" s="262"/>
      <c r="AJ187" s="262"/>
      <c r="AK187" s="262"/>
      <c r="AL187" s="263"/>
      <c r="AM187" s="264"/>
      <c r="AN187" s="263">
        <v>57</v>
      </c>
      <c r="AO187" s="263"/>
      <c r="AP187" s="265"/>
      <c r="AQ187" s="266"/>
      <c r="AR187" s="267">
        <v>46225</v>
      </c>
      <c r="AS187" s="263"/>
      <c r="AT187" s="263"/>
      <c r="AU187" s="263"/>
      <c r="AV187" s="264"/>
      <c r="AW187" s="263"/>
      <c r="AX187" s="263"/>
      <c r="AY187" s="263"/>
      <c r="AZ187" s="263"/>
      <c r="BA187" s="263"/>
      <c r="BB187" s="263"/>
      <c r="BC187" s="263"/>
      <c r="BD187" s="264"/>
      <c r="BE187" s="263"/>
      <c r="BF187" s="263"/>
      <c r="BG187" s="263"/>
      <c r="BH187" s="263"/>
      <c r="BI187" s="263"/>
      <c r="BJ187" s="404">
        <f>altaz(J2000_Bas,$O187,$M187,DecLat,DecLong,2)</f>
        <v>280.89508914597218</v>
      </c>
      <c r="BK187" s="378" t="s">
        <v>276</v>
      </c>
      <c r="BL187" s="379">
        <f>IF((2*G187)/60&lt;0.2,0.2,(2*G187)/60)</f>
        <v>0.2</v>
      </c>
      <c r="BM187" s="380">
        <f>MOD((50000+AD187-$B$3+(0/24)),1)</f>
        <v>0.76150757574941963</v>
      </c>
      <c r="BN187" s="381" t="s">
        <v>8795</v>
      </c>
      <c r="BO187" s="382">
        <v>187</v>
      </c>
    </row>
    <row r="188" spans="1:67" s="24" customFormat="1" ht="15" customHeight="1" x14ac:dyDescent="0.25">
      <c r="A188" s="288" t="s">
        <v>277</v>
      </c>
      <c r="B188" s="241" t="str">
        <f>HYPERLINK(CONCATENATE($AT$3,BK188,$AU$3),$AV$3)</f>
        <v>S</v>
      </c>
      <c r="C188" s="242" t="str">
        <f>HYPERLINK(CONCATENATE($AT$4,BK188,$AU$4,BL188),$AV$4)</f>
        <v>A</v>
      </c>
      <c r="D188" s="243" t="s">
        <v>5638</v>
      </c>
      <c r="E188" s="244" t="s">
        <v>5192</v>
      </c>
      <c r="F188" s="269" t="s">
        <v>6163</v>
      </c>
      <c r="G188" s="273">
        <v>1</v>
      </c>
      <c r="H188" s="283">
        <v>500</v>
      </c>
      <c r="I188" s="246">
        <v>150</v>
      </c>
      <c r="J188" s="246">
        <v>2</v>
      </c>
      <c r="K188" s="247" t="s">
        <v>3852</v>
      </c>
      <c r="L188" s="248">
        <v>83158</v>
      </c>
      <c r="M188" s="249">
        <f>15*(LEFT(TEXT($L188,"000000"),2)+(MID(TEXT($L188,"000000"),3,2)/60)+(RIGHT(TEXT($L188,"000000"),2)/3600))</f>
        <v>127.99166666666669</v>
      </c>
      <c r="N188" s="250">
        <v>191200</v>
      </c>
      <c r="O188" s="251">
        <f>IF($N188&gt;0,(LEFT(TEXT($N188,"000000"),2)+(MID(TEXT($N188,"000000"),3,2)/60)+(RIGHT(TEXT($N188,"000000"),2)/3600)),-(MID(TEXT($N188,"000000"),2,2)+(MID(TEXT($N188,"000000"),4,2)/60)+(RIGHT(TEXT($N188,"000000"),2)/3600)))</f>
        <v>19.2</v>
      </c>
      <c r="P188" s="252" t="s">
        <v>100</v>
      </c>
      <c r="Q188" s="253"/>
      <c r="R188" s="247" t="s">
        <v>3293</v>
      </c>
      <c r="S188" s="272" t="s">
        <v>3293</v>
      </c>
      <c r="T188" s="273">
        <v>14.2</v>
      </c>
      <c r="U188" s="274"/>
      <c r="V188" s="280">
        <v>50</v>
      </c>
      <c r="W188" s="244"/>
      <c r="X188" s="244"/>
      <c r="Y188" s="362"/>
      <c r="Z188" s="257">
        <f>altaz(J2000_Bas,$O188,$M188,DecLat,DecLong,1)</f>
        <v>-35.536668399681709</v>
      </c>
      <c r="AA188" s="257">
        <f>altaz((J2000_Bas+(2*0.04167)),$O188,$M188,DecLat,DecLong,1)</f>
        <v>-39.201006222502194</v>
      </c>
      <c r="AB188" s="257">
        <f>altaz((J2000_Bas+(4*0.04167)),$O188,$M188,DecLat,DecLong,1)</f>
        <v>-27.835691802279015</v>
      </c>
      <c r="AC188" s="257">
        <f>altaz((J2000_Bas+(6*0.04167)),$O188,$M188,DecLat,DecLong,1)</f>
        <v>-7.4922257448732488</v>
      </c>
      <c r="AD188" s="258">
        <f>1+ transit((J2000_Bas-1),$O188,$M188,DecLat,DecLong)/360 + (GMTOffset/24) + (IF(DST="Y", 1, 0)/24)</f>
        <v>1.3484323324838747</v>
      </c>
      <c r="AE188" s="259">
        <f>DATE(2001,9,21)+(M188/360)*365 - (360*((DecLong/360)- (GMTOffset/24) ))</f>
        <v>37289.769328703704</v>
      </c>
      <c r="AF188" s="260">
        <f>IF(DecLat&gt;0,IF((90 - (DecLat-O188))&gt;90, (90 - (O188-DecLat)), (90 - (DecLat-O188))),IF((90 + (DecLat-O188))&gt;90, (90 + (O188-DecLat)), (90 + (DecLat-O188))))</f>
        <v>78.2</v>
      </c>
      <c r="AG188" s="257">
        <f>angularseperation(MoonRA,MoonDec,$M188,$O188)</f>
        <v>125.86856453189361</v>
      </c>
      <c r="AH188" s="261">
        <f ca="1">MIN(100,IF($O$5&gt;80,0+30*($AG188/100),IF($O$5&gt;70,0+50*($AG188/100),IF($O$5&gt;60,5+50*($AG188/100),IF($O$5&gt;50,10+60*($AG188/100),IF($O$5&gt;40,15+70*($AG188/100),IF($O$5&gt;30,20+70*($AG188/100),IF($O$5&gt;20,40+55*($AG188/100),(80+(20-$O$5)+30*($AG188/100))))))))))</f>
        <v>100</v>
      </c>
      <c r="AI188" s="262"/>
      <c r="AJ188" s="262"/>
      <c r="AK188" s="262"/>
      <c r="AL188" s="263"/>
      <c r="AM188" s="264"/>
      <c r="AN188" s="263">
        <v>58</v>
      </c>
      <c r="AO188" s="263"/>
      <c r="AP188" s="265"/>
      <c r="AQ188" s="266">
        <v>4457</v>
      </c>
      <c r="AR188" s="267">
        <v>23935</v>
      </c>
      <c r="AS188" s="263"/>
      <c r="AT188" s="263"/>
      <c r="AU188" s="263"/>
      <c r="AV188" s="264"/>
      <c r="AW188" s="263"/>
      <c r="AX188" s="263"/>
      <c r="AY188" s="263"/>
      <c r="AZ188" s="263"/>
      <c r="BA188" s="263"/>
      <c r="BB188" s="263"/>
      <c r="BC188" s="263"/>
      <c r="BD188" s="264"/>
      <c r="BE188" s="263"/>
      <c r="BF188" s="263"/>
      <c r="BG188" s="263"/>
      <c r="BH188" s="263"/>
      <c r="BI188" s="263"/>
      <c r="BJ188" s="404">
        <f>altaz(J2000_Bas,$O188,$M188,DecLat,DecLong,2)</f>
        <v>334.24413578645687</v>
      </c>
      <c r="BK188" s="378" t="s">
        <v>277</v>
      </c>
      <c r="BL188" s="379">
        <f>IF((2*G188)/60&lt;0.2,0.2,(2*G188)/60)</f>
        <v>0.2</v>
      </c>
      <c r="BM188" s="380">
        <f>MOD((50000+AD188-$B$3+(0/24)),1)</f>
        <v>0.56379926218505716</v>
      </c>
      <c r="BN188" s="381" t="s">
        <v>8795</v>
      </c>
      <c r="BO188" s="382">
        <v>188</v>
      </c>
    </row>
    <row r="189" spans="1:67" s="24" customFormat="1" ht="15" customHeight="1" x14ac:dyDescent="0.25">
      <c r="A189" s="288" t="s">
        <v>278</v>
      </c>
      <c r="B189" s="241" t="str">
        <f>HYPERLINK(CONCATENATE($AT$3,BK189,$AU$3),$AV$3)</f>
        <v>S</v>
      </c>
      <c r="C189" s="242" t="str">
        <f>HYPERLINK(CONCATENATE($AT$4,BK189,$AU$4,BL189),$AV$4)</f>
        <v>A</v>
      </c>
      <c r="D189" s="243" t="s">
        <v>5638</v>
      </c>
      <c r="E189" s="244" t="s">
        <v>5192</v>
      </c>
      <c r="F189" s="269" t="s">
        <v>8886</v>
      </c>
      <c r="G189" s="273">
        <v>1</v>
      </c>
      <c r="H189" s="283">
        <v>200</v>
      </c>
      <c r="I189" s="246">
        <v>60</v>
      </c>
      <c r="J189" s="246">
        <v>2</v>
      </c>
      <c r="K189" s="247" t="s">
        <v>3853</v>
      </c>
      <c r="L189" s="248">
        <v>10045</v>
      </c>
      <c r="M189" s="249">
        <f>15*(LEFT(TEXT($L189,"000000"),2)+(MID(TEXT($L189,"000000"),3,2)/60)+(RIGHT(TEXT($L189,"000000"),2)/3600))</f>
        <v>15.1875</v>
      </c>
      <c r="N189" s="250">
        <v>-91100</v>
      </c>
      <c r="O189" s="251">
        <f>IF($N189&gt;0,(LEFT(TEXT($N189,"000000"),2)+(MID(TEXT($N189,"000000"),3,2)/60)+(RIGHT(TEXT($N189,"000000"),2)/3600)),-(MID(TEXT($N189,"000000"),2,2)+(MID(TEXT($N189,"000000"),4,2)/60)+(RIGHT(TEXT($N189,"000000"),2)/3600)))</f>
        <v>-9.1833333333333336</v>
      </c>
      <c r="P189" s="252" t="s">
        <v>75</v>
      </c>
      <c r="Q189" s="253"/>
      <c r="R189" s="247" t="s">
        <v>3450</v>
      </c>
      <c r="S189" s="272" t="s">
        <v>3293</v>
      </c>
      <c r="T189" s="273">
        <v>15</v>
      </c>
      <c r="U189" s="289">
        <v>22.09</v>
      </c>
      <c r="V189" s="280">
        <v>20</v>
      </c>
      <c r="W189" s="244"/>
      <c r="X189" s="244"/>
      <c r="Y189" s="362"/>
      <c r="Z189" s="257">
        <f>altaz(J2000_Bas,$O189,$M189,DecLat,DecLong,1)</f>
        <v>-4.0231250748180249</v>
      </c>
      <c r="AA189" s="257">
        <f>altaz((J2000_Bas+(2*0.04167)),$O189,$M189,DecLat,DecLong,1)</f>
        <v>20.630969111398866</v>
      </c>
      <c r="AB189" s="257">
        <f>altaz((J2000_Bas+(4*0.04167)),$O189,$M189,DecLat,DecLong,1)</f>
        <v>41.130501287639873</v>
      </c>
      <c r="AC189" s="257">
        <f>altaz((J2000_Bas+(6*0.04167)),$O189,$M189,DecLat,DecLong,1)</f>
        <v>49.803596527342492</v>
      </c>
      <c r="AD189" s="258">
        <f>1+ transit((J2000_Bas-1),$O189,$M189,DecLat,DecLong)/360 + (GMTOffset/24) + (IF(DST="Y", 1, 0)/24)</f>
        <v>1.035087456410958</v>
      </c>
      <c r="AE189" s="259">
        <f>DATE(2001,9,21)+(M189/360)*365 - (360*((DecLong/360)- (GMTOffset/24) ))</f>
        <v>37175.3984375</v>
      </c>
      <c r="AF189" s="260">
        <f>IF(DecLat&gt;0,IF((90 - (DecLat-O189))&gt;90, (90 - (O189-DecLat)), (90 - (DecLat-O189))),IF((90 + (DecLat-O189))&gt;90, (90 + (O189-DecLat)), (90 + (DecLat-O189))))</f>
        <v>49.816666666666663</v>
      </c>
      <c r="AG189" s="257">
        <f>angularseperation(MoonRA,MoonDec,$M189,$O189)</f>
        <v>116.31349428652481</v>
      </c>
      <c r="AH189" s="261">
        <f ca="1">MIN(100,IF($O$5&gt;80,0+30*($AG189/100),IF($O$5&gt;70,0+50*($AG189/100),IF($O$5&gt;60,5+50*($AG189/100),IF($O$5&gt;50,10+60*($AG189/100),IF($O$5&gt;40,15+70*($AG189/100),IF($O$5&gt;30,20+70*($AG189/100),IF($O$5&gt;20,40+55*($AG189/100),(80+(20-$O$5)+30*($AG189/100))))))))))</f>
        <v>100</v>
      </c>
      <c r="AI189" s="262">
        <v>341</v>
      </c>
      <c r="AJ189" s="262"/>
      <c r="AK189" s="262"/>
      <c r="AL189" s="263"/>
      <c r="AM189" s="264"/>
      <c r="AN189" s="263">
        <v>59</v>
      </c>
      <c r="AO189" s="263"/>
      <c r="AP189" s="265"/>
      <c r="AQ189" s="266"/>
      <c r="AR189" s="267">
        <v>3620</v>
      </c>
      <c r="AS189" s="263"/>
      <c r="AT189" s="263"/>
      <c r="AU189" s="263"/>
      <c r="AV189" s="264"/>
      <c r="AW189" s="263"/>
      <c r="AX189" s="263"/>
      <c r="AY189" s="263"/>
      <c r="AZ189" s="263"/>
      <c r="BA189" s="263"/>
      <c r="BB189" s="263"/>
      <c r="BC189" s="263"/>
      <c r="BD189" s="264"/>
      <c r="BE189" s="263"/>
      <c r="BF189" s="263"/>
      <c r="BG189" s="263"/>
      <c r="BH189" s="263"/>
      <c r="BI189" s="263"/>
      <c r="BJ189" s="404">
        <f>altaz(J2000_Bas,$O189,$M189,DecLat,DecLong,2)</f>
        <v>98.301823429245331</v>
      </c>
      <c r="BK189" s="378" t="s">
        <v>278</v>
      </c>
      <c r="BL189" s="379">
        <f>IF((2*G189)/60&lt;0.2,0.2,(2*G189)/60)</f>
        <v>0.2</v>
      </c>
      <c r="BM189" s="380">
        <f>MOD((50000+AD189-$B$3+(0/24)),1)</f>
        <v>0.25045438611414284</v>
      </c>
      <c r="BN189" s="381" t="s">
        <v>8795</v>
      </c>
      <c r="BO189" s="382">
        <v>189</v>
      </c>
    </row>
    <row r="190" spans="1:67" s="24" customFormat="1" ht="15" customHeight="1" x14ac:dyDescent="0.25">
      <c r="A190" s="288" t="s">
        <v>279</v>
      </c>
      <c r="B190" s="241" t="str">
        <f>HYPERLINK(CONCATENATE($AT$3,BK190,$AU$3),$AV$3)</f>
        <v>S</v>
      </c>
      <c r="C190" s="242" t="str">
        <f>HYPERLINK(CONCATENATE($AT$4,BK190,$AU$4,BL190),$AV$4)</f>
        <v>A</v>
      </c>
      <c r="D190" s="243" t="s">
        <v>5638</v>
      </c>
      <c r="E190" s="244" t="s">
        <v>5192</v>
      </c>
      <c r="F190" s="269" t="s">
        <v>3306</v>
      </c>
      <c r="G190" s="270">
        <v>0.3</v>
      </c>
      <c r="H190" s="283">
        <v>1000</v>
      </c>
      <c r="I190" s="246">
        <v>85</v>
      </c>
      <c r="J190" s="246">
        <v>0</v>
      </c>
      <c r="K190" s="247" t="s">
        <v>4991</v>
      </c>
      <c r="L190" s="248">
        <v>131447</v>
      </c>
      <c r="M190" s="249">
        <f>15*(LEFT(TEXT($L190,"000000"),2)+(MID(TEXT($L190,"000000"),3,2)/60)+(RIGHT(TEXT($L190,"000000"),2)/3600))</f>
        <v>198.69583333333333</v>
      </c>
      <c r="N190" s="250">
        <v>260500</v>
      </c>
      <c r="O190" s="251">
        <f>IF($N190&gt;0,(LEFT(TEXT($N190,"000000"),2)+(MID(TEXT($N190,"000000"),3,2)/60)+(RIGHT(TEXT($N190,"000000"),2)/3600)),-(MID(TEXT($N190,"000000"),2,2)+(MID(TEXT($N190,"000000"),4,2)/60)+(RIGHT(TEXT($N190,"000000"),2)/3600)))</f>
        <v>26.083333333333332</v>
      </c>
      <c r="P190" s="252" t="s">
        <v>190</v>
      </c>
      <c r="Q190" s="253"/>
      <c r="R190" s="247" t="s">
        <v>3293</v>
      </c>
      <c r="S190" s="272" t="s">
        <v>412</v>
      </c>
      <c r="T190" s="273">
        <v>17</v>
      </c>
      <c r="U190" s="274"/>
      <c r="V190" s="280">
        <v>15</v>
      </c>
      <c r="W190" s="244"/>
      <c r="X190" s="244"/>
      <c r="Y190" s="362"/>
      <c r="Z190" s="257">
        <f>altaz(J2000_Bas,$O190,$M190,DecLat,DecLong,1)</f>
        <v>15.225907854072622</v>
      </c>
      <c r="AA190" s="257">
        <f>altaz((J2000_Bas+(2*0.04167)),$O190,$M190,DecLat,DecLong,1)</f>
        <v>-7.3389907137984123</v>
      </c>
      <c r="AB190" s="257">
        <f>altaz((J2000_Bas+(4*0.04167)),$O190,$M190,DecLat,DecLong,1)</f>
        <v>-25.003670681023308</v>
      </c>
      <c r="AC190" s="257">
        <f>altaz((J2000_Bas+(6*0.04167)),$O190,$M190,DecLat,DecLong,1)</f>
        <v>-32.86905542793469</v>
      </c>
      <c r="AD190" s="258">
        <f>1+ transit((J2000_Bas-1),$O190,$M190,DecLat,DecLong)/360 + (GMTOffset/24) + (IF(DST="Y", 1, 0)/24)</f>
        <v>1.5448327758067915</v>
      </c>
      <c r="AE190" s="259">
        <f>DATE(2001,9,21)+(M190/360)*365 - (360*((DecLong/360)- (GMTOffset/24) ))</f>
        <v>37361.455497685187</v>
      </c>
      <c r="AF190" s="260">
        <f>IF(DecLat&gt;0,IF((90 - (DecLat-O190))&gt;90, (90 - (O190-DecLat)), (90 - (DecLat-O190))),IF((90 + (DecLat-O190))&gt;90, (90 + (O190-DecLat)), (90 + (DecLat-O190))))</f>
        <v>85.083333333333329</v>
      </c>
      <c r="AG190" s="257">
        <f>angularseperation(MoonRA,MoonDec,$M190,$O190)</f>
        <v>72.063214358264688</v>
      </c>
      <c r="AH190" s="261">
        <f ca="1">MIN(100,IF($O$5&gt;80,0+30*($AG190/100),IF($O$5&gt;70,0+50*($AG190/100),IF($O$5&gt;60,5+50*($AG190/100),IF($O$5&gt;50,10+60*($AG190/100),IF($O$5&gt;40,15+70*($AG190/100),IF($O$5&gt;30,20+70*($AG190/100),IF($O$5&gt;20,40+55*($AG190/100),(80+(20-$O$5)+30*($AG190/100))))))))))</f>
        <v>100</v>
      </c>
      <c r="AI190" s="262"/>
      <c r="AJ190" s="262"/>
      <c r="AK190" s="262"/>
      <c r="AL190" s="263"/>
      <c r="AM190" s="264"/>
      <c r="AN190" s="263">
        <v>60</v>
      </c>
      <c r="AO190" s="263"/>
      <c r="AP190" s="265"/>
      <c r="AQ190" s="266"/>
      <c r="AR190" s="359">
        <v>1762846</v>
      </c>
      <c r="AS190" s="263"/>
      <c r="AT190" s="263"/>
      <c r="AU190" s="263"/>
      <c r="AV190" s="264"/>
      <c r="AW190" s="263"/>
      <c r="AX190" s="263"/>
      <c r="AY190" s="263"/>
      <c r="AZ190" s="263"/>
      <c r="BA190" s="263"/>
      <c r="BB190" s="263"/>
      <c r="BC190" s="263"/>
      <c r="BD190" s="264"/>
      <c r="BE190" s="263"/>
      <c r="BF190" s="263"/>
      <c r="BG190" s="263"/>
      <c r="BH190" s="263"/>
      <c r="BI190" s="263"/>
      <c r="BJ190" s="404">
        <f>altaz(J2000_Bas,$O190,$M190,DecLat,DecLong,2)</f>
        <v>291.59610681826484</v>
      </c>
      <c r="BK190" s="378" t="s">
        <v>279</v>
      </c>
      <c r="BL190" s="379">
        <f>IF((2*G190)/60&lt;0.2,0.2,(2*G190)/60)</f>
        <v>0.2</v>
      </c>
      <c r="BM190" s="380">
        <f>MOD((50000+AD190-$B$3+(0/24)),1)</f>
        <v>0.76019970550987637</v>
      </c>
      <c r="BN190" s="381" t="s">
        <v>9088</v>
      </c>
      <c r="BO190" s="382">
        <v>190</v>
      </c>
    </row>
    <row r="191" spans="1:67" s="24" customFormat="1" ht="15" customHeight="1" x14ac:dyDescent="0.25">
      <c r="A191" s="288" t="s">
        <v>280</v>
      </c>
      <c r="B191" s="241" t="str">
        <f>HYPERLINK(CONCATENATE($AT$3,BK191,$AU$3),$AV$3)</f>
        <v>S</v>
      </c>
      <c r="C191" s="242" t="str">
        <f>HYPERLINK(CONCATENATE($AT$4,BK191,$AU$4,BL191),$AV$4)</f>
        <v>A</v>
      </c>
      <c r="D191" s="243" t="s">
        <v>5638</v>
      </c>
      <c r="E191" s="244" t="s">
        <v>5192</v>
      </c>
      <c r="F191" s="269" t="s">
        <v>8885</v>
      </c>
      <c r="G191" s="273">
        <v>1.3</v>
      </c>
      <c r="H191" s="283">
        <v>330</v>
      </c>
      <c r="I191" s="246">
        <v>130</v>
      </c>
      <c r="J191" s="246">
        <v>2</v>
      </c>
      <c r="K191" s="247" t="s">
        <v>3854</v>
      </c>
      <c r="L191" s="248">
        <v>43642</v>
      </c>
      <c r="M191" s="249">
        <f>15*(LEFT(TEXT($L191,"000000"),2)+(MID(TEXT($L191,"000000"),3,2)/60)+(RIGHT(TEXT($L191,"000000"),2)/3600))</f>
        <v>69.174999999999997</v>
      </c>
      <c r="N191" s="250">
        <v>-21700</v>
      </c>
      <c r="O191" s="251">
        <f>IF($N191&gt;0,(LEFT(TEXT($N191,"000000"),2)+(MID(TEXT($N191,"000000"),3,2)/60)+(RIGHT(TEXT($N191,"000000"),2)/3600)),-(MID(TEXT($N191,"000000"),2,2)+(MID(TEXT($N191,"000000"),4,2)/60)+(RIGHT(TEXT($N191,"000000"),2)/3600)))</f>
        <v>-2.2833333333333332</v>
      </c>
      <c r="P191" s="252" t="s">
        <v>257</v>
      </c>
      <c r="Q191" s="253"/>
      <c r="R191" s="247" t="s">
        <v>3293</v>
      </c>
      <c r="S191" s="272" t="s">
        <v>3293</v>
      </c>
      <c r="T191" s="273">
        <v>15.5</v>
      </c>
      <c r="U191" s="274"/>
      <c r="V191" s="280">
        <v>70</v>
      </c>
      <c r="W191" s="244"/>
      <c r="X191" s="244"/>
      <c r="Y191" s="362"/>
      <c r="Z191" s="257">
        <f>altaz(J2000_Bas,$O191,$M191,DecLat,DecLong,1)</f>
        <v>-44.917511706425103</v>
      </c>
      <c r="AA191" s="257">
        <f>altaz((J2000_Bas+(2*0.04167)),$O191,$M191,DecLat,DecLong,1)</f>
        <v>-20.878283157457378</v>
      </c>
      <c r="AB191" s="257">
        <f>altaz((J2000_Bas+(4*0.04167)),$O191,$M191,DecLat,DecLong,1)</f>
        <v>4.8076578364823401</v>
      </c>
      <c r="AC191" s="257">
        <f>altaz((J2000_Bas+(6*0.04167)),$O191,$M191,DecLat,DecLong,1)</f>
        <v>29.728881278495194</v>
      </c>
      <c r="AD191" s="258">
        <f>1+ transit((J2000_Bas-1),$O191,$M191,DecLat,DecLong)/360 + (GMTOffset/24) + (IF(DST="Y", 1, 0)/24)</f>
        <v>1.185052719192208</v>
      </c>
      <c r="AE191" s="259">
        <f>DATE(2001,9,21)+(M191/360)*365 - (360*((DecLong/360)- (GMTOffset/24) ))</f>
        <v>37230.135763888888</v>
      </c>
      <c r="AF191" s="260">
        <f>IF(DecLat&gt;0,IF((90 - (DecLat-O191))&gt;90, (90 - (O191-DecLat)), (90 - (DecLat-O191))),IF((90 + (DecLat-O191))&gt;90, (90 + (O191-DecLat)), (90 + (DecLat-O191))))</f>
        <v>56.716666666666669</v>
      </c>
      <c r="AG191" s="257">
        <f>angularseperation(MoonRA,MoonDec,$M191,$O191)</f>
        <v>150.63250267902018</v>
      </c>
      <c r="AH191" s="261">
        <f ca="1">MIN(100,IF($O$5&gt;80,0+30*($AG191/100),IF($O$5&gt;70,0+50*($AG191/100),IF($O$5&gt;60,5+50*($AG191/100),IF($O$5&gt;50,10+60*($AG191/100),IF($O$5&gt;40,15+70*($AG191/100),IF($O$5&gt;30,20+70*($AG191/100),IF($O$5&gt;20,40+55*($AG191/100),(80+(20-$O$5)+30*($AG191/100))))))))))</f>
        <v>100</v>
      </c>
      <c r="AI191" s="262"/>
      <c r="AJ191" s="262"/>
      <c r="AK191" s="262"/>
      <c r="AL191" s="263"/>
      <c r="AM191" s="264"/>
      <c r="AN191" s="263">
        <v>61</v>
      </c>
      <c r="AO191" s="263"/>
      <c r="AP191" s="265"/>
      <c r="AQ191" s="266">
        <v>3104</v>
      </c>
      <c r="AR191" s="267">
        <v>15637</v>
      </c>
      <c r="AS191" s="263"/>
      <c r="AT191" s="263"/>
      <c r="AU191" s="263"/>
      <c r="AV191" s="264"/>
      <c r="AW191" s="263"/>
      <c r="AX191" s="263"/>
      <c r="AY191" s="263"/>
      <c r="AZ191" s="263"/>
      <c r="BA191" s="263"/>
      <c r="BB191" s="263"/>
      <c r="BC191" s="263"/>
      <c r="BD191" s="264"/>
      <c r="BE191" s="263"/>
      <c r="BF191" s="263"/>
      <c r="BG191" s="263"/>
      <c r="BH191" s="263"/>
      <c r="BI191" s="263"/>
      <c r="BJ191" s="404">
        <f>altaz(J2000_Bas,$O191,$M191,DecLat,DecLong,2)</f>
        <v>57.758111472703128</v>
      </c>
      <c r="BK191" s="378" t="s">
        <v>280</v>
      </c>
      <c r="BL191" s="379">
        <f>IF((2*G191)/60&lt;0.2,0.2,(2*G191)/60)</f>
        <v>0.2</v>
      </c>
      <c r="BM191" s="380">
        <f>MOD((50000+AD191-$B$3+(0/24)),1)</f>
        <v>0.40041964889678638</v>
      </c>
      <c r="BN191" s="381"/>
      <c r="BO191" s="382">
        <v>191</v>
      </c>
    </row>
    <row r="192" spans="1:67" s="24" customFormat="1" ht="15" customHeight="1" x14ac:dyDescent="0.25">
      <c r="A192" s="288" t="s">
        <v>281</v>
      </c>
      <c r="B192" s="241" t="str">
        <f>HYPERLINK(CONCATENATE($AT$3,BK192,$AU$3),$AV$3)</f>
        <v>S</v>
      </c>
      <c r="C192" s="242" t="str">
        <f>HYPERLINK(CONCATENATE($AT$4,BK192,$AU$4,BL192),$AV$4)</f>
        <v>A</v>
      </c>
      <c r="D192" s="243" t="s">
        <v>5638</v>
      </c>
      <c r="E192" s="244" t="s">
        <v>5192</v>
      </c>
      <c r="F192" s="269" t="s">
        <v>6163</v>
      </c>
      <c r="G192" s="273">
        <v>1.5</v>
      </c>
      <c r="H192" s="283">
        <v>300</v>
      </c>
      <c r="I192" s="246">
        <v>130</v>
      </c>
      <c r="J192" s="246">
        <v>2</v>
      </c>
      <c r="K192" s="247" t="s">
        <v>3855</v>
      </c>
      <c r="L192" s="248">
        <v>115335</v>
      </c>
      <c r="M192" s="249">
        <f>15*(LEFT(TEXT($L192,"000000"),2)+(MID(TEXT($L192,"000000"),3,2)/60)+(RIGHT(TEXT($L192,"000000"),2)/3600))</f>
        <v>178.39583333333334</v>
      </c>
      <c r="N192" s="250">
        <v>432700</v>
      </c>
      <c r="O192" s="251">
        <f>IF($N192&gt;0,(LEFT(TEXT($N192,"000000"),2)+(MID(TEXT($N192,"000000"),3,2)/60)+(RIGHT(TEXT($N192,"000000"),2)/3600)),-(MID(TEXT($N192,"000000"),2,2)+(MID(TEXT($N192,"000000"),4,2)/60)+(RIGHT(TEXT($N192,"000000"),2)/3600)))</f>
        <v>43.45</v>
      </c>
      <c r="P192" s="252" t="s">
        <v>37</v>
      </c>
      <c r="Q192" s="253"/>
      <c r="R192" s="247" t="s">
        <v>3293</v>
      </c>
      <c r="S192" s="272" t="s">
        <v>3293</v>
      </c>
      <c r="T192" s="273">
        <v>15</v>
      </c>
      <c r="U192" s="274"/>
      <c r="V192" s="280">
        <v>15</v>
      </c>
      <c r="W192" s="244"/>
      <c r="X192" s="244"/>
      <c r="Y192" s="362"/>
      <c r="Z192" s="257">
        <f>altaz(J2000_Bas,$O192,$M192,DecLat,DecLong,1)</f>
        <v>9.5537644290225323</v>
      </c>
      <c r="AA192" s="257">
        <f>altaz((J2000_Bas+(2*0.04167)),$O192,$M192,DecLat,DecLong,1)</f>
        <v>-6.0843823091342886</v>
      </c>
      <c r="AB192" s="257">
        <f>altaz((J2000_Bas+(4*0.04167)),$O192,$M192,DecLat,DecLong,1)</f>
        <v>-14.712567957641408</v>
      </c>
      <c r="AC192" s="257">
        <f>altaz((J2000_Bas+(6*0.04167)),$O192,$M192,DecLat,DecLong,1)</f>
        <v>-13.773793271203774</v>
      </c>
      <c r="AD192" s="258">
        <f>1+ transit((J2000_Bas-1),$O192,$M192,DecLat,DecLong)/360 + (GMTOffset/24) + (IF(DST="Y", 1, 0)/24)</f>
        <v>1.4884438925567915</v>
      </c>
      <c r="AE192" s="259">
        <f>DATE(2001,9,21)+(M192/360)*365 - (360*((DecLong/360)- (GMTOffset/24) ))</f>
        <v>37340.873553240737</v>
      </c>
      <c r="AF192" s="260">
        <f>IF(DecLat&gt;0,IF((90 - (DecLat-O192))&gt;90, (90 - (O192-DecLat)), (90 - (DecLat-O192))),IF((90 + (DecLat-O192))&gt;90, (90 + (O192-DecLat)), (90 + (DecLat-O192))))</f>
        <v>77.55</v>
      </c>
      <c r="AG192" s="257">
        <f>angularseperation(MoonRA,MoonDec,$M192,$O192)</f>
        <v>95.799143434271613</v>
      </c>
      <c r="AH192" s="261">
        <f ca="1">MIN(100,IF($O$5&gt;80,0+30*($AG192/100),IF($O$5&gt;70,0+50*($AG192/100),IF($O$5&gt;60,5+50*($AG192/100),IF($O$5&gt;50,10+60*($AG192/100),IF($O$5&gt;40,15+70*($AG192/100),IF($O$5&gt;30,20+70*($AG192/100),IF($O$5&gt;20,40+55*($AG192/100),(80+(20-$O$5)+30*($AG192/100))))))))))</f>
        <v>100</v>
      </c>
      <c r="AI192" s="262"/>
      <c r="AJ192" s="262"/>
      <c r="AK192" s="262"/>
      <c r="AL192" s="263"/>
      <c r="AM192" s="264"/>
      <c r="AN192" s="263">
        <v>62</v>
      </c>
      <c r="AO192" s="263"/>
      <c r="AP192" s="265"/>
      <c r="AQ192" s="266">
        <v>6865</v>
      </c>
      <c r="AR192" s="267">
        <v>37282</v>
      </c>
      <c r="AS192" s="263"/>
      <c r="AT192" s="263"/>
      <c r="AU192" s="263"/>
      <c r="AV192" s="264"/>
      <c r="AW192" s="263"/>
      <c r="AX192" s="263"/>
      <c r="AY192" s="263"/>
      <c r="AZ192" s="263"/>
      <c r="BA192" s="263"/>
      <c r="BB192" s="263"/>
      <c r="BC192" s="263"/>
      <c r="BD192" s="264"/>
      <c r="BE192" s="263"/>
      <c r="BF192" s="263"/>
      <c r="BG192" s="263"/>
      <c r="BH192" s="263"/>
      <c r="BI192" s="263"/>
      <c r="BJ192" s="404">
        <f>altaz(J2000_Bas,$O192,$M192,DecLat,DecLong,2)</f>
        <v>315.43654763439486</v>
      </c>
      <c r="BK192" s="378" t="s">
        <v>281</v>
      </c>
      <c r="BL192" s="379">
        <f>IF((2*G192)/60&lt;0.2,0.2,(2*G192)/60)</f>
        <v>0.2</v>
      </c>
      <c r="BM192" s="380">
        <f>MOD((50000+AD192-$B$3+(0/24)),1)</f>
        <v>0.70381082226231229</v>
      </c>
      <c r="BN192" s="381"/>
      <c r="BO192" s="382">
        <v>192</v>
      </c>
    </row>
    <row r="193" spans="1:67" s="24" customFormat="1" ht="15" customHeight="1" x14ac:dyDescent="0.25">
      <c r="A193" s="288" t="s">
        <v>282</v>
      </c>
      <c r="B193" s="241" t="str">
        <f>HYPERLINK(CONCATENATE($AT$3,BK193,$AU$3),$AV$3)</f>
        <v>S</v>
      </c>
      <c r="C193" s="242" t="str">
        <f>HYPERLINK(CONCATENATE($AT$4,BK193,$AU$4,BL193),$AV$4)</f>
        <v>A</v>
      </c>
      <c r="D193" s="243" t="s">
        <v>5638</v>
      </c>
      <c r="E193" s="244" t="s">
        <v>5337</v>
      </c>
      <c r="F193" s="269" t="s">
        <v>3310</v>
      </c>
      <c r="G193" s="273">
        <v>1</v>
      </c>
      <c r="H193" s="283">
        <v>320</v>
      </c>
      <c r="I193" s="246">
        <v>90</v>
      </c>
      <c r="J193" s="246">
        <v>2</v>
      </c>
      <c r="K193" s="247" t="s">
        <v>3856</v>
      </c>
      <c r="L193" s="248">
        <v>93919</v>
      </c>
      <c r="M193" s="249">
        <f>15*(LEFT(TEXT($L193,"000000"),2)+(MID(TEXT($L193,"000000"),3,2)/60)+(RIGHT(TEXT($L193,"000000"),2)/3600))</f>
        <v>144.82916666666668</v>
      </c>
      <c r="N193" s="250">
        <v>321800</v>
      </c>
      <c r="O193" s="251">
        <f>IF($N193&gt;0,(LEFT(TEXT($N193,"000000"),2)+(MID(TEXT($N193,"000000"),3,2)/60)+(RIGHT(TEXT($N193,"000000"),2)/3600)),-(MID(TEXT($N193,"000000"),2,2)+(MID(TEXT($N193,"000000"),4,2)/60)+(RIGHT(TEXT($N193,"000000"),2)/3600)))</f>
        <v>32.299999999999997</v>
      </c>
      <c r="P193" s="252" t="s">
        <v>183</v>
      </c>
      <c r="Q193" s="253"/>
      <c r="R193" s="247" t="s">
        <v>3293</v>
      </c>
      <c r="S193" s="272" t="s">
        <v>348</v>
      </c>
      <c r="T193" s="273">
        <v>14.7</v>
      </c>
      <c r="U193" s="274"/>
      <c r="V193" s="280"/>
      <c r="W193" s="244"/>
      <c r="X193" s="244"/>
      <c r="Y193" s="362"/>
      <c r="Z193" s="257">
        <f>altaz(J2000_Bas,$O193,$M193,DecLat,DecLong,1)</f>
        <v>-16.811994789997932</v>
      </c>
      <c r="AA193" s="257">
        <f>altaz((J2000_Bas+(2*0.04167)),$O193,$M193,DecLat,DecLong,1)</f>
        <v>-26.161442928201421</v>
      </c>
      <c r="AB193" s="257">
        <f>altaz((J2000_Bas+(4*0.04167)),$O193,$M193,DecLat,DecLong,1)</f>
        <v>-23.555147509634857</v>
      </c>
      <c r="AC193" s="257">
        <f>altaz((J2000_Bas+(6*0.04167)),$O193,$M193,DecLat,DecLong,1)</f>
        <v>-10.168311755718218</v>
      </c>
      <c r="AD193" s="258">
        <f>1+ transit((J2000_Bas-1),$O193,$M193,DecLat,DecLong)/360 + (GMTOffset/24) + (IF(DST="Y", 1, 0)/24)</f>
        <v>1.3952031611401248</v>
      </c>
      <c r="AE193" s="259">
        <f>DATE(2001,9,21)+(M193/360)*365 - (360*((DecLong/360)- (GMTOffset/24) ))</f>
        <v>37306.840682870374</v>
      </c>
      <c r="AF193" s="260">
        <f>IF(DecLat&gt;0,IF((90 - (DecLat-O193))&gt;90, (90 - (O193-DecLat)), (90 - (DecLat-O193))),IF((90 + (DecLat-O193))&gt;90, (90 + (O193-DecLat)), (90 + (DecLat-O193))))</f>
        <v>88.7</v>
      </c>
      <c r="AG193" s="257">
        <f>angularseperation(MoonRA,MoonDec,$M193,$O193)</f>
        <v>115.50615526233727</v>
      </c>
      <c r="AH193" s="261">
        <f ca="1">MIN(100,IF($O$5&gt;80,0+30*($AG193/100),IF($O$5&gt;70,0+50*($AG193/100),IF($O$5&gt;60,5+50*($AG193/100),IF($O$5&gt;50,10+60*($AG193/100),IF($O$5&gt;40,15+70*($AG193/100),IF($O$5&gt;30,20+70*($AG193/100),IF($O$5&gt;20,40+55*($AG193/100),(80+(20-$O$5)+30*($AG193/100))))))))))</f>
        <v>100</v>
      </c>
      <c r="AI193" s="262"/>
      <c r="AJ193" s="262"/>
      <c r="AK193" s="262"/>
      <c r="AL193" s="263"/>
      <c r="AM193" s="264"/>
      <c r="AN193" s="263">
        <v>63</v>
      </c>
      <c r="AO193" s="263"/>
      <c r="AP193" s="265"/>
      <c r="AQ193" s="266"/>
      <c r="AR193" s="267">
        <v>27538</v>
      </c>
      <c r="AS193" s="263"/>
      <c r="AT193" s="263"/>
      <c r="AU193" s="263"/>
      <c r="AV193" s="264"/>
      <c r="AW193" s="263"/>
      <c r="AX193" s="263"/>
      <c r="AY193" s="263"/>
      <c r="AZ193" s="263"/>
      <c r="BA193" s="263"/>
      <c r="BB193" s="263"/>
      <c r="BC193" s="263"/>
      <c r="BD193" s="264"/>
      <c r="BE193" s="263"/>
      <c r="BF193" s="263"/>
      <c r="BG193" s="263"/>
      <c r="BH193" s="263"/>
      <c r="BI193" s="263"/>
      <c r="BJ193" s="404">
        <f>altaz(J2000_Bas,$O193,$M193,DecLat,DecLong,2)</f>
        <v>326.38488357046589</v>
      </c>
      <c r="BK193" s="378" t="s">
        <v>282</v>
      </c>
      <c r="BL193" s="379">
        <f>IF((2*G193)/60&lt;0.2,0.2,(2*G193)/60)</f>
        <v>0.2</v>
      </c>
      <c r="BM193" s="380">
        <f>MOD((50000+AD193-$B$3+(0/24)),1)</f>
        <v>0.61057009084470337</v>
      </c>
      <c r="BN193" s="382" t="s">
        <v>9214</v>
      </c>
      <c r="BO193" s="382">
        <v>193</v>
      </c>
    </row>
    <row r="194" spans="1:67" s="24" customFormat="1" ht="15" customHeight="1" x14ac:dyDescent="0.25">
      <c r="A194" s="288" t="s">
        <v>283</v>
      </c>
      <c r="B194" s="241" t="str">
        <f>HYPERLINK(CONCATENATE($AT$3,BK194,$AU$3),$AV$3)</f>
        <v>S</v>
      </c>
      <c r="C194" s="242" t="str">
        <f>HYPERLINK(CONCATENATE($AT$4,BK194,$AU$4,BL194),$AV$4)</f>
        <v>A</v>
      </c>
      <c r="D194" s="243" t="s">
        <v>5638</v>
      </c>
      <c r="E194" s="244" t="s">
        <v>5192</v>
      </c>
      <c r="F194" s="269" t="s">
        <v>8885</v>
      </c>
      <c r="G194" s="270">
        <v>0.5</v>
      </c>
      <c r="H194" s="283">
        <v>500</v>
      </c>
      <c r="I194" s="246">
        <v>75</v>
      </c>
      <c r="J194" s="246">
        <v>1</v>
      </c>
      <c r="K194" s="247" t="s">
        <v>3857</v>
      </c>
      <c r="L194" s="248">
        <v>144527</v>
      </c>
      <c r="M194" s="249">
        <f>15*(LEFT(TEXT($L194,"000000"),2)+(MID(TEXT($L194,"000000"),3,2)/60)+(RIGHT(TEXT($L194,"000000"),2)/3600))</f>
        <v>221.36250000000001</v>
      </c>
      <c r="N194" s="250">
        <v>192800</v>
      </c>
      <c r="O194" s="251">
        <f>IF($N194&gt;0,(LEFT(TEXT($N194,"000000"),2)+(MID(TEXT($N194,"000000"),3,2)/60)+(RIGHT(TEXT($N194,"000000"),2)/3600)),-(MID(TEXT($N194,"000000"),2,2)+(MID(TEXT($N194,"000000"),4,2)/60)+(RIGHT(TEXT($N194,"000000"),2)/3600)))</f>
        <v>19.466666666666665</v>
      </c>
      <c r="P194" s="252" t="s">
        <v>260</v>
      </c>
      <c r="Q194" s="253"/>
      <c r="R194" s="247" t="s">
        <v>3293</v>
      </c>
      <c r="S194" s="272" t="s">
        <v>4190</v>
      </c>
      <c r="T194" s="273">
        <v>15</v>
      </c>
      <c r="U194" s="274"/>
      <c r="V194" s="280">
        <v>25</v>
      </c>
      <c r="W194" s="244"/>
      <c r="X194" s="244"/>
      <c r="Y194" s="362"/>
      <c r="Z194" s="257">
        <f>altaz(J2000_Bas,$O194,$M194,DecLat,DecLong,1)</f>
        <v>31.183519355395386</v>
      </c>
      <c r="AA194" s="257">
        <f>altaz((J2000_Bas+(2*0.04167)),$O194,$M194,DecLat,DecLong,1)</f>
        <v>6.0314236556456491</v>
      </c>
      <c r="AB194" s="257">
        <f>altaz((J2000_Bas+(4*0.04167)),$O194,$M194,DecLat,DecLong,1)</f>
        <v>-16.8398934456924</v>
      </c>
      <c r="AC194" s="257">
        <f>altaz((J2000_Bas+(6*0.04167)),$O194,$M194,DecLat,DecLong,1)</f>
        <v>-34.067791809554826</v>
      </c>
      <c r="AD194" s="258">
        <f>1+ transit((J2000_Bas-1),$O194,$M194,DecLat,DecLong)/360 + (GMTOffset/24) + (IF(DST="Y", 1, 0)/24)</f>
        <v>1.607795732473458</v>
      </c>
      <c r="AE194" s="259">
        <f>DATE(2001,9,21)+(M194/360)*365 - (360*((DecLong/360)- (GMTOffset/24) ))</f>
        <v>37384.436979166669</v>
      </c>
      <c r="AF194" s="260">
        <f>IF(DecLat&gt;0,IF((90 - (DecLat-O194))&gt;90, (90 - (O194-DecLat)), (90 - (DecLat-O194))),IF((90 + (DecLat-O194))&gt;90, (90 + (O194-DecLat)), (90 + (DecLat-O194))))</f>
        <v>78.466666666666669</v>
      </c>
      <c r="AG194" s="257">
        <f>angularseperation(MoonRA,MoonDec,$M194,$O194)</f>
        <v>53.823077772960275</v>
      </c>
      <c r="AH194" s="261">
        <f ca="1">MIN(100,IF($O$5&gt;80,0+30*($AG194/100),IF($O$5&gt;70,0+50*($AG194/100),IF($O$5&gt;60,5+50*($AG194/100),IF($O$5&gt;50,10+60*($AG194/100),IF($O$5&gt;40,15+70*($AG194/100),IF($O$5&gt;30,20+70*($AG194/100),IF($O$5&gt;20,40+55*($AG194/100),(80+(20-$O$5)+30*($AG194/100))))))))))</f>
        <v>99.417983676038517</v>
      </c>
      <c r="AI194" s="262"/>
      <c r="AJ194" s="262"/>
      <c r="AK194" s="262"/>
      <c r="AL194" s="263"/>
      <c r="AM194" s="264"/>
      <c r="AN194" s="263">
        <v>64</v>
      </c>
      <c r="AO194" s="263"/>
      <c r="AP194" s="265"/>
      <c r="AQ194" s="266">
        <v>9503</v>
      </c>
      <c r="AR194" s="267">
        <v>52698</v>
      </c>
      <c r="AS194" s="263"/>
      <c r="AT194" s="263"/>
      <c r="AU194" s="263"/>
      <c r="AV194" s="264"/>
      <c r="AW194" s="263"/>
      <c r="AX194" s="263"/>
      <c r="AY194" s="263"/>
      <c r="AZ194" s="263"/>
      <c r="BA194" s="263"/>
      <c r="BB194" s="263"/>
      <c r="BC194" s="263"/>
      <c r="BD194" s="264"/>
      <c r="BE194" s="263"/>
      <c r="BF194" s="263"/>
      <c r="BG194" s="263"/>
      <c r="BH194" s="263"/>
      <c r="BI194" s="263"/>
      <c r="BJ194" s="404">
        <f>altaz(J2000_Bas,$O194,$M194,DecLat,DecLong,2)</f>
        <v>275.20933569698218</v>
      </c>
      <c r="BK194" s="378" t="s">
        <v>283</v>
      </c>
      <c r="BL194" s="379">
        <f>IF((2*G194)/60&lt;0.2,0.2,(2*G194)/60)</f>
        <v>0.2</v>
      </c>
      <c r="BM194" s="380">
        <f>MOD((50000+AD194-$B$3+(0/24)),1)</f>
        <v>0.82316266217821976</v>
      </c>
      <c r="BN194" s="381"/>
      <c r="BO194" s="382">
        <v>194</v>
      </c>
    </row>
    <row r="195" spans="1:67" s="24" customFormat="1" ht="15" customHeight="1" x14ac:dyDescent="0.25">
      <c r="A195" s="288" t="s">
        <v>284</v>
      </c>
      <c r="B195" s="241" t="str">
        <f>HYPERLINK(CONCATENATE($AT$3,BK195,$AU$3),$AV$3)</f>
        <v>S</v>
      </c>
      <c r="C195" s="242" t="str">
        <f>HYPERLINK(CONCATENATE($AT$4,BK195,$AU$4,BL195),$AV$4)</f>
        <v>A</v>
      </c>
      <c r="D195" s="243" t="s">
        <v>5638</v>
      </c>
      <c r="E195" s="244" t="s">
        <v>5192</v>
      </c>
      <c r="F195" s="269" t="s">
        <v>8895</v>
      </c>
      <c r="G195" s="273">
        <v>1.4</v>
      </c>
      <c r="H195" s="283">
        <v>250</v>
      </c>
      <c r="I195" s="246">
        <v>100</v>
      </c>
      <c r="J195" s="246">
        <v>2</v>
      </c>
      <c r="K195" s="247" t="s">
        <v>3858</v>
      </c>
      <c r="L195" s="248">
        <v>2151</v>
      </c>
      <c r="M195" s="249">
        <f>15*(LEFT(TEXT($L195,"000000"),2)+(MID(TEXT($L195,"000000"),3,2)/60)+(RIGHT(TEXT($L195,"000000"),2)/3600))</f>
        <v>5.4624999999999995</v>
      </c>
      <c r="N195" s="250">
        <v>222400</v>
      </c>
      <c r="O195" s="251">
        <f>IF($N195&gt;0,(LEFT(TEXT($N195,"000000"),2)+(MID(TEXT($N195,"000000"),3,2)/60)+(RIGHT(TEXT($N195,"000000"),2)/3600)),-(MID(TEXT($N195,"000000"),2,2)+(MID(TEXT($N195,"000000"),4,2)/60)+(RIGHT(TEXT($N195,"000000"),2)/3600)))</f>
        <v>22.4</v>
      </c>
      <c r="P195" s="252" t="s">
        <v>36</v>
      </c>
      <c r="Q195" s="253"/>
      <c r="R195" s="247" t="s">
        <v>3453</v>
      </c>
      <c r="S195" s="272" t="s">
        <v>3293</v>
      </c>
      <c r="T195" s="273">
        <v>13.7</v>
      </c>
      <c r="U195" s="289">
        <v>22.89</v>
      </c>
      <c r="V195" s="280">
        <v>50</v>
      </c>
      <c r="W195" s="244"/>
      <c r="X195" s="244"/>
      <c r="Y195" s="362"/>
      <c r="Z195" s="257">
        <f>altaz(J2000_Bas,$O195,$M195,DecLat,DecLong,1)</f>
        <v>19.951914684568631</v>
      </c>
      <c r="AA195" s="257">
        <f>altaz((J2000_Bas+(2*0.04167)),$O195,$M195,DecLat,DecLong,1)</f>
        <v>45.418870581742773</v>
      </c>
      <c r="AB195" s="257">
        <f>altaz((J2000_Bas+(4*0.04167)),$O195,$M195,DecLat,DecLong,1)</f>
        <v>70.779958361303386</v>
      </c>
      <c r="AC195" s="257">
        <f>altaz((J2000_Bas+(6*0.04167)),$O195,$M195,DecLat,DecLong,1)</f>
        <v>77.093372813021347</v>
      </c>
      <c r="AD195" s="258">
        <f>1+ transit((J2000_Bas-1),$O195,$M195,DecLat,DecLong)/360 + (GMTOffset/24) + (IF(DST="Y", 1, 0)/24)</f>
        <v>1.008073570223458</v>
      </c>
      <c r="AE195" s="259">
        <f>DATE(2001,9,21)+(M195/360)*365 - (360*((DecLong/360)- (GMTOffset/24) ))</f>
        <v>37165.538368055553</v>
      </c>
      <c r="AF195" s="260">
        <f>IF(DecLat&gt;0,IF((90 - (DecLat-O195))&gt;90, (90 - (O195-DecLat)), (90 - (DecLat-O195))),IF((90 + (DecLat-O195))&gt;90, (90 + (O195-DecLat)), (90 + (DecLat-O195))))</f>
        <v>81.400000000000006</v>
      </c>
      <c r="AG195" s="257">
        <f>angularseperation(MoonRA,MoonDec,$M195,$O195)</f>
        <v>122.49293706036821</v>
      </c>
      <c r="AH195" s="261">
        <f ca="1">MIN(100,IF($O$5&gt;80,0+30*($AG195/100),IF($O$5&gt;70,0+50*($AG195/100),IF($O$5&gt;60,5+50*($AG195/100),IF($O$5&gt;50,10+60*($AG195/100),IF($O$5&gt;40,15+70*($AG195/100),IF($O$5&gt;30,20+70*($AG195/100),IF($O$5&gt;20,40+55*($AG195/100),(80+(20-$O$5)+30*($AG195/100))))))))))</f>
        <v>100</v>
      </c>
      <c r="AI195" s="262">
        <v>90</v>
      </c>
      <c r="AJ195" s="262"/>
      <c r="AK195" s="262"/>
      <c r="AL195" s="263"/>
      <c r="AM195" s="264"/>
      <c r="AN195" s="263">
        <v>65</v>
      </c>
      <c r="AO195" s="263"/>
      <c r="AP195" s="265"/>
      <c r="AQ195" s="266">
        <v>208</v>
      </c>
      <c r="AR195" s="267">
        <v>1405</v>
      </c>
      <c r="AS195" s="263"/>
      <c r="AT195" s="263"/>
      <c r="AU195" s="263"/>
      <c r="AV195" s="264"/>
      <c r="AW195" s="263"/>
      <c r="AX195" s="263"/>
      <c r="AY195" s="263"/>
      <c r="AZ195" s="263"/>
      <c r="BA195" s="263"/>
      <c r="BB195" s="263"/>
      <c r="BC195" s="263"/>
      <c r="BD195" s="264"/>
      <c r="BE195" s="263"/>
      <c r="BF195" s="263"/>
      <c r="BG195" s="263"/>
      <c r="BH195" s="263"/>
      <c r="BI195" s="263"/>
      <c r="BJ195" s="404">
        <f>altaz(J2000_Bas,$O195,$M195,DecLat,DecLong,2)</f>
        <v>75.236362354588849</v>
      </c>
      <c r="BK195" s="378" t="s">
        <v>284</v>
      </c>
      <c r="BL195" s="379">
        <f>IF((2*G195)/60&lt;0.2,0.2,(2*G195)/60)</f>
        <v>0.2</v>
      </c>
      <c r="BM195" s="380">
        <f>MOD((50000+AD195-$B$3+(0/24)),1)</f>
        <v>0.22344049992534565</v>
      </c>
      <c r="BN195" s="381"/>
      <c r="BO195" s="382">
        <v>195</v>
      </c>
    </row>
    <row r="196" spans="1:67" s="24" customFormat="1" ht="15" customHeight="1" x14ac:dyDescent="0.25">
      <c r="A196" s="288" t="s">
        <v>285</v>
      </c>
      <c r="B196" s="241" t="str">
        <f>HYPERLINK(CONCATENATE($AT$3,BK196,$AU$3),$AV$3)</f>
        <v>S</v>
      </c>
      <c r="C196" s="242" t="str">
        <f>HYPERLINK(CONCATENATE($AT$4,BK196,$AU$4,BL196),$AV$4)</f>
        <v>A</v>
      </c>
      <c r="D196" s="243" t="s">
        <v>5638</v>
      </c>
      <c r="E196" s="244" t="s">
        <v>5192</v>
      </c>
      <c r="F196" s="269" t="s">
        <v>8897</v>
      </c>
      <c r="G196" s="273">
        <v>1</v>
      </c>
      <c r="H196" s="283">
        <v>290</v>
      </c>
      <c r="I196" s="246">
        <v>90</v>
      </c>
      <c r="J196" s="246">
        <v>1</v>
      </c>
      <c r="K196" s="247" t="s">
        <v>3859</v>
      </c>
      <c r="L196" s="248">
        <v>162652</v>
      </c>
      <c r="M196" s="249">
        <f>15*(LEFT(TEXT($L196,"000000"),2)+(MID(TEXT($L196,"000000"),3,2)/60)+(RIGHT(TEXT($L196,"000000"),2)/3600))</f>
        <v>246.71666666666664</v>
      </c>
      <c r="N196" s="250">
        <v>513300</v>
      </c>
      <c r="O196" s="251">
        <f>IF($N196&gt;0,(LEFT(TEXT($N196,"000000"),2)+(MID(TEXT($N196,"000000"),3,2)/60)+(RIGHT(TEXT($N196,"000000"),2)/3600)),-(MID(TEXT($N196,"000000"),2,2)+(MID(TEXT($N196,"000000"),4,2)/60)+(RIGHT(TEXT($N196,"000000"),2)/3600)))</f>
        <v>51.55</v>
      </c>
      <c r="P196" s="252" t="s">
        <v>34</v>
      </c>
      <c r="Q196" s="253"/>
      <c r="R196" s="247" t="s">
        <v>3293</v>
      </c>
      <c r="S196" s="272" t="s">
        <v>3293</v>
      </c>
      <c r="T196" s="273">
        <v>15</v>
      </c>
      <c r="U196" s="274"/>
      <c r="V196" s="280">
        <v>55</v>
      </c>
      <c r="W196" s="244"/>
      <c r="X196" s="244"/>
      <c r="Y196" s="362"/>
      <c r="Z196" s="257">
        <f>altaz(J2000_Bas,$O196,$M196,DecLat,DecLong,1)</f>
        <v>54.6767160713569</v>
      </c>
      <c r="AA196" s="257">
        <f>altaz((J2000_Bas+(2*0.04167)),$O196,$M196,DecLat,DecLong,1)</f>
        <v>36.238362723262874</v>
      </c>
      <c r="AB196" s="257">
        <f>altaz((J2000_Bas+(4*0.04167)),$O196,$M196,DecLat,DecLong,1)</f>
        <v>18.408662640333755</v>
      </c>
      <c r="AC196" s="257">
        <f>altaz((J2000_Bas+(6*0.04167)),$O196,$M196,DecLat,DecLong,1)</f>
        <v>3.6711708965423244</v>
      </c>
      <c r="AD196" s="258">
        <f>1+ transit((J2000_Bas-1),$O196,$M196,DecLat,DecLong)/360 + (GMTOffset/24) + (IF(DST="Y", 1, 0)/24)</f>
        <v>1.6782239661713747</v>
      </c>
      <c r="AE196" s="259">
        <f>DATE(2001,9,21)+(M196/360)*365 - (360*((DecLong/360)- (GMTOffset/24) ))</f>
        <v>37410.143287037034</v>
      </c>
      <c r="AF196" s="260">
        <f>IF(DecLat&gt;0,IF((90 - (DecLat-O196))&gt;90, (90 - (O196-DecLat)), (90 - (DecLat-O196))),IF((90 + (DecLat-O196))&gt;90, (90 + (O196-DecLat)), (90 + (DecLat-O196))))</f>
        <v>69.45</v>
      </c>
      <c r="AG196" s="257">
        <f>angularseperation(MoonRA,MoonDec,$M196,$O196)</f>
        <v>78.665511963379956</v>
      </c>
      <c r="AH196" s="261">
        <f ca="1">MIN(100,IF($O$5&gt;80,0+30*($AG196/100),IF($O$5&gt;70,0+50*($AG196/100),IF($O$5&gt;60,5+50*($AG196/100),IF($O$5&gt;50,10+60*($AG196/100),IF($O$5&gt;40,15+70*($AG196/100),IF($O$5&gt;30,20+70*($AG196/100),IF($O$5&gt;20,40+55*($AG196/100),(80+(20-$O$5)+30*($AG196/100))))))))))</f>
        <v>100</v>
      </c>
      <c r="AI196" s="262"/>
      <c r="AJ196" s="262"/>
      <c r="AK196" s="262"/>
      <c r="AL196" s="263"/>
      <c r="AM196" s="264"/>
      <c r="AN196" s="263">
        <v>66</v>
      </c>
      <c r="AO196" s="263"/>
      <c r="AP196" s="265"/>
      <c r="AQ196" s="266">
        <v>10396</v>
      </c>
      <c r="AR196" s="267">
        <v>58150</v>
      </c>
      <c r="AS196" s="263"/>
      <c r="AT196" s="263"/>
      <c r="AU196" s="263"/>
      <c r="AV196" s="264"/>
      <c r="AW196" s="263"/>
      <c r="AX196" s="263"/>
      <c r="AY196" s="263"/>
      <c r="AZ196" s="263"/>
      <c r="BA196" s="263"/>
      <c r="BB196" s="263"/>
      <c r="BC196" s="263"/>
      <c r="BD196" s="264"/>
      <c r="BE196" s="263"/>
      <c r="BF196" s="263"/>
      <c r="BG196" s="263"/>
      <c r="BH196" s="263"/>
      <c r="BI196" s="263"/>
      <c r="BJ196" s="404">
        <f>altaz(J2000_Bas,$O196,$M196,DecLat,DecLong,2)</f>
        <v>317.07933486240847</v>
      </c>
      <c r="BK196" s="378" t="s">
        <v>285</v>
      </c>
      <c r="BL196" s="379">
        <f>IF((2*G196)/60&lt;0.2,0.2,(2*G196)/60)</f>
        <v>0.2</v>
      </c>
      <c r="BM196" s="380">
        <f>MOD((50000+AD196-$B$3+(0/24)),1)</f>
        <v>0.89359089587378548</v>
      </c>
      <c r="BN196" s="381"/>
      <c r="BO196" s="382">
        <v>196</v>
      </c>
    </row>
    <row r="197" spans="1:67" s="24" customFormat="1" ht="15" customHeight="1" x14ac:dyDescent="0.25">
      <c r="A197" s="288" t="s">
        <v>286</v>
      </c>
      <c r="B197" s="241" t="str">
        <f>HYPERLINK(CONCATENATE($AT$3,BK197,$AU$3),$AV$3)</f>
        <v>S</v>
      </c>
      <c r="C197" s="242" t="str">
        <f>HYPERLINK(CONCATENATE($AT$4,BK197,$AU$4,BL197),$AV$4)</f>
        <v>A</v>
      </c>
      <c r="D197" s="243" t="s">
        <v>5638</v>
      </c>
      <c r="E197" s="244" t="s">
        <v>5192</v>
      </c>
      <c r="F197" s="269" t="s">
        <v>8885</v>
      </c>
      <c r="G197" s="273">
        <v>1.6</v>
      </c>
      <c r="H197" s="283">
        <v>230</v>
      </c>
      <c r="I197" s="246">
        <v>105</v>
      </c>
      <c r="J197" s="246">
        <v>2</v>
      </c>
      <c r="K197" s="247" t="s">
        <v>3860</v>
      </c>
      <c r="L197" s="248">
        <v>12117</v>
      </c>
      <c r="M197" s="249">
        <f>15*(LEFT(TEXT($L197,"000000"),2)+(MID(TEXT($L197,"000000"),3,2)/60)+(RIGHT(TEXT($L197,"000000"),2)/3600))</f>
        <v>20.320833333333336</v>
      </c>
      <c r="N197" s="250">
        <v>-3240</v>
      </c>
      <c r="O197" s="251">
        <f>IF($N197&gt;0,(LEFT(TEXT($N197,"000000"),2)+(MID(TEXT($N197,"000000"),3,2)/60)+(RIGHT(TEXT($N197,"000000"),2)/3600)),-(MID(TEXT($N197,"000000"),2,2)+(MID(TEXT($N197,"000000"),4,2)/60)+(RIGHT(TEXT($N197,"000000"),2)/3600)))</f>
        <v>-0.5444444444444444</v>
      </c>
      <c r="P197" s="252" t="s">
        <v>75</v>
      </c>
      <c r="Q197" s="253"/>
      <c r="R197" s="247" t="s">
        <v>3293</v>
      </c>
      <c r="S197" s="272" t="s">
        <v>4179</v>
      </c>
      <c r="T197" s="273">
        <v>14</v>
      </c>
      <c r="U197" s="274"/>
      <c r="V197" s="280">
        <v>30</v>
      </c>
      <c r="W197" s="244"/>
      <c r="X197" s="244"/>
      <c r="Y197" s="362"/>
      <c r="Z197" s="257">
        <f>altaz(J2000_Bas,$O197,$M197,DecLat,DecLong,1)</f>
        <v>-3.9813638961902593</v>
      </c>
      <c r="AA197" s="257">
        <f>altaz((J2000_Bas+(2*0.04167)),$O197,$M197,DecLat,DecLong,1)</f>
        <v>21.573937298549566</v>
      </c>
      <c r="AB197" s="257">
        <f>altaz((J2000_Bas+(4*0.04167)),$O197,$M197,DecLat,DecLong,1)</f>
        <v>44.784964482919257</v>
      </c>
      <c r="AC197" s="257">
        <f>altaz((J2000_Bas+(6*0.04167)),$O197,$M197,DecLat,DecLong,1)</f>
        <v>58.220236058650165</v>
      </c>
      <c r="AD197" s="258">
        <f>1+ transit((J2000_Bas-1),$O197,$M197,DecLat,DecLong)/360 + (GMTOffset/24) + (IF(DST="Y", 1, 0)/24)</f>
        <v>1.0493467142442914</v>
      </c>
      <c r="AE197" s="259">
        <f>DATE(2001,9,21)+(M197/360)*365 - (360*((DecLong/360)- (GMTOffset/24) ))</f>
        <v>37180.603067129632</v>
      </c>
      <c r="AF197" s="260">
        <f>IF(DecLat&gt;0,IF((90 - (DecLat-O197))&gt;90, (90 - (O197-DecLat)), (90 - (DecLat-O197))),IF((90 + (DecLat-O197))&gt;90, (90 + (O197-DecLat)), (90 + (DecLat-O197))))</f>
        <v>58.455555555555556</v>
      </c>
      <c r="AG197" s="257">
        <f>angularseperation(MoonRA,MoonDec,$M197,$O197)</f>
        <v>125.49890251156705</v>
      </c>
      <c r="AH197" s="261">
        <f ca="1">MIN(100,IF($O$5&gt;80,0+30*($AG197/100),IF($O$5&gt;70,0+50*($AG197/100),IF($O$5&gt;60,5+50*($AG197/100),IF($O$5&gt;50,10+60*($AG197/100),IF($O$5&gt;40,15+70*($AG197/100),IF($O$5&gt;30,20+70*($AG197/100),IF($O$5&gt;20,40+55*($AG197/100),(80+(20-$O$5)+30*($AG197/100))))))))))</f>
        <v>100</v>
      </c>
      <c r="AI197" s="262"/>
      <c r="AJ197" s="262"/>
      <c r="AK197" s="262"/>
      <c r="AL197" s="263"/>
      <c r="AM197" s="264"/>
      <c r="AN197" s="263">
        <v>67</v>
      </c>
      <c r="AO197" s="263"/>
      <c r="AP197" s="265"/>
      <c r="AQ197" s="266">
        <v>892</v>
      </c>
      <c r="AR197" s="267">
        <v>4906</v>
      </c>
      <c r="AS197" s="263"/>
      <c r="AT197" s="263"/>
      <c r="AU197" s="263"/>
      <c r="AV197" s="264"/>
      <c r="AW197" s="263"/>
      <c r="AX197" s="263"/>
      <c r="AY197" s="263"/>
      <c r="AZ197" s="263"/>
      <c r="BA197" s="263"/>
      <c r="BB197" s="263"/>
      <c r="BC197" s="263"/>
      <c r="BD197" s="264"/>
      <c r="BE197" s="263"/>
      <c r="BF197" s="263"/>
      <c r="BG197" s="263"/>
      <c r="BH197" s="263"/>
      <c r="BI197" s="263"/>
      <c r="BJ197" s="404">
        <f>altaz(J2000_Bas,$O197,$M197,DecLat,DecLong,2)</f>
        <v>88.240314832836617</v>
      </c>
      <c r="BK197" s="378" t="s">
        <v>286</v>
      </c>
      <c r="BL197" s="379">
        <f>IF((2*G197)/60&lt;0.2,0.2,(2*G197)/60)</f>
        <v>0.2</v>
      </c>
      <c r="BM197" s="380">
        <f>MOD((50000+AD197-$B$3+(0/24)),1)</f>
        <v>0.2647136439481983</v>
      </c>
      <c r="BN197" s="381"/>
      <c r="BO197" s="382">
        <v>197</v>
      </c>
    </row>
    <row r="198" spans="1:67" s="24" customFormat="1" ht="15" customHeight="1" x14ac:dyDescent="0.25">
      <c r="A198" s="288" t="s">
        <v>287</v>
      </c>
      <c r="B198" s="241" t="str">
        <f>HYPERLINK(CONCATENATE($AT$3,BK198,$AU$3),$AV$3)</f>
        <v>S</v>
      </c>
      <c r="C198" s="242" t="str">
        <f>HYPERLINK(CONCATENATE($AT$4,BK198,$AU$4,BL198),$AV$4)</f>
        <v>A</v>
      </c>
      <c r="D198" s="243" t="s">
        <v>5638</v>
      </c>
      <c r="E198" s="244" t="s">
        <v>5192</v>
      </c>
      <c r="F198" s="269" t="s">
        <v>8889</v>
      </c>
      <c r="G198" s="273">
        <v>2</v>
      </c>
      <c r="H198" s="283">
        <v>140</v>
      </c>
      <c r="I198" s="246">
        <v>80</v>
      </c>
      <c r="J198" s="246">
        <v>2</v>
      </c>
      <c r="K198" s="247" t="s">
        <v>3861</v>
      </c>
      <c r="L198" s="248">
        <v>234845</v>
      </c>
      <c r="M198" s="249">
        <f>15*(LEFT(TEXT($L198,"000000"),2)+(MID(TEXT($L198,"000000"),3,2)/60)+(RIGHT(TEXT($L198,"000000"),2)/3600))</f>
        <v>357.1875</v>
      </c>
      <c r="N198" s="250">
        <v>41000</v>
      </c>
      <c r="O198" s="251">
        <f>IF($N198&gt;0,(LEFT(TEXT($N198,"000000"),2)+(MID(TEXT($N198,"000000"),3,2)/60)+(RIGHT(TEXT($N198,"000000"),2)/3600)),-(MID(TEXT($N198,"000000"),2,2)+(MID(TEXT($N198,"000000"),4,2)/60)+(RIGHT(TEXT($N198,"000000"),2)/3600)))</f>
        <v>4.166666666666667</v>
      </c>
      <c r="P198" s="252" t="s">
        <v>158</v>
      </c>
      <c r="Q198" s="253"/>
      <c r="R198" s="247" t="s">
        <v>3706</v>
      </c>
      <c r="S198" s="272" t="s">
        <v>3293</v>
      </c>
      <c r="T198" s="273">
        <v>12.7</v>
      </c>
      <c r="U198" s="289">
        <v>23.09</v>
      </c>
      <c r="V198" s="280">
        <v>15</v>
      </c>
      <c r="W198" s="244"/>
      <c r="X198" s="244"/>
      <c r="Y198" s="362"/>
      <c r="Z198" s="257">
        <f>altaz(J2000_Bas,$O198,$M198,DecLat,DecLong,1)</f>
        <v>18.248610782773245</v>
      </c>
      <c r="AA198" s="257">
        <f>altaz((J2000_Bas+(2*0.04167)),$O198,$M198,DecLat,DecLong,1)</f>
        <v>42.972013551609713</v>
      </c>
      <c r="AB198" s="257">
        <f>altaz((J2000_Bas+(4*0.04167)),$O198,$M198,DecLat,DecLong,1)</f>
        <v>61.231503096128705</v>
      </c>
      <c r="AC198" s="257">
        <f>altaz((J2000_Bas+(6*0.04167)),$O198,$M198,DecLat,DecLong,1)</f>
        <v>57.716158729346304</v>
      </c>
      <c r="AD198" s="258">
        <f>1+ transit((J2000_Bas-1),$O198,$M198,DecLat,DecLong)/360 + (GMTOffset/24) + (IF(DST="Y", 1, 0)/24)</f>
        <v>1.9850873614109579</v>
      </c>
      <c r="AE198" s="259">
        <f>DATE(2001,9,21)+(M198/360)*365 - (360*((DecLong/360)- (GMTOffset/24) ))</f>
        <v>37522.1484375</v>
      </c>
      <c r="AF198" s="260">
        <f>IF(DecLat&gt;0,IF((90 - (DecLat-O198))&gt;90, (90 - (O198-DecLat)), (90 - (DecLat-O198))),IF((90 + (DecLat-O198))&gt;90, (90 + (O198-DecLat)), (90 + (DecLat-O198))))</f>
        <v>63.166666666666671</v>
      </c>
      <c r="AG198" s="257">
        <f>angularseperation(MoonRA,MoonDec,$M198,$O198)</f>
        <v>107.85936338033193</v>
      </c>
      <c r="AH198" s="261">
        <f ca="1">MIN(100,IF($O$5&gt;80,0+30*($AG198/100),IF($O$5&gt;70,0+50*($AG198/100),IF($O$5&gt;60,5+50*($AG198/100),IF($O$5&gt;50,10+60*($AG198/100),IF($O$5&gt;40,15+70*($AG198/100),IF($O$5&gt;30,20+70*($AG198/100),IF($O$5&gt;20,40+55*($AG198/100),(80+(20-$O$5)+30*($AG198/100))))))))))</f>
        <v>100</v>
      </c>
      <c r="AI198" s="262">
        <v>7757</v>
      </c>
      <c r="AJ198" s="262"/>
      <c r="AK198" s="262"/>
      <c r="AL198" s="263"/>
      <c r="AM198" s="264"/>
      <c r="AN198" s="263">
        <v>68</v>
      </c>
      <c r="AO198" s="263"/>
      <c r="AP198" s="265"/>
      <c r="AQ198" s="266">
        <v>12788</v>
      </c>
      <c r="AR198" s="267">
        <v>72491</v>
      </c>
      <c r="AS198" s="263"/>
      <c r="AT198" s="263"/>
      <c r="AU198" s="263"/>
      <c r="AV198" s="264"/>
      <c r="AW198" s="263"/>
      <c r="AX198" s="263"/>
      <c r="AY198" s="263"/>
      <c r="AZ198" s="263"/>
      <c r="BA198" s="263"/>
      <c r="BB198" s="263"/>
      <c r="BC198" s="263"/>
      <c r="BD198" s="264"/>
      <c r="BE198" s="263"/>
      <c r="BF198" s="263"/>
      <c r="BG198" s="263"/>
      <c r="BH198" s="263"/>
      <c r="BI198" s="263"/>
      <c r="BJ198" s="404">
        <f>altaz(J2000_Bas,$O198,$M198,DecLat,DecLong,2)</f>
        <v>96.249826723490145</v>
      </c>
      <c r="BK198" s="378" t="s">
        <v>287</v>
      </c>
      <c r="BL198" s="379">
        <f>IF((2*G198)/60&lt;0.2,0.2,(2*G198)/60)</f>
        <v>0.2</v>
      </c>
      <c r="BM198" s="380">
        <f>MOD((50000+AD198-$B$3+(0/24)),1)</f>
        <v>0.20045429111632984</v>
      </c>
      <c r="BN198" s="381"/>
      <c r="BO198" s="382">
        <v>198</v>
      </c>
    </row>
    <row r="199" spans="1:67" s="24" customFormat="1" ht="15" customHeight="1" x14ac:dyDescent="0.25">
      <c r="A199" s="288" t="s">
        <v>288</v>
      </c>
      <c r="B199" s="241" t="str">
        <f>HYPERLINK(CONCATENATE($AT$3,BK199,$AU$3),$AV$3)</f>
        <v>S</v>
      </c>
      <c r="C199" s="242" t="str">
        <f>HYPERLINK(CONCATENATE($AT$4,BK199,$AU$4,BL199),$AV$4)</f>
        <v>A</v>
      </c>
      <c r="D199" s="243" t="s">
        <v>5638</v>
      </c>
      <c r="E199" s="244" t="s">
        <v>5192</v>
      </c>
      <c r="F199" s="269" t="s">
        <v>8895</v>
      </c>
      <c r="G199" s="273">
        <v>2</v>
      </c>
      <c r="H199" s="283">
        <v>170</v>
      </c>
      <c r="I199" s="246">
        <v>100</v>
      </c>
      <c r="J199" s="246">
        <v>2</v>
      </c>
      <c r="K199" s="247" t="s">
        <v>3862</v>
      </c>
      <c r="L199" s="248">
        <v>142026</v>
      </c>
      <c r="M199" s="249">
        <f>15*(LEFT(TEXT($L199,"000000"),2)+(MID(TEXT($L199,"000000"),3,2)/60)+(RIGHT(TEXT($L199,"000000"),2)/3600))</f>
        <v>215.10833333333332</v>
      </c>
      <c r="N199" s="250">
        <v>351100</v>
      </c>
      <c r="O199" s="251">
        <f>IF($N199&gt;0,(LEFT(TEXT($N199,"000000"),2)+(MID(TEXT($N199,"000000"),3,2)/60)+(RIGHT(TEXT($N199,"000000"),2)/3600)),-(MID(TEXT($N199,"000000"),2,2)+(MID(TEXT($N199,"000000"),4,2)/60)+(RIGHT(TEXT($N199,"000000"),2)/3600)))</f>
        <v>35.18333333333333</v>
      </c>
      <c r="P199" s="252" t="s">
        <v>260</v>
      </c>
      <c r="Q199" s="253"/>
      <c r="R199" s="247" t="s">
        <v>3622</v>
      </c>
      <c r="S199" s="272" t="s">
        <v>394</v>
      </c>
      <c r="T199" s="273">
        <v>13.6</v>
      </c>
      <c r="U199" s="289">
        <v>23.39</v>
      </c>
      <c r="V199" s="280">
        <v>45</v>
      </c>
      <c r="W199" s="244"/>
      <c r="X199" s="244"/>
      <c r="Y199" s="362"/>
      <c r="Z199" s="257">
        <f>altaz(J2000_Bas,$O199,$M199,DecLat,DecLong,1)</f>
        <v>31.740188714919775</v>
      </c>
      <c r="AA199" s="257">
        <f>altaz((J2000_Bas+(2*0.04167)),$O199,$M199,DecLat,DecLong,1)</f>
        <v>9.4008401278357052</v>
      </c>
      <c r="AB199" s="257">
        <f>altaz((J2000_Bas+(4*0.04167)),$O199,$M199,DecLat,DecLong,1)</f>
        <v>-9.4066273736176278</v>
      </c>
      <c r="AC199" s="257">
        <f>altaz((J2000_Bas+(6*0.04167)),$O199,$M199,DecLat,DecLong,1)</f>
        <v>-21.483288731637707</v>
      </c>
      <c r="AD199" s="258">
        <f>1+ transit((J2000_Bas-1),$O199,$M199,DecLat,DecLong)/360 + (GMTOffset/24) + (IF(DST="Y", 1, 0)/24)</f>
        <v>1.5904230490255411</v>
      </c>
      <c r="AE199" s="259">
        <f>DATE(2001,9,21)+(M199/360)*365 - (360*((DecLong/360)- (GMTOffset/24) ))</f>
        <v>37378.095949074072</v>
      </c>
      <c r="AF199" s="260">
        <f>IF(DecLat&gt;0,IF((90 - (DecLat-O199))&gt;90, (90 - (O199-DecLat)), (90 - (DecLat-O199))),IF((90 + (DecLat-O199))&gt;90, (90 + (O199-DecLat)), (90 + (DecLat-O199))))</f>
        <v>85.816666666666663</v>
      </c>
      <c r="AG199" s="257">
        <f>angularseperation(MoonRA,MoonDec,$M199,$O199)</f>
        <v>70.123848322442171</v>
      </c>
      <c r="AH199" s="261">
        <f ca="1">MIN(100,IF($O$5&gt;80,0+30*($AG199/100),IF($O$5&gt;70,0+50*($AG199/100),IF($O$5&gt;60,5+50*($AG199/100),IF($O$5&gt;50,10+60*($AG199/100),IF($O$5&gt;40,15+70*($AG199/100),IF($O$5&gt;30,20+70*($AG199/100),IF($O$5&gt;20,40+55*($AG199/100),(80+(20-$O$5)+30*($AG199/100))))))))))</f>
        <v>100</v>
      </c>
      <c r="AI199" s="262">
        <v>5579</v>
      </c>
      <c r="AJ199" s="262"/>
      <c r="AK199" s="262"/>
      <c r="AL199" s="263"/>
      <c r="AM199" s="264"/>
      <c r="AN199" s="263">
        <v>69</v>
      </c>
      <c r="AO199" s="263"/>
      <c r="AP199" s="265"/>
      <c r="AQ199" s="266">
        <v>9180</v>
      </c>
      <c r="AR199" s="267">
        <v>51236</v>
      </c>
      <c r="AS199" s="263"/>
      <c r="AT199" s="263"/>
      <c r="AU199" s="263"/>
      <c r="AV199" s="264"/>
      <c r="AW199" s="263"/>
      <c r="AX199" s="263"/>
      <c r="AY199" s="263"/>
      <c r="AZ199" s="263"/>
      <c r="BA199" s="263"/>
      <c r="BB199" s="263"/>
      <c r="BC199" s="263"/>
      <c r="BD199" s="264"/>
      <c r="BE199" s="263"/>
      <c r="BF199" s="263"/>
      <c r="BG199" s="263"/>
      <c r="BH199" s="263"/>
      <c r="BI199" s="263"/>
      <c r="BJ199" s="404">
        <f>altaz(J2000_Bas,$O199,$M199,DecLat,DecLong,2)</f>
        <v>294.75505752559246</v>
      </c>
      <c r="BK199" s="378" t="s">
        <v>288</v>
      </c>
      <c r="BL199" s="379">
        <f>IF((2*G199)/60&lt;0.2,0.2,(2*G199)/60)</f>
        <v>0.2</v>
      </c>
      <c r="BM199" s="380">
        <f>MOD((50000+AD199-$B$3+(0/24)),1)</f>
        <v>0.80578997873089975</v>
      </c>
      <c r="BN199" s="381"/>
      <c r="BO199" s="382">
        <v>199</v>
      </c>
    </row>
    <row r="200" spans="1:67" s="24" customFormat="1" ht="15" customHeight="1" x14ac:dyDescent="0.25">
      <c r="A200" s="288" t="s">
        <v>289</v>
      </c>
      <c r="B200" s="241" t="str">
        <f>HYPERLINK(CONCATENATE($AT$3,BK200,$AU$3),$AV$3)</f>
        <v>S</v>
      </c>
      <c r="C200" s="242" t="str">
        <f>HYPERLINK(CONCATENATE($AT$4,BK200,$AU$4,BL200),$AV$4)</f>
        <v>A</v>
      </c>
      <c r="D200" s="243" t="s">
        <v>5638</v>
      </c>
      <c r="E200" s="244" t="s">
        <v>5192</v>
      </c>
      <c r="F200" s="269" t="s">
        <v>8894</v>
      </c>
      <c r="G200" s="273">
        <v>1.3</v>
      </c>
      <c r="H200" s="283">
        <v>500</v>
      </c>
      <c r="I200" s="246">
        <v>190</v>
      </c>
      <c r="J200" s="246">
        <v>2</v>
      </c>
      <c r="K200" s="247" t="s">
        <v>3863</v>
      </c>
      <c r="L200" s="248">
        <v>12328</v>
      </c>
      <c r="M200" s="249">
        <f>15*(LEFT(TEXT($L200,"000000"),2)+(MID(TEXT($L200,"000000"),3,2)/60)+(RIGHT(TEXT($L200,"000000"),2)/3600))</f>
        <v>20.866666666666667</v>
      </c>
      <c r="N200" s="250">
        <v>304700</v>
      </c>
      <c r="O200" s="251">
        <f>IF($N200&gt;0,(LEFT(TEXT($N200,"000000"),2)+(MID(TEXT($N200,"000000"),3,2)/60)+(RIGHT(TEXT($N200,"000000"),2)/3600)),-(MID(TEXT($N200,"000000"),2,2)+(MID(TEXT($N200,"000000"),4,2)/60)+(RIGHT(TEXT($N200,"000000"),2)/3600)))</f>
        <v>30.783333333333335</v>
      </c>
      <c r="P200" s="252" t="s">
        <v>158</v>
      </c>
      <c r="Q200" s="253"/>
      <c r="R200" s="247" t="s">
        <v>3293</v>
      </c>
      <c r="S200" s="272" t="s">
        <v>3293</v>
      </c>
      <c r="T200" s="273">
        <v>15</v>
      </c>
      <c r="U200" s="274"/>
      <c r="V200" s="280">
        <v>60</v>
      </c>
      <c r="W200" s="244"/>
      <c r="X200" s="244"/>
      <c r="Y200" s="362"/>
      <c r="Z200" s="257">
        <f>altaz(J2000_Bas,$O200,$M200,DecLat,DecLong,1)</f>
        <v>11.604353907133353</v>
      </c>
      <c r="AA200" s="257">
        <f>altaz((J2000_Bas+(2*0.04167)),$O200,$M200,DecLat,DecLong,1)</f>
        <v>35.266136604537117</v>
      </c>
      <c r="AB200" s="257">
        <f>altaz((J2000_Bas+(4*0.04167)),$O200,$M200,DecLat,DecLong,1)</f>
        <v>60.349201472168566</v>
      </c>
      <c r="AC200" s="257">
        <f>altaz((J2000_Bas+(6*0.04167)),$O200,$M200,DecLat,DecLong,1)</f>
        <v>86.037983876698178</v>
      </c>
      <c r="AD200" s="258">
        <f>1+ transit((J2000_Bas-1),$O200,$M200,DecLat,DecLong)/360 + (GMTOffset/24) + (IF(DST="Y", 1, 0)/24)</f>
        <v>1.0508629177963746</v>
      </c>
      <c r="AE200" s="259">
        <f>DATE(2001,9,21)+(M200/360)*365 - (360*((DecLong/360)- (GMTOffset/24) ))</f>
        <v>37181.156481481485</v>
      </c>
      <c r="AF200" s="260">
        <f>IF(DecLat&gt;0,IF((90 - (DecLat-O200))&gt;90, (90 - (O200-DecLat)), (90 - (DecLat-O200))),IF((90 + (DecLat-O200))&gt;90, (90 + (O200-DecLat)), (90 + (DecLat-O200))))</f>
        <v>89.783333333333331</v>
      </c>
      <c r="AG200" s="257">
        <f>angularseperation(MoonRA,MoonDec,$M200,$O200)</f>
        <v>137.82531315384975</v>
      </c>
      <c r="AH200" s="261">
        <f ca="1">MIN(100,IF($O$5&gt;80,0+30*($AG200/100),IF($O$5&gt;70,0+50*($AG200/100),IF($O$5&gt;60,5+50*($AG200/100),IF($O$5&gt;50,10+60*($AG200/100),IF($O$5&gt;40,15+70*($AG200/100),IF($O$5&gt;30,20+70*($AG200/100),IF($O$5&gt;20,40+55*($AG200/100),(80+(20-$O$5)+30*($AG200/100))))))))))</f>
        <v>100</v>
      </c>
      <c r="AI200" s="262"/>
      <c r="AJ200" s="262"/>
      <c r="AK200" s="262"/>
      <c r="AL200" s="263"/>
      <c r="AM200" s="264"/>
      <c r="AN200" s="263">
        <v>70</v>
      </c>
      <c r="AO200" s="263"/>
      <c r="AP200" s="265"/>
      <c r="AQ200" s="266">
        <v>934</v>
      </c>
      <c r="AR200" s="267">
        <v>5085</v>
      </c>
      <c r="AS200" s="263"/>
      <c r="AT200" s="263"/>
      <c r="AU200" s="263"/>
      <c r="AV200" s="264"/>
      <c r="AW200" s="263"/>
      <c r="AX200" s="263"/>
      <c r="AY200" s="263"/>
      <c r="AZ200" s="263"/>
      <c r="BA200" s="263"/>
      <c r="BB200" s="263"/>
      <c r="BC200" s="263"/>
      <c r="BD200" s="264"/>
      <c r="BE200" s="263"/>
      <c r="BF200" s="263"/>
      <c r="BG200" s="263"/>
      <c r="BH200" s="263"/>
      <c r="BI200" s="263"/>
      <c r="BJ200" s="404">
        <f>altaz(J2000_Bas,$O200,$M200,DecLat,DecLong,2)</f>
        <v>60.912344192907931</v>
      </c>
      <c r="BK200" s="378" t="s">
        <v>289</v>
      </c>
      <c r="BL200" s="379">
        <f>IF((2*G200)/60&lt;0.2,0.2,(2*G200)/60)</f>
        <v>0.2</v>
      </c>
      <c r="BM200" s="380">
        <f>MOD((50000+AD200-$B$3+(0/24)),1)</f>
        <v>0.26622984749701573</v>
      </c>
      <c r="BN200" s="381"/>
      <c r="BO200" s="382">
        <v>200</v>
      </c>
    </row>
    <row r="201" spans="1:67" s="24" customFormat="1" ht="15" customHeight="1" x14ac:dyDescent="0.25">
      <c r="A201" s="288" t="s">
        <v>290</v>
      </c>
      <c r="B201" s="241" t="str">
        <f>HYPERLINK(CONCATENATE($AT$3,BK201,$AU$3),$AV$3)</f>
        <v>S</v>
      </c>
      <c r="C201" s="242" t="str">
        <f>HYPERLINK(CONCATENATE($AT$4,BK201,$AU$4,BL201),$AV$4)</f>
        <v>A</v>
      </c>
      <c r="D201" s="243" t="s">
        <v>5638</v>
      </c>
      <c r="E201" s="244" t="s">
        <v>5192</v>
      </c>
      <c r="F201" s="269" t="s">
        <v>8895</v>
      </c>
      <c r="G201" s="273">
        <v>1.3</v>
      </c>
      <c r="H201" s="283">
        <v>460</v>
      </c>
      <c r="I201" s="246">
        <v>180</v>
      </c>
      <c r="J201" s="246">
        <v>2</v>
      </c>
      <c r="K201" s="247" t="s">
        <v>3864</v>
      </c>
      <c r="L201" s="248">
        <v>160511</v>
      </c>
      <c r="M201" s="249">
        <f>15*(LEFT(TEXT($L201,"000000"),2)+(MID(TEXT($L201,"000000"),3,2)/60)+(RIGHT(TEXT($L201,"000000"),2)/3600))</f>
        <v>241.29583333333332</v>
      </c>
      <c r="N201" s="250">
        <v>174500</v>
      </c>
      <c r="O201" s="251">
        <f>IF($N201&gt;0,(LEFT(TEXT($N201,"000000"),2)+(MID(TEXT($N201,"000000"),3,2)/60)+(RIGHT(TEXT($N201,"000000"),2)/3600)),-(MID(TEXT($N201,"000000"),2,2)+(MID(TEXT($N201,"000000"),4,2)/60)+(RIGHT(TEXT($N201,"000000"),2)/3600)))</f>
        <v>17.75</v>
      </c>
      <c r="P201" s="252" t="s">
        <v>111</v>
      </c>
      <c r="Q201" s="253"/>
      <c r="R201" s="247" t="s">
        <v>3635</v>
      </c>
      <c r="S201" s="272" t="s">
        <v>4192</v>
      </c>
      <c r="T201" s="273">
        <v>13.9</v>
      </c>
      <c r="U201" s="289">
        <v>21.69</v>
      </c>
      <c r="V201" s="280">
        <v>80</v>
      </c>
      <c r="W201" s="244"/>
      <c r="X201" s="244"/>
      <c r="Y201" s="362"/>
      <c r="Z201" s="257">
        <f>altaz(J2000_Bas,$O201,$M201,DecLat,DecLong,1)</f>
        <v>47.495026716615442</v>
      </c>
      <c r="AA201" s="257">
        <f>altaz((J2000_Bas+(2*0.04167)),$O201,$M201,DecLat,DecLong,1)</f>
        <v>21.788239658613733</v>
      </c>
      <c r="AB201" s="257">
        <f>altaz((J2000_Bas+(4*0.04167)),$O201,$M201,DecLat,DecLong,1)</f>
        <v>-3.0131267498480185</v>
      </c>
      <c r="AC201" s="257">
        <f>altaz((J2000_Bas+(6*0.04167)),$O201,$M201,DecLat,DecLong,1)</f>
        <v>-24.824480734046446</v>
      </c>
      <c r="AD201" s="258">
        <f>1+ transit((J2000_Bas-1),$O201,$M201,DecLat,DecLong)/360 + (GMTOffset/24) + (IF(DST="Y", 1, 0)/24)</f>
        <v>1.6631660973067912</v>
      </c>
      <c r="AE201" s="259">
        <f>DATE(2001,9,21)+(M201/360)*365 - (360*((DecLong/360)- (GMTOffset/24) ))</f>
        <v>37404.647164351853</v>
      </c>
      <c r="AF201" s="260">
        <f>IF(DecLat&gt;0,IF((90 - (DecLat-O201))&gt;90, (90 - (O201-DecLat)), (90 - (DecLat-O201))),IF((90 + (DecLat-O201))&gt;90, (90 + (O201-DecLat)), (90 + (DecLat-O201))))</f>
        <v>76.75</v>
      </c>
      <c r="AG201" s="257">
        <f>angularseperation(MoonRA,MoonDec,$M201,$O201)</f>
        <v>45.4919254372249</v>
      </c>
      <c r="AH201" s="261">
        <f ca="1">MIN(100,IF($O$5&gt;80,0+30*($AG201/100),IF($O$5&gt;70,0+50*($AG201/100),IF($O$5&gt;60,5+50*($AG201/100),IF($O$5&gt;50,10+60*($AG201/100),IF($O$5&gt;40,15+70*($AG201/100),IF($O$5&gt;30,20+70*($AG201/100),IF($O$5&gt;20,40+55*($AG201/100),(80+(20-$O$5)+30*($AG201/100))))))))))</f>
        <v>96.918637975317893</v>
      </c>
      <c r="AI201" s="262">
        <v>6045</v>
      </c>
      <c r="AJ201" s="262"/>
      <c r="AK201" s="262"/>
      <c r="AL201" s="263"/>
      <c r="AM201" s="264"/>
      <c r="AN201" s="263">
        <v>71</v>
      </c>
      <c r="AO201" s="263"/>
      <c r="AP201" s="265"/>
      <c r="AQ201" s="266">
        <v>10177</v>
      </c>
      <c r="AR201" s="267">
        <v>57031</v>
      </c>
      <c r="AS201" s="263"/>
      <c r="AT201" s="263"/>
      <c r="AU201" s="263"/>
      <c r="AV201" s="264"/>
      <c r="AW201" s="263"/>
      <c r="AX201" s="263"/>
      <c r="AY201" s="263"/>
      <c r="AZ201" s="263"/>
      <c r="BA201" s="263"/>
      <c r="BB201" s="263"/>
      <c r="BC201" s="263"/>
      <c r="BD201" s="264"/>
      <c r="BE201" s="263"/>
      <c r="BF201" s="263"/>
      <c r="BG201" s="263"/>
      <c r="BH201" s="263"/>
      <c r="BI201" s="263"/>
      <c r="BJ201" s="404">
        <f>altaz(J2000_Bas,$O201,$M201,DecLat,DecLong,2)</f>
        <v>262.57609673890357</v>
      </c>
      <c r="BK201" s="378" t="s">
        <v>290</v>
      </c>
      <c r="BL201" s="379">
        <f>IF((2*G201)/60&lt;0.2,0.2,(2*G201)/60)</f>
        <v>0.2</v>
      </c>
      <c r="BM201" s="380">
        <f>MOD((50000+AD201-$B$3+(0/24)),1)</f>
        <v>0.87853302701114444</v>
      </c>
      <c r="BN201" s="381" t="s">
        <v>9223</v>
      </c>
      <c r="BO201" s="382">
        <v>201</v>
      </c>
    </row>
    <row r="202" spans="1:67" s="24" customFormat="1" ht="15" customHeight="1" x14ac:dyDescent="0.25">
      <c r="A202" s="288" t="s">
        <v>291</v>
      </c>
      <c r="B202" s="241" t="str">
        <f>HYPERLINK(CONCATENATE($AT$3,BK202,$AU$3),$AV$3)</f>
        <v>S</v>
      </c>
      <c r="C202" s="242" t="str">
        <f>HYPERLINK(CONCATENATE($AT$4,BK202,$AU$4,BL202),$AV$4)</f>
        <v>A</v>
      </c>
      <c r="D202" s="243" t="s">
        <v>5638</v>
      </c>
      <c r="E202" s="244" t="s">
        <v>5192</v>
      </c>
      <c r="F202" s="269" t="s">
        <v>8898</v>
      </c>
      <c r="G202" s="273">
        <v>1.6</v>
      </c>
      <c r="H202" s="283">
        <v>150</v>
      </c>
      <c r="I202" s="246">
        <v>70</v>
      </c>
      <c r="J202" s="246">
        <v>2</v>
      </c>
      <c r="K202" s="247" t="s">
        <v>3865</v>
      </c>
      <c r="L202" s="248">
        <v>154653</v>
      </c>
      <c r="M202" s="249">
        <f>15*(LEFT(TEXT($L202,"000000"),2)+(MID(TEXT($L202,"000000"),3,2)/60)+(RIGHT(TEXT($L202,"000000"),2)/3600))</f>
        <v>236.72083333333333</v>
      </c>
      <c r="N202" s="250">
        <v>175200</v>
      </c>
      <c r="O202" s="251">
        <f>IF($N202&gt;0,(LEFT(TEXT($N202,"000000"),2)+(MID(TEXT($N202,"000000"),3,2)/60)+(RIGHT(TEXT($N202,"000000"),2)/3600)),-(MID(TEXT($N202,"000000"),2,2)+(MID(TEXT($N202,"000000"),4,2)/60)+(RIGHT(TEXT($N202,"000000"),2)/3600)))</f>
        <v>17.866666666666667</v>
      </c>
      <c r="P202" s="252" t="s">
        <v>115</v>
      </c>
      <c r="Q202" s="253"/>
      <c r="R202" s="247" t="s">
        <v>3633</v>
      </c>
      <c r="S202" s="272" t="s">
        <v>3293</v>
      </c>
      <c r="T202" s="273">
        <v>14.8</v>
      </c>
      <c r="U202" s="289">
        <v>20.79</v>
      </c>
      <c r="V202" s="280">
        <v>50</v>
      </c>
      <c r="W202" s="244"/>
      <c r="X202" s="244"/>
      <c r="Y202" s="362"/>
      <c r="Z202" s="257">
        <f>altaz(J2000_Bas,$O202,$M202,DecLat,DecLong,1)</f>
        <v>43.646919115563882</v>
      </c>
      <c r="AA202" s="257">
        <f>altaz((J2000_Bas+(2*0.04167)),$O202,$M202,DecLat,DecLong,1)</f>
        <v>17.972417314093232</v>
      </c>
      <c r="AB202" s="257">
        <f>altaz((J2000_Bas+(4*0.04167)),$O202,$M202,DecLat,DecLong,1)</f>
        <v>-6.5260333649410853</v>
      </c>
      <c r="AC202" s="257">
        <f>altaz((J2000_Bas+(6*0.04167)),$O202,$M202,DecLat,DecLong,1)</f>
        <v>-27.559746533249545</v>
      </c>
      <c r="AD202" s="258">
        <f>1+ transit((J2000_Bas-1),$O202,$M202,DecLat,DecLong)/360 + (GMTOffset/24) + (IF(DST="Y", 1, 0)/24)</f>
        <v>1.6504577652442913</v>
      </c>
      <c r="AE202" s="259">
        <f>DATE(2001,9,21)+(M202/360)*365 - (360*((DecLong/360)- (GMTOffset/24) ))</f>
        <v>37400.008622685185</v>
      </c>
      <c r="AF202" s="260">
        <f>IF(DecLat&gt;0,IF((90 - (DecLat-O202))&gt;90, (90 - (O202-DecLat)), (90 - (DecLat-O202))),IF((90 + (DecLat-O202))&gt;90, (90 + (O202-DecLat)), (90 + (DecLat-O202))))</f>
        <v>76.866666666666674</v>
      </c>
      <c r="AG202" s="257">
        <f>angularseperation(MoonRA,MoonDec,$M202,$O202)</f>
        <v>46.562737701771596</v>
      </c>
      <c r="AH202" s="261">
        <f ca="1">MIN(100,IF($O$5&gt;80,0+30*($AG202/100),IF($O$5&gt;70,0+50*($AG202/100),IF($O$5&gt;60,5+50*($AG202/100),IF($O$5&gt;50,10+60*($AG202/100),IF($O$5&gt;40,15+70*($AG202/100),IF($O$5&gt;30,20+70*($AG202/100),IF($O$5&gt;20,40+55*($AG202/100),(80+(20-$O$5)+30*($AG202/100))))))))))</f>
        <v>97.239881654681909</v>
      </c>
      <c r="AI202" s="262">
        <v>5994</v>
      </c>
      <c r="AJ202" s="262"/>
      <c r="AK202" s="262"/>
      <c r="AL202" s="263"/>
      <c r="AM202" s="264"/>
      <c r="AN202" s="263">
        <v>72</v>
      </c>
      <c r="AO202" s="263"/>
      <c r="AP202" s="265"/>
      <c r="AQ202" s="266">
        <v>10033</v>
      </c>
      <c r="AR202" s="267">
        <v>56020</v>
      </c>
      <c r="AS202" s="263"/>
      <c r="AT202" s="263"/>
      <c r="AU202" s="263"/>
      <c r="AV202" s="264"/>
      <c r="AW202" s="263"/>
      <c r="AX202" s="263"/>
      <c r="AY202" s="263"/>
      <c r="AZ202" s="263"/>
      <c r="BA202" s="263"/>
      <c r="BB202" s="263"/>
      <c r="BC202" s="263"/>
      <c r="BD202" s="264"/>
      <c r="BE202" s="263"/>
      <c r="BF202" s="263"/>
      <c r="BG202" s="263"/>
      <c r="BH202" s="263"/>
      <c r="BI202" s="263"/>
      <c r="BJ202" s="404">
        <f>altaz(J2000_Bas,$O202,$M202,DecLat,DecLong,2)</f>
        <v>265.49830840854986</v>
      </c>
      <c r="BK202" s="378" t="s">
        <v>291</v>
      </c>
      <c r="BL202" s="379">
        <f>IF((2*G202)/60&lt;0.2,0.2,(2*G202)/60)</f>
        <v>0.2</v>
      </c>
      <c r="BM202" s="380">
        <f>MOD((50000+AD202-$B$3+(0/24)),1)</f>
        <v>0.86582469494896941</v>
      </c>
      <c r="BN202" s="381"/>
      <c r="BO202" s="382">
        <v>202</v>
      </c>
    </row>
    <row r="203" spans="1:67" s="24" customFormat="1" ht="15" customHeight="1" x14ac:dyDescent="0.25">
      <c r="A203" s="288" t="s">
        <v>292</v>
      </c>
      <c r="B203" s="241" t="str">
        <f>HYPERLINK(CONCATENATE($AT$3,BK203,$AU$3),$AV$3)</f>
        <v>S</v>
      </c>
      <c r="C203" s="242" t="str">
        <f>HYPERLINK(CONCATENATE($AT$4,BK203,$AU$4,BL203),$AV$4)</f>
        <v>A</v>
      </c>
      <c r="D203" s="243" t="s">
        <v>5638</v>
      </c>
      <c r="E203" s="244" t="s">
        <v>5192</v>
      </c>
      <c r="F203" s="269" t="s">
        <v>8890</v>
      </c>
      <c r="G203" s="273">
        <v>1.3</v>
      </c>
      <c r="H203" s="283">
        <v>440</v>
      </c>
      <c r="I203" s="246">
        <v>170</v>
      </c>
      <c r="J203" s="246">
        <v>2</v>
      </c>
      <c r="K203" s="247" t="s">
        <v>3866</v>
      </c>
      <c r="L203" s="248">
        <v>163508</v>
      </c>
      <c r="M203" s="249">
        <f>15*(LEFT(TEXT($L203,"000000"),2)+(MID(TEXT($L203,"000000"),3,2)/60)+(RIGHT(TEXT($L203,"000000"),2)/3600))</f>
        <v>248.78333333333333</v>
      </c>
      <c r="N203" s="250">
        <v>461200</v>
      </c>
      <c r="O203" s="251">
        <f>IF($N203&gt;0,(LEFT(TEXT($N203,"000000"),2)+(MID(TEXT($N203,"000000"),3,2)/60)+(RIGHT(TEXT($N203,"000000"),2)/3600)),-(MID(TEXT($N203,"000000"),2,2)+(MID(TEXT($N203,"000000"),4,2)/60)+(RIGHT(TEXT($N203,"000000"),2)/3600)))</f>
        <v>46.2</v>
      </c>
      <c r="P203" s="252" t="s">
        <v>111</v>
      </c>
      <c r="Q203" s="253"/>
      <c r="R203" s="247" t="s">
        <v>3726</v>
      </c>
      <c r="S203" s="272" t="s">
        <v>3293</v>
      </c>
      <c r="T203" s="273">
        <v>14</v>
      </c>
      <c r="U203" s="289">
        <v>23.09</v>
      </c>
      <c r="V203" s="280">
        <v>45</v>
      </c>
      <c r="W203" s="244"/>
      <c r="X203" s="244"/>
      <c r="Y203" s="362"/>
      <c r="Z203" s="257">
        <f>altaz(J2000_Bas,$O203,$M203,DecLat,DecLong,1)</f>
        <v>57.584233114872532</v>
      </c>
      <c r="AA203" s="257">
        <f>altaz((J2000_Bas+(2*0.04167)),$O203,$M203,DecLat,DecLong,1)</f>
        <v>36.916367194837562</v>
      </c>
      <c r="AB203" s="257">
        <f>altaz((J2000_Bas+(4*0.04167)),$O203,$M203,DecLat,DecLong,1)</f>
        <v>17.183991524429594</v>
      </c>
      <c r="AC203" s="257">
        <f>altaz((J2000_Bas+(6*0.04167)),$O203,$M203,DecLat,DecLong,1)</f>
        <v>0.61817370752474565</v>
      </c>
      <c r="AD203" s="258">
        <f>1+ transit((J2000_Bas-1),$O203,$M203,DecLat,DecLong)/360 + (GMTOffset/24) + (IF(DST="Y", 1, 0)/24)</f>
        <v>1.6839647063380414</v>
      </c>
      <c r="AE203" s="259">
        <f>DATE(2001,9,21)+(M203/360)*365 - (360*((DecLong/360)- (GMTOffset/24) ))</f>
        <v>37412.238657407404</v>
      </c>
      <c r="AF203" s="260">
        <f>IF(DecLat&gt;0,IF((90 - (DecLat-O203))&gt;90, (90 - (O203-DecLat)), (90 - (DecLat-O203))),IF((90 + (DecLat-O203))&gt;90, (90 + (O203-DecLat)), (90 + (DecLat-O203))))</f>
        <v>74.8</v>
      </c>
      <c r="AG203" s="257">
        <f>angularseperation(MoonRA,MoonDec,$M203,$O203)</f>
        <v>73.285273904743065</v>
      </c>
      <c r="AH203" s="261">
        <f ca="1">MIN(100,IF($O$5&gt;80,0+30*($AG203/100),IF($O$5&gt;70,0+50*($AG203/100),IF($O$5&gt;60,5+50*($AG203/100),IF($O$5&gt;50,10+60*($AG203/100),IF($O$5&gt;40,15+70*($AG203/100),IF($O$5&gt;30,20+70*($AG203/100),IF($O$5&gt;20,40+55*($AG203/100),(80+(20-$O$5)+30*($AG203/100))))))))))</f>
        <v>100</v>
      </c>
      <c r="AI203" s="262"/>
      <c r="AJ203" s="262">
        <v>1222</v>
      </c>
      <c r="AK203" s="262"/>
      <c r="AL203" s="263"/>
      <c r="AM203" s="264"/>
      <c r="AN203" s="263">
        <v>73</v>
      </c>
      <c r="AO203" s="263"/>
      <c r="AP203" s="265"/>
      <c r="AQ203" s="266">
        <v>10461</v>
      </c>
      <c r="AR203" s="267">
        <v>58544</v>
      </c>
      <c r="AS203" s="263"/>
      <c r="AT203" s="263"/>
      <c r="AU203" s="263"/>
      <c r="AV203" s="264"/>
      <c r="AW203" s="263"/>
      <c r="AX203" s="263"/>
      <c r="AY203" s="263"/>
      <c r="AZ203" s="263"/>
      <c r="BA203" s="263"/>
      <c r="BB203" s="263"/>
      <c r="BC203" s="263"/>
      <c r="BD203" s="264"/>
      <c r="BE203" s="263"/>
      <c r="BF203" s="263"/>
      <c r="BG203" s="263"/>
      <c r="BH203" s="263"/>
      <c r="BI203" s="263"/>
      <c r="BJ203" s="404">
        <f>altaz(J2000_Bas,$O203,$M203,DecLat,DecLong,2)</f>
        <v>308.64904036425594</v>
      </c>
      <c r="BK203" s="378" t="s">
        <v>292</v>
      </c>
      <c r="BL203" s="379">
        <f>IF((2*G203)/60&lt;0.2,0.2,(2*G203)/60)</f>
        <v>0.2</v>
      </c>
      <c r="BM203" s="380">
        <f>MOD((50000+AD203-$B$3+(0/24)),1)</f>
        <v>0.89933163604291622</v>
      </c>
      <c r="BN203" s="381" t="s">
        <v>8795</v>
      </c>
      <c r="BO203" s="382">
        <v>203</v>
      </c>
    </row>
    <row r="204" spans="1:67" s="24" customFormat="1" ht="15" customHeight="1" x14ac:dyDescent="0.25">
      <c r="A204" s="288" t="s">
        <v>293</v>
      </c>
      <c r="B204" s="241" t="str">
        <f>HYPERLINK(CONCATENATE($AT$3,BK204,$AU$3),$AV$3)</f>
        <v>S</v>
      </c>
      <c r="C204" s="242" t="str">
        <f>HYPERLINK(CONCATENATE($AT$4,BK204,$AU$4,BL204),$AV$4)</f>
        <v>A</v>
      </c>
      <c r="D204" s="243" t="s">
        <v>5638</v>
      </c>
      <c r="E204" s="244" t="s">
        <v>5192</v>
      </c>
      <c r="F204" s="269" t="s">
        <v>8894</v>
      </c>
      <c r="G204" s="273">
        <v>1.3</v>
      </c>
      <c r="H204" s="283">
        <v>260</v>
      </c>
      <c r="I204" s="246">
        <v>100</v>
      </c>
      <c r="J204" s="246">
        <v>2</v>
      </c>
      <c r="K204" s="247" t="s">
        <v>3867</v>
      </c>
      <c r="L204" s="248">
        <v>20821</v>
      </c>
      <c r="M204" s="249">
        <f>15*(LEFT(TEXT($L204,"000000"),2)+(MID(TEXT($L204,"000000"),3,2)/60)+(RIGHT(TEXT($L204,"000000"),2)/3600))</f>
        <v>32.087499999999999</v>
      </c>
      <c r="N204" s="250">
        <v>412800</v>
      </c>
      <c r="O204" s="251">
        <f>IF($N204&gt;0,(LEFT(TEXT($N204,"000000"),2)+(MID(TEXT($N204,"000000"),3,2)/60)+(RIGHT(TEXT($N204,"000000"),2)/3600)),-(MID(TEXT($N204,"000000"),2,2)+(MID(TEXT($N204,"000000"),4,2)/60)+(RIGHT(TEXT($N204,"000000"),2)/3600)))</f>
        <v>41.466666666666669</v>
      </c>
      <c r="P204" s="252" t="s">
        <v>36</v>
      </c>
      <c r="Q204" s="253"/>
      <c r="R204" s="247" t="s">
        <v>3293</v>
      </c>
      <c r="S204" s="272" t="s">
        <v>3293</v>
      </c>
      <c r="T204" s="273">
        <v>14</v>
      </c>
      <c r="U204" s="274"/>
      <c r="V204" s="280">
        <v>15</v>
      </c>
      <c r="W204" s="244"/>
      <c r="X204" s="244"/>
      <c r="Y204" s="362"/>
      <c r="Z204" s="257">
        <f>altaz(J2000_Bas,$O204,$M204,DecLat,DecLong,1)</f>
        <v>9.3863461489071387</v>
      </c>
      <c r="AA204" s="257">
        <f>altaz((J2000_Bas+(2*0.04167)),$O204,$M204,DecLat,DecLong,1)</f>
        <v>29.764454640653287</v>
      </c>
      <c r="AB204" s="257">
        <f>altaz((J2000_Bas+(4*0.04167)),$O204,$M204,DecLat,DecLong,1)</f>
        <v>51.99110887495037</v>
      </c>
      <c r="AC204" s="257">
        <f>altaz((J2000_Bas+(6*0.04167)),$O204,$M204,DecLat,DecLong,1)</f>
        <v>73.535903925003524</v>
      </c>
      <c r="AD204" s="258">
        <f>1+ transit((J2000_Bas-1),$O204,$M204,DecLat,DecLong)/360 + (GMTOffset/24) + (IF(DST="Y", 1, 0)/24)</f>
        <v>1.0820318961609579</v>
      </c>
      <c r="AE204" s="259">
        <f>DATE(2001,9,21)+(M204/360)*365 - (360*((DecLong/360)- (GMTOffset/24) ))</f>
        <v>37192.533159722225</v>
      </c>
      <c r="AF204" s="260">
        <f>IF(DecLat&gt;0,IF((90 - (DecLat-O204))&gt;90, (90 - (O204-DecLat)), (90 - (DecLat-O204))),IF((90 + (DecLat-O204))&gt;90, (90 + (O204-DecLat)), (90 + (DecLat-O204))))</f>
        <v>79.533333333333331</v>
      </c>
      <c r="AG204" s="257">
        <f>angularseperation(MoonRA,MoonDec,$M204,$O204)</f>
        <v>146.43206883777148</v>
      </c>
      <c r="AH204" s="261">
        <f ca="1">MIN(100,IF($O$5&gt;80,0+30*($AG204/100),IF($O$5&gt;70,0+50*($AG204/100),IF($O$5&gt;60,5+50*($AG204/100),IF($O$5&gt;50,10+60*($AG204/100),IF($O$5&gt;40,15+70*($AG204/100),IF($O$5&gt;30,20+70*($AG204/100),IF($O$5&gt;20,40+55*($AG204/100),(80+(20-$O$5)+30*($AG204/100))))))))))</f>
        <v>100</v>
      </c>
      <c r="AI204" s="262"/>
      <c r="AJ204" s="262"/>
      <c r="AK204" s="262"/>
      <c r="AL204" s="263"/>
      <c r="AM204" s="264"/>
      <c r="AN204" s="263">
        <v>74</v>
      </c>
      <c r="AO204" s="263"/>
      <c r="AP204" s="265"/>
      <c r="AQ204" s="266">
        <v>1626</v>
      </c>
      <c r="AR204" s="267">
        <v>8161</v>
      </c>
      <c r="AS204" s="263"/>
      <c r="AT204" s="263"/>
      <c r="AU204" s="263"/>
      <c r="AV204" s="264"/>
      <c r="AW204" s="263"/>
      <c r="AX204" s="263"/>
      <c r="AY204" s="263"/>
      <c r="AZ204" s="263"/>
      <c r="BA204" s="263"/>
      <c r="BB204" s="263"/>
      <c r="BC204" s="263"/>
      <c r="BD204" s="264"/>
      <c r="BE204" s="263"/>
      <c r="BF204" s="263"/>
      <c r="BG204" s="263"/>
      <c r="BH204" s="263"/>
      <c r="BI204" s="263"/>
      <c r="BJ204" s="404">
        <f>altaz(J2000_Bas,$O204,$M204,DecLat,DecLong,2)</f>
        <v>46.867709370650218</v>
      </c>
      <c r="BK204" s="378" t="s">
        <v>293</v>
      </c>
      <c r="BL204" s="379">
        <f>IF((2*G204)/60&lt;0.2,0.2,(2*G204)/60)</f>
        <v>0.2</v>
      </c>
      <c r="BM204" s="380">
        <f>MOD((50000+AD204-$B$3+(0/24)),1)</f>
        <v>0.29739882586727617</v>
      </c>
      <c r="BN204" s="381"/>
      <c r="BO204" s="382">
        <v>204</v>
      </c>
    </row>
    <row r="205" spans="1:67" s="24" customFormat="1" ht="15" customHeight="1" x14ac:dyDescent="0.25">
      <c r="A205" s="288" t="s">
        <v>294</v>
      </c>
      <c r="B205" s="241" t="str">
        <f>HYPERLINK(CONCATENATE($AT$3,BK205,$AU$3),$AV$3)</f>
        <v>S</v>
      </c>
      <c r="C205" s="242" t="str">
        <f>HYPERLINK(CONCATENATE($AT$4,BK205,$AU$4,BL205),$AV$4)</f>
        <v>A</v>
      </c>
      <c r="D205" s="243" t="s">
        <v>5638</v>
      </c>
      <c r="E205" s="244" t="s">
        <v>5337</v>
      </c>
      <c r="F205" s="269" t="s">
        <v>3310</v>
      </c>
      <c r="G205" s="270">
        <v>0.9</v>
      </c>
      <c r="H205" s="283">
        <v>500</v>
      </c>
      <c r="I205" s="246">
        <v>130</v>
      </c>
      <c r="J205" s="246">
        <v>1</v>
      </c>
      <c r="K205" s="247" t="s">
        <v>8503</v>
      </c>
      <c r="L205" s="248">
        <v>15118</v>
      </c>
      <c r="M205" s="249">
        <f>15*(LEFT(TEXT($L205,"000000"),2)+(MID(TEXT($L205,"000000"),3,2)/60)+(RIGHT(TEXT($L205,"000000"),2)/3600))</f>
        <v>27.824999999999999</v>
      </c>
      <c r="N205" s="250">
        <v>-40300</v>
      </c>
      <c r="O205" s="251">
        <f>IF($N205&gt;0,(LEFT(TEXT($N205,"000000"),2)+(MID(TEXT($N205,"000000"),3,2)/60)+(RIGHT(TEXT($N205,"000000"),2)/3600)),-(MID(TEXT($N205,"000000"),2,2)+(MID(TEXT($N205,"000000"),4,2)/60)+(RIGHT(TEXT($N205,"000000"),2)/3600)))</f>
        <v>-4.05</v>
      </c>
      <c r="P205" s="252" t="s">
        <v>75</v>
      </c>
      <c r="Q205" s="253"/>
      <c r="R205" s="247" t="s">
        <v>3472</v>
      </c>
      <c r="S205" s="272" t="s">
        <v>3293</v>
      </c>
      <c r="T205" s="273">
        <v>13</v>
      </c>
      <c r="U205" s="289">
        <v>22.490000000000002</v>
      </c>
      <c r="V205" s="280"/>
      <c r="W205" s="244"/>
      <c r="X205" s="244"/>
      <c r="Y205" s="362"/>
      <c r="Z205" s="257">
        <f>altaz(J2000_Bas,$O205,$M205,DecLat,DecLong,1)</f>
        <v>-12.213318464816766</v>
      </c>
      <c r="AA205" s="257">
        <f>altaz((J2000_Bas+(2*0.04167)),$O205,$M205,DecLat,DecLong,1)</f>
        <v>13.388952755782887</v>
      </c>
      <c r="AB205" s="257">
        <f>altaz((J2000_Bas+(4*0.04167)),$O205,$M205,DecLat,DecLong,1)</f>
        <v>37.047979501694869</v>
      </c>
      <c r="AC205" s="257">
        <f>altaz((J2000_Bas+(6*0.04167)),$O205,$M205,DecLat,DecLong,1)</f>
        <v>53.252618539237289</v>
      </c>
      <c r="AD205" s="258">
        <f>1+ transit((J2000_Bas-1),$O205,$M205,DecLat,DecLong)/360 + (GMTOffset/24) + (IF(DST="Y", 1, 0)/24)</f>
        <v>1.0701916195672079</v>
      </c>
      <c r="AE205" s="259">
        <f>DATE(2001,9,21)+(M205/360)*365 - (360*((DecLong/360)- (GMTOffset/24) ))</f>
        <v>37188.211458333331</v>
      </c>
      <c r="AF205" s="260">
        <f>IF(DecLat&gt;0,IF((90 - (DecLat-O205))&gt;90, (90 - (O205-DecLat)), (90 - (DecLat-O205))),IF((90 + (DecLat-O205))&gt;90, (90 + (O205-DecLat)), (90 + (DecLat-O205))))</f>
        <v>54.95</v>
      </c>
      <c r="AG205" s="257">
        <f>angularseperation(MoonRA,MoonDec,$M205,$O205)</f>
        <v>129.33517707624907</v>
      </c>
      <c r="AH205" s="261">
        <f ca="1">MIN(100,IF($O$5&gt;80,0+30*($AG205/100),IF($O$5&gt;70,0+50*($AG205/100),IF($O$5&gt;60,5+50*($AG205/100),IF($O$5&gt;50,10+60*($AG205/100),IF($O$5&gt;40,15+70*($AG205/100),IF($O$5&gt;30,20+70*($AG205/100),IF($O$5&gt;20,40+55*($AG205/100),(80+(20-$O$5)+30*($AG205/100))))))))))</f>
        <v>100</v>
      </c>
      <c r="AI205" s="262">
        <v>702</v>
      </c>
      <c r="AJ205" s="262"/>
      <c r="AK205" s="262"/>
      <c r="AL205" s="263"/>
      <c r="AM205" s="264"/>
      <c r="AN205" s="263">
        <v>75</v>
      </c>
      <c r="AO205" s="263"/>
      <c r="AP205" s="265"/>
      <c r="AQ205" s="266"/>
      <c r="AR205" s="267">
        <v>6852</v>
      </c>
      <c r="AS205" s="263"/>
      <c r="AT205" s="263"/>
      <c r="AU205" s="263"/>
      <c r="AV205" s="264"/>
      <c r="AW205" s="263"/>
      <c r="AX205" s="263"/>
      <c r="AY205" s="263"/>
      <c r="AZ205" s="263"/>
      <c r="BA205" s="263"/>
      <c r="BB205" s="263"/>
      <c r="BC205" s="263"/>
      <c r="BD205" s="264"/>
      <c r="BE205" s="263"/>
      <c r="BF205" s="263"/>
      <c r="BG205" s="263"/>
      <c r="BH205" s="263"/>
      <c r="BI205" s="263"/>
      <c r="BJ205" s="404">
        <f>altaz(J2000_Bas,$O205,$M205,DecLat,DecLong,2)</f>
        <v>87.377630756703951</v>
      </c>
      <c r="BK205" s="378" t="s">
        <v>294</v>
      </c>
      <c r="BL205" s="379">
        <f>IF((2*G205)/60&lt;0.2,0.2,(2*G205)/60)</f>
        <v>0.2</v>
      </c>
      <c r="BM205" s="380">
        <f>MOD((50000+AD205-$B$3+(0/24)),1)</f>
        <v>0.28555854927253677</v>
      </c>
      <c r="BN205" s="381"/>
      <c r="BO205" s="382">
        <v>205</v>
      </c>
    </row>
    <row r="206" spans="1:67" s="24" customFormat="1" ht="15" customHeight="1" x14ac:dyDescent="0.25">
      <c r="A206" s="288" t="s">
        <v>295</v>
      </c>
      <c r="B206" s="241" t="str">
        <f>HYPERLINK(CONCATENATE($AT$3,BK206,$AU$3),$AV$3)</f>
        <v>S</v>
      </c>
      <c r="C206" s="242" t="str">
        <f>HYPERLINK(CONCATENATE($AT$4,BK206,$AU$4,BL206),$AV$4)</f>
        <v>A</v>
      </c>
      <c r="D206" s="243" t="s">
        <v>5638</v>
      </c>
      <c r="E206" s="244" t="s">
        <v>5192</v>
      </c>
      <c r="F206" s="269" t="s">
        <v>8899</v>
      </c>
      <c r="G206" s="273">
        <v>1</v>
      </c>
      <c r="H206" s="283">
        <v>270</v>
      </c>
      <c r="I206" s="246">
        <v>75</v>
      </c>
      <c r="J206" s="246">
        <v>2</v>
      </c>
      <c r="K206" s="247" t="s">
        <v>7263</v>
      </c>
      <c r="L206" s="248">
        <v>141007</v>
      </c>
      <c r="M206" s="249">
        <f>15*(LEFT(TEXT($L206,"000000"),2)+(MID(TEXT($L206,"000000"),3,2)/60)+(RIGHT(TEXT($L206,"000000"),2)/3600))</f>
        <v>212.52916666666664</v>
      </c>
      <c r="N206" s="250">
        <v>173600</v>
      </c>
      <c r="O206" s="251">
        <f>IF($N206&gt;0,(LEFT(TEXT($N206,"000000"),2)+(MID(TEXT($N206,"000000"),3,2)/60)+(RIGHT(TEXT($N206,"000000"),2)/3600)),-(MID(TEXT($N206,"000000"),2,2)+(MID(TEXT($N206,"000000"),4,2)/60)+(RIGHT(TEXT($N206,"000000"),2)/3600)))</f>
        <v>17.600000000000001</v>
      </c>
      <c r="P206" s="252" t="s">
        <v>260</v>
      </c>
      <c r="Q206" s="253"/>
      <c r="R206" s="247"/>
      <c r="S206" s="272" t="s">
        <v>336</v>
      </c>
      <c r="T206" s="273">
        <v>14.7</v>
      </c>
      <c r="U206" s="289">
        <v>22.69</v>
      </c>
      <c r="V206" s="280">
        <v>10</v>
      </c>
      <c r="W206" s="244"/>
      <c r="X206" s="244"/>
      <c r="Y206" s="362"/>
      <c r="Z206" s="257">
        <f>altaz(J2000_Bas,$O206,$M206,DecLat,DecLong,1)</f>
        <v>22.839302357541012</v>
      </c>
      <c r="AA206" s="257">
        <f>altaz((J2000_Bas+(2*0.04167)),$O206,$M206,DecLat,DecLong,1)</f>
        <v>-2.0520453061053985</v>
      </c>
      <c r="AB206" s="257">
        <f>altaz((J2000_Bas+(4*0.04167)),$O206,$M206,DecLat,DecLong,1)</f>
        <v>-24.089090516367367</v>
      </c>
      <c r="AC206" s="257">
        <f>altaz((J2000_Bas+(6*0.04167)),$O206,$M206,DecLat,DecLong,1)</f>
        <v>-38.945388518782288</v>
      </c>
      <c r="AD206" s="258">
        <f>1+ transit((J2000_Bas-1),$O206,$M206,DecLat,DecLong)/360 + (GMTOffset/24) + (IF(DST="Y", 1, 0)/24)</f>
        <v>1.5832586978901246</v>
      </c>
      <c r="AE206" s="259">
        <f>DATE(2001,9,21)+(M206/360)*365 - (360*((DecLong/360)- (GMTOffset/24) ))</f>
        <v>37375.48096064815</v>
      </c>
      <c r="AF206" s="260">
        <f>IF(DecLat&gt;0,IF((90 - (DecLat-O206))&gt;90, (90 - (O206-DecLat)), (90 - (DecLat-O206))),IF((90 + (DecLat-O206))&gt;90, (90 + (O206-DecLat)), (90 + (DecLat-O206))))</f>
        <v>76.599999999999994</v>
      </c>
      <c r="AG206" s="257">
        <f>angularseperation(MoonRA,MoonDec,$M206,$O206)</f>
        <v>57.135358412518642</v>
      </c>
      <c r="AH206" s="261">
        <f ca="1">MIN(100,IF($O$5&gt;80,0+30*($AG206/100),IF($O$5&gt;70,0+50*($AG206/100),IF($O$5&gt;60,5+50*($AG206/100),IF($O$5&gt;50,10+60*($AG206/100),IF($O$5&gt;40,15+70*($AG206/100),IF($O$5&gt;30,20+70*($AG206/100),IF($O$5&gt;20,40+55*($AG206/100),(80+(20-$O$5)+30*($AG206/100))))))))))</f>
        <v>100</v>
      </c>
      <c r="AI206" s="262">
        <v>5490</v>
      </c>
      <c r="AJ206" s="262"/>
      <c r="AK206" s="262"/>
      <c r="AL206" s="263"/>
      <c r="AM206" s="264"/>
      <c r="AN206" s="263">
        <v>79</v>
      </c>
      <c r="AO206" s="263"/>
      <c r="AP206" s="265"/>
      <c r="AQ206" s="266"/>
      <c r="AR206" s="267">
        <v>50558</v>
      </c>
      <c r="AS206" s="263"/>
      <c r="AT206" s="263"/>
      <c r="AU206" s="263"/>
      <c r="AV206" s="264"/>
      <c r="AW206" s="263"/>
      <c r="AX206" s="263"/>
      <c r="AY206" s="263"/>
      <c r="AZ206" s="263"/>
      <c r="BA206" s="263"/>
      <c r="BB206" s="263"/>
      <c r="BC206" s="263"/>
      <c r="BD206" s="264"/>
      <c r="BE206" s="263"/>
      <c r="BF206" s="263"/>
      <c r="BG206" s="263"/>
      <c r="BH206" s="263"/>
      <c r="BI206" s="263"/>
      <c r="BJ206" s="404">
        <f>altaz(J2000_Bas,$O206,$M206,DecLat,DecLong,2)</f>
        <v>277.4523137474385</v>
      </c>
      <c r="BK206" s="378" t="s">
        <v>295</v>
      </c>
      <c r="BL206" s="379">
        <f>IF((2*G206)/60&lt;0.2,0.2,(2*G206)/60)</f>
        <v>0.2</v>
      </c>
      <c r="BM206" s="380">
        <f>MOD((50000+AD206-$B$3+(0/24)),1)</f>
        <v>0.79862562759080902</v>
      </c>
      <c r="BN206" s="381"/>
      <c r="BO206" s="382">
        <v>206</v>
      </c>
    </row>
    <row r="207" spans="1:67" s="24" customFormat="1" ht="15" customHeight="1" x14ac:dyDescent="0.25">
      <c r="A207" s="288" t="s">
        <v>296</v>
      </c>
      <c r="B207" s="241" t="str">
        <f>HYPERLINK(CONCATENATE($AT$3,BK207,$AU$3),$AV$3)</f>
        <v>S</v>
      </c>
      <c r="C207" s="242" t="str">
        <f>HYPERLINK(CONCATENATE($AT$4,BK207,$AU$4,BL207),$AV$4)</f>
        <v>A</v>
      </c>
      <c r="D207" s="243" t="s">
        <v>5638</v>
      </c>
      <c r="E207" s="244" t="s">
        <v>5192</v>
      </c>
      <c r="F207" s="269" t="s">
        <v>8900</v>
      </c>
      <c r="G207" s="273">
        <v>1.8</v>
      </c>
      <c r="H207" s="283">
        <v>90</v>
      </c>
      <c r="I207" s="246">
        <v>50</v>
      </c>
      <c r="J207" s="246">
        <v>2</v>
      </c>
      <c r="K207" s="247" t="s">
        <v>7264</v>
      </c>
      <c r="L207" s="248">
        <v>84806</v>
      </c>
      <c r="M207" s="249">
        <f>15*(LEFT(TEXT($L207,"000000"),2)+(MID(TEXT($L207,"000000"),3,2)/60)+(RIGHT(TEXT($L207,"000000"),2)/3600))</f>
        <v>132.02500000000001</v>
      </c>
      <c r="N207" s="250">
        <v>740500</v>
      </c>
      <c r="O207" s="251">
        <f>IF($N207&gt;0,(LEFT(TEXT($N207,"000000"),2)+(MID(TEXT($N207,"000000"),3,2)/60)+(RIGHT(TEXT($N207,"000000"),2)/3600)),-(MID(TEXT($N207,"000000"),2,2)+(MID(TEXT($N207,"000000"),4,2)/60)+(RIGHT(TEXT($N207,"000000"),2)/3600)))</f>
        <v>74.083333333333329</v>
      </c>
      <c r="P207" s="252" t="s">
        <v>226</v>
      </c>
      <c r="Q207" s="253"/>
      <c r="R207" s="247" t="s">
        <v>3513</v>
      </c>
      <c r="S207" s="272" t="s">
        <v>3293</v>
      </c>
      <c r="T207" s="273">
        <v>12.2</v>
      </c>
      <c r="U207" s="289">
        <v>22.490000000000002</v>
      </c>
      <c r="V207" s="280">
        <v>55</v>
      </c>
      <c r="W207" s="244"/>
      <c r="X207" s="244"/>
      <c r="Y207" s="362"/>
      <c r="Z207" s="257">
        <f>altaz(J2000_Bas,$O207,$M207,DecLat,DecLong,1)</f>
        <v>16.50232526516087</v>
      </c>
      <c r="AA207" s="257">
        <f>altaz((J2000_Bas+(2*0.04167)),$O207,$M207,DecLat,DecLong,1)</f>
        <v>15.118379325492025</v>
      </c>
      <c r="AB207" s="257">
        <f>altaz((J2000_Bas+(4*0.04167)),$O207,$M207,DecLat,DecLong,1)</f>
        <v>17.502583178440414</v>
      </c>
      <c r="AC207" s="257">
        <f>altaz((J2000_Bas+(6*0.04167)),$O207,$M207,DecLat,DecLong,1)</f>
        <v>23.147441670511771</v>
      </c>
      <c r="AD207" s="258">
        <f>1+ transit((J2000_Bas-1),$O207,$M207,DecLat,DecLong)/360 + (GMTOffset/24) + (IF(DST="Y", 1, 0)/24)</f>
        <v>1.3596360350672081</v>
      </c>
      <c r="AE207" s="259">
        <f>DATE(2001,9,21)+(M207/360)*365 - (360*((DecLong/360)- (GMTOffset/24) ))</f>
        <v>37293.858680555553</v>
      </c>
      <c r="AF207" s="260">
        <f>IF(DecLat&gt;0,IF((90 - (DecLat-O207))&gt;90, (90 - (O207-DecLat)), (90 - (DecLat-O207))),IF((90 + (DecLat-O207))&gt;90, (90 + (O207-DecLat)), (90 + (DecLat-O207))))</f>
        <v>46.916666666666671</v>
      </c>
      <c r="AG207" s="257">
        <f>angularseperation(MoonRA,MoonDec,$M207,$O207)</f>
        <v>123.33368341473283</v>
      </c>
      <c r="AH207" s="261">
        <f ca="1">MIN(100,IF($O$5&gt;80,0+30*($AG207/100),IF($O$5&gt;70,0+50*($AG207/100),IF($O$5&gt;60,5+50*($AG207/100),IF($O$5&gt;50,10+60*($AG207/100),IF($O$5&gt;40,15+70*($AG207/100),IF($O$5&gt;30,20+70*($AG207/100),IF($O$5&gt;20,40+55*($AG207/100),(80+(20-$O$5)+30*($AG207/100))))))))))</f>
        <v>100</v>
      </c>
      <c r="AI207" s="262">
        <v>2633</v>
      </c>
      <c r="AJ207" s="262"/>
      <c r="AK207" s="262"/>
      <c r="AL207" s="263"/>
      <c r="AM207" s="264"/>
      <c r="AN207" s="263">
        <v>80</v>
      </c>
      <c r="AO207" s="263"/>
      <c r="AP207" s="265"/>
      <c r="AQ207" s="266">
        <v>4574</v>
      </c>
      <c r="AR207" s="267">
        <v>24723</v>
      </c>
      <c r="AS207" s="263"/>
      <c r="AT207" s="263"/>
      <c r="AU207" s="263"/>
      <c r="AV207" s="264"/>
      <c r="AW207" s="263"/>
      <c r="AX207" s="263"/>
      <c r="AY207" s="263"/>
      <c r="AZ207" s="263"/>
      <c r="BA207" s="263"/>
      <c r="BB207" s="263"/>
      <c r="BC207" s="263"/>
      <c r="BD207" s="264"/>
      <c r="BE207" s="263"/>
      <c r="BF207" s="263"/>
      <c r="BG207" s="263"/>
      <c r="BH207" s="263"/>
      <c r="BI207" s="263"/>
      <c r="BJ207" s="404">
        <f>altaz(J2000_Bas,$O207,$M207,DecLat,DecLong,2)</f>
        <v>352.79131708210605</v>
      </c>
      <c r="BK207" s="378" t="s">
        <v>296</v>
      </c>
      <c r="BL207" s="379">
        <f>IF((2*G207)/60&lt;0.2,0.2,(2*G207)/60)</f>
        <v>0.2</v>
      </c>
      <c r="BM207" s="380">
        <f>MOD((50000+AD207-$B$3+(0/24)),1)</f>
        <v>0.57500296476791846</v>
      </c>
      <c r="BN207" s="381"/>
      <c r="BO207" s="382">
        <v>207</v>
      </c>
    </row>
    <row r="208" spans="1:67" s="24" customFormat="1" ht="15" customHeight="1" x14ac:dyDescent="0.25">
      <c r="A208" s="288" t="s">
        <v>297</v>
      </c>
      <c r="B208" s="241" t="str">
        <f>HYPERLINK(CONCATENATE($AT$3,BK208,$AU$3),$AV$3)</f>
        <v>S</v>
      </c>
      <c r="C208" s="242" t="str">
        <f>HYPERLINK(CONCATENATE($AT$4,BK208,$AU$4,BL208),$AV$4)</f>
        <v>A</v>
      </c>
      <c r="D208" s="243" t="s">
        <v>5638</v>
      </c>
      <c r="E208" s="244" t="s">
        <v>5337</v>
      </c>
      <c r="F208" s="269" t="s">
        <v>9137</v>
      </c>
      <c r="G208" s="273">
        <v>1</v>
      </c>
      <c r="H208" s="283">
        <v>300</v>
      </c>
      <c r="I208" s="246">
        <v>90</v>
      </c>
      <c r="J208" s="246">
        <v>2</v>
      </c>
      <c r="K208" s="247" t="s">
        <v>8504</v>
      </c>
      <c r="L208" s="248">
        <v>181300</v>
      </c>
      <c r="M208" s="249">
        <f>15*(LEFT(TEXT($L208,"000000"),2)+(MID(TEXT($L208,"000000"),3,2)/60)+(RIGHT(TEXT($L208,"000000"),2)/3600))</f>
        <v>273.25</v>
      </c>
      <c r="N208" s="250">
        <v>682100</v>
      </c>
      <c r="O208" s="251">
        <f>IF($N208&gt;0,(LEFT(TEXT($N208,"000000"),2)+(MID(TEXT($N208,"000000"),3,2)/60)+(RIGHT(TEXT($N208,"000000"),2)/3600)),-(MID(TEXT($N208,"000000"),2,2)+(MID(TEXT($N208,"000000"),4,2)/60)+(RIGHT(TEXT($N208,"000000"),2)/3600)))</f>
        <v>68.349999999999994</v>
      </c>
      <c r="P208" s="252" t="s">
        <v>34</v>
      </c>
      <c r="Q208" s="253"/>
      <c r="R208" s="247" t="s">
        <v>3665</v>
      </c>
      <c r="S208" s="272" t="s">
        <v>3293</v>
      </c>
      <c r="T208" s="273">
        <v>13.6</v>
      </c>
      <c r="U208" s="289">
        <v>22.89</v>
      </c>
      <c r="V208" s="280"/>
      <c r="W208" s="244"/>
      <c r="X208" s="244"/>
      <c r="Y208" s="362"/>
      <c r="Z208" s="257">
        <f>altaz(J2000_Bas,$O208,$M208,DecLat,DecLong,1)</f>
        <v>51.919354900825979</v>
      </c>
      <c r="AA208" s="257">
        <f>altaz((J2000_Bas+(2*0.04167)),$O208,$M208,DecLat,DecLong,1)</f>
        <v>45.283731298399282</v>
      </c>
      <c r="AB208" s="257">
        <f>altaz((J2000_Bas+(4*0.04167)),$O208,$M208,DecLat,DecLong,1)</f>
        <v>34.860290255330966</v>
      </c>
      <c r="AC208" s="257">
        <f>altaz((J2000_Bas+(6*0.04167)),$O208,$M208,DecLat,DecLong,1)</f>
        <v>24.049926904418228</v>
      </c>
      <c r="AD208" s="258">
        <f>1+ transit((J2000_Bas-1),$O208,$M208,DecLat,DecLong)/360 + (GMTOffset/24) + (IF(DST="Y", 1, 0)/24)</f>
        <v>1.751927662504708</v>
      </c>
      <c r="AE208" s="259">
        <f>DATE(2001,9,21)+(M208/360)*365 - (360*((DecLong/360)- (GMTOffset/24) ))</f>
        <v>37437.045138888891</v>
      </c>
      <c r="AF208" s="260">
        <f>IF(DecLat&gt;0,IF((90 - (DecLat-O208))&gt;90, (90 - (O208-DecLat)), (90 - (DecLat-O208))),IF((90 + (DecLat-O208))&gt;90, (90 + (O208-DecLat)), (90 + (DecLat-O208))))</f>
        <v>52.650000000000006</v>
      </c>
      <c r="AG208" s="257">
        <f>angularseperation(MoonRA,MoonDec,$M208,$O208)</f>
        <v>97.072083977857517</v>
      </c>
      <c r="AH208" s="261">
        <f ca="1">MIN(100,IF($O$5&gt;80,0+30*($AG208/100),IF($O$5&gt;70,0+50*($AG208/100),IF($O$5&gt;60,5+50*($AG208/100),IF($O$5&gt;50,10+60*($AG208/100),IF($O$5&gt;40,15+70*($AG208/100),IF($O$5&gt;30,20+70*($AG208/100),IF($O$5&gt;20,40+55*($AG208/100),(80+(20-$O$5)+30*($AG208/100))))))))))</f>
        <v>100</v>
      </c>
      <c r="AI208" s="262">
        <v>6621</v>
      </c>
      <c r="AJ208" s="262"/>
      <c r="AK208" s="262"/>
      <c r="AL208" s="263"/>
      <c r="AM208" s="264"/>
      <c r="AN208" s="263">
        <v>81</v>
      </c>
      <c r="AO208" s="263"/>
      <c r="AP208" s="265"/>
      <c r="AQ208" s="266">
        <v>11175</v>
      </c>
      <c r="AR208" s="267">
        <v>61582</v>
      </c>
      <c r="AS208" s="263"/>
      <c r="AT208" s="263"/>
      <c r="AU208" s="263"/>
      <c r="AV208" s="264"/>
      <c r="AW208" s="263"/>
      <c r="AX208" s="263"/>
      <c r="AY208" s="263"/>
      <c r="AZ208" s="263"/>
      <c r="BA208" s="263"/>
      <c r="BB208" s="263"/>
      <c r="BC208" s="263"/>
      <c r="BD208" s="264"/>
      <c r="BE208" s="263"/>
      <c r="BF208" s="263"/>
      <c r="BG208" s="263"/>
      <c r="BH208" s="263">
        <v>30</v>
      </c>
      <c r="BI208" s="263"/>
      <c r="BJ208" s="404">
        <f>altaz(J2000_Bas,$O208,$M208,DecLat,DecLong,2)</f>
        <v>352.41237954206366</v>
      </c>
      <c r="BK208" s="378" t="s">
        <v>297</v>
      </c>
      <c r="BL208" s="379">
        <f>IF((2*G208)/60&lt;0.2,0.2,(2*G208)/60)</f>
        <v>0.2</v>
      </c>
      <c r="BM208" s="380">
        <f>MOD((50000+AD208-$B$3+(0/24)),1)</f>
        <v>0.96729459220659919</v>
      </c>
      <c r="BN208" s="381"/>
      <c r="BO208" s="382">
        <v>208</v>
      </c>
    </row>
    <row r="209" spans="1:67" s="24" customFormat="1" ht="15" customHeight="1" x14ac:dyDescent="0.25">
      <c r="A209" s="288" t="s">
        <v>298</v>
      </c>
      <c r="B209" s="241" t="str">
        <f>HYPERLINK(CONCATENATE($AT$3,BK209,$AU$3),$AV$3)</f>
        <v>S</v>
      </c>
      <c r="C209" s="242" t="str">
        <f>HYPERLINK(CONCATENATE($AT$4,BK209,$AU$4,BL209),$AV$4)</f>
        <v>A</v>
      </c>
      <c r="D209" s="243" t="s">
        <v>5638</v>
      </c>
      <c r="E209" s="244" t="s">
        <v>5192</v>
      </c>
      <c r="F209" s="269" t="s">
        <v>8692</v>
      </c>
      <c r="G209" s="273">
        <v>2</v>
      </c>
      <c r="H209" s="283">
        <v>200</v>
      </c>
      <c r="I209" s="246">
        <v>120</v>
      </c>
      <c r="J209" s="246">
        <v>3</v>
      </c>
      <c r="K209" s="247" t="s">
        <v>4144</v>
      </c>
      <c r="L209" s="248">
        <v>81116</v>
      </c>
      <c r="M209" s="249">
        <f>15*(LEFT(TEXT($L209,"000000"),2)+(MID(TEXT($L209,"000000"),3,2)/60)+(RIGHT(TEXT($L209,"000000"),2)/3600))</f>
        <v>122.81666666666668</v>
      </c>
      <c r="N209" s="250">
        <v>251000</v>
      </c>
      <c r="O209" s="251">
        <f>IF($N209&gt;0,(LEFT(TEXT($N209,"000000"),2)+(MID(TEXT($N209,"000000"),3,2)/60)+(RIGHT(TEXT($N209,"000000"),2)/3600)),-(MID(TEXT($N209,"000000"),2,2)+(MID(TEXT($N209,"000000"),4,2)/60)+(RIGHT(TEXT($N209,"000000"),2)/3600)))</f>
        <v>25.166666666666668</v>
      </c>
      <c r="P209" s="252" t="s">
        <v>100</v>
      </c>
      <c r="Q209" s="253"/>
      <c r="R209" s="247" t="s">
        <v>3507</v>
      </c>
      <c r="S209" s="272" t="s">
        <v>3293</v>
      </c>
      <c r="T209" s="273">
        <v>14.2</v>
      </c>
      <c r="U209" s="289">
        <v>22.29</v>
      </c>
      <c r="V209" s="280">
        <v>15</v>
      </c>
      <c r="W209" s="244"/>
      <c r="X209" s="244"/>
      <c r="Y209" s="362"/>
      <c r="Z209" s="257">
        <f>altaz(J2000_Bas,$O209,$M209,DecLat,DecLong,1)</f>
        <v>-31.574881072831435</v>
      </c>
      <c r="AA209" s="257">
        <f>altaz((J2000_Bas+(2*0.04167)),$O209,$M209,DecLat,DecLong,1)</f>
        <v>-32.416023830048985</v>
      </c>
      <c r="AB209" s="257">
        <f>altaz((J2000_Bas+(4*0.04167)),$O209,$M209,DecLat,DecLong,1)</f>
        <v>-20.186284432749282</v>
      </c>
      <c r="AC209" s="257">
        <f>altaz((J2000_Bas+(6*0.04167)),$O209,$M209,DecLat,DecLong,1)</f>
        <v>-0.12043314105615491</v>
      </c>
      <c r="AD209" s="258">
        <f>1+ transit((J2000_Bas-1),$O209,$M209,DecLat,DecLong)/360 + (GMTOffset/24) + (IF(DST="Y", 1, 0)/24)</f>
        <v>1.3340573339213748</v>
      </c>
      <c r="AE209" s="259">
        <f>DATE(2001,9,21)+(M209/360)*365 - (360*((DecLong/360)- (GMTOffset/24) ))</f>
        <v>37284.522453703707</v>
      </c>
      <c r="AF209" s="260">
        <f>IF(DecLat&gt;0,IF((90 - (DecLat-O209))&gt;90, (90 - (O209-DecLat)), (90 - (DecLat-O209))),IF((90 + (DecLat-O209))&gt;90, (90 + (O209-DecLat)), (90 + (DecLat-O209))))</f>
        <v>84.166666666666671</v>
      </c>
      <c r="AG209" s="257">
        <f>angularseperation(MoonRA,MoonDec,$M209,$O209)</f>
        <v>132.22882789202669</v>
      </c>
      <c r="AH209" s="261">
        <f ca="1">MIN(100,IF($O$5&gt;80,0+30*($AG209/100),IF($O$5&gt;70,0+50*($AG209/100),IF($O$5&gt;60,5+50*($AG209/100),IF($O$5&gt;50,10+60*($AG209/100),IF($O$5&gt;40,15+70*($AG209/100),IF($O$5&gt;30,20+70*($AG209/100),IF($O$5&gt;20,40+55*($AG209/100),(80+(20-$O$5)+30*($AG209/100))))))))))</f>
        <v>100</v>
      </c>
      <c r="AI209" s="262">
        <v>2536</v>
      </c>
      <c r="AJ209" s="262"/>
      <c r="AK209" s="262"/>
      <c r="AL209" s="263"/>
      <c r="AM209" s="264"/>
      <c r="AN209" s="263">
        <v>82</v>
      </c>
      <c r="AO209" s="263"/>
      <c r="AP209" s="265"/>
      <c r="AQ209" s="266"/>
      <c r="AR209" s="267">
        <v>22958</v>
      </c>
      <c r="AS209" s="263"/>
      <c r="AT209" s="263"/>
      <c r="AU209" s="263"/>
      <c r="AV209" s="264"/>
      <c r="AW209" s="263"/>
      <c r="AX209" s="263"/>
      <c r="AY209" s="263"/>
      <c r="AZ209" s="263"/>
      <c r="BA209" s="263"/>
      <c r="BB209" s="263"/>
      <c r="BC209" s="263"/>
      <c r="BD209" s="264"/>
      <c r="BE209" s="263"/>
      <c r="BF209" s="263"/>
      <c r="BG209" s="263"/>
      <c r="BH209" s="263"/>
      <c r="BI209" s="263"/>
      <c r="BJ209" s="404">
        <f>altaz(J2000_Bas,$O209,$M209,DecLat,DecLong,2)</f>
        <v>342.10331064776807</v>
      </c>
      <c r="BK209" s="378" t="s">
        <v>298</v>
      </c>
      <c r="BL209" s="379">
        <f>IF((2*G209)/60&lt;0.2,0.2,(2*G209)/60)</f>
        <v>0.2</v>
      </c>
      <c r="BM209" s="380">
        <f>MOD((50000+AD209-$B$3+(0/24)),1)</f>
        <v>0.54942426362686092</v>
      </c>
      <c r="BN209" s="381" t="s">
        <v>8795</v>
      </c>
      <c r="BO209" s="382">
        <v>209</v>
      </c>
    </row>
    <row r="210" spans="1:67" s="24" customFormat="1" ht="15" customHeight="1" x14ac:dyDescent="0.25">
      <c r="A210" s="288" t="s">
        <v>299</v>
      </c>
      <c r="B210" s="241" t="str">
        <f>HYPERLINK(CONCATENATE($AT$3,BK210,$AU$3),$AV$3)</f>
        <v>S</v>
      </c>
      <c r="C210" s="242" t="str">
        <f>HYPERLINK(CONCATENATE($AT$4,BK210,$AU$4,BL210),$AV$4)</f>
        <v>A</v>
      </c>
      <c r="D210" s="243" t="s">
        <v>5638</v>
      </c>
      <c r="E210" s="244" t="s">
        <v>5337</v>
      </c>
      <c r="F210" s="269" t="s">
        <v>3310</v>
      </c>
      <c r="G210" s="273">
        <v>2</v>
      </c>
      <c r="H210" s="283">
        <v>170</v>
      </c>
      <c r="I210" s="246">
        <v>100</v>
      </c>
      <c r="J210" s="246">
        <v>2</v>
      </c>
      <c r="K210" s="247" t="s">
        <v>4145</v>
      </c>
      <c r="L210" s="248">
        <v>114013</v>
      </c>
      <c r="M210" s="249">
        <f>15*(LEFT(TEXT($L210,"000000"),2)+(MID(TEXT($L210,"000000"),3,2)/60)+(RIGHT(TEXT($L210,"000000"),2)/3600))</f>
        <v>175.05416666666665</v>
      </c>
      <c r="N210" s="250">
        <v>152000</v>
      </c>
      <c r="O210" s="251">
        <f>IF($N210&gt;0,(LEFT(TEXT($N210,"000000"),2)+(MID(TEXT($N210,"000000"),3,2)/60)+(RIGHT(TEXT($N210,"000000"),2)/3600)),-(MID(TEXT($N210,"000000"),2,2)+(MID(TEXT($N210,"000000"),4,2)/60)+(RIGHT(TEXT($N210,"000000"),2)/3600)))</f>
        <v>15.333333333333334</v>
      </c>
      <c r="P210" s="252" t="s">
        <v>183</v>
      </c>
      <c r="Q210" s="253"/>
      <c r="R210" s="247" t="s">
        <v>3565</v>
      </c>
      <c r="S210" s="272" t="s">
        <v>3293</v>
      </c>
      <c r="T210" s="273">
        <v>12.7</v>
      </c>
      <c r="U210" s="289">
        <v>21.59</v>
      </c>
      <c r="V210" s="280"/>
      <c r="W210" s="244"/>
      <c r="X210" s="244"/>
      <c r="Y210" s="362"/>
      <c r="Z210" s="257">
        <f>altaz(J2000_Bas,$O210,$M210,DecLat,DecLong,1)</f>
        <v>-9.1696797259138041</v>
      </c>
      <c r="AA210" s="257">
        <f>altaz((J2000_Bas+(2*0.04167)),$O210,$M210,DecLat,DecLong,1)</f>
        <v>-30.433486147093362</v>
      </c>
      <c r="AB210" s="257">
        <f>altaz((J2000_Bas+(4*0.04167)),$O210,$M210,DecLat,DecLong,1)</f>
        <v>-42.886463256896569</v>
      </c>
      <c r="AC210" s="257">
        <f>altaz((J2000_Bas+(6*0.04167)),$O210,$M210,DecLat,DecLong,1)</f>
        <v>-39.383346317838843</v>
      </c>
      <c r="AD210" s="258">
        <f>1+ transit((J2000_Bas-1),$O210,$M210,DecLat,DecLong)/360 + (GMTOffset/24) + (IF(DST="Y", 1, 0)/24)</f>
        <v>1.4791614860776245</v>
      </c>
      <c r="AE210" s="259">
        <f>DATE(2001,9,21)+(M210/360)*365 - (360*((DecLong/360)- (GMTOffset/24) ))</f>
        <v>37337.485474537039</v>
      </c>
      <c r="AF210" s="260">
        <f>IF(DecLat&gt;0,IF((90 - (DecLat-O210))&gt;90, (90 - (O210-DecLat)), (90 - (DecLat-O210))),IF((90 + (DecLat-O210))&gt;90, (90 + (O210-DecLat)), (90 + (DecLat-O210))))</f>
        <v>74.333333333333329</v>
      </c>
      <c r="AG210" s="257">
        <f>angularseperation(MoonRA,MoonDec,$M210,$O210)</f>
        <v>83.478680694791066</v>
      </c>
      <c r="AH210" s="261">
        <f ca="1">MIN(100,IF($O$5&gt;80,0+30*($AG210/100),IF($O$5&gt;70,0+50*($AG210/100),IF($O$5&gt;60,5+50*($AG210/100),IF($O$5&gt;50,10+60*($AG210/100),IF($O$5&gt;40,15+70*($AG210/100),IF($O$5&gt;30,20+70*($AG210/100),IF($O$5&gt;20,40+55*($AG210/100),(80+(20-$O$5)+30*($AG210/100))))))))))</f>
        <v>100</v>
      </c>
      <c r="AI210" s="262">
        <v>3800</v>
      </c>
      <c r="AJ210" s="262"/>
      <c r="AK210" s="262"/>
      <c r="AL210" s="263"/>
      <c r="AM210" s="264"/>
      <c r="AN210" s="263">
        <v>83</v>
      </c>
      <c r="AO210" s="263"/>
      <c r="AP210" s="265"/>
      <c r="AQ210" s="266">
        <v>6634</v>
      </c>
      <c r="AR210" s="267">
        <v>36197</v>
      </c>
      <c r="AS210" s="263"/>
      <c r="AT210" s="263"/>
      <c r="AU210" s="263"/>
      <c r="AV210" s="264"/>
      <c r="AW210" s="263"/>
      <c r="AX210" s="263"/>
      <c r="AY210" s="263"/>
      <c r="AZ210" s="263"/>
      <c r="BA210" s="263"/>
      <c r="BB210" s="263"/>
      <c r="BC210" s="263"/>
      <c r="BD210" s="264"/>
      <c r="BE210" s="263"/>
      <c r="BF210" s="263"/>
      <c r="BG210" s="263"/>
      <c r="BH210" s="263"/>
      <c r="BI210" s="263"/>
      <c r="BJ210" s="404">
        <f>altaz(J2000_Bas,$O210,$M210,DecLat,DecLong,2)</f>
        <v>294.17236400651791</v>
      </c>
      <c r="BK210" s="378" t="s">
        <v>299</v>
      </c>
      <c r="BL210" s="379">
        <f>IF((2*G210)/60&lt;0.2,0.2,(2*G210)/60)</f>
        <v>0.2</v>
      </c>
      <c r="BM210" s="380">
        <f>MOD((50000+AD210-$B$3+(0/24)),1)</f>
        <v>0.69452841578458901</v>
      </c>
      <c r="BN210" s="381"/>
      <c r="BO210" s="382">
        <v>210</v>
      </c>
    </row>
    <row r="211" spans="1:67" s="24" customFormat="1" ht="15" customHeight="1" x14ac:dyDescent="0.25">
      <c r="A211" s="288" t="s">
        <v>300</v>
      </c>
      <c r="B211" s="241" t="str">
        <f>HYPERLINK(CONCATENATE($AT$3,BK211,$AU$3),$AV$3)</f>
        <v>S</v>
      </c>
      <c r="C211" s="242" t="str">
        <f>HYPERLINK(CONCATENATE($AT$4,BK211,$AU$4,BL211),$AV$4)</f>
        <v>A</v>
      </c>
      <c r="D211" s="243" t="s">
        <v>5638</v>
      </c>
      <c r="E211" s="244" t="s">
        <v>5337</v>
      </c>
      <c r="F211" s="269" t="s">
        <v>3310</v>
      </c>
      <c r="G211" s="273">
        <v>3.1</v>
      </c>
      <c r="H211" s="283">
        <v>170</v>
      </c>
      <c r="I211" s="246">
        <v>150</v>
      </c>
      <c r="J211" s="246">
        <v>4</v>
      </c>
      <c r="K211" s="247" t="s">
        <v>4146</v>
      </c>
      <c r="L211" s="248">
        <v>135838</v>
      </c>
      <c r="M211" s="249">
        <f>15*(LEFT(TEXT($L211,"000000"),2)+(MID(TEXT($L211,"000000"),3,2)/60)+(RIGHT(TEXT($L211,"000000"),2)/3600))</f>
        <v>209.65833333333333</v>
      </c>
      <c r="N211" s="250">
        <v>372530</v>
      </c>
      <c r="O211" s="251">
        <f>IF($N211&gt;0,(LEFT(TEXT($N211,"000000"),2)+(MID(TEXT($N211,"000000"),3,2)/60)+(RIGHT(TEXT($N211,"000000"),2)/3600)),-(MID(TEXT($N211,"000000"),2,2)+(MID(TEXT($N211,"000000"),4,2)/60)+(RIGHT(TEXT($N211,"000000"),2)/3600)))</f>
        <v>37.424999999999997</v>
      </c>
      <c r="P211" s="252" t="s">
        <v>242</v>
      </c>
      <c r="Q211" s="253" t="s">
        <v>6878</v>
      </c>
      <c r="R211" s="247" t="s">
        <v>3616</v>
      </c>
      <c r="S211" s="272" t="s">
        <v>3293</v>
      </c>
      <c r="T211" s="273">
        <v>13</v>
      </c>
      <c r="U211" s="289">
        <v>22.29</v>
      </c>
      <c r="V211" s="280"/>
      <c r="W211" s="244"/>
      <c r="X211" s="244"/>
      <c r="Y211" s="362"/>
      <c r="Z211" s="257">
        <f>altaz(J2000_Bas,$O211,$M211,DecLat,DecLong,1)</f>
        <v>28.27533215716673</v>
      </c>
      <c r="AA211" s="257">
        <f>altaz((J2000_Bas+(2*0.04167)),$O211,$M211,DecLat,DecLong,1)</f>
        <v>6.9195940902728399</v>
      </c>
      <c r="AB211" s="257">
        <f>altaz((J2000_Bas+(4*0.04167)),$O211,$M211,DecLat,DecLong,1)</f>
        <v>-10.421333902303632</v>
      </c>
      <c r="AC211" s="257">
        <f>altaz((J2000_Bas+(6*0.04167)),$O211,$M211,DecLat,DecLong,1)</f>
        <v>-20.437237911108717</v>
      </c>
      <c r="AD211" s="258">
        <f>1+ transit((J2000_Bas-1),$O211,$M211,DecLat,DecLong)/360 + (GMTOffset/24) + (IF(DST="Y", 1, 0)/24)</f>
        <v>1.5752841616505415</v>
      </c>
      <c r="AE211" s="259">
        <f>DATE(2001,9,21)+(M211/360)*365 - (360*((DecLong/360)- (GMTOffset/24) ))</f>
        <v>37372.570254629631</v>
      </c>
      <c r="AF211" s="260">
        <f>IF(DecLat&gt;0,IF((90 - (DecLat-O211))&gt;90, (90 - (O211-DecLat)), (90 - (DecLat-O211))),IF((90 + (DecLat-O211))&gt;90, (90 + (O211-DecLat)), (90 + (DecLat-O211))))</f>
        <v>83.575000000000003</v>
      </c>
      <c r="AG211" s="257">
        <f>angularseperation(MoonRA,MoonDec,$M211,$O211)</f>
        <v>74.440703170426076</v>
      </c>
      <c r="AH211" s="261">
        <f ca="1">MIN(100,IF($O$5&gt;80,0+30*($AG211/100),IF($O$5&gt;70,0+50*($AG211/100),IF($O$5&gt;60,5+50*($AG211/100),IF($O$5&gt;50,10+60*($AG211/100),IF($O$5&gt;40,15+70*($AG211/100),IF($O$5&gt;30,20+70*($AG211/100),IF($O$5&gt;20,40+55*($AG211/100),(80+(20-$O$5)+30*($AG211/100))))))))))</f>
        <v>100</v>
      </c>
      <c r="AI211" s="262">
        <v>5394</v>
      </c>
      <c r="AJ211" s="262"/>
      <c r="AK211" s="262"/>
      <c r="AL211" s="263"/>
      <c r="AM211" s="264"/>
      <c r="AN211" s="263">
        <v>84</v>
      </c>
      <c r="AO211" s="263"/>
      <c r="AP211" s="265"/>
      <c r="AQ211" s="266">
        <v>8898</v>
      </c>
      <c r="AR211" s="267">
        <v>49739</v>
      </c>
      <c r="AS211" s="263"/>
      <c r="AT211" s="263"/>
      <c r="AU211" s="263"/>
      <c r="AV211" s="264"/>
      <c r="AW211" s="263"/>
      <c r="AX211" s="263"/>
      <c r="AY211" s="263"/>
      <c r="AZ211" s="263"/>
      <c r="BA211" s="263"/>
      <c r="BB211" s="263"/>
      <c r="BC211" s="263"/>
      <c r="BD211" s="264"/>
      <c r="BE211" s="263"/>
      <c r="BF211" s="263"/>
      <c r="BG211" s="263"/>
      <c r="BH211" s="263">
        <v>1</v>
      </c>
      <c r="BI211" s="263"/>
      <c r="BJ211" s="404">
        <f>altaz(J2000_Bas,$O211,$M211,DecLat,DecLong,2)</f>
        <v>298.80628341016387</v>
      </c>
      <c r="BK211" s="378" t="s">
        <v>300</v>
      </c>
      <c r="BL211" s="379">
        <f>IF((2*G211)/60&lt;0.2,0.2,(2*G211)/60)</f>
        <v>0.2</v>
      </c>
      <c r="BM211" s="380">
        <f>MOD((50000+AD211-$B$3+(0/24)),1)</f>
        <v>0.79065109135262901</v>
      </c>
      <c r="BN211" s="381" t="s">
        <v>8795</v>
      </c>
      <c r="BO211" s="382">
        <v>211</v>
      </c>
    </row>
    <row r="212" spans="1:67" s="24" customFormat="1" ht="15" customHeight="1" x14ac:dyDescent="0.25">
      <c r="A212" s="288" t="s">
        <v>301</v>
      </c>
      <c r="B212" s="241" t="str">
        <f>HYPERLINK(CONCATENATE($AT$3,BK212,$AU$3),$AV$3)</f>
        <v>S</v>
      </c>
      <c r="C212" s="242" t="str">
        <f>HYPERLINK(CONCATENATE($AT$4,BK212,$AU$4,BL212),$AV$4)</f>
        <v>A</v>
      </c>
      <c r="D212" s="243" t="s">
        <v>5638</v>
      </c>
      <c r="E212" s="244" t="s">
        <v>5192</v>
      </c>
      <c r="F212" s="269" t="s">
        <v>8886</v>
      </c>
      <c r="G212" s="273">
        <v>3.3</v>
      </c>
      <c r="H212" s="283">
        <v>240</v>
      </c>
      <c r="I212" s="246">
        <v>230</v>
      </c>
      <c r="J212" s="246">
        <v>3</v>
      </c>
      <c r="K212" s="247" t="s">
        <v>4147</v>
      </c>
      <c r="L212" s="248">
        <v>234704</v>
      </c>
      <c r="M212" s="249">
        <f>15*(LEFT(TEXT($L212,"000000"),2)+(MID(TEXT($L212,"000000"),3,2)/60)+(RIGHT(TEXT($L212,"000000"),2)/3600))</f>
        <v>356.76666666666671</v>
      </c>
      <c r="N212" s="250">
        <v>292900</v>
      </c>
      <c r="O212" s="251">
        <f>IF($N212&gt;0,(LEFT(TEXT($N212,"000000"),2)+(MID(TEXT($N212,"000000"),3,2)/60)+(RIGHT(TEXT($N212,"000000"),2)/3600)),-(MID(TEXT($N212,"000000"),2,2)+(MID(TEXT($N212,"000000"),4,2)/60)+(RIGHT(TEXT($N212,"000000"),2)/3600)))</f>
        <v>29.483333333333334</v>
      </c>
      <c r="P212" s="252" t="s">
        <v>39</v>
      </c>
      <c r="Q212" s="253"/>
      <c r="R212" s="247" t="s">
        <v>3705</v>
      </c>
      <c r="S212" s="272" t="s">
        <v>3293</v>
      </c>
      <c r="T212" s="273">
        <v>12</v>
      </c>
      <c r="U212" s="289">
        <v>22.89</v>
      </c>
      <c r="V212" s="280">
        <v>55</v>
      </c>
      <c r="W212" s="244"/>
      <c r="X212" s="244"/>
      <c r="Y212" s="362"/>
      <c r="Z212" s="257">
        <f>altaz(J2000_Bas,$O212,$M212,DecLat,DecLong,1)</f>
        <v>29.954815207159434</v>
      </c>
      <c r="AA212" s="257">
        <f>altaz((J2000_Bas+(2*0.04167)),$O212,$M212,DecLat,DecLong,1)</f>
        <v>55.020029266758797</v>
      </c>
      <c r="AB212" s="257">
        <f>altaz((J2000_Bas+(4*0.04167)),$O212,$M212,DecLat,DecLong,1)</f>
        <v>80.725927338080439</v>
      </c>
      <c r="AC212" s="257">
        <f>altaz((J2000_Bas+(6*0.04167)),$O212,$M212,DecLat,DecLong,1)</f>
        <v>73.116269931913948</v>
      </c>
      <c r="AD212" s="258">
        <f>1+ transit((J2000_Bas-1),$O212,$M212,DecLat,DecLong)/360 + (GMTOffset/24) + (IF(DST="Y", 1, 0)/24)</f>
        <v>1.9839183800463747</v>
      </c>
      <c r="AE212" s="259">
        <f>DATE(2001,9,21)+(M212/360)*365 - (360*((DecLong/360)- (GMTOffset/24) ))</f>
        <v>37521.721759259257</v>
      </c>
      <c r="AF212" s="260">
        <f>IF(DecLat&gt;0,IF((90 - (DecLat-O212))&gt;90, (90 - (O212-DecLat)), (90 - (DecLat-O212))),IF((90 + (DecLat-O212))&gt;90, (90 + (O212-DecLat)), (90 + (DecLat-O212))))</f>
        <v>88.483333333333334</v>
      </c>
      <c r="AG212" s="257">
        <f>angularseperation(MoonRA,MoonDec,$M212,$O212)</f>
        <v>117.22346935936993</v>
      </c>
      <c r="AH212" s="261">
        <f ca="1">MIN(100,IF($O$5&gt;80,0+30*($AG212/100),IF($O$5&gt;70,0+50*($AG212/100),IF($O$5&gt;60,5+50*($AG212/100),IF($O$5&gt;50,10+60*($AG212/100),IF($O$5&gt;40,15+70*($AG212/100),IF($O$5&gt;30,20+70*($AG212/100),IF($O$5&gt;20,40+55*($AG212/100),(80+(20-$O$5)+30*($AG212/100))))))))))</f>
        <v>100</v>
      </c>
      <c r="AI212" s="262">
        <v>7753</v>
      </c>
      <c r="AJ212" s="262"/>
      <c r="AK212" s="262"/>
      <c r="AL212" s="263"/>
      <c r="AM212" s="264"/>
      <c r="AN212" s="263">
        <v>86</v>
      </c>
      <c r="AO212" s="263"/>
      <c r="AP212" s="265"/>
      <c r="AQ212" s="266">
        <v>12780</v>
      </c>
      <c r="AR212" s="267">
        <v>72387</v>
      </c>
      <c r="AS212" s="263"/>
      <c r="AT212" s="263"/>
      <c r="AU212" s="263"/>
      <c r="AV212" s="264"/>
      <c r="AW212" s="263"/>
      <c r="AX212" s="263"/>
      <c r="AY212" s="263"/>
      <c r="AZ212" s="263"/>
      <c r="BA212" s="263"/>
      <c r="BB212" s="263"/>
      <c r="BC212" s="263"/>
      <c r="BD212" s="264"/>
      <c r="BE212" s="263"/>
      <c r="BF212" s="263"/>
      <c r="BG212" s="263"/>
      <c r="BH212" s="263"/>
      <c r="BI212" s="263"/>
      <c r="BJ212" s="404">
        <f>altaz(J2000_Bas,$O212,$M212,DecLat,DecLong,2)</f>
        <v>71.552737143314744</v>
      </c>
      <c r="BK212" s="378" t="s">
        <v>301</v>
      </c>
      <c r="BL212" s="379">
        <f>IF((2*G212)/60&lt;0.2,0.2,(2*G212)/60)</f>
        <v>0.2</v>
      </c>
      <c r="BM212" s="380">
        <f>MOD((50000+AD212-$B$3+(0/24)),1)</f>
        <v>0.1992853097472107</v>
      </c>
      <c r="BN212" s="381" t="s">
        <v>8795</v>
      </c>
      <c r="BO212" s="382">
        <v>212</v>
      </c>
    </row>
    <row r="213" spans="1:67" s="24" customFormat="1" ht="15" customHeight="1" x14ac:dyDescent="0.25">
      <c r="A213" s="288" t="s">
        <v>302</v>
      </c>
      <c r="B213" s="241" t="str">
        <f>HYPERLINK(CONCATENATE($AT$3,BK213,$AU$3),$AV$3)</f>
        <v>S</v>
      </c>
      <c r="C213" s="242" t="str">
        <f>HYPERLINK(CONCATENATE($AT$4,BK213,$AU$4,BL213),$AV$4)</f>
        <v>A</v>
      </c>
      <c r="D213" s="243" t="s">
        <v>5638</v>
      </c>
      <c r="E213" s="244" t="s">
        <v>5337</v>
      </c>
      <c r="F213" s="269" t="s">
        <v>3310</v>
      </c>
      <c r="G213" s="273">
        <v>1.7</v>
      </c>
      <c r="H213" s="283">
        <v>300</v>
      </c>
      <c r="I213" s="246">
        <v>140</v>
      </c>
      <c r="J213" s="246">
        <v>2</v>
      </c>
      <c r="K213" s="247" t="s">
        <v>4148</v>
      </c>
      <c r="L213" s="248">
        <v>114044</v>
      </c>
      <c r="M213" s="249">
        <f>15*(LEFT(TEXT($L213,"000000"),2)+(MID(TEXT($L213,"000000"),3,2)/60)+(RIGHT(TEXT($L213,"000000"),2)/3600))</f>
        <v>175.18333333333334</v>
      </c>
      <c r="N213" s="250">
        <v>222500</v>
      </c>
      <c r="O213" s="251">
        <f>IF($N213&gt;0,(LEFT(TEXT($N213,"000000"),2)+(MID(TEXT($N213,"000000"),3,2)/60)+(RIGHT(TEXT($N213,"000000"),2)/3600)),-(MID(TEXT($N213,"000000"),2,2)+(MID(TEXT($N213,"000000"),4,2)/60)+(RIGHT(TEXT($N213,"000000"),2)/3600)))</f>
        <v>22.416666666666668</v>
      </c>
      <c r="P213" s="252" t="s">
        <v>183</v>
      </c>
      <c r="Q213" s="253"/>
      <c r="R213" s="247" t="s">
        <v>3566</v>
      </c>
      <c r="S213" s="272" t="s">
        <v>541</v>
      </c>
      <c r="T213" s="273">
        <v>13.5</v>
      </c>
      <c r="U213" s="289">
        <v>22.59</v>
      </c>
      <c r="V213" s="280"/>
      <c r="W213" s="244"/>
      <c r="X213" s="244"/>
      <c r="Y213" s="362"/>
      <c r="Z213" s="257">
        <f>altaz(J2000_Bas,$O213,$M213,DecLat,DecLong,1)</f>
        <v>-4.8892710704457274</v>
      </c>
      <c r="AA213" s="257">
        <f>altaz((J2000_Bas+(2*0.04167)),$O213,$M213,DecLat,DecLong,1)</f>
        <v>-24.744020057641993</v>
      </c>
      <c r="AB213" s="257">
        <f>altaz((J2000_Bas+(4*0.04167)),$O213,$M213,DecLat,DecLong,1)</f>
        <v>-35.888549731200037</v>
      </c>
      <c r="AC213" s="257">
        <f>altaz((J2000_Bas+(6*0.04167)),$O213,$M213,DecLat,DecLong,1)</f>
        <v>-32.888008466162404</v>
      </c>
      <c r="AD213" s="258">
        <f>1+ transit((J2000_Bas-1),$O213,$M213,DecLat,DecLong)/360 + (GMTOffset/24) + (IF(DST="Y", 1, 0)/24)</f>
        <v>1.4795202823380413</v>
      </c>
      <c r="AE213" s="259">
        <f>DATE(2001,9,21)+(M213/360)*365 - (360*((DecLong/360)- (GMTOffset/24) ))</f>
        <v>37337.616435185184</v>
      </c>
      <c r="AF213" s="260">
        <f>IF(DecLat&gt;0,IF((90 - (DecLat-O213))&gt;90, (90 - (O213-DecLat)), (90 - (DecLat-O213))),IF((90 + (DecLat-O213))&gt;90, (90 + (O213-DecLat)), (90 + (DecLat-O213))))</f>
        <v>81.416666666666671</v>
      </c>
      <c r="AG213" s="257">
        <f>angularseperation(MoonRA,MoonDec,$M213,$O213)</f>
        <v>86.994352372128077</v>
      </c>
      <c r="AH213" s="261">
        <f ca="1">MIN(100,IF($O$5&gt;80,0+30*($AG213/100),IF($O$5&gt;70,0+50*($AG213/100),IF($O$5&gt;60,5+50*($AG213/100),IF($O$5&gt;50,10+60*($AG213/100),IF($O$5&gt;40,15+70*($AG213/100),IF($O$5&gt;30,20+70*($AG213/100),IF($O$5&gt;20,40+55*($AG213/100),(80+(20-$O$5)+30*($AG213/100))))))))))</f>
        <v>100</v>
      </c>
      <c r="AI213" s="262">
        <v>3808</v>
      </c>
      <c r="AJ213" s="262"/>
      <c r="AK213" s="262"/>
      <c r="AL213" s="263"/>
      <c r="AM213" s="264"/>
      <c r="AN213" s="263">
        <v>87</v>
      </c>
      <c r="AO213" s="263"/>
      <c r="AP213" s="265"/>
      <c r="AQ213" s="266">
        <v>6643</v>
      </c>
      <c r="AR213" s="267">
        <v>36227</v>
      </c>
      <c r="AS213" s="263"/>
      <c r="AT213" s="263"/>
      <c r="AU213" s="263"/>
      <c r="AV213" s="264"/>
      <c r="AW213" s="263"/>
      <c r="AX213" s="263"/>
      <c r="AY213" s="263"/>
      <c r="AZ213" s="263"/>
      <c r="BA213" s="263"/>
      <c r="BB213" s="263"/>
      <c r="BC213" s="263"/>
      <c r="BD213" s="264"/>
      <c r="BE213" s="263"/>
      <c r="BF213" s="263"/>
      <c r="BG213" s="263"/>
      <c r="BH213" s="263">
        <v>87</v>
      </c>
      <c r="BI213" s="263"/>
      <c r="BJ213" s="404">
        <f>altaz(J2000_Bas,$O213,$M213,DecLat,DecLong,2)</f>
        <v>299.8615895323174</v>
      </c>
      <c r="BK213" s="378" t="s">
        <v>302</v>
      </c>
      <c r="BL213" s="379">
        <f>IF((2*G213)/60&lt;0.2,0.2,(2*G213)/60)</f>
        <v>0.2</v>
      </c>
      <c r="BM213" s="380">
        <f>MOD((50000+AD213-$B$3+(0/24)),1)</f>
        <v>0.69488721204106696</v>
      </c>
      <c r="BN213" s="381"/>
      <c r="BO213" s="382">
        <v>213</v>
      </c>
    </row>
    <row r="214" spans="1:67" s="24" customFormat="1" ht="15" customHeight="1" x14ac:dyDescent="0.25">
      <c r="A214" s="288" t="s">
        <v>303</v>
      </c>
      <c r="B214" s="241" t="str">
        <f>HYPERLINK(CONCATENATE($AT$3,BK214,$AU$3),$AV$3)</f>
        <v>S</v>
      </c>
      <c r="C214" s="242" t="str">
        <f>HYPERLINK(CONCATENATE($AT$4,BK214,$AU$4,BL214),$AV$4)</f>
        <v>A</v>
      </c>
      <c r="D214" s="243" t="s">
        <v>5638</v>
      </c>
      <c r="E214" s="244" t="s">
        <v>5337</v>
      </c>
      <c r="F214" s="269" t="s">
        <v>3310</v>
      </c>
      <c r="G214" s="270">
        <v>0.6</v>
      </c>
      <c r="H214" s="271" t="s">
        <v>6500</v>
      </c>
      <c r="I214" s="244" t="s">
        <v>6500</v>
      </c>
      <c r="J214" s="246">
        <v>2</v>
      </c>
      <c r="K214" s="247" t="s">
        <v>4149</v>
      </c>
      <c r="L214" s="248">
        <v>11905</v>
      </c>
      <c r="M214" s="249">
        <f>15*(LEFT(TEXT($L214,"000000"),2)+(MID(TEXT($L214,"000000"),3,2)/60)+(RIGHT(TEXT($L214,"000000"),2)/3600))</f>
        <v>19.770833333333332</v>
      </c>
      <c r="N214" s="250">
        <v>122800</v>
      </c>
      <c r="O214" s="251">
        <f>IF($N214&gt;0,(LEFT(TEXT($N214,"000000"),2)+(MID(TEXT($N214,"000000"),3,2)/60)+(RIGHT(TEXT($N214,"000000"),2)/3600)),-(MID(TEXT($N214,"000000"),2,2)+(MID(TEXT($N214,"000000"),4,2)/60)+(RIGHT(TEXT($N214,"000000"),2)/3600)))</f>
        <v>12.466666666666667</v>
      </c>
      <c r="P214" s="252" t="s">
        <v>158</v>
      </c>
      <c r="Q214" s="253"/>
      <c r="R214" s="247" t="s">
        <v>3293</v>
      </c>
      <c r="S214" s="272" t="s">
        <v>4174</v>
      </c>
      <c r="T214" s="273">
        <v>16</v>
      </c>
      <c r="U214" s="274"/>
      <c r="V214" s="280"/>
      <c r="W214" s="244"/>
      <c r="X214" s="244"/>
      <c r="Y214" s="362"/>
      <c r="Z214" s="257">
        <f>altaz(J2000_Bas,$O214,$M214,DecLat,DecLong,1)</f>
        <v>3.2204069506865025</v>
      </c>
      <c r="AA214" s="257">
        <f>altaz((J2000_Bas+(2*0.04167)),$O214,$M214,DecLat,DecLong,1)</f>
        <v>28.830982970547314</v>
      </c>
      <c r="AB214" s="257">
        <f>altaz((J2000_Bas+(4*0.04167)),$O214,$M214,DecLat,DecLong,1)</f>
        <v>53.930976895332044</v>
      </c>
      <c r="AC214" s="257">
        <f>altaz((J2000_Bas+(6*0.04167)),$O214,$M214,DecLat,DecLong,1)</f>
        <v>71.184985432169412</v>
      </c>
      <c r="AD214" s="258">
        <f>1+ transit((J2000_Bas-1),$O214,$M214,DecLat,DecLong)/360 + (GMTOffset/24) + (IF(DST="Y", 1, 0)/24)</f>
        <v>1.0478189366192914</v>
      </c>
      <c r="AE214" s="259">
        <f>DATE(2001,9,21)+(M214/360)*365 - (360*((DecLong/360)- (GMTOffset/24) ))</f>
        <v>37180.045428240737</v>
      </c>
      <c r="AF214" s="260">
        <f>IF(DecLat&gt;0,IF((90 - (DecLat-O214))&gt;90, (90 - (O214-DecLat)), (90 - (DecLat-O214))),IF((90 + (DecLat-O214))&gt;90, (90 + (O214-DecLat)), (90 + (DecLat-O214))))</f>
        <v>71.466666666666669</v>
      </c>
      <c r="AG214" s="257">
        <f>angularseperation(MoonRA,MoonDec,$M214,$O214)</f>
        <v>131.54552392816177</v>
      </c>
      <c r="AH214" s="261">
        <f ca="1">MIN(100,IF($O$5&gt;80,0+30*($AG214/100),IF($O$5&gt;70,0+50*($AG214/100),IF($O$5&gt;60,5+50*($AG214/100),IF($O$5&gt;50,10+60*($AG214/100),IF($O$5&gt;40,15+70*($AG214/100),IF($O$5&gt;30,20+70*($AG214/100),IF($O$5&gt;20,40+55*($AG214/100),(80+(20-$O$5)+30*($AG214/100))))))))))</f>
        <v>100</v>
      </c>
      <c r="AI214" s="262"/>
      <c r="AJ214" s="262"/>
      <c r="AK214" s="262"/>
      <c r="AL214" s="263"/>
      <c r="AM214" s="264"/>
      <c r="AN214" s="263">
        <v>88</v>
      </c>
      <c r="AO214" s="263"/>
      <c r="AP214" s="265"/>
      <c r="AQ214" s="266"/>
      <c r="AR214" s="267">
        <v>4728</v>
      </c>
      <c r="AS214" s="263"/>
      <c r="AT214" s="263"/>
      <c r="AU214" s="263"/>
      <c r="AV214" s="264"/>
      <c r="AW214" s="263"/>
      <c r="AX214" s="263"/>
      <c r="AY214" s="263"/>
      <c r="AZ214" s="263"/>
      <c r="BA214" s="263"/>
      <c r="BB214" s="263"/>
      <c r="BC214" s="263"/>
      <c r="BD214" s="264"/>
      <c r="BE214" s="263"/>
      <c r="BF214" s="263"/>
      <c r="BG214" s="263"/>
      <c r="BH214" s="263"/>
      <c r="BI214" s="263"/>
      <c r="BJ214" s="404">
        <f>altaz(J2000_Bas,$O214,$M214,DecLat,DecLong,2)</f>
        <v>77.382967954414028</v>
      </c>
      <c r="BK214" s="378" t="s">
        <v>303</v>
      </c>
      <c r="BL214" s="379">
        <f>IF((2*G214)/60&lt;0.2,0.2,(2*G214)/60)</f>
        <v>0.2</v>
      </c>
      <c r="BM214" s="380">
        <f>MOD((50000+AD214-$B$3+(0/24)),1)</f>
        <v>0.26318586632260121</v>
      </c>
      <c r="BN214" s="381"/>
      <c r="BO214" s="382">
        <v>214</v>
      </c>
    </row>
    <row r="215" spans="1:67" s="24" customFormat="1" ht="15" customHeight="1" x14ac:dyDescent="0.25">
      <c r="A215" s="288" t="s">
        <v>304</v>
      </c>
      <c r="B215" s="241" t="str">
        <f>HYPERLINK(CONCATENATE($AT$3,BK215,$AU$3),$AV$3)</f>
        <v>S</v>
      </c>
      <c r="C215" s="242" t="str">
        <f>HYPERLINK(CONCATENATE($AT$4,BK215,$AU$4,BL215),$AV$4)</f>
        <v>A</v>
      </c>
      <c r="D215" s="243" t="s">
        <v>5638</v>
      </c>
      <c r="E215" s="244" t="s">
        <v>5337</v>
      </c>
      <c r="F215" s="269" t="s">
        <v>3319</v>
      </c>
      <c r="G215" s="273">
        <v>5</v>
      </c>
      <c r="H215" s="283">
        <v>100</v>
      </c>
      <c r="I215" s="246">
        <v>150</v>
      </c>
      <c r="J215" s="246">
        <v>3</v>
      </c>
      <c r="K215" s="247" t="s">
        <v>4150</v>
      </c>
      <c r="L215" s="248">
        <v>84248</v>
      </c>
      <c r="M215" s="249">
        <f>15*(LEFT(TEXT($L215,"000000"),2)+(MID(TEXT($L215,"000000"),3,2)/60)+(RIGHT(TEXT($L215,"000000"),2)/3600))</f>
        <v>130.69999999999999</v>
      </c>
      <c r="N215" s="250">
        <v>141600</v>
      </c>
      <c r="O215" s="251">
        <f>IF($N215&gt;0,(LEFT(TEXT($N215,"000000"),2)+(MID(TEXT($N215,"000000"),3,2)/60)+(RIGHT(TEXT($N215,"000000"),2)/3600)),-(MID(TEXT($N215,"000000"),2,2)+(MID(TEXT($N215,"000000"),4,2)/60)+(RIGHT(TEXT($N215,"000000"),2)/3600)))</f>
        <v>14.266666666666667</v>
      </c>
      <c r="P215" s="252" t="s">
        <v>100</v>
      </c>
      <c r="Q215" s="253"/>
      <c r="R215" s="247" t="s">
        <v>3514</v>
      </c>
      <c r="S215" s="272" t="s">
        <v>3293</v>
      </c>
      <c r="T215" s="273">
        <v>11.8</v>
      </c>
      <c r="U215" s="289">
        <v>21.89</v>
      </c>
      <c r="V215" s="280"/>
      <c r="W215" s="244"/>
      <c r="X215" s="244"/>
      <c r="Y215" s="362"/>
      <c r="Z215" s="257">
        <f>altaz(J2000_Bas,$O215,$M215,DecLat,DecLong,1)</f>
        <v>-38.889385727604051</v>
      </c>
      <c r="AA215" s="257">
        <f>altaz((J2000_Bas+(2*0.04167)),$O215,$M215,DecLat,DecLong,1)</f>
        <v>-44.438139249994954</v>
      </c>
      <c r="AB215" s="257">
        <f>altaz((J2000_Bas+(4*0.04167)),$O215,$M215,DecLat,DecLong,1)</f>
        <v>-33.341362942669534</v>
      </c>
      <c r="AC215" s="257">
        <f>altaz((J2000_Bas+(6*0.04167)),$O215,$M215,DecLat,DecLong,1)</f>
        <v>-12.523079312895996</v>
      </c>
      <c r="AD215" s="258">
        <f>1+ transit((J2000_Bas-1),$O215,$M215,DecLat,DecLong)/360 + (GMTOffset/24) + (IF(DST="Y", 1, 0)/24)</f>
        <v>1.355955479879708</v>
      </c>
      <c r="AE215" s="259">
        <f>DATE(2001,9,21)+(M215/360)*365 - (360*((DecLong/360)- (GMTOffset/24) ))</f>
        <v>37292.515277777777</v>
      </c>
      <c r="AF215" s="260">
        <f>IF(DecLat&gt;0,IF((90 - (DecLat-O215))&gt;90, (90 - (O215-DecLat)), (90 - (DecLat-O215))),IF((90 + (DecLat-O215))&gt;90, (90 + (O215-DecLat)), (90 + (DecLat-O215))))</f>
        <v>73.266666666666666</v>
      </c>
      <c r="AG215" s="257">
        <f>angularseperation(MoonRA,MoonDec,$M215,$O215)</f>
        <v>121.63371498835083</v>
      </c>
      <c r="AH215" s="261">
        <f ca="1">MIN(100,IF($O$5&gt;80,0+30*($AG215/100),IF($O$5&gt;70,0+50*($AG215/100),IF($O$5&gt;60,5+50*($AG215/100),IF($O$5&gt;50,10+60*($AG215/100),IF($O$5&gt;40,15+70*($AG215/100),IF($O$5&gt;30,20+70*($AG215/100),IF($O$5&gt;20,40+55*($AG215/100),(80+(20-$O$5)+30*($AG215/100))))))))))</f>
        <v>100</v>
      </c>
      <c r="AI215" s="262">
        <v>2648</v>
      </c>
      <c r="AJ215" s="262"/>
      <c r="AK215" s="262"/>
      <c r="AL215" s="263"/>
      <c r="AM215" s="264"/>
      <c r="AN215" s="263">
        <v>89</v>
      </c>
      <c r="AO215" s="263"/>
      <c r="AP215" s="265"/>
      <c r="AQ215" s="266">
        <v>4541</v>
      </c>
      <c r="AR215" s="267">
        <v>24464</v>
      </c>
      <c r="AS215" s="263"/>
      <c r="AT215" s="263"/>
      <c r="AU215" s="263"/>
      <c r="AV215" s="264"/>
      <c r="AW215" s="263"/>
      <c r="AX215" s="263"/>
      <c r="AY215" s="263"/>
      <c r="AZ215" s="263"/>
      <c r="BA215" s="263"/>
      <c r="BB215" s="263"/>
      <c r="BC215" s="263"/>
      <c r="BD215" s="264"/>
      <c r="BE215" s="263"/>
      <c r="BF215" s="263"/>
      <c r="BG215" s="263"/>
      <c r="BH215" s="263"/>
      <c r="BI215" s="263"/>
      <c r="BJ215" s="404">
        <f>altaz(J2000_Bas,$O215,$M215,DecLat,DecLong,2)</f>
        <v>328.65116168798545</v>
      </c>
      <c r="BK215" s="378" t="s">
        <v>304</v>
      </c>
      <c r="BL215" s="379">
        <f>IF((2*G215)/60&lt;0.2,0.2,(2*G215)/60)</f>
        <v>0.2</v>
      </c>
      <c r="BM215" s="380">
        <f>MOD((50000+AD215-$B$3+(0/24)),1)</f>
        <v>0.57132240958162583</v>
      </c>
      <c r="BN215" s="381"/>
      <c r="BO215" s="382">
        <v>215</v>
      </c>
    </row>
    <row r="216" spans="1:67" s="24" customFormat="1" ht="15" customHeight="1" x14ac:dyDescent="0.25">
      <c r="A216" s="288" t="s">
        <v>305</v>
      </c>
      <c r="B216" s="241" t="str">
        <f>HYPERLINK(CONCATENATE($AT$3,BK216,$AU$3),$AV$3)</f>
        <v>S</v>
      </c>
      <c r="C216" s="242" t="str">
        <f>HYPERLINK(CONCATENATE($AT$4,BK216,$AU$4,BL216),$AV$4)</f>
        <v>A</v>
      </c>
      <c r="D216" s="243" t="s">
        <v>5638</v>
      </c>
      <c r="E216" s="244" t="s">
        <v>5337</v>
      </c>
      <c r="F216" s="269" t="s">
        <v>3310</v>
      </c>
      <c r="G216" s="273">
        <v>2</v>
      </c>
      <c r="H216" s="283">
        <v>130</v>
      </c>
      <c r="I216" s="246">
        <v>75</v>
      </c>
      <c r="J216" s="246">
        <v>2</v>
      </c>
      <c r="K216" s="247" t="s">
        <v>4151</v>
      </c>
      <c r="L216" s="248">
        <v>152606</v>
      </c>
      <c r="M216" s="249">
        <f>15*(LEFT(TEXT($L216,"000000"),2)+(MID(TEXT($L216,"000000"),3,2)/60)+(RIGHT(TEXT($L216,"000000"),2)/3600))</f>
        <v>231.52500000000001</v>
      </c>
      <c r="N216" s="250">
        <v>414000</v>
      </c>
      <c r="O216" s="251">
        <f>IF($N216&gt;0,(LEFT(TEXT($N216,"000000"),2)+(MID(TEXT($N216,"000000"),3,2)/60)+(RIGHT(TEXT($N216,"000000"),2)/3600)),-(MID(TEXT($N216,"000000"),2,2)+(MID(TEXT($N216,"000000"),4,2)/60)+(RIGHT(TEXT($N216,"000000"),2)/3600)))</f>
        <v>41.666666666666664</v>
      </c>
      <c r="P216" s="252" t="s">
        <v>260</v>
      </c>
      <c r="Q216" s="253"/>
      <c r="R216" s="247" t="s">
        <v>3631</v>
      </c>
      <c r="S216" s="272" t="s">
        <v>3293</v>
      </c>
      <c r="T216" s="273">
        <v>13.1</v>
      </c>
      <c r="U216" s="289">
        <v>21.490000000000002</v>
      </c>
      <c r="V216" s="280"/>
      <c r="W216" s="244"/>
      <c r="X216" s="244"/>
      <c r="Y216" s="362"/>
      <c r="Z216" s="257">
        <f>altaz(J2000_Bas,$O216,$M216,DecLat,DecLong,1)</f>
        <v>45.597127583203232</v>
      </c>
      <c r="AA216" s="257">
        <f>altaz((J2000_Bas+(2*0.04167)),$O216,$M216,DecLat,DecLong,1)</f>
        <v>23.770616328776338</v>
      </c>
      <c r="AB216" s="257">
        <f>altaz((J2000_Bas+(4*0.04167)),$O216,$M216,DecLat,DecLong,1)</f>
        <v>4.3222171608561615</v>
      </c>
      <c r="AC216" s="257">
        <f>altaz((J2000_Bas+(6*0.04167)),$O216,$M216,DecLat,DecLong,1)</f>
        <v>-10.393076327066501</v>
      </c>
      <c r="AD216" s="258">
        <f>1+ transit((J2000_Bas-1),$O216,$M216,DecLat,DecLong)/360 + (GMTOffset/24) + (IF(DST="Y", 1, 0)/24)</f>
        <v>1.6360248963172082</v>
      </c>
      <c r="AE216" s="259">
        <f>DATE(2001,9,21)+(M216/360)*365 - (360*((DecLong/360)- (GMTOffset/24) ))</f>
        <v>37394.740624999999</v>
      </c>
      <c r="AF216" s="260">
        <f>IF(DecLat&gt;0,IF((90 - (DecLat-O216))&gt;90, (90 - (O216-DecLat)), (90 - (DecLat-O216))),IF((90 + (DecLat-O216))&gt;90, (90 + (O216-DecLat)), (90 + (DecLat-O216))))</f>
        <v>79.333333333333343</v>
      </c>
      <c r="AG216" s="257">
        <f>angularseperation(MoonRA,MoonDec,$M216,$O216)</f>
        <v>70.677752221579368</v>
      </c>
      <c r="AH216" s="261">
        <f ca="1">MIN(100,IF($O$5&gt;80,0+30*($AG216/100),IF($O$5&gt;70,0+50*($AG216/100),IF($O$5&gt;60,5+50*($AG216/100),IF($O$5&gt;50,10+60*($AG216/100),IF($O$5&gt;40,15+70*($AG216/100),IF($O$5&gt;30,20+70*($AG216/100),IF($O$5&gt;20,40+55*($AG216/100),(80+(20-$O$5)+30*($AG216/100))))))))))</f>
        <v>100</v>
      </c>
      <c r="AI216" s="262">
        <v>5929</v>
      </c>
      <c r="AJ216" s="262"/>
      <c r="AK216" s="262"/>
      <c r="AL216" s="263"/>
      <c r="AM216" s="264"/>
      <c r="AN216" s="263">
        <v>90</v>
      </c>
      <c r="AO216" s="263"/>
      <c r="AP216" s="265"/>
      <c r="AQ216" s="266">
        <v>9851</v>
      </c>
      <c r="AR216" s="267">
        <v>55076</v>
      </c>
      <c r="AS216" s="263"/>
      <c r="AT216" s="263"/>
      <c r="AU216" s="263"/>
      <c r="AV216" s="264"/>
      <c r="AW216" s="263"/>
      <c r="AX216" s="263"/>
      <c r="AY216" s="263"/>
      <c r="AZ216" s="263"/>
      <c r="BA216" s="263"/>
      <c r="BB216" s="263"/>
      <c r="BC216" s="263"/>
      <c r="BD216" s="264"/>
      <c r="BE216" s="263"/>
      <c r="BF216" s="263"/>
      <c r="BG216" s="263"/>
      <c r="BH216" s="263"/>
      <c r="BI216" s="263"/>
      <c r="BJ216" s="404">
        <f>altaz(J2000_Bas,$O216,$M216,DecLat,DecLong,2)</f>
        <v>299.66452528605271</v>
      </c>
      <c r="BK216" s="378" t="s">
        <v>305</v>
      </c>
      <c r="BL216" s="379">
        <f>IF((2*G216)/60&lt;0.2,0.2,(2*G216)/60)</f>
        <v>0.2</v>
      </c>
      <c r="BM216" s="380">
        <f>MOD((50000+AD216-$B$3+(0/24)),1)</f>
        <v>0.85139182602142682</v>
      </c>
      <c r="BN216" s="381"/>
      <c r="BO216" s="382">
        <v>216</v>
      </c>
    </row>
    <row r="217" spans="1:67" s="24" customFormat="1" ht="15" customHeight="1" x14ac:dyDescent="0.25">
      <c r="A217" s="288" t="s">
        <v>306</v>
      </c>
      <c r="B217" s="241" t="str">
        <f>HYPERLINK(CONCATENATE($AT$3,BK217,$AU$3),$AV$3)</f>
        <v>S</v>
      </c>
      <c r="C217" s="242" t="str">
        <f>HYPERLINK(CONCATENATE($AT$4,BK217,$AU$4,BL217),$AV$4)</f>
        <v>A</v>
      </c>
      <c r="D217" s="243" t="s">
        <v>5638</v>
      </c>
      <c r="E217" s="244" t="s">
        <v>5337</v>
      </c>
      <c r="F217" s="269" t="s">
        <v>3310</v>
      </c>
      <c r="G217" s="273">
        <v>1.6</v>
      </c>
      <c r="H217" s="283">
        <v>100</v>
      </c>
      <c r="I217" s="246">
        <v>50</v>
      </c>
      <c r="J217" s="246">
        <v>2</v>
      </c>
      <c r="K217" s="247" t="s">
        <v>4152</v>
      </c>
      <c r="L217" s="248">
        <v>153432</v>
      </c>
      <c r="M217" s="249">
        <f>15*(LEFT(TEXT($L217,"000000"),2)+(MID(TEXT($L217,"000000"),3,2)/60)+(RIGHT(TEXT($L217,"000000"),2)/3600))</f>
        <v>233.63333333333333</v>
      </c>
      <c r="N217" s="250">
        <v>151100</v>
      </c>
      <c r="O217" s="251">
        <f>IF($N217&gt;0,(LEFT(TEXT($N217,"000000"),2)+(MID(TEXT($N217,"000000"),3,2)/60)+(RIGHT(TEXT($N217,"000000"),2)/3600)),-(MID(TEXT($N217,"000000"),2,2)+(MID(TEXT($N217,"000000"),4,2)/60)+(RIGHT(TEXT($N217,"000000"),2)/3600)))</f>
        <v>15.183333333333334</v>
      </c>
      <c r="P217" s="252" t="s">
        <v>115</v>
      </c>
      <c r="Q217" s="253"/>
      <c r="R217" s="247" t="s">
        <v>3632</v>
      </c>
      <c r="S217" s="272" t="s">
        <v>3293</v>
      </c>
      <c r="T217" s="273">
        <v>13</v>
      </c>
      <c r="U217" s="289">
        <v>21.89</v>
      </c>
      <c r="V217" s="280"/>
      <c r="W217" s="244"/>
      <c r="X217" s="244"/>
      <c r="Y217" s="362"/>
      <c r="Z217" s="257">
        <f>altaz(J2000_Bas,$O217,$M217,DecLat,DecLong,1)</f>
        <v>39.790634640561137</v>
      </c>
      <c r="AA217" s="257">
        <f>altaz((J2000_Bas+(2*0.04167)),$O217,$M217,DecLat,DecLong,1)</f>
        <v>14.09502826892586</v>
      </c>
      <c r="AB217" s="257">
        <f>altaz((J2000_Bas+(4*0.04167)),$O217,$M217,DecLat,DecLong,1)</f>
        <v>-10.497486131583516</v>
      </c>
      <c r="AC217" s="257">
        <f>altaz((J2000_Bas+(6*0.04167)),$O217,$M217,DecLat,DecLong,1)</f>
        <v>-31.499049270665978</v>
      </c>
      <c r="AD217" s="258">
        <f>1+ transit((J2000_Bas-1),$O217,$M217,DecLat,DecLong)/360 + (GMTOffset/24) + (IF(DST="Y", 1, 0)/24)</f>
        <v>1.6418813772130412</v>
      </c>
      <c r="AE217" s="259">
        <f>DATE(2001,9,21)+(M217/360)*365 - (360*((DecLong/360)- (GMTOffset/24) ))</f>
        <v>37396.878240740742</v>
      </c>
      <c r="AF217" s="260">
        <f>IF(DecLat&gt;0,IF((90 - (DecLat-O217))&gt;90, (90 - (O217-DecLat)), (90 - (DecLat-O217))),IF((90 + (DecLat-O217))&gt;90, (90 + (O217-DecLat)), (90 + (DecLat-O217))))</f>
        <v>74.183333333333337</v>
      </c>
      <c r="AG217" s="257">
        <f>angularseperation(MoonRA,MoonDec,$M217,$O217)</f>
        <v>44.901118663283661</v>
      </c>
      <c r="AH217" s="261">
        <f ca="1">MIN(100,IF($O$5&gt;80,0+30*($AG217/100),IF($O$5&gt;70,0+50*($AG217/100),IF($O$5&gt;60,5+50*($AG217/100),IF($O$5&gt;50,10+60*($AG217/100),IF($O$5&gt;40,15+70*($AG217/100),IF($O$5&gt;30,20+70*($AG217/100),IF($O$5&gt;20,40+55*($AG217/100),(80+(20-$O$5)+30*($AG217/100))))))))))</f>
        <v>96.741395943135529</v>
      </c>
      <c r="AI217" s="262">
        <v>5953</v>
      </c>
      <c r="AJ217" s="262"/>
      <c r="AK217" s="262"/>
      <c r="AL217" s="263"/>
      <c r="AM217" s="264"/>
      <c r="AN217" s="263">
        <v>91</v>
      </c>
      <c r="AO217" s="263"/>
      <c r="AP217" s="265"/>
      <c r="AQ217" s="266">
        <v>9903</v>
      </c>
      <c r="AR217" s="267">
        <v>55480</v>
      </c>
      <c r="AS217" s="263"/>
      <c r="AT217" s="263"/>
      <c r="AU217" s="263"/>
      <c r="AV217" s="264"/>
      <c r="AW217" s="263"/>
      <c r="AX217" s="263"/>
      <c r="AY217" s="263"/>
      <c r="AZ217" s="263"/>
      <c r="BA217" s="263"/>
      <c r="BB217" s="263"/>
      <c r="BC217" s="263"/>
      <c r="BD217" s="264"/>
      <c r="BE217" s="263"/>
      <c r="BF217" s="263"/>
      <c r="BG217" s="263"/>
      <c r="BH217" s="263"/>
      <c r="BI217" s="263"/>
      <c r="BJ217" s="404">
        <f>altaz(J2000_Bas,$O217,$M217,DecLat,DecLong,2)</f>
        <v>264.099585398675</v>
      </c>
      <c r="BK217" s="378" t="s">
        <v>306</v>
      </c>
      <c r="BL217" s="379">
        <f>IF((2*G217)/60&lt;0.2,0.2,(2*G217)/60)</f>
        <v>0.2</v>
      </c>
      <c r="BM217" s="380">
        <f>MOD((50000+AD217-$B$3+(0/24)),1)</f>
        <v>0.85724830691469833</v>
      </c>
      <c r="BN217" s="381"/>
      <c r="BO217" s="382">
        <v>217</v>
      </c>
    </row>
    <row r="218" spans="1:67" s="24" customFormat="1" ht="15" customHeight="1" x14ac:dyDescent="0.25">
      <c r="A218" s="288" t="s">
        <v>307</v>
      </c>
      <c r="B218" s="241" t="str">
        <f>HYPERLINK(CONCATENATE($AT$3,BK218,$AU$3),$AV$3)</f>
        <v>S</v>
      </c>
      <c r="C218" s="242" t="str">
        <f>HYPERLINK(CONCATENATE($AT$4,BK218,$AU$4,BL218),$AV$4)</f>
        <v>A</v>
      </c>
      <c r="D218" s="243" t="s">
        <v>5638</v>
      </c>
      <c r="E218" s="244" t="s">
        <v>5192</v>
      </c>
      <c r="F218" s="269" t="s">
        <v>8688</v>
      </c>
      <c r="G218" s="273">
        <v>1.2</v>
      </c>
      <c r="H218" s="283">
        <v>400</v>
      </c>
      <c r="I218" s="246">
        <v>140</v>
      </c>
      <c r="J218" s="246">
        <v>2</v>
      </c>
      <c r="K218" s="247" t="s">
        <v>4153</v>
      </c>
      <c r="L218" s="248">
        <v>231856</v>
      </c>
      <c r="M218" s="249">
        <f>15*(LEFT(TEXT($L218,"000000"),2)+(MID(TEXT($L218,"000000"),3,2)/60)+(RIGHT(TEXT($L218,"000000"),2)/3600))</f>
        <v>349.73333333333335</v>
      </c>
      <c r="N218" s="250">
        <v>1400</v>
      </c>
      <c r="O218" s="251">
        <f>IF($N218&gt;0,(LEFT(TEXT($N218,"000000"),2)+(MID(TEXT($N218,"000000"),3,2)/60)+(RIGHT(TEXT($N218,"000000"),2)/3600)),-(MID(TEXT($N218,"000000"),2,2)+(MID(TEXT($N218,"000000"),4,2)/60)+(RIGHT(TEXT($N218,"000000"),2)/3600)))</f>
        <v>0.23333333333333334</v>
      </c>
      <c r="P218" s="252" t="s">
        <v>158</v>
      </c>
      <c r="Q218" s="253"/>
      <c r="R218" s="247" t="s">
        <v>3697</v>
      </c>
      <c r="S218" s="272" t="s">
        <v>3293</v>
      </c>
      <c r="T218" s="273">
        <v>13.2</v>
      </c>
      <c r="U218" s="289">
        <v>22.39</v>
      </c>
      <c r="V218" s="280">
        <v>55</v>
      </c>
      <c r="W218" s="244"/>
      <c r="X218" s="244"/>
      <c r="Y218" s="362"/>
      <c r="Z218" s="257">
        <f>altaz(J2000_Bas,$O218,$M218,DecLat,DecLong,1)</f>
        <v>22.424678479521258</v>
      </c>
      <c r="AA218" s="257">
        <f>altaz((J2000_Bas+(2*0.04167)),$O218,$M218,DecLat,DecLong,1)</f>
        <v>45.697477004400554</v>
      </c>
      <c r="AB218" s="257">
        <f>altaz((J2000_Bas+(4*0.04167)),$O218,$M218,DecLat,DecLong,1)</f>
        <v>59.04840339543825</v>
      </c>
      <c r="AC218" s="257">
        <f>altaz((J2000_Bas+(6*0.04167)),$O218,$M218,DecLat,DecLong,1)</f>
        <v>50.268339802569173</v>
      </c>
      <c r="AD218" s="258">
        <f>1+ transit((J2000_Bas-1),$O218,$M218,DecLat,DecLong)/360 + (GMTOffset/24) + (IF(DST="Y", 1, 0)/24)</f>
        <v>1.9643813449630414</v>
      </c>
      <c r="AE218" s="259">
        <f>DATE(2001,9,21)+(M218/360)*365 - (360*((DecLong/360)- (GMTOffset/24) ))</f>
        <v>37514.590740740743</v>
      </c>
      <c r="AF218" s="260">
        <f>IF(DecLat&gt;0,IF((90 - (DecLat-O218))&gt;90, (90 - (O218-DecLat)), (90 - (DecLat-O218))),IF((90 + (DecLat-O218))&gt;90, (90 + (O218-DecLat)), (90 + (DecLat-O218))))</f>
        <v>59.233333333333334</v>
      </c>
      <c r="AG218" s="257">
        <f>angularseperation(MoonRA,MoonDec,$M218,$O218)</f>
        <v>99.437589619044019</v>
      </c>
      <c r="AH218" s="261">
        <f ca="1">MIN(100,IF($O$5&gt;80,0+30*($AG218/100),IF($O$5&gt;70,0+50*($AG218/100),IF($O$5&gt;60,5+50*($AG218/100),IF($O$5&gt;50,10+60*($AG218/100),IF($O$5&gt;40,15+70*($AG218/100),IF($O$5&gt;30,20+70*($AG218/100),IF($O$5&gt;20,40+55*($AG218/100),(80+(20-$O$5)+30*($AG218/100))))))))))</f>
        <v>100</v>
      </c>
      <c r="AI218" s="262">
        <v>7603</v>
      </c>
      <c r="AJ218" s="262"/>
      <c r="AK218" s="262"/>
      <c r="AL218" s="263"/>
      <c r="AM218" s="264"/>
      <c r="AN218" s="263">
        <v>92</v>
      </c>
      <c r="AO218" s="263"/>
      <c r="AP218" s="265"/>
      <c r="AQ218" s="266">
        <v>12493</v>
      </c>
      <c r="AR218" s="267">
        <v>71035</v>
      </c>
      <c r="AS218" s="263"/>
      <c r="AT218" s="263"/>
      <c r="AU218" s="263"/>
      <c r="AV218" s="264"/>
      <c r="AW218" s="263"/>
      <c r="AX218" s="263"/>
      <c r="AY218" s="263"/>
      <c r="AZ218" s="263"/>
      <c r="BA218" s="263"/>
      <c r="BB218" s="263"/>
      <c r="BC218" s="263"/>
      <c r="BD218" s="264"/>
      <c r="BE218" s="263"/>
      <c r="BF218" s="263"/>
      <c r="BG218" s="263"/>
      <c r="BH218" s="263"/>
      <c r="BI218" s="263"/>
      <c r="BJ218" s="404">
        <f>altaz(J2000_Bas,$O218,$M218,DecLat,DecLong,2)</f>
        <v>104.05304024432098</v>
      </c>
      <c r="BK218" s="378" t="s">
        <v>307</v>
      </c>
      <c r="BL218" s="379">
        <f>IF((2*G218)/60&lt;0.2,0.2,(2*G218)/60)</f>
        <v>0.2</v>
      </c>
      <c r="BM218" s="380">
        <f>MOD((50000+AD218-$B$3+(0/24)),1)</f>
        <v>0.17974827466969145</v>
      </c>
      <c r="BN218" s="381" t="s">
        <v>8795</v>
      </c>
      <c r="BO218" s="382">
        <v>218</v>
      </c>
    </row>
    <row r="219" spans="1:67" s="24" customFormat="1" ht="15" customHeight="1" x14ac:dyDescent="0.25">
      <c r="A219" s="288" t="s">
        <v>308</v>
      </c>
      <c r="B219" s="241" t="str">
        <f>HYPERLINK(CONCATENATE($AT$3,BK219,$AU$3),$AV$3)</f>
        <v>S</v>
      </c>
      <c r="C219" s="242" t="str">
        <f>HYPERLINK(CONCATENATE($AT$4,BK219,$AU$4,BL219),$AV$4)</f>
        <v>A</v>
      </c>
      <c r="D219" s="243" t="s">
        <v>5638</v>
      </c>
      <c r="E219" s="244" t="s">
        <v>5337</v>
      </c>
      <c r="F219" s="269" t="s">
        <v>3310</v>
      </c>
      <c r="G219" s="273">
        <v>2</v>
      </c>
      <c r="H219" s="283">
        <v>220</v>
      </c>
      <c r="I219" s="246">
        <v>130</v>
      </c>
      <c r="J219" s="246">
        <v>2</v>
      </c>
      <c r="K219" s="247" t="s">
        <v>4154</v>
      </c>
      <c r="L219" s="248">
        <v>222836</v>
      </c>
      <c r="M219" s="249">
        <f>15*(LEFT(TEXT($L219,"000000"),2)+(MID(TEXT($L219,"000000"),3,2)/60)+(RIGHT(TEXT($L219,"000000"),2)/3600))</f>
        <v>337.15</v>
      </c>
      <c r="N219" s="250">
        <v>-245000</v>
      </c>
      <c r="O219" s="251">
        <f>IF($N219&gt;0,(LEFT(TEXT($N219,"000000"),2)+(MID(TEXT($N219,"000000"),3,2)/60)+(RIGHT(TEXT($N219,"000000"),2)/3600)),-(MID(TEXT($N219,"000000"),2,2)+(MID(TEXT($N219,"000000"),4,2)/60)+(RIGHT(TEXT($N219,"000000"),2)/3600)))</f>
        <v>-24.833333333333332</v>
      </c>
      <c r="P219" s="252" t="s">
        <v>3119</v>
      </c>
      <c r="Q219" s="253"/>
      <c r="R219" s="247" t="s">
        <v>3691</v>
      </c>
      <c r="S219" s="272" t="s">
        <v>3293</v>
      </c>
      <c r="T219" s="273">
        <v>12.1</v>
      </c>
      <c r="U219" s="289">
        <v>22.09</v>
      </c>
      <c r="V219" s="280"/>
      <c r="W219" s="244"/>
      <c r="X219" s="244"/>
      <c r="Y219" s="362"/>
      <c r="Z219" s="257">
        <f>altaz(J2000_Bas,$O219,$M219,DecLat,DecLong,1)</f>
        <v>15.764911264626647</v>
      </c>
      <c r="AA219" s="257">
        <f>altaz((J2000_Bas+(2*0.04167)),$O219,$M219,DecLat,DecLong,1)</f>
        <v>30.639031609433513</v>
      </c>
      <c r="AB219" s="257">
        <f>altaz((J2000_Bas+(4*0.04167)),$O219,$M219,DecLat,DecLong,1)</f>
        <v>33.502859002848041</v>
      </c>
      <c r="AC219" s="257">
        <f>altaz((J2000_Bas+(6*0.04167)),$O219,$M219,DecLat,DecLong,1)</f>
        <v>22.788667959284314</v>
      </c>
      <c r="AD219" s="258">
        <f>1+ transit((J2000_Bas-1),$O219,$M219,DecLat,DecLong)/360 + (GMTOffset/24) + (IF(DST="Y", 1, 0)/24)</f>
        <v>1.9294276447547081</v>
      </c>
      <c r="AE219" s="259">
        <f>DATE(2001,9,21)+(M219/360)*365 - (360*((DecLong/360)- (GMTOffset/24) ))</f>
        <v>37501.832638888889</v>
      </c>
      <c r="AF219" s="260">
        <f>IF(DecLat&gt;0,IF((90 - (DecLat-O219))&gt;90, (90 - (O219-DecLat)), (90 - (DecLat-O219))),IF((90 + (DecLat-O219))&gt;90, (90 + (O219-DecLat)), (90 + (DecLat-O219))))</f>
        <v>34.166666666666671</v>
      </c>
      <c r="AG219" s="257">
        <f>angularseperation(MoonRA,MoonDec,$M219,$O219)</f>
        <v>77.249226559310202</v>
      </c>
      <c r="AH219" s="261">
        <f ca="1">MIN(100,IF($O$5&gt;80,0+30*($AG219/100),IF($O$5&gt;70,0+50*($AG219/100),IF($O$5&gt;60,5+50*($AG219/100),IF($O$5&gt;50,10+60*($AG219/100),IF($O$5&gt;40,15+70*($AG219/100),IF($O$5&gt;30,20+70*($AG219/100),IF($O$5&gt;20,40+55*($AG219/100),(80+(20-$O$5)+30*($AG219/100))))))))))</f>
        <v>100</v>
      </c>
      <c r="AI219" s="262">
        <v>7284</v>
      </c>
      <c r="AJ219" s="262"/>
      <c r="AK219" s="262"/>
      <c r="AL219" s="263"/>
      <c r="AM219" s="264"/>
      <c r="AN219" s="263">
        <v>93</v>
      </c>
      <c r="AO219" s="263"/>
      <c r="AP219" s="265"/>
      <c r="AQ219" s="266"/>
      <c r="AR219" s="267">
        <v>68950</v>
      </c>
      <c r="AS219" s="263"/>
      <c r="AT219" s="263"/>
      <c r="AU219" s="263"/>
      <c r="AV219" s="264"/>
      <c r="AW219" s="263"/>
      <c r="AX219" s="263"/>
      <c r="AY219" s="263"/>
      <c r="AZ219" s="263"/>
      <c r="BA219" s="263"/>
      <c r="BB219" s="263"/>
      <c r="BC219" s="263"/>
      <c r="BD219" s="264"/>
      <c r="BE219" s="263"/>
      <c r="BF219" s="263"/>
      <c r="BG219" s="263"/>
      <c r="BH219" s="263"/>
      <c r="BI219" s="263"/>
      <c r="BJ219" s="404">
        <f>altaz(J2000_Bas,$O219,$M219,DecLat,DecLong,2)</f>
        <v>132.74544930015819</v>
      </c>
      <c r="BK219" s="378" t="s">
        <v>308</v>
      </c>
      <c r="BL219" s="379">
        <f>IF((2*G219)/60&lt;0.2,0.2,(2*G219)/60)</f>
        <v>0.2</v>
      </c>
      <c r="BM219" s="380">
        <f>MOD((50000+AD219-$B$3+(0/24)),1)</f>
        <v>0.1447945744585013</v>
      </c>
      <c r="BN219" s="381"/>
      <c r="BO219" s="382">
        <v>219</v>
      </c>
    </row>
    <row r="220" spans="1:67" s="24" customFormat="1" ht="15" customHeight="1" x14ac:dyDescent="0.25">
      <c r="A220" s="288" t="s">
        <v>309</v>
      </c>
      <c r="B220" s="241" t="str">
        <f>HYPERLINK(CONCATENATE($AT$3,BK220,$AU$3),$AV$3)</f>
        <v>S</v>
      </c>
      <c r="C220" s="242" t="str">
        <f>HYPERLINK(CONCATENATE($AT$4,BK220,$AU$4,BL220),$AV$4)</f>
        <v>A</v>
      </c>
      <c r="D220" s="243" t="s">
        <v>5638</v>
      </c>
      <c r="E220" s="244" t="s">
        <v>5337</v>
      </c>
      <c r="F220" s="269" t="s">
        <v>3310</v>
      </c>
      <c r="G220" s="273">
        <v>4</v>
      </c>
      <c r="H220" s="283">
        <v>50</v>
      </c>
      <c r="I220" s="246">
        <v>60</v>
      </c>
      <c r="J220" s="246">
        <v>3</v>
      </c>
      <c r="K220" s="247" t="s">
        <v>4992</v>
      </c>
      <c r="L220" s="248">
        <v>102331</v>
      </c>
      <c r="M220" s="249">
        <f>15*(LEFT(TEXT($L220,"000000"),2)+(MID(TEXT($L220,"000000"),3,2)/60)+(RIGHT(TEXT($L220,"000000"),2)/3600))</f>
        <v>155.87916666666666</v>
      </c>
      <c r="N220" s="286">
        <v>195154</v>
      </c>
      <c r="O220" s="251">
        <f>IF($N220&gt;0,(LEFT(TEXT($N220,"000000"),2)+(MID(TEXT($N220,"000000"),3,2)/60)+(RIGHT(TEXT($N220,"000000"),2)/3600)),-(MID(TEXT($N220,"000000"),2,2)+(MID(TEXT($N220,"000000"),4,2)/60)+(RIGHT(TEXT($N220,"000000"),2)/3600)))</f>
        <v>19.865000000000002</v>
      </c>
      <c r="P220" s="252" t="s">
        <v>183</v>
      </c>
      <c r="Q220" s="253"/>
      <c r="R220" s="247" t="s">
        <v>3539</v>
      </c>
      <c r="S220" s="272" t="s">
        <v>1833</v>
      </c>
      <c r="T220" s="273">
        <v>10.3</v>
      </c>
      <c r="U220" s="289">
        <v>22.29</v>
      </c>
      <c r="V220" s="280"/>
      <c r="W220" s="244"/>
      <c r="X220" s="244"/>
      <c r="Y220" s="362"/>
      <c r="Z220" s="257">
        <f>altaz(J2000_Bas,$O220,$M220,DecLat,DecLong,1)</f>
        <v>-20.151770148266454</v>
      </c>
      <c r="AA220" s="257">
        <f>altaz((J2000_Bas+(2*0.04167)),$O220,$M220,DecLat,DecLong,1)</f>
        <v>-35.699081626552903</v>
      </c>
      <c r="AB220" s="257">
        <f>altaz((J2000_Bas+(4*0.04167)),$O220,$M220,DecLat,DecLong,1)</f>
        <v>-38.183146920525388</v>
      </c>
      <c r="AC220" s="257">
        <f>altaz((J2000_Bas+(6*0.04167)),$O220,$M220,DecLat,DecLong,1)</f>
        <v>-26.047732750573498</v>
      </c>
      <c r="AD220" s="258">
        <f>1+ transit((J2000_Bas-1),$O220,$M220,DecLat,DecLong)/360 + (GMTOffset/24) + (IF(DST="Y", 1, 0)/24)</f>
        <v>1.4258976025151247</v>
      </c>
      <c r="AE220" s="259">
        <f>DATE(2001,9,21)+(M220/360)*365 - (360*((DecLong/360)- (GMTOffset/24) ))</f>
        <v>37318.04415509259</v>
      </c>
      <c r="AF220" s="260">
        <f>IF(DecLat&gt;0,IF((90 - (DecLat-O220))&gt;90, (90 - (O220-DecLat)), (90 - (DecLat-O220))),IF((90 + (DecLat-O220))&gt;90, (90 + (O220-DecLat)), (90 + (DecLat-O220))))</f>
        <v>78.865000000000009</v>
      </c>
      <c r="AG220" s="257">
        <f>angularseperation(MoonRA,MoonDec,$M220,$O220)</f>
        <v>101.76100450165524</v>
      </c>
      <c r="AH220" s="261">
        <f ca="1">MIN(100,IF($O$5&gt;80,0+30*($AG220/100),IF($O$5&gt;70,0+50*($AG220/100),IF($O$5&gt;60,5+50*($AG220/100),IF($O$5&gt;50,10+60*($AG220/100),IF($O$5&gt;40,15+70*($AG220/100),IF($O$5&gt;30,20+70*($AG220/100),IF($O$5&gt;20,40+55*($AG220/100),(80+(20-$O$5)+30*($AG220/100))))))))))</f>
        <v>100</v>
      </c>
      <c r="AI220" s="262">
        <v>3227</v>
      </c>
      <c r="AJ220" s="262"/>
      <c r="AK220" s="262">
        <v>148</v>
      </c>
      <c r="AL220" s="263"/>
      <c r="AM220" s="264"/>
      <c r="AN220" s="263">
        <v>94</v>
      </c>
      <c r="AO220" s="263"/>
      <c r="AP220" s="265"/>
      <c r="AQ220" s="266">
        <v>5620</v>
      </c>
      <c r="AR220" s="267">
        <v>30445</v>
      </c>
      <c r="AS220" s="263"/>
      <c r="AT220" s="263"/>
      <c r="AU220" s="263"/>
      <c r="AV220" s="264"/>
      <c r="AW220" s="263"/>
      <c r="AX220" s="263"/>
      <c r="AY220" s="263"/>
      <c r="AZ220" s="263"/>
      <c r="BA220" s="263"/>
      <c r="BB220" s="263"/>
      <c r="BC220" s="263"/>
      <c r="BD220" s="264"/>
      <c r="BE220" s="263"/>
      <c r="BF220" s="263">
        <v>44</v>
      </c>
      <c r="BG220" s="263"/>
      <c r="BH220" s="263"/>
      <c r="BI220" s="263"/>
      <c r="BJ220" s="404">
        <f>altaz(J2000_Bas,$O220,$M220,DecLat,DecLong,2)</f>
        <v>309.99928357602812</v>
      </c>
      <c r="BK220" s="378" t="s">
        <v>309</v>
      </c>
      <c r="BL220" s="379">
        <f>IF((2*G220)/60&lt;0.2,0.2,(2*G220)/60)</f>
        <v>0.2</v>
      </c>
      <c r="BM220" s="380">
        <f>MOD((50000+AD220-$B$3+(0/24)),1)</f>
        <v>0.64126453221979318</v>
      </c>
      <c r="BN220" s="381" t="s">
        <v>8795</v>
      </c>
      <c r="BO220" s="382">
        <v>220</v>
      </c>
    </row>
    <row r="221" spans="1:67" s="24" customFormat="1" ht="15" customHeight="1" x14ac:dyDescent="0.25">
      <c r="A221" s="288" t="s">
        <v>310</v>
      </c>
      <c r="B221" s="241" t="str">
        <f>HYPERLINK(CONCATENATE($AT$3,BK221,$AU$3),$AV$3)</f>
        <v>S</v>
      </c>
      <c r="C221" s="242" t="str">
        <f>HYPERLINK(CONCATENATE($AT$4,BK221,$AU$4,BL221),$AV$4)</f>
        <v>A</v>
      </c>
      <c r="D221" s="243" t="s">
        <v>5638</v>
      </c>
      <c r="E221" s="244" t="s">
        <v>5178</v>
      </c>
      <c r="F221" s="269"/>
      <c r="G221" s="270">
        <v>0.4</v>
      </c>
      <c r="H221" s="283">
        <v>430</v>
      </c>
      <c r="I221" s="246">
        <v>50</v>
      </c>
      <c r="J221" s="246">
        <v>2</v>
      </c>
      <c r="K221" s="247" t="s">
        <v>4155</v>
      </c>
      <c r="L221" s="248">
        <v>143454</v>
      </c>
      <c r="M221" s="249">
        <f>15*(LEFT(TEXT($L221,"000000"),2)+(MID(TEXT($L221,"000000"),3,2)/60)+(RIGHT(TEXT($L221,"000000"),2)/3600))</f>
        <v>218.72499999999999</v>
      </c>
      <c r="N221" s="250">
        <v>262900</v>
      </c>
      <c r="O221" s="251">
        <f>IF($N221&gt;0,(LEFT(TEXT($N221,"000000"),2)+(MID(TEXT($N221,"000000"),3,2)/60)+(RIGHT(TEXT($N221,"000000"),2)/3600)),-(MID(TEXT($N221,"000000"),2,2)+(MID(TEXT($N221,"000000"),4,2)/60)+(RIGHT(TEXT($N221,"000000"),2)/3600)))</f>
        <v>26.483333333333334</v>
      </c>
      <c r="P221" s="252" t="s">
        <v>260</v>
      </c>
      <c r="Q221" s="253"/>
      <c r="R221" s="247" t="s">
        <v>3744</v>
      </c>
      <c r="S221" s="272" t="s">
        <v>3293</v>
      </c>
      <c r="T221" s="273">
        <v>14.4</v>
      </c>
      <c r="U221" s="289">
        <v>22.990000000000002</v>
      </c>
      <c r="V221" s="280"/>
      <c r="W221" s="244"/>
      <c r="X221" s="244"/>
      <c r="Y221" s="362"/>
      <c r="Z221" s="257">
        <f>altaz(J2000_Bas,$O221,$M221,DecLat,DecLong,1)</f>
        <v>31.737328542274248</v>
      </c>
      <c r="AA221" s="257">
        <f>altaz((J2000_Bas+(2*0.04167)),$O221,$M221,DecLat,DecLong,1)</f>
        <v>7.5483395260653188</v>
      </c>
      <c r="AB221" s="257">
        <f>altaz((J2000_Bas+(4*0.04167)),$O221,$M221,DecLat,DecLong,1)</f>
        <v>-13.698499835963924</v>
      </c>
      <c r="AC221" s="257">
        <f>altaz((J2000_Bas+(6*0.04167)),$O221,$M221,DecLat,DecLong,1)</f>
        <v>-28.639946524251041</v>
      </c>
      <c r="AD221" s="258">
        <f>1+ transit((J2000_Bas-1),$O221,$M221,DecLat,DecLong)/360 + (GMTOffset/24) + (IF(DST="Y", 1, 0)/24)</f>
        <v>1.600469344317208</v>
      </c>
      <c r="AE221" s="259">
        <f>DATE(2001,9,21)+(M221/360)*365 - (360*((DecLong/360)- (GMTOffset/24) ))</f>
        <v>37381.76284722222</v>
      </c>
      <c r="AF221" s="260">
        <f>IF(DecLat&gt;0,IF((90 - (DecLat-O221))&gt;90, (90 - (O221-DecLat)), (90 - (DecLat-O221))),IF((90 + (DecLat-O221))&gt;90, (90 + (O221-DecLat)), (90 + (DecLat-O221))))</f>
        <v>85.483333333333334</v>
      </c>
      <c r="AG221" s="257">
        <f>angularseperation(MoonRA,MoonDec,$M221,$O221)</f>
        <v>61.086557699995346</v>
      </c>
      <c r="AH221" s="261">
        <f ca="1">MIN(100,IF($O$5&gt;80,0+30*($AG221/100),IF($O$5&gt;70,0+50*($AG221/100),IF($O$5&gt;60,5+50*($AG221/100),IF($O$5&gt;50,10+60*($AG221/100),IF($O$5&gt;40,15+70*($AG221/100),IF($O$5&gt;30,20+70*($AG221/100),IF($O$5&gt;20,40+55*($AG221/100),(80+(20-$O$5)+30*($AG221/100))))))))))</f>
        <v>100</v>
      </c>
      <c r="AI221" s="262"/>
      <c r="AJ221" s="262">
        <v>4461</v>
      </c>
      <c r="AK221" s="262"/>
      <c r="AL221" s="263"/>
      <c r="AM221" s="264"/>
      <c r="AN221" s="263">
        <v>95</v>
      </c>
      <c r="AO221" s="263"/>
      <c r="AP221" s="265"/>
      <c r="AQ221" s="266">
        <v>9384</v>
      </c>
      <c r="AR221" s="267">
        <v>52119</v>
      </c>
      <c r="AS221" s="263"/>
      <c r="AT221" s="263"/>
      <c r="AU221" s="263"/>
      <c r="AV221" s="264"/>
      <c r="AW221" s="263"/>
      <c r="AX221" s="263"/>
      <c r="AY221" s="263"/>
      <c r="AZ221" s="263"/>
      <c r="BA221" s="263"/>
      <c r="BB221" s="263"/>
      <c r="BC221" s="263"/>
      <c r="BD221" s="264"/>
      <c r="BE221" s="263"/>
      <c r="BF221" s="263"/>
      <c r="BG221" s="263"/>
      <c r="BH221" s="263"/>
      <c r="BI221" s="263"/>
      <c r="BJ221" s="404">
        <f>altaz(J2000_Bas,$O221,$M221,DecLat,DecLong,2)</f>
        <v>283.89104208444627</v>
      </c>
      <c r="BK221" s="378" t="s">
        <v>310</v>
      </c>
      <c r="BL221" s="379">
        <f>IF((2*G221)/60&lt;0.2,0.2,(2*G221)/60)</f>
        <v>0.2</v>
      </c>
      <c r="BM221" s="380">
        <f>MOD((50000+AD221-$B$3+(0/24)),1)</f>
        <v>0.81583627402142156</v>
      </c>
      <c r="BN221" s="381"/>
      <c r="BO221" s="382">
        <v>221</v>
      </c>
    </row>
    <row r="222" spans="1:67" s="24" customFormat="1" ht="15" customHeight="1" x14ac:dyDescent="0.25">
      <c r="A222" s="288" t="s">
        <v>311</v>
      </c>
      <c r="B222" s="241" t="str">
        <f>HYPERLINK(CONCATENATE($AT$3,BK222,$AU$3),$AV$3)</f>
        <v>S</v>
      </c>
      <c r="C222" s="242" t="str">
        <f>HYPERLINK(CONCATENATE($AT$4,BK222,$AU$4,BL222),$AV$4)</f>
        <v>A</v>
      </c>
      <c r="D222" s="243" t="s">
        <v>5638</v>
      </c>
      <c r="E222" s="244" t="s">
        <v>5337</v>
      </c>
      <c r="F222" s="269" t="s">
        <v>3319</v>
      </c>
      <c r="G222" s="270">
        <v>0.9</v>
      </c>
      <c r="H222" s="283">
        <v>210</v>
      </c>
      <c r="I222" s="246">
        <v>55</v>
      </c>
      <c r="J222" s="246">
        <v>2</v>
      </c>
      <c r="K222" s="247" t="s">
        <v>4156</v>
      </c>
      <c r="L222" s="248">
        <v>70322</v>
      </c>
      <c r="M222" s="249">
        <f>15*(LEFT(TEXT($L222,"000000"),2)+(MID(TEXT($L222,"000000"),3,2)/60)+(RIGHT(TEXT($L222,"000000"),2)/3600))</f>
        <v>105.84166666666667</v>
      </c>
      <c r="N222" s="250">
        <v>863300</v>
      </c>
      <c r="O222" s="251">
        <f>IF($N222&gt;0,(LEFT(TEXT($N222,"000000"),2)+(MID(TEXT($N222,"000000"),3,2)/60)+(RIGHT(TEXT($N222,"000000"),2)/3600)),-(MID(TEXT($N222,"000000"),2,2)+(MID(TEXT($N222,"000000"),4,2)/60)+(RIGHT(TEXT($N222,"000000"),2)/3600)))</f>
        <v>86.55</v>
      </c>
      <c r="P222" s="252" t="s">
        <v>52</v>
      </c>
      <c r="Q222" s="253"/>
      <c r="R222" s="247" t="s">
        <v>3293</v>
      </c>
      <c r="S222" s="272" t="s">
        <v>3293</v>
      </c>
      <c r="T222" s="273">
        <v>15.5</v>
      </c>
      <c r="U222" s="274"/>
      <c r="V222" s="280"/>
      <c r="W222" s="244"/>
      <c r="X222" s="244"/>
      <c r="Y222" s="362"/>
      <c r="Z222" s="257">
        <f>altaz(J2000_Bas,$O222,$M222,DecLat,DecLong,1)</f>
        <v>27.550013153847328</v>
      </c>
      <c r="AA222" s="257">
        <f>altaz((J2000_Bas+(2*0.04167)),$O222,$M222,DecLat,DecLong,1)</f>
        <v>28.00470852548931</v>
      </c>
      <c r="AB222" s="257">
        <f>altaz((J2000_Bas+(4*0.04167)),$O222,$M222,DecLat,DecLong,1)</f>
        <v>29.246722896455779</v>
      </c>
      <c r="AC222" s="257">
        <f>altaz((J2000_Bas+(6*0.04167)),$O222,$M222,DecLat,DecLong,1)</f>
        <v>30.96256433942397</v>
      </c>
      <c r="AD222" s="258">
        <f>1+ transit((J2000_Bas-1),$O222,$M222,DecLat,DecLong)/360 + (GMTOffset/24) + (IF(DST="Y", 1, 0)/24)</f>
        <v>1.2869045608588747</v>
      </c>
      <c r="AE222" s="259">
        <f>DATE(2001,9,21)+(M222/360)*365 - (360*((DecLong/360)- (GMTOffset/24) ))</f>
        <v>37267.311689814815</v>
      </c>
      <c r="AF222" s="260">
        <f>IF(DecLat&gt;0,IF((90 - (DecLat-O222))&gt;90, (90 - (O222-DecLat)), (90 - (DecLat-O222))),IF((90 + (DecLat-O222))&gt;90, (90 + (O222-DecLat)), (90 + (DecLat-O222))))</f>
        <v>34.450000000000003</v>
      </c>
      <c r="AG222" s="257">
        <f>angularseperation(MoonRA,MoonDec,$M222,$O222)</f>
        <v>119.83383995013017</v>
      </c>
      <c r="AH222" s="261">
        <f ca="1">MIN(100,IF($O$5&gt;80,0+30*($AG222/100),IF($O$5&gt;70,0+50*($AG222/100),IF($O$5&gt;60,5+50*($AG222/100),IF($O$5&gt;50,10+60*($AG222/100),IF($O$5&gt;40,15+70*($AG222/100),IF($O$5&gt;30,20+70*($AG222/100),IF($O$5&gt;20,40+55*($AG222/100),(80+(20-$O$5)+30*($AG222/100))))))))))</f>
        <v>100</v>
      </c>
      <c r="AI222" s="262"/>
      <c r="AJ222" s="262"/>
      <c r="AK222" s="262"/>
      <c r="AL222" s="263"/>
      <c r="AM222" s="264"/>
      <c r="AN222" s="263">
        <v>96</v>
      </c>
      <c r="AO222" s="263"/>
      <c r="AP222" s="265"/>
      <c r="AQ222" s="266"/>
      <c r="AR222" s="267">
        <v>20066</v>
      </c>
      <c r="AS222" s="263"/>
      <c r="AT222" s="263"/>
      <c r="AU222" s="263"/>
      <c r="AV222" s="264"/>
      <c r="AW222" s="263"/>
      <c r="AX222" s="263"/>
      <c r="AY222" s="263"/>
      <c r="AZ222" s="263"/>
      <c r="BA222" s="263"/>
      <c r="BB222" s="263"/>
      <c r="BC222" s="263"/>
      <c r="BD222" s="264"/>
      <c r="BE222" s="263"/>
      <c r="BF222" s="263"/>
      <c r="BG222" s="263"/>
      <c r="BH222" s="263"/>
      <c r="BI222" s="263"/>
      <c r="BJ222" s="404">
        <f>altaz(J2000_Bas,$O222,$M222,DecLat,DecLong,2)</f>
        <v>1.0924984073441594E-2</v>
      </c>
      <c r="BK222" s="378" t="s">
        <v>311</v>
      </c>
      <c r="BL222" s="379">
        <f>IF((2*G222)/60&lt;0.2,0.2,(2*G222)/60)</f>
        <v>0.2</v>
      </c>
      <c r="BM222" s="380">
        <f>MOD((50000+AD222-$B$3+(0/24)),1)</f>
        <v>0.50227149056445342</v>
      </c>
      <c r="BN222" s="381"/>
      <c r="BO222" s="382">
        <v>222</v>
      </c>
    </row>
    <row r="223" spans="1:67" s="24" customFormat="1" ht="15" customHeight="1" x14ac:dyDescent="0.25">
      <c r="A223" s="288" t="s">
        <v>312</v>
      </c>
      <c r="B223" s="241" t="str">
        <f>HYPERLINK(CONCATENATE($AT$3,BK223,$AU$3),$AV$3)</f>
        <v>S</v>
      </c>
      <c r="C223" s="242" t="str">
        <f>HYPERLINK(CONCATENATE($AT$4,BK223,$AU$4,BL223),$AV$4)</f>
        <v>A</v>
      </c>
      <c r="D223" s="243" t="s">
        <v>5638</v>
      </c>
      <c r="E223" s="244" t="s">
        <v>5337</v>
      </c>
      <c r="F223" s="269" t="s">
        <v>3319</v>
      </c>
      <c r="G223" s="273">
        <v>1.3</v>
      </c>
      <c r="H223" s="283">
        <v>320</v>
      </c>
      <c r="I223" s="246">
        <v>120</v>
      </c>
      <c r="J223" s="246">
        <v>2</v>
      </c>
      <c r="K223" s="247" t="s">
        <v>4157</v>
      </c>
      <c r="L223" s="248">
        <v>120545</v>
      </c>
      <c r="M223" s="249">
        <f>15*(LEFT(TEXT($L223,"000000"),2)+(MID(TEXT($L223,"000000"),3,2)/60)+(RIGHT(TEXT($L223,"000000"),2)/3600))</f>
        <v>181.4375</v>
      </c>
      <c r="N223" s="250">
        <v>310400</v>
      </c>
      <c r="O223" s="251">
        <f>IF($N223&gt;0,(LEFT(TEXT($N223,"000000"),2)+(MID(TEXT($N223,"000000"),3,2)/60)+(RIGHT(TEXT($N223,"000000"),2)/3600)),-(MID(TEXT($N223,"000000"),2,2)+(MID(TEXT($N223,"000000"),4,2)/60)+(RIGHT(TEXT($N223,"000000"),2)/3600)))</f>
        <v>31.066666666666666</v>
      </c>
      <c r="P223" s="252" t="s">
        <v>37</v>
      </c>
      <c r="Q223" s="253"/>
      <c r="R223" s="247" t="s">
        <v>3293</v>
      </c>
      <c r="S223" s="272" t="s">
        <v>3293</v>
      </c>
      <c r="T223" s="273">
        <v>15.7</v>
      </c>
      <c r="U223" s="274"/>
      <c r="V223" s="280"/>
      <c r="W223" s="244"/>
      <c r="X223" s="244"/>
      <c r="Y223" s="362"/>
      <c r="Z223" s="257">
        <f>altaz(J2000_Bas,$O223,$M223,DecLat,DecLong,1)</f>
        <v>4.6538335769714259</v>
      </c>
      <c r="AA223" s="257">
        <f>altaz((J2000_Bas+(2*0.04167)),$O223,$M223,DecLat,DecLong,1)</f>
        <v>-14.490012851244172</v>
      </c>
      <c r="AB223" s="257">
        <f>altaz((J2000_Bas+(4*0.04167)),$O223,$M223,DecLat,DecLong,1)</f>
        <v>-26.265847987166726</v>
      </c>
      <c r="AC223" s="257">
        <f>altaz((J2000_Bas+(6*0.04167)),$O223,$M223,DecLat,DecLong,1)</f>
        <v>-26.360877021332524</v>
      </c>
      <c r="AD223" s="258">
        <f>1+ transit((J2000_Bas-1),$O223,$M223,DecLat,DecLong)/360 + (GMTOffset/24) + (IF(DST="Y", 1, 0)/24)</f>
        <v>1.496892965785958</v>
      </c>
      <c r="AE223" s="259">
        <f>DATE(2001,9,21)+(M223/360)*365 - (360*((DecLong/360)- (GMTOffset/24) ))</f>
        <v>37343.957465277781</v>
      </c>
      <c r="AF223" s="260">
        <f>IF(DecLat&gt;0,IF((90 - (DecLat-O223))&gt;90, (90 - (O223-DecLat)), (90 - (DecLat-O223))),IF((90 + (DecLat-O223))&gt;90, (90 + (O223-DecLat)), (90 + (DecLat-O223))))</f>
        <v>89.933333333333337</v>
      </c>
      <c r="AG223" s="257">
        <f>angularseperation(MoonRA,MoonDec,$M223,$O223)</f>
        <v>86.953244744876258</v>
      </c>
      <c r="AH223" s="261">
        <f ca="1">MIN(100,IF($O$5&gt;80,0+30*($AG223/100),IF($O$5&gt;70,0+50*($AG223/100),IF($O$5&gt;60,5+50*($AG223/100),IF($O$5&gt;50,10+60*($AG223/100),IF($O$5&gt;40,15+70*($AG223/100),IF($O$5&gt;30,20+70*($AG223/100),IF($O$5&gt;20,40+55*($AG223/100),(80+(20-$O$5)+30*($AG223/100))))))))))</f>
        <v>100</v>
      </c>
      <c r="AI223" s="262"/>
      <c r="AJ223" s="262"/>
      <c r="AK223" s="262"/>
      <c r="AL223" s="263"/>
      <c r="AM223" s="264"/>
      <c r="AN223" s="263">
        <v>97</v>
      </c>
      <c r="AO223" s="263"/>
      <c r="AP223" s="265"/>
      <c r="AQ223" s="266">
        <v>7085</v>
      </c>
      <c r="AR223" s="267">
        <v>38325</v>
      </c>
      <c r="AS223" s="263"/>
      <c r="AT223" s="263"/>
      <c r="AU223" s="263"/>
      <c r="AV223" s="264"/>
      <c r="AW223" s="263"/>
      <c r="AX223" s="263"/>
      <c r="AY223" s="263"/>
      <c r="AZ223" s="263"/>
      <c r="BA223" s="263"/>
      <c r="BB223" s="263"/>
      <c r="BC223" s="263"/>
      <c r="BD223" s="264"/>
      <c r="BE223" s="263"/>
      <c r="BF223" s="263"/>
      <c r="BG223" s="263"/>
      <c r="BH223" s="263"/>
      <c r="BI223" s="263"/>
      <c r="BJ223" s="404">
        <f>altaz(J2000_Bas,$O223,$M223,DecLat,DecLong,2)</f>
        <v>303.71779590345494</v>
      </c>
      <c r="BK223" s="378" t="s">
        <v>312</v>
      </c>
      <c r="BL223" s="379">
        <f>IF((2*G223)/60&lt;0.2,0.2,(2*G223)/60)</f>
        <v>0.2</v>
      </c>
      <c r="BM223" s="380">
        <f>MOD((50000+AD223-$B$3+(0/24)),1)</f>
        <v>0.71225989548838697</v>
      </c>
      <c r="BN223" s="381"/>
      <c r="BO223" s="382">
        <v>223</v>
      </c>
    </row>
    <row r="224" spans="1:67" s="24" customFormat="1" ht="15" customHeight="1" x14ac:dyDescent="0.25">
      <c r="A224" s="288" t="s">
        <v>313</v>
      </c>
      <c r="B224" s="241" t="str">
        <f>HYPERLINK(CONCATENATE($AT$3,BK224,$AU$3),$AV$3)</f>
        <v>S</v>
      </c>
      <c r="C224" s="242" t="str">
        <f>HYPERLINK(CONCATENATE($AT$4,BK224,$AU$4,BL224),$AV$4)</f>
        <v>A</v>
      </c>
      <c r="D224" s="243" t="s">
        <v>5638</v>
      </c>
      <c r="E224" s="244" t="s">
        <v>5337</v>
      </c>
      <c r="F224" s="269" t="s">
        <v>3319</v>
      </c>
      <c r="G224" s="270">
        <v>0.3</v>
      </c>
      <c r="H224" s="283">
        <v>600</v>
      </c>
      <c r="I224" s="246">
        <v>50</v>
      </c>
      <c r="J224" s="246">
        <v>2</v>
      </c>
      <c r="K224" s="247" t="s">
        <v>4158</v>
      </c>
      <c r="L224" s="248">
        <v>13208</v>
      </c>
      <c r="M224" s="249">
        <f>15*(LEFT(TEXT($L224,"000000"),2)+(MID(TEXT($L224,"000000"),3,2)/60)+(RIGHT(TEXT($L224,"000000"),2)/3600))</f>
        <v>23.033333333333331</v>
      </c>
      <c r="N224" s="250">
        <v>320600</v>
      </c>
      <c r="O224" s="251">
        <f>IF($N224&gt;0,(LEFT(TEXT($N224,"000000"),2)+(MID(TEXT($N224,"000000"),3,2)/60)+(RIGHT(TEXT($N224,"000000"),2)/3600)),-(MID(TEXT($N224,"000000"),2,2)+(MID(TEXT($N224,"000000"),4,2)/60)+(RIGHT(TEXT($N224,"000000"),2)/3600)))</f>
        <v>32.1</v>
      </c>
      <c r="P224" s="252" t="s">
        <v>314</v>
      </c>
      <c r="Q224" s="253"/>
      <c r="R224" s="247" t="s">
        <v>3293</v>
      </c>
      <c r="S224" s="272" t="s">
        <v>3293</v>
      </c>
      <c r="T224" s="273">
        <v>15</v>
      </c>
      <c r="U224" s="274"/>
      <c r="V224" s="280"/>
      <c r="W224" s="244"/>
      <c r="X224" s="244"/>
      <c r="Y224" s="362"/>
      <c r="Z224" s="257">
        <f>altaz(J2000_Bas,$O224,$M224,DecLat,DecLong,1)</f>
        <v>10.650163733026043</v>
      </c>
      <c r="AA224" s="257">
        <f>altaz((J2000_Bas+(2*0.04167)),$O224,$M224,DecLat,DecLong,1)</f>
        <v>33.920231515023161</v>
      </c>
      <c r="AB224" s="257">
        <f>altaz((J2000_Bas+(4*0.04167)),$O224,$M224,DecLat,DecLong,1)</f>
        <v>58.721488925886042</v>
      </c>
      <c r="AC224" s="257">
        <f>altaz((J2000_Bas+(6*0.04167)),$O224,$M224,DecLat,DecLong,1)</f>
        <v>84.121955220849586</v>
      </c>
      <c r="AD224" s="258">
        <f>1+ transit((J2000_Bas-1),$O224,$M224,DecLat,DecLong)/360 + (GMTOffset/24) + (IF(DST="Y", 1, 0)/24)</f>
        <v>1.0568814357130414</v>
      </c>
      <c r="AE224" s="259">
        <f>DATE(2001,9,21)+(M224/360)*365 - (360*((DecLong/360)- (GMTOffset/24) ))</f>
        <v>37183.35324074074</v>
      </c>
      <c r="AF224" s="260">
        <f>IF(DecLat&gt;0,IF((90 - (DecLat-O224))&gt;90, (90 - (O224-DecLat)), (90 - (DecLat-O224))),IF((90 + (DecLat-O224))&gt;90, (90 + (O224-DecLat)), (90 + (DecLat-O224))))</f>
        <v>88.9</v>
      </c>
      <c r="AG224" s="257">
        <f>angularseperation(MoonRA,MoonDec,$M224,$O224)</f>
        <v>139.80881818790363</v>
      </c>
      <c r="AH224" s="261">
        <f ca="1">MIN(100,IF($O$5&gt;80,0+30*($AG224/100),IF($O$5&gt;70,0+50*($AG224/100),IF($O$5&gt;60,5+50*($AG224/100),IF($O$5&gt;50,10+60*($AG224/100),IF($O$5&gt;40,15+70*($AG224/100),IF($O$5&gt;30,20+70*($AG224/100),IF($O$5&gt;20,40+55*($AG224/100),(80+(20-$O$5)+30*($AG224/100))))))))))</f>
        <v>100</v>
      </c>
      <c r="AI224" s="262"/>
      <c r="AJ224" s="262"/>
      <c r="AK224" s="262"/>
      <c r="AL224" s="263"/>
      <c r="AM224" s="264"/>
      <c r="AN224" s="263">
        <v>98</v>
      </c>
      <c r="AO224" s="263"/>
      <c r="AP224" s="265"/>
      <c r="AQ224" s="266">
        <v>1095</v>
      </c>
      <c r="AR224" s="267">
        <v>5715</v>
      </c>
      <c r="AS224" s="263"/>
      <c r="AT224" s="263"/>
      <c r="AU224" s="263"/>
      <c r="AV224" s="264"/>
      <c r="AW224" s="263"/>
      <c r="AX224" s="263"/>
      <c r="AY224" s="263"/>
      <c r="AZ224" s="263"/>
      <c r="BA224" s="263"/>
      <c r="BB224" s="263"/>
      <c r="BC224" s="263"/>
      <c r="BD224" s="264"/>
      <c r="BE224" s="263"/>
      <c r="BF224" s="263"/>
      <c r="BG224" s="263"/>
      <c r="BH224" s="263"/>
      <c r="BI224" s="263"/>
      <c r="BJ224" s="404">
        <f>altaz(J2000_Bas,$O224,$M224,DecLat,DecLong,2)</f>
        <v>58.813785601545881</v>
      </c>
      <c r="BK224" s="378" t="s">
        <v>313</v>
      </c>
      <c r="BL224" s="379">
        <f>IF((2*G224)/60&lt;0.2,0.2,(2*G224)/60)</f>
        <v>0.2</v>
      </c>
      <c r="BM224" s="380">
        <f>MOD((50000+AD224-$B$3+(0/24)),1)</f>
        <v>0.27224836541427067</v>
      </c>
      <c r="BN224" s="381"/>
      <c r="BO224" s="382">
        <v>224</v>
      </c>
    </row>
    <row r="225" spans="1:67" s="24" customFormat="1" ht="15" customHeight="1" x14ac:dyDescent="0.25">
      <c r="A225" s="288" t="s">
        <v>315</v>
      </c>
      <c r="B225" s="241" t="str">
        <f>HYPERLINK(CONCATENATE($AT$3,BK225,$AU$3),$AV$3)</f>
        <v>S</v>
      </c>
      <c r="C225" s="242" t="str">
        <f>HYPERLINK(CONCATENATE($AT$4,BK225,$AU$4,BL225),$AV$4)</f>
        <v>A</v>
      </c>
      <c r="D225" s="243" t="s">
        <v>5638</v>
      </c>
      <c r="E225" s="244" t="s">
        <v>5625</v>
      </c>
      <c r="F225" s="290">
        <v>5</v>
      </c>
      <c r="G225" s="291">
        <v>2.8</v>
      </c>
      <c r="H225" s="283">
        <v>240</v>
      </c>
      <c r="I225" s="284">
        <v>200</v>
      </c>
      <c r="J225" s="246">
        <v>3</v>
      </c>
      <c r="K225" s="247" t="s">
        <v>4159</v>
      </c>
      <c r="L225" s="248">
        <v>231517</v>
      </c>
      <c r="M225" s="249">
        <f>15*(LEFT(TEXT($L225,"000000"),2)+(MID(TEXT($L225,"000000"),3,2)/60)+(RIGHT(TEXT($L225,"000000"),2)/3600))</f>
        <v>348.82083333333338</v>
      </c>
      <c r="N225" s="250">
        <v>190200</v>
      </c>
      <c r="O225" s="251">
        <f>IF($N225&gt;0,(LEFT(TEXT($N225,"000000"),2)+(MID(TEXT($N225,"000000"),3,2)/60)+(RIGHT(TEXT($N225,"000000"),2)/3600)),-(MID(TEXT($N225,"000000"),2,2)+(MID(TEXT($N225,"000000"),4,2)/60)+(RIGHT(TEXT($N225,"000000"),2)/3600)))</f>
        <v>19.033333333333335</v>
      </c>
      <c r="P225" s="252" t="s">
        <v>39</v>
      </c>
      <c r="Q225" s="253"/>
      <c r="R225" s="292" t="s">
        <v>4299</v>
      </c>
      <c r="S225" s="272" t="s">
        <v>386</v>
      </c>
      <c r="T225" s="273">
        <v>10.9</v>
      </c>
      <c r="U225" s="289">
        <v>24.3</v>
      </c>
      <c r="V225" s="280">
        <v>60</v>
      </c>
      <c r="W225" s="244"/>
      <c r="X225" s="244"/>
      <c r="Y225" s="362"/>
      <c r="Z225" s="257">
        <f>altaz(J2000_Bas,$O225,$M225,DecLat,DecLong,1)</f>
        <v>32.555957132460364</v>
      </c>
      <c r="AA225" s="257">
        <f>altaz((J2000_Bas+(2*0.04167)),$O225,$M225,DecLat,DecLong,1)</f>
        <v>58.16671878561479</v>
      </c>
      <c r="AB225" s="257">
        <f>altaz((J2000_Bas+(4*0.04167)),$O225,$M225,DecLat,DecLong,1)</f>
        <v>77.796350398572926</v>
      </c>
      <c r="AC225" s="257">
        <f>altaz((J2000_Bas+(6*0.04167)),$O225,$M225,DecLat,DecLong,1)</f>
        <v>62.515278108611085</v>
      </c>
      <c r="AD225" s="258">
        <f>1+ transit((J2000_Bas-1),$O225,$M225,DecLat,DecLong)/360 + (GMTOffset/24) + (IF(DST="Y", 1, 0)/24)</f>
        <v>1.9618466229942915</v>
      </c>
      <c r="AE225" s="259">
        <f>DATE(2001,9,21)+(M225/360)*365 - (360*((DecLong/360)- (GMTOffset/24) ))</f>
        <v>37513.665567129632</v>
      </c>
      <c r="AF225" s="260">
        <f>IF(DecLat&gt;0,IF((90 - (DecLat-O225))&gt;90, (90 - (O225-DecLat)), (90 - (DecLat-O225))),IF((90 + (DecLat-O225))&gt;90, (90 + (O225-DecLat)), (90 + (DecLat-O225))))</f>
        <v>78.033333333333331</v>
      </c>
      <c r="AG225" s="257">
        <f>angularseperation(MoonRA,MoonDec,$M225,$O225)</f>
        <v>106.77049162451233</v>
      </c>
      <c r="AH225" s="261">
        <f ca="1">MIN(100,IF($O$5&gt;80,0+30*($AG225/100),IF($O$5&gt;70,0+50*($AG225/100),IF($O$5&gt;60,5+50*($AG225/100),IF($O$5&gt;50,10+60*($AG225/100),IF($O$5&gt;40,15+70*($AG225/100),IF($O$5&gt;30,20+70*($AG225/100),IF($O$5&gt;20,40+55*($AG225/100),(80+(20-$O$5)+30*($AG225/100))))))))))</f>
        <v>100</v>
      </c>
      <c r="AI225" s="262">
        <v>7550</v>
      </c>
      <c r="AJ225" s="262"/>
      <c r="AK225" s="262"/>
      <c r="AL225" s="263"/>
      <c r="AM225" s="264"/>
      <c r="AN225" s="263">
        <v>99</v>
      </c>
      <c r="AO225" s="263">
        <v>93</v>
      </c>
      <c r="AP225" s="265"/>
      <c r="AQ225" s="266">
        <v>12457</v>
      </c>
      <c r="AR225" s="267">
        <v>70832</v>
      </c>
      <c r="AS225" s="263"/>
      <c r="AT225" s="263"/>
      <c r="AU225" s="263"/>
      <c r="AV225" s="264"/>
      <c r="AW225" s="263"/>
      <c r="AX225" s="263"/>
      <c r="AY225" s="263"/>
      <c r="AZ225" s="263"/>
      <c r="BA225" s="263"/>
      <c r="BB225" s="263"/>
      <c r="BC225" s="263"/>
      <c r="BD225" s="264"/>
      <c r="BE225" s="263"/>
      <c r="BF225" s="263"/>
      <c r="BG225" s="263"/>
      <c r="BH225" s="263"/>
      <c r="BI225" s="263"/>
      <c r="BJ225" s="404">
        <f>altaz(J2000_Bas,$O225,$M225,DecLat,DecLong,2)</f>
        <v>86.113925222760855</v>
      </c>
      <c r="BK225" s="378" t="s">
        <v>4090</v>
      </c>
      <c r="BL225" s="379">
        <f>IF((2*G225)/60&lt;0.2,0.2,(2*G225)/60)</f>
        <v>0.2</v>
      </c>
      <c r="BM225" s="380">
        <f>MOD((50000+AD225-$B$3+(0/24)),1)</f>
        <v>0.17721355269895867</v>
      </c>
      <c r="BN225" s="381" t="s">
        <v>9223</v>
      </c>
      <c r="BO225" s="382">
        <v>225</v>
      </c>
    </row>
    <row r="226" spans="1:67" s="24" customFormat="1" ht="15" customHeight="1" x14ac:dyDescent="0.25">
      <c r="A226" s="288" t="s">
        <v>316</v>
      </c>
      <c r="B226" s="241" t="str">
        <f>HYPERLINK(CONCATENATE($AT$3,BK226,$AU$3),$AV$3)</f>
        <v>S</v>
      </c>
      <c r="C226" s="242" t="str">
        <f>HYPERLINK(CONCATENATE($AT$4,BK226,$AU$4,BL226),$AV$4)</f>
        <v>A</v>
      </c>
      <c r="D226" s="243" t="s">
        <v>5638</v>
      </c>
      <c r="E226" s="244" t="s">
        <v>5337</v>
      </c>
      <c r="F226" s="269" t="s">
        <v>9136</v>
      </c>
      <c r="G226" s="273">
        <v>1</v>
      </c>
      <c r="H226" s="283">
        <v>270</v>
      </c>
      <c r="I226" s="246">
        <v>80</v>
      </c>
      <c r="J226" s="246">
        <v>2</v>
      </c>
      <c r="K226" s="247" t="s">
        <v>4160</v>
      </c>
      <c r="L226" s="248">
        <v>2838</v>
      </c>
      <c r="M226" s="249">
        <f>15*(LEFT(TEXT($L226,"000000"),2)+(MID(TEXT($L226,"000000"),3,2)/60)+(RIGHT(TEXT($L226,"000000"),2)/3600))</f>
        <v>7.1583333333333332</v>
      </c>
      <c r="N226" s="250">
        <v>-113400</v>
      </c>
      <c r="O226" s="251">
        <f>IF($N226&gt;0,(LEFT(TEXT($N226,"000000"),2)+(MID(TEXT($N226,"000000"),3,2)/60)+(RIGHT(TEXT($N226,"000000"),2)/3600)),-(MID(TEXT($N226,"000000"),2,2)+(MID(TEXT($N226,"000000"),4,2)/60)+(RIGHT(TEXT($N226,"000000"),2)/3600)))</f>
        <v>-11.566666666666666</v>
      </c>
      <c r="P226" s="252" t="s">
        <v>75</v>
      </c>
      <c r="Q226" s="253"/>
      <c r="R226" s="247" t="s">
        <v>3451</v>
      </c>
      <c r="S226" s="272" t="s">
        <v>3293</v>
      </c>
      <c r="T226" s="273">
        <v>14.6</v>
      </c>
      <c r="U226" s="289">
        <v>22.89</v>
      </c>
      <c r="V226" s="280"/>
      <c r="W226" s="244"/>
      <c r="X226" s="244"/>
      <c r="Y226" s="362"/>
      <c r="Z226" s="257">
        <f>altaz(J2000_Bas,$O226,$M226,DecLat,DecLong,1)</f>
        <v>1.4808968378297238</v>
      </c>
      <c r="AA226" s="257">
        <f>altaz((J2000_Bas+(2*0.04167)),$O226,$M226,DecLat,DecLong,1)</f>
        <v>25.112556708292274</v>
      </c>
      <c r="AB226" s="257">
        <f>altaz((J2000_Bas+(4*0.04167)),$O226,$M226,DecLat,DecLong,1)</f>
        <v>42.904978275464359</v>
      </c>
      <c r="AC226" s="257">
        <f>altaz((J2000_Bas+(6*0.04167)),$O226,$M226,DecLat,DecLong,1)</f>
        <v>46.545949737760928</v>
      </c>
      <c r="AD226" s="258">
        <f>1+ transit((J2000_Bas-1),$O226,$M226,DecLat,DecLong)/360 + (GMTOffset/24) + (IF(DST="Y", 1, 0)/24)</f>
        <v>1.0127842179005413</v>
      </c>
      <c r="AE226" s="259">
        <f>DATE(2001,9,21)+(M226/360)*365 - (360*((DecLong/360)- (GMTOffset/24) ))</f>
        <v>37167.257754629631</v>
      </c>
      <c r="AF226" s="260">
        <f>IF(DecLat&gt;0,IF((90 - (DecLat-O226))&gt;90, (90 - (O226-DecLat)), (90 - (DecLat-O226))),IF((90 + (DecLat-O226))&gt;90, (90 + (O226-DecLat)), (90 + (DecLat-O226))))</f>
        <v>47.433333333333337</v>
      </c>
      <c r="AG226" s="257">
        <f>angularseperation(MoonRA,MoonDec,$M226,$O226)</f>
        <v>108.48677404910529</v>
      </c>
      <c r="AH226" s="261">
        <f ca="1">MIN(100,IF($O$5&gt;80,0+30*($AG226/100),IF($O$5&gt;70,0+50*($AG226/100),IF($O$5&gt;60,5+50*($AG226/100),IF($O$5&gt;50,10+60*($AG226/100),IF($O$5&gt;40,15+70*($AG226/100),IF($O$5&gt;30,20+70*($AG226/100),IF($O$5&gt;20,40+55*($AG226/100),(80+(20-$O$5)+30*($AG226/100))))))))))</f>
        <v>100</v>
      </c>
      <c r="AI226" s="262"/>
      <c r="AJ226" s="262">
        <v>18</v>
      </c>
      <c r="AK226" s="262"/>
      <c r="AL226" s="263"/>
      <c r="AM226" s="264"/>
      <c r="AN226" s="263">
        <v>100</v>
      </c>
      <c r="AO226" s="263"/>
      <c r="AP226" s="265"/>
      <c r="AQ226" s="266"/>
      <c r="AR226" s="267">
        <v>1759</v>
      </c>
      <c r="AS226" s="263"/>
      <c r="AT226" s="263"/>
      <c r="AU226" s="263"/>
      <c r="AV226" s="264"/>
      <c r="AW226" s="263"/>
      <c r="AX226" s="263"/>
      <c r="AY226" s="263"/>
      <c r="AZ226" s="263"/>
      <c r="BA226" s="263"/>
      <c r="BB226" s="263"/>
      <c r="BC226" s="263"/>
      <c r="BD226" s="264"/>
      <c r="BE226" s="263"/>
      <c r="BF226" s="263"/>
      <c r="BG226" s="263"/>
      <c r="BH226" s="263"/>
      <c r="BI226" s="263"/>
      <c r="BJ226" s="404">
        <f>altaz(J2000_Bas,$O226,$M226,DecLat,DecLong,2)</f>
        <v>104.44976660219369</v>
      </c>
      <c r="BK226" s="378" t="s">
        <v>316</v>
      </c>
      <c r="BL226" s="379">
        <f>IF((2*G226)/60&lt;0.2,0.2,(2*G226)/60)</f>
        <v>0.2</v>
      </c>
      <c r="BM226" s="380">
        <f>MOD((50000+AD226-$B$3+(0/24)),1)</f>
        <v>0.22815114760305732</v>
      </c>
      <c r="BN226" s="381"/>
      <c r="BO226" s="382">
        <v>226</v>
      </c>
    </row>
    <row r="227" spans="1:67" s="24" customFormat="1" ht="15" customHeight="1" x14ac:dyDescent="0.25">
      <c r="A227" s="288" t="s">
        <v>317</v>
      </c>
      <c r="B227" s="241" t="str">
        <f>HYPERLINK(CONCATENATE($AT$3,BK227,$AU$3),$AV$3)</f>
        <v>S</v>
      </c>
      <c r="C227" s="242" t="str">
        <f>HYPERLINK(CONCATENATE($AT$4,BK227,$AU$4,BL227),$AV$4)</f>
        <v>A</v>
      </c>
      <c r="D227" s="243" t="s">
        <v>5638</v>
      </c>
      <c r="E227" s="244" t="s">
        <v>5337</v>
      </c>
      <c r="F227" s="269" t="s">
        <v>9136</v>
      </c>
      <c r="G227" s="270">
        <v>0.8</v>
      </c>
      <c r="H227" s="283">
        <v>215</v>
      </c>
      <c r="I227" s="246">
        <v>50</v>
      </c>
      <c r="J227" s="246">
        <v>2</v>
      </c>
      <c r="K227" s="247" t="s">
        <v>4161</v>
      </c>
      <c r="L227" s="248">
        <v>160424</v>
      </c>
      <c r="M227" s="249">
        <f>15*(LEFT(TEXT($L227,"000000"),2)+(MID(TEXT($L227,"000000"),3,2)/60)+(RIGHT(TEXT($L227,"000000"),2)/3600))</f>
        <v>241.10000000000002</v>
      </c>
      <c r="N227" s="250">
        <v>144600</v>
      </c>
      <c r="O227" s="251">
        <f>IF($N227&gt;0,(LEFT(TEXT($N227,"000000"),2)+(MID(TEXT($N227,"000000"),3,2)/60)+(RIGHT(TEXT($N227,"000000"),2)/3600)),-(MID(TEXT($N227,"000000"),2,2)+(MID(TEXT($N227,"000000"),4,2)/60)+(RIGHT(TEXT($N227,"000000"),2)/3600)))</f>
        <v>14.766666666666667</v>
      </c>
      <c r="P227" s="252" t="s">
        <v>115</v>
      </c>
      <c r="Q227" s="253"/>
      <c r="R227" s="247" t="s">
        <v>3293</v>
      </c>
      <c r="S227" s="272" t="s">
        <v>3293</v>
      </c>
      <c r="T227" s="273">
        <v>14.7</v>
      </c>
      <c r="U227" s="274"/>
      <c r="V227" s="280"/>
      <c r="W227" s="244"/>
      <c r="X227" s="244"/>
      <c r="Y227" s="362"/>
      <c r="Z227" s="257">
        <f>altaz(J2000_Bas,$O227,$M227,DecLat,DecLong,1)</f>
        <v>45.9192383186858</v>
      </c>
      <c r="AA227" s="257">
        <f>altaz((J2000_Bas+(2*0.04167)),$O227,$M227,DecLat,DecLong,1)</f>
        <v>20.241490758116871</v>
      </c>
      <c r="AB227" s="257">
        <f>altaz((J2000_Bas+(4*0.04167)),$O227,$M227,DecLat,DecLong,1)</f>
        <v>-4.8329694491294122</v>
      </c>
      <c r="AC227" s="257">
        <f>altaz((J2000_Bas+(6*0.04167)),$O227,$M227,DecLat,DecLong,1)</f>
        <v>-27.155808511963187</v>
      </c>
      <c r="AD227" s="258">
        <f>1+ transit((J2000_Bas-1),$O227,$M227,DecLat,DecLong)/360 + (GMTOffset/24) + (IF(DST="Y", 1, 0)/24)</f>
        <v>1.6626221158797081</v>
      </c>
      <c r="AE227" s="259">
        <f>DATE(2001,9,21)+(M227/360)*365 - (360*((DecLong/360)- (GMTOffset/24) ))</f>
        <v>37404.448611111111</v>
      </c>
      <c r="AF227" s="260">
        <f>IF(DecLat&gt;0,IF((90 - (DecLat-O227))&gt;90, (90 - (O227-DecLat)), (90 - (DecLat-O227))),IF((90 + (DecLat-O227))&gt;90, (90 + (O227-DecLat)), (90 + (DecLat-O227))))</f>
        <v>73.766666666666666</v>
      </c>
      <c r="AG227" s="257">
        <f>angularseperation(MoonRA,MoonDec,$M227,$O227)</f>
        <v>42.59067140903516</v>
      </c>
      <c r="AH227" s="261">
        <f ca="1">MIN(100,IF($O$5&gt;80,0+30*($AG227/100),IF($O$5&gt;70,0+50*($AG227/100),IF($O$5&gt;60,5+50*($AG227/100),IF($O$5&gt;50,10+60*($AG227/100),IF($O$5&gt;40,15+70*($AG227/100),IF($O$5&gt;30,20+70*($AG227/100),IF($O$5&gt;20,40+55*($AG227/100),(80+(20-$O$5)+30*($AG227/100))))))))))</f>
        <v>96.048261766860975</v>
      </c>
      <c r="AI227" s="262"/>
      <c r="AJ227" s="262"/>
      <c r="AK227" s="262"/>
      <c r="AL227" s="263"/>
      <c r="AM227" s="264"/>
      <c r="AN227" s="263">
        <v>101</v>
      </c>
      <c r="AO227" s="263"/>
      <c r="AP227" s="265"/>
      <c r="AQ227" s="266">
        <v>10164</v>
      </c>
      <c r="AR227" s="267"/>
      <c r="AS227" s="263"/>
      <c r="AT227" s="263"/>
      <c r="AU227" s="263"/>
      <c r="AV227" s="264"/>
      <c r="AW227" s="263"/>
      <c r="AX227" s="263"/>
      <c r="AY227" s="263"/>
      <c r="AZ227" s="263"/>
      <c r="BA227" s="263"/>
      <c r="BB227" s="263"/>
      <c r="BC227" s="263"/>
      <c r="BD227" s="264"/>
      <c r="BE227" s="263"/>
      <c r="BF227" s="263"/>
      <c r="BG227" s="263"/>
      <c r="BH227" s="263"/>
      <c r="BI227" s="263"/>
      <c r="BJ227" s="404">
        <f>altaz(J2000_Bas,$O227,$M227,DecLat,DecLong,2)</f>
        <v>258.87088984043351</v>
      </c>
      <c r="BK227" s="378" t="s">
        <v>317</v>
      </c>
      <c r="BL227" s="379">
        <f>IF((2*G227)/60&lt;0.2,0.2,(2*G227)/60)</f>
        <v>0.2</v>
      </c>
      <c r="BM227" s="380">
        <f>MOD((50000+AD227-$B$3+(0/24)),1)</f>
        <v>0.87798904558439972</v>
      </c>
      <c r="BN227" s="381"/>
      <c r="BO227" s="382">
        <v>227</v>
      </c>
    </row>
    <row r="228" spans="1:67" s="24" customFormat="1" ht="15" customHeight="1" x14ac:dyDescent="0.25">
      <c r="A228" s="288" t="s">
        <v>318</v>
      </c>
      <c r="B228" s="241" t="str">
        <f>HYPERLINK(CONCATENATE($AT$3,BK228,$AU$3),$AV$3)</f>
        <v>S</v>
      </c>
      <c r="C228" s="242" t="str">
        <f>HYPERLINK(CONCATENATE($AT$4,BK228,$AU$4,BL228),$AV$4)</f>
        <v>A</v>
      </c>
      <c r="D228" s="243" t="s">
        <v>5638</v>
      </c>
      <c r="E228" s="244" t="s">
        <v>5337</v>
      </c>
      <c r="F228" s="269" t="s">
        <v>9143</v>
      </c>
      <c r="G228" s="273">
        <v>1.1000000000000001</v>
      </c>
      <c r="H228" s="283">
        <v>340</v>
      </c>
      <c r="I228" s="246">
        <v>120</v>
      </c>
      <c r="J228" s="246">
        <v>2</v>
      </c>
      <c r="K228" s="247" t="s">
        <v>4993</v>
      </c>
      <c r="L228" s="248">
        <v>171914</v>
      </c>
      <c r="M228" s="249">
        <f>15*(LEFT(TEXT($L228,"000000"),2)+(MID(TEXT($L228,"000000"),3,2)/60)+(RIGHT(TEXT($L228,"000000"),2)/3600))</f>
        <v>259.80833333333334</v>
      </c>
      <c r="N228" s="250">
        <v>485900</v>
      </c>
      <c r="O228" s="251">
        <f>IF($N228&gt;0,(LEFT(TEXT($N228,"000000"),2)+(MID(TEXT($N228,"000000"),3,2)/60)+(RIGHT(TEXT($N228,"000000"),2)/3600)),-(MID(TEXT($N228,"000000"),2,2)+(MID(TEXT($N228,"000000"),4,2)/60)+(RIGHT(TEXT($N228,"000000"),2)/3600)))</f>
        <v>48.983333333333334</v>
      </c>
      <c r="P228" s="252" t="s">
        <v>111</v>
      </c>
      <c r="Q228" s="253"/>
      <c r="R228" s="247" t="s">
        <v>3293</v>
      </c>
      <c r="S228" s="272" t="s">
        <v>3293</v>
      </c>
      <c r="T228" s="273">
        <v>16</v>
      </c>
      <c r="U228" s="274"/>
      <c r="V228" s="280"/>
      <c r="W228" s="244"/>
      <c r="X228" s="244"/>
      <c r="Y228" s="362"/>
      <c r="Z228" s="257">
        <f>altaz(J2000_Bas,$O228,$M228,DecLat,DecLong,1)</f>
        <v>63.300431289262207</v>
      </c>
      <c r="AA228" s="257">
        <f>altaz((J2000_Bas+(2*0.04167)),$O228,$M228,DecLat,DecLong,1)</f>
        <v>44.499349471586406</v>
      </c>
      <c r="AB228" s="257">
        <f>altaz((J2000_Bas+(4*0.04167)),$O228,$M228,DecLat,DecLong,1)</f>
        <v>25.105533943631336</v>
      </c>
      <c r="AC228" s="257">
        <f>altaz((J2000_Bas+(6*0.04167)),$O228,$M228,DecLat,DecLong,1)</f>
        <v>7.9355552848572453</v>
      </c>
      <c r="AD228" s="258">
        <f>1+ transit((J2000_Bas-1),$O228,$M228,DecLat,DecLong)/360 + (GMTOffset/24) + (IF(DST="Y", 1, 0)/24)</f>
        <v>1.7145897032755413</v>
      </c>
      <c r="AE228" s="259">
        <f>DATE(2001,9,21)+(M228/360)*365 - (360*((DecLong/360)- (GMTOffset/24) ))</f>
        <v>37423.41678240741</v>
      </c>
      <c r="AF228" s="260">
        <f>IF(DecLat&gt;0,IF((90 - (DecLat-O228))&gt;90, (90 - (O228-DecLat)), (90 - (DecLat-O228))),IF((90 + (DecLat-O228))&gt;90, (90 + (O228-DecLat)), (90 + (DecLat-O228))))</f>
        <v>72.016666666666666</v>
      </c>
      <c r="AG228" s="257">
        <f>angularseperation(MoonRA,MoonDec,$M228,$O228)</f>
        <v>76.651601609471768</v>
      </c>
      <c r="AH228" s="261">
        <f ca="1">MIN(100,IF($O$5&gt;80,0+30*($AG228/100),IF($O$5&gt;70,0+50*($AG228/100),IF($O$5&gt;60,5+50*($AG228/100),IF($O$5&gt;50,10+60*($AG228/100),IF($O$5&gt;40,15+70*($AG228/100),IF($O$5&gt;30,20+70*($AG228/100),IF($O$5&gt;20,40+55*($AG228/100),(80+(20-$O$5)+30*($AG228/100))))))))))</f>
        <v>100</v>
      </c>
      <c r="AI228" s="262"/>
      <c r="AJ228" s="262"/>
      <c r="AK228" s="262"/>
      <c r="AL228" s="263"/>
      <c r="AM228" s="264"/>
      <c r="AN228" s="263">
        <v>102</v>
      </c>
      <c r="AO228" s="263"/>
      <c r="AP228" s="265"/>
      <c r="AQ228" s="266">
        <v>10814</v>
      </c>
      <c r="AR228" s="267"/>
      <c r="AS228" s="263"/>
      <c r="AT228" s="263"/>
      <c r="AU228" s="263"/>
      <c r="AV228" s="264"/>
      <c r="AW228" s="263"/>
      <c r="AX228" s="263"/>
      <c r="AY228" s="263"/>
      <c r="AZ228" s="263"/>
      <c r="BA228" s="263"/>
      <c r="BB228" s="263"/>
      <c r="BC228" s="263"/>
      <c r="BD228" s="264"/>
      <c r="BE228" s="263"/>
      <c r="BF228" s="263"/>
      <c r="BG228" s="263"/>
      <c r="BH228" s="263">
        <v>26</v>
      </c>
      <c r="BI228" s="263"/>
      <c r="BJ228" s="404">
        <f>altaz(J2000_Bas,$O228,$M228,DecLat,DecLong,2)</f>
        <v>319.85338660520011</v>
      </c>
      <c r="BK228" s="378" t="s">
        <v>318</v>
      </c>
      <c r="BL228" s="379">
        <f>IF((2*G228)/60&lt;0.2,0.2,(2*G228)/60)</f>
        <v>0.2</v>
      </c>
      <c r="BM228" s="380">
        <f>MOD((50000+AD228-$B$3+(0/24)),1)</f>
        <v>0.92995663297915598</v>
      </c>
      <c r="BN228" s="381"/>
      <c r="BO228" s="382">
        <v>228</v>
      </c>
    </row>
    <row r="229" spans="1:67" s="24" customFormat="1" ht="15" customHeight="1" x14ac:dyDescent="0.25">
      <c r="A229" s="288" t="s">
        <v>319</v>
      </c>
      <c r="B229" s="241" t="str">
        <f>HYPERLINK(CONCATENATE($AT$3,BK229,$AU$3),$AV$3)</f>
        <v>S</v>
      </c>
      <c r="C229" s="242" t="str">
        <f>HYPERLINK(CONCATENATE($AT$4,BK229,$AU$4,BL229),$AV$4)</f>
        <v>A</v>
      </c>
      <c r="D229" s="243" t="s">
        <v>5638</v>
      </c>
      <c r="E229" s="244" t="s">
        <v>5337</v>
      </c>
      <c r="F229" s="269" t="s">
        <v>3319</v>
      </c>
      <c r="G229" s="270">
        <v>0.6</v>
      </c>
      <c r="H229" s="283">
        <v>500</v>
      </c>
      <c r="I229" s="246">
        <v>90</v>
      </c>
      <c r="J229" s="246">
        <v>2</v>
      </c>
      <c r="K229" s="247" t="s">
        <v>4162</v>
      </c>
      <c r="L229" s="248">
        <v>164926</v>
      </c>
      <c r="M229" s="249">
        <f>15*(LEFT(TEXT($L229,"000000"),2)+(MID(TEXT($L229,"000000"),3,2)/60)+(RIGHT(TEXT($L229,"000000"),2)/3600))</f>
        <v>252.35833333333332</v>
      </c>
      <c r="N229" s="250">
        <v>452700</v>
      </c>
      <c r="O229" s="251">
        <f>IF($N229&gt;0,(LEFT(TEXT($N229,"000000"),2)+(MID(TEXT($N229,"000000"),3,2)/60)+(RIGHT(TEXT($N229,"000000"),2)/3600)),-(MID(TEXT($N229,"000000"),2,2)+(MID(TEXT($N229,"000000"),4,2)/60)+(RIGHT(TEXT($N229,"000000"),2)/3600)))</f>
        <v>45.45</v>
      </c>
      <c r="P229" s="252" t="s">
        <v>111</v>
      </c>
      <c r="Q229" s="253" t="s">
        <v>6852</v>
      </c>
      <c r="R229" s="247" t="s">
        <v>3293</v>
      </c>
      <c r="S229" s="272" t="s">
        <v>3293</v>
      </c>
      <c r="T229" s="273">
        <v>16</v>
      </c>
      <c r="U229" s="274"/>
      <c r="V229" s="280"/>
      <c r="W229" s="244"/>
      <c r="X229" s="244"/>
      <c r="Y229" s="362"/>
      <c r="Z229" s="257">
        <f>altaz(J2000_Bas,$O229,$M229,DecLat,DecLong,1)</f>
        <v>60.185416235626541</v>
      </c>
      <c r="AA229" s="257">
        <f>altaz((J2000_Bas+(2*0.04167)),$O229,$M229,DecLat,DecLong,1)</f>
        <v>39.286351801671536</v>
      </c>
      <c r="AB229" s="257">
        <f>altaz((J2000_Bas+(4*0.04167)),$O229,$M229,DecLat,DecLong,1)</f>
        <v>19.089417995234019</v>
      </c>
      <c r="AC229" s="257">
        <f>altaz((J2000_Bas+(6*0.04167)),$O229,$M229,DecLat,DecLong,1)</f>
        <v>1.8145908667862141</v>
      </c>
      <c r="AD229" s="258">
        <f>1+ transit((J2000_Bas-1),$O229,$M229,DecLat,DecLong)/360 + (GMTOffset/24) + (IF(DST="Y", 1, 0)/24)</f>
        <v>1.6938952609005413</v>
      </c>
      <c r="AE229" s="259">
        <f>DATE(2001,9,21)+(M229/360)*365 - (360*((DecLong/360)- (GMTOffset/24) ))</f>
        <v>37415.863310185188</v>
      </c>
      <c r="AF229" s="260">
        <f>IF(DecLat&gt;0,IF((90 - (DecLat-O229))&gt;90, (90 - (O229-DecLat)), (90 - (DecLat-O229))),IF((90 + (DecLat-O229))&gt;90, (90 + (O229-DecLat)), (90 + (DecLat-O229))))</f>
        <v>75.55</v>
      </c>
      <c r="AG229" s="257">
        <f>angularseperation(MoonRA,MoonDec,$M229,$O229)</f>
        <v>72.589566950349123</v>
      </c>
      <c r="AH229" s="261">
        <f ca="1">MIN(100,IF($O$5&gt;80,0+30*($AG229/100),IF($O$5&gt;70,0+50*($AG229/100),IF($O$5&gt;60,5+50*($AG229/100),IF($O$5&gt;50,10+60*($AG229/100),IF($O$5&gt;40,15+70*($AG229/100),IF($O$5&gt;30,20+70*($AG229/100),IF($O$5&gt;20,40+55*($AG229/100),(80+(20-$O$5)+30*($AG229/100))))))))))</f>
        <v>100</v>
      </c>
      <c r="AI229" s="262"/>
      <c r="AJ229" s="262"/>
      <c r="AK229" s="262"/>
      <c r="AL229" s="263"/>
      <c r="AM229" s="264"/>
      <c r="AN229" s="263">
        <v>103</v>
      </c>
      <c r="AO229" s="263"/>
      <c r="AP229" s="265"/>
      <c r="AQ229" s="266"/>
      <c r="AR229" s="267">
        <v>59061</v>
      </c>
      <c r="AS229" s="263"/>
      <c r="AT229" s="263"/>
      <c r="AU229" s="263"/>
      <c r="AV229" s="264"/>
      <c r="AW229" s="263"/>
      <c r="AX229" s="263"/>
      <c r="AY229" s="263"/>
      <c r="AZ229" s="263"/>
      <c r="BA229" s="263"/>
      <c r="BB229" s="263"/>
      <c r="BC229" s="263"/>
      <c r="BD229" s="264"/>
      <c r="BE229" s="263"/>
      <c r="BF229" s="263"/>
      <c r="BG229" s="263"/>
      <c r="BH229" s="263"/>
      <c r="BI229" s="263"/>
      <c r="BJ229" s="404">
        <f>altaz(J2000_Bas,$O229,$M229,DecLat,DecLong,2)</f>
        <v>308.58055765333893</v>
      </c>
      <c r="BK229" s="378" t="s">
        <v>319</v>
      </c>
      <c r="BL229" s="379">
        <f>IF((2*G229)/60&lt;0.2,0.2,(2*G229)/60)</f>
        <v>0.2</v>
      </c>
      <c r="BM229" s="380">
        <f>MOD((50000+AD229-$B$3+(0/24)),1)</f>
        <v>0.90926219060202129</v>
      </c>
      <c r="BN229" s="382" t="s">
        <v>9214</v>
      </c>
      <c r="BO229" s="382">
        <v>229</v>
      </c>
    </row>
    <row r="230" spans="1:67" s="24" customFormat="1" ht="15" customHeight="1" x14ac:dyDescent="0.25">
      <c r="A230" s="288" t="s">
        <v>320</v>
      </c>
      <c r="B230" s="241" t="str">
        <f>HYPERLINK(CONCATENATE($AT$3,BK230,$AU$3),$AV$3)</f>
        <v>S</v>
      </c>
      <c r="C230" s="242" t="str">
        <f>HYPERLINK(CONCATENATE($AT$4,BK230,$AU$4,BL230),$AV$4)</f>
        <v>A</v>
      </c>
      <c r="D230" s="243" t="s">
        <v>5638</v>
      </c>
      <c r="E230" s="244" t="s">
        <v>5337</v>
      </c>
      <c r="F230" s="269" t="s">
        <v>3319</v>
      </c>
      <c r="G230" s="273">
        <v>2.1</v>
      </c>
      <c r="H230" s="283">
        <v>140</v>
      </c>
      <c r="I230" s="246">
        <v>95</v>
      </c>
      <c r="J230" s="246">
        <v>3</v>
      </c>
      <c r="K230" s="247" t="s">
        <v>4163</v>
      </c>
      <c r="L230" s="248">
        <v>133210</v>
      </c>
      <c r="M230" s="249">
        <f>15*(LEFT(TEXT($L230,"000000"),2)+(MID(TEXT($L230,"000000"),3,2)/60)+(RIGHT(TEXT($L230,"000000"),2)/3600))</f>
        <v>203.04166666666669</v>
      </c>
      <c r="N230" s="250">
        <v>624603</v>
      </c>
      <c r="O230" s="251">
        <f>IF($N230&gt;0,(LEFT(TEXT($N230,"000000"),2)+(MID(TEXT($N230,"000000"),3,2)/60)+(RIGHT(TEXT($N230,"000000"),2)/3600)),-(MID(TEXT($N230,"000000"),2,2)+(MID(TEXT($N230,"000000"),4,2)/60)+(RIGHT(TEXT($N230,"000000"),2)/3600)))</f>
        <v>62.767499999999998</v>
      </c>
      <c r="P230" s="252" t="s">
        <v>37</v>
      </c>
      <c r="Q230" s="253" t="s">
        <v>321</v>
      </c>
      <c r="R230" s="247" t="s">
        <v>3610</v>
      </c>
      <c r="S230" s="272" t="s">
        <v>3293</v>
      </c>
      <c r="T230" s="273">
        <v>12.3</v>
      </c>
      <c r="U230" s="289">
        <v>21.990000000000002</v>
      </c>
      <c r="V230" s="280"/>
      <c r="W230" s="244"/>
      <c r="X230" s="244"/>
      <c r="Y230" s="362"/>
      <c r="Z230" s="257">
        <f>altaz(J2000_Bas,$O230,$M230,DecLat,DecLong,1)</f>
        <v>30.398899056683558</v>
      </c>
      <c r="AA230" s="257">
        <f>altaz((J2000_Bas+(2*0.04167)),$O230,$M230,DecLat,DecLong,1)</f>
        <v>17.722184762266917</v>
      </c>
      <c r="AB230" s="257">
        <f>altaz((J2000_Bas+(4*0.04167)),$O230,$M230,DecLat,DecLong,1)</f>
        <v>8.2884360966104751</v>
      </c>
      <c r="AC230" s="257">
        <f>altaz((J2000_Bas+(6*0.04167)),$O230,$M230,DecLat,DecLong,1)</f>
        <v>3.9252702168771916</v>
      </c>
      <c r="AD230" s="258">
        <f>1+ transit((J2000_Bas-1),$O230,$M230,DecLat,DecLong)/360 + (GMTOffset/24) + (IF(DST="Y", 1, 0)/24)</f>
        <v>1.5569045338588747</v>
      </c>
      <c r="AE230" s="259">
        <f>DATE(2001,9,21)+(M230/360)*365 - (360*((DecLong/360)- (GMTOffset/24) ))</f>
        <v>37365.861689814818</v>
      </c>
      <c r="AF230" s="260">
        <f>IF(DecLat&gt;0,IF((90 - (DecLat-O230))&gt;90, (90 - (O230-DecLat)), (90 - (DecLat-O230))),IF((90 + (DecLat-O230))&gt;90, (90 + (O230-DecLat)), (90 + (DecLat-O230))))</f>
        <v>58.232500000000002</v>
      </c>
      <c r="AG230" s="257">
        <f>angularseperation(MoonRA,MoonDec,$M230,$O230)</f>
        <v>97.055949782925609</v>
      </c>
      <c r="AH230" s="261">
        <f ca="1">MIN(100,IF($O$5&gt;80,0+30*($AG230/100),IF($O$5&gt;70,0+50*($AG230/100),IF($O$5&gt;60,5+50*($AG230/100),IF($O$5&gt;50,10+60*($AG230/100),IF($O$5&gt;40,15+70*($AG230/100),IF($O$5&gt;30,20+70*($AG230/100),IF($O$5&gt;20,40+55*($AG230/100),(80+(20-$O$5)+30*($AG230/100))))))))))</f>
        <v>100</v>
      </c>
      <c r="AI230" s="262">
        <v>5218</v>
      </c>
      <c r="AJ230" s="262"/>
      <c r="AK230" s="262"/>
      <c r="AL230" s="263"/>
      <c r="AM230" s="264"/>
      <c r="AN230" s="263">
        <v>104</v>
      </c>
      <c r="AO230" s="263"/>
      <c r="AP230" s="265"/>
      <c r="AQ230" s="266">
        <v>8529</v>
      </c>
      <c r="AR230" s="267">
        <v>47603</v>
      </c>
      <c r="AS230" s="263"/>
      <c r="AT230" s="263"/>
      <c r="AU230" s="263"/>
      <c r="AV230" s="264"/>
      <c r="AW230" s="263"/>
      <c r="AX230" s="263"/>
      <c r="AY230" s="263"/>
      <c r="AZ230" s="263"/>
      <c r="BA230" s="263"/>
      <c r="BB230" s="263"/>
      <c r="BC230" s="263"/>
      <c r="BD230" s="264"/>
      <c r="BE230" s="263"/>
      <c r="BF230" s="263"/>
      <c r="BG230" s="263"/>
      <c r="BH230" s="263">
        <v>28</v>
      </c>
      <c r="BI230" s="263"/>
      <c r="BJ230" s="404">
        <f>altaz(J2000_Bas,$O230,$M230,DecLat,DecLong,2)</f>
        <v>328.22800412913415</v>
      </c>
      <c r="BK230" s="378" t="s">
        <v>320</v>
      </c>
      <c r="BL230" s="379">
        <f>IF((2*G230)/60&lt;0.2,0.2,(2*G230)/60)</f>
        <v>0.2</v>
      </c>
      <c r="BM230" s="380">
        <f>MOD((50000+AD230-$B$3+(0/24)),1)</f>
        <v>0.77227146356017329</v>
      </c>
      <c r="BN230" s="381"/>
      <c r="BO230" s="382">
        <v>230</v>
      </c>
    </row>
    <row r="231" spans="1:67" s="24" customFormat="1" ht="15" customHeight="1" x14ac:dyDescent="0.25">
      <c r="A231" s="288" t="s">
        <v>322</v>
      </c>
      <c r="B231" s="241" t="str">
        <f>HYPERLINK(CONCATENATE($AT$3,BK231,$AU$3),$AV$3)</f>
        <v>S</v>
      </c>
      <c r="C231" s="242" t="str">
        <f>HYPERLINK(CONCATENATE($AT$4,BK231,$AU$4,BL231),$AV$4)</f>
        <v>A</v>
      </c>
      <c r="D231" s="243" t="s">
        <v>5638</v>
      </c>
      <c r="E231" s="244" t="s">
        <v>5337</v>
      </c>
      <c r="F231" s="269" t="s">
        <v>9140</v>
      </c>
      <c r="G231" s="270">
        <v>0.9</v>
      </c>
      <c r="H231" s="283">
        <v>400</v>
      </c>
      <c r="I231" s="246">
        <v>100</v>
      </c>
      <c r="J231" s="246">
        <v>3</v>
      </c>
      <c r="K231" s="247" t="s">
        <v>4164</v>
      </c>
      <c r="L231" s="248">
        <v>111112</v>
      </c>
      <c r="M231" s="249">
        <f>15*(LEFT(TEXT($L231,"000000"),2)+(MID(TEXT($L231,"000000"),3,2)/60)+(RIGHT(TEXT($L231,"000000"),2)/3600))</f>
        <v>167.8</v>
      </c>
      <c r="N231" s="250">
        <v>284200</v>
      </c>
      <c r="O231" s="251">
        <f>IF($N231&gt;0,(LEFT(TEXT($N231,"000000"),2)+(MID(TEXT($N231,"000000"),3,2)/60)+(RIGHT(TEXT($N231,"000000"),2)/3600)),-(MID(TEXT($N231,"000000"),2,2)+(MID(TEXT($N231,"000000"),4,2)/60)+(RIGHT(TEXT($N231,"000000"),2)/3600)))</f>
        <v>28.7</v>
      </c>
      <c r="P231" s="252" t="s">
        <v>37</v>
      </c>
      <c r="Q231" s="253" t="s">
        <v>323</v>
      </c>
      <c r="R231" s="247" t="s">
        <v>3553</v>
      </c>
      <c r="S231" s="272" t="s">
        <v>3293</v>
      </c>
      <c r="T231" s="273">
        <v>13.8</v>
      </c>
      <c r="U231" s="289">
        <v>22.09</v>
      </c>
      <c r="V231" s="280"/>
      <c r="W231" s="244"/>
      <c r="X231" s="244"/>
      <c r="Y231" s="362"/>
      <c r="Z231" s="257">
        <f>altaz(J2000_Bas,$O231,$M231,DecLat,DecLong,1)</f>
        <v>-6.199431383564364</v>
      </c>
      <c r="AA231" s="257">
        <f>altaz((J2000_Bas+(2*0.04167)),$O231,$M231,DecLat,DecLong,1)</f>
        <v>-23.095809060113258</v>
      </c>
      <c r="AB231" s="257">
        <f>altaz((J2000_Bas+(4*0.04167)),$O231,$M231,DecLat,DecLong,1)</f>
        <v>-30.279855229708602</v>
      </c>
      <c r="AC231" s="257">
        <f>altaz((J2000_Bas+(6*0.04167)),$O231,$M231,DecLat,DecLong,1)</f>
        <v>-24.436760392086267</v>
      </c>
      <c r="AD231" s="258">
        <f>1+ transit((J2000_Bas-1),$O231,$M231,DecLat,DecLong)/360 + (GMTOffset/24) + (IF(DST="Y", 1, 0)/24)</f>
        <v>1.4590110251297082</v>
      </c>
      <c r="AE231" s="259">
        <f>DATE(2001,9,21)+(M231/360)*365 - (360*((DecLong/360)- (GMTOffset/24) ))</f>
        <v>37330.130555555559</v>
      </c>
      <c r="AF231" s="260">
        <f>IF(DecLat&gt;0,IF((90 - (DecLat-O231))&gt;90, (90 - (O231-DecLat)), (90 - (DecLat-O231))),IF((90 + (DecLat-O231))&gt;90, (90 + (O231-DecLat)), (90 + (DecLat-O231))))</f>
        <v>87.7</v>
      </c>
      <c r="AG231" s="257">
        <f>angularseperation(MoonRA,MoonDec,$M231,$O231)</f>
        <v>95.879048105261774</v>
      </c>
      <c r="AH231" s="261">
        <f ca="1">MIN(100,IF($O$5&gt;80,0+30*($AG231/100),IF($O$5&gt;70,0+50*($AG231/100),IF($O$5&gt;60,5+50*($AG231/100),IF($O$5&gt;50,10+60*($AG231/100),IF($O$5&gt;40,15+70*($AG231/100),IF($O$5&gt;30,20+70*($AG231/100),IF($O$5&gt;20,40+55*($AG231/100),(80+(20-$O$5)+30*($AG231/100))))))))))</f>
        <v>100</v>
      </c>
      <c r="AI231" s="262">
        <v>3561</v>
      </c>
      <c r="AJ231" s="262"/>
      <c r="AK231" s="262"/>
      <c r="AL231" s="263"/>
      <c r="AM231" s="264"/>
      <c r="AN231" s="263">
        <v>105</v>
      </c>
      <c r="AO231" s="263"/>
      <c r="AP231" s="265"/>
      <c r="AQ231" s="266"/>
      <c r="AR231" s="267">
        <v>33991</v>
      </c>
      <c r="AS231" s="263"/>
      <c r="AT231" s="263"/>
      <c r="AU231" s="263"/>
      <c r="AV231" s="264"/>
      <c r="AW231" s="263"/>
      <c r="AX231" s="263"/>
      <c r="AY231" s="263"/>
      <c r="AZ231" s="263"/>
      <c r="BA231" s="263"/>
      <c r="BB231" s="263"/>
      <c r="BC231" s="263"/>
      <c r="BD231" s="264"/>
      <c r="BE231" s="263"/>
      <c r="BF231" s="263"/>
      <c r="BG231" s="263"/>
      <c r="BH231" s="263">
        <v>24</v>
      </c>
      <c r="BI231" s="263"/>
      <c r="BJ231" s="404">
        <f>altaz(J2000_Bas,$O231,$M231,DecLat,DecLong,2)</f>
        <v>308.96228165448383</v>
      </c>
      <c r="BK231" s="378" t="s">
        <v>322</v>
      </c>
      <c r="BL231" s="379">
        <f>IF((2*G231)/60&lt;0.2,0.2,(2*G231)/60)</f>
        <v>0.2</v>
      </c>
      <c r="BM231" s="380">
        <f>MOD((50000+AD231-$B$3+(0/24)),1)</f>
        <v>0.67437795483419904</v>
      </c>
      <c r="BN231" s="381" t="s">
        <v>9291</v>
      </c>
      <c r="BO231" s="382">
        <v>231</v>
      </c>
    </row>
    <row r="232" spans="1:67" s="24" customFormat="1" ht="15" customHeight="1" x14ac:dyDescent="0.25">
      <c r="A232" s="288" t="s">
        <v>324</v>
      </c>
      <c r="B232" s="241" t="str">
        <f>HYPERLINK(CONCATENATE($AT$3,BK232,$AU$3),$AV$3)</f>
        <v>S</v>
      </c>
      <c r="C232" s="242" t="str">
        <f>HYPERLINK(CONCATENATE($AT$4,BK232,$AU$4,BL232),$AV$4)</f>
        <v>A</v>
      </c>
      <c r="D232" s="243" t="s">
        <v>5638</v>
      </c>
      <c r="E232" s="244" t="s">
        <v>5337</v>
      </c>
      <c r="F232" s="269" t="s">
        <v>9137</v>
      </c>
      <c r="G232" s="273">
        <v>1.2</v>
      </c>
      <c r="H232" s="283">
        <v>300</v>
      </c>
      <c r="I232" s="246">
        <v>110</v>
      </c>
      <c r="J232" s="246">
        <v>2</v>
      </c>
      <c r="K232" s="247" t="s">
        <v>4165</v>
      </c>
      <c r="L232" s="248">
        <v>121535</v>
      </c>
      <c r="M232" s="249">
        <f>15*(LEFT(TEXT($L232,"000000"),2)+(MID(TEXT($L232,"000000"),3,2)/60)+(RIGHT(TEXT($L232,"000000"),2)/3600))</f>
        <v>183.89583333333334</v>
      </c>
      <c r="N232" s="250">
        <v>281000</v>
      </c>
      <c r="O232" s="251">
        <f>IF($N232&gt;0,(LEFT(TEXT($N232,"000000"),2)+(MID(TEXT($N232,"000000"),3,2)/60)+(RIGHT(TEXT($N232,"000000"),2)/3600)),-(MID(TEXT($N232,"000000"),2,2)+(MID(TEXT($N232,"000000"),4,2)/60)+(RIGHT(TEXT($N232,"000000"),2)/3600)))</f>
        <v>28.166666666666668</v>
      </c>
      <c r="P232" s="252" t="s">
        <v>190</v>
      </c>
      <c r="Q232" s="253"/>
      <c r="R232" s="247" t="s">
        <v>3576</v>
      </c>
      <c r="S232" s="272" t="s">
        <v>3293</v>
      </c>
      <c r="T232" s="273">
        <v>13.5</v>
      </c>
      <c r="U232" s="289">
        <v>22.19</v>
      </c>
      <c r="V232" s="280"/>
      <c r="W232" s="244"/>
      <c r="X232" s="244"/>
      <c r="Y232" s="362"/>
      <c r="Z232" s="257">
        <f>altaz(J2000_Bas,$O232,$M232,DecLat,DecLong,1)</f>
        <v>4.8547227607194712</v>
      </c>
      <c r="AA232" s="257">
        <f>altaz((J2000_Bas+(2*0.04167)),$O232,$M232,DecLat,DecLong,1)</f>
        <v>-15.330723444931705</v>
      </c>
      <c r="AB232" s="257">
        <f>altaz((J2000_Bas+(4*0.04167)),$O232,$M232,DecLat,DecLong,1)</f>
        <v>-28.468393506335172</v>
      </c>
      <c r="AC232" s="257">
        <f>altaz((J2000_Bas+(6*0.04167)),$O232,$M232,DecLat,DecLong,1)</f>
        <v>-29.671502904047323</v>
      </c>
      <c r="AD232" s="258">
        <f>1+ transit((J2000_Bas-1),$O232,$M232,DecLat,DecLong)/360 + (GMTOffset/24) + (IF(DST="Y", 1, 0)/24)</f>
        <v>1.5037216688067914</v>
      </c>
      <c r="AE232" s="259">
        <f>DATE(2001,9,21)+(M232/360)*365 - (360*((DecLong/360)- (GMTOffset/24) ))</f>
        <v>37346.449942129628</v>
      </c>
      <c r="AF232" s="260">
        <f>IF(DecLat&gt;0,IF((90 - (DecLat-O232))&gt;90, (90 - (O232-DecLat)), (90 - (DecLat-O232))),IF((90 + (DecLat-O232))&gt;90, (90 + (O232-DecLat)), (90 + (DecLat-O232))))</f>
        <v>87.166666666666671</v>
      </c>
      <c r="AG232" s="257">
        <f>angularseperation(MoonRA,MoonDec,$M232,$O232)</f>
        <v>83.540896608856372</v>
      </c>
      <c r="AH232" s="261">
        <f ca="1">MIN(100,IF($O$5&gt;80,0+30*($AG232/100),IF($O$5&gt;70,0+50*($AG232/100),IF($O$5&gt;60,5+50*($AG232/100),IF($O$5&gt;50,10+60*($AG232/100),IF($O$5&gt;40,15+70*($AG232/100),IF($O$5&gt;30,20+70*($AG232/100),IF($O$5&gt;20,40+55*($AG232/100),(80+(20-$O$5)+30*($AG232/100))))))))))</f>
        <v>100</v>
      </c>
      <c r="AI232" s="262">
        <v>4211</v>
      </c>
      <c r="AJ232" s="262"/>
      <c r="AK232" s="262"/>
      <c r="AL232" s="263"/>
      <c r="AM232" s="264"/>
      <c r="AN232" s="263">
        <v>106</v>
      </c>
      <c r="AO232" s="263"/>
      <c r="AP232" s="265"/>
      <c r="AQ232" s="266"/>
      <c r="AR232" s="267">
        <v>39221</v>
      </c>
      <c r="AS232" s="263"/>
      <c r="AT232" s="263"/>
      <c r="AU232" s="263"/>
      <c r="AV232" s="264"/>
      <c r="AW232" s="263"/>
      <c r="AX232" s="263"/>
      <c r="AY232" s="263"/>
      <c r="AZ232" s="263"/>
      <c r="BA232" s="263"/>
      <c r="BB232" s="263"/>
      <c r="BC232" s="263"/>
      <c r="BD232" s="264"/>
      <c r="BE232" s="263"/>
      <c r="BF232" s="263"/>
      <c r="BG232" s="263"/>
      <c r="BH232" s="263"/>
      <c r="BI232" s="263"/>
      <c r="BJ232" s="404">
        <f>altaz(J2000_Bas,$O232,$M232,DecLat,DecLong,2)</f>
        <v>300.10884889175503</v>
      </c>
      <c r="BK232" s="378" t="s">
        <v>324</v>
      </c>
      <c r="BL232" s="379">
        <f>IF((2*G232)/60&lt;0.2,0.2,(2*G232)/60)</f>
        <v>0.2</v>
      </c>
      <c r="BM232" s="380">
        <f>MOD((50000+AD232-$B$3+(0/24)),1)</f>
        <v>0.71908859851100715</v>
      </c>
      <c r="BN232" s="381"/>
      <c r="BO232" s="382">
        <v>232</v>
      </c>
    </row>
    <row r="233" spans="1:67" s="24" customFormat="1" ht="15" customHeight="1" x14ac:dyDescent="0.25">
      <c r="A233" s="288" t="s">
        <v>325</v>
      </c>
      <c r="B233" s="241" t="str">
        <f>HYPERLINK(CONCATENATE($AT$3,BK233,$AU$3),$AV$3)</f>
        <v>S</v>
      </c>
      <c r="C233" s="242" t="str">
        <f>HYPERLINK(CONCATENATE($AT$4,BK233,$AU$4,BL233),$AV$4)</f>
        <v>A</v>
      </c>
      <c r="D233" s="243" t="s">
        <v>5638</v>
      </c>
      <c r="E233" s="244" t="s">
        <v>5337</v>
      </c>
      <c r="F233" s="269" t="s">
        <v>3310</v>
      </c>
      <c r="G233" s="273">
        <v>2</v>
      </c>
      <c r="H233" s="283">
        <v>500</v>
      </c>
      <c r="I233" s="246">
        <v>300</v>
      </c>
      <c r="J233" s="246">
        <v>2</v>
      </c>
      <c r="K233" s="247" t="s">
        <v>8505</v>
      </c>
      <c r="L233" s="248">
        <v>105218</v>
      </c>
      <c r="M233" s="249">
        <f>15*(LEFT(TEXT($L233,"000000"),2)+(MID(TEXT($L233,"000000"),3,2)/60)+(RIGHT(TEXT($L233,"000000"),2)/3600))</f>
        <v>163.07500000000002</v>
      </c>
      <c r="N233" s="250">
        <v>300400</v>
      </c>
      <c r="O233" s="251">
        <f>IF($N233&gt;0,(LEFT(TEXT($N233,"000000"),2)+(MID(TEXT($N233,"000000"),3,2)/60)+(RIGHT(TEXT($N233,"000000"),2)/3600)),-(MID(TEXT($N233,"000000"),2,2)+(MID(TEXT($N233,"000000"),4,2)/60)+(RIGHT(TEXT($N233,"000000"),2)/3600)))</f>
        <v>30.066666666666666</v>
      </c>
      <c r="P233" s="252" t="s">
        <v>239</v>
      </c>
      <c r="Q233" s="253"/>
      <c r="R233" s="247" t="s">
        <v>3293</v>
      </c>
      <c r="S233" s="272" t="s">
        <v>3293</v>
      </c>
      <c r="T233" s="273">
        <v>14.6</v>
      </c>
      <c r="U233" s="274"/>
      <c r="V233" s="280"/>
      <c r="W233" s="244"/>
      <c r="X233" s="244"/>
      <c r="Y233" s="362"/>
      <c r="Z233" s="257">
        <f>altaz(J2000_Bas,$O233,$M233,DecLat,DecLong,1)</f>
        <v>-8.3491649380862949</v>
      </c>
      <c r="AA233" s="257">
        <f>altaz((J2000_Bas+(2*0.04167)),$O233,$M233,DecLat,DecLong,1)</f>
        <v>-23.766394449062116</v>
      </c>
      <c r="AB233" s="257">
        <f>altaz((J2000_Bas+(4*0.04167)),$O233,$M233,DecLat,DecLong,1)</f>
        <v>-28.862440758693793</v>
      </c>
      <c r="AC233" s="257">
        <f>altaz((J2000_Bas+(6*0.04167)),$O233,$M233,DecLat,DecLong,1)</f>
        <v>-21.274185186205298</v>
      </c>
      <c r="AD233" s="258">
        <f>1+ transit((J2000_Bas-1),$O233,$M233,DecLat,DecLong)/360 + (GMTOffset/24) + (IF(DST="Y", 1, 0)/24)</f>
        <v>1.445886026442208</v>
      </c>
      <c r="AE233" s="259">
        <f>DATE(2001,9,21)+(M233/360)*365 - (360*((DecLong/360)- (GMTOffset/24) ))</f>
        <v>37325.339930555558</v>
      </c>
      <c r="AF233" s="260">
        <f>IF(DecLat&gt;0,IF((90 - (DecLat-O233))&gt;90, (90 - (O233-DecLat)), (90 - (DecLat-O233))),IF((90 + (DecLat-O233))&gt;90, (90 + (O233-DecLat)), (90 + (DecLat-O233))))</f>
        <v>89.066666666666663</v>
      </c>
      <c r="AG233" s="257">
        <f>angularseperation(MoonRA,MoonDec,$M233,$O233)</f>
        <v>100.17160482263074</v>
      </c>
      <c r="AH233" s="261">
        <f ca="1">MIN(100,IF($O$5&gt;80,0+30*($AG233/100),IF($O$5&gt;70,0+50*($AG233/100),IF($O$5&gt;60,5+50*($AG233/100),IF($O$5&gt;50,10+60*($AG233/100),IF($O$5&gt;40,15+70*($AG233/100),IF($O$5&gt;30,20+70*($AG233/100),IF($O$5&gt;20,40+55*($AG233/100),(80+(20-$O$5)+30*($AG233/100))))))))))</f>
        <v>100</v>
      </c>
      <c r="AI233" s="262"/>
      <c r="AJ233" s="262"/>
      <c r="AK233" s="262"/>
      <c r="AL233" s="263"/>
      <c r="AM233" s="264"/>
      <c r="AN233" s="263">
        <v>107</v>
      </c>
      <c r="AO233" s="263"/>
      <c r="AP233" s="265"/>
      <c r="AQ233" s="266">
        <v>5984</v>
      </c>
      <c r="AR233" s="267">
        <v>32620</v>
      </c>
      <c r="AS233" s="263"/>
      <c r="AT233" s="263"/>
      <c r="AU233" s="263"/>
      <c r="AV233" s="264"/>
      <c r="AW233" s="263"/>
      <c r="AX233" s="263"/>
      <c r="AY233" s="263"/>
      <c r="AZ233" s="263"/>
      <c r="BA233" s="263"/>
      <c r="BB233" s="263"/>
      <c r="BC233" s="263"/>
      <c r="BD233" s="264"/>
      <c r="BE233" s="263"/>
      <c r="BF233" s="263"/>
      <c r="BG233" s="263"/>
      <c r="BH233" s="263"/>
      <c r="BI233" s="263"/>
      <c r="BJ233" s="404">
        <f>altaz(J2000_Bas,$O233,$M233,DecLat,DecLong,2)</f>
        <v>312.76052763344643</v>
      </c>
      <c r="BK233" s="378" t="s">
        <v>325</v>
      </c>
      <c r="BL233" s="379">
        <f>IF((2*G233)/60&lt;0.2,0.2,(2*G233)/60)</f>
        <v>0.2</v>
      </c>
      <c r="BM233" s="380">
        <f>MOD((50000+AD233-$B$3+(0/24)),1)</f>
        <v>0.66125295614619972</v>
      </c>
      <c r="BN233" s="381"/>
      <c r="BO233" s="382">
        <v>233</v>
      </c>
    </row>
    <row r="234" spans="1:67" s="24" customFormat="1" ht="15" customHeight="1" x14ac:dyDescent="0.25">
      <c r="A234" s="288" t="s">
        <v>326</v>
      </c>
      <c r="B234" s="241" t="str">
        <f>HYPERLINK(CONCATENATE($AT$3,BK234,$AU$3),$AV$3)</f>
        <v>S</v>
      </c>
      <c r="C234" s="242" t="str">
        <f>HYPERLINK(CONCATENATE($AT$4,BK234,$AU$4,BL234),$AV$4)</f>
        <v>A</v>
      </c>
      <c r="D234" s="243" t="s">
        <v>5638</v>
      </c>
      <c r="E234" s="244" t="s">
        <v>5192</v>
      </c>
      <c r="F234" s="269" t="s">
        <v>8808</v>
      </c>
      <c r="G234" s="273">
        <v>1</v>
      </c>
      <c r="H234" s="283">
        <v>700</v>
      </c>
      <c r="I234" s="246">
        <v>190</v>
      </c>
      <c r="J234" s="246">
        <v>0</v>
      </c>
      <c r="K234" s="247" t="s">
        <v>4166</v>
      </c>
      <c r="L234" s="248">
        <v>30307</v>
      </c>
      <c r="M234" s="249">
        <f>15*(LEFT(TEXT($L234,"000000"),2)+(MID(TEXT($L234,"000000"),3,2)/60)+(RIGHT(TEXT($L234,"000000"),2)/3600))</f>
        <v>45.779166666666661</v>
      </c>
      <c r="N234" s="250">
        <v>-221200</v>
      </c>
      <c r="O234" s="251">
        <f>IF($N234&gt;0,(LEFT(TEXT($N234,"000000"),2)+(MID(TEXT($N234,"000000"),3,2)/60)+(RIGHT(TEXT($N234,"000000"),2)/3600)),-(MID(TEXT($N234,"000000"),2,2)+(MID(TEXT($N234,"000000"),4,2)/60)+(RIGHT(TEXT($N234,"000000"),2)/3600)))</f>
        <v>-22.2</v>
      </c>
      <c r="P234" s="252" t="s">
        <v>257</v>
      </c>
      <c r="Q234" s="253"/>
      <c r="R234" s="247" t="s">
        <v>3293</v>
      </c>
      <c r="S234" s="272" t="s">
        <v>3293</v>
      </c>
      <c r="T234" s="273">
        <v>14</v>
      </c>
      <c r="U234" s="274"/>
      <c r="V234" s="280">
        <v>5</v>
      </c>
      <c r="W234" s="244"/>
      <c r="X234" s="244"/>
      <c r="Y234" s="362"/>
      <c r="Z234" s="257">
        <f>altaz(J2000_Bas,$O234,$M234,DecLat,DecLong,1)</f>
        <v>-36.067066086478093</v>
      </c>
      <c r="AA234" s="257">
        <f>altaz((J2000_Bas+(2*0.04167)),$O234,$M234,DecLat,DecLong,1)</f>
        <v>-10.972400860860954</v>
      </c>
      <c r="AB234" s="257">
        <f>altaz((J2000_Bas+(4*0.04167)),$O234,$M234,DecLat,DecLong,1)</f>
        <v>11.94133873655962</v>
      </c>
      <c r="AC234" s="257">
        <f>altaz((J2000_Bas+(6*0.04167)),$O234,$M234,DecLat,DecLong,1)</f>
        <v>29.734274882458518</v>
      </c>
      <c r="AD234" s="258">
        <f>1+ transit((J2000_Bas-1),$O234,$M234,DecLat,DecLong)/360 + (GMTOffset/24) + (IF(DST="Y", 1, 0)/24)</f>
        <v>1.1200642997651247</v>
      </c>
      <c r="AE234" s="259">
        <f>DATE(2001,9,21)+(M234/360)*365 - (360*((DecLong/360)- (GMTOffset/24) ))</f>
        <v>37206.414988425924</v>
      </c>
      <c r="AF234" s="260">
        <f>IF(DecLat&gt;0,IF((90 - (DecLat-O234))&gt;90, (90 - (O234-DecLat)), (90 - (DecLat-O234))),IF((90 + (DecLat-O234))&gt;90, (90 + (O234-DecLat)), (90 + (DecLat-O234))))</f>
        <v>36.799999999999997</v>
      </c>
      <c r="AG234" s="257">
        <f>angularseperation(MoonRA,MoonDec,$M234,$O234)</f>
        <v>125.74309236105525</v>
      </c>
      <c r="AH234" s="261">
        <f ca="1">MIN(100,IF($O$5&gt;80,0+30*($AG234/100),IF($O$5&gt;70,0+50*($AG234/100),IF($O$5&gt;60,5+50*($AG234/100),IF($O$5&gt;50,10+60*($AG234/100),IF($O$5&gt;40,15+70*($AG234/100),IF($O$5&gt;30,20+70*($AG234/100),IF($O$5&gt;20,40+55*($AG234/100),(80+(20-$O$5)+30*($AG234/100))))))))))</f>
        <v>100</v>
      </c>
      <c r="AI234" s="262"/>
      <c r="AJ234" s="262"/>
      <c r="AK234" s="262"/>
      <c r="AL234" s="263"/>
      <c r="AM234" s="264"/>
      <c r="AN234" s="263">
        <v>108</v>
      </c>
      <c r="AO234" s="263"/>
      <c r="AP234" s="265"/>
      <c r="AQ234" s="266"/>
      <c r="AR234" s="267">
        <v>11491</v>
      </c>
      <c r="AS234" s="263"/>
      <c r="AT234" s="263"/>
      <c r="AU234" s="263"/>
      <c r="AV234" s="264"/>
      <c r="AW234" s="263"/>
      <c r="AX234" s="263"/>
      <c r="AY234" s="263"/>
      <c r="AZ234" s="263"/>
      <c r="BA234" s="263"/>
      <c r="BB234" s="263"/>
      <c r="BC234" s="263"/>
      <c r="BD234" s="264"/>
      <c r="BE234" s="263"/>
      <c r="BF234" s="263"/>
      <c r="BG234" s="263"/>
      <c r="BH234" s="263"/>
      <c r="BI234" s="263"/>
      <c r="BJ234" s="404">
        <f>altaz(J2000_Bas,$O234,$M234,DecLat,DecLong,2)</f>
        <v>96.182672103195983</v>
      </c>
      <c r="BK234" s="378" t="s">
        <v>326</v>
      </c>
      <c r="BL234" s="379">
        <f>IF((2*G234)/60&lt;0.2,0.2,(2*G234)/60)</f>
        <v>0.2</v>
      </c>
      <c r="BM234" s="380">
        <f>MOD((50000+AD234-$B$3+(0/24)),1)</f>
        <v>0.33543122946866788</v>
      </c>
      <c r="BN234" s="381"/>
      <c r="BO234" s="382">
        <v>234</v>
      </c>
    </row>
    <row r="235" spans="1:67" s="24" customFormat="1" ht="15" customHeight="1" x14ac:dyDescent="0.25">
      <c r="A235" s="288" t="s">
        <v>327</v>
      </c>
      <c r="B235" s="241" t="str">
        <f>HYPERLINK(CONCATENATE($AT$3,BK235,$AU$3),$AV$3)</f>
        <v>S</v>
      </c>
      <c r="C235" s="242" t="str">
        <f>HYPERLINK(CONCATENATE($AT$4,BK235,$AU$4,BL235),$AV$4)</f>
        <v>A</v>
      </c>
      <c r="D235" s="243" t="s">
        <v>5638</v>
      </c>
      <c r="E235" s="244" t="s">
        <v>5337</v>
      </c>
      <c r="F235" s="269" t="s">
        <v>9136</v>
      </c>
      <c r="G235" s="270">
        <v>0.5</v>
      </c>
      <c r="H235" s="283">
        <v>500</v>
      </c>
      <c r="I235" s="246">
        <v>80</v>
      </c>
      <c r="J235" s="246">
        <v>2</v>
      </c>
      <c r="K235" s="247" t="s">
        <v>4167</v>
      </c>
      <c r="L235" s="248">
        <v>154807</v>
      </c>
      <c r="M235" s="249">
        <f>15*(LEFT(TEXT($L235,"000000"),2)+(MID(TEXT($L235,"000000"),3,2)/60)+(RIGHT(TEXT($L235,"000000"),2)/3600))</f>
        <v>237.02916666666667</v>
      </c>
      <c r="N235" s="250">
        <v>692700</v>
      </c>
      <c r="O235" s="251">
        <f>IF($N235&gt;0,(LEFT(TEXT($N235,"000000"),2)+(MID(TEXT($N235,"000000"),3,2)/60)+(RIGHT(TEXT($N235,"000000"),2)/3600)),-(MID(TEXT($N235,"000000"),2,2)+(MID(TEXT($N235,"000000"),4,2)/60)+(RIGHT(TEXT($N235,"000000"),2)/3600)))</f>
        <v>69.45</v>
      </c>
      <c r="P235" s="252" t="s">
        <v>34</v>
      </c>
      <c r="Q235" s="253"/>
      <c r="R235" s="247" t="s">
        <v>3293</v>
      </c>
      <c r="S235" s="272" t="s">
        <v>3293</v>
      </c>
      <c r="T235" s="273">
        <v>15</v>
      </c>
      <c r="U235" s="274"/>
      <c r="V235" s="280"/>
      <c r="W235" s="244"/>
      <c r="X235" s="244"/>
      <c r="Y235" s="362"/>
      <c r="Z235" s="257">
        <f>altaz(J2000_Bas,$O235,$M235,DecLat,DecLong,1)</f>
        <v>42.825590952687982</v>
      </c>
      <c r="AA235" s="257">
        <f>altaz((J2000_Bas+(2*0.04167)),$O235,$M235,DecLat,DecLong,1)</f>
        <v>32.641247639281325</v>
      </c>
      <c r="AB235" s="257">
        <f>altaz((J2000_Bas+(4*0.04167)),$O235,$M235,DecLat,DecLong,1)</f>
        <v>22.556703885497395</v>
      </c>
      <c r="AC235" s="257">
        <f>altaz((J2000_Bas+(6*0.04167)),$O235,$M235,DecLat,DecLong,1)</f>
        <v>14.738121679293096</v>
      </c>
      <c r="AD235" s="258">
        <f>1+ transit((J2000_Bas-1),$O235,$M235,DecLat,DecLong)/360 + (GMTOffset/24) + (IF(DST="Y", 1, 0)/24)</f>
        <v>1.6513142466401247</v>
      </c>
      <c r="AE235" s="259">
        <f>DATE(2001,9,21)+(M235/360)*365 - (360*((DecLong/360)- (GMTOffset/24) ))</f>
        <v>37400.321238425924</v>
      </c>
      <c r="AF235" s="260">
        <f>IF(DecLat&gt;0,IF((90 - (DecLat-O235))&gt;90, (90 - (O235-DecLat)), (90 - (DecLat-O235))),IF((90 + (DecLat-O235))&gt;90, (90 + (O235-DecLat)), (90 + (DecLat-O235))))</f>
        <v>51.55</v>
      </c>
      <c r="AG235" s="257">
        <f>angularseperation(MoonRA,MoonDec,$M235,$O235)</f>
        <v>96.942161799760228</v>
      </c>
      <c r="AH235" s="261">
        <f ca="1">MIN(100,IF($O$5&gt;80,0+30*($AG235/100),IF($O$5&gt;70,0+50*($AG235/100),IF($O$5&gt;60,5+50*($AG235/100),IF($O$5&gt;50,10+60*($AG235/100),IF($O$5&gt;40,15+70*($AG235/100),IF($O$5&gt;30,20+70*($AG235/100),IF($O$5&gt;20,40+55*($AG235/100),(80+(20-$O$5)+30*($AG235/100))))))))))</f>
        <v>100</v>
      </c>
      <c r="AI235" s="262"/>
      <c r="AJ235" s="262"/>
      <c r="AK235" s="262"/>
      <c r="AL235" s="263"/>
      <c r="AM235" s="264"/>
      <c r="AN235" s="263">
        <v>109</v>
      </c>
      <c r="AO235" s="263"/>
      <c r="AP235" s="265"/>
      <c r="AQ235" s="266"/>
      <c r="AR235" s="267">
        <v>56057</v>
      </c>
      <c r="AS235" s="263"/>
      <c r="AT235" s="263"/>
      <c r="AU235" s="263"/>
      <c r="AV235" s="264"/>
      <c r="AW235" s="263"/>
      <c r="AX235" s="263"/>
      <c r="AY235" s="263"/>
      <c r="AZ235" s="263"/>
      <c r="BA235" s="263"/>
      <c r="BB235" s="263"/>
      <c r="BC235" s="263"/>
      <c r="BD235" s="264"/>
      <c r="BE235" s="263"/>
      <c r="BF235" s="263"/>
      <c r="BG235" s="263"/>
      <c r="BH235" s="263"/>
      <c r="BI235" s="263"/>
      <c r="BJ235" s="404">
        <f>altaz(J2000_Bas,$O235,$M235,DecLat,DecLong,2)</f>
        <v>338.83435167505689</v>
      </c>
      <c r="BK235" s="378" t="s">
        <v>327</v>
      </c>
      <c r="BL235" s="379">
        <f>IF((2*G235)/60&lt;0.2,0.2,(2*G235)/60)</f>
        <v>0.2</v>
      </c>
      <c r="BM235" s="380">
        <f>MOD((50000+AD235-$B$3+(0/24)),1)</f>
        <v>0.86668117634690134</v>
      </c>
      <c r="BN235" s="381"/>
      <c r="BO235" s="382">
        <v>235</v>
      </c>
    </row>
    <row r="236" spans="1:67" s="24" customFormat="1" ht="15" customHeight="1" x14ac:dyDescent="0.25">
      <c r="A236" s="288" t="s">
        <v>328</v>
      </c>
      <c r="B236" s="241" t="str">
        <f>HYPERLINK(CONCATENATE($AT$3,BK236,$AU$3),$AV$3)</f>
        <v>S</v>
      </c>
      <c r="C236" s="242" t="str">
        <f>HYPERLINK(CONCATENATE($AT$4,BK236,$AU$4,BL236),$AV$4)</f>
        <v>A</v>
      </c>
      <c r="D236" s="243" t="s">
        <v>5638</v>
      </c>
      <c r="E236" s="244" t="s">
        <v>5337</v>
      </c>
      <c r="F236" s="269" t="s">
        <v>3319</v>
      </c>
      <c r="G236" s="270">
        <v>0.7</v>
      </c>
      <c r="H236" s="283">
        <v>500</v>
      </c>
      <c r="I236" s="246">
        <v>100</v>
      </c>
      <c r="J236" s="246">
        <v>1</v>
      </c>
      <c r="K236" s="247" t="s">
        <v>4168</v>
      </c>
      <c r="L236" s="248">
        <v>225408</v>
      </c>
      <c r="M236" s="249">
        <f>15*(LEFT(TEXT($L236,"000000"),2)+(MID(TEXT($L236,"000000"),3,2)/60)+(RIGHT(TEXT($L236,"000000"),2)/3600))</f>
        <v>343.5333333333333</v>
      </c>
      <c r="N236" s="250">
        <v>-151400</v>
      </c>
      <c r="O236" s="251">
        <f>IF($N236&gt;0,(LEFT(TEXT($N236,"000000"),2)+(MID(TEXT($N236,"000000"),3,2)/60)+(RIGHT(TEXT($N236,"000000"),2)/3600)),-(MID(TEXT($N236,"000000"),2,2)+(MID(TEXT($N236,"000000"),4,2)/60)+(RIGHT(TEXT($N236,"000000"),2)/3600)))</f>
        <v>-15.233333333333333</v>
      </c>
      <c r="P236" s="252" t="s">
        <v>3119</v>
      </c>
      <c r="Q236" s="253"/>
      <c r="R236" s="247" t="s">
        <v>3293</v>
      </c>
      <c r="S236" s="272" t="s">
        <v>3293</v>
      </c>
      <c r="T236" s="273">
        <v>14.5</v>
      </c>
      <c r="U236" s="274"/>
      <c r="V236" s="280"/>
      <c r="W236" s="244"/>
      <c r="X236" s="244"/>
      <c r="Y236" s="362"/>
      <c r="Z236" s="257">
        <f>altaz(J2000_Bas,$O236,$M236,DecLat,DecLong,1)</f>
        <v>17.979280415506832</v>
      </c>
      <c r="AA236" s="257">
        <f>altaz((J2000_Bas+(2*0.04167)),$O236,$M236,DecLat,DecLong,1)</f>
        <v>36.772128512109283</v>
      </c>
      <c r="AB236" s="257">
        <f>altaz((J2000_Bas+(4*0.04167)),$O236,$M236,DecLat,DecLong,1)</f>
        <v>43.697149816485748</v>
      </c>
      <c r="AC236" s="257">
        <f>altaz((J2000_Bas+(6*0.04167)),$O236,$M236,DecLat,DecLong,1)</f>
        <v>34.088021372623814</v>
      </c>
      <c r="AD236" s="258">
        <f>1+ transit((J2000_Bas-1),$O236,$M236,DecLat,DecLong)/360 + (GMTOffset/24) + (IF(DST="Y", 1, 0)/24)</f>
        <v>1.9471591244630415</v>
      </c>
      <c r="AE236" s="259">
        <f>DATE(2001,9,21)+(M236/360)*365 - (360*((DecLong/360)- (GMTOffset/24) ))</f>
        <v>37508.304629629631</v>
      </c>
      <c r="AF236" s="260">
        <f>IF(DecLat&gt;0,IF((90 - (DecLat-O236))&gt;90, (90 - (O236-DecLat)), (90 - (DecLat-O236))),IF((90 + (DecLat-O236))&gt;90, (90 + (O236-DecLat)), (90 + (DecLat-O236))))</f>
        <v>43.766666666666666</v>
      </c>
      <c r="AG236" s="257">
        <f>angularseperation(MoonRA,MoonDec,$M236,$O236)</f>
        <v>86.827225290701179</v>
      </c>
      <c r="AH236" s="261">
        <f ca="1">MIN(100,IF($O$5&gt;80,0+30*($AG236/100),IF($O$5&gt;70,0+50*($AG236/100),IF($O$5&gt;60,5+50*($AG236/100),IF($O$5&gt;50,10+60*($AG236/100),IF($O$5&gt;40,15+70*($AG236/100),IF($O$5&gt;30,20+70*($AG236/100),IF($O$5&gt;20,40+55*($AG236/100),(80+(20-$O$5)+30*($AG236/100))))))))))</f>
        <v>100</v>
      </c>
      <c r="AI236" s="262"/>
      <c r="AJ236" s="262"/>
      <c r="AK236" s="262"/>
      <c r="AL236" s="263"/>
      <c r="AM236" s="264"/>
      <c r="AN236" s="263">
        <v>110</v>
      </c>
      <c r="AO236" s="263"/>
      <c r="AP236" s="265"/>
      <c r="AQ236" s="266"/>
      <c r="AR236" s="267">
        <v>69956</v>
      </c>
      <c r="AS236" s="263"/>
      <c r="AT236" s="263"/>
      <c r="AU236" s="263"/>
      <c r="AV236" s="264"/>
      <c r="AW236" s="263"/>
      <c r="AX236" s="263"/>
      <c r="AY236" s="263"/>
      <c r="AZ236" s="263"/>
      <c r="BA236" s="263"/>
      <c r="BB236" s="263"/>
      <c r="BC236" s="263"/>
      <c r="BD236" s="264"/>
      <c r="BE236" s="263"/>
      <c r="BF236" s="263"/>
      <c r="BG236" s="263"/>
      <c r="BH236" s="263"/>
      <c r="BI236" s="263"/>
      <c r="BJ236" s="404">
        <f>altaz(J2000_Bas,$O236,$M236,DecLat,DecLong,2)</f>
        <v>121.14876256946388</v>
      </c>
      <c r="BK236" s="378" t="s">
        <v>328</v>
      </c>
      <c r="BL236" s="379">
        <f>IF((2*G236)/60&lt;0.2,0.2,(2*G236)/60)</f>
        <v>0.2</v>
      </c>
      <c r="BM236" s="380">
        <f>MOD((50000+AD236-$B$3+(0/24)),1)</f>
        <v>0.16252605416957522</v>
      </c>
      <c r="BN236" s="381"/>
      <c r="BO236" s="382">
        <v>236</v>
      </c>
    </row>
    <row r="237" spans="1:67" s="24" customFormat="1" ht="15" customHeight="1" x14ac:dyDescent="0.25">
      <c r="A237" s="288" t="s">
        <v>329</v>
      </c>
      <c r="B237" s="241" t="str">
        <f>HYPERLINK(CONCATENATE($AT$3,BK237,$AU$3),$AV$3)</f>
        <v>S</v>
      </c>
      <c r="C237" s="242" t="str">
        <f>HYPERLINK(CONCATENATE($AT$4,BK237,$AU$4,BL237),$AV$4)</f>
        <v>A</v>
      </c>
      <c r="D237" s="243" t="s">
        <v>5638</v>
      </c>
      <c r="E237" s="244" t="s">
        <v>5337</v>
      </c>
      <c r="F237" s="269" t="s">
        <v>3310</v>
      </c>
      <c r="G237" s="273">
        <v>1</v>
      </c>
      <c r="H237" s="283">
        <v>360</v>
      </c>
      <c r="I237" s="246">
        <v>100</v>
      </c>
      <c r="J237" s="246">
        <v>2</v>
      </c>
      <c r="K237" s="247" t="s">
        <v>4169</v>
      </c>
      <c r="L237" s="248">
        <v>140141</v>
      </c>
      <c r="M237" s="249">
        <f>15*(LEFT(TEXT($L237,"000000"),2)+(MID(TEXT($L237,"000000"),3,2)/60)+(RIGHT(TEXT($L237,"000000"),2)/3600))</f>
        <v>210.42083333333332</v>
      </c>
      <c r="N237" s="250">
        <v>334900</v>
      </c>
      <c r="O237" s="251">
        <f>IF($N237&gt;0,(LEFT(TEXT($N237,"000000"),2)+(MID(TEXT($N237,"000000"),3,2)/60)+(RIGHT(TEXT($N237,"000000"),2)/3600)),-(MID(TEXT($N237,"000000"),2,2)+(MID(TEXT($N237,"000000"),4,2)/60)+(RIGHT(TEXT($N237,"000000"),2)/3600)))</f>
        <v>33.81666666666667</v>
      </c>
      <c r="P237" s="252" t="s">
        <v>242</v>
      </c>
      <c r="Q237" s="253"/>
      <c r="R237" s="247" t="s">
        <v>3617</v>
      </c>
      <c r="S237" s="272" t="s">
        <v>3293</v>
      </c>
      <c r="T237" s="273">
        <v>13.2</v>
      </c>
      <c r="U237" s="289">
        <v>22.69</v>
      </c>
      <c r="V237" s="280"/>
      <c r="W237" s="244"/>
      <c r="X237" s="244"/>
      <c r="Y237" s="362"/>
      <c r="Z237" s="257">
        <f>altaz(J2000_Bas,$O237,$M237,DecLat,DecLong,1)</f>
        <v>27.64310241787167</v>
      </c>
      <c r="AA237" s="257">
        <f>altaz((J2000_Bas+(2*0.04167)),$O237,$M237,DecLat,DecLong,1)</f>
        <v>5.4128478402544822</v>
      </c>
      <c r="AB237" s="257">
        <f>altaz((J2000_Bas+(4*0.04167)),$O237,$M237,DecLat,DecLong,1)</f>
        <v>-12.913925111956585</v>
      </c>
      <c r="AC237" s="257">
        <f>altaz((J2000_Bas+(6*0.04167)),$O237,$M237,DecLat,DecLong,1)</f>
        <v>-23.819980084820045</v>
      </c>
      <c r="AD237" s="258">
        <f>1+ transit((J2000_Bas-1),$O237,$M237,DecLat,DecLong)/360 + (GMTOffset/24) + (IF(DST="Y", 1, 0)/24)</f>
        <v>1.5774022169942914</v>
      </c>
      <c r="AE237" s="259">
        <f>DATE(2001,9,21)+(M237/360)*365 - (360*((DecLong/360)- (GMTOffset/24) ))</f>
        <v>37373.343344907407</v>
      </c>
      <c r="AF237" s="260">
        <f>IF(DecLat&gt;0,IF((90 - (DecLat-O237))&gt;90, (90 - (O237-DecLat)), (90 - (DecLat-O237))),IF((90 + (DecLat-O237))&gt;90, (90 + (O237-DecLat)), (90 + (DecLat-O237))))</f>
        <v>87.183333333333337</v>
      </c>
      <c r="AG237" s="257">
        <f>angularseperation(MoonRA,MoonDec,$M237,$O237)</f>
        <v>71.160003767982857</v>
      </c>
      <c r="AH237" s="261">
        <f ca="1">MIN(100,IF($O$5&gt;80,0+30*($AG237/100),IF($O$5&gt;70,0+50*($AG237/100),IF($O$5&gt;60,5+50*($AG237/100),IF($O$5&gt;50,10+60*($AG237/100),IF($O$5&gt;40,15+70*($AG237/100),IF($O$5&gt;30,20+70*($AG237/100),IF($O$5&gt;20,40+55*($AG237/100),(80+(20-$O$5)+30*($AG237/100))))))))))</f>
        <v>100</v>
      </c>
      <c r="AI237" s="262">
        <v>5421</v>
      </c>
      <c r="AJ237" s="262"/>
      <c r="AK237" s="262"/>
      <c r="AL237" s="263"/>
      <c r="AM237" s="264"/>
      <c r="AN237" s="263">
        <v>111</v>
      </c>
      <c r="AO237" s="263"/>
      <c r="AP237" s="265"/>
      <c r="AQ237" s="266">
        <v>8941</v>
      </c>
      <c r="AR237" s="267">
        <v>49950</v>
      </c>
      <c r="AS237" s="263"/>
      <c r="AT237" s="263"/>
      <c r="AU237" s="263"/>
      <c r="AV237" s="264"/>
      <c r="AW237" s="263"/>
      <c r="AX237" s="263"/>
      <c r="AY237" s="263"/>
      <c r="AZ237" s="263"/>
      <c r="BA237" s="263"/>
      <c r="BB237" s="263"/>
      <c r="BC237" s="263"/>
      <c r="BD237" s="264"/>
      <c r="BE237" s="263"/>
      <c r="BF237" s="263"/>
      <c r="BG237" s="263"/>
      <c r="BH237" s="263"/>
      <c r="BI237" s="263"/>
      <c r="BJ237" s="404">
        <f>altaz(J2000_Bas,$O237,$M237,DecLat,DecLong,2)</f>
        <v>294.72339766638146</v>
      </c>
      <c r="BK237" s="378" t="s">
        <v>329</v>
      </c>
      <c r="BL237" s="379">
        <f>IF((2*G237)/60&lt;0.2,0.2,(2*G237)/60)</f>
        <v>0.2</v>
      </c>
      <c r="BM237" s="380">
        <f>MOD((50000+AD237-$B$3+(0/24)),1)</f>
        <v>0.79276914669753751</v>
      </c>
      <c r="BN237" s="381"/>
      <c r="BO237" s="382">
        <v>237</v>
      </c>
    </row>
    <row r="238" spans="1:67" s="24" customFormat="1" ht="15" customHeight="1" x14ac:dyDescent="0.25">
      <c r="A238" s="288" t="s">
        <v>330</v>
      </c>
      <c r="B238" s="241" t="str">
        <f>HYPERLINK(CONCATENATE($AT$3,BK238,$AU$3),$AV$3)</f>
        <v>S</v>
      </c>
      <c r="C238" s="242" t="str">
        <f>HYPERLINK(CONCATENATE($AT$4,BK238,$AU$4,BL238),$AV$4)</f>
        <v>A</v>
      </c>
      <c r="D238" s="243" t="s">
        <v>5638</v>
      </c>
      <c r="E238" s="244" t="s">
        <v>5337</v>
      </c>
      <c r="F238" s="269" t="s">
        <v>3310</v>
      </c>
      <c r="G238" s="273">
        <v>1.4</v>
      </c>
      <c r="H238" s="283">
        <v>200</v>
      </c>
      <c r="I238" s="246">
        <v>80</v>
      </c>
      <c r="J238" s="246">
        <v>3</v>
      </c>
      <c r="K238" s="247" t="s">
        <v>4170</v>
      </c>
      <c r="L238" s="248">
        <v>126</v>
      </c>
      <c r="M238" s="249">
        <f>15*(LEFT(TEXT($L238,"000000"),2)+(MID(TEXT($L238,"000000"),3,2)/60)+(RIGHT(TEXT($L238,"000000"),2)/3600))</f>
        <v>0.35833333333333334</v>
      </c>
      <c r="N238" s="250">
        <v>312600</v>
      </c>
      <c r="O238" s="251">
        <f>IF($N238&gt;0,(LEFT(TEXT($N238,"000000"),2)+(MID(TEXT($N238,"000000"),3,2)/60)+(RIGHT(TEXT($N238,"000000"),2)/3600)),-(MID(TEXT($N238,"000000"),2,2)+(MID(TEXT($N238,"000000"),4,2)/60)+(RIGHT(TEXT($N238,"000000"),2)/3600)))</f>
        <v>31.433333333333334</v>
      </c>
      <c r="P238" s="252" t="s">
        <v>39</v>
      </c>
      <c r="Q238" s="253"/>
      <c r="R238" s="247" t="s">
        <v>3707</v>
      </c>
      <c r="S238" s="272" t="s">
        <v>3293</v>
      </c>
      <c r="T238" s="273">
        <v>13.3</v>
      </c>
      <c r="U238" s="289">
        <v>22.09</v>
      </c>
      <c r="V238" s="280"/>
      <c r="W238" s="244"/>
      <c r="X238" s="244"/>
      <c r="Y238" s="362"/>
      <c r="Z238" s="257">
        <f>altaz(J2000_Bas,$O238,$M238,DecLat,DecLong,1)</f>
        <v>27.763401025103789</v>
      </c>
      <c r="AA238" s="257">
        <f>altaz((J2000_Bas+(2*0.04167)),$O238,$M238,DecLat,DecLong,1)</f>
        <v>52.400310078684718</v>
      </c>
      <c r="AB238" s="257">
        <f>altaz((J2000_Bas+(4*0.04167)),$O238,$M238,DecLat,DecLong,1)</f>
        <v>77.868091683829306</v>
      </c>
      <c r="AC238" s="257">
        <f>altaz((J2000_Bas+(6*0.04167)),$O238,$M238,DecLat,DecLong,1)</f>
        <v>76.408816346020004</v>
      </c>
      <c r="AD238" s="258">
        <f>1+ transit((J2000_Bas-1),$O238,$M238,DecLat,DecLong)/360 + (GMTOffset/24) + (IF(DST="Y", 1, 0)/24)</f>
        <v>0.99389533090054127</v>
      </c>
      <c r="AE238" s="259">
        <f>DATE(2001,9,21)+(M238/360)*365 - (360*((DecLong/360)- (GMTOffset/24) ))</f>
        <v>37160.363310185188</v>
      </c>
      <c r="AF238" s="260">
        <f>IF(DecLat&gt;0,IF((90 - (DecLat-O238))&gt;90, (90 - (O238-DecLat)), (90 - (DecLat-O238))),IF((90 + (DecLat-O238))&gt;90, (90 + (O238-DecLat)), (90 + (DecLat-O238))))</f>
        <v>89.566666666666663</v>
      </c>
      <c r="AG238" s="257">
        <f>angularseperation(MoonRA,MoonDec,$M238,$O238)</f>
        <v>120.73885901457648</v>
      </c>
      <c r="AH238" s="261">
        <f ca="1">MIN(100,IF($O$5&gt;80,0+30*($AG238/100),IF($O$5&gt;70,0+50*($AG238/100),IF($O$5&gt;60,5+50*($AG238/100),IF($O$5&gt;50,10+60*($AG238/100),IF($O$5&gt;40,15+70*($AG238/100),IF($O$5&gt;30,20+70*($AG238/100),IF($O$5&gt;20,40+55*($AG238/100),(80+(20-$O$5)+30*($AG238/100))))))))))</f>
        <v>100</v>
      </c>
      <c r="AI238" s="262">
        <v>7805</v>
      </c>
      <c r="AJ238" s="262"/>
      <c r="AK238" s="262"/>
      <c r="AL238" s="263"/>
      <c r="AM238" s="264"/>
      <c r="AN238" s="263">
        <v>112</v>
      </c>
      <c r="AO238" s="263"/>
      <c r="AP238" s="265"/>
      <c r="AQ238" s="266">
        <v>12908</v>
      </c>
      <c r="AR238" s="267">
        <v>109</v>
      </c>
      <c r="AS238" s="263"/>
      <c r="AT238" s="263"/>
      <c r="AU238" s="263"/>
      <c r="AV238" s="264"/>
      <c r="AW238" s="263"/>
      <c r="AX238" s="263"/>
      <c r="AY238" s="263"/>
      <c r="AZ238" s="263"/>
      <c r="BA238" s="263"/>
      <c r="BB238" s="263"/>
      <c r="BC238" s="263"/>
      <c r="BD238" s="264"/>
      <c r="BE238" s="263"/>
      <c r="BF238" s="263"/>
      <c r="BG238" s="263"/>
      <c r="BH238" s="263"/>
      <c r="BI238" s="263"/>
      <c r="BJ238" s="404">
        <f>altaz(J2000_Bas,$O238,$M238,DecLat,DecLong,2)</f>
        <v>68.207170866455357</v>
      </c>
      <c r="BK238" s="378" t="s">
        <v>330</v>
      </c>
      <c r="BL238" s="379">
        <f>IF((2*G238)/60&lt;0.2,0.2,(2*G238)/60)</f>
        <v>0.2</v>
      </c>
      <c r="BM238" s="380">
        <f>MOD((50000+AD238-$B$3+(0/24)),1)</f>
        <v>0.20926226060691988</v>
      </c>
      <c r="BN238" s="382" t="s">
        <v>9214</v>
      </c>
      <c r="BO238" s="382">
        <v>238</v>
      </c>
    </row>
    <row r="239" spans="1:67" s="24" customFormat="1" ht="15" customHeight="1" x14ac:dyDescent="0.25">
      <c r="A239" s="288" t="s">
        <v>331</v>
      </c>
      <c r="B239" s="241" t="str">
        <f>HYPERLINK(CONCATENATE($AT$3,BK239,$AU$3),$AV$3)</f>
        <v>S</v>
      </c>
      <c r="C239" s="242" t="str">
        <f>HYPERLINK(CONCATENATE($AT$4,BK239,$AU$4,BL239),$AV$4)</f>
        <v>A</v>
      </c>
      <c r="D239" s="243" t="s">
        <v>5638</v>
      </c>
      <c r="E239" s="244" t="s">
        <v>5625</v>
      </c>
      <c r="F239" s="293">
        <v>12</v>
      </c>
      <c r="G239" s="291">
        <v>8</v>
      </c>
      <c r="H239" s="283">
        <v>300</v>
      </c>
      <c r="I239" s="284">
        <v>700</v>
      </c>
      <c r="J239" s="246">
        <v>2</v>
      </c>
      <c r="K239" s="247" t="s">
        <v>4171</v>
      </c>
      <c r="L239" s="248">
        <v>1818</v>
      </c>
      <c r="M239" s="249">
        <f>15*(LEFT(TEXT($L239,"000000"),2)+(MID(TEXT($L239,"000000"),3,2)/60)+(RIGHT(TEXT($L239,"000000"),2)/3600))</f>
        <v>4.5750000000000002</v>
      </c>
      <c r="N239" s="250">
        <v>300400</v>
      </c>
      <c r="O239" s="251">
        <f>IF($N239&gt;0,(LEFT(TEXT($N239,"000000"),2)+(MID(TEXT($N239,"000000"),3,2)/60)+(RIGHT(TEXT($N239,"000000"),2)/3600)),-(MID(TEXT($N239,"000000"),2,2)+(MID(TEXT($N239,"000000"),4,2)/60)+(RIGHT(TEXT($N239,"000000"),2)/3600)))</f>
        <v>30.066666666666666</v>
      </c>
      <c r="P239" s="252" t="s">
        <v>36</v>
      </c>
      <c r="Q239" s="253"/>
      <c r="R239" s="247" t="s">
        <v>3452</v>
      </c>
      <c r="S239" s="272" t="s">
        <v>3293</v>
      </c>
      <c r="T239" s="273">
        <v>12.9</v>
      </c>
      <c r="U239" s="289">
        <v>21.89</v>
      </c>
      <c r="V239" s="280"/>
      <c r="W239" s="244"/>
      <c r="X239" s="244"/>
      <c r="Y239" s="362"/>
      <c r="Z239" s="257">
        <f>altaz(J2000_Bas,$O239,$M239,DecLat,DecLong,1)</f>
        <v>23.892161941321184</v>
      </c>
      <c r="AA239" s="257">
        <f>altaz((J2000_Bas+(2*0.04167)),$O239,$M239,DecLat,DecLong,1)</f>
        <v>48.564998656795119</v>
      </c>
      <c r="AB239" s="257">
        <f>altaz((J2000_Bas+(4*0.04167)),$O239,$M239,DecLat,DecLong,1)</f>
        <v>74.139220344883725</v>
      </c>
      <c r="AC239" s="257">
        <f>altaz((J2000_Bas+(6*0.04167)),$O239,$M239,DecLat,DecLong,1)</f>
        <v>79.900059365790042</v>
      </c>
      <c r="AD239" s="258">
        <f>1+ transit((J2000_Bas-1),$O239,$M239,DecLat,DecLong)/360 + (GMTOffset/24) + (IF(DST="Y", 1, 0)/24)</f>
        <v>1.0056082926922081</v>
      </c>
      <c r="AE239" s="259">
        <f>DATE(2001,9,21)+(M239/360)*365 - (360*((DecLong/360)- (GMTOffset/24) ))</f>
        <v>37164.638541666667</v>
      </c>
      <c r="AF239" s="260">
        <f>IF(DecLat&gt;0,IF((90 - (DecLat-O239))&gt;90, (90 - (O239-DecLat)), (90 - (DecLat-O239))),IF((90 + (DecLat-O239))&gt;90, (90 + (O239-DecLat)), (90 + (DecLat-O239))))</f>
        <v>89.066666666666663</v>
      </c>
      <c r="AG239" s="257">
        <f>angularseperation(MoonRA,MoonDec,$M239,$O239)</f>
        <v>123.90414667587669</v>
      </c>
      <c r="AH239" s="261">
        <f ca="1">MIN(100,IF($O$5&gt;80,0+30*($AG239/100),IF($O$5&gt;70,0+50*($AG239/100),IF($O$5&gt;60,5+50*($AG239/100),IF($O$5&gt;50,10+60*($AG239/100),IF($O$5&gt;40,15+70*($AG239/100),IF($O$5&gt;30,20+70*($AG239/100),IF($O$5&gt;20,40+55*($AG239/100),(80+(20-$O$5)+30*($AG239/100))))))))))</f>
        <v>100</v>
      </c>
      <c r="AI239" s="262">
        <v>68</v>
      </c>
      <c r="AJ239" s="262"/>
      <c r="AK239" s="262"/>
      <c r="AL239" s="263"/>
      <c r="AM239" s="264"/>
      <c r="AN239" s="263">
        <v>113</v>
      </c>
      <c r="AO239" s="263"/>
      <c r="AP239" s="265"/>
      <c r="AQ239" s="266">
        <v>170</v>
      </c>
      <c r="AR239" s="267">
        <v>1187</v>
      </c>
      <c r="AS239" s="263"/>
      <c r="AT239" s="263"/>
      <c r="AU239" s="263"/>
      <c r="AV239" s="264"/>
      <c r="AW239" s="263"/>
      <c r="AX239" s="263"/>
      <c r="AY239" s="263"/>
      <c r="AZ239" s="263"/>
      <c r="BA239" s="263"/>
      <c r="BB239" s="263"/>
      <c r="BC239" s="263"/>
      <c r="BD239" s="264"/>
      <c r="BE239" s="263"/>
      <c r="BF239" s="263"/>
      <c r="BG239" s="263"/>
      <c r="BH239" s="263"/>
      <c r="BI239" s="263"/>
      <c r="BJ239" s="404">
        <f>altaz(J2000_Bas,$O239,$M239,DecLat,DecLong,2)</f>
        <v>68.092760701069309</v>
      </c>
      <c r="BK239" s="378" t="s">
        <v>331</v>
      </c>
      <c r="BL239" s="379">
        <f>IF((2*G239)/60&lt;0.2,0.2,(2*G239)/60)</f>
        <v>0.26666666666666666</v>
      </c>
      <c r="BM239" s="380">
        <f>MOD((50000+AD239-$B$3+(0/24)),1)</f>
        <v>0.2209752223934629</v>
      </c>
      <c r="BN239" s="382" t="s">
        <v>9214</v>
      </c>
      <c r="BO239" s="382">
        <v>239</v>
      </c>
    </row>
    <row r="240" spans="1:67" s="24" customFormat="1" ht="15" customHeight="1" x14ac:dyDescent="0.25">
      <c r="A240" s="288" t="s">
        <v>332</v>
      </c>
      <c r="B240" s="241" t="str">
        <f>HYPERLINK(CONCATENATE($AT$3,BK240,$AU$3),$AV$3)</f>
        <v>S</v>
      </c>
      <c r="C240" s="242" t="str">
        <f>HYPERLINK(CONCATENATE($AT$4,BK240,$AU$4,BL240),$AV$4)</f>
        <v>A</v>
      </c>
      <c r="D240" s="243" t="s">
        <v>5638</v>
      </c>
      <c r="E240" s="244" t="s">
        <v>5178</v>
      </c>
      <c r="F240" s="269"/>
      <c r="G240" s="273">
        <v>2.8</v>
      </c>
      <c r="H240" s="283">
        <v>120</v>
      </c>
      <c r="I240" s="246">
        <v>100</v>
      </c>
      <c r="J240" s="246">
        <v>2</v>
      </c>
      <c r="K240" s="247" t="s">
        <v>8363</v>
      </c>
      <c r="L240" s="248">
        <v>73220</v>
      </c>
      <c r="M240" s="249">
        <f>15*(LEFT(TEXT($L240,"000000"),2)+(MID(TEXT($L240,"000000"),3,2)/60)+(RIGHT(TEXT($L240,"000000"),2)/3600))</f>
        <v>113.08333333333333</v>
      </c>
      <c r="N240" s="250">
        <v>854200</v>
      </c>
      <c r="O240" s="251">
        <f>IF($N240&gt;0,(LEFT(TEXT($N240,"000000"),2)+(MID(TEXT($N240,"000000"),3,2)/60)+(RIGHT(TEXT($N240,"000000"),2)/3600)),-(MID(TEXT($N240,"000000"),2,2)+(MID(TEXT($N240,"000000"),4,2)/60)+(RIGHT(TEXT($N240,"000000"),2)/3600)))</f>
        <v>85.7</v>
      </c>
      <c r="P240" s="252" t="s">
        <v>52</v>
      </c>
      <c r="Q240" s="253"/>
      <c r="R240" s="247" t="s">
        <v>3499</v>
      </c>
      <c r="S240" s="272" t="s">
        <v>4172</v>
      </c>
      <c r="T240" s="273">
        <v>11.4</v>
      </c>
      <c r="U240" s="289">
        <v>22.29</v>
      </c>
      <c r="V240" s="280"/>
      <c r="W240" s="244"/>
      <c r="X240" s="244"/>
      <c r="Y240" s="362"/>
      <c r="Z240" s="257">
        <f>altaz(J2000_Bas,$O240,$M240,DecLat,DecLong,1)</f>
        <v>26.731439766817555</v>
      </c>
      <c r="AA240" s="257">
        <f>altaz((J2000_Bas+(2*0.04167)),$O240,$M240,DecLat,DecLong,1)</f>
        <v>27.02825121542001</v>
      </c>
      <c r="AB240" s="257">
        <f>altaz((J2000_Bas+(4*0.04167)),$O240,$M240,DecLat,DecLong,1)</f>
        <v>28.358653019222281</v>
      </c>
      <c r="AC240" s="257">
        <f>altaz((J2000_Bas+(6*0.04167)),$O240,$M240,DecLat,DecLong,1)</f>
        <v>30.394330467349729</v>
      </c>
      <c r="AD240" s="258">
        <f>1+ transit((J2000_Bas-1),$O240,$M240,DecLat,DecLong)/360 + (GMTOffset/24) + (IF(DST="Y", 1, 0)/24)</f>
        <v>1.3070202995880413</v>
      </c>
      <c r="AE240" s="259">
        <f>DATE(2001,9,21)+(M240/360)*365 - (360*((DecLong/360)- (GMTOffset/24) ))</f>
        <v>37274.653935185182</v>
      </c>
      <c r="AF240" s="260">
        <f>IF(DecLat&gt;0,IF((90 - (DecLat-O240))&gt;90, (90 - (O240-DecLat)), (90 - (DecLat-O240))),IF((90 + (DecLat-O240))&gt;90, (90 + (O240-DecLat)), (90 + (DecLat-O240))))</f>
        <v>35.299999999999997</v>
      </c>
      <c r="AG240" s="257">
        <f>angularseperation(MoonRA,MoonDec,$M240,$O240)</f>
        <v>120.14333312213952</v>
      </c>
      <c r="AH240" s="261">
        <f ca="1">MIN(100,IF($O$5&gt;80,0+30*($AG240/100),IF($O$5&gt;70,0+50*($AG240/100),IF($O$5&gt;60,5+50*($AG240/100),IF($O$5&gt;50,10+60*($AG240/100),IF($O$5&gt;40,15+70*($AG240/100),IF($O$5&gt;30,20+70*($AG240/100),IF($O$5&gt;20,40+55*($AG240/100),(80+(20-$O$5)+30*($AG240/100))))))))))</f>
        <v>100</v>
      </c>
      <c r="AI240" s="262">
        <v>2300</v>
      </c>
      <c r="AJ240" s="262"/>
      <c r="AK240" s="262"/>
      <c r="AL240" s="263"/>
      <c r="AM240" s="264"/>
      <c r="AN240" s="263">
        <v>114</v>
      </c>
      <c r="AO240" s="263"/>
      <c r="AP240" s="265"/>
      <c r="AQ240" s="266">
        <v>3798</v>
      </c>
      <c r="AR240" s="267">
        <v>21231</v>
      </c>
      <c r="AS240" s="263"/>
      <c r="AT240" s="263"/>
      <c r="AU240" s="263"/>
      <c r="AV240" s="264"/>
      <c r="AW240" s="263"/>
      <c r="AX240" s="263"/>
      <c r="AY240" s="263"/>
      <c r="AZ240" s="263"/>
      <c r="BA240" s="263"/>
      <c r="BB240" s="263"/>
      <c r="BC240" s="263"/>
      <c r="BD240" s="264"/>
      <c r="BE240" s="263"/>
      <c r="BF240" s="263"/>
      <c r="BG240" s="263"/>
      <c r="BH240" s="263"/>
      <c r="BI240" s="263"/>
      <c r="BJ240" s="404">
        <f>altaz(J2000_Bas,$O240,$M240,DecLat,DecLong,2)</f>
        <v>359.40706883200755</v>
      </c>
      <c r="BK240" s="378" t="s">
        <v>332</v>
      </c>
      <c r="BL240" s="379">
        <f>IF((2*G240)/60&lt;0.2,0.2,(2*G240)/60)</f>
        <v>0.2</v>
      </c>
      <c r="BM240" s="380">
        <f>MOD((50000+AD240-$B$3+(0/24)),1)</f>
        <v>0.52238722929178039</v>
      </c>
      <c r="BN240" s="381" t="s">
        <v>9271</v>
      </c>
      <c r="BO240" s="382">
        <v>240</v>
      </c>
    </row>
    <row r="241" spans="1:67" s="24" customFormat="1" ht="15" customHeight="1" x14ac:dyDescent="0.25">
      <c r="A241" s="288" t="s">
        <v>333</v>
      </c>
      <c r="B241" s="241" t="str">
        <f>HYPERLINK(CONCATENATE($AT$3,BK241,$AU$3),$AV$3)</f>
        <v>S</v>
      </c>
      <c r="C241" s="242" t="str">
        <f>HYPERLINK(CONCATENATE($AT$4,BK241,$AU$4,BL241),$AV$4)</f>
        <v>A</v>
      </c>
      <c r="D241" s="243" t="s">
        <v>5638</v>
      </c>
      <c r="E241" s="244" t="s">
        <v>5194</v>
      </c>
      <c r="F241" s="269"/>
      <c r="G241" s="273">
        <v>1</v>
      </c>
      <c r="H241" s="283">
        <v>430</v>
      </c>
      <c r="I241" s="246">
        <v>120</v>
      </c>
      <c r="J241" s="246">
        <v>2</v>
      </c>
      <c r="K241" s="247" t="s">
        <v>4197</v>
      </c>
      <c r="L241" s="248">
        <v>114302</v>
      </c>
      <c r="M241" s="249">
        <f>15*(LEFT(TEXT($L241,"000000"),2)+(MID(TEXT($L241,"000000"),3,2)/60)+(RIGHT(TEXT($L241,"000000"),2)/3600))</f>
        <v>175.75833333333333</v>
      </c>
      <c r="N241" s="250">
        <v>261600</v>
      </c>
      <c r="O241" s="251">
        <f>IF($N241&gt;0,(LEFT(TEXT($N241,"000000"),2)+(MID(TEXT($N241,"000000"),3,2)/60)+(RIGHT(TEXT($N241,"000000"),2)/3600)),-(MID(TEXT($N241,"000000"),2,2)+(MID(TEXT($N241,"000000"),4,2)/60)+(RIGHT(TEXT($N241,"000000"),2)/3600)))</f>
        <v>26.266666666666666</v>
      </c>
      <c r="P241" s="252" t="s">
        <v>183</v>
      </c>
      <c r="Q241" s="253"/>
      <c r="R241" s="247" t="s">
        <v>3293</v>
      </c>
      <c r="S241" s="272" t="s">
        <v>3293</v>
      </c>
      <c r="T241" s="273">
        <v>15.2</v>
      </c>
      <c r="U241" s="274"/>
      <c r="V241" s="280"/>
      <c r="W241" s="244"/>
      <c r="X241" s="244"/>
      <c r="Y241" s="362"/>
      <c r="Z241" s="257">
        <f>altaz(J2000_Bas,$O241,$M241,DecLat,DecLong,1)</f>
        <v>-2.1803169523229733</v>
      </c>
      <c r="AA241" s="257">
        <f>altaz((J2000_Bas+(2*0.04167)),$O241,$M241,DecLat,DecLong,1)</f>
        <v>-21.329051011270025</v>
      </c>
      <c r="AB241" s="257">
        <f>altaz((J2000_Bas+(4*0.04167)),$O241,$M241,DecLat,DecLong,1)</f>
        <v>-32.005146463011577</v>
      </c>
      <c r="AC241" s="257">
        <f>altaz((J2000_Bas+(6*0.04167)),$O241,$M241,DecLat,DecLong,1)</f>
        <v>-29.476202060877995</v>
      </c>
      <c r="AD241" s="258">
        <f>1+ transit((J2000_Bas-1),$O241,$M241,DecLat,DecLong)/360 + (GMTOffset/24) + (IF(DST="Y", 1, 0)/24)</f>
        <v>1.4811175044005414</v>
      </c>
      <c r="AE241" s="259">
        <f>DATE(2001,9,21)+(M241/360)*365 - (360*((DecLong/360)- (GMTOffset/24) ))</f>
        <v>37338.199421296296</v>
      </c>
      <c r="AF241" s="260">
        <f>IF(DecLat&gt;0,IF((90 - (DecLat-O241))&gt;90, (90 - (O241-DecLat)), (90 - (DecLat-O241))),IF((90 + (DecLat-O241))&gt;90, (90 + (O241-DecLat)), (90 + (DecLat-O241))))</f>
        <v>85.266666666666666</v>
      </c>
      <c r="AG241" s="257">
        <f>angularseperation(MoonRA,MoonDec,$M241,$O241)</f>
        <v>88.539530014850882</v>
      </c>
      <c r="AH241" s="261">
        <f ca="1">MIN(100,IF($O$5&gt;80,0+30*($AG241/100),IF($O$5&gt;70,0+50*($AG241/100),IF($O$5&gt;60,5+50*($AG241/100),IF($O$5&gt;50,10+60*($AG241/100),IF($O$5&gt;40,15+70*($AG241/100),IF($O$5&gt;30,20+70*($AG241/100),IF($O$5&gt;20,40+55*($AG241/100),(80+(20-$O$5)+30*($AG241/100))))))))))</f>
        <v>100</v>
      </c>
      <c r="AI241" s="262"/>
      <c r="AJ241" s="262"/>
      <c r="AK241" s="262"/>
      <c r="AL241" s="263"/>
      <c r="AM241" s="264"/>
      <c r="AN241" s="263">
        <v>115</v>
      </c>
      <c r="AO241" s="263"/>
      <c r="AP241" s="265"/>
      <c r="AQ241" s="266">
        <v>6678</v>
      </c>
      <c r="AR241" s="267">
        <v>36403</v>
      </c>
      <c r="AS241" s="263"/>
      <c r="AT241" s="263"/>
      <c r="AU241" s="263"/>
      <c r="AV241" s="264"/>
      <c r="AW241" s="263"/>
      <c r="AX241" s="263"/>
      <c r="AY241" s="263"/>
      <c r="AZ241" s="263"/>
      <c r="BA241" s="263"/>
      <c r="BB241" s="263"/>
      <c r="BC241" s="263"/>
      <c r="BD241" s="264"/>
      <c r="BE241" s="263"/>
      <c r="BF241" s="263"/>
      <c r="BG241" s="263"/>
      <c r="BH241" s="263"/>
      <c r="BI241" s="263"/>
      <c r="BJ241" s="404">
        <f>altaz(J2000_Bas,$O241,$M241,DecLat,DecLong,2)</f>
        <v>302.65254521579794</v>
      </c>
      <c r="BK241" s="378" t="s">
        <v>333</v>
      </c>
      <c r="BL241" s="379">
        <f>IF((2*G241)/60&lt;0.2,0.2,(2*G241)/60)</f>
        <v>0.2</v>
      </c>
      <c r="BM241" s="380">
        <f>MOD((50000+AD241-$B$3+(0/24)),1)</f>
        <v>0.69648443410551408</v>
      </c>
      <c r="BN241" s="381"/>
      <c r="BO241" s="382">
        <v>241</v>
      </c>
    </row>
    <row r="242" spans="1:67" s="24" customFormat="1" ht="15" customHeight="1" x14ac:dyDescent="0.25">
      <c r="A242" s="288" t="s">
        <v>334</v>
      </c>
      <c r="B242" s="241" t="str">
        <f>HYPERLINK(CONCATENATE($AT$3,BK242,$AU$3),$AV$3)</f>
        <v>S</v>
      </c>
      <c r="C242" s="242" t="str">
        <f>HYPERLINK(CONCATENATE($AT$4,BK242,$AU$4,BL242),$AV$4)</f>
        <v>A</v>
      </c>
      <c r="D242" s="243" t="s">
        <v>5638</v>
      </c>
      <c r="E242" s="244" t="s">
        <v>5178</v>
      </c>
      <c r="F242" s="269"/>
      <c r="G242" s="273">
        <v>8</v>
      </c>
      <c r="H242" s="283">
        <v>60</v>
      </c>
      <c r="I242" s="246">
        <v>130</v>
      </c>
      <c r="J242" s="246">
        <v>2</v>
      </c>
      <c r="K242" s="247" t="s">
        <v>4198</v>
      </c>
      <c r="L242" s="248">
        <v>124332</v>
      </c>
      <c r="M242" s="249">
        <f>15*(LEFT(TEXT($L242,"000000"),2)+(MID(TEXT($L242,"000000"),3,2)/60)+(RIGHT(TEXT($L242,"000000"),2)/3600))</f>
        <v>190.88333333333333</v>
      </c>
      <c r="N242" s="250">
        <v>113400</v>
      </c>
      <c r="O242" s="251">
        <f>IF($N242&gt;0,(LEFT(TEXT($N242,"000000"),2)+(MID(TEXT($N242,"000000"),3,2)/60)+(RIGHT(TEXT($N242,"000000"),2)/3600)),-(MID(TEXT($N242,"000000"),2,2)+(MID(TEXT($N242,"000000"),4,2)/60)+(RIGHT(TEXT($N242,"000000"),2)/3600)))</f>
        <v>11.566666666666666</v>
      </c>
      <c r="P242" s="252" t="s">
        <v>61</v>
      </c>
      <c r="Q242" s="253" t="s">
        <v>335</v>
      </c>
      <c r="R242" s="247" t="s">
        <v>3595</v>
      </c>
      <c r="S242" s="272" t="s">
        <v>3293</v>
      </c>
      <c r="T242" s="273">
        <v>9.8000000000000007</v>
      </c>
      <c r="U242" s="289">
        <v>22.09</v>
      </c>
      <c r="V242" s="280"/>
      <c r="W242" s="244"/>
      <c r="X242" s="244"/>
      <c r="Y242" s="362"/>
      <c r="Z242" s="257">
        <f>altaz(J2000_Bas,$O242,$M242,DecLat,DecLong,1)</f>
        <v>1.6238491970579427</v>
      </c>
      <c r="AA242" s="257">
        <f>altaz((J2000_Bas+(2*0.04167)),$O242,$M242,DecLat,DecLong,1)</f>
        <v>-22.385817578612741</v>
      </c>
      <c r="AB242" s="257">
        <f>altaz((J2000_Bas+(4*0.04167)),$O242,$M242,DecLat,DecLong,1)</f>
        <v>-41.268489813647562</v>
      </c>
      <c r="AC242" s="257">
        <f>altaz((J2000_Bas+(6*0.04167)),$O242,$M242,DecLat,DecLong,1)</f>
        <v>-47.121738686451238</v>
      </c>
      <c r="AD242" s="258">
        <f>1+ transit((J2000_Bas-1),$O242,$M242,DecLat,DecLong)/360 + (GMTOffset/24) + (IF(DST="Y", 1, 0)/24)</f>
        <v>1.5231313890880414</v>
      </c>
      <c r="AE242" s="259">
        <f>DATE(2001,9,21)+(M242/360)*365 - (360*((DecLong/360)- (GMTOffset/24) ))</f>
        <v>37353.534490740742</v>
      </c>
      <c r="AF242" s="260">
        <f>IF(DecLat&gt;0,IF((90 - (DecLat-O242))&gt;90, (90 - (O242-DecLat)), (90 - (DecLat-O242))),IF((90 + (DecLat-O242))&gt;90, (90 + (O242-DecLat)), (90 + (DecLat-O242))))</f>
        <v>70.566666666666663</v>
      </c>
      <c r="AG242" s="257">
        <f>angularseperation(MoonRA,MoonDec,$M242,$O242)</f>
        <v>68.512564701300704</v>
      </c>
      <c r="AH242" s="261">
        <f ca="1">MIN(100,IF($O$5&gt;80,0+30*($AG242/100),IF($O$5&gt;70,0+50*($AG242/100),IF($O$5&gt;60,5+50*($AG242/100),IF($O$5&gt;50,10+60*($AG242/100),IF($O$5&gt;40,15+70*($AG242/100),IF($O$5&gt;30,20+70*($AG242/100),IF($O$5&gt;20,40+55*($AG242/100),(80+(20-$O$5)+30*($AG242/100))))))))))</f>
        <v>100</v>
      </c>
      <c r="AI242" s="262">
        <v>4647</v>
      </c>
      <c r="AJ242" s="262"/>
      <c r="AK242" s="262"/>
      <c r="AL242" s="263"/>
      <c r="AM242" s="264"/>
      <c r="AN242" s="263">
        <v>116</v>
      </c>
      <c r="AO242" s="263"/>
      <c r="AP242" s="265"/>
      <c r="AQ242" s="266">
        <v>7896</v>
      </c>
      <c r="AR242" s="267">
        <v>42816</v>
      </c>
      <c r="AS242" s="263"/>
      <c r="AT242" s="263"/>
      <c r="AU242" s="263"/>
      <c r="AV242" s="264"/>
      <c r="AW242" s="263"/>
      <c r="AX242" s="263"/>
      <c r="AY242" s="263"/>
      <c r="AZ242" s="263"/>
      <c r="BA242" s="263"/>
      <c r="BB242" s="263"/>
      <c r="BC242" s="263"/>
      <c r="BD242" s="264"/>
      <c r="BE242" s="263"/>
      <c r="BF242" s="263"/>
      <c r="BG242" s="263"/>
      <c r="BH242" s="263"/>
      <c r="BI242" s="263"/>
      <c r="BJ242" s="404">
        <f>altaz(J2000_Bas,$O242,$M242,DecLat,DecLong,2)</f>
        <v>282.53168256949732</v>
      </c>
      <c r="BK242" s="378" t="s">
        <v>334</v>
      </c>
      <c r="BL242" s="379">
        <f>IF((2*G242)/60&lt;0.2,0.2,(2*G242)/60)</f>
        <v>0.26666666666666666</v>
      </c>
      <c r="BM242" s="380">
        <f>MOD((50000+AD242-$B$3+(0/24)),1)</f>
        <v>0.73849831879488192</v>
      </c>
      <c r="BN242" s="381"/>
      <c r="BO242" s="382">
        <v>242</v>
      </c>
    </row>
    <row r="243" spans="1:67" s="24" customFormat="1" ht="15" customHeight="1" x14ac:dyDescent="0.25">
      <c r="A243" s="288" t="s">
        <v>336</v>
      </c>
      <c r="B243" s="241" t="str">
        <f>HYPERLINK(CONCATENATE($AT$3,BK243,$AU$3),$AV$3)</f>
        <v>S</v>
      </c>
      <c r="C243" s="242" t="str">
        <f>HYPERLINK(CONCATENATE($AT$4,BK243,$AU$4,BL243),$AV$4)</f>
        <v>A</v>
      </c>
      <c r="D243" s="243" t="s">
        <v>5638</v>
      </c>
      <c r="E243" s="244" t="s">
        <v>5192</v>
      </c>
      <c r="F243" s="269" t="s">
        <v>8901</v>
      </c>
      <c r="G243" s="273">
        <v>4</v>
      </c>
      <c r="H243" s="283">
        <v>270</v>
      </c>
      <c r="I243" s="246">
        <v>300</v>
      </c>
      <c r="J243" s="246">
        <v>2</v>
      </c>
      <c r="K243" s="247" t="s">
        <v>4199</v>
      </c>
      <c r="L243" s="248">
        <v>141004</v>
      </c>
      <c r="M243" s="249">
        <f>15*(LEFT(TEXT($L243,"000000"),2)+(MID(TEXT($L243,"000000"),3,2)/60)+(RIGHT(TEXT($L243,"000000"),2)/3600))</f>
        <v>212.51666666666665</v>
      </c>
      <c r="N243" s="250">
        <v>174400</v>
      </c>
      <c r="O243" s="251">
        <f>IF($N243&gt;0,(LEFT(TEXT($N243,"000000"),2)+(MID(TEXT($N243,"000000"),3,2)/60)+(RIGHT(TEXT($N243,"000000"),2)/3600)),-(MID(TEXT($N243,"000000"),2,2)+(MID(TEXT($N243,"000000"),4,2)/60)+(RIGHT(TEXT($N243,"000000"),2)/3600)))</f>
        <v>17.733333333333334</v>
      </c>
      <c r="P243" s="252" t="s">
        <v>260</v>
      </c>
      <c r="Q243" s="253"/>
      <c r="R243" s="247" t="s">
        <v>3724</v>
      </c>
      <c r="S243" s="272" t="s">
        <v>4188</v>
      </c>
      <c r="T243" s="273">
        <v>11.7</v>
      </c>
      <c r="U243" s="289">
        <v>23.990000000000002</v>
      </c>
      <c r="V243" s="280">
        <v>5</v>
      </c>
      <c r="W243" s="244"/>
      <c r="X243" s="244"/>
      <c r="Y243" s="362"/>
      <c r="Z243" s="257">
        <f>altaz(J2000_Bas,$O243,$M243,DecLat,DecLong,1)</f>
        <v>22.888988879543977</v>
      </c>
      <c r="AA243" s="257">
        <f>altaz((J2000_Bas+(2*0.04167)),$O243,$M243,DecLat,DecLong,1)</f>
        <v>-1.9883624803037168</v>
      </c>
      <c r="AB243" s="257">
        <f>altaz((J2000_Bas+(4*0.04167)),$O243,$M243,DecLat,DecLong,1)</f>
        <v>-23.999314667318966</v>
      </c>
      <c r="AC243" s="257">
        <f>altaz((J2000_Bas+(6*0.04167)),$O243,$M243,DecLat,DecLong,1)</f>
        <v>-38.822229940581792</v>
      </c>
      <c r="AD243" s="258">
        <f>1+ transit((J2000_Bas-1),$O243,$M243,DecLat,DecLong)/360 + (GMTOffset/24) + (IF(DST="Y", 1, 0)/24)</f>
        <v>1.5832239756713746</v>
      </c>
      <c r="AE243" s="259">
        <f>DATE(2001,9,21)+(M243/360)*365 - (360*((DecLong/360)- (GMTOffset/24) ))</f>
        <v>37375.468287037038</v>
      </c>
      <c r="AF243" s="260">
        <f>IF(DecLat&gt;0,IF((90 - (DecLat-O243))&gt;90, (90 - (O243-DecLat)), (90 - (DecLat-O243))),IF((90 + (DecLat-O243))&gt;90, (90 + (O243-DecLat)), (90 + (DecLat-O243))))</f>
        <v>76.733333333333334</v>
      </c>
      <c r="AG243" s="257">
        <f>angularseperation(MoonRA,MoonDec,$M243,$O243)</f>
        <v>57.246082972911111</v>
      </c>
      <c r="AH243" s="261">
        <f ca="1">MIN(100,IF($O$5&gt;80,0+30*($AG243/100),IF($O$5&gt;70,0+50*($AG243/100),IF($O$5&gt;60,5+50*($AG243/100),IF($O$5&gt;50,10+60*($AG243/100),IF($O$5&gt;40,15+70*($AG243/100),IF($O$5&gt;30,20+70*($AG243/100),IF($O$5&gt;20,40+55*($AG243/100),(80+(20-$O$5)+30*($AG243/100))))))))))</f>
        <v>100</v>
      </c>
      <c r="AI243" s="262"/>
      <c r="AJ243" s="262">
        <v>983</v>
      </c>
      <c r="AK243" s="262"/>
      <c r="AL243" s="263"/>
      <c r="AM243" s="264"/>
      <c r="AN243" s="263">
        <v>117</v>
      </c>
      <c r="AO243" s="263"/>
      <c r="AP243" s="265"/>
      <c r="AQ243" s="266">
        <v>9061</v>
      </c>
      <c r="AR243" s="267">
        <v>50577</v>
      </c>
      <c r="AS243" s="263"/>
      <c r="AT243" s="263"/>
      <c r="AU243" s="263"/>
      <c r="AV243" s="264"/>
      <c r="AW243" s="263"/>
      <c r="AX243" s="263"/>
      <c r="AY243" s="263"/>
      <c r="AZ243" s="263"/>
      <c r="BA243" s="263"/>
      <c r="BB243" s="263"/>
      <c r="BC243" s="263"/>
      <c r="BD243" s="264"/>
      <c r="BE243" s="263"/>
      <c r="BF243" s="263"/>
      <c r="BG243" s="263"/>
      <c r="BH243" s="263"/>
      <c r="BI243" s="263"/>
      <c r="BJ243" s="404">
        <f>altaz(J2000_Bas,$O243,$M243,DecLat,DecLong,2)</f>
        <v>277.58721469200805</v>
      </c>
      <c r="BK243" s="378" t="s">
        <v>336</v>
      </c>
      <c r="BL243" s="379">
        <f>IF((2*G243)/60&lt;0.2,0.2,(2*G243)/60)</f>
        <v>0.2</v>
      </c>
      <c r="BM243" s="380">
        <f>MOD((50000+AD243-$B$3+(0/24)),1)</f>
        <v>0.79859090537502198</v>
      </c>
      <c r="BN243" s="381"/>
      <c r="BO243" s="382">
        <v>243</v>
      </c>
    </row>
    <row r="244" spans="1:67" s="24" customFormat="1" ht="15" customHeight="1" x14ac:dyDescent="0.25">
      <c r="A244" s="288" t="s">
        <v>337</v>
      </c>
      <c r="B244" s="241" t="str">
        <f>HYPERLINK(CONCATENATE($AT$3,BK244,$AU$3),$AV$3)</f>
        <v>S</v>
      </c>
      <c r="C244" s="242" t="str">
        <f>HYPERLINK(CONCATENATE($AT$4,BK244,$AU$4,BL244),$AV$4)</f>
        <v>A</v>
      </c>
      <c r="D244" s="243" t="s">
        <v>5638</v>
      </c>
      <c r="E244" s="244" t="s">
        <v>5337</v>
      </c>
      <c r="F244" s="269" t="s">
        <v>9119</v>
      </c>
      <c r="G244" s="273">
        <v>1.2</v>
      </c>
      <c r="H244" s="283">
        <v>400</v>
      </c>
      <c r="I244" s="246">
        <v>130</v>
      </c>
      <c r="J244" s="246">
        <v>2</v>
      </c>
      <c r="K244" s="247" t="s">
        <v>4200</v>
      </c>
      <c r="L244" s="248">
        <v>25509</v>
      </c>
      <c r="M244" s="249">
        <f>15*(LEFT(TEXT($L244,"000000"),2)+(MID(TEXT($L244,"000000"),3,2)/60)+(RIGHT(TEXT($L244,"000000"),2)/3600))</f>
        <v>43.787499999999994</v>
      </c>
      <c r="N244" s="250">
        <v>1000</v>
      </c>
      <c r="O244" s="251">
        <f>IF($N244&gt;0,(LEFT(TEXT($N244,"000000"),2)+(MID(TEXT($N244,"000000"),3,2)/60)+(RIGHT(TEXT($N244,"000000"),2)/3600)),-(MID(TEXT($N244,"000000"),2,2)+(MID(TEXT($N244,"000000"),4,2)/60)+(RIGHT(TEXT($N244,"000000"),2)/3600)))</f>
        <v>0.16666666666666666</v>
      </c>
      <c r="P244" s="252" t="s">
        <v>75</v>
      </c>
      <c r="Q244" s="253"/>
      <c r="R244" s="247" t="s">
        <v>3480</v>
      </c>
      <c r="S244" s="272" t="s">
        <v>3293</v>
      </c>
      <c r="T244" s="273">
        <v>13.1</v>
      </c>
      <c r="U244" s="289">
        <v>21.29</v>
      </c>
      <c r="V244" s="280"/>
      <c r="W244" s="244"/>
      <c r="X244" s="244"/>
      <c r="Y244" s="362"/>
      <c r="Z244" s="257">
        <f>altaz(J2000_Bas,$O244,$M244,DecLat,DecLong,1)</f>
        <v>-23.457661678431819</v>
      </c>
      <c r="AA244" s="257">
        <f>altaz((J2000_Bas+(2*0.04167)),$O244,$M244,DecLat,DecLong,1)</f>
        <v>2.0569464493811846</v>
      </c>
      <c r="AB244" s="257">
        <f>altaz((J2000_Bas+(4*0.04167)),$O244,$M244,DecLat,DecLong,1)</f>
        <v>27.425188168947042</v>
      </c>
      <c r="AC244" s="257">
        <f>altaz((J2000_Bas+(6*0.04167)),$O244,$M244,DecLat,DecLong,1)</f>
        <v>49.605075820712507</v>
      </c>
      <c r="AD244" s="258">
        <f>1+ transit((J2000_Bas-1),$O244,$M244,DecLat,DecLong)/360 + (GMTOffset/24) + (IF(DST="Y", 1, 0)/24)</f>
        <v>1.114531892910958</v>
      </c>
      <c r="AE244" s="259">
        <f>DATE(2001,9,21)+(M244/360)*365 - (360*((DecLong/360)- (GMTOffset/24) ))</f>
        <v>37204.39565972222</v>
      </c>
      <c r="AF244" s="260">
        <f>IF(DecLat&gt;0,IF((90 - (DecLat-O244))&gt;90, (90 - (O244-DecLat)), (90 - (DecLat-O244))),IF((90 + (DecLat-O244))&gt;90, (90 + (O244-DecLat)), (90 + (DecLat-O244))))</f>
        <v>59.166666666666671</v>
      </c>
      <c r="AG244" s="257">
        <f>angularseperation(MoonRA,MoonDec,$M244,$O244)</f>
        <v>143.63274637373561</v>
      </c>
      <c r="AH244" s="261">
        <f ca="1">MIN(100,IF($O$5&gt;80,0+30*($AG244/100),IF($O$5&gt;70,0+50*($AG244/100),IF($O$5&gt;60,5+50*($AG244/100),IF($O$5&gt;50,10+60*($AG244/100),IF($O$5&gt;40,15+70*($AG244/100),IF($O$5&gt;30,20+70*($AG244/100),IF($O$5&gt;20,40+55*($AG244/100),(80+(20-$O$5)+30*($AG244/100))))))))))</f>
        <v>100</v>
      </c>
      <c r="AI244" s="262">
        <v>1143</v>
      </c>
      <c r="AJ244" s="262"/>
      <c r="AK244" s="262"/>
      <c r="AL244" s="263"/>
      <c r="AM244" s="264"/>
      <c r="AN244" s="263">
        <v>118</v>
      </c>
      <c r="AO244" s="263"/>
      <c r="AP244" s="265"/>
      <c r="AQ244" s="266"/>
      <c r="AR244" s="267">
        <v>11007</v>
      </c>
      <c r="AS244" s="263"/>
      <c r="AT244" s="263"/>
      <c r="AU244" s="263"/>
      <c r="AV244" s="264"/>
      <c r="AW244" s="263"/>
      <c r="AX244" s="263"/>
      <c r="AY244" s="263"/>
      <c r="AZ244" s="263"/>
      <c r="BA244" s="263"/>
      <c r="BB244" s="263"/>
      <c r="BC244" s="263"/>
      <c r="BD244" s="264"/>
      <c r="BE244" s="263"/>
      <c r="BF244" s="263"/>
      <c r="BG244" s="263"/>
      <c r="BH244" s="263"/>
      <c r="BI244" s="263"/>
      <c r="BJ244" s="404">
        <f>altaz(J2000_Bas,$O244,$M244,DecLat,DecLong,2)</f>
        <v>74.666724791248726</v>
      </c>
      <c r="BK244" s="378" t="s">
        <v>337</v>
      </c>
      <c r="BL244" s="379">
        <f>IF((2*G244)/60&lt;0.2,0.2,(2*G244)/60)</f>
        <v>0.2</v>
      </c>
      <c r="BM244" s="380">
        <f>MOD((50000+AD244-$B$3+(0/24)),1)</f>
        <v>0.32989882261608727</v>
      </c>
      <c r="BN244" s="381"/>
      <c r="BO244" s="382">
        <v>244</v>
      </c>
    </row>
    <row r="245" spans="1:67" s="24" customFormat="1" ht="15" customHeight="1" x14ac:dyDescent="0.25">
      <c r="A245" s="288" t="s">
        <v>338</v>
      </c>
      <c r="B245" s="241" t="str">
        <f>HYPERLINK(CONCATENATE($AT$3,BK245,$AU$3),$AV$3)</f>
        <v>S</v>
      </c>
      <c r="C245" s="242" t="str">
        <f>HYPERLINK(CONCATENATE($AT$4,BK245,$AU$4,BL245),$AV$4)</f>
        <v>A</v>
      </c>
      <c r="D245" s="243" t="s">
        <v>5638</v>
      </c>
      <c r="E245" s="244" t="s">
        <v>5178</v>
      </c>
      <c r="F245" s="269"/>
      <c r="G245" s="273">
        <v>1</v>
      </c>
      <c r="H245" s="283">
        <v>700</v>
      </c>
      <c r="I245" s="246">
        <v>200</v>
      </c>
      <c r="J245" s="246">
        <v>2</v>
      </c>
      <c r="K245" s="247" t="s">
        <v>8523</v>
      </c>
      <c r="L245" s="248">
        <v>11924</v>
      </c>
      <c r="M245" s="249">
        <f>15*(LEFT(TEXT($L245,"000000"),2)+(MID(TEXT($L245,"000000"),3,2)/60)+(RIGHT(TEXT($L245,"000000"),2)/3600))</f>
        <v>19.849999999999998</v>
      </c>
      <c r="N245" s="250">
        <v>122700</v>
      </c>
      <c r="O245" s="251">
        <f>IF($N245&gt;0,(LEFT(TEXT($N245,"000000"),2)+(MID(TEXT($N245,"000000"),3,2)/60)+(RIGHT(TEXT($N245,"000000"),2)/3600)),-(MID(TEXT($N245,"000000"),2,2)+(MID(TEXT($N245,"000000"),4,2)/60)+(RIGHT(TEXT($N245,"000000"),2)/3600)))</f>
        <v>12.45</v>
      </c>
      <c r="P245" s="252" t="s">
        <v>158</v>
      </c>
      <c r="Q245" s="253"/>
      <c r="R245" s="247" t="s">
        <v>3293</v>
      </c>
      <c r="S245" s="272" t="s">
        <v>4176</v>
      </c>
      <c r="T245" s="273">
        <v>15</v>
      </c>
      <c r="U245" s="274"/>
      <c r="V245" s="280"/>
      <c r="W245" s="244"/>
      <c r="X245" s="244"/>
      <c r="Y245" s="362"/>
      <c r="Z245" s="257">
        <f>altaz(J2000_Bas,$O245,$M245,DecLat,DecLong,1)</f>
        <v>3.1455900822532725</v>
      </c>
      <c r="AA245" s="257">
        <f>altaz((J2000_Bas+(2*0.04167)),$O245,$M245,DecLat,DecLong,1)</f>
        <v>28.75517935137589</v>
      </c>
      <c r="AB245" s="257">
        <f>altaz((J2000_Bas+(4*0.04167)),$O245,$M245,DecLat,DecLong,1)</f>
        <v>53.858816817022706</v>
      </c>
      <c r="AC245" s="257">
        <f>altaz((J2000_Bas+(6*0.04167)),$O245,$M245,DecLat,DecLong,1)</f>
        <v>71.155819329656822</v>
      </c>
      <c r="AD245" s="258">
        <f>1+ transit((J2000_Bas-1),$O245,$M245,DecLat,DecLong)/360 + (GMTOffset/24) + (IF(DST="Y", 1, 0)/24)</f>
        <v>1.0480388440047079</v>
      </c>
      <c r="AE245" s="259">
        <f>DATE(2001,9,21)+(M245/360)*365 - (360*((DecLong/360)- (GMTOffset/24) ))</f>
        <v>37180.125694444447</v>
      </c>
      <c r="AF245" s="260">
        <f>IF(DecLat&gt;0,IF((90 - (DecLat-O245))&gt;90, (90 - (O245-DecLat)), (90 - (DecLat-O245))),IF((90 + (DecLat-O245))&gt;90, (90 + (O245-DecLat)), (90 + (DecLat-O245))))</f>
        <v>71.45</v>
      </c>
      <c r="AG245" s="257">
        <f>angularseperation(MoonRA,MoonDec,$M245,$O245)</f>
        <v>131.60829133520454</v>
      </c>
      <c r="AH245" s="261">
        <f ca="1">MIN(100,IF($O$5&gt;80,0+30*($AG245/100),IF($O$5&gt;70,0+50*($AG245/100),IF($O$5&gt;60,5+50*($AG245/100),IF($O$5&gt;50,10+60*($AG245/100),IF($O$5&gt;40,15+70*($AG245/100),IF($O$5&gt;30,20+70*($AG245/100),IF($O$5&gt;20,40+55*($AG245/100),(80+(20-$O$5)+30*($AG245/100))))))))))</f>
        <v>100</v>
      </c>
      <c r="AI245" s="262"/>
      <c r="AJ245" s="262"/>
      <c r="AK245" s="262"/>
      <c r="AL245" s="263"/>
      <c r="AM245" s="264"/>
      <c r="AN245" s="263">
        <v>119</v>
      </c>
      <c r="AO245" s="263"/>
      <c r="AP245" s="265"/>
      <c r="AQ245" s="266">
        <v>849</v>
      </c>
      <c r="AR245" s="267"/>
      <c r="AS245" s="263"/>
      <c r="AT245" s="263"/>
      <c r="AU245" s="263"/>
      <c r="AV245" s="264"/>
      <c r="AW245" s="263"/>
      <c r="AX245" s="263"/>
      <c r="AY245" s="263"/>
      <c r="AZ245" s="263"/>
      <c r="BA245" s="263"/>
      <c r="BB245" s="263"/>
      <c r="BC245" s="263"/>
      <c r="BD245" s="264"/>
      <c r="BE245" s="263"/>
      <c r="BF245" s="263"/>
      <c r="BG245" s="263"/>
      <c r="BH245" s="263"/>
      <c r="BI245" s="263"/>
      <c r="BJ245" s="404">
        <f>altaz(J2000_Bas,$O245,$M245,DecLat,DecLong,2)</f>
        <v>77.357317901295815</v>
      </c>
      <c r="BK245" s="378" t="s">
        <v>338</v>
      </c>
      <c r="BL245" s="379">
        <f>IF((2*G245)/60&lt;0.2,0.2,(2*G245)/60)</f>
        <v>0.2</v>
      </c>
      <c r="BM245" s="380">
        <f>MOD((50000+AD245-$B$3+(0/24)),1)</f>
        <v>0.26340577370865503</v>
      </c>
      <c r="BN245" s="381"/>
      <c r="BO245" s="382">
        <v>245</v>
      </c>
    </row>
    <row r="246" spans="1:67" s="24" customFormat="1" ht="15" customHeight="1" x14ac:dyDescent="0.25">
      <c r="A246" s="288" t="s">
        <v>339</v>
      </c>
      <c r="B246" s="241" t="str">
        <f>HYPERLINK(CONCATENATE($AT$3,BK246,$AU$3),$AV$3)</f>
        <v>S</v>
      </c>
      <c r="C246" s="242" t="str">
        <f>HYPERLINK(CONCATENATE($AT$4,BK246,$AU$4,BL246),$AV$4)</f>
        <v>A</v>
      </c>
      <c r="D246" s="243" t="s">
        <v>5638</v>
      </c>
      <c r="E246" s="244" t="s">
        <v>5178</v>
      </c>
      <c r="F246" s="269"/>
      <c r="G246" s="273">
        <v>9</v>
      </c>
      <c r="H246" s="283">
        <v>55</v>
      </c>
      <c r="I246" s="246">
        <v>140</v>
      </c>
      <c r="J246" s="246">
        <v>4</v>
      </c>
      <c r="K246" s="247" t="s">
        <v>4201</v>
      </c>
      <c r="L246" s="248">
        <v>122748</v>
      </c>
      <c r="M246" s="249">
        <f>15*(LEFT(TEXT($L246,"000000"),2)+(MID(TEXT($L246,"000000"),3,2)/60)+(RIGHT(TEXT($L246,"000000"),2)/3600))</f>
        <v>186.95</v>
      </c>
      <c r="N246" s="286">
        <v>130029</v>
      </c>
      <c r="O246" s="251">
        <f>IF($N246&gt;0,(LEFT(TEXT($N246,"000000"),2)+(MID(TEXT($N246,"000000"),3,2)/60)+(RIGHT(TEXT($N246,"000000"),2)/3600)),-(MID(TEXT($N246,"000000"),2,2)+(MID(TEXT($N246,"000000"),4,2)/60)+(RIGHT(TEXT($N246,"000000"),2)/3600)))</f>
        <v>13.008055555555556</v>
      </c>
      <c r="P246" s="252" t="s">
        <v>61</v>
      </c>
      <c r="Q246" s="253" t="s">
        <v>6868</v>
      </c>
      <c r="R246" s="247" t="s">
        <v>3282</v>
      </c>
      <c r="S246" s="272" t="s">
        <v>7849</v>
      </c>
      <c r="T246" s="273">
        <v>10.199999999999999</v>
      </c>
      <c r="U246" s="289">
        <v>22.490000000000002</v>
      </c>
      <c r="V246" s="280"/>
      <c r="W246" s="244"/>
      <c r="X246" s="244"/>
      <c r="Y246" s="362"/>
      <c r="Z246" s="257">
        <f>altaz(J2000_Bas,$O246,$M246,DecLat,DecLong,1)</f>
        <v>-0.88687313254167255</v>
      </c>
      <c r="AA246" s="257">
        <f>altaz((J2000_Bas+(2*0.04167)),$O246,$M246,DecLat,DecLong,1)</f>
        <v>-24.281095552266301</v>
      </c>
      <c r="AB246" s="257">
        <f>altaz((J2000_Bas+(4*0.04167)),$O246,$M246,DecLat,DecLong,1)</f>
        <v>-41.676400258040211</v>
      </c>
      <c r="AC246" s="257">
        <f>altaz((J2000_Bas+(6*0.04167)),$O246,$M246,DecLat,DecLong,1)</f>
        <v>-45.09268027196881</v>
      </c>
      <c r="AD246" s="258">
        <f>1+ transit((J2000_Bas-1),$O246,$M246,DecLat,DecLong)/360 + (GMTOffset/24) + (IF(DST="Y", 1, 0)/24)</f>
        <v>1.512205464254708</v>
      </c>
      <c r="AE246" s="259">
        <f>DATE(2001,9,21)+(M246/360)*365 - (360*((DecLong/360)- (GMTOffset/24) ))</f>
        <v>37349.546527777777</v>
      </c>
      <c r="AF246" s="260">
        <f>IF(DecLat&gt;0,IF((90 - (DecLat-O246))&gt;90, (90 - (O246-DecLat)), (90 - (DecLat-O246))),IF((90 + (DecLat-O246))&gt;90, (90 + (O246-DecLat)), (90 + (DecLat-O246))))</f>
        <v>72.008055555555558</v>
      </c>
      <c r="AG246" s="257">
        <f>angularseperation(MoonRA,MoonDec,$M246,$O246)</f>
        <v>72.489956697858489</v>
      </c>
      <c r="AH246" s="261">
        <f ca="1">MIN(100,IF($O$5&gt;80,0+30*($AG246/100),IF($O$5&gt;70,0+50*($AG246/100),IF($O$5&gt;60,5+50*($AG246/100),IF($O$5&gt;50,10+60*($AG246/100),IF($O$5&gt;40,15+70*($AG246/100),IF($O$5&gt;30,20+70*($AG246/100),IF($O$5&gt;20,40+55*($AG246/100),(80+(20-$O$5)+30*($AG246/100))))))))))</f>
        <v>100</v>
      </c>
      <c r="AI246" s="262">
        <v>4438</v>
      </c>
      <c r="AJ246" s="262"/>
      <c r="AK246" s="262">
        <v>240</v>
      </c>
      <c r="AL246" s="263"/>
      <c r="AM246" s="264"/>
      <c r="AN246" s="263">
        <v>120</v>
      </c>
      <c r="AO246" s="263"/>
      <c r="AP246" s="265"/>
      <c r="AQ246" s="266">
        <v>7574</v>
      </c>
      <c r="AR246" s="267">
        <v>40914</v>
      </c>
      <c r="AS246" s="263"/>
      <c r="AT246" s="263"/>
      <c r="AU246" s="263"/>
      <c r="AV246" s="264"/>
      <c r="AW246" s="263"/>
      <c r="AX246" s="263"/>
      <c r="AY246" s="263"/>
      <c r="AZ246" s="263"/>
      <c r="BA246" s="263"/>
      <c r="BB246" s="263"/>
      <c r="BC246" s="263"/>
      <c r="BD246" s="264"/>
      <c r="BE246" s="263"/>
      <c r="BF246" s="263">
        <v>56</v>
      </c>
      <c r="BG246" s="263"/>
      <c r="BH246" s="263"/>
      <c r="BI246" s="263"/>
      <c r="BJ246" s="404">
        <f>altaz(J2000_Bas,$O246,$M246,DecLat,DecLong,2)</f>
        <v>285.77903049050519</v>
      </c>
      <c r="BK246" s="378" t="s">
        <v>339</v>
      </c>
      <c r="BL246" s="379">
        <f>IF((2*G246)/60&lt;0.2,0.2,(2*G246)/60)</f>
        <v>0.3</v>
      </c>
      <c r="BM246" s="380">
        <f>MOD((50000+AD246-$B$3+(0/24)),1)</f>
        <v>0.72757239396014484</v>
      </c>
      <c r="BN246" s="381"/>
      <c r="BO246" s="382">
        <v>246</v>
      </c>
    </row>
    <row r="247" spans="1:67" s="24" customFormat="1" ht="15" customHeight="1" x14ac:dyDescent="0.25">
      <c r="A247" s="288" t="s">
        <v>340</v>
      </c>
      <c r="B247" s="241" t="str">
        <f>HYPERLINK(CONCATENATE($AT$3,BK247,$AU$3),$AV$3)</f>
        <v>S</v>
      </c>
      <c r="C247" s="242" t="str">
        <f>HYPERLINK(CONCATENATE($AT$4,BK247,$AU$4,BL247),$AV$4)</f>
        <v>A</v>
      </c>
      <c r="D247" s="243" t="s">
        <v>5638</v>
      </c>
      <c r="E247" s="244" t="s">
        <v>5337</v>
      </c>
      <c r="F247" s="269" t="s">
        <v>3310</v>
      </c>
      <c r="G247" s="273">
        <v>2</v>
      </c>
      <c r="H247" s="283">
        <v>200</v>
      </c>
      <c r="I247" s="246">
        <v>120</v>
      </c>
      <c r="J247" s="246">
        <v>2</v>
      </c>
      <c r="K247" s="247" t="s">
        <v>4202</v>
      </c>
      <c r="L247" s="248">
        <v>5923</v>
      </c>
      <c r="M247" s="249">
        <f>15*(LEFT(TEXT($L247,"000000"),2)+(MID(TEXT($L247,"000000"),3,2)/60)+(RIGHT(TEXT($L247,"000000"),2)/3600))</f>
        <v>14.845833333333333</v>
      </c>
      <c r="N247" s="250">
        <v>-44800</v>
      </c>
      <c r="O247" s="251">
        <f>IF($N247&gt;0,(LEFT(TEXT($N247,"000000"),2)+(MID(TEXT($N247,"000000"),3,2)/60)+(RIGHT(TEXT($N247,"000000"),2)/3600)),-(MID(TEXT($N247,"000000"),2,2)+(MID(TEXT($N247,"000000"),4,2)/60)+(RIGHT(TEXT($N247,"000000"),2)/3600)))</f>
        <v>-4.8</v>
      </c>
      <c r="P247" s="252" t="s">
        <v>75</v>
      </c>
      <c r="Q247" s="253"/>
      <c r="R247" s="247" t="s">
        <v>3293</v>
      </c>
      <c r="S247" s="272" t="s">
        <v>3293</v>
      </c>
      <c r="T247" s="273">
        <v>15</v>
      </c>
      <c r="U247" s="274"/>
      <c r="V247" s="280"/>
      <c r="W247" s="244"/>
      <c r="X247" s="244"/>
      <c r="Y247" s="362"/>
      <c r="Z247" s="257">
        <f>altaz(J2000_Bas,$O247,$M247,DecLat,DecLong,1)</f>
        <v>-1.4814360604102914</v>
      </c>
      <c r="AA247" s="257">
        <f>altaz((J2000_Bas+(2*0.04167)),$O247,$M247,DecLat,DecLong,1)</f>
        <v>23.572442869667871</v>
      </c>
      <c r="AB247" s="257">
        <f>altaz((J2000_Bas+(4*0.04167)),$O247,$M247,DecLat,DecLong,1)</f>
        <v>44.935641355258106</v>
      </c>
      <c r="AC247" s="257">
        <f>altaz((J2000_Bas+(6*0.04167)),$O247,$M247,DecLat,DecLong,1)</f>
        <v>54.174659932515112</v>
      </c>
      <c r="AD247" s="258">
        <f>1+ transit((J2000_Bas-1),$O247,$M247,DecLat,DecLong)/360 + (GMTOffset/24) + (IF(DST="Y", 1, 0)/24)</f>
        <v>1.0341383824317913</v>
      </c>
      <c r="AE247" s="259">
        <f>DATE(2001,9,21)+(M247/360)*365 - (360*((DecLong/360)- (GMTOffset/24) ))</f>
        <v>37175.052025462966</v>
      </c>
      <c r="AF247" s="260">
        <f>IF(DecLat&gt;0,IF((90 - (DecLat-O247))&gt;90, (90 - (O247-DecLat)), (90 - (DecLat-O247))),IF((90 + (DecLat-O247))&gt;90, (90 + (O247-DecLat)), (90 + (DecLat-O247))))</f>
        <v>54.2</v>
      </c>
      <c r="AG247" s="257">
        <f>angularseperation(MoonRA,MoonDec,$M247,$O247)</f>
        <v>118.58227703896075</v>
      </c>
      <c r="AH247" s="261">
        <f ca="1">MIN(100,IF($O$5&gt;80,0+30*($AG247/100),IF($O$5&gt;70,0+50*($AG247/100),IF($O$5&gt;60,5+50*($AG247/100),IF($O$5&gt;50,10+60*($AG247/100),IF($O$5&gt;40,15+70*($AG247/100),IF($O$5&gt;30,20+70*($AG247/100),IF($O$5&gt;20,40+55*($AG247/100),(80+(20-$O$5)+30*($AG247/100))))))))))</f>
        <v>100</v>
      </c>
      <c r="AI247" s="262"/>
      <c r="AJ247" s="262"/>
      <c r="AK247" s="262"/>
      <c r="AL247" s="263"/>
      <c r="AM247" s="264"/>
      <c r="AN247" s="263">
        <v>121</v>
      </c>
      <c r="AO247" s="263"/>
      <c r="AP247" s="265"/>
      <c r="AQ247" s="266"/>
      <c r="AR247" s="267">
        <v>3547</v>
      </c>
      <c r="AS247" s="263"/>
      <c r="AT247" s="263"/>
      <c r="AU247" s="263"/>
      <c r="AV247" s="264"/>
      <c r="AW247" s="263"/>
      <c r="AX247" s="263"/>
      <c r="AY247" s="263"/>
      <c r="AZ247" s="263"/>
      <c r="BA247" s="263"/>
      <c r="BB247" s="263"/>
      <c r="BC247" s="263"/>
      <c r="BD247" s="264"/>
      <c r="BE247" s="263"/>
      <c r="BF247" s="263"/>
      <c r="BG247" s="263"/>
      <c r="BH247" s="263"/>
      <c r="BI247" s="263"/>
      <c r="BJ247" s="404">
        <f>altaz(J2000_Bas,$O247,$M247,DecLat,DecLong,2)</f>
        <v>94.710130873334066</v>
      </c>
      <c r="BK247" s="378" t="s">
        <v>340</v>
      </c>
      <c r="BL247" s="379">
        <f>IF((2*G247)/60&lt;0.2,0.2,(2*G247)/60)</f>
        <v>0.2</v>
      </c>
      <c r="BM247" s="380">
        <f>MOD((50000+AD247-$B$3+(0/24)),1)</f>
        <v>0.24950531213835347</v>
      </c>
      <c r="BN247" s="381"/>
      <c r="BO247" s="382">
        <v>247</v>
      </c>
    </row>
    <row r="248" spans="1:67" s="24" customFormat="1" ht="15" customHeight="1" x14ac:dyDescent="0.25">
      <c r="A248" s="288" t="s">
        <v>341</v>
      </c>
      <c r="B248" s="241" t="str">
        <f>HYPERLINK(CONCATENATE($AT$3,BK248,$AU$3),$AV$3)</f>
        <v>S</v>
      </c>
      <c r="C248" s="242" t="str">
        <f>HYPERLINK(CONCATENATE($AT$4,BK248,$AU$4,BL248),$AV$4)</f>
        <v>A</v>
      </c>
      <c r="D248" s="243" t="s">
        <v>5638</v>
      </c>
      <c r="E248" s="244" t="s">
        <v>5337</v>
      </c>
      <c r="F248" s="269" t="s">
        <v>3310</v>
      </c>
      <c r="G248" s="270">
        <v>0.9</v>
      </c>
      <c r="H248" s="283">
        <v>580</v>
      </c>
      <c r="I248" s="246">
        <v>140</v>
      </c>
      <c r="J248" s="246">
        <v>2</v>
      </c>
      <c r="K248" s="247" t="s">
        <v>4203</v>
      </c>
      <c r="L248" s="248">
        <v>160426</v>
      </c>
      <c r="M248" s="249">
        <f>15*(LEFT(TEXT($L248,"000000"),2)+(MID(TEXT($L248,"000000"),3,2)/60)+(RIGHT(TEXT($L248,"000000"),2)/3600))</f>
        <v>241.10833333333332</v>
      </c>
      <c r="N248" s="250">
        <v>174400</v>
      </c>
      <c r="O248" s="251">
        <f>IF($N248&gt;0,(LEFT(TEXT($N248,"000000"),2)+(MID(TEXT($N248,"000000"),3,2)/60)+(RIGHT(TEXT($N248,"000000"),2)/3600)),-(MID(TEXT($N248,"000000"),2,2)+(MID(TEXT($N248,"000000"),4,2)/60)+(RIGHT(TEXT($N248,"000000"),2)/3600)))</f>
        <v>17.733333333333334</v>
      </c>
      <c r="P248" s="252" t="s">
        <v>111</v>
      </c>
      <c r="Q248" s="253"/>
      <c r="R248" s="247" t="s">
        <v>3634</v>
      </c>
      <c r="S248" s="272" t="s">
        <v>4193</v>
      </c>
      <c r="T248" s="273">
        <v>15</v>
      </c>
      <c r="U248" s="289">
        <v>22.490000000000002</v>
      </c>
      <c r="V248" s="280"/>
      <c r="W248" s="244"/>
      <c r="X248" s="244"/>
      <c r="Y248" s="362"/>
      <c r="Z248" s="257">
        <f>altaz(J2000_Bas,$O248,$M248,DecLat,DecLong,1)</f>
        <v>47.32812090520553</v>
      </c>
      <c r="AA248" s="257">
        <f>altaz((J2000_Bas+(2*0.04167)),$O248,$M248,DecLat,DecLong,1)</f>
        <v>21.621605447495046</v>
      </c>
      <c r="AB248" s="257">
        <f>altaz((J2000_Bas+(4*0.04167)),$O248,$M248,DecLat,DecLong,1)</f>
        <v>-3.1705362478371408</v>
      </c>
      <c r="AC248" s="257">
        <f>altaz((J2000_Bas+(6*0.04167)),$O248,$M248,DecLat,DecLong,1)</f>
        <v>-24.956101181998655</v>
      </c>
      <c r="AD248" s="258">
        <f>1+ transit((J2000_Bas-1),$O248,$M248,DecLat,DecLong)/360 + (GMTOffset/24) + (IF(DST="Y", 1, 0)/24)</f>
        <v>1.6626452640255414</v>
      </c>
      <c r="AE248" s="259">
        <f>DATE(2001,9,21)+(M248/360)*365 - (360*((DecLong/360)- (GMTOffset/24) ))</f>
        <v>37404.457060185188</v>
      </c>
      <c r="AF248" s="260">
        <f>IF(DecLat&gt;0,IF((90 - (DecLat-O248))&gt;90, (90 - (O248-DecLat)), (90 - (DecLat-O248))),IF((90 + (DecLat-O248))&gt;90, (90 + (O248-DecLat)), (90 + (DecLat-O248))))</f>
        <v>76.733333333333334</v>
      </c>
      <c r="AG248" s="257">
        <f>angularseperation(MoonRA,MoonDec,$M248,$O248)</f>
        <v>45.506693294034349</v>
      </c>
      <c r="AH248" s="261">
        <f ca="1">MIN(100,IF($O$5&gt;80,0+30*($AG248/100),IF($O$5&gt;70,0+50*($AG248/100),IF($O$5&gt;60,5+50*($AG248/100),IF($O$5&gt;50,10+60*($AG248/100),IF($O$5&gt;40,15+70*($AG248/100),IF($O$5&gt;30,20+70*($AG248/100),IF($O$5&gt;20,40+55*($AG248/100),(80+(20-$O$5)+30*($AG248/100))))))))))</f>
        <v>96.923068332360728</v>
      </c>
      <c r="AI248" s="262">
        <v>6040</v>
      </c>
      <c r="AJ248" s="262"/>
      <c r="AK248" s="262"/>
      <c r="AL248" s="263"/>
      <c r="AM248" s="264"/>
      <c r="AN248" s="263">
        <v>122</v>
      </c>
      <c r="AO248" s="263"/>
      <c r="AP248" s="265"/>
      <c r="AQ248" s="266">
        <v>10165</v>
      </c>
      <c r="AR248" s="267">
        <v>56932</v>
      </c>
      <c r="AS248" s="263"/>
      <c r="AT248" s="263"/>
      <c r="AU248" s="263"/>
      <c r="AV248" s="264"/>
      <c r="AW248" s="263"/>
      <c r="AX248" s="263"/>
      <c r="AY248" s="263"/>
      <c r="AZ248" s="263"/>
      <c r="BA248" s="263"/>
      <c r="BB248" s="263"/>
      <c r="BC248" s="263"/>
      <c r="BD248" s="264"/>
      <c r="BE248" s="263"/>
      <c r="BF248" s="263"/>
      <c r="BG248" s="263"/>
      <c r="BH248" s="263"/>
      <c r="BI248" s="263"/>
      <c r="BJ248" s="404">
        <f>altaz(J2000_Bas,$O248,$M248,DecLat,DecLong,2)</f>
        <v>262.67313065493346</v>
      </c>
      <c r="BK248" s="378" t="s">
        <v>341</v>
      </c>
      <c r="BL248" s="379">
        <f>IF((2*G248)/60&lt;0.2,0.2,(2*G248)/60)</f>
        <v>0.2</v>
      </c>
      <c r="BM248" s="380">
        <f>MOD((50000+AD248-$B$3+(0/24)),1)</f>
        <v>0.87801219373068307</v>
      </c>
      <c r="BN248" s="381"/>
      <c r="BO248" s="382">
        <v>248</v>
      </c>
    </row>
    <row r="249" spans="1:67" s="24" customFormat="1" ht="15" customHeight="1" x14ac:dyDescent="0.25">
      <c r="A249" s="288" t="s">
        <v>342</v>
      </c>
      <c r="B249" s="241" t="str">
        <f>HYPERLINK(CONCATENATE($AT$3,BK249,$AU$3),$AV$3)</f>
        <v>S</v>
      </c>
      <c r="C249" s="242" t="str">
        <f>HYPERLINK(CONCATENATE($AT$4,BK249,$AU$4,BL249),$AV$4)</f>
        <v>A</v>
      </c>
      <c r="D249" s="243" t="s">
        <v>5638</v>
      </c>
      <c r="E249" s="244" t="s">
        <v>5192</v>
      </c>
      <c r="F249" s="269" t="s">
        <v>8902</v>
      </c>
      <c r="G249" s="273">
        <v>3</v>
      </c>
      <c r="H249" s="283">
        <v>120</v>
      </c>
      <c r="I249" s="246">
        <v>100</v>
      </c>
      <c r="J249" s="246">
        <v>2</v>
      </c>
      <c r="K249" s="247" t="s">
        <v>4204</v>
      </c>
      <c r="L249" s="248">
        <v>52235</v>
      </c>
      <c r="M249" s="249">
        <f>15*(LEFT(TEXT($L249,"000000"),2)+(MID(TEXT($L249,"000000"),3,2)/60)+(RIGHT(TEXT($L249,"000000"),2)/3600))</f>
        <v>80.645833333333329</v>
      </c>
      <c r="N249" s="250">
        <v>-112900</v>
      </c>
      <c r="O249" s="251">
        <f>IF($N249&gt;0,(LEFT(TEXT($N249,"000000"),2)+(MID(TEXT($N249,"000000"),3,2)/60)+(RIGHT(TEXT($N249,"000000"),2)/3600)),-(MID(TEXT($N249,"000000"),2,2)+(MID(TEXT($N249,"000000"),4,2)/60)+(RIGHT(TEXT($N249,"000000"),2)/3600)))</f>
        <v>-11.483333333333333</v>
      </c>
      <c r="P249" s="252" t="s">
        <v>70</v>
      </c>
      <c r="Q249" s="253"/>
      <c r="R249" s="247" t="s">
        <v>8707</v>
      </c>
      <c r="S249" s="272" t="s">
        <v>8708</v>
      </c>
      <c r="T249" s="273">
        <v>12</v>
      </c>
      <c r="U249" s="289">
        <v>20.490000000000002</v>
      </c>
      <c r="V249" s="280">
        <v>79</v>
      </c>
      <c r="W249" s="244"/>
      <c r="X249" s="244"/>
      <c r="Y249" s="362"/>
      <c r="Z249" s="257">
        <f>altaz(J2000_Bas,$O249,$M249,DecLat,DecLong,1)</f>
        <v>-59.49858314386065</v>
      </c>
      <c r="AA249" s="257">
        <f>altaz((J2000_Bas+(2*0.04167)),$O249,$M249,DecLat,DecLong,1)</f>
        <v>-35.382359995148924</v>
      </c>
      <c r="AB249" s="257">
        <f>altaz((J2000_Bas+(4*0.04167)),$O249,$M249,DecLat,DecLong,1)</f>
        <v>-9.6752362633543321</v>
      </c>
      <c r="AC249" s="257">
        <f>altaz((J2000_Bas+(6*0.04167)),$O249,$M249,DecLat,DecLong,1)</f>
        <v>15.103205721770472</v>
      </c>
      <c r="AD249" s="258">
        <f>1+ transit((J2000_Bas-1),$O249,$M249,DecLat,DecLong)/360 + (GMTOffset/24) + (IF(DST="Y", 1, 0)/24)</f>
        <v>1.2169161419317913</v>
      </c>
      <c r="AE249" s="259">
        <f>DATE(2001,9,21)+(M249/360)*365 - (360*((DecLong/360)- (GMTOffset/24) ))</f>
        <v>37241.765914351854</v>
      </c>
      <c r="AF249" s="260">
        <f>IF(DecLat&gt;0,IF((90 - (DecLat-O249))&gt;90, (90 - (O249-DecLat)), (90 - (DecLat-O249))),IF((90 + (DecLat-O249))&gt;90, (90 + (O249-DecLat)), (90 + (DecLat-O249))))</f>
        <v>47.516666666666666</v>
      </c>
      <c r="AG249" s="257">
        <f>angularseperation(MoonRA,MoonDec,$M249,$O249)</f>
        <v>139.87581928274591</v>
      </c>
      <c r="AH249" s="261">
        <f ca="1">MIN(100,IF($O$5&gt;80,0+30*($AG249/100),IF($O$5&gt;70,0+50*($AG249/100),IF($O$5&gt;60,5+50*($AG249/100),IF($O$5&gt;50,10+60*($AG249/100),IF($O$5&gt;40,15+70*($AG249/100),IF($O$5&gt;30,20+70*($AG249/100),IF($O$5&gt;20,40+55*($AG249/100),(80+(20-$O$5)+30*($AG249/100))))))))))</f>
        <v>100</v>
      </c>
      <c r="AI249" s="262">
        <v>1888</v>
      </c>
      <c r="AJ249" s="262"/>
      <c r="AK249" s="262"/>
      <c r="AL249" s="263"/>
      <c r="AM249" s="264"/>
      <c r="AN249" s="263">
        <v>123</v>
      </c>
      <c r="AO249" s="263"/>
      <c r="AP249" s="265"/>
      <c r="AQ249" s="266"/>
      <c r="AR249" s="267">
        <v>17196</v>
      </c>
      <c r="AS249" s="263"/>
      <c r="AT249" s="263"/>
      <c r="AU249" s="263"/>
      <c r="AV249" s="264"/>
      <c r="AW249" s="263"/>
      <c r="AX249" s="263"/>
      <c r="AY249" s="263"/>
      <c r="AZ249" s="263"/>
      <c r="BA249" s="263"/>
      <c r="BB249" s="263"/>
      <c r="BC249" s="263"/>
      <c r="BD249" s="264"/>
      <c r="BE249" s="263"/>
      <c r="BF249" s="263"/>
      <c r="BG249" s="263"/>
      <c r="BH249" s="263"/>
      <c r="BI249" s="263"/>
      <c r="BJ249" s="404">
        <f>altaz(J2000_Bas,$O249,$M249,DecLat,DecLong,2)</f>
        <v>55.777626733185713</v>
      </c>
      <c r="BK249" s="378" t="s">
        <v>342</v>
      </c>
      <c r="BL249" s="379">
        <f>IF((2*G249)/60&lt;0.2,0.2,(2*G249)/60)</f>
        <v>0.2</v>
      </c>
      <c r="BM249" s="380">
        <f>MOD((50000+AD249-$B$3+(0/24)),1)</f>
        <v>0.43228307163371937</v>
      </c>
      <c r="BN249" s="381"/>
      <c r="BO249" s="382">
        <v>249</v>
      </c>
    </row>
    <row r="250" spans="1:67" s="24" customFormat="1" ht="15" customHeight="1" x14ac:dyDescent="0.25">
      <c r="A250" s="288" t="s">
        <v>343</v>
      </c>
      <c r="B250" s="241" t="str">
        <f>HYPERLINK(CONCATENATE($AT$3,BK250,$AU$3),$AV$3)</f>
        <v>S</v>
      </c>
      <c r="C250" s="242" t="str">
        <f>HYPERLINK(CONCATENATE($AT$4,BK250,$AU$4,BL250),$AV$4)</f>
        <v>A</v>
      </c>
      <c r="D250" s="243" t="s">
        <v>5638</v>
      </c>
      <c r="E250" s="244" t="s">
        <v>5192</v>
      </c>
      <c r="F250" s="269" t="s">
        <v>8688</v>
      </c>
      <c r="G250" s="273">
        <v>2.2000000000000002</v>
      </c>
      <c r="H250" s="283">
        <v>180</v>
      </c>
      <c r="I250" s="246">
        <v>120</v>
      </c>
      <c r="J250" s="246">
        <v>2</v>
      </c>
      <c r="K250" s="247" t="s">
        <v>4205</v>
      </c>
      <c r="L250" s="248">
        <v>171800</v>
      </c>
      <c r="M250" s="249">
        <f>15*(LEFT(TEXT($L250,"000000"),2)+(MID(TEXT($L250,"000000"),3,2)/60)+(RIGHT(TEXT($L250,"000000"),2)/3600))</f>
        <v>259.5</v>
      </c>
      <c r="N250" s="250">
        <v>603600</v>
      </c>
      <c r="O250" s="251">
        <f>IF($N250&gt;0,(LEFT(TEXT($N250,"000000"),2)+(MID(TEXT($N250,"000000"),3,2)/60)+(RIGHT(TEXT($N250,"000000"),2)/3600)),-(MID(TEXT($N250,"000000"),2,2)+(MID(TEXT($N250,"000000"),4,2)/60)+(RIGHT(TEXT($N250,"000000"),2)/3600)))</f>
        <v>60.6</v>
      </c>
      <c r="P250" s="252" t="s">
        <v>34</v>
      </c>
      <c r="Q250" s="253"/>
      <c r="R250" s="247" t="s">
        <v>3653</v>
      </c>
      <c r="S250" s="272" t="s">
        <v>3293</v>
      </c>
      <c r="T250" s="273">
        <v>13.1</v>
      </c>
      <c r="U250" s="289">
        <v>22.09</v>
      </c>
      <c r="V250" s="280">
        <v>80</v>
      </c>
      <c r="W250" s="244"/>
      <c r="X250" s="244"/>
      <c r="Y250" s="362"/>
      <c r="Z250" s="257">
        <f>altaz(J2000_Bas,$O250,$M250,DecLat,DecLong,1)</f>
        <v>55.616493947279814</v>
      </c>
      <c r="AA250" s="257">
        <f>altaz((J2000_Bas+(2*0.04167)),$O250,$M250,DecLat,DecLong,1)</f>
        <v>42.876619099580189</v>
      </c>
      <c r="AB250" s="257">
        <f>altaz((J2000_Bas+(4*0.04167)),$O250,$M250,DecLat,DecLong,1)</f>
        <v>28.238174145655471</v>
      </c>
      <c r="AC250" s="257">
        <f>altaz((J2000_Bas+(6*0.04167)),$O250,$M250,DecLat,DecLong,1)</f>
        <v>15.026859386532399</v>
      </c>
      <c r="AD250" s="258">
        <f>1+ transit((J2000_Bas-1),$O250,$M250,DecLat,DecLong)/360 + (GMTOffset/24) + (IF(DST="Y", 1, 0)/24)</f>
        <v>1.7137332218797081</v>
      </c>
      <c r="AE250" s="259">
        <f>DATE(2001,9,21)+(M250/360)*365 - (360*((DecLong/360)- (GMTOffset/24) ))</f>
        <v>37423.104166666664</v>
      </c>
      <c r="AF250" s="260">
        <f>IF(DecLat&gt;0,IF((90 - (DecLat-O250))&gt;90, (90 - (O250-DecLat)), (90 - (DecLat-O250))),IF((90 + (DecLat-O250))&gt;90, (90 + (O250-DecLat)), (90 + (DecLat-O250))))</f>
        <v>60.4</v>
      </c>
      <c r="AG250" s="257">
        <f>angularseperation(MoonRA,MoonDec,$M250,$O250)</f>
        <v>88.084654124626624</v>
      </c>
      <c r="AH250" s="261">
        <f ca="1">MIN(100,IF($O$5&gt;80,0+30*($AG250/100),IF($O$5&gt;70,0+50*($AG250/100),IF($O$5&gt;60,5+50*($AG250/100),IF($O$5&gt;50,10+60*($AG250/100),IF($O$5&gt;40,15+70*($AG250/100),IF($O$5&gt;30,20+70*($AG250/100),IF($O$5&gt;20,40+55*($AG250/100),(80+(20-$O$5)+30*($AG250/100))))))))))</f>
        <v>100</v>
      </c>
      <c r="AI250" s="262">
        <v>6361</v>
      </c>
      <c r="AJ250" s="262"/>
      <c r="AK250" s="262"/>
      <c r="AL250" s="263"/>
      <c r="AM250" s="264"/>
      <c r="AN250" s="263">
        <v>124</v>
      </c>
      <c r="AO250" s="263"/>
      <c r="AP250" s="265"/>
      <c r="AQ250" s="266">
        <v>10815</v>
      </c>
      <c r="AR250" s="267">
        <v>60045</v>
      </c>
      <c r="AS250" s="263"/>
      <c r="AT250" s="263"/>
      <c r="AU250" s="263"/>
      <c r="AV250" s="264"/>
      <c r="AW250" s="263"/>
      <c r="AX250" s="263"/>
      <c r="AY250" s="263"/>
      <c r="AZ250" s="263"/>
      <c r="BA250" s="263"/>
      <c r="BB250" s="263"/>
      <c r="BC250" s="263"/>
      <c r="BD250" s="264"/>
      <c r="BE250" s="263"/>
      <c r="BF250" s="263"/>
      <c r="BG250" s="263"/>
      <c r="BH250" s="263"/>
      <c r="BI250" s="263"/>
      <c r="BJ250" s="404">
        <f>altaz(J2000_Bas,$O250,$M250,DecLat,DecLong,2)</f>
        <v>337.17591098877023</v>
      </c>
      <c r="BK250" s="378" t="s">
        <v>343</v>
      </c>
      <c r="BL250" s="379">
        <f>IF((2*G250)/60&lt;0.2,0.2,(2*G250)/60)</f>
        <v>0.2</v>
      </c>
      <c r="BM250" s="380">
        <f>MOD((50000+AD250-$B$3+(0/24)),1)</f>
        <v>0.92910015158122405</v>
      </c>
      <c r="BN250" s="381"/>
      <c r="BO250" s="382">
        <v>250</v>
      </c>
    </row>
    <row r="251" spans="1:67" s="24" customFormat="1" ht="15" customHeight="1" x14ac:dyDescent="0.25">
      <c r="A251" s="288" t="s">
        <v>344</v>
      </c>
      <c r="B251" s="241" t="str">
        <f>HYPERLINK(CONCATENATE($AT$3,BK251,$AU$3),$AV$3)</f>
        <v>S</v>
      </c>
      <c r="C251" s="242" t="str">
        <f>HYPERLINK(CONCATENATE($AT$4,BK251,$AU$4,BL251),$AV$4)</f>
        <v>A</v>
      </c>
      <c r="D251" s="243" t="s">
        <v>5638</v>
      </c>
      <c r="E251" s="244" t="s">
        <v>8641</v>
      </c>
      <c r="F251" s="269"/>
      <c r="G251" s="273">
        <v>1</v>
      </c>
      <c r="H251" s="283">
        <v>400</v>
      </c>
      <c r="I251" s="246">
        <v>110</v>
      </c>
      <c r="J251" s="246">
        <v>2</v>
      </c>
      <c r="K251" s="247" t="s">
        <v>4206</v>
      </c>
      <c r="L251" s="248">
        <v>163813</v>
      </c>
      <c r="M251" s="249">
        <f>15*(LEFT(TEXT($L251,"000000"),2)+(MID(TEXT($L251,"000000"),3,2)/60)+(RIGHT(TEXT($L251,"000000"),2)/3600))</f>
        <v>249.55416666666667</v>
      </c>
      <c r="N251" s="250">
        <v>415600</v>
      </c>
      <c r="O251" s="251">
        <f>IF($N251&gt;0,(LEFT(TEXT($N251,"000000"),2)+(MID(TEXT($N251,"000000"),3,2)/60)+(RIGHT(TEXT($N251,"000000"),2)/3600)),-(MID(TEXT($N251,"000000"),2,2)+(MID(TEXT($N251,"000000"),4,2)/60)+(RIGHT(TEXT($N251,"000000"),2)/3600)))</f>
        <v>41.93333333333333</v>
      </c>
      <c r="P251" s="252" t="s">
        <v>111</v>
      </c>
      <c r="Q251" s="253"/>
      <c r="R251" s="247" t="s">
        <v>3293</v>
      </c>
      <c r="S251" s="272" t="s">
        <v>3293</v>
      </c>
      <c r="T251" s="273">
        <v>15.5</v>
      </c>
      <c r="U251" s="274"/>
      <c r="V251" s="280"/>
      <c r="W251" s="244"/>
      <c r="X251" s="244"/>
      <c r="Y251" s="362"/>
      <c r="Z251" s="257">
        <f>altaz(J2000_Bas,$O251,$M251,DecLat,DecLong,1)</f>
        <v>58.994253013925892</v>
      </c>
      <c r="AA251" s="257">
        <f>altaz((J2000_Bas+(2*0.04167)),$O251,$M251,DecLat,DecLong,1)</f>
        <v>36.734951936895428</v>
      </c>
      <c r="AB251" s="257">
        <f>altaz((J2000_Bas+(4*0.04167)),$O251,$M251,DecLat,DecLong,1)</f>
        <v>15.705722920091505</v>
      </c>
      <c r="AC251" s="257">
        <f>altaz((J2000_Bas+(6*0.04167)),$O251,$M251,DecLat,DecLong,1)</f>
        <v>-2.1159539392575937</v>
      </c>
      <c r="AD251" s="258">
        <f>1+ transit((J2000_Bas-1),$O251,$M251,DecLat,DecLong)/360 + (GMTOffset/24) + (IF(DST="Y", 1, 0)/24)</f>
        <v>1.6861059098276248</v>
      </c>
      <c r="AE251" s="259">
        <f>DATE(2001,9,21)+(M251/360)*365 - (360*((DecLong/360)- (GMTOffset/24) ))</f>
        <v>37413.020196759258</v>
      </c>
      <c r="AF251" s="260">
        <f>IF(DecLat&gt;0,IF((90 - (DecLat-O251))&gt;90, (90 - (O251-DecLat)), (90 - (DecLat-O251))),IF((90 + (DecLat-O251))&gt;90, (90 + (O251-DecLat)), (90 + (DecLat-O251))))</f>
        <v>79.066666666666663</v>
      </c>
      <c r="AG251" s="257">
        <f>angularseperation(MoonRA,MoonDec,$M251,$O251)</f>
        <v>69.01803003523851</v>
      </c>
      <c r="AH251" s="261">
        <f ca="1">MIN(100,IF($O$5&gt;80,0+30*($AG251/100),IF($O$5&gt;70,0+50*($AG251/100),IF($O$5&gt;60,5+50*($AG251/100),IF($O$5&gt;50,10+60*($AG251/100),IF($O$5&gt;40,15+70*($AG251/100),IF($O$5&gt;30,20+70*($AG251/100),IF($O$5&gt;20,40+55*($AG251/100),(80+(20-$O$5)+30*($AG251/100))))))))))</f>
        <v>100</v>
      </c>
      <c r="AI251" s="262"/>
      <c r="AJ251" s="262"/>
      <c r="AK251" s="262"/>
      <c r="AL251" s="263"/>
      <c r="AM251" s="264"/>
      <c r="AN251" s="263">
        <v>125</v>
      </c>
      <c r="AO251" s="263"/>
      <c r="AP251" s="265"/>
      <c r="AQ251" s="266">
        <v>10491</v>
      </c>
      <c r="AR251" s="267">
        <v>58664</v>
      </c>
      <c r="AS251" s="263"/>
      <c r="AT251" s="263"/>
      <c r="AU251" s="263"/>
      <c r="AV251" s="264"/>
      <c r="AW251" s="263"/>
      <c r="AX251" s="263"/>
      <c r="AY251" s="263"/>
      <c r="AZ251" s="263"/>
      <c r="BA251" s="263"/>
      <c r="BB251" s="263"/>
      <c r="BC251" s="263"/>
      <c r="BD251" s="264"/>
      <c r="BE251" s="263"/>
      <c r="BF251" s="263"/>
      <c r="BG251" s="263"/>
      <c r="BH251" s="263"/>
      <c r="BI251" s="263"/>
      <c r="BJ251" s="404">
        <f>altaz(J2000_Bas,$O251,$M251,DecLat,DecLong,2)</f>
        <v>300.90989470668501</v>
      </c>
      <c r="BK251" s="378" t="s">
        <v>344</v>
      </c>
      <c r="BL251" s="379">
        <f>IF((2*G251)/60&lt;0.2,0.2,(2*G251)/60)</f>
        <v>0.2</v>
      </c>
      <c r="BM251" s="380">
        <f>MOD((50000+AD251-$B$3+(0/24)),1)</f>
        <v>0.90147283953410806</v>
      </c>
      <c r="BN251" s="381"/>
      <c r="BO251" s="382">
        <v>251</v>
      </c>
    </row>
    <row r="252" spans="1:67" s="24" customFormat="1" ht="15" customHeight="1" x14ac:dyDescent="0.25">
      <c r="A252" s="288" t="s">
        <v>345</v>
      </c>
      <c r="B252" s="241" t="str">
        <f>HYPERLINK(CONCATENATE($AT$3,BK252,$AU$3),$AV$3)</f>
        <v>S</v>
      </c>
      <c r="C252" s="242" t="str">
        <f>HYPERLINK(CONCATENATE($AT$4,BK252,$AU$4,BL252),$AV$4)</f>
        <v>A</v>
      </c>
      <c r="D252" s="243" t="s">
        <v>5638</v>
      </c>
      <c r="E252" s="244" t="s">
        <v>5178</v>
      </c>
      <c r="F252" s="269"/>
      <c r="G252" s="270">
        <v>0.7</v>
      </c>
      <c r="H252" s="283">
        <v>250</v>
      </c>
      <c r="I252" s="246">
        <v>50</v>
      </c>
      <c r="J252" s="246">
        <v>2</v>
      </c>
      <c r="K252" s="247" t="s">
        <v>4207</v>
      </c>
      <c r="L252" s="248">
        <v>15805</v>
      </c>
      <c r="M252" s="249">
        <f>15*(LEFT(TEXT($L252,"000000"),2)+(MID(TEXT($L252,"000000"),3,2)/60)+(RIGHT(TEXT($L252,"000000"),2)/3600))</f>
        <v>29.520833333333336</v>
      </c>
      <c r="N252" s="250">
        <v>30500</v>
      </c>
      <c r="O252" s="251">
        <f>IF($N252&gt;0,(LEFT(TEXT($N252,"000000"),2)+(MID(TEXT($N252,"000000"),3,2)/60)+(RIGHT(TEXT($N252,"000000"),2)/3600)),-(MID(TEXT($N252,"000000"),2,2)+(MID(TEXT($N252,"000000"),4,2)/60)+(RIGHT(TEXT($N252,"000000"),2)/3600)))</f>
        <v>3.0833333333333335</v>
      </c>
      <c r="P252" s="252" t="s">
        <v>158</v>
      </c>
      <c r="Q252" s="253"/>
      <c r="R252" s="247" t="s">
        <v>3293</v>
      </c>
      <c r="S252" s="272" t="s">
        <v>3293</v>
      </c>
      <c r="T252" s="273">
        <v>13.9</v>
      </c>
      <c r="U252" s="274"/>
      <c r="V252" s="280"/>
      <c r="W252" s="244"/>
      <c r="X252" s="244"/>
      <c r="Y252" s="362"/>
      <c r="Z252" s="257">
        <f>altaz(J2000_Bas,$O252,$M252,DecLat,DecLong,1)</f>
        <v>-9.9258460836604794</v>
      </c>
      <c r="AA252" s="257">
        <f>altaz((J2000_Bas+(2*0.04167)),$O252,$M252,DecLat,DecLong,1)</f>
        <v>15.768387698019353</v>
      </c>
      <c r="AB252" s="257">
        <f>altaz((J2000_Bas+(4*0.04167)),$O252,$M252,DecLat,DecLong,1)</f>
        <v>40.550614034174565</v>
      </c>
      <c r="AC252" s="257">
        <f>altaz((J2000_Bas+(6*0.04167)),$O252,$M252,DecLat,DecLong,1)</f>
        <v>59.405867339172346</v>
      </c>
      <c r="AD252" s="258">
        <f>1+ transit((J2000_Bas-1),$O252,$M252,DecLat,DecLong)/360 + (GMTOffset/24) + (IF(DST="Y", 1, 0)/24)</f>
        <v>1.0749022672442914</v>
      </c>
      <c r="AE252" s="259">
        <f>DATE(2001,9,21)+(M252/360)*365 - (360*((DecLong/360)- (GMTOffset/24) ))</f>
        <v>37189.930844907409</v>
      </c>
      <c r="AF252" s="260">
        <f>IF(DecLat&gt;0,IF((90 - (DecLat-O252))&gt;90, (90 - (O252-DecLat)), (90 - (DecLat-O252))),IF((90 + (DecLat-O252))&gt;90, (90 + (O252-DecLat)), (90 + (DecLat-O252))))</f>
        <v>62.083333333333329</v>
      </c>
      <c r="AG252" s="257">
        <f>angularseperation(MoonRA,MoonDec,$M252,$O252)</f>
        <v>135.09803946794224</v>
      </c>
      <c r="AH252" s="261">
        <f ca="1">MIN(100,IF($O$5&gt;80,0+30*($AG252/100),IF($O$5&gt;70,0+50*($AG252/100),IF($O$5&gt;60,5+50*($AG252/100),IF($O$5&gt;50,10+60*($AG252/100),IF($O$5&gt;40,15+70*($AG252/100),IF($O$5&gt;30,20+70*($AG252/100),IF($O$5&gt;20,40+55*($AG252/100),(80+(20-$O$5)+30*($AG252/100))))))))))</f>
        <v>100</v>
      </c>
      <c r="AI252" s="262"/>
      <c r="AJ252" s="262"/>
      <c r="AK252" s="262"/>
      <c r="AL252" s="263"/>
      <c r="AM252" s="264"/>
      <c r="AN252" s="263">
        <v>126</v>
      </c>
      <c r="AO252" s="263"/>
      <c r="AP252" s="265"/>
      <c r="AQ252" s="266"/>
      <c r="AR252" s="267"/>
      <c r="AS252" s="263"/>
      <c r="AT252" s="263"/>
      <c r="AU252" s="263"/>
      <c r="AV252" s="264"/>
      <c r="AW252" s="263"/>
      <c r="AX252" s="263"/>
      <c r="AY252" s="263"/>
      <c r="AZ252" s="263"/>
      <c r="BA252" s="263"/>
      <c r="BB252" s="263"/>
      <c r="BC252" s="263"/>
      <c r="BD252" s="264"/>
      <c r="BE252" s="263"/>
      <c r="BF252" s="263"/>
      <c r="BG252" s="263"/>
      <c r="BH252" s="263"/>
      <c r="BI252" s="263"/>
      <c r="BJ252" s="404">
        <f>altaz(J2000_Bas,$O252,$M252,DecLat,DecLong,2)</f>
        <v>80.278971961521506</v>
      </c>
      <c r="BK252" s="378" t="s">
        <v>345</v>
      </c>
      <c r="BL252" s="379">
        <f>IF((2*G252)/60&lt;0.2,0.2,(2*G252)/60)</f>
        <v>0.2</v>
      </c>
      <c r="BM252" s="380">
        <f>MOD((50000+AD252-$B$3+(0/24)),1)</f>
        <v>0.29026919695024844</v>
      </c>
      <c r="BN252" s="381"/>
      <c r="BO252" s="382">
        <v>252</v>
      </c>
    </row>
    <row r="253" spans="1:67" s="24" customFormat="1" ht="15" customHeight="1" x14ac:dyDescent="0.25">
      <c r="A253" s="288" t="s">
        <v>346</v>
      </c>
      <c r="B253" s="241" t="str">
        <f>HYPERLINK(CONCATENATE($AT$3,BK253,$AU$3),$AV$3)</f>
        <v>S</v>
      </c>
      <c r="C253" s="242" t="str">
        <f>HYPERLINK(CONCATENATE($AT$4,BK253,$AU$4,BL253),$AV$4)</f>
        <v>A</v>
      </c>
      <c r="D253" s="243" t="s">
        <v>5638</v>
      </c>
      <c r="E253" s="244" t="s">
        <v>5178</v>
      </c>
      <c r="F253" s="269"/>
      <c r="G253" s="273">
        <v>1.5</v>
      </c>
      <c r="H253" s="283">
        <v>280</v>
      </c>
      <c r="I253" s="246">
        <v>120</v>
      </c>
      <c r="J253" s="246">
        <v>2</v>
      </c>
      <c r="K253" s="247" t="s">
        <v>4208</v>
      </c>
      <c r="L253" s="248">
        <v>3900</v>
      </c>
      <c r="M253" s="249">
        <f>15*(LEFT(TEXT($L253,"000000"),2)+(MID(TEXT($L253,"000000"),3,2)/60)+(RIGHT(TEXT($L253,"000000"),2)/3600))</f>
        <v>9.75</v>
      </c>
      <c r="N253" s="250">
        <v>-90000</v>
      </c>
      <c r="O253" s="251">
        <f>IF($N253&gt;0,(LEFT(TEXT($N253,"000000"),2)+(MID(TEXT($N253,"000000"),3,2)/60)+(RIGHT(TEXT($N253,"000000"),2)/3600)),-(MID(TEXT($N253,"000000"),2,2)+(MID(TEXT($N253,"000000"),4,2)/60)+(RIGHT(TEXT($N253,"000000"),2)/3600)))</f>
        <v>-9</v>
      </c>
      <c r="P253" s="252" t="s">
        <v>75</v>
      </c>
      <c r="Q253" s="253"/>
      <c r="R253" s="247" t="s">
        <v>3735</v>
      </c>
      <c r="S253" s="272" t="s">
        <v>3293</v>
      </c>
      <c r="T253" s="273">
        <v>12.5</v>
      </c>
      <c r="U253" s="289">
        <v>21.79</v>
      </c>
      <c r="V253" s="280"/>
      <c r="W253" s="244"/>
      <c r="X253" s="244"/>
      <c r="Y253" s="362"/>
      <c r="Z253" s="257">
        <f>altaz(J2000_Bas,$O253,$M253,DecLat,DecLong,1)</f>
        <v>0.66677271552859185</v>
      </c>
      <c r="AA253" s="257">
        <f>altaz((J2000_Bas+(2*0.04167)),$O253,$M253,DecLat,DecLong,1)</f>
        <v>24.902764230179823</v>
      </c>
      <c r="AB253" s="257">
        <f>altaz((J2000_Bas+(4*0.04167)),$O253,$M253,DecLat,DecLong,1)</f>
        <v>44.056258070341308</v>
      </c>
      <c r="AC253" s="257">
        <f>altaz((J2000_Bas+(6*0.04167)),$O253,$M253,DecLat,DecLong,1)</f>
        <v>49.516398490766598</v>
      </c>
      <c r="AD253" s="258">
        <f>1+ transit((J2000_Bas-1),$O253,$M253,DecLat,DecLong)/360 + (GMTOffset/24) + (IF(DST="Y", 1, 0)/24)</f>
        <v>1.019983291254708</v>
      </c>
      <c r="AE253" s="259">
        <f>DATE(2001,9,21)+(M253/360)*365 - (360*((DecLong/360)- (GMTOffset/24) ))</f>
        <v>37169.885416666664</v>
      </c>
      <c r="AF253" s="260">
        <f>IF(DecLat&gt;0,IF((90 - (DecLat-O253))&gt;90, (90 - (O253-DecLat)), (90 - (DecLat-O253))),IF((90 + (DecLat-O253))&gt;90, (90 + (O253-DecLat)), (90 + (DecLat-O253))))</f>
        <v>50</v>
      </c>
      <c r="AG253" s="257">
        <f>angularseperation(MoonRA,MoonDec,$M253,$O253)</f>
        <v>112.03671194200753</v>
      </c>
      <c r="AH253" s="261">
        <f ca="1">MIN(100,IF($O$5&gt;80,0+30*($AG253/100),IF($O$5&gt;70,0+50*($AG253/100),IF($O$5&gt;60,5+50*($AG253/100),IF($O$5&gt;50,10+60*($AG253/100),IF($O$5&gt;40,15+70*($AG253/100),IF($O$5&gt;30,20+70*($AG253/100),IF($O$5&gt;20,40+55*($AG253/100),(80+(20-$O$5)+30*($AG253/100))))))))))</f>
        <v>100</v>
      </c>
      <c r="AI253" s="262"/>
      <c r="AJ253" s="262">
        <v>1563</v>
      </c>
      <c r="AK253" s="262"/>
      <c r="AL253" s="263"/>
      <c r="AM253" s="264"/>
      <c r="AN253" s="263">
        <v>127</v>
      </c>
      <c r="AO253" s="263"/>
      <c r="AP253" s="265"/>
      <c r="AQ253" s="266"/>
      <c r="AR253" s="267">
        <v>2332</v>
      </c>
      <c r="AS253" s="263"/>
      <c r="AT253" s="263"/>
      <c r="AU253" s="263"/>
      <c r="AV253" s="264"/>
      <c r="AW253" s="263"/>
      <c r="AX253" s="263"/>
      <c r="AY253" s="263"/>
      <c r="AZ253" s="263"/>
      <c r="BA253" s="263"/>
      <c r="BB253" s="263"/>
      <c r="BC253" s="263"/>
      <c r="BD253" s="264"/>
      <c r="BE253" s="263"/>
      <c r="BF253" s="263"/>
      <c r="BG253" s="263"/>
      <c r="BH253" s="263"/>
      <c r="BI253" s="263"/>
      <c r="BJ253" s="404">
        <f>altaz(J2000_Bas,$O253,$M253,DecLat,DecLong,2)</f>
        <v>100.9240023542105</v>
      </c>
      <c r="BK253" s="378" t="s">
        <v>346</v>
      </c>
      <c r="BL253" s="379">
        <f>IF((2*G253)/60&lt;0.2,0.2,(2*G253)/60)</f>
        <v>0.2</v>
      </c>
      <c r="BM253" s="380">
        <f>MOD((50000+AD253-$B$3+(0/24)),1)</f>
        <v>0.2353502209589351</v>
      </c>
      <c r="BN253" s="381"/>
      <c r="BO253" s="382">
        <v>253</v>
      </c>
    </row>
    <row r="254" spans="1:67" s="24" customFormat="1" ht="15" customHeight="1" x14ac:dyDescent="0.25">
      <c r="A254" s="288" t="s">
        <v>347</v>
      </c>
      <c r="B254" s="241" t="str">
        <f>HYPERLINK(CONCATENATE($AT$3,BK254,$AU$3),$AV$3)</f>
        <v>S</v>
      </c>
      <c r="C254" s="242" t="str">
        <f>HYPERLINK(CONCATENATE($AT$4,BK254,$AU$4,BL254),$AV$4)</f>
        <v>A</v>
      </c>
      <c r="D254" s="243" t="s">
        <v>5638</v>
      </c>
      <c r="E254" s="244" t="s">
        <v>5178</v>
      </c>
      <c r="F254" s="269"/>
      <c r="G254" s="270">
        <v>0.8</v>
      </c>
      <c r="H254" s="283">
        <v>530</v>
      </c>
      <c r="I254" s="246">
        <v>120</v>
      </c>
      <c r="J254" s="246">
        <v>1</v>
      </c>
      <c r="K254" s="247" t="s">
        <v>4209</v>
      </c>
      <c r="L254" s="248">
        <v>11729</v>
      </c>
      <c r="M254" s="249">
        <f>15*(LEFT(TEXT($L254,"000000"),2)+(MID(TEXT($L254,"000000"),3,2)/60)+(RIGHT(TEXT($L254,"000000"),2)/3600))</f>
        <v>19.37083333333333</v>
      </c>
      <c r="N254" s="250">
        <v>144200</v>
      </c>
      <c r="O254" s="251">
        <f>IF($N254&gt;0,(LEFT(TEXT($N254,"000000"),2)+(MID(TEXT($N254,"000000"),3,2)/60)+(RIGHT(TEXT($N254,"000000"),2)/3600)),-(MID(TEXT($N254,"000000"),2,2)+(MID(TEXT($N254,"000000"),4,2)/60)+(RIGHT(TEXT($N254,"000000"),2)/3600)))</f>
        <v>14.7</v>
      </c>
      <c r="P254" s="252" t="s">
        <v>158</v>
      </c>
      <c r="Q254" s="253"/>
      <c r="R254" s="247" t="s">
        <v>3293</v>
      </c>
      <c r="S254" s="272" t="s">
        <v>3293</v>
      </c>
      <c r="T254" s="273">
        <v>16</v>
      </c>
      <c r="U254" s="274"/>
      <c r="V254" s="280"/>
      <c r="W254" s="244"/>
      <c r="X254" s="244"/>
      <c r="Y254" s="362"/>
      <c r="Z254" s="257">
        <f>altaz(J2000_Bas,$O254,$M254,DecLat,DecLong,1)</f>
        <v>4.7025435551828334</v>
      </c>
      <c r="AA254" s="257">
        <f>altaz((J2000_Bas+(2*0.04167)),$O254,$M254,DecLat,DecLong,1)</f>
        <v>30.227930249289695</v>
      </c>
      <c r="AB254" s="257">
        <f>altaz((J2000_Bas+(4*0.04167)),$O254,$M254,DecLat,DecLong,1)</f>
        <v>55.534985352618364</v>
      </c>
      <c r="AC254" s="257">
        <f>altaz((J2000_Bas+(6*0.04167)),$O254,$M254,DecLat,DecLong,1)</f>
        <v>73.451826106185834</v>
      </c>
      <c r="AD254" s="258">
        <f>1+ transit((J2000_Bas-1),$O254,$M254,DecLat,DecLong)/360 + (GMTOffset/24) + (IF(DST="Y", 1, 0)/24)</f>
        <v>1.0467078256192914</v>
      </c>
      <c r="AE254" s="259">
        <f>DATE(2001,9,21)+(M254/360)*365 - (360*((DecLong/360)- (GMTOffset/24) ))</f>
        <v>37179.639872685184</v>
      </c>
      <c r="AF254" s="260">
        <f>IF(DecLat&gt;0,IF((90 - (DecLat-O254))&gt;90, (90 - (O254-DecLat)), (90 - (DecLat-O254))),IF((90 + (DecLat-O254))&gt;90, (90 + (O254-DecLat)), (90 + (DecLat-O254))))</f>
        <v>73.7</v>
      </c>
      <c r="AG254" s="257">
        <f>angularseperation(MoonRA,MoonDec,$M254,$O254)</f>
        <v>132.11221899655581</v>
      </c>
      <c r="AH254" s="261">
        <f ca="1">MIN(100,IF($O$5&gt;80,0+30*($AG254/100),IF($O$5&gt;70,0+50*($AG254/100),IF($O$5&gt;60,5+50*($AG254/100),IF($O$5&gt;50,10+60*($AG254/100),IF($O$5&gt;40,15+70*($AG254/100),IF($O$5&gt;30,20+70*($AG254/100),IF($O$5&gt;20,40+55*($AG254/100),(80+(20-$O$5)+30*($AG254/100))))))))))</f>
        <v>100</v>
      </c>
      <c r="AI254" s="262"/>
      <c r="AJ254" s="262"/>
      <c r="AK254" s="262"/>
      <c r="AL254" s="263"/>
      <c r="AM254" s="264"/>
      <c r="AN254" s="263">
        <v>128</v>
      </c>
      <c r="AO254" s="263"/>
      <c r="AP254" s="265"/>
      <c r="AQ254" s="266">
        <v>827</v>
      </c>
      <c r="AR254" s="267">
        <v>4645</v>
      </c>
      <c r="AS254" s="263"/>
      <c r="AT254" s="263"/>
      <c r="AU254" s="263"/>
      <c r="AV254" s="264"/>
      <c r="AW254" s="263"/>
      <c r="AX254" s="263"/>
      <c r="AY254" s="263"/>
      <c r="AZ254" s="263"/>
      <c r="BA254" s="263"/>
      <c r="BB254" s="263"/>
      <c r="BC254" s="263"/>
      <c r="BD254" s="264"/>
      <c r="BE254" s="263"/>
      <c r="BF254" s="263"/>
      <c r="BG254" s="263"/>
      <c r="BH254" s="263"/>
      <c r="BI254" s="263"/>
      <c r="BJ254" s="404">
        <f>altaz(J2000_Bas,$O254,$M254,DecLat,DecLong,2)</f>
        <v>75.663526419249521</v>
      </c>
      <c r="BK254" s="378" t="s">
        <v>347</v>
      </c>
      <c r="BL254" s="379">
        <f>IF((2*G254)/60&lt;0.2,0.2,(2*G254)/60)</f>
        <v>0.2</v>
      </c>
      <c r="BM254" s="380">
        <f>MOD((50000+AD254-$B$3+(0/24)),1)</f>
        <v>0.26207475532282842</v>
      </c>
      <c r="BN254" s="381"/>
      <c r="BO254" s="382">
        <v>254</v>
      </c>
    </row>
    <row r="255" spans="1:67" s="24" customFormat="1" ht="15" customHeight="1" x14ac:dyDescent="0.25">
      <c r="A255" s="288" t="s">
        <v>348</v>
      </c>
      <c r="B255" s="241" t="str">
        <f>HYPERLINK(CONCATENATE($AT$3,BK255,$AU$3),$AV$3)</f>
        <v>S</v>
      </c>
      <c r="C255" s="242" t="str">
        <f>HYPERLINK(CONCATENATE($AT$4,BK255,$AU$4,BL255),$AV$4)</f>
        <v>A</v>
      </c>
      <c r="D255" s="243" t="s">
        <v>5638</v>
      </c>
      <c r="E255" s="244" t="s">
        <v>5337</v>
      </c>
      <c r="F255" s="269" t="s">
        <v>3310</v>
      </c>
      <c r="G255" s="273">
        <v>1</v>
      </c>
      <c r="H255" s="283">
        <v>320</v>
      </c>
      <c r="I255" s="246">
        <v>90</v>
      </c>
      <c r="J255" s="246">
        <v>2</v>
      </c>
      <c r="K255" s="247" t="s">
        <v>4210</v>
      </c>
      <c r="L255" s="248">
        <v>93924</v>
      </c>
      <c r="M255" s="249">
        <f>15*(LEFT(TEXT($L255,"000000"),2)+(MID(TEXT($L255,"000000"),3,2)/60)+(RIGHT(TEXT($L255,"000000"),2)/3600))</f>
        <v>144.85</v>
      </c>
      <c r="N255" s="250">
        <v>322100</v>
      </c>
      <c r="O255" s="251">
        <f>IF($N255&gt;0,(LEFT(TEXT($N255,"000000"),2)+(MID(TEXT($N255,"000000"),3,2)/60)+(RIGHT(TEXT($N255,"000000"),2)/3600)),-(MID(TEXT($N255,"000000"),2,2)+(MID(TEXT($N255,"000000"),4,2)/60)+(RIGHT(TEXT($N255,"000000"),2)/3600)))</f>
        <v>32.35</v>
      </c>
      <c r="P255" s="252" t="s">
        <v>183</v>
      </c>
      <c r="Q255" s="253"/>
      <c r="R255" s="247" t="s">
        <v>3293</v>
      </c>
      <c r="S255" s="272" t="s">
        <v>4182</v>
      </c>
      <c r="T255" s="273">
        <v>14</v>
      </c>
      <c r="U255" s="274"/>
      <c r="V255" s="280"/>
      <c r="W255" s="244"/>
      <c r="X255" s="244"/>
      <c r="Y255" s="362"/>
      <c r="Z255" s="257">
        <f>altaz(J2000_Bas,$O255,$M255,DecLat,DecLong,1)</f>
        <v>-16.760735224386483</v>
      </c>
      <c r="AA255" s="257">
        <f>altaz((J2000_Bas+(2*0.04167)),$O255,$M255,DecLat,DecLong,1)</f>
        <v>-26.109415723043302</v>
      </c>
      <c r="AB255" s="257">
        <f>altaz((J2000_Bas+(4*0.04167)),$O255,$M255,DecLat,DecLong,1)</f>
        <v>-23.514115613141449</v>
      </c>
      <c r="AC255" s="257">
        <f>altaz((J2000_Bas+(6*0.04167)),$O255,$M255,DecLat,DecLong,1)</f>
        <v>-10.143668183766291</v>
      </c>
      <c r="AD255" s="258">
        <f>1+ transit((J2000_Bas-1),$O255,$M255,DecLat,DecLong)/360 + (GMTOffset/24) + (IF(DST="Y", 1, 0)/24)</f>
        <v>1.395261031504708</v>
      </c>
      <c r="AE255" s="259">
        <f>DATE(2001,9,21)+(M255/360)*365 - (360*((DecLong/360)- (GMTOffset/24) ))</f>
        <v>37306.861805555556</v>
      </c>
      <c r="AF255" s="260">
        <f>IF(DecLat&gt;0,IF((90 - (DecLat-O255))&gt;90, (90 - (O255-DecLat)), (90 - (DecLat-O255))),IF((90 + (DecLat-O255))&gt;90, (90 + (O255-DecLat)), (90 + (DecLat-O255))))</f>
        <v>88.65</v>
      </c>
      <c r="AG255" s="257">
        <f>angularseperation(MoonRA,MoonDec,$M255,$O255)</f>
        <v>115.50408841399963</v>
      </c>
      <c r="AH255" s="261">
        <f ca="1">MIN(100,IF($O$5&gt;80,0+30*($AG255/100),IF($O$5&gt;70,0+50*($AG255/100),IF($O$5&gt;60,5+50*($AG255/100),IF($O$5&gt;50,10+60*($AG255/100),IF($O$5&gt;40,15+70*($AG255/100),IF($O$5&gt;30,20+70*($AG255/100),IF($O$5&gt;20,40+55*($AG255/100),(80+(20-$O$5)+30*($AG255/100))))))))))</f>
        <v>100</v>
      </c>
      <c r="AI255" s="262"/>
      <c r="AJ255" s="262"/>
      <c r="AK255" s="262"/>
      <c r="AL255" s="263"/>
      <c r="AM255" s="264"/>
      <c r="AN255" s="263">
        <v>129</v>
      </c>
      <c r="AO255" s="263"/>
      <c r="AP255" s="265"/>
      <c r="AQ255" s="266">
        <v>5146</v>
      </c>
      <c r="AR255" s="267">
        <v>27547</v>
      </c>
      <c r="AS255" s="263"/>
      <c r="AT255" s="263"/>
      <c r="AU255" s="263"/>
      <c r="AV255" s="264"/>
      <c r="AW255" s="263"/>
      <c r="AX255" s="263"/>
      <c r="AY255" s="263"/>
      <c r="AZ255" s="263"/>
      <c r="BA255" s="263"/>
      <c r="BB255" s="263"/>
      <c r="BC255" s="263"/>
      <c r="BD255" s="264"/>
      <c r="BE255" s="263"/>
      <c r="BF255" s="263"/>
      <c r="BG255" s="263"/>
      <c r="BH255" s="263"/>
      <c r="BI255" s="263"/>
      <c r="BJ255" s="404">
        <f>altaz(J2000_Bas,$O255,$M255,DecLat,DecLong,2)</f>
        <v>326.39898963762022</v>
      </c>
      <c r="BK255" s="378" t="s">
        <v>348</v>
      </c>
      <c r="BL255" s="379">
        <f>IF((2*G255)/60&lt;0.2,0.2,(2*G255)/60)</f>
        <v>0.2</v>
      </c>
      <c r="BM255" s="380">
        <f>MOD((50000+AD255-$B$3+(0/24)),1)</f>
        <v>0.61062796120677376</v>
      </c>
      <c r="BN255" s="381"/>
      <c r="BO255" s="382">
        <v>255</v>
      </c>
    </row>
    <row r="256" spans="1:67" s="24" customFormat="1" ht="15" customHeight="1" x14ac:dyDescent="0.25">
      <c r="A256" s="288" t="s">
        <v>349</v>
      </c>
      <c r="B256" s="241" t="str">
        <f>HYPERLINK(CONCATENATE($AT$3,BK256,$AU$3),$AV$3)</f>
        <v>S</v>
      </c>
      <c r="C256" s="242" t="str">
        <f>HYPERLINK(CONCATENATE($AT$4,BK256,$AU$4,BL256),$AV$4)</f>
        <v>A</v>
      </c>
      <c r="D256" s="243" t="s">
        <v>5638</v>
      </c>
      <c r="E256" s="244" t="s">
        <v>5178</v>
      </c>
      <c r="F256" s="269"/>
      <c r="G256" s="273">
        <v>1</v>
      </c>
      <c r="H256" s="283">
        <v>270</v>
      </c>
      <c r="I256" s="246">
        <v>80</v>
      </c>
      <c r="J256" s="246">
        <v>2</v>
      </c>
      <c r="K256" s="247" t="s">
        <v>4211</v>
      </c>
      <c r="L256" s="248">
        <v>237</v>
      </c>
      <c r="M256" s="249">
        <f>15*(LEFT(TEXT($L256,"000000"),2)+(MID(TEXT($L256,"000000"),3,2)/60)+(RIGHT(TEXT($L256,"000000"),2)/3600))</f>
        <v>0.65416666666666667</v>
      </c>
      <c r="N256" s="250">
        <v>163800</v>
      </c>
      <c r="O256" s="251">
        <f>IF($N256&gt;0,(LEFT(TEXT($N256,"000000"),2)+(MID(TEXT($N256,"000000"),3,2)/60)+(RIGHT(TEXT($N256,"000000"),2)/3600)),-(MID(TEXT($N256,"000000"),2,2)+(MID(TEXT($N256,"000000"),4,2)/60)+(RIGHT(TEXT($N256,"000000"),2)/3600)))</f>
        <v>16.633333333333333</v>
      </c>
      <c r="P256" s="252" t="s">
        <v>39</v>
      </c>
      <c r="Q256" s="253"/>
      <c r="R256" s="247" t="s">
        <v>3750</v>
      </c>
      <c r="S256" s="272" t="s">
        <v>3293</v>
      </c>
      <c r="T256" s="273">
        <v>14.6</v>
      </c>
      <c r="U256" s="289">
        <v>24.19</v>
      </c>
      <c r="V256" s="280"/>
      <c r="W256" s="244"/>
      <c r="X256" s="244"/>
      <c r="Y256" s="362"/>
      <c r="Z256" s="257">
        <f>altaz(J2000_Bas,$O256,$M256,DecLat,DecLong,1)</f>
        <v>21.396286685230333</v>
      </c>
      <c r="AA256" s="257">
        <f>altaz((J2000_Bas+(2*0.04167)),$O256,$M256,DecLat,DecLong,1)</f>
        <v>47.100320773729784</v>
      </c>
      <c r="AB256" s="257">
        <f>altaz((J2000_Bas+(4*0.04167)),$O256,$M256,DecLat,DecLong,1)</f>
        <v>70.498074761398485</v>
      </c>
      <c r="AC256" s="257">
        <f>altaz((J2000_Bas+(6*0.04167)),$O256,$M256,DecLat,DecLong,1)</f>
        <v>69.795354778530267</v>
      </c>
      <c r="AD256" s="258">
        <f>1+ transit((J2000_Bas-1),$O256,$M256,DecLat,DecLong)/360 + (GMTOffset/24) + (IF(DST="Y", 1, 0)/24)</f>
        <v>0.99471709007762465</v>
      </c>
      <c r="AE256" s="259">
        <f>DATE(2001,9,21)+(M256/360)*365 - (360*((DecLong/360)- (GMTOffset/24) ))</f>
        <v>37160.663252314815</v>
      </c>
      <c r="AF256" s="260">
        <f>IF(DecLat&gt;0,IF((90 - (DecLat-O256))&gt;90, (90 - (O256-DecLat)), (90 - (DecLat-O256))),IF((90 + (DecLat-O256))&gt;90, (90 + (O256-DecLat)), (90 + (DecLat-O256))))</f>
        <v>75.633333333333326</v>
      </c>
      <c r="AG256" s="257">
        <f>angularseperation(MoonRA,MoonDec,$M256,$O256)</f>
        <v>116.21671109320184</v>
      </c>
      <c r="AH256" s="261">
        <f ca="1">MIN(100,IF($O$5&gt;80,0+30*($AG256/100),IF($O$5&gt;70,0+50*($AG256/100),IF($O$5&gt;60,5+50*($AG256/100),IF($O$5&gt;50,10+60*($AG256/100),IF($O$5&gt;40,15+70*($AG256/100),IF($O$5&gt;30,20+70*($AG256/100),IF($O$5&gt;20,40+55*($AG256/100),(80+(20-$O$5)+30*($AG256/100))))))))))</f>
        <v>100</v>
      </c>
      <c r="AI256" s="262"/>
      <c r="AJ256" s="262">
        <v>5378</v>
      </c>
      <c r="AK256" s="262"/>
      <c r="AL256" s="263"/>
      <c r="AM256" s="264"/>
      <c r="AN256" s="263">
        <v>130</v>
      </c>
      <c r="AO256" s="263"/>
      <c r="AP256" s="265"/>
      <c r="AQ256" s="266">
        <v>1</v>
      </c>
      <c r="AR256" s="267">
        <v>178</v>
      </c>
      <c r="AS256" s="263"/>
      <c r="AT256" s="263"/>
      <c r="AU256" s="263"/>
      <c r="AV256" s="264"/>
      <c r="AW256" s="263"/>
      <c r="AX256" s="263"/>
      <c r="AY256" s="263"/>
      <c r="AZ256" s="263"/>
      <c r="BA256" s="263"/>
      <c r="BB256" s="263"/>
      <c r="BC256" s="263"/>
      <c r="BD256" s="264"/>
      <c r="BE256" s="263"/>
      <c r="BF256" s="263"/>
      <c r="BG256" s="263"/>
      <c r="BH256" s="263"/>
      <c r="BI256" s="263"/>
      <c r="BJ256" s="404">
        <f>altaz(J2000_Bas,$O256,$M256,DecLat,DecLong,2)</f>
        <v>82.921248885534354</v>
      </c>
      <c r="BK256" s="378" t="s">
        <v>349</v>
      </c>
      <c r="BL256" s="379">
        <f>IF((2*G256)/60&lt;0.2,0.2,(2*G256)/60)</f>
        <v>0.2</v>
      </c>
      <c r="BM256" s="380">
        <f>MOD((50000+AD256-$B$3+(0/24)),1)</f>
        <v>0.21008401978178881</v>
      </c>
      <c r="BN256" s="381"/>
      <c r="BO256" s="382">
        <v>256</v>
      </c>
    </row>
    <row r="257" spans="1:67" s="24" customFormat="1" ht="15" customHeight="1" x14ac:dyDescent="0.25">
      <c r="A257" s="288" t="s">
        <v>350</v>
      </c>
      <c r="B257" s="241" t="str">
        <f>HYPERLINK(CONCATENATE($AT$3,BK257,$AU$3),$AV$3)</f>
        <v>S</v>
      </c>
      <c r="C257" s="242" t="str">
        <f>HYPERLINK(CONCATENATE($AT$4,BK257,$AU$4,BL257),$AV$4)</f>
        <v>A</v>
      </c>
      <c r="D257" s="243" t="s">
        <v>5638</v>
      </c>
      <c r="E257" s="244" t="s">
        <v>5178</v>
      </c>
      <c r="F257" s="269"/>
      <c r="G257" s="270">
        <v>0.7</v>
      </c>
      <c r="H257" s="283">
        <v>290</v>
      </c>
      <c r="I257" s="246">
        <v>60</v>
      </c>
      <c r="J257" s="246">
        <v>0</v>
      </c>
      <c r="K257" s="247" t="s">
        <v>4212</v>
      </c>
      <c r="L257" s="248">
        <v>24719</v>
      </c>
      <c r="M257" s="249">
        <f>15*(LEFT(TEXT($L257,"000000"),2)+(MID(TEXT($L257,"000000"),3,2)/60)+(RIGHT(TEXT($L257,"000000"),2)/3600))</f>
        <v>41.829166666666666</v>
      </c>
      <c r="N257" s="250">
        <v>-144800</v>
      </c>
      <c r="O257" s="251">
        <f>IF($N257&gt;0,(LEFT(TEXT($N257,"000000"),2)+(MID(TEXT($N257,"000000"),3,2)/60)+(RIGHT(TEXT($N257,"000000"),2)/3600)),-(MID(TEXT($N257,"000000"),2,2)+(MID(TEXT($N257,"000000"),4,2)/60)+(RIGHT(TEXT($N257,"000000"),2)/3600)))</f>
        <v>-14.8</v>
      </c>
      <c r="P257" s="252" t="s">
        <v>257</v>
      </c>
      <c r="Q257" s="253"/>
      <c r="R257" s="247" t="s">
        <v>3293</v>
      </c>
      <c r="S257" s="272" t="s">
        <v>3293</v>
      </c>
      <c r="T257" s="273">
        <v>14.5</v>
      </c>
      <c r="U257" s="274"/>
      <c r="V257" s="280"/>
      <c r="W257" s="244"/>
      <c r="X257" s="244"/>
      <c r="Y257" s="362"/>
      <c r="Z257" s="257">
        <f>altaz(J2000_Bas,$O257,$M257,DecLat,DecLong,1)</f>
        <v>-29.511527867016927</v>
      </c>
      <c r="AA257" s="257">
        <f>altaz((J2000_Bas+(2*0.04167)),$O257,$M257,DecLat,DecLong,1)</f>
        <v>-4.01587997373026</v>
      </c>
      <c r="AB257" s="257">
        <f>altaz((J2000_Bas+(4*0.04167)),$O257,$M257,DecLat,DecLong,1)</f>
        <v>19.630595644672347</v>
      </c>
      <c r="AC257" s="257">
        <f>altaz((J2000_Bas+(6*0.04167)),$O257,$M257,DecLat,DecLong,1)</f>
        <v>38.02316809535764</v>
      </c>
      <c r="AD257" s="258">
        <f>1+ transit((J2000_Bas-1),$O257,$M257,DecLat,DecLong)/360 + (GMTOffset/24) + (IF(DST="Y", 1, 0)/24)</f>
        <v>1.1090920786401246</v>
      </c>
      <c r="AE257" s="259">
        <f>DATE(2001,9,21)+(M257/360)*365 - (360*((DecLong/360)- (GMTOffset/24) ))</f>
        <v>37202.410127314812</v>
      </c>
      <c r="AF257" s="260">
        <f>IF(DecLat&gt;0,IF((90 - (DecLat-O257))&gt;90, (90 - (O257-DecLat)), (90 - (DecLat-O257))),IF((90 + (DecLat-O257))&gt;90, (90 + (O257-DecLat)), (90 + (DecLat-O257))))</f>
        <v>44.2</v>
      </c>
      <c r="AG257" s="257">
        <f>angularseperation(MoonRA,MoonDec,$M257,$O257)</f>
        <v>130.37895782251013</v>
      </c>
      <c r="AH257" s="261">
        <f ca="1">MIN(100,IF($O$5&gt;80,0+30*($AG257/100),IF($O$5&gt;70,0+50*($AG257/100),IF($O$5&gt;60,5+50*($AG257/100),IF($O$5&gt;50,10+60*($AG257/100),IF($O$5&gt;40,15+70*($AG257/100),IF($O$5&gt;30,20+70*($AG257/100),IF($O$5&gt;20,40+55*($AG257/100),(80+(20-$O$5)+30*($AG257/100))))))))))</f>
        <v>100</v>
      </c>
      <c r="AI257" s="262"/>
      <c r="AJ257" s="262"/>
      <c r="AK257" s="262"/>
      <c r="AL257" s="263"/>
      <c r="AM257" s="264"/>
      <c r="AN257" s="263">
        <v>131</v>
      </c>
      <c r="AO257" s="263"/>
      <c r="AP257" s="265"/>
      <c r="AQ257" s="266"/>
      <c r="AR257" s="267">
        <v>10561</v>
      </c>
      <c r="AS257" s="263"/>
      <c r="AT257" s="263"/>
      <c r="AU257" s="263"/>
      <c r="AV257" s="264"/>
      <c r="AW257" s="263"/>
      <c r="AX257" s="263"/>
      <c r="AY257" s="263"/>
      <c r="AZ257" s="263"/>
      <c r="BA257" s="263"/>
      <c r="BB257" s="263"/>
      <c r="BC257" s="263"/>
      <c r="BD257" s="264"/>
      <c r="BE257" s="263"/>
      <c r="BF257" s="263"/>
      <c r="BG257" s="263"/>
      <c r="BH257" s="263"/>
      <c r="BI257" s="263"/>
      <c r="BJ257" s="404">
        <f>altaz(J2000_Bas,$O257,$M257,DecLat,DecLong,2)</f>
        <v>90.133546406916523</v>
      </c>
      <c r="BK257" s="378" t="s">
        <v>350</v>
      </c>
      <c r="BL257" s="379">
        <f>IF((2*G257)/60&lt;0.2,0.2,(2*G257)/60)</f>
        <v>0.2</v>
      </c>
      <c r="BM257" s="380">
        <f>MOD((50000+AD257-$B$3+(0/24)),1)</f>
        <v>0.3244590083413641</v>
      </c>
      <c r="BN257" s="381"/>
      <c r="BO257" s="382">
        <v>257</v>
      </c>
    </row>
    <row r="258" spans="1:67" s="24" customFormat="1" ht="15" customHeight="1" x14ac:dyDescent="0.25">
      <c r="A258" s="288" t="s">
        <v>351</v>
      </c>
      <c r="B258" s="241" t="str">
        <f>HYPERLINK(CONCATENATE($AT$3,BK258,$AU$3),$AV$3)</f>
        <v>S</v>
      </c>
      <c r="C258" s="242" t="str">
        <f>HYPERLINK(CONCATENATE($AT$4,BK258,$AU$4,BL258),$AV$4)</f>
        <v>A</v>
      </c>
      <c r="D258" s="243" t="s">
        <v>5638</v>
      </c>
      <c r="E258" s="244" t="s">
        <v>5194</v>
      </c>
      <c r="F258" s="269"/>
      <c r="G258" s="270">
        <v>0.4</v>
      </c>
      <c r="H258" s="283">
        <v>350</v>
      </c>
      <c r="I258" s="246">
        <v>40</v>
      </c>
      <c r="J258" s="246">
        <v>2</v>
      </c>
      <c r="K258" s="247" t="s">
        <v>4213</v>
      </c>
      <c r="L258" s="248">
        <v>111921</v>
      </c>
      <c r="M258" s="249">
        <f>15*(LEFT(TEXT($L258,"000000"),2)+(MID(TEXT($L258,"000000"),3,2)/60)+(RIGHT(TEXT($L258,"000000"),2)/3600))</f>
        <v>169.83750000000001</v>
      </c>
      <c r="N258" s="250">
        <v>-30500</v>
      </c>
      <c r="O258" s="251">
        <f>IF($N258&gt;0,(LEFT(TEXT($N258,"000000"),2)+(MID(TEXT($N258,"000000"),3,2)/60)+(RIGHT(TEXT($N258,"000000"),2)/3600)),-(MID(TEXT($N258,"000000"),2,2)+(MID(TEXT($N258,"000000"),4,2)/60)+(RIGHT(TEXT($N258,"000000"),2)/3600)))</f>
        <v>-3.0833333333333335</v>
      </c>
      <c r="P258" s="252" t="s">
        <v>183</v>
      </c>
      <c r="Q258" s="253"/>
      <c r="R258" s="247" t="s">
        <v>3293</v>
      </c>
      <c r="S258" s="272" t="s">
        <v>3293</v>
      </c>
      <c r="T258" s="273">
        <v>15</v>
      </c>
      <c r="U258" s="274"/>
      <c r="V258" s="280"/>
      <c r="W258" s="244"/>
      <c r="X258" s="244"/>
      <c r="Y258" s="362"/>
      <c r="Z258" s="257">
        <f>altaz(J2000_Bas,$O258,$M258,DecLat,DecLong,1)</f>
        <v>-23.899403647452385</v>
      </c>
      <c r="AA258" s="257">
        <f>altaz((J2000_Bas+(2*0.04167)),$O258,$M258,DecLat,DecLong,1)</f>
        <v>-47.678383791682556</v>
      </c>
      <c r="AB258" s="257">
        <f>altaz((J2000_Bas+(4*0.04167)),$O258,$M258,DecLat,DecLong,1)</f>
        <v>-61.869770059151463</v>
      </c>
      <c r="AC258" s="257">
        <f>altaz((J2000_Bas+(6*0.04167)),$O258,$M258,DecLat,DecLong,1)</f>
        <v>-52.58369804642517</v>
      </c>
      <c r="AD258" s="258">
        <f>1+ transit((J2000_Bas-1),$O258,$M258,DecLat,DecLong)/360 + (GMTOffset/24) + (IF(DST="Y", 1, 0)/24)</f>
        <v>1.4646707467859581</v>
      </c>
      <c r="AE258" s="259">
        <f>DATE(2001,9,21)+(M258/360)*365 - (360*((DecLong/360)- (GMTOffset/24) ))</f>
        <v>37332.19635416667</v>
      </c>
      <c r="AF258" s="260">
        <f>IF(DecLat&gt;0,IF((90 - (DecLat-O258))&gt;90, (90 - (O258-DecLat)), (90 - (DecLat-O258))),IF((90 + (DecLat-O258))&gt;90, (90 + (O258-DecLat)), (90 + (DecLat-O258))))</f>
        <v>55.916666666666664</v>
      </c>
      <c r="AG258" s="257">
        <f>angularseperation(MoonRA,MoonDec,$M258,$O258)</f>
        <v>79.165985584027879</v>
      </c>
      <c r="AH258" s="261">
        <f ca="1">MIN(100,IF($O$5&gt;80,0+30*($AG258/100),IF($O$5&gt;70,0+50*($AG258/100),IF($O$5&gt;60,5+50*($AG258/100),IF($O$5&gt;50,10+60*($AG258/100),IF($O$5&gt;40,15+70*($AG258/100),IF($O$5&gt;30,20+70*($AG258/100),IF($O$5&gt;20,40+55*($AG258/100),(80+(20-$O$5)+30*($AG258/100))))))))))</f>
        <v>100</v>
      </c>
      <c r="AI258" s="262"/>
      <c r="AJ258" s="262"/>
      <c r="AK258" s="262"/>
      <c r="AL258" s="263"/>
      <c r="AM258" s="264"/>
      <c r="AN258" s="263">
        <v>132</v>
      </c>
      <c r="AO258" s="263"/>
      <c r="AP258" s="265"/>
      <c r="AQ258" s="266"/>
      <c r="AR258" s="267">
        <v>34651</v>
      </c>
      <c r="AS258" s="263"/>
      <c r="AT258" s="263"/>
      <c r="AU258" s="263"/>
      <c r="AV258" s="264"/>
      <c r="AW258" s="263"/>
      <c r="AX258" s="263"/>
      <c r="AY258" s="263"/>
      <c r="AZ258" s="263"/>
      <c r="BA258" s="263"/>
      <c r="BB258" s="263"/>
      <c r="BC258" s="263"/>
      <c r="BD258" s="264"/>
      <c r="BE258" s="263"/>
      <c r="BF258" s="263"/>
      <c r="BG258" s="263"/>
      <c r="BH258" s="263"/>
      <c r="BI258" s="263"/>
      <c r="BJ258" s="404">
        <f>altaz(J2000_Bas,$O258,$M258,DecLat,DecLong,2)</f>
        <v>281.39787655097041</v>
      </c>
      <c r="BK258" s="378" t="s">
        <v>351</v>
      </c>
      <c r="BL258" s="379">
        <f>IF((2*G258)/60&lt;0.2,0.2,(2*G258)/60)</f>
        <v>0.2</v>
      </c>
      <c r="BM258" s="380">
        <f>MOD((50000+AD258-$B$3+(0/24)),1)</f>
        <v>0.68003767648770008</v>
      </c>
      <c r="BN258" s="381"/>
      <c r="BO258" s="382">
        <v>258</v>
      </c>
    </row>
    <row r="259" spans="1:67" s="24" customFormat="1" ht="15" customHeight="1" x14ac:dyDescent="0.25">
      <c r="A259" s="288" t="s">
        <v>352</v>
      </c>
      <c r="B259" s="241" t="str">
        <f>HYPERLINK(CONCATENATE($AT$3,BK259,$AU$3),$AV$3)</f>
        <v>S</v>
      </c>
      <c r="C259" s="242" t="str">
        <f>HYPERLINK(CONCATENATE($AT$4,BK259,$AU$4,BL259),$AV$4)</f>
        <v>A</v>
      </c>
      <c r="D259" s="243" t="s">
        <v>5638</v>
      </c>
      <c r="E259" s="244" t="s">
        <v>5193</v>
      </c>
      <c r="F259" s="269" t="s">
        <v>3307</v>
      </c>
      <c r="G259" s="273">
        <v>1.8</v>
      </c>
      <c r="H259" s="283">
        <v>230</v>
      </c>
      <c r="I259" s="246">
        <v>130</v>
      </c>
      <c r="J259" s="246">
        <v>2</v>
      </c>
      <c r="K259" s="247" t="s">
        <v>4214</v>
      </c>
      <c r="L259" s="248">
        <v>12544</v>
      </c>
      <c r="M259" s="249">
        <f>15*(LEFT(TEXT($L259,"000000"),2)+(MID(TEXT($L259,"000000"),3,2)/60)+(RIGHT(TEXT($L259,"000000"),2)/3600))</f>
        <v>21.433333333333334</v>
      </c>
      <c r="N259" s="250">
        <v>-12200</v>
      </c>
      <c r="O259" s="251">
        <f>IF($N259&gt;0,(LEFT(TEXT($N259,"000000"),2)+(MID(TEXT($N259,"000000"),3,2)/60)+(RIGHT(TEXT($N259,"000000"),2)/3600)),-(MID(TEXT($N259,"000000"),2,2)+(MID(TEXT($N259,"000000"),4,2)/60)+(RIGHT(TEXT($N259,"000000"),2)/3600)))</f>
        <v>-1.3666666666666667</v>
      </c>
      <c r="P259" s="252" t="s">
        <v>75</v>
      </c>
      <c r="Q259" s="253" t="s">
        <v>353</v>
      </c>
      <c r="R259" s="277" t="s">
        <v>3466</v>
      </c>
      <c r="S259" s="272" t="s">
        <v>528</v>
      </c>
      <c r="T259" s="273">
        <v>12.1</v>
      </c>
      <c r="U259" s="289">
        <v>22.09</v>
      </c>
      <c r="V259" s="280"/>
      <c r="W259" s="244"/>
      <c r="X259" s="244"/>
      <c r="Y259" s="362"/>
      <c r="Z259" s="257">
        <f>altaz(J2000_Bas,$O259,$M259,DecLat,DecLong,1)</f>
        <v>-5.3583608342724141</v>
      </c>
      <c r="AA259" s="257">
        <f>altaz((J2000_Bas+(2*0.04167)),$O259,$M259,DecLat,DecLong,1)</f>
        <v>20.192099494689653</v>
      </c>
      <c r="AB259" s="257">
        <f>altaz((J2000_Bas+(4*0.04167)),$O259,$M259,DecLat,DecLong,1)</f>
        <v>43.425834767440406</v>
      </c>
      <c r="AC259" s="257">
        <f>altaz((J2000_Bas+(6*0.04167)),$O259,$M259,DecLat,DecLong,1)</f>
        <v>57.261096255963544</v>
      </c>
      <c r="AD259" s="258">
        <f>1+ transit((J2000_Bas-1),$O259,$M259,DecLat,DecLong)/360 + (GMTOffset/24) + (IF(DST="Y", 1, 0)/24)</f>
        <v>1.0524369917130414</v>
      </c>
      <c r="AE259" s="259">
        <f>DATE(2001,9,21)+(M259/360)*365 - (360*((DecLong/360)- (GMTOffset/24) ))</f>
        <v>37181.73101851852</v>
      </c>
      <c r="AF259" s="260">
        <f>IF(DecLat&gt;0,IF((90 - (DecLat-O259))&gt;90, (90 - (O259-DecLat)), (90 - (DecLat-O259))),IF((90 + (DecLat-O259))&gt;90, (90 + (O259-DecLat)), (90 + (DecLat-O259))))</f>
        <v>57.633333333333333</v>
      </c>
      <c r="AG259" s="257">
        <f>angularseperation(MoonRA,MoonDec,$M259,$O259)</f>
        <v>125.93953976832786</v>
      </c>
      <c r="AH259" s="261">
        <f ca="1">MIN(100,IF($O$5&gt;80,0+30*($AG259/100),IF($O$5&gt;70,0+50*($AG259/100),IF($O$5&gt;60,5+50*($AG259/100),IF($O$5&gt;50,10+60*($AG259/100),IF($O$5&gt;40,15+70*($AG259/100),IF($O$5&gt;30,20+70*($AG259/100),IF($O$5&gt;20,40+55*($AG259/100),(80+(20-$O$5)+30*($AG259/100))))))))))</f>
        <v>100</v>
      </c>
      <c r="AI259" s="262">
        <v>541</v>
      </c>
      <c r="AJ259" s="262"/>
      <c r="AK259" s="262"/>
      <c r="AL259" s="263"/>
      <c r="AM259" s="264"/>
      <c r="AN259" s="263">
        <v>133</v>
      </c>
      <c r="AO259" s="263"/>
      <c r="AP259" s="265"/>
      <c r="AQ259" s="266">
        <v>1004</v>
      </c>
      <c r="AR259" s="267">
        <v>5305</v>
      </c>
      <c r="AS259" s="263"/>
      <c r="AT259" s="263"/>
      <c r="AU259" s="263"/>
      <c r="AV259" s="264"/>
      <c r="AW259" s="263"/>
      <c r="AX259" s="263"/>
      <c r="AY259" s="263"/>
      <c r="AZ259" s="263"/>
      <c r="BA259" s="263"/>
      <c r="BB259" s="263"/>
      <c r="BC259" s="263"/>
      <c r="BD259" s="264"/>
      <c r="BE259" s="263"/>
      <c r="BF259" s="263"/>
      <c r="BG259" s="263"/>
      <c r="BH259" s="263"/>
      <c r="BI259" s="263"/>
      <c r="BJ259" s="404">
        <f>altaz(J2000_Bas,$O259,$M259,DecLat,DecLong,2)</f>
        <v>88.371978568380555</v>
      </c>
      <c r="BK259" s="378" t="s">
        <v>352</v>
      </c>
      <c r="BL259" s="379">
        <f>IF((2*G259)/60&lt;0.2,0.2,(2*G259)/60)</f>
        <v>0.2</v>
      </c>
      <c r="BM259" s="380">
        <f>MOD((50000+AD259-$B$3+(0/24)),1)</f>
        <v>0.2678039214151795</v>
      </c>
      <c r="BN259" s="381"/>
      <c r="BO259" s="382">
        <v>259</v>
      </c>
    </row>
    <row r="260" spans="1:67" s="24" customFormat="1" ht="15" customHeight="1" x14ac:dyDescent="0.25">
      <c r="A260" s="288" t="s">
        <v>354</v>
      </c>
      <c r="B260" s="241" t="str">
        <f>HYPERLINK(CONCATENATE($AT$3,BK260,$AU$3),$AV$3)</f>
        <v>S</v>
      </c>
      <c r="C260" s="242" t="str">
        <f>HYPERLINK(CONCATENATE($AT$4,BK260,$AU$4,BL260),$AV$4)</f>
        <v>A</v>
      </c>
      <c r="D260" s="243" t="s">
        <v>5638</v>
      </c>
      <c r="E260" s="244" t="s">
        <v>5182</v>
      </c>
      <c r="F260" s="269" t="s">
        <v>8903</v>
      </c>
      <c r="G260" s="273">
        <v>7</v>
      </c>
      <c r="H260" s="283">
        <v>35</v>
      </c>
      <c r="I260" s="246">
        <v>70</v>
      </c>
      <c r="J260" s="246">
        <v>2</v>
      </c>
      <c r="K260" s="247" t="s">
        <v>4288</v>
      </c>
      <c r="L260" s="248">
        <v>24024</v>
      </c>
      <c r="M260" s="249">
        <f>15*(LEFT(TEXT($L260,"000000"),2)+(MID(TEXT($L260,"000000"),3,2)/60)+(RIGHT(TEXT($L260,"000000"),2)/3600))</f>
        <v>40.1</v>
      </c>
      <c r="N260" s="250">
        <v>390400</v>
      </c>
      <c r="O260" s="251">
        <f>IF($N260&gt;0,(LEFT(TEXT($N260,"000000"),2)+(MID(TEXT($N260,"000000"),3,2)/60)+(RIGHT(TEXT($N260,"000000"),2)/3600)),-(MID(TEXT($N260,"000000"),2,2)+(MID(TEXT($N260,"000000"),4,2)/60)+(RIGHT(TEXT($N260,"000000"),2)/3600)))</f>
        <v>39.06666666666667</v>
      </c>
      <c r="P260" s="252" t="s">
        <v>43</v>
      </c>
      <c r="Q260" s="253"/>
      <c r="R260" s="247" t="s">
        <v>3476</v>
      </c>
      <c r="S260" s="272" t="s">
        <v>3293</v>
      </c>
      <c r="T260" s="273">
        <v>9.4</v>
      </c>
      <c r="U260" s="289">
        <v>21.69</v>
      </c>
      <c r="V260" s="280">
        <v>75</v>
      </c>
      <c r="W260" s="244"/>
      <c r="X260" s="244"/>
      <c r="Y260" s="362"/>
      <c r="Z260" s="257">
        <f>altaz(J2000_Bas,$O260,$M260,DecLat,DecLong,1)</f>
        <v>3.0304611271563782</v>
      </c>
      <c r="AA260" s="257">
        <f>altaz((J2000_Bas+(2*0.04167)),$O260,$M260,DecLat,DecLong,1)</f>
        <v>23.204034439780816</v>
      </c>
      <c r="AB260" s="257">
        <f>altaz((J2000_Bas+(4*0.04167)),$O260,$M260,DecLat,DecLong,1)</f>
        <v>45.761629169316414</v>
      </c>
      <c r="AC260" s="257">
        <f>altaz((J2000_Bas+(6*0.04167)),$O260,$M260,DecLat,DecLong,1)</f>
        <v>68.95593744227827</v>
      </c>
      <c r="AD260" s="258">
        <f>1+ transit((J2000_Bas-1),$O260,$M260,DecLat,DecLong)/360 + (GMTOffset/24) + (IF(DST="Y", 1, 0)/24)</f>
        <v>1.104288838379708</v>
      </c>
      <c r="AE260" s="259">
        <f>DATE(2001,9,21)+(M260/360)*365 - (360*((DecLong/360)- (GMTOffset/24) ))</f>
        <v>37200.656944444447</v>
      </c>
      <c r="AF260" s="260">
        <f>IF(DecLat&gt;0,IF((90 - (DecLat-O260))&gt;90, (90 - (O260-DecLat)), (90 - (DecLat-O260))),IF((90 + (DecLat-O260))&gt;90, (90 + (O260-DecLat)), (90 + (DecLat-O260))))</f>
        <v>81.933333333333337</v>
      </c>
      <c r="AG260" s="257">
        <f>angularseperation(MoonRA,MoonDec,$M260,$O260)</f>
        <v>152.96223401964428</v>
      </c>
      <c r="AH260" s="261">
        <f ca="1">MIN(100,IF($O$5&gt;80,0+30*($AG260/100),IF($O$5&gt;70,0+50*($AG260/100),IF($O$5&gt;60,5+50*($AG260/100),IF($O$5&gt;50,10+60*($AG260/100),IF($O$5&gt;40,15+70*($AG260/100),IF($O$5&gt;30,20+70*($AG260/100),IF($O$5&gt;20,40+55*($AG260/100),(80+(20-$O$5)+30*($AG260/100))))))))))</f>
        <v>100</v>
      </c>
      <c r="AI260" s="262">
        <v>1023</v>
      </c>
      <c r="AJ260" s="262"/>
      <c r="AK260" s="262">
        <v>40</v>
      </c>
      <c r="AL260" s="263"/>
      <c r="AM260" s="264"/>
      <c r="AN260" s="263">
        <v>135</v>
      </c>
      <c r="AO260" s="263"/>
      <c r="AP260" s="265"/>
      <c r="AQ260" s="266">
        <v>2154</v>
      </c>
      <c r="AR260" s="267">
        <v>10123</v>
      </c>
      <c r="AS260" s="263"/>
      <c r="AT260" s="263"/>
      <c r="AU260" s="263"/>
      <c r="AV260" s="264"/>
      <c r="AW260" s="263"/>
      <c r="AX260" s="263"/>
      <c r="AY260" s="263"/>
      <c r="AZ260" s="263"/>
      <c r="BA260" s="263"/>
      <c r="BB260" s="263"/>
      <c r="BC260" s="263"/>
      <c r="BD260" s="264"/>
      <c r="BE260" s="263">
        <v>10</v>
      </c>
      <c r="BF260" s="263"/>
      <c r="BG260" s="263"/>
      <c r="BH260" s="263"/>
      <c r="BI260" s="263"/>
      <c r="BJ260" s="404">
        <f>altaz(J2000_Bas,$O260,$M260,DecLat,DecLong,2)</f>
        <v>45.214054150500253</v>
      </c>
      <c r="BK260" s="378" t="s">
        <v>354</v>
      </c>
      <c r="BL260" s="379">
        <f>IF((2*G260)/60&lt;0.2,0.2,(2*G260)/60)</f>
        <v>0.23333333333333334</v>
      </c>
      <c r="BM260" s="380">
        <f>MOD((50000+AD260-$B$3+(0/24)),1)</f>
        <v>0.31965576808579499</v>
      </c>
      <c r="BN260" s="381"/>
      <c r="BO260" s="382">
        <v>260</v>
      </c>
    </row>
    <row r="261" spans="1:67" s="24" customFormat="1" ht="15" customHeight="1" x14ac:dyDescent="0.25">
      <c r="A261" s="288" t="s">
        <v>355</v>
      </c>
      <c r="B261" s="241" t="str">
        <f>HYPERLINK(CONCATENATE($AT$3,BK261,$AU$3),$AV$3)</f>
        <v>S</v>
      </c>
      <c r="C261" s="242" t="str">
        <f>HYPERLINK(CONCATENATE($AT$4,BK261,$AU$4,BL261),$AV$4)</f>
        <v>A</v>
      </c>
      <c r="D261" s="243" t="s">
        <v>5638</v>
      </c>
      <c r="E261" s="244" t="s">
        <v>5182</v>
      </c>
      <c r="F261" s="269" t="s">
        <v>8903</v>
      </c>
      <c r="G261" s="273">
        <v>2</v>
      </c>
      <c r="H261" s="283">
        <v>170</v>
      </c>
      <c r="I261" s="246">
        <v>100</v>
      </c>
      <c r="J261" s="246">
        <v>1</v>
      </c>
      <c r="K261" s="247" t="s">
        <v>4215</v>
      </c>
      <c r="L261" s="248">
        <v>145839</v>
      </c>
      <c r="M261" s="249">
        <f>15*(LEFT(TEXT($L261,"000000"),2)+(MID(TEXT($L261,"000000"),3,2)/60)+(RIGHT(TEXT($L261,"000000"),2)/3600))</f>
        <v>224.66250000000002</v>
      </c>
      <c r="N261" s="250">
        <v>535300</v>
      </c>
      <c r="O261" s="251">
        <f>IF($N261&gt;0,(LEFT(TEXT($N261,"000000"),2)+(MID(TEXT($N261,"000000"),3,2)/60)+(RIGHT(TEXT($N261,"000000"),2)/3600)),-(MID(TEXT($N261,"000000"),2,2)+(MID(TEXT($N261,"000000"),4,2)/60)+(RIGHT(TEXT($N261,"000000"),2)/3600)))</f>
        <v>53.883333333333333</v>
      </c>
      <c r="P261" s="252" t="s">
        <v>260</v>
      </c>
      <c r="Q261" s="253"/>
      <c r="R261" s="247" t="s">
        <v>3628</v>
      </c>
      <c r="S261" s="272" t="s">
        <v>3293</v>
      </c>
      <c r="T261" s="273">
        <v>13</v>
      </c>
      <c r="U261" s="289">
        <v>21.89</v>
      </c>
      <c r="V261" s="280">
        <v>80</v>
      </c>
      <c r="W261" s="244"/>
      <c r="X261" s="244"/>
      <c r="Y261" s="362"/>
      <c r="Z261" s="257">
        <f>altaz(J2000_Bas,$O261,$M261,DecLat,DecLong,1)</f>
        <v>41.176102085155129</v>
      </c>
      <c r="AA261" s="257">
        <f>altaz((J2000_Bas+(2*0.04167)),$O261,$M261,DecLat,DecLong,1)</f>
        <v>23.796890171520271</v>
      </c>
      <c r="AB261" s="257">
        <f>altaz((J2000_Bas+(4*0.04167)),$O261,$M261,DecLat,DecLong,1)</f>
        <v>8.742855112831446</v>
      </c>
      <c r="AC261" s="257">
        <f>altaz((J2000_Bas+(6*0.04167)),$O261,$M261,DecLat,DecLong,1)</f>
        <v>-1.6246297527312479</v>
      </c>
      <c r="AD261" s="258">
        <f>1+ transit((J2000_Bas-1),$O261,$M261,DecLat,DecLong)/360 + (GMTOffset/24) + (IF(DST="Y", 1, 0)/24)</f>
        <v>1.616962398223458</v>
      </c>
      <c r="AE261" s="259">
        <f>DATE(2001,9,21)+(M261/360)*365 - (360*((DecLong/360)- (GMTOffset/24) ))</f>
        <v>37387.782812500001</v>
      </c>
      <c r="AF261" s="260">
        <f>IF(DecLat&gt;0,IF((90 - (DecLat-O261))&gt;90, (90 - (O261-DecLat)), (90 - (DecLat-O261))),IF((90 + (DecLat-O261))&gt;90, (90 + (O261-DecLat)), (90 + (DecLat-O261))))</f>
        <v>67.116666666666674</v>
      </c>
      <c r="AG261" s="257">
        <f>angularseperation(MoonRA,MoonDec,$M261,$O261)</f>
        <v>83.716844508968137</v>
      </c>
      <c r="AH261" s="261">
        <f ca="1">MIN(100,IF($O$5&gt;80,0+30*($AG261/100),IF($O$5&gt;70,0+50*($AG261/100),IF($O$5&gt;60,5+50*($AG261/100),IF($O$5&gt;50,10+60*($AG261/100),IF($O$5&gt;40,15+70*($AG261/100),IF($O$5&gt;30,20+70*($AG261/100),IF($O$5&gt;20,40+55*($AG261/100),(80+(20-$O$5)+30*($AG261/100))))))))))</f>
        <v>100</v>
      </c>
      <c r="AI261" s="262">
        <v>5820</v>
      </c>
      <c r="AJ261" s="262"/>
      <c r="AK261" s="262"/>
      <c r="AL261" s="263"/>
      <c r="AM261" s="264"/>
      <c r="AN261" s="263">
        <v>136</v>
      </c>
      <c r="AO261" s="263"/>
      <c r="AP261" s="265"/>
      <c r="AQ261" s="266">
        <v>9642</v>
      </c>
      <c r="AR261" s="267">
        <v>53511</v>
      </c>
      <c r="AS261" s="263"/>
      <c r="AT261" s="263"/>
      <c r="AU261" s="263"/>
      <c r="AV261" s="264"/>
      <c r="AW261" s="263"/>
      <c r="AX261" s="263"/>
      <c r="AY261" s="263"/>
      <c r="AZ261" s="263"/>
      <c r="BA261" s="263"/>
      <c r="BB261" s="263"/>
      <c r="BC261" s="263"/>
      <c r="BD261" s="264"/>
      <c r="BE261" s="263"/>
      <c r="BF261" s="263"/>
      <c r="BG261" s="263"/>
      <c r="BH261" s="263"/>
      <c r="BI261" s="263"/>
      <c r="BJ261" s="404">
        <f>altaz(J2000_Bas,$O261,$M261,DecLat,DecLong,2)</f>
        <v>316.59455555977075</v>
      </c>
      <c r="BK261" s="378" t="s">
        <v>355</v>
      </c>
      <c r="BL261" s="379">
        <f>IF((2*G261)/60&lt;0.2,0.2,(2*G261)/60)</f>
        <v>0.2</v>
      </c>
      <c r="BM261" s="380">
        <f>MOD((50000+AD261-$B$3+(0/24)),1)</f>
        <v>0.8323293279245263</v>
      </c>
      <c r="BN261" s="381"/>
      <c r="BO261" s="382">
        <v>261</v>
      </c>
    </row>
    <row r="262" spans="1:67" s="24" customFormat="1" ht="15" customHeight="1" x14ac:dyDescent="0.25">
      <c r="A262" s="288" t="s">
        <v>356</v>
      </c>
      <c r="B262" s="241" t="str">
        <f>HYPERLINK(CONCATENATE($AT$3,BK262,$AU$3),$AV$3)</f>
        <v>S</v>
      </c>
      <c r="C262" s="242" t="str">
        <f>HYPERLINK(CONCATENATE($AT$4,BK262,$AU$4,BL262),$AV$4)</f>
        <v>A</v>
      </c>
      <c r="D262" s="243" t="s">
        <v>5638</v>
      </c>
      <c r="E262" s="244" t="s">
        <v>5182</v>
      </c>
      <c r="F262" s="269" t="s">
        <v>8904</v>
      </c>
      <c r="G262" s="273">
        <v>1</v>
      </c>
      <c r="H262" s="283">
        <v>155</v>
      </c>
      <c r="I262" s="246">
        <v>45</v>
      </c>
      <c r="J262" s="246">
        <v>2</v>
      </c>
      <c r="K262" s="247" t="s">
        <v>4216</v>
      </c>
      <c r="L262" s="248">
        <v>93402</v>
      </c>
      <c r="M262" s="249">
        <f>15*(LEFT(TEXT($L262,"000000"),2)+(MID(TEXT($L262,"000000"),3,2)/60)+(RIGHT(TEXT($L262,"000000"),2)/3600))</f>
        <v>143.50833333333333</v>
      </c>
      <c r="N262" s="250">
        <v>100600</v>
      </c>
      <c r="O262" s="251">
        <f>IF($N262&gt;0,(LEFT(TEXT($N262,"000000"),2)+(MID(TEXT($N262,"000000"),3,2)/60)+(RIGHT(TEXT($N262,"000000"),2)/3600)),-(MID(TEXT($N262,"000000"),2,2)+(MID(TEXT($N262,"000000"),4,2)/60)+(RIGHT(TEXT($N262,"000000"),2)/3600)))</f>
        <v>10.1</v>
      </c>
      <c r="P262" s="252" t="s">
        <v>183</v>
      </c>
      <c r="Q262" s="253"/>
      <c r="R262" s="247" t="s">
        <v>3531</v>
      </c>
      <c r="S262" s="272" t="s">
        <v>448</v>
      </c>
      <c r="T262" s="273">
        <v>13.2</v>
      </c>
      <c r="U262" s="289">
        <v>21.490000000000002</v>
      </c>
      <c r="V262" s="280">
        <v>60</v>
      </c>
      <c r="W262" s="244"/>
      <c r="X262" s="244"/>
      <c r="Y262" s="362"/>
      <c r="Z262" s="257">
        <f>altaz(J2000_Bas,$O262,$M262,DecLat,DecLong,1)</f>
        <v>-35.389123714753872</v>
      </c>
      <c r="AA262" s="257">
        <f>altaz((J2000_Bas+(2*0.04167)),$O262,$M262,DecLat,DecLong,1)</f>
        <v>-48.28763643665841</v>
      </c>
      <c r="AB262" s="257">
        <f>altaz((J2000_Bas+(4*0.04167)),$O262,$M262,DecLat,DecLong,1)</f>
        <v>-43.503786039381424</v>
      </c>
      <c r="AC262" s="257">
        <f>altaz((J2000_Bas+(6*0.04167)),$O262,$M262,DecLat,DecLong,1)</f>
        <v>-24.866263124022144</v>
      </c>
      <c r="AD262" s="258">
        <f>1+ transit((J2000_Bas-1),$O262,$M262,DecLat,DecLong)/360 + (GMTOffset/24) + (IF(DST="Y", 1, 0)/24)</f>
        <v>1.3915341800255414</v>
      </c>
      <c r="AE262" s="259">
        <f>DATE(2001,9,21)+(M262/360)*365 - (360*((DecLong/360)- (GMTOffset/24) ))</f>
        <v>37305.501504629632</v>
      </c>
      <c r="AF262" s="260">
        <f>IF(DecLat&gt;0,IF((90 - (DecLat-O262))&gt;90, (90 - (O262-DecLat)), (90 - (DecLat-O262))),IF((90 + (DecLat-O262))&gt;90, (90 + (O262-DecLat)), (90 + (DecLat-O262))))</f>
        <v>69.099999999999994</v>
      </c>
      <c r="AG262" s="257">
        <f>angularseperation(MoonRA,MoonDec,$M262,$O262)</f>
        <v>108.51368680510558</v>
      </c>
      <c r="AH262" s="261">
        <f ca="1">MIN(100,IF($O$5&gt;80,0+30*($AG262/100),IF($O$5&gt;70,0+50*($AG262/100),IF($O$5&gt;60,5+50*($AG262/100),IF($O$5&gt;50,10+60*($AG262/100),IF($O$5&gt;40,15+70*($AG262/100),IF($O$5&gt;30,20+70*($AG262/100),IF($O$5&gt;20,40+55*($AG262/100),(80+(20-$O$5)+30*($AG262/100))))))))))</f>
        <v>100</v>
      </c>
      <c r="AI262" s="262">
        <v>2914</v>
      </c>
      <c r="AJ262" s="262"/>
      <c r="AK262" s="262"/>
      <c r="AL262" s="263"/>
      <c r="AM262" s="264"/>
      <c r="AN262" s="263">
        <v>137</v>
      </c>
      <c r="AO262" s="263"/>
      <c r="AP262" s="265"/>
      <c r="AQ262" s="266">
        <v>5096</v>
      </c>
      <c r="AR262" s="267">
        <v>27185</v>
      </c>
      <c r="AS262" s="263"/>
      <c r="AT262" s="263"/>
      <c r="AU262" s="263"/>
      <c r="AV262" s="264"/>
      <c r="AW262" s="263"/>
      <c r="AX262" s="263"/>
      <c r="AY262" s="263"/>
      <c r="AZ262" s="263"/>
      <c r="BA262" s="263"/>
      <c r="BB262" s="263"/>
      <c r="BC262" s="263"/>
      <c r="BD262" s="264"/>
      <c r="BE262" s="263"/>
      <c r="BF262" s="263"/>
      <c r="BG262" s="263"/>
      <c r="BH262" s="263"/>
      <c r="BI262" s="263"/>
      <c r="BJ262" s="404">
        <f>altaz(J2000_Bas,$O262,$M262,DecLat,DecLong,2)</f>
        <v>312.67146858270803</v>
      </c>
      <c r="BK262" s="378" t="s">
        <v>356</v>
      </c>
      <c r="BL262" s="379">
        <f>IF((2*G262)/60&lt;0.2,0.2,(2*G262)/60)</f>
        <v>0.2</v>
      </c>
      <c r="BM262" s="380">
        <f>MOD((50000+AD262-$B$3+(0/24)),1)</f>
        <v>0.60690110972791445</v>
      </c>
      <c r="BN262" s="381"/>
      <c r="BO262" s="382">
        <v>262</v>
      </c>
    </row>
    <row r="263" spans="1:67" s="24" customFormat="1" ht="15" customHeight="1" x14ac:dyDescent="0.25">
      <c r="A263" s="288" t="s">
        <v>357</v>
      </c>
      <c r="B263" s="241" t="str">
        <f>HYPERLINK(CONCATENATE($AT$3,BK263,$AU$3),$AV$3)</f>
        <v>S</v>
      </c>
      <c r="C263" s="242" t="str">
        <f>HYPERLINK(CONCATENATE($AT$4,BK263,$AU$4,BL263),$AV$4)</f>
        <v>A</v>
      </c>
      <c r="D263" s="243" t="s">
        <v>5638</v>
      </c>
      <c r="E263" s="244" t="s">
        <v>5178</v>
      </c>
      <c r="F263" s="269"/>
      <c r="G263" s="273">
        <v>1.1000000000000001</v>
      </c>
      <c r="H263" s="283">
        <v>210</v>
      </c>
      <c r="I263" s="246">
        <v>70</v>
      </c>
      <c r="J263" s="246">
        <v>1</v>
      </c>
      <c r="K263" s="247" t="s">
        <v>4217</v>
      </c>
      <c r="L263" s="248">
        <v>115842</v>
      </c>
      <c r="M263" s="249">
        <f>15*(LEFT(TEXT($L263,"000000"),2)+(MID(TEXT($L263,"000000"),3,2)/60)+(RIGHT(TEXT($L263,"000000"),2)/3600))</f>
        <v>179.67500000000001</v>
      </c>
      <c r="N263" s="250">
        <v>250200</v>
      </c>
      <c r="O263" s="251">
        <f>IF($N263&gt;0,(LEFT(TEXT($N263,"000000"),2)+(MID(TEXT($N263,"000000"),3,2)/60)+(RIGHT(TEXT($N263,"000000"),2)/3600)),-(MID(TEXT($N263,"000000"),2,2)+(MID(TEXT($N263,"000000"),4,2)/60)+(RIGHT(TEXT($N263,"000000"),2)/3600)))</f>
        <v>25.033333333333335</v>
      </c>
      <c r="P263" s="252" t="s">
        <v>190</v>
      </c>
      <c r="Q263" s="253"/>
      <c r="R263" s="247" t="s">
        <v>3571</v>
      </c>
      <c r="S263" s="272" t="s">
        <v>3293</v>
      </c>
      <c r="T263" s="273">
        <v>14</v>
      </c>
      <c r="U263" s="289">
        <v>22.79</v>
      </c>
      <c r="V263" s="280"/>
      <c r="W263" s="244"/>
      <c r="X263" s="244"/>
      <c r="Y263" s="362"/>
      <c r="Z263" s="257">
        <f>altaz(J2000_Bas,$O263,$M263,DecLat,DecLong,1)</f>
        <v>-2.3044724314749718E-2</v>
      </c>
      <c r="AA263" s="257">
        <f>altaz((J2000_Bas+(2*0.04167)),$O263,$M263,DecLat,DecLong,1)</f>
        <v>-20.157580951334253</v>
      </c>
      <c r="AB263" s="257">
        <f>altaz((J2000_Bas+(4*0.04167)),$O263,$M263,DecLat,DecLong,1)</f>
        <v>-32.496038370826241</v>
      </c>
      <c r="AC263" s="257">
        <f>altaz((J2000_Bas+(6*0.04167)),$O263,$M263,DecLat,DecLong,1)</f>
        <v>-31.763509118275547</v>
      </c>
      <c r="AD263" s="258">
        <f>1+ transit((J2000_Bas-1),$O263,$M263,DecLat,DecLong)/360 + (GMTOffset/24) + (IF(DST="Y", 1, 0)/24)</f>
        <v>1.4919971329422081</v>
      </c>
      <c r="AE263" s="259">
        <f>DATE(2001,9,21)+(M263/360)*365 - (360*((DecLong/360)- (GMTOffset/24) ))</f>
        <v>37342.170486111114</v>
      </c>
      <c r="AF263" s="260">
        <f>IF(DecLat&gt;0,IF((90 - (DecLat-O263))&gt;90, (90 - (O263-DecLat)), (90 - (DecLat-O263))),IF((90 + (DecLat-O263))&gt;90, (90 + (O263-DecLat)), (90 + (DecLat-O263))))</f>
        <v>84.033333333333331</v>
      </c>
      <c r="AG263" s="257">
        <f>angularseperation(MoonRA,MoonDec,$M263,$O263)</f>
        <v>84.895454662345273</v>
      </c>
      <c r="AH263" s="261">
        <f ca="1">MIN(100,IF($O$5&gt;80,0+30*($AG263/100),IF($O$5&gt;70,0+50*($AG263/100),IF($O$5&gt;60,5+50*($AG263/100),IF($O$5&gt;50,10+60*($AG263/100),IF($O$5&gt;40,15+70*($AG263/100),IF($O$5&gt;30,20+70*($AG263/100),IF($O$5&gt;20,40+55*($AG263/100),(80+(20-$O$5)+30*($AG263/100))))))))))</f>
        <v>100</v>
      </c>
      <c r="AI263" s="262">
        <v>4015</v>
      </c>
      <c r="AJ263" s="262"/>
      <c r="AK263" s="262"/>
      <c r="AL263" s="263"/>
      <c r="AM263" s="264"/>
      <c r="AN263" s="263">
        <v>138</v>
      </c>
      <c r="AO263" s="263"/>
      <c r="AP263" s="265"/>
      <c r="AQ263" s="266">
        <v>6965</v>
      </c>
      <c r="AR263" s="267">
        <v>37702</v>
      </c>
      <c r="AS263" s="263"/>
      <c r="AT263" s="263"/>
      <c r="AU263" s="263"/>
      <c r="AV263" s="264"/>
      <c r="AW263" s="263"/>
      <c r="AX263" s="263"/>
      <c r="AY263" s="263"/>
      <c r="AZ263" s="263"/>
      <c r="BA263" s="263"/>
      <c r="BB263" s="263"/>
      <c r="BC263" s="263"/>
      <c r="BD263" s="264"/>
      <c r="BE263" s="263"/>
      <c r="BF263" s="263"/>
      <c r="BG263" s="263"/>
      <c r="BH263" s="263"/>
      <c r="BI263" s="263"/>
      <c r="BJ263" s="404">
        <f>altaz(J2000_Bas,$O263,$M263,DecLat,DecLong,2)</f>
        <v>299.59706553794251</v>
      </c>
      <c r="BK263" s="378" t="s">
        <v>357</v>
      </c>
      <c r="BL263" s="379">
        <f>IF((2*G263)/60&lt;0.2,0.2,(2*G263)/60)</f>
        <v>0.2</v>
      </c>
      <c r="BM263" s="380">
        <f>MOD((50000+AD263-$B$3+(0/24)),1)</f>
        <v>0.70736406264768448</v>
      </c>
      <c r="BN263" s="381"/>
      <c r="BO263" s="382">
        <v>263</v>
      </c>
    </row>
    <row r="264" spans="1:67" s="24" customFormat="1" ht="15" customHeight="1" x14ac:dyDescent="0.25">
      <c r="A264" s="288" t="s">
        <v>358</v>
      </c>
      <c r="B264" s="241" t="str">
        <f>HYPERLINK(CONCATENATE($AT$3,BK264,$AU$3),$AV$3)</f>
        <v>S</v>
      </c>
      <c r="C264" s="242" t="str">
        <f>HYPERLINK(CONCATENATE($AT$4,BK264,$AU$4,BL264),$AV$4)</f>
        <v>A</v>
      </c>
      <c r="D264" s="243" t="s">
        <v>5638</v>
      </c>
      <c r="E264" s="244" t="s">
        <v>5178</v>
      </c>
      <c r="F264" s="269"/>
      <c r="G264" s="270">
        <v>0.9</v>
      </c>
      <c r="H264" s="283">
        <v>500</v>
      </c>
      <c r="I264" s="246">
        <v>130</v>
      </c>
      <c r="J264" s="246">
        <v>1</v>
      </c>
      <c r="K264" s="247" t="s">
        <v>4218</v>
      </c>
      <c r="L264" s="248">
        <v>130727</v>
      </c>
      <c r="M264" s="249">
        <f>15*(LEFT(TEXT($L264,"000000"),2)+(MID(TEXT($L264,"000000"),3,2)/60)+(RIGHT(TEXT($L264,"000000"),2)/3600))</f>
        <v>196.86250000000001</v>
      </c>
      <c r="N264" s="250">
        <v>264300</v>
      </c>
      <c r="O264" s="251">
        <f>IF($N264&gt;0,(LEFT(TEXT($N264,"000000"),2)+(MID(TEXT($N264,"000000"),3,2)/60)+(RIGHT(TEXT($N264,"000000"),2)/3600)),-(MID(TEXT($N264,"000000"),2,2)+(MID(TEXT($N264,"000000"),4,2)/60)+(RIGHT(TEXT($N264,"000000"),2)/3600)))</f>
        <v>26.716666666666665</v>
      </c>
      <c r="P264" s="252" t="s">
        <v>190</v>
      </c>
      <c r="Q264" s="253"/>
      <c r="R264" s="247" t="s">
        <v>3293</v>
      </c>
      <c r="S264" s="272" t="s">
        <v>3293</v>
      </c>
      <c r="T264" s="273">
        <v>15.8</v>
      </c>
      <c r="U264" s="274"/>
      <c r="V264" s="280"/>
      <c r="W264" s="244"/>
      <c r="X264" s="244"/>
      <c r="Y264" s="362"/>
      <c r="Z264" s="257">
        <f>altaz(J2000_Bas,$O264,$M264,DecLat,DecLong,1)</f>
        <v>14.066061449925945</v>
      </c>
      <c r="AA264" s="257">
        <f>altaz((J2000_Bas+(2*0.04167)),$O264,$M264,DecLat,DecLong,1)</f>
        <v>-8.1792534614244996</v>
      </c>
      <c r="AB264" s="257">
        <f>altaz((J2000_Bas+(4*0.04167)),$O264,$M264,DecLat,DecLong,1)</f>
        <v>-25.268722469225839</v>
      </c>
      <c r="AC264" s="257">
        <f>altaz((J2000_Bas+(6*0.04167)),$O264,$M264,DecLat,DecLong,1)</f>
        <v>-32.280428704512808</v>
      </c>
      <c r="AD264" s="258">
        <f>1+ transit((J2000_Bas-1),$O264,$M264,DecLat,DecLong)/360 + (GMTOffset/24) + (IF(DST="Y", 1, 0)/24)</f>
        <v>1.5397401837234581</v>
      </c>
      <c r="AE264" s="259">
        <f>DATE(2001,9,21)+(M264/360)*365 - (360*((DecLong/360)- (GMTOffset/24) ))</f>
        <v>37359.596701388888</v>
      </c>
      <c r="AF264" s="260">
        <f>IF(DecLat&gt;0,IF((90 - (DecLat-O264))&gt;90, (90 - (O264-DecLat)), (90 - (DecLat-O264))),IF((90 + (DecLat-O264))&gt;90, (90 + (O264-DecLat)), (90 + (DecLat-O264))))</f>
        <v>85.716666666666669</v>
      </c>
      <c r="AG264" s="257">
        <f>angularseperation(MoonRA,MoonDec,$M264,$O264)</f>
        <v>73.693548406715905</v>
      </c>
      <c r="AH264" s="261">
        <f ca="1">MIN(100,IF($O$5&gt;80,0+30*($AG264/100),IF($O$5&gt;70,0+50*($AG264/100),IF($O$5&gt;60,5+50*($AG264/100),IF($O$5&gt;50,10+60*($AG264/100),IF($O$5&gt;40,15+70*($AG264/100),IF($O$5&gt;30,20+70*($AG264/100),IF($O$5&gt;20,40+55*($AG264/100),(80+(20-$O$5)+30*($AG264/100))))))))))</f>
        <v>100</v>
      </c>
      <c r="AI264" s="262"/>
      <c r="AJ264" s="262"/>
      <c r="AK264" s="262"/>
      <c r="AL264" s="263"/>
      <c r="AM264" s="264"/>
      <c r="AN264" s="263">
        <v>139</v>
      </c>
      <c r="AO264" s="263"/>
      <c r="AP264" s="265"/>
      <c r="AQ264" s="266"/>
      <c r="AR264" s="267">
        <v>45463</v>
      </c>
      <c r="AS264" s="263"/>
      <c r="AT264" s="263"/>
      <c r="AU264" s="263"/>
      <c r="AV264" s="264"/>
      <c r="AW264" s="263"/>
      <c r="AX264" s="263"/>
      <c r="AY264" s="263"/>
      <c r="AZ264" s="263"/>
      <c r="BA264" s="263"/>
      <c r="BB264" s="263"/>
      <c r="BC264" s="263"/>
      <c r="BD264" s="264"/>
      <c r="BE264" s="263"/>
      <c r="BF264" s="263"/>
      <c r="BG264" s="263"/>
      <c r="BH264" s="263"/>
      <c r="BI264" s="263"/>
      <c r="BJ264" s="404">
        <f>altaz(J2000_Bas,$O264,$M264,DecLat,DecLong,2)</f>
        <v>292.9643753168192</v>
      </c>
      <c r="BK264" s="378" t="s">
        <v>358</v>
      </c>
      <c r="BL264" s="379">
        <f>IF((2*G264)/60&lt;0.2,0.2,(2*G264)/60)</f>
        <v>0.2</v>
      </c>
      <c r="BM264" s="380">
        <f>MOD((50000+AD264-$B$3+(0/24)),1)</f>
        <v>0.7551071134294034</v>
      </c>
      <c r="BN264" s="381"/>
      <c r="BO264" s="382">
        <v>264</v>
      </c>
    </row>
    <row r="265" spans="1:67" s="24" customFormat="1" ht="15" customHeight="1" x14ac:dyDescent="0.25">
      <c r="A265" s="288" t="s">
        <v>359</v>
      </c>
      <c r="B265" s="241" t="str">
        <f>HYPERLINK(CONCATENATE($AT$3,BK265,$AU$3),$AV$3)</f>
        <v>S</v>
      </c>
      <c r="C265" s="242" t="str">
        <f>HYPERLINK(CONCATENATE($AT$4,BK265,$AU$4,BL265),$AV$4)</f>
        <v>A</v>
      </c>
      <c r="D265" s="243" t="s">
        <v>5638</v>
      </c>
      <c r="E265" s="244" t="s">
        <v>5337</v>
      </c>
      <c r="F265" s="269" t="s">
        <v>3310</v>
      </c>
      <c r="G265" s="273">
        <v>2</v>
      </c>
      <c r="H265" s="283">
        <v>70</v>
      </c>
      <c r="I265" s="246">
        <v>40</v>
      </c>
      <c r="J265" s="246">
        <v>2</v>
      </c>
      <c r="K265" s="247" t="s">
        <v>4219</v>
      </c>
      <c r="L265" s="248">
        <v>5104</v>
      </c>
      <c r="M265" s="249">
        <f>15*(LEFT(TEXT($L265,"000000"),2)+(MID(TEXT($L265,"000000"),3,2)/60)+(RIGHT(TEXT($L265,"000000"),2)/3600))</f>
        <v>12.766666666666666</v>
      </c>
      <c r="N265" s="250">
        <v>-70300</v>
      </c>
      <c r="O265" s="251">
        <f>IF($N265&gt;0,(LEFT(TEXT($N265,"000000"),2)+(MID(TEXT($N265,"000000"),3,2)/60)+(RIGHT(TEXT($N265,"000000"),2)/3600)),-(MID(TEXT($N265,"000000"),2,2)+(MID(TEXT($N265,"000000"),4,2)/60)+(RIGHT(TEXT($N265,"000000"),2)/3600)))</f>
        <v>-7.05</v>
      </c>
      <c r="P265" s="252" t="s">
        <v>75</v>
      </c>
      <c r="Q265" s="253"/>
      <c r="R265" s="247" t="s">
        <v>3458</v>
      </c>
      <c r="S265" s="272" t="s">
        <v>3293</v>
      </c>
      <c r="T265" s="273">
        <v>12.5</v>
      </c>
      <c r="U265" s="289">
        <v>21.89</v>
      </c>
      <c r="V265" s="280"/>
      <c r="W265" s="244"/>
      <c r="X265" s="244"/>
      <c r="Y265" s="362"/>
      <c r="Z265" s="257">
        <f>altaz(J2000_Bas,$O265,$M265,DecLat,DecLong,1)</f>
        <v>-0.87057154321661601</v>
      </c>
      <c r="AA265" s="257">
        <f>altaz((J2000_Bas+(2*0.04167)),$O265,$M265,DecLat,DecLong,1)</f>
        <v>23.833948316906444</v>
      </c>
      <c r="AB265" s="257">
        <f>altaz((J2000_Bas+(4*0.04167)),$O265,$M265,DecLat,DecLong,1)</f>
        <v>44.22398630375698</v>
      </c>
      <c r="AC265" s="257">
        <f>altaz((J2000_Bas+(6*0.04167)),$O265,$M265,DecLat,DecLong,1)</f>
        <v>51.803614660468774</v>
      </c>
      <c r="AD265" s="258">
        <f>1+ transit((J2000_Bas-1),$O265,$M265,DecLat,DecLong)/360 + (GMTOffset/24) + (IF(DST="Y", 1, 0)/24)</f>
        <v>1.0283629200463746</v>
      </c>
      <c r="AE265" s="259">
        <f>DATE(2001,9,21)+(M265/360)*365 - (360*((DecLong/360)- (GMTOffset/24) ))</f>
        <v>37172.943981481483</v>
      </c>
      <c r="AF265" s="260">
        <f>IF(DecLat&gt;0,IF((90 - (DecLat-O265))&gt;90, (90 - (O265-DecLat)), (90 - (DecLat-O265))),IF((90 + (DecLat-O265))&gt;90, (90 + (O265-DecLat)), (90 + (DecLat-O265))))</f>
        <v>51.95</v>
      </c>
      <c r="AG265" s="257">
        <f>angularseperation(MoonRA,MoonDec,$M265,$O265)</f>
        <v>115.60299737987981</v>
      </c>
      <c r="AH265" s="261">
        <f ca="1">MIN(100,IF($O$5&gt;80,0+30*($AG265/100),IF($O$5&gt;70,0+50*($AG265/100),IF($O$5&gt;60,5+50*($AG265/100),IF($O$5&gt;50,10+60*($AG265/100),IF($O$5&gt;40,15+70*($AG265/100),IF($O$5&gt;30,20+70*($AG265/100),IF($O$5&gt;20,40+55*($AG265/100),(80+(20-$O$5)+30*($AG265/100))))))))))</f>
        <v>100</v>
      </c>
      <c r="AI265" s="262">
        <v>275</v>
      </c>
      <c r="AJ265" s="262"/>
      <c r="AK265" s="262"/>
      <c r="AL265" s="263"/>
      <c r="AM265" s="264"/>
      <c r="AN265" s="263">
        <v>140</v>
      </c>
      <c r="AO265" s="263"/>
      <c r="AP265" s="265"/>
      <c r="AQ265" s="266"/>
      <c r="AR265" s="267">
        <v>2984</v>
      </c>
      <c r="AS265" s="263"/>
      <c r="AT265" s="263"/>
      <c r="AU265" s="263"/>
      <c r="AV265" s="264"/>
      <c r="AW265" s="263"/>
      <c r="AX265" s="263"/>
      <c r="AY265" s="263"/>
      <c r="AZ265" s="263"/>
      <c r="BA265" s="263"/>
      <c r="BB265" s="263"/>
      <c r="BC265" s="263"/>
      <c r="BD265" s="264"/>
      <c r="BE265" s="263"/>
      <c r="BF265" s="263"/>
      <c r="BG265" s="263"/>
      <c r="BH265" s="263"/>
      <c r="BI265" s="263"/>
      <c r="BJ265" s="404">
        <f>altaz(J2000_Bas,$O265,$M265,DecLat,DecLong,2)</f>
        <v>97.705044266864206</v>
      </c>
      <c r="BK265" s="378" t="s">
        <v>359</v>
      </c>
      <c r="BL265" s="379">
        <f>IF((2*G265)/60&lt;0.2,0.2,(2*G265)/60)</f>
        <v>0.2</v>
      </c>
      <c r="BM265" s="380">
        <f>MOD((50000+AD265-$B$3+(0/24)),1)</f>
        <v>0.2437298497534357</v>
      </c>
      <c r="BN265" s="381"/>
      <c r="BO265" s="382">
        <v>265</v>
      </c>
    </row>
    <row r="266" spans="1:67" s="24" customFormat="1" ht="15" customHeight="1" x14ac:dyDescent="0.25">
      <c r="A266" s="288" t="s">
        <v>360</v>
      </c>
      <c r="B266" s="241" t="str">
        <f>HYPERLINK(CONCATENATE($AT$3,BK266,$AU$3),$AV$3)</f>
        <v>S</v>
      </c>
      <c r="C266" s="242" t="str">
        <f>HYPERLINK(CONCATENATE($AT$4,BK266,$AU$4,BL266),$AV$4)</f>
        <v>A</v>
      </c>
      <c r="D266" s="243" t="s">
        <v>5638</v>
      </c>
      <c r="E266" s="244" t="s">
        <v>5337</v>
      </c>
      <c r="F266" s="269" t="s">
        <v>3301</v>
      </c>
      <c r="G266" s="273">
        <v>3</v>
      </c>
      <c r="H266" s="283">
        <v>130</v>
      </c>
      <c r="I266" s="246">
        <v>120</v>
      </c>
      <c r="J266" s="246">
        <v>2</v>
      </c>
      <c r="K266" s="247" t="s">
        <v>4220</v>
      </c>
      <c r="L266" s="248">
        <v>71426</v>
      </c>
      <c r="M266" s="249">
        <f>15*(LEFT(TEXT($L266,"000000"),2)+(MID(TEXT($L266,"000000"),3,2)/60)+(RIGHT(TEXT($L266,"000000"),2)/3600))</f>
        <v>108.60833333333333</v>
      </c>
      <c r="N266" s="250">
        <v>732800</v>
      </c>
      <c r="O266" s="251">
        <f>IF($N266&gt;0,(LEFT(TEXT($N266,"000000"),2)+(MID(TEXT($N266,"000000"),3,2)/60)+(RIGHT(TEXT($N266,"000000"),2)/3600)),-(MID(TEXT($N266,"000000"),2,2)+(MID(TEXT($N266,"000000"),4,2)/60)+(RIGHT(TEXT($N266,"000000"),2)/3600)))</f>
        <v>73.466666666666669</v>
      </c>
      <c r="P266" s="252" t="s">
        <v>226</v>
      </c>
      <c r="Q266" s="253"/>
      <c r="R266" s="247" t="s">
        <v>3293</v>
      </c>
      <c r="S266" s="272" t="s">
        <v>3293</v>
      </c>
      <c r="T266" s="273">
        <v>13.2</v>
      </c>
      <c r="U266" s="274"/>
      <c r="V266" s="280"/>
      <c r="W266" s="244"/>
      <c r="X266" s="244"/>
      <c r="Y266" s="362"/>
      <c r="Z266" s="257">
        <f>altaz(J2000_Bas,$O266,$M266,DecLat,DecLong,1)</f>
        <v>14.48159085335941</v>
      </c>
      <c r="AA266" s="257">
        <f>altaz((J2000_Bas+(2*0.04167)),$O266,$M266,DecLat,DecLong,1)</f>
        <v>16.101285640922853</v>
      </c>
      <c r="AB266" s="257">
        <f>altaz((J2000_Bas+(4*0.04167)),$O266,$M266,DecLat,DecLong,1)</f>
        <v>21.278979159910058</v>
      </c>
      <c r="AC266" s="257">
        <f>altaz((J2000_Bas+(6*0.04167)),$O266,$M266,DecLat,DecLong,1)</f>
        <v>28.929478962994303</v>
      </c>
      <c r="AD266" s="258">
        <f>1+ transit((J2000_Bas-1),$O266,$M266,DecLat,DecLong)/360 + (GMTOffset/24) + (IF(DST="Y", 1, 0)/24)</f>
        <v>1.2945897452755413</v>
      </c>
      <c r="AE266" s="259">
        <f>DATE(2001,9,21)+(M266/360)*365 - (360*((DecLong/360)- (GMTOffset/24) ))</f>
        <v>37270.116782407407</v>
      </c>
      <c r="AF266" s="260">
        <f>IF(DecLat&gt;0,IF((90 - (DecLat-O266))&gt;90, (90 - (O266-DecLat)), (90 - (DecLat-O266))),IF((90 + (DecLat-O266))&gt;90, (90 + (O266-DecLat)), (90 + (DecLat-O266))))</f>
        <v>47.533333333333331</v>
      </c>
      <c r="AG266" s="257">
        <f>angularseperation(MoonRA,MoonDec,$M266,$O266)</f>
        <v>129.22388202491518</v>
      </c>
      <c r="AH266" s="261">
        <f ca="1">MIN(100,IF($O$5&gt;80,0+30*($AG266/100),IF($O$5&gt;70,0+50*($AG266/100),IF($O$5&gt;60,5+50*($AG266/100),IF($O$5&gt;50,10+60*($AG266/100),IF($O$5&gt;40,15+70*($AG266/100),IF($O$5&gt;30,20+70*($AG266/100),IF($O$5&gt;20,40+55*($AG266/100),(80+(20-$O$5)+30*($AG266/100))))))))))</f>
        <v>100</v>
      </c>
      <c r="AI266" s="262"/>
      <c r="AJ266" s="262"/>
      <c r="AK266" s="262"/>
      <c r="AL266" s="263"/>
      <c r="AM266" s="264"/>
      <c r="AN266" s="263">
        <v>141</v>
      </c>
      <c r="AO266" s="263"/>
      <c r="AP266" s="265"/>
      <c r="AQ266" s="266">
        <v>3730</v>
      </c>
      <c r="AR266" s="267"/>
      <c r="AS266" s="263"/>
      <c r="AT266" s="263"/>
      <c r="AU266" s="263"/>
      <c r="AV266" s="264"/>
      <c r="AW266" s="263"/>
      <c r="AX266" s="263"/>
      <c r="AY266" s="263"/>
      <c r="AZ266" s="263"/>
      <c r="BA266" s="263"/>
      <c r="BB266" s="263"/>
      <c r="BC266" s="263"/>
      <c r="BD266" s="264"/>
      <c r="BE266" s="263"/>
      <c r="BF266" s="263"/>
      <c r="BG266" s="263"/>
      <c r="BH266" s="263">
        <v>81</v>
      </c>
      <c r="BI266" s="263"/>
      <c r="BJ266" s="404">
        <f>altaz(J2000_Bas,$O266,$M266,DecLat,DecLong,2)</f>
        <v>359.2343947611501</v>
      </c>
      <c r="BK266" s="378" t="s">
        <v>360</v>
      </c>
      <c r="BL266" s="379">
        <f>IF((2*G266)/60&lt;0.2,0.2,(2*G266)/60)</f>
        <v>0.2</v>
      </c>
      <c r="BM266" s="380">
        <f>MOD((50000+AD266-$B$3+(0/24)),1)</f>
        <v>0.50995667497772956</v>
      </c>
      <c r="BN266" s="381" t="s">
        <v>9281</v>
      </c>
      <c r="BO266" s="382">
        <v>266</v>
      </c>
    </row>
    <row r="267" spans="1:67" s="24" customFormat="1" ht="15" customHeight="1" x14ac:dyDescent="0.25">
      <c r="A267" s="288" t="s">
        <v>361</v>
      </c>
      <c r="B267" s="241" t="str">
        <f>HYPERLINK(CONCATENATE($AT$3,BK267,$AU$3),$AV$3)</f>
        <v>S</v>
      </c>
      <c r="C267" s="242" t="str">
        <f>HYPERLINK(CONCATENATE($AT$4,BK267,$AU$4,BL267),$AV$4)</f>
        <v>A</v>
      </c>
      <c r="D267" s="243" t="s">
        <v>5638</v>
      </c>
      <c r="E267" s="244" t="s">
        <v>5337</v>
      </c>
      <c r="F267" s="269" t="s">
        <v>3310</v>
      </c>
      <c r="G267" s="273">
        <v>2</v>
      </c>
      <c r="H267" s="283">
        <v>300</v>
      </c>
      <c r="I267" s="246">
        <v>170</v>
      </c>
      <c r="J267" s="246">
        <v>4</v>
      </c>
      <c r="K267" s="247" t="s">
        <v>4221</v>
      </c>
      <c r="L267" s="248">
        <v>93745</v>
      </c>
      <c r="M267" s="249">
        <f>15*(LEFT(TEXT($L267,"000000"),2)+(MID(TEXT($L267,"000000"),3,2)/60)+(RIGHT(TEXT($L267,"000000"),2)/3600))</f>
        <v>144.4375</v>
      </c>
      <c r="N267" s="250">
        <v>24400</v>
      </c>
      <c r="O267" s="251">
        <f>IF($N267&gt;0,(LEFT(TEXT($N267,"000000"),2)+(MID(TEXT($N267,"000000"),3,2)/60)+(RIGHT(TEXT($N267,"000000"),2)/3600)),-(MID(TEXT($N267,"000000"),2,2)+(MID(TEXT($N267,"000000"),4,2)/60)+(RIGHT(TEXT($N267,"000000"),2)/3600)))</f>
        <v>2.7333333333333334</v>
      </c>
      <c r="P267" s="252" t="s">
        <v>103</v>
      </c>
      <c r="Q267" s="253" t="s">
        <v>6894</v>
      </c>
      <c r="R267" s="247" t="s">
        <v>3532</v>
      </c>
      <c r="S267" s="272" t="s">
        <v>3293</v>
      </c>
      <c r="T267" s="273">
        <v>13.7</v>
      </c>
      <c r="U267" s="289">
        <v>22.990000000000002</v>
      </c>
      <c r="V267" s="280"/>
      <c r="W267" s="244"/>
      <c r="X267" s="244"/>
      <c r="Y267" s="362"/>
      <c r="Z267" s="257">
        <f>altaz(J2000_Bas,$O267,$M267,DecLat,DecLong,1)</f>
        <v>-40.248756524914754</v>
      </c>
      <c r="AA267" s="257">
        <f>altaz((J2000_Bas+(2*0.04167)),$O267,$M267,DecLat,DecLong,1)</f>
        <v>-55.341317920877323</v>
      </c>
      <c r="AB267" s="257">
        <f>altaz((J2000_Bas+(4*0.04167)),$O267,$M267,DecLat,DecLong,1)</f>
        <v>-50.422712897636025</v>
      </c>
      <c r="AC267" s="257">
        <f>altaz((J2000_Bas+(6*0.04167)),$O267,$M267,DecLat,DecLong,1)</f>
        <v>-30.311117944354116</v>
      </c>
      <c r="AD267" s="258">
        <f>1+ transit((J2000_Bas-1),$O267,$M267,DecLat,DecLong)/360 + (GMTOffset/24) + (IF(DST="Y", 1, 0)/24)</f>
        <v>1.3941151982859579</v>
      </c>
      <c r="AE267" s="259">
        <f>DATE(2001,9,21)+(M267/360)*365 - (360*((DecLong/360)- (GMTOffset/24) ))</f>
        <v>37306.443576388891</v>
      </c>
      <c r="AF267" s="260">
        <f>IF(DecLat&gt;0,IF((90 - (DecLat-O267))&gt;90, (90 - (O267-DecLat)), (90 - (DecLat-O267))),IF((90 + (DecLat-O267))&gt;90, (90 + (O267-DecLat)), (90 + (DecLat-O267))))</f>
        <v>61.733333333333334</v>
      </c>
      <c r="AG267" s="257">
        <f>angularseperation(MoonRA,MoonDec,$M267,$O267)</f>
        <v>104.41555820735989</v>
      </c>
      <c r="AH267" s="261">
        <f ca="1">MIN(100,IF($O$5&gt;80,0+30*($AG267/100),IF($O$5&gt;70,0+50*($AG267/100),IF($O$5&gt;60,5+50*($AG267/100),IF($O$5&gt;50,10+60*($AG267/100),IF($O$5&gt;40,15+70*($AG267/100),IF($O$5&gt;30,20+70*($AG267/100),IF($O$5&gt;20,40+55*($AG267/100),(80+(20-$O$5)+30*($AG267/100))))))))))</f>
        <v>100</v>
      </c>
      <c r="AI267" s="262">
        <v>2937</v>
      </c>
      <c r="AJ267" s="262"/>
      <c r="AK267" s="262"/>
      <c r="AL267" s="263"/>
      <c r="AM267" s="264"/>
      <c r="AN267" s="263">
        <v>142</v>
      </c>
      <c r="AO267" s="263"/>
      <c r="AP267" s="265"/>
      <c r="AQ267" s="266">
        <v>5131</v>
      </c>
      <c r="AR267" s="267">
        <v>27423</v>
      </c>
      <c r="AS267" s="263"/>
      <c r="AT267" s="263"/>
      <c r="AU267" s="263"/>
      <c r="AV267" s="264"/>
      <c r="AW267" s="263"/>
      <c r="AX267" s="263"/>
      <c r="AY267" s="263"/>
      <c r="AZ267" s="263"/>
      <c r="BA267" s="263"/>
      <c r="BB267" s="263"/>
      <c r="BC267" s="263"/>
      <c r="BD267" s="264"/>
      <c r="BE267" s="263"/>
      <c r="BF267" s="263"/>
      <c r="BG267" s="263"/>
      <c r="BH267" s="263">
        <v>2</v>
      </c>
      <c r="BI267" s="263"/>
      <c r="BJ267" s="404">
        <f>altaz(J2000_Bas,$O267,$M267,DecLat,DecLong,2)</f>
        <v>305.55856678068847</v>
      </c>
      <c r="BK267" s="378" t="s">
        <v>361</v>
      </c>
      <c r="BL267" s="379">
        <f>IF((2*G267)/60&lt;0.2,0.2,(2*G267)/60)</f>
        <v>0.2</v>
      </c>
      <c r="BM267" s="380">
        <f>MOD((50000+AD267-$B$3+(0/24)),1)</f>
        <v>0.60948212799121393</v>
      </c>
      <c r="BN267" s="381"/>
      <c r="BO267" s="382">
        <v>267</v>
      </c>
    </row>
    <row r="268" spans="1:67" s="24" customFormat="1" ht="15" customHeight="1" x14ac:dyDescent="0.25">
      <c r="A268" s="288" t="s">
        <v>362</v>
      </c>
      <c r="B268" s="241" t="str">
        <f>HYPERLINK(CONCATENATE($AT$3,BK268,$AU$3),$AV$3)</f>
        <v>S</v>
      </c>
      <c r="C268" s="242" t="str">
        <f>HYPERLINK(CONCATENATE($AT$4,BK268,$AU$4,BL268),$AV$4)</f>
        <v>A</v>
      </c>
      <c r="D268" s="243" t="s">
        <v>5638</v>
      </c>
      <c r="E268" s="244" t="s">
        <v>5337</v>
      </c>
      <c r="F268" s="269" t="s">
        <v>3310</v>
      </c>
      <c r="G268" s="273">
        <v>1.5</v>
      </c>
      <c r="H268" s="283">
        <v>180</v>
      </c>
      <c r="I268" s="246">
        <v>75</v>
      </c>
      <c r="J268" s="246">
        <v>3</v>
      </c>
      <c r="K268" s="247" t="s">
        <v>4222</v>
      </c>
      <c r="L268" s="248">
        <v>74653</v>
      </c>
      <c r="M268" s="249">
        <f>15*(LEFT(TEXT($L268,"000000"),2)+(MID(TEXT($L268,"000000"),3,2)/60)+(RIGHT(TEXT($L268,"000000"),2)/3600))</f>
        <v>116.72083333333333</v>
      </c>
      <c r="N268" s="250">
        <v>390100</v>
      </c>
      <c r="O268" s="251">
        <f>IF($N268&gt;0,(LEFT(TEXT($N268,"000000"),2)+(MID(TEXT($N268,"000000"),3,2)/60)+(RIGHT(TEXT($N268,"000000"),2)/3600)),-(MID(TEXT($N268,"000000"),2,2)+(MID(TEXT($N268,"000000"),4,2)/60)+(RIGHT(TEXT($N268,"000000"),2)/3600)))</f>
        <v>39.016666666666666</v>
      </c>
      <c r="P268" s="252" t="s">
        <v>82</v>
      </c>
      <c r="Q268" s="253"/>
      <c r="R268" s="247" t="s">
        <v>3504</v>
      </c>
      <c r="S268" s="272" t="s">
        <v>3293</v>
      </c>
      <c r="T268" s="273">
        <v>13.2</v>
      </c>
      <c r="U268" s="289">
        <v>22.79</v>
      </c>
      <c r="V268" s="280"/>
      <c r="W268" s="244"/>
      <c r="X268" s="244"/>
      <c r="Y268" s="362"/>
      <c r="Z268" s="257">
        <f>altaz(J2000_Bas,$O268,$M268,DecLat,DecLong,1)</f>
        <v>-19.276532875860585</v>
      </c>
      <c r="AA268" s="257">
        <f>altaz((J2000_Bas+(2*0.04167)),$O268,$M268,DecLat,DecLong,1)</f>
        <v>-17.701840483311383</v>
      </c>
      <c r="AB268" s="257">
        <f>altaz((J2000_Bas+(4*0.04167)),$O268,$M268,DecLat,DecLong,1)</f>
        <v>-6.2414001492873341</v>
      </c>
      <c r="AC268" s="257">
        <f>altaz((J2000_Bas+(6*0.04167)),$O268,$M268,DecLat,DecLong,1)</f>
        <v>11.728757693945386</v>
      </c>
      <c r="AD268" s="258">
        <f>1+ transit((J2000_Bas-1),$O268,$M268,DecLat,DecLong)/360 + (GMTOffset/24) + (IF(DST="Y", 1, 0)/24)</f>
        <v>1.3171244652442915</v>
      </c>
      <c r="AE268" s="259">
        <f>DATE(2001,9,21)+(M268/360)*365 - (360*((DecLong/360)- (GMTOffset/24) ))</f>
        <v>37278.341956018521</v>
      </c>
      <c r="AF268" s="260">
        <f>IF(DecLat&gt;0,IF((90 - (DecLat-O268))&gt;90, (90 - (O268-DecLat)), (90 - (DecLat-O268))),IF((90 + (DecLat-O268))&gt;90, (90 + (O268-DecLat)), (90 + (DecLat-O268))))</f>
        <v>81.983333333333334</v>
      </c>
      <c r="AG268" s="257">
        <f>angularseperation(MoonRA,MoonDec,$M268,$O268)</f>
        <v>138.95248971530648</v>
      </c>
      <c r="AH268" s="261">
        <f ca="1">MIN(100,IF($O$5&gt;80,0+30*($AG268/100),IF($O$5&gt;70,0+50*($AG268/100),IF($O$5&gt;60,5+50*($AG268/100),IF($O$5&gt;50,10+60*($AG268/100),IF($O$5&gt;40,15+70*($AG268/100),IF($O$5&gt;30,20+70*($AG268/100),IF($O$5&gt;20,40+55*($AG268/100),(80+(20-$O$5)+30*($AG268/100))))))))))</f>
        <v>100</v>
      </c>
      <c r="AI268" s="262">
        <v>2444</v>
      </c>
      <c r="AJ268" s="262"/>
      <c r="AK268" s="262"/>
      <c r="AL268" s="263"/>
      <c r="AM268" s="264"/>
      <c r="AN268" s="263">
        <v>143</v>
      </c>
      <c r="AO268" s="263"/>
      <c r="AP268" s="265"/>
      <c r="AQ268" s="266">
        <v>4016</v>
      </c>
      <c r="AR268" s="267">
        <v>21774</v>
      </c>
      <c r="AS268" s="263"/>
      <c r="AT268" s="263"/>
      <c r="AU268" s="263"/>
      <c r="AV268" s="264"/>
      <c r="AW268" s="263"/>
      <c r="AX268" s="263"/>
      <c r="AY268" s="263"/>
      <c r="AZ268" s="263"/>
      <c r="BA268" s="263"/>
      <c r="BB268" s="263"/>
      <c r="BC268" s="263"/>
      <c r="BD268" s="264"/>
      <c r="BE268" s="263"/>
      <c r="BF268" s="263"/>
      <c r="BG268" s="263"/>
      <c r="BH268" s="263">
        <v>79</v>
      </c>
      <c r="BI268" s="263"/>
      <c r="BJ268" s="404">
        <f>altaz(J2000_Bas,$O268,$M268,DecLat,DecLong,2)</f>
        <v>351.19448559069195</v>
      </c>
      <c r="BK268" s="378" t="s">
        <v>362</v>
      </c>
      <c r="BL268" s="379">
        <f>IF((2*G268)/60&lt;0.2,0.2,(2*G268)/60)</f>
        <v>0.2</v>
      </c>
      <c r="BM268" s="380">
        <f>MOD((50000+AD268-$B$3+(0/24)),1)</f>
        <v>0.53249139495164854</v>
      </c>
      <c r="BN268" s="381"/>
      <c r="BO268" s="382">
        <v>268</v>
      </c>
    </row>
    <row r="269" spans="1:67" s="24" customFormat="1" ht="15" customHeight="1" x14ac:dyDescent="0.25">
      <c r="A269" s="288" t="s">
        <v>363</v>
      </c>
      <c r="B269" s="241" t="str">
        <f>HYPERLINK(CONCATENATE($AT$3,BK269,$AU$3),$AV$3)</f>
        <v>S</v>
      </c>
      <c r="C269" s="242" t="str">
        <f>HYPERLINK(CONCATENATE($AT$4,BK269,$AU$4,BL269),$AV$4)</f>
        <v>A</v>
      </c>
      <c r="D269" s="243" t="s">
        <v>5638</v>
      </c>
      <c r="E269" s="244" t="s">
        <v>5337</v>
      </c>
      <c r="F269" s="269" t="s">
        <v>3310</v>
      </c>
      <c r="G269" s="270">
        <v>0.7</v>
      </c>
      <c r="H269" s="283">
        <v>260</v>
      </c>
      <c r="I269" s="246">
        <v>50</v>
      </c>
      <c r="J269" s="246">
        <v>2</v>
      </c>
      <c r="K269" s="247" t="s">
        <v>4223</v>
      </c>
      <c r="L269" s="248">
        <v>629</v>
      </c>
      <c r="M269" s="249">
        <f>15*(LEFT(TEXT($L269,"000000"),2)+(MID(TEXT($L269,"000000"),3,2)/60)+(RIGHT(TEXT($L269,"000000"),2)/3600))</f>
        <v>1.6208333333333333</v>
      </c>
      <c r="N269" s="250">
        <v>-132500</v>
      </c>
      <c r="O269" s="251">
        <f>IF($N269&gt;0,(LEFT(TEXT($N269,"000000"),2)+(MID(TEXT($N269,"000000"),3,2)/60)+(RIGHT(TEXT($N269,"000000"),2)/3600)),-(MID(TEXT($N269,"000000"),2,2)+(MID(TEXT($N269,"000000"),4,2)/60)+(RIGHT(TEXT($N269,"000000"),2)/3600)))</f>
        <v>-13.416666666666666</v>
      </c>
      <c r="P269" s="252" t="s">
        <v>75</v>
      </c>
      <c r="Q269" s="253"/>
      <c r="R269" s="247" t="s">
        <v>3708</v>
      </c>
      <c r="S269" s="272" t="s">
        <v>4177</v>
      </c>
      <c r="T269" s="273">
        <v>13.9</v>
      </c>
      <c r="U269" s="289">
        <v>21.59</v>
      </c>
      <c r="V269" s="280"/>
      <c r="W269" s="244"/>
      <c r="X269" s="244"/>
      <c r="Y269" s="362"/>
      <c r="Z269" s="257">
        <f>altaz(J2000_Bas,$O269,$M269,DecLat,DecLong,1)</f>
        <v>5.0249633487385479</v>
      </c>
      <c r="AA269" s="257">
        <f>altaz((J2000_Bas+(2*0.04167)),$O269,$M269,DecLat,DecLong,1)</f>
        <v>27.680817775968642</v>
      </c>
      <c r="AB269" s="257">
        <f>altaz((J2000_Bas+(4*0.04167)),$O269,$M269,DecLat,DecLong,1)</f>
        <v>43.168222836143343</v>
      </c>
      <c r="AC269" s="257">
        <f>altaz((J2000_Bas+(6*0.04167)),$O269,$M269,DecLat,DecLong,1)</f>
        <v>43.410115622124884</v>
      </c>
      <c r="AD269" s="258">
        <f>1+ transit((J2000_Bas-1),$O269,$M269,DecLat,DecLong)/360 + (GMTOffset/24) + (IF(DST="Y", 1, 0)/24)</f>
        <v>0.99740227499429113</v>
      </c>
      <c r="AE269" s="259">
        <f>DATE(2001,9,21)+(M269/360)*365 - (360*((DecLong/360)- (GMTOffset/24) ))</f>
        <v>37161.64334490741</v>
      </c>
      <c r="AF269" s="260">
        <f>IF(DecLat&gt;0,IF((90 - (DecLat-O269))&gt;90, (90 - (O269-DecLat)), (90 - (DecLat-O269))),IF((90 + (DecLat-O269))&gt;90, (90 + (O269-DecLat)), (90 + (DecLat-O269))))</f>
        <v>45.583333333333336</v>
      </c>
      <c r="AG269" s="257">
        <f>angularseperation(MoonRA,MoonDec,$M269,$O269)</f>
        <v>102.94905809282015</v>
      </c>
      <c r="AH269" s="261">
        <f ca="1">MIN(100,IF($O$5&gt;80,0+30*($AG269/100),IF($O$5&gt;70,0+50*($AG269/100),IF($O$5&gt;60,5+50*($AG269/100),IF($O$5&gt;50,10+60*($AG269/100),IF($O$5&gt;40,15+70*($AG269/100),IF($O$5&gt;30,20+70*($AG269/100),IF($O$5&gt;20,40+55*($AG269/100),(80+(20-$O$5)+30*($AG269/100))))))))))</f>
        <v>100</v>
      </c>
      <c r="AI269" s="262">
        <v>7828</v>
      </c>
      <c r="AJ269" s="262"/>
      <c r="AK269" s="262"/>
      <c r="AL269" s="263"/>
      <c r="AM269" s="264"/>
      <c r="AN269" s="263">
        <v>144</v>
      </c>
      <c r="AO269" s="263"/>
      <c r="AP269" s="265"/>
      <c r="AQ269" s="266"/>
      <c r="AR269" s="267">
        <v>483</v>
      </c>
      <c r="AS269" s="263"/>
      <c r="AT269" s="263"/>
      <c r="AU269" s="263"/>
      <c r="AV269" s="264"/>
      <c r="AW269" s="263"/>
      <c r="AX269" s="263"/>
      <c r="AY269" s="263"/>
      <c r="AZ269" s="263"/>
      <c r="BA269" s="263"/>
      <c r="BB269" s="263"/>
      <c r="BC269" s="263"/>
      <c r="BD269" s="264"/>
      <c r="BE269" s="263"/>
      <c r="BF269" s="263"/>
      <c r="BG269" s="263"/>
      <c r="BH269" s="263"/>
      <c r="BI269" s="263"/>
      <c r="BJ269" s="404">
        <f>altaz(J2000_Bas,$O269,$M269,DecLat,DecLong,2)</f>
        <v>108.93962527740297</v>
      </c>
      <c r="BK269" s="378" t="s">
        <v>363</v>
      </c>
      <c r="BL269" s="379">
        <f>IF((2*G269)/60&lt;0.2,0.2,(2*G269)/60)</f>
        <v>0.2</v>
      </c>
      <c r="BM269" s="380">
        <f>MOD((50000+AD269-$B$3+(0/24)),1)</f>
        <v>0.21276920469972538</v>
      </c>
      <c r="BN269" s="381"/>
      <c r="BO269" s="382">
        <v>269</v>
      </c>
    </row>
    <row r="270" spans="1:67" s="24" customFormat="1" ht="15" customHeight="1" x14ac:dyDescent="0.25">
      <c r="A270" s="288" t="s">
        <v>364</v>
      </c>
      <c r="B270" s="241" t="str">
        <f>HYPERLINK(CONCATENATE($AT$3,BK270,$AU$3),$AV$3)</f>
        <v>S</v>
      </c>
      <c r="C270" s="242" t="str">
        <f>HYPERLINK(CONCATENATE($AT$4,BK270,$AU$4,BL270),$AV$4)</f>
        <v>A</v>
      </c>
      <c r="D270" s="243" t="s">
        <v>5638</v>
      </c>
      <c r="E270" s="244" t="s">
        <v>8641</v>
      </c>
      <c r="F270" s="269"/>
      <c r="G270" s="273">
        <v>1.2</v>
      </c>
      <c r="H270" s="283">
        <v>260</v>
      </c>
      <c r="I270" s="246">
        <v>100</v>
      </c>
      <c r="J270" s="246">
        <v>3</v>
      </c>
      <c r="K270" s="247" t="s">
        <v>4224</v>
      </c>
      <c r="L270" s="248">
        <v>22311</v>
      </c>
      <c r="M270" s="249">
        <f>15*(LEFT(TEXT($L270,"000000"),2)+(MID(TEXT($L270,"000000"),3,2)/60)+(RIGHT(TEXT($L270,"000000"),2)/3600))</f>
        <v>35.795833333333334</v>
      </c>
      <c r="N270" s="250">
        <v>412200</v>
      </c>
      <c r="O270" s="251">
        <f>IF($N270&gt;0,(LEFT(TEXT($N270,"000000"),2)+(MID(TEXT($N270,"000000"),3,2)/60)+(RIGHT(TEXT($N270,"000000"),2)/3600)),-(MID(TEXT($N270,"000000"),2,2)+(MID(TEXT($N270,"000000"),4,2)/60)+(RIGHT(TEXT($N270,"000000"),2)/3600)))</f>
        <v>41.366666666666667</v>
      </c>
      <c r="P270" s="252" t="s">
        <v>36</v>
      </c>
      <c r="Q270" s="253"/>
      <c r="R270" s="247" t="s">
        <v>3293</v>
      </c>
      <c r="S270" s="272" t="s">
        <v>3293</v>
      </c>
      <c r="T270" s="273">
        <v>13.8</v>
      </c>
      <c r="U270" s="274"/>
      <c r="V270" s="280"/>
      <c r="W270" s="244"/>
      <c r="X270" s="244"/>
      <c r="Y270" s="362"/>
      <c r="Z270" s="257">
        <f>altaz(J2000_Bas,$O270,$M270,DecLat,DecLong,1)</f>
        <v>7.0385725738727007</v>
      </c>
      <c r="AA270" s="257">
        <f>altaz((J2000_Bas+(2*0.04167)),$O270,$M270,DecLat,DecLong,1)</f>
        <v>27.084483315372882</v>
      </c>
      <c r="AB270" s="257">
        <f>altaz((J2000_Bas+(4*0.04167)),$O270,$M270,DecLat,DecLong,1)</f>
        <v>49.209683093246447</v>
      </c>
      <c r="AC270" s="257">
        <f>altaz((J2000_Bas+(6*0.04167)),$O270,$M270,DecLat,DecLong,1)</f>
        <v>71.196417910739044</v>
      </c>
      <c r="AD270" s="258">
        <f>1+ transit((J2000_Bas-1),$O270,$M270,DecLat,DecLong)/360 + (GMTOffset/24) + (IF(DST="Y", 1, 0)/24)</f>
        <v>1.0923328210567913</v>
      </c>
      <c r="AE270" s="259">
        <f>DATE(2001,9,21)+(M270/360)*365 - (360*((DecLong/360)- (GMTOffset/24) ))</f>
        <v>37196.292997685188</v>
      </c>
      <c r="AF270" s="260">
        <f>IF(DecLat&gt;0,IF((90 - (DecLat-O270))&gt;90, (90 - (O270-DecLat)), (90 - (DecLat-O270))),IF((90 + (DecLat-O270))&gt;90, (90 + (O270-DecLat)), (90 + (DecLat-O270))))</f>
        <v>79.633333333333326</v>
      </c>
      <c r="AG270" s="257">
        <f>angularseperation(MoonRA,MoonDec,$M270,$O270)</f>
        <v>149.14197040139172</v>
      </c>
      <c r="AH270" s="261">
        <f ca="1">MIN(100,IF($O$5&gt;80,0+30*($AG270/100),IF($O$5&gt;70,0+50*($AG270/100),IF($O$5&gt;60,5+50*($AG270/100),IF($O$5&gt;50,10+60*($AG270/100),IF($O$5&gt;40,15+70*($AG270/100),IF($O$5&gt;30,20+70*($AG270/100),IF($O$5&gt;20,40+55*($AG270/100),(80+(20-$O$5)+30*($AG270/100))))))))))</f>
        <v>100</v>
      </c>
      <c r="AI270" s="262"/>
      <c r="AJ270" s="262"/>
      <c r="AK270" s="262"/>
      <c r="AL270" s="263"/>
      <c r="AM270" s="264"/>
      <c r="AN270" s="263">
        <v>145</v>
      </c>
      <c r="AO270" s="263"/>
      <c r="AP270" s="265"/>
      <c r="AQ270" s="266">
        <v>1840</v>
      </c>
      <c r="AR270" s="267">
        <v>9062</v>
      </c>
      <c r="AS270" s="263"/>
      <c r="AT270" s="263"/>
      <c r="AU270" s="263"/>
      <c r="AV270" s="264"/>
      <c r="AW270" s="263"/>
      <c r="AX270" s="263"/>
      <c r="AY270" s="263"/>
      <c r="AZ270" s="263"/>
      <c r="BA270" s="263"/>
      <c r="BB270" s="263"/>
      <c r="BC270" s="263"/>
      <c r="BD270" s="264"/>
      <c r="BE270" s="263"/>
      <c r="BF270" s="263"/>
      <c r="BG270" s="263"/>
      <c r="BH270" s="263">
        <v>49</v>
      </c>
      <c r="BI270" s="263"/>
      <c r="BJ270" s="404">
        <f>altaz(J2000_Bas,$O270,$M270,DecLat,DecLong,2)</f>
        <v>45.358654936730446</v>
      </c>
      <c r="BK270" s="378" t="s">
        <v>364</v>
      </c>
      <c r="BL270" s="379">
        <f>IF((2*G270)/60&lt;0.2,0.2,(2*G270)/60)</f>
        <v>0.2</v>
      </c>
      <c r="BM270" s="380">
        <f>MOD((50000+AD270-$B$3+(0/24)),1)</f>
        <v>0.30769975075963885</v>
      </c>
      <c r="BN270" s="381"/>
      <c r="BO270" s="382">
        <v>270</v>
      </c>
    </row>
    <row r="271" spans="1:67" s="24" customFormat="1" ht="15" customHeight="1" x14ac:dyDescent="0.25">
      <c r="A271" s="288" t="s">
        <v>365</v>
      </c>
      <c r="B271" s="241" t="str">
        <f>HYPERLINK(CONCATENATE($AT$3,BK271,$AU$3),$AV$3)</f>
        <v>S</v>
      </c>
      <c r="C271" s="242" t="str">
        <f>HYPERLINK(CONCATENATE($AT$4,BK271,$AU$4,BL271),$AV$4)</f>
        <v>A</v>
      </c>
      <c r="D271" s="243" t="s">
        <v>5638</v>
      </c>
      <c r="E271" s="244" t="s">
        <v>8641</v>
      </c>
      <c r="F271" s="269"/>
      <c r="G271" s="270">
        <v>0.35</v>
      </c>
      <c r="H271" s="283">
        <v>1000</v>
      </c>
      <c r="I271" s="246">
        <v>100</v>
      </c>
      <c r="J271" s="246">
        <v>2</v>
      </c>
      <c r="K271" s="247" t="s">
        <v>4994</v>
      </c>
      <c r="L271" s="248">
        <v>644</v>
      </c>
      <c r="M271" s="249">
        <f>15*(LEFT(TEXT($L271,"000000"),2)+(MID(TEXT($L271,"000000"),3,2)/60)+(RIGHT(TEXT($L271,"000000"),2)/3600))</f>
        <v>1.6833333333333333</v>
      </c>
      <c r="N271" s="250">
        <v>-63800</v>
      </c>
      <c r="O271" s="251">
        <f>IF($N271&gt;0,(LEFT(TEXT($N271,"000000"),2)+(MID(TEXT($N271,"000000"),3,2)/60)+(RIGHT(TEXT($N271,"000000"),2)/3600)),-(MID(TEXT($N271,"000000"),2,2)+(MID(TEXT($N271,"000000"),4,2)/60)+(RIGHT(TEXT($N271,"000000"),2)/3600)))</f>
        <v>-6.6333333333333329</v>
      </c>
      <c r="P271" s="252" t="s">
        <v>75</v>
      </c>
      <c r="Q271" s="253"/>
      <c r="R271" s="247" t="s">
        <v>3293</v>
      </c>
      <c r="S271" s="272" t="s">
        <v>3293</v>
      </c>
      <c r="T271" s="273">
        <v>16</v>
      </c>
      <c r="U271" s="274"/>
      <c r="V271" s="280"/>
      <c r="W271" s="244"/>
      <c r="X271" s="244"/>
      <c r="Y271" s="362"/>
      <c r="Z271" s="257">
        <f>altaz(J2000_Bas,$O271,$M271,DecLat,DecLong,1)</f>
        <v>8.6898283831626895</v>
      </c>
      <c r="AA271" s="257">
        <f>altaz((J2000_Bas+(2*0.04167)),$O271,$M271,DecLat,DecLong,1)</f>
        <v>32.429394064336272</v>
      </c>
      <c r="AB271" s="257">
        <f>altaz((J2000_Bas+(4*0.04167)),$O271,$M271,DecLat,DecLong,1)</f>
        <v>49.545572550809908</v>
      </c>
      <c r="AC271" s="257">
        <f>altaz((J2000_Bas+(6*0.04167)),$O271,$M271,DecLat,DecLong,1)</f>
        <v>49.866308972886905</v>
      </c>
      <c r="AD271" s="258">
        <f>1+ transit((J2000_Bas-1),$O271,$M271,DecLat,DecLong)/360 + (GMTOffset/24) + (IF(DST="Y", 1, 0)/24)</f>
        <v>0.99757588608804115</v>
      </c>
      <c r="AE271" s="259">
        <f>DATE(2001,9,21)+(M271/360)*365 - (360*((DecLong/360)- (GMTOffset/24) ))</f>
        <v>37161.706712962965</v>
      </c>
      <c r="AF271" s="260">
        <f>IF(DecLat&gt;0,IF((90 - (DecLat-O271))&gt;90, (90 - (O271-DecLat)), (90 - (DecLat-O271))),IF((90 + (DecLat-O271))&gt;90, (90 + (O271-DecLat)), (90 + (DecLat-O271))))</f>
        <v>52.366666666666667</v>
      </c>
      <c r="AG271" s="257">
        <f>angularseperation(MoonRA,MoonDec,$M271,$O271)</f>
        <v>106.55932328205003</v>
      </c>
      <c r="AH271" s="261">
        <f ca="1">MIN(100,IF($O$5&gt;80,0+30*($AG271/100),IF($O$5&gt;70,0+50*($AG271/100),IF($O$5&gt;60,5+50*($AG271/100),IF($O$5&gt;50,10+60*($AG271/100),IF($O$5&gt;40,15+70*($AG271/100),IF($O$5&gt;30,20+70*($AG271/100),IF($O$5&gt;20,40+55*($AG271/100),(80+(20-$O$5)+30*($AG271/100))))))))))</f>
        <v>100</v>
      </c>
      <c r="AI271" s="262"/>
      <c r="AJ271" s="262"/>
      <c r="AK271" s="262"/>
      <c r="AL271" s="263"/>
      <c r="AM271" s="264"/>
      <c r="AN271" s="263">
        <v>146</v>
      </c>
      <c r="AO271" s="263"/>
      <c r="AP271" s="265"/>
      <c r="AQ271" s="266"/>
      <c r="AR271" s="267">
        <v>509</v>
      </c>
      <c r="AS271" s="263"/>
      <c r="AT271" s="263"/>
      <c r="AU271" s="263"/>
      <c r="AV271" s="264"/>
      <c r="AW271" s="263"/>
      <c r="AX271" s="263"/>
      <c r="AY271" s="263"/>
      <c r="AZ271" s="263"/>
      <c r="BA271" s="263"/>
      <c r="BB271" s="263"/>
      <c r="BC271" s="263"/>
      <c r="BD271" s="264"/>
      <c r="BE271" s="263"/>
      <c r="BF271" s="263"/>
      <c r="BG271" s="263"/>
      <c r="BH271" s="263">
        <v>46</v>
      </c>
      <c r="BI271" s="263"/>
      <c r="BJ271" s="404">
        <f>altaz(J2000_Bas,$O271,$M271,DecLat,DecLong,2)</f>
        <v>103.18900883585077</v>
      </c>
      <c r="BK271" s="378" t="s">
        <v>365</v>
      </c>
      <c r="BL271" s="379">
        <f>IF((2*G271)/60&lt;0.2,0.2,(2*G271)/60)</f>
        <v>0.2</v>
      </c>
      <c r="BM271" s="380">
        <f>MOD((50000+AD271-$B$3+(0/24)),1)</f>
        <v>0.2129428157932125</v>
      </c>
      <c r="BN271" s="381" t="s">
        <v>9088</v>
      </c>
      <c r="BO271" s="382">
        <v>271</v>
      </c>
    </row>
    <row r="272" spans="1:67" s="24" customFormat="1" ht="15" customHeight="1" x14ac:dyDescent="0.25">
      <c r="A272" s="288" t="s">
        <v>366</v>
      </c>
      <c r="B272" s="241" t="str">
        <f>HYPERLINK(CONCATENATE($AT$3,BK272,$AU$3),$AV$3)</f>
        <v>S</v>
      </c>
      <c r="C272" s="242" t="str">
        <f>HYPERLINK(CONCATENATE($AT$4,BK272,$AU$4,BL272),$AV$4)</f>
        <v>A</v>
      </c>
      <c r="D272" s="243" t="s">
        <v>5638</v>
      </c>
      <c r="E272" s="244" t="s">
        <v>8641</v>
      </c>
      <c r="F272" s="269"/>
      <c r="G272" s="270">
        <v>0.5</v>
      </c>
      <c r="H272" s="283">
        <v>440</v>
      </c>
      <c r="I272" s="246">
        <v>60</v>
      </c>
      <c r="J272" s="246">
        <v>4</v>
      </c>
      <c r="K272" s="247" t="s">
        <v>4225</v>
      </c>
      <c r="L272" s="248">
        <v>31118</v>
      </c>
      <c r="M272" s="249">
        <f>15*(LEFT(TEXT($L272,"000000"),2)+(MID(TEXT($L272,"000000"),3,2)/60)+(RIGHT(TEXT($L272,"000000"),2)/3600))</f>
        <v>47.824999999999996</v>
      </c>
      <c r="N272" s="250">
        <v>11800</v>
      </c>
      <c r="O272" s="251">
        <f>IF($N272&gt;0,(LEFT(TEXT($N272,"000000"),2)+(MID(TEXT($N272,"000000"),3,2)/60)+(RIGHT(TEXT($N272,"000000"),2)/3600)),-(MID(TEXT($N272,"000000"),2,2)+(MID(TEXT($N272,"000000"),4,2)/60)+(RIGHT(TEXT($N272,"000000"),2)/3600)))</f>
        <v>1.3</v>
      </c>
      <c r="P272" s="252" t="s">
        <v>75</v>
      </c>
      <c r="Q272" s="253"/>
      <c r="R272" s="247" t="s">
        <v>3714</v>
      </c>
      <c r="S272" s="272" t="s">
        <v>3293</v>
      </c>
      <c r="T272" s="273">
        <v>14.6</v>
      </c>
      <c r="U272" s="289">
        <v>22.29</v>
      </c>
      <c r="V272" s="280"/>
      <c r="W272" s="244"/>
      <c r="X272" s="244"/>
      <c r="Y272" s="362"/>
      <c r="Z272" s="257">
        <f>altaz(J2000_Bas,$O272,$M272,DecLat,DecLong,1)</f>
        <v>-26.114890067312185</v>
      </c>
      <c r="AA272" s="257">
        <f>altaz((J2000_Bas+(2*0.04167)),$O272,$M272,DecLat,DecLong,1)</f>
        <v>-0.81953450725790977</v>
      </c>
      <c r="AB272" s="257">
        <f>altaz((J2000_Bas+(4*0.04167)),$O272,$M272,DecLat,DecLong,1)</f>
        <v>24.744224921677311</v>
      </c>
      <c r="AC272" s="257">
        <f>altaz((J2000_Bas+(6*0.04167)),$O272,$M272,DecLat,DecLong,1)</f>
        <v>47.886193606022012</v>
      </c>
      <c r="AD272" s="258">
        <f>1+ transit((J2000_Bas-1),$O272,$M272,DecLat,DecLong)/360 + (GMTOffset/24) + (IF(DST="Y", 1, 0)/24)</f>
        <v>1.1257471695672081</v>
      </c>
      <c r="AE272" s="259">
        <f>DATE(2001,9,21)+(M272/360)*365 - (360*((DecLong/360)- (GMTOffset/24) ))</f>
        <v>37208.489236111112</v>
      </c>
      <c r="AF272" s="260">
        <f>IF(DecLat&gt;0,IF((90 - (DecLat-O272))&gt;90, (90 - (O272-DecLat)), (90 - (DecLat-O272))),IF((90 + (DecLat-O272))&gt;90, (90 + (O272-DecLat)), (90 + (DecLat-O272))))</f>
        <v>60.3</v>
      </c>
      <c r="AG272" s="257">
        <f>angularseperation(MoonRA,MoonDec,$M272,$O272)</f>
        <v>147.03211916889671</v>
      </c>
      <c r="AH272" s="261">
        <f ca="1">MIN(100,IF($O$5&gt;80,0+30*($AG272/100),IF($O$5&gt;70,0+50*($AG272/100),IF($O$5&gt;60,5+50*($AG272/100),IF($O$5&gt;50,10+60*($AG272/100),IF($O$5&gt;40,15+70*($AG272/100),IF($O$5&gt;30,20+70*($AG272/100),IF($O$5&gt;20,40+55*($AG272/100),(80+(20-$O$5)+30*($AG272/100))))))))))</f>
        <v>100</v>
      </c>
      <c r="AI272" s="262"/>
      <c r="AJ272" s="262">
        <v>298</v>
      </c>
      <c r="AK272" s="262"/>
      <c r="AL272" s="263"/>
      <c r="AM272" s="264"/>
      <c r="AN272" s="263">
        <v>147</v>
      </c>
      <c r="AO272" s="263"/>
      <c r="AP272" s="265"/>
      <c r="AQ272" s="266"/>
      <c r="AR272" s="267">
        <v>11890</v>
      </c>
      <c r="AS272" s="263"/>
      <c r="AT272" s="263"/>
      <c r="AU272" s="263"/>
      <c r="AV272" s="264"/>
      <c r="AW272" s="263"/>
      <c r="AX272" s="263"/>
      <c r="AY272" s="263"/>
      <c r="AZ272" s="263"/>
      <c r="BA272" s="263"/>
      <c r="BB272" s="263"/>
      <c r="BC272" s="263"/>
      <c r="BD272" s="264"/>
      <c r="BE272" s="263"/>
      <c r="BF272" s="263"/>
      <c r="BG272" s="263"/>
      <c r="BH272" s="263">
        <v>51</v>
      </c>
      <c r="BI272" s="263"/>
      <c r="BJ272" s="404">
        <f>altaz(J2000_Bas,$O272,$M272,DecLat,DecLong,2)</f>
        <v>71.093227383242322</v>
      </c>
      <c r="BK272" s="378" t="s">
        <v>366</v>
      </c>
      <c r="BL272" s="379">
        <f>IF((2*G272)/60&lt;0.2,0.2,(2*G272)/60)</f>
        <v>0.2</v>
      </c>
      <c r="BM272" s="380">
        <f>MOD((50000+AD272-$B$3+(0/24)),1)</f>
        <v>0.34111409926845226</v>
      </c>
      <c r="BN272" s="381"/>
      <c r="BO272" s="382">
        <v>272</v>
      </c>
    </row>
    <row r="273" spans="1:67" s="24" customFormat="1" ht="15" customHeight="1" x14ac:dyDescent="0.25">
      <c r="A273" s="288" t="s">
        <v>367</v>
      </c>
      <c r="B273" s="241" t="str">
        <f>HYPERLINK(CONCATENATE($AT$3,BK273,$AU$3),$AV$3)</f>
        <v>S</v>
      </c>
      <c r="C273" s="242" t="str">
        <f>HYPERLINK(CONCATENATE($AT$4,BK273,$AU$4,BL273),$AV$4)</f>
        <v>A</v>
      </c>
      <c r="D273" s="243" t="s">
        <v>5638</v>
      </c>
      <c r="E273" s="244" t="s">
        <v>8641</v>
      </c>
      <c r="F273" s="269"/>
      <c r="G273" s="270">
        <v>0.7</v>
      </c>
      <c r="H273" s="283">
        <v>500</v>
      </c>
      <c r="I273" s="246">
        <v>100</v>
      </c>
      <c r="J273" s="246">
        <v>3</v>
      </c>
      <c r="K273" s="247" t="s">
        <v>4226</v>
      </c>
      <c r="L273" s="248">
        <v>110352</v>
      </c>
      <c r="M273" s="249">
        <f>15*(LEFT(TEXT($L273,"000000"),2)+(MID(TEXT($L273,"000000"),3,2)/60)+(RIGHT(TEXT($L273,"000000"),2)/3600))</f>
        <v>165.9666666666667</v>
      </c>
      <c r="N273" s="250">
        <v>405000</v>
      </c>
      <c r="O273" s="251">
        <f>IF($N273&gt;0,(LEFT(TEXT($N273,"000000"),2)+(MID(TEXT($N273,"000000"),3,2)/60)+(RIGHT(TEXT($N273,"000000"),2)/3600)),-(MID(TEXT($N273,"000000"),2,2)+(MID(TEXT($N273,"000000"),4,2)/60)+(RIGHT(TEXT($N273,"000000"),2)/3600)))</f>
        <v>40.833333333333336</v>
      </c>
      <c r="P273" s="252" t="s">
        <v>37</v>
      </c>
      <c r="Q273" s="253" t="s">
        <v>368</v>
      </c>
      <c r="R273" s="247" t="s">
        <v>3293</v>
      </c>
      <c r="S273" s="272" t="s">
        <v>3293</v>
      </c>
      <c r="T273" s="273">
        <v>15.4</v>
      </c>
      <c r="U273" s="274"/>
      <c r="V273" s="280"/>
      <c r="W273" s="244"/>
      <c r="X273" s="244"/>
      <c r="Y273" s="362"/>
      <c r="Z273" s="257">
        <f>altaz(J2000_Bas,$O273,$M273,DecLat,DecLong,1)</f>
        <v>0.69547811546569283</v>
      </c>
      <c r="AA273" s="257">
        <f>altaz((J2000_Bas+(2*0.04167)),$O273,$M273,DecLat,DecLong,1)</f>
        <v>-13.036654013859328</v>
      </c>
      <c r="AB273" s="257">
        <f>altaz((J2000_Bas+(4*0.04167)),$O273,$M273,DecLat,DecLong,1)</f>
        <v>-18.166416226336228</v>
      </c>
      <c r="AC273" s="257">
        <f>altaz((J2000_Bas+(6*0.04167)),$O273,$M273,DecLat,DecLong,1)</f>
        <v>-12.899842147952667</v>
      </c>
      <c r="AD273" s="258">
        <f>1+ transit((J2000_Bas-1),$O273,$M273,DecLat,DecLong)/360 + (GMTOffset/24) + (IF(DST="Y", 1, 0)/24)</f>
        <v>1.4539184330463748</v>
      </c>
      <c r="AE273" s="259">
        <f>DATE(2001,9,21)+(M273/360)*365 - (360*((DecLong/360)- (GMTOffset/24) ))</f>
        <v>37328.27175925926</v>
      </c>
      <c r="AF273" s="260">
        <f>IF(DecLat&gt;0,IF((90 - (DecLat-O273))&gt;90, (90 - (O273-DecLat)), (90 - (DecLat-O273))),IF((90 + (DecLat-O273))&gt;90, (90 + (O273-DecLat)), (90 + (DecLat-O273))))</f>
        <v>80.166666666666657</v>
      </c>
      <c r="AG273" s="257">
        <f>angularseperation(MoonRA,MoonDec,$M273,$O273)</f>
        <v>102.63960717392661</v>
      </c>
      <c r="AH273" s="261">
        <f ca="1">MIN(100,IF($O$5&gt;80,0+30*($AG273/100),IF($O$5&gt;70,0+50*($AG273/100),IF($O$5&gt;60,5+50*($AG273/100),IF($O$5&gt;50,10+60*($AG273/100),IF($O$5&gt;40,15+70*($AG273/100),IF($O$5&gt;30,20+70*($AG273/100),IF($O$5&gt;20,40+55*($AG273/100),(80+(20-$O$5)+30*($AG273/100))))))))))</f>
        <v>100</v>
      </c>
      <c r="AI273" s="262"/>
      <c r="AJ273" s="262"/>
      <c r="AK273" s="262"/>
      <c r="AL273" s="263"/>
      <c r="AM273" s="264"/>
      <c r="AN273" s="263">
        <v>148</v>
      </c>
      <c r="AO273" s="263"/>
      <c r="AP273" s="265"/>
      <c r="AQ273" s="266"/>
      <c r="AR273" s="267">
        <v>33423</v>
      </c>
      <c r="AS273" s="263"/>
      <c r="AT273" s="263"/>
      <c r="AU273" s="263"/>
      <c r="AV273" s="264"/>
      <c r="AW273" s="263"/>
      <c r="AX273" s="263"/>
      <c r="AY273" s="263"/>
      <c r="AZ273" s="263"/>
      <c r="BA273" s="263"/>
      <c r="BB273" s="263"/>
      <c r="BC273" s="263"/>
      <c r="BD273" s="264"/>
      <c r="BE273" s="263"/>
      <c r="BF273" s="263"/>
      <c r="BG273" s="263"/>
      <c r="BH273" s="263">
        <v>10</v>
      </c>
      <c r="BI273" s="263"/>
      <c r="BJ273" s="404">
        <f>altaz(J2000_Bas,$O273,$M273,DecLat,DecLong,2)</f>
        <v>319.07592806310976</v>
      </c>
      <c r="BK273" s="378" t="s">
        <v>367</v>
      </c>
      <c r="BL273" s="379">
        <f>IF((2*G273)/60&lt;0.2,0.2,(2*G273)/60)</f>
        <v>0.2</v>
      </c>
      <c r="BM273" s="380">
        <f>MOD((50000+AD273-$B$3+(0/24)),1)</f>
        <v>0.66928536275372608</v>
      </c>
      <c r="BN273" s="381"/>
      <c r="BO273" s="382">
        <v>273</v>
      </c>
    </row>
    <row r="274" spans="1:67" s="24" customFormat="1" ht="15" customHeight="1" x14ac:dyDescent="0.25">
      <c r="A274" s="288" t="s">
        <v>369</v>
      </c>
      <c r="B274" s="241" t="str">
        <f>HYPERLINK(CONCATENATE($AT$3,BK274,$AU$3),$AV$3)</f>
        <v>S</v>
      </c>
      <c r="C274" s="242" t="str">
        <f>HYPERLINK(CONCATENATE($AT$4,BK274,$AU$4,BL274),$AV$4)</f>
        <v>A</v>
      </c>
      <c r="D274" s="243" t="s">
        <v>5638</v>
      </c>
      <c r="E274" s="244" t="s">
        <v>5337</v>
      </c>
      <c r="F274" s="269" t="s">
        <v>9129</v>
      </c>
      <c r="G274" s="273">
        <v>1.3</v>
      </c>
      <c r="H274" s="283">
        <v>370</v>
      </c>
      <c r="I274" s="246">
        <v>140</v>
      </c>
      <c r="J274" s="246">
        <v>2</v>
      </c>
      <c r="K274" s="247" t="s">
        <v>4227</v>
      </c>
      <c r="L274" s="248">
        <v>123942</v>
      </c>
      <c r="M274" s="249">
        <f>15*(LEFT(TEXT($L274,"000000"),2)+(MID(TEXT($L274,"000000"),3,2)/60)+(RIGHT(TEXT($L274,"000000"),2)/3600))</f>
        <v>189.92500000000001</v>
      </c>
      <c r="N274" s="250">
        <v>163500</v>
      </c>
      <c r="O274" s="251">
        <f>IF($N274&gt;0,(LEFT(TEXT($N274,"000000"),2)+(MID(TEXT($N274,"000000"),3,2)/60)+(RIGHT(TEXT($N274,"000000"),2)/3600)),-(MID(TEXT($N274,"000000"),2,2)+(MID(TEXT($N274,"000000"),4,2)/60)+(RIGHT(TEXT($N274,"000000"),2)/3600)))</f>
        <v>16.583333333333332</v>
      </c>
      <c r="P274" s="252" t="s">
        <v>190</v>
      </c>
      <c r="Q274" s="253"/>
      <c r="R274" s="247" t="s">
        <v>3722</v>
      </c>
      <c r="S274" s="272" t="s">
        <v>3293</v>
      </c>
      <c r="T274" s="273">
        <v>15.1</v>
      </c>
      <c r="U274" s="289">
        <v>21.89</v>
      </c>
      <c r="V274" s="280"/>
      <c r="W274" s="244"/>
      <c r="X274" s="244"/>
      <c r="Y274" s="362"/>
      <c r="Z274" s="257">
        <f>altaz(J2000_Bas,$O274,$M274,DecLat,DecLong,1)</f>
        <v>3.4408668685460992</v>
      </c>
      <c r="AA274" s="257">
        <f>altaz((J2000_Bas+(2*0.04167)),$O274,$M274,DecLat,DecLong,1)</f>
        <v>-19.7402285875418</v>
      </c>
      <c r="AB274" s="257">
        <f>altaz((J2000_Bas+(4*0.04167)),$O274,$M274,DecLat,DecLong,1)</f>
        <v>-37.223473252614248</v>
      </c>
      <c r="AC274" s="257">
        <f>altaz((J2000_Bas+(6*0.04167)),$O274,$M274,DecLat,DecLong,1)</f>
        <v>-42.029003418908943</v>
      </c>
      <c r="AD274" s="258">
        <f>1+ transit((J2000_Bas-1),$O274,$M274,DecLat,DecLong)/360 + (GMTOffset/24) + (IF(DST="Y", 1, 0)/24)</f>
        <v>1.5204693523172079</v>
      </c>
      <c r="AE274" s="259">
        <f>DATE(2001,9,21)+(M274/360)*365 - (360*((DecLong/360)- (GMTOffset/24) ))</f>
        <v>37352.562847222223</v>
      </c>
      <c r="AF274" s="260">
        <f>IF(DecLat&gt;0,IF((90 - (DecLat-O274))&gt;90, (90 - (O274-DecLat)), (90 - (DecLat-O274))),IF((90 + (DecLat-O274))&gt;90, (90 + (O274-DecLat)), (90 + (DecLat-O274))))</f>
        <v>75.583333333333329</v>
      </c>
      <c r="AG274" s="257">
        <f>angularseperation(MoonRA,MoonDec,$M274,$O274)</f>
        <v>72.212566190218624</v>
      </c>
      <c r="AH274" s="261">
        <f ca="1">MIN(100,IF($O$5&gt;80,0+30*($AG274/100),IF($O$5&gt;70,0+50*($AG274/100),IF($O$5&gt;60,5+50*($AG274/100),IF($O$5&gt;50,10+60*($AG274/100),IF($O$5&gt;40,15+70*($AG274/100),IF($O$5&gt;30,20+70*($AG274/100),IF($O$5&gt;20,40+55*($AG274/100),(80+(20-$O$5)+30*($AG274/100))))))))))</f>
        <v>100</v>
      </c>
      <c r="AI274" s="262"/>
      <c r="AJ274" s="262">
        <v>803</v>
      </c>
      <c r="AK274" s="262"/>
      <c r="AL274" s="263"/>
      <c r="AM274" s="264"/>
      <c r="AN274" s="263">
        <v>149</v>
      </c>
      <c r="AO274" s="263"/>
      <c r="AP274" s="265"/>
      <c r="AQ274" s="266"/>
      <c r="AR274" s="267">
        <v>42367</v>
      </c>
      <c r="AS274" s="263"/>
      <c r="AT274" s="263"/>
      <c r="AU274" s="263"/>
      <c r="AV274" s="264"/>
      <c r="AW274" s="263"/>
      <c r="AX274" s="263"/>
      <c r="AY274" s="263"/>
      <c r="AZ274" s="263"/>
      <c r="BA274" s="263"/>
      <c r="BB274" s="263"/>
      <c r="BC274" s="263"/>
      <c r="BD274" s="264"/>
      <c r="BE274" s="263"/>
      <c r="BF274" s="263"/>
      <c r="BG274" s="263"/>
      <c r="BH274" s="263"/>
      <c r="BI274" s="263"/>
      <c r="BJ274" s="404">
        <f>altaz(J2000_Bas,$O274,$M274,DecLat,DecLong,2)</f>
        <v>287.30402202295147</v>
      </c>
      <c r="BK274" s="378" t="s">
        <v>369</v>
      </c>
      <c r="BL274" s="379">
        <f>IF((2*G274)/60&lt;0.2,0.2,(2*G274)/60)</f>
        <v>0.2</v>
      </c>
      <c r="BM274" s="380">
        <f>MOD((50000+AD274-$B$3+(0/24)),1)</f>
        <v>0.7358362820232287</v>
      </c>
      <c r="BN274" s="381" t="s">
        <v>9219</v>
      </c>
      <c r="BO274" s="382">
        <v>274</v>
      </c>
    </row>
    <row r="275" spans="1:67" s="24" customFormat="1" ht="15" customHeight="1" x14ac:dyDescent="0.25">
      <c r="A275" s="288" t="s">
        <v>370</v>
      </c>
      <c r="B275" s="241" t="str">
        <f>HYPERLINK(CONCATENATE($AT$3,BK275,$AU$3),$AV$3)</f>
        <v>S</v>
      </c>
      <c r="C275" s="242" t="str">
        <f>HYPERLINK(CONCATENATE($AT$4,BK275,$AU$4,BL275),$AV$4)</f>
        <v>A</v>
      </c>
      <c r="D275" s="243" t="s">
        <v>5638</v>
      </c>
      <c r="E275" s="244" t="s">
        <v>5625</v>
      </c>
      <c r="F275" s="290" t="s">
        <v>9144</v>
      </c>
      <c r="G275" s="294">
        <v>0.8</v>
      </c>
      <c r="H275" s="283">
        <v>550</v>
      </c>
      <c r="I275" s="284">
        <v>120</v>
      </c>
      <c r="J275" s="295">
        <v>3</v>
      </c>
      <c r="K275" s="247" t="s">
        <v>6235</v>
      </c>
      <c r="L275" s="248">
        <v>231928</v>
      </c>
      <c r="M275" s="249">
        <f>15*(LEFT(TEXT($L275,"000000"),2)+(MID(TEXT($L275,"000000"),3,2)/60)+(RIGHT(TEXT($L275,"000000"),2)/3600))</f>
        <v>349.86666666666667</v>
      </c>
      <c r="N275" s="250">
        <v>93000</v>
      </c>
      <c r="O275" s="251">
        <f>IF($N275&gt;0,(LEFT(TEXT($N275,"000000"),2)+(MID(TEXT($N275,"000000"),3,2)/60)+(RIGHT(TEXT($N275,"000000"),2)/3600)),-(MID(TEXT($N275,"000000"),2,2)+(MID(TEXT($N275,"000000"),4,2)/60)+(RIGHT(TEXT($N275,"000000"),2)/3600)))</f>
        <v>9.5</v>
      </c>
      <c r="P275" s="252" t="s">
        <v>39</v>
      </c>
      <c r="Q275" s="253"/>
      <c r="R275" s="292" t="s">
        <v>4301</v>
      </c>
      <c r="S275" s="272" t="s">
        <v>3293</v>
      </c>
      <c r="T275" s="273">
        <v>11.9</v>
      </c>
      <c r="U275" s="289">
        <v>21.4</v>
      </c>
      <c r="V275" s="280"/>
      <c r="W275" s="244"/>
      <c r="X275" s="244"/>
      <c r="Y275" s="362"/>
      <c r="Z275" s="257">
        <f>altaz(J2000_Bas,$O275,$M275,DecLat,DecLong,1)</f>
        <v>27.22023259222378</v>
      </c>
      <c r="AA275" s="257">
        <f>altaz((J2000_Bas+(2*0.04167)),$O275,$M275,DecLat,DecLong,1)</f>
        <v>51.970913467628407</v>
      </c>
      <c r="AB275" s="257">
        <f>altaz((J2000_Bas+(4*0.04167)),$O275,$M275,DecLat,DecLong,1)</f>
        <v>68.226920259534168</v>
      </c>
      <c r="AC275" s="257">
        <f>altaz((J2000_Bas+(6*0.04167)),$O275,$M275,DecLat,DecLong,1)</f>
        <v>57.385852212028503</v>
      </c>
      <c r="AD275" s="258">
        <f>1+ transit((J2000_Bas-1),$O275,$M275,DecLat,DecLong)/360 + (GMTOffset/24) + (IF(DST="Y", 1, 0)/24)</f>
        <v>1.9647517152963745</v>
      </c>
      <c r="AE275" s="259">
        <f>DATE(2001,9,21)+(M275/360)*365 - (360*((DecLong/360)- (GMTOffset/24) ))</f>
        <v>37514.725925925923</v>
      </c>
      <c r="AF275" s="260">
        <f>IF(DecLat&gt;0,IF((90 - (DecLat-O275))&gt;90, (90 - (O275-DecLat)), (90 - (DecLat-O275))),IF((90 + (DecLat-O275))&gt;90, (90 + (O275-DecLat)), (90 + (DecLat-O275))))</f>
        <v>68.5</v>
      </c>
      <c r="AG275" s="257">
        <f>angularseperation(MoonRA,MoonDec,$M275,$O275)</f>
        <v>103.71259315820859</v>
      </c>
      <c r="AH275" s="261">
        <f ca="1">MIN(100,IF($O$5&gt;80,0+30*($AG275/100),IF($O$5&gt;70,0+50*($AG275/100),IF($O$5&gt;60,5+50*($AG275/100),IF($O$5&gt;50,10+60*($AG275/100),IF($O$5&gt;40,15+70*($AG275/100),IF($O$5&gt;30,20+70*($AG275/100),IF($O$5&gt;20,40+55*($AG275/100),(80+(20-$O$5)+30*($AG275/100))))))))))</f>
        <v>100</v>
      </c>
      <c r="AI275" s="262">
        <v>7609</v>
      </c>
      <c r="AJ275" s="262"/>
      <c r="AK275" s="262"/>
      <c r="AL275" s="263"/>
      <c r="AM275" s="264"/>
      <c r="AN275" s="263">
        <v>150</v>
      </c>
      <c r="AO275" s="263">
        <v>95</v>
      </c>
      <c r="AP275" s="265"/>
      <c r="AQ275" s="266"/>
      <c r="AR275" s="267">
        <v>71076</v>
      </c>
      <c r="AS275" s="263"/>
      <c r="AT275" s="263"/>
      <c r="AU275" s="263"/>
      <c r="AV275" s="264"/>
      <c r="AW275" s="263"/>
      <c r="AX275" s="263"/>
      <c r="AY275" s="263"/>
      <c r="AZ275" s="263"/>
      <c r="BA275" s="263"/>
      <c r="BB275" s="263"/>
      <c r="BC275" s="263"/>
      <c r="BD275" s="264"/>
      <c r="BE275" s="263"/>
      <c r="BF275" s="263"/>
      <c r="BG275" s="263"/>
      <c r="BH275" s="263">
        <v>60</v>
      </c>
      <c r="BI275" s="263"/>
      <c r="BJ275" s="404">
        <f>altaz(J2000_Bas,$O275,$M275,DecLat,DecLong,2)</f>
        <v>95.30969297622589</v>
      </c>
      <c r="BK275" s="378" t="s">
        <v>4092</v>
      </c>
      <c r="BL275" s="379">
        <f>IF((2*G275)/60&lt;0.2,0.2,(2*G275)/60)</f>
        <v>0.2</v>
      </c>
      <c r="BM275" s="380">
        <f>MOD((50000+AD275-$B$3+(0/24)),1)</f>
        <v>0.18011864500294905</v>
      </c>
      <c r="BN275" s="381"/>
      <c r="BO275" s="382">
        <v>275</v>
      </c>
    </row>
    <row r="276" spans="1:67" s="24" customFormat="1" ht="15" customHeight="1" x14ac:dyDescent="0.25">
      <c r="A276" s="288" t="s">
        <v>371</v>
      </c>
      <c r="B276" s="241" t="str">
        <f>HYPERLINK(CONCATENATE($AT$3,BK276,$AU$3),$AV$3)</f>
        <v>S</v>
      </c>
      <c r="C276" s="242" t="str">
        <f>HYPERLINK(CONCATENATE($AT$4,BK276,$AU$4,BL276),$AV$4)</f>
        <v>A</v>
      </c>
      <c r="D276" s="243" t="s">
        <v>5638</v>
      </c>
      <c r="E276" s="244" t="s">
        <v>5337</v>
      </c>
      <c r="F276" s="269" t="s">
        <v>9145</v>
      </c>
      <c r="G276" s="273">
        <v>1.3</v>
      </c>
      <c r="H276" s="283">
        <v>300</v>
      </c>
      <c r="I276" s="246">
        <v>110</v>
      </c>
      <c r="J276" s="246">
        <v>2</v>
      </c>
      <c r="K276" s="247" t="s">
        <v>4228</v>
      </c>
      <c r="L276" s="248">
        <v>112536</v>
      </c>
      <c r="M276" s="249">
        <f>15*(LEFT(TEXT($L276,"000000"),2)+(MID(TEXT($L276,"000000"),3,2)/60)+(RIGHT(TEXT($L276,"000000"),2)/3600))</f>
        <v>171.39999999999998</v>
      </c>
      <c r="N276" s="250">
        <v>542200</v>
      </c>
      <c r="O276" s="251">
        <f>IF($N276&gt;0,(LEFT(TEXT($N276,"000000"),2)+(MID(TEXT($N276,"000000"),3,2)/60)+(RIGHT(TEXT($N276,"000000"),2)/3600)),-(MID(TEXT($N276,"000000"),2,2)+(MID(TEXT($N276,"000000"),4,2)/60)+(RIGHT(TEXT($N276,"000000"),2)/3600)))</f>
        <v>54.366666666666667</v>
      </c>
      <c r="P276" s="252" t="s">
        <v>37</v>
      </c>
      <c r="Q276" s="253"/>
      <c r="R276" s="247" t="s">
        <v>3293</v>
      </c>
      <c r="S276" s="272" t="s">
        <v>372</v>
      </c>
      <c r="T276" s="273">
        <v>16.5</v>
      </c>
      <c r="U276" s="274"/>
      <c r="V276" s="280"/>
      <c r="W276" s="244"/>
      <c r="X276" s="244"/>
      <c r="Y276" s="362"/>
      <c r="Z276" s="257">
        <f>altaz(J2000_Bas,$O276,$M276,DecLat,DecLong,1)</f>
        <v>12.163338029472355</v>
      </c>
      <c r="AA276" s="257">
        <f>altaz((J2000_Bas+(2*0.04167)),$O276,$M276,DecLat,DecLong,1)</f>
        <v>0.63619219832809804</v>
      </c>
      <c r="AB276" s="257">
        <f>altaz((J2000_Bas+(4*0.04167)),$O276,$M276,DecLat,DecLong,1)</f>
        <v>-4.5139117564858386</v>
      </c>
      <c r="AC276" s="257">
        <f>altaz((J2000_Bas+(6*0.04167)),$O276,$M276,DecLat,DecLong,1)</f>
        <v>-1.978165203685412</v>
      </c>
      <c r="AD276" s="258">
        <f>1+ transit((J2000_Bas-1),$O276,$M276,DecLat,DecLong)/360 + (GMTOffset/24) + (IF(DST="Y", 1, 0)/24)</f>
        <v>1.4690110241297079</v>
      </c>
      <c r="AE276" s="259">
        <f>DATE(2001,9,21)+(M276/360)*365 - (360*((DecLong/360)- (GMTOffset/24) ))</f>
        <v>37333.780555555553</v>
      </c>
      <c r="AF276" s="260">
        <f>IF(DecLat&gt;0,IF((90 - (DecLat-O276))&gt;90, (90 - (O276-DecLat)), (90 - (DecLat-O276))),IF((90 + (DecLat-O276))&gt;90, (90 + (O276-DecLat)), (90 + (DecLat-O276))))</f>
        <v>66.633333333333326</v>
      </c>
      <c r="AG276" s="257">
        <f>angularseperation(MoonRA,MoonDec,$M276,$O276)</f>
        <v>105.11775733547094</v>
      </c>
      <c r="AH276" s="261">
        <f ca="1">MIN(100,IF($O$5&gt;80,0+30*($AG276/100),IF($O$5&gt;70,0+50*($AG276/100),IF($O$5&gt;60,5+50*($AG276/100),IF($O$5&gt;50,10+60*($AG276/100),IF($O$5&gt;40,15+70*($AG276/100),IF($O$5&gt;30,20+70*($AG276/100),IF($O$5&gt;20,40+55*($AG276/100),(80+(20-$O$5)+30*($AG276/100))))))))))</f>
        <v>100</v>
      </c>
      <c r="AI276" s="262"/>
      <c r="AJ276" s="262"/>
      <c r="AK276" s="262"/>
      <c r="AL276" s="263"/>
      <c r="AM276" s="264"/>
      <c r="AN276" s="263">
        <v>151</v>
      </c>
      <c r="AO276" s="263"/>
      <c r="AP276" s="265"/>
      <c r="AQ276" s="266"/>
      <c r="AR276" s="267">
        <v>35129</v>
      </c>
      <c r="AS276" s="263"/>
      <c r="AT276" s="263"/>
      <c r="AU276" s="263"/>
      <c r="AV276" s="264"/>
      <c r="AW276" s="263"/>
      <c r="AX276" s="263"/>
      <c r="AY276" s="263"/>
      <c r="AZ276" s="263"/>
      <c r="BA276" s="263"/>
      <c r="BB276" s="263"/>
      <c r="BC276" s="263"/>
      <c r="BD276" s="264"/>
      <c r="BE276" s="263"/>
      <c r="BF276" s="263"/>
      <c r="BG276" s="263"/>
      <c r="BH276" s="263"/>
      <c r="BI276" s="263"/>
      <c r="BJ276" s="404">
        <f>altaz(J2000_Bas,$O276,$M276,DecLat,DecLong,2)</f>
        <v>327.18892879420758</v>
      </c>
      <c r="BK276" s="378" t="s">
        <v>371</v>
      </c>
      <c r="BL276" s="379">
        <f>IF((2*G276)/60&lt;0.2,0.2,(2*G276)/60)</f>
        <v>0.2</v>
      </c>
      <c r="BM276" s="380">
        <f>MOD((50000+AD276-$B$3+(0/24)),1)</f>
        <v>0.68437795383215416</v>
      </c>
      <c r="BN276" s="381"/>
      <c r="BO276" s="382">
        <v>276</v>
      </c>
    </row>
    <row r="277" spans="1:67" s="24" customFormat="1" ht="15" customHeight="1" x14ac:dyDescent="0.25">
      <c r="A277" s="288" t="s">
        <v>372</v>
      </c>
      <c r="B277" s="241" t="str">
        <f>HYPERLINK(CONCATENATE($AT$3,BK277,$AU$3),$AV$3)</f>
        <v>S</v>
      </c>
      <c r="C277" s="242" t="str">
        <f>HYPERLINK(CONCATENATE($AT$4,BK277,$AU$4,BL277),$AV$4)</f>
        <v>A</v>
      </c>
      <c r="D277" s="243" t="s">
        <v>5638</v>
      </c>
      <c r="E277" s="244" t="s">
        <v>5337</v>
      </c>
      <c r="F277" s="269" t="s">
        <v>3316</v>
      </c>
      <c r="G277" s="273">
        <v>1.7</v>
      </c>
      <c r="H277" s="283">
        <v>130</v>
      </c>
      <c r="I277" s="246">
        <v>70</v>
      </c>
      <c r="J277" s="246">
        <v>2</v>
      </c>
      <c r="K277" s="247" t="s">
        <v>4229</v>
      </c>
      <c r="L277" s="248">
        <v>112338</v>
      </c>
      <c r="M277" s="249">
        <f>15*(LEFT(TEXT($L277,"000000"),2)+(MID(TEXT($L277,"000000"),3,2)/60)+(RIGHT(TEXT($L277,"000000"),2)/3600))</f>
        <v>170.90833333333333</v>
      </c>
      <c r="N277" s="250">
        <v>535000</v>
      </c>
      <c r="O277" s="251">
        <f>IF($N277&gt;0,(LEFT(TEXT($N277,"000000"),2)+(MID(TEXT($N277,"000000"),3,2)/60)+(RIGHT(TEXT($N277,"000000"),2)/3600)),-(MID(TEXT($N277,"000000"),2,2)+(MID(TEXT($N277,"000000"),4,2)/60)+(RIGHT(TEXT($N277,"000000"),2)/3600)))</f>
        <v>53.833333333333336</v>
      </c>
      <c r="P277" s="252" t="s">
        <v>37</v>
      </c>
      <c r="Q277" s="253"/>
      <c r="R277" s="247" t="s">
        <v>3558</v>
      </c>
      <c r="S277" s="272" t="s">
        <v>371</v>
      </c>
      <c r="T277" s="273">
        <v>12.3</v>
      </c>
      <c r="U277" s="289">
        <v>22.29</v>
      </c>
      <c r="V277" s="280"/>
      <c r="W277" s="244"/>
      <c r="X277" s="244"/>
      <c r="Y277" s="362"/>
      <c r="Z277" s="257">
        <f>altaz(J2000_Bas,$O277,$M277,DecLat,DecLong,1)</f>
        <v>11.610561980059549</v>
      </c>
      <c r="AA277" s="257">
        <f>altaz((J2000_Bas+(2*0.04167)),$O277,$M277,DecLat,DecLong,1)</f>
        <v>3.0041295516803457E-2</v>
      </c>
      <c r="AB277" s="257">
        <f>altaz((J2000_Bas+(4*0.04167)),$O277,$M277,DecLat,DecLong,1)</f>
        <v>-5.0672889641278687</v>
      </c>
      <c r="AC277" s="257">
        <f>altaz((J2000_Bas+(6*0.04167)),$O277,$M277,DecLat,DecLong,1)</f>
        <v>-2.3700169103734754</v>
      </c>
      <c r="AD277" s="258">
        <f>1+ transit((J2000_Bas-1),$O277,$M277,DecLat,DecLong)/360 + (GMTOffset/24) + (IF(DST="Y", 1, 0)/24)</f>
        <v>1.4676452835255414</v>
      </c>
      <c r="AE277" s="259">
        <f>DATE(2001,9,21)+(M277/360)*365 - (360*((DecLong/360)- (GMTOffset/24) ))</f>
        <v>37333.282060185185</v>
      </c>
      <c r="AF277" s="260">
        <f>IF(DecLat&gt;0,IF((90 - (DecLat-O277))&gt;90, (90 - (O277-DecLat)), (90 - (DecLat-O277))),IF((90 + (DecLat-O277))&gt;90, (90 + (O277-DecLat)), (90 + (DecLat-O277))))</f>
        <v>67.166666666666657</v>
      </c>
      <c r="AG277" s="257">
        <f>angularseperation(MoonRA,MoonDec,$M277,$O277)</f>
        <v>105.14818504806722</v>
      </c>
      <c r="AH277" s="261">
        <f ca="1">MIN(100,IF($O$5&gt;80,0+30*($AG277/100),IF($O$5&gt;70,0+50*($AG277/100),IF($O$5&gt;60,5+50*($AG277/100),IF($O$5&gt;50,10+60*($AG277/100),IF($O$5&gt;40,15+70*($AG277/100),IF($O$5&gt;30,20+70*($AG277/100),IF($O$5&gt;20,40+55*($AG277/100),(80+(20-$O$5)+30*($AG277/100))))))))))</f>
        <v>100</v>
      </c>
      <c r="AI277" s="262">
        <v>3656</v>
      </c>
      <c r="AJ277" s="262"/>
      <c r="AK277" s="262"/>
      <c r="AL277" s="263"/>
      <c r="AM277" s="264"/>
      <c r="AN277" s="263">
        <v>155</v>
      </c>
      <c r="AO277" s="263"/>
      <c r="AP277" s="265"/>
      <c r="AQ277" s="266">
        <v>6403</v>
      </c>
      <c r="AR277" s="267">
        <v>34989</v>
      </c>
      <c r="AS277" s="263"/>
      <c r="AT277" s="263"/>
      <c r="AU277" s="263"/>
      <c r="AV277" s="264"/>
      <c r="AW277" s="263"/>
      <c r="AX277" s="263"/>
      <c r="AY277" s="263"/>
      <c r="AZ277" s="263"/>
      <c r="BA277" s="263"/>
      <c r="BB277" s="263"/>
      <c r="BC277" s="263"/>
      <c r="BD277" s="264"/>
      <c r="BE277" s="263"/>
      <c r="BF277" s="263"/>
      <c r="BG277" s="263"/>
      <c r="BH277" s="263">
        <v>108</v>
      </c>
      <c r="BI277" s="263"/>
      <c r="BJ277" s="404">
        <f>altaz(J2000_Bas,$O277,$M277,DecLat,DecLong,2)</f>
        <v>326.93448246206964</v>
      </c>
      <c r="BK277" s="378" t="s">
        <v>372</v>
      </c>
      <c r="BL277" s="379">
        <f>IF((2*G277)/60&lt;0.2,0.2,(2*G277)/60)</f>
        <v>0.2</v>
      </c>
      <c r="BM277" s="380">
        <f>MOD((50000+AD277-$B$3+(0/24)),1)</f>
        <v>0.68301221323054051</v>
      </c>
      <c r="BN277" s="381" t="s">
        <v>9281</v>
      </c>
      <c r="BO277" s="382">
        <v>277</v>
      </c>
    </row>
    <row r="278" spans="1:67" s="24" customFormat="1" ht="15" customHeight="1" x14ac:dyDescent="0.25">
      <c r="A278" s="288" t="s">
        <v>373</v>
      </c>
      <c r="B278" s="241" t="str">
        <f>HYPERLINK(CONCATENATE($AT$3,BK278,$AU$3),$AV$3)</f>
        <v>S</v>
      </c>
      <c r="C278" s="242" t="str">
        <f>HYPERLINK(CONCATENATE($AT$4,BK278,$AU$4,BL278),$AV$4)</f>
        <v>A</v>
      </c>
      <c r="D278" s="243" t="s">
        <v>5638</v>
      </c>
      <c r="E278" s="244" t="s">
        <v>5337</v>
      </c>
      <c r="F278" s="269" t="s">
        <v>9132</v>
      </c>
      <c r="G278" s="270">
        <v>0.6</v>
      </c>
      <c r="H278" s="283">
        <v>500</v>
      </c>
      <c r="I278" s="246">
        <v>90</v>
      </c>
      <c r="J278" s="246">
        <v>3</v>
      </c>
      <c r="K278" s="247" t="s">
        <v>4230</v>
      </c>
      <c r="L278" s="248">
        <v>104238</v>
      </c>
      <c r="M278" s="249">
        <f>15*(LEFT(TEXT($L278,"000000"),2)+(MID(TEXT($L278,"000000"),3,2)/60)+(RIGHT(TEXT($L278,"000000"),2)/3600))</f>
        <v>160.65833333333333</v>
      </c>
      <c r="N278" s="250">
        <v>772900</v>
      </c>
      <c r="O278" s="251">
        <f>IF($N278&gt;0,(LEFT(TEXT($N278,"000000"),2)+(MID(TEXT($N278,"000000"),3,2)/60)+(RIGHT(TEXT($N278,"000000"),2)/3600)),-(MID(TEXT($N278,"000000"),2,2)+(MID(TEXT($N278,"000000"),4,2)/60)+(RIGHT(TEXT($N278,"000000"),2)/3600)))</f>
        <v>77.483333333333334</v>
      </c>
      <c r="P278" s="252" t="s">
        <v>34</v>
      </c>
      <c r="Q278" s="253"/>
      <c r="R278" s="247" t="s">
        <v>3293</v>
      </c>
      <c r="S278" s="272" t="s">
        <v>3293</v>
      </c>
      <c r="T278" s="273">
        <v>14.8</v>
      </c>
      <c r="U278" s="274"/>
      <c r="V278" s="280"/>
      <c r="W278" s="244"/>
      <c r="X278" s="244"/>
      <c r="Y278" s="362"/>
      <c r="Z278" s="257">
        <f>altaz(J2000_Bas,$O278,$M278,DecLat,DecLong,1)</f>
        <v>23.286701470423107</v>
      </c>
      <c r="AA278" s="257">
        <f>altaz((J2000_Bas+(2*0.04167)),$O278,$M278,DecLat,DecLong,1)</f>
        <v>19.502679803180513</v>
      </c>
      <c r="AB278" s="257">
        <f>altaz((J2000_Bas+(4*0.04167)),$O278,$M278,DecLat,DecLong,1)</f>
        <v>18.535259600777803</v>
      </c>
      <c r="AC278" s="257">
        <f>altaz((J2000_Bas+(6*0.04167)),$O278,$M278,DecLat,DecLong,1)</f>
        <v>20.594074516268446</v>
      </c>
      <c r="AD278" s="258">
        <f>1+ transit((J2000_Bas-1),$O278,$M278,DecLat,DecLong)/360 + (GMTOffset/24) + (IF(DST="Y", 1, 0)/24)</f>
        <v>1.4391730641505414</v>
      </c>
      <c r="AE278" s="259">
        <f>DATE(2001,9,21)+(M278/360)*365 - (360*((DecLong/360)- (GMTOffset/24) ))</f>
        <v>37322.889699074076</v>
      </c>
      <c r="AF278" s="260">
        <f>IF(DecLat&gt;0,IF((90 - (DecLat-O278))&gt;90, (90 - (O278-DecLat)), (90 - (DecLat-O278))),IF((90 + (DecLat-O278))&gt;90, (90 + (O278-DecLat)), (90 + (DecLat-O278))))</f>
        <v>43.516666666666666</v>
      </c>
      <c r="AG278" s="257">
        <f>angularseperation(MoonRA,MoonDec,$M278,$O278)</f>
        <v>116.08518970815442</v>
      </c>
      <c r="AH278" s="261">
        <f ca="1">MIN(100,IF($O$5&gt;80,0+30*($AG278/100),IF($O$5&gt;70,0+50*($AG278/100),IF($O$5&gt;60,5+50*($AG278/100),IF($O$5&gt;50,10+60*($AG278/100),IF($O$5&gt;40,15+70*($AG278/100),IF($O$5&gt;30,20+70*($AG278/100),IF($O$5&gt;20,40+55*($AG278/100),(80+(20-$O$5)+30*($AG278/100))))))))))</f>
        <v>100</v>
      </c>
      <c r="AI278" s="262"/>
      <c r="AJ278" s="262"/>
      <c r="AK278" s="262"/>
      <c r="AL278" s="263"/>
      <c r="AM278" s="264"/>
      <c r="AN278" s="263">
        <v>156</v>
      </c>
      <c r="AO278" s="263"/>
      <c r="AP278" s="265"/>
      <c r="AQ278" s="266">
        <v>5814</v>
      </c>
      <c r="AR278" s="267">
        <v>31916</v>
      </c>
      <c r="AS278" s="263"/>
      <c r="AT278" s="263"/>
      <c r="AU278" s="263"/>
      <c r="AV278" s="264"/>
      <c r="AW278" s="263"/>
      <c r="AX278" s="263"/>
      <c r="AY278" s="263"/>
      <c r="AZ278" s="263"/>
      <c r="BA278" s="263"/>
      <c r="BB278" s="263"/>
      <c r="BC278" s="263"/>
      <c r="BD278" s="264"/>
      <c r="BE278" s="263"/>
      <c r="BF278" s="263"/>
      <c r="BG278" s="263"/>
      <c r="BH278" s="263"/>
      <c r="BI278" s="263"/>
      <c r="BJ278" s="404">
        <f>altaz(J2000_Bas,$O278,$M278,DecLat,DecLong,2)</f>
        <v>348.90377373921177</v>
      </c>
      <c r="BK278" s="378" t="s">
        <v>373</v>
      </c>
      <c r="BL278" s="379">
        <f>IF((2*G278)/60&lt;0.2,0.2,(2*G278)/60)</f>
        <v>0.2</v>
      </c>
      <c r="BM278" s="380">
        <f>MOD((50000+AD278-$B$3+(0/24)),1)</f>
        <v>0.65453999385499628</v>
      </c>
      <c r="BN278" s="381" t="s">
        <v>9281</v>
      </c>
      <c r="BO278" s="382">
        <v>278</v>
      </c>
    </row>
    <row r="279" spans="1:67" s="24" customFormat="1" ht="15" customHeight="1" x14ac:dyDescent="0.25">
      <c r="A279" s="288" t="s">
        <v>374</v>
      </c>
      <c r="B279" s="241" t="str">
        <f>HYPERLINK(CONCATENATE($AT$3,BK279,$AU$3),$AV$3)</f>
        <v>S</v>
      </c>
      <c r="C279" s="242" t="str">
        <f>HYPERLINK(CONCATENATE($AT$4,BK279,$AU$4,BL279),$AV$4)</f>
        <v>A</v>
      </c>
      <c r="D279" s="243" t="s">
        <v>5638</v>
      </c>
      <c r="E279" s="244" t="s">
        <v>5337</v>
      </c>
      <c r="F279" s="269" t="s">
        <v>9132</v>
      </c>
      <c r="G279" s="273">
        <v>4</v>
      </c>
      <c r="H279" s="283">
        <v>80</v>
      </c>
      <c r="I279" s="246">
        <v>100</v>
      </c>
      <c r="J279" s="246">
        <v>4</v>
      </c>
      <c r="K279" s="247" t="s">
        <v>4231</v>
      </c>
      <c r="L279" s="248">
        <v>12435</v>
      </c>
      <c r="M279" s="249">
        <f>15*(LEFT(TEXT($L279,"000000"),2)+(MID(TEXT($L279,"000000"),3,2)/60)+(RIGHT(TEXT($L279,"000000"),2)/3600))</f>
        <v>21.145833333333332</v>
      </c>
      <c r="N279" s="250">
        <v>34700</v>
      </c>
      <c r="O279" s="251">
        <f>IF($N279&gt;0,(LEFT(TEXT($N279,"000000"),2)+(MID(TEXT($N279,"000000"),3,2)/60)+(RIGHT(TEXT($N279,"000000"),2)/3600)),-(MID(TEXT($N279,"000000"),2,2)+(MID(TEXT($N279,"000000"),4,2)/60)+(RIGHT(TEXT($N279,"000000"),2)/3600)))</f>
        <v>3.7833333333333332</v>
      </c>
      <c r="P279" s="252" t="s">
        <v>158</v>
      </c>
      <c r="Q279" s="253"/>
      <c r="R279" s="247" t="s">
        <v>3464</v>
      </c>
      <c r="S279" s="272" t="s">
        <v>3293</v>
      </c>
      <c r="T279" s="273">
        <v>11.4</v>
      </c>
      <c r="U279" s="289">
        <v>22.09</v>
      </c>
      <c r="V279" s="280"/>
      <c r="W279" s="244"/>
      <c r="X279" s="244"/>
      <c r="Y279" s="362"/>
      <c r="Z279" s="257">
        <f>altaz(J2000_Bas,$O279,$M279,DecLat,DecLong,1)</f>
        <v>-2.4466738216997972</v>
      </c>
      <c r="AA279" s="257">
        <f>altaz((J2000_Bas+(2*0.04167)),$O279,$M279,DecLat,DecLong,1)</f>
        <v>23.244480349109736</v>
      </c>
      <c r="AB279" s="257">
        <f>altaz((J2000_Bas+(4*0.04167)),$O279,$M279,DecLat,DecLong,1)</f>
        <v>47.292496402866199</v>
      </c>
      <c r="AC279" s="257">
        <f>altaz((J2000_Bas+(6*0.04167)),$O279,$M279,DecLat,DecLong,1)</f>
        <v>62.39594456889899</v>
      </c>
      <c r="AD279" s="258">
        <f>1+ transit((J2000_Bas-1),$O279,$M279,DecLat,DecLong)/360 + (GMTOffset/24) + (IF(DST="Y", 1, 0)/24)</f>
        <v>1.0516383806817913</v>
      </c>
      <c r="AE279" s="259">
        <f>DATE(2001,9,21)+(M279/360)*365 - (360*((DecLong/360)- (GMTOffset/24) ))</f>
        <v>37181.439525462964</v>
      </c>
      <c r="AF279" s="260">
        <f>IF(DecLat&gt;0,IF((90 - (DecLat-O279))&gt;90, (90 - (O279-DecLat)), (90 - (DecLat-O279))),IF((90 + (DecLat-O279))&gt;90, (90 + (O279-DecLat)), (90 + (DecLat-O279))))</f>
        <v>62.783333333333331</v>
      </c>
      <c r="AG279" s="257">
        <f>angularseperation(MoonRA,MoonDec,$M279,$O279)</f>
        <v>128.56405535904696</v>
      </c>
      <c r="AH279" s="261">
        <f ca="1">MIN(100,IF($O$5&gt;80,0+30*($AG279/100),IF($O$5&gt;70,0+50*($AG279/100),IF($O$5&gt;60,5+50*($AG279/100),IF($O$5&gt;50,10+60*($AG279/100),IF($O$5&gt;40,15+70*($AG279/100),IF($O$5&gt;30,20+70*($AG279/100),IF($O$5&gt;20,40+55*($AG279/100),(80+(20-$O$5)+30*($AG279/100))))))))))</f>
        <v>100</v>
      </c>
      <c r="AI279" s="262">
        <v>520</v>
      </c>
      <c r="AJ279" s="262"/>
      <c r="AK279" s="262"/>
      <c r="AL279" s="263"/>
      <c r="AM279" s="264"/>
      <c r="AN279" s="263">
        <v>157</v>
      </c>
      <c r="AO279" s="263"/>
      <c r="AP279" s="265"/>
      <c r="AQ279" s="266">
        <v>966</v>
      </c>
      <c r="AR279" s="267">
        <v>5193</v>
      </c>
      <c r="AS279" s="263"/>
      <c r="AT279" s="263"/>
      <c r="AU279" s="263"/>
      <c r="AV279" s="264"/>
      <c r="AW279" s="263"/>
      <c r="AX279" s="263"/>
      <c r="AY279" s="263"/>
      <c r="AZ279" s="263"/>
      <c r="BA279" s="263"/>
      <c r="BB279" s="263"/>
      <c r="BC279" s="263"/>
      <c r="BD279" s="264"/>
      <c r="BE279" s="263"/>
      <c r="BF279" s="263"/>
      <c r="BG279" s="263"/>
      <c r="BH279" s="263">
        <v>102</v>
      </c>
      <c r="BI279" s="263"/>
      <c r="BJ279" s="404">
        <f>altaz(J2000_Bas,$O279,$M279,DecLat,DecLong,2)</f>
        <v>84.104014945425106</v>
      </c>
      <c r="BK279" s="378" t="s">
        <v>374</v>
      </c>
      <c r="BL279" s="379">
        <f>IF((2*G279)/60&lt;0.2,0.2,(2*G279)/60)</f>
        <v>0.2</v>
      </c>
      <c r="BM279" s="380">
        <f>MOD((50000+AD279-$B$3+(0/24)),1)</f>
        <v>0.26700531038659392</v>
      </c>
      <c r="BN279" s="381" t="s">
        <v>9281</v>
      </c>
      <c r="BO279" s="382">
        <v>279</v>
      </c>
    </row>
    <row r="280" spans="1:67" s="24" customFormat="1" ht="15" customHeight="1" x14ac:dyDescent="0.25">
      <c r="A280" s="288" t="s">
        <v>375</v>
      </c>
      <c r="B280" s="241" t="str">
        <f>HYPERLINK(CONCATENATE($AT$3,BK280,$AU$3),$AV$3)</f>
        <v>S</v>
      </c>
      <c r="C280" s="242" t="str">
        <f>HYPERLINK(CONCATENATE($AT$4,BK280,$AU$4,BL280),$AV$4)</f>
        <v>A</v>
      </c>
      <c r="D280" s="243" t="s">
        <v>5638</v>
      </c>
      <c r="E280" s="244" t="s">
        <v>5337</v>
      </c>
      <c r="F280" s="269" t="s">
        <v>9138</v>
      </c>
      <c r="G280" s="273">
        <v>1.8</v>
      </c>
      <c r="H280" s="283">
        <v>200</v>
      </c>
      <c r="I280" s="246">
        <v>105</v>
      </c>
      <c r="J280" s="246">
        <v>3</v>
      </c>
      <c r="K280" s="247" t="s">
        <v>8417</v>
      </c>
      <c r="L280" s="248">
        <v>12519</v>
      </c>
      <c r="M280" s="249">
        <f>15*(LEFT(TEXT($L280,"000000"),2)+(MID(TEXT($L280,"000000"),3,2)/60)+(RIGHT(TEXT($L280,"000000"),2)/3600))</f>
        <v>21.329166666666666</v>
      </c>
      <c r="N280" s="250">
        <v>340100</v>
      </c>
      <c r="O280" s="251">
        <f>IF($N280&gt;0,(LEFT(TEXT($N280,"000000"),2)+(MID(TEXT($N280,"000000"),3,2)/60)+(RIGHT(TEXT($N280,"000000"),2)/3600)),-(MID(TEXT($N280,"000000"),2,2)+(MID(TEXT($N280,"000000"),4,2)/60)+(RIGHT(TEXT($N280,"000000"),2)/3600)))</f>
        <v>34.016666666666666</v>
      </c>
      <c r="P280" s="252" t="s">
        <v>36</v>
      </c>
      <c r="Q280" s="253"/>
      <c r="R280" s="247" t="s">
        <v>3465</v>
      </c>
      <c r="S280" s="272" t="s">
        <v>445</v>
      </c>
      <c r="T280" s="273">
        <v>12.7</v>
      </c>
      <c r="U280" s="289">
        <v>22.09</v>
      </c>
      <c r="V280" s="280"/>
      <c r="W280" s="244"/>
      <c r="X280" s="244"/>
      <c r="Y280" s="362"/>
      <c r="Z280" s="257">
        <f>altaz(J2000_Bas,$O280,$M280,DecLat,DecLong,1)</f>
        <v>12.836770998326227</v>
      </c>
      <c r="AA280" s="257">
        <f>altaz((J2000_Bas+(2*0.04167)),$O280,$M280,DecLat,DecLong,1)</f>
        <v>35.850420812605869</v>
      </c>
      <c r="AB280" s="257">
        <f>altaz((J2000_Bas+(4*0.04167)),$O280,$M280,DecLat,DecLong,1)</f>
        <v>60.342933638301432</v>
      </c>
      <c r="AC280" s="257">
        <f>altaz((J2000_Bas+(6*0.04167)),$O280,$M280,DecLat,DecLong,1)</f>
        <v>84.766534525672057</v>
      </c>
      <c r="AD280" s="258">
        <f>1+ transit((J2000_Bas-1),$O280,$M280,DecLat,DecLong)/360 + (GMTOffset/24) + (IF(DST="Y", 1, 0)/24)</f>
        <v>1.0521476398901246</v>
      </c>
      <c r="AE280" s="259">
        <f>DATE(2001,9,21)+(M280/360)*365 - (360*((DecLong/360)- (GMTOffset/24) ))</f>
        <v>37181.625405092593</v>
      </c>
      <c r="AF280" s="260">
        <f>IF(DecLat&gt;0,IF((90 - (DecLat-O280))&gt;90, (90 - (O280-DecLat)), (90 - (DecLat-O280))),IF((90 + (DecLat-O280))&gt;90, (90 + (O280-DecLat)), (90 + (DecLat-O280))))</f>
        <v>86.983333333333334</v>
      </c>
      <c r="AG280" s="257">
        <f>angularseperation(MoonRA,MoonDec,$M280,$O280)</f>
        <v>138.53397924794041</v>
      </c>
      <c r="AH280" s="261">
        <f ca="1">MIN(100,IF($O$5&gt;80,0+30*($AG280/100),IF($O$5&gt;70,0+50*($AG280/100),IF($O$5&gt;60,5+50*($AG280/100),IF($O$5&gt;50,10+60*($AG280/100),IF($O$5&gt;40,15+70*($AG280/100),IF($O$5&gt;30,20+70*($AG280/100),IF($O$5&gt;20,40+55*($AG280/100),(80+(20-$O$5)+30*($AG280/100))))))))))</f>
        <v>100</v>
      </c>
      <c r="AI280" s="262">
        <v>523</v>
      </c>
      <c r="AJ280" s="262"/>
      <c r="AK280" s="262"/>
      <c r="AL280" s="263"/>
      <c r="AM280" s="264"/>
      <c r="AN280" s="263">
        <v>158</v>
      </c>
      <c r="AO280" s="263"/>
      <c r="AP280" s="265"/>
      <c r="AQ280" s="266"/>
      <c r="AR280" s="267">
        <v>5268</v>
      </c>
      <c r="AS280" s="263"/>
      <c r="AT280" s="263"/>
      <c r="AU280" s="263"/>
      <c r="AV280" s="264"/>
      <c r="AW280" s="263"/>
      <c r="AX280" s="263"/>
      <c r="AY280" s="263"/>
      <c r="AZ280" s="263"/>
      <c r="BA280" s="263"/>
      <c r="BB280" s="263"/>
      <c r="BC280" s="263"/>
      <c r="BD280" s="264"/>
      <c r="BE280" s="263"/>
      <c r="BF280" s="263"/>
      <c r="BG280" s="263"/>
      <c r="BH280" s="263"/>
      <c r="BI280" s="263"/>
      <c r="BJ280" s="404">
        <f>altaz(J2000_Bas,$O280,$M280,DecLat,DecLong,2)</f>
        <v>57.827734207292501</v>
      </c>
      <c r="BK280" s="378" t="s">
        <v>375</v>
      </c>
      <c r="BL280" s="379">
        <f>IF((2*G280)/60&lt;0.2,0.2,(2*G280)/60)</f>
        <v>0.2</v>
      </c>
      <c r="BM280" s="380">
        <f>MOD((50000+AD280-$B$3+(0/24)),1)</f>
        <v>0.2675145695975516</v>
      </c>
      <c r="BN280" s="381" t="s">
        <v>9281</v>
      </c>
      <c r="BO280" s="382">
        <v>280</v>
      </c>
    </row>
    <row r="281" spans="1:67" s="24" customFormat="1" ht="15" customHeight="1" x14ac:dyDescent="0.25">
      <c r="A281" s="288" t="s">
        <v>376</v>
      </c>
      <c r="B281" s="241" t="str">
        <f>HYPERLINK(CONCATENATE($AT$3,BK281,$AU$3),$AV$3)</f>
        <v>S</v>
      </c>
      <c r="C281" s="242" t="str">
        <f>HYPERLINK(CONCATENATE($AT$4,BK281,$AU$4,BL281),$AV$4)</f>
        <v>A</v>
      </c>
      <c r="D281" s="243" t="s">
        <v>5638</v>
      </c>
      <c r="E281" s="244" t="s">
        <v>5192</v>
      </c>
      <c r="F281" s="269" t="s">
        <v>9146</v>
      </c>
      <c r="G281" s="273">
        <v>3.5</v>
      </c>
      <c r="H281" s="283">
        <v>40</v>
      </c>
      <c r="I281" s="246">
        <v>40</v>
      </c>
      <c r="J281" s="246">
        <v>3</v>
      </c>
      <c r="K281" s="247" t="s">
        <v>8518</v>
      </c>
      <c r="L281" s="248">
        <v>125146</v>
      </c>
      <c r="M281" s="249">
        <f>15*(LEFT(TEXT($L281,"000000"),2)+(MID(TEXT($L281,"000000"),3,2)/60)+(RIGHT(TEXT($L281,"000000"),2)/3600))</f>
        <v>192.94166666666666</v>
      </c>
      <c r="N281" s="250">
        <v>254630</v>
      </c>
      <c r="O281" s="251">
        <f>IF($N281&gt;0,(LEFT(TEXT($N281,"000000"),2)+(MID(TEXT($N281,"000000"),3,2)/60)+(RIGHT(TEXT($N281,"000000"),2)/3600)),-(MID(TEXT($N281,"000000"),2,2)+(MID(TEXT($N281,"000000"),4,2)/60)+(RIGHT(TEXT($N281,"000000"),2)/3600)))</f>
        <v>25.774999999999999</v>
      </c>
      <c r="P281" s="252" t="s">
        <v>190</v>
      </c>
      <c r="Q281" s="253"/>
      <c r="R281" s="247" t="s">
        <v>3601</v>
      </c>
      <c r="S281" s="272" t="s">
        <v>3293</v>
      </c>
      <c r="T281" s="273">
        <v>12.4</v>
      </c>
      <c r="U281" s="289">
        <v>22.59</v>
      </c>
      <c r="V281" s="280">
        <v>80</v>
      </c>
      <c r="W281" s="244"/>
      <c r="X281" s="244"/>
      <c r="Y281" s="362"/>
      <c r="Z281" s="257">
        <f>altaz(J2000_Bas,$O281,$M281,DecLat,DecLong,1)</f>
        <v>10.529439537453964</v>
      </c>
      <c r="AA281" s="257">
        <f>altaz((J2000_Bas+(2*0.04167)),$O281,$M281,DecLat,DecLong,1)</f>
        <v>-11.424933944145906</v>
      </c>
      <c r="AB281" s="257">
        <f>altaz((J2000_Bas+(4*0.04167)),$O281,$M281,DecLat,DecLong,1)</f>
        <v>-27.723111002196678</v>
      </c>
      <c r="AC281" s="257">
        <f>altaz((J2000_Bas+(6*0.04167)),$O281,$M281,DecLat,DecLong,1)</f>
        <v>-33.136602187301797</v>
      </c>
      <c r="AD281" s="258">
        <f>1+ transit((J2000_Bas-1),$O281,$M281,DecLat,DecLong)/360 + (GMTOffset/24) + (IF(DST="Y", 1, 0)/24)</f>
        <v>1.5288489811088748</v>
      </c>
      <c r="AE281" s="259">
        <f>DATE(2001,9,21)+(M281/360)*365 - (360*((DecLong/360)- (GMTOffset/24) ))</f>
        <v>37355.621412037035</v>
      </c>
      <c r="AF281" s="260">
        <f>IF(DecLat&gt;0,IF((90 - (DecLat-O281))&gt;90, (90 - (O281-DecLat)), (90 - (DecLat-O281))),IF((90 + (DecLat-O281))&gt;90, (90 + (O281-DecLat)), (90 + (DecLat-O281))))</f>
        <v>84.775000000000006</v>
      </c>
      <c r="AG281" s="257">
        <f>angularseperation(MoonRA,MoonDec,$M281,$O281)</f>
        <v>75.707786835383601</v>
      </c>
      <c r="AH281" s="261">
        <f ca="1">MIN(100,IF($O$5&gt;80,0+30*($AG281/100),IF($O$5&gt;70,0+50*($AG281/100),IF($O$5&gt;60,5+50*($AG281/100),IF($O$5&gt;50,10+60*($AG281/100),IF($O$5&gt;40,15+70*($AG281/100),IF($O$5&gt;30,20+70*($AG281/100),IF($O$5&gt;20,40+55*($AG281/100),(80+(20-$O$5)+30*($AG281/100))))))))))</f>
        <v>100</v>
      </c>
      <c r="AI281" s="262">
        <v>4747</v>
      </c>
      <c r="AJ281" s="262"/>
      <c r="AK281" s="262"/>
      <c r="AL281" s="263"/>
      <c r="AM281" s="264"/>
      <c r="AN281" s="263">
        <v>159</v>
      </c>
      <c r="AO281" s="263"/>
      <c r="AP281" s="265"/>
      <c r="AQ281" s="266">
        <v>8005</v>
      </c>
      <c r="AR281" s="267">
        <v>43586</v>
      </c>
      <c r="AS281" s="263"/>
      <c r="AT281" s="263"/>
      <c r="AU281" s="263"/>
      <c r="AV281" s="264"/>
      <c r="AW281" s="263"/>
      <c r="AX281" s="263"/>
      <c r="AY281" s="263"/>
      <c r="AZ281" s="263"/>
      <c r="BA281" s="263"/>
      <c r="BB281" s="263"/>
      <c r="BC281" s="263"/>
      <c r="BD281" s="264"/>
      <c r="BE281" s="263"/>
      <c r="BF281" s="263"/>
      <c r="BG281" s="263"/>
      <c r="BH281" s="263"/>
      <c r="BI281" s="263"/>
      <c r="BJ281" s="404">
        <f>altaz(J2000_Bas,$O281,$M281,DecLat,DecLong,2)</f>
        <v>293.84746274501776</v>
      </c>
      <c r="BK281" s="378" t="s">
        <v>376</v>
      </c>
      <c r="BL281" s="379">
        <f>IF((2*G281)/60&lt;0.2,0.2,(2*G281)/60)</f>
        <v>0.2</v>
      </c>
      <c r="BM281" s="380">
        <f>MOD((50000+AD281-$B$3+(0/24)),1)</f>
        <v>0.74421591081045335</v>
      </c>
      <c r="BN281" s="381"/>
      <c r="BO281" s="382">
        <v>281</v>
      </c>
    </row>
    <row r="282" spans="1:67" s="24" customFormat="1" ht="15" customHeight="1" x14ac:dyDescent="0.25">
      <c r="A282" s="288" t="s">
        <v>377</v>
      </c>
      <c r="B282" s="241" t="str">
        <f>HYPERLINK(CONCATENATE($AT$3,BK282,$AU$3),$AV$3)</f>
        <v>S</v>
      </c>
      <c r="C282" s="242" t="str">
        <f>HYPERLINK(CONCATENATE($AT$4,BK282,$AU$4,BL282),$AV$4)</f>
        <v>A</v>
      </c>
      <c r="D282" s="243" t="s">
        <v>5638</v>
      </c>
      <c r="E282" s="244" t="s">
        <v>5337</v>
      </c>
      <c r="F282" s="269" t="s">
        <v>9132</v>
      </c>
      <c r="G282" s="273">
        <v>3</v>
      </c>
      <c r="H282" s="283">
        <v>130</v>
      </c>
      <c r="I282" s="246">
        <v>120</v>
      </c>
      <c r="J282" s="246">
        <v>2</v>
      </c>
      <c r="K282" s="247" t="s">
        <v>8418</v>
      </c>
      <c r="L282" s="248">
        <v>121410</v>
      </c>
      <c r="M282" s="249">
        <f>15*(LEFT(TEXT($L282,"000000"),2)+(MID(TEXT($L282,"000000"),3,2)/60)+(RIGHT(TEXT($L282,"000000"),2)/3600))</f>
        <v>183.54166666666666</v>
      </c>
      <c r="N282" s="250">
        <v>543100</v>
      </c>
      <c r="O282" s="251">
        <f>IF($N282&gt;0,(LEFT(TEXT($N282,"000000"),2)+(MID(TEXT($N282,"000000"),3,2)/60)+(RIGHT(TEXT($N282,"000000"),2)/3600)),-(MID(TEXT($N282,"000000"),2,2)+(MID(TEXT($N282,"000000"),4,2)/60)+(RIGHT(TEXT($N282,"000000"),2)/3600)))</f>
        <v>54.516666666666666</v>
      </c>
      <c r="P282" s="252" t="s">
        <v>37</v>
      </c>
      <c r="Q282" s="253"/>
      <c r="R282" s="247" t="s">
        <v>3575</v>
      </c>
      <c r="S282" s="272" t="s">
        <v>3293</v>
      </c>
      <c r="T282" s="273">
        <v>13.3</v>
      </c>
      <c r="U282" s="289">
        <v>21.990000000000002</v>
      </c>
      <c r="V282" s="280"/>
      <c r="W282" s="244"/>
      <c r="X282" s="244"/>
      <c r="Y282" s="362"/>
      <c r="Z282" s="257">
        <f>altaz(J2000_Bas,$O282,$M282,DecLat,DecLong,1)</f>
        <v>18.181461352843716</v>
      </c>
      <c r="AA282" s="257">
        <f>altaz((J2000_Bas+(2*0.04167)),$O282,$M282,DecLat,DecLong,1)</f>
        <v>4.7582607332558764</v>
      </c>
      <c r="AB282" s="257">
        <f>altaz((J2000_Bas+(4*0.04167)),$O282,$M282,DecLat,DecLong,1)</f>
        <v>-3.1803478081507954</v>
      </c>
      <c r="AC282" s="257">
        <f>altaz((J2000_Bas+(6*0.04167)),$O282,$M282,DecLat,DecLong,1)</f>
        <v>-3.7824507653150472</v>
      </c>
      <c r="AD282" s="258">
        <f>1+ transit((J2000_Bas-1),$O282,$M282,DecLat,DecLong)/360 + (GMTOffset/24) + (IF(DST="Y", 1, 0)/24)</f>
        <v>1.5027378726088745</v>
      </c>
      <c r="AE282" s="259">
        <f>DATE(2001,9,21)+(M282/360)*365 - (360*((DecLong/360)- (GMTOffset/24) ))</f>
        <v>37346.090856481482</v>
      </c>
      <c r="AF282" s="260">
        <f>IF(DecLat&gt;0,IF((90 - (DecLat-O282))&gt;90, (90 - (O282-DecLat)), (90 - (DecLat-O282))),IF((90 + (DecLat-O282))&gt;90, (90 + (O282-DecLat)), (90 + (DecLat-O282))))</f>
        <v>66.483333333333334</v>
      </c>
      <c r="AG282" s="257">
        <f>angularseperation(MoonRA,MoonDec,$M282,$O282)</f>
        <v>99.094797526949961</v>
      </c>
      <c r="AH282" s="261">
        <f ca="1">MIN(100,IF($O$5&gt;80,0+30*($AG282/100),IF($O$5&gt;70,0+50*($AG282/100),IF($O$5&gt;60,5+50*($AG282/100),IF($O$5&gt;50,10+60*($AG282/100),IF($O$5&gt;40,15+70*($AG282/100),IF($O$5&gt;30,20+70*($AG282/100),IF($O$5&gt;20,40+55*($AG282/100),(80+(20-$O$5)+30*($AG282/100))))))))))</f>
        <v>100</v>
      </c>
      <c r="AI282" s="262">
        <v>4194</v>
      </c>
      <c r="AJ282" s="262"/>
      <c r="AK282" s="262"/>
      <c r="AL282" s="263"/>
      <c r="AM282" s="264"/>
      <c r="AN282" s="263">
        <v>160</v>
      </c>
      <c r="AO282" s="263"/>
      <c r="AP282" s="265"/>
      <c r="AQ282" s="266">
        <v>7241</v>
      </c>
      <c r="AR282" s="267">
        <v>39068</v>
      </c>
      <c r="AS282" s="263"/>
      <c r="AT282" s="263"/>
      <c r="AU282" s="263"/>
      <c r="AV282" s="264"/>
      <c r="AW282" s="263"/>
      <c r="AX282" s="263"/>
      <c r="AY282" s="263"/>
      <c r="AZ282" s="263"/>
      <c r="BA282" s="263"/>
      <c r="BB282" s="263"/>
      <c r="BC282" s="263"/>
      <c r="BD282" s="264"/>
      <c r="BE282" s="263"/>
      <c r="BF282" s="263"/>
      <c r="BG282" s="263"/>
      <c r="BH282" s="263"/>
      <c r="BI282" s="263"/>
      <c r="BJ282" s="404">
        <f>altaz(J2000_Bas,$O282,$M282,DecLat,DecLong,2)</f>
        <v>323.37482875596214</v>
      </c>
      <c r="BK282" s="378" t="s">
        <v>377</v>
      </c>
      <c r="BL282" s="379">
        <f>IF((2*G282)/60&lt;0.2,0.2,(2*G282)/60)</f>
        <v>0.2</v>
      </c>
      <c r="BM282" s="380">
        <f>MOD((50000+AD282-$B$3+(0/24)),1)</f>
        <v>0.71810480231215479</v>
      </c>
      <c r="BN282" s="381" t="s">
        <v>9292</v>
      </c>
      <c r="BO282" s="382">
        <v>282</v>
      </c>
    </row>
    <row r="283" spans="1:67" s="24" customFormat="1" ht="15" customHeight="1" x14ac:dyDescent="0.25">
      <c r="A283" s="288" t="s">
        <v>378</v>
      </c>
      <c r="B283" s="241" t="str">
        <f>HYPERLINK(CONCATENATE($AT$3,BK283,$AU$3),$AV$3)</f>
        <v>S</v>
      </c>
      <c r="C283" s="242" t="str">
        <f>HYPERLINK(CONCATENATE($AT$4,BK283,$AU$4,BL283),$AV$4)</f>
        <v>A</v>
      </c>
      <c r="D283" s="243" t="s">
        <v>5638</v>
      </c>
      <c r="E283" s="244" t="s">
        <v>5337</v>
      </c>
      <c r="F283" s="269" t="s">
        <v>9132</v>
      </c>
      <c r="G283" s="270">
        <v>0.6</v>
      </c>
      <c r="H283" s="283">
        <v>280</v>
      </c>
      <c r="I283" s="246">
        <v>50</v>
      </c>
      <c r="J283" s="246">
        <v>2</v>
      </c>
      <c r="K283" s="247" t="s">
        <v>8506</v>
      </c>
      <c r="L283" s="248">
        <v>114212</v>
      </c>
      <c r="M283" s="249">
        <f>15*(LEFT(TEXT($L283,"000000"),2)+(MID(TEXT($L283,"000000"),3,2)/60)+(RIGHT(TEXT($L283,"000000"),2)/3600))</f>
        <v>175.55</v>
      </c>
      <c r="N283" s="250">
        <v>2000</v>
      </c>
      <c r="O283" s="251">
        <f>IF($N283&gt;0,(LEFT(TEXT($N283,"000000"),2)+(MID(TEXT($N283,"000000"),3,2)/60)+(RIGHT(TEXT($N283,"000000"),2)/3600)),-(MID(TEXT($N283,"000000"),2,2)+(MID(TEXT($N283,"000000"),4,2)/60)+(RIGHT(TEXT($N283,"000000"),2)/3600)))</f>
        <v>0.33333333333333331</v>
      </c>
      <c r="P283" s="252" t="s">
        <v>61</v>
      </c>
      <c r="Q283" s="253"/>
      <c r="R283" s="247" t="s">
        <v>3669</v>
      </c>
      <c r="S283" s="272" t="s">
        <v>3293</v>
      </c>
      <c r="T283" s="273">
        <v>13.9</v>
      </c>
      <c r="U283" s="289">
        <v>22.19</v>
      </c>
      <c r="V283" s="280"/>
      <c r="W283" s="244"/>
      <c r="X283" s="244"/>
      <c r="Y283" s="362"/>
      <c r="Z283" s="257">
        <f>altaz(J2000_Bas,$O283,$M283,DecLat,DecLong,1)</f>
        <v>-17.248762836130759</v>
      </c>
      <c r="AA283" s="257">
        <f>altaz((J2000_Bas+(2*0.04167)),$O283,$M283,DecLat,DecLong,1)</f>
        <v>-41.20517274083587</v>
      </c>
      <c r="AB283" s="257">
        <f>altaz((J2000_Bas+(4*0.04167)),$O283,$M283,DecLat,DecLong,1)</f>
        <v>-57.426312039506655</v>
      </c>
      <c r="AC283" s="257">
        <f>altaz((J2000_Bas+(6*0.04167)),$O283,$M283,DecLat,DecLong,1)</f>
        <v>-53.014616638041588</v>
      </c>
      <c r="AD283" s="258">
        <f>1+ transit((J2000_Bas-1),$O283,$M283,DecLat,DecLong)/360 + (GMTOffset/24) + (IF(DST="Y", 1, 0)/24)</f>
        <v>1.4805388007547082</v>
      </c>
      <c r="AE283" s="259">
        <f>DATE(2001,9,21)+(M283/360)*365 - (360*((DecLong/360)- (GMTOffset/24) ))</f>
        <v>37337.988194444442</v>
      </c>
      <c r="AF283" s="260">
        <f>IF(DecLat&gt;0,IF((90 - (DecLat-O283))&gt;90, (90 - (O283-DecLat)), (90 - (DecLat-O283))),IF((90 + (DecLat-O283))&gt;90, (90 + (O283-DecLat)), (90 + (DecLat-O283))))</f>
        <v>59.333333333333329</v>
      </c>
      <c r="AG283" s="257">
        <f>angularseperation(MoonRA,MoonDec,$M283,$O283)</f>
        <v>75.678880594540246</v>
      </c>
      <c r="AH283" s="261">
        <f ca="1">MIN(100,IF($O$5&gt;80,0+30*($AG283/100),IF($O$5&gt;70,0+50*($AG283/100),IF($O$5&gt;60,5+50*($AG283/100),IF($O$5&gt;50,10+60*($AG283/100),IF($O$5&gt;40,15+70*($AG283/100),IF($O$5&gt;30,20+70*($AG283/100),IF($O$5&gt;20,40+55*($AG283/100),(80+(20-$O$5)+30*($AG283/100))))))))))</f>
        <v>100</v>
      </c>
      <c r="AI283" s="262">
        <v>6665</v>
      </c>
      <c r="AJ283" s="262"/>
      <c r="AK283" s="262"/>
      <c r="AL283" s="263"/>
      <c r="AM283" s="264"/>
      <c r="AN283" s="263">
        <v>161</v>
      </c>
      <c r="AO283" s="263"/>
      <c r="AP283" s="265"/>
      <c r="AQ283" s="266"/>
      <c r="AR283" s="267">
        <v>62065</v>
      </c>
      <c r="AS283" s="263"/>
      <c r="AT283" s="263"/>
      <c r="AU283" s="263"/>
      <c r="AV283" s="264"/>
      <c r="AW283" s="263"/>
      <c r="AX283" s="263"/>
      <c r="AY283" s="263"/>
      <c r="AZ283" s="263"/>
      <c r="BA283" s="263"/>
      <c r="BB283" s="263"/>
      <c r="BC283" s="263"/>
      <c r="BD283" s="264"/>
      <c r="BE283" s="263"/>
      <c r="BF283" s="263"/>
      <c r="BG283" s="263"/>
      <c r="BH283" s="263"/>
      <c r="BI283" s="263"/>
      <c r="BJ283" s="404">
        <f>altaz(J2000_Bas,$O283,$M283,DecLat,DecLong,2)</f>
        <v>281.16673161342885</v>
      </c>
      <c r="BK283" s="378" t="s">
        <v>378</v>
      </c>
      <c r="BL283" s="379">
        <f>IF((2*G283)/60&lt;0.2,0.2,(2*G283)/60)</f>
        <v>0.2</v>
      </c>
      <c r="BM283" s="380">
        <f>MOD((50000+AD283-$B$3+(0/24)),1)</f>
        <v>0.69590573045570636</v>
      </c>
      <c r="BN283" s="381" t="s">
        <v>9281</v>
      </c>
      <c r="BO283" s="382">
        <v>283</v>
      </c>
    </row>
    <row r="284" spans="1:67" s="24" customFormat="1" ht="15" customHeight="1" x14ac:dyDescent="0.25">
      <c r="A284" s="288" t="s">
        <v>379</v>
      </c>
      <c r="B284" s="241" t="str">
        <f>HYPERLINK(CONCATENATE($AT$3,BK284,$AU$3),$AV$3)</f>
        <v>S</v>
      </c>
      <c r="C284" s="242" t="str">
        <f>HYPERLINK(CONCATENATE($AT$4,BK284,$AU$4,BL284),$AV$4)</f>
        <v>A</v>
      </c>
      <c r="D284" s="243" t="s">
        <v>5638</v>
      </c>
      <c r="E284" s="244" t="s">
        <v>5182</v>
      </c>
      <c r="F284" s="269" t="s">
        <v>8905</v>
      </c>
      <c r="G284" s="273">
        <v>2.5</v>
      </c>
      <c r="H284" s="283">
        <v>80</v>
      </c>
      <c r="I284" s="246">
        <v>60</v>
      </c>
      <c r="J284" s="246">
        <v>2</v>
      </c>
      <c r="K284" s="247" t="s">
        <v>4232</v>
      </c>
      <c r="L284" s="248">
        <v>105116</v>
      </c>
      <c r="M284" s="249">
        <f>15*(LEFT(TEXT($L284,"000000"),2)+(MID(TEXT($L284,"000000"),3,2)/60)+(RIGHT(TEXT($L284,"000000"),2)/3600))</f>
        <v>162.81666666666666</v>
      </c>
      <c r="N284" s="250">
        <v>275800</v>
      </c>
      <c r="O284" s="251">
        <f>IF($N284&gt;0,(LEFT(TEXT($N284,"000000"),2)+(MID(TEXT($N284,"000000"),3,2)/60)+(RIGHT(TEXT($N284,"000000"),2)/3600)),-(MID(TEXT($N284,"000000"),2,2)+(MID(TEXT($N284,"000000"),4,2)/60)+(RIGHT(TEXT($N284,"000000"),2)/3600)))</f>
        <v>27.966666666666665</v>
      </c>
      <c r="P284" s="252" t="s">
        <v>239</v>
      </c>
      <c r="Q284" s="253"/>
      <c r="R284" s="247" t="s">
        <v>3547</v>
      </c>
      <c r="S284" s="272" t="s">
        <v>3293</v>
      </c>
      <c r="T284" s="273">
        <v>12</v>
      </c>
      <c r="U284" s="289">
        <v>22.19</v>
      </c>
      <c r="V284" s="280">
        <v>85</v>
      </c>
      <c r="W284" s="244"/>
      <c r="X284" s="244"/>
      <c r="Y284" s="362"/>
      <c r="Z284" s="257">
        <f>altaz(J2000_Bas,$O284,$M284,DecLat,DecLong,1)</f>
        <v>-9.9539212754432036</v>
      </c>
      <c r="AA284" s="257">
        <f>altaz((J2000_Bas+(2*0.04167)),$O284,$M284,DecLat,DecLong,1)</f>
        <v>-25.762158007539892</v>
      </c>
      <c r="AB284" s="257">
        <f>altaz((J2000_Bas+(4*0.04167)),$O284,$M284,DecLat,DecLong,1)</f>
        <v>-30.946608335531117</v>
      </c>
      <c r="AC284" s="257">
        <f>altaz((J2000_Bas+(6*0.04167)),$O284,$M284,DecLat,DecLong,1)</f>
        <v>-22.968013302548794</v>
      </c>
      <c r="AD284" s="258">
        <f>1+ transit((J2000_Bas-1),$O284,$M284,DecLat,DecLong)/360 + (GMTOffset/24) + (IF(DST="Y", 1, 0)/24)</f>
        <v>1.4451684339213746</v>
      </c>
      <c r="AE284" s="259">
        <f>DATE(2001,9,21)+(M284/360)*365 - (360*((DecLong/360)- (GMTOffset/24) ))</f>
        <v>37325.078009259261</v>
      </c>
      <c r="AF284" s="260">
        <f>IF(DecLat&gt;0,IF((90 - (DecLat-O284))&gt;90, (90 - (O284-DecLat)), (90 - (DecLat-O284))),IF((90 + (DecLat-O284))&gt;90, (90 + (O284-DecLat)), (90 + (DecLat-O284))))</f>
        <v>86.966666666666669</v>
      </c>
      <c r="AG284" s="257">
        <f>angularseperation(MoonRA,MoonDec,$M284,$O284)</f>
        <v>99.467313328742677</v>
      </c>
      <c r="AH284" s="261">
        <f ca="1">MIN(100,IF($O$5&gt;80,0+30*($AG284/100),IF($O$5&gt;70,0+50*($AG284/100),IF($O$5&gt;60,5+50*($AG284/100),IF($O$5&gt;50,10+60*($AG284/100),IF($O$5&gt;40,15+70*($AG284/100),IF($O$5&gt;30,20+70*($AG284/100),IF($O$5&gt;20,40+55*($AG284/100),(80+(20-$O$5)+30*($AG284/100))))))))))</f>
        <v>100</v>
      </c>
      <c r="AI284" s="262">
        <v>3414</v>
      </c>
      <c r="AJ284" s="262"/>
      <c r="AK284" s="262">
        <v>160</v>
      </c>
      <c r="AL284" s="263"/>
      <c r="AM284" s="264"/>
      <c r="AN284" s="263">
        <v>162</v>
      </c>
      <c r="AO284" s="263"/>
      <c r="AP284" s="265"/>
      <c r="AQ284" s="266">
        <v>5959</v>
      </c>
      <c r="AR284" s="267">
        <v>32533</v>
      </c>
      <c r="AS284" s="263"/>
      <c r="AT284" s="263"/>
      <c r="AU284" s="263"/>
      <c r="AV284" s="264"/>
      <c r="AW284" s="263"/>
      <c r="AX284" s="263"/>
      <c r="AY284" s="263"/>
      <c r="AZ284" s="263"/>
      <c r="BA284" s="263"/>
      <c r="BB284" s="263"/>
      <c r="BC284" s="263"/>
      <c r="BD284" s="264"/>
      <c r="BE284" s="263"/>
      <c r="BF284" s="263"/>
      <c r="BG284" s="263"/>
      <c r="BH284" s="263"/>
      <c r="BI284" s="263"/>
      <c r="BJ284" s="404">
        <f>altaz(J2000_Bas,$O284,$M284,DecLat,DecLong,2)</f>
        <v>311.36953556533297</v>
      </c>
      <c r="BK284" s="378" t="s">
        <v>379</v>
      </c>
      <c r="BL284" s="379">
        <f>IF((2*G284)/60&lt;0.2,0.2,(2*G284)/60)</f>
        <v>0.2</v>
      </c>
      <c r="BM284" s="380">
        <f>MOD((50000+AD284-$B$3+(0/24)),1)</f>
        <v>0.66053536362596788</v>
      </c>
      <c r="BN284" s="381"/>
      <c r="BO284" s="382">
        <v>284</v>
      </c>
    </row>
    <row r="285" spans="1:67" s="24" customFormat="1" ht="15" customHeight="1" x14ac:dyDescent="0.25">
      <c r="A285" s="288" t="s">
        <v>380</v>
      </c>
      <c r="B285" s="241" t="str">
        <f>HYPERLINK(CONCATENATE($AT$3,BK285,$AU$3),$AV$3)</f>
        <v>S</v>
      </c>
      <c r="C285" s="242" t="str">
        <f>HYPERLINK(CONCATENATE($AT$4,BK285,$AU$4,BL285),$AV$4)</f>
        <v>A</v>
      </c>
      <c r="D285" s="243" t="s">
        <v>5638</v>
      </c>
      <c r="E285" s="244" t="s">
        <v>29</v>
      </c>
      <c r="F285" s="269"/>
      <c r="G285" s="273">
        <v>1</v>
      </c>
      <c r="H285" s="283">
        <v>50</v>
      </c>
      <c r="I285" s="246">
        <v>15</v>
      </c>
      <c r="J285" s="246">
        <v>2</v>
      </c>
      <c r="K285" s="247" t="s">
        <v>4233</v>
      </c>
      <c r="L285" s="248">
        <v>124517</v>
      </c>
      <c r="M285" s="249">
        <f>15*(LEFT(TEXT($L285,"000000"),2)+(MID(TEXT($L285,"000000"),3,2)/60)+(RIGHT(TEXT($L285,"000000"),2)/3600))</f>
        <v>191.32083333333333</v>
      </c>
      <c r="N285" s="250">
        <v>270700</v>
      </c>
      <c r="O285" s="251">
        <f>IF($N285&gt;0,(LEFT(TEXT($N285,"000000"),2)+(MID(TEXT($N285,"000000"),3,2)/60)+(RIGHT(TEXT($N285,"000000"),2)/3600)),-(MID(TEXT($N285,"000000"),2,2)+(MID(TEXT($N285,"000000"),4,2)/60)+(RIGHT(TEXT($N285,"000000"),2)/3600)))</f>
        <v>27.116666666666667</v>
      </c>
      <c r="P285" s="252" t="s">
        <v>190</v>
      </c>
      <c r="Q285" s="253"/>
      <c r="R285" s="247" t="s">
        <v>3598</v>
      </c>
      <c r="S285" s="272" t="s">
        <v>3293</v>
      </c>
      <c r="T285" s="273">
        <v>12.7</v>
      </c>
      <c r="U285" s="289">
        <v>21.89</v>
      </c>
      <c r="V285" s="280"/>
      <c r="W285" s="244"/>
      <c r="X285" s="244"/>
      <c r="Y285" s="362"/>
      <c r="Z285" s="257">
        <f>altaz(J2000_Bas,$O285,$M285,DecLat,DecLong,1)</f>
        <v>9.9322267057911553</v>
      </c>
      <c r="AA285" s="257">
        <f>altaz((J2000_Bas+(2*0.04167)),$O285,$M285,DecLat,DecLong,1)</f>
        <v>-11.554509257162819</v>
      </c>
      <c r="AB285" s="257">
        <f>altaz((J2000_Bas+(4*0.04167)),$O285,$M285,DecLat,DecLong,1)</f>
        <v>-27.120769982576661</v>
      </c>
      <c r="AC285" s="257">
        <f>altaz((J2000_Bas+(6*0.04167)),$O285,$M285,DecLat,DecLong,1)</f>
        <v>-31.692654530203651</v>
      </c>
      <c r="AD285" s="258">
        <f>1+ transit((J2000_Bas-1),$O285,$M285,DecLat,DecLong)/360 + (GMTOffset/24) + (IF(DST="Y", 1, 0)/24)</f>
        <v>1.5243466667442913</v>
      </c>
      <c r="AE285" s="259">
        <f>DATE(2001,9,21)+(M285/360)*365 - (360*((DecLong/360)- (GMTOffset/24) ))</f>
        <v>37353.978067129632</v>
      </c>
      <c r="AF285" s="260">
        <f>IF(DecLat&gt;0,IF((90 - (DecLat-O285))&gt;90, (90 - (O285-DecLat)), (90 - (DecLat-O285))),IF((90 + (DecLat-O285))&gt;90, (90 + (O285-DecLat)), (90 + (DecLat-O285))))</f>
        <v>86.116666666666674</v>
      </c>
      <c r="AG285" s="257">
        <f>angularseperation(MoonRA,MoonDec,$M285,$O285)</f>
        <v>77.68150505771402</v>
      </c>
      <c r="AH285" s="261">
        <f ca="1">MIN(100,IF($O$5&gt;80,0+30*($AG285/100),IF($O$5&gt;70,0+50*($AG285/100),IF($O$5&gt;60,5+50*($AG285/100),IF($O$5&gt;50,10+60*($AG285/100),IF($O$5&gt;40,15+70*($AG285/100),IF($O$5&gt;30,20+70*($AG285/100),IF($O$5&gt;20,40+55*($AG285/100),(80+(20-$O$5)+30*($AG285/100))))))))))</f>
        <v>100</v>
      </c>
      <c r="AI285" s="262">
        <v>4670</v>
      </c>
      <c r="AJ285" s="262"/>
      <c r="AK285" s="262"/>
      <c r="AL285" s="263"/>
      <c r="AM285" s="264"/>
      <c r="AN285" s="263">
        <v>163</v>
      </c>
      <c r="AO285" s="263"/>
      <c r="AP285" s="265"/>
      <c r="AQ285" s="266">
        <v>7930</v>
      </c>
      <c r="AR285" s="267">
        <v>42987</v>
      </c>
      <c r="AS285" s="263"/>
      <c r="AT285" s="263"/>
      <c r="AU285" s="263"/>
      <c r="AV285" s="264"/>
      <c r="AW285" s="263"/>
      <c r="AX285" s="263"/>
      <c r="AY285" s="263"/>
      <c r="AZ285" s="263"/>
      <c r="BA285" s="263"/>
      <c r="BB285" s="263"/>
      <c r="BC285" s="263"/>
      <c r="BD285" s="264"/>
      <c r="BE285" s="263"/>
      <c r="BF285" s="263"/>
      <c r="BG285" s="263"/>
      <c r="BH285" s="263"/>
      <c r="BI285" s="263"/>
      <c r="BJ285" s="404">
        <f>altaz(J2000_Bas,$O285,$M285,DecLat,DecLong,2)</f>
        <v>295.76186080383434</v>
      </c>
      <c r="BK285" s="378" t="s">
        <v>380</v>
      </c>
      <c r="BL285" s="379">
        <f>IF((2*G285)/60&lt;0.2,0.2,(2*G285)/60)</f>
        <v>0.2</v>
      </c>
      <c r="BM285" s="380">
        <f>MOD((50000+AD285-$B$3+(0/24)),1)</f>
        <v>0.7397135964492918</v>
      </c>
      <c r="BN285" s="381"/>
      <c r="BO285" s="382">
        <v>285</v>
      </c>
    </row>
    <row r="286" spans="1:67" s="24" customFormat="1" ht="15" customHeight="1" x14ac:dyDescent="0.25">
      <c r="A286" s="288" t="s">
        <v>381</v>
      </c>
      <c r="B286" s="241" t="str">
        <f>HYPERLINK(CONCATENATE($AT$3,BK286,$AU$3),$AV$3)</f>
        <v>S</v>
      </c>
      <c r="C286" s="242" t="str">
        <f>HYPERLINK(CONCATENATE($AT$4,BK286,$AU$4,BL286),$AV$4)</f>
        <v>A</v>
      </c>
      <c r="D286" s="243" t="s">
        <v>5638</v>
      </c>
      <c r="E286" s="244" t="s">
        <v>5193</v>
      </c>
      <c r="F286" s="269" t="s">
        <v>9147</v>
      </c>
      <c r="G286" s="273">
        <v>2.8</v>
      </c>
      <c r="H286" s="283">
        <v>230</v>
      </c>
      <c r="I286" s="246">
        <v>190</v>
      </c>
      <c r="J286" s="246">
        <v>2</v>
      </c>
      <c r="K286" s="247" t="s">
        <v>4234</v>
      </c>
      <c r="L286" s="248">
        <v>11557</v>
      </c>
      <c r="M286" s="249">
        <f>15*(LEFT(TEXT($L286,"000000"),2)+(MID(TEXT($L286,"000000"),3,2)/60)+(RIGHT(TEXT($L286,"000000"),2)/3600))</f>
        <v>18.987500000000001</v>
      </c>
      <c r="N286" s="250">
        <v>51000</v>
      </c>
      <c r="O286" s="251">
        <f>IF($N286&gt;0,(LEFT(TEXT($N286,"000000"),2)+(MID(TEXT($N286,"000000"),3,2)/60)+(RIGHT(TEXT($N286,"000000"),2)/3600)),-(MID(TEXT($N286,"000000"),2,2)+(MID(TEXT($N286,"000000"),4,2)/60)+(RIGHT(TEXT($N286,"000000"),2)/3600)))</f>
        <v>5.166666666666667</v>
      </c>
      <c r="P286" s="252" t="s">
        <v>158</v>
      </c>
      <c r="Q286" s="253"/>
      <c r="R286" s="247" t="s">
        <v>3460</v>
      </c>
      <c r="S286" s="272" t="s">
        <v>3293</v>
      </c>
      <c r="T286" s="273">
        <v>12.7</v>
      </c>
      <c r="U286" s="289">
        <v>22.29</v>
      </c>
      <c r="V286" s="280"/>
      <c r="W286" s="244"/>
      <c r="X286" s="244"/>
      <c r="Y286" s="362"/>
      <c r="Z286" s="257">
        <f>altaz(J2000_Bas,$O286,$M286,DecLat,DecLong,1)</f>
        <v>0.11043750153224967</v>
      </c>
      <c r="AA286" s="257">
        <f>altaz((J2000_Bas+(2*0.04167)),$O286,$M286,DecLat,DecLong,1)</f>
        <v>25.802356046093578</v>
      </c>
      <c r="AB286" s="257">
        <f>altaz((J2000_Bas+(4*0.04167)),$O286,$M286,DecLat,DecLong,1)</f>
        <v>49.803205900340714</v>
      </c>
      <c r="AC286" s="257">
        <f>altaz((J2000_Bas+(6*0.04167)),$O286,$M286,DecLat,DecLong,1)</f>
        <v>64.039449360295393</v>
      </c>
      <c r="AD286" s="258">
        <f>1+ transit((J2000_Bas-1),$O286,$M286,DecLat,DecLong)/360 + (GMTOffset/24) + (IF(DST="Y", 1, 0)/24)</f>
        <v>1.045643010910958</v>
      </c>
      <c r="AE286" s="259">
        <f>DATE(2001,9,21)+(M286/360)*365 - (360*((DecLong/360)- (GMTOffset/24) ))</f>
        <v>37179.251215277778</v>
      </c>
      <c r="AF286" s="260">
        <f>IF(DecLat&gt;0,IF((90 - (DecLat-O286))&gt;90, (90 - (O286-DecLat)), (90 - (DecLat-O286))),IF((90 + (DecLat-O286))&gt;90, (90 + (O286-DecLat)), (90 + (DecLat-O286))))</f>
        <v>64.166666666666671</v>
      </c>
      <c r="AG286" s="257">
        <f>angularseperation(MoonRA,MoonDec,$M286,$O286)</f>
        <v>127.44163707825635</v>
      </c>
      <c r="AH286" s="261">
        <f ca="1">MIN(100,IF($O$5&gt;80,0+30*($AG286/100),IF($O$5&gt;70,0+50*($AG286/100),IF($O$5&gt;60,5+50*($AG286/100),IF($O$5&gt;50,10+60*($AG286/100),IF($O$5&gt;40,15+70*($AG286/100),IF($O$5&gt;30,20+70*($AG286/100),IF($O$5&gt;20,40+55*($AG286/100),(80+(20-$O$5)+30*($AG286/100))))))))))</f>
        <v>100</v>
      </c>
      <c r="AI286" s="262">
        <v>455</v>
      </c>
      <c r="AJ286" s="262"/>
      <c r="AK286" s="262"/>
      <c r="AL286" s="263"/>
      <c r="AM286" s="264"/>
      <c r="AN286" s="263">
        <v>164</v>
      </c>
      <c r="AO286" s="263"/>
      <c r="AP286" s="265"/>
      <c r="AQ286" s="266">
        <v>815</v>
      </c>
      <c r="AR286" s="267">
        <v>4572</v>
      </c>
      <c r="AS286" s="263"/>
      <c r="AT286" s="263"/>
      <c r="AU286" s="263"/>
      <c r="AV286" s="264"/>
      <c r="AW286" s="263"/>
      <c r="AX286" s="263"/>
      <c r="AY286" s="263"/>
      <c r="AZ286" s="263"/>
      <c r="BA286" s="263"/>
      <c r="BB286" s="263"/>
      <c r="BC286" s="263"/>
      <c r="BD286" s="264"/>
      <c r="BE286" s="263"/>
      <c r="BF286" s="263"/>
      <c r="BG286" s="263"/>
      <c r="BH286" s="263"/>
      <c r="BI286" s="263"/>
      <c r="BJ286" s="404">
        <f>altaz(J2000_Bas,$O286,$M286,DecLat,DecLong,2)</f>
        <v>84.036142834859817</v>
      </c>
      <c r="BK286" s="378" t="s">
        <v>381</v>
      </c>
      <c r="BL286" s="379">
        <f>IF((2*G286)/60&lt;0.2,0.2,(2*G286)/60)</f>
        <v>0.2</v>
      </c>
      <c r="BM286" s="380">
        <f>MOD((50000+AD286-$B$3+(0/24)),1)</f>
        <v>0.26100994061562233</v>
      </c>
      <c r="BN286" s="381"/>
      <c r="BO286" s="382">
        <v>286</v>
      </c>
    </row>
    <row r="287" spans="1:67" s="24" customFormat="1" ht="15" customHeight="1" x14ac:dyDescent="0.25">
      <c r="A287" s="288" t="s">
        <v>382</v>
      </c>
      <c r="B287" s="241" t="str">
        <f>HYPERLINK(CONCATENATE($AT$3,BK287,$AU$3),$AV$3)</f>
        <v>S</v>
      </c>
      <c r="C287" s="242" t="str">
        <f>HYPERLINK(CONCATENATE($AT$4,BK287,$AU$4,BL287),$AV$4)</f>
        <v>A</v>
      </c>
      <c r="D287" s="243" t="s">
        <v>5638</v>
      </c>
      <c r="E287" s="244" t="s">
        <v>5193</v>
      </c>
      <c r="F287" s="269" t="s">
        <v>9148</v>
      </c>
      <c r="G287" s="273">
        <v>1.8</v>
      </c>
      <c r="H287" s="283">
        <v>230</v>
      </c>
      <c r="I287" s="246">
        <v>130</v>
      </c>
      <c r="J287" s="246">
        <v>2</v>
      </c>
      <c r="K287" s="247" t="s">
        <v>4235</v>
      </c>
      <c r="L287" s="248">
        <v>73637</v>
      </c>
      <c r="M287" s="249">
        <f>15*(LEFT(TEXT($L287,"000000"),2)+(MID(TEXT($L287,"000000"),3,2)/60)+(RIGHT(TEXT($L287,"000000"),2)/3600))</f>
        <v>114.15416666666665</v>
      </c>
      <c r="N287" s="250">
        <v>175300</v>
      </c>
      <c r="O287" s="251">
        <f>IF($N287&gt;0,(LEFT(TEXT($N287,"000000"),2)+(MID(TEXT($N287,"000000"),3,2)/60)+(RIGHT(TEXT($N287,"000000"),2)/3600)),-(MID(TEXT($N287,"000000"),2,2)+(MID(TEXT($N287,"000000"),4,2)/60)+(RIGHT(TEXT($N287,"000000"),2)/3600)))</f>
        <v>17.883333333333333</v>
      </c>
      <c r="P287" s="252" t="s">
        <v>85</v>
      </c>
      <c r="Q287" s="253"/>
      <c r="R287" s="247" t="s">
        <v>3501</v>
      </c>
      <c r="S287" s="272" t="s">
        <v>3293</v>
      </c>
      <c r="T287" s="273">
        <v>12.2</v>
      </c>
      <c r="U287" s="289">
        <v>22.29</v>
      </c>
      <c r="V287" s="280"/>
      <c r="W287" s="244"/>
      <c r="X287" s="244"/>
      <c r="Y287" s="362"/>
      <c r="Z287" s="257">
        <f>altaz(J2000_Bas,$O287,$M287,DecLat,DecLong,1)</f>
        <v>-40.492799219743254</v>
      </c>
      <c r="AA287" s="257">
        <f>altaz((J2000_Bas+(2*0.04167)),$O287,$M287,DecLat,DecLong,1)</f>
        <v>-36.766211988871966</v>
      </c>
      <c r="AB287" s="257">
        <f>altaz((J2000_Bas+(4*0.04167)),$O287,$M287,DecLat,DecLong,1)</f>
        <v>-20.112985371756203</v>
      </c>
      <c r="AC287" s="257">
        <f>altaz((J2000_Bas+(6*0.04167)),$O287,$M287,DecLat,DecLong,1)</f>
        <v>2.6403559489286224</v>
      </c>
      <c r="AD287" s="258">
        <f>1+ transit((J2000_Bas-1),$O287,$M287,DecLat,DecLong)/360 + (GMTOffset/24) + (IF(DST="Y", 1, 0)/24)</f>
        <v>1.3099948363276248</v>
      </c>
      <c r="AE287" s="259">
        <f>DATE(2001,9,21)+(M287/360)*365 - (360*((DecLong/360)- (GMTOffset/24) ))</f>
        <v>37275.739641203705</v>
      </c>
      <c r="AF287" s="260">
        <f>IF(DecLat&gt;0,IF((90 - (DecLat-O287))&gt;90, (90 - (O287-DecLat)), (90 - (DecLat-O287))),IF((90 + (DecLat-O287))&gt;90, (90 + (O287-DecLat)), (90 + (DecLat-O287))))</f>
        <v>76.883333333333326</v>
      </c>
      <c r="AG287" s="257">
        <f>angularseperation(MoonRA,MoonDec,$M287,$O287)</f>
        <v>137.72088020504972</v>
      </c>
      <c r="AH287" s="261">
        <f ca="1">MIN(100,IF($O$5&gt;80,0+30*($AG287/100),IF($O$5&gt;70,0+50*($AG287/100),IF($O$5&gt;60,5+50*($AG287/100),IF($O$5&gt;50,10+60*($AG287/100),IF($O$5&gt;40,15+70*($AG287/100),IF($O$5&gt;30,20+70*($AG287/100),IF($O$5&gt;20,40+55*($AG287/100),(80+(20-$O$5)+30*($AG287/100))))))))))</f>
        <v>100</v>
      </c>
      <c r="AI287" s="262">
        <v>2418</v>
      </c>
      <c r="AJ287" s="262"/>
      <c r="AK287" s="262"/>
      <c r="AL287" s="263"/>
      <c r="AM287" s="264"/>
      <c r="AN287" s="263">
        <v>165</v>
      </c>
      <c r="AO287" s="263"/>
      <c r="AP287" s="265"/>
      <c r="AQ287" s="266">
        <v>3931</v>
      </c>
      <c r="AR287" s="267">
        <v>21382</v>
      </c>
      <c r="AS287" s="263"/>
      <c r="AT287" s="263"/>
      <c r="AU287" s="263"/>
      <c r="AV287" s="264"/>
      <c r="AW287" s="263"/>
      <c r="AX287" s="263"/>
      <c r="AY287" s="263"/>
      <c r="AZ287" s="263"/>
      <c r="BA287" s="263"/>
      <c r="BB287" s="263"/>
      <c r="BC287" s="263"/>
      <c r="BD287" s="264"/>
      <c r="BE287" s="263"/>
      <c r="BF287" s="263"/>
      <c r="BG287" s="263"/>
      <c r="BH287" s="263"/>
      <c r="BI287" s="263"/>
      <c r="BJ287" s="404">
        <f>altaz(J2000_Bas,$O287,$M287,DecLat,DecLong,2)</f>
        <v>349.77931913536582</v>
      </c>
      <c r="BK287" s="378" t="s">
        <v>382</v>
      </c>
      <c r="BL287" s="379">
        <f>IF((2*G287)/60&lt;0.2,0.2,(2*G287)/60)</f>
        <v>0.2</v>
      </c>
      <c r="BM287" s="380">
        <f>MOD((50000+AD287-$B$3+(0/24)),1)</f>
        <v>0.52536176603462081</v>
      </c>
      <c r="BN287" s="381"/>
      <c r="BO287" s="382">
        <v>287</v>
      </c>
    </row>
    <row r="288" spans="1:67" s="24" customFormat="1" ht="15" customHeight="1" x14ac:dyDescent="0.25">
      <c r="A288" s="288" t="s">
        <v>383</v>
      </c>
      <c r="B288" s="241" t="str">
        <f>HYPERLINK(CONCATENATE($AT$3,BK288,$AU$3),$AV$3)</f>
        <v>S</v>
      </c>
      <c r="C288" s="242" t="str">
        <f>HYPERLINK(CONCATENATE($AT$4,BK288,$AU$4,BL288),$AV$4)</f>
        <v>A</v>
      </c>
      <c r="D288" s="243" t="s">
        <v>5638</v>
      </c>
      <c r="E288" s="244" t="s">
        <v>5337</v>
      </c>
      <c r="F288" s="269" t="s">
        <v>9138</v>
      </c>
      <c r="G288" s="273">
        <v>1.9</v>
      </c>
      <c r="H288" s="283">
        <v>220</v>
      </c>
      <c r="I288" s="246">
        <v>125</v>
      </c>
      <c r="J288" s="246">
        <v>2</v>
      </c>
      <c r="K288" s="247" t="s">
        <v>4236</v>
      </c>
      <c r="L288" s="248">
        <v>15732</v>
      </c>
      <c r="M288" s="249">
        <f>15*(LEFT(TEXT($L288,"000000"),2)+(MID(TEXT($L288,"000000"),3,2)/60)+(RIGHT(TEXT($L288,"000000"),2)/3600))</f>
        <v>29.383333333333333</v>
      </c>
      <c r="N288" s="250">
        <v>331200</v>
      </c>
      <c r="O288" s="251">
        <f>IF($N288&gt;0,(LEFT(TEXT($N288,"000000"),2)+(MID(TEXT($N288,"000000"),3,2)/60)+(RIGHT(TEXT($N288,"000000"),2)/3600)),-(MID(TEXT($N288,"000000"),2,2)+(MID(TEXT($N288,"000000"),4,2)/60)+(RIGHT(TEXT($N288,"000000"),2)/3600)))</f>
        <v>33.200000000000003</v>
      </c>
      <c r="P288" s="252" t="s">
        <v>314</v>
      </c>
      <c r="Q288" s="253"/>
      <c r="R288" s="247" t="s">
        <v>3473</v>
      </c>
      <c r="S288" s="272" t="s">
        <v>3293</v>
      </c>
      <c r="T288" s="273">
        <v>11.9</v>
      </c>
      <c r="U288" s="289">
        <v>21.59</v>
      </c>
      <c r="V288" s="280"/>
      <c r="W288" s="244"/>
      <c r="X288" s="244"/>
      <c r="Y288" s="362"/>
      <c r="Z288" s="257">
        <f>altaz(J2000_Bas,$O288,$M288,DecLat,DecLong,1)</f>
        <v>6.6630591246365398</v>
      </c>
      <c r="AA288" s="257">
        <f>altaz((J2000_Bas+(2*0.04167)),$O288,$M288,DecLat,DecLong,1)</f>
        <v>29.220397644106129</v>
      </c>
      <c r="AB288" s="257">
        <f>altaz((J2000_Bas+(4*0.04167)),$O288,$M288,DecLat,DecLong,1)</f>
        <v>53.587749568059891</v>
      </c>
      <c r="AC288" s="257">
        <f>altaz((J2000_Bas+(6*0.04167)),$O288,$M288,DecLat,DecLong,1)</f>
        <v>78.672459569848286</v>
      </c>
      <c r="AD288" s="258">
        <f>1+ transit((J2000_Bas-1),$O288,$M288,DecLat,DecLong)/360 + (GMTOffset/24) + (IF(DST="Y", 1, 0)/24)</f>
        <v>1.0745203228380413</v>
      </c>
      <c r="AE288" s="259">
        <f>DATE(2001,9,21)+(M288/360)*365 - (360*((DecLong/360)- (GMTOffset/24) ))</f>
        <v>37189.791435185187</v>
      </c>
      <c r="AF288" s="260">
        <f>IF(DecLat&gt;0,IF((90 - (DecLat-O288))&gt;90, (90 - (O288-DecLat)), (90 - (DecLat-O288))),IF((90 + (DecLat-O288))&gt;90, (90 + (O288-DecLat)), (90 + (DecLat-O288))))</f>
        <v>87.8</v>
      </c>
      <c r="AG288" s="257">
        <f>angularseperation(MoonRA,MoonDec,$M288,$O288)</f>
        <v>145.20417712927033</v>
      </c>
      <c r="AH288" s="261">
        <f ca="1">MIN(100,IF($O$5&gt;80,0+30*($AG288/100),IF($O$5&gt;70,0+50*($AG288/100),IF($O$5&gt;60,5+50*($AG288/100),IF($O$5&gt;50,10+60*($AG288/100),IF($O$5&gt;40,15+70*($AG288/100),IF($O$5&gt;30,20+70*($AG288/100),IF($O$5&gt;20,40+55*($AG288/100),(80+(20-$O$5)+30*($AG288/100))))))))))</f>
        <v>100</v>
      </c>
      <c r="AI288" s="262">
        <v>750</v>
      </c>
      <c r="AJ288" s="262"/>
      <c r="AK288" s="262"/>
      <c r="AL288" s="263"/>
      <c r="AM288" s="264"/>
      <c r="AN288" s="263">
        <v>166</v>
      </c>
      <c r="AO288" s="263"/>
      <c r="AP288" s="265"/>
      <c r="AQ288" s="266">
        <v>1430</v>
      </c>
      <c r="AR288" s="267">
        <v>7369</v>
      </c>
      <c r="AS288" s="263"/>
      <c r="AT288" s="263"/>
      <c r="AU288" s="263"/>
      <c r="AV288" s="264"/>
      <c r="AW288" s="263"/>
      <c r="AX288" s="263"/>
      <c r="AY288" s="263"/>
      <c r="AZ288" s="263"/>
      <c r="BA288" s="263"/>
      <c r="BB288" s="263"/>
      <c r="BC288" s="263"/>
      <c r="BD288" s="264"/>
      <c r="BE288" s="263"/>
      <c r="BF288" s="263"/>
      <c r="BG288" s="263"/>
      <c r="BH288" s="263">
        <v>91</v>
      </c>
      <c r="BI288" s="263"/>
      <c r="BJ288" s="404">
        <f>altaz(J2000_Bas,$O288,$M288,DecLat,DecLong,2)</f>
        <v>55.043286774910506</v>
      </c>
      <c r="BK288" s="378" t="s">
        <v>383</v>
      </c>
      <c r="BL288" s="379">
        <f>IF((2*G288)/60&lt;0.2,0.2,(2*G288)/60)</f>
        <v>0.2</v>
      </c>
      <c r="BM288" s="380">
        <f>MOD((50000+AD288-$B$3+(0/24)),1)</f>
        <v>0.28988725254021119</v>
      </c>
      <c r="BN288" s="381" t="s">
        <v>9292</v>
      </c>
      <c r="BO288" s="382">
        <v>288</v>
      </c>
    </row>
    <row r="289" spans="1:67" s="24" customFormat="1" ht="15" customHeight="1" x14ac:dyDescent="0.25">
      <c r="A289" s="288" t="s">
        <v>384</v>
      </c>
      <c r="B289" s="241" t="str">
        <f>HYPERLINK(CONCATENATE($AT$3,BK289,$AU$3),$AV$3)</f>
        <v>S</v>
      </c>
      <c r="C289" s="242" t="str">
        <f>HYPERLINK(CONCATENATE($AT$4,BK289,$AU$4,BL289),$AV$4)</f>
        <v>A</v>
      </c>
      <c r="D289" s="243" t="s">
        <v>5638</v>
      </c>
      <c r="E289" s="244" t="s">
        <v>5337</v>
      </c>
      <c r="F289" s="269" t="s">
        <v>3310</v>
      </c>
      <c r="G289" s="273">
        <v>1.5</v>
      </c>
      <c r="H289" s="283">
        <v>200</v>
      </c>
      <c r="I289" s="246">
        <v>90</v>
      </c>
      <c r="J289" s="246">
        <v>2</v>
      </c>
      <c r="K289" s="247" t="s">
        <v>4237</v>
      </c>
      <c r="L289" s="248">
        <v>84924</v>
      </c>
      <c r="M289" s="249">
        <f>15*(LEFT(TEXT($L289,"000000"),2)+(MID(TEXT($L289,"000000"),3,2)/60)+(RIGHT(TEXT($L289,"000000"),2)/3600))</f>
        <v>132.35</v>
      </c>
      <c r="N289" s="250">
        <v>190400</v>
      </c>
      <c r="O289" s="251">
        <f>IF($N289&gt;0,(LEFT(TEXT($N289,"000000"),2)+(MID(TEXT($N289,"000000"),3,2)/60)+(RIGHT(TEXT($N289,"000000"),2)/3600)),-(MID(TEXT($N289,"000000"),2,2)+(MID(TEXT($N289,"000000"),4,2)/60)+(RIGHT(TEXT($N289,"000000"),2)/3600)))</f>
        <v>19.066666666666666</v>
      </c>
      <c r="P289" s="252" t="s">
        <v>100</v>
      </c>
      <c r="Q289" s="253"/>
      <c r="R289" s="247" t="s">
        <v>3516</v>
      </c>
      <c r="S289" s="272" t="s">
        <v>3293</v>
      </c>
      <c r="T289" s="273">
        <v>12.7</v>
      </c>
      <c r="U289" s="289">
        <v>22.79</v>
      </c>
      <c r="V289" s="280"/>
      <c r="W289" s="244"/>
      <c r="X289" s="244"/>
      <c r="Y289" s="362"/>
      <c r="Z289" s="257">
        <f>altaz(J2000_Bas,$O289,$M289,DecLat,DecLong,1)</f>
        <v>-33.899514858122032</v>
      </c>
      <c r="AA289" s="257">
        <f>altaz((J2000_Bas+(2*0.04167)),$O289,$M289,DecLat,DecLong,1)</f>
        <v>-39.804728975816936</v>
      </c>
      <c r="AB289" s="257">
        <f>altaz((J2000_Bas+(4*0.04167)),$O289,$M289,DecLat,DecLong,1)</f>
        <v>-30.317967336973275</v>
      </c>
      <c r="AC289" s="257">
        <f>altaz((J2000_Bas+(6*0.04167)),$O289,$M289,DecLat,DecLong,1)</f>
        <v>-10.841186529435749</v>
      </c>
      <c r="AD289" s="258">
        <f>1+ transit((J2000_Bas-1),$O289,$M289,DecLat,DecLong)/360 + (GMTOffset/24) + (IF(DST="Y", 1, 0)/24)</f>
        <v>1.360538812754708</v>
      </c>
      <c r="AE289" s="259">
        <f>DATE(2001,9,21)+(M289/360)*365 - (360*((DecLong/360)- (GMTOffset/24) ))</f>
        <v>37294.188194444447</v>
      </c>
      <c r="AF289" s="260">
        <f>IF(DecLat&gt;0,IF((90 - (DecLat-O289))&gt;90, (90 - (O289-DecLat)), (90 - (DecLat-O289))),IF((90 + (DecLat-O289))&gt;90, (90 + (O289-DecLat)), (90 + (DecLat-O289))))</f>
        <v>78.066666666666663</v>
      </c>
      <c r="AG289" s="257">
        <f>angularseperation(MoonRA,MoonDec,$M289,$O289)</f>
        <v>121.9613183295977</v>
      </c>
      <c r="AH289" s="261">
        <f ca="1">MIN(100,IF($O$5&gt;80,0+30*($AG289/100),IF($O$5&gt;70,0+50*($AG289/100),IF($O$5&gt;60,5+50*($AG289/100),IF($O$5&gt;50,10+60*($AG289/100),IF($O$5&gt;40,15+70*($AG289/100),IF($O$5&gt;30,20+70*($AG289/100),IF($O$5&gt;20,40+55*($AG289/100),(80+(20-$O$5)+30*($AG289/100))))))))))</f>
        <v>100</v>
      </c>
      <c r="AI289" s="262">
        <v>2673</v>
      </c>
      <c r="AJ289" s="262"/>
      <c r="AK289" s="262"/>
      <c r="AL289" s="263"/>
      <c r="AM289" s="264"/>
      <c r="AN289" s="263">
        <v>167</v>
      </c>
      <c r="AO289" s="263"/>
      <c r="AP289" s="265"/>
      <c r="AQ289" s="266">
        <v>4620</v>
      </c>
      <c r="AR289" s="267">
        <v>24792</v>
      </c>
      <c r="AS289" s="263"/>
      <c r="AT289" s="263"/>
      <c r="AU289" s="263"/>
      <c r="AV289" s="264"/>
      <c r="AW289" s="263"/>
      <c r="AX289" s="263"/>
      <c r="AY289" s="263"/>
      <c r="AZ289" s="263"/>
      <c r="BA289" s="263"/>
      <c r="BB289" s="263"/>
      <c r="BC289" s="263"/>
      <c r="BD289" s="264"/>
      <c r="BE289" s="263"/>
      <c r="BF289" s="263"/>
      <c r="BG289" s="263"/>
      <c r="BH289" s="263"/>
      <c r="BI289" s="263"/>
      <c r="BJ289" s="404">
        <f>altaz(J2000_Bas,$O289,$M289,DecLat,DecLong,2)</f>
        <v>329.64419181991065</v>
      </c>
      <c r="BK289" s="378" t="s">
        <v>384</v>
      </c>
      <c r="BL289" s="379">
        <f>IF((2*G289)/60&lt;0.2,0.2,(2*G289)/60)</f>
        <v>0.2</v>
      </c>
      <c r="BM289" s="380">
        <f>MOD((50000+AD289-$B$3+(0/24)),1)</f>
        <v>0.57590574245841708</v>
      </c>
      <c r="BN289" s="381"/>
      <c r="BO289" s="382">
        <v>289</v>
      </c>
    </row>
    <row r="290" spans="1:67" s="24" customFormat="1" ht="15" customHeight="1" x14ac:dyDescent="0.25">
      <c r="A290" s="288" t="s">
        <v>385</v>
      </c>
      <c r="B290" s="241" t="str">
        <f>HYPERLINK(CONCATENATE($AT$3,BK290,$AU$3),$AV$3)</f>
        <v>S</v>
      </c>
      <c r="C290" s="242" t="str">
        <f>HYPERLINK(CONCATENATE($AT$4,BK290,$AU$4,BL290),$AV$4)</f>
        <v>A</v>
      </c>
      <c r="D290" s="243" t="s">
        <v>5638</v>
      </c>
      <c r="E290" s="244" t="s">
        <v>5337</v>
      </c>
      <c r="F290" s="269" t="s">
        <v>3310</v>
      </c>
      <c r="G290" s="270">
        <v>0.5</v>
      </c>
      <c r="H290" s="283">
        <v>340</v>
      </c>
      <c r="I290" s="246">
        <v>50</v>
      </c>
      <c r="J290" s="246">
        <v>2</v>
      </c>
      <c r="K290" s="247" t="s">
        <v>4247</v>
      </c>
      <c r="L290" s="248">
        <v>221445</v>
      </c>
      <c r="M290" s="249">
        <f>15*(LEFT(TEXT($L290,"000000"),2)+(MID(TEXT($L290,"000000"),3,2)/60)+(RIGHT(TEXT($L290,"000000"),2)/3600))</f>
        <v>333.6875</v>
      </c>
      <c r="N290" s="250">
        <v>135000</v>
      </c>
      <c r="O290" s="251">
        <f>IF($N290&gt;0,(LEFT(TEXT($N290,"000000"),2)+(MID(TEXT($N290,"000000"),3,2)/60)+(RIGHT(TEXT($N290,"000000"),2)/3600)),-(MID(TEXT($N290,"000000"),2,2)+(MID(TEXT($N290,"000000"),4,2)/60)+(RIGHT(TEXT($N290,"000000"),2)/3600)))</f>
        <v>13.833333333333334</v>
      </c>
      <c r="P290" s="252" t="s">
        <v>39</v>
      </c>
      <c r="Q290" s="253"/>
      <c r="R290" s="247" t="s">
        <v>3688</v>
      </c>
      <c r="S290" s="272" t="s">
        <v>3293</v>
      </c>
      <c r="T290" s="273">
        <v>13.6</v>
      </c>
      <c r="U290" s="289">
        <v>21.490000000000002</v>
      </c>
      <c r="V290" s="280"/>
      <c r="W290" s="244"/>
      <c r="X290" s="244"/>
      <c r="Y290" s="362"/>
      <c r="Z290" s="257">
        <f>altaz(J2000_Bas,$O290,$M290,DecLat,DecLong,1)</f>
        <v>43.114558019098688</v>
      </c>
      <c r="AA290" s="257">
        <f>altaz((J2000_Bas+(2*0.04167)),$O290,$M290,DecLat,DecLong,1)</f>
        <v>66.418095981798871</v>
      </c>
      <c r="AB290" s="257">
        <f>altaz((J2000_Bas+(4*0.04167)),$O290,$M290,DecLat,DecLong,1)</f>
        <v>69.353043909751605</v>
      </c>
      <c r="AC290" s="257">
        <f>altaz((J2000_Bas+(6*0.04167)),$O290,$M290,DecLat,DecLong,1)</f>
        <v>47.401050431845853</v>
      </c>
      <c r="AD290" s="258">
        <f>1+ transit((J2000_Bas-1),$O290,$M290,DecLat,DecLong)/360 + (GMTOffset/24) + (IF(DST="Y", 1, 0)/24)</f>
        <v>1.919809590160958</v>
      </c>
      <c r="AE290" s="259">
        <f>DATE(2001,9,21)+(M290/360)*365 - (360*((DecLong/360)- (GMTOffset/24) ))</f>
        <v>37498.322048611109</v>
      </c>
      <c r="AF290" s="260">
        <f>IF(DecLat&gt;0,IF((90 - (DecLat-O290))&gt;90, (90 - (O290-DecLat)), (90 - (DecLat-O290))),IF((90 + (DecLat-O290))&gt;90, (90 + (O290-DecLat)), (90 + (DecLat-O290))))</f>
        <v>72.833333333333343</v>
      </c>
      <c r="AG290" s="257">
        <f>angularseperation(MoonRA,MoonDec,$M290,$O290)</f>
        <v>91.443069807017551</v>
      </c>
      <c r="AH290" s="261">
        <f ca="1">MIN(100,IF($O$5&gt;80,0+30*($AG290/100),IF($O$5&gt;70,0+50*($AG290/100),IF($O$5&gt;60,5+50*($AG290/100),IF($O$5&gt;50,10+60*($AG290/100),IF($O$5&gt;40,15+70*($AG290/100),IF($O$5&gt;30,20+70*($AG290/100),IF($O$5&gt;20,40+55*($AG290/100),(80+(20-$O$5)+30*($AG290/100))))))))))</f>
        <v>100</v>
      </c>
      <c r="AI290" s="262">
        <v>7236</v>
      </c>
      <c r="AJ290" s="262"/>
      <c r="AK290" s="262"/>
      <c r="AL290" s="263"/>
      <c r="AM290" s="264"/>
      <c r="AN290" s="263">
        <v>169</v>
      </c>
      <c r="AO290" s="263"/>
      <c r="AP290" s="265"/>
      <c r="AQ290" s="266">
        <v>11958</v>
      </c>
      <c r="AR290" s="267">
        <v>68384</v>
      </c>
      <c r="AS290" s="263"/>
      <c r="AT290" s="263"/>
      <c r="AU290" s="263"/>
      <c r="AV290" s="264"/>
      <c r="AW290" s="263"/>
      <c r="AX290" s="263"/>
      <c r="AY290" s="263"/>
      <c r="AZ290" s="263"/>
      <c r="BA290" s="263"/>
      <c r="BB290" s="263"/>
      <c r="BC290" s="263"/>
      <c r="BD290" s="264"/>
      <c r="BE290" s="263"/>
      <c r="BF290" s="263"/>
      <c r="BG290" s="263"/>
      <c r="BH290" s="263"/>
      <c r="BI290" s="263"/>
      <c r="BJ290" s="404">
        <f>altaz(J2000_Bas,$O290,$M290,DecLat,DecLong,2)</f>
        <v>100.39574338804918</v>
      </c>
      <c r="BK290" s="378" t="s">
        <v>385</v>
      </c>
      <c r="BL290" s="379">
        <f>IF((2*G290)/60&lt;0.2,0.2,(2*G290)/60)</f>
        <v>0.2</v>
      </c>
      <c r="BM290" s="380">
        <f>MOD((50000+AD290-$B$3+(0/24)),1)</f>
        <v>0.13517651986330748</v>
      </c>
      <c r="BN290" s="382" t="s">
        <v>9214</v>
      </c>
      <c r="BO290" s="382">
        <v>290</v>
      </c>
    </row>
    <row r="291" spans="1:67" s="24" customFormat="1" ht="15" customHeight="1" x14ac:dyDescent="0.25">
      <c r="A291" s="288" t="s">
        <v>386</v>
      </c>
      <c r="B291" s="241" t="str">
        <f>HYPERLINK(CONCATENATE($AT$3,BK291,$AU$3),$AV$3)</f>
        <v>S</v>
      </c>
      <c r="C291" s="242" t="str">
        <f>HYPERLINK(CONCATENATE($AT$4,BK291,$AU$4,BL291),$AV$4)</f>
        <v>A</v>
      </c>
      <c r="D291" s="243" t="s">
        <v>5638</v>
      </c>
      <c r="E291" s="244" t="s">
        <v>5625</v>
      </c>
      <c r="F291" s="290">
        <v>7</v>
      </c>
      <c r="G291" s="294">
        <v>0.4</v>
      </c>
      <c r="H291" s="283">
        <v>560</v>
      </c>
      <c r="I291" s="284">
        <v>70</v>
      </c>
      <c r="J291" s="246">
        <v>3</v>
      </c>
      <c r="K291" s="247" t="s">
        <v>8364</v>
      </c>
      <c r="L291" s="248">
        <v>231715</v>
      </c>
      <c r="M291" s="249">
        <f>15*(LEFT(TEXT($L291,"000000"),2)+(MID(TEXT($L291,"000000"),3,2)/60)+(RIGHT(TEXT($L291,"000000"),2)/3600))</f>
        <v>349.3125</v>
      </c>
      <c r="N291" s="250">
        <v>184400</v>
      </c>
      <c r="O291" s="251">
        <f>IF($N291&gt;0,(LEFT(TEXT($N291,"000000"),2)+(MID(TEXT($N291,"000000"),3,2)/60)+(RIGHT(TEXT($N291,"000000"),2)/3600)),-(MID(TEXT($N291,"000000"),2,2)+(MID(TEXT($N291,"000000"),4,2)/60)+(RIGHT(TEXT($N291,"000000"),2)/3600)))</f>
        <v>18.733333333333334</v>
      </c>
      <c r="P291" s="252" t="s">
        <v>39</v>
      </c>
      <c r="Q291" s="253"/>
      <c r="R291" s="292" t="s">
        <v>4300</v>
      </c>
      <c r="S291" s="272" t="s">
        <v>4173</v>
      </c>
      <c r="T291" s="273">
        <v>12.3</v>
      </c>
      <c r="U291" s="289">
        <v>23.1</v>
      </c>
      <c r="V291" s="280"/>
      <c r="W291" s="244"/>
      <c r="X291" s="244"/>
      <c r="Y291" s="362"/>
      <c r="Z291" s="257">
        <f>altaz(J2000_Bas,$O291,$M291,DecLat,DecLong,1)</f>
        <v>32.007134271660966</v>
      </c>
      <c r="AA291" s="257">
        <f>altaz((J2000_Bas+(2*0.04167)),$O291,$M291,DecLat,DecLong,1)</f>
        <v>57.6146562106684</v>
      </c>
      <c r="AB291" s="257">
        <f>altaz((J2000_Bas+(4*0.04167)),$O291,$M291,DecLat,DecLong,1)</f>
        <v>77.408738752103304</v>
      </c>
      <c r="AC291" s="257">
        <f>altaz((J2000_Bas+(6*0.04167)),$O291,$M291,DecLat,DecLong,1)</f>
        <v>62.754669835843671</v>
      </c>
      <c r="AD291" s="258">
        <f>1+ transit((J2000_Bas-1),$O291,$M291,DecLat,DecLong)/360 + (GMTOffset/24) + (IF(DST="Y", 1, 0)/24)</f>
        <v>1.9632123635984582</v>
      </c>
      <c r="AE291" s="259">
        <f>DATE(2001,9,21)+(M291/360)*365 - (360*((DecLong/360)- (GMTOffset/24) ))</f>
        <v>37514.1640625</v>
      </c>
      <c r="AF291" s="260">
        <f>IF(DecLat&gt;0,IF((90 - (DecLat-O291))&gt;90, (90 - (O291-DecLat)), (90 - (DecLat-O291))),IF((90 + (DecLat-O291))&gt;90, (90 + (O291-DecLat)), (90 + (DecLat-O291))))</f>
        <v>77.733333333333334</v>
      </c>
      <c r="AG291" s="257">
        <f>angularseperation(MoonRA,MoonDec,$M291,$O291)</f>
        <v>107.07740975696736</v>
      </c>
      <c r="AH291" s="261">
        <f ca="1">MIN(100,IF($O$5&gt;80,0+30*($AG291/100),IF($O$5&gt;70,0+50*($AG291/100),IF($O$5&gt;60,5+50*($AG291/100),IF($O$5&gt;50,10+60*($AG291/100),IF($O$5&gt;40,15+70*($AG291/100),IF($O$5&gt;30,20+70*($AG291/100),IF($O$5&gt;20,40+55*($AG291/100),(80+(20-$O$5)+30*($AG291/100))))))))))</f>
        <v>100</v>
      </c>
      <c r="AI291" s="262">
        <v>7578</v>
      </c>
      <c r="AJ291" s="262"/>
      <c r="AK291" s="262"/>
      <c r="AL291" s="263"/>
      <c r="AM291" s="264"/>
      <c r="AN291" s="263">
        <v>170</v>
      </c>
      <c r="AO291" s="263">
        <v>94</v>
      </c>
      <c r="AP291" s="265"/>
      <c r="AQ291" s="266">
        <v>12477</v>
      </c>
      <c r="AR291" s="267">
        <v>70933</v>
      </c>
      <c r="AS291" s="263"/>
      <c r="AT291" s="263"/>
      <c r="AU291" s="263"/>
      <c r="AV291" s="264"/>
      <c r="AW291" s="263"/>
      <c r="AX291" s="263"/>
      <c r="AY291" s="263"/>
      <c r="AZ291" s="263"/>
      <c r="BA291" s="263"/>
      <c r="BB291" s="263"/>
      <c r="BC291" s="263"/>
      <c r="BD291" s="264"/>
      <c r="BE291" s="263"/>
      <c r="BF291" s="263"/>
      <c r="BG291" s="263"/>
      <c r="BH291" s="263"/>
      <c r="BI291" s="263"/>
      <c r="BJ291" s="404">
        <f>altaz(J2000_Bas,$O291,$M291,DecLat,DecLong,2)</f>
        <v>86.199288665942547</v>
      </c>
      <c r="BK291" s="378" t="s">
        <v>4091</v>
      </c>
      <c r="BL291" s="379">
        <f>IF((2*G291)/60&lt;0.2,0.2,(2*G291)/60)</f>
        <v>0.2</v>
      </c>
      <c r="BM291" s="380">
        <f>MOD((50000+AD291-$B$3+(0/24)),1)</f>
        <v>0.17857929330057232</v>
      </c>
      <c r="BN291" s="381"/>
      <c r="BO291" s="382">
        <v>291</v>
      </c>
    </row>
    <row r="292" spans="1:67" s="24" customFormat="1" ht="15" customHeight="1" x14ac:dyDescent="0.25">
      <c r="A292" s="288" t="s">
        <v>387</v>
      </c>
      <c r="B292" s="241" t="str">
        <f>HYPERLINK(CONCATENATE($AT$3,BK292,$AU$3),$AV$3)</f>
        <v>S</v>
      </c>
      <c r="C292" s="242" t="str">
        <f>HYPERLINK(CONCATENATE($AT$4,BK292,$AU$4,BL292),$AV$4)</f>
        <v>A</v>
      </c>
      <c r="D292" s="243" t="s">
        <v>5638</v>
      </c>
      <c r="E292" s="244" t="s">
        <v>5337</v>
      </c>
      <c r="F292" s="269" t="s">
        <v>3310</v>
      </c>
      <c r="G292" s="273">
        <v>1.5</v>
      </c>
      <c r="H292" s="283">
        <v>390</v>
      </c>
      <c r="I292" s="246">
        <v>160</v>
      </c>
      <c r="J292" s="246">
        <v>2</v>
      </c>
      <c r="K292" s="247" t="s">
        <v>4248</v>
      </c>
      <c r="L292" s="248">
        <v>144043</v>
      </c>
      <c r="M292" s="249">
        <f>15*(LEFT(TEXT($L292,"000000"),2)+(MID(TEXT($L292,"000000"),3,2)/60)+(RIGHT(TEXT($L292,"000000"),2)/3600))</f>
        <v>220.17916666666665</v>
      </c>
      <c r="N292" s="250">
        <v>32700</v>
      </c>
      <c r="O292" s="251">
        <f>IF($N292&gt;0,(LEFT(TEXT($N292,"000000"),2)+(MID(TEXT($N292,"000000"),3,2)/60)+(RIGHT(TEXT($N292,"000000"),2)/3600)),-(MID(TEXT($N292,"000000"),2,2)+(MID(TEXT($N292,"000000"),4,2)/60)+(RIGHT(TEXT($N292,"000000"),2)/3600)))</f>
        <v>3.45</v>
      </c>
      <c r="P292" s="252" t="s">
        <v>61</v>
      </c>
      <c r="Q292" s="253"/>
      <c r="R292" s="247" t="s">
        <v>3626</v>
      </c>
      <c r="S292" s="272" t="s">
        <v>3293</v>
      </c>
      <c r="T292" s="273">
        <v>14</v>
      </c>
      <c r="U292" s="289">
        <v>22.19</v>
      </c>
      <c r="V292" s="280"/>
      <c r="W292" s="244"/>
      <c r="X292" s="244"/>
      <c r="Y292" s="362"/>
      <c r="Z292" s="257">
        <f>altaz(J2000_Bas,$O292,$M292,DecLat,DecLong,1)</f>
        <v>22.42104483095428</v>
      </c>
      <c r="AA292" s="257">
        <f>altaz((J2000_Bas+(2*0.04167)),$O292,$M292,DecLat,DecLong,1)</f>
        <v>-3.271987426694535</v>
      </c>
      <c r="AB292" s="257">
        <f>altaz((J2000_Bas+(4*0.04167)),$O292,$M292,DecLat,DecLong,1)</f>
        <v>-28.153377387650931</v>
      </c>
      <c r="AC292" s="257">
        <f>altaz((J2000_Bas+(6*0.04167)),$O292,$M292,DecLat,DecLong,1)</f>
        <v>-48.687141503738353</v>
      </c>
      <c r="AD292" s="258">
        <f>1+ transit((J2000_Bas-1),$O292,$M292,DecLat,DecLong)/360 + (GMTOffset/24) + (IF(DST="Y", 1, 0)/24)</f>
        <v>1.6045086957651247</v>
      </c>
      <c r="AE292" s="259">
        <f>DATE(2001,9,21)+(M292/360)*365 - (360*((DecLong/360)- (GMTOffset/24) ))</f>
        <v>37383.237210648149</v>
      </c>
      <c r="AF292" s="260">
        <f>IF(DecLat&gt;0,IF((90 - (DecLat-O292))&gt;90, (90 - (O292-DecLat)), (90 - (DecLat-O292))),IF((90 + (DecLat-O292))&gt;90, (90 + (O292-DecLat)), (90 + (DecLat-O292))))</f>
        <v>62.45</v>
      </c>
      <c r="AG292" s="257">
        <f>angularseperation(MoonRA,MoonDec,$M292,$O292)</f>
        <v>41.459318692018165</v>
      </c>
      <c r="AH292" s="261">
        <f ca="1">MIN(100,IF($O$5&gt;80,0+30*($AG292/100),IF($O$5&gt;70,0+50*($AG292/100),IF($O$5&gt;60,5+50*($AG292/100),IF($O$5&gt;50,10+60*($AG292/100),IF($O$5&gt;40,15+70*($AG292/100),IF($O$5&gt;30,20+70*($AG292/100),IF($O$5&gt;20,40+55*($AG292/100),(80+(20-$O$5)+30*($AG292/100))))))))))</f>
        <v>95.708855951755879</v>
      </c>
      <c r="AI292" s="262">
        <v>5718</v>
      </c>
      <c r="AJ292" s="262"/>
      <c r="AK292" s="262"/>
      <c r="AL292" s="263"/>
      <c r="AM292" s="264"/>
      <c r="AN292" s="263">
        <v>171</v>
      </c>
      <c r="AO292" s="263"/>
      <c r="AP292" s="265"/>
      <c r="AQ292" s="266">
        <v>9459</v>
      </c>
      <c r="AR292" s="267">
        <v>52441</v>
      </c>
      <c r="AS292" s="263"/>
      <c r="AT292" s="263"/>
      <c r="AU292" s="263"/>
      <c r="AV292" s="264"/>
      <c r="AW292" s="263"/>
      <c r="AX292" s="263"/>
      <c r="AY292" s="263"/>
      <c r="AZ292" s="263"/>
      <c r="BA292" s="263"/>
      <c r="BB292" s="263"/>
      <c r="BC292" s="263"/>
      <c r="BD292" s="264"/>
      <c r="BE292" s="263"/>
      <c r="BF292" s="263"/>
      <c r="BG292" s="263"/>
      <c r="BH292" s="263"/>
      <c r="BI292" s="263"/>
      <c r="BJ292" s="404">
        <f>altaz(J2000_Bas,$O292,$M292,DecLat,DecLong,2)</f>
        <v>260.09768073163264</v>
      </c>
      <c r="BK292" s="378" t="s">
        <v>387</v>
      </c>
      <c r="BL292" s="379">
        <f>IF((2*G292)/60&lt;0.2,0.2,(2*G292)/60)</f>
        <v>0.2</v>
      </c>
      <c r="BM292" s="380">
        <f>MOD((50000+AD292-$B$3+(0/24)),1)</f>
        <v>0.81987562547146808</v>
      </c>
      <c r="BN292" s="381"/>
      <c r="BO292" s="382">
        <v>292</v>
      </c>
    </row>
    <row r="293" spans="1:67" s="24" customFormat="1" ht="15" customHeight="1" x14ac:dyDescent="0.25">
      <c r="A293" s="288" t="s">
        <v>388</v>
      </c>
      <c r="B293" s="241" t="str">
        <f>HYPERLINK(CONCATENATE($AT$3,BK293,$AU$3),$AV$3)</f>
        <v>S</v>
      </c>
      <c r="C293" s="242" t="str">
        <f>HYPERLINK(CONCATENATE($AT$4,BK293,$AU$4,BL293),$AV$4)</f>
        <v>A</v>
      </c>
      <c r="D293" s="243" t="s">
        <v>5638</v>
      </c>
      <c r="E293" s="244" t="s">
        <v>5193</v>
      </c>
      <c r="F293" s="269" t="s">
        <v>4287</v>
      </c>
      <c r="G293" s="270">
        <v>0.9</v>
      </c>
      <c r="H293" s="283">
        <v>500</v>
      </c>
      <c r="I293" s="246">
        <v>130</v>
      </c>
      <c r="J293" s="246">
        <v>2</v>
      </c>
      <c r="K293" s="247" t="s">
        <v>4249</v>
      </c>
      <c r="L293" s="248">
        <v>160533</v>
      </c>
      <c r="M293" s="249">
        <f>15*(LEFT(TEXT($L293,"000000"),2)+(MID(TEXT($L293,"000000"),3,2)/60)+(RIGHT(TEXT($L293,"000000"),2)/3600))</f>
        <v>241.38749999999996</v>
      </c>
      <c r="N293" s="250">
        <v>173500</v>
      </c>
      <c r="O293" s="251">
        <f>IF($N293&gt;0,(LEFT(TEXT($N293,"000000"),2)+(MID(TEXT($N293,"000000"),3,2)/60)+(RIGHT(TEXT($N293,"000000"),2)/3600)),-(MID(TEXT($N293,"000000"),2,2)+(MID(TEXT($N293,"000000"),4,2)/60)+(RIGHT(TEXT($N293,"000000"),2)/3600)))</f>
        <v>17.583333333333332</v>
      </c>
      <c r="P293" s="252" t="s">
        <v>111</v>
      </c>
      <c r="Q293" s="253"/>
      <c r="R293" s="247" t="s">
        <v>3725</v>
      </c>
      <c r="S293" s="272" t="s">
        <v>4194</v>
      </c>
      <c r="T293" s="273">
        <v>14.8</v>
      </c>
      <c r="U293" s="289">
        <v>22.89</v>
      </c>
      <c r="V293" s="280"/>
      <c r="W293" s="244"/>
      <c r="X293" s="244"/>
      <c r="Y293" s="362"/>
      <c r="Z293" s="257">
        <f>altaz(J2000_Bas,$O293,$M293,DecLat,DecLong,1)</f>
        <v>47.497501160490629</v>
      </c>
      <c r="AA293" s="257">
        <f>altaz((J2000_Bas+(2*0.04167)),$O293,$M293,DecLat,DecLong,1)</f>
        <v>21.790227529987423</v>
      </c>
      <c r="AB293" s="257">
        <f>altaz((J2000_Bas+(4*0.04167)),$O293,$M293,DecLat,DecLong,1)</f>
        <v>-3.0336695503720925</v>
      </c>
      <c r="AC293" s="257">
        <f>altaz((J2000_Bas+(6*0.04167)),$O293,$M293,DecLat,DecLong,1)</f>
        <v>-24.889927812375198</v>
      </c>
      <c r="AD293" s="258">
        <f>1+ transit((J2000_Bas-1),$O293,$M293,DecLat,DecLong)/360 + (GMTOffset/24) + (IF(DST="Y", 1, 0)/24)</f>
        <v>1.663420726910958</v>
      </c>
      <c r="AE293" s="259">
        <f>DATE(2001,9,21)+(M293/360)*365 - (360*((DecLong/360)- (GMTOffset/24) ))</f>
        <v>37404.740104166667</v>
      </c>
      <c r="AF293" s="260">
        <f>IF(DecLat&gt;0,IF((90 - (DecLat-O293))&gt;90, (90 - (O293-DecLat)), (90 - (DecLat-O293))),IF((90 + (DecLat-O293))&gt;90, (90 + (O293-DecLat)), (90 + (DecLat-O293))))</f>
        <v>76.583333333333329</v>
      </c>
      <c r="AG293" s="257">
        <f>angularseperation(MoonRA,MoonDec,$M293,$O293)</f>
        <v>45.312727540990103</v>
      </c>
      <c r="AH293" s="261">
        <f ca="1">MIN(100,IF($O$5&gt;80,0+30*($AG293/100),IF($O$5&gt;70,0+50*($AG293/100),IF($O$5&gt;60,5+50*($AG293/100),IF($O$5&gt;50,10+60*($AG293/100),IF($O$5&gt;40,15+70*($AG293/100),IF($O$5&gt;30,20+70*($AG293/100),IF($O$5&gt;20,40+55*($AG293/100),(80+(20-$O$5)+30*($AG293/100))))))))))</f>
        <v>96.864878606447462</v>
      </c>
      <c r="AI293" s="262"/>
      <c r="AJ293" s="262">
        <v>1181</v>
      </c>
      <c r="AK293" s="262"/>
      <c r="AL293" s="263"/>
      <c r="AM293" s="264"/>
      <c r="AN293" s="263">
        <v>172</v>
      </c>
      <c r="AO293" s="263"/>
      <c r="AP293" s="265"/>
      <c r="AQ293" s="266">
        <v>10189</v>
      </c>
      <c r="AR293" s="267">
        <v>57063</v>
      </c>
      <c r="AS293" s="263"/>
      <c r="AT293" s="263"/>
      <c r="AU293" s="263"/>
      <c r="AV293" s="264"/>
      <c r="AW293" s="263"/>
      <c r="AX293" s="263"/>
      <c r="AY293" s="263"/>
      <c r="AZ293" s="263"/>
      <c r="BA293" s="263"/>
      <c r="BB293" s="263"/>
      <c r="BC293" s="263"/>
      <c r="BD293" s="264"/>
      <c r="BE293" s="263"/>
      <c r="BF293" s="263"/>
      <c r="BG293" s="263"/>
      <c r="BH293" s="263"/>
      <c r="BI293" s="263"/>
      <c r="BJ293" s="404">
        <f>altaz(J2000_Bas,$O293,$M293,DecLat,DecLong,2)</f>
        <v>262.29761873541406</v>
      </c>
      <c r="BK293" s="378" t="s">
        <v>388</v>
      </c>
      <c r="BL293" s="379">
        <f>IF((2*G293)/60&lt;0.2,0.2,(2*G293)/60)</f>
        <v>0.2</v>
      </c>
      <c r="BM293" s="380">
        <f>MOD((50000+AD293-$B$3+(0/24)),1)</f>
        <v>0.8787876566129853</v>
      </c>
      <c r="BN293" s="381"/>
      <c r="BO293" s="382">
        <v>293</v>
      </c>
    </row>
    <row r="294" spans="1:67" s="24" customFormat="1" ht="15" customHeight="1" x14ac:dyDescent="0.25">
      <c r="A294" s="288" t="s">
        <v>389</v>
      </c>
      <c r="B294" s="241" t="str">
        <f>HYPERLINK(CONCATENATE($AT$3,BK294,$AU$3),$AV$3)</f>
        <v>S</v>
      </c>
      <c r="C294" s="242" t="str">
        <f>HYPERLINK(CONCATENATE($AT$4,BK294,$AU$4,BL294),$AV$4)</f>
        <v>A</v>
      </c>
      <c r="D294" s="243" t="s">
        <v>5638</v>
      </c>
      <c r="E294" s="244" t="s">
        <v>5337</v>
      </c>
      <c r="F294" s="269" t="s">
        <v>9143</v>
      </c>
      <c r="G294" s="270">
        <v>0.6</v>
      </c>
      <c r="H294" s="283">
        <v>420</v>
      </c>
      <c r="I294" s="246">
        <v>80</v>
      </c>
      <c r="J294" s="246">
        <v>2</v>
      </c>
      <c r="K294" s="247" t="s">
        <v>4250</v>
      </c>
      <c r="L294" s="248">
        <v>145127</v>
      </c>
      <c r="M294" s="249">
        <f>15*(LEFT(TEXT($L294,"000000"),2)+(MID(TEXT($L294,"000000"),3,2)/60)+(RIGHT(TEXT($L294,"000000"),2)/3600))</f>
        <v>222.86250000000001</v>
      </c>
      <c r="N294" s="250">
        <v>91900</v>
      </c>
      <c r="O294" s="251">
        <f>IF($N294&gt;0,(LEFT(TEXT($N294,"000000"),2)+(MID(TEXT($N294,"000000"),3,2)/60)+(RIGHT(TEXT($N294,"000000"),2)/3600)),-(MID(TEXT($N294,"000000"),2,2)+(MID(TEXT($N294,"000000"),4,2)/60)+(RIGHT(TEXT($N294,"000000"),2)/3600)))</f>
        <v>9.3166666666666664</v>
      </c>
      <c r="P294" s="252" t="s">
        <v>260</v>
      </c>
      <c r="Q294" s="253"/>
      <c r="R294" s="247" t="s">
        <v>3293</v>
      </c>
      <c r="S294" s="272" t="s">
        <v>3293</v>
      </c>
      <c r="T294" s="273">
        <v>15</v>
      </c>
      <c r="U294" s="274"/>
      <c r="V294" s="280"/>
      <c r="W294" s="244"/>
      <c r="X294" s="244"/>
      <c r="Y294" s="362"/>
      <c r="Z294" s="257">
        <f>altaz(J2000_Bas,$O294,$M294,DecLat,DecLong,1)</f>
        <v>27.745696877823061</v>
      </c>
      <c r="AA294" s="257">
        <f>altaz((J2000_Bas+(2*0.04167)),$O294,$M294,DecLat,DecLong,1)</f>
        <v>2.0515778682249302</v>
      </c>
      <c r="AB294" s="257">
        <f>altaz((J2000_Bas+(4*0.04167)),$O294,$M294,DecLat,DecLong,1)</f>
        <v>-22.403709578611654</v>
      </c>
      <c r="AC294" s="257">
        <f>altaz((J2000_Bas+(6*0.04167)),$O294,$M294,DecLat,DecLong,1)</f>
        <v>-42.291918398968974</v>
      </c>
      <c r="AD294" s="258">
        <f>1+ transit((J2000_Bas-1),$O294,$M294,DecLat,DecLong)/360 + (GMTOffset/24) + (IF(DST="Y", 1, 0)/24)</f>
        <v>1.6119623987234581</v>
      </c>
      <c r="AE294" s="259">
        <f>DATE(2001,9,21)+(M294/360)*365 - (360*((DecLong/360)- (GMTOffset/24) ))</f>
        <v>37385.957812499997</v>
      </c>
      <c r="AF294" s="260">
        <f>IF(DecLat&gt;0,IF((90 - (DecLat-O294))&gt;90, (90 - (O294-DecLat)), (90 - (DecLat-O294))),IF((90 + (DecLat-O294))&gt;90, (90 + (O294-DecLat)), (90 + (DecLat-O294))))</f>
        <v>68.316666666666663</v>
      </c>
      <c r="AG294" s="257">
        <f>angularseperation(MoonRA,MoonDec,$M294,$O294)</f>
        <v>44.487840944484645</v>
      </c>
      <c r="AH294" s="261">
        <f ca="1">MIN(100,IF($O$5&gt;80,0+30*($AG294/100),IF($O$5&gt;70,0+50*($AG294/100),IF($O$5&gt;60,5+50*($AG294/100),IF($O$5&gt;50,10+60*($AG294/100),IF($O$5&gt;40,15+70*($AG294/100),IF($O$5&gt;30,20+70*($AG294/100),IF($O$5&gt;20,40+55*($AG294/100),(80+(20-$O$5)+30*($AG294/100))))))))))</f>
        <v>96.617412627495824</v>
      </c>
      <c r="AI294" s="262"/>
      <c r="AJ294" s="262"/>
      <c r="AK294" s="262"/>
      <c r="AL294" s="263"/>
      <c r="AM294" s="264"/>
      <c r="AN294" s="263">
        <v>173</v>
      </c>
      <c r="AO294" s="263"/>
      <c r="AP294" s="265"/>
      <c r="AQ294" s="266">
        <v>9561</v>
      </c>
      <c r="AR294" s="267"/>
      <c r="AS294" s="263"/>
      <c r="AT294" s="263"/>
      <c r="AU294" s="263"/>
      <c r="AV294" s="264"/>
      <c r="AW294" s="263"/>
      <c r="AX294" s="263"/>
      <c r="AY294" s="263"/>
      <c r="AZ294" s="263"/>
      <c r="BA294" s="263"/>
      <c r="BB294" s="263"/>
      <c r="BC294" s="263"/>
      <c r="BD294" s="264"/>
      <c r="BE294" s="263"/>
      <c r="BF294" s="263"/>
      <c r="BG294" s="263"/>
      <c r="BH294" s="263"/>
      <c r="BI294" s="263"/>
      <c r="BJ294" s="404">
        <f>altaz(J2000_Bas,$O294,$M294,DecLat,DecLong,2)</f>
        <v>264.10725899495964</v>
      </c>
      <c r="BK294" s="378" t="s">
        <v>389</v>
      </c>
      <c r="BL294" s="379">
        <f>IF((2*G294)/60&lt;0.2,0.2,(2*G294)/60)</f>
        <v>0.2</v>
      </c>
      <c r="BM294" s="380">
        <f>MOD((50000+AD294-$B$3+(0/24)),1)</f>
        <v>0.82732932842918672</v>
      </c>
      <c r="BN294" s="381"/>
      <c r="BO294" s="382">
        <v>294</v>
      </c>
    </row>
    <row r="295" spans="1:67" s="24" customFormat="1" ht="15" customHeight="1" x14ac:dyDescent="0.25">
      <c r="A295" s="288" t="s">
        <v>390</v>
      </c>
      <c r="B295" s="241" t="str">
        <f>HYPERLINK(CONCATENATE($AT$3,BK295,$AU$3),$AV$3)</f>
        <v>S</v>
      </c>
      <c r="C295" s="242" t="str">
        <f>HYPERLINK(CONCATENATE($AT$4,BK295,$AU$4,BL295),$AV$4)</f>
        <v>A</v>
      </c>
      <c r="D295" s="243" t="s">
        <v>5638</v>
      </c>
      <c r="E295" s="244" t="s">
        <v>5337</v>
      </c>
      <c r="F295" s="269" t="s">
        <v>9140</v>
      </c>
      <c r="G295" s="270">
        <v>0.7</v>
      </c>
      <c r="H295" s="283">
        <v>300</v>
      </c>
      <c r="I295" s="246">
        <v>60</v>
      </c>
      <c r="J295" s="246">
        <v>2</v>
      </c>
      <c r="K295" s="247" t="s">
        <v>4251</v>
      </c>
      <c r="L295" s="248">
        <v>95838</v>
      </c>
      <c r="M295" s="249">
        <f>15*(LEFT(TEXT($L295,"000000"),2)+(MID(TEXT($L295,"000000"),3,2)/60)+(RIGHT(TEXT($L295,"000000"),2)/3600))</f>
        <v>149.65833333333333</v>
      </c>
      <c r="N295" s="250">
        <v>285200</v>
      </c>
      <c r="O295" s="251">
        <f>IF($N295&gt;0,(LEFT(TEXT($N295,"000000"),2)+(MID(TEXT($N295,"000000"),3,2)/60)+(RIGHT(TEXT($N295,"000000"),2)/3600)),-(MID(TEXT($N295,"000000"),2,2)+(MID(TEXT($N295,"000000"),4,2)/60)+(RIGHT(TEXT($N295,"000000"),2)/3600)))</f>
        <v>28.866666666666667</v>
      </c>
      <c r="P295" s="252" t="s">
        <v>183</v>
      </c>
      <c r="Q295" s="253"/>
      <c r="R295" s="247" t="s">
        <v>3535</v>
      </c>
      <c r="S295" s="272" t="s">
        <v>3293</v>
      </c>
      <c r="T295" s="273">
        <v>15.4</v>
      </c>
      <c r="U295" s="289">
        <v>23.09</v>
      </c>
      <c r="V295" s="280"/>
      <c r="W295" s="244"/>
      <c r="X295" s="244"/>
      <c r="Y295" s="362"/>
      <c r="Z295" s="257">
        <f>altaz(J2000_Bas,$O295,$M295,DecLat,DecLong,1)</f>
        <v>-17.12498785715006</v>
      </c>
      <c r="AA295" s="257">
        <f>altaz((J2000_Bas+(2*0.04167)),$O295,$M295,DecLat,DecLong,1)</f>
        <v>-28.754325599033088</v>
      </c>
      <c r="AB295" s="257">
        <f>altaz((J2000_Bas+(4*0.04167)),$O295,$M295,DecLat,DecLong,1)</f>
        <v>-28.10259081872999</v>
      </c>
      <c r="AC295" s="257">
        <f>altaz((J2000_Bas+(6*0.04167)),$O295,$M295,DecLat,DecLong,1)</f>
        <v>-15.494311341276292</v>
      </c>
      <c r="AD295" s="258">
        <f>1+ transit((J2000_Bas-1),$O295,$M295,DecLat,DecLong)/360 + (GMTOffset/24) + (IF(DST="Y", 1, 0)/24)</f>
        <v>1.4086175116505413</v>
      </c>
      <c r="AE295" s="259">
        <f>DATE(2001,9,21)+(M295/360)*365 - (360*((DecLong/360)- (GMTOffset/24) ))</f>
        <v>37311.736921296295</v>
      </c>
      <c r="AF295" s="260">
        <f>IF(DecLat&gt;0,IF((90 - (DecLat-O295))&gt;90, (90 - (O295-DecLat)), (90 - (DecLat-O295))),IF((90 + (DecLat-O295))&gt;90, (90 + (O295-DecLat)), (90 + (DecLat-O295))))</f>
        <v>87.866666666666674</v>
      </c>
      <c r="AG295" s="257">
        <f>angularseperation(MoonRA,MoonDec,$M295,$O295)</f>
        <v>110.46385832365659</v>
      </c>
      <c r="AH295" s="261">
        <f ca="1">MIN(100,IF($O$5&gt;80,0+30*($AG295/100),IF($O$5&gt;70,0+50*($AG295/100),IF($O$5&gt;60,5+50*($AG295/100),IF($O$5&gt;50,10+60*($AG295/100),IF($O$5&gt;40,15+70*($AG295/100),IF($O$5&gt;30,20+70*($AG295/100),IF($O$5&gt;20,40+55*($AG295/100),(80+(20-$O$5)+30*($AG295/100))))))))))</f>
        <v>100</v>
      </c>
      <c r="AI295" s="262">
        <v>3068</v>
      </c>
      <c r="AJ295" s="262"/>
      <c r="AK295" s="262"/>
      <c r="AL295" s="263"/>
      <c r="AM295" s="264"/>
      <c r="AN295" s="263">
        <v>174</v>
      </c>
      <c r="AO295" s="263"/>
      <c r="AP295" s="265"/>
      <c r="AQ295" s="266"/>
      <c r="AR295" s="267">
        <v>28815</v>
      </c>
      <c r="AS295" s="263"/>
      <c r="AT295" s="263"/>
      <c r="AU295" s="263"/>
      <c r="AV295" s="264"/>
      <c r="AW295" s="263"/>
      <c r="AX295" s="263"/>
      <c r="AY295" s="263"/>
      <c r="AZ295" s="263"/>
      <c r="BA295" s="263"/>
      <c r="BB295" s="263"/>
      <c r="BC295" s="263"/>
      <c r="BD295" s="264"/>
      <c r="BE295" s="263"/>
      <c r="BF295" s="263"/>
      <c r="BG295" s="263"/>
      <c r="BH295" s="263"/>
      <c r="BI295" s="263"/>
      <c r="BJ295" s="404">
        <f>altaz(J2000_Bas,$O295,$M295,DecLat,DecLong,2)</f>
        <v>320.75825154670338</v>
      </c>
      <c r="BK295" s="378" t="s">
        <v>390</v>
      </c>
      <c r="BL295" s="379">
        <f>IF((2*G295)/60&lt;0.2,0.2,(2*G295)/60)</f>
        <v>0.2</v>
      </c>
      <c r="BM295" s="380">
        <f>MOD((50000+AD295-$B$3+(0/24)),1)</f>
        <v>0.62398444135760656</v>
      </c>
      <c r="BN295" s="381"/>
      <c r="BO295" s="382">
        <v>295</v>
      </c>
    </row>
    <row r="296" spans="1:67" s="24" customFormat="1" ht="15" customHeight="1" x14ac:dyDescent="0.25">
      <c r="A296" s="288" t="s">
        <v>391</v>
      </c>
      <c r="B296" s="241" t="str">
        <f>HYPERLINK(CONCATENATE($AT$3,BK296,$AU$3),$AV$3)</f>
        <v>S</v>
      </c>
      <c r="C296" s="242" t="str">
        <f>HYPERLINK(CONCATENATE($AT$4,BK296,$AU$4,BL296),$AV$4)</f>
        <v>A</v>
      </c>
      <c r="D296" s="243" t="s">
        <v>5638</v>
      </c>
      <c r="E296" s="244" t="s">
        <v>5337</v>
      </c>
      <c r="F296" s="269" t="s">
        <v>3319</v>
      </c>
      <c r="G296" s="270">
        <v>0.8</v>
      </c>
      <c r="H296" s="283">
        <v>350</v>
      </c>
      <c r="I296" s="246">
        <v>80</v>
      </c>
      <c r="J296" s="246">
        <v>3</v>
      </c>
      <c r="K296" s="247" t="s">
        <v>4252</v>
      </c>
      <c r="L296" s="248">
        <v>123310</v>
      </c>
      <c r="M296" s="249">
        <f>15*(LEFT(TEXT($L296,"000000"),2)+(MID(TEXT($L296,"000000"),3,2)/60)+(RIGHT(TEXT($L296,"000000"),2)/3600))</f>
        <v>188.29166666666669</v>
      </c>
      <c r="N296" s="250">
        <v>112000</v>
      </c>
      <c r="O296" s="251">
        <f>IF($N296&gt;0,(LEFT(TEXT($N296,"000000"),2)+(MID(TEXT($N296,"000000"),3,2)/60)+(RIGHT(TEXT($N296,"000000"),2)/3600)),-(MID(TEXT($N296,"000000"),2,2)+(MID(TEXT($N296,"000000"),4,2)/60)+(RIGHT(TEXT($N296,"000000"),2)/3600)))</f>
        <v>11.333333333333334</v>
      </c>
      <c r="P296" s="252" t="s">
        <v>61</v>
      </c>
      <c r="Q296" s="253" t="s">
        <v>6853</v>
      </c>
      <c r="R296" s="247" t="s">
        <v>3741</v>
      </c>
      <c r="S296" s="272" t="s">
        <v>3293</v>
      </c>
      <c r="T296" s="273">
        <v>14.9</v>
      </c>
      <c r="U296" s="289">
        <v>21.990000000000002</v>
      </c>
      <c r="V296" s="280"/>
      <c r="W296" s="244"/>
      <c r="X296" s="244"/>
      <c r="Y296" s="362"/>
      <c r="Z296" s="257">
        <f>altaz(J2000_Bas,$O296,$M296,DecLat,DecLong,1)</f>
        <v>-0.66206010613051436</v>
      </c>
      <c r="AA296" s="257">
        <f>altaz((J2000_Bas+(2*0.04167)),$O296,$M296,DecLat,DecLong,1)</f>
        <v>-24.447161968214804</v>
      </c>
      <c r="AB296" s="257">
        <f>altaz((J2000_Bas+(4*0.04167)),$O296,$M296,DecLat,DecLong,1)</f>
        <v>-42.639247862707634</v>
      </c>
      <c r="AC296" s="257">
        <f>altaz((J2000_Bas+(6*0.04167)),$O296,$M296,DecLat,DecLong,1)</f>
        <v>-46.981404845918732</v>
      </c>
      <c r="AD296" s="258">
        <f>1+ transit((J2000_Bas-1),$O296,$M296,DecLat,DecLong)/360 + (GMTOffset/24) + (IF(DST="Y", 1, 0)/24)</f>
        <v>1.5159323157338747</v>
      </c>
      <c r="AE296" s="259">
        <f>DATE(2001,9,21)+(M296/360)*365 - (360*((DecLong/360)- (GMTOffset/24) ))</f>
        <v>37350.906828703701</v>
      </c>
      <c r="AF296" s="260">
        <f>IF(DecLat&gt;0,IF((90 - (DecLat-O296))&gt;90, (90 - (O296-DecLat)), (90 - (DecLat-O296))),IF((90 + (DecLat-O296))&gt;90, (90 + (O296-DecLat)), (90 + (DecLat-O296))))</f>
        <v>70.333333333333343</v>
      </c>
      <c r="AG296" s="257">
        <f>angularseperation(MoonRA,MoonDec,$M296,$O296)</f>
        <v>70.462881805719064</v>
      </c>
      <c r="AH296" s="261">
        <f ca="1">MIN(100,IF($O$5&gt;80,0+30*($AG296/100),IF($O$5&gt;70,0+50*($AG296/100),IF($O$5&gt;60,5+50*($AG296/100),IF($O$5&gt;50,10+60*($AG296/100),IF($O$5&gt;40,15+70*($AG296/100),IF($O$5&gt;30,20+70*($AG296/100),IF($O$5&gt;20,40+55*($AG296/100),(80+(20-$O$5)+30*($AG296/100))))))))))</f>
        <v>100</v>
      </c>
      <c r="AI296" s="262"/>
      <c r="AJ296" s="262">
        <v>3483</v>
      </c>
      <c r="AK296" s="262"/>
      <c r="AL296" s="263"/>
      <c r="AM296" s="264"/>
      <c r="AN296" s="263">
        <v>175</v>
      </c>
      <c r="AO296" s="263"/>
      <c r="AP296" s="265"/>
      <c r="AQ296" s="266"/>
      <c r="AR296" s="267">
        <v>41670</v>
      </c>
      <c r="AS296" s="263"/>
      <c r="AT296" s="263"/>
      <c r="AU296" s="263"/>
      <c r="AV296" s="264"/>
      <c r="AW296" s="263"/>
      <c r="AX296" s="263"/>
      <c r="AY296" s="263"/>
      <c r="AZ296" s="263"/>
      <c r="BA296" s="263"/>
      <c r="BB296" s="263"/>
      <c r="BC296" s="263"/>
      <c r="BD296" s="264"/>
      <c r="BE296" s="263"/>
      <c r="BF296" s="263"/>
      <c r="BG296" s="263"/>
      <c r="BH296" s="263"/>
      <c r="BI296" s="263"/>
      <c r="BJ296" s="404">
        <f>altaz(J2000_Bas,$O296,$M296,DecLat,DecLong,2)</f>
        <v>283.66363560568431</v>
      </c>
      <c r="BK296" s="378" t="s">
        <v>391</v>
      </c>
      <c r="BL296" s="379">
        <f>IF((2*G296)/60&lt;0.2,0.2,(2*G296)/60)</f>
        <v>0.2</v>
      </c>
      <c r="BM296" s="380">
        <f>MOD((50000+AD296-$B$3+(0/24)),1)</f>
        <v>0.73129924543900415</v>
      </c>
      <c r="BN296" s="382" t="s">
        <v>9214</v>
      </c>
      <c r="BO296" s="382">
        <v>296</v>
      </c>
    </row>
    <row r="297" spans="1:67" s="24" customFormat="1" ht="15" customHeight="1" x14ac:dyDescent="0.25">
      <c r="A297" s="288" t="s">
        <v>392</v>
      </c>
      <c r="B297" s="241" t="str">
        <f>HYPERLINK(CONCATENATE($AT$3,BK297,$AU$3),$AV$3)</f>
        <v>S</v>
      </c>
      <c r="C297" s="242" t="str">
        <f>HYPERLINK(CONCATENATE($AT$4,BK297,$AU$4,BL297),$AV$4)</f>
        <v>A</v>
      </c>
      <c r="D297" s="243" t="s">
        <v>5638</v>
      </c>
      <c r="E297" s="244" t="s">
        <v>5337</v>
      </c>
      <c r="F297" s="269" t="s">
        <v>3310</v>
      </c>
      <c r="G297" s="273">
        <v>1.8</v>
      </c>
      <c r="H297" s="283">
        <v>150</v>
      </c>
      <c r="I297" s="246">
        <v>80</v>
      </c>
      <c r="J297" s="246">
        <v>2</v>
      </c>
      <c r="K297" s="247" t="s">
        <v>4253</v>
      </c>
      <c r="L297" s="248">
        <v>130356</v>
      </c>
      <c r="M297" s="249">
        <f>15*(LEFT(TEXT($L297,"000000"),2)+(MID(TEXT($L297,"000000"),3,2)/60)+(RIGHT(TEXT($L297,"000000"),2)/3600))</f>
        <v>195.98333333333335</v>
      </c>
      <c r="N297" s="250">
        <v>-112900</v>
      </c>
      <c r="O297" s="251">
        <f>IF($N297&gt;0,(LEFT(TEXT($N297,"000000"),2)+(MID(TEXT($N297,"000000"),3,2)/60)+(RIGHT(TEXT($N297,"000000"),2)/3600)),-(MID(TEXT($N297,"000000"),2,2)+(MID(TEXT($N297,"000000"),4,2)/60)+(RIGHT(TEXT($N297,"000000"),2)/3600)))</f>
        <v>-11.483333333333333</v>
      </c>
      <c r="P297" s="252" t="s">
        <v>61</v>
      </c>
      <c r="Q297" s="253"/>
      <c r="R297" s="247" t="s">
        <v>3605</v>
      </c>
      <c r="S297" s="272" t="s">
        <v>3293</v>
      </c>
      <c r="T297" s="273">
        <v>11.7</v>
      </c>
      <c r="U297" s="289">
        <v>21.19</v>
      </c>
      <c r="V297" s="280"/>
      <c r="W297" s="244"/>
      <c r="X297" s="244"/>
      <c r="Y297" s="362"/>
      <c r="Z297" s="257">
        <f>altaz(J2000_Bas,$O297,$M297,DecLat,DecLong,1)</f>
        <v>-5.9014738695188598</v>
      </c>
      <c r="AA297" s="257">
        <f>altaz((J2000_Bas+(2*0.04167)),$O297,$M297,DecLat,DecLong,1)</f>
        <v>-31.591363363772572</v>
      </c>
      <c r="AB297" s="257">
        <f>altaz((J2000_Bas+(4*0.04167)),$O297,$M297,DecLat,DecLong,1)</f>
        <v>-56.240909958305167</v>
      </c>
      <c r="AC297" s="257">
        <f>altaz((J2000_Bas+(6*0.04167)),$O297,$M297,DecLat,DecLong,1)</f>
        <v>-70.481698970622745</v>
      </c>
      <c r="AD297" s="258">
        <f>1+ transit((J2000_Bas-1),$O297,$M297,DecLat,DecLong)/360 + (GMTOffset/24) + (IF(DST="Y", 1, 0)/24)</f>
        <v>1.5372980543380415</v>
      </c>
      <c r="AE297" s="259">
        <f>DATE(2001,9,21)+(M297/360)*365 - (360*((DecLong/360)- (GMTOffset/24) ))</f>
        <v>37358.705324074072</v>
      </c>
      <c r="AF297" s="260">
        <f>IF(DecLat&gt;0,IF((90 - (DecLat-O297))&gt;90, (90 - (O297-DecLat)), (90 - (DecLat-O297))),IF((90 + (DecLat-O297))&gt;90, (90 + (O297-DecLat)), (90 + (DecLat-O297))))</f>
        <v>47.516666666666666</v>
      </c>
      <c r="AG297" s="257">
        <f>angularseperation(MoonRA,MoonDec,$M297,$O297)</f>
        <v>52.223298625036136</v>
      </c>
      <c r="AH297" s="261">
        <f ca="1">MIN(100,IF($O$5&gt;80,0+30*($AG297/100),IF($O$5&gt;70,0+50*($AG297/100),IF($O$5&gt;60,5+50*($AG297/100),IF($O$5&gt;50,10+60*($AG297/100),IF($O$5&gt;40,15+70*($AG297/100),IF($O$5&gt;30,20+70*($AG297/100),IF($O$5&gt;20,40+55*($AG297/100),(80+(20-$O$5)+30*($AG297/100))))))))))</f>
        <v>98.938049931661268</v>
      </c>
      <c r="AI297" s="262">
        <v>4933</v>
      </c>
      <c r="AJ297" s="262"/>
      <c r="AK297" s="262"/>
      <c r="AL297" s="263"/>
      <c r="AM297" s="264"/>
      <c r="AN297" s="263">
        <v>176</v>
      </c>
      <c r="AO297" s="263"/>
      <c r="AP297" s="265"/>
      <c r="AQ297" s="266"/>
      <c r="AR297" s="267">
        <v>45146</v>
      </c>
      <c r="AS297" s="263"/>
      <c r="AT297" s="263"/>
      <c r="AU297" s="263"/>
      <c r="AV297" s="264"/>
      <c r="AW297" s="263"/>
      <c r="AX297" s="263"/>
      <c r="AY297" s="263"/>
      <c r="AZ297" s="263"/>
      <c r="BA297" s="263"/>
      <c r="BB297" s="263"/>
      <c r="BC297" s="263"/>
      <c r="BD297" s="264"/>
      <c r="BE297" s="263"/>
      <c r="BF297" s="263"/>
      <c r="BG297" s="263"/>
      <c r="BH297" s="263"/>
      <c r="BI297" s="263"/>
      <c r="BJ297" s="404">
        <f>altaz(J2000_Bas,$O297,$M297,DecLat,DecLong,2)</f>
        <v>260.13160443905826</v>
      </c>
      <c r="BK297" s="378" t="s">
        <v>392</v>
      </c>
      <c r="BL297" s="379">
        <f>IF((2*G297)/60&lt;0.2,0.2,(2*G297)/60)</f>
        <v>0.2</v>
      </c>
      <c r="BM297" s="380">
        <f>MOD((50000+AD297-$B$3+(0/24)),1)</f>
        <v>0.752664984043804</v>
      </c>
      <c r="BN297" s="382" t="s">
        <v>9214</v>
      </c>
      <c r="BO297" s="382">
        <v>297</v>
      </c>
    </row>
    <row r="298" spans="1:67" s="24" customFormat="1" ht="15" customHeight="1" x14ac:dyDescent="0.25">
      <c r="A298" s="288" t="s">
        <v>393</v>
      </c>
      <c r="B298" s="241" t="str">
        <f>HYPERLINK(CONCATENATE($AT$3,BK298,$AU$3),$AV$3)</f>
        <v>S</v>
      </c>
      <c r="C298" s="242" t="str">
        <f>HYPERLINK(CONCATENATE($AT$4,BK298,$AU$4,BL298),$AV$4)</f>
        <v>A</v>
      </c>
      <c r="D298" s="243" t="s">
        <v>5638</v>
      </c>
      <c r="E298" s="244" t="s">
        <v>5337</v>
      </c>
      <c r="F298" s="269" t="s">
        <v>3310</v>
      </c>
      <c r="G298" s="270">
        <v>0.6</v>
      </c>
      <c r="H298" s="283">
        <v>500</v>
      </c>
      <c r="I298" s="246">
        <v>90</v>
      </c>
      <c r="J298" s="246">
        <v>2</v>
      </c>
      <c r="K298" s="247" t="s">
        <v>4995</v>
      </c>
      <c r="L298" s="248">
        <v>145548</v>
      </c>
      <c r="M298" s="249">
        <f>15*(LEFT(TEXT($L298,"000000"),2)+(MID(TEXT($L298,"000000"),3,2)/60)+(RIGHT(TEXT($L298,"000000"),2)/3600))</f>
        <v>223.95</v>
      </c>
      <c r="N298" s="250">
        <v>243500</v>
      </c>
      <c r="O298" s="251">
        <f>IF($N298&gt;0,(LEFT(TEXT($N298,"000000"),2)+(MID(TEXT($N298,"000000"),3,2)/60)+(RIGHT(TEXT($N298,"000000"),2)/3600)),-(MID(TEXT($N298,"000000"),2,2)+(MID(TEXT($N298,"000000"),4,2)/60)+(RIGHT(TEXT($N298,"000000"),2)/3600)))</f>
        <v>24.583333333333332</v>
      </c>
      <c r="P298" s="252" t="s">
        <v>260</v>
      </c>
      <c r="Q298" s="253"/>
      <c r="R298" s="247" t="s">
        <v>3293</v>
      </c>
      <c r="S298" s="272" t="s">
        <v>522</v>
      </c>
      <c r="T298" s="273">
        <v>17.3</v>
      </c>
      <c r="U298" s="274"/>
      <c r="V298" s="280"/>
      <c r="W298" s="244"/>
      <c r="X298" s="244"/>
      <c r="Y298" s="362"/>
      <c r="Z298" s="257">
        <f>altaz(J2000_Bas,$O298,$M298,DecLat,DecLong,1)</f>
        <v>35.420409655535103</v>
      </c>
      <c r="AA298" s="257">
        <f>altaz((J2000_Bas+(2*0.04167)),$O298,$M298,DecLat,DecLong,1)</f>
        <v>10.672569937203491</v>
      </c>
      <c r="AB298" s="257">
        <f>altaz((J2000_Bas+(4*0.04167)),$O298,$M298,DecLat,DecLong,1)</f>
        <v>-11.615764824418969</v>
      </c>
      <c r="AC298" s="257">
        <f>altaz((J2000_Bas+(6*0.04167)),$O298,$M298,DecLat,DecLong,1)</f>
        <v>-28.418890099680109</v>
      </c>
      <c r="AD298" s="258">
        <f>1+ transit((J2000_Bas-1),$O298,$M298,DecLat,DecLong)/360 + (GMTOffset/24) + (IF(DST="Y", 1, 0)/24)</f>
        <v>1.6149832317547079</v>
      </c>
      <c r="AE298" s="259">
        <f>DATE(2001,9,21)+(M298/360)*365 - (360*((DecLong/360)- (GMTOffset/24) ))</f>
        <v>37387.060416666667</v>
      </c>
      <c r="AF298" s="260">
        <f>IF(DecLat&gt;0,IF((90 - (DecLat-O298))&gt;90, (90 - (O298-DecLat)), (90 - (DecLat-O298))),IF((90 + (DecLat-O298))&gt;90, (90 + (O298-DecLat)), (90 + (DecLat-O298))))</f>
        <v>83.583333333333329</v>
      </c>
      <c r="AG298" s="257">
        <f>angularseperation(MoonRA,MoonDec,$M298,$O298)</f>
        <v>57.138123202115516</v>
      </c>
      <c r="AH298" s="261">
        <f ca="1">MIN(100,IF($O$5&gt;80,0+30*($AG298/100),IF($O$5&gt;70,0+50*($AG298/100),IF($O$5&gt;60,5+50*($AG298/100),IF($O$5&gt;50,10+60*($AG298/100),IF($O$5&gt;40,15+70*($AG298/100),IF($O$5&gt;30,20+70*($AG298/100),IF($O$5&gt;20,40+55*($AG298/100),(80+(20-$O$5)+30*($AG298/100))))))))))</f>
        <v>100</v>
      </c>
      <c r="AI298" s="262"/>
      <c r="AJ298" s="262"/>
      <c r="AK298" s="262"/>
      <c r="AL298" s="263"/>
      <c r="AM298" s="264"/>
      <c r="AN298" s="263">
        <v>177</v>
      </c>
      <c r="AO298" s="263"/>
      <c r="AP298" s="265"/>
      <c r="AQ298" s="266"/>
      <c r="AR298" s="267">
        <v>53371</v>
      </c>
      <c r="AS298" s="263"/>
      <c r="AT298" s="263"/>
      <c r="AU298" s="263"/>
      <c r="AV298" s="264"/>
      <c r="AW298" s="263"/>
      <c r="AX298" s="263"/>
      <c r="AY298" s="263"/>
      <c r="AZ298" s="263"/>
      <c r="BA298" s="263"/>
      <c r="BB298" s="263"/>
      <c r="BC298" s="263"/>
      <c r="BD298" s="264"/>
      <c r="BE298" s="263"/>
      <c r="BF298" s="263"/>
      <c r="BG298" s="263"/>
      <c r="BH298" s="263"/>
      <c r="BI298" s="263"/>
      <c r="BJ298" s="404">
        <f>altaz(J2000_Bas,$O298,$M298,DecLat,DecLong,2)</f>
        <v>279.68510755403952</v>
      </c>
      <c r="BK298" s="378" t="s">
        <v>393</v>
      </c>
      <c r="BL298" s="379">
        <f>IF((2*G298)/60&lt;0.2,0.2,(2*G298)/60)</f>
        <v>0.2</v>
      </c>
      <c r="BM298" s="380">
        <f>MOD((50000+AD298-$B$3+(0/24)),1)</f>
        <v>0.83035016145731788</v>
      </c>
      <c r="BN298" s="381"/>
      <c r="BO298" s="382">
        <v>298</v>
      </c>
    </row>
    <row r="299" spans="1:67" s="24" customFormat="1" ht="15" customHeight="1" x14ac:dyDescent="0.25">
      <c r="A299" s="288" t="s">
        <v>394</v>
      </c>
      <c r="B299" s="241" t="str">
        <f>HYPERLINK(CONCATENATE($AT$3,BK299,$AU$3),$AV$3)</f>
        <v>S</v>
      </c>
      <c r="C299" s="242" t="str">
        <f>HYPERLINK(CONCATENATE($AT$4,BK299,$AU$4,BL299),$AV$4)</f>
        <v>A</v>
      </c>
      <c r="D299" s="243" t="s">
        <v>5638</v>
      </c>
      <c r="E299" s="244" t="s">
        <v>5192</v>
      </c>
      <c r="F299" s="269" t="s">
        <v>9149</v>
      </c>
      <c r="G299" s="273">
        <v>2</v>
      </c>
      <c r="H299" s="283">
        <v>200</v>
      </c>
      <c r="I299" s="246">
        <v>110</v>
      </c>
      <c r="J299" s="246">
        <v>2</v>
      </c>
      <c r="K299" s="247" t="s">
        <v>4253</v>
      </c>
      <c r="L299" s="248">
        <v>142406</v>
      </c>
      <c r="M299" s="249">
        <f>15*(LEFT(TEXT($L299,"000000"),2)+(MID(TEXT($L299,"000000"),3,2)/60)+(RIGHT(TEXT($L299,"000000"),2)/3600))</f>
        <v>216.02500000000001</v>
      </c>
      <c r="N299" s="250">
        <v>345200</v>
      </c>
      <c r="O299" s="251">
        <f>IF($N299&gt;0,(LEFT(TEXT($N299,"000000"),2)+(MID(TEXT($N299,"000000"),3,2)/60)+(RIGHT(TEXT($N299,"000000"),2)/3600)),-(MID(TEXT($N299,"000000"),2,2)+(MID(TEXT($N299,"000000"),4,2)/60)+(RIGHT(TEXT($N299,"000000"),2)/3600)))</f>
        <v>34.866666666666667</v>
      </c>
      <c r="P299" s="252" t="s">
        <v>260</v>
      </c>
      <c r="Q299" s="253"/>
      <c r="R299" s="247" t="s">
        <v>3623</v>
      </c>
      <c r="S299" s="272" t="s">
        <v>4187</v>
      </c>
      <c r="T299" s="273">
        <v>11.7</v>
      </c>
      <c r="U299" s="289">
        <v>22.19</v>
      </c>
      <c r="V299" s="280">
        <v>20</v>
      </c>
      <c r="W299" s="244"/>
      <c r="X299" s="244"/>
      <c r="Y299" s="362"/>
      <c r="Z299" s="257">
        <f>altaz(J2000_Bas,$O299,$M299,DecLat,DecLong,1)</f>
        <v>32.359468750197173</v>
      </c>
      <c r="AA299" s="257">
        <f>altaz((J2000_Bas+(2*0.04167)),$O299,$M299,DecLat,DecLong,1)</f>
        <v>9.8781941984235502</v>
      </c>
      <c r="AB299" s="257">
        <f>altaz((J2000_Bas+(4*0.04167)),$O299,$M299,DecLat,DecLong,1)</f>
        <v>-9.1497113728629671</v>
      </c>
      <c r="AC299" s="257">
        <f>altaz((J2000_Bas+(6*0.04167)),$O299,$M299,DecLat,DecLong,1)</f>
        <v>-21.556171627040033</v>
      </c>
      <c r="AD299" s="258">
        <f>1+ transit((J2000_Bas-1),$O299,$M299,DecLat,DecLong)/360 + (GMTOffset/24) + (IF(DST="Y", 1, 0)/24)</f>
        <v>1.592969345067208</v>
      </c>
      <c r="AE299" s="259">
        <f>DATE(2001,9,21)+(M299/360)*365 - (360*((DecLong/360)- (GMTOffset/24) ))</f>
        <v>37379.025347222225</v>
      </c>
      <c r="AF299" s="260">
        <f>IF(DecLat&gt;0,IF((90 - (DecLat-O299))&gt;90, (90 - (O299-DecLat)), (90 - (DecLat-O299))),IF((90 + (DecLat-O299))&gt;90, (90 + (O299-DecLat)), (90 + (DecLat-O299))))</f>
        <v>86.133333333333326</v>
      </c>
      <c r="AG299" s="257">
        <f>angularseperation(MoonRA,MoonDec,$M299,$O299)</f>
        <v>69.459654713024122</v>
      </c>
      <c r="AH299" s="261">
        <f ca="1">MIN(100,IF($O$5&gt;80,0+30*($AG299/100),IF($O$5&gt;70,0+50*($AG299/100),IF($O$5&gt;60,5+50*($AG299/100),IF($O$5&gt;50,10+60*($AG299/100),IF($O$5&gt;40,15+70*($AG299/100),IF($O$5&gt;30,20+70*($AG299/100),IF($O$5&gt;20,40+55*($AG299/100),(80+(20-$O$5)+30*($AG299/100))))))))))</f>
        <v>100</v>
      </c>
      <c r="AI299" s="262">
        <v>5614</v>
      </c>
      <c r="AJ299" s="262"/>
      <c r="AK299" s="262"/>
      <c r="AL299" s="263"/>
      <c r="AM299" s="264"/>
      <c r="AN299" s="263">
        <v>178</v>
      </c>
      <c r="AO299" s="263"/>
      <c r="AP299" s="265"/>
      <c r="AQ299" s="266">
        <v>9226</v>
      </c>
      <c r="AR299" s="267">
        <v>51439</v>
      </c>
      <c r="AS299" s="263"/>
      <c r="AT299" s="263"/>
      <c r="AU299" s="263"/>
      <c r="AV299" s="264"/>
      <c r="AW299" s="263"/>
      <c r="AX299" s="263"/>
      <c r="AY299" s="263"/>
      <c r="AZ299" s="263"/>
      <c r="BA299" s="263"/>
      <c r="BB299" s="263"/>
      <c r="BC299" s="263"/>
      <c r="BD299" s="264"/>
      <c r="BE299" s="263"/>
      <c r="BF299" s="263"/>
      <c r="BG299" s="263"/>
      <c r="BH299" s="263"/>
      <c r="BI299" s="263"/>
      <c r="BJ299" s="404">
        <f>altaz(J2000_Bas,$O299,$M299,DecLat,DecLong,2)</f>
        <v>294.1304662373185</v>
      </c>
      <c r="BK299" s="378" t="s">
        <v>394</v>
      </c>
      <c r="BL299" s="379">
        <f>IF((2*G299)/60&lt;0.2,0.2,(2*G299)/60)</f>
        <v>0.2</v>
      </c>
      <c r="BM299" s="380">
        <f>MOD((50000+AD299-$B$3+(0/24)),1)</f>
        <v>0.80833627477113623</v>
      </c>
      <c r="BN299" s="381"/>
      <c r="BO299" s="382">
        <v>299</v>
      </c>
    </row>
    <row r="300" spans="1:67" s="24" customFormat="1" ht="15" customHeight="1" x14ac:dyDescent="0.25">
      <c r="A300" s="288" t="s">
        <v>395</v>
      </c>
      <c r="B300" s="241" t="str">
        <f>HYPERLINK(CONCATENATE($AT$3,BK300,$AU$3),$AV$3)</f>
        <v>S</v>
      </c>
      <c r="C300" s="242" t="str">
        <f>HYPERLINK(CONCATENATE($AT$4,BK300,$AU$4,BL300),$AV$4)</f>
        <v>A</v>
      </c>
      <c r="D300" s="243" t="s">
        <v>5638</v>
      </c>
      <c r="E300" s="244" t="s">
        <v>5192</v>
      </c>
      <c r="F300" s="269" t="s">
        <v>9150</v>
      </c>
      <c r="G300" s="270">
        <v>0.8</v>
      </c>
      <c r="H300" s="283">
        <v>200</v>
      </c>
      <c r="I300" s="246">
        <v>50</v>
      </c>
      <c r="J300" s="246">
        <v>2</v>
      </c>
      <c r="K300" s="247" t="s">
        <v>4254</v>
      </c>
      <c r="L300" s="248">
        <v>30140</v>
      </c>
      <c r="M300" s="249">
        <f>15*(LEFT(TEXT($L300,"000000"),2)+(MID(TEXT($L300,"000000"),3,2)/60)+(RIGHT(TEXT($L300,"000000"),2)/3600))</f>
        <v>45.416666666666664</v>
      </c>
      <c r="N300" s="250">
        <v>-44000</v>
      </c>
      <c r="O300" s="251">
        <f>IF($N300&gt;0,(LEFT(TEXT($N300,"000000"),2)+(MID(TEXT($N300,"000000"),3,2)/60)+(RIGHT(TEXT($N300,"000000"),2)/3600)),-(MID(TEXT($N300,"000000"),2,2)+(MID(TEXT($N300,"000000"),4,2)/60)+(RIGHT(TEXT($N300,"000000"),2)/3600)))</f>
        <v>-4.666666666666667</v>
      </c>
      <c r="P300" s="252" t="s">
        <v>257</v>
      </c>
      <c r="Q300" s="253"/>
      <c r="R300" s="247" t="s">
        <v>3293</v>
      </c>
      <c r="S300" s="272" t="s">
        <v>3293</v>
      </c>
      <c r="T300" s="273">
        <v>17</v>
      </c>
      <c r="U300" s="274"/>
      <c r="V300" s="280">
        <v>80</v>
      </c>
      <c r="W300" s="244"/>
      <c r="X300" s="244"/>
      <c r="Y300" s="362"/>
      <c r="Z300" s="257">
        <f>altaz(J2000_Bas,$O300,$M300,DecLat,DecLong,1)</f>
        <v>-27.482448730024235</v>
      </c>
      <c r="AA300" s="257">
        <f>altaz((J2000_Bas+(2*0.04167)),$O300,$M300,DecLat,DecLong,1)</f>
        <v>-1.8283488963563765</v>
      </c>
      <c r="AB300" s="257">
        <f>altaz((J2000_Bas+(4*0.04167)),$O300,$M300,DecLat,DecLong,1)</f>
        <v>23.264270915163181</v>
      </c>
      <c r="AC300" s="257">
        <f>altaz((J2000_Bas+(6*0.04167)),$O300,$M300,DecLat,DecLong,1)</f>
        <v>44.760492925126066</v>
      </c>
      <c r="AD300" s="258">
        <f>1+ transit((J2000_Bas-1),$O300,$M300,DecLat,DecLong)/360 + (GMTOffset/24) + (IF(DST="Y", 1, 0)/24)</f>
        <v>1.1190573554213747</v>
      </c>
      <c r="AE300" s="259">
        <f>DATE(2001,9,21)+(M300/360)*365 - (360*((DecLong/360)- (GMTOffset/24) ))</f>
        <v>37206.047453703701</v>
      </c>
      <c r="AF300" s="260">
        <f>IF(DecLat&gt;0,IF((90 - (DecLat-O300))&gt;90, (90 - (O300-DecLat)), (90 - (DecLat-O300))),IF((90 + (DecLat-O300))&gt;90, (90 + (O300-DecLat)), (90 + (DecLat-O300))))</f>
        <v>54.333333333333336</v>
      </c>
      <c r="AG300" s="257">
        <f>angularseperation(MoonRA,MoonDec,$M300,$O300)</f>
        <v>140.77998355149779</v>
      </c>
      <c r="AH300" s="261">
        <f ca="1">MIN(100,IF($O$5&gt;80,0+30*($AG300/100),IF($O$5&gt;70,0+50*($AG300/100),IF($O$5&gt;60,5+50*($AG300/100),IF($O$5&gt;50,10+60*($AG300/100),IF($O$5&gt;40,15+70*($AG300/100),IF($O$5&gt;30,20+70*($AG300/100),IF($O$5&gt;20,40+55*($AG300/100),(80+(20-$O$5)+30*($AG300/100))))))))))</f>
        <v>100</v>
      </c>
      <c r="AI300" s="262"/>
      <c r="AJ300" s="262"/>
      <c r="AK300" s="262"/>
      <c r="AL300" s="263"/>
      <c r="AM300" s="264"/>
      <c r="AN300" s="263">
        <v>179</v>
      </c>
      <c r="AO300" s="263"/>
      <c r="AP300" s="265"/>
      <c r="AQ300" s="266"/>
      <c r="AR300" s="267">
        <v>11432</v>
      </c>
      <c r="AS300" s="263"/>
      <c r="AT300" s="263"/>
      <c r="AU300" s="263"/>
      <c r="AV300" s="264"/>
      <c r="AW300" s="263"/>
      <c r="AX300" s="263"/>
      <c r="AY300" s="263"/>
      <c r="AZ300" s="263"/>
      <c r="BA300" s="263"/>
      <c r="BB300" s="263"/>
      <c r="BC300" s="263"/>
      <c r="BD300" s="264"/>
      <c r="BE300" s="263"/>
      <c r="BF300" s="263"/>
      <c r="BG300" s="263"/>
      <c r="BH300" s="263"/>
      <c r="BI300" s="263"/>
      <c r="BJ300" s="404">
        <f>altaz(J2000_Bas,$O300,$M300,DecLat,DecLong,2)</f>
        <v>78.13741882134191</v>
      </c>
      <c r="BK300" s="378" t="s">
        <v>395</v>
      </c>
      <c r="BL300" s="379">
        <f>IF((2*G300)/60&lt;0.2,0.2,(2*G300)/60)</f>
        <v>0.2</v>
      </c>
      <c r="BM300" s="380">
        <f>MOD((50000+AD300-$B$3+(0/24)),1)</f>
        <v>0.33442428512353217</v>
      </c>
      <c r="BN300" s="381"/>
      <c r="BO300" s="382">
        <v>300</v>
      </c>
    </row>
    <row r="301" spans="1:67" s="24" customFormat="1" ht="15" customHeight="1" x14ac:dyDescent="0.25">
      <c r="A301" s="288" t="s">
        <v>396</v>
      </c>
      <c r="B301" s="241" t="str">
        <f>HYPERLINK(CONCATENATE($AT$3,BK301,$AU$3),$AV$3)</f>
        <v>S</v>
      </c>
      <c r="C301" s="242" t="str">
        <f>HYPERLINK(CONCATENATE($AT$4,BK301,$AU$4,BL301),$AV$4)</f>
        <v>A</v>
      </c>
      <c r="D301" s="243" t="s">
        <v>5638</v>
      </c>
      <c r="E301" s="244" t="s">
        <v>5192</v>
      </c>
      <c r="F301" s="269" t="s">
        <v>9151</v>
      </c>
      <c r="G301" s="270">
        <v>0.6</v>
      </c>
      <c r="H301" s="283">
        <v>200</v>
      </c>
      <c r="I301" s="246">
        <v>35</v>
      </c>
      <c r="J301" s="246">
        <v>2</v>
      </c>
      <c r="K301" s="247" t="s">
        <v>4255</v>
      </c>
      <c r="L301" s="248">
        <v>45322</v>
      </c>
      <c r="M301" s="249">
        <f>15*(LEFT(TEXT($L301,"000000"),2)+(MID(TEXT($L301,"000000"),3,2)/60)+(RIGHT(TEXT($L301,"000000"),2)/3600))</f>
        <v>73.341666666666654</v>
      </c>
      <c r="N301" s="250">
        <v>-44800</v>
      </c>
      <c r="O301" s="251">
        <f>IF($N301&gt;0,(LEFT(TEXT($N301,"000000"),2)+(MID(TEXT($N301,"000000"),3,2)/60)+(RIGHT(TEXT($N301,"000000"),2)/3600)),-(MID(TEXT($N301,"000000"),2,2)+(MID(TEXT($N301,"000000"),4,2)/60)+(RIGHT(TEXT($N301,"000000"),2)/3600)))</f>
        <v>-4.8</v>
      </c>
      <c r="P301" s="252" t="s">
        <v>257</v>
      </c>
      <c r="Q301" s="253"/>
      <c r="R301" s="247" t="s">
        <v>3293</v>
      </c>
      <c r="S301" s="272" t="s">
        <v>3293</v>
      </c>
      <c r="T301" s="273">
        <v>14.8</v>
      </c>
      <c r="U301" s="274"/>
      <c r="V301" s="280">
        <v>65</v>
      </c>
      <c r="W301" s="244"/>
      <c r="X301" s="244"/>
      <c r="Y301" s="362"/>
      <c r="Z301" s="257">
        <f>altaz(J2000_Bas,$O301,$M301,DecLat,DecLong,1)</f>
        <v>-49.658291731123214</v>
      </c>
      <c r="AA301" s="257">
        <f>altaz((J2000_Bas+(2*0.04167)),$O301,$M301,DecLat,DecLong,1)</f>
        <v>-25.737894274014028</v>
      </c>
      <c r="AB301" s="257">
        <f>altaz((J2000_Bas+(4*0.04167)),$O301,$M301,DecLat,DecLong,1)</f>
        <v>-5.2957912019545014E-2</v>
      </c>
      <c r="AC301" s="257">
        <f>altaz((J2000_Bas+(6*0.04167)),$O301,$M301,DecLat,DecLong,1)</f>
        <v>24.900506911829503</v>
      </c>
      <c r="AD301" s="258">
        <f>1+ transit((J2000_Bas-1),$O301,$M301,DecLat,DecLong)/360 + (GMTOffset/24) + (IF(DST="Y", 1, 0)/24)</f>
        <v>1.1966267921088747</v>
      </c>
      <c r="AE301" s="259">
        <f>DATE(2001,9,21)+(M301/360)*365 - (360*((DecLong/360)- (GMTOffset/24) ))</f>
        <v>37234.360300925924</v>
      </c>
      <c r="AF301" s="260">
        <f>IF(DecLat&gt;0,IF((90 - (DecLat-O301))&gt;90, (90 - (O301-DecLat)), (90 - (DecLat-O301))),IF((90 + (DecLat-O301))&gt;90, (90 + (O301-DecLat)), (90 + (DecLat-O301))))</f>
        <v>54.2</v>
      </c>
      <c r="AG301" s="257">
        <f>angularseperation(MoonRA,MoonDec,$M301,$O301)</f>
        <v>147.87048372866778</v>
      </c>
      <c r="AH301" s="261">
        <f ca="1">MIN(100,IF($O$5&gt;80,0+30*($AG301/100),IF($O$5&gt;70,0+50*($AG301/100),IF($O$5&gt;60,5+50*($AG301/100),IF($O$5&gt;50,10+60*($AG301/100),IF($O$5&gt;40,15+70*($AG301/100),IF($O$5&gt;30,20+70*($AG301/100),IF($O$5&gt;20,40+55*($AG301/100),(80+(20-$O$5)+30*($AG301/100))))))))))</f>
        <v>100</v>
      </c>
      <c r="AI301" s="262"/>
      <c r="AJ301" s="262"/>
      <c r="AK301" s="262"/>
      <c r="AL301" s="263"/>
      <c r="AM301" s="264"/>
      <c r="AN301" s="263">
        <v>180</v>
      </c>
      <c r="AO301" s="263"/>
      <c r="AP301" s="265"/>
      <c r="AQ301" s="266"/>
      <c r="AR301" s="267">
        <v>16261</v>
      </c>
      <c r="AS301" s="263"/>
      <c r="AT301" s="263"/>
      <c r="AU301" s="263"/>
      <c r="AV301" s="264"/>
      <c r="AW301" s="263"/>
      <c r="AX301" s="263"/>
      <c r="AY301" s="263"/>
      <c r="AZ301" s="263"/>
      <c r="BA301" s="263"/>
      <c r="BB301" s="263"/>
      <c r="BC301" s="263"/>
      <c r="BD301" s="264"/>
      <c r="BE301" s="263"/>
      <c r="BF301" s="263"/>
      <c r="BG301" s="263"/>
      <c r="BH301" s="263"/>
      <c r="BI301" s="263"/>
      <c r="BJ301" s="404">
        <f>altaz(J2000_Bas,$O301,$M301,DecLat,DecLong,2)</f>
        <v>56.174656658732161</v>
      </c>
      <c r="BK301" s="378" t="s">
        <v>396</v>
      </c>
      <c r="BL301" s="379">
        <f>IF((2*G301)/60&lt;0.2,0.2,(2*G301)/60)</f>
        <v>0.2</v>
      </c>
      <c r="BM301" s="380">
        <f>MOD((50000+AD301-$B$3+(0/24)),1)</f>
        <v>0.41199372181290528</v>
      </c>
      <c r="BN301" s="381"/>
      <c r="BO301" s="382">
        <v>301</v>
      </c>
    </row>
    <row r="302" spans="1:67" s="24" customFormat="1" ht="15" customHeight="1" x14ac:dyDescent="0.25">
      <c r="A302" s="288" t="s">
        <v>397</v>
      </c>
      <c r="B302" s="241" t="str">
        <f>HYPERLINK(CONCATENATE($AT$3,BK302,$AU$3),$AV$3)</f>
        <v>S</v>
      </c>
      <c r="C302" s="242" t="str">
        <f>HYPERLINK(CONCATENATE($AT$4,BK302,$AU$4,BL302),$AV$4)</f>
        <v>A</v>
      </c>
      <c r="D302" s="243" t="s">
        <v>5638</v>
      </c>
      <c r="E302" s="244" t="s">
        <v>5178</v>
      </c>
      <c r="F302" s="269"/>
      <c r="G302" s="273">
        <v>1.1000000000000001</v>
      </c>
      <c r="H302" s="283">
        <v>450</v>
      </c>
      <c r="I302" s="246">
        <v>140</v>
      </c>
      <c r="J302" s="246">
        <v>1</v>
      </c>
      <c r="K302" s="247" t="s">
        <v>4256</v>
      </c>
      <c r="L302" s="248">
        <v>102841</v>
      </c>
      <c r="M302" s="249">
        <f>15*(LEFT(TEXT($L302,"000000"),2)+(MID(TEXT($L302,"000000"),3,2)/60)+(RIGHT(TEXT($L302,"000000"),2)/3600))</f>
        <v>157.17083333333332</v>
      </c>
      <c r="N302" s="250">
        <v>794800</v>
      </c>
      <c r="O302" s="251">
        <f>IF($N302&gt;0,(LEFT(TEXT($N302,"000000"),2)+(MID(TEXT($N302,"000000"),3,2)/60)+(RIGHT(TEXT($N302,"000000"),2)/3600)),-(MID(TEXT($N302,"000000"),2,2)+(MID(TEXT($N302,"000000"),4,2)/60)+(RIGHT(TEXT($N302,"000000"),2)/3600)))</f>
        <v>79.8</v>
      </c>
      <c r="P302" s="252" t="s">
        <v>34</v>
      </c>
      <c r="Q302" s="253"/>
      <c r="R302" s="247" t="s">
        <v>3538</v>
      </c>
      <c r="S302" s="272" t="s">
        <v>3293</v>
      </c>
      <c r="T302" s="273">
        <v>13.1</v>
      </c>
      <c r="U302" s="289">
        <v>21.990000000000002</v>
      </c>
      <c r="V302" s="280"/>
      <c r="W302" s="244"/>
      <c r="X302" s="244"/>
      <c r="Y302" s="362"/>
      <c r="Z302" s="257">
        <f>altaz(J2000_Bas,$O302,$M302,DecLat,DecLong,1)</f>
        <v>24.312903727342476</v>
      </c>
      <c r="AA302" s="257">
        <f>altaz((J2000_Bas+(2*0.04167)),$O302,$M302,DecLat,DecLong,1)</f>
        <v>21.424104714760251</v>
      </c>
      <c r="AB302" s="257">
        <f>altaz((J2000_Bas+(4*0.04167)),$O302,$M302,DecLat,DecLong,1)</f>
        <v>20.914605515461322</v>
      </c>
      <c r="AC302" s="257">
        <f>altaz((J2000_Bas+(6*0.04167)),$O302,$M302,DecLat,DecLong,1)</f>
        <v>22.897068005485334</v>
      </c>
      <c r="AD302" s="258">
        <f>1+ transit((J2000_Bas-1),$O302,$M302,DecLat,DecLong)/360 + (GMTOffset/24) + (IF(DST="Y", 1, 0)/24)</f>
        <v>1.4294855651192913</v>
      </c>
      <c r="AE302" s="259">
        <f>DATE(2001,9,21)+(M302/360)*365 - (360*((DecLong/360)- (GMTOffset/24) ))</f>
        <v>37319.353761574072</v>
      </c>
      <c r="AF302" s="260">
        <f>IF(DecLat&gt;0,IF((90 - (DecLat-O302))&gt;90, (90 - (O302-DecLat)), (90 - (DecLat-O302))),IF((90 + (DecLat-O302))&gt;90, (90 + (O302-DecLat)), (90 + (DecLat-O302))))</f>
        <v>41.2</v>
      </c>
      <c r="AG302" s="257">
        <f>angularseperation(MoonRA,MoonDec,$M302,$O302)</f>
        <v>116.98774775067477</v>
      </c>
      <c r="AH302" s="261">
        <f ca="1">MIN(100,IF($O$5&gt;80,0+30*($AG302/100),IF($O$5&gt;70,0+50*($AG302/100),IF($O$5&gt;60,5+50*($AG302/100),IF($O$5&gt;50,10+60*($AG302/100),IF($O$5&gt;40,15+70*($AG302/100),IF($O$5&gt;30,20+70*($AG302/100),IF($O$5&gt;20,40+55*($AG302/100),(80+(20-$O$5)+30*($AG302/100))))))))))</f>
        <v>100</v>
      </c>
      <c r="AI302" s="262">
        <v>3215</v>
      </c>
      <c r="AJ302" s="262"/>
      <c r="AK302" s="262"/>
      <c r="AL302" s="263"/>
      <c r="AM302" s="264"/>
      <c r="AN302" s="263">
        <v>181</v>
      </c>
      <c r="AO302" s="263"/>
      <c r="AP302" s="265"/>
      <c r="AQ302" s="266">
        <v>5659</v>
      </c>
      <c r="AR302" s="267">
        <v>30840</v>
      </c>
      <c r="AS302" s="263"/>
      <c r="AT302" s="263"/>
      <c r="AU302" s="263"/>
      <c r="AV302" s="264"/>
      <c r="AW302" s="263"/>
      <c r="AX302" s="263"/>
      <c r="AY302" s="263"/>
      <c r="AZ302" s="263"/>
      <c r="BA302" s="263"/>
      <c r="BB302" s="263"/>
      <c r="BC302" s="263"/>
      <c r="BD302" s="264"/>
      <c r="BE302" s="263"/>
      <c r="BF302" s="263"/>
      <c r="BG302" s="263"/>
      <c r="BH302" s="263"/>
      <c r="BI302" s="263"/>
      <c r="BJ302" s="404">
        <f>altaz(J2000_Bas,$O302,$M302,DecLat,DecLong,2)</f>
        <v>351.29353262127916</v>
      </c>
      <c r="BK302" s="378" t="s">
        <v>397</v>
      </c>
      <c r="BL302" s="379">
        <f>IF((2*G302)/60&lt;0.2,0.2,(2*G302)/60)</f>
        <v>0.2</v>
      </c>
      <c r="BM302" s="380">
        <f>MOD((50000+AD302-$B$3+(0/24)),1)</f>
        <v>0.64485249482095242</v>
      </c>
      <c r="BN302" s="381"/>
      <c r="BO302" s="382">
        <v>302</v>
      </c>
    </row>
    <row r="303" spans="1:67" s="24" customFormat="1" ht="15" customHeight="1" x14ac:dyDescent="0.25">
      <c r="A303" s="288" t="s">
        <v>398</v>
      </c>
      <c r="B303" s="241" t="str">
        <f>HYPERLINK(CONCATENATE($AT$3,BK303,$AU$3),$AV$3)</f>
        <v>S</v>
      </c>
      <c r="C303" s="242" t="str">
        <f>HYPERLINK(CONCATENATE($AT$4,BK303,$AU$4,BL303),$AV$4)</f>
        <v>A</v>
      </c>
      <c r="D303" s="243" t="s">
        <v>5638</v>
      </c>
      <c r="E303" s="244" t="s">
        <v>5625</v>
      </c>
      <c r="F303" s="290">
        <v>4</v>
      </c>
      <c r="G303" s="291">
        <v>1.2</v>
      </c>
      <c r="H303" s="283">
        <v>410</v>
      </c>
      <c r="I303" s="284">
        <v>140</v>
      </c>
      <c r="J303" s="246">
        <v>2</v>
      </c>
      <c r="K303" s="247" t="s">
        <v>8455</v>
      </c>
      <c r="L303" s="248">
        <v>232759</v>
      </c>
      <c r="M303" s="249">
        <f>15*(LEFT(TEXT($L303,"000000"),2)+(MID(TEXT($L303,"000000"),3,2)/60)+(RIGHT(TEXT($L303,"000000"),2)/3600))</f>
        <v>351.99583333333334</v>
      </c>
      <c r="N303" s="250">
        <v>84700</v>
      </c>
      <c r="O303" s="251">
        <f>IF($N303&gt;0,(LEFT(TEXT($N303,"000000"),2)+(MID(TEXT($N303,"000000"),3,2)/60)+(RIGHT(TEXT($N303,"000000"),2)/3600)),-(MID(TEXT($N303,"000000"),2,2)+(MID(TEXT($N303,"000000"),4,2)/60)+(RIGHT(TEXT($N303,"000000"),2)/3600)))</f>
        <v>8.7833333333333332</v>
      </c>
      <c r="P303" s="252" t="s">
        <v>39</v>
      </c>
      <c r="Q303" s="253"/>
      <c r="R303" s="292" t="s">
        <v>4302</v>
      </c>
      <c r="S303" s="272" t="s">
        <v>3293</v>
      </c>
      <c r="T303" s="273">
        <v>11.5</v>
      </c>
      <c r="U303" s="289">
        <v>21.9</v>
      </c>
      <c r="V303" s="280"/>
      <c r="W303" s="244"/>
      <c r="X303" s="244"/>
      <c r="Y303" s="362"/>
      <c r="Z303" s="257">
        <f>altaz(J2000_Bas,$O303,$M303,DecLat,DecLong,1)</f>
        <v>25.042474381037572</v>
      </c>
      <c r="AA303" s="257">
        <f>altaz((J2000_Bas+(2*0.04167)),$O303,$M303,DecLat,DecLong,1)</f>
        <v>49.886438664731166</v>
      </c>
      <c r="AB303" s="257">
        <f>altaz((J2000_Bas+(4*0.04167)),$O303,$M303,DecLat,DecLong,1)</f>
        <v>67.129833742844795</v>
      </c>
      <c r="AC303" s="257">
        <f>altaz((J2000_Bas+(6*0.04167)),$O303,$M303,DecLat,DecLong,1)</f>
        <v>58.31510445891022</v>
      </c>
      <c r="AD303" s="258">
        <f>1+ transit((J2000_Bas-1),$O303,$M303,DecLat,DecLong)/360 + (GMTOffset/24) + (IF(DST="Y", 1, 0)/24)</f>
        <v>1.9706660665567914</v>
      </c>
      <c r="AE303" s="259">
        <f>DATE(2001,9,21)+(M303/360)*365 - (360*((DecLong/360)- (GMTOffset/24) ))</f>
        <v>37516.884664351848</v>
      </c>
      <c r="AF303" s="260">
        <f>IF(DecLat&gt;0,IF((90 - (DecLat-O303))&gt;90, (90 - (O303-DecLat)), (90 - (DecLat-O303))),IF((90 + (DecLat-O303))&gt;90, (90 + (O303-DecLat)), (90 + (DecLat-O303))))</f>
        <v>67.783333333333331</v>
      </c>
      <c r="AG303" s="257">
        <f>angularseperation(MoonRA,MoonDec,$M303,$O303)</f>
        <v>105.29406915097684</v>
      </c>
      <c r="AH303" s="261">
        <f ca="1">MIN(100,IF($O$5&gt;80,0+30*($AG303/100),IF($O$5&gt;70,0+50*($AG303/100),IF($O$5&gt;60,5+50*($AG303/100),IF($O$5&gt;50,10+60*($AG303/100),IF($O$5&gt;40,15+70*($AG303/100),IF($O$5&gt;30,20+70*($AG303/100),IF($O$5&gt;20,40+55*($AG303/100),(80+(20-$O$5)+30*($AG303/100))))))))))</f>
        <v>100</v>
      </c>
      <c r="AI303" s="262">
        <v>7674</v>
      </c>
      <c r="AJ303" s="262"/>
      <c r="AK303" s="262"/>
      <c r="AL303" s="263"/>
      <c r="AM303" s="264"/>
      <c r="AN303" s="263">
        <v>182</v>
      </c>
      <c r="AO303" s="263">
        <v>96</v>
      </c>
      <c r="AP303" s="265"/>
      <c r="AQ303" s="266">
        <v>12608</v>
      </c>
      <c r="AR303" s="267">
        <v>71504</v>
      </c>
      <c r="AS303" s="263"/>
      <c r="AT303" s="263"/>
      <c r="AU303" s="263"/>
      <c r="AV303" s="264"/>
      <c r="AW303" s="263"/>
      <c r="AX303" s="263"/>
      <c r="AY303" s="263"/>
      <c r="AZ303" s="263"/>
      <c r="BA303" s="263"/>
      <c r="BB303" s="263"/>
      <c r="BC303" s="263"/>
      <c r="BD303" s="264"/>
      <c r="BE303" s="263"/>
      <c r="BF303" s="263"/>
      <c r="BG303" s="263"/>
      <c r="BH303" s="263"/>
      <c r="BI303" s="263"/>
      <c r="BJ303" s="404">
        <f>altaz(J2000_Bas,$O303,$M303,DecLat,DecLong,2)</f>
        <v>94.824347411644652</v>
      </c>
      <c r="BK303" s="378" t="s">
        <v>4093</v>
      </c>
      <c r="BL303" s="379">
        <f>IF((2*G303)/60&lt;0.2,0.2,(2*G303)/60)</f>
        <v>0.2</v>
      </c>
      <c r="BM303" s="380">
        <f>MOD((50000+AD303-$B$3+(0/24)),1)</f>
        <v>0.18603299625829095</v>
      </c>
      <c r="BN303" s="381"/>
      <c r="BO303" s="382">
        <v>303</v>
      </c>
    </row>
    <row r="304" spans="1:67" s="24" customFormat="1" ht="15" customHeight="1" x14ac:dyDescent="0.25">
      <c r="A304" s="288" t="s">
        <v>399</v>
      </c>
      <c r="B304" s="241" t="str">
        <f>HYPERLINK(CONCATENATE($AT$3,BK304,$AU$3),$AV$3)</f>
        <v>S</v>
      </c>
      <c r="C304" s="242" t="str">
        <f>HYPERLINK(CONCATENATE($AT$4,BK304,$AU$4,BL304),$AV$4)</f>
        <v>A</v>
      </c>
      <c r="D304" s="243" t="s">
        <v>5638</v>
      </c>
      <c r="E304" s="244" t="s">
        <v>5192</v>
      </c>
      <c r="F304" s="269" t="s">
        <v>6163</v>
      </c>
      <c r="G304" s="273">
        <v>1.3</v>
      </c>
      <c r="H304" s="283">
        <v>225</v>
      </c>
      <c r="I304" s="246">
        <v>90</v>
      </c>
      <c r="J304" s="246">
        <v>2</v>
      </c>
      <c r="K304" s="247" t="s">
        <v>4257</v>
      </c>
      <c r="L304" s="248">
        <v>133455</v>
      </c>
      <c r="M304" s="249">
        <f>15*(LEFT(TEXT($L304,"000000"),2)+(MID(TEXT($L304,"000000"),3,2)/60)+(RIGHT(TEXT($L304,"000000"),2)/3600))</f>
        <v>203.72916666666666</v>
      </c>
      <c r="N304" s="250">
        <v>312300</v>
      </c>
      <c r="O304" s="251">
        <f>IF($N304&gt;0,(LEFT(TEXT($N304,"000000"),2)+(MID(TEXT($N304,"000000"),3,2)/60)+(RIGHT(TEXT($N304,"000000"),2)/3600)),-(MID(TEXT($N304,"000000"),2,2)+(MID(TEXT($N304,"000000"),4,2)/60)+(RIGHT(TEXT($N304,"000000"),2)/3600)))</f>
        <v>31.383333333333333</v>
      </c>
      <c r="P304" s="252" t="s">
        <v>242</v>
      </c>
      <c r="Q304" s="253"/>
      <c r="R304" s="247" t="s">
        <v>3293</v>
      </c>
      <c r="S304" s="272" t="s">
        <v>4185</v>
      </c>
      <c r="T304" s="273">
        <v>14.4</v>
      </c>
      <c r="U304" s="274"/>
      <c r="V304" s="280">
        <v>30</v>
      </c>
      <c r="W304" s="244"/>
      <c r="X304" s="244"/>
      <c r="Y304" s="362"/>
      <c r="Z304" s="257">
        <f>altaz(J2000_Bas,$O304,$M304,DecLat,DecLong,1)</f>
        <v>21.505731370946883</v>
      </c>
      <c r="AA304" s="257">
        <f>altaz((J2000_Bas+(2*0.04167)),$O304,$M304,DecLat,DecLong,1)</f>
        <v>-0.58135370595076252</v>
      </c>
      <c r="AB304" s="257">
        <f>altaz((J2000_Bas+(4*0.04167)),$O304,$M304,DecLat,DecLong,1)</f>
        <v>-18.173160693810072</v>
      </c>
      <c r="AC304" s="257">
        <f>altaz((J2000_Bas+(6*0.04167)),$O304,$M304,DecLat,DecLong,1)</f>
        <v>-27.215500398371702</v>
      </c>
      <c r="AD304" s="258">
        <f>1+ transit((J2000_Bas-1),$O304,$M304,DecLat,DecLong)/360 + (GMTOffset/24) + (IF(DST="Y", 1, 0)/24)</f>
        <v>1.5588142558901248</v>
      </c>
      <c r="AE304" s="259">
        <f>DATE(2001,9,21)+(M304/360)*365 - (360*((DecLong/360)- (GMTOffset/24) ))</f>
        <v>37366.558738425927</v>
      </c>
      <c r="AF304" s="260">
        <f>IF(DecLat&gt;0,IF((90 - (DecLat-O304))&gt;90, (90 - (O304-DecLat)), (90 - (DecLat-O304))),IF((90 + (DecLat-O304))&gt;90, (90 + (O304-DecLat)), (90 + (DecLat-O304))))</f>
        <v>89.616666666666674</v>
      </c>
      <c r="AG304" s="257">
        <f>angularseperation(MoonRA,MoonDec,$M304,$O304)</f>
        <v>72.810779319253484</v>
      </c>
      <c r="AH304" s="261">
        <f ca="1">MIN(100,IF($O$5&gt;80,0+30*($AG304/100),IF($O$5&gt;70,0+50*($AG304/100),IF($O$5&gt;60,5+50*($AG304/100),IF($O$5&gt;50,10+60*($AG304/100),IF($O$5&gt;40,15+70*($AG304/100),IF($O$5&gt;30,20+70*($AG304/100),IF($O$5&gt;20,40+55*($AG304/100),(80+(20-$O$5)+30*($AG304/100))))))))))</f>
        <v>100</v>
      </c>
      <c r="AI304" s="262"/>
      <c r="AJ304" s="262"/>
      <c r="AK304" s="262"/>
      <c r="AL304" s="263"/>
      <c r="AM304" s="264"/>
      <c r="AN304" s="263">
        <v>183</v>
      </c>
      <c r="AO304" s="263"/>
      <c r="AP304" s="265"/>
      <c r="AQ304" s="266">
        <v>8560</v>
      </c>
      <c r="AR304" s="267">
        <v>47867</v>
      </c>
      <c r="AS304" s="263"/>
      <c r="AT304" s="263"/>
      <c r="AU304" s="263"/>
      <c r="AV304" s="264"/>
      <c r="AW304" s="263"/>
      <c r="AX304" s="263"/>
      <c r="AY304" s="263"/>
      <c r="AZ304" s="263"/>
      <c r="BA304" s="263"/>
      <c r="BB304" s="263"/>
      <c r="BC304" s="263"/>
      <c r="BD304" s="264"/>
      <c r="BE304" s="263"/>
      <c r="BF304" s="263"/>
      <c r="BG304" s="263"/>
      <c r="BH304" s="263"/>
      <c r="BI304" s="263"/>
      <c r="BJ304" s="404">
        <f>altaz(J2000_Bas,$O304,$M304,DecLat,DecLong,2)</f>
        <v>294.59768199380494</v>
      </c>
      <c r="BK304" s="378" t="s">
        <v>399</v>
      </c>
      <c r="BL304" s="379">
        <f>IF((2*G304)/60&lt;0.2,0.2,(2*G304)/60)</f>
        <v>0.2</v>
      </c>
      <c r="BM304" s="380">
        <f>MOD((50000+AD304-$B$3+(0/24)),1)</f>
        <v>0.77418118559580762</v>
      </c>
      <c r="BN304" s="381"/>
      <c r="BO304" s="382">
        <v>304</v>
      </c>
    </row>
    <row r="305" spans="1:67" s="24" customFormat="1" ht="15" customHeight="1" x14ac:dyDescent="0.25">
      <c r="A305" s="288" t="s">
        <v>400</v>
      </c>
      <c r="B305" s="241" t="str">
        <f>HYPERLINK(CONCATENATE($AT$3,BK305,$AU$3),$AV$3)</f>
        <v>S</v>
      </c>
      <c r="C305" s="242" t="str">
        <f>HYPERLINK(CONCATENATE($AT$4,BK305,$AU$4,BL305),$AV$4)</f>
        <v>A</v>
      </c>
      <c r="D305" s="243" t="s">
        <v>5638</v>
      </c>
      <c r="E305" s="244" t="s">
        <v>5192</v>
      </c>
      <c r="F305" s="269" t="s">
        <v>8886</v>
      </c>
      <c r="G305" s="273">
        <v>4</v>
      </c>
      <c r="H305" s="283">
        <v>200</v>
      </c>
      <c r="I305" s="246">
        <v>225</v>
      </c>
      <c r="J305" s="246">
        <v>2</v>
      </c>
      <c r="K305" s="247" t="s">
        <v>4258</v>
      </c>
      <c r="L305" s="248">
        <v>54204</v>
      </c>
      <c r="M305" s="249">
        <f>15*(LEFT(TEXT($L305,"000000"),2)+(MID(TEXT($L305,"000000"),3,2)/60)+(RIGHT(TEXT($L305,"000000"),2)/3600))</f>
        <v>85.516666666666666</v>
      </c>
      <c r="N305" s="250">
        <v>692200</v>
      </c>
      <c r="O305" s="251">
        <f>IF($N305&gt;0,(LEFT(TEXT($N305,"000000"),2)+(MID(TEXT($N305,"000000"),3,2)/60)+(RIGHT(TEXT($N305,"000000"),2)/3600)),-(MID(TEXT($N305,"000000"),2,2)+(MID(TEXT($N305,"000000"),4,2)/60)+(RIGHT(TEXT($N305,"000000"),2)/3600)))</f>
        <v>69.36666666666666</v>
      </c>
      <c r="P305" s="252" t="s">
        <v>226</v>
      </c>
      <c r="Q305" s="253"/>
      <c r="R305" s="247" t="s">
        <v>3491</v>
      </c>
      <c r="S305" s="272" t="s">
        <v>3293</v>
      </c>
      <c r="T305" s="273">
        <v>11</v>
      </c>
      <c r="U305" s="289">
        <v>22.59</v>
      </c>
      <c r="V305" s="280">
        <v>55</v>
      </c>
      <c r="W305" s="244"/>
      <c r="X305" s="244"/>
      <c r="Y305" s="362"/>
      <c r="Z305" s="257">
        <f>altaz(J2000_Bas,$O305,$M305,DecLat,DecLong,1)</f>
        <v>11.481375815003403</v>
      </c>
      <c r="AA305" s="257">
        <f>altaz((J2000_Bas+(2*0.04167)),$O305,$M305,DecLat,DecLong,1)</f>
        <v>16.867405675489124</v>
      </c>
      <c r="AB305" s="257">
        <f>altaz((J2000_Bas+(4*0.04167)),$O305,$M305,DecLat,DecLong,1)</f>
        <v>25.655167451220809</v>
      </c>
      <c r="AC305" s="257">
        <f>altaz((J2000_Bas+(6*0.04167)),$O305,$M305,DecLat,DecLong,1)</f>
        <v>36.083558353255448</v>
      </c>
      <c r="AD305" s="258">
        <f>1+ transit((J2000_Bas-1),$O305,$M305,DecLat,DecLong)/360 + (GMTOffset/24) + (IF(DST="Y", 1, 0)/24)</f>
        <v>1.2304462331713746</v>
      </c>
      <c r="AE305" s="259">
        <f>DATE(2001,9,21)+(M305/360)*365 - (360*((DecLong/360)- (GMTOffset/24) ))</f>
        <v>37246.704398148147</v>
      </c>
      <c r="AF305" s="260">
        <f>IF(DecLat&gt;0,IF((90 - (DecLat-O305))&gt;90, (90 - (O305-DecLat)), (90 - (DecLat-O305))),IF((90 + (DecLat-O305))&gt;90, (90 + (O305-DecLat)), (90 + (DecLat-O305))))</f>
        <v>51.63333333333334</v>
      </c>
      <c r="AG305" s="257">
        <f>angularseperation(MoonRA,MoonDec,$M305,$O305)</f>
        <v>136.65748898714753</v>
      </c>
      <c r="AH305" s="261">
        <f ca="1">MIN(100,IF($O$5&gt;80,0+30*($AG305/100),IF($O$5&gt;70,0+50*($AG305/100),IF($O$5&gt;60,5+50*($AG305/100),IF($O$5&gt;50,10+60*($AG305/100),IF($O$5&gt;40,15+70*($AG305/100),IF($O$5&gt;30,20+70*($AG305/100),IF($O$5&gt;20,40+55*($AG305/100),(80+(20-$O$5)+30*($AG305/100))))))))))</f>
        <v>100</v>
      </c>
      <c r="AI305" s="262">
        <v>1961</v>
      </c>
      <c r="AJ305" s="262"/>
      <c r="AK305" s="262">
        <v>63</v>
      </c>
      <c r="AL305" s="263"/>
      <c r="AM305" s="264"/>
      <c r="AN305" s="263">
        <v>184</v>
      </c>
      <c r="AO305" s="263"/>
      <c r="AP305" s="265"/>
      <c r="AQ305" s="266"/>
      <c r="AR305" s="267">
        <v>17625</v>
      </c>
      <c r="AS305" s="263"/>
      <c r="AT305" s="263"/>
      <c r="AU305" s="263"/>
      <c r="AV305" s="264"/>
      <c r="AW305" s="263"/>
      <c r="AX305" s="263"/>
      <c r="AY305" s="263"/>
      <c r="AZ305" s="263"/>
      <c r="BA305" s="263"/>
      <c r="BB305" s="263"/>
      <c r="BC305" s="263"/>
      <c r="BD305" s="264"/>
      <c r="BE305" s="263"/>
      <c r="BF305" s="263"/>
      <c r="BG305" s="263"/>
      <c r="BH305" s="263"/>
      <c r="BI305" s="263"/>
      <c r="BJ305" s="404">
        <f>altaz(J2000_Bas,$O305,$M305,DecLat,DecLong,2)</f>
        <v>7.2295902110587971</v>
      </c>
      <c r="BK305" s="378" t="s">
        <v>400</v>
      </c>
      <c r="BL305" s="379">
        <f>IF((2*G305)/60&lt;0.2,0.2,(2*G305)/60)</f>
        <v>0.2</v>
      </c>
      <c r="BM305" s="380">
        <f>MOD((50000+AD305-$B$3+(0/24)),1)</f>
        <v>0.44581316287803929</v>
      </c>
      <c r="BN305" s="381"/>
      <c r="BO305" s="382">
        <v>305</v>
      </c>
    </row>
    <row r="306" spans="1:67" s="24" customFormat="1" ht="15" customHeight="1" x14ac:dyDescent="0.25">
      <c r="A306" s="288" t="s">
        <v>401</v>
      </c>
      <c r="B306" s="241" t="str">
        <f>HYPERLINK(CONCATENATE($AT$3,BK306,$AU$3),$AV$3)</f>
        <v>S</v>
      </c>
      <c r="C306" s="242" t="str">
        <f>HYPERLINK(CONCATENATE($AT$4,BK306,$AU$4,BL306),$AV$4)</f>
        <v>A</v>
      </c>
      <c r="D306" s="243" t="s">
        <v>5638</v>
      </c>
      <c r="E306" s="244" t="s">
        <v>5192</v>
      </c>
      <c r="F306" s="269" t="s">
        <v>8886</v>
      </c>
      <c r="G306" s="273">
        <v>2</v>
      </c>
      <c r="H306" s="283">
        <v>65</v>
      </c>
      <c r="I306" s="246">
        <v>40</v>
      </c>
      <c r="J306" s="246">
        <v>2</v>
      </c>
      <c r="K306" s="247" t="s">
        <v>4259</v>
      </c>
      <c r="L306" s="248">
        <v>163240</v>
      </c>
      <c r="M306" s="249">
        <f>15*(LEFT(TEXT($L306,"000000"),2)+(MID(TEXT($L306,"000000"),3,2)/60)+(RIGHT(TEXT($L306,"000000"),2)/3600))</f>
        <v>248.16666666666671</v>
      </c>
      <c r="N306" s="250">
        <v>781100</v>
      </c>
      <c r="O306" s="251">
        <f>IF($N306&gt;0,(LEFT(TEXT($N306,"000000"),2)+(MID(TEXT($N306,"000000"),3,2)/60)+(RIGHT(TEXT($N306,"000000"),2)/3600)),-(MID(TEXT($N306,"000000"),2,2)+(MID(TEXT($N306,"000000"),4,2)/60)+(RIGHT(TEXT($N306,"000000"),2)/3600)))</f>
        <v>78.183333333333337</v>
      </c>
      <c r="P306" s="252" t="s">
        <v>208</v>
      </c>
      <c r="Q306" s="253"/>
      <c r="R306" s="247" t="s">
        <v>3645</v>
      </c>
      <c r="S306" s="272" t="s">
        <v>3293</v>
      </c>
      <c r="T306" s="273">
        <v>13.9</v>
      </c>
      <c r="U306" s="289">
        <v>22.09</v>
      </c>
      <c r="V306" s="280">
        <v>50</v>
      </c>
      <c r="W306" s="244"/>
      <c r="X306" s="244"/>
      <c r="Y306" s="362"/>
      <c r="Z306" s="257">
        <f>altaz(J2000_Bas,$O306,$M306,DecLat,DecLong,1)</f>
        <v>39.997394691125223</v>
      </c>
      <c r="AA306" s="257">
        <f>altaz((J2000_Bas+(2*0.04167)),$O306,$M306,DecLat,DecLong,1)</f>
        <v>34.757497832223017</v>
      </c>
      <c r="AB306" s="257">
        <f>altaz((J2000_Bas+(4*0.04167)),$O306,$M306,DecLat,DecLong,1)</f>
        <v>28.664423054037545</v>
      </c>
      <c r="AC306" s="257">
        <f>altaz((J2000_Bas+(6*0.04167)),$O306,$M306,DecLat,DecLong,1)</f>
        <v>23.318325913016118</v>
      </c>
      <c r="AD306" s="258">
        <f>1+ transit((J2000_Bas-1),$O306,$M306,DecLat,DecLong)/360 + (GMTOffset/24) + (IF(DST="Y", 1, 0)/24)</f>
        <v>1.6822517435463749</v>
      </c>
      <c r="AE306" s="259">
        <f>DATE(2001,9,21)+(M306/360)*365 - (360*((DecLong/360)- (GMTOffset/24) ))</f>
        <v>37411.613425925927</v>
      </c>
      <c r="AF306" s="260">
        <f>IF(DecLat&gt;0,IF((90 - (DecLat-O306))&gt;90, (90 - (O306-DecLat)), (90 - (DecLat-O306))),IF((90 + (DecLat-O306))&gt;90, (90 + (O306-DecLat)), (90 + (DecLat-O306))))</f>
        <v>42.816666666666663</v>
      </c>
      <c r="AG306" s="257">
        <f>angularseperation(MoonRA,MoonDec,$M306,$O306)</f>
        <v>105.26933322532584</v>
      </c>
      <c r="AH306" s="261">
        <f ca="1">MIN(100,IF($O$5&gt;80,0+30*($AG306/100),IF($O$5&gt;70,0+50*($AG306/100),IF($O$5&gt;60,5+50*($AG306/100),IF($O$5&gt;50,10+60*($AG306/100),IF($O$5&gt;40,15+70*($AG306/100),IF($O$5&gt;30,20+70*($AG306/100),IF($O$5&gt;20,40+55*($AG306/100),(80+(20-$O$5)+30*($AG306/100))))))))))</f>
        <v>100</v>
      </c>
      <c r="AI306" s="262">
        <v>6217</v>
      </c>
      <c r="AJ306" s="262"/>
      <c r="AK306" s="262">
        <v>319</v>
      </c>
      <c r="AL306" s="263"/>
      <c r="AM306" s="264"/>
      <c r="AN306" s="263">
        <v>185</v>
      </c>
      <c r="AO306" s="263"/>
      <c r="AP306" s="265"/>
      <c r="AQ306" s="266">
        <v>10470</v>
      </c>
      <c r="AR306" s="267">
        <v>58477</v>
      </c>
      <c r="AS306" s="263"/>
      <c r="AT306" s="263"/>
      <c r="AU306" s="263"/>
      <c r="AV306" s="264"/>
      <c r="AW306" s="263"/>
      <c r="AX306" s="263"/>
      <c r="AY306" s="263"/>
      <c r="AZ306" s="263"/>
      <c r="BA306" s="263"/>
      <c r="BB306" s="263"/>
      <c r="BC306" s="263"/>
      <c r="BD306" s="264"/>
      <c r="BE306" s="263"/>
      <c r="BF306" s="263"/>
      <c r="BG306" s="263"/>
      <c r="BH306" s="263"/>
      <c r="BI306" s="263"/>
      <c r="BJ306" s="404">
        <f>altaz(J2000_Bas,$O306,$M306,DecLat,DecLong,2)</f>
        <v>350.562593744916</v>
      </c>
      <c r="BK306" s="378" t="s">
        <v>401</v>
      </c>
      <c r="BL306" s="379">
        <f>IF((2*G306)/60&lt;0.2,0.2,(2*G306)/60)</f>
        <v>0.2</v>
      </c>
      <c r="BM306" s="380">
        <f>MOD((50000+AD306-$B$3+(0/24)),1)</f>
        <v>0.89761867324705236</v>
      </c>
      <c r="BN306" s="381"/>
      <c r="BO306" s="382">
        <v>306</v>
      </c>
    </row>
    <row r="307" spans="1:67" s="24" customFormat="1" ht="15" customHeight="1" x14ac:dyDescent="0.25">
      <c r="A307" s="288" t="s">
        <v>402</v>
      </c>
      <c r="B307" s="241" t="str">
        <f>HYPERLINK(CONCATENATE($AT$3,BK307,$AU$3),$AV$3)</f>
        <v>S</v>
      </c>
      <c r="C307" s="242" t="str">
        <f>HYPERLINK(CONCATENATE($AT$4,BK307,$AU$4,BL307),$AV$4)</f>
        <v>A</v>
      </c>
      <c r="D307" s="243" t="s">
        <v>5638</v>
      </c>
      <c r="E307" s="244" t="s">
        <v>5337</v>
      </c>
      <c r="F307" s="269" t="s">
        <v>9133</v>
      </c>
      <c r="G307" s="273">
        <v>2</v>
      </c>
      <c r="H307" s="283">
        <v>210</v>
      </c>
      <c r="I307" s="246">
        <v>120</v>
      </c>
      <c r="J307" s="246">
        <v>2</v>
      </c>
      <c r="K307" s="247" t="s">
        <v>4260</v>
      </c>
      <c r="L307" s="248">
        <v>43359</v>
      </c>
      <c r="M307" s="249">
        <f>15*(LEFT(TEXT($L307,"000000"),2)+(MID(TEXT($L307,"000000"),3,2)/60)+(RIGHT(TEXT($L307,"000000"),2)/3600))</f>
        <v>68.495833333333323</v>
      </c>
      <c r="N307" s="250">
        <v>-83400</v>
      </c>
      <c r="O307" s="251">
        <f>IF($N307&gt;0,(LEFT(TEXT($N307,"000000"),2)+(MID(TEXT($N307,"000000"),3,2)/60)+(RIGHT(TEXT($N307,"000000"),2)/3600)),-(MID(TEXT($N307,"000000"),2,2)+(MID(TEXT($N307,"000000"),4,2)/60)+(RIGHT(TEXT($N307,"000000"),2)/3600)))</f>
        <v>-8.5666666666666664</v>
      </c>
      <c r="P307" s="252" t="s">
        <v>257</v>
      </c>
      <c r="Q307" s="253"/>
      <c r="R307" s="247" t="s">
        <v>3485</v>
      </c>
      <c r="S307" s="272" t="s">
        <v>3293</v>
      </c>
      <c r="T307" s="273">
        <v>12.9</v>
      </c>
      <c r="U307" s="289">
        <v>22.09</v>
      </c>
      <c r="V307" s="280"/>
      <c r="W307" s="244"/>
      <c r="X307" s="244"/>
      <c r="Y307" s="362"/>
      <c r="Z307" s="257">
        <f>altaz(J2000_Bas,$O307,$M307,DecLat,DecLong,1)</f>
        <v>-48.513207515337982</v>
      </c>
      <c r="AA307" s="257">
        <f>altaz((J2000_Bas+(2*0.04167)),$O307,$M307,DecLat,DecLong,1)</f>
        <v>-23.567888332409559</v>
      </c>
      <c r="AB307" s="257">
        <f>altaz((J2000_Bas+(4*0.04167)),$O307,$M307,DecLat,DecLong,1)</f>
        <v>2.0913895823054172</v>
      </c>
      <c r="AC307" s="257">
        <f>altaz((J2000_Bas+(6*0.04167)),$O307,$M307,DecLat,DecLong,1)</f>
        <v>26.251979520822672</v>
      </c>
      <c r="AD307" s="258">
        <f>1+ transit((J2000_Bas-1),$O307,$M307,DecLat,DecLong)/360 + (GMTOffset/24) + (IF(DST="Y", 1, 0)/24)</f>
        <v>1.1831661453067912</v>
      </c>
      <c r="AE307" s="259">
        <f>DATE(2001,9,21)+(M307/360)*365 - (360*((DecLong/360)- (GMTOffset/24) ))</f>
        <v>37229.447164351855</v>
      </c>
      <c r="AF307" s="260">
        <f>IF(DecLat&gt;0,IF((90 - (DecLat-O307))&gt;90, (90 - (O307-DecLat)), (90 - (DecLat-O307))),IF((90 + (DecLat-O307))&gt;90, (90 + (O307-DecLat)), (90 + (DecLat-O307))))</f>
        <v>50.433333333333337</v>
      </c>
      <c r="AG307" s="257">
        <f>angularseperation(MoonRA,MoonDec,$M307,$O307)</f>
        <v>144.34190348041372</v>
      </c>
      <c r="AH307" s="261">
        <f ca="1">MIN(100,IF($O$5&gt;80,0+30*($AG307/100),IF($O$5&gt;70,0+50*($AG307/100),IF($O$5&gt;60,5+50*($AG307/100),IF($O$5&gt;50,10+60*($AG307/100),IF($O$5&gt;40,15+70*($AG307/100),IF($O$5&gt;30,20+70*($AG307/100),IF($O$5&gt;20,40+55*($AG307/100),(80+(20-$O$5)+30*($AG307/100))))))))))</f>
        <v>100</v>
      </c>
      <c r="AI307" s="262">
        <v>1614</v>
      </c>
      <c r="AJ307" s="262"/>
      <c r="AK307" s="262"/>
      <c r="AL307" s="263"/>
      <c r="AM307" s="264"/>
      <c r="AN307" s="263">
        <v>186</v>
      </c>
      <c r="AO307" s="263"/>
      <c r="AP307" s="265"/>
      <c r="AQ307" s="266"/>
      <c r="AR307" s="267">
        <v>15538</v>
      </c>
      <c r="AS307" s="263"/>
      <c r="AT307" s="263"/>
      <c r="AU307" s="263"/>
      <c r="AV307" s="264"/>
      <c r="AW307" s="263"/>
      <c r="AX307" s="263"/>
      <c r="AY307" s="263"/>
      <c r="AZ307" s="263"/>
      <c r="BA307" s="263"/>
      <c r="BB307" s="263"/>
      <c r="BC307" s="263"/>
      <c r="BD307" s="264"/>
      <c r="BE307" s="263"/>
      <c r="BF307" s="263"/>
      <c r="BG307" s="263"/>
      <c r="BH307" s="263">
        <v>83</v>
      </c>
      <c r="BI307" s="263"/>
      <c r="BJ307" s="404">
        <f>altaz(J2000_Bas,$O307,$M307,DecLat,DecLong,2)</f>
        <v>65.346353838671405</v>
      </c>
      <c r="BK307" s="378" t="s">
        <v>402</v>
      </c>
      <c r="BL307" s="379">
        <f>IF((2*G307)/60&lt;0.2,0.2,(2*G307)/60)</f>
        <v>0.2</v>
      </c>
      <c r="BM307" s="380">
        <f>MOD((50000+AD307-$B$3+(0/24)),1)</f>
        <v>0.3985330750074354</v>
      </c>
      <c r="BN307" s="381" t="s">
        <v>9281</v>
      </c>
      <c r="BO307" s="382">
        <v>307</v>
      </c>
    </row>
    <row r="308" spans="1:67" s="24" customFormat="1" ht="15" customHeight="1" x14ac:dyDescent="0.25">
      <c r="A308" s="288" t="s">
        <v>403</v>
      </c>
      <c r="B308" s="241" t="str">
        <f>HYPERLINK(CONCATENATE($AT$3,BK308,$AU$3),$AV$3)</f>
        <v>S</v>
      </c>
      <c r="C308" s="242" t="str">
        <f>HYPERLINK(CONCATENATE($AT$4,BK308,$AU$4,BL308),$AV$4)</f>
        <v>A</v>
      </c>
      <c r="D308" s="243" t="s">
        <v>5638</v>
      </c>
      <c r="E308" s="244" t="s">
        <v>5192</v>
      </c>
      <c r="F308" s="269" t="s">
        <v>8885</v>
      </c>
      <c r="G308" s="273">
        <v>1</v>
      </c>
      <c r="H308" s="283">
        <v>560</v>
      </c>
      <c r="I308" s="246">
        <v>160</v>
      </c>
      <c r="J308" s="246">
        <v>2</v>
      </c>
      <c r="K308" s="247" t="s">
        <v>4261</v>
      </c>
      <c r="L308" s="248">
        <v>50453</v>
      </c>
      <c r="M308" s="249">
        <f>15*(LEFT(TEXT($L308,"000000"),2)+(MID(TEXT($L308,"000000"),3,2)/60)+(RIGHT(TEXT($L308,"000000"),2)/3600))</f>
        <v>76.220833333333331</v>
      </c>
      <c r="N308" s="250">
        <v>-101400</v>
      </c>
      <c r="O308" s="251">
        <f>IF($N308&gt;0,(LEFT(TEXT($N308,"000000"),2)+(MID(TEXT($N308,"000000"),3,2)/60)+(RIGHT(TEXT($N308,"000000"),2)/3600)),-(MID(TEXT($N308,"000000"),2,2)+(MID(TEXT($N308,"000000"),4,2)/60)+(RIGHT(TEXT($N308,"000000"),2)/3600)))</f>
        <v>-10.233333333333333</v>
      </c>
      <c r="P308" s="252" t="s">
        <v>257</v>
      </c>
      <c r="Q308" s="253"/>
      <c r="R308" s="247" t="s">
        <v>3293</v>
      </c>
      <c r="S308" s="272" t="s">
        <v>3293</v>
      </c>
      <c r="T308" s="273">
        <v>15</v>
      </c>
      <c r="U308" s="274"/>
      <c r="V308" s="280">
        <v>70</v>
      </c>
      <c r="W308" s="244"/>
      <c r="X308" s="244"/>
      <c r="Y308" s="362"/>
      <c r="Z308" s="257">
        <f>altaz(J2000_Bas,$O308,$M308,DecLat,DecLong,1)</f>
        <v>-55.448953459588175</v>
      </c>
      <c r="AA308" s="257">
        <f>altaz((J2000_Bas+(2*0.04167)),$O308,$M308,DecLat,DecLong,1)</f>
        <v>-30.995398669040309</v>
      </c>
      <c r="AB308" s="257">
        <f>altaz((J2000_Bas+(4*0.04167)),$O308,$M308,DecLat,DecLong,1)</f>
        <v>-5.2915314749003004</v>
      </c>
      <c r="AC308" s="257">
        <f>altaz((J2000_Bas+(6*0.04167)),$O308,$M308,DecLat,DecLong,1)</f>
        <v>19.312314851319389</v>
      </c>
      <c r="AD308" s="258">
        <f>1+ transit((J2000_Bas-1),$O308,$M308,DecLat,DecLong)/360 + (GMTOffset/24) + (IF(DST="Y", 1, 0)/24)</f>
        <v>1.2046244764942913</v>
      </c>
      <c r="AE308" s="259">
        <f>DATE(2001,9,21)+(M308/360)*365 - (360*((DecLong/360)- (GMTOffset/24) ))</f>
        <v>37237.279456018521</v>
      </c>
      <c r="AF308" s="260">
        <f>IF(DecLat&gt;0,IF((90 - (DecLat-O308))&gt;90, (90 - (O308-DecLat)), (90 - (DecLat-O308))),IF((90 + (DecLat-O308))&gt;90, (90 + (O308-DecLat)), (90 + (DecLat-O308))))</f>
        <v>48.766666666666666</v>
      </c>
      <c r="AG308" s="257">
        <f>angularseperation(MoonRA,MoonDec,$M308,$O308)</f>
        <v>142.07327520046459</v>
      </c>
      <c r="AH308" s="261">
        <f ca="1">MIN(100,IF($O$5&gt;80,0+30*($AG308/100),IF($O$5&gt;70,0+50*($AG308/100),IF($O$5&gt;60,5+50*($AG308/100),IF($O$5&gt;50,10+60*($AG308/100),IF($O$5&gt;40,15+70*($AG308/100),IF($O$5&gt;30,20+70*($AG308/100),IF($O$5&gt;20,40+55*($AG308/100),(80+(20-$O$5)+30*($AG308/100))))))))))</f>
        <v>100</v>
      </c>
      <c r="AI308" s="262"/>
      <c r="AJ308" s="262"/>
      <c r="AK308" s="262"/>
      <c r="AL308" s="263"/>
      <c r="AM308" s="264"/>
      <c r="AN308" s="263">
        <v>187</v>
      </c>
      <c r="AO308" s="263"/>
      <c r="AP308" s="265"/>
      <c r="AQ308" s="266"/>
      <c r="AR308" s="267">
        <v>16691</v>
      </c>
      <c r="AS308" s="263"/>
      <c r="AT308" s="263"/>
      <c r="AU308" s="263"/>
      <c r="AV308" s="264"/>
      <c r="AW308" s="263"/>
      <c r="AX308" s="263"/>
      <c r="AY308" s="263"/>
      <c r="AZ308" s="263"/>
      <c r="BA308" s="263"/>
      <c r="BB308" s="263"/>
      <c r="BC308" s="263"/>
      <c r="BD308" s="264"/>
      <c r="BE308" s="263"/>
      <c r="BF308" s="263"/>
      <c r="BG308" s="263"/>
      <c r="BH308" s="263"/>
      <c r="BI308" s="263"/>
      <c r="BJ308" s="404">
        <f>altaz(J2000_Bas,$O308,$M308,DecLat,DecLong,2)</f>
        <v>59.526354253737033</v>
      </c>
      <c r="BK308" s="378" t="s">
        <v>403</v>
      </c>
      <c r="BL308" s="379">
        <f>IF((2*G308)/60&lt;0.2,0.2,(2*G308)/60)</f>
        <v>0.2</v>
      </c>
      <c r="BM308" s="380">
        <f>MOD((50000+AD308-$B$3+(0/24)),1)</f>
        <v>0.41999140619736863</v>
      </c>
      <c r="BN308" s="381"/>
      <c r="BO308" s="382">
        <v>308</v>
      </c>
    </row>
    <row r="309" spans="1:67" s="24" customFormat="1" ht="15" customHeight="1" x14ac:dyDescent="0.25">
      <c r="A309" s="288" t="s">
        <v>404</v>
      </c>
      <c r="B309" s="241" t="str">
        <f>HYPERLINK(CONCATENATE($AT$3,BK309,$AU$3),$AV$3)</f>
        <v>S</v>
      </c>
      <c r="C309" s="242" t="str">
        <f>HYPERLINK(CONCATENATE($AT$4,BK309,$AU$4,BL309),$AV$4)</f>
        <v>A</v>
      </c>
      <c r="D309" s="243" t="s">
        <v>5638</v>
      </c>
      <c r="E309" s="244" t="s">
        <v>5337</v>
      </c>
      <c r="F309" s="269" t="s">
        <v>9139</v>
      </c>
      <c r="G309" s="270">
        <v>0.9</v>
      </c>
      <c r="H309" s="283">
        <v>430</v>
      </c>
      <c r="I309" s="246">
        <v>110</v>
      </c>
      <c r="J309" s="246">
        <v>4</v>
      </c>
      <c r="K309" s="247" t="s">
        <v>4262</v>
      </c>
      <c r="L309" s="248">
        <v>160604</v>
      </c>
      <c r="M309" s="249">
        <f>15*(LEFT(TEXT($L309,"000000"),2)+(MID(TEXT($L309,"000000"),3,2)/60)+(RIGHT(TEXT($L309,"000000"),2)/3600))</f>
        <v>241.51666666666668</v>
      </c>
      <c r="N309" s="250">
        <v>552532</v>
      </c>
      <c r="O309" s="251">
        <f>IF($N309&gt;0,(LEFT(TEXT($N309,"000000"),2)+(MID(TEXT($N309,"000000"),3,2)/60)+(RIGHT(TEXT($N309,"000000"),2)/3600)),-(MID(TEXT($N309,"000000"),2,2)+(MID(TEXT($N309,"000000"),4,2)/60)+(RIGHT(TEXT($N309,"000000"),2)/3600)))</f>
        <v>55.425555555555555</v>
      </c>
      <c r="P309" s="252" t="s">
        <v>34</v>
      </c>
      <c r="Q309" s="253" t="s">
        <v>6914</v>
      </c>
      <c r="R309" s="247" t="s">
        <v>3293</v>
      </c>
      <c r="S309" s="272" t="s">
        <v>3293</v>
      </c>
      <c r="T309" s="273">
        <v>14.4</v>
      </c>
      <c r="U309" s="274"/>
      <c r="V309" s="280"/>
      <c r="W309" s="244"/>
      <c r="X309" s="244"/>
      <c r="Y309" s="362"/>
      <c r="Z309" s="257">
        <f>altaz(J2000_Bas,$O309,$M309,DecLat,DecLong,1)</f>
        <v>50.452902216730962</v>
      </c>
      <c r="AA309" s="257">
        <f>altaz((J2000_Bas+(2*0.04167)),$O309,$M309,DecLat,DecLong,1)</f>
        <v>33.606827935015716</v>
      </c>
      <c r="AB309" s="257">
        <f>altaz((J2000_Bas+(4*0.04167)),$O309,$M309,DecLat,DecLong,1)</f>
        <v>17.518433308951586</v>
      </c>
      <c r="AC309" s="257">
        <f>altaz((J2000_Bas+(6*0.04167)),$O309,$M309,DecLat,DecLong,1)</f>
        <v>4.6857851357382776</v>
      </c>
      <c r="AD309" s="258">
        <f>1+ transit((J2000_Bas-1),$O309,$M309,DecLat,DecLong)/360 + (GMTOffset/24) + (IF(DST="Y", 1, 0)/24)</f>
        <v>1.6637795231713748</v>
      </c>
      <c r="AE309" s="259">
        <f>DATE(2001,9,21)+(M309/360)*365 - (360*((DecLong/360)- (GMTOffset/24) ))</f>
        <v>37404.871064814812</v>
      </c>
      <c r="AF309" s="260">
        <f>IF(DecLat&gt;0,IF((90 - (DecLat-O309))&gt;90, (90 - (O309-DecLat)), (90 - (DecLat-O309))),IF((90 + (DecLat-O309))&gt;90, (90 + (O309-DecLat)), (90 + (DecLat-O309))))</f>
        <v>65.574444444444453</v>
      </c>
      <c r="AG309" s="257">
        <f>angularseperation(MoonRA,MoonDec,$M309,$O309)</f>
        <v>82.774564995305084</v>
      </c>
      <c r="AH309" s="261">
        <f ca="1">MIN(100,IF($O$5&gt;80,0+30*($AG309/100),IF($O$5&gt;70,0+50*($AG309/100),IF($O$5&gt;60,5+50*($AG309/100),IF($O$5&gt;50,10+60*($AG309/100),IF($O$5&gt;40,15+70*($AG309/100),IF($O$5&gt;30,20+70*($AG309/100),IF($O$5&gt;20,40+55*($AG309/100),(80+(20-$O$5)+30*($AG309/100))))))))))</f>
        <v>100</v>
      </c>
      <c r="AI309" s="262"/>
      <c r="AJ309" s="262"/>
      <c r="AK309" s="262"/>
      <c r="AL309" s="263"/>
      <c r="AM309" s="264"/>
      <c r="AN309" s="263">
        <v>188</v>
      </c>
      <c r="AO309" s="263"/>
      <c r="AP309" s="265"/>
      <c r="AQ309" s="266">
        <v>10214</v>
      </c>
      <c r="AR309" s="267">
        <v>57129</v>
      </c>
      <c r="AS309" s="263"/>
      <c r="AT309" s="263"/>
      <c r="AU309" s="263"/>
      <c r="AV309" s="264"/>
      <c r="AW309" s="263"/>
      <c r="AX309" s="263"/>
      <c r="AY309" s="263"/>
      <c r="AZ309" s="263"/>
      <c r="BA309" s="263"/>
      <c r="BB309" s="263"/>
      <c r="BC309" s="263"/>
      <c r="BD309" s="264"/>
      <c r="BE309" s="263"/>
      <c r="BF309" s="263"/>
      <c r="BG309" s="263"/>
      <c r="BH309" s="263">
        <v>4</v>
      </c>
      <c r="BI309" s="263"/>
      <c r="BJ309" s="404">
        <f>altaz(J2000_Bas,$O309,$M309,DecLat,DecLong,2)</f>
        <v>321.35178823987837</v>
      </c>
      <c r="BK309" s="378" t="s">
        <v>404</v>
      </c>
      <c r="BL309" s="379">
        <f>IF((2*G309)/60&lt;0.2,0.2,(2*G309)/60)</f>
        <v>0.2</v>
      </c>
      <c r="BM309" s="380">
        <f>MOD((50000+AD309-$B$3+(0/24)),1)</f>
        <v>0.8791464528767392</v>
      </c>
      <c r="BN309" s="381" t="s">
        <v>9281</v>
      </c>
      <c r="BO309" s="382">
        <v>309</v>
      </c>
    </row>
    <row r="310" spans="1:67" s="24" customFormat="1" ht="15" customHeight="1" x14ac:dyDescent="0.25">
      <c r="A310" s="288" t="s">
        <v>405</v>
      </c>
      <c r="B310" s="241" t="str">
        <f>HYPERLINK(CONCATENATE($AT$3,BK310,$AU$3),$AV$3)</f>
        <v>S</v>
      </c>
      <c r="C310" s="242" t="str">
        <f>HYPERLINK(CONCATENATE($AT$4,BK310,$AU$4,BL310),$AV$4)</f>
        <v>A</v>
      </c>
      <c r="D310" s="243" t="s">
        <v>5638</v>
      </c>
      <c r="E310" s="244" t="s">
        <v>5192</v>
      </c>
      <c r="F310" s="269" t="s">
        <v>9152</v>
      </c>
      <c r="G310" s="273">
        <v>3.5</v>
      </c>
      <c r="H310" s="283">
        <v>75</v>
      </c>
      <c r="I310" s="246">
        <v>80</v>
      </c>
      <c r="J310" s="246">
        <v>3</v>
      </c>
      <c r="K310" s="247" t="s">
        <v>4263</v>
      </c>
      <c r="L310" s="248">
        <v>124343</v>
      </c>
      <c r="M310" s="249">
        <f>15*(LEFT(TEXT($L310,"000000"),2)+(MID(TEXT($L310,"000000"),3,2)/60)+(RIGHT(TEXT($L310,"000000"),2)/3600))</f>
        <v>190.92916666666665</v>
      </c>
      <c r="N310" s="250">
        <v>162336</v>
      </c>
      <c r="O310" s="251">
        <f>IF($N310&gt;0,(LEFT(TEXT($N310,"000000"),2)+(MID(TEXT($N310,"000000"),3,2)/60)+(RIGHT(TEXT($N310,"000000"),2)/3600)),-(MID(TEXT($N310,"000000"),2,2)+(MID(TEXT($N310,"000000"),4,2)/60)+(RIGHT(TEXT($N310,"000000"),2)/3600)))</f>
        <v>16.393333333333334</v>
      </c>
      <c r="P310" s="252" t="s">
        <v>190</v>
      </c>
      <c r="Q310" s="253" t="s">
        <v>6921</v>
      </c>
      <c r="R310" s="247" t="s">
        <v>3597</v>
      </c>
      <c r="S310" s="272" t="s">
        <v>3293</v>
      </c>
      <c r="T310" s="273">
        <v>10.8</v>
      </c>
      <c r="U310" s="289">
        <v>22.19</v>
      </c>
      <c r="V310" s="280">
        <v>50</v>
      </c>
      <c r="W310" s="244"/>
      <c r="X310" s="244"/>
      <c r="Y310" s="362"/>
      <c r="Z310" s="257">
        <f>altaz(J2000_Bas,$O310,$M310,DecLat,DecLong,1)</f>
        <v>4.1655705699790646</v>
      </c>
      <c r="AA310" s="257">
        <f>altaz((J2000_Bas+(2*0.04167)),$O310,$M310,DecLat,DecLong,1)</f>
        <v>-19.157162202838414</v>
      </c>
      <c r="AB310" s="257">
        <f>altaz((J2000_Bas+(4*0.04167)),$O310,$M310,DecLat,DecLong,1)</f>
        <v>-36.968872874732256</v>
      </c>
      <c r="AC310" s="257">
        <f>altaz((J2000_Bas+(6*0.04167)),$O310,$M310,DecLat,DecLong,1)</f>
        <v>-42.330794065951991</v>
      </c>
      <c r="AD310" s="258">
        <f>1+ transit((J2000_Bas-1),$O310,$M310,DecLat,DecLong)/360 + (GMTOffset/24) + (IF(DST="Y", 1, 0)/24)</f>
        <v>1.5232587038901246</v>
      </c>
      <c r="AE310" s="259">
        <f>DATE(2001,9,21)+(M310/360)*365 - (360*((DecLong/360)- (GMTOffset/24) ))</f>
        <v>37353.580960648149</v>
      </c>
      <c r="AF310" s="260">
        <f>IF(DecLat&gt;0,IF((90 - (DecLat-O310))&gt;90, (90 - (O310-DecLat)), (90 - (DecLat-O310))),IF((90 + (DecLat-O310))&gt;90, (90 + (O310-DecLat)), (90 + (DecLat-O310))))</f>
        <v>75.393333333333331</v>
      </c>
      <c r="AG310" s="257">
        <f>angularseperation(MoonRA,MoonDec,$M310,$O310)</f>
        <v>71.326900095500505</v>
      </c>
      <c r="AH310" s="261">
        <f ca="1">MIN(100,IF($O$5&gt;80,0+30*($AG310/100),IF($O$5&gt;70,0+50*($AG310/100),IF($O$5&gt;60,5+50*($AG310/100),IF($O$5&gt;50,10+60*($AG310/100),IF($O$5&gt;40,15+70*($AG310/100),IF($O$5&gt;30,20+70*($AG310/100),IF($O$5&gt;20,40+55*($AG310/100),(80+(20-$O$5)+30*($AG310/100))))))))))</f>
        <v>100</v>
      </c>
      <c r="AI310" s="262">
        <v>4651</v>
      </c>
      <c r="AJ310" s="262"/>
      <c r="AK310" s="262"/>
      <c r="AL310" s="263"/>
      <c r="AM310" s="264"/>
      <c r="AN310" s="263">
        <v>189</v>
      </c>
      <c r="AO310" s="263"/>
      <c r="AP310" s="265"/>
      <c r="AQ310" s="266">
        <v>7901</v>
      </c>
      <c r="AR310" s="267">
        <v>42833</v>
      </c>
      <c r="AS310" s="263"/>
      <c r="AT310" s="263"/>
      <c r="AU310" s="263"/>
      <c r="AV310" s="264"/>
      <c r="AW310" s="263"/>
      <c r="AX310" s="263"/>
      <c r="AY310" s="263"/>
      <c r="AZ310" s="263"/>
      <c r="BA310" s="263"/>
      <c r="BB310" s="263"/>
      <c r="BC310" s="263"/>
      <c r="BD310" s="264"/>
      <c r="BE310" s="263"/>
      <c r="BF310" s="263"/>
      <c r="BG310" s="263"/>
      <c r="BH310" s="263">
        <v>9</v>
      </c>
      <c r="BI310" s="263"/>
      <c r="BJ310" s="404">
        <f>altaz(J2000_Bas,$O310,$M310,DecLat,DecLong,2)</f>
        <v>286.64072166053654</v>
      </c>
      <c r="BK310" s="378" t="s">
        <v>405</v>
      </c>
      <c r="BL310" s="379">
        <f>IF((2*G310)/60&lt;0.2,0.2,(2*G310)/60)</f>
        <v>0.2</v>
      </c>
      <c r="BM310" s="380">
        <f>MOD((50000+AD310-$B$3+(0/24)),1)</f>
        <v>0.73862563359580236</v>
      </c>
      <c r="BN310" s="381" t="s">
        <v>9291</v>
      </c>
      <c r="BO310" s="382">
        <v>310</v>
      </c>
    </row>
    <row r="311" spans="1:67" s="24" customFormat="1" ht="15" customHeight="1" x14ac:dyDescent="0.25">
      <c r="A311" s="288" t="s">
        <v>406</v>
      </c>
      <c r="B311" s="241" t="str">
        <f>HYPERLINK(CONCATENATE($AT$3,BK311,$AU$3),$AV$3)</f>
        <v>S</v>
      </c>
      <c r="C311" s="242" t="str">
        <f>HYPERLINK(CONCATENATE($AT$4,BK311,$AU$4,BL311),$AV$4)</f>
        <v>A</v>
      </c>
      <c r="D311" s="243" t="s">
        <v>5638</v>
      </c>
      <c r="E311" s="244" t="s">
        <v>5337</v>
      </c>
      <c r="F311" s="269" t="s">
        <v>9139</v>
      </c>
      <c r="G311" s="270">
        <v>0.55000000000000004</v>
      </c>
      <c r="H311" s="283">
        <v>480</v>
      </c>
      <c r="I311" s="246">
        <v>80</v>
      </c>
      <c r="J311" s="246">
        <v>2</v>
      </c>
      <c r="K311" s="247" t="s">
        <v>4264</v>
      </c>
      <c r="L311" s="248">
        <v>25019</v>
      </c>
      <c r="M311" s="249">
        <f>15*(LEFT(TEXT($L311,"000000"),2)+(MID(TEXT($L311,"000000"),3,2)/60)+(RIGHT(TEXT($L311,"000000"),2)/3600))</f>
        <v>42.579166666666666</v>
      </c>
      <c r="N311" s="250">
        <v>125300</v>
      </c>
      <c r="O311" s="251">
        <f>IF($N311&gt;0,(LEFT(TEXT($N311,"000000"),2)+(MID(TEXT($N311,"000000"),3,2)/60)+(RIGHT(TEXT($N311,"000000"),2)/3600)),-(MID(TEXT($N311,"000000"),2,2)+(MID(TEXT($N311,"000000"),4,2)/60)+(RIGHT(TEXT($N311,"000000"),2)/3600)))</f>
        <v>12.883333333333333</v>
      </c>
      <c r="P311" s="252" t="s">
        <v>249</v>
      </c>
      <c r="Q311" s="253"/>
      <c r="R311" s="247" t="s">
        <v>3293</v>
      </c>
      <c r="S311" s="272" t="s">
        <v>3293</v>
      </c>
      <c r="T311" s="273">
        <v>15.2</v>
      </c>
      <c r="U311" s="274"/>
      <c r="V311" s="280"/>
      <c r="W311" s="244"/>
      <c r="X311" s="244"/>
      <c r="Y311" s="362"/>
      <c r="Z311" s="257">
        <f>altaz(J2000_Bas,$O311,$M311,DecLat,DecLong,1)</f>
        <v>-15.010755706747746</v>
      </c>
      <c r="AA311" s="257">
        <f>altaz((J2000_Bas+(2*0.04167)),$O311,$M311,DecLat,DecLong,1)</f>
        <v>9.553255537118071</v>
      </c>
      <c r="AB311" s="257">
        <f>altaz((J2000_Bas+(4*0.04167)),$O311,$M311,DecLat,DecLong,1)</f>
        <v>35.250594478234738</v>
      </c>
      <c r="AC311" s="257">
        <f>altaz((J2000_Bas+(6*0.04167)),$O311,$M311,DecLat,DecLong,1)</f>
        <v>59.743964077944199</v>
      </c>
      <c r="AD311" s="258">
        <f>1+ transit((J2000_Bas-1),$O311,$M311,DecLat,DecLong)/360 + (GMTOffset/24) + (IF(DST="Y", 1, 0)/24)</f>
        <v>1.1111754117651247</v>
      </c>
      <c r="AE311" s="259">
        <f>DATE(2001,9,21)+(M311/360)*365 - (360*((DecLong/360)- (GMTOffset/24) ))</f>
        <v>37203.170543981483</v>
      </c>
      <c r="AF311" s="260">
        <f>IF(DecLat&gt;0,IF((90 - (DecLat-O311))&gt;90, (90 - (O311-DecLat)), (90 - (DecLat-O311))),IF((90 + (DecLat-O311))&gt;90, (90 + (O311-DecLat)), (90 + (DecLat-O311))))</f>
        <v>71.883333333333326</v>
      </c>
      <c r="AG311" s="257">
        <f>angularseperation(MoonRA,MoonDec,$M311,$O311)</f>
        <v>151.30042947793862</v>
      </c>
      <c r="AH311" s="261">
        <f ca="1">MIN(100,IF($O$5&gt;80,0+30*($AG311/100),IF($O$5&gt;70,0+50*($AG311/100),IF($O$5&gt;60,5+50*($AG311/100),IF($O$5&gt;50,10+60*($AG311/100),IF($O$5&gt;40,15+70*($AG311/100),IF($O$5&gt;30,20+70*($AG311/100),IF($O$5&gt;20,40+55*($AG311/100),(80+(20-$O$5)+30*($AG311/100))))))))))</f>
        <v>100</v>
      </c>
      <c r="AI311" s="262"/>
      <c r="AJ311" s="262"/>
      <c r="AK311" s="262"/>
      <c r="AL311" s="263"/>
      <c r="AM311" s="264"/>
      <c r="AN311" s="263">
        <v>190</v>
      </c>
      <c r="AO311" s="263"/>
      <c r="AP311" s="265"/>
      <c r="AQ311" s="266">
        <v>2320</v>
      </c>
      <c r="AR311" s="267">
        <v>10755</v>
      </c>
      <c r="AS311" s="263"/>
      <c r="AT311" s="263"/>
      <c r="AU311" s="263"/>
      <c r="AV311" s="264"/>
      <c r="AW311" s="263"/>
      <c r="AX311" s="263"/>
      <c r="AY311" s="263"/>
      <c r="AZ311" s="263"/>
      <c r="BA311" s="263"/>
      <c r="BB311" s="263"/>
      <c r="BC311" s="263"/>
      <c r="BD311" s="264"/>
      <c r="BE311" s="263"/>
      <c r="BF311" s="263"/>
      <c r="BG311" s="263"/>
      <c r="BH311" s="263"/>
      <c r="BI311" s="263"/>
      <c r="BJ311" s="404">
        <f>altaz(J2000_Bas,$O311,$M311,DecLat,DecLong,2)</f>
        <v>64.505093809522222</v>
      </c>
      <c r="BK311" s="378" t="s">
        <v>406</v>
      </c>
      <c r="BL311" s="379">
        <f>IF((2*G311)/60&lt;0.2,0.2,(2*G311)/60)</f>
        <v>0.2</v>
      </c>
      <c r="BM311" s="380">
        <f>MOD((50000+AD311-$B$3+(0/24)),1)</f>
        <v>0.32654234147048555</v>
      </c>
      <c r="BN311" s="381" t="s">
        <v>9281</v>
      </c>
      <c r="BO311" s="382">
        <v>311</v>
      </c>
    </row>
    <row r="312" spans="1:67" s="24" customFormat="1" ht="15" customHeight="1" x14ac:dyDescent="0.25">
      <c r="A312" s="288" t="s">
        <v>407</v>
      </c>
      <c r="B312" s="241" t="str">
        <f>HYPERLINK(CONCATENATE($AT$3,BK312,$AU$3),$AV$3)</f>
        <v>S</v>
      </c>
      <c r="C312" s="242" t="str">
        <f>HYPERLINK(CONCATENATE($AT$4,BK312,$AU$4,BL312),$AV$4)</f>
        <v>A</v>
      </c>
      <c r="D312" s="243" t="s">
        <v>5638</v>
      </c>
      <c r="E312" s="244" t="s">
        <v>5337</v>
      </c>
      <c r="F312" s="269" t="s">
        <v>9137</v>
      </c>
      <c r="G312" s="273">
        <v>1</v>
      </c>
      <c r="H312" s="283">
        <v>370</v>
      </c>
      <c r="I312" s="246">
        <v>120</v>
      </c>
      <c r="J312" s="246">
        <v>2</v>
      </c>
      <c r="K312" s="247" t="s">
        <v>4265</v>
      </c>
      <c r="L312" s="248">
        <v>110720</v>
      </c>
      <c r="M312" s="249">
        <f>15*(LEFT(TEXT($L312,"000000"),2)+(MID(TEXT($L312,"000000"),3,2)/60)+(RIGHT(TEXT($L312,"000000"),2)/3600))</f>
        <v>166.83333333333334</v>
      </c>
      <c r="N312" s="250">
        <v>182500</v>
      </c>
      <c r="O312" s="251">
        <f>IF($N312&gt;0,(LEFT(TEXT($N312,"000000"),2)+(MID(TEXT($N312,"000000"),3,2)/60)+(RIGHT(TEXT($N312,"000000"),2)/3600)),-(MID(TEXT($N312,"000000"),2,2)+(MID(TEXT($N312,"000000"),4,2)/60)+(RIGHT(TEXT($N312,"000000"),2)/3600)))</f>
        <v>18.416666666666668</v>
      </c>
      <c r="P312" s="252" t="s">
        <v>183</v>
      </c>
      <c r="Q312" s="253"/>
      <c r="R312" s="247" t="s">
        <v>3293</v>
      </c>
      <c r="S312" s="272" t="s">
        <v>3293</v>
      </c>
      <c r="T312" s="273">
        <v>15</v>
      </c>
      <c r="U312" s="274"/>
      <c r="V312" s="280"/>
      <c r="W312" s="244"/>
      <c r="X312" s="244"/>
      <c r="Y312" s="362"/>
      <c r="Z312" s="257">
        <f>altaz(J2000_Bas,$O312,$M312,DecLat,DecLong,1)</f>
        <v>-13.513006611679865</v>
      </c>
      <c r="AA312" s="257">
        <f>altaz((J2000_Bas+(2*0.04167)),$O312,$M312,DecLat,DecLong,1)</f>
        <v>-32.428117892577347</v>
      </c>
      <c r="AB312" s="257">
        <f>altaz((J2000_Bas+(4*0.04167)),$O312,$M312,DecLat,DecLong,1)</f>
        <v>-40.579242869568454</v>
      </c>
      <c r="AC312" s="257">
        <f>altaz((J2000_Bas+(6*0.04167)),$O312,$M312,DecLat,DecLong,1)</f>
        <v>-33.069503941714764</v>
      </c>
      <c r="AD312" s="258">
        <f>1+ transit((J2000_Bas-1),$O312,$M312,DecLat,DecLong)/360 + (GMTOffset/24) + (IF(DST="Y", 1, 0)/24)</f>
        <v>1.4563258402130412</v>
      </c>
      <c r="AE312" s="259">
        <f>DATE(2001,9,21)+(M312/360)*365 - (360*((DecLong/360)- (GMTOffset/24) ))</f>
        <v>37329.150462962964</v>
      </c>
      <c r="AF312" s="260">
        <f>IF(DecLat&gt;0,IF((90 - (DecLat-O312))&gt;90, (90 - (O312-DecLat)), (90 - (DecLat-O312))),IF((90 + (DecLat-O312))&gt;90, (90 + (O312-DecLat)), (90 + (DecLat-O312))))</f>
        <v>77.416666666666671</v>
      </c>
      <c r="AG312" s="257">
        <f>angularseperation(MoonRA,MoonDec,$M312,$O312)</f>
        <v>91.847713747571675</v>
      </c>
      <c r="AH312" s="261">
        <f ca="1">MIN(100,IF($O$5&gt;80,0+30*($AG312/100),IF($O$5&gt;70,0+50*($AG312/100),IF($O$5&gt;60,5+50*($AG312/100),IF($O$5&gt;50,10+60*($AG312/100),IF($O$5&gt;40,15+70*($AG312/100),IF($O$5&gt;30,20+70*($AG312/100),IF($O$5&gt;20,40+55*($AG312/100),(80+(20-$O$5)+30*($AG312/100))))))))))</f>
        <v>100</v>
      </c>
      <c r="AI312" s="262"/>
      <c r="AJ312" s="262"/>
      <c r="AK312" s="262"/>
      <c r="AL312" s="263"/>
      <c r="AM312" s="264"/>
      <c r="AN312" s="263">
        <v>191</v>
      </c>
      <c r="AO312" s="263"/>
      <c r="AP312" s="265"/>
      <c r="AQ312" s="266">
        <v>6175</v>
      </c>
      <c r="AR312" s="359">
        <v>4530391</v>
      </c>
      <c r="AS312" s="263"/>
      <c r="AT312" s="263"/>
      <c r="AU312" s="263"/>
      <c r="AV312" s="264"/>
      <c r="AW312" s="263"/>
      <c r="AX312" s="263"/>
      <c r="AY312" s="263"/>
      <c r="AZ312" s="263"/>
      <c r="BA312" s="263"/>
      <c r="BB312" s="263"/>
      <c r="BC312" s="263"/>
      <c r="BD312" s="264"/>
      <c r="BE312" s="263"/>
      <c r="BF312" s="263"/>
      <c r="BG312" s="263"/>
      <c r="BH312" s="263"/>
      <c r="BI312" s="263"/>
      <c r="BJ312" s="404">
        <f>altaz(J2000_Bas,$O312,$M312,DecLat,DecLong,2)</f>
        <v>301.56466019683597</v>
      </c>
      <c r="BK312" s="378" t="s">
        <v>407</v>
      </c>
      <c r="BL312" s="379">
        <f>IF((2*G312)/60&lt;0.2,0.2,(2*G312)/60)</f>
        <v>0.2</v>
      </c>
      <c r="BM312" s="380">
        <f>MOD((50000+AD312-$B$3+(0/24)),1)</f>
        <v>0.67169276991626248</v>
      </c>
      <c r="BN312" s="381"/>
      <c r="BO312" s="382">
        <v>312</v>
      </c>
    </row>
    <row r="313" spans="1:67" s="24" customFormat="1" ht="15" customHeight="1" x14ac:dyDescent="0.25">
      <c r="A313" s="288" t="s">
        <v>408</v>
      </c>
      <c r="B313" s="241" t="str">
        <f>HYPERLINK(CONCATENATE($AT$3,BK313,$AU$3),$AV$3)</f>
        <v>S</v>
      </c>
      <c r="C313" s="242" t="str">
        <f>HYPERLINK(CONCATENATE($AT$4,BK313,$AU$4,BL313),$AV$4)</f>
        <v>A</v>
      </c>
      <c r="D313" s="243" t="s">
        <v>5638</v>
      </c>
      <c r="E313" s="244" t="s">
        <v>5337</v>
      </c>
      <c r="F313" s="269" t="s">
        <v>9138</v>
      </c>
      <c r="G313" s="270">
        <v>0.9</v>
      </c>
      <c r="H313" s="283">
        <v>300</v>
      </c>
      <c r="I313" s="246">
        <v>75</v>
      </c>
      <c r="J313" s="246">
        <v>2</v>
      </c>
      <c r="K313" s="247" t="s">
        <v>8507</v>
      </c>
      <c r="L313" s="248">
        <v>103659</v>
      </c>
      <c r="M313" s="249">
        <f>15*(LEFT(TEXT($L313,"000000"),2)+(MID(TEXT($L313,"000000"),3,2)/60)+(RIGHT(TEXT($L313,"000000"),2)/3600))</f>
        <v>159.24583333333334</v>
      </c>
      <c r="N313" s="250">
        <v>180800</v>
      </c>
      <c r="O313" s="251">
        <f>IF($N313&gt;0,(LEFT(TEXT($N313,"000000"),2)+(MID(TEXT($N313,"000000"),3,2)/60)+(RIGHT(TEXT($N313,"000000"),2)/3600)),-(MID(TEXT($N313,"000000"),2,2)+(MID(TEXT($N313,"000000"),4,2)/60)+(RIGHT(TEXT($N313,"000000"),2)/3600)))</f>
        <v>18.133333333333333</v>
      </c>
      <c r="P313" s="252" t="s">
        <v>183</v>
      </c>
      <c r="Q313" s="253"/>
      <c r="R313" s="247" t="s">
        <v>3542</v>
      </c>
      <c r="S313" s="272" t="s">
        <v>3293</v>
      </c>
      <c r="T313" s="273">
        <v>15</v>
      </c>
      <c r="U313" s="289">
        <v>23.89</v>
      </c>
      <c r="V313" s="280"/>
      <c r="W313" s="244"/>
      <c r="X313" s="244"/>
      <c r="Y313" s="362"/>
      <c r="Z313" s="257">
        <f>altaz(J2000_Bas,$O313,$M313,DecLat,DecLong,1)</f>
        <v>-19.097411275583042</v>
      </c>
      <c r="AA313" s="257">
        <f>altaz((J2000_Bas+(2*0.04167)),$O313,$M313,DecLat,DecLong,1)</f>
        <v>-36.061994429844844</v>
      </c>
      <c r="AB313" s="257">
        <f>altaz((J2000_Bas+(4*0.04167)),$O313,$M313,DecLat,DecLong,1)</f>
        <v>-40.41782866643252</v>
      </c>
      <c r="AC313" s="257">
        <f>altaz((J2000_Bas+(6*0.04167)),$O313,$M313,DecLat,DecLong,1)</f>
        <v>-29.35248272190119</v>
      </c>
      <c r="AD313" s="258">
        <f>1+ transit((J2000_Bas-1),$O313,$M313,DecLat,DecLong)/360 + (GMTOffset/24) + (IF(DST="Y", 1, 0)/24)</f>
        <v>1.4352494534317912</v>
      </c>
      <c r="AE313" s="259">
        <f>DATE(2001,9,21)+(M313/360)*365 - (360*((DecLong/360)- (GMTOffset/24) ))</f>
        <v>37321.45758101852</v>
      </c>
      <c r="AF313" s="260">
        <f>IF(DecLat&gt;0,IF((90 - (DecLat-O313))&gt;90, (90 - (O313-DecLat)), (90 - (DecLat-O313))),IF((90 + (DecLat-O313))&gt;90, (90 + (O313-DecLat)), (90 + (DecLat-O313))))</f>
        <v>77.133333333333326</v>
      </c>
      <c r="AG313" s="257">
        <f>angularseperation(MoonRA,MoonDec,$M313,$O313)</f>
        <v>98.142995691375319</v>
      </c>
      <c r="AH313" s="261">
        <f ca="1">MIN(100,IF($O$5&gt;80,0+30*($AG313/100),IF($O$5&gt;70,0+50*($AG313/100),IF($O$5&gt;60,5+50*($AG313/100),IF($O$5&gt;50,10+60*($AG313/100),IF($O$5&gt;40,15+70*($AG313/100),IF($O$5&gt;30,20+70*($AG313/100),IF($O$5&gt;20,40+55*($AG313/100),(80+(20-$O$5)+30*($AG313/100))))))))))</f>
        <v>100</v>
      </c>
      <c r="AI313" s="262">
        <v>3303</v>
      </c>
      <c r="AJ313" s="262"/>
      <c r="AK313" s="262"/>
      <c r="AL313" s="263"/>
      <c r="AM313" s="264"/>
      <c r="AN313" s="263">
        <v>192</v>
      </c>
      <c r="AO313" s="263"/>
      <c r="AP313" s="265"/>
      <c r="AQ313" s="266">
        <v>5773</v>
      </c>
      <c r="AR313" s="267">
        <v>31508</v>
      </c>
      <c r="AS313" s="263"/>
      <c r="AT313" s="263"/>
      <c r="AU313" s="263"/>
      <c r="AV313" s="264"/>
      <c r="AW313" s="263"/>
      <c r="AX313" s="263"/>
      <c r="AY313" s="263"/>
      <c r="AZ313" s="263"/>
      <c r="BA313" s="263"/>
      <c r="BB313" s="263"/>
      <c r="BC313" s="263"/>
      <c r="BD313" s="264"/>
      <c r="BE313" s="263"/>
      <c r="BF313" s="263"/>
      <c r="BG313" s="263"/>
      <c r="BH313" s="263"/>
      <c r="BI313" s="263"/>
      <c r="BJ313" s="404">
        <f>altaz(J2000_Bas,$O313,$M313,DecLat,DecLong,2)</f>
        <v>306.31853262147803</v>
      </c>
      <c r="BK313" s="378" t="s">
        <v>408</v>
      </c>
      <c r="BL313" s="379">
        <f>IF((2*G313)/60&lt;0.2,0.2,(2*G313)/60)</f>
        <v>0.2</v>
      </c>
      <c r="BM313" s="380">
        <f>MOD((50000+AD313-$B$3+(0/24)),1)</f>
        <v>0.65061638313636649</v>
      </c>
      <c r="BN313" s="381" t="s">
        <v>9281</v>
      </c>
      <c r="BO313" s="382">
        <v>313</v>
      </c>
    </row>
    <row r="314" spans="1:67" s="24" customFormat="1" ht="15" customHeight="1" x14ac:dyDescent="0.25">
      <c r="A314" s="288" t="s">
        <v>409</v>
      </c>
      <c r="B314" s="241" t="str">
        <f>HYPERLINK(CONCATENATE($AT$3,BK314,$AU$3),$AV$3)</f>
        <v>S</v>
      </c>
      <c r="C314" s="242" t="str">
        <f>HYPERLINK(CONCATENATE($AT$4,BK314,$AU$4,BL314),$AV$4)</f>
        <v>A</v>
      </c>
      <c r="D314" s="243" t="s">
        <v>5638</v>
      </c>
      <c r="E314" s="244" t="s">
        <v>5337</v>
      </c>
      <c r="F314" s="269" t="s">
        <v>9130</v>
      </c>
      <c r="G314" s="270">
        <v>0.8</v>
      </c>
      <c r="H314" s="283">
        <v>340</v>
      </c>
      <c r="I314" s="246">
        <v>80</v>
      </c>
      <c r="J314" s="246">
        <v>2</v>
      </c>
      <c r="K314" s="247" t="s">
        <v>8508</v>
      </c>
      <c r="L314" s="248">
        <v>132035</v>
      </c>
      <c r="M314" s="249">
        <f>15*(LEFT(TEXT($L314,"000000"),2)+(MID(TEXT($L314,"000000"),3,2)/60)+(RIGHT(TEXT($L314,"000000"),2)/3600))</f>
        <v>200.14583333333334</v>
      </c>
      <c r="N314" s="250">
        <v>340800</v>
      </c>
      <c r="O314" s="251">
        <f>IF($N314&gt;0,(LEFT(TEXT($N314,"000000"),2)+(MID(TEXT($N314,"000000"),3,2)/60)+(RIGHT(TEXT($N314,"000000"),2)/3600)),-(MID(TEXT($N314,"000000"),2,2)+(MID(TEXT($N314,"000000"),4,2)/60)+(RIGHT(TEXT($N314,"000000"),2)/3600)))</f>
        <v>34.133333333333333</v>
      </c>
      <c r="P314" s="252" t="s">
        <v>242</v>
      </c>
      <c r="Q314" s="253"/>
      <c r="R314" s="247" t="s">
        <v>3723</v>
      </c>
      <c r="S314" s="272" t="s">
        <v>3293</v>
      </c>
      <c r="T314" s="273">
        <v>14.4</v>
      </c>
      <c r="U314" s="289">
        <v>22.490000000000002</v>
      </c>
      <c r="V314" s="280"/>
      <c r="W314" s="244"/>
      <c r="X314" s="244"/>
      <c r="Y314" s="362"/>
      <c r="Z314" s="257">
        <f>altaz(J2000_Bas,$O314,$M314,DecLat,DecLong,1)</f>
        <v>19.892718637974166</v>
      </c>
      <c r="AA314" s="257">
        <f>altaz((J2000_Bas+(2*0.04167)),$O314,$M314,DecLat,DecLong,1)</f>
        <v>-1.2248263603885994</v>
      </c>
      <c r="AB314" s="257">
        <f>altaz((J2000_Bas+(4*0.04167)),$O314,$M314,DecLat,DecLong,1)</f>
        <v>-17.420863277266136</v>
      </c>
      <c r="AC314" s="257">
        <f>altaz((J2000_Bas+(6*0.04167)),$O314,$M314,DecLat,DecLong,1)</f>
        <v>-24.763505854371761</v>
      </c>
      <c r="AD314" s="258">
        <f>1+ transit((J2000_Bas-1),$O314,$M314,DecLat,DecLong)/360 + (GMTOffset/24) + (IF(DST="Y", 1, 0)/24)</f>
        <v>1.5488605531817914</v>
      </c>
      <c r="AE314" s="259">
        <f>DATE(2001,9,21)+(M314/360)*365 - (360*((DecLong/360)- (GMTOffset/24) ))</f>
        <v>37362.925636574073</v>
      </c>
      <c r="AF314" s="260">
        <f>IF(DecLat&gt;0,IF((90 - (DecLat-O314))&gt;90, (90 - (O314-DecLat)), (90 - (DecLat-O314))),IF((90 + (DecLat-O314))&gt;90, (90 + (O314-DecLat)), (90 + (DecLat-O314))))</f>
        <v>86.866666666666674</v>
      </c>
      <c r="AG314" s="257">
        <f>angularseperation(MoonRA,MoonDec,$M314,$O314)</f>
        <v>76.874684646729705</v>
      </c>
      <c r="AH314" s="261">
        <f ca="1">MIN(100,IF($O$5&gt;80,0+30*($AG314/100),IF($O$5&gt;70,0+50*($AG314/100),IF($O$5&gt;60,5+50*($AG314/100),IF($O$5&gt;50,10+60*($AG314/100),IF($O$5&gt;40,15+70*($AG314/100),IF($O$5&gt;30,20+70*($AG314/100),IF($O$5&gt;20,40+55*($AG314/100),(80+(20-$O$5)+30*($AG314/100))))))))))</f>
        <v>100</v>
      </c>
      <c r="AI314" s="262"/>
      <c r="AJ314" s="262">
        <v>883</v>
      </c>
      <c r="AK314" s="262"/>
      <c r="AL314" s="263"/>
      <c r="AM314" s="264"/>
      <c r="AN314" s="263">
        <v>193</v>
      </c>
      <c r="AO314" s="263"/>
      <c r="AP314" s="265"/>
      <c r="AQ314" s="266">
        <v>8387</v>
      </c>
      <c r="AR314" s="267">
        <v>46560</v>
      </c>
      <c r="AS314" s="263"/>
      <c r="AT314" s="263"/>
      <c r="AU314" s="263"/>
      <c r="AV314" s="264"/>
      <c r="AW314" s="263"/>
      <c r="AX314" s="263"/>
      <c r="AY314" s="263"/>
      <c r="AZ314" s="263"/>
      <c r="BA314" s="263"/>
      <c r="BB314" s="263"/>
      <c r="BC314" s="263"/>
      <c r="BD314" s="264"/>
      <c r="BE314" s="263"/>
      <c r="BF314" s="263"/>
      <c r="BG314" s="263"/>
      <c r="BH314" s="263"/>
      <c r="BI314" s="263"/>
      <c r="BJ314" s="404">
        <f>altaz(J2000_Bas,$O314,$M314,DecLat,DecLong,2)</f>
        <v>298.60307068938164</v>
      </c>
      <c r="BK314" s="378" t="s">
        <v>409</v>
      </c>
      <c r="BL314" s="379">
        <f>IF((2*G314)/60&lt;0.2,0.2,(2*G314)/60)</f>
        <v>0.2</v>
      </c>
      <c r="BM314" s="380">
        <f>MOD((50000+AD314-$B$3+(0/24)),1)</f>
        <v>0.76422748288314324</v>
      </c>
      <c r="BN314" s="381" t="s">
        <v>9283</v>
      </c>
      <c r="BO314" s="382">
        <v>314</v>
      </c>
    </row>
    <row r="315" spans="1:67" s="24" customFormat="1" ht="15" customHeight="1" x14ac:dyDescent="0.25">
      <c r="A315" s="288" t="s">
        <v>410</v>
      </c>
      <c r="B315" s="241" t="str">
        <f>HYPERLINK(CONCATENATE($AT$3,BK315,$AU$3),$AV$3)</f>
        <v>S</v>
      </c>
      <c r="C315" s="242" t="str">
        <f>HYPERLINK(CONCATENATE($AT$4,BK315,$AU$4,BL315),$AV$4)</f>
        <v>A</v>
      </c>
      <c r="D315" s="243" t="s">
        <v>5638</v>
      </c>
      <c r="E315" s="244" t="s">
        <v>5337</v>
      </c>
      <c r="F315" s="269" t="s">
        <v>3310</v>
      </c>
      <c r="G315" s="270">
        <v>0.35</v>
      </c>
      <c r="H315" s="283">
        <v>500</v>
      </c>
      <c r="I315" s="246">
        <v>50</v>
      </c>
      <c r="J315" s="246">
        <v>2</v>
      </c>
      <c r="K315" s="247" t="s">
        <v>4267</v>
      </c>
      <c r="L315" s="248">
        <v>115754</v>
      </c>
      <c r="M315" s="249">
        <f>15*(LEFT(TEXT($L315,"000000"),2)+(MID(TEXT($L315,"000000"),3,2)/60)+(RIGHT(TEXT($L315,"000000"),2)/3600))</f>
        <v>179.47499999999999</v>
      </c>
      <c r="N315" s="250">
        <v>362400</v>
      </c>
      <c r="O315" s="251">
        <f>IF($N315&gt;0,(LEFT(TEXT($N315,"000000"),2)+(MID(TEXT($N315,"000000"),3,2)/60)+(RIGHT(TEXT($N315,"000000"),2)/3600)),-(MID(TEXT($N315,"000000"),2,2)+(MID(TEXT($N315,"000000"),4,2)/60)+(RIGHT(TEXT($N315,"000000"),2)/3600)))</f>
        <v>36.4</v>
      </c>
      <c r="P315" s="252" t="s">
        <v>37</v>
      </c>
      <c r="Q315" s="253"/>
      <c r="R315" s="247" t="s">
        <v>3293</v>
      </c>
      <c r="S315" s="272" t="s">
        <v>3293</v>
      </c>
      <c r="T315" s="273">
        <v>15.8</v>
      </c>
      <c r="U315" s="274"/>
      <c r="V315" s="280"/>
      <c r="W315" s="244"/>
      <c r="X315" s="244"/>
      <c r="Y315" s="362"/>
      <c r="Z315" s="257">
        <f>altaz(J2000_Bas,$O315,$M315,DecLat,DecLong,1)</f>
        <v>6.2786571995713478</v>
      </c>
      <c r="AA315" s="257">
        <f>altaz((J2000_Bas+(2*0.04167)),$O315,$M315,DecLat,DecLong,1)</f>
        <v>-11.288659086350822</v>
      </c>
      <c r="AB315" s="257">
        <f>altaz((J2000_Bas+(4*0.04167)),$O315,$M315,DecLat,DecLong,1)</f>
        <v>-21.455688953870279</v>
      </c>
      <c r="AC315" s="257">
        <f>altaz((J2000_Bas+(6*0.04167)),$O315,$M315,DecLat,DecLong,1)</f>
        <v>-20.788174572609872</v>
      </c>
      <c r="AD315" s="258">
        <f>1+ transit((J2000_Bas-1),$O315,$M315,DecLat,DecLong)/360 + (GMTOffset/24) + (IF(DST="Y", 1, 0)/24)</f>
        <v>1.4914415774422081</v>
      </c>
      <c r="AE315" s="259">
        <f>DATE(2001,9,21)+(M315/360)*365 - (360*((DecLong/360)- (GMTOffset/24) ))</f>
        <v>37341.96770833333</v>
      </c>
      <c r="AF315" s="260">
        <f>IF(DecLat&gt;0,IF((90 - (DecLat-O315))&gt;90, (90 - (O315-DecLat)), (90 - (DecLat-O315))),IF((90 + (DecLat-O315))&gt;90, (90 + (O315-DecLat)), (90 + (DecLat-O315))))</f>
        <v>84.6</v>
      </c>
      <c r="AG315" s="257">
        <f>angularseperation(MoonRA,MoonDec,$M315,$O315)</f>
        <v>91.280288316703064</v>
      </c>
      <c r="AH315" s="261">
        <f ca="1">MIN(100,IF($O$5&gt;80,0+30*($AG315/100),IF($O$5&gt;70,0+50*($AG315/100),IF($O$5&gt;60,5+50*($AG315/100),IF($O$5&gt;50,10+60*($AG315/100),IF($O$5&gt;40,15+70*($AG315/100),IF($O$5&gt;30,20+70*($AG315/100),IF($O$5&gt;20,40+55*($AG315/100),(80+(20-$O$5)+30*($AG315/100))))))))))</f>
        <v>100</v>
      </c>
      <c r="AI315" s="262"/>
      <c r="AJ315" s="262"/>
      <c r="AK315" s="262"/>
      <c r="AL315" s="263"/>
      <c r="AM315" s="264"/>
      <c r="AN315" s="263">
        <v>194</v>
      </c>
      <c r="AO315" s="263"/>
      <c r="AP315" s="265"/>
      <c r="AQ315" s="266">
        <v>6945</v>
      </c>
      <c r="AR315" s="267">
        <v>37639</v>
      </c>
      <c r="AS315" s="263"/>
      <c r="AT315" s="263"/>
      <c r="AU315" s="263"/>
      <c r="AV315" s="264"/>
      <c r="AW315" s="263"/>
      <c r="AX315" s="263"/>
      <c r="AY315" s="263"/>
      <c r="AZ315" s="263"/>
      <c r="BA315" s="263"/>
      <c r="BB315" s="263"/>
      <c r="BC315" s="263"/>
      <c r="BD315" s="264"/>
      <c r="BE315" s="263"/>
      <c r="BF315" s="263"/>
      <c r="BG315" s="263"/>
      <c r="BH315" s="263"/>
      <c r="BI315" s="263"/>
      <c r="BJ315" s="404">
        <f>altaz(J2000_Bas,$O315,$M315,DecLat,DecLong,2)</f>
        <v>309.0774887930973</v>
      </c>
      <c r="BK315" s="378" t="s">
        <v>410</v>
      </c>
      <c r="BL315" s="379">
        <f>IF((2*G315)/60&lt;0.2,0.2,(2*G315)/60)</f>
        <v>0.2</v>
      </c>
      <c r="BM315" s="380">
        <f>MOD((50000+AD315-$B$3+(0/24)),1)</f>
        <v>0.7068085071441601</v>
      </c>
      <c r="BN315" s="382" t="s">
        <v>9214</v>
      </c>
      <c r="BO315" s="382">
        <v>315</v>
      </c>
    </row>
    <row r="316" spans="1:67" s="24" customFormat="1" ht="15" customHeight="1" x14ac:dyDescent="0.25">
      <c r="A316" s="288" t="s">
        <v>411</v>
      </c>
      <c r="B316" s="241" t="str">
        <f>HYPERLINK(CONCATENATE($AT$3,BK316,$AU$3),$AV$3)</f>
        <v>S</v>
      </c>
      <c r="C316" s="242" t="str">
        <f>HYPERLINK(CONCATENATE($AT$4,BK316,$AU$4,BL316),$AV$4)</f>
        <v>A</v>
      </c>
      <c r="D316" s="243" t="s">
        <v>5638</v>
      </c>
      <c r="E316" s="244" t="s">
        <v>5337</v>
      </c>
      <c r="F316" s="269" t="s">
        <v>9140</v>
      </c>
      <c r="G316" s="270">
        <v>0.6</v>
      </c>
      <c r="H316" s="283">
        <v>750</v>
      </c>
      <c r="I316" s="246">
        <v>125</v>
      </c>
      <c r="J316" s="246">
        <v>3</v>
      </c>
      <c r="K316" s="247" t="s">
        <v>4268</v>
      </c>
      <c r="L316" s="248">
        <v>85350</v>
      </c>
      <c r="M316" s="249">
        <f>15*(LEFT(TEXT($L316,"000000"),2)+(MID(TEXT($L316,"000000"),3,2)/60)+(RIGHT(TEXT($L316,"000000"),2)/3600))</f>
        <v>133.45833333333334</v>
      </c>
      <c r="N316" s="250">
        <v>350800</v>
      </c>
      <c r="O316" s="251">
        <f>IF($N316&gt;0,(LEFT(TEXT($N316,"000000"),2)+(MID(TEXT($N316,"000000"),3,2)/60)+(RIGHT(TEXT($N316,"000000"),2)/3600)),-(MID(TEXT($N316,"000000"),2,2)+(MID(TEXT($N316,"000000"),4,2)/60)+(RIGHT(TEXT($N316,"000000"),2)/3600)))</f>
        <v>35.133333333333333</v>
      </c>
      <c r="P316" s="252" t="s">
        <v>82</v>
      </c>
      <c r="Q316" s="253" t="s">
        <v>6875</v>
      </c>
      <c r="R316" s="247" t="s">
        <v>3293</v>
      </c>
      <c r="S316" s="272" t="s">
        <v>3293</v>
      </c>
      <c r="T316" s="273">
        <v>14.5</v>
      </c>
      <c r="U316" s="274"/>
      <c r="V316" s="280"/>
      <c r="W316" s="244"/>
      <c r="X316" s="244"/>
      <c r="Y316" s="362"/>
      <c r="Z316" s="257">
        <f>altaz(J2000_Bas,$O316,$M316,DecLat,DecLong,1)</f>
        <v>-19.005188740495683</v>
      </c>
      <c r="AA316" s="257">
        <f>altaz((J2000_Bas+(2*0.04167)),$O316,$M316,DecLat,DecLong,1)</f>
        <v>-23.820453769809394</v>
      </c>
      <c r="AB316" s="257">
        <f>altaz((J2000_Bas+(4*0.04167)),$O316,$M316,DecLat,DecLong,1)</f>
        <v>-17.062790037973581</v>
      </c>
      <c r="AC316" s="257">
        <f>altaz((J2000_Bas+(6*0.04167)),$O316,$M316,DecLat,DecLong,1)</f>
        <v>-1.3784118470151341</v>
      </c>
      <c r="AD316" s="258">
        <f>1+ transit((J2000_Bas-1),$O316,$M316,DecLat,DecLong)/360 + (GMTOffset/24) + (IF(DST="Y", 1, 0)/24)</f>
        <v>1.3636175161505413</v>
      </c>
      <c r="AE316" s="259">
        <f>DATE(2001,9,21)+(M316/360)*365 - (360*((DecLong/360)- (GMTOffset/24) ))</f>
        <v>37295.311921296299</v>
      </c>
      <c r="AF316" s="260">
        <f>IF(DecLat&gt;0,IF((90 - (DecLat-O316))&gt;90, (90 - (O316-DecLat)), (90 - (DecLat-O316))),IF((90 + (DecLat-O316))&gt;90, (90 + (O316-DecLat)), (90 + (DecLat-O316))))</f>
        <v>85.866666666666674</v>
      </c>
      <c r="AG316" s="257">
        <f>angularseperation(MoonRA,MoonDec,$M316,$O316)</f>
        <v>125.36150741705542</v>
      </c>
      <c r="AH316" s="261">
        <f ca="1">MIN(100,IF($O$5&gt;80,0+30*($AG316/100),IF($O$5&gt;70,0+50*($AG316/100),IF($O$5&gt;60,5+50*($AG316/100),IF($O$5&gt;50,10+60*($AG316/100),IF($O$5&gt;40,15+70*($AG316/100),IF($O$5&gt;30,20+70*($AG316/100),IF($O$5&gt;20,40+55*($AG316/100),(80+(20-$O$5)+30*($AG316/100))))))))))</f>
        <v>100</v>
      </c>
      <c r="AI316" s="262"/>
      <c r="AJ316" s="262"/>
      <c r="AK316" s="262"/>
      <c r="AL316" s="263"/>
      <c r="AM316" s="264"/>
      <c r="AN316" s="263">
        <v>195</v>
      </c>
      <c r="AO316" s="263"/>
      <c r="AP316" s="265"/>
      <c r="AQ316" s="266">
        <v>4653</v>
      </c>
      <c r="AR316" s="267">
        <v>24981</v>
      </c>
      <c r="AS316" s="263"/>
      <c r="AT316" s="263"/>
      <c r="AU316" s="263"/>
      <c r="AV316" s="264"/>
      <c r="AW316" s="263"/>
      <c r="AX316" s="263"/>
      <c r="AY316" s="263"/>
      <c r="AZ316" s="263"/>
      <c r="BA316" s="263"/>
      <c r="BB316" s="263"/>
      <c r="BC316" s="263"/>
      <c r="BD316" s="264"/>
      <c r="BE316" s="263"/>
      <c r="BF316" s="263"/>
      <c r="BG316" s="263"/>
      <c r="BH316" s="263">
        <v>11</v>
      </c>
      <c r="BI316" s="263"/>
      <c r="BJ316" s="404">
        <f>altaz(J2000_Bas,$O316,$M316,DecLat,DecLong,2)</f>
        <v>336.49661879659288</v>
      </c>
      <c r="BK316" s="378" t="s">
        <v>411</v>
      </c>
      <c r="BL316" s="379">
        <f>IF((2*G316)/60&lt;0.2,0.2,(2*G316)/60)</f>
        <v>0.2</v>
      </c>
      <c r="BM316" s="380">
        <f>MOD((50000+AD316-$B$3+(0/24)),1)</f>
        <v>0.57898444585589459</v>
      </c>
      <c r="BN316" s="382" t="s">
        <v>9214</v>
      </c>
      <c r="BO316" s="382">
        <v>316</v>
      </c>
    </row>
    <row r="317" spans="1:67" s="24" customFormat="1" ht="15" customHeight="1" x14ac:dyDescent="0.25">
      <c r="A317" s="288" t="s">
        <v>412</v>
      </c>
      <c r="B317" s="241" t="str">
        <f>HYPERLINK(CONCATENATE($AT$3,BK317,$AU$3),$AV$3)</f>
        <v>S</v>
      </c>
      <c r="C317" s="242" t="str">
        <f>HYPERLINK(CONCATENATE($AT$4,BK317,$AU$4,BL317),$AV$4)</f>
        <v>A</v>
      </c>
      <c r="D317" s="243" t="s">
        <v>5638</v>
      </c>
      <c r="E317" s="244" t="s">
        <v>5337</v>
      </c>
      <c r="F317" s="269" t="s">
        <v>3319</v>
      </c>
      <c r="G317" s="270">
        <v>0.35</v>
      </c>
      <c r="H317" s="283">
        <v>1000</v>
      </c>
      <c r="I317" s="246">
        <v>100</v>
      </c>
      <c r="J317" s="246">
        <v>2</v>
      </c>
      <c r="K317" s="247" t="s">
        <v>4314</v>
      </c>
      <c r="L317" s="248">
        <v>131437</v>
      </c>
      <c r="M317" s="249">
        <f>15*(LEFT(TEXT($L317,"000000"),2)+(MID(TEXT($L317,"000000"),3,2)/60)+(RIGHT(TEXT($L317,"000000"),2)/3600))</f>
        <v>198.65416666666667</v>
      </c>
      <c r="N317" s="250">
        <v>260700</v>
      </c>
      <c r="O317" s="251">
        <f>IF($N317&gt;0,(LEFT(TEXT($N317,"000000"),2)+(MID(TEXT($N317,"000000"),3,2)/60)+(RIGHT(TEXT($N317,"000000"),2)/3600)),-(MID(TEXT($N317,"000000"),2,2)+(MID(TEXT($N317,"000000"),4,2)/60)+(RIGHT(TEXT($N317,"000000"),2)/3600)))</f>
        <v>26.116666666666667</v>
      </c>
      <c r="P317" s="252" t="s">
        <v>190</v>
      </c>
      <c r="Q317" s="253"/>
      <c r="R317" s="247" t="s">
        <v>3293</v>
      </c>
      <c r="S317" s="272" t="s">
        <v>4186</v>
      </c>
      <c r="T317" s="273">
        <v>16</v>
      </c>
      <c r="U317" s="274"/>
      <c r="V317" s="280"/>
      <c r="W317" s="244"/>
      <c r="X317" s="244"/>
      <c r="Y317" s="362"/>
      <c r="Z317" s="257">
        <f>altaz(J2000_Bas,$O317,$M317,DecLat,DecLong,1)</f>
        <v>15.208075382572634</v>
      </c>
      <c r="AA317" s="257">
        <f>altaz((J2000_Bas+(2*0.04167)),$O317,$M317,DecLat,DecLong,1)</f>
        <v>-7.3463184774231225</v>
      </c>
      <c r="AB317" s="257">
        <f>altaz((J2000_Bas+(4*0.04167)),$O317,$M317,DecLat,DecLong,1)</f>
        <v>-24.993978893241938</v>
      </c>
      <c r="AC317" s="257">
        <f>altaz((J2000_Bas+(6*0.04167)),$O317,$M317,DecLat,DecLong,1)</f>
        <v>-32.83736429238003</v>
      </c>
      <c r="AD317" s="258">
        <f>1+ transit((J2000_Bas-1),$O317,$M317,DecLat,DecLong)/360 + (GMTOffset/24) + (IF(DST="Y", 1, 0)/24)</f>
        <v>1.5447170350776249</v>
      </c>
      <c r="AE317" s="259">
        <f>DATE(2001,9,21)+(M317/360)*365 - (360*((DecLong/360)- (GMTOffset/24) ))</f>
        <v>37361.413252314815</v>
      </c>
      <c r="AF317" s="260">
        <f>IF(DecLat&gt;0,IF((90 - (DecLat-O317))&gt;90, (90 - (O317-DecLat)), (90 - (DecLat-O317))),IF((90 + (DecLat-O317))&gt;90, (90 + (O317-DecLat)), (90 + (DecLat-O317))))</f>
        <v>85.116666666666674</v>
      </c>
      <c r="AG317" s="257">
        <f>angularseperation(MoonRA,MoonDec,$M317,$O317)</f>
        <v>72.113294932795981</v>
      </c>
      <c r="AH317" s="261">
        <f ca="1">MIN(100,IF($O$5&gt;80,0+30*($AG317/100),IF($O$5&gt;70,0+50*($AG317/100),IF($O$5&gt;60,5+50*($AG317/100),IF($O$5&gt;50,10+60*($AG317/100),IF($O$5&gt;40,15+70*($AG317/100),IF($O$5&gt;30,20+70*($AG317/100),IF($O$5&gt;20,40+55*($AG317/100),(80+(20-$O$5)+30*($AG317/100))))))))))</f>
        <v>100</v>
      </c>
      <c r="AI317" s="262"/>
      <c r="AJ317" s="262"/>
      <c r="AK317" s="262"/>
      <c r="AL317" s="263"/>
      <c r="AM317" s="264"/>
      <c r="AN317" s="263">
        <v>196</v>
      </c>
      <c r="AO317" s="263"/>
      <c r="AP317" s="265"/>
      <c r="AQ317" s="266"/>
      <c r="AR317" s="267">
        <v>46036</v>
      </c>
      <c r="AS317" s="263"/>
      <c r="AT317" s="263"/>
      <c r="AU317" s="263"/>
      <c r="AV317" s="264"/>
      <c r="AW317" s="263"/>
      <c r="AX317" s="263"/>
      <c r="AY317" s="263"/>
      <c r="AZ317" s="263"/>
      <c r="BA317" s="263"/>
      <c r="BB317" s="263"/>
      <c r="BC317" s="263"/>
      <c r="BD317" s="264"/>
      <c r="BE317" s="263"/>
      <c r="BF317" s="263"/>
      <c r="BG317" s="263"/>
      <c r="BH317" s="263"/>
      <c r="BI317" s="263"/>
      <c r="BJ317" s="404">
        <f>altaz(J2000_Bas,$O317,$M317,DecLat,DecLong,2)</f>
        <v>291.64464014747438</v>
      </c>
      <c r="BK317" s="378" t="s">
        <v>412</v>
      </c>
      <c r="BL317" s="379">
        <f>IF((2*G317)/60&lt;0.2,0.2,(2*G317)/60)</f>
        <v>0.2</v>
      </c>
      <c r="BM317" s="380">
        <f>MOD((50000+AD317-$B$3+(0/24)),1)</f>
        <v>0.76008396477845963</v>
      </c>
      <c r="BN317" s="381" t="s">
        <v>9088</v>
      </c>
      <c r="BO317" s="382">
        <v>317</v>
      </c>
    </row>
    <row r="318" spans="1:67" s="24" customFormat="1" ht="15" customHeight="1" x14ac:dyDescent="0.25">
      <c r="A318" s="288" t="s">
        <v>413</v>
      </c>
      <c r="B318" s="241" t="str">
        <f>HYPERLINK(CONCATENATE($AT$3,BK318,$AU$3),$AV$3)</f>
        <v>S</v>
      </c>
      <c r="C318" s="242" t="str">
        <f>HYPERLINK(CONCATENATE($AT$4,BK318,$AU$4,BL318),$AV$4)</f>
        <v>A</v>
      </c>
      <c r="D318" s="243" t="s">
        <v>5638</v>
      </c>
      <c r="E318" s="244" t="s">
        <v>3259</v>
      </c>
      <c r="F318" s="269"/>
      <c r="G318" s="270">
        <v>0.7</v>
      </c>
      <c r="H318" s="283">
        <v>280</v>
      </c>
      <c r="I318" s="246">
        <v>60</v>
      </c>
      <c r="J318" s="246">
        <v>2</v>
      </c>
      <c r="K318" s="247" t="s">
        <v>4269</v>
      </c>
      <c r="L318" s="248">
        <v>113100</v>
      </c>
      <c r="M318" s="249">
        <f>15*(LEFT(TEXT($L318,"000000"),2)+(MID(TEXT($L318,"000000"),3,2)/60)+(RIGHT(TEXT($L318,"000000"),2)/3600))</f>
        <v>172.75</v>
      </c>
      <c r="N318" s="250">
        <v>202800</v>
      </c>
      <c r="O318" s="251">
        <f>IF($N318&gt;0,(LEFT(TEXT($N318,"000000"),2)+(MID(TEXT($N318,"000000"),3,2)/60)+(RIGHT(TEXT($N318,"000000"),2)/3600)),-(MID(TEXT($N318,"000000"),2,2)+(MID(TEXT($N318,"000000"),4,2)/60)+(RIGHT(TEXT($N318,"000000"),2)/3600)))</f>
        <v>20.466666666666665</v>
      </c>
      <c r="P318" s="252" t="s">
        <v>183</v>
      </c>
      <c r="Q318" s="253"/>
      <c r="R318" s="247" t="s">
        <v>3721</v>
      </c>
      <c r="S318" s="272" t="s">
        <v>3293</v>
      </c>
      <c r="T318" s="273">
        <v>14.7</v>
      </c>
      <c r="U318" s="289">
        <v>22.79</v>
      </c>
      <c r="V318" s="280">
        <v>45</v>
      </c>
      <c r="W318" s="244"/>
      <c r="X318" s="244"/>
      <c r="Y318" s="362"/>
      <c r="Z318" s="257">
        <f>altaz(J2000_Bas,$O318,$M318,DecLat,DecLong,1)</f>
        <v>-7.8712264704570059</v>
      </c>
      <c r="AA318" s="257">
        <f>altaz((J2000_Bas+(2*0.04167)),$O318,$M318,DecLat,DecLong,1)</f>
        <v>-27.651677148705097</v>
      </c>
      <c r="AB318" s="257">
        <f>altaz((J2000_Bas+(4*0.04167)),$O318,$M318,DecLat,DecLong,1)</f>
        <v>-38.147109456873373</v>
      </c>
      <c r="AC318" s="257">
        <f>altaz((J2000_Bas+(6*0.04167)),$O318,$M318,DecLat,DecLong,1)</f>
        <v>-33.802313934767007</v>
      </c>
      <c r="AD318" s="258">
        <f>1+ transit((J2000_Bas-1),$O318,$M318,DecLat,DecLong)/360 + (GMTOffset/24) + (IF(DST="Y", 1, 0)/24)</f>
        <v>1.472761023754708</v>
      </c>
      <c r="AE318" s="259">
        <f>DATE(2001,9,21)+(M318/360)*365 - (360*((DecLong/360)- (GMTOffset/24) ))</f>
        <v>37335.149305555555</v>
      </c>
      <c r="AF318" s="260">
        <f>IF(DecLat&gt;0,IF((90 - (DecLat-O318))&gt;90, (90 - (O318-DecLat)), (90 - (DecLat-O318))),IF((90 + (DecLat-O318))&gt;90, (90 + (O318-DecLat)), (90 + (DecLat-O318))))</f>
        <v>79.466666666666669</v>
      </c>
      <c r="AG318" s="257">
        <f>angularseperation(MoonRA,MoonDec,$M318,$O318)</f>
        <v>87.957576179228298</v>
      </c>
      <c r="AH318" s="261">
        <f ca="1">MIN(100,IF($O$5&gt;80,0+30*($AG318/100),IF($O$5&gt;70,0+50*($AG318/100),IF($O$5&gt;60,5+50*($AG318/100),IF($O$5&gt;50,10+60*($AG318/100),IF($O$5&gt;40,15+70*($AG318/100),IF($O$5&gt;30,20+70*($AG318/100),IF($O$5&gt;20,40+55*($AG318/100),(80+(20-$O$5)+30*($AG318/100))))))))))</f>
        <v>100</v>
      </c>
      <c r="AI318" s="262"/>
      <c r="AJ318" s="262">
        <v>701</v>
      </c>
      <c r="AK318" s="262"/>
      <c r="AL318" s="263"/>
      <c r="AM318" s="264"/>
      <c r="AN318" s="263">
        <v>197</v>
      </c>
      <c r="AO318" s="263"/>
      <c r="AP318" s="265"/>
      <c r="AQ318" s="266">
        <v>6503</v>
      </c>
      <c r="AR318" s="267">
        <v>35494</v>
      </c>
      <c r="AS318" s="263"/>
      <c r="AT318" s="263"/>
      <c r="AU318" s="263"/>
      <c r="AV318" s="264"/>
      <c r="AW318" s="263"/>
      <c r="AX318" s="263"/>
      <c r="AY318" s="263"/>
      <c r="AZ318" s="263"/>
      <c r="BA318" s="263"/>
      <c r="BB318" s="263"/>
      <c r="BC318" s="263"/>
      <c r="BD318" s="264"/>
      <c r="BE318" s="263"/>
      <c r="BF318" s="263"/>
      <c r="BG318" s="263"/>
      <c r="BH318" s="263"/>
      <c r="BI318" s="263"/>
      <c r="BJ318" s="404">
        <f>altaz(J2000_Bas,$O318,$M318,DecLat,DecLong,2)</f>
        <v>299.66160611085462</v>
      </c>
      <c r="BK318" s="378" t="s">
        <v>413</v>
      </c>
      <c r="BL318" s="379">
        <f>IF((2*G318)/60&lt;0.2,0.2,(2*G318)/60)</f>
        <v>0.2</v>
      </c>
      <c r="BM318" s="380">
        <f>MOD((50000+AD318-$B$3+(0/24)),1)</f>
        <v>0.68812795345729683</v>
      </c>
      <c r="BN318" s="381"/>
      <c r="BO318" s="382">
        <v>318</v>
      </c>
    </row>
    <row r="319" spans="1:67" s="24" customFormat="1" ht="15" customHeight="1" x14ac:dyDescent="0.25">
      <c r="A319" s="288" t="s">
        <v>414</v>
      </c>
      <c r="B319" s="241" t="str">
        <f>HYPERLINK(CONCATENATE($AT$3,BK319,$AU$3),$AV$3)</f>
        <v>S</v>
      </c>
      <c r="C319" s="242" t="str">
        <f>HYPERLINK(CONCATENATE($AT$4,BK319,$AU$4,BL319),$AV$4)</f>
        <v>A</v>
      </c>
      <c r="D319" s="243" t="s">
        <v>5638</v>
      </c>
      <c r="E319" s="244" t="s">
        <v>5178</v>
      </c>
      <c r="F319" s="269"/>
      <c r="G319" s="273">
        <v>1</v>
      </c>
      <c r="H319" s="283">
        <v>420</v>
      </c>
      <c r="I319" s="246">
        <v>120</v>
      </c>
      <c r="J319" s="246">
        <v>2</v>
      </c>
      <c r="K319" s="247" t="s">
        <v>4270</v>
      </c>
      <c r="L319" s="248">
        <v>105945</v>
      </c>
      <c r="M319" s="249">
        <f>15*(LEFT(TEXT($L319,"000000"),2)+(MID(TEXT($L319,"000000"),3,2)/60)+(RIGHT(TEXT($L319,"000000"),2)/3600))</f>
        <v>164.93749999999997</v>
      </c>
      <c r="N319" s="250">
        <v>173800</v>
      </c>
      <c r="O319" s="251">
        <f>IF($N319&gt;0,(LEFT(TEXT($N319,"000000"),2)+(MID(TEXT($N319,"000000"),3,2)/60)+(RIGHT(TEXT($N319,"000000"),2)/3600)),-(MID(TEXT($N319,"000000"),2,2)+(MID(TEXT($N319,"000000"),4,2)/60)+(RIGHT(TEXT($N319,"000000"),2)/3600)))</f>
        <v>17.633333333333333</v>
      </c>
      <c r="P319" s="252" t="s">
        <v>183</v>
      </c>
      <c r="Q319" s="253"/>
      <c r="R319" s="247" t="s">
        <v>3293</v>
      </c>
      <c r="S319" s="272" t="s">
        <v>3293</v>
      </c>
      <c r="T319" s="273">
        <v>15</v>
      </c>
      <c r="U319" s="274"/>
      <c r="V319" s="280"/>
      <c r="W319" s="244"/>
      <c r="X319" s="244"/>
      <c r="Y319" s="362"/>
      <c r="Z319" s="257">
        <f>altaz(J2000_Bas,$O319,$M319,DecLat,DecLong,1)</f>
        <v>-15.3972014563457</v>
      </c>
      <c r="AA319" s="257">
        <f>altaz((J2000_Bas+(2*0.04167)),$O319,$M319,DecLat,DecLong,1)</f>
        <v>-34.020202612584136</v>
      </c>
      <c r="AB319" s="257">
        <f>altaz((J2000_Bas+(4*0.04167)),$O319,$M319,DecLat,DecLong,1)</f>
        <v>-41.352199594082073</v>
      </c>
      <c r="AC319" s="257">
        <f>altaz((J2000_Bas+(6*0.04167)),$O319,$M319,DecLat,DecLong,1)</f>
        <v>-32.809312182211968</v>
      </c>
      <c r="AD319" s="258">
        <f>1+ transit((J2000_Bas-1),$O319,$M319,DecLat,DecLong)/360 + (GMTOffset/24) + (IF(DST="Y", 1, 0)/24)</f>
        <v>1.4510596370359579</v>
      </c>
      <c r="AE319" s="259">
        <f>DATE(2001,9,21)+(M319/360)*365 - (360*((DecLong/360)- (GMTOffset/24) ))</f>
        <v>37327.228298611109</v>
      </c>
      <c r="AF319" s="260">
        <f>IF(DecLat&gt;0,IF((90 - (DecLat-O319))&gt;90, (90 - (O319-DecLat)), (90 - (DecLat-O319))),IF((90 + (DecLat-O319))&gt;90, (90 + (O319-DecLat)), (90 + (DecLat-O319))))</f>
        <v>76.633333333333326</v>
      </c>
      <c r="AG319" s="257">
        <f>angularseperation(MoonRA,MoonDec,$M319,$O319)</f>
        <v>93.078974060923031</v>
      </c>
      <c r="AH319" s="261">
        <f ca="1">MIN(100,IF($O$5&gt;80,0+30*($AG319/100),IF($O$5&gt;70,0+50*($AG319/100),IF($O$5&gt;60,5+50*($AG319/100),IF($O$5&gt;50,10+60*($AG319/100),IF($O$5&gt;40,15+70*($AG319/100),IF($O$5&gt;30,20+70*($AG319/100),IF($O$5&gt;20,40+55*($AG319/100),(80+(20-$O$5)+30*($AG319/100))))))))))</f>
        <v>100</v>
      </c>
      <c r="AI319" s="262"/>
      <c r="AJ319" s="262"/>
      <c r="AK319" s="262"/>
      <c r="AL319" s="263"/>
      <c r="AM319" s="264"/>
      <c r="AN319" s="263">
        <v>198</v>
      </c>
      <c r="AO319" s="263"/>
      <c r="AP319" s="265"/>
      <c r="AQ319" s="266">
        <v>6073</v>
      </c>
      <c r="AR319" s="267">
        <v>33116</v>
      </c>
      <c r="AS319" s="263"/>
      <c r="AT319" s="263"/>
      <c r="AU319" s="263"/>
      <c r="AV319" s="264"/>
      <c r="AW319" s="263"/>
      <c r="AX319" s="263"/>
      <c r="AY319" s="263"/>
      <c r="AZ319" s="263"/>
      <c r="BA319" s="263"/>
      <c r="BB319" s="263"/>
      <c r="BC319" s="263"/>
      <c r="BD319" s="264"/>
      <c r="BE319" s="263"/>
      <c r="BF319" s="263"/>
      <c r="BG319" s="263"/>
      <c r="BH319" s="263">
        <v>20</v>
      </c>
      <c r="BI319" s="263"/>
      <c r="BJ319" s="404">
        <f>altaz(J2000_Bas,$O319,$M319,DecLat,DecLong,2)</f>
        <v>302.14278981632106</v>
      </c>
      <c r="BK319" s="378" t="s">
        <v>414</v>
      </c>
      <c r="BL319" s="379">
        <f>IF((2*G319)/60&lt;0.2,0.2,(2*G319)/60)</f>
        <v>0.2</v>
      </c>
      <c r="BM319" s="380">
        <f>MOD((50000+AD319-$B$3+(0/24)),1)</f>
        <v>0.66642656674230238</v>
      </c>
      <c r="BN319" s="381"/>
      <c r="BO319" s="382">
        <v>319</v>
      </c>
    </row>
    <row r="320" spans="1:67" s="24" customFormat="1" ht="15" customHeight="1" x14ac:dyDescent="0.25">
      <c r="A320" s="288" t="s">
        <v>415</v>
      </c>
      <c r="B320" s="241" t="str">
        <f>HYPERLINK(CONCATENATE($AT$3,BK320,$AU$3),$AV$3)</f>
        <v>S</v>
      </c>
      <c r="C320" s="242" t="str">
        <f>HYPERLINK(CONCATENATE($AT$4,BK320,$AU$4,BL320),$AV$4)</f>
        <v>A</v>
      </c>
      <c r="D320" s="243" t="s">
        <v>5638</v>
      </c>
      <c r="E320" s="244" t="s">
        <v>5337</v>
      </c>
      <c r="F320" s="269" t="s">
        <v>3310</v>
      </c>
      <c r="G320" s="273">
        <v>1.5</v>
      </c>
      <c r="H320" s="283">
        <v>110</v>
      </c>
      <c r="I320" s="246">
        <v>50</v>
      </c>
      <c r="J320" s="246">
        <v>2</v>
      </c>
      <c r="K320" s="247" t="s">
        <v>4266</v>
      </c>
      <c r="L320" s="248">
        <v>141704</v>
      </c>
      <c r="M320" s="249">
        <f>15*(LEFT(TEXT($L320,"000000"),2)+(MID(TEXT($L320,"000000"),3,2)/60)+(RIGHT(TEXT($L320,"000000"),2)/3600))</f>
        <v>214.26666666666668</v>
      </c>
      <c r="N320" s="250">
        <v>363400</v>
      </c>
      <c r="O320" s="251">
        <f>IF($N320&gt;0,(LEFT(TEXT($N320,"000000"),2)+(MID(TEXT($N320,"000000"),3,2)/60)+(RIGHT(TEXT($N320,"000000"),2)/3600)),-(MID(TEXT($N320,"000000"),2,2)+(MID(TEXT($N320,"000000"),4,2)/60)+(RIGHT(TEXT($N320,"000000"),2)/3600)))</f>
        <v>36.56666666666667</v>
      </c>
      <c r="P320" s="252" t="s">
        <v>260</v>
      </c>
      <c r="Q320" s="253"/>
      <c r="R320" s="247" t="s">
        <v>3620</v>
      </c>
      <c r="S320" s="272" t="s">
        <v>3293</v>
      </c>
      <c r="T320" s="273">
        <v>13.4</v>
      </c>
      <c r="U320" s="289">
        <v>21.79</v>
      </c>
      <c r="V320" s="280"/>
      <c r="W320" s="244"/>
      <c r="X320" s="244"/>
      <c r="Y320" s="362"/>
      <c r="Z320" s="257">
        <f>altaz(J2000_Bas,$O320,$M320,DecLat,DecLong,1)</f>
        <v>31.506447592764623</v>
      </c>
      <c r="AA320" s="257">
        <f>altaz((J2000_Bas+(2*0.04167)),$O320,$M320,DecLat,DecLong,1)</f>
        <v>9.544422504510532</v>
      </c>
      <c r="AB320" s="257">
        <f>altaz((J2000_Bas+(4*0.04167)),$O320,$M320,DecLat,DecLong,1)</f>
        <v>-8.7993111222775919</v>
      </c>
      <c r="AC320" s="257">
        <f>altaz((J2000_Bas+(6*0.04167)),$O320,$M320,DecLat,DecLong,1)</f>
        <v>-20.357370154854589</v>
      </c>
      <c r="AD320" s="258">
        <f>1+ transit((J2000_Bas-1),$O320,$M320,DecLat,DecLong)/360 + (GMTOffset/24) + (IF(DST="Y", 1, 0)/24)</f>
        <v>1.5880850862963747</v>
      </c>
      <c r="AE320" s="259">
        <f>DATE(2001,9,21)+(M320/360)*365 - (360*((DecLong/360)- (GMTOffset/24) ))</f>
        <v>37377.242592592593</v>
      </c>
      <c r="AF320" s="260">
        <f>IF(DecLat&gt;0,IF((90 - (DecLat-O320))&gt;90, (90 - (O320-DecLat)), (90 - (DecLat-O320))),IF((90 + (DecLat-O320))&gt;90, (90 + (O320-DecLat)), (90 + (DecLat-O320))))</f>
        <v>84.433333333333337</v>
      </c>
      <c r="AG320" s="257">
        <f>angularseperation(MoonRA,MoonDec,$M320,$O320)</f>
        <v>71.657518730627075</v>
      </c>
      <c r="AH320" s="261">
        <f ca="1">MIN(100,IF($O$5&gt;80,0+30*($AG320/100),IF($O$5&gt;70,0+50*($AG320/100),IF($O$5&gt;60,5+50*($AG320/100),IF($O$5&gt;50,10+60*($AG320/100),IF($O$5&gt;40,15+70*($AG320/100),IF($O$5&gt;30,20+70*($AG320/100),IF($O$5&gt;20,40+55*($AG320/100),(80+(20-$O$5)+30*($AG320/100))))))))))</f>
        <v>100</v>
      </c>
      <c r="AI320" s="262">
        <v>5544</v>
      </c>
      <c r="AJ320" s="262"/>
      <c r="AK320" s="262"/>
      <c r="AL320" s="263"/>
      <c r="AM320" s="264"/>
      <c r="AN320" s="263">
        <v>199</v>
      </c>
      <c r="AO320" s="263"/>
      <c r="AP320" s="265"/>
      <c r="AQ320" s="266">
        <v>9142</v>
      </c>
      <c r="AR320" s="267">
        <v>51018</v>
      </c>
      <c r="AS320" s="263"/>
      <c r="AT320" s="263"/>
      <c r="AU320" s="263"/>
      <c r="AV320" s="264"/>
      <c r="AW320" s="263"/>
      <c r="AX320" s="263"/>
      <c r="AY320" s="263"/>
      <c r="AZ320" s="263"/>
      <c r="BA320" s="263"/>
      <c r="BB320" s="263"/>
      <c r="BC320" s="263"/>
      <c r="BD320" s="264"/>
      <c r="BE320" s="263"/>
      <c r="BF320" s="263"/>
      <c r="BG320" s="263"/>
      <c r="BH320" s="263">
        <v>17</v>
      </c>
      <c r="BI320" s="263"/>
      <c r="BJ320" s="404">
        <f>altaz(J2000_Bas,$O320,$M320,DecLat,DecLong,2)</f>
        <v>296.54539820544704</v>
      </c>
      <c r="BK320" s="378" t="s">
        <v>415</v>
      </c>
      <c r="BL320" s="379">
        <f>IF((2*G320)/60&lt;0.2,0.2,(2*G320)/60)</f>
        <v>0.2</v>
      </c>
      <c r="BM320" s="380">
        <f>MOD((50000+AD320-$B$3+(0/24)),1)</f>
        <v>0.80345201599993743</v>
      </c>
      <c r="BN320" s="381"/>
      <c r="BO320" s="382">
        <v>320</v>
      </c>
    </row>
    <row r="321" spans="1:67" s="24" customFormat="1" ht="15" customHeight="1" x14ac:dyDescent="0.25">
      <c r="A321" s="288" t="s">
        <v>416</v>
      </c>
      <c r="B321" s="241" t="str">
        <f>HYPERLINK(CONCATENATE($AT$3,BK321,$AU$3),$AV$3)</f>
        <v>S</v>
      </c>
      <c r="C321" s="242" t="str">
        <f>HYPERLINK(CONCATENATE($AT$4,BK321,$AU$4,BL321),$AV$4)</f>
        <v>A</v>
      </c>
      <c r="D321" s="243" t="s">
        <v>5638</v>
      </c>
      <c r="E321" s="244" t="s">
        <v>5192</v>
      </c>
      <c r="F321" s="269" t="s">
        <v>8688</v>
      </c>
      <c r="G321" s="273">
        <v>2.5</v>
      </c>
      <c r="H321" s="283">
        <v>115</v>
      </c>
      <c r="I321" s="246">
        <v>80</v>
      </c>
      <c r="J321" s="246">
        <v>2</v>
      </c>
      <c r="K321" s="247" t="s">
        <v>4271</v>
      </c>
      <c r="L321" s="248">
        <v>25341</v>
      </c>
      <c r="M321" s="249">
        <f>15*(LEFT(TEXT($L321,"000000"),2)+(MID(TEXT($L321,"000000"),3,2)/60)+(RIGHT(TEXT($L321,"000000"),2)/3600))</f>
        <v>43.420833333333334</v>
      </c>
      <c r="N321" s="250">
        <v>130000</v>
      </c>
      <c r="O321" s="251">
        <f>IF($N321&gt;0,(LEFT(TEXT($N321,"000000"),2)+(MID(TEXT($N321,"000000"),3,2)/60)+(RIGHT(TEXT($N321,"000000"),2)/3600)),-(MID(TEXT($N321,"000000"),2,2)+(MID(TEXT($N321,"000000"),4,2)/60)+(RIGHT(TEXT($N321,"000000"),2)/3600)))</f>
        <v>13</v>
      </c>
      <c r="P321" s="252" t="s">
        <v>249</v>
      </c>
      <c r="Q321" s="253"/>
      <c r="R321" s="247" t="s">
        <v>3479</v>
      </c>
      <c r="S321" s="272" t="s">
        <v>3293</v>
      </c>
      <c r="T321" s="273">
        <v>12.2</v>
      </c>
      <c r="U321" s="289">
        <v>21.79</v>
      </c>
      <c r="V321" s="280">
        <v>70</v>
      </c>
      <c r="W321" s="244"/>
      <c r="X321" s="244"/>
      <c r="Y321" s="362"/>
      <c r="Z321" s="257">
        <f>altaz(J2000_Bas,$O321,$M321,DecLat,DecLong,1)</f>
        <v>-15.589021059916158</v>
      </c>
      <c r="AA321" s="257">
        <f>altaz((J2000_Bas+(2*0.04167)),$O321,$M321,DecLat,DecLong,1)</f>
        <v>8.9000599307801522</v>
      </c>
      <c r="AB321" s="257">
        <f>altaz((J2000_Bas+(4*0.04167)),$O321,$M321,DecLat,DecLong,1)</f>
        <v>34.58930214454297</v>
      </c>
      <c r="AC321" s="257">
        <f>altaz((J2000_Bas+(6*0.04167)),$O321,$M321,DecLat,DecLong,1)</f>
        <v>59.197009971429388</v>
      </c>
      <c r="AD321" s="258">
        <f>1+ transit((J2000_Bas-1),$O321,$M321,DecLat,DecLong)/360 + (GMTOffset/24) + (IF(DST="Y", 1, 0)/24)</f>
        <v>1.1135133744942913</v>
      </c>
      <c r="AE321" s="259">
        <f>DATE(2001,9,21)+(M321/360)*365 - (360*((DecLong/360)- (GMTOffset/24) ))</f>
        <v>37204.023900462962</v>
      </c>
      <c r="AF321" s="260">
        <f>IF(DecLat&gt;0,IF((90 - (DecLat-O321))&gt;90, (90 - (O321-DecLat)), (90 - (DecLat-O321))),IF((90 + (DecLat-O321))&gt;90, (90 + (O321-DecLat)), (90 + (DecLat-O321))))</f>
        <v>72</v>
      </c>
      <c r="AG321" s="257">
        <f>angularseperation(MoonRA,MoonDec,$M321,$O321)</f>
        <v>152.04611951631415</v>
      </c>
      <c r="AH321" s="261">
        <f ca="1">MIN(100,IF($O$5&gt;80,0+30*($AG321/100),IF($O$5&gt;70,0+50*($AG321/100),IF($O$5&gt;60,5+50*($AG321/100),IF($O$5&gt;50,10+60*($AG321/100),IF($O$5&gt;40,15+70*($AG321/100),IF($O$5&gt;30,20+70*($AG321/100),IF($O$5&gt;20,40+55*($AG321/100),(80+(20-$O$5)+30*($AG321/100))))))))))</f>
        <v>100</v>
      </c>
      <c r="AI321" s="262">
        <v>1134</v>
      </c>
      <c r="AJ321" s="262"/>
      <c r="AK321" s="262"/>
      <c r="AL321" s="263"/>
      <c r="AM321" s="264"/>
      <c r="AN321" s="263">
        <v>200</v>
      </c>
      <c r="AO321" s="263"/>
      <c r="AP321" s="265"/>
      <c r="AQ321" s="266">
        <v>2365</v>
      </c>
      <c r="AR321" s="267">
        <v>10928</v>
      </c>
      <c r="AS321" s="263"/>
      <c r="AT321" s="263"/>
      <c r="AU321" s="263"/>
      <c r="AV321" s="264"/>
      <c r="AW321" s="263"/>
      <c r="AX321" s="263"/>
      <c r="AY321" s="263"/>
      <c r="AZ321" s="263"/>
      <c r="BA321" s="263"/>
      <c r="BB321" s="263"/>
      <c r="BC321" s="263"/>
      <c r="BD321" s="264"/>
      <c r="BE321" s="263"/>
      <c r="BF321" s="263"/>
      <c r="BG321" s="263"/>
      <c r="BH321" s="263"/>
      <c r="BI321" s="263"/>
      <c r="BJ321" s="404">
        <f>altaz(J2000_Bas,$O321,$M321,DecLat,DecLong,2)</f>
        <v>63.889915259316439</v>
      </c>
      <c r="BK321" s="378" t="s">
        <v>416</v>
      </c>
      <c r="BL321" s="379">
        <f>IF((2*G321)/60&lt;0.2,0.2,(2*G321)/60)</f>
        <v>0.2</v>
      </c>
      <c r="BM321" s="380">
        <f>MOD((50000+AD321-$B$3+(0/24)),1)</f>
        <v>0.32888030420144787</v>
      </c>
      <c r="BN321" s="381"/>
      <c r="BO321" s="382">
        <v>321</v>
      </c>
    </row>
    <row r="322" spans="1:67" s="24" customFormat="1" ht="15" customHeight="1" x14ac:dyDescent="0.25">
      <c r="A322" s="288" t="s">
        <v>417</v>
      </c>
      <c r="B322" s="241" t="str">
        <f>HYPERLINK(CONCATENATE($AT$3,BK322,$AU$3),$AV$3)</f>
        <v>S</v>
      </c>
      <c r="C322" s="242" t="str">
        <f>HYPERLINK(CONCATENATE($AT$4,BK322,$AU$4,BL322),$AV$4)</f>
        <v>A</v>
      </c>
      <c r="D322" s="243" t="s">
        <v>5638</v>
      </c>
      <c r="E322" s="244" t="s">
        <v>5337</v>
      </c>
      <c r="F322" s="269" t="s">
        <v>3310</v>
      </c>
      <c r="G322" s="270">
        <v>0.5</v>
      </c>
      <c r="H322" s="283">
        <v>980</v>
      </c>
      <c r="I322" s="246">
        <v>140</v>
      </c>
      <c r="J322" s="246">
        <v>2</v>
      </c>
      <c r="K322" s="247" t="s">
        <v>4272</v>
      </c>
      <c r="L322" s="248">
        <v>2333</v>
      </c>
      <c r="M322" s="249">
        <f>15*(LEFT(TEXT($L322,"000000"),2)+(MID(TEXT($L322,"000000"),3,2)/60)+(RIGHT(TEXT($L322,"000000"),2)/3600))</f>
        <v>5.8875000000000002</v>
      </c>
      <c r="N322" s="250">
        <v>-3011</v>
      </c>
      <c r="O322" s="251">
        <f>IF($N322&gt;0,(LEFT(TEXT($N322,"000000"),2)+(MID(TEXT($N322,"000000"),3,2)/60)+(RIGHT(TEXT($N322,"000000"),2)/3600)),-(MID(TEXT($N322,"000000"),2,2)+(MID(TEXT($N322,"000000"),4,2)/60)+(RIGHT(TEXT($N322,"000000"),2)/3600)))</f>
        <v>-0.50305555555555559</v>
      </c>
      <c r="P322" s="252" t="s">
        <v>158</v>
      </c>
      <c r="Q322" s="253"/>
      <c r="R322" s="247" t="s">
        <v>3293</v>
      </c>
      <c r="S322" s="272" t="s">
        <v>3293</v>
      </c>
      <c r="T322" s="273">
        <v>16</v>
      </c>
      <c r="U322" s="274"/>
      <c r="V322" s="280"/>
      <c r="W322" s="244"/>
      <c r="X322" s="244"/>
      <c r="Y322" s="362"/>
      <c r="Z322" s="257">
        <f>altaz(J2000_Bas,$O322,$M322,DecLat,DecLong,1)</f>
        <v>8.3959818222111942</v>
      </c>
      <c r="AA322" s="257">
        <f>altaz((J2000_Bas+(2*0.04167)),$O322,$M322,DecLat,DecLong,1)</f>
        <v>33.279118714015631</v>
      </c>
      <c r="AB322" s="257">
        <f>altaz((J2000_Bas+(4*0.04167)),$O322,$M322,DecLat,DecLong,1)</f>
        <v>53.356546452084253</v>
      </c>
      <c r="AC322" s="257">
        <f>altaz((J2000_Bas+(6*0.04167)),$O322,$M322,DecLat,DecLong,1)</f>
        <v>56.994163848647773</v>
      </c>
      <c r="AD322" s="258">
        <f>1+ transit((J2000_Bas-1),$O322,$M322,DecLat,DecLong)/360 + (GMTOffset/24) + (IF(DST="Y", 1, 0)/24)</f>
        <v>1.009254125660958</v>
      </c>
      <c r="AE322" s="259">
        <f>DATE(2001,9,21)+(M322/360)*365 - (360*((DecLong/360)- (GMTOffset/24) ))</f>
        <v>37165.969270833331</v>
      </c>
      <c r="AF322" s="260">
        <f>IF(DecLat&gt;0,IF((90 - (DecLat-O322))&gt;90, (90 - (O322-DecLat)), (90 - (DecLat-O322))),IF((90 + (DecLat-O322))&gt;90, (90 + (O322-DecLat)), (90 + (DecLat-O322))))</f>
        <v>58.496944444444445</v>
      </c>
      <c r="AG322" s="257">
        <f>angularseperation(MoonRA,MoonDec,$M322,$O322)</f>
        <v>113.28330966202034</v>
      </c>
      <c r="AH322" s="261">
        <f ca="1">MIN(100,IF($O$5&gt;80,0+30*($AG322/100),IF($O$5&gt;70,0+50*($AG322/100),IF($O$5&gt;60,5+50*($AG322/100),IF($O$5&gt;50,10+60*($AG322/100),IF($O$5&gt;40,15+70*($AG322/100),IF($O$5&gt;30,20+70*($AG322/100),IF($O$5&gt;20,40+55*($AG322/100),(80+(20-$O$5)+30*($AG322/100))))))))))</f>
        <v>100</v>
      </c>
      <c r="AI322" s="262"/>
      <c r="AJ322" s="262"/>
      <c r="AK322" s="262"/>
      <c r="AL322" s="263"/>
      <c r="AM322" s="264"/>
      <c r="AN322" s="263">
        <v>201</v>
      </c>
      <c r="AO322" s="263"/>
      <c r="AP322" s="265"/>
      <c r="AQ322" s="266">
        <v>224</v>
      </c>
      <c r="AR322" s="267">
        <v>1503</v>
      </c>
      <c r="AS322" s="263"/>
      <c r="AT322" s="263"/>
      <c r="AU322" s="263"/>
      <c r="AV322" s="264"/>
      <c r="AW322" s="263"/>
      <c r="AX322" s="263"/>
      <c r="AY322" s="263"/>
      <c r="AZ322" s="263"/>
      <c r="BA322" s="263"/>
      <c r="BB322" s="263"/>
      <c r="BC322" s="263"/>
      <c r="BD322" s="264"/>
      <c r="BE322" s="263"/>
      <c r="BF322" s="263"/>
      <c r="BG322" s="263"/>
      <c r="BH322" s="263"/>
      <c r="BI322" s="263"/>
      <c r="BJ322" s="404">
        <f>altaz(J2000_Bas,$O322,$M322,DecLat,DecLong,2)</f>
        <v>95.683786595259434</v>
      </c>
      <c r="BK322" s="378" t="s">
        <v>417</v>
      </c>
      <c r="BL322" s="379">
        <f>IF((2*G322)/60&lt;0.2,0.2,(2*G322)/60)</f>
        <v>0.2</v>
      </c>
      <c r="BM322" s="380">
        <f>MOD((50000+AD322-$B$3+(0/24)),1)</f>
        <v>0.22462105536396848</v>
      </c>
      <c r="BN322" s="381"/>
      <c r="BO322" s="382">
        <v>322</v>
      </c>
    </row>
    <row r="323" spans="1:67" s="24" customFormat="1" ht="15" customHeight="1" x14ac:dyDescent="0.25">
      <c r="A323" s="288" t="s">
        <v>418</v>
      </c>
      <c r="B323" s="241" t="str">
        <f>HYPERLINK(CONCATENATE($AT$3,BK323,$AU$3),$AV$3)</f>
        <v>S</v>
      </c>
      <c r="C323" s="242" t="str">
        <f>HYPERLINK(CONCATENATE($AT$4,BK323,$AU$4,BL323),$AV$4)</f>
        <v>A</v>
      </c>
      <c r="D323" s="243" t="s">
        <v>5638</v>
      </c>
      <c r="E323" s="244" t="s">
        <v>5337</v>
      </c>
      <c r="F323" s="269" t="s">
        <v>3310</v>
      </c>
      <c r="G323" s="273">
        <v>1.3</v>
      </c>
      <c r="H323" s="283">
        <v>165</v>
      </c>
      <c r="I323" s="246">
        <v>70</v>
      </c>
      <c r="J323" s="246">
        <v>2</v>
      </c>
      <c r="K323" s="247" t="s">
        <v>4273</v>
      </c>
      <c r="L323" s="248">
        <v>90015</v>
      </c>
      <c r="M323" s="249">
        <f>15*(LEFT(TEXT($L323,"000000"),2)+(MID(TEXT($L323,"000000"),3,2)/60)+(RIGHT(TEXT($L323,"000000"),2)/3600))</f>
        <v>135.0625</v>
      </c>
      <c r="N323" s="250">
        <v>354300</v>
      </c>
      <c r="O323" s="251">
        <f>IF($N323&gt;0,(LEFT(TEXT($N323,"000000"),2)+(MID(TEXT($N323,"000000"),3,2)/60)+(RIGHT(TEXT($N323,"000000"),2)/3600)),-(MID(TEXT($N323,"000000"),2,2)+(MID(TEXT($N323,"000000"),4,2)/60)+(RIGHT(TEXT($N323,"000000"),2)/3600)))</f>
        <v>35.716666666666669</v>
      </c>
      <c r="P323" s="252" t="s">
        <v>82</v>
      </c>
      <c r="Q323" s="253"/>
      <c r="R323" s="247" t="s">
        <v>3519</v>
      </c>
      <c r="S323" s="272" t="s">
        <v>3293</v>
      </c>
      <c r="T323" s="273">
        <v>14</v>
      </c>
      <c r="U323" s="289">
        <v>20.79</v>
      </c>
      <c r="V323" s="280"/>
      <c r="W323" s="244"/>
      <c r="X323" s="244"/>
      <c r="Y323" s="362"/>
      <c r="Z323" s="257">
        <f>altaz(J2000_Bas,$O323,$M323,DecLat,DecLong,1)</f>
        <v>-17.918719750591706</v>
      </c>
      <c r="AA323" s="257">
        <f>altaz((J2000_Bas+(2*0.04167)),$O323,$M323,DecLat,DecLong,1)</f>
        <v>-23.276391718596326</v>
      </c>
      <c r="AB323" s="257">
        <f>altaz((J2000_Bas+(4*0.04167)),$O323,$M323,DecLat,DecLong,1)</f>
        <v>-17.168940775489951</v>
      </c>
      <c r="AC323" s="257">
        <f>altaz((J2000_Bas+(6*0.04167)),$O323,$M323,DecLat,DecLong,1)</f>
        <v>-1.9870343301619378</v>
      </c>
      <c r="AD323" s="258">
        <f>1+ transit((J2000_Bas-1),$O323,$M323,DecLat,DecLong)/360 + (GMTOffset/24) + (IF(DST="Y", 1, 0)/24)</f>
        <v>1.368073534223458</v>
      </c>
      <c r="AE323" s="259">
        <f>DATE(2001,9,21)+(M323/360)*365 - (360*((DecLong/360)- (GMTOffset/24) ))</f>
        <v>37296.938368055555</v>
      </c>
      <c r="AF323" s="260">
        <f>IF(DecLat&gt;0,IF((90 - (DecLat-O323))&gt;90, (90 - (O323-DecLat)), (90 - (DecLat-O323))),IF((90 + (DecLat-O323))&gt;90, (90 + (O323-DecLat)), (90 + (DecLat-O323))))</f>
        <v>85.283333333333331</v>
      </c>
      <c r="AG323" s="257">
        <f>angularseperation(MoonRA,MoonDec,$M323,$O323)</f>
        <v>124.18592713698651</v>
      </c>
      <c r="AH323" s="261">
        <f ca="1">MIN(100,IF($O$5&gt;80,0+30*($AG323/100),IF($O$5&gt;70,0+50*($AG323/100),IF($O$5&gt;60,5+50*($AG323/100),IF($O$5&gt;50,10+60*($AG323/100),IF($O$5&gt;40,15+70*($AG323/100),IF($O$5&gt;30,20+70*($AG323/100),IF($O$5&gt;20,40+55*($AG323/100),(80+(20-$O$5)+30*($AG323/100))))))))))</f>
        <v>100</v>
      </c>
      <c r="AI323" s="262">
        <v>2719</v>
      </c>
      <c r="AJ323" s="262"/>
      <c r="AK323" s="262"/>
      <c r="AL323" s="263"/>
      <c r="AM323" s="264"/>
      <c r="AN323" s="263">
        <v>202</v>
      </c>
      <c r="AO323" s="263"/>
      <c r="AP323" s="265"/>
      <c r="AQ323" s="266">
        <v>4718</v>
      </c>
      <c r="AR323" s="267">
        <v>25281</v>
      </c>
      <c r="AS323" s="263"/>
      <c r="AT323" s="263"/>
      <c r="AU323" s="263"/>
      <c r="AV323" s="264"/>
      <c r="AW323" s="263"/>
      <c r="AX323" s="263"/>
      <c r="AY323" s="263"/>
      <c r="AZ323" s="263"/>
      <c r="BA323" s="263"/>
      <c r="BB323" s="263"/>
      <c r="BC323" s="263"/>
      <c r="BD323" s="264"/>
      <c r="BE323" s="263"/>
      <c r="BF323" s="263"/>
      <c r="BG323" s="263"/>
      <c r="BH323" s="263"/>
      <c r="BI323" s="263"/>
      <c r="BJ323" s="404">
        <f>altaz(J2000_Bas,$O323,$M323,DecLat,DecLong,2)</f>
        <v>335.51407238479055</v>
      </c>
      <c r="BK323" s="378" t="s">
        <v>418</v>
      </c>
      <c r="BL323" s="379">
        <f>IF((2*G323)/60&lt;0.2,0.2,(2*G323)/60)</f>
        <v>0.2</v>
      </c>
      <c r="BM323" s="380">
        <f>MOD((50000+AD323-$B$3+(0/24)),1)</f>
        <v>0.58344046392448945</v>
      </c>
      <c r="BN323" s="381"/>
      <c r="BO323" s="382">
        <v>323</v>
      </c>
    </row>
    <row r="324" spans="1:67" s="24" customFormat="1" ht="15" customHeight="1" x14ac:dyDescent="0.25">
      <c r="A324" s="288" t="s">
        <v>419</v>
      </c>
      <c r="B324" s="241" t="str">
        <f>HYPERLINK(CONCATENATE($AT$3,BK324,$AU$3),$AV$3)</f>
        <v>S</v>
      </c>
      <c r="C324" s="242" t="str">
        <f>HYPERLINK(CONCATENATE($AT$4,BK324,$AU$4,BL324),$AV$4)</f>
        <v>A</v>
      </c>
      <c r="D324" s="243" t="s">
        <v>5638</v>
      </c>
      <c r="E324" s="244" t="s">
        <v>5192</v>
      </c>
      <c r="F324" s="269" t="s">
        <v>8716</v>
      </c>
      <c r="G324" s="273">
        <v>1.1000000000000001</v>
      </c>
      <c r="H324" s="283">
        <v>70</v>
      </c>
      <c r="I324" s="246">
        <v>25</v>
      </c>
      <c r="J324" s="246">
        <v>2</v>
      </c>
      <c r="K324" s="247" t="s">
        <v>4274</v>
      </c>
      <c r="L324" s="248">
        <v>113109</v>
      </c>
      <c r="M324" s="249">
        <f>15*(LEFT(TEXT($L324,"000000"),2)+(MID(TEXT($L324,"000000"),3,2)/60)+(RIGHT(TEXT($L324,"000000"),2)/3600))</f>
        <v>172.78749999999999</v>
      </c>
      <c r="N324" s="250">
        <v>283400</v>
      </c>
      <c r="O324" s="251">
        <f>IF($N324&gt;0,(LEFT(TEXT($N324,"000000"),2)+(MID(TEXT($N324,"000000"),3,2)/60)+(RIGHT(TEXT($N324,"000000"),2)/3600)),-(MID(TEXT($N324,"000000"),2,2)+(MID(TEXT($N324,"000000"),4,2)/60)+(RIGHT(TEXT($N324,"000000"),2)/3600)))</f>
        <v>28.566666666666666</v>
      </c>
      <c r="P324" s="252" t="s">
        <v>37</v>
      </c>
      <c r="Q324" s="253"/>
      <c r="R324" s="247" t="s">
        <v>3561</v>
      </c>
      <c r="S324" s="272" t="s">
        <v>3293</v>
      </c>
      <c r="T324" s="273">
        <v>13.3</v>
      </c>
      <c r="U324" s="289">
        <v>22.09</v>
      </c>
      <c r="V324" s="280">
        <v>85</v>
      </c>
      <c r="W324" s="244"/>
      <c r="X324" s="244"/>
      <c r="Y324" s="362"/>
      <c r="Z324" s="257">
        <f>altaz(J2000_Bas,$O324,$M324,DecLat,DecLong,1)</f>
        <v>-2.8927966316315388</v>
      </c>
      <c r="AA324" s="257">
        <f>altaz((J2000_Bas+(2*0.04167)),$O324,$M324,DecLat,DecLong,1)</f>
        <v>-20.934854989559163</v>
      </c>
      <c r="AB324" s="257">
        <f>altaz((J2000_Bas+(4*0.04167)),$O324,$M324,DecLat,DecLong,1)</f>
        <v>-30.100779517769833</v>
      </c>
      <c r="AC324" s="257">
        <f>altaz((J2000_Bas+(6*0.04167)),$O324,$M324,DecLat,DecLong,1)</f>
        <v>-26.376033587441754</v>
      </c>
      <c r="AD324" s="258">
        <f>1+ transit((J2000_Bas-1),$O324,$M324,DecLat,DecLong)/360 + (GMTOffset/24) + (IF(DST="Y", 1, 0)/24)</f>
        <v>1.472865190410958</v>
      </c>
      <c r="AE324" s="259">
        <f>DATE(2001,9,21)+(M324/360)*365 - (360*((DecLong/360)- (GMTOffset/24) ))</f>
        <v>37335.187326388892</v>
      </c>
      <c r="AF324" s="260">
        <f>IF(DecLat&gt;0,IF((90 - (DecLat-O324))&gt;90, (90 - (O324-DecLat)), (90 - (DecLat-O324))),IF((90 + (DecLat-O324))&gt;90, (90 + (O324-DecLat)), (90 + (DecLat-O324))))</f>
        <v>87.566666666666663</v>
      </c>
      <c r="AG324" s="257">
        <f>angularseperation(MoonRA,MoonDec,$M324,$O324)</f>
        <v>91.98094273409653</v>
      </c>
      <c r="AH324" s="261">
        <f ca="1">MIN(100,IF($O$5&gt;80,0+30*($AG324/100),IF($O$5&gt;70,0+50*($AG324/100),IF($O$5&gt;60,5+50*($AG324/100),IF($O$5&gt;50,10+60*($AG324/100),IF($O$5&gt;40,15+70*($AG324/100),IF($O$5&gt;30,20+70*($AG324/100),IF($O$5&gt;20,40+55*($AG324/100),(80+(20-$O$5)+30*($AG324/100))))))))))</f>
        <v>100</v>
      </c>
      <c r="AI324" s="262">
        <v>3712</v>
      </c>
      <c r="AJ324" s="262"/>
      <c r="AK324" s="262"/>
      <c r="AL324" s="263"/>
      <c r="AM324" s="264"/>
      <c r="AN324" s="263">
        <v>203</v>
      </c>
      <c r="AO324" s="263"/>
      <c r="AP324" s="265"/>
      <c r="AQ324" s="266"/>
      <c r="AR324" s="267">
        <v>35556</v>
      </c>
      <c r="AS324" s="263"/>
      <c r="AT324" s="263"/>
      <c r="AU324" s="263"/>
      <c r="AV324" s="264"/>
      <c r="AW324" s="263"/>
      <c r="AX324" s="263"/>
      <c r="AY324" s="263"/>
      <c r="AZ324" s="263"/>
      <c r="BA324" s="263"/>
      <c r="BB324" s="263"/>
      <c r="BC324" s="263"/>
      <c r="BD324" s="264"/>
      <c r="BE324" s="263"/>
      <c r="BF324" s="263"/>
      <c r="BG324" s="263"/>
      <c r="BH324" s="263"/>
      <c r="BI324" s="263"/>
      <c r="BJ324" s="404">
        <f>altaz(J2000_Bas,$O324,$M324,DecLat,DecLong,2)</f>
        <v>306.081557222068</v>
      </c>
      <c r="BK324" s="378" t="s">
        <v>419</v>
      </c>
      <c r="BL324" s="379">
        <f>IF((2*G324)/60&lt;0.2,0.2,(2*G324)/60)</f>
        <v>0.2</v>
      </c>
      <c r="BM324" s="380">
        <f>MOD((50000+AD324-$B$3+(0/24)),1)</f>
        <v>0.68823212011193391</v>
      </c>
      <c r="BN324" s="381"/>
      <c r="BO324" s="382">
        <v>324</v>
      </c>
    </row>
    <row r="325" spans="1:67" s="24" customFormat="1" ht="15" customHeight="1" x14ac:dyDescent="0.25">
      <c r="A325" s="288" t="s">
        <v>420</v>
      </c>
      <c r="B325" s="241" t="str">
        <f>HYPERLINK(CONCATENATE($AT$3,BK325,$AU$3),$AV$3)</f>
        <v>S</v>
      </c>
      <c r="C325" s="242" t="str">
        <f>HYPERLINK(CONCATENATE($AT$4,BK325,$AU$4,BL325),$AV$4)</f>
        <v>A</v>
      </c>
      <c r="D325" s="243" t="s">
        <v>5638</v>
      </c>
      <c r="E325" s="244" t="s">
        <v>28</v>
      </c>
      <c r="F325" s="269"/>
      <c r="G325" s="270">
        <v>0.7</v>
      </c>
      <c r="H325" s="283">
        <v>300</v>
      </c>
      <c r="I325" s="246">
        <v>60</v>
      </c>
      <c r="J325" s="246">
        <v>2</v>
      </c>
      <c r="K325" s="247" t="s">
        <v>4996</v>
      </c>
      <c r="L325" s="248">
        <v>132249</v>
      </c>
      <c r="M325" s="249">
        <f>15*(LEFT(TEXT($L325,"000000"),2)+(MID(TEXT($L325,"000000"),3,2)/60)+(RIGHT(TEXT($L325,"000000"),2)/3600))</f>
        <v>200.70416666666665</v>
      </c>
      <c r="N325" s="250">
        <v>843000</v>
      </c>
      <c r="O325" s="251">
        <f>IF($N325&gt;0,(LEFT(TEXT($N325,"000000"),2)+(MID(TEXT($N325,"000000"),3,2)/60)+(RIGHT(TEXT($N325,"000000"),2)/3600)),-(MID(TEXT($N325,"000000"),2,2)+(MID(TEXT($N325,"000000"),4,2)/60)+(RIGHT(TEXT($N325,"000000"),2)/3600)))</f>
        <v>84.5</v>
      </c>
      <c r="P325" s="252" t="s">
        <v>226</v>
      </c>
      <c r="Q325" s="253"/>
      <c r="R325" s="247" t="s">
        <v>3293</v>
      </c>
      <c r="S325" s="272" t="s">
        <v>3293</v>
      </c>
      <c r="T325" s="273">
        <v>15.6</v>
      </c>
      <c r="U325" s="274"/>
      <c r="V325" s="280"/>
      <c r="W325" s="244"/>
      <c r="X325" s="244"/>
      <c r="Y325" s="362"/>
      <c r="Z325" s="257">
        <f>altaz(J2000_Bas,$O325,$M325,DecLat,DecLong,1)</f>
        <v>31.292071587084184</v>
      </c>
      <c r="AA325" s="257">
        <f>altaz((J2000_Bas+(2*0.04167)),$O325,$M325,DecLat,DecLong,1)</f>
        <v>28.518952309689556</v>
      </c>
      <c r="AB325" s="257">
        <f>altaz((J2000_Bas+(4*0.04167)),$O325,$M325,DecLat,DecLong,1)</f>
        <v>26.422476681252135</v>
      </c>
      <c r="AC325" s="257">
        <f>altaz((J2000_Bas+(6*0.04167)),$O325,$M325,DecLat,DecLong,1)</f>
        <v>25.515707949436766</v>
      </c>
      <c r="AD325" s="258">
        <f>1+ transit((J2000_Bas-1),$O325,$M325,DecLat,DecLong)/360 + (GMTOffset/24) + (IF(DST="Y", 1, 0)/24)</f>
        <v>1.5504114789526247</v>
      </c>
      <c r="AE325" s="259">
        <f>DATE(2001,9,21)+(M325/360)*365 - (360*((DecLong/360)- (GMTOffset/24) ))</f>
        <v>37363.491724537038</v>
      </c>
      <c r="AF325" s="260">
        <f>IF(DecLat&gt;0,IF((90 - (DecLat-O325))&gt;90, (90 - (O325-DecLat)), (90 - (DecLat-O325))),IF((90 + (DecLat-O325))&gt;90, (90 + (O325-DecLat)), (90 + (DecLat-O325))))</f>
        <v>36.5</v>
      </c>
      <c r="AG325" s="257">
        <f>angularseperation(MoonRA,MoonDec,$M325,$O325)</f>
        <v>113.37197361333881</v>
      </c>
      <c r="AH325" s="261">
        <f ca="1">MIN(100,IF($O$5&gt;80,0+30*($AG325/100),IF($O$5&gt;70,0+50*($AG325/100),IF($O$5&gt;60,5+50*($AG325/100),IF($O$5&gt;50,10+60*($AG325/100),IF($O$5&gt;40,15+70*($AG325/100),IF($O$5&gt;30,20+70*($AG325/100),IF($O$5&gt;20,40+55*($AG325/100),(80+(20-$O$5)+30*($AG325/100))))))))))</f>
        <v>100</v>
      </c>
      <c r="AI325" s="262"/>
      <c r="AJ325" s="262"/>
      <c r="AK325" s="262"/>
      <c r="AL325" s="263"/>
      <c r="AM325" s="264"/>
      <c r="AN325" s="263">
        <v>204</v>
      </c>
      <c r="AO325" s="263"/>
      <c r="AP325" s="265"/>
      <c r="AQ325" s="266"/>
      <c r="AR325" s="267"/>
      <c r="AS325" s="263"/>
      <c r="AT325" s="263"/>
      <c r="AU325" s="263"/>
      <c r="AV325" s="264"/>
      <c r="AW325" s="263"/>
      <c r="AX325" s="263"/>
      <c r="AY325" s="263"/>
      <c r="AZ325" s="263"/>
      <c r="BA325" s="263"/>
      <c r="BB325" s="263"/>
      <c r="BC325" s="263"/>
      <c r="BD325" s="264"/>
      <c r="BE325" s="263"/>
      <c r="BF325" s="263"/>
      <c r="BG325" s="263"/>
      <c r="BH325" s="263"/>
      <c r="BI325" s="263"/>
      <c r="BJ325" s="404">
        <f>altaz(J2000_Bas,$O325,$M325,DecLat,DecLong,2)</f>
        <v>353.58180822130225</v>
      </c>
      <c r="BK325" s="378" t="s">
        <v>420</v>
      </c>
      <c r="BL325" s="379">
        <f>IF((2*G325)/60&lt;0.2,0.2,(2*G325)/60)</f>
        <v>0.2</v>
      </c>
      <c r="BM325" s="380">
        <f>MOD((50000+AD325-$B$3+(0/24)),1)</f>
        <v>0.76577840865502367</v>
      </c>
      <c r="BN325" s="381"/>
      <c r="BO325" s="382">
        <v>325</v>
      </c>
    </row>
    <row r="326" spans="1:67" s="24" customFormat="1" ht="15" customHeight="1" x14ac:dyDescent="0.25">
      <c r="A326" s="288" t="s">
        <v>421</v>
      </c>
      <c r="B326" s="241" t="str">
        <f>HYPERLINK(CONCATENATE($AT$3,BK326,$AU$3),$AV$3)</f>
        <v>S</v>
      </c>
      <c r="C326" s="242" t="str">
        <f>HYPERLINK(CONCATENATE($AT$4,BK326,$AU$4,BL326),$AV$4)</f>
        <v>A</v>
      </c>
      <c r="D326" s="243" t="s">
        <v>5638</v>
      </c>
      <c r="E326" s="244" t="s">
        <v>5182</v>
      </c>
      <c r="F326" s="269" t="s">
        <v>3300</v>
      </c>
      <c r="G326" s="273">
        <v>2</v>
      </c>
      <c r="H326" s="283">
        <v>80</v>
      </c>
      <c r="I326" s="246">
        <v>50</v>
      </c>
      <c r="J326" s="246">
        <v>2</v>
      </c>
      <c r="K326" s="247" t="s">
        <v>4275</v>
      </c>
      <c r="L326" s="248">
        <v>105412</v>
      </c>
      <c r="M326" s="249">
        <f>15*(LEFT(TEXT($L326,"000000"),2)+(MID(TEXT($L326,"000000"),3,2)/60)+(RIGHT(TEXT($L326,"000000"),2)/3600))</f>
        <v>163.55000000000001</v>
      </c>
      <c r="N326" s="250">
        <v>541800</v>
      </c>
      <c r="O326" s="251">
        <f>IF($N326&gt;0,(LEFT(TEXT($N326,"000000"),2)+(MID(TEXT($N326,"000000"),3,2)/60)+(RIGHT(TEXT($N326,"000000"),2)/3600)),-(MID(TEXT($N326,"000000"),2,2)+(MID(TEXT($N326,"000000"),4,2)/60)+(RIGHT(TEXT($N326,"000000"),2)/3600)))</f>
        <v>54.3</v>
      </c>
      <c r="P326" s="252" t="s">
        <v>37</v>
      </c>
      <c r="Q326" s="253"/>
      <c r="R326" s="247" t="s">
        <v>3550</v>
      </c>
      <c r="S326" s="272" t="s">
        <v>3293</v>
      </c>
      <c r="T326" s="273">
        <v>11.6</v>
      </c>
      <c r="U326" s="289">
        <v>22.79</v>
      </c>
      <c r="V326" s="280"/>
      <c r="W326" s="244"/>
      <c r="X326" s="244"/>
      <c r="Y326" s="362"/>
      <c r="Z326" s="257">
        <f>altaz(J2000_Bas,$O326,$M326,DecLat,DecLong,1)</f>
        <v>8.6182120457099369</v>
      </c>
      <c r="AA326" s="257">
        <f>altaz((J2000_Bas+(2*0.04167)),$O326,$M326,DecLat,DecLong,1)</f>
        <v>-1.4653231482202844</v>
      </c>
      <c r="AB326" s="257">
        <f>altaz((J2000_Bas+(4*0.04167)),$O326,$M326,DecLat,DecLong,1)</f>
        <v>-4.6699023188478046</v>
      </c>
      <c r="AC326" s="257">
        <f>altaz((J2000_Bas+(6*0.04167)),$O326,$M326,DecLat,DecLong,1)</f>
        <v>-0.15091035848279849</v>
      </c>
      <c r="AD326" s="258">
        <f>1+ transit((J2000_Bas-1),$O326,$M326,DecLat,DecLong)/360 + (GMTOffset/24) + (IF(DST="Y", 1, 0)/24)</f>
        <v>1.4472054707547082</v>
      </c>
      <c r="AE326" s="259">
        <f>DATE(2001,9,21)+(M326/360)*365 - (360*((DecLong/360)- (GMTOffset/24) ))</f>
        <v>37325.821527777778</v>
      </c>
      <c r="AF326" s="260">
        <f>IF(DecLat&gt;0,IF((90 - (DecLat-O326))&gt;90, (90 - (O326-DecLat)), (90 - (DecLat-O326))),IF((90 + (DecLat-O326))&gt;90, (90 + (O326-DecLat)), (90 + (DecLat-O326))))</f>
        <v>66.7</v>
      </c>
      <c r="AG326" s="257">
        <f>angularseperation(MoonRA,MoonDec,$M326,$O326)</f>
        <v>109.31196596000648</v>
      </c>
      <c r="AH326" s="261">
        <f ca="1">MIN(100,IF($O$5&gt;80,0+30*($AG326/100),IF($O$5&gt;70,0+50*($AG326/100),IF($O$5&gt;60,5+50*($AG326/100),IF($O$5&gt;50,10+60*($AG326/100),IF($O$5&gt;40,15+70*($AG326/100),IF($O$5&gt;30,20+70*($AG326/100),IF($O$5&gt;20,40+55*($AG326/100),(80+(20-$O$5)+30*($AG326/100))))))))))</f>
        <v>100</v>
      </c>
      <c r="AI326" s="262">
        <v>3448</v>
      </c>
      <c r="AJ326" s="262"/>
      <c r="AK326" s="262"/>
      <c r="AL326" s="263"/>
      <c r="AM326" s="264"/>
      <c r="AN326" s="263">
        <v>205</v>
      </c>
      <c r="AO326" s="263"/>
      <c r="AP326" s="265"/>
      <c r="AQ326" s="266">
        <v>6024</v>
      </c>
      <c r="AR326" s="267">
        <v>32774</v>
      </c>
      <c r="AS326" s="263"/>
      <c r="AT326" s="263"/>
      <c r="AU326" s="263"/>
      <c r="AV326" s="264"/>
      <c r="AW326" s="263"/>
      <c r="AX326" s="263"/>
      <c r="AY326" s="263"/>
      <c r="AZ326" s="263"/>
      <c r="BA326" s="263"/>
      <c r="BB326" s="263"/>
      <c r="BC326" s="263"/>
      <c r="BD326" s="264"/>
      <c r="BE326" s="263"/>
      <c r="BF326" s="263"/>
      <c r="BG326" s="263"/>
      <c r="BH326" s="263"/>
      <c r="BI326" s="263"/>
      <c r="BJ326" s="404">
        <f>altaz(J2000_Bas,$O326,$M326,DecLat,DecLong,2)</f>
        <v>330.12984174594294</v>
      </c>
      <c r="BK326" s="378" t="s">
        <v>421</v>
      </c>
      <c r="BL326" s="379">
        <f>IF((2*G326)/60&lt;0.2,0.2,(2*G326)/60)</f>
        <v>0.2</v>
      </c>
      <c r="BM326" s="380">
        <f>MOD((50000+AD326-$B$3+(0/24)),1)</f>
        <v>0.66257240045524668</v>
      </c>
      <c r="BN326" s="381"/>
      <c r="BO326" s="382">
        <v>326</v>
      </c>
    </row>
    <row r="327" spans="1:67" s="24" customFormat="1" ht="15" customHeight="1" x14ac:dyDescent="0.25">
      <c r="A327" s="288" t="s">
        <v>422</v>
      </c>
      <c r="B327" s="241" t="str">
        <f>HYPERLINK(CONCATENATE($AT$3,BK327,$AU$3),$AV$3)</f>
        <v>S</v>
      </c>
      <c r="C327" s="242" t="str">
        <f>HYPERLINK(CONCATENATE($AT$4,BK327,$AU$4,BL327),$AV$4)</f>
        <v>A</v>
      </c>
      <c r="D327" s="243" t="s">
        <v>5638</v>
      </c>
      <c r="E327" s="244" t="s">
        <v>5192</v>
      </c>
      <c r="F327" s="269" t="s">
        <v>8906</v>
      </c>
      <c r="G327" s="273">
        <v>6.2</v>
      </c>
      <c r="H327" s="283">
        <v>40</v>
      </c>
      <c r="I327" s="246">
        <v>70</v>
      </c>
      <c r="J327" s="246">
        <v>2</v>
      </c>
      <c r="K327" s="247" t="s">
        <v>4276</v>
      </c>
      <c r="L327" s="248">
        <v>105231</v>
      </c>
      <c r="M327" s="249">
        <f>15*(LEFT(TEXT($L327,"000000"),2)+(MID(TEXT($L327,"000000"),3,2)/60)+(RIGHT(TEXT($L327,"000000"),2)/3600))</f>
        <v>163.12916666666669</v>
      </c>
      <c r="N327" s="250">
        <v>363710</v>
      </c>
      <c r="O327" s="251">
        <f>IF($N327&gt;0,(LEFT(TEXT($N327,"000000"),2)+(MID(TEXT($N327,"000000"),3,2)/60)+(RIGHT(TEXT($N327,"000000"),2)/3600)),-(MID(TEXT($N327,"000000"),2,2)+(MID(TEXT($N327,"000000"),4,2)/60)+(RIGHT(TEXT($N327,"000000"),2)/3600)))</f>
        <v>36.619444444444447</v>
      </c>
      <c r="P327" s="252" t="s">
        <v>239</v>
      </c>
      <c r="Q327" s="253" t="s">
        <v>6881</v>
      </c>
      <c r="R327" s="247" t="s">
        <v>3548</v>
      </c>
      <c r="S327" s="272" t="s">
        <v>3293</v>
      </c>
      <c r="T327" s="273">
        <v>11.3</v>
      </c>
      <c r="U327" s="289">
        <v>22.490000000000002</v>
      </c>
      <c r="V327" s="280">
        <v>86</v>
      </c>
      <c r="W327" s="244"/>
      <c r="X327" s="244"/>
      <c r="Y327" s="362"/>
      <c r="Z327" s="257">
        <f>altaz(J2000_Bas,$O327,$M327,DecLat,DecLong,1)</f>
        <v>-3.7960000900530653</v>
      </c>
      <c r="AA327" s="257">
        <f>altaz((J2000_Bas+(2*0.04167)),$O327,$M327,DecLat,DecLong,1)</f>
        <v>-17.79081493330505</v>
      </c>
      <c r="AB327" s="257">
        <f>altaz((J2000_Bas+(4*0.04167)),$O327,$M327,DecLat,DecLong,1)</f>
        <v>-22.320478286681002</v>
      </c>
      <c r="AC327" s="257">
        <f>altaz((J2000_Bas+(6*0.04167)),$O327,$M327,DecLat,DecLong,1)</f>
        <v>-15.600804584914581</v>
      </c>
      <c r="AD327" s="258">
        <f>1+ transit((J2000_Bas-1),$O327,$M327,DecLat,DecLong)/360 + (GMTOffset/24) + (IF(DST="Y", 1, 0)/24)</f>
        <v>1.4460364893901247</v>
      </c>
      <c r="AE327" s="259">
        <f>DATE(2001,9,21)+(M327/360)*365 - (360*((DecLong/360)- (GMTOffset/24) ))</f>
        <v>37325.394849537035</v>
      </c>
      <c r="AF327" s="260">
        <f>IF(DecLat&gt;0,IF((90 - (DecLat-O327))&gt;90, (90 - (O327-DecLat)), (90 - (DecLat-O327))),IF((90 + (DecLat-O327))&gt;90, (90 + (O327-DecLat)), (90 + (DecLat-O327))))</f>
        <v>84.38055555555556</v>
      </c>
      <c r="AG327" s="257">
        <f>angularseperation(MoonRA,MoonDec,$M327,$O327)</f>
        <v>102.89345471777061</v>
      </c>
      <c r="AH327" s="261">
        <f ca="1">MIN(100,IF($O$5&gt;80,0+30*($AG327/100),IF($O$5&gt;70,0+50*($AG327/100),IF($O$5&gt;60,5+50*($AG327/100),IF($O$5&gt;50,10+60*($AG327/100),IF($O$5&gt;40,15+70*($AG327/100),IF($O$5&gt;30,20+70*($AG327/100),IF($O$5&gt;20,40+55*($AG327/100),(80+(20-$O$5)+30*($AG327/100))))))))))</f>
        <v>100</v>
      </c>
      <c r="AI327" s="262">
        <v>3432</v>
      </c>
      <c r="AJ327" s="262"/>
      <c r="AK327" s="262">
        <v>161</v>
      </c>
      <c r="AL327" s="263"/>
      <c r="AM327" s="264"/>
      <c r="AN327" s="263">
        <v>206</v>
      </c>
      <c r="AO327" s="263"/>
      <c r="AP327" s="265"/>
      <c r="AQ327" s="266">
        <v>5986</v>
      </c>
      <c r="AR327" s="267">
        <v>32643</v>
      </c>
      <c r="AS327" s="263"/>
      <c r="AT327" s="263"/>
      <c r="AU327" s="263"/>
      <c r="AV327" s="264"/>
      <c r="AW327" s="263"/>
      <c r="AX327" s="263"/>
      <c r="AY327" s="263"/>
      <c r="AZ327" s="263"/>
      <c r="BA327" s="263"/>
      <c r="BB327" s="263"/>
      <c r="BC327" s="263"/>
      <c r="BD327" s="264"/>
      <c r="BE327" s="263"/>
      <c r="BF327" s="263">
        <v>45</v>
      </c>
      <c r="BG327" s="263"/>
      <c r="BH327" s="263"/>
      <c r="BI327" s="263"/>
      <c r="BJ327" s="404">
        <f>altaz(J2000_Bas,$O327,$M327,DecLat,DecLong,2)</f>
        <v>317.50113606012246</v>
      </c>
      <c r="BK327" s="378" t="s">
        <v>422</v>
      </c>
      <c r="BL327" s="379">
        <f>IF((2*G327)/60&lt;0.2,0.2,(2*G327)/60)</f>
        <v>0.20666666666666667</v>
      </c>
      <c r="BM327" s="380">
        <f>MOD((50000+AD327-$B$3+(0/24)),1)</f>
        <v>0.6614034190934035</v>
      </c>
      <c r="BN327" s="381"/>
      <c r="BO327" s="382">
        <v>327</v>
      </c>
    </row>
    <row r="328" spans="1:67" s="24" customFormat="1" ht="15" customHeight="1" x14ac:dyDescent="0.25">
      <c r="A328" s="288" t="s">
        <v>423</v>
      </c>
      <c r="B328" s="241" t="str">
        <f>HYPERLINK(CONCATENATE($AT$3,BK328,$AU$3),$AV$3)</f>
        <v>S</v>
      </c>
      <c r="C328" s="242" t="str">
        <f>HYPERLINK(CONCATENATE($AT$4,BK328,$AU$4,BL328),$AV$4)</f>
        <v>A</v>
      </c>
      <c r="D328" s="243" t="s">
        <v>5638</v>
      </c>
      <c r="E328" s="244" t="s">
        <v>5192</v>
      </c>
      <c r="F328" s="269" t="s">
        <v>8668</v>
      </c>
      <c r="G328" s="273">
        <v>1.2</v>
      </c>
      <c r="H328" s="283">
        <v>80</v>
      </c>
      <c r="I328" s="246">
        <v>30</v>
      </c>
      <c r="J328" s="246">
        <v>2</v>
      </c>
      <c r="K328" s="247" t="s">
        <v>4277</v>
      </c>
      <c r="L328" s="248">
        <v>93106</v>
      </c>
      <c r="M328" s="249">
        <f>15*(LEFT(TEXT($L328,"000000"),2)+(MID(TEXT($L328,"000000"),3,2)/60)+(RIGHT(TEXT($L328,"000000"),2)/3600))</f>
        <v>142.77500000000001</v>
      </c>
      <c r="N328" s="250">
        <v>762700</v>
      </c>
      <c r="O328" s="251">
        <f>IF($N328&gt;0,(LEFT(TEXT($N328,"000000"),2)+(MID(TEXT($N328,"000000"),3,2)/60)+(RIGHT(TEXT($N328,"000000"),2)/3600)),-(MID(TEXT($N328,"000000"),2,2)+(MID(TEXT($N328,"000000"),4,2)/60)+(RIGHT(TEXT($N328,"000000"),2)/3600)))</f>
        <v>76.45</v>
      </c>
      <c r="P328" s="252" t="s">
        <v>34</v>
      </c>
      <c r="Q328" s="253"/>
      <c r="R328" s="247" t="s">
        <v>3293</v>
      </c>
      <c r="S328" s="272" t="s">
        <v>3293</v>
      </c>
      <c r="T328" s="273">
        <v>15.4</v>
      </c>
      <c r="U328" s="274"/>
      <c r="V328" s="280">
        <v>85</v>
      </c>
      <c r="W328" s="244"/>
      <c r="X328" s="244"/>
      <c r="Y328" s="362"/>
      <c r="Z328" s="257">
        <f>altaz(J2000_Bas,$O328,$M328,DecLat,DecLong,1)</f>
        <v>19.866781661083856</v>
      </c>
      <c r="AA328" s="257">
        <f>altaz((J2000_Bas+(2*0.04167)),$O328,$M328,DecLat,DecLong,1)</f>
        <v>17.532093761477931</v>
      </c>
      <c r="AB328" s="257">
        <f>altaz((J2000_Bas+(4*0.04167)),$O328,$M328,DecLat,DecLong,1)</f>
        <v>18.444511311815852</v>
      </c>
      <c r="AC328" s="257">
        <f>altaz((J2000_Bas+(6*0.04167)),$O328,$M328,DecLat,DecLong,1)</f>
        <v>22.407534205902166</v>
      </c>
      <c r="AD328" s="258">
        <f>1+ transit((J2000_Bas-1),$O328,$M328,DecLat,DecLong)/360 + (GMTOffset/24) + (IF(DST="Y", 1, 0)/24)</f>
        <v>1.3894971431922081</v>
      </c>
      <c r="AE328" s="259">
        <f>DATE(2001,9,21)+(M328/360)*365 - (360*((DecLong/360)- (GMTOffset/24) ))</f>
        <v>37304.757986111108</v>
      </c>
      <c r="AF328" s="260">
        <f>IF(DecLat&gt;0,IF((90 - (DecLat-O328))&gt;90, (90 - (O328-DecLat)), (90 - (DecLat-O328))),IF((90 + (DecLat-O328))&gt;90, (90 + (O328-DecLat)), (90 + (DecLat-O328))))</f>
        <v>44.55</v>
      </c>
      <c r="AG328" s="257">
        <f>angularseperation(MoonRA,MoonDec,$M328,$O328)</f>
        <v>120.11619618295308</v>
      </c>
      <c r="AH328" s="261">
        <f ca="1">MIN(100,IF($O$5&gt;80,0+30*($AG328/100),IF($O$5&gt;70,0+50*($AG328/100),IF($O$5&gt;60,5+50*($AG328/100),IF($O$5&gt;50,10+60*($AG328/100),IF($O$5&gt;40,15+70*($AG328/100),IF($O$5&gt;30,20+70*($AG328/100),IF($O$5&gt;20,40+55*($AG328/100),(80+(20-$O$5)+30*($AG328/100))))))))))</f>
        <v>100</v>
      </c>
      <c r="AI328" s="262"/>
      <c r="AJ328" s="262"/>
      <c r="AK328" s="262"/>
      <c r="AL328" s="263"/>
      <c r="AM328" s="264"/>
      <c r="AN328" s="263">
        <v>207</v>
      </c>
      <c r="AO328" s="263"/>
      <c r="AP328" s="265"/>
      <c r="AQ328" s="266">
        <v>5050</v>
      </c>
      <c r="AR328" s="267">
        <v>27026</v>
      </c>
      <c r="AS328" s="263"/>
      <c r="AT328" s="263"/>
      <c r="AU328" s="263"/>
      <c r="AV328" s="264"/>
      <c r="AW328" s="263"/>
      <c r="AX328" s="263"/>
      <c r="AY328" s="263"/>
      <c r="AZ328" s="263"/>
      <c r="BA328" s="263"/>
      <c r="BB328" s="263"/>
      <c r="BC328" s="263"/>
      <c r="BD328" s="264"/>
      <c r="BE328" s="263"/>
      <c r="BF328" s="263"/>
      <c r="BG328" s="263"/>
      <c r="BH328" s="263"/>
      <c r="BI328" s="263"/>
      <c r="BJ328" s="404">
        <f>altaz(J2000_Bas,$O328,$M328,DecLat,DecLong,2)</f>
        <v>351.42333499697929</v>
      </c>
      <c r="BK328" s="378" t="s">
        <v>423</v>
      </c>
      <c r="BL328" s="379">
        <f>IF((2*G328)/60&lt;0.2,0.2,(2*G328)/60)</f>
        <v>0.2</v>
      </c>
      <c r="BM328" s="380">
        <f>MOD((50000+AD328-$B$3+(0/24)),1)</f>
        <v>0.60486407289863564</v>
      </c>
      <c r="BN328" s="381"/>
      <c r="BO328" s="382">
        <v>328</v>
      </c>
    </row>
    <row r="329" spans="1:67" s="24" customFormat="1" ht="15" customHeight="1" x14ac:dyDescent="0.25">
      <c r="A329" s="288" t="s">
        <v>424</v>
      </c>
      <c r="B329" s="241" t="str">
        <f>HYPERLINK(CONCATENATE($AT$3,BK329,$AU$3),$AV$3)</f>
        <v>S</v>
      </c>
      <c r="C329" s="242" t="str">
        <f>HYPERLINK(CONCATENATE($AT$4,BK329,$AU$4,BL329),$AV$4)</f>
        <v>A</v>
      </c>
      <c r="D329" s="243" t="s">
        <v>5638</v>
      </c>
      <c r="E329" s="244" t="s">
        <v>5337</v>
      </c>
      <c r="F329" s="269" t="s">
        <v>3310</v>
      </c>
      <c r="G329" s="270">
        <v>0.5</v>
      </c>
      <c r="H329" s="283">
        <v>420</v>
      </c>
      <c r="I329" s="246">
        <v>60</v>
      </c>
      <c r="J329" s="246">
        <v>2</v>
      </c>
      <c r="K329" s="247" t="s">
        <v>8509</v>
      </c>
      <c r="L329" s="248">
        <v>165101</v>
      </c>
      <c r="M329" s="249">
        <f>15*(LEFT(TEXT($L329,"000000"),2)+(MID(TEXT($L329,"000000"),3,2)/60)+(RIGHT(TEXT($L329,"000000"),2)/3600))</f>
        <v>252.75416666666669</v>
      </c>
      <c r="N329" s="250">
        <v>471300</v>
      </c>
      <c r="O329" s="251">
        <f>IF($N329&gt;0,(LEFT(TEXT($N329,"000000"),2)+(MID(TEXT($N329,"000000"),3,2)/60)+(RIGHT(TEXT($N329,"000000"),2)/3600)),-(MID(TEXT($N329,"000000"),2,2)+(MID(TEXT($N329,"000000"),4,2)/60)+(RIGHT(TEXT($N329,"000000"),2)/3600)))</f>
        <v>47.216666666666669</v>
      </c>
      <c r="P329" s="252" t="s">
        <v>111</v>
      </c>
      <c r="Q329" s="253"/>
      <c r="R329" s="247" t="s">
        <v>3293</v>
      </c>
      <c r="S329" s="272" t="s">
        <v>3293</v>
      </c>
      <c r="T329" s="273">
        <v>16</v>
      </c>
      <c r="U329" s="274"/>
      <c r="V329" s="280"/>
      <c r="W329" s="244"/>
      <c r="X329" s="244"/>
      <c r="Y329" s="362"/>
      <c r="Z329" s="257">
        <f>altaz(J2000_Bas,$O329,$M329,DecLat,DecLong,1)</f>
        <v>59.871850189979092</v>
      </c>
      <c r="AA329" s="257">
        <f>altaz((J2000_Bas+(2*0.04167)),$O329,$M329,DecLat,DecLong,1)</f>
        <v>39.739627492160963</v>
      </c>
      <c r="AB329" s="257">
        <f>altaz((J2000_Bas+(4*0.04167)),$O329,$M329,DecLat,DecLong,1)</f>
        <v>20.077672772287428</v>
      </c>
      <c r="AC329" s="257">
        <f>altaz((J2000_Bas+(6*0.04167)),$O329,$M329,DecLat,DecLong,1)</f>
        <v>3.2468897068395255</v>
      </c>
      <c r="AD329" s="258">
        <f>1+ transit((J2000_Bas-1),$O329,$M329,DecLat,DecLong)/360 + (GMTOffset/24) + (IF(DST="Y", 1, 0)/24)</f>
        <v>1.6949947978276247</v>
      </c>
      <c r="AE329" s="259">
        <f>DATE(2001,9,21)+(M329/360)*365 - (360*((DecLong/360)- (GMTOffset/24) ))</f>
        <v>37416.264641203707</v>
      </c>
      <c r="AF329" s="260">
        <f>IF(DecLat&gt;0,IF((90 - (DecLat-O329))&gt;90, (90 - (O329-DecLat)), (90 - (DecLat-O329))),IF((90 + (DecLat-O329))&gt;90, (90 + (O329-DecLat)), (90 + (DecLat-O329))))</f>
        <v>73.783333333333331</v>
      </c>
      <c r="AG329" s="257">
        <f>angularseperation(MoonRA,MoonDec,$M329,$O329)</f>
        <v>74.36835150230678</v>
      </c>
      <c r="AH329" s="261">
        <f ca="1">MIN(100,IF($O$5&gt;80,0+30*($AG329/100),IF($O$5&gt;70,0+50*($AG329/100),IF($O$5&gt;60,5+50*($AG329/100),IF($O$5&gt;50,10+60*($AG329/100),IF($O$5&gt;40,15+70*($AG329/100),IF($O$5&gt;30,20+70*($AG329/100),IF($O$5&gt;20,40+55*($AG329/100),(80+(20-$O$5)+30*($AG329/100))))))))))</f>
        <v>100</v>
      </c>
      <c r="AI329" s="262"/>
      <c r="AJ329" s="262"/>
      <c r="AK329" s="262"/>
      <c r="AL329" s="263"/>
      <c r="AM329" s="264"/>
      <c r="AN329" s="263">
        <v>208</v>
      </c>
      <c r="AO329" s="263"/>
      <c r="AP329" s="265"/>
      <c r="AQ329" s="266"/>
      <c r="AR329" s="267">
        <v>59110</v>
      </c>
      <c r="AS329" s="263"/>
      <c r="AT329" s="263"/>
      <c r="AU329" s="263"/>
      <c r="AV329" s="264"/>
      <c r="AW329" s="263"/>
      <c r="AX329" s="263"/>
      <c r="AY329" s="263"/>
      <c r="AZ329" s="263"/>
      <c r="BA329" s="263"/>
      <c r="BB329" s="263"/>
      <c r="BC329" s="263"/>
      <c r="BD329" s="264"/>
      <c r="BE329" s="263"/>
      <c r="BF329" s="263"/>
      <c r="BG329" s="263"/>
      <c r="BH329" s="263"/>
      <c r="BI329" s="263"/>
      <c r="BJ329" s="404">
        <f>altaz(J2000_Bas,$O329,$M329,DecLat,DecLong,2)</f>
        <v>312.10398812021759</v>
      </c>
      <c r="BK329" s="378" t="s">
        <v>424</v>
      </c>
      <c r="BL329" s="379">
        <f>IF((2*G329)/60&lt;0.2,0.2,(2*G329)/60)</f>
        <v>0.2</v>
      </c>
      <c r="BM329" s="380">
        <f>MOD((50000+AD329-$B$3+(0/24)),1)</f>
        <v>0.91036172753229039</v>
      </c>
      <c r="BN329" s="381"/>
      <c r="BO329" s="382">
        <v>329</v>
      </c>
    </row>
    <row r="330" spans="1:67" s="24" customFormat="1" ht="15" customHeight="1" x14ac:dyDescent="0.25">
      <c r="A330" s="288" t="s">
        <v>425</v>
      </c>
      <c r="B330" s="241" t="str">
        <f>HYPERLINK(CONCATENATE($AT$3,BK330,$AU$3),$AV$3)</f>
        <v>S</v>
      </c>
      <c r="C330" s="242" t="str">
        <f>HYPERLINK(CONCATENATE($AT$4,BK330,$AU$4,BL330),$AV$4)</f>
        <v>A</v>
      </c>
      <c r="D330" s="243" t="s">
        <v>5638</v>
      </c>
      <c r="E330" s="244" t="s">
        <v>5337</v>
      </c>
      <c r="F330" s="269" t="s">
        <v>3316</v>
      </c>
      <c r="G330" s="270">
        <v>0.7</v>
      </c>
      <c r="H330" s="283">
        <v>230</v>
      </c>
      <c r="I330" s="246">
        <v>50</v>
      </c>
      <c r="J330" s="246">
        <v>2</v>
      </c>
      <c r="K330" s="247" t="s">
        <v>8420</v>
      </c>
      <c r="L330" s="248">
        <v>160512</v>
      </c>
      <c r="M330" s="249">
        <f>15*(LEFT(TEXT($L330,"000000"),2)+(MID(TEXT($L330,"000000"),3,2)/60)+(RIGHT(TEXT($L330,"000000"),2)/3600))</f>
        <v>241.29999999999998</v>
      </c>
      <c r="N330" s="250">
        <v>203200</v>
      </c>
      <c r="O330" s="251">
        <f>IF($N330&gt;0,(LEFT(TEXT($N330,"000000"),2)+(MID(TEXT($N330,"000000"),3,2)/60)+(RIGHT(TEXT($N330,"000000"),2)/3600)),-(MID(TEXT($N330,"000000"),2,2)+(MID(TEXT($N330,"000000"),4,2)/60)+(RIGHT(TEXT($N330,"000000"),2)/3600)))</f>
        <v>20.533333333333335</v>
      </c>
      <c r="P330" s="252" t="s">
        <v>111</v>
      </c>
      <c r="Q330" s="253"/>
      <c r="R330" s="247" t="s">
        <v>3637</v>
      </c>
      <c r="S330" s="272" t="s">
        <v>3293</v>
      </c>
      <c r="T330" s="273">
        <v>14.1</v>
      </c>
      <c r="U330" s="289">
        <v>22.29</v>
      </c>
      <c r="V330" s="280"/>
      <c r="W330" s="244"/>
      <c r="X330" s="244"/>
      <c r="Y330" s="362"/>
      <c r="Z330" s="257">
        <f>altaz(J2000_Bas,$O330,$M330,DecLat,DecLong,1)</f>
        <v>48.693627314920619</v>
      </c>
      <c r="AA330" s="257">
        <f>altaz((J2000_Bas+(2*0.04167)),$O330,$M330,DecLat,DecLong,1)</f>
        <v>23.034546985855108</v>
      </c>
      <c r="AB330" s="257">
        <f>altaz((J2000_Bas+(4*0.04167)),$O330,$M330,DecLat,DecLong,1)</f>
        <v>-1.4537109345353321</v>
      </c>
      <c r="AC330" s="257">
        <f>altaz((J2000_Bas+(6*0.04167)),$O330,$M330,DecLat,DecLong,1)</f>
        <v>-22.737976092584283</v>
      </c>
      <c r="AD330" s="258">
        <f>1+ transit((J2000_Bas-1),$O330,$M330,DecLat,DecLong)/360 + (GMTOffset/24) + (IF(DST="Y", 1, 0)/24)</f>
        <v>1.663177671379708</v>
      </c>
      <c r="AE330" s="259">
        <f>DATE(2001,9,21)+(M330/360)*365 - (360*((DecLong/360)- (GMTOffset/24) ))</f>
        <v>37404.651388888888</v>
      </c>
      <c r="AF330" s="260">
        <f>IF(DecLat&gt;0,IF((90 - (DecLat-O330))&gt;90, (90 - (O330-DecLat)), (90 - (DecLat-O330))),IF((90 + (DecLat-O330))&gt;90, (90 + (O330-DecLat)), (90 + (DecLat-O330))))</f>
        <v>79.533333333333331</v>
      </c>
      <c r="AG330" s="257">
        <f>angularseperation(MoonRA,MoonDec,$M330,$O330)</f>
        <v>48.2347097636369</v>
      </c>
      <c r="AH330" s="261">
        <f ca="1">MIN(100,IF($O$5&gt;80,0+30*($AG330/100),IF($O$5&gt;70,0+50*($AG330/100),IF($O$5&gt;60,5+50*($AG330/100),IF($O$5&gt;50,10+60*($AG330/100),IF($O$5&gt;40,15+70*($AG330/100),IF($O$5&gt;30,20+70*($AG330/100),IF($O$5&gt;20,40+55*($AG330/100),(80+(20-$O$5)+30*($AG330/100))))))))))</f>
        <v>97.741473273241496</v>
      </c>
      <c r="AI330" s="262">
        <v>6052</v>
      </c>
      <c r="AJ330" s="262"/>
      <c r="AK330" s="262"/>
      <c r="AL330" s="263"/>
      <c r="AM330" s="264"/>
      <c r="AN330" s="263">
        <v>209</v>
      </c>
      <c r="AO330" s="263"/>
      <c r="AP330" s="265"/>
      <c r="AQ330" s="266"/>
      <c r="AR330" s="267">
        <v>57039</v>
      </c>
      <c r="AS330" s="263"/>
      <c r="AT330" s="263"/>
      <c r="AU330" s="263"/>
      <c r="AV330" s="264"/>
      <c r="AW330" s="263"/>
      <c r="AX330" s="263"/>
      <c r="AY330" s="263"/>
      <c r="AZ330" s="263"/>
      <c r="BA330" s="263"/>
      <c r="BB330" s="263"/>
      <c r="BC330" s="263"/>
      <c r="BD330" s="264"/>
      <c r="BE330" s="263"/>
      <c r="BF330" s="263"/>
      <c r="BG330" s="263"/>
      <c r="BH330" s="263"/>
      <c r="BI330" s="263"/>
      <c r="BJ330" s="404">
        <f>altaz(J2000_Bas,$O330,$M330,DecLat,DecLong,2)</f>
        <v>266.33785348180993</v>
      </c>
      <c r="BK330" s="378" t="s">
        <v>425</v>
      </c>
      <c r="BL330" s="379">
        <f>IF((2*G330)/60&lt;0.2,0.2,(2*G330)/60)</f>
        <v>0.2</v>
      </c>
      <c r="BM330" s="380">
        <f>MOD((50000+AD330-$B$3+(0/24)),1)</f>
        <v>0.87854460108064814</v>
      </c>
      <c r="BN330" s="381" t="s">
        <v>9281</v>
      </c>
      <c r="BO330" s="382">
        <v>330</v>
      </c>
    </row>
    <row r="331" spans="1:67" s="24" customFormat="1" ht="15" customHeight="1" x14ac:dyDescent="0.25">
      <c r="A331" s="288" t="s">
        <v>426</v>
      </c>
      <c r="B331" s="241" t="str">
        <f>HYPERLINK(CONCATENATE($AT$3,BK331,$AU$3),$AV$3)</f>
        <v>S</v>
      </c>
      <c r="C331" s="242" t="str">
        <f>HYPERLINK(CONCATENATE($AT$4,BK331,$AU$4,BL331),$AV$4)</f>
        <v>A</v>
      </c>
      <c r="D331" s="243" t="s">
        <v>5638</v>
      </c>
      <c r="E331" s="244" t="s">
        <v>13</v>
      </c>
      <c r="F331" s="269"/>
      <c r="G331" s="273">
        <v>3.3</v>
      </c>
      <c r="H331" s="283">
        <v>10</v>
      </c>
      <c r="I331" s="244">
        <v>10</v>
      </c>
      <c r="J331" s="246">
        <v>2</v>
      </c>
      <c r="K331" s="247" t="s">
        <v>4278</v>
      </c>
      <c r="L331" s="248">
        <v>43049</v>
      </c>
      <c r="M331" s="249">
        <f>15*(LEFT(TEXT($L331,"000000"),2)+(MID(TEXT($L331,"000000"),3,2)/60)+(RIGHT(TEXT($L331,"000000"),2)/3600))</f>
        <v>67.704166666666666</v>
      </c>
      <c r="N331" s="250">
        <v>645000</v>
      </c>
      <c r="O331" s="251">
        <f>IF($N331&gt;0,(LEFT(TEXT($N331,"000000"),2)+(MID(TEXT($N331,"000000"),3,2)/60)+(RIGHT(TEXT($N331,"000000"),2)/3600)),-(MID(TEXT($N331,"000000"),2,2)+(MID(TEXT($N331,"000000"),4,2)/60)+(RIGHT(TEXT($N331,"000000"),2)/3600)))</f>
        <v>64.833333333333329</v>
      </c>
      <c r="P331" s="252" t="s">
        <v>226</v>
      </c>
      <c r="Q331" s="253"/>
      <c r="R331" s="247" t="s">
        <v>3484</v>
      </c>
      <c r="S331" s="272" t="s">
        <v>3293</v>
      </c>
      <c r="T331" s="273">
        <v>11</v>
      </c>
      <c r="U331" s="289">
        <v>21.79</v>
      </c>
      <c r="V331" s="280">
        <v>75</v>
      </c>
      <c r="W331" s="244"/>
      <c r="X331" s="244"/>
      <c r="Y331" s="362"/>
      <c r="Z331" s="257">
        <f>altaz(J2000_Bas,$O331,$M331,DecLat,DecLong,1)</f>
        <v>10.37446482402906</v>
      </c>
      <c r="AA331" s="257">
        <f>altaz((J2000_Bas+(2*0.04167)),$O331,$M331,DecLat,DecLong,1)</f>
        <v>19.381784318919056</v>
      </c>
      <c r="AB331" s="257">
        <f>altaz((J2000_Bas+(4*0.04167)),$O331,$M331,DecLat,DecLong,1)</f>
        <v>31.32031960265855</v>
      </c>
      <c r="AC331" s="257">
        <f>altaz((J2000_Bas+(6*0.04167)),$O331,$M331,DecLat,DecLong,1)</f>
        <v>43.893629381752135</v>
      </c>
      <c r="AD331" s="258">
        <f>1+ transit((J2000_Bas-1),$O331,$M331,DecLat,DecLong)/360 + (GMTOffset/24) + (IF(DST="Y", 1, 0)/24)</f>
        <v>1.1809670714526248</v>
      </c>
      <c r="AE331" s="259">
        <f>DATE(2001,9,21)+(M331/360)*365 - (360*((DecLong/360)- (GMTOffset/24) ))</f>
        <v>37228.644502314812</v>
      </c>
      <c r="AF331" s="260">
        <f>IF(DecLat&gt;0,IF((90 - (DecLat-O331))&gt;90, (90 - (O331-DecLat)), (90 - (DecLat-O331))),IF((90 + (DecLat-O331))&gt;90, (90 + (O331-DecLat)), (90 + (DecLat-O331))))</f>
        <v>56.166666666666671</v>
      </c>
      <c r="AG331" s="257">
        <f>angularseperation(MoonRA,MoonDec,$M331,$O331)</f>
        <v>142.23800031330788</v>
      </c>
      <c r="AH331" s="261">
        <f ca="1">MIN(100,IF($O$5&gt;80,0+30*($AG331/100),IF($O$5&gt;70,0+50*($AG331/100),IF($O$5&gt;60,5+50*($AG331/100),IF($O$5&gt;50,10+60*($AG331/100),IF($O$5&gt;40,15+70*($AG331/100),IF($O$5&gt;30,20+70*($AG331/100),IF($O$5&gt;20,40+55*($AG331/100),(80+(20-$O$5)+30*($AG331/100))))))))))</f>
        <v>100</v>
      </c>
      <c r="AI331" s="262">
        <v>1569</v>
      </c>
      <c r="AJ331" s="262"/>
      <c r="AK331" s="262"/>
      <c r="AL331" s="263"/>
      <c r="AM331" s="264"/>
      <c r="AN331" s="263">
        <v>210</v>
      </c>
      <c r="AO331" s="263"/>
      <c r="AP331" s="265"/>
      <c r="AQ331" s="266">
        <v>3056</v>
      </c>
      <c r="AR331" s="267">
        <v>15345</v>
      </c>
      <c r="AS331" s="263"/>
      <c r="AT331" s="263"/>
      <c r="AU331" s="263"/>
      <c r="AV331" s="264"/>
      <c r="AW331" s="263"/>
      <c r="AX331" s="263"/>
      <c r="AY331" s="263"/>
      <c r="AZ331" s="263"/>
      <c r="BA331" s="263"/>
      <c r="BB331" s="263"/>
      <c r="BC331" s="263"/>
      <c r="BD331" s="264"/>
      <c r="BE331" s="263"/>
      <c r="BF331" s="263"/>
      <c r="BG331" s="263"/>
      <c r="BH331" s="263"/>
      <c r="BI331" s="263"/>
      <c r="BJ331" s="404">
        <f>altaz(J2000_Bas,$O331,$M331,DecLat,DecLong,2)</f>
        <v>15.541367131215278</v>
      </c>
      <c r="BK331" s="378" t="s">
        <v>426</v>
      </c>
      <c r="BL331" s="379">
        <f>IF((2*G331)/60&lt;0.2,0.2,(2*G331)/60)</f>
        <v>0.2</v>
      </c>
      <c r="BM331" s="380">
        <f>MOD((50000+AD331-$B$3+(0/24)),1)</f>
        <v>0.39633400115417317</v>
      </c>
      <c r="BN331" s="381"/>
      <c r="BO331" s="382">
        <v>331</v>
      </c>
    </row>
    <row r="332" spans="1:67" s="24" customFormat="1" ht="15" customHeight="1" x14ac:dyDescent="0.25">
      <c r="A332" s="288" t="s">
        <v>427</v>
      </c>
      <c r="B332" s="241" t="str">
        <f>HYPERLINK(CONCATENATE($AT$3,BK332,$AU$3),$AV$3)</f>
        <v>S</v>
      </c>
      <c r="C332" s="242" t="str">
        <f>HYPERLINK(CONCATENATE($AT$4,BK332,$AU$4,BL332),$AV$4)</f>
        <v>A</v>
      </c>
      <c r="D332" s="243" t="s">
        <v>5638</v>
      </c>
      <c r="E332" s="244" t="s">
        <v>29</v>
      </c>
      <c r="F332" s="269"/>
      <c r="G332" s="270">
        <v>0.8</v>
      </c>
      <c r="H332" s="283">
        <v>20</v>
      </c>
      <c r="I332" s="279">
        <v>5</v>
      </c>
      <c r="J332" s="246">
        <v>2</v>
      </c>
      <c r="K332" s="247" t="s">
        <v>4279</v>
      </c>
      <c r="L332" s="248">
        <v>123719</v>
      </c>
      <c r="M332" s="249">
        <f>15*(LEFT(TEXT($L332,"000000"),2)+(MID(TEXT($L332,"000000"),3,2)/60)+(RIGHT(TEXT($L332,"000000"),2)/3600))</f>
        <v>189.32916666666668</v>
      </c>
      <c r="N332" s="250">
        <v>384300</v>
      </c>
      <c r="O332" s="251">
        <f>IF($N332&gt;0,(LEFT(TEXT($N332,"000000"),2)+(MID(TEXT($N332,"000000"),3,2)/60)+(RIGHT(TEXT($N332,"000000"),2)/3600)),-(MID(TEXT($N332,"000000"),2,2)+(MID(TEXT($N332,"000000"),4,2)/60)+(RIGHT(TEXT($N332,"000000"),2)/3600)))</f>
        <v>38.716666666666669</v>
      </c>
      <c r="P332" s="252" t="s">
        <v>242</v>
      </c>
      <c r="Q332" s="253"/>
      <c r="R332" s="247" t="s">
        <v>3293</v>
      </c>
      <c r="S332" s="272" t="s">
        <v>3293</v>
      </c>
      <c r="T332" s="273">
        <v>17</v>
      </c>
      <c r="U332" s="274"/>
      <c r="V332" s="280"/>
      <c r="W332" s="244"/>
      <c r="X332" s="244"/>
      <c r="Y332" s="362"/>
      <c r="Z332" s="257">
        <f>altaz(J2000_Bas,$O332,$M332,DecLat,DecLong,1)</f>
        <v>14.147475758456173</v>
      </c>
      <c r="AA332" s="257">
        <f>altaz((J2000_Bas+(2*0.04167)),$O332,$M332,DecLat,DecLong,1)</f>
        <v>-4.4791183992102788</v>
      </c>
      <c r="AB332" s="257">
        <f>altaz((J2000_Bas+(4*0.04167)),$O332,$M332,DecLat,DecLong,1)</f>
        <v>-17.024208330664873</v>
      </c>
      <c r="AC332" s="257">
        <f>altaz((J2000_Bas+(6*0.04167)),$O332,$M332,DecLat,DecLong,1)</f>
        <v>-19.985409348631148</v>
      </c>
      <c r="AD332" s="258">
        <f>1+ transit((J2000_Bas-1),$O332,$M332,DecLat,DecLong)/360 + (GMTOffset/24) + (IF(DST="Y", 1, 0)/24)</f>
        <v>1.5188142598901246</v>
      </c>
      <c r="AE332" s="259">
        <f>DATE(2001,9,21)+(M332/360)*365 - (360*((DecLong/360)- (GMTOffset/24) ))</f>
        <v>37351.958738425928</v>
      </c>
      <c r="AF332" s="260">
        <f>IF(DecLat&gt;0,IF((90 - (DecLat-O332))&gt;90, (90 - (O332-DecLat)), (90 - (DecLat-O332))),IF((90 + (DecLat-O332))&gt;90, (90 + (O332-DecLat)), (90 + (DecLat-O332))))</f>
        <v>82.283333333333331</v>
      </c>
      <c r="AG332" s="257">
        <f>angularseperation(MoonRA,MoonDec,$M332,$O332)</f>
        <v>86.360198926850103</v>
      </c>
      <c r="AH332" s="261">
        <f ca="1">MIN(100,IF($O$5&gt;80,0+30*($AG332/100),IF($O$5&gt;70,0+50*($AG332/100),IF($O$5&gt;60,5+50*($AG332/100),IF($O$5&gt;50,10+60*($AG332/100),IF($O$5&gt;40,15+70*($AG332/100),IF($O$5&gt;30,20+70*($AG332/100),IF($O$5&gt;20,40+55*($AG332/100),(80+(20-$O$5)+30*($AG332/100))))))))))</f>
        <v>100</v>
      </c>
      <c r="AI332" s="262"/>
      <c r="AJ332" s="262"/>
      <c r="AK332" s="262"/>
      <c r="AL332" s="263"/>
      <c r="AM332" s="264"/>
      <c r="AN332" s="263">
        <v>211</v>
      </c>
      <c r="AO332" s="263"/>
      <c r="AP332" s="265"/>
      <c r="AQ332" s="266"/>
      <c r="AR332" s="267">
        <v>42134</v>
      </c>
      <c r="AS332" s="263"/>
      <c r="AT332" s="263"/>
      <c r="AU332" s="263"/>
      <c r="AV332" s="264"/>
      <c r="AW332" s="263"/>
      <c r="AX332" s="263"/>
      <c r="AY332" s="263"/>
      <c r="AZ332" s="263"/>
      <c r="BA332" s="263"/>
      <c r="BB332" s="263"/>
      <c r="BC332" s="263"/>
      <c r="BD332" s="264"/>
      <c r="BE332" s="263"/>
      <c r="BF332" s="263"/>
      <c r="BG332" s="263"/>
      <c r="BH332" s="263"/>
      <c r="BI332" s="263"/>
      <c r="BJ332" s="404">
        <f>altaz(J2000_Bas,$O332,$M332,DecLat,DecLong,2)</f>
        <v>306.94604035384862</v>
      </c>
      <c r="BK332" s="378" t="s">
        <v>427</v>
      </c>
      <c r="BL332" s="379">
        <f>IF((2*G332)/60&lt;0.2,0.2,(2*G332)/60)</f>
        <v>0.2</v>
      </c>
      <c r="BM332" s="380">
        <f>MOD((50000+AD332-$B$3+(0/24)),1)</f>
        <v>0.73418118959671119</v>
      </c>
      <c r="BN332" s="381"/>
      <c r="BO332" s="382">
        <v>332</v>
      </c>
    </row>
    <row r="333" spans="1:67" s="24" customFormat="1" ht="15" customHeight="1" x14ac:dyDescent="0.25">
      <c r="A333" s="288" t="s">
        <v>428</v>
      </c>
      <c r="B333" s="241" t="str">
        <f>HYPERLINK(CONCATENATE($AT$3,BK333,$AU$3),$AV$3)</f>
        <v>S</v>
      </c>
      <c r="C333" s="242" t="str">
        <f>HYPERLINK(CONCATENATE($AT$4,BK333,$AU$4,BL333),$AV$4)</f>
        <v>A</v>
      </c>
      <c r="D333" s="243" t="s">
        <v>5638</v>
      </c>
      <c r="E333" s="244" t="s">
        <v>5337</v>
      </c>
      <c r="F333" s="269" t="s">
        <v>3316</v>
      </c>
      <c r="G333" s="273">
        <v>1.1000000000000001</v>
      </c>
      <c r="H333" s="283">
        <v>75.005189999999999</v>
      </c>
      <c r="I333" s="246">
        <v>25</v>
      </c>
      <c r="J333" s="246">
        <v>2</v>
      </c>
      <c r="K333" s="247" t="s">
        <v>8519</v>
      </c>
      <c r="L333" s="248">
        <v>232030</v>
      </c>
      <c r="M333" s="249">
        <f>15*(LEFT(TEXT($L333,"000000"),2)+(MID(TEXT($L333,"000000"),3,2)/60)+(RIGHT(TEXT($L333,"000000"),2)/3600))</f>
        <v>350.125</v>
      </c>
      <c r="N333" s="250">
        <v>171300</v>
      </c>
      <c r="O333" s="251">
        <f>IF($N333&gt;0,(LEFT(TEXT($N333,"000000"),2)+(MID(TEXT($N333,"000000"),3,2)/60)+(RIGHT(TEXT($N333,"000000"),2)/3600)),-(MID(TEXT($N333,"000000"),2,2)+(MID(TEXT($N333,"000000"),4,2)/60)+(RIGHT(TEXT($N333,"000000"),2)/3600)))</f>
        <v>17.216666666666665</v>
      </c>
      <c r="P333" s="252" t="s">
        <v>39</v>
      </c>
      <c r="Q333" s="253"/>
      <c r="R333" s="247" t="s">
        <v>3698</v>
      </c>
      <c r="S333" s="272" t="s">
        <v>3293</v>
      </c>
      <c r="T333" s="273">
        <v>12.1</v>
      </c>
      <c r="U333" s="289">
        <v>21.69</v>
      </c>
      <c r="V333" s="280"/>
      <c r="W333" s="244"/>
      <c r="X333" s="244"/>
      <c r="Y333" s="362"/>
      <c r="Z333" s="257">
        <f>altaz(J2000_Bas,$O333,$M333,DecLat,DecLong,1)</f>
        <v>30.64997939125471</v>
      </c>
      <c r="AA333" s="257">
        <f>altaz((J2000_Bas+(2*0.04167)),$O333,$M333,DecLat,DecLong,1)</f>
        <v>56.193778455553648</v>
      </c>
      <c r="AB333" s="257">
        <f>altaz((J2000_Bas+(4*0.04167)),$O333,$M333,DecLat,DecLong,1)</f>
        <v>75.755716246180157</v>
      </c>
      <c r="AC333" s="257">
        <f>altaz((J2000_Bas+(6*0.04167)),$O333,$M333,DecLat,DecLong,1)</f>
        <v>62.562761658680806</v>
      </c>
      <c r="AD333" s="258">
        <f>1+ transit((J2000_Bas-1),$O333,$M333,DecLat,DecLong)/360 + (GMTOffset/24) + (IF(DST="Y", 1, 0)/24)</f>
        <v>1.9654693078172081</v>
      </c>
      <c r="AE333" s="259">
        <f>DATE(2001,9,21)+(M333/360)*365 - (360*((DecLong/360)- (GMTOffset/24) ))</f>
        <v>37514.987847222219</v>
      </c>
      <c r="AF333" s="260">
        <f>IF(DecLat&gt;0,IF((90 - (DecLat-O333))&gt;90, (90 - (O333-DecLat)), (90 - (DecLat-O333))),IF((90 + (DecLat-O333))&gt;90, (90 + (O333-DecLat)), (90 + (DecLat-O333))))</f>
        <v>76.216666666666669</v>
      </c>
      <c r="AG333" s="257">
        <f>angularseperation(MoonRA,MoonDec,$M333,$O333)</f>
        <v>107.17735796637361</v>
      </c>
      <c r="AH333" s="261">
        <f ca="1">MIN(100,IF($O$5&gt;80,0+30*($AG333/100),IF($O$5&gt;70,0+50*($AG333/100),IF($O$5&gt;60,5+50*($AG333/100),IF($O$5&gt;50,10+60*($AG333/100),IF($O$5&gt;40,15+70*($AG333/100),IF($O$5&gt;30,20+70*($AG333/100),IF($O$5&gt;20,40+55*($AG333/100),(80+(20-$O$5)+30*($AG333/100))))))))))</f>
        <v>100</v>
      </c>
      <c r="AI333" s="262">
        <v>7625</v>
      </c>
      <c r="AJ333" s="262"/>
      <c r="AK333" s="262"/>
      <c r="AL333" s="263"/>
      <c r="AM333" s="264"/>
      <c r="AN333" s="263">
        <v>212</v>
      </c>
      <c r="AO333" s="263"/>
      <c r="AP333" s="265"/>
      <c r="AQ333" s="266">
        <v>12529</v>
      </c>
      <c r="AR333" s="267">
        <v>71133</v>
      </c>
      <c r="AS333" s="263"/>
      <c r="AT333" s="263"/>
      <c r="AU333" s="263"/>
      <c r="AV333" s="264"/>
      <c r="AW333" s="263"/>
      <c r="AX333" s="263"/>
      <c r="AY333" s="263"/>
      <c r="AZ333" s="263"/>
      <c r="BA333" s="263"/>
      <c r="BB333" s="263"/>
      <c r="BC333" s="263"/>
      <c r="BD333" s="264"/>
      <c r="BE333" s="263"/>
      <c r="BF333" s="263"/>
      <c r="BG333" s="263"/>
      <c r="BH333" s="263">
        <v>85</v>
      </c>
      <c r="BI333" s="263"/>
      <c r="BJ333" s="404">
        <f>altaz(J2000_Bas,$O333,$M333,DecLat,DecLong,2)</f>
        <v>87.402172368199174</v>
      </c>
      <c r="BK333" s="378" t="s">
        <v>428</v>
      </c>
      <c r="BL333" s="379">
        <f>IF((2*G333)/60&lt;0.2,0.2,(2*G333)/60)</f>
        <v>0.2</v>
      </c>
      <c r="BM333" s="380">
        <f>MOD((50000+AD333-$B$3+(0/24)),1)</f>
        <v>0.1808362375231809</v>
      </c>
      <c r="BN333" s="381" t="s">
        <v>9281</v>
      </c>
      <c r="BO333" s="382">
        <v>333</v>
      </c>
    </row>
    <row r="334" spans="1:67" s="24" customFormat="1" ht="15" customHeight="1" x14ac:dyDescent="0.25">
      <c r="A334" s="288" t="s">
        <v>429</v>
      </c>
      <c r="B334" s="241" t="str">
        <f>HYPERLINK(CONCATENATE($AT$3,BK334,$AU$3),$AV$3)</f>
        <v>S</v>
      </c>
      <c r="C334" s="242" t="str">
        <f>HYPERLINK(CONCATENATE($AT$4,BK334,$AU$4,BL334),$AV$4)</f>
        <v>A</v>
      </c>
      <c r="D334" s="243" t="s">
        <v>5638</v>
      </c>
      <c r="E334" s="244" t="s">
        <v>4292</v>
      </c>
      <c r="F334" s="269"/>
      <c r="G334" s="273">
        <v>6</v>
      </c>
      <c r="H334" s="283">
        <v>40</v>
      </c>
      <c r="I334" s="246">
        <v>70</v>
      </c>
      <c r="J334" s="246">
        <v>2</v>
      </c>
      <c r="K334" s="247" t="s">
        <v>4280</v>
      </c>
      <c r="L334" s="248">
        <v>40747</v>
      </c>
      <c r="M334" s="249">
        <f>15*(LEFT(TEXT($L334,"000000"),2)+(MID(TEXT($L334,"000000"),3,2)/60)+(RIGHT(TEXT($L334,"000000"),2)/3600))</f>
        <v>61.945833333333333</v>
      </c>
      <c r="N334" s="250">
        <v>694800</v>
      </c>
      <c r="O334" s="251">
        <f>IF($N334&gt;0,(LEFT(TEXT($N334,"000000"),2)+(MID(TEXT($N334,"000000"),3,2)/60)+(RIGHT(TEXT($N334,"000000"),2)/3600)),-(MID(TEXT($N334,"000000"),2,2)+(MID(TEXT($N334,"000000"),4,2)/60)+(RIGHT(TEXT($N334,"000000"),2)/3600)))</f>
        <v>69.8</v>
      </c>
      <c r="P334" s="252" t="s">
        <v>226</v>
      </c>
      <c r="Q334" s="253"/>
      <c r="R334" s="247" t="s">
        <v>3715</v>
      </c>
      <c r="S334" s="272" t="s">
        <v>3293</v>
      </c>
      <c r="T334" s="273">
        <v>10.6</v>
      </c>
      <c r="U334" s="289">
        <v>22.79</v>
      </c>
      <c r="V334" s="280">
        <v>15</v>
      </c>
      <c r="W334" s="244"/>
      <c r="X334" s="244"/>
      <c r="Y334" s="362"/>
      <c r="Z334" s="257">
        <f>altaz(J2000_Bas,$O334,$M334,DecLat,DecLong,1)</f>
        <v>15.703220500867088</v>
      </c>
      <c r="AA334" s="257">
        <f>altaz((J2000_Bas+(2*0.04167)),$O334,$M334,DecLat,DecLong,1)</f>
        <v>23.733247074730766</v>
      </c>
      <c r="AB334" s="257">
        <f>altaz((J2000_Bas+(4*0.04167)),$O334,$M334,DecLat,DecLong,1)</f>
        <v>33.786162906978909</v>
      </c>
      <c r="AC334" s="257">
        <f>altaz((J2000_Bas+(6*0.04167)),$O334,$M334,DecLat,DecLong,1)</f>
        <v>43.639130939313716</v>
      </c>
      <c r="AD334" s="258">
        <f>1+ transit((J2000_Bas-1),$O334,$M334,DecLat,DecLong)/360 + (GMTOffset/24) + (IF(DST="Y", 1, 0)/24)</f>
        <v>1.1649717026817914</v>
      </c>
      <c r="AE334" s="259">
        <f>DATE(2001,9,21)+(M334/360)*365 - (360*((DecLong/360)- (GMTOffset/24) ))</f>
        <v>37222.806192129632</v>
      </c>
      <c r="AF334" s="260">
        <f>IF(DecLat&gt;0,IF((90 - (DecLat-O334))&gt;90, (90 - (O334-DecLat)), (90 - (DecLat-O334))),IF((90 + (DecLat-O334))&gt;90, (90 + (O334-DecLat)), (90 + (DecLat-O334))))</f>
        <v>51.2</v>
      </c>
      <c r="AG334" s="257">
        <f>angularseperation(MoonRA,MoonDec,$M334,$O334)</f>
        <v>137.074263280297</v>
      </c>
      <c r="AH334" s="261">
        <f ca="1">MIN(100,IF($O$5&gt;80,0+30*($AG334/100),IF($O$5&gt;70,0+50*($AG334/100),IF($O$5&gt;60,5+50*($AG334/100),IF($O$5&gt;50,10+60*($AG334/100),IF($O$5&gt;40,15+70*($AG334/100),IF($O$5&gt;30,20+70*($AG334/100),IF($O$5&gt;20,40+55*($AG334/100),(80+(20-$O$5)+30*($AG334/100))))))))))</f>
        <v>100</v>
      </c>
      <c r="AI334" s="262"/>
      <c r="AJ334" s="262">
        <v>356</v>
      </c>
      <c r="AK334" s="262"/>
      <c r="AL334" s="263"/>
      <c r="AM334" s="264"/>
      <c r="AN334" s="263">
        <v>213</v>
      </c>
      <c r="AO334" s="263"/>
      <c r="AP334" s="265"/>
      <c r="AQ334" s="266">
        <v>2953</v>
      </c>
      <c r="AR334" s="267">
        <v>14508</v>
      </c>
      <c r="AS334" s="263"/>
      <c r="AT334" s="263"/>
      <c r="AU334" s="263"/>
      <c r="AV334" s="264"/>
      <c r="AW334" s="263"/>
      <c r="AX334" s="263"/>
      <c r="AY334" s="263"/>
      <c r="AZ334" s="263"/>
      <c r="BA334" s="263"/>
      <c r="BB334" s="263"/>
      <c r="BC334" s="263"/>
      <c r="BD334" s="264"/>
      <c r="BE334" s="263"/>
      <c r="BF334" s="263"/>
      <c r="BG334" s="263"/>
      <c r="BH334" s="263"/>
      <c r="BI334" s="263"/>
      <c r="BJ334" s="404">
        <f>altaz(J2000_Bas,$O334,$M334,DecLat,DecLong,2)</f>
        <v>14.443168537988846</v>
      </c>
      <c r="BK334" s="378" t="s">
        <v>429</v>
      </c>
      <c r="BL334" s="379">
        <f>IF((2*G334)/60&lt;0.2,0.2,(2*G334)/60)</f>
        <v>0.2</v>
      </c>
      <c r="BM334" s="380">
        <f>MOD((50000+AD334-$B$3+(0/24)),1)</f>
        <v>0.38033863238524646</v>
      </c>
      <c r="BN334" s="381"/>
      <c r="BO334" s="382">
        <v>334</v>
      </c>
    </row>
    <row r="335" spans="1:67" s="24" customFormat="1" ht="15" customHeight="1" x14ac:dyDescent="0.25">
      <c r="A335" s="288" t="s">
        <v>430</v>
      </c>
      <c r="B335" s="241" t="str">
        <f>HYPERLINK(CONCATENATE($AT$3,BK335,$AU$3),$AV$3)</f>
        <v>S</v>
      </c>
      <c r="C335" s="242" t="str">
        <f>HYPERLINK(CONCATENATE($AT$4,BK335,$AU$4,BL335),$AV$4)</f>
        <v>A</v>
      </c>
      <c r="D335" s="243" t="s">
        <v>5638</v>
      </c>
      <c r="E335" s="244" t="s">
        <v>28</v>
      </c>
      <c r="F335" s="269"/>
      <c r="G335" s="273">
        <v>8.6999999999999993</v>
      </c>
      <c r="H335" s="283">
        <v>50</v>
      </c>
      <c r="I335" s="246">
        <v>140</v>
      </c>
      <c r="J335" s="246">
        <v>3</v>
      </c>
      <c r="K335" s="247" t="s">
        <v>4281</v>
      </c>
      <c r="L335" s="248">
        <v>113235</v>
      </c>
      <c r="M335" s="249">
        <f>15*(LEFT(TEXT($L335,"000000"),2)+(MID(TEXT($L335,"000000"),3,2)/60)+(RIGHT(TEXT($L335,"000000"),2)/3600))</f>
        <v>173.14583333333334</v>
      </c>
      <c r="N335" s="250">
        <v>530404</v>
      </c>
      <c r="O335" s="251">
        <f>IF($N335&gt;0,(LEFT(TEXT($N335,"000000"),2)+(MID(TEXT($N335,"000000"),3,2)/60)+(RIGHT(TEXT($N335,"000000"),2)/3600)),-(MID(TEXT($N335,"000000"),2,2)+(MID(TEXT($N335,"000000"),4,2)/60)+(RIGHT(TEXT($N335,"000000"),2)/3600)))</f>
        <v>53.067777777777778</v>
      </c>
      <c r="P335" s="252" t="s">
        <v>37</v>
      </c>
      <c r="Q335" s="253"/>
      <c r="R335" s="247" t="s">
        <v>3283</v>
      </c>
      <c r="S335" s="272" t="s">
        <v>544</v>
      </c>
      <c r="T335" s="273">
        <v>10.7</v>
      </c>
      <c r="U335" s="274"/>
      <c r="V335" s="280"/>
      <c r="W335" s="244"/>
      <c r="X335" s="244"/>
      <c r="Y335" s="362"/>
      <c r="Z335" s="257">
        <f>altaz(J2000_Bas,$O335,$M335,DecLat,DecLong,1)</f>
        <v>12.218195023570113</v>
      </c>
      <c r="AA335" s="257">
        <f>altaz((J2000_Bas+(2*0.04167)),$O335,$M335,DecLat,DecLong,1)</f>
        <v>3.882481589568431E-2</v>
      </c>
      <c r="AB335" s="257">
        <f>altaz((J2000_Bas+(4*0.04167)),$O335,$M335,DecLat,DecLong,1)</f>
        <v>-5.7127485771662219</v>
      </c>
      <c r="AC335" s="257">
        <f>altaz((J2000_Bas+(6*0.04167)),$O335,$M335,DecLat,DecLong,1)</f>
        <v>-3.5557394568498459</v>
      </c>
      <c r="AD335" s="258">
        <f>1+ transit((J2000_Bas-1),$O335,$M335,DecLat,DecLong)/360 + (GMTOffset/24) + (IF(DST="Y", 1, 0)/24)</f>
        <v>1.4738605606817914</v>
      </c>
      <c r="AE335" s="259">
        <f>DATE(2001,9,21)+(M335/360)*365 - (360*((DecLong/360)- (GMTOffset/24) ))</f>
        <v>37335.550636574073</v>
      </c>
      <c r="AF335" s="260">
        <f>IF(DecLat&gt;0,IF((90 - (DecLat-O335))&gt;90, (90 - (O335-DecLat)), (90 - (DecLat-O335))),IF((90 + (DecLat-O335))&gt;90, (90 + (O335-DecLat)), (90 + (DecLat-O335))))</f>
        <v>67.932222222222222</v>
      </c>
      <c r="AG335" s="257">
        <f>angularseperation(MoonRA,MoonDec,$M335,$O335)</f>
        <v>103.61452828647865</v>
      </c>
      <c r="AH335" s="261">
        <f ca="1">MIN(100,IF($O$5&gt;80,0+30*($AG335/100),IF($O$5&gt;70,0+50*($AG335/100),IF($O$5&gt;60,5+50*($AG335/100),IF($O$5&gt;50,10+60*($AG335/100),IF($O$5&gt;40,15+70*($AG335/100),IF($O$5&gt;30,20+70*($AG335/100),IF($O$5&gt;20,40+55*($AG335/100),(80+(20-$O$5)+30*($AG335/100))))))))))</f>
        <v>100</v>
      </c>
      <c r="AI335" s="262">
        <v>3718</v>
      </c>
      <c r="AJ335" s="262"/>
      <c r="AK335" s="262"/>
      <c r="AL335" s="263"/>
      <c r="AM335" s="264"/>
      <c r="AN335" s="263">
        <v>214</v>
      </c>
      <c r="AO335" s="263"/>
      <c r="AP335" s="265"/>
      <c r="AQ335" s="266"/>
      <c r="AR335" s="267"/>
      <c r="AS335" s="263"/>
      <c r="AT335" s="263"/>
      <c r="AU335" s="263"/>
      <c r="AV335" s="264"/>
      <c r="AW335" s="263"/>
      <c r="AX335" s="263"/>
      <c r="AY335" s="263"/>
      <c r="AZ335" s="263"/>
      <c r="BA335" s="263"/>
      <c r="BB335" s="263"/>
      <c r="BC335" s="263"/>
      <c r="BD335" s="264"/>
      <c r="BE335" s="263"/>
      <c r="BF335" s="263"/>
      <c r="BG335" s="263">
        <v>53</v>
      </c>
      <c r="BH335" s="263"/>
      <c r="BI335" s="263"/>
      <c r="BJ335" s="404">
        <f>altaz(J2000_Bas,$O335,$M335,DecLat,DecLong,2)</f>
        <v>325.49201227075451</v>
      </c>
      <c r="BK335" s="378" t="s">
        <v>430</v>
      </c>
      <c r="BL335" s="379">
        <f>IF((2*G335)/60&lt;0.2,0.2,(2*G335)/60)</f>
        <v>0.28999999999999998</v>
      </c>
      <c r="BM335" s="380">
        <f>MOD((50000+AD335-$B$3+(0/24)),1)</f>
        <v>0.68922749038756592</v>
      </c>
      <c r="BN335" s="381"/>
      <c r="BO335" s="382">
        <v>335</v>
      </c>
    </row>
    <row r="336" spans="1:67" s="24" customFormat="1" ht="15" customHeight="1" x14ac:dyDescent="0.25">
      <c r="A336" s="288" t="s">
        <v>431</v>
      </c>
      <c r="B336" s="241" t="str">
        <f>HYPERLINK(CONCATENATE($AT$3,BK336,$AU$3),$AV$3)</f>
        <v>S</v>
      </c>
      <c r="C336" s="242" t="str">
        <f>HYPERLINK(CONCATENATE($AT$4,BK336,$AU$4,BL336),$AV$4)</f>
        <v>A</v>
      </c>
      <c r="D336" s="243" t="s">
        <v>5638</v>
      </c>
      <c r="E336" s="244" t="s">
        <v>5192</v>
      </c>
      <c r="F336" s="269" t="s">
        <v>9153</v>
      </c>
      <c r="G336" s="273">
        <v>3.7</v>
      </c>
      <c r="H336" s="283">
        <v>130</v>
      </c>
      <c r="I336" s="246">
        <v>150</v>
      </c>
      <c r="J336" s="246">
        <v>2</v>
      </c>
      <c r="K336" s="247" t="s">
        <v>8421</v>
      </c>
      <c r="L336" s="248">
        <v>91405</v>
      </c>
      <c r="M336" s="249">
        <f>15*(LEFT(TEXT($L336,"000000"),2)+(MID(TEXT($L336,"000000"),3,2)/60)+(RIGHT(TEXT($L336,"000000"),2)/3600))</f>
        <v>138.52083333333331</v>
      </c>
      <c r="N336" s="250">
        <v>400600</v>
      </c>
      <c r="O336" s="251">
        <f>IF($N336&gt;0,(LEFT(TEXT($N336,"000000"),2)+(MID(TEXT($N336,"000000"),3,2)/60)+(RIGHT(TEXT($N336,"000000"),2)/3600)),-(MID(TEXT($N336,"000000"),2,2)+(MID(TEXT($N336,"000000"),4,2)/60)+(RIGHT(TEXT($N336,"000000"),2)/3600)))</f>
        <v>40.1</v>
      </c>
      <c r="P336" s="252" t="s">
        <v>82</v>
      </c>
      <c r="Q336" s="253"/>
      <c r="R336" s="247" t="s">
        <v>3521</v>
      </c>
      <c r="S336" s="272" t="s">
        <v>3293</v>
      </c>
      <c r="T336" s="273">
        <v>11.6</v>
      </c>
      <c r="U336" s="289">
        <v>22.79</v>
      </c>
      <c r="V336" s="280">
        <v>20</v>
      </c>
      <c r="W336" s="244"/>
      <c r="X336" s="244"/>
      <c r="Y336" s="362"/>
      <c r="Z336" s="257">
        <f>altaz(J2000_Bas,$O336,$M336,DecLat,DecLong,1)</f>
        <v>-12.774977416472959</v>
      </c>
      <c r="AA336" s="257">
        <f>altaz((J2000_Bas+(2*0.04167)),$O336,$M336,DecLat,DecLong,1)</f>
        <v>-18.864189660956942</v>
      </c>
      <c r="AB336" s="257">
        <f>altaz((J2000_Bas+(4*0.04167)),$O336,$M336,DecLat,DecLong,1)</f>
        <v>-14.420417567851223</v>
      </c>
      <c r="AC336" s="257">
        <f>altaz((J2000_Bas+(6*0.04167)),$O336,$M336,DecLat,DecLong,1)</f>
        <v>-1.046596520995082</v>
      </c>
      <c r="AD336" s="258">
        <f>1+ transit((J2000_Bas-1),$O336,$M336,DecLat,DecLong)/360 + (GMTOffset/24) + (IF(DST="Y", 1, 0)/24)</f>
        <v>1.3776800147442911</v>
      </c>
      <c r="AE336" s="259">
        <f>DATE(2001,9,21)+(M336/360)*365 - (360*((DecLong/360)- (GMTOffset/24) ))</f>
        <v>37300.444733796299</v>
      </c>
      <c r="AF336" s="260">
        <f>IF(DecLat&gt;0,IF((90 - (DecLat-O336))&gt;90, (90 - (O336-DecLat)), (90 - (DecLat-O336))),IF((90 + (DecLat-O336))&gt;90, (90 + (O336-DecLat)), (90 + (DecLat-O336))))</f>
        <v>80.900000000000006</v>
      </c>
      <c r="AG336" s="257">
        <f>angularseperation(MoonRA,MoonDec,$M336,$O336)</f>
        <v>122.29189272165128</v>
      </c>
      <c r="AH336" s="261">
        <f ca="1">MIN(100,IF($O$5&gt;80,0+30*($AG336/100),IF($O$5&gt;70,0+50*($AG336/100),IF($O$5&gt;60,5+50*($AG336/100),IF($O$5&gt;50,10+60*($AG336/100),IF($O$5&gt;40,15+70*($AG336/100),IF($O$5&gt;30,20+70*($AG336/100),IF($O$5&gt;20,40+55*($AG336/100),(80+(20-$O$5)+30*($AG336/100))))))))))</f>
        <v>100</v>
      </c>
      <c r="AI336" s="262">
        <v>2782</v>
      </c>
      <c r="AJ336" s="262"/>
      <c r="AK336" s="262">
        <v>125</v>
      </c>
      <c r="AL336" s="263"/>
      <c r="AM336" s="264"/>
      <c r="AN336" s="263">
        <v>215</v>
      </c>
      <c r="AO336" s="263"/>
      <c r="AP336" s="265"/>
      <c r="AQ336" s="266">
        <v>4862</v>
      </c>
      <c r="AR336" s="267">
        <v>26034</v>
      </c>
      <c r="AS336" s="263"/>
      <c r="AT336" s="263"/>
      <c r="AU336" s="263"/>
      <c r="AV336" s="264"/>
      <c r="AW336" s="263"/>
      <c r="AX336" s="263"/>
      <c r="AY336" s="263"/>
      <c r="AZ336" s="263"/>
      <c r="BA336" s="263"/>
      <c r="BB336" s="263"/>
      <c r="BC336" s="263"/>
      <c r="BD336" s="264"/>
      <c r="BE336" s="263"/>
      <c r="BF336" s="263"/>
      <c r="BG336" s="263"/>
      <c r="BH336" s="263">
        <v>31</v>
      </c>
      <c r="BI336" s="263"/>
      <c r="BJ336" s="404">
        <f>altaz(J2000_Bas,$O336,$M336,DecLat,DecLong,2)</f>
        <v>335.06220394827977</v>
      </c>
      <c r="BK336" s="378" t="s">
        <v>431</v>
      </c>
      <c r="BL336" s="379">
        <f>IF((2*G336)/60&lt;0.2,0.2,(2*G336)/60)</f>
        <v>0.2</v>
      </c>
      <c r="BM336" s="380">
        <f>MOD((50000+AD336-$B$3+(0/24)),1)</f>
        <v>0.59304694445017958</v>
      </c>
      <c r="BN336" s="381"/>
      <c r="BO336" s="382">
        <v>336</v>
      </c>
    </row>
    <row r="337" spans="1:67" s="24" customFormat="1" ht="15" customHeight="1" x14ac:dyDescent="0.25">
      <c r="A337" s="288" t="s">
        <v>432</v>
      </c>
      <c r="B337" s="241" t="str">
        <f>HYPERLINK(CONCATENATE($AT$3,BK337,$AU$3),$AV$3)</f>
        <v>S</v>
      </c>
      <c r="C337" s="242" t="str">
        <f>HYPERLINK(CONCATENATE($AT$4,BK337,$AU$4,BL337),$AV$4)</f>
        <v>A</v>
      </c>
      <c r="D337" s="243" t="s">
        <v>5638</v>
      </c>
      <c r="E337" s="244" t="s">
        <v>5178</v>
      </c>
      <c r="F337" s="269" t="s">
        <v>6500</v>
      </c>
      <c r="G337" s="273">
        <v>1.3</v>
      </c>
      <c r="H337" s="283">
        <v>240</v>
      </c>
      <c r="I337" s="246">
        <v>100</v>
      </c>
      <c r="J337" s="246">
        <v>2</v>
      </c>
      <c r="K337" s="247" t="s">
        <v>4282</v>
      </c>
      <c r="L337" s="248">
        <v>232903</v>
      </c>
      <c r="M337" s="249">
        <f>15*(LEFT(TEXT($L337,"000000"),2)+(MID(TEXT($L337,"000000"),3,2)/60)+(RIGHT(TEXT($L337,"000000"),2)/3600))</f>
        <v>352.26249999999999</v>
      </c>
      <c r="N337" s="250">
        <v>33200</v>
      </c>
      <c r="O337" s="251">
        <f>IF($N337&gt;0,(LEFT(TEXT($N337,"000000"),2)+(MID(TEXT($N337,"000000"),3,2)/60)+(RIGHT(TEXT($N337,"000000"),2)/3600)),-(MID(TEXT($N337,"000000"),2,2)+(MID(TEXT($N337,"000000"),4,2)/60)+(RIGHT(TEXT($N337,"000000"),2)/3600)))</f>
        <v>3.5333333333333332</v>
      </c>
      <c r="P337" s="252" t="s">
        <v>158</v>
      </c>
      <c r="Q337" s="253"/>
      <c r="R337" s="247" t="s">
        <v>3702</v>
      </c>
      <c r="S337" s="272" t="s">
        <v>3293</v>
      </c>
      <c r="T337" s="273">
        <v>13.2</v>
      </c>
      <c r="U337" s="289">
        <v>22.19</v>
      </c>
      <c r="V337" s="280"/>
      <c r="W337" s="244"/>
      <c r="X337" s="244"/>
      <c r="Y337" s="362"/>
      <c r="Z337" s="257">
        <f>altaz(J2000_Bas,$O337,$M337,DecLat,DecLong,1)</f>
        <v>22.096738296797227</v>
      </c>
      <c r="AA337" s="257">
        <f>altaz((J2000_Bas+(2*0.04167)),$O337,$M337,DecLat,DecLong,1)</f>
        <v>46.248350143728373</v>
      </c>
      <c r="AB337" s="257">
        <f>altaz((J2000_Bas+(4*0.04167)),$O337,$M337,DecLat,DecLong,1)</f>
        <v>61.939311189652244</v>
      </c>
      <c r="AC337" s="257">
        <f>altaz((J2000_Bas+(6*0.04167)),$O337,$M337,DecLat,DecLong,1)</f>
        <v>54.424743688557378</v>
      </c>
      <c r="AD337" s="258">
        <f>1+ transit((J2000_Bas-1),$O337,$M337,DecLat,DecLong)/360 + (GMTOffset/24) + (IF(DST="Y", 1, 0)/24)</f>
        <v>1.9714068072234581</v>
      </c>
      <c r="AE337" s="259">
        <f>DATE(2001,9,21)+(M337/360)*365 - (360*((DecLong/360)- (GMTOffset/24) ))</f>
        <v>37517.155034722222</v>
      </c>
      <c r="AF337" s="260">
        <f>IF(DecLat&gt;0,IF((90 - (DecLat-O337))&gt;90, (90 - (O337-DecLat)), (90 - (DecLat-O337))),IF((90 + (DecLat-O337))&gt;90, (90 + (O337-DecLat)), (90 + (DecLat-O337))))</f>
        <v>62.533333333333331</v>
      </c>
      <c r="AG337" s="257">
        <f>angularseperation(MoonRA,MoonDec,$M337,$O337)</f>
        <v>103.195405353982</v>
      </c>
      <c r="AH337" s="261">
        <f ca="1">MIN(100,IF($O$5&gt;80,0+30*($AG337/100),IF($O$5&gt;70,0+50*($AG337/100),IF($O$5&gt;60,5+50*($AG337/100),IF($O$5&gt;50,10+60*($AG337/100),IF($O$5&gt;40,15+70*($AG337/100),IF($O$5&gt;30,20+70*($AG337/100),IF($O$5&gt;20,40+55*($AG337/100),(80+(20-$O$5)+30*($AG337/100))))))))))</f>
        <v>100</v>
      </c>
      <c r="AI337" s="262">
        <v>7682</v>
      </c>
      <c r="AJ337" s="262"/>
      <c r="AK337" s="262"/>
      <c r="AL337" s="263"/>
      <c r="AM337" s="264"/>
      <c r="AN337" s="263">
        <v>216</v>
      </c>
      <c r="AO337" s="263"/>
      <c r="AP337" s="265"/>
      <c r="AQ337" s="266">
        <v>12622</v>
      </c>
      <c r="AR337" s="267">
        <v>71566</v>
      </c>
      <c r="AS337" s="263"/>
      <c r="AT337" s="263"/>
      <c r="AU337" s="263"/>
      <c r="AV337" s="264"/>
      <c r="AW337" s="263"/>
      <c r="AX337" s="263"/>
      <c r="AY337" s="263"/>
      <c r="AZ337" s="263"/>
      <c r="BA337" s="263"/>
      <c r="BB337" s="263"/>
      <c r="BC337" s="263"/>
      <c r="BD337" s="264"/>
      <c r="BE337" s="263"/>
      <c r="BF337" s="263"/>
      <c r="BG337" s="263"/>
      <c r="BH337" s="263"/>
      <c r="BI337" s="263"/>
      <c r="BJ337" s="404">
        <f>altaz(J2000_Bas,$O337,$M337,DecLat,DecLong,2)</f>
        <v>99.575438407132069</v>
      </c>
      <c r="BK337" s="378" t="s">
        <v>432</v>
      </c>
      <c r="BL337" s="379">
        <f>IF((2*G337)/60&lt;0.2,0.2,(2*G337)/60)</f>
        <v>0.2</v>
      </c>
      <c r="BM337" s="380">
        <f>MOD((50000+AD337-$B$3+(0/24)),1)</f>
        <v>0.18677373692480614</v>
      </c>
      <c r="BN337" s="381"/>
      <c r="BO337" s="382">
        <v>337</v>
      </c>
    </row>
    <row r="338" spans="1:67" s="24" customFormat="1" ht="15" customHeight="1" x14ac:dyDescent="0.25">
      <c r="A338" s="288" t="s">
        <v>433</v>
      </c>
      <c r="B338" s="241" t="str">
        <f>HYPERLINK(CONCATENATE($AT$3,BK338,$AU$3),$AV$3)</f>
        <v>S</v>
      </c>
      <c r="C338" s="242" t="str">
        <f>HYPERLINK(CONCATENATE($AT$4,BK338,$AU$4,BL338),$AV$4)</f>
        <v>A</v>
      </c>
      <c r="D338" s="243" t="s">
        <v>5638</v>
      </c>
      <c r="E338" s="244" t="s">
        <v>5192</v>
      </c>
      <c r="F338" s="269" t="s">
        <v>8890</v>
      </c>
      <c r="G338" s="273">
        <v>2</v>
      </c>
      <c r="H338" s="283">
        <v>60</v>
      </c>
      <c r="I338" s="246">
        <v>35</v>
      </c>
      <c r="J338" s="246">
        <v>2</v>
      </c>
      <c r="K338" s="247" t="s">
        <v>4283</v>
      </c>
      <c r="L338" s="248">
        <v>103846</v>
      </c>
      <c r="M338" s="249">
        <f>15*(LEFT(TEXT($L338,"000000"),2)+(MID(TEXT($L338,"000000"),3,2)/60)+(RIGHT(TEXT($L338,"000000"),2)/3600))</f>
        <v>159.69166666666666</v>
      </c>
      <c r="N338" s="250">
        <v>533000</v>
      </c>
      <c r="O338" s="251">
        <f>IF($N338&gt;0,(LEFT(TEXT($N338,"000000"),2)+(MID(TEXT($N338,"000000"),3,2)/60)+(RIGHT(TEXT($N338,"000000"),2)/3600)),-(MID(TEXT($N338,"000000"),2,2)+(MID(TEXT($N338,"000000"),4,2)/60)+(RIGHT(TEXT($N338,"000000"),2)/3600)))</f>
        <v>53.5</v>
      </c>
      <c r="P338" s="252" t="s">
        <v>37</v>
      </c>
      <c r="Q338" s="253"/>
      <c r="R338" s="247" t="s">
        <v>3543</v>
      </c>
      <c r="S338" s="272" t="s">
        <v>3293</v>
      </c>
      <c r="T338" s="273">
        <v>11.2</v>
      </c>
      <c r="U338" s="289">
        <v>21.69</v>
      </c>
      <c r="V338" s="280">
        <v>20</v>
      </c>
      <c r="W338" s="244"/>
      <c r="X338" s="244"/>
      <c r="Y338" s="362"/>
      <c r="Z338" s="257">
        <f>altaz(J2000_Bas,$O338,$M338,DecLat,DecLong,1)</f>
        <v>6.4359754364844397</v>
      </c>
      <c r="AA338" s="257">
        <f>altaz((J2000_Bas+(2*0.04167)),$O338,$M338,DecLat,DecLong,1)</f>
        <v>-3.0487841509622986</v>
      </c>
      <c r="AB338" s="257">
        <f>altaz((J2000_Bas+(4*0.04167)),$O338,$M338,DecLat,DecLong,1)</f>
        <v>-5.3125305862580436</v>
      </c>
      <c r="AC338" s="257">
        <f>altaz((J2000_Bas+(6*0.04167)),$O338,$M338,DecLat,DecLong,1)</f>
        <v>0.25797309499526488</v>
      </c>
      <c r="AD338" s="258">
        <f>1+ transit((J2000_Bas-1),$O338,$M338,DecLat,DecLong)/360 + (GMTOffset/24) + (IF(DST="Y", 1, 0)/24)</f>
        <v>1.4364878792338747</v>
      </c>
      <c r="AE338" s="259">
        <f>DATE(2001,9,21)+(M338/360)*365 - (360*((DecLong/360)- (GMTOffset/24) ))</f>
        <v>37321.90960648148</v>
      </c>
      <c r="AF338" s="260">
        <f>IF(DecLat&gt;0,IF((90 - (DecLat-O338))&gt;90, (90 - (O338-DecLat)), (90 - (DecLat-O338))),IF((90 + (DecLat-O338))&gt;90, (90 + (O338-DecLat)), (90 + (DecLat-O338))))</f>
        <v>67.5</v>
      </c>
      <c r="AG338" s="257">
        <f>angularseperation(MoonRA,MoonDec,$M338,$O338)</f>
        <v>111.21306182042103</v>
      </c>
      <c r="AH338" s="261">
        <f ca="1">MIN(100,IF($O$5&gt;80,0+30*($AG338/100),IF($O$5&gt;70,0+50*($AG338/100),IF($O$5&gt;60,5+50*($AG338/100),IF($O$5&gt;50,10+60*($AG338/100),IF($O$5&gt;40,15+70*($AG338/100),IF($O$5&gt;30,20+70*($AG338/100),IF($O$5&gt;20,40+55*($AG338/100),(80+(20-$O$5)+30*($AG338/100))))))))))</f>
        <v>100</v>
      </c>
      <c r="AI338" s="262">
        <v>3310</v>
      </c>
      <c r="AJ338" s="262"/>
      <c r="AK338" s="262">
        <v>153</v>
      </c>
      <c r="AL338" s="263"/>
      <c r="AM338" s="264"/>
      <c r="AN338" s="263">
        <v>217</v>
      </c>
      <c r="AO338" s="263"/>
      <c r="AP338" s="265"/>
      <c r="AQ338" s="266">
        <v>5786</v>
      </c>
      <c r="AR338" s="267">
        <v>31650</v>
      </c>
      <c r="AS338" s="263"/>
      <c r="AT338" s="263"/>
      <c r="AU338" s="263"/>
      <c r="AV338" s="264"/>
      <c r="AW338" s="263"/>
      <c r="AX338" s="263"/>
      <c r="AY338" s="263"/>
      <c r="AZ338" s="263"/>
      <c r="BA338" s="263"/>
      <c r="BB338" s="263"/>
      <c r="BC338" s="263"/>
      <c r="BD338" s="264"/>
      <c r="BE338" s="263"/>
      <c r="BF338" s="263"/>
      <c r="BG338" s="263"/>
      <c r="BH338" s="263"/>
      <c r="BI338" s="263"/>
      <c r="BJ338" s="404">
        <f>altaz(J2000_Bas,$O338,$M338,DecLat,DecLong,2)</f>
        <v>331.16053998513803</v>
      </c>
      <c r="BK338" s="378" t="s">
        <v>433</v>
      </c>
      <c r="BL338" s="379">
        <f>IF((2*G338)/60&lt;0.2,0.2,(2*G338)/60)</f>
        <v>0.2</v>
      </c>
      <c r="BM338" s="380">
        <f>MOD((50000+AD338-$B$3+(0/24)),1)</f>
        <v>0.65185480893705972</v>
      </c>
      <c r="BN338" s="381"/>
      <c r="BO338" s="382">
        <v>338</v>
      </c>
    </row>
    <row r="339" spans="1:67" s="24" customFormat="1" ht="15" customHeight="1" x14ac:dyDescent="0.25">
      <c r="A339" s="288" t="s">
        <v>434</v>
      </c>
      <c r="B339" s="241" t="str">
        <f>HYPERLINK(CONCATENATE($AT$3,BK339,$AU$3),$AV$3)</f>
        <v>S</v>
      </c>
      <c r="C339" s="242" t="str">
        <f>HYPERLINK(CONCATENATE($AT$4,BK339,$AU$4,BL339),$AV$4)</f>
        <v>A</v>
      </c>
      <c r="D339" s="243" t="s">
        <v>5638</v>
      </c>
      <c r="E339" s="244" t="s">
        <v>5337</v>
      </c>
      <c r="F339" s="269" t="s">
        <v>9120</v>
      </c>
      <c r="G339" s="270">
        <v>0.6</v>
      </c>
      <c r="H339" s="283">
        <v>680</v>
      </c>
      <c r="I339" s="246">
        <v>120</v>
      </c>
      <c r="J339" s="246">
        <v>2</v>
      </c>
      <c r="K339" s="247" t="s">
        <v>8422</v>
      </c>
      <c r="L339" s="248">
        <v>155332</v>
      </c>
      <c r="M339" s="249">
        <f>15*(LEFT(TEXT($L339,"000000"),2)+(MID(TEXT($L339,"000000"),3,2)/60)+(RIGHT(TEXT($L339,"000000"),2)/3600))</f>
        <v>238.38333333333333</v>
      </c>
      <c r="N339" s="250">
        <v>183600</v>
      </c>
      <c r="O339" s="251">
        <f>IF($N339&gt;0,(LEFT(TEXT($N339,"000000"),2)+(MID(TEXT($N339,"000000"),3,2)/60)+(RIGHT(TEXT($N339,"000000"),2)/3600)),-(MID(TEXT($N339,"000000"),2,2)+(MID(TEXT($N339,"000000"),4,2)/60)+(RIGHT(TEXT($N339,"000000"),2)/3600)))</f>
        <v>18.600000000000001</v>
      </c>
      <c r="P339" s="252" t="s">
        <v>115</v>
      </c>
      <c r="Q339" s="253"/>
      <c r="R339" s="247" t="s">
        <v>3293</v>
      </c>
      <c r="S339" s="272" t="s">
        <v>3293</v>
      </c>
      <c r="T339" s="273">
        <v>15</v>
      </c>
      <c r="U339" s="274"/>
      <c r="V339" s="280"/>
      <c r="W339" s="244"/>
      <c r="X339" s="244"/>
      <c r="Y339" s="362"/>
      <c r="Z339" s="257">
        <f>altaz(J2000_Bas,$O339,$M339,DecLat,DecLong,1)</f>
        <v>45.387656853727968</v>
      </c>
      <c r="AA339" s="257">
        <f>altaz((J2000_Bas+(2*0.04167)),$O339,$M339,DecLat,DecLong,1)</f>
        <v>19.711735023739521</v>
      </c>
      <c r="AB339" s="257">
        <f>altaz((J2000_Bas+(4*0.04167)),$O339,$M339,DecLat,DecLong,1)</f>
        <v>-4.8134993021102845</v>
      </c>
      <c r="AC339" s="257">
        <f>altaz((J2000_Bas+(6*0.04167)),$O339,$M339,DecLat,DecLong,1)</f>
        <v>-25.991936024457289</v>
      </c>
      <c r="AD339" s="258">
        <f>1+ transit((J2000_Bas-1),$O339,$M339,DecLat,DecLong)/360 + (GMTOffset/24) + (IF(DST="Y", 1, 0)/24)</f>
        <v>1.6550758203380413</v>
      </c>
      <c r="AE339" s="259">
        <f>DATE(2001,9,21)+(M339/360)*365 - (360*((DecLong/360)- (GMTOffset/24) ))</f>
        <v>37401.694212962961</v>
      </c>
      <c r="AF339" s="260">
        <f>IF(DecLat&gt;0,IF((90 - (DecLat-O339))&gt;90, (90 - (O339-DecLat)), (90 - (DecLat-O339))),IF((90 + (DecLat-O339))&gt;90, (90 + (O339-DecLat)), (90 + (DecLat-O339))))</f>
        <v>77.599999999999994</v>
      </c>
      <c r="AG339" s="257">
        <f>angularseperation(MoonRA,MoonDec,$M339,$O339)</f>
        <v>46.881836020174639</v>
      </c>
      <c r="AH339" s="261">
        <f ca="1">MIN(100,IF($O$5&gt;80,0+30*($AG339/100),IF($O$5&gt;70,0+50*($AG339/100),IF($O$5&gt;60,5+50*($AG339/100),IF($O$5&gt;50,10+60*($AG339/100),IF($O$5&gt;40,15+70*($AG339/100),IF($O$5&gt;30,20+70*($AG339/100),IF($O$5&gt;20,40+55*($AG339/100),(80+(20-$O$5)+30*($AG339/100))))))))))</f>
        <v>97.335611150202823</v>
      </c>
      <c r="AI339" s="262"/>
      <c r="AJ339" s="262"/>
      <c r="AK339" s="262"/>
      <c r="AL339" s="263"/>
      <c r="AM339" s="264"/>
      <c r="AN339" s="263">
        <v>218</v>
      </c>
      <c r="AO339" s="263"/>
      <c r="AP339" s="265"/>
      <c r="AQ339" s="266"/>
      <c r="AR339" s="267">
        <v>56314</v>
      </c>
      <c r="AS339" s="263"/>
      <c r="AT339" s="263"/>
      <c r="AU339" s="263"/>
      <c r="AV339" s="264"/>
      <c r="AW339" s="263"/>
      <c r="AX339" s="263"/>
      <c r="AY339" s="263"/>
      <c r="AZ339" s="263"/>
      <c r="BA339" s="263"/>
      <c r="BB339" s="263"/>
      <c r="BC339" s="263"/>
      <c r="BD339" s="264"/>
      <c r="BE339" s="263"/>
      <c r="BF339" s="263"/>
      <c r="BG339" s="263"/>
      <c r="BH339" s="263"/>
      <c r="BI339" s="263"/>
      <c r="BJ339" s="404">
        <f>altaz(J2000_Bas,$O339,$M339,DecLat,DecLong,2)</f>
        <v>265.45690442222065</v>
      </c>
      <c r="BK339" s="378" t="s">
        <v>434</v>
      </c>
      <c r="BL339" s="379">
        <f>IF((2*G339)/60&lt;0.2,0.2,(2*G339)/60)</f>
        <v>0.2</v>
      </c>
      <c r="BM339" s="380">
        <f>MOD((50000+AD339-$B$3+(0/24)),1)</f>
        <v>0.8704427500415477</v>
      </c>
      <c r="BN339" s="381" t="s">
        <v>9281</v>
      </c>
      <c r="BO339" s="382">
        <v>339</v>
      </c>
    </row>
    <row r="340" spans="1:67" s="24" customFormat="1" ht="15" customHeight="1" x14ac:dyDescent="0.25">
      <c r="A340" s="288" t="s">
        <v>435</v>
      </c>
      <c r="B340" s="241" t="str">
        <f>HYPERLINK(CONCATENATE($AT$3,BK340,$AU$3),$AV$3)</f>
        <v>S</v>
      </c>
      <c r="C340" s="242" t="str">
        <f>HYPERLINK(CONCATENATE($AT$4,BK340,$AU$4,BL340),$AV$4)</f>
        <v>A</v>
      </c>
      <c r="D340" s="243" t="s">
        <v>5638</v>
      </c>
      <c r="E340" s="244" t="s">
        <v>8641</v>
      </c>
      <c r="F340" s="269" t="s">
        <v>9121</v>
      </c>
      <c r="G340" s="273">
        <v>1</v>
      </c>
      <c r="H340" s="283">
        <v>500</v>
      </c>
      <c r="I340" s="246">
        <v>135</v>
      </c>
      <c r="J340" s="246">
        <v>2</v>
      </c>
      <c r="K340" s="247" t="s">
        <v>4997</v>
      </c>
      <c r="L340" s="248">
        <v>33951</v>
      </c>
      <c r="M340" s="249">
        <f>15*(LEFT(TEXT($L340,"000000"),2)+(MID(TEXT($L340,"000000"),3,2)/60)+(RIGHT(TEXT($L340,"000000"),2)/3600))</f>
        <v>54.962499999999999</v>
      </c>
      <c r="N340" s="250">
        <v>-20600</v>
      </c>
      <c r="O340" s="251">
        <f>IF($N340&gt;0,(LEFT(TEXT($N340,"000000"),2)+(MID(TEXT($N340,"000000"),3,2)/60)+(RIGHT(TEXT($N340,"000000"),2)/3600)),-(MID(TEXT($N340,"000000"),2,2)+(MID(TEXT($N340,"000000"),4,2)/60)+(RIGHT(TEXT($N340,"000000"),2)/3600)))</f>
        <v>-2.1</v>
      </c>
      <c r="P340" s="252" t="s">
        <v>257</v>
      </c>
      <c r="Q340" s="253"/>
      <c r="R340" s="247" t="s">
        <v>3293</v>
      </c>
      <c r="S340" s="272" t="s">
        <v>3293</v>
      </c>
      <c r="T340" s="273">
        <v>14.9</v>
      </c>
      <c r="U340" s="274"/>
      <c r="V340" s="280"/>
      <c r="W340" s="244"/>
      <c r="X340" s="244"/>
      <c r="Y340" s="362"/>
      <c r="Z340" s="257">
        <f>altaz(J2000_Bas,$O340,$M340,DecLat,DecLong,1)</f>
        <v>-33.881503291770798</v>
      </c>
      <c r="AA340" s="257">
        <f>altaz((J2000_Bas+(2*0.04167)),$O340,$M340,DecLat,DecLong,1)</f>
        <v>-8.6867439946765579</v>
      </c>
      <c r="AB340" s="257">
        <f>altaz((J2000_Bas+(4*0.04167)),$O340,$M340,DecLat,DecLong,1)</f>
        <v>16.919038205856136</v>
      </c>
      <c r="AC340" s="257">
        <f>altaz((J2000_Bas+(6*0.04167)),$O340,$M340,DecLat,DecLong,1)</f>
        <v>40.509859982686379</v>
      </c>
      <c r="AD340" s="258">
        <f>1+ transit((J2000_Bas-1),$O340,$M340,DecLat,DecLong)/360 + (GMTOffset/24) + (IF(DST="Y", 1, 0)/24)</f>
        <v>1.1455735564734579</v>
      </c>
      <c r="AE340" s="259">
        <f>DATE(2001,9,21)+(M340/360)*365 - (360*((DecLong/360)- (GMTOffset/24) ))</f>
        <v>37215.725868055553</v>
      </c>
      <c r="AF340" s="260">
        <f>IF(DecLat&gt;0,IF((90 - (DecLat-O340))&gt;90, (90 - (O340-DecLat)), (90 - (DecLat-O340))),IF((90 + (DecLat-O340))&gt;90, (90 + (O340-DecLat)), (90 + (DecLat-O340))))</f>
        <v>56.9</v>
      </c>
      <c r="AG340" s="257">
        <f>angularseperation(MoonRA,MoonDec,$M340,$O340)</f>
        <v>147.7328881011122</v>
      </c>
      <c r="AH340" s="261">
        <f ca="1">MIN(100,IF($O$5&gt;80,0+30*($AG340/100),IF($O$5&gt;70,0+50*($AG340/100),IF($O$5&gt;60,5+50*($AG340/100),IF($O$5&gt;50,10+60*($AG340/100),IF($O$5&gt;40,15+70*($AG340/100),IF($O$5&gt;30,20+70*($AG340/100),IF($O$5&gt;20,40+55*($AG340/100),(80+(20-$O$5)+30*($AG340/100))))))))))</f>
        <v>100</v>
      </c>
      <c r="AI340" s="262"/>
      <c r="AJ340" s="262"/>
      <c r="AK340" s="262"/>
      <c r="AL340" s="263"/>
      <c r="AM340" s="264"/>
      <c r="AN340" s="263">
        <v>219</v>
      </c>
      <c r="AO340" s="263"/>
      <c r="AP340" s="265"/>
      <c r="AQ340" s="266">
        <v>2812</v>
      </c>
      <c r="AR340" s="267">
        <v>13489</v>
      </c>
      <c r="AS340" s="263"/>
      <c r="AT340" s="263"/>
      <c r="AU340" s="263"/>
      <c r="AV340" s="264"/>
      <c r="AW340" s="263"/>
      <c r="AX340" s="263"/>
      <c r="AY340" s="263"/>
      <c r="AZ340" s="263"/>
      <c r="BA340" s="263"/>
      <c r="BB340" s="263"/>
      <c r="BC340" s="263"/>
      <c r="BD340" s="264"/>
      <c r="BE340" s="263"/>
      <c r="BF340" s="263"/>
      <c r="BG340" s="263"/>
      <c r="BH340" s="263"/>
      <c r="BI340" s="263"/>
      <c r="BJ340" s="404">
        <f>altaz(J2000_Bas,$O340,$M340,DecLat,DecLong,2)</f>
        <v>69.391148423803642</v>
      </c>
      <c r="BK340" s="378" t="s">
        <v>435</v>
      </c>
      <c r="BL340" s="379">
        <f>IF((2*G340)/60&lt;0.2,0.2,(2*G340)/60)</f>
        <v>0.2</v>
      </c>
      <c r="BM340" s="380">
        <f>MOD((50000+AD340-$B$3+(0/24)),1)</f>
        <v>0.36094048617815133</v>
      </c>
      <c r="BN340" s="381"/>
      <c r="BO340" s="382">
        <v>340</v>
      </c>
    </row>
    <row r="341" spans="1:67" s="24" customFormat="1" ht="15" customHeight="1" x14ac:dyDescent="0.25">
      <c r="A341" s="288" t="s">
        <v>436</v>
      </c>
      <c r="B341" s="241" t="str">
        <f>HYPERLINK(CONCATENATE($AT$3,BK341,$AU$3),$AV$3)</f>
        <v>S</v>
      </c>
      <c r="C341" s="242" t="str">
        <f>HYPERLINK(CONCATENATE($AT$4,BK341,$AU$4,BL341),$AV$4)</f>
        <v>A</v>
      </c>
      <c r="D341" s="243" t="s">
        <v>5638</v>
      </c>
      <c r="E341" s="244" t="s">
        <v>5337</v>
      </c>
      <c r="F341" s="269" t="s">
        <v>9120</v>
      </c>
      <c r="G341" s="270">
        <v>0.8</v>
      </c>
      <c r="H341" s="283">
        <v>270</v>
      </c>
      <c r="I341" s="246">
        <v>70</v>
      </c>
      <c r="J341" s="246">
        <v>2</v>
      </c>
      <c r="K341" s="247" t="s">
        <v>8423</v>
      </c>
      <c r="L341" s="248">
        <v>153457</v>
      </c>
      <c r="M341" s="249">
        <f>15*(LEFT(TEXT($L341,"000000"),2)+(MID(TEXT($L341,"000000"),3,2)/60)+(RIGHT(TEXT($L341,"000000"),2)/3600))</f>
        <v>233.73749999999998</v>
      </c>
      <c r="N341" s="250">
        <v>233000</v>
      </c>
      <c r="O341" s="251">
        <f>IF($N341&gt;0,(LEFT(TEXT($N341,"000000"),2)+(MID(TEXT($N341,"000000"),3,2)/60)+(RIGHT(TEXT($N341,"000000"),2)/3600)),-(MID(TEXT($N341,"000000"),2,2)+(MID(TEXT($N341,"000000"),4,2)/60)+(RIGHT(TEXT($N341,"000000"),2)/3600)))</f>
        <v>23.5</v>
      </c>
      <c r="P341" s="252" t="s">
        <v>115</v>
      </c>
      <c r="Q341" s="253"/>
      <c r="R341" s="247" t="s">
        <v>3745</v>
      </c>
      <c r="S341" s="272" t="s">
        <v>3293</v>
      </c>
      <c r="T341" s="273">
        <v>13.2</v>
      </c>
      <c r="U341" s="289">
        <v>22.59</v>
      </c>
      <c r="V341" s="280"/>
      <c r="W341" s="244"/>
      <c r="X341" s="244"/>
      <c r="Y341" s="362"/>
      <c r="Z341" s="257">
        <f>altaz(J2000_Bas,$O341,$M341,DecLat,DecLong,1)</f>
        <v>43.350132121547226</v>
      </c>
      <c r="AA341" s="257">
        <f>altaz((J2000_Bas+(2*0.04167)),$O341,$M341,DecLat,DecLong,1)</f>
        <v>18.060353816262261</v>
      </c>
      <c r="AB341" s="257">
        <f>altaz((J2000_Bas+(4*0.04167)),$O341,$M341,DecLat,DecLong,1)</f>
        <v>-5.4290152710335144</v>
      </c>
      <c r="AC341" s="257">
        <f>altaz((J2000_Bas+(6*0.04167)),$O341,$M341,DecLat,DecLong,1)</f>
        <v>-24.73487844639736</v>
      </c>
      <c r="AD341" s="258">
        <f>1+ transit((J2000_Bas-1),$O341,$M341,DecLat,DecLong)/360 + (GMTOffset/24) + (IF(DST="Y", 1, 0)/24)</f>
        <v>1.642170729035958</v>
      </c>
      <c r="AE341" s="259">
        <f>DATE(2001,9,21)+(M341/360)*365 - (360*((DecLong/360)- (GMTOffset/24) ))</f>
        <v>37396.983854166669</v>
      </c>
      <c r="AF341" s="260">
        <f>IF(DecLat&gt;0,IF((90 - (DecLat-O341))&gt;90, (90 - (O341-DecLat)), (90 - (DecLat-O341))),IF((90 + (DecLat-O341))&gt;90, (90 + (O341-DecLat)), (90 + (DecLat-O341))))</f>
        <v>82.5</v>
      </c>
      <c r="AG341" s="257">
        <f>angularseperation(MoonRA,MoonDec,$M341,$O341)</f>
        <v>52.754412939651708</v>
      </c>
      <c r="AH341" s="261">
        <f ca="1">MIN(100,IF($O$5&gt;80,0+30*($AG341/100),IF($O$5&gt;70,0+50*($AG341/100),IF($O$5&gt;60,5+50*($AG341/100),IF($O$5&gt;50,10+60*($AG341/100),IF($O$5&gt;40,15+70*($AG341/100),IF($O$5&gt;30,20+70*($AG341/100),IF($O$5&gt;20,40+55*($AG341/100),(80+(20-$O$5)+30*($AG341/100))))))))))</f>
        <v>99.097384226045932</v>
      </c>
      <c r="AI341" s="262"/>
      <c r="AJ341" s="262">
        <v>4553</v>
      </c>
      <c r="AK341" s="262"/>
      <c r="AL341" s="263"/>
      <c r="AM341" s="264"/>
      <c r="AN341" s="263">
        <v>220</v>
      </c>
      <c r="AO341" s="263"/>
      <c r="AP341" s="265"/>
      <c r="AQ341" s="266"/>
      <c r="AR341" s="267">
        <v>55497</v>
      </c>
      <c r="AS341" s="263"/>
      <c r="AT341" s="263"/>
      <c r="AU341" s="263"/>
      <c r="AV341" s="264"/>
      <c r="AW341" s="263"/>
      <c r="AX341" s="263"/>
      <c r="AY341" s="263"/>
      <c r="AZ341" s="263"/>
      <c r="BA341" s="263"/>
      <c r="BB341" s="263"/>
      <c r="BC341" s="263"/>
      <c r="BD341" s="264"/>
      <c r="BE341" s="263"/>
      <c r="BF341" s="263"/>
      <c r="BG341" s="263"/>
      <c r="BH341" s="263">
        <v>82</v>
      </c>
      <c r="BI341" s="263"/>
      <c r="BJ341" s="404">
        <f>altaz(J2000_Bas,$O341,$M341,DecLat,DecLong,2)</f>
        <v>274.15840405107201</v>
      </c>
      <c r="BK341" s="378" t="s">
        <v>436</v>
      </c>
      <c r="BL341" s="379">
        <f>IF((2*G341)/60&lt;0.2,0.2,(2*G341)/60)</f>
        <v>0.2</v>
      </c>
      <c r="BM341" s="380">
        <f>MOD((50000+AD341-$B$3+(0/24)),1)</f>
        <v>0.85753765873960219</v>
      </c>
      <c r="BN341" s="381" t="s">
        <v>9281</v>
      </c>
      <c r="BO341" s="382">
        <v>341</v>
      </c>
    </row>
    <row r="342" spans="1:67" s="24" customFormat="1" ht="15" customHeight="1" x14ac:dyDescent="0.25">
      <c r="A342" s="288" t="s">
        <v>437</v>
      </c>
      <c r="B342" s="241" t="str">
        <f>HYPERLINK(CONCATENATE($AT$3,BK342,$AU$3),$AV$3)</f>
        <v>S</v>
      </c>
      <c r="C342" s="242" t="str">
        <f>HYPERLINK(CONCATENATE($AT$4,BK342,$AU$4,BL342),$AV$4)</f>
        <v>A</v>
      </c>
      <c r="D342" s="243" t="s">
        <v>5638</v>
      </c>
      <c r="E342" s="244" t="s">
        <v>5337</v>
      </c>
      <c r="F342" s="269" t="s">
        <v>9113</v>
      </c>
      <c r="G342" s="270">
        <v>0.8</v>
      </c>
      <c r="H342" s="283">
        <v>250</v>
      </c>
      <c r="I342" s="246">
        <v>60</v>
      </c>
      <c r="J342" s="246">
        <v>2</v>
      </c>
      <c r="K342" s="247" t="s">
        <v>4284</v>
      </c>
      <c r="L342" s="248">
        <v>93627</v>
      </c>
      <c r="M342" s="249">
        <f>15*(LEFT(TEXT($L342,"000000"),2)+(MID(TEXT($L342,"000000"),3,2)/60)+(RIGHT(TEXT($L342,"000000"),2)/3600))</f>
        <v>144.11250000000001</v>
      </c>
      <c r="N342" s="250">
        <v>-111900</v>
      </c>
      <c r="O342" s="251">
        <f>IF($N342&gt;0,(LEFT(TEXT($N342,"000000"),2)+(MID(TEXT($N342,"000000"),3,2)/60)+(RIGHT(TEXT($N342,"000000"),2)/3600)),-(MID(TEXT($N342,"000000"),2,2)+(MID(TEXT($N342,"000000"),4,2)/60)+(RIGHT(TEXT($N342,"000000"),2)/3600)))</f>
        <v>-11.316666666666666</v>
      </c>
      <c r="P342" s="252" t="s">
        <v>103</v>
      </c>
      <c r="Q342" s="253"/>
      <c r="R342" s="247" t="s">
        <v>3293</v>
      </c>
      <c r="S342" s="272" t="s">
        <v>3293</v>
      </c>
      <c r="T342" s="273">
        <v>14</v>
      </c>
      <c r="U342" s="274"/>
      <c r="V342" s="280"/>
      <c r="W342" s="244"/>
      <c r="X342" s="244"/>
      <c r="Y342" s="362"/>
      <c r="Z342" s="257">
        <f>altaz(J2000_Bas,$O342,$M342,DecLat,DecLong,1)</f>
        <v>-49.676028721904999</v>
      </c>
      <c r="AA342" s="257">
        <f>altaz((J2000_Bas+(2*0.04167)),$O342,$M342,DecLat,DecLong,1)</f>
        <v>-68.961125225922046</v>
      </c>
      <c r="AB342" s="257">
        <f>altaz((J2000_Bas+(4*0.04167)),$O342,$M342,DecLat,DecLong,1)</f>
        <v>-61.647265333618364</v>
      </c>
      <c r="AC342" s="257">
        <f>altaz((J2000_Bas+(6*0.04167)),$O342,$M342,DecLat,DecLong,1)</f>
        <v>-38.087767506011758</v>
      </c>
      <c r="AD342" s="258">
        <f>1+ transit((J2000_Bas-1),$O342,$M342,DecLat,DecLong)/360 + (GMTOffset/24) + (IF(DST="Y", 1, 0)/24)</f>
        <v>1.3932124205984582</v>
      </c>
      <c r="AE342" s="259">
        <f>DATE(2001,9,21)+(M342/360)*365 - (360*((DecLong/360)- (GMTOffset/24) ))</f>
        <v>37306.114062499997</v>
      </c>
      <c r="AF342" s="260">
        <f>IF(DecLat&gt;0,IF((90 - (DecLat-O342))&gt;90, (90 - (O342-DecLat)), (90 - (DecLat-O342))),IF((90 + (DecLat-O342))&gt;90, (90 + (O342-DecLat)), (90 + (DecLat-O342))))</f>
        <v>47.683333333333337</v>
      </c>
      <c r="AG342" s="257">
        <f>angularseperation(MoonRA,MoonDec,$M342,$O342)</f>
        <v>97.962036033405909</v>
      </c>
      <c r="AH342" s="261">
        <f ca="1">MIN(100,IF($O$5&gt;80,0+30*($AG342/100),IF($O$5&gt;70,0+50*($AG342/100),IF($O$5&gt;60,5+50*($AG342/100),IF($O$5&gt;50,10+60*($AG342/100),IF($O$5&gt;40,15+70*($AG342/100),IF($O$5&gt;30,20+70*($AG342/100),IF($O$5&gt;20,40+55*($AG342/100),(80+(20-$O$5)+30*($AG342/100))))))))))</f>
        <v>100</v>
      </c>
      <c r="AI342" s="262"/>
      <c r="AJ342" s="262"/>
      <c r="AK342" s="262"/>
      <c r="AL342" s="263"/>
      <c r="AM342" s="264"/>
      <c r="AN342" s="263">
        <v>221</v>
      </c>
      <c r="AO342" s="263"/>
      <c r="AP342" s="265"/>
      <c r="AQ342" s="266"/>
      <c r="AR342" s="267">
        <v>27333</v>
      </c>
      <c r="AS342" s="263"/>
      <c r="AT342" s="263"/>
      <c r="AU342" s="263"/>
      <c r="AV342" s="264"/>
      <c r="AW342" s="263"/>
      <c r="AX342" s="263"/>
      <c r="AY342" s="263"/>
      <c r="AZ342" s="263"/>
      <c r="BA342" s="263"/>
      <c r="BB342" s="263"/>
      <c r="BC342" s="263"/>
      <c r="BD342" s="264"/>
      <c r="BE342" s="263"/>
      <c r="BF342" s="263"/>
      <c r="BG342" s="263"/>
      <c r="BH342" s="263"/>
      <c r="BI342" s="263"/>
      <c r="BJ342" s="404">
        <f>altaz(J2000_Bas,$O342,$M342,DecLat,DecLong,2)</f>
        <v>290.7405123278221</v>
      </c>
      <c r="BK342" s="378" t="s">
        <v>437</v>
      </c>
      <c r="BL342" s="379">
        <f>IF((2*G342)/60&lt;0.2,0.2,(2*G342)/60)</f>
        <v>0.2</v>
      </c>
      <c r="BM342" s="380">
        <f>MOD((50000+AD342-$B$3+(0/24)),1)</f>
        <v>0.6085793503007153</v>
      </c>
      <c r="BN342" s="381"/>
      <c r="BO342" s="382">
        <v>342</v>
      </c>
    </row>
    <row r="343" spans="1:67" s="24" customFormat="1" ht="15" customHeight="1" x14ac:dyDescent="0.25">
      <c r="A343" s="288" t="s">
        <v>438</v>
      </c>
      <c r="B343" s="241" t="str">
        <f>HYPERLINK(CONCATENATE($AT$3,BK343,$AU$3),$AV$3)</f>
        <v>S</v>
      </c>
      <c r="C343" s="242" t="str">
        <f>HYPERLINK(CONCATENATE($AT$4,BK343,$AU$4,BL343),$AV$4)</f>
        <v>A</v>
      </c>
      <c r="D343" s="243" t="s">
        <v>5638</v>
      </c>
      <c r="E343" s="244" t="s">
        <v>5192</v>
      </c>
      <c r="F343" s="269" t="s">
        <v>9154</v>
      </c>
      <c r="G343" s="273">
        <v>3.5</v>
      </c>
      <c r="H343" s="283">
        <v>70</v>
      </c>
      <c r="I343" s="246">
        <v>80</v>
      </c>
      <c r="J343" s="246">
        <v>3</v>
      </c>
      <c r="K343" s="247" t="s">
        <v>8524</v>
      </c>
      <c r="L343" s="248">
        <v>233954</v>
      </c>
      <c r="M343" s="249">
        <f>15*(LEFT(TEXT($L343,"000000"),2)+(MID(TEXT($L343,"000000"),3,2)/60)+(RIGHT(TEXT($L343,"000000"),2)/3600))</f>
        <v>354.97499999999997</v>
      </c>
      <c r="N343" s="250">
        <v>-121700</v>
      </c>
      <c r="O343" s="251">
        <f>IF($N343&gt;0,(LEFT(TEXT($N343,"000000"),2)+(MID(TEXT($N343,"000000"),3,2)/60)+(RIGHT(TEXT($N343,"000000"),2)/3600)),-(MID(TEXT($N343,"000000"),2,2)+(MID(TEXT($N343,"000000"),4,2)/60)+(RIGHT(TEXT($N343,"000000"),2)/3600)))</f>
        <v>-12.283333333333333</v>
      </c>
      <c r="P343" s="252" t="s">
        <v>3119</v>
      </c>
      <c r="Q343" s="253"/>
      <c r="R343" s="247" t="s">
        <v>3704</v>
      </c>
      <c r="S343" s="272" t="s">
        <v>3293</v>
      </c>
      <c r="T343" s="273">
        <v>10.6</v>
      </c>
      <c r="U343" s="289">
        <v>22.39</v>
      </c>
      <c r="V343" s="280">
        <v>25</v>
      </c>
      <c r="W343" s="244"/>
      <c r="X343" s="244"/>
      <c r="Y343" s="362"/>
      <c r="Z343" s="257">
        <f>altaz(J2000_Bas,$O343,$M343,DecLat,DecLong,1)</f>
        <v>11.008449468862846</v>
      </c>
      <c r="AA343" s="257">
        <f>altaz((J2000_Bas+(2*0.04167)),$O343,$M343,DecLat,DecLong,1)</f>
        <v>32.843939857981816</v>
      </c>
      <c r="AB343" s="257">
        <f>altaz((J2000_Bas+(4*0.04167)),$O343,$M343,DecLat,DecLong,1)</f>
        <v>45.898297532638033</v>
      </c>
      <c r="AC343" s="257">
        <f>altaz((J2000_Bas+(6*0.04167)),$O343,$M343,DecLat,DecLong,1)</f>
        <v>42.133479004489573</v>
      </c>
      <c r="AD343" s="258">
        <f>1+ transit((J2000_Bas-1),$O343,$M343,DecLat,DecLong)/360 + (GMTOffset/24) + (IF(DST="Y", 1, 0)/24)</f>
        <v>1.9789415286922079</v>
      </c>
      <c r="AE343" s="259">
        <f>DATE(2001,9,21)+(M343/360)*365 - (360*((DecLong/360)- (GMTOffset/24) ))</f>
        <v>37519.90520833333</v>
      </c>
      <c r="AF343" s="260">
        <f>IF(DecLat&gt;0,IF((90 - (DecLat-O343))&gt;90, (90 - (O343-DecLat)), (90 - (DecLat-O343))),IF((90 + (DecLat-O343))&gt;90, (90 + (O343-DecLat)), (90 + (DecLat-O343))))</f>
        <v>46.716666666666669</v>
      </c>
      <c r="AG343" s="257">
        <f>angularseperation(MoonRA,MoonDec,$M343,$O343)</f>
        <v>97.99181028877905</v>
      </c>
      <c r="AH343" s="261">
        <f ca="1">MIN(100,IF($O$5&gt;80,0+30*($AG343/100),IF($O$5&gt;70,0+50*($AG343/100),IF($O$5&gt;60,5+50*($AG343/100),IF($O$5&gt;50,10+60*($AG343/100),IF($O$5&gt;40,15+70*($AG343/100),IF($O$5&gt;30,20+70*($AG343/100),IF($O$5&gt;20,40+55*($AG343/100),(80+(20-$O$5)+30*($AG343/100))))))))))</f>
        <v>100</v>
      </c>
      <c r="AI343" s="262">
        <v>7727</v>
      </c>
      <c r="AJ343" s="262"/>
      <c r="AK343" s="262">
        <v>397</v>
      </c>
      <c r="AL343" s="263"/>
      <c r="AM343" s="264"/>
      <c r="AN343" s="263">
        <v>222</v>
      </c>
      <c r="AO343" s="263"/>
      <c r="AP343" s="265"/>
      <c r="AQ343" s="266"/>
      <c r="AR343" s="267">
        <v>72060</v>
      </c>
      <c r="AS343" s="263"/>
      <c r="AT343" s="263"/>
      <c r="AU343" s="263"/>
      <c r="AV343" s="264"/>
      <c r="AW343" s="263"/>
      <c r="AX343" s="263"/>
      <c r="AY343" s="263"/>
      <c r="AZ343" s="263"/>
      <c r="BA343" s="263"/>
      <c r="BB343" s="263"/>
      <c r="BC343" s="263"/>
      <c r="BD343" s="264"/>
      <c r="BE343" s="263"/>
      <c r="BF343" s="263"/>
      <c r="BG343" s="263"/>
      <c r="BH343" s="263">
        <v>77</v>
      </c>
      <c r="BI343" s="263"/>
      <c r="BJ343" s="404">
        <f>altaz(J2000_Bas,$O343,$M343,DecLat,DecLong,2)</f>
        <v>111.69939152567584</v>
      </c>
      <c r="BK343" s="378" t="s">
        <v>438</v>
      </c>
      <c r="BL343" s="379">
        <f>IF((2*G343)/60&lt;0.2,0.2,(2*G343)/60)</f>
        <v>0.2</v>
      </c>
      <c r="BM343" s="380">
        <f>MOD((50000+AD343-$B$3+(0/24)),1)</f>
        <v>0.19430845839815447</v>
      </c>
      <c r="BN343" s="381"/>
      <c r="BO343" s="382">
        <v>343</v>
      </c>
    </row>
    <row r="344" spans="1:67" s="24" customFormat="1" ht="15" customHeight="1" x14ac:dyDescent="0.25">
      <c r="A344" s="288" t="s">
        <v>439</v>
      </c>
      <c r="B344" s="241" t="str">
        <f>HYPERLINK(CONCATENATE($AT$3,BK344,$AU$3),$AV$3)</f>
        <v>S</v>
      </c>
      <c r="C344" s="242" t="str">
        <f>HYPERLINK(CONCATENATE($AT$4,BK344,$AU$4,BL344),$AV$4)</f>
        <v>A</v>
      </c>
      <c r="D344" s="243" t="s">
        <v>5638</v>
      </c>
      <c r="E344" s="244" t="s">
        <v>5193</v>
      </c>
      <c r="F344" s="269" t="s">
        <v>9114</v>
      </c>
      <c r="G344" s="273">
        <v>2.8</v>
      </c>
      <c r="H344" s="283">
        <v>150</v>
      </c>
      <c r="I344" s="246">
        <v>120</v>
      </c>
      <c r="J344" s="246">
        <v>2</v>
      </c>
      <c r="K344" s="247" t="s">
        <v>8424</v>
      </c>
      <c r="L344" s="248">
        <v>231802</v>
      </c>
      <c r="M344" s="249">
        <f>15*(LEFT(TEXT($L344,"000000"),2)+(MID(TEXT($L344,"000000"),3,2)/60)+(RIGHT(TEXT($L344,"000000"),2)/3600))</f>
        <v>349.50833333333333</v>
      </c>
      <c r="N344" s="250">
        <v>-43800</v>
      </c>
      <c r="O344" s="251">
        <f>IF($N344&gt;0,(LEFT(TEXT($N344,"000000"),2)+(MID(TEXT($N344,"000000"),3,2)/60)+(RIGHT(TEXT($N344,"000000"),2)/3600)),-(MID(TEXT($N344,"000000"),2,2)+(MID(TEXT($N344,"000000"),4,2)/60)+(RIGHT(TEXT($N344,"000000"),2)/3600)))</f>
        <v>-4.6333333333333329</v>
      </c>
      <c r="P344" s="252" t="s">
        <v>3119</v>
      </c>
      <c r="Q344" s="253"/>
      <c r="R344" s="247" t="s">
        <v>3696</v>
      </c>
      <c r="S344" s="272" t="s">
        <v>3293</v>
      </c>
      <c r="T344" s="273">
        <v>11.4</v>
      </c>
      <c r="U344" s="289">
        <v>21.89</v>
      </c>
      <c r="V344" s="280"/>
      <c r="W344" s="244"/>
      <c r="X344" s="244"/>
      <c r="Y344" s="362"/>
      <c r="Z344" s="257">
        <f>altaz(J2000_Bas,$O344,$M344,DecLat,DecLong,1)</f>
        <v>19.848605911606562</v>
      </c>
      <c r="AA344" s="257">
        <f>altaz((J2000_Bas+(2*0.04167)),$O344,$M344,DecLat,DecLong,1)</f>
        <v>42.181998510316845</v>
      </c>
      <c r="AB344" s="257">
        <f>altaz((J2000_Bas+(4*0.04167)),$O344,$M344,DecLat,DecLong,1)</f>
        <v>54.224478425499818</v>
      </c>
      <c r="AC344" s="257">
        <f>altaz((J2000_Bas+(6*0.04167)),$O344,$M344,DecLat,DecLong,1)</f>
        <v>46.165283803890226</v>
      </c>
      <c r="AD344" s="258">
        <f>1+ transit((J2000_Bas-1),$O344,$M344,DecLat,DecLong)/360 + (GMTOffset/24) + (IF(DST="Y", 1, 0)/24)</f>
        <v>1.9637563450255413</v>
      </c>
      <c r="AE344" s="259">
        <f>DATE(2001,9,21)+(M344/360)*365 - (360*((DecLong/360)- (GMTOffset/24) ))</f>
        <v>37514.362615740742</v>
      </c>
      <c r="AF344" s="260">
        <f>IF(DecLat&gt;0,IF((90 - (DecLat-O344))&gt;90, (90 - (O344-DecLat)), (90 - (DecLat-O344))),IF((90 + (DecLat-O344))&gt;90, (90 + (O344-DecLat)), (90 + (DecLat-O344))))</f>
        <v>54.366666666666667</v>
      </c>
      <c r="AG344" s="257">
        <f>angularseperation(MoonRA,MoonDec,$M344,$O344)</f>
        <v>96.971997856039991</v>
      </c>
      <c r="AH344" s="261">
        <f ca="1">MIN(100,IF($O$5&gt;80,0+30*($AG344/100),IF($O$5&gt;70,0+50*($AG344/100),IF($O$5&gt;60,5+50*($AG344/100),IF($O$5&gt;50,10+60*($AG344/100),IF($O$5&gt;40,15+70*($AG344/100),IF($O$5&gt;30,20+70*($AG344/100),IF($O$5&gt;20,40+55*($AG344/100),(80+(20-$O$5)+30*($AG344/100))))))))))</f>
        <v>100</v>
      </c>
      <c r="AI344" s="262">
        <v>7585</v>
      </c>
      <c r="AJ344" s="262"/>
      <c r="AK344" s="262"/>
      <c r="AL344" s="263"/>
      <c r="AM344" s="264"/>
      <c r="AN344" s="263">
        <v>223</v>
      </c>
      <c r="AO344" s="263"/>
      <c r="AP344" s="265"/>
      <c r="AQ344" s="266"/>
      <c r="AR344" s="267">
        <v>70986</v>
      </c>
      <c r="AS344" s="263"/>
      <c r="AT344" s="263"/>
      <c r="AU344" s="263"/>
      <c r="AV344" s="264"/>
      <c r="AW344" s="263"/>
      <c r="AX344" s="263"/>
      <c r="AY344" s="263"/>
      <c r="AZ344" s="263"/>
      <c r="BA344" s="263"/>
      <c r="BB344" s="263"/>
      <c r="BC344" s="263"/>
      <c r="BD344" s="264"/>
      <c r="BE344" s="263"/>
      <c r="BF344" s="263"/>
      <c r="BG344" s="263"/>
      <c r="BH344" s="263"/>
      <c r="BI344" s="263"/>
      <c r="BJ344" s="404">
        <f>altaz(J2000_Bas,$O344,$M344,DecLat,DecLong,2)</f>
        <v>108.48705731658272</v>
      </c>
      <c r="BK344" s="378" t="s">
        <v>439</v>
      </c>
      <c r="BL344" s="379">
        <f>IF((2*G344)/60&lt;0.2,0.2,(2*G344)/60)</f>
        <v>0.2</v>
      </c>
      <c r="BM344" s="380">
        <f>MOD((50000+AD344-$B$3+(0/24)),1)</f>
        <v>0.17912327472731704</v>
      </c>
      <c r="BN344" s="381"/>
      <c r="BO344" s="382">
        <v>344</v>
      </c>
    </row>
    <row r="345" spans="1:67" s="24" customFormat="1" ht="15" customHeight="1" x14ac:dyDescent="0.25">
      <c r="A345" s="288" t="s">
        <v>440</v>
      </c>
      <c r="B345" s="241" t="str">
        <f>HYPERLINK(CONCATENATE($AT$3,BK345,$AU$3),$AV$3)</f>
        <v>S</v>
      </c>
      <c r="C345" s="242" t="str">
        <f>HYPERLINK(CONCATENATE($AT$4,BK345,$AU$4,BL345),$AV$4)</f>
        <v>A</v>
      </c>
      <c r="D345" s="243" t="s">
        <v>5638</v>
      </c>
      <c r="E345" s="244" t="s">
        <v>5182</v>
      </c>
      <c r="F345" s="269" t="s">
        <v>9122</v>
      </c>
      <c r="G345" s="273">
        <v>2.2000000000000002</v>
      </c>
      <c r="H345" s="283">
        <v>280</v>
      </c>
      <c r="I345" s="246">
        <v>190</v>
      </c>
      <c r="J345" s="246">
        <v>2</v>
      </c>
      <c r="K345" s="247" t="s">
        <v>8525</v>
      </c>
      <c r="L345" s="248">
        <v>115106</v>
      </c>
      <c r="M345" s="249">
        <f>15*(LEFT(TEXT($L345,"000000"),2)+(MID(TEXT($L345,"000000"),3,2)/60)+(RIGHT(TEXT($L345,"000000"),2)/3600))</f>
        <v>177.77500000000001</v>
      </c>
      <c r="N345" s="250">
        <v>550400</v>
      </c>
      <c r="O345" s="251">
        <f>IF($N345&gt;0,(LEFT(TEXT($N345,"000000"),2)+(MID(TEXT($N345,"000000"),3,2)/60)+(RIGHT(TEXT($N345,"000000"),2)/3600)),-(MID(TEXT($N345,"000000"),2,2)+(MID(TEXT($N345,"000000"),4,2)/60)+(RIGHT(TEXT($N345,"000000"),2)/3600)))</f>
        <v>55.06666666666667</v>
      </c>
      <c r="P345" s="252" t="s">
        <v>37</v>
      </c>
      <c r="Q345" s="253"/>
      <c r="R345" s="247" t="s">
        <v>3567</v>
      </c>
      <c r="S345" s="272" t="s">
        <v>3293</v>
      </c>
      <c r="T345" s="273">
        <v>12.4</v>
      </c>
      <c r="U345" s="289">
        <v>22.29</v>
      </c>
      <c r="V345" s="280"/>
      <c r="W345" s="244"/>
      <c r="X345" s="244"/>
      <c r="Y345" s="362"/>
      <c r="Z345" s="257">
        <f>altaz(J2000_Bas,$O345,$M345,DecLat,DecLong,1)</f>
        <v>15.587437654774075</v>
      </c>
      <c r="AA345" s="257">
        <f>altaz((J2000_Bas+(2*0.04167)),$O345,$M345,DecLat,DecLong,1)</f>
        <v>3.1926512780253273</v>
      </c>
      <c r="AB345" s="257">
        <f>altaz((J2000_Bas+(4*0.04167)),$O345,$M345,DecLat,DecLong,1)</f>
        <v>-3.3574423538424338</v>
      </c>
      <c r="AC345" s="257">
        <f>altaz((J2000_Bas+(6*0.04167)),$O345,$M345,DecLat,DecLong,1)</f>
        <v>-2.480658806403218</v>
      </c>
      <c r="AD345" s="258">
        <f>1+ transit((J2000_Bas-1),$O345,$M345,DecLat,DecLong)/360 + (GMTOffset/24) + (IF(DST="Y", 1, 0)/24)</f>
        <v>1.486719355692208</v>
      </c>
      <c r="AE345" s="259">
        <f>DATE(2001,9,21)+(M345/360)*365 - (360*((DecLong/360)- (GMTOffset/24) ))</f>
        <v>37340.244097222225</v>
      </c>
      <c r="AF345" s="260">
        <f>IF(DecLat&gt;0,IF((90 - (DecLat-O345))&gt;90, (90 - (O345-DecLat)), (90 - (DecLat-O345))),IF((90 + (DecLat-O345))&gt;90, (90 + (O345-DecLat)), (90 + (DecLat-O345))))</f>
        <v>65.933333333333337</v>
      </c>
      <c r="AG345" s="257">
        <f>angularseperation(MoonRA,MoonDec,$M345,$O345)</f>
        <v>102.19335848602982</v>
      </c>
      <c r="AH345" s="261">
        <f ca="1">MIN(100,IF($O$5&gt;80,0+30*($AG345/100),IF($O$5&gt;70,0+50*($AG345/100),IF($O$5&gt;60,5+50*($AG345/100),IF($O$5&gt;50,10+60*($AG345/100),IF($O$5&gt;40,15+70*($AG345/100),IF($O$5&gt;30,20+70*($AG345/100),IF($O$5&gt;20,40+55*($AG345/100),(80+(20-$O$5)+30*($AG345/100))))))))))</f>
        <v>100</v>
      </c>
      <c r="AI345" s="262">
        <v>3921</v>
      </c>
      <c r="AJ345" s="262"/>
      <c r="AK345" s="262"/>
      <c r="AL345" s="263"/>
      <c r="AM345" s="264"/>
      <c r="AN345" s="263">
        <v>224</v>
      </c>
      <c r="AO345" s="263"/>
      <c r="AP345" s="265"/>
      <c r="AQ345" s="266">
        <v>6823</v>
      </c>
      <c r="AR345" s="267">
        <v>37063</v>
      </c>
      <c r="AS345" s="263"/>
      <c r="AT345" s="263"/>
      <c r="AU345" s="263"/>
      <c r="AV345" s="264"/>
      <c r="AW345" s="263"/>
      <c r="AX345" s="263"/>
      <c r="AY345" s="263"/>
      <c r="AZ345" s="263"/>
      <c r="BA345" s="263"/>
      <c r="BB345" s="263"/>
      <c r="BC345" s="263"/>
      <c r="BD345" s="264"/>
      <c r="BE345" s="263"/>
      <c r="BF345" s="263"/>
      <c r="BG345" s="263"/>
      <c r="BH345" s="263">
        <v>25</v>
      </c>
      <c r="BI345" s="263"/>
      <c r="BJ345" s="404">
        <f>altaz(J2000_Bas,$O345,$M345,DecLat,DecLong,2)</f>
        <v>325.62154512706451</v>
      </c>
      <c r="BK345" s="378" t="s">
        <v>440</v>
      </c>
      <c r="BL345" s="379">
        <f>IF((2*G345)/60&lt;0.2,0.2,(2*G345)/60)</f>
        <v>0.2</v>
      </c>
      <c r="BM345" s="380">
        <f>MOD((50000+AD345-$B$3+(0/24)),1)</f>
        <v>0.70208628539694473</v>
      </c>
      <c r="BN345" s="381"/>
      <c r="BO345" s="382">
        <v>345</v>
      </c>
    </row>
    <row r="346" spans="1:67" s="24" customFormat="1" ht="15" customHeight="1" x14ac:dyDescent="0.25">
      <c r="A346" s="288" t="s">
        <v>441</v>
      </c>
      <c r="B346" s="241" t="str">
        <f>HYPERLINK(CONCATENATE($AT$3,BK346,$AU$3),$AV$3)</f>
        <v>S</v>
      </c>
      <c r="C346" s="242" t="str">
        <f>HYPERLINK(CONCATENATE($AT$4,BK346,$AU$4,BL346),$AV$4)</f>
        <v>A</v>
      </c>
      <c r="D346" s="243" t="s">
        <v>5638</v>
      </c>
      <c r="E346" s="244" t="s">
        <v>5182</v>
      </c>
      <c r="F346" s="269" t="s">
        <v>9115</v>
      </c>
      <c r="G346" s="273">
        <v>5</v>
      </c>
      <c r="H346" s="283">
        <v>80</v>
      </c>
      <c r="I346" s="246">
        <v>130</v>
      </c>
      <c r="J346" s="246">
        <v>2</v>
      </c>
      <c r="K346" s="247" t="s">
        <v>4285</v>
      </c>
      <c r="L346" s="248">
        <v>85538</v>
      </c>
      <c r="M346" s="249">
        <f>15*(LEFT(TEXT($L346,"000000"),2)+(MID(TEXT($L346,"000000"),3,2)/60)+(RIGHT(TEXT($L346,"000000"),2)/3600))</f>
        <v>133.90833333333333</v>
      </c>
      <c r="N346" s="250">
        <v>781300</v>
      </c>
      <c r="O346" s="251">
        <f>IF($N346&gt;0,(LEFT(TEXT($N346,"000000"),2)+(MID(TEXT($N346,"000000"),3,2)/60)+(RIGHT(TEXT($N346,"000000"),2)/3600)),-(MID(TEXT($N346,"000000"),2,2)+(MID(TEXT($N346,"000000"),4,2)/60)+(RIGHT(TEXT($N346,"000000"),2)/3600)))</f>
        <v>78.216666666666669</v>
      </c>
      <c r="P346" s="252" t="s">
        <v>226</v>
      </c>
      <c r="Q346" s="253"/>
      <c r="R346" s="247" t="s">
        <v>3515</v>
      </c>
      <c r="S346" s="272" t="s">
        <v>3293</v>
      </c>
      <c r="T346" s="273">
        <v>10.1</v>
      </c>
      <c r="U346" s="289">
        <v>22.09</v>
      </c>
      <c r="V346" s="280">
        <v>20</v>
      </c>
      <c r="W346" s="244"/>
      <c r="X346" s="244"/>
      <c r="Y346" s="362"/>
      <c r="Z346" s="257">
        <f>altaz(J2000_Bas,$O346,$M346,DecLat,DecLong,1)</f>
        <v>20.456463266612076</v>
      </c>
      <c r="AA346" s="257">
        <f>altaz((J2000_Bas+(2*0.04167)),$O346,$M346,DecLat,DecLong,1)</f>
        <v>19.224345568690811</v>
      </c>
      <c r="AB346" s="257">
        <f>altaz((J2000_Bas+(4*0.04167)),$O346,$M346,DecLat,DecLong,1)</f>
        <v>20.865012469179678</v>
      </c>
      <c r="AC346" s="257">
        <f>altaz((J2000_Bas+(6*0.04167)),$O346,$M346,DecLat,DecLong,1)</f>
        <v>25.020771100025438</v>
      </c>
      <c r="AD346" s="258">
        <f>1+ transit((J2000_Bas-1),$O346,$M346,DecLat,DecLong)/360 + (GMTOffset/24) + (IF(DST="Y", 1, 0)/24)</f>
        <v>1.3648675160255415</v>
      </c>
      <c r="AE346" s="259">
        <f>DATE(2001,9,21)+(M346/360)*365 - (360*((DecLong/360)- (GMTOffset/24) ))</f>
        <v>37295.768171296295</v>
      </c>
      <c r="AF346" s="260">
        <f>IF(DecLat&gt;0,IF((90 - (DecLat-O346))&gt;90, (90 - (O346-DecLat)), (90 - (DecLat-O346))),IF((90 + (DecLat-O346))&gt;90, (90 + (O346-DecLat)), (90 + (DecLat-O346))))</f>
        <v>42.783333333333331</v>
      </c>
      <c r="AG346" s="257">
        <f>angularseperation(MoonRA,MoonDec,$M346,$O346)</f>
        <v>121.56735692288974</v>
      </c>
      <c r="AH346" s="261">
        <f ca="1">MIN(100,IF($O$5&gt;80,0+30*($AG346/100),IF($O$5&gt;70,0+50*($AG346/100),IF($O$5&gt;60,5+50*($AG346/100),IF($O$5&gt;50,10+60*($AG346/100),IF($O$5&gt;40,15+70*($AG346/100),IF($O$5&gt;30,20+70*($AG346/100),IF($O$5&gt;20,40+55*($AG346/100),(80+(20-$O$5)+30*($AG346/100))))))))))</f>
        <v>100</v>
      </c>
      <c r="AI346" s="262">
        <v>2655</v>
      </c>
      <c r="AJ346" s="262"/>
      <c r="AK346" s="262">
        <v>119</v>
      </c>
      <c r="AL346" s="263"/>
      <c r="AM346" s="264"/>
      <c r="AN346" s="263">
        <v>225</v>
      </c>
      <c r="AO346" s="263"/>
      <c r="AP346" s="265"/>
      <c r="AQ346" s="266">
        <v>4637</v>
      </c>
      <c r="AR346" s="267">
        <v>25069</v>
      </c>
      <c r="AS346" s="263"/>
      <c r="AT346" s="263"/>
      <c r="AU346" s="263"/>
      <c r="AV346" s="264"/>
      <c r="AW346" s="263"/>
      <c r="AX346" s="263"/>
      <c r="AY346" s="263"/>
      <c r="AZ346" s="263"/>
      <c r="BA346" s="263"/>
      <c r="BB346" s="263"/>
      <c r="BC346" s="263"/>
      <c r="BD346" s="264"/>
      <c r="BE346" s="263">
        <v>48</v>
      </c>
      <c r="BF346" s="263"/>
      <c r="BG346" s="263"/>
      <c r="BH346" s="263"/>
      <c r="BI346" s="263"/>
      <c r="BJ346" s="404">
        <f>altaz(J2000_Bas,$O346,$M346,DecLat,DecLong,2)</f>
        <v>354.14522775608134</v>
      </c>
      <c r="BK346" s="378" t="s">
        <v>441</v>
      </c>
      <c r="BL346" s="379">
        <f>IF((2*G346)/60&lt;0.2,0.2,(2*G346)/60)</f>
        <v>0.2</v>
      </c>
      <c r="BM346" s="380">
        <f>MOD((50000+AD346-$B$3+(0/24)),1)</f>
        <v>0.58023444572609151</v>
      </c>
      <c r="BN346" s="381"/>
      <c r="BO346" s="382">
        <v>346</v>
      </c>
    </row>
    <row r="347" spans="1:67" s="24" customFormat="1" ht="15" customHeight="1" x14ac:dyDescent="0.25">
      <c r="A347" s="288" t="s">
        <v>442</v>
      </c>
      <c r="B347" s="241" t="str">
        <f>HYPERLINK(CONCATENATE($AT$3,BK347,$AU$3),$AV$3)</f>
        <v>S</v>
      </c>
      <c r="C347" s="242" t="str">
        <f>HYPERLINK(CONCATENATE($AT$4,BK347,$AU$4,BL347),$AV$4)</f>
        <v>A</v>
      </c>
      <c r="D347" s="243" t="s">
        <v>5638</v>
      </c>
      <c r="E347" s="244" t="s">
        <v>5182</v>
      </c>
      <c r="F347" s="269" t="s">
        <v>9123</v>
      </c>
      <c r="G347" s="273">
        <v>2</v>
      </c>
      <c r="H347" s="283">
        <v>220.09968000000003</v>
      </c>
      <c r="I347" s="246">
        <v>120</v>
      </c>
      <c r="J347" s="246">
        <v>2</v>
      </c>
      <c r="K347" s="247" t="s">
        <v>8425</v>
      </c>
      <c r="L347" s="248">
        <v>222044</v>
      </c>
      <c r="M347" s="249">
        <f>15*(LEFT(TEXT($L347,"000000"),2)+(MID(TEXT($L347,"000000"),3,2)/60)+(RIGHT(TEXT($L347,"000000"),2)/3600))</f>
        <v>335.18333333333328</v>
      </c>
      <c r="N347" s="250">
        <v>-244000</v>
      </c>
      <c r="O347" s="251">
        <f>IF($N347&gt;0,(LEFT(TEXT($N347,"000000"),2)+(MID(TEXT($N347,"000000"),3,2)/60)+(RIGHT(TEXT($N347,"000000"),2)/3600)),-(MID(TEXT($N347,"000000"),2,2)+(MID(TEXT($N347,"000000"),4,2)/60)+(RIGHT(TEXT($N347,"000000"),2)/3600)))</f>
        <v>-24.666666666666668</v>
      </c>
      <c r="P347" s="252" t="s">
        <v>3119</v>
      </c>
      <c r="Q347" s="253" t="s">
        <v>6855</v>
      </c>
      <c r="R347" s="247" t="s">
        <v>3689</v>
      </c>
      <c r="S347" s="272" t="s">
        <v>3293</v>
      </c>
      <c r="T347" s="273">
        <v>11.4</v>
      </c>
      <c r="U347" s="289">
        <v>22.09</v>
      </c>
      <c r="V347" s="280"/>
      <c r="W347" s="244"/>
      <c r="X347" s="244"/>
      <c r="Y347" s="362"/>
      <c r="Z347" s="257">
        <f>altaz(J2000_Bas,$O347,$M347,DecLat,DecLong,1)</f>
        <v>17.11175799527966</v>
      </c>
      <c r="AA347" s="257">
        <f>altaz((J2000_Bas+(2*0.04167)),$O347,$M347,DecLat,DecLong,1)</f>
        <v>31.408851346606085</v>
      </c>
      <c r="AB347" s="257">
        <f>altaz((J2000_Bas+(4*0.04167)),$O347,$M347,DecLat,DecLong,1)</f>
        <v>33.348158789566064</v>
      </c>
      <c r="AC347" s="257">
        <f>altaz((J2000_Bas+(6*0.04167)),$O347,$M347,DecLat,DecLong,1)</f>
        <v>21.856684773845892</v>
      </c>
      <c r="AD347" s="258">
        <f>1+ transit((J2000_Bas-1),$O347,$M347,DecLat,DecLong)/360 + (GMTOffset/24) + (IF(DST="Y", 1, 0)/24)</f>
        <v>1.9239646823380412</v>
      </c>
      <c r="AE347" s="259">
        <f>DATE(2001,9,21)+(M347/360)*365 - (360*((DecLong/360)- (GMTOffset/24) ))</f>
        <v>37499.83865740741</v>
      </c>
      <c r="AF347" s="260">
        <f>IF(DecLat&gt;0,IF((90 - (DecLat-O347))&gt;90, (90 - (O347-DecLat)), (90 - (DecLat-O347))),IF((90 + (DecLat-O347))&gt;90, (90 + (O347-DecLat)), (90 + (DecLat-O347))))</f>
        <v>34.333333333333329</v>
      </c>
      <c r="AG347" s="257">
        <f>angularseperation(MoonRA,MoonDec,$M347,$O347)</f>
        <v>75.683493613429874</v>
      </c>
      <c r="AH347" s="261">
        <f ca="1">MIN(100,IF($O$5&gt;80,0+30*($AG347/100),IF($O$5&gt;70,0+50*($AG347/100),IF($O$5&gt;60,5+50*($AG347/100),IF($O$5&gt;50,10+60*($AG347/100),IF($O$5&gt;40,15+70*($AG347/100),IF($O$5&gt;30,20+70*($AG347/100),IF($O$5&gt;20,40+55*($AG347/100),(80+(20-$O$5)+30*($AG347/100))))))))))</f>
        <v>100</v>
      </c>
      <c r="AI347" s="262">
        <v>7252</v>
      </c>
      <c r="AJ347" s="262"/>
      <c r="AK347" s="262"/>
      <c r="AL347" s="263"/>
      <c r="AM347" s="264"/>
      <c r="AN347" s="263">
        <v>226</v>
      </c>
      <c r="AO347" s="263"/>
      <c r="AP347" s="265"/>
      <c r="AQ347" s="266"/>
      <c r="AR347" s="267">
        <v>68612</v>
      </c>
      <c r="AS347" s="263"/>
      <c r="AT347" s="263"/>
      <c r="AU347" s="263"/>
      <c r="AV347" s="264"/>
      <c r="AW347" s="263"/>
      <c r="AX347" s="263"/>
      <c r="AY347" s="263"/>
      <c r="AZ347" s="263"/>
      <c r="BA347" s="263"/>
      <c r="BB347" s="263"/>
      <c r="BC347" s="263"/>
      <c r="BD347" s="264"/>
      <c r="BE347" s="263"/>
      <c r="BF347" s="263"/>
      <c r="BG347" s="263"/>
      <c r="BH347" s="263">
        <v>7</v>
      </c>
      <c r="BI347" s="263"/>
      <c r="BJ347" s="404">
        <f>altaz(J2000_Bas,$O347,$M347,DecLat,DecLong,2)</f>
        <v>133.98070122315039</v>
      </c>
      <c r="BK347" s="378" t="s">
        <v>442</v>
      </c>
      <c r="BL347" s="379">
        <f>IF((2*G347)/60&lt;0.2,0.2,(2*G347)/60)</f>
        <v>0.2</v>
      </c>
      <c r="BM347" s="380">
        <f>MOD((50000+AD347-$B$3+(0/24)),1)</f>
        <v>0.13933161204477074</v>
      </c>
      <c r="BN347" s="381"/>
      <c r="BO347" s="382">
        <v>347</v>
      </c>
    </row>
    <row r="348" spans="1:67" s="24" customFormat="1" ht="15" customHeight="1" x14ac:dyDescent="0.25">
      <c r="A348" s="288" t="s">
        <v>443</v>
      </c>
      <c r="B348" s="241" t="str">
        <f>HYPERLINK(CONCATENATE($AT$3,BK348,$AU$3),$AV$3)</f>
        <v>S</v>
      </c>
      <c r="C348" s="242" t="str">
        <f>HYPERLINK(CONCATENATE($AT$4,BK348,$AU$4,BL348),$AV$4)</f>
        <v>A</v>
      </c>
      <c r="D348" s="243" t="s">
        <v>5638</v>
      </c>
      <c r="E348" s="244" t="s">
        <v>5178</v>
      </c>
      <c r="F348" s="269" t="s">
        <v>9116</v>
      </c>
      <c r="G348" s="273">
        <v>5</v>
      </c>
      <c r="H348" s="283">
        <v>100</v>
      </c>
      <c r="I348" s="246">
        <v>150</v>
      </c>
      <c r="J348" s="246">
        <v>2</v>
      </c>
      <c r="K348" s="247" t="s">
        <v>4623</v>
      </c>
      <c r="L348" s="248">
        <v>12006</v>
      </c>
      <c r="M348" s="249">
        <f>15*(LEFT(TEXT($L348,"000000"),2)+(MID(TEXT($L348,"000000"),3,2)/60)+(RIGHT(TEXT($L348,"000000"),2)/3600))</f>
        <v>20.024999999999999</v>
      </c>
      <c r="N348" s="250">
        <v>32500</v>
      </c>
      <c r="O348" s="251">
        <f>IF($N348&gt;0,(LEFT(TEXT($N348,"000000"),2)+(MID(TEXT($N348,"000000"),3,2)/60)+(RIGHT(TEXT($N348,"000000"),2)/3600)),-(MID(TEXT($N348,"000000"),2,2)+(MID(TEXT($N348,"000000"),4,2)/60)+(RIGHT(TEXT($N348,"000000"),2)/3600)))</f>
        <v>3.4166666666666665</v>
      </c>
      <c r="P348" s="252" t="s">
        <v>158</v>
      </c>
      <c r="Q348" s="253"/>
      <c r="R348" s="247" t="s">
        <v>3461</v>
      </c>
      <c r="S348" s="272" t="s">
        <v>3293</v>
      </c>
      <c r="T348" s="273">
        <v>11.8</v>
      </c>
      <c r="U348" s="289">
        <v>21.69</v>
      </c>
      <c r="V348" s="280"/>
      <c r="W348" s="244"/>
      <c r="X348" s="244"/>
      <c r="Y348" s="362"/>
      <c r="Z348" s="257">
        <f>altaz(J2000_Bas,$O348,$M348,DecLat,DecLong,1)</f>
        <v>-1.6804620217793487</v>
      </c>
      <c r="AA348" s="257">
        <f>altaz((J2000_Bas+(2*0.04167)),$O348,$M348,DecLat,DecLong,1)</f>
        <v>23.992582472213979</v>
      </c>
      <c r="AB348" s="257">
        <f>altaz((J2000_Bas+(4*0.04167)),$O348,$M348,DecLat,DecLong,1)</f>
        <v>47.840417105379572</v>
      </c>
      <c r="AC348" s="257">
        <f>altaz((J2000_Bas+(6*0.04167)),$O348,$M348,DecLat,DecLong,1)</f>
        <v>62.188575132583665</v>
      </c>
      <c r="AD348" s="258">
        <f>1+ transit((J2000_Bas-1),$O348,$M348,DecLat,DecLong)/360 + (GMTOffset/24) + (IF(DST="Y", 1, 0)/24)</f>
        <v>1.048524955067208</v>
      </c>
      <c r="AE348" s="259">
        <f>DATE(2001,9,21)+(M348/360)*365 - (360*((DecLong/360)- (GMTOffset/24) ))</f>
        <v>37180.303124999999</v>
      </c>
      <c r="AF348" s="260">
        <f>IF(DecLat&gt;0,IF((90 - (DecLat-O348))&gt;90, (90 - (O348-DecLat)), (90 - (DecLat-O348))),IF((90 + (DecLat-O348))&gt;90, (90 + (O348-DecLat)), (90 + (DecLat-O348))))</f>
        <v>62.416666666666671</v>
      </c>
      <c r="AG348" s="257">
        <f>angularseperation(MoonRA,MoonDec,$M348,$O348)</f>
        <v>127.42104468374114</v>
      </c>
      <c r="AH348" s="261">
        <f ca="1">MIN(100,IF($O$5&gt;80,0+30*($AG348/100),IF($O$5&gt;70,0+50*($AG348/100),IF($O$5&gt;60,5+50*($AG348/100),IF($O$5&gt;50,10+60*($AG348/100),IF($O$5&gt;40,15+70*($AG348/100),IF($O$5&gt;30,20+70*($AG348/100),IF($O$5&gt;20,40+55*($AG348/100),(80+(20-$O$5)+30*($AG348/100))))))))))</f>
        <v>100</v>
      </c>
      <c r="AI348" s="262">
        <v>467</v>
      </c>
      <c r="AJ348" s="262"/>
      <c r="AK348" s="262"/>
      <c r="AL348" s="263"/>
      <c r="AM348" s="264"/>
      <c r="AN348" s="263">
        <v>227</v>
      </c>
      <c r="AO348" s="263"/>
      <c r="AP348" s="265"/>
      <c r="AQ348" s="266">
        <v>848</v>
      </c>
      <c r="AR348" s="267">
        <v>4736</v>
      </c>
      <c r="AS348" s="263"/>
      <c r="AT348" s="263"/>
      <c r="AU348" s="263"/>
      <c r="AV348" s="264"/>
      <c r="AW348" s="263"/>
      <c r="AX348" s="263"/>
      <c r="AY348" s="263"/>
      <c r="AZ348" s="263"/>
      <c r="BA348" s="263"/>
      <c r="BB348" s="263"/>
      <c r="BC348" s="263"/>
      <c r="BD348" s="264"/>
      <c r="BE348" s="263"/>
      <c r="BF348" s="263"/>
      <c r="BG348" s="263"/>
      <c r="BH348" s="263"/>
      <c r="BI348" s="263"/>
      <c r="BJ348" s="404">
        <f>altaz(J2000_Bas,$O348,$M348,DecLat,DecLong,2)</f>
        <v>84.998287090731765</v>
      </c>
      <c r="BK348" s="378" t="s">
        <v>443</v>
      </c>
      <c r="BL348" s="379">
        <f>IF((2*G348)/60&lt;0.2,0.2,(2*G348)/60)</f>
        <v>0.2</v>
      </c>
      <c r="BM348" s="380">
        <f>MOD((50000+AD348-$B$3+(0/24)),1)</f>
        <v>0.26389188477332937</v>
      </c>
      <c r="BN348" s="381"/>
      <c r="BO348" s="382">
        <v>348</v>
      </c>
    </row>
    <row r="349" spans="1:67" s="24" customFormat="1" ht="15" customHeight="1" x14ac:dyDescent="0.25">
      <c r="A349" s="288" t="s">
        <v>444</v>
      </c>
      <c r="B349" s="241" t="str">
        <f>HYPERLINK(CONCATENATE($AT$3,BK349,$AU$3),$AV$3)</f>
        <v>S</v>
      </c>
      <c r="C349" s="242" t="str">
        <f>HYPERLINK(CONCATENATE($AT$4,BK349,$AU$4,BL349),$AV$4)</f>
        <v>A</v>
      </c>
      <c r="D349" s="243" t="s">
        <v>5638</v>
      </c>
      <c r="E349" s="244" t="s">
        <v>5625</v>
      </c>
      <c r="F349" s="269" t="s">
        <v>9117</v>
      </c>
      <c r="G349" s="282">
        <v>10</v>
      </c>
      <c r="H349" s="283">
        <v>225</v>
      </c>
      <c r="I349" s="284">
        <v>650</v>
      </c>
      <c r="J349" s="246">
        <v>2</v>
      </c>
      <c r="K349" s="247" t="s">
        <v>4621</v>
      </c>
      <c r="L349" s="248">
        <v>14853</v>
      </c>
      <c r="M349" s="249">
        <f>15*(LEFT(TEXT($L349,"000000"),2)+(MID(TEXT($L349,"000000"),3,2)/60)+(RIGHT(TEXT($L349,"000000"),2)/3600))</f>
        <v>27.220833333333335</v>
      </c>
      <c r="N349" s="250">
        <v>103100</v>
      </c>
      <c r="O349" s="251">
        <f>IF($N349&gt;0,(LEFT(TEXT($N349,"000000"),2)+(MID(TEXT($N349,"000000"),3,2)/60)+(RIGHT(TEXT($N349,"000000"),2)/3600)),-(MID(TEXT($N349,"000000"),2,2)+(MID(TEXT($N349,"000000"),4,2)/60)+(RIGHT(TEXT($N349,"000000"),2)/3600)))</f>
        <v>10.516666666666667</v>
      </c>
      <c r="P349" s="252" t="s">
        <v>158</v>
      </c>
      <c r="Q349" s="253"/>
      <c r="R349" s="247" t="s">
        <v>3711</v>
      </c>
      <c r="S349" s="272" t="s">
        <v>3293</v>
      </c>
      <c r="T349" s="273">
        <v>12.7</v>
      </c>
      <c r="U349" s="289">
        <v>22.19</v>
      </c>
      <c r="V349" s="280"/>
      <c r="W349" s="244"/>
      <c r="X349" s="244"/>
      <c r="Y349" s="362"/>
      <c r="Z349" s="257">
        <f>altaz(J2000_Bas,$O349,$M349,DecLat,DecLong,1)</f>
        <v>-4.0112153096908969</v>
      </c>
      <c r="AA349" s="257">
        <f>altaz((J2000_Bas+(2*0.04167)),$O349,$M349,DecLat,DecLong,1)</f>
        <v>21.501429132240702</v>
      </c>
      <c r="AB349" s="257">
        <f>altaz((J2000_Bas+(4*0.04167)),$O349,$M349,DecLat,DecLong,1)</f>
        <v>46.850923762620859</v>
      </c>
      <c r="AC349" s="257">
        <f>altaz((J2000_Bas+(6*0.04167)),$O349,$M349,DecLat,DecLong,1)</f>
        <v>67.130034367346838</v>
      </c>
      <c r="AD349" s="258">
        <f>1+ transit((J2000_Bas-1),$O349,$M349,DecLat,DecLong)/360 + (GMTOffset/24) + (IF(DST="Y", 1, 0)/24)</f>
        <v>1.0685133789942913</v>
      </c>
      <c r="AE349" s="259">
        <f>DATE(2001,9,21)+(M349/360)*365 - (360*((DecLong/360)- (GMTOffset/24) ))</f>
        <v>37187.598900462966</v>
      </c>
      <c r="AF349" s="260">
        <f>IF(DecLat&gt;0,IF((90 - (DecLat-O349))&gt;90, (90 - (O349-DecLat)), (90 - (DecLat-O349))),IF((90 + (DecLat-O349))&gt;90, (90 + (O349-DecLat)), (90 + (DecLat-O349))))</f>
        <v>69.516666666666666</v>
      </c>
      <c r="AG349" s="257">
        <f>angularseperation(MoonRA,MoonDec,$M349,$O349)</f>
        <v>137.17409510890096</v>
      </c>
      <c r="AH349" s="261">
        <f ca="1">MIN(100,IF($O$5&gt;80,0+30*($AG349/100),IF($O$5&gt;70,0+50*($AG349/100),IF($O$5&gt;60,5+50*($AG349/100),IF($O$5&gt;50,10+60*($AG349/100),IF($O$5&gt;40,15+70*($AG349/100),IF($O$5&gt;30,20+70*($AG349/100),IF($O$5&gt;20,40+55*($AG349/100),(80+(20-$O$5)+30*($AG349/100))))))))))</f>
        <v>100</v>
      </c>
      <c r="AI349" s="262"/>
      <c r="AJ349" s="262">
        <v>162</v>
      </c>
      <c r="AK349" s="262"/>
      <c r="AL349" s="263"/>
      <c r="AM349" s="264"/>
      <c r="AN349" s="263">
        <v>228</v>
      </c>
      <c r="AO349" s="263"/>
      <c r="AP349" s="265"/>
      <c r="AQ349" s="266">
        <v>1267</v>
      </c>
      <c r="AR349" s="267">
        <v>6643</v>
      </c>
      <c r="AS349" s="263"/>
      <c r="AT349" s="263"/>
      <c r="AU349" s="263"/>
      <c r="AV349" s="264"/>
      <c r="AW349" s="263"/>
      <c r="AX349" s="263"/>
      <c r="AY349" s="263"/>
      <c r="AZ349" s="263"/>
      <c r="BA349" s="263"/>
      <c r="BB349" s="263"/>
      <c r="BC349" s="263"/>
      <c r="BD349" s="264"/>
      <c r="BE349" s="263"/>
      <c r="BF349" s="263"/>
      <c r="BG349" s="263"/>
      <c r="BH349" s="263"/>
      <c r="BI349" s="263"/>
      <c r="BJ349" s="404">
        <f>altaz(J2000_Bas,$O349,$M349,DecLat,DecLong,2)</f>
        <v>75.191269784849226</v>
      </c>
      <c r="BK349" s="378" t="s">
        <v>444</v>
      </c>
      <c r="BL349" s="379">
        <f>IF((2*G349)/60&lt;0.2,0.2,(2*G349)/60)</f>
        <v>0.33333333333333331</v>
      </c>
      <c r="BM349" s="380">
        <f>MOD((50000+AD349-$B$3+(0/24)),1)</f>
        <v>0.28388030869973591</v>
      </c>
      <c r="BN349" s="381"/>
      <c r="BO349" s="382">
        <v>349</v>
      </c>
    </row>
    <row r="350" spans="1:67" s="24" customFormat="1" ht="15" customHeight="1" x14ac:dyDescent="0.25">
      <c r="A350" s="288" t="s">
        <v>445</v>
      </c>
      <c r="B350" s="241" t="str">
        <f>HYPERLINK(CONCATENATE($AT$3,BK350,$AU$3),$AV$3)</f>
        <v>S</v>
      </c>
      <c r="C350" s="242" t="str">
        <f>HYPERLINK(CONCATENATE($AT$4,BK350,$AU$4,BL350),$AV$4)</f>
        <v>A</v>
      </c>
      <c r="D350" s="243" t="s">
        <v>5638</v>
      </c>
      <c r="E350" s="244" t="s">
        <v>5178</v>
      </c>
      <c r="F350" s="269" t="s">
        <v>9116</v>
      </c>
      <c r="G350" s="273">
        <v>4.5</v>
      </c>
      <c r="H350" s="283">
        <v>210</v>
      </c>
      <c r="I350" s="246">
        <v>280</v>
      </c>
      <c r="J350" s="246">
        <v>2</v>
      </c>
      <c r="K350" s="247" t="s">
        <v>4622</v>
      </c>
      <c r="L350" s="248">
        <v>12340</v>
      </c>
      <c r="M350" s="249">
        <f>15*(LEFT(TEXT($L350,"000000"),2)+(MID(TEXT($L350,"000000"),3,2)/60)+(RIGHT(TEXT($L350,"000000"),2)/3600))</f>
        <v>20.916666666666664</v>
      </c>
      <c r="N350" s="250">
        <v>331600</v>
      </c>
      <c r="O350" s="251">
        <f>IF($N350&gt;0,(LEFT(TEXT($N350,"000000"),2)+(MID(TEXT($N350,"000000"),3,2)/60)+(RIGHT(TEXT($N350,"000000"),2)/3600)),-(MID(TEXT($N350,"000000"),2,2)+(MID(TEXT($N350,"000000"),4,2)/60)+(RIGHT(TEXT($N350,"000000"),2)/3600)))</f>
        <v>33.266666666666666</v>
      </c>
      <c r="P350" s="252" t="s">
        <v>158</v>
      </c>
      <c r="Q350" s="253"/>
      <c r="R350" s="247" t="s">
        <v>3463</v>
      </c>
      <c r="S350" s="272" t="s">
        <v>375</v>
      </c>
      <c r="T350" s="273">
        <v>11.2</v>
      </c>
      <c r="U350" s="289">
        <v>22.39</v>
      </c>
      <c r="V350" s="280"/>
      <c r="W350" s="244"/>
      <c r="X350" s="244"/>
      <c r="Y350" s="362"/>
      <c r="Z350" s="257">
        <f>altaz(J2000_Bas,$O350,$M350,DecLat,DecLong,1)</f>
        <v>12.775050636121822</v>
      </c>
      <c r="AA350" s="257">
        <f>altaz((J2000_Bas+(2*0.04167)),$O350,$M350,DecLat,DecLong,1)</f>
        <v>35.968435814646426</v>
      </c>
      <c r="AB350" s="257">
        <f>altaz((J2000_Bas+(4*0.04167)),$O350,$M350,DecLat,DecLong,1)</f>
        <v>60.624991395610976</v>
      </c>
      <c r="AC350" s="257">
        <f>altaz((J2000_Bas+(6*0.04167)),$O350,$M350,DecLat,DecLong,1)</f>
        <v>85.449646844589864</v>
      </c>
      <c r="AD350" s="258">
        <f>1+ transit((J2000_Bas-1),$O350,$M350,DecLat,DecLong)/360 + (GMTOffset/24) + (IF(DST="Y", 1, 0)/24)</f>
        <v>1.0510018066713747</v>
      </c>
      <c r="AE350" s="259">
        <f>DATE(2001,9,21)+(M350/360)*365 - (360*((DecLong/360)- (GMTOffset/24) ))</f>
        <v>37181.207175925927</v>
      </c>
      <c r="AF350" s="260">
        <f>IF(DecLat&gt;0,IF((90 - (DecLat-O350))&gt;90, (90 - (O350-DecLat)), (90 - (DecLat-O350))),IF((90 + (DecLat-O350))&gt;90, (90 + (O350-DecLat)), (90 + (DecLat-O350))))</f>
        <v>87.733333333333334</v>
      </c>
      <c r="AG350" s="257">
        <f>angularseperation(MoonRA,MoonDec,$M350,$O350)</f>
        <v>138.13540828236478</v>
      </c>
      <c r="AH350" s="261">
        <f ca="1">MIN(100,IF($O$5&gt;80,0+30*($AG350/100),IF($O$5&gt;70,0+50*($AG350/100),IF($O$5&gt;60,5+50*($AG350/100),IF($O$5&gt;50,10+60*($AG350/100),IF($O$5&gt;40,15+70*($AG350/100),IF($O$5&gt;30,20+70*($AG350/100),IF($O$5&gt;20,40+55*($AG350/100),(80+(20-$O$5)+30*($AG350/100))))))))))</f>
        <v>100</v>
      </c>
      <c r="AI350" s="262">
        <v>507</v>
      </c>
      <c r="AJ350" s="262"/>
      <c r="AK350" s="262"/>
      <c r="AL350" s="263"/>
      <c r="AM350" s="264"/>
      <c r="AN350" s="263">
        <v>229</v>
      </c>
      <c r="AO350" s="263"/>
      <c r="AP350" s="265"/>
      <c r="AQ350" s="266">
        <v>938</v>
      </c>
      <c r="AR350" s="267">
        <v>5098</v>
      </c>
      <c r="AS350" s="263"/>
      <c r="AT350" s="263"/>
      <c r="AU350" s="263"/>
      <c r="AV350" s="264"/>
      <c r="AW350" s="263"/>
      <c r="AX350" s="263"/>
      <c r="AY350" s="263"/>
      <c r="AZ350" s="263"/>
      <c r="BA350" s="263"/>
      <c r="BB350" s="263"/>
      <c r="BC350" s="263"/>
      <c r="BD350" s="264"/>
      <c r="BE350" s="263"/>
      <c r="BF350" s="263"/>
      <c r="BG350" s="263"/>
      <c r="BH350" s="263"/>
      <c r="BI350" s="263"/>
      <c r="BJ350" s="404">
        <f>altaz(J2000_Bas,$O350,$M350,DecLat,DecLong,2)</f>
        <v>58.671285625168665</v>
      </c>
      <c r="BK350" s="378" t="s">
        <v>445</v>
      </c>
      <c r="BL350" s="379">
        <f>IF((2*G350)/60&lt;0.2,0.2,(2*G350)/60)</f>
        <v>0.2</v>
      </c>
      <c r="BM350" s="380">
        <f>MOD((50000+AD350-$B$3+(0/24)),1)</f>
        <v>0.26636873637471581</v>
      </c>
      <c r="BN350" s="381"/>
      <c r="BO350" s="382">
        <v>350</v>
      </c>
    </row>
    <row r="351" spans="1:67" s="24" customFormat="1" ht="15" customHeight="1" x14ac:dyDescent="0.25">
      <c r="A351" s="288" t="s">
        <v>446</v>
      </c>
      <c r="B351" s="241" t="str">
        <f>HYPERLINK(CONCATENATE($AT$3,BK351,$AU$3),$AV$3)</f>
        <v>S</v>
      </c>
      <c r="C351" s="242" t="str">
        <f>HYPERLINK(CONCATENATE($AT$4,BK351,$AU$4,BL351),$AV$4)</f>
        <v>A</v>
      </c>
      <c r="D351" s="243" t="s">
        <v>5638</v>
      </c>
      <c r="E351" s="244" t="s">
        <v>28</v>
      </c>
      <c r="F351" s="269"/>
      <c r="G351" s="273">
        <v>1.4</v>
      </c>
      <c r="H351" s="283">
        <v>75</v>
      </c>
      <c r="I351" s="246">
        <v>30</v>
      </c>
      <c r="J351" s="246">
        <v>2</v>
      </c>
      <c r="K351" s="247" t="s">
        <v>4624</v>
      </c>
      <c r="L351" s="248">
        <v>4624</v>
      </c>
      <c r="M351" s="249">
        <f>15*(LEFT(TEXT($L351,"000000"),2)+(MID(TEXT($L351,"000000"),3,2)/60)+(RIGHT(TEXT($L351,"000000"),2)/3600))</f>
        <v>11.600000000000001</v>
      </c>
      <c r="N351" s="250">
        <v>-132600</v>
      </c>
      <c r="O351" s="251">
        <f>IF($N351&gt;0,(LEFT(TEXT($N351,"000000"),2)+(MID(TEXT($N351,"000000"),3,2)/60)+(RIGHT(TEXT($N351,"000000"),2)/3600)),-(MID(TEXT($N351,"000000"),2,2)+(MID(TEXT($N351,"000000"),4,2)/60)+(RIGHT(TEXT($N351,"000000"),2)/3600)))</f>
        <v>-13.433333333333334</v>
      </c>
      <c r="P351" s="252" t="s">
        <v>75</v>
      </c>
      <c r="Q351" s="253"/>
      <c r="R351" s="247" t="s">
        <v>3710</v>
      </c>
      <c r="S351" s="272" t="s">
        <v>3293</v>
      </c>
      <c r="T351" s="273">
        <v>12.8</v>
      </c>
      <c r="U351" s="289">
        <v>22.19</v>
      </c>
      <c r="V351" s="280"/>
      <c r="W351" s="244"/>
      <c r="X351" s="244"/>
      <c r="Y351" s="362"/>
      <c r="Z351" s="257">
        <f>altaz(J2000_Bas,$O351,$M351,DecLat,DecLong,1)</f>
        <v>-3.1901847325458923</v>
      </c>
      <c r="AA351" s="257">
        <f>altaz((J2000_Bas+(2*0.04167)),$O351,$M351,DecLat,DecLong,1)</f>
        <v>20.635258433175036</v>
      </c>
      <c r="AB351" s="257">
        <f>altaz((J2000_Bas+(4*0.04167)),$O351,$M351,DecLat,DecLong,1)</f>
        <v>39.293861913961941</v>
      </c>
      <c r="AC351" s="257">
        <f>altaz((J2000_Bas+(6*0.04167)),$O351,$M351,DecLat,DecLong,1)</f>
        <v>45.341923317641189</v>
      </c>
      <c r="AD351" s="258">
        <f>1+ transit((J2000_Bas-1),$O351,$M351,DecLat,DecLong)/360 + (GMTOffset/24) + (IF(DST="Y", 1, 0)/24)</f>
        <v>1.0251221796297081</v>
      </c>
      <c r="AE351" s="259">
        <f>DATE(2001,9,21)+(M351/360)*365 - (360*((DecLong/360)- (GMTOffset/24) ))</f>
        <v>37171.761111111111</v>
      </c>
      <c r="AF351" s="260">
        <f>IF(DecLat&gt;0,IF((90 - (DecLat-O351))&gt;90, (90 - (O351-DecLat)), (90 - (DecLat-O351))),IF((90 + (DecLat-O351))&gt;90, (90 + (O351-DecLat)), (90 + (DecLat-O351))))</f>
        <v>45.566666666666663</v>
      </c>
      <c r="AG351" s="257">
        <f>angularseperation(MoonRA,MoonDec,$M351,$O351)</f>
        <v>110.95953647580984</v>
      </c>
      <c r="AH351" s="261">
        <f ca="1">MIN(100,IF($O$5&gt;80,0+30*($AG351/100),IF($O$5&gt;70,0+50*($AG351/100),IF($O$5&gt;60,5+50*($AG351/100),IF($O$5&gt;50,10+60*($AG351/100),IF($O$5&gt;40,15+70*($AG351/100),IF($O$5&gt;30,20+70*($AG351/100),IF($O$5&gt;20,40+55*($AG351/100),(80+(20-$O$5)+30*($AG351/100))))))))))</f>
        <v>100</v>
      </c>
      <c r="AI351" s="262"/>
      <c r="AJ351" s="262">
        <v>51</v>
      </c>
      <c r="AK351" s="262"/>
      <c r="AL351" s="263"/>
      <c r="AM351" s="264"/>
      <c r="AN351" s="263">
        <v>230</v>
      </c>
      <c r="AO351" s="263"/>
      <c r="AP351" s="265"/>
      <c r="AQ351" s="266"/>
      <c r="AR351" s="267">
        <v>2710</v>
      </c>
      <c r="AS351" s="263"/>
      <c r="AT351" s="263"/>
      <c r="AU351" s="263"/>
      <c r="AV351" s="264"/>
      <c r="AW351" s="263"/>
      <c r="AX351" s="263"/>
      <c r="AY351" s="263"/>
      <c r="AZ351" s="263"/>
      <c r="BA351" s="263"/>
      <c r="BB351" s="263"/>
      <c r="BC351" s="263"/>
      <c r="BD351" s="264"/>
      <c r="BE351" s="263"/>
      <c r="BF351" s="263"/>
      <c r="BG351" s="263"/>
      <c r="BH351" s="263"/>
      <c r="BI351" s="263"/>
      <c r="BJ351" s="404">
        <f>altaz(J2000_Bas,$O351,$M351,DecLat,DecLong,2)</f>
        <v>103.76591110278706</v>
      </c>
      <c r="BK351" s="378" t="s">
        <v>446</v>
      </c>
      <c r="BL351" s="379">
        <f>IF((2*G351)/60&lt;0.2,0.2,(2*G351)/60)</f>
        <v>0.2</v>
      </c>
      <c r="BM351" s="380">
        <f>MOD((50000+AD351-$B$3+(0/24)),1)</f>
        <v>0.24048910933197476</v>
      </c>
      <c r="BN351" s="381"/>
      <c r="BO351" s="382">
        <v>351</v>
      </c>
    </row>
    <row r="352" spans="1:67" s="24" customFormat="1" ht="15" customHeight="1" x14ac:dyDescent="0.25">
      <c r="A352" s="288" t="s">
        <v>447</v>
      </c>
      <c r="B352" s="241" t="str">
        <f>HYPERLINK(CONCATENATE($AT$3,BK352,$AU$3),$AV$3)</f>
        <v>S</v>
      </c>
      <c r="C352" s="242" t="str">
        <f>HYPERLINK(CONCATENATE($AT$4,BK352,$AU$4,BL352),$AV$4)</f>
        <v>A</v>
      </c>
      <c r="D352" s="243" t="s">
        <v>5638</v>
      </c>
      <c r="E352" s="244" t="s">
        <v>5193</v>
      </c>
      <c r="F352" s="269" t="s">
        <v>9114</v>
      </c>
      <c r="G352" s="273">
        <v>1.7</v>
      </c>
      <c r="H352" s="283">
        <v>220</v>
      </c>
      <c r="I352" s="246">
        <v>110</v>
      </c>
      <c r="J352" s="246">
        <v>2</v>
      </c>
      <c r="K352" s="247" t="s">
        <v>8520</v>
      </c>
      <c r="L352" s="248">
        <v>4333</v>
      </c>
      <c r="M352" s="249">
        <f>15*(LEFT(TEXT($L352,"000000"),2)+(MID(TEXT($L352,"000000"),3,2)/60)+(RIGHT(TEXT($L352,"000000"),2)/3600))</f>
        <v>10.887499999999999</v>
      </c>
      <c r="N352" s="250">
        <v>-40700</v>
      </c>
      <c r="O352" s="251">
        <f>IF($N352&gt;0,(LEFT(TEXT($N352,"000000"),2)+(MID(TEXT($N352,"000000"),3,2)/60)+(RIGHT(TEXT($N352,"000000"),2)/3600)),-(MID(TEXT($N352,"000000"),2,2)+(MID(TEXT($N352,"000000"),4,2)/60)+(RIGHT(TEXT($N352,"000000"),2)/3600)))</f>
        <v>-4.1166666666666663</v>
      </c>
      <c r="P352" s="252" t="s">
        <v>75</v>
      </c>
      <c r="Q352" s="253"/>
      <c r="R352" s="247" t="s">
        <v>3736</v>
      </c>
      <c r="S352" s="272" t="s">
        <v>3293</v>
      </c>
      <c r="T352" s="273">
        <v>13.7</v>
      </c>
      <c r="U352" s="289">
        <v>22.59</v>
      </c>
      <c r="V352" s="280"/>
      <c r="W352" s="244"/>
      <c r="X352" s="244"/>
      <c r="Y352" s="362"/>
      <c r="Z352" s="257">
        <f>altaz(J2000_Bas,$O352,$M352,DecLat,DecLong,1)</f>
        <v>2.2495619741894517</v>
      </c>
      <c r="AA352" s="257">
        <f>altaz((J2000_Bas+(2*0.04167)),$O352,$M352,DecLat,DecLong,1)</f>
        <v>27.119430503857249</v>
      </c>
      <c r="AB352" s="257">
        <f>altaz((J2000_Bas+(4*0.04167)),$O352,$M352,DecLat,DecLong,1)</f>
        <v>47.702674001191852</v>
      </c>
      <c r="AC352" s="257">
        <f>altaz((J2000_Bas+(6*0.04167)),$O352,$M352,DecLat,DecLong,1)</f>
        <v>54.511478771685304</v>
      </c>
      <c r="AD352" s="258">
        <f>1+ transit((J2000_Bas-1),$O352,$M352,DecLat,DecLong)/360 + (GMTOffset/24) + (IF(DST="Y", 1, 0)/24)</f>
        <v>1.023143013160958</v>
      </c>
      <c r="AE352" s="259">
        <f>DATE(2001,9,21)+(M352/360)*365 - (360*((DecLong/360)- (GMTOffset/24) ))</f>
        <v>37171.038715277777</v>
      </c>
      <c r="AF352" s="260">
        <f>IF(DecLat&gt;0,IF((90 - (DecLat-O352))&gt;90, (90 - (O352-DecLat)), (90 - (DecLat-O352))),IF((90 + (DecLat-O352))&gt;90, (90 + (O352-DecLat)), (90 + (DecLat-O352))))</f>
        <v>54.883333333333333</v>
      </c>
      <c r="AG352" s="257">
        <f>angularseperation(MoonRA,MoonDec,$M352,$O352)</f>
        <v>115.67325912375085</v>
      </c>
      <c r="AH352" s="261">
        <f ca="1">MIN(100,IF($O$5&gt;80,0+30*($AG352/100),IF($O$5&gt;70,0+50*($AG352/100),IF($O$5&gt;60,5+50*($AG352/100),IF($O$5&gt;50,10+60*($AG352/100),IF($O$5&gt;40,15+70*($AG352/100),IF($O$5&gt;30,20+70*($AG352/100),IF($O$5&gt;20,40+55*($AG352/100),(80+(20-$O$5)+30*($AG352/100))))))))))</f>
        <v>100</v>
      </c>
      <c r="AI352" s="262"/>
      <c r="AJ352" s="262">
        <v>1575</v>
      </c>
      <c r="AK352" s="262"/>
      <c r="AL352" s="263"/>
      <c r="AM352" s="264"/>
      <c r="AN352" s="263">
        <v>231</v>
      </c>
      <c r="AO352" s="263"/>
      <c r="AP352" s="265"/>
      <c r="AQ352" s="266"/>
      <c r="AR352" s="267">
        <v>2602</v>
      </c>
      <c r="AS352" s="263"/>
      <c r="AT352" s="263"/>
      <c r="AU352" s="263"/>
      <c r="AV352" s="264"/>
      <c r="AW352" s="263"/>
      <c r="AX352" s="263"/>
      <c r="AY352" s="263"/>
      <c r="AZ352" s="263"/>
      <c r="BA352" s="263"/>
      <c r="BB352" s="263"/>
      <c r="BC352" s="263"/>
      <c r="BD352" s="264"/>
      <c r="BE352" s="263"/>
      <c r="BF352" s="263"/>
      <c r="BG352" s="263"/>
      <c r="BH352" s="263">
        <v>109</v>
      </c>
      <c r="BI352" s="263"/>
      <c r="BJ352" s="404">
        <f>altaz(J2000_Bas,$O352,$M352,DecLat,DecLong,2)</f>
        <v>96.166476514563371</v>
      </c>
      <c r="BK352" s="378" t="s">
        <v>447</v>
      </c>
      <c r="BL352" s="379">
        <f>IF((2*G352)/60&lt;0.2,0.2,(2*G352)/60)</f>
        <v>0.2</v>
      </c>
      <c r="BM352" s="380">
        <f>MOD((50000+AD352-$B$3+(0/24)),1)</f>
        <v>0.23850994286476634</v>
      </c>
      <c r="BN352" s="381"/>
      <c r="BO352" s="382">
        <v>352</v>
      </c>
    </row>
    <row r="353" spans="1:67" s="24" customFormat="1" ht="15" customHeight="1" x14ac:dyDescent="0.25">
      <c r="A353" s="288" t="s">
        <v>448</v>
      </c>
      <c r="B353" s="241" t="str">
        <f>HYPERLINK(CONCATENATE($AT$3,BK353,$AU$3),$AV$3)</f>
        <v>S</v>
      </c>
      <c r="C353" s="242" t="str">
        <f>HYPERLINK(CONCATENATE($AT$4,BK353,$AU$4,BL353),$AV$4)</f>
        <v>A</v>
      </c>
      <c r="D353" s="243" t="s">
        <v>5638</v>
      </c>
      <c r="E353" s="244" t="s">
        <v>5182</v>
      </c>
      <c r="F353" s="269" t="s">
        <v>3300</v>
      </c>
      <c r="G353" s="273">
        <v>3.3</v>
      </c>
      <c r="H353" s="283">
        <v>155</v>
      </c>
      <c r="I353" s="246">
        <v>150</v>
      </c>
      <c r="J353" s="246">
        <v>2</v>
      </c>
      <c r="K353" s="247" t="s">
        <v>4286</v>
      </c>
      <c r="L353" s="248">
        <v>93346</v>
      </c>
      <c r="M353" s="249">
        <f>15*(LEFT(TEXT($L353,"000000"),2)+(MID(TEXT($L353,"000000"),3,2)/60)+(RIGHT(TEXT($L353,"000000"),2)/3600))</f>
        <v>143.44166666666669</v>
      </c>
      <c r="N353" s="250">
        <v>100900</v>
      </c>
      <c r="O353" s="251">
        <f>IF($N353&gt;0,(LEFT(TEXT($N353,"000000"),2)+(MID(TEXT($N353,"000000"),3,2)/60)+(RIGHT(TEXT($N353,"000000"),2)/3600)),-(MID(TEXT($N353,"000000"),2,2)+(MID(TEXT($N353,"000000"),4,2)/60)+(RIGHT(TEXT($N353,"000000"),2)/3600)))</f>
        <v>10.15</v>
      </c>
      <c r="P353" s="252" t="s">
        <v>183</v>
      </c>
      <c r="Q353" s="253"/>
      <c r="R353" s="247" t="s">
        <v>3530</v>
      </c>
      <c r="S353" s="272" t="s">
        <v>356</v>
      </c>
      <c r="T353" s="273">
        <v>11.5</v>
      </c>
      <c r="U353" s="289">
        <v>21.490000000000002</v>
      </c>
      <c r="V353" s="280"/>
      <c r="W353" s="244"/>
      <c r="X353" s="244"/>
      <c r="Y353" s="362"/>
      <c r="Z353" s="257">
        <f>altaz(J2000_Bas,$O353,$M353,DecLat,DecLong,1)</f>
        <v>-35.392673199428927</v>
      </c>
      <c r="AA353" s="257">
        <f>altaz((J2000_Bas+(2*0.04167)),$O353,$M353,DecLat,DecLong,1)</f>
        <v>-48.249193595003099</v>
      </c>
      <c r="AB353" s="257">
        <f>altaz((J2000_Bas+(4*0.04167)),$O353,$M353,DecLat,DecLong,1)</f>
        <v>-43.429372236058221</v>
      </c>
      <c r="AC353" s="257">
        <f>altaz((J2000_Bas+(6*0.04167)),$O353,$M353,DecLat,DecLong,1)</f>
        <v>-24.783951634105538</v>
      </c>
      <c r="AD353" s="258">
        <f>1+ transit((J2000_Bas-1),$O353,$M353,DecLat,DecLong)/360 + (GMTOffset/24) + (IF(DST="Y", 1, 0)/24)</f>
        <v>1.3913489948588749</v>
      </c>
      <c r="AE353" s="259">
        <f>DATE(2001,9,21)+(M353/360)*365 - (360*((DecLong/360)- (GMTOffset/24) ))</f>
        <v>37305.433912037035</v>
      </c>
      <c r="AF353" s="260">
        <f>IF(DecLat&gt;0,IF((90 - (DecLat-O353))&gt;90, (90 - (O353-DecLat)), (90 - (DecLat-O353))),IF((90 + (DecLat-O353))&gt;90, (90 + (O353-DecLat)), (90 + (DecLat-O353))))</f>
        <v>69.150000000000006</v>
      </c>
      <c r="AG353" s="257">
        <f>angularseperation(MoonRA,MoonDec,$M353,$O353)</f>
        <v>108.59439885270133</v>
      </c>
      <c r="AH353" s="261">
        <f ca="1">MIN(100,IF($O$5&gt;80,0+30*($AG353/100),IF($O$5&gt;70,0+50*($AG353/100),IF($O$5&gt;60,5+50*($AG353/100),IF($O$5&gt;50,10+60*($AG353/100),IF($O$5&gt;40,15+70*($AG353/100),IF($O$5&gt;30,20+70*($AG353/100),IF($O$5&gt;20,40+55*($AG353/100),(80+(20-$O$5)+30*($AG353/100))))))))))</f>
        <v>100</v>
      </c>
      <c r="AI353" s="262">
        <v>2911</v>
      </c>
      <c r="AJ353" s="262"/>
      <c r="AK353" s="262"/>
      <c r="AL353" s="263"/>
      <c r="AM353" s="264"/>
      <c r="AN353" s="263">
        <v>232</v>
      </c>
      <c r="AO353" s="263"/>
      <c r="AP353" s="265"/>
      <c r="AQ353" s="266">
        <v>5092</v>
      </c>
      <c r="AR353" s="267">
        <v>27159</v>
      </c>
      <c r="AS353" s="263"/>
      <c r="AT353" s="263"/>
      <c r="AU353" s="263"/>
      <c r="AV353" s="264"/>
      <c r="AW353" s="263"/>
      <c r="AX353" s="263"/>
      <c r="AY353" s="263"/>
      <c r="AZ353" s="263"/>
      <c r="BA353" s="263"/>
      <c r="BB353" s="263"/>
      <c r="BC353" s="263"/>
      <c r="BD353" s="264"/>
      <c r="BE353" s="263"/>
      <c r="BF353" s="263"/>
      <c r="BG353" s="263"/>
      <c r="BH353" s="263"/>
      <c r="BI353" s="263"/>
      <c r="BJ353" s="404">
        <f>altaz(J2000_Bas,$O353,$M353,DecLat,DecLong,2)</f>
        <v>312.77258084215839</v>
      </c>
      <c r="BK353" s="378" t="s">
        <v>448</v>
      </c>
      <c r="BL353" s="379">
        <f>IF((2*G353)/60&lt;0.2,0.2,(2*G353)/60)</f>
        <v>0.2</v>
      </c>
      <c r="BM353" s="380">
        <f>MOD((50000+AD353-$B$3+(0/24)),1)</f>
        <v>0.60671592456492363</v>
      </c>
      <c r="BN353" s="381"/>
      <c r="BO353" s="382">
        <v>353</v>
      </c>
    </row>
    <row r="354" spans="1:67" s="24" customFormat="1" ht="15" customHeight="1" x14ac:dyDescent="0.25">
      <c r="A354" s="288" t="s">
        <v>449</v>
      </c>
      <c r="B354" s="241" t="str">
        <f>HYPERLINK(CONCATENATE($AT$3,BK354,$AU$3),$AV$3)</f>
        <v>S</v>
      </c>
      <c r="C354" s="242" t="str">
        <f>HYPERLINK(CONCATENATE($AT$4,BK354,$AU$4,BL354),$AV$4)</f>
        <v>A</v>
      </c>
      <c r="D354" s="243" t="s">
        <v>5638</v>
      </c>
      <c r="E354" s="244" t="s">
        <v>29</v>
      </c>
      <c r="F354" s="269"/>
      <c r="G354" s="273">
        <v>1</v>
      </c>
      <c r="H354" s="283">
        <v>80</v>
      </c>
      <c r="I354" s="246">
        <v>25</v>
      </c>
      <c r="J354" s="246">
        <v>2</v>
      </c>
      <c r="K354" s="247" t="s">
        <v>4289</v>
      </c>
      <c r="L354" s="248">
        <v>103232</v>
      </c>
      <c r="M354" s="249">
        <f>15*(LEFT(TEXT($L354,"000000"),2)+(MID(TEXT($L354,"000000"),3,2)/60)+(RIGHT(TEXT($L354,"000000"),2)/3600))</f>
        <v>158.13333333333333</v>
      </c>
      <c r="N354" s="250">
        <v>542400</v>
      </c>
      <c r="O354" s="251">
        <f>IF($N354&gt;0,(LEFT(TEXT($N354,"000000"),2)+(MID(TEXT($N354,"000000"),3,2)/60)+(RIGHT(TEXT($N354,"000000"),2)/3600)),-(MID(TEXT($N354,"000000"),2,2)+(MID(TEXT($N354,"000000"),4,2)/60)+(RIGHT(TEXT($N354,"000000"),2)/3600)))</f>
        <v>54.4</v>
      </c>
      <c r="P354" s="252" t="s">
        <v>37</v>
      </c>
      <c r="Q354" s="253"/>
      <c r="R354" s="247" t="s">
        <v>3293</v>
      </c>
      <c r="S354" s="272" t="s">
        <v>3293</v>
      </c>
      <c r="T354" s="273">
        <v>13.4</v>
      </c>
      <c r="U354" s="289"/>
      <c r="V354" s="280"/>
      <c r="W354" s="244"/>
      <c r="X354" s="244"/>
      <c r="Y354" s="362"/>
      <c r="Z354" s="257">
        <f>altaz(J2000_Bas,$O354,$M354,DecLat,DecLong,1)</f>
        <v>6.4580001459554772</v>
      </c>
      <c r="AA354" s="257">
        <f>altaz((J2000_Bas+(2*0.04167)),$O354,$M354,DecLat,DecLong,1)</f>
        <v>-2.5054610402711228</v>
      </c>
      <c r="AB354" s="257">
        <f>altaz((J2000_Bas+(4*0.04167)),$O354,$M354,DecLat,DecLong,1)</f>
        <v>-4.3182464087036019</v>
      </c>
      <c r="AC354" s="257">
        <f>altaz((J2000_Bas+(6*0.04167)),$O354,$M354,DecLat,DecLong,1)</f>
        <v>1.5035435836459532</v>
      </c>
      <c r="AD354" s="258">
        <f>1+ transit((J2000_Bas-1),$O354,$M354,DecLat,DecLong)/360 + (GMTOffset/24) + (IF(DST="Y", 1, 0)/24)</f>
        <v>1.4321591759630412</v>
      </c>
      <c r="AE354" s="259">
        <f>DATE(2001,9,21)+(M354/360)*365 - (360*((DecLong/360)- (GMTOffset/24) ))</f>
        <v>37320.329629629632</v>
      </c>
      <c r="AF354" s="260">
        <f>IF(DecLat&gt;0,IF((90 - (DecLat-O354))&gt;90, (90 - (O354-DecLat)), (90 - (DecLat-O354))),IF((90 + (DecLat-O354))&gt;90, (90 + (O354-DecLat)), (90 + (DecLat-O354))))</f>
        <v>66.599999999999994</v>
      </c>
      <c r="AG354" s="257">
        <f>angularseperation(MoonRA,MoonDec,$M354,$O354)</f>
        <v>112.34794949295137</v>
      </c>
      <c r="AH354" s="261">
        <f ca="1">MIN(100,IF($O$5&gt;80,0+30*($AG354/100),IF($O$5&gt;70,0+50*($AG354/100),IF($O$5&gt;60,5+50*($AG354/100),IF($O$5&gt;50,10+60*($AG354/100),IF($O$5&gt;40,15+70*($AG354/100),IF($O$5&gt;30,20+70*($AG354/100),IF($O$5&gt;20,40+55*($AG354/100),(80+(20-$O$5)+30*($AG354/100))))))))))</f>
        <v>100</v>
      </c>
      <c r="AI354" s="262"/>
      <c r="AJ354" s="262"/>
      <c r="AK354" s="262"/>
      <c r="AL354" s="263"/>
      <c r="AM354" s="264"/>
      <c r="AN354" s="263">
        <v>233</v>
      </c>
      <c r="AO354" s="263"/>
      <c r="AP354" s="265"/>
      <c r="AQ354" s="266">
        <v>5720</v>
      </c>
      <c r="AR354" s="267">
        <v>31141</v>
      </c>
      <c r="AS354" s="263"/>
      <c r="AT354" s="263"/>
      <c r="AU354" s="263"/>
      <c r="AV354" s="264"/>
      <c r="AW354" s="263"/>
      <c r="AX354" s="263"/>
      <c r="AY354" s="263"/>
      <c r="AZ354" s="263"/>
      <c r="BA354" s="263"/>
      <c r="BB354" s="263"/>
      <c r="BC354" s="263"/>
      <c r="BD354" s="264"/>
      <c r="BE354" s="263"/>
      <c r="BF354" s="263"/>
      <c r="BG354" s="263"/>
      <c r="BH354" s="263"/>
      <c r="BI354" s="263"/>
      <c r="BJ354" s="404">
        <f>altaz(J2000_Bas,$O354,$M354,DecLat,DecLong,2)</f>
        <v>332.45338504151226</v>
      </c>
      <c r="BK354" s="378" t="s">
        <v>449</v>
      </c>
      <c r="BL354" s="379">
        <f>IF((2*G354)/60&lt;0.2,0.2,(2*G354)/60)</f>
        <v>0.2</v>
      </c>
      <c r="BM354" s="380">
        <f>MOD((50000+AD354-$B$3+(0/24)),1)</f>
        <v>0.64752610566938529</v>
      </c>
      <c r="BN354" s="381"/>
      <c r="BO354" s="382">
        <v>354</v>
      </c>
    </row>
    <row r="355" spans="1:67" s="24" customFormat="1" ht="15" customHeight="1" x14ac:dyDescent="0.25">
      <c r="A355" s="288" t="s">
        <v>450</v>
      </c>
      <c r="B355" s="241" t="str">
        <f>HYPERLINK(CONCATENATE($AT$3,BK355,$AU$3),$AV$3)</f>
        <v>S</v>
      </c>
      <c r="C355" s="242" t="str">
        <f>HYPERLINK(CONCATENATE($AT$4,BK355,$AU$4,BL355),$AV$4)</f>
        <v>A</v>
      </c>
      <c r="D355" s="243" t="s">
        <v>5638</v>
      </c>
      <c r="E355" s="244" t="s">
        <v>29</v>
      </c>
      <c r="F355" s="269"/>
      <c r="G355" s="273">
        <v>1</v>
      </c>
      <c r="H355" s="283">
        <v>17</v>
      </c>
      <c r="I355" s="279">
        <v>5</v>
      </c>
      <c r="J355" s="246">
        <v>2</v>
      </c>
      <c r="K355" s="247" t="s">
        <v>4290</v>
      </c>
      <c r="L355" s="248">
        <v>113548</v>
      </c>
      <c r="M355" s="249">
        <f>15*(LEFT(TEXT($L355,"000000"),2)+(MID(TEXT($L355,"000000"),3,2)/60)+(RIGHT(TEXT($L355,"000000"),2)/3600))</f>
        <v>173.95000000000002</v>
      </c>
      <c r="N355" s="250">
        <v>543100</v>
      </c>
      <c r="O355" s="251">
        <f>IF($N355&gt;0,(LEFT(TEXT($N355,"000000"),2)+(MID(TEXT($N355,"000000"),3,2)/60)+(RIGHT(TEXT($N355,"000000"),2)/3600)),-(MID(TEXT($N355,"000000"),2,2)+(MID(TEXT($N355,"000000"),4,2)/60)+(RIGHT(TEXT($N355,"000000"),2)/3600)))</f>
        <v>54.516666666666666</v>
      </c>
      <c r="P355" s="252" t="s">
        <v>37</v>
      </c>
      <c r="Q355" s="253"/>
      <c r="R355" s="247" t="s">
        <v>3562</v>
      </c>
      <c r="S355" s="272" t="s">
        <v>3293</v>
      </c>
      <c r="T355" s="273">
        <v>11.7</v>
      </c>
      <c r="U355" s="289">
        <v>22.19</v>
      </c>
      <c r="V355" s="280"/>
      <c r="W355" s="244"/>
      <c r="X355" s="244"/>
      <c r="Y355" s="362"/>
      <c r="Z355" s="257">
        <f>altaz(J2000_Bas,$O355,$M355,DecLat,DecLong,1)</f>
        <v>13.44876997403645</v>
      </c>
      <c r="AA355" s="257">
        <f>altaz((J2000_Bas+(2*0.04167)),$O355,$M355,DecLat,DecLong,1)</f>
        <v>1.5228315628607454</v>
      </c>
      <c r="AB355" s="257">
        <f>altaz((J2000_Bas+(4*0.04167)),$O355,$M355,DecLat,DecLong,1)</f>
        <v>-4.2202794185666184</v>
      </c>
      <c r="AC355" s="257">
        <f>altaz((J2000_Bas+(6*0.04167)),$O355,$M355,DecLat,DecLong,1)</f>
        <v>-2.3461201210494007</v>
      </c>
      <c r="AD355" s="258">
        <f>1+ transit((J2000_Bas-1),$O355,$M355,DecLat,DecLong)/360 + (GMTOffset/24) + (IF(DST="Y", 1, 0)/24)</f>
        <v>1.476094356754708</v>
      </c>
      <c r="AE355" s="259">
        <f>DATE(2001,9,21)+(M355/360)*365 - (360*((DecLong/360)- (GMTOffset/24) ))</f>
        <v>37336.365972222222</v>
      </c>
      <c r="AF355" s="260">
        <f>IF(DecLat&gt;0,IF((90 - (DecLat-O355))&gt;90, (90 - (O355-DecLat)), (90 - (DecLat-O355))),IF((90 + (DecLat-O355))&gt;90, (90 + (O355-DecLat)), (90 + (DecLat-O355))))</f>
        <v>66.483333333333334</v>
      </c>
      <c r="AG355" s="257">
        <f>angularseperation(MoonRA,MoonDec,$M355,$O355)</f>
        <v>103.85857784848105</v>
      </c>
      <c r="AH355" s="261">
        <f ca="1">MIN(100,IF($O$5&gt;80,0+30*($AG355/100),IF($O$5&gt;70,0+50*($AG355/100),IF($O$5&gt;60,5+50*($AG355/100),IF($O$5&gt;50,10+60*($AG355/100),IF($O$5&gt;40,15+70*($AG355/100),IF($O$5&gt;30,20+70*($AG355/100),IF($O$5&gt;20,40+55*($AG355/100),(80+(20-$O$5)+30*($AG355/100))))))))))</f>
        <v>100</v>
      </c>
      <c r="AI355" s="262">
        <v>3738</v>
      </c>
      <c r="AJ355" s="262"/>
      <c r="AK355" s="262"/>
      <c r="AL355" s="263"/>
      <c r="AM355" s="264"/>
      <c r="AN355" s="263">
        <v>234</v>
      </c>
      <c r="AO355" s="263"/>
      <c r="AP355" s="265"/>
      <c r="AQ355" s="266">
        <v>6565</v>
      </c>
      <c r="AR355" s="267">
        <v>35856</v>
      </c>
      <c r="AS355" s="263"/>
      <c r="AT355" s="263"/>
      <c r="AU355" s="263"/>
      <c r="AV355" s="264"/>
      <c r="AW355" s="263"/>
      <c r="AX355" s="263"/>
      <c r="AY355" s="263"/>
      <c r="AZ355" s="263"/>
      <c r="BA355" s="263"/>
      <c r="BB355" s="263"/>
      <c r="BC355" s="263"/>
      <c r="BD355" s="264"/>
      <c r="BE355" s="263"/>
      <c r="BF355" s="263"/>
      <c r="BG355" s="263"/>
      <c r="BH355" s="263"/>
      <c r="BI355" s="263"/>
      <c r="BJ355" s="404">
        <f>altaz(J2000_Bas,$O355,$M355,DecLat,DecLong,2)</f>
        <v>326.41539879922209</v>
      </c>
      <c r="BK355" s="378" t="s">
        <v>450</v>
      </c>
      <c r="BL355" s="379">
        <f>IF((2*G355)/60&lt;0.2,0.2,(2*G355)/60)</f>
        <v>0.2</v>
      </c>
      <c r="BM355" s="380">
        <f>MOD((50000+AD355-$B$3+(0/24)),1)</f>
        <v>0.6914612864566152</v>
      </c>
      <c r="BN355" s="381"/>
      <c r="BO355" s="382">
        <v>355</v>
      </c>
    </row>
    <row r="356" spans="1:67" s="24" customFormat="1" ht="15" customHeight="1" x14ac:dyDescent="0.25">
      <c r="A356" s="288" t="s">
        <v>451</v>
      </c>
      <c r="B356" s="241" t="str">
        <f>HYPERLINK(CONCATENATE($AT$3,BK356,$AU$3),$AV$3)</f>
        <v>S</v>
      </c>
      <c r="C356" s="242" t="str">
        <f>HYPERLINK(CONCATENATE($AT$4,BK356,$AU$4,BL356),$AV$4)</f>
        <v>A</v>
      </c>
      <c r="D356" s="243" t="s">
        <v>5638</v>
      </c>
      <c r="E356" s="244" t="s">
        <v>3259</v>
      </c>
      <c r="F356" s="269"/>
      <c r="G356" s="273">
        <v>2.1</v>
      </c>
      <c r="H356" s="283">
        <v>39.72645</v>
      </c>
      <c r="I356" s="246">
        <v>25</v>
      </c>
      <c r="J356" s="246">
        <v>2</v>
      </c>
      <c r="K356" s="247" t="s">
        <v>4291</v>
      </c>
      <c r="L356" s="248">
        <v>846</v>
      </c>
      <c r="M356" s="249">
        <f>15*(LEFT(TEXT($L356,"000000"),2)+(MID(TEXT($L356,"000000"),3,2)/60)+(RIGHT(TEXT($L356,"000000"),2)/3600))</f>
        <v>2.1916666666666664</v>
      </c>
      <c r="N356" s="250">
        <v>154800</v>
      </c>
      <c r="O356" s="251">
        <f>IF($N356&gt;0,(LEFT(TEXT($N356,"000000"),2)+(MID(TEXT($N356,"000000"),3,2)/60)+(RIGHT(TEXT($N356,"000000"),2)/3600)),-(MID(TEXT($N356,"000000"),2,2)+(MID(TEXT($N356,"000000"),4,2)/60)+(RIGHT(TEXT($N356,"000000"),2)/3600)))</f>
        <v>15.8</v>
      </c>
      <c r="P356" s="252" t="s">
        <v>39</v>
      </c>
      <c r="Q356" s="253"/>
      <c r="R356" s="247" t="s">
        <v>3261</v>
      </c>
      <c r="S356" s="272" t="s">
        <v>3293</v>
      </c>
      <c r="T356" s="273">
        <v>12.1</v>
      </c>
      <c r="U356" s="289">
        <v>22.79</v>
      </c>
      <c r="V356" s="280">
        <v>25</v>
      </c>
      <c r="W356" s="244"/>
      <c r="X356" s="244"/>
      <c r="Y356" s="362"/>
      <c r="Z356" s="257">
        <f>altaz(J2000_Bas,$O356,$M356,DecLat,DecLong,1)</f>
        <v>19.701868811289241</v>
      </c>
      <c r="AA356" s="257">
        <f>altaz((J2000_Bas+(2*0.04167)),$O356,$M356,DecLat,DecLong,1)</f>
        <v>45.405485566150183</v>
      </c>
      <c r="AB356" s="257">
        <f>altaz((J2000_Bas+(4*0.04167)),$O356,$M356,DecLat,DecLong,1)</f>
        <v>68.9052682262638</v>
      </c>
      <c r="AC356" s="257">
        <f>altaz((J2000_Bas+(6*0.04167)),$O356,$M356,DecLat,DecLong,1)</f>
        <v>70.100567822586513</v>
      </c>
      <c r="AD356" s="258">
        <f>1+ transit((J2000_Bas-1),$O356,$M356,DecLat,DecLong)/360 + (GMTOffset/24) + (IF(DST="Y", 1, 0)/24)</f>
        <v>0.99898792298387462</v>
      </c>
      <c r="AE356" s="259">
        <f>DATE(2001,9,21)+(M356/360)*365 - (360*((DecLong/360)- (GMTOffset/24) ))</f>
        <v>37162.22210648148</v>
      </c>
      <c r="AF356" s="260">
        <f>IF(DecLat&gt;0,IF((90 - (DecLat-O356))&gt;90, (90 - (O356-DecLat)), (90 - (DecLat-O356))),IF((90 + (DecLat-O356))&gt;90, (90 + (O356-DecLat)), (90 + (DecLat-O356))))</f>
        <v>74.8</v>
      </c>
      <c r="AG356" s="257">
        <f>angularseperation(MoonRA,MoonDec,$M356,$O356)</f>
        <v>117.25918469887964</v>
      </c>
      <c r="AH356" s="261">
        <f ca="1">MIN(100,IF($O$5&gt;80,0+30*($AG356/100),IF($O$5&gt;70,0+50*($AG356/100),IF($O$5&gt;60,5+50*($AG356/100),IF($O$5&gt;50,10+60*($AG356/100),IF($O$5&gt;40,15+70*($AG356/100),IF($O$5&gt;30,20+70*($AG356/100),IF($O$5&gt;20,40+55*($AG356/100),(80+(20-$O$5)+30*($AG356/100))))))))))</f>
        <v>100</v>
      </c>
      <c r="AI356" s="262">
        <v>14</v>
      </c>
      <c r="AJ356" s="262"/>
      <c r="AK356" s="262"/>
      <c r="AL356" s="263"/>
      <c r="AM356" s="264"/>
      <c r="AN356" s="263">
        <v>235</v>
      </c>
      <c r="AO356" s="263"/>
      <c r="AP356" s="265"/>
      <c r="AQ356" s="266">
        <v>75</v>
      </c>
      <c r="AR356" s="267">
        <v>647</v>
      </c>
      <c r="AS356" s="263"/>
      <c r="AT356" s="263"/>
      <c r="AU356" s="263"/>
      <c r="AV356" s="264"/>
      <c r="AW356" s="263"/>
      <c r="AX356" s="263"/>
      <c r="AY356" s="263"/>
      <c r="AZ356" s="263"/>
      <c r="BA356" s="263"/>
      <c r="BB356" s="263"/>
      <c r="BC356" s="263"/>
      <c r="BD356" s="264"/>
      <c r="BE356" s="263"/>
      <c r="BF356" s="263"/>
      <c r="BG356" s="263"/>
      <c r="BH356" s="263"/>
      <c r="BI356" s="263"/>
      <c r="BJ356" s="404">
        <f>altaz(J2000_Bas,$O356,$M356,DecLat,DecLong,2)</f>
        <v>82.978511132929938</v>
      </c>
      <c r="BK356" s="378" t="s">
        <v>451</v>
      </c>
      <c r="BL356" s="379">
        <f>IF((2*G356)/60&lt;0.2,0.2,(2*G356)/60)</f>
        <v>0.2</v>
      </c>
      <c r="BM356" s="380">
        <f>MOD((50000+AD356-$B$3+(0/24)),1)</f>
        <v>0.21435485268739285</v>
      </c>
      <c r="BN356" s="381"/>
      <c r="BO356" s="382">
        <v>356</v>
      </c>
    </row>
    <row r="357" spans="1:67" s="24" customFormat="1" ht="15" customHeight="1" x14ac:dyDescent="0.25">
      <c r="A357" s="288" t="s">
        <v>452</v>
      </c>
      <c r="B357" s="241" t="str">
        <f>HYPERLINK(CONCATENATE($AT$3,BK357,$AU$3),$AV$3)</f>
        <v>S</v>
      </c>
      <c r="C357" s="242" t="str">
        <f>HYPERLINK(CONCATENATE($AT$4,BK357,$AU$4,BL357),$AV$4)</f>
        <v>A</v>
      </c>
      <c r="D357" s="243" t="s">
        <v>5638</v>
      </c>
      <c r="E357" s="244" t="s">
        <v>5337</v>
      </c>
      <c r="F357" s="269" t="s">
        <v>3316</v>
      </c>
      <c r="G357" s="270">
        <v>0.9</v>
      </c>
      <c r="H357" s="283">
        <v>275</v>
      </c>
      <c r="I357" s="246">
        <v>70</v>
      </c>
      <c r="J357" s="246">
        <v>2</v>
      </c>
      <c r="K357" s="247" t="s">
        <v>8426</v>
      </c>
      <c r="L357" s="248">
        <v>10747</v>
      </c>
      <c r="M357" s="249">
        <f>15*(LEFT(TEXT($L357,"000000"),2)+(MID(TEXT($L357,"000000"),3,2)/60)+(RIGHT(TEXT($L357,"000000"),2)/3600))</f>
        <v>16.945833333333333</v>
      </c>
      <c r="N357" s="250">
        <v>-173000</v>
      </c>
      <c r="O357" s="251">
        <f>IF($N357&gt;0,(LEFT(TEXT($N357,"000000"),2)+(MID(TEXT($N357,"000000"),3,2)/60)+(RIGHT(TEXT($N357,"000000"),2)/3600)),-(MID(TEXT($N357,"000000"),2,2)+(MID(TEXT($N357,"000000"),4,2)/60)+(RIGHT(TEXT($N357,"000000"),2)/3600)))</f>
        <v>-17.5</v>
      </c>
      <c r="P357" s="252" t="s">
        <v>75</v>
      </c>
      <c r="Q357" s="253"/>
      <c r="R357" s="247" t="s">
        <v>3737</v>
      </c>
      <c r="S357" s="272" t="s">
        <v>3293</v>
      </c>
      <c r="T357" s="273">
        <v>13.9</v>
      </c>
      <c r="U357" s="289">
        <v>22.09</v>
      </c>
      <c r="V357" s="280"/>
      <c r="W357" s="244"/>
      <c r="X357" s="244"/>
      <c r="Y357" s="362"/>
      <c r="Z357" s="257">
        <f>altaz(J2000_Bas,$O357,$M357,DecLat,DecLong,1)</f>
        <v>-9.6908508222023606</v>
      </c>
      <c r="AA357" s="257">
        <f>altaz((J2000_Bas+(2*0.04167)),$O357,$M357,DecLat,DecLong,1)</f>
        <v>14.076491225012612</v>
      </c>
      <c r="AB357" s="257">
        <f>altaz((J2000_Bas+(4*0.04167)),$O357,$M357,DecLat,DecLong,1)</f>
        <v>33.196320371979937</v>
      </c>
      <c r="AC357" s="257">
        <f>altaz((J2000_Bas+(6*0.04167)),$O357,$M357,DecLat,DecLong,1)</f>
        <v>41.495470829370511</v>
      </c>
      <c r="AD357" s="258">
        <f>1+ transit((J2000_Bas-1),$O357,$M357,DecLat,DecLong)/360 + (GMTOffset/24) + (IF(DST="Y", 1, 0)/24)</f>
        <v>1.0399717151817913</v>
      </c>
      <c r="AE357" s="259">
        <f>DATE(2001,9,21)+(M357/360)*365 - (360*((DecLong/360)- (GMTOffset/24) ))</f>
        <v>37177.181192129632</v>
      </c>
      <c r="AF357" s="260">
        <f>IF(DecLat&gt;0,IF((90 - (DecLat-O357))&gt;90, (90 - (O357-DecLat)), (90 - (DecLat-O357))),IF((90 + (DecLat-O357))&gt;90, (90 + (O357-DecLat)), (90 + (DecLat-O357))))</f>
        <v>41.5</v>
      </c>
      <c r="AG357" s="257">
        <f>angularseperation(MoonRA,MoonDec,$M357,$O357)</f>
        <v>112.48256356312382</v>
      </c>
      <c r="AH357" s="261">
        <f ca="1">MIN(100,IF($O$5&gt;80,0+30*($AG357/100),IF($O$5&gt;70,0+50*($AG357/100),IF($O$5&gt;60,5+50*($AG357/100),IF($O$5&gt;50,10+60*($AG357/100),IF($O$5&gt;40,15+70*($AG357/100),IF($O$5&gt;30,20+70*($AG357/100),IF($O$5&gt;20,40+55*($AG357/100),(80+(20-$O$5)+30*($AG357/100))))))))))</f>
        <v>100</v>
      </c>
      <c r="AI357" s="262"/>
      <c r="AJ357" s="262">
        <v>1623</v>
      </c>
      <c r="AK357" s="262"/>
      <c r="AL357" s="263"/>
      <c r="AM357" s="264"/>
      <c r="AN357" s="263">
        <v>236</v>
      </c>
      <c r="AO357" s="263"/>
      <c r="AP357" s="265"/>
      <c r="AQ357" s="266"/>
      <c r="AR357" s="267">
        <v>4007</v>
      </c>
      <c r="AS357" s="263"/>
      <c r="AT357" s="263"/>
      <c r="AU357" s="263"/>
      <c r="AV357" s="264"/>
      <c r="AW357" s="263"/>
      <c r="AX357" s="263"/>
      <c r="AY357" s="263"/>
      <c r="AZ357" s="263"/>
      <c r="BA357" s="263"/>
      <c r="BB357" s="263"/>
      <c r="BC357" s="263"/>
      <c r="BD357" s="264"/>
      <c r="BE357" s="263"/>
      <c r="BF357" s="263"/>
      <c r="BG357" s="263"/>
      <c r="BH357" s="263"/>
      <c r="BI357" s="263"/>
      <c r="BJ357" s="404">
        <f>altaz(J2000_Bas,$O357,$M357,DecLat,DecLong,2)</f>
        <v>104.67190644285728</v>
      </c>
      <c r="BK357" s="378" t="s">
        <v>452</v>
      </c>
      <c r="BL357" s="379">
        <f>IF((2*G357)/60&lt;0.2,0.2,(2*G357)/60)</f>
        <v>0.2</v>
      </c>
      <c r="BM357" s="380">
        <f>MOD((50000+AD357-$B$3+(0/24)),1)</f>
        <v>0.25533864488534164</v>
      </c>
      <c r="BN357" s="381" t="s">
        <v>9281</v>
      </c>
      <c r="BO357" s="382">
        <v>357</v>
      </c>
    </row>
    <row r="358" spans="1:67" s="24" customFormat="1" ht="15" customHeight="1" x14ac:dyDescent="0.25">
      <c r="A358" s="288" t="s">
        <v>453</v>
      </c>
      <c r="B358" s="241" t="str">
        <f>HYPERLINK(CONCATENATE($AT$3,BK358,$AU$3),$AV$3)</f>
        <v>S</v>
      </c>
      <c r="C358" s="242" t="str">
        <f>HYPERLINK(CONCATENATE($AT$4,BK358,$AU$4,BL358),$AV$4)</f>
        <v>A</v>
      </c>
      <c r="D358" s="243" t="s">
        <v>5638</v>
      </c>
      <c r="E358" s="244" t="s">
        <v>5337</v>
      </c>
      <c r="F358" s="290" t="s">
        <v>3301</v>
      </c>
      <c r="G358" s="273">
        <v>2.9</v>
      </c>
      <c r="H358" s="283">
        <v>410</v>
      </c>
      <c r="I358" s="246">
        <v>370</v>
      </c>
      <c r="J358" s="246">
        <v>2</v>
      </c>
      <c r="K358" s="247" t="s">
        <v>8510</v>
      </c>
      <c r="L358" s="248">
        <v>92743</v>
      </c>
      <c r="M358" s="249">
        <f>15*(LEFT(TEXT($L358,"000000"),2)+(MID(TEXT($L358,"000000"),3,2)/60)+(RIGHT(TEXT($L358,"000000"),2)/3600))</f>
        <v>141.92916666666665</v>
      </c>
      <c r="N358" s="250">
        <v>121700</v>
      </c>
      <c r="O358" s="251">
        <f>IF($N358&gt;0,(LEFT(TEXT($N358,"000000"),2)+(MID(TEXT($N358,"000000"),3,2)/60)+(RIGHT(TEXT($N358,"000000"),2)/3600)),-(MID(TEXT($N358,"000000"),2,2)+(MID(TEXT($N358,"000000"),4,2)/60)+(RIGHT(TEXT($N358,"000000"),2)/3600)))</f>
        <v>12.283333333333333</v>
      </c>
      <c r="P358" s="252" t="s">
        <v>183</v>
      </c>
      <c r="Q358" s="253"/>
      <c r="R358" s="292" t="s">
        <v>3445</v>
      </c>
      <c r="S358" s="272" t="s">
        <v>3293</v>
      </c>
      <c r="T358" s="273">
        <v>12.5</v>
      </c>
      <c r="U358" s="289">
        <v>23.4</v>
      </c>
      <c r="V358" s="280"/>
      <c r="W358" s="244"/>
      <c r="X358" s="244"/>
      <c r="Y358" s="362"/>
      <c r="Z358" s="257">
        <f>altaz(J2000_Bas,$O358,$M358,DecLat,DecLong,1)</f>
        <v>-34.655865707335856</v>
      </c>
      <c r="AA358" s="257">
        <f>altaz((J2000_Bas+(2*0.04167)),$O358,$M358,DecLat,DecLong,1)</f>
        <v>-46.354362036048329</v>
      </c>
      <c r="AB358" s="257">
        <f>altaz((J2000_Bas+(4*0.04167)),$O358,$M358,DecLat,DecLong,1)</f>
        <v>-40.852482668800796</v>
      </c>
      <c r="AC358" s="257">
        <f>altaz((J2000_Bas+(6*0.04167)),$O358,$M358,DecLat,DecLong,1)</f>
        <v>-22.262328081525272</v>
      </c>
      <c r="AD358" s="258">
        <f>1+ transit((J2000_Bas-1),$O358,$M358,DecLat,DecLong)/360 + (GMTOffset/24) + (IF(DST="Y", 1, 0)/24)</f>
        <v>1.3871476063901247</v>
      </c>
      <c r="AE358" s="259">
        <f>DATE(2001,9,21)+(M358/360)*365 - (360*((DecLong/360)- (GMTOffset/24) ))</f>
        <v>37303.900405092594</v>
      </c>
      <c r="AF358" s="260">
        <f>IF(DecLat&gt;0,IF((90 - (DecLat-O358))&gt;90, (90 - (O358-DecLat)), (90 - (DecLat-O358))),IF((90 + (DecLat-O358))&gt;90, (90 + (O358-DecLat)), (90 + (DecLat-O358))))</f>
        <v>71.283333333333331</v>
      </c>
      <c r="AG358" s="257">
        <f>angularseperation(MoonRA,MoonDec,$M358,$O358)</f>
        <v>110.8394790962362</v>
      </c>
      <c r="AH358" s="261">
        <f ca="1">MIN(100,IF($O$5&gt;80,0+30*($AG358/100),IF($O$5&gt;70,0+50*($AG358/100),IF($O$5&gt;60,5+50*($AG358/100),IF($O$5&gt;50,10+60*($AG358/100),IF($O$5&gt;40,15+70*($AG358/100),IF($O$5&gt;30,20+70*($AG358/100),IF($O$5&gt;20,40+55*($AG358/100),(80+(20-$O$5)+30*($AG358/100))))))))))</f>
        <v>100</v>
      </c>
      <c r="AI358" s="262"/>
      <c r="AJ358" s="262"/>
      <c r="AK358" s="262"/>
      <c r="AL358" s="263"/>
      <c r="AM358" s="264"/>
      <c r="AN358" s="263">
        <v>237</v>
      </c>
      <c r="AO358" s="263">
        <v>38</v>
      </c>
      <c r="AP358" s="265"/>
      <c r="AQ358" s="266">
        <v>5044</v>
      </c>
      <c r="AR358" s="267"/>
      <c r="AS358" s="263"/>
      <c r="AT358" s="263"/>
      <c r="AU358" s="263"/>
      <c r="AV358" s="264"/>
      <c r="AW358" s="263"/>
      <c r="AX358" s="263"/>
      <c r="AY358" s="263"/>
      <c r="AZ358" s="263"/>
      <c r="BA358" s="263"/>
      <c r="BB358" s="263"/>
      <c r="BC358" s="263"/>
      <c r="BD358" s="264"/>
      <c r="BE358" s="263"/>
      <c r="BF358" s="263"/>
      <c r="BG358" s="263"/>
      <c r="BH358" s="263"/>
      <c r="BI358" s="263"/>
      <c r="BJ358" s="404">
        <f>altaz(J2000_Bas,$O358,$M358,DecLat,DecLong,2)</f>
        <v>315.81557097862361</v>
      </c>
      <c r="BK358" s="378" t="s">
        <v>4035</v>
      </c>
      <c r="BL358" s="379">
        <f>IF((2*G358)/60&lt;0.2,0.2,(2*G358)/60)</f>
        <v>0.2</v>
      </c>
      <c r="BM358" s="380">
        <f>MOD((50000+AD358-$B$3+(0/24)),1)</f>
        <v>0.60251453609089367</v>
      </c>
      <c r="BN358" s="381" t="s">
        <v>9281</v>
      </c>
      <c r="BO358" s="382">
        <v>358</v>
      </c>
    </row>
    <row r="359" spans="1:67" s="24" customFormat="1" ht="15" customHeight="1" x14ac:dyDescent="0.25">
      <c r="A359" s="288" t="s">
        <v>454</v>
      </c>
      <c r="B359" s="241" t="str">
        <f>HYPERLINK(CONCATENATE($AT$3,BK359,$AU$3),$AV$3)</f>
        <v>S</v>
      </c>
      <c r="C359" s="242" t="str">
        <f>HYPERLINK(CONCATENATE($AT$4,BK359,$AU$4,BL359),$AV$4)</f>
        <v>A</v>
      </c>
      <c r="D359" s="243" t="s">
        <v>5638</v>
      </c>
      <c r="E359" s="244" t="s">
        <v>5337</v>
      </c>
      <c r="F359" s="269" t="s">
        <v>9129</v>
      </c>
      <c r="G359" s="270">
        <v>0.9</v>
      </c>
      <c r="H359" s="283">
        <v>480</v>
      </c>
      <c r="I359" s="246">
        <v>130</v>
      </c>
      <c r="J359" s="246">
        <v>2</v>
      </c>
      <c r="K359" s="247" t="s">
        <v>4303</v>
      </c>
      <c r="L359" s="248">
        <v>131529</v>
      </c>
      <c r="M359" s="249">
        <f>15*(LEFT(TEXT($L359,"000000"),2)+(MID(TEXT($L359,"000000"),3,2)/60)+(RIGHT(TEXT($L359,"000000"),2)/3600))</f>
        <v>198.87083333333334</v>
      </c>
      <c r="N359" s="250">
        <v>620700</v>
      </c>
      <c r="O359" s="251">
        <f>IF($N359&gt;0,(LEFT(TEXT($N359,"000000"),2)+(MID(TEXT($N359,"000000"),3,2)/60)+(RIGHT(TEXT($N359,"000000"),2)/3600)),-(MID(TEXT($N359,"000000"),2,2)+(MID(TEXT($N359,"000000"),4,2)/60)+(RIGHT(TEXT($N359,"000000"),2)/3600)))</f>
        <v>62.116666666666667</v>
      </c>
      <c r="P359" s="252" t="s">
        <v>37</v>
      </c>
      <c r="Q359" s="253"/>
      <c r="R359" s="247" t="s">
        <v>3293</v>
      </c>
      <c r="S359" s="272" t="s">
        <v>3293</v>
      </c>
      <c r="T359" s="273">
        <v>15</v>
      </c>
      <c r="U359" s="289"/>
      <c r="V359" s="280"/>
      <c r="W359" s="244"/>
      <c r="X359" s="244"/>
      <c r="Y359" s="362"/>
      <c r="Z359" s="257">
        <f>altaz(J2000_Bas,$O359,$M359,DecLat,DecLong,1)</f>
        <v>28.379031431893598</v>
      </c>
      <c r="AA359" s="257">
        <f>altaz((J2000_Bas+(2*0.04167)),$O359,$M359,DecLat,DecLong,1)</f>
        <v>15.777526591971474</v>
      </c>
      <c r="AB359" s="257">
        <f>altaz((J2000_Bas+(4*0.04167)),$O359,$M359,DecLat,DecLong,1)</f>
        <v>6.7709274578364216</v>
      </c>
      <c r="AC359" s="257">
        <f>altaz((J2000_Bas+(6*0.04167)),$O359,$M359,DecLat,DecLong,1)</f>
        <v>3.1406124793524404</v>
      </c>
      <c r="AD359" s="258">
        <f>1+ transit((J2000_Bas-1),$O359,$M359,DecLat,DecLong)/360 + (GMTOffset/24) + (IF(DST="Y", 1, 0)/24)</f>
        <v>1.5453188868692915</v>
      </c>
      <c r="AE359" s="259">
        <f>DATE(2001,9,21)+(M359/360)*365 - (360*((DecLong/360)- (GMTOffset/24) ))</f>
        <v>37361.632928240739</v>
      </c>
      <c r="AF359" s="260">
        <f>IF(DecLat&gt;0,IF((90 - (DecLat-O359))&gt;90, (90 - (O359-DecLat)), (90 - (DecLat-O359))),IF((90 + (DecLat-O359))&gt;90, (90 + (O359-DecLat)), (90 + (DecLat-O359))))</f>
        <v>58.883333333333333</v>
      </c>
      <c r="AG359" s="257">
        <f>angularseperation(MoonRA,MoonDec,$M359,$O359)</f>
        <v>97.866260147827859</v>
      </c>
      <c r="AH359" s="261">
        <f ca="1">MIN(100,IF($O$5&gt;80,0+30*($AG359/100),IF($O$5&gt;70,0+50*($AG359/100),IF($O$5&gt;60,5+50*($AG359/100),IF($O$5&gt;50,10+60*($AG359/100),IF($O$5&gt;40,15+70*($AG359/100),IF($O$5&gt;30,20+70*($AG359/100),IF($O$5&gt;20,40+55*($AG359/100),(80+(20-$O$5)+30*($AG359/100))))))))))</f>
        <v>100</v>
      </c>
      <c r="AI359" s="262"/>
      <c r="AJ359" s="262"/>
      <c r="AK359" s="262"/>
      <c r="AL359" s="263"/>
      <c r="AM359" s="264"/>
      <c r="AN359" s="263">
        <v>238</v>
      </c>
      <c r="AO359" s="263"/>
      <c r="AP359" s="265"/>
      <c r="AQ359" s="266">
        <v>8335</v>
      </c>
      <c r="AR359" s="267"/>
      <c r="AS359" s="263"/>
      <c r="AT359" s="263"/>
      <c r="AU359" s="263"/>
      <c r="AV359" s="264"/>
      <c r="AW359" s="263"/>
      <c r="AX359" s="263"/>
      <c r="AY359" s="263"/>
      <c r="AZ359" s="263"/>
      <c r="BA359" s="263"/>
      <c r="BB359" s="263"/>
      <c r="BC359" s="263"/>
      <c r="BD359" s="264"/>
      <c r="BE359" s="263"/>
      <c r="BF359" s="263"/>
      <c r="BG359" s="263"/>
      <c r="BH359" s="263"/>
      <c r="BI359" s="263"/>
      <c r="BJ359" s="404">
        <f>altaz(J2000_Bas,$O359,$M359,DecLat,DecLong,2)</f>
        <v>327.93455733840602</v>
      </c>
      <c r="BK359" s="378" t="s">
        <v>454</v>
      </c>
      <c r="BL359" s="379">
        <f>IF((2*G359)/60&lt;0.2,0.2,(2*G359)/60)</f>
        <v>0.2</v>
      </c>
      <c r="BM359" s="380">
        <f>MOD((50000+AD359-$B$3+(0/24)),1)</f>
        <v>0.7606858165745507</v>
      </c>
      <c r="BN359" s="381" t="s">
        <v>9219</v>
      </c>
      <c r="BO359" s="382">
        <v>359</v>
      </c>
    </row>
    <row r="360" spans="1:67" s="24" customFormat="1" ht="15" customHeight="1" x14ac:dyDescent="0.25">
      <c r="A360" s="288" t="s">
        <v>455</v>
      </c>
      <c r="B360" s="241" t="str">
        <f>HYPERLINK(CONCATENATE($AT$3,BK360,$AU$3),$AV$3)</f>
        <v>S</v>
      </c>
      <c r="C360" s="242" t="str">
        <f>HYPERLINK(CONCATENATE($AT$4,BK360,$AU$4,BL360),$AV$4)</f>
        <v>A</v>
      </c>
      <c r="D360" s="243" t="s">
        <v>5638</v>
      </c>
      <c r="E360" s="244" t="s">
        <v>5337</v>
      </c>
      <c r="F360" s="269" t="s">
        <v>3310</v>
      </c>
      <c r="G360" s="273">
        <v>1</v>
      </c>
      <c r="H360" s="283">
        <v>375</v>
      </c>
      <c r="I360" s="246">
        <v>110</v>
      </c>
      <c r="J360" s="246">
        <v>2</v>
      </c>
      <c r="K360" s="247" t="s">
        <v>4304</v>
      </c>
      <c r="L360" s="248">
        <v>134139</v>
      </c>
      <c r="M360" s="249">
        <f>15*(LEFT(TEXT($L360,"000000"),2)+(MID(TEXT($L360,"000000"),3,2)/60)+(RIGHT(TEXT($L360,"000000"),2)/3600))</f>
        <v>205.41250000000002</v>
      </c>
      <c r="N360" s="250">
        <v>554000</v>
      </c>
      <c r="O360" s="251">
        <f>IF($N360&gt;0,(LEFT(TEXT($N360,"000000"),2)+(MID(TEXT($N360,"000000"),3,2)/60)+(RIGHT(TEXT($N360,"000000"),2)/3600)),-(MID(TEXT($N360,"000000"),2,2)+(MID(TEXT($N360,"000000"),4,2)/60)+(RIGHT(TEXT($N360,"000000"),2)/3600)))</f>
        <v>55.666666666666664</v>
      </c>
      <c r="P360" s="252" t="s">
        <v>37</v>
      </c>
      <c r="Q360" s="253"/>
      <c r="R360" s="247" t="s">
        <v>3615</v>
      </c>
      <c r="S360" s="272" t="s">
        <v>3293</v>
      </c>
      <c r="T360" s="273">
        <v>13.6</v>
      </c>
      <c r="U360" s="289">
        <v>21.89</v>
      </c>
      <c r="V360" s="280"/>
      <c r="W360" s="244"/>
      <c r="X360" s="244"/>
      <c r="Y360" s="362"/>
      <c r="Z360" s="257">
        <f>altaz(J2000_Bas,$O360,$M360,DecLat,DecLong,1)</f>
        <v>30.287877864280457</v>
      </c>
      <c r="AA360" s="257">
        <f>altaz((J2000_Bas+(2*0.04167)),$O360,$M360,DecLat,DecLong,1)</f>
        <v>14.750855798582574</v>
      </c>
      <c r="AB360" s="257">
        <f>altaz((J2000_Bas+(4*0.04167)),$O360,$M360,DecLat,DecLong,1)</f>
        <v>2.9162047808845992</v>
      </c>
      <c r="AC360" s="257">
        <f>altaz((J2000_Bas+(6*0.04167)),$O360,$M360,DecLat,DecLong,1)</f>
        <v>-2.9798513698668261</v>
      </c>
      <c r="AD360" s="258">
        <f>1+ transit((J2000_Bas-1),$O360,$M360,DecLat,DecLong)/360 + (GMTOffset/24) + (IF(DST="Y", 1, 0)/24)</f>
        <v>1.5634901813484581</v>
      </c>
      <c r="AE360" s="259">
        <f>DATE(2001,9,21)+(M360/360)*365 - (360*((DecLong/360)- (GMTOffset/24) ))</f>
        <v>37368.265451388892</v>
      </c>
      <c r="AF360" s="260">
        <f>IF(DecLat&gt;0,IF((90 - (DecLat-O360))&gt;90, (90 - (O360-DecLat)), (90 - (DecLat-O360))),IF((90 + (DecLat-O360))&gt;90, (90 + (O360-DecLat)), (90 + (DecLat-O360))))</f>
        <v>65.333333333333343</v>
      </c>
      <c r="AG360" s="257">
        <f>angularseperation(MoonRA,MoonDec,$M360,$O360)</f>
        <v>90.785707277024002</v>
      </c>
      <c r="AH360" s="261">
        <f ca="1">MIN(100,IF($O$5&gt;80,0+30*($AG360/100),IF($O$5&gt;70,0+50*($AG360/100),IF($O$5&gt;60,5+50*($AG360/100),IF($O$5&gt;50,10+60*($AG360/100),IF($O$5&gt;40,15+70*($AG360/100),IF($O$5&gt;30,20+70*($AG360/100),IF($O$5&gt;20,40+55*($AG360/100),(80+(20-$O$5)+30*($AG360/100))))))))))</f>
        <v>100</v>
      </c>
      <c r="AI360" s="262">
        <v>5278</v>
      </c>
      <c r="AJ360" s="262"/>
      <c r="AK360" s="262"/>
      <c r="AL360" s="263"/>
      <c r="AM360" s="264"/>
      <c r="AN360" s="263">
        <v>239</v>
      </c>
      <c r="AO360" s="263"/>
      <c r="AP360" s="265"/>
      <c r="AQ360" s="266">
        <v>8677</v>
      </c>
      <c r="AR360" s="267">
        <v>48473</v>
      </c>
      <c r="AS360" s="263"/>
      <c r="AT360" s="263"/>
      <c r="AU360" s="263"/>
      <c r="AV360" s="264"/>
      <c r="AW360" s="263"/>
      <c r="AX360" s="263"/>
      <c r="AY360" s="263"/>
      <c r="AZ360" s="263"/>
      <c r="BA360" s="263"/>
      <c r="BB360" s="263"/>
      <c r="BC360" s="263"/>
      <c r="BD360" s="264"/>
      <c r="BE360" s="263"/>
      <c r="BF360" s="263"/>
      <c r="BG360" s="263"/>
      <c r="BH360" s="263"/>
      <c r="BI360" s="263"/>
      <c r="BJ360" s="404">
        <f>altaz(J2000_Bas,$O360,$M360,DecLat,DecLong,2)</f>
        <v>319.88134145697632</v>
      </c>
      <c r="BK360" s="378" t="s">
        <v>455</v>
      </c>
      <c r="BL360" s="379">
        <f>IF((2*G360)/60&lt;0.2,0.2,(2*G360)/60)</f>
        <v>0.2</v>
      </c>
      <c r="BM360" s="380">
        <f>MOD((50000+AD360-$B$3+(0/24)),1)</f>
        <v>0.7788571110504563</v>
      </c>
      <c r="BN360" s="381" t="s">
        <v>8795</v>
      </c>
      <c r="BO360" s="382">
        <v>360</v>
      </c>
    </row>
    <row r="361" spans="1:67" s="24" customFormat="1" ht="15" customHeight="1" x14ac:dyDescent="0.25">
      <c r="A361" s="288" t="s">
        <v>456</v>
      </c>
      <c r="B361" s="241" t="str">
        <f>HYPERLINK(CONCATENATE($AT$3,BK361,$AU$3),$AV$3)</f>
        <v>S</v>
      </c>
      <c r="C361" s="242" t="str">
        <f>HYPERLINK(CONCATENATE($AT$4,BK361,$AU$4,BL361),$AV$4)</f>
        <v>A</v>
      </c>
      <c r="D361" s="243" t="s">
        <v>5638</v>
      </c>
      <c r="E361" s="244" t="s">
        <v>5337</v>
      </c>
      <c r="F361" s="269" t="s">
        <v>3310</v>
      </c>
      <c r="G361" s="273">
        <v>1.7</v>
      </c>
      <c r="H361" s="283">
        <v>300</v>
      </c>
      <c r="I361" s="246">
        <v>140</v>
      </c>
      <c r="J361" s="246">
        <v>2</v>
      </c>
      <c r="K361" s="247" t="s">
        <v>4304</v>
      </c>
      <c r="L361" s="248">
        <v>133957</v>
      </c>
      <c r="M361" s="249">
        <f>15*(LEFT(TEXT($L361,"000000"),2)+(MID(TEXT($L361,"000000"),3,2)/60)+(RIGHT(TEXT($L361,"000000"),2)/3600))</f>
        <v>204.98750000000001</v>
      </c>
      <c r="N361" s="250">
        <v>4900</v>
      </c>
      <c r="O361" s="251">
        <f>IF($N361&gt;0,(LEFT(TEXT($N361,"000000"),2)+(MID(TEXT($N361,"000000"),3,2)/60)+(RIGHT(TEXT($N361,"000000"),2)/3600)),-(MID(TEXT($N361,"000000"),2,2)+(MID(TEXT($N361,"000000"),4,2)/60)+(RIGHT(TEXT($N361,"000000"),2)/3600)))</f>
        <v>0.81666666666666665</v>
      </c>
      <c r="P361" s="252" t="s">
        <v>61</v>
      </c>
      <c r="Q361" s="253"/>
      <c r="R361" s="247" t="s">
        <v>3613</v>
      </c>
      <c r="S361" s="272" t="s">
        <v>3293</v>
      </c>
      <c r="T361" s="273">
        <v>12.9</v>
      </c>
      <c r="U361" s="289">
        <v>22.29</v>
      </c>
      <c r="V361" s="280"/>
      <c r="W361" s="244"/>
      <c r="X361" s="244"/>
      <c r="Y361" s="362"/>
      <c r="Z361" s="257">
        <f>altaz(J2000_Bas,$O361,$M361,DecLat,DecLong,1)</f>
        <v>8.1169579030073944</v>
      </c>
      <c r="AA361" s="257">
        <f>altaz((J2000_Bas+(2*0.04167)),$O361,$M361,DecLat,DecLong,1)</f>
        <v>-17.529733913235276</v>
      </c>
      <c r="AB361" s="257">
        <f>altaz((J2000_Bas+(4*0.04167)),$O361,$M361,DecLat,DecLong,1)</f>
        <v>-41.335446573640567</v>
      </c>
      <c r="AC361" s="257">
        <f>altaz((J2000_Bas+(6*0.04167)),$O361,$M361,DecLat,DecLong,1)</f>
        <v>-57.119733708896149</v>
      </c>
      <c r="AD361" s="258">
        <f>1+ transit((J2000_Bas-1),$O361,$M361,DecLat,DecLong)/360 + (GMTOffset/24) + (IF(DST="Y", 1, 0)/24)</f>
        <v>1.5623096259109579</v>
      </c>
      <c r="AE361" s="259">
        <f>DATE(2001,9,21)+(M361/360)*365 - (360*((DecLong/360)- (GMTOffset/24) ))</f>
        <v>37367.834548611114</v>
      </c>
      <c r="AF361" s="260">
        <f>IF(DecLat&gt;0,IF((90 - (DecLat-O361))&gt;90, (90 - (O361-DecLat)), (90 - (DecLat-O361))),IF((90 + (DecLat-O361))&gt;90, (90 + (O361-DecLat)), (90 + (DecLat-O361))))</f>
        <v>59.816666666666663</v>
      </c>
      <c r="AG361" s="257">
        <f>angularseperation(MoonRA,MoonDec,$M361,$O361)</f>
        <v>50.865001441754515</v>
      </c>
      <c r="AH361" s="261">
        <f ca="1">MIN(100,IF($O$5&gt;80,0+30*($AG361/100),IF($O$5&gt;70,0+50*($AG361/100),IF($O$5&gt;60,5+50*($AG361/100),IF($O$5&gt;50,10+60*($AG361/100),IF($O$5&gt;40,15+70*($AG361/100),IF($O$5&gt;30,20+70*($AG361/100),IF($O$5&gt;20,40+55*($AG361/100),(80+(20-$O$5)+30*($AG361/100))))))))))</f>
        <v>98.530560776676779</v>
      </c>
      <c r="AI361" s="262">
        <v>5258</v>
      </c>
      <c r="AJ361" s="262"/>
      <c r="AK361" s="262"/>
      <c r="AL361" s="263"/>
      <c r="AM361" s="264"/>
      <c r="AN361" s="263">
        <v>240</v>
      </c>
      <c r="AO361" s="263"/>
      <c r="AP361" s="265"/>
      <c r="AQ361" s="266">
        <v>8645</v>
      </c>
      <c r="AR361" s="267">
        <v>48338</v>
      </c>
      <c r="AS361" s="263"/>
      <c r="AT361" s="263"/>
      <c r="AU361" s="263"/>
      <c r="AV361" s="264"/>
      <c r="AW361" s="263"/>
      <c r="AX361" s="263"/>
      <c r="AY361" s="263"/>
      <c r="AZ361" s="263"/>
      <c r="BA361" s="263"/>
      <c r="BB361" s="263"/>
      <c r="BC361" s="263"/>
      <c r="BD361" s="264"/>
      <c r="BE361" s="263"/>
      <c r="BF361" s="263"/>
      <c r="BG361" s="263"/>
      <c r="BH361" s="263">
        <v>15</v>
      </c>
      <c r="BI361" s="263"/>
      <c r="BJ361" s="404">
        <f>altaz(J2000_Bas,$O361,$M361,DecLat,DecLong,2)</f>
        <v>266.04917703876896</v>
      </c>
      <c r="BK361" s="378" t="s">
        <v>456</v>
      </c>
      <c r="BL361" s="379">
        <f>IF((2*G361)/60&lt;0.2,0.2,(2*G361)/60)</f>
        <v>0.2</v>
      </c>
      <c r="BM361" s="380">
        <f>MOD((50000+AD361-$B$3+(0/24)),1)</f>
        <v>0.77767655561183346</v>
      </c>
      <c r="BN361" s="381"/>
      <c r="BO361" s="382">
        <v>361</v>
      </c>
    </row>
    <row r="362" spans="1:67" s="24" customFormat="1" ht="15" customHeight="1" x14ac:dyDescent="0.25">
      <c r="A362" s="288" t="s">
        <v>457</v>
      </c>
      <c r="B362" s="241" t="str">
        <f>HYPERLINK(CONCATENATE($AT$3,BK362,$AU$3),$AV$3)</f>
        <v>S</v>
      </c>
      <c r="C362" s="242" t="str">
        <f>HYPERLINK(CONCATENATE($AT$4,BK362,$AU$4,BL362),$AV$4)</f>
        <v>A</v>
      </c>
      <c r="D362" s="243" t="s">
        <v>5638</v>
      </c>
      <c r="E362" s="244" t="s">
        <v>5337</v>
      </c>
      <c r="F362" s="269" t="s">
        <v>9129</v>
      </c>
      <c r="G362" s="273">
        <v>1</v>
      </c>
      <c r="H362" s="283">
        <v>500</v>
      </c>
      <c r="I362" s="246">
        <v>140</v>
      </c>
      <c r="J362" s="246">
        <v>2</v>
      </c>
      <c r="K362" s="247" t="s">
        <v>4305</v>
      </c>
      <c r="L362" s="248">
        <v>143750</v>
      </c>
      <c r="M362" s="249">
        <f>15*(LEFT(TEXT($L362,"000000"),2)+(MID(TEXT($L362,"000000"),3,2)/60)+(RIGHT(TEXT($L362,"000000"),2)/3600))</f>
        <v>219.45833333333334</v>
      </c>
      <c r="N362" s="250">
        <v>302800</v>
      </c>
      <c r="O362" s="251">
        <f>IF($N362&gt;0,(LEFT(TEXT($N362,"000000"),2)+(MID(TEXT($N362,"000000"),3,2)/60)+(RIGHT(TEXT($N362,"000000"),2)/3600)),-(MID(TEXT($N362,"000000"),2,2)+(MID(TEXT($N362,"000000"),4,2)/60)+(RIGHT(TEXT($N362,"000000"),2)/3600)))</f>
        <v>30.466666666666665</v>
      </c>
      <c r="P362" s="252" t="s">
        <v>260</v>
      </c>
      <c r="Q362" s="253" t="s">
        <v>6901</v>
      </c>
      <c r="R362" s="247" t="s">
        <v>3293</v>
      </c>
      <c r="S362" s="272" t="s">
        <v>3293</v>
      </c>
      <c r="T362" s="273">
        <v>15</v>
      </c>
      <c r="U362" s="289"/>
      <c r="V362" s="280"/>
      <c r="W362" s="244"/>
      <c r="X362" s="244"/>
      <c r="Y362" s="362"/>
      <c r="Z362" s="257">
        <f>altaz(J2000_Bas,$O362,$M362,DecLat,DecLong,1)</f>
        <v>33.725911352697707</v>
      </c>
      <c r="AA362" s="257">
        <f>altaz((J2000_Bas+(2*0.04167)),$O362,$M362,DecLat,DecLong,1)</f>
        <v>10.128527523097929</v>
      </c>
      <c r="AB362" s="257">
        <f>altaz((J2000_Bas+(4*0.04167)),$O362,$M362,DecLat,DecLong,1)</f>
        <v>-10.400538441885013</v>
      </c>
      <c r="AC362" s="257">
        <f>altaz((J2000_Bas+(6*0.04167)),$O362,$M362,DecLat,DecLong,1)</f>
        <v>-24.703055737435474</v>
      </c>
      <c r="AD362" s="258">
        <f>1+ transit((J2000_Bas-1),$O362,$M362,DecLat,DecLong)/360 + (GMTOffset/24) + (IF(DST="Y", 1, 0)/24)</f>
        <v>1.6025063811505413</v>
      </c>
      <c r="AE362" s="259">
        <f>DATE(2001,9,21)+(M362/360)*365 - (360*((DecLong/360)- (GMTOffset/24) ))</f>
        <v>37382.506365740737</v>
      </c>
      <c r="AF362" s="260">
        <f>IF(DecLat&gt;0,IF((90 - (DecLat-O362))&gt;90, (90 - (O362-DecLat)), (90 - (DecLat-O362))),IF((90 + (DecLat-O362))&gt;90, (90 + (O362-DecLat)), (90 + (DecLat-O362))))</f>
        <v>89.466666666666669</v>
      </c>
      <c r="AG362" s="257">
        <f>angularseperation(MoonRA,MoonDec,$M362,$O362)</f>
        <v>64.202994910547403</v>
      </c>
      <c r="AH362" s="261">
        <f ca="1">MIN(100,IF($O$5&gt;80,0+30*($AG362/100),IF($O$5&gt;70,0+50*($AG362/100),IF($O$5&gt;60,5+50*($AG362/100),IF($O$5&gt;50,10+60*($AG362/100),IF($O$5&gt;40,15+70*($AG362/100),IF($O$5&gt;30,20+70*($AG362/100),IF($O$5&gt;20,40+55*($AG362/100),(80+(20-$O$5)+30*($AG362/100))))))))))</f>
        <v>100</v>
      </c>
      <c r="AI362" s="262"/>
      <c r="AJ362" s="262"/>
      <c r="AK362" s="262"/>
      <c r="AL362" s="263"/>
      <c r="AM362" s="264"/>
      <c r="AN362" s="263">
        <v>241</v>
      </c>
      <c r="AO362" s="263"/>
      <c r="AP362" s="265"/>
      <c r="AQ362" s="266">
        <v>9425</v>
      </c>
      <c r="AR362" s="267">
        <v>52283</v>
      </c>
      <c r="AS362" s="263"/>
      <c r="AT362" s="263"/>
      <c r="AU362" s="263"/>
      <c r="AV362" s="264"/>
      <c r="AW362" s="263"/>
      <c r="AX362" s="263"/>
      <c r="AY362" s="263"/>
      <c r="AZ362" s="263"/>
      <c r="BA362" s="263"/>
      <c r="BB362" s="263"/>
      <c r="BC362" s="263"/>
      <c r="BD362" s="264"/>
      <c r="BE362" s="263"/>
      <c r="BF362" s="263"/>
      <c r="BG362" s="263"/>
      <c r="BH362" s="263"/>
      <c r="BI362" s="263"/>
      <c r="BJ362" s="404">
        <f>altaz(J2000_Bas,$O362,$M362,DecLat,DecLong,2)</f>
        <v>288.06561667398023</v>
      </c>
      <c r="BK362" s="378" t="s">
        <v>457</v>
      </c>
      <c r="BL362" s="379">
        <f>IF((2*G362)/60&lt;0.2,0.2,(2*G362)/60)</f>
        <v>0.2</v>
      </c>
      <c r="BM362" s="380">
        <f>MOD((50000+AD362-$B$3+(0/24)),1)</f>
        <v>0.81787331085797632</v>
      </c>
      <c r="BN362" s="381" t="s">
        <v>9219</v>
      </c>
      <c r="BO362" s="382">
        <v>362</v>
      </c>
    </row>
    <row r="363" spans="1:67" s="24" customFormat="1" ht="15" customHeight="1" x14ac:dyDescent="0.25">
      <c r="A363" s="288" t="s">
        <v>458</v>
      </c>
      <c r="B363" s="241" t="str">
        <f>HYPERLINK(CONCATENATE($AT$3,BK363,$AU$3),$AV$3)</f>
        <v>S</v>
      </c>
      <c r="C363" s="242" t="str">
        <f>HYPERLINK(CONCATENATE($AT$4,BK363,$AU$4,BL363),$AV$4)</f>
        <v>A</v>
      </c>
      <c r="D363" s="243" t="s">
        <v>5638</v>
      </c>
      <c r="E363" s="244" t="s">
        <v>5337</v>
      </c>
      <c r="F363" s="269" t="s">
        <v>9142</v>
      </c>
      <c r="G363" s="270">
        <v>0.6</v>
      </c>
      <c r="H363" s="283">
        <v>350</v>
      </c>
      <c r="I363" s="246">
        <v>60</v>
      </c>
      <c r="J363" s="246">
        <v>4</v>
      </c>
      <c r="K363" s="247" t="s">
        <v>4306</v>
      </c>
      <c r="L363" s="248">
        <v>124610</v>
      </c>
      <c r="M363" s="249">
        <f>15*(LEFT(TEXT($L363,"000000"),2)+(MID(TEXT($L363,"000000"),3,2)/60)+(RIGHT(TEXT($L363,"000000"),2)/3600))</f>
        <v>191.54166666666669</v>
      </c>
      <c r="N363" s="250">
        <v>304300</v>
      </c>
      <c r="O363" s="251">
        <f>IF($N363&gt;0,(LEFT(TEXT($N363,"000000"),2)+(MID(TEXT($N363,"000000"),3,2)/60)+(RIGHT(TEXT($N363,"000000"),2)/3600)),-(MID(TEXT($N363,"000000"),2,2)+(MID(TEXT($N363,"000000"),4,2)/60)+(RIGHT(TEXT($N363,"000000"),2)/3600)))</f>
        <v>30.716666666666665</v>
      </c>
      <c r="P363" s="252" t="s">
        <v>190</v>
      </c>
      <c r="Q363" s="253" t="s">
        <v>459</v>
      </c>
      <c r="R363" s="247" t="s">
        <v>3599</v>
      </c>
      <c r="S363" s="272" t="s">
        <v>3293</v>
      </c>
      <c r="T363" s="273">
        <v>13.5</v>
      </c>
      <c r="U363" s="289">
        <v>22.09</v>
      </c>
      <c r="V363" s="280"/>
      <c r="W363" s="244"/>
      <c r="X363" s="244"/>
      <c r="Y363" s="362"/>
      <c r="Z363" s="257">
        <f>altaz(J2000_Bas,$O363,$M363,DecLat,DecLong,1)</f>
        <v>11.874059147834084</v>
      </c>
      <c r="AA363" s="257">
        <f>altaz((J2000_Bas+(2*0.04167)),$O363,$M363,DecLat,DecLong,1)</f>
        <v>-8.9048904525727348</v>
      </c>
      <c r="AB363" s="257">
        <f>altaz((J2000_Bas+(4*0.04167)),$O363,$M363,DecLat,DecLong,1)</f>
        <v>-23.751118786519609</v>
      </c>
      <c r="AC363" s="257">
        <f>altaz((J2000_Bas+(6*0.04167)),$O363,$M363,DecLat,DecLong,1)</f>
        <v>-28.121231148476046</v>
      </c>
      <c r="AD363" s="258">
        <f>1+ transit((J2000_Bas-1),$O363,$M363,DecLat,DecLong)/360 + (GMTOffset/24) + (IF(DST="Y", 1, 0)/24)</f>
        <v>1.5249600926088747</v>
      </c>
      <c r="AE363" s="259">
        <f>DATE(2001,9,21)+(M363/360)*365 - (360*((DecLong/360)- (GMTOffset/24) ))</f>
        <v>37354.201967592591</v>
      </c>
      <c r="AF363" s="260">
        <f>IF(DecLat&gt;0,IF((90 - (DecLat-O363))&gt;90, (90 - (O363-DecLat)), (90 - (DecLat-O363))),IF((90 + (DecLat-O363))&gt;90, (90 + (O363-DecLat)), (90 + (DecLat-O363))))</f>
        <v>89.716666666666669</v>
      </c>
      <c r="AG363" s="257">
        <f>angularseperation(MoonRA,MoonDec,$M363,$O363)</f>
        <v>79.83738349730038</v>
      </c>
      <c r="AH363" s="261">
        <f ca="1">MIN(100,IF($O$5&gt;80,0+30*($AG363/100),IF($O$5&gt;70,0+50*($AG363/100),IF($O$5&gt;60,5+50*($AG363/100),IF($O$5&gt;50,10+60*($AG363/100),IF($O$5&gt;40,15+70*($AG363/100),IF($O$5&gt;30,20+70*($AG363/100),IF($O$5&gt;20,40+55*($AG363/100),(80+(20-$O$5)+30*($AG363/100))))))))))</f>
        <v>100</v>
      </c>
      <c r="AI363" s="262">
        <v>4676</v>
      </c>
      <c r="AJ363" s="262"/>
      <c r="AK363" s="262"/>
      <c r="AL363" s="263"/>
      <c r="AM363" s="264"/>
      <c r="AN363" s="263">
        <v>242</v>
      </c>
      <c r="AO363" s="263"/>
      <c r="AP363" s="265"/>
      <c r="AQ363" s="266"/>
      <c r="AR363" s="267">
        <v>43062</v>
      </c>
      <c r="AS363" s="263"/>
      <c r="AT363" s="263"/>
      <c r="AU363" s="263"/>
      <c r="AV363" s="264"/>
      <c r="AW363" s="263"/>
      <c r="AX363" s="263"/>
      <c r="AY363" s="263"/>
      <c r="AZ363" s="263"/>
      <c r="BA363" s="263"/>
      <c r="BB363" s="263"/>
      <c r="BC363" s="263"/>
      <c r="BD363" s="264"/>
      <c r="BE363" s="263"/>
      <c r="BF363" s="263"/>
      <c r="BG363" s="263"/>
      <c r="BH363" s="263">
        <v>6</v>
      </c>
      <c r="BI363" s="263"/>
      <c r="BJ363" s="404">
        <f>altaz(J2000_Bas,$O363,$M363,DecLat,DecLong,2)</f>
        <v>298.85541596608499</v>
      </c>
      <c r="BK363" s="378" t="s">
        <v>458</v>
      </c>
      <c r="BL363" s="379">
        <f>IF((2*G363)/60&lt;0.2,0.2,(2*G363)/60)</f>
        <v>0.2</v>
      </c>
      <c r="BM363" s="380">
        <f>MOD((50000+AD363-$B$3+(0/24)),1)</f>
        <v>0.74032702231488656</v>
      </c>
      <c r="BN363" s="381" t="s">
        <v>9283</v>
      </c>
      <c r="BO363" s="382">
        <v>363</v>
      </c>
    </row>
    <row r="364" spans="1:67" s="24" customFormat="1" ht="15" customHeight="1" x14ac:dyDescent="0.25">
      <c r="A364" s="288" t="s">
        <v>460</v>
      </c>
      <c r="B364" s="241" t="str">
        <f>HYPERLINK(CONCATENATE($AT$3,BK364,$AU$3),$AV$3)</f>
        <v>S</v>
      </c>
      <c r="C364" s="242" t="str">
        <f>HYPERLINK(CONCATENATE($AT$4,BK364,$AU$4,BL364),$AV$4)</f>
        <v>A</v>
      </c>
      <c r="D364" s="243" t="s">
        <v>5638</v>
      </c>
      <c r="E364" s="244" t="s">
        <v>5337</v>
      </c>
      <c r="F364" s="269" t="s">
        <v>9131</v>
      </c>
      <c r="G364" s="270">
        <v>0.55000000000000004</v>
      </c>
      <c r="H364" s="283">
        <v>300</v>
      </c>
      <c r="I364" s="246">
        <v>50</v>
      </c>
      <c r="J364" s="246">
        <v>2</v>
      </c>
      <c r="K364" s="247" t="s">
        <v>4306</v>
      </c>
      <c r="L364" s="248">
        <v>83823</v>
      </c>
      <c r="M364" s="249">
        <f>15*(LEFT(TEXT($L364,"000000"),2)+(MID(TEXT($L364,"000000"),3,2)/60)+(RIGHT(TEXT($L364,"000000"),2)/3600))</f>
        <v>129.59583333333333</v>
      </c>
      <c r="N364" s="250">
        <v>254500</v>
      </c>
      <c r="O364" s="251">
        <f>IF($N364&gt;0,(LEFT(TEXT($N364,"000000"),2)+(MID(TEXT($N364,"000000"),3,2)/60)+(RIGHT(TEXT($N364,"000000"),2)/3600)),-(MID(TEXT($N364,"000000"),2,2)+(MID(TEXT($N364,"000000"),4,2)/60)+(RIGHT(TEXT($N364,"000000"),2)/3600)))</f>
        <v>25.75</v>
      </c>
      <c r="P364" s="252" t="s">
        <v>100</v>
      </c>
      <c r="Q364" s="253"/>
      <c r="R364" s="247" t="s">
        <v>3511</v>
      </c>
      <c r="S364" s="272" t="s">
        <v>3293</v>
      </c>
      <c r="T364" s="273">
        <v>13.4</v>
      </c>
      <c r="U364" s="289">
        <v>22.69</v>
      </c>
      <c r="V364" s="280"/>
      <c r="W364" s="244"/>
      <c r="X364" s="244"/>
      <c r="Y364" s="362"/>
      <c r="Z364" s="257">
        <f>altaz(J2000_Bas,$O364,$M364,DecLat,DecLong,1)</f>
        <v>-28.931118600708249</v>
      </c>
      <c r="AA364" s="257">
        <f>altaz((J2000_Bas+(2*0.04167)),$O364,$M364,DecLat,DecLong,1)</f>
        <v>-32.911543001025223</v>
      </c>
      <c r="AB364" s="257">
        <f>altaz((J2000_Bas+(4*0.04167)),$O364,$M364,DecLat,DecLong,1)</f>
        <v>-23.344103315108242</v>
      </c>
      <c r="AC364" s="257">
        <f>altaz((J2000_Bas+(6*0.04167)),$O364,$M364,DecLat,DecLong,1)</f>
        <v>-4.7101114505908264</v>
      </c>
      <c r="AD364" s="258">
        <f>1+ transit((J2000_Bas-1),$O364,$M364,DecLat,DecLong)/360 + (GMTOffset/24) + (IF(DST="Y", 1, 0)/24)</f>
        <v>1.3528883505567915</v>
      </c>
      <c r="AE364" s="259">
        <f>DATE(2001,9,21)+(M364/360)*365 - (360*((DecLong/360)- (GMTOffset/24) ))</f>
        <v>37291.395775462966</v>
      </c>
      <c r="AF364" s="260">
        <f>IF(DecLat&gt;0,IF((90 - (DecLat-O364))&gt;90, (90 - (O364-DecLat)), (90 - (DecLat-O364))),IF((90 + (DecLat-O364))&gt;90, (90 + (O364-DecLat)), (90 + (DecLat-O364))))</f>
        <v>84.75</v>
      </c>
      <c r="AG364" s="257">
        <f>angularseperation(MoonRA,MoonDec,$M364,$O364)</f>
        <v>126.47470887909128</v>
      </c>
      <c r="AH364" s="261">
        <f ca="1">MIN(100,IF($O$5&gt;80,0+30*($AG364/100),IF($O$5&gt;70,0+50*($AG364/100),IF($O$5&gt;60,5+50*($AG364/100),IF($O$5&gt;50,10+60*($AG364/100),IF($O$5&gt;40,15+70*($AG364/100),IF($O$5&gt;30,20+70*($AG364/100),IF($O$5&gt;20,40+55*($AG364/100),(80+(20-$O$5)+30*($AG364/100))))))))))</f>
        <v>100</v>
      </c>
      <c r="AI364" s="262">
        <v>2623</v>
      </c>
      <c r="AJ364" s="262"/>
      <c r="AK364" s="262"/>
      <c r="AL364" s="263"/>
      <c r="AM364" s="264"/>
      <c r="AN364" s="263">
        <v>243</v>
      </c>
      <c r="AO364" s="263"/>
      <c r="AP364" s="265"/>
      <c r="AQ364" s="266">
        <v>4509</v>
      </c>
      <c r="AR364" s="267">
        <v>24288</v>
      </c>
      <c r="AS364" s="263"/>
      <c r="AT364" s="263"/>
      <c r="AU364" s="263"/>
      <c r="AV364" s="264"/>
      <c r="AW364" s="263"/>
      <c r="AX364" s="263"/>
      <c r="AY364" s="263"/>
      <c r="AZ364" s="263"/>
      <c r="BA364" s="263"/>
      <c r="BB364" s="263"/>
      <c r="BC364" s="263"/>
      <c r="BD364" s="264"/>
      <c r="BE364" s="263"/>
      <c r="BF364" s="263"/>
      <c r="BG364" s="263"/>
      <c r="BH364" s="263">
        <v>78</v>
      </c>
      <c r="BI364" s="263"/>
      <c r="BJ364" s="404">
        <f>altaz(J2000_Bas,$O364,$M364,DecLat,DecLong,2)</f>
        <v>335.67574467089599</v>
      </c>
      <c r="BK364" s="378" t="s">
        <v>460</v>
      </c>
      <c r="BL364" s="379">
        <f>IF((2*G364)/60&lt;0.2,0.2,(2*G364)/60)</f>
        <v>0.2</v>
      </c>
      <c r="BM364" s="380">
        <f>MOD((50000+AD364-$B$3+(0/24)),1)</f>
        <v>0.56825528026092798</v>
      </c>
      <c r="BN364" s="381" t="s">
        <v>9283</v>
      </c>
      <c r="BO364" s="382">
        <v>364</v>
      </c>
    </row>
    <row r="365" spans="1:67" s="24" customFormat="1" ht="15" customHeight="1" x14ac:dyDescent="0.25">
      <c r="A365" s="288" t="s">
        <v>461</v>
      </c>
      <c r="B365" s="241" t="str">
        <f>HYPERLINK(CONCATENATE($AT$3,BK365,$AU$3),$AV$3)</f>
        <v>S</v>
      </c>
      <c r="C365" s="242" t="str">
        <f>HYPERLINK(CONCATENATE($AT$4,BK365,$AU$4,BL365),$AV$4)</f>
        <v>A</v>
      </c>
      <c r="D365" s="243" t="s">
        <v>5638</v>
      </c>
      <c r="E365" s="244" t="s">
        <v>5337</v>
      </c>
      <c r="F365" s="269" t="s">
        <v>9131</v>
      </c>
      <c r="G365" s="273">
        <v>10</v>
      </c>
      <c r="H365" s="283">
        <v>60</v>
      </c>
      <c r="I365" s="246">
        <v>50</v>
      </c>
      <c r="J365" s="246">
        <v>5</v>
      </c>
      <c r="K365" s="247" t="s">
        <v>4307</v>
      </c>
      <c r="L365" s="248">
        <v>120153</v>
      </c>
      <c r="M365" s="249">
        <f>15*(LEFT(TEXT($L365,"000000"),2)+(MID(TEXT($L365,"000000"),3,2)/60)+(RIGHT(TEXT($L365,"000000"),2)/3600))</f>
        <v>180.47083333333333</v>
      </c>
      <c r="N365" s="250">
        <v>-185207</v>
      </c>
      <c r="O365" s="251">
        <f>IF($N365&gt;0,(LEFT(TEXT($N365,"000000"),2)+(MID(TEXT($N365,"000000"),3,2)/60)+(RIGHT(TEXT($N365,"000000"),2)/3600)),-(MID(TEXT($N365,"000000"),2,2)+(MID(TEXT($N365,"000000"),4,2)/60)+(RIGHT(TEXT($N365,"000000"),2)/3600)))</f>
        <v>-18.868611111111111</v>
      </c>
      <c r="P365" s="252" t="s">
        <v>192</v>
      </c>
      <c r="Q365" s="253" t="s">
        <v>6854</v>
      </c>
      <c r="R365" s="247" t="s">
        <v>7373</v>
      </c>
      <c r="S365" s="272" t="s">
        <v>8734</v>
      </c>
      <c r="T365" s="273">
        <v>10.3</v>
      </c>
      <c r="U365" s="289">
        <v>20.990000000000002</v>
      </c>
      <c r="V365" s="280"/>
      <c r="W365" s="244"/>
      <c r="X365" s="244"/>
      <c r="Y365" s="362"/>
      <c r="Z365" s="257">
        <f>altaz(J2000_Bas,$O365,$M365,DecLat,DecLong,1)</f>
        <v>-22.566471514001137</v>
      </c>
      <c r="AA365" s="257">
        <f>altaz((J2000_Bas+(2*0.04167)),$O365,$M365,DecLat,DecLong,1)</f>
        <v>-48.26548319252089</v>
      </c>
      <c r="AB365" s="257">
        <f>altaz((J2000_Bas+(4*0.04167)),$O365,$M365,DecLat,DecLong,1)</f>
        <v>-72.277088145384894</v>
      </c>
      <c r="AC365" s="257">
        <f>altaz((J2000_Bas+(6*0.04167)),$O365,$M365,DecLat,DecLong,1)</f>
        <v>-71.276592516040125</v>
      </c>
      <c r="AD365" s="258">
        <f>1+ transit((J2000_Bas-1),$O365,$M365,DecLat,DecLong)/360 + (GMTOffset/24) + (IF(DST="Y", 1, 0)/24)</f>
        <v>1.4942077808692915</v>
      </c>
      <c r="AE365" s="259">
        <f>DATE(2001,9,21)+(M365/360)*365 - (360*((DecLong/360)- (GMTOffset/24) ))</f>
        <v>37342.977372685185</v>
      </c>
      <c r="AF365" s="260">
        <f>IF(DecLat&gt;0,IF((90 - (DecLat-O365))&gt;90, (90 - (O365-DecLat)), (90 - (DecLat-O365))),IF((90 + (DecLat-O365))&gt;90, (90 + (O365-DecLat)), (90 + (DecLat-O365))))</f>
        <v>40.131388888888893</v>
      </c>
      <c r="AG365" s="257">
        <f>angularseperation(MoonRA,MoonDec,$M365,$O365)</f>
        <v>63.108260835186798</v>
      </c>
      <c r="AH365" s="261">
        <f ca="1">MIN(100,IF($O$5&gt;80,0+30*($AG365/100),IF($O$5&gt;70,0+50*($AG365/100),IF($O$5&gt;60,5+50*($AG365/100),IF($O$5&gt;50,10+60*($AG365/100),IF($O$5&gt;40,15+70*($AG365/100),IF($O$5&gt;30,20+70*($AG365/100),IF($O$5&gt;20,40+55*($AG365/100),(80+(20-$O$5)+30*($AG365/100))))))))))</f>
        <v>100</v>
      </c>
      <c r="AI365" s="262">
        <v>4038</v>
      </c>
      <c r="AJ365" s="262"/>
      <c r="AK365" s="262">
        <v>204</v>
      </c>
      <c r="AL365" s="263"/>
      <c r="AM365" s="264">
        <v>60</v>
      </c>
      <c r="AN365" s="263">
        <v>244</v>
      </c>
      <c r="AO365" s="263"/>
      <c r="AP365" s="265"/>
      <c r="AQ365" s="266"/>
      <c r="AR365" s="267">
        <v>37967</v>
      </c>
      <c r="AS365" s="263"/>
      <c r="AT365" s="263"/>
      <c r="AU365" s="263"/>
      <c r="AV365" s="264"/>
      <c r="AW365" s="263"/>
      <c r="AX365" s="263"/>
      <c r="AY365" s="263"/>
      <c r="AZ365" s="263"/>
      <c r="BA365" s="263"/>
      <c r="BB365" s="263"/>
      <c r="BC365" s="263"/>
      <c r="BD365" s="264"/>
      <c r="BE365" s="263"/>
      <c r="BF365" s="263"/>
      <c r="BG365" s="263"/>
      <c r="BH365" s="263"/>
      <c r="BI365" s="263"/>
      <c r="BJ365" s="404">
        <f>altaz(J2000_Bas,$O365,$M365,DecLat,DecLong,2)</f>
        <v>260.85876425435504</v>
      </c>
      <c r="BK365" s="378" t="s">
        <v>461</v>
      </c>
      <c r="BL365" s="379">
        <f>IF((2*G365)/60&lt;0.2,0.2,(2*G365)/60)</f>
        <v>0.33333333333333331</v>
      </c>
      <c r="BM365" s="380">
        <f>MOD((50000+AD365-$B$3+(0/24)),1)</f>
        <v>0.70957471057045041</v>
      </c>
      <c r="BN365" s="381" t="s">
        <v>9283</v>
      </c>
      <c r="BO365" s="382">
        <v>365</v>
      </c>
    </row>
    <row r="366" spans="1:67" s="24" customFormat="1" ht="15" customHeight="1" x14ac:dyDescent="0.25">
      <c r="A366" s="288" t="s">
        <v>462</v>
      </c>
      <c r="B366" s="241" t="str">
        <f>HYPERLINK(CONCATENATE($AT$3,BK366,$AU$3),$AV$3)</f>
        <v>S</v>
      </c>
      <c r="C366" s="242" t="str">
        <f>HYPERLINK(CONCATENATE($AT$4,BK366,$AU$4,BL366),$AV$4)</f>
        <v>A</v>
      </c>
      <c r="D366" s="243" t="s">
        <v>5638</v>
      </c>
      <c r="E366" s="244" t="s">
        <v>5337</v>
      </c>
      <c r="F366" s="269" t="s">
        <v>3310</v>
      </c>
      <c r="G366" s="273">
        <v>1.7</v>
      </c>
      <c r="H366" s="283">
        <v>100</v>
      </c>
      <c r="I366" s="246">
        <v>50</v>
      </c>
      <c r="J366" s="246">
        <v>2</v>
      </c>
      <c r="K366" s="247" t="s">
        <v>4308</v>
      </c>
      <c r="L366" s="248">
        <v>94542</v>
      </c>
      <c r="M366" s="249">
        <f>15*(LEFT(TEXT($L366,"000000"),2)+(MID(TEXT($L366,"000000"),3,2)/60)+(RIGHT(TEXT($L366,"000000"),2)/3600))</f>
        <v>146.42500000000001</v>
      </c>
      <c r="N366" s="250">
        <v>-141900</v>
      </c>
      <c r="O366" s="251">
        <f>IF($N366&gt;0,(LEFT(TEXT($N366,"000000"),2)+(MID(TEXT($N366,"000000"),3,2)/60)+(RIGHT(TEXT($N366,"000000"),2)/3600)),-(MID(TEXT($N366,"000000"),2,2)+(MID(TEXT($N366,"000000"),4,2)/60)+(RIGHT(TEXT($N366,"000000"),2)/3600)))</f>
        <v>-14.316666666666666</v>
      </c>
      <c r="P366" s="252" t="s">
        <v>103</v>
      </c>
      <c r="Q366" s="253"/>
      <c r="R366" s="247" t="s">
        <v>3537</v>
      </c>
      <c r="S366" s="272" t="s">
        <v>3293</v>
      </c>
      <c r="T366" s="273">
        <v>12.2</v>
      </c>
      <c r="U366" s="289">
        <v>22.39</v>
      </c>
      <c r="V366" s="280"/>
      <c r="W366" s="244"/>
      <c r="X366" s="244"/>
      <c r="Y366" s="362"/>
      <c r="Z366" s="257">
        <f>altaz(J2000_Bas,$O366,$M366,DecLat,DecLong,1)</f>
        <v>-49.432661946547206</v>
      </c>
      <c r="AA366" s="257">
        <f>altaz((J2000_Bas+(2*0.04167)),$O366,$M366,DecLat,DecLong,1)</f>
        <v>-70.808227431539621</v>
      </c>
      <c r="AB366" s="257">
        <f>altaz((J2000_Bas+(4*0.04167)),$O366,$M366,DecLat,DecLong,1)</f>
        <v>-65.376604355644957</v>
      </c>
      <c r="AC366" s="257">
        <f>altaz((J2000_Bas+(6*0.04167)),$O366,$M366,DecLat,DecLong,1)</f>
        <v>-41.536407969042777</v>
      </c>
      <c r="AD366" s="258">
        <f>1+ transit((J2000_Bas-1),$O366,$M366,DecLat,DecLong)/360 + (GMTOffset/24) + (IF(DST="Y", 1, 0)/24)</f>
        <v>1.399636031067208</v>
      </c>
      <c r="AE366" s="259">
        <f>DATE(2001,9,21)+(M366/360)*365 - (360*((DecLong/360)- (GMTOffset/24) ))</f>
        <v>37308.458680555559</v>
      </c>
      <c r="AF366" s="260">
        <f>IF(DecLat&gt;0,IF((90 - (DecLat-O366))&gt;90, (90 - (O366-DecLat)), (90 - (DecLat-O366))),IF((90 + (DecLat-O366))&gt;90, (90 + (O366-DecLat)), (90 + (DecLat-O366))))</f>
        <v>44.683333333333337</v>
      </c>
      <c r="AG366" s="257">
        <f>angularseperation(MoonRA,MoonDec,$M366,$O366)</f>
        <v>94.518976522533009</v>
      </c>
      <c r="AH366" s="261">
        <f ca="1">MIN(100,IF($O$5&gt;80,0+30*($AG366/100),IF($O$5&gt;70,0+50*($AG366/100),IF($O$5&gt;60,5+50*($AG366/100),IF($O$5&gt;50,10+60*($AG366/100),IF($O$5&gt;40,15+70*($AG366/100),IF($O$5&gt;30,20+70*($AG366/100),IF($O$5&gt;20,40+55*($AG366/100),(80+(20-$O$5)+30*($AG366/100))))))))))</f>
        <v>100</v>
      </c>
      <c r="AI366" s="262">
        <v>2992</v>
      </c>
      <c r="AJ366" s="262"/>
      <c r="AK366" s="262"/>
      <c r="AL366" s="263"/>
      <c r="AM366" s="264"/>
      <c r="AN366" s="263">
        <v>245</v>
      </c>
      <c r="AO366" s="263"/>
      <c r="AP366" s="265"/>
      <c r="AQ366" s="266"/>
      <c r="AR366" s="267">
        <v>27982</v>
      </c>
      <c r="AS366" s="263"/>
      <c r="AT366" s="263"/>
      <c r="AU366" s="263"/>
      <c r="AV366" s="264"/>
      <c r="AW366" s="263"/>
      <c r="AX366" s="263"/>
      <c r="AY366" s="263"/>
      <c r="AZ366" s="263"/>
      <c r="BA366" s="263"/>
      <c r="BB366" s="263"/>
      <c r="BC366" s="263"/>
      <c r="BD366" s="264"/>
      <c r="BE366" s="263"/>
      <c r="BF366" s="263"/>
      <c r="BG366" s="263"/>
      <c r="BH366" s="263">
        <v>104</v>
      </c>
      <c r="BI366" s="263"/>
      <c r="BJ366" s="404">
        <f>altaz(J2000_Bas,$O366,$M366,DecLat,DecLong,2)</f>
        <v>284.96645784702719</v>
      </c>
      <c r="BK366" s="378" t="s">
        <v>462</v>
      </c>
      <c r="BL366" s="379">
        <f>IF((2*G366)/60&lt;0.2,0.2,(2*G366)/60)</f>
        <v>0.2</v>
      </c>
      <c r="BM366" s="380">
        <f>MOD((50000+AD366-$B$3+(0/24)),1)</f>
        <v>0.61500296077429084</v>
      </c>
      <c r="BN366" s="381"/>
      <c r="BO366" s="382">
        <v>366</v>
      </c>
    </row>
    <row r="367" spans="1:67" s="24" customFormat="1" ht="15" customHeight="1" x14ac:dyDescent="0.25">
      <c r="A367" s="288" t="s">
        <v>463</v>
      </c>
      <c r="B367" s="241" t="str">
        <f>HYPERLINK(CONCATENATE($AT$3,BK367,$AU$3),$AV$3)</f>
        <v>S</v>
      </c>
      <c r="C367" s="242" t="str">
        <f>HYPERLINK(CONCATENATE($AT$4,BK367,$AU$4,BL367),$AV$4)</f>
        <v>A</v>
      </c>
      <c r="D367" s="243" t="s">
        <v>5638</v>
      </c>
      <c r="E367" s="244" t="s">
        <v>5178</v>
      </c>
      <c r="F367" s="269"/>
      <c r="G367" s="273">
        <v>1</v>
      </c>
      <c r="H367" s="283">
        <v>500</v>
      </c>
      <c r="I367" s="246">
        <v>160</v>
      </c>
      <c r="J367" s="246">
        <v>1</v>
      </c>
      <c r="K367" s="247" t="s">
        <v>4309</v>
      </c>
      <c r="L367" s="248">
        <v>653</v>
      </c>
      <c r="M367" s="249">
        <f>15*(LEFT(TEXT($L367,"000000"),2)+(MID(TEXT($L367,"000000"),3,2)/60)+(RIGHT(TEXT($L367,"000000"),2)/3600))</f>
        <v>1.7208333333333334</v>
      </c>
      <c r="N367" s="250">
        <v>82000</v>
      </c>
      <c r="O367" s="251">
        <f>IF($N367&gt;0,(LEFT(TEXT($N367,"000000"),2)+(MID(TEXT($N367,"000000"),3,2)/60)+(RIGHT(TEXT($N367,"000000"),2)/3600)),-(MID(TEXT($N367,"000000"),2,2)+(MID(TEXT($N367,"000000"),4,2)/60)+(RIGHT(TEXT($N367,"000000"),2)/3600)))</f>
        <v>8.3333333333333339</v>
      </c>
      <c r="P367" s="252" t="s">
        <v>158</v>
      </c>
      <c r="Q367" s="253"/>
      <c r="R367" s="247" t="s">
        <v>3709</v>
      </c>
      <c r="S367" s="272" t="s">
        <v>3293</v>
      </c>
      <c r="T367" s="273">
        <v>14.6</v>
      </c>
      <c r="U367" s="289">
        <v>21.69</v>
      </c>
      <c r="V367" s="280"/>
      <c r="W367" s="244"/>
      <c r="X367" s="244"/>
      <c r="Y367" s="362"/>
      <c r="Z367" s="257">
        <f>altaz(J2000_Bas,$O367,$M367,DecLat,DecLong,1)</f>
        <v>16.49121528931294</v>
      </c>
      <c r="AA367" s="257">
        <f>altaz((J2000_Bas+(2*0.04167)),$O367,$M367,DecLat,DecLong,1)</f>
        <v>41.888696106715166</v>
      </c>
      <c r="AB367" s="257">
        <f>altaz((J2000_Bas+(4*0.04167)),$O367,$M367,DecLat,DecLong,1)</f>
        <v>63.090463168633129</v>
      </c>
      <c r="AC367" s="257">
        <f>altaz((J2000_Bas+(6*0.04167)),$O367,$M367,DecLat,DecLong,1)</f>
        <v>63.587722903212764</v>
      </c>
      <c r="AD367" s="258">
        <f>1+ transit((J2000_Bas-1),$O367,$M367,DecLat,DecLong)/360 + (GMTOffset/24) + (IF(DST="Y", 1, 0)/24)</f>
        <v>0.99768005274429117</v>
      </c>
      <c r="AE367" s="259">
        <f>DATE(2001,9,21)+(M367/360)*365 - (360*((DecLong/360)- (GMTOffset/24) ))</f>
        <v>37161.744733796295</v>
      </c>
      <c r="AF367" s="260">
        <f>IF(DecLat&gt;0,IF((90 - (DecLat-O367))&gt;90, (90 - (O367-DecLat)), (90 - (DecLat-O367))),IF((90 + (DecLat-O367))&gt;90, (90 + (O367-DecLat)), (90 + (DecLat-O367))))</f>
        <v>67.333333333333343</v>
      </c>
      <c r="AG367" s="257">
        <f>angularseperation(MoonRA,MoonDec,$M367,$O367)</f>
        <v>113.75386004045805</v>
      </c>
      <c r="AH367" s="261">
        <f ca="1">MIN(100,IF($O$5&gt;80,0+30*($AG367/100),IF($O$5&gt;70,0+50*($AG367/100),IF($O$5&gt;60,5+50*($AG367/100),IF($O$5&gt;50,10+60*($AG367/100),IF($O$5&gt;40,15+70*($AG367/100),IF($O$5&gt;30,20+70*($AG367/100),IF($O$5&gt;20,40+55*($AG367/100),(80+(20-$O$5)+30*($AG367/100))))))))))</f>
        <v>100</v>
      </c>
      <c r="AI367" s="262">
        <v>7838</v>
      </c>
      <c r="AJ367" s="262"/>
      <c r="AK367" s="262"/>
      <c r="AL367" s="263"/>
      <c r="AM367" s="264"/>
      <c r="AN367" s="263">
        <v>246</v>
      </c>
      <c r="AO367" s="263"/>
      <c r="AP367" s="265"/>
      <c r="AQ367" s="266"/>
      <c r="AR367" s="267">
        <v>525</v>
      </c>
      <c r="AS367" s="263"/>
      <c r="AT367" s="263"/>
      <c r="AU367" s="263"/>
      <c r="AV367" s="264"/>
      <c r="AW367" s="263"/>
      <c r="AX367" s="263"/>
      <c r="AY367" s="263"/>
      <c r="AZ367" s="263"/>
      <c r="BA367" s="263"/>
      <c r="BB367" s="263"/>
      <c r="BC367" s="263"/>
      <c r="BD367" s="264"/>
      <c r="BE367" s="263"/>
      <c r="BF367" s="263"/>
      <c r="BG367" s="263"/>
      <c r="BH367" s="263"/>
      <c r="BI367" s="263"/>
      <c r="BJ367" s="404">
        <f>altaz(J2000_Bas,$O367,$M367,DecLat,DecLong,2)</f>
        <v>90.088612314772149</v>
      </c>
      <c r="BK367" s="378" t="s">
        <v>463</v>
      </c>
      <c r="BL367" s="379">
        <f>IF((2*G367)/60&lt;0.2,0.2,(2*G367)/60)</f>
        <v>0.2</v>
      </c>
      <c r="BM367" s="380">
        <f>MOD((50000+AD367-$B$3+(0/24)),1)</f>
        <v>0.21304698244784959</v>
      </c>
      <c r="BN367" s="381"/>
      <c r="BO367" s="382">
        <v>367</v>
      </c>
    </row>
    <row r="368" spans="1:67" s="24" customFormat="1" ht="15" customHeight="1" x14ac:dyDescent="0.25">
      <c r="A368" s="288" t="s">
        <v>464</v>
      </c>
      <c r="B368" s="241" t="str">
        <f>HYPERLINK(CONCATENATE($AT$3,BK368,$AU$3),$AV$3)</f>
        <v>S</v>
      </c>
      <c r="C368" s="242" t="str">
        <f>HYPERLINK(CONCATENATE($AT$4,BK368,$AU$4,BL368),$AV$4)</f>
        <v>A</v>
      </c>
      <c r="D368" s="243" t="s">
        <v>5638</v>
      </c>
      <c r="E368" s="244" t="s">
        <v>5337</v>
      </c>
      <c r="F368" s="269" t="s">
        <v>9137</v>
      </c>
      <c r="G368" s="273">
        <v>1</v>
      </c>
      <c r="H368" s="283">
        <v>250</v>
      </c>
      <c r="I368" s="246">
        <v>80</v>
      </c>
      <c r="J368" s="246">
        <v>2</v>
      </c>
      <c r="K368" s="247" t="s">
        <v>4310</v>
      </c>
      <c r="L368" s="248">
        <v>82332</v>
      </c>
      <c r="M368" s="249">
        <f>15*(LEFT(TEXT($L368,"000000"),2)+(MID(TEXT($L368,"000000"),3,2)/60)+(RIGHT(TEXT($L368,"000000"),2)/3600))</f>
        <v>125.88333333333333</v>
      </c>
      <c r="N368" s="250">
        <v>212000</v>
      </c>
      <c r="O368" s="251">
        <f>IF($N368&gt;0,(LEFT(TEXT($N368,"000000"),2)+(MID(TEXT($N368,"000000"),3,2)/60)+(RIGHT(TEXT($N368,"000000"),2)/3600)),-(MID(TEXT($N368,"000000"),2,2)+(MID(TEXT($N368,"000000"),4,2)/60)+(RIGHT(TEXT($N368,"000000"),2)/3600)))</f>
        <v>21.333333333333332</v>
      </c>
      <c r="P368" s="252" t="s">
        <v>100</v>
      </c>
      <c r="Q368" s="253"/>
      <c r="R368" s="247" t="s">
        <v>3739</v>
      </c>
      <c r="S368" s="272" t="s">
        <v>3293</v>
      </c>
      <c r="T368" s="273">
        <v>15.4</v>
      </c>
      <c r="U368" s="289">
        <v>20.990000000000002</v>
      </c>
      <c r="V368" s="280"/>
      <c r="W368" s="244"/>
      <c r="X368" s="244"/>
      <c r="Y368" s="362"/>
      <c r="Z368" s="257">
        <f>altaz(J2000_Bas,$O368,$M368,DecLat,DecLong,1)</f>
        <v>-34.296952318418683</v>
      </c>
      <c r="AA368" s="257">
        <f>altaz((J2000_Bas+(2*0.04167)),$O368,$M368,DecLat,DecLong,1)</f>
        <v>-36.758136987509999</v>
      </c>
      <c r="AB368" s="257">
        <f>altaz((J2000_Bas+(4*0.04167)),$O368,$M368,DecLat,DecLong,1)</f>
        <v>-24.940550689247274</v>
      </c>
      <c r="AC368" s="257">
        <f>altaz((J2000_Bas+(6*0.04167)),$O368,$M368,DecLat,DecLong,1)</f>
        <v>-4.6359298143256051</v>
      </c>
      <c r="AD368" s="258">
        <f>1+ transit((J2000_Bas-1),$O368,$M368,DecLat,DecLong)/360 + (GMTOffset/24) + (IF(DST="Y", 1, 0)/24)</f>
        <v>1.3425758515880413</v>
      </c>
      <c r="AE368" s="259">
        <f>DATE(2001,9,21)+(M368/360)*365 - (360*((DecLong/360)- (GMTOffset/24) ))</f>
        <v>37287.631712962961</v>
      </c>
      <c r="AF368" s="260">
        <f>IF(DecLat&gt;0,IF((90 - (DecLat-O368))&gt;90, (90 - (O368-DecLat)), (90 - (DecLat-O368))),IF((90 + (DecLat-O368))&gt;90, (90 + (O368-DecLat)), (90 + (DecLat-O368))))</f>
        <v>80.333333333333329</v>
      </c>
      <c r="AG368" s="257">
        <f>angularseperation(MoonRA,MoonDec,$M368,$O368)</f>
        <v>128.43785263020655</v>
      </c>
      <c r="AH368" s="261">
        <f ca="1">MIN(100,IF($O$5&gt;80,0+30*($AG368/100),IF($O$5&gt;70,0+50*($AG368/100),IF($O$5&gt;60,5+50*($AG368/100),IF($O$5&gt;50,10+60*($AG368/100),IF($O$5&gt;40,15+70*($AG368/100),IF($O$5&gt;30,20+70*($AG368/100),IF($O$5&gt;20,40+55*($AG368/100),(80+(20-$O$5)+30*($AG368/100))))))))))</f>
        <v>100</v>
      </c>
      <c r="AI368" s="262"/>
      <c r="AJ368" s="262">
        <v>2338</v>
      </c>
      <c r="AK368" s="262"/>
      <c r="AL368" s="263"/>
      <c r="AM368" s="264"/>
      <c r="AN368" s="263">
        <v>247</v>
      </c>
      <c r="AO368" s="263"/>
      <c r="AP368" s="265"/>
      <c r="AQ368" s="266">
        <v>4383</v>
      </c>
      <c r="AR368" s="267">
        <v>23542</v>
      </c>
      <c r="AS368" s="263"/>
      <c r="AT368" s="263"/>
      <c r="AU368" s="263"/>
      <c r="AV368" s="264"/>
      <c r="AW368" s="263"/>
      <c r="AX368" s="263"/>
      <c r="AY368" s="263"/>
      <c r="AZ368" s="263"/>
      <c r="BA368" s="263"/>
      <c r="BB368" s="263"/>
      <c r="BC368" s="263"/>
      <c r="BD368" s="264"/>
      <c r="BE368" s="263"/>
      <c r="BF368" s="263"/>
      <c r="BG368" s="263"/>
      <c r="BH368" s="263"/>
      <c r="BI368" s="263"/>
      <c r="BJ368" s="404">
        <f>altaz(J2000_Bas,$O368,$M368,DecLat,DecLong,2)</f>
        <v>337.45374228404319</v>
      </c>
      <c r="BK368" s="378" t="s">
        <v>464</v>
      </c>
      <c r="BL368" s="379">
        <f>IF((2*G368)/60&lt;0.2,0.2,(2*G368)/60)</f>
        <v>0.2</v>
      </c>
      <c r="BM368" s="380">
        <f>MOD((50000+AD368-$B$3+(0/24)),1)</f>
        <v>0.55794278129178565</v>
      </c>
      <c r="BN368" s="381"/>
      <c r="BO368" s="382">
        <v>368</v>
      </c>
    </row>
    <row r="369" spans="1:67" s="24" customFormat="1" ht="15" customHeight="1" x14ac:dyDescent="0.25">
      <c r="A369" s="288" t="s">
        <v>465</v>
      </c>
      <c r="B369" s="241" t="str">
        <f>HYPERLINK(CONCATENATE($AT$3,BK369,$AU$3),$AV$3)</f>
        <v>S</v>
      </c>
      <c r="C369" s="242" t="str">
        <f>HYPERLINK(CONCATENATE($AT$4,BK369,$AU$4,BL369),$AV$4)</f>
        <v>A</v>
      </c>
      <c r="D369" s="243" t="s">
        <v>5638</v>
      </c>
      <c r="E369" s="244" t="s">
        <v>5337</v>
      </c>
      <c r="F369" s="269" t="s">
        <v>3319</v>
      </c>
      <c r="G369" s="273">
        <v>1.5</v>
      </c>
      <c r="H369" s="283">
        <v>240</v>
      </c>
      <c r="I369" s="246">
        <v>110</v>
      </c>
      <c r="J369" s="246">
        <v>2</v>
      </c>
      <c r="K369" s="247" t="s">
        <v>4311</v>
      </c>
      <c r="L369" s="248">
        <v>114649</v>
      </c>
      <c r="M369" s="249">
        <f>15*(LEFT(TEXT($L369,"000000"),2)+(MID(TEXT($L369,"000000"),3,2)/60)+(RIGHT(TEXT($L369,"000000"),2)/3600))</f>
        <v>176.70416666666668</v>
      </c>
      <c r="N369" s="250">
        <v>-34900</v>
      </c>
      <c r="O369" s="251">
        <f>IF($N369&gt;0,(LEFT(TEXT($N369,"000000"),2)+(MID(TEXT($N369,"000000"),3,2)/60)+(RIGHT(TEXT($N369,"000000"),2)/3600)),-(MID(TEXT($N369,"000000"),2,2)+(MID(TEXT($N369,"000000"),4,2)/60)+(RIGHT(TEXT($N369,"000000"),2)/3600)))</f>
        <v>-3.8166666666666664</v>
      </c>
      <c r="P369" s="252" t="s">
        <v>61</v>
      </c>
      <c r="Q369" s="253" t="s">
        <v>466</v>
      </c>
      <c r="R369" s="247" t="s">
        <v>3293</v>
      </c>
      <c r="S369" s="272" t="s">
        <v>3293</v>
      </c>
      <c r="T369" s="273">
        <v>14</v>
      </c>
      <c r="U369" s="274"/>
      <c r="V369" s="280"/>
      <c r="W369" s="244"/>
      <c r="X369" s="244"/>
      <c r="Y369" s="362"/>
      <c r="Z369" s="257">
        <f>altaz(J2000_Bas,$O369,$M369,DecLat,DecLong,1)</f>
        <v>-18.477919874138738</v>
      </c>
      <c r="AA369" s="257">
        <f>altaz((J2000_Bas+(2*0.04167)),$O369,$M369,DecLat,DecLong,1)</f>
        <v>-43.117522835758244</v>
      </c>
      <c r="AB369" s="257">
        <f>altaz((J2000_Bas+(4*0.04167)),$O369,$M369,DecLat,DecLong,1)</f>
        <v>-61.06147489803292</v>
      </c>
      <c r="AC369" s="257">
        <f>altaz((J2000_Bas+(6*0.04167)),$O369,$M369,DecLat,DecLong,1)</f>
        <v>-57.164690567709329</v>
      </c>
      <c r="AD369" s="258">
        <f>1+ transit((J2000_Bas-1),$O369,$M369,DecLat,DecLong)/360 + (GMTOffset/24) + (IF(DST="Y", 1, 0)/24)</f>
        <v>1.4837448189526248</v>
      </c>
      <c r="AE369" s="259">
        <f>DATE(2001,9,21)+(M369/360)*365 - (360*((DecLong/360)- (GMTOffset/24) ))</f>
        <v>37339.158391203702</v>
      </c>
      <c r="AF369" s="260">
        <f>IF(DecLat&gt;0,IF((90 - (DecLat-O369))&gt;90, (90 - (O369-DecLat)), (90 - (DecLat-O369))),IF((90 + (DecLat-O369))&gt;90, (90 + (O369-DecLat)), (90 + (DecLat-O369))))</f>
        <v>55.183333333333337</v>
      </c>
      <c r="AG369" s="257">
        <f>angularseperation(MoonRA,MoonDec,$M369,$O369)</f>
        <v>72.729414444631388</v>
      </c>
      <c r="AH369" s="261">
        <f ca="1">MIN(100,IF($O$5&gt;80,0+30*($AG369/100),IF($O$5&gt;70,0+50*($AG369/100),IF($O$5&gt;60,5+50*($AG369/100),IF($O$5&gt;50,10+60*($AG369/100),IF($O$5&gt;40,15+70*($AG369/100),IF($O$5&gt;30,20+70*($AG369/100),IF($O$5&gt;20,40+55*($AG369/100),(80+(20-$O$5)+30*($AG369/100))))))))))</f>
        <v>100</v>
      </c>
      <c r="AI369" s="262"/>
      <c r="AJ369" s="262"/>
      <c r="AK369" s="262"/>
      <c r="AL369" s="263"/>
      <c r="AM369" s="264"/>
      <c r="AN369" s="263">
        <v>248</v>
      </c>
      <c r="AO369" s="263"/>
      <c r="AP369" s="265"/>
      <c r="AQ369" s="266"/>
      <c r="AR369" s="267">
        <v>36733</v>
      </c>
      <c r="AS369" s="263"/>
      <c r="AT369" s="263"/>
      <c r="AU369" s="263"/>
      <c r="AV369" s="264"/>
      <c r="AW369" s="263"/>
      <c r="AX369" s="263"/>
      <c r="AY369" s="263"/>
      <c r="AZ369" s="263"/>
      <c r="BA369" s="263"/>
      <c r="BB369" s="263"/>
      <c r="BC369" s="263"/>
      <c r="BD369" s="264"/>
      <c r="BE369" s="263"/>
      <c r="BF369" s="263"/>
      <c r="BG369" s="263"/>
      <c r="BH369" s="263"/>
      <c r="BI369" s="263"/>
      <c r="BJ369" s="404">
        <f>altaz(J2000_Bas,$O369,$M369,DecLat,DecLong,2)</f>
        <v>276.82923724161321</v>
      </c>
      <c r="BK369" s="378" t="s">
        <v>465</v>
      </c>
      <c r="BL369" s="379">
        <f>IF((2*G369)/60&lt;0.2,0.2,(2*G369)/60)</f>
        <v>0.2</v>
      </c>
      <c r="BM369" s="380">
        <f>MOD((50000+AD369-$B$3+(0/24)),1)</f>
        <v>0.6991117486541043</v>
      </c>
      <c r="BN369" s="382" t="s">
        <v>9214</v>
      </c>
      <c r="BO369" s="382">
        <v>369</v>
      </c>
    </row>
    <row r="370" spans="1:67" s="24" customFormat="1" ht="15" customHeight="1" x14ac:dyDescent="0.25">
      <c r="A370" s="288" t="s">
        <v>467</v>
      </c>
      <c r="B370" s="241" t="str">
        <f>HYPERLINK(CONCATENATE($AT$3,BK370,$AU$3),$AV$3)</f>
        <v>S</v>
      </c>
      <c r="C370" s="242" t="str">
        <f>HYPERLINK(CONCATENATE($AT$4,BK370,$AU$4,BL370),$AV$4)</f>
        <v>A</v>
      </c>
      <c r="D370" s="243" t="s">
        <v>5638</v>
      </c>
      <c r="E370" s="244" t="s">
        <v>5337</v>
      </c>
      <c r="F370" s="269" t="s">
        <v>3310</v>
      </c>
      <c r="G370" s="270">
        <v>0.6</v>
      </c>
      <c r="H370" s="283">
        <v>500</v>
      </c>
      <c r="I370" s="246">
        <v>85</v>
      </c>
      <c r="J370" s="246">
        <v>2</v>
      </c>
      <c r="K370" s="247" t="s">
        <v>4312</v>
      </c>
      <c r="L370" s="248">
        <v>19</v>
      </c>
      <c r="M370" s="249">
        <f>15*(LEFT(TEXT($L370,"000000"),2)+(MID(TEXT($L370,"000000"),3,2)/60)+(RIGHT(TEXT($L370,"000000"),2)/3600))</f>
        <v>7.9166666666666663E-2</v>
      </c>
      <c r="N370" s="250">
        <v>225900</v>
      </c>
      <c r="O370" s="251">
        <f>IF($N370&gt;0,(LEFT(TEXT($N370,"000000"),2)+(MID(TEXT($N370,"000000"),3,2)/60)+(RIGHT(TEXT($N370,"000000"),2)/3600)),-(MID(TEXT($N370,"000000"),2,2)+(MID(TEXT($N370,"000000"),4,2)/60)+(RIGHT(TEXT($N370,"000000"),2)/3600)))</f>
        <v>22.983333333333334</v>
      </c>
      <c r="P370" s="252" t="s">
        <v>39</v>
      </c>
      <c r="Q370" s="253"/>
      <c r="R370" s="247" t="s">
        <v>3293</v>
      </c>
      <c r="S370" s="272" t="s">
        <v>3293</v>
      </c>
      <c r="T370" s="273">
        <v>16</v>
      </c>
      <c r="U370" s="274"/>
      <c r="V370" s="280"/>
      <c r="W370" s="244"/>
      <c r="X370" s="244"/>
      <c r="Y370" s="362"/>
      <c r="Z370" s="257">
        <f>altaz(J2000_Bas,$O370,$M370,DecLat,DecLong,1)</f>
        <v>24.683286177056619</v>
      </c>
      <c r="AA370" s="257">
        <f>altaz((J2000_Bas+(2*0.04167)),$O370,$M370,DecLat,DecLong,1)</f>
        <v>50.248796671419157</v>
      </c>
      <c r="AB370" s="257">
        <f>altaz((J2000_Bas+(4*0.04167)),$O370,$M370,DecLat,DecLong,1)</f>
        <v>75.260943895885148</v>
      </c>
      <c r="AC370" s="257">
        <f>altaz((J2000_Bas+(6*0.04167)),$O370,$M370,DecLat,DecLong,1)</f>
        <v>73.532826631481612</v>
      </c>
      <c r="AD370" s="258">
        <f>1+ transit((J2000_Bas-1),$O370,$M370,DecLat,DecLong)/360 + (GMTOffset/24) + (IF(DST="Y", 1, 0)/24)</f>
        <v>0.99311986801512464</v>
      </c>
      <c r="AE370" s="259">
        <f>DATE(2001,9,21)+(M370/360)*365 - (360*((DecLong/360)- (GMTOffset/24) ))</f>
        <v>37160.080266203702</v>
      </c>
      <c r="AF370" s="260">
        <f>IF(DecLat&gt;0,IF((90 - (DecLat-O370))&gt;90, (90 - (O370-DecLat)), (90 - (DecLat-O370))),IF((90 + (DecLat-O370))&gt;90, (90 + (O370-DecLat)), (90 + (DecLat-O370))))</f>
        <v>81.983333333333334</v>
      </c>
      <c r="AG370" s="257">
        <f>angularseperation(MoonRA,MoonDec,$M370,$O370)</f>
        <v>117.9916699941097</v>
      </c>
      <c r="AH370" s="261">
        <f ca="1">MIN(100,IF($O$5&gt;80,0+30*($AG370/100),IF($O$5&gt;70,0+50*($AG370/100),IF($O$5&gt;60,5+50*($AG370/100),IF($O$5&gt;50,10+60*($AG370/100),IF($O$5&gt;40,15+70*($AG370/100),IF($O$5&gt;30,20+70*($AG370/100),IF($O$5&gt;20,40+55*($AG370/100),(80+(20-$O$5)+30*($AG370/100))))))))))</f>
        <v>100</v>
      </c>
      <c r="AI370" s="262"/>
      <c r="AJ370" s="262"/>
      <c r="AK370" s="262"/>
      <c r="AL370" s="263"/>
      <c r="AM370" s="264"/>
      <c r="AN370" s="263">
        <v>249</v>
      </c>
      <c r="AO370" s="263"/>
      <c r="AP370" s="265"/>
      <c r="AQ370" s="266">
        <v>12891</v>
      </c>
      <c r="AR370" s="267">
        <v>25</v>
      </c>
      <c r="AS370" s="296"/>
      <c r="AT370" s="263"/>
      <c r="AU370" s="263"/>
      <c r="AV370" s="264"/>
      <c r="AW370" s="263"/>
      <c r="AX370" s="263"/>
      <c r="AY370" s="263"/>
      <c r="AZ370" s="263"/>
      <c r="BA370" s="263"/>
      <c r="BB370" s="263"/>
      <c r="BC370" s="263"/>
      <c r="BD370" s="264"/>
      <c r="BE370" s="263"/>
      <c r="BF370" s="263"/>
      <c r="BG370" s="263"/>
      <c r="BH370" s="263"/>
      <c r="BI370" s="263"/>
      <c r="BJ370" s="404">
        <f>altaz(J2000_Bas,$O370,$M370,DecLat,DecLong,2)</f>
        <v>76.986429915088166</v>
      </c>
      <c r="BK370" s="378" t="s">
        <v>467</v>
      </c>
      <c r="BL370" s="379">
        <f>IF((2*G370)/60&lt;0.2,0.2,(2*G370)/60)</f>
        <v>0.2</v>
      </c>
      <c r="BM370" s="380">
        <f>MOD((50000+AD370-$B$3+(0/24)),1)</f>
        <v>0.20848679771734169</v>
      </c>
      <c r="BN370" s="381"/>
      <c r="BO370" s="382">
        <v>370</v>
      </c>
    </row>
    <row r="371" spans="1:67" s="24" customFormat="1" ht="15" customHeight="1" x14ac:dyDescent="0.25">
      <c r="A371" s="288" t="s">
        <v>468</v>
      </c>
      <c r="B371" s="241" t="str">
        <f>HYPERLINK(CONCATENATE($AT$3,BK371,$AU$3),$AV$3)</f>
        <v>S</v>
      </c>
      <c r="C371" s="242" t="str">
        <f>HYPERLINK(CONCATENATE($AT$4,BK371,$AU$4,BL371),$AV$4)</f>
        <v>A</v>
      </c>
      <c r="D371" s="243" t="s">
        <v>5638</v>
      </c>
      <c r="E371" s="244" t="s">
        <v>5337</v>
      </c>
      <c r="F371" s="269" t="s">
        <v>9128</v>
      </c>
      <c r="G371" s="270">
        <v>0.55000000000000004</v>
      </c>
      <c r="H371" s="283">
        <v>60</v>
      </c>
      <c r="I371" s="244">
        <v>10</v>
      </c>
      <c r="J371" s="246">
        <v>2</v>
      </c>
      <c r="K371" s="247" t="s">
        <v>4313</v>
      </c>
      <c r="L371" s="248">
        <v>73559</v>
      </c>
      <c r="M371" s="249">
        <f>15*(LEFT(TEXT($L371,"000000"),2)+(MID(TEXT($L371,"000000"),3,2)/60)+(RIGHT(TEXT($L371,"000000"),2)/3600))</f>
        <v>113.99583333333332</v>
      </c>
      <c r="N371" s="250">
        <v>352200</v>
      </c>
      <c r="O371" s="251">
        <f>IF($N371&gt;0,(LEFT(TEXT($N371,"000000"),2)+(MID(TEXT($N371,"000000"),3,2)/60)+(RIGHT(TEXT($N371,"000000"),2)/3600)),-(MID(TEXT($N371,"000000"),2,2)+(MID(TEXT($N371,"000000"),4,2)/60)+(RIGHT(TEXT($N371,"000000"),2)/3600)))</f>
        <v>35.366666666666667</v>
      </c>
      <c r="P371" s="252" t="s">
        <v>82</v>
      </c>
      <c r="Q371" s="253"/>
      <c r="R371" s="247" t="s">
        <v>3293</v>
      </c>
      <c r="S371" s="272" t="s">
        <v>3293</v>
      </c>
      <c r="T371" s="273">
        <v>16</v>
      </c>
      <c r="U371" s="274"/>
      <c r="V371" s="280"/>
      <c r="W371" s="244"/>
      <c r="X371" s="244"/>
      <c r="Y371" s="362"/>
      <c r="Z371" s="257">
        <f>altaz(J2000_Bas,$O371,$M371,DecLat,DecLong,1)</f>
        <v>-23.20929994754443</v>
      </c>
      <c r="AA371" s="257">
        <f>altaz((J2000_Bas+(2*0.04167)),$O371,$M371,DecLat,DecLong,1)</f>
        <v>-20.460778666211933</v>
      </c>
      <c r="AB371" s="257">
        <f>altaz((J2000_Bas+(4*0.04167)),$O371,$M371,DecLat,DecLong,1)</f>
        <v>-7.5008313024100497</v>
      </c>
      <c r="AC371" s="257">
        <f>altaz((J2000_Bas+(6*0.04167)),$O371,$M371,DecLat,DecLong,1)</f>
        <v>11.769455469294609</v>
      </c>
      <c r="AD371" s="258">
        <f>1+ transit((J2000_Bas-1),$O371,$M371,DecLat,DecLong)/360 + (GMTOffset/24) + (IF(DST="Y", 1, 0)/24)</f>
        <v>1.3095550215567913</v>
      </c>
      <c r="AE371" s="259">
        <f>DATE(2001,9,21)+(M371/360)*365 - (360*((DecLong/360)- (GMTOffset/24) ))</f>
        <v>37275.579108796293</v>
      </c>
      <c r="AF371" s="260">
        <f>IF(DecLat&gt;0,IF((90 - (DecLat-O371))&gt;90, (90 - (O371-DecLat)), (90 - (DecLat-O371))),IF((90 + (DecLat-O371))&gt;90, (90 + (O371-DecLat)), (90 + (DecLat-O371))))</f>
        <v>85.633333333333326</v>
      </c>
      <c r="AG371" s="257">
        <f>angularseperation(MoonRA,MoonDec,$M371,$O371)</f>
        <v>141.17985460647265</v>
      </c>
      <c r="AH371" s="261">
        <f ca="1">MIN(100,IF($O$5&gt;80,0+30*($AG371/100),IF($O$5&gt;70,0+50*($AG371/100),IF($O$5&gt;60,5+50*($AG371/100),IF($O$5&gt;50,10+60*($AG371/100),IF($O$5&gt;40,15+70*($AG371/100),IF($O$5&gt;30,20+70*($AG371/100),IF($O$5&gt;20,40+55*($AG371/100),(80+(20-$O$5)+30*($AG371/100))))))))))</f>
        <v>100</v>
      </c>
      <c r="AI371" s="262"/>
      <c r="AJ371" s="262"/>
      <c r="AK371" s="262"/>
      <c r="AL371" s="263"/>
      <c r="AM371" s="264"/>
      <c r="AN371" s="263">
        <v>250</v>
      </c>
      <c r="AO371" s="263"/>
      <c r="AP371" s="265"/>
      <c r="AQ371" s="266"/>
      <c r="AR371" s="267">
        <v>21362</v>
      </c>
      <c r="AS371" s="263"/>
      <c r="AT371" s="263"/>
      <c r="AU371" s="263"/>
      <c r="AV371" s="264"/>
      <c r="AW371" s="263"/>
      <c r="AX371" s="263"/>
      <c r="AY371" s="263"/>
      <c r="AZ371" s="263"/>
      <c r="BA371" s="263"/>
      <c r="BB371" s="263"/>
      <c r="BC371" s="263"/>
      <c r="BD371" s="264"/>
      <c r="BE371" s="263"/>
      <c r="BF371" s="263"/>
      <c r="BG371" s="263"/>
      <c r="BH371" s="263"/>
      <c r="BI371" s="263"/>
      <c r="BJ371" s="404">
        <f>altaz(J2000_Bas,$O371,$M371,DecLat,DecLong,2)</f>
        <v>352.91278951061639</v>
      </c>
      <c r="BK371" s="378" t="s">
        <v>468</v>
      </c>
      <c r="BL371" s="379">
        <f>IF((2*G371)/60&lt;0.2,0.2,(2*G371)/60)</f>
        <v>0.2</v>
      </c>
      <c r="BM371" s="380">
        <f>MOD((50000+AD371-$B$3+(0/24)),1)</f>
        <v>0.52492195126251318</v>
      </c>
      <c r="BN371" s="381" t="s">
        <v>9283</v>
      </c>
      <c r="BO371" s="382">
        <v>371</v>
      </c>
    </row>
    <row r="372" spans="1:67" s="24" customFormat="1" ht="15" customHeight="1" x14ac:dyDescent="0.25">
      <c r="A372" s="288" t="s">
        <v>469</v>
      </c>
      <c r="B372" s="241" t="str">
        <f>HYPERLINK(CONCATENATE($AT$3,BK372,$AU$3),$AV$3)</f>
        <v>S</v>
      </c>
      <c r="C372" s="242" t="str">
        <f>HYPERLINK(CONCATENATE($AT$4,BK372,$AU$4,BL372),$AV$4)</f>
        <v>A</v>
      </c>
      <c r="D372" s="243" t="s">
        <v>5638</v>
      </c>
      <c r="E372" s="244" t="s">
        <v>5178</v>
      </c>
      <c r="F372" s="269"/>
      <c r="G372" s="270">
        <v>0.5</v>
      </c>
      <c r="H372" s="283">
        <v>1000</v>
      </c>
      <c r="I372" s="246">
        <v>160</v>
      </c>
      <c r="J372" s="246">
        <v>2</v>
      </c>
      <c r="K372" s="247" t="s">
        <v>4319</v>
      </c>
      <c r="L372" s="248">
        <v>5346</v>
      </c>
      <c r="M372" s="249">
        <f>15*(LEFT(TEXT($L372,"000000"),2)+(MID(TEXT($L372,"000000"),3,2)/60)+(RIGHT(TEXT($L372,"000000"),2)/3600))</f>
        <v>13.441666666666666</v>
      </c>
      <c r="N372" s="250">
        <v>-135100</v>
      </c>
      <c r="O372" s="251">
        <f>IF($N372&gt;0,(LEFT(TEXT($N372,"000000"),2)+(MID(TEXT($N372,"000000"),3,2)/60)+(RIGHT(TEXT($N372,"000000"),2)/3600)),-(MID(TEXT($N372,"000000"),2,2)+(MID(TEXT($N372,"000000"),4,2)/60)+(RIGHT(TEXT($N372,"000000"),2)/3600)))</f>
        <v>-13.85</v>
      </c>
      <c r="P372" s="252" t="s">
        <v>75</v>
      </c>
      <c r="Q372" s="253"/>
      <c r="R372" s="247" t="s">
        <v>3293</v>
      </c>
      <c r="S372" s="272" t="s">
        <v>3293</v>
      </c>
      <c r="T372" s="273">
        <v>15</v>
      </c>
      <c r="U372" s="274"/>
      <c r="V372" s="280"/>
      <c r="W372" s="244"/>
      <c r="X372" s="244"/>
      <c r="Y372" s="362"/>
      <c r="Z372" s="257">
        <f>altaz(J2000_Bas,$O372,$M372,DecLat,DecLong,1)</f>
        <v>-4.9394882812942082</v>
      </c>
      <c r="AA372" s="257">
        <f>altaz((J2000_Bas+(2*0.04167)),$O372,$M372,DecLat,DecLong,1)</f>
        <v>19.005333574698692</v>
      </c>
      <c r="AB372" s="257">
        <f>altaz((J2000_Bas+(4*0.04167)),$O372,$M372,DecLat,DecLong,1)</f>
        <v>38.05792292878143</v>
      </c>
      <c r="AC372" s="257">
        <f>altaz((J2000_Bas+(6*0.04167)),$O372,$M372,DecLat,DecLong,1)</f>
        <v>45.068494447354645</v>
      </c>
      <c r="AD372" s="258">
        <f>1+ transit((J2000_Bas-1),$O372,$M372,DecLat,DecLong)/360 + (GMTOffset/24) + (IF(DST="Y", 1, 0)/24)</f>
        <v>1.0302379198588747</v>
      </c>
      <c r="AE372" s="259">
        <f>DATE(2001,9,21)+(M372/360)*365 - (360*((DecLong/360)- (GMTOffset/24) ))</f>
        <v>37173.62835648148</v>
      </c>
      <c r="AF372" s="260">
        <f>IF(DecLat&gt;0,IF((90 - (DecLat-O372))&gt;90, (90 - (O372-DecLat)), (90 - (DecLat-O372))),IF((90 + (DecLat-O372))&gt;90, (90 + (O372-DecLat)), (90 + (DecLat-O372))))</f>
        <v>45.15</v>
      </c>
      <c r="AG372" s="257">
        <f>angularseperation(MoonRA,MoonDec,$M372,$O372)</f>
        <v>112.14192979170366</v>
      </c>
      <c r="AH372" s="261">
        <f ca="1">MIN(100,IF($O$5&gt;80,0+30*($AG372/100),IF($O$5&gt;70,0+50*($AG372/100),IF($O$5&gt;60,5+50*($AG372/100),IF($O$5&gt;50,10+60*($AG372/100),IF($O$5&gt;40,15+70*($AG372/100),IF($O$5&gt;30,20+70*($AG372/100),IF($O$5&gt;20,40+55*($AG372/100),(80+(20-$O$5)+30*($AG372/100))))))))))</f>
        <v>100</v>
      </c>
      <c r="AI372" s="262"/>
      <c r="AJ372" s="262"/>
      <c r="AK372" s="262"/>
      <c r="AL372" s="263"/>
      <c r="AM372" s="264"/>
      <c r="AN372" s="263">
        <v>251</v>
      </c>
      <c r="AO372" s="263"/>
      <c r="AP372" s="265"/>
      <c r="AQ372" s="266"/>
      <c r="AR372" s="267">
        <v>3163</v>
      </c>
      <c r="AS372" s="263"/>
      <c r="AT372" s="263"/>
      <c r="AU372" s="263"/>
      <c r="AV372" s="264"/>
      <c r="AW372" s="263"/>
      <c r="AX372" s="263"/>
      <c r="AY372" s="263"/>
      <c r="AZ372" s="263"/>
      <c r="BA372" s="263"/>
      <c r="BB372" s="263"/>
      <c r="BC372" s="263"/>
      <c r="BD372" s="264"/>
      <c r="BE372" s="263"/>
      <c r="BF372" s="263"/>
      <c r="BG372" s="263"/>
      <c r="BH372" s="263"/>
      <c r="BI372" s="263"/>
      <c r="BJ372" s="404">
        <f>altaz(J2000_Bas,$O372,$M372,DecLat,DecLong,2)</f>
        <v>103.20180828773928</v>
      </c>
      <c r="BK372" s="378" t="s">
        <v>469</v>
      </c>
      <c r="BL372" s="379">
        <f>IF((2*G372)/60&lt;0.2,0.2,(2*G372)/60)</f>
        <v>0.2</v>
      </c>
      <c r="BM372" s="380">
        <f>MOD((50000+AD372-$B$3+(0/24)),1)</f>
        <v>0.24560484956600703</v>
      </c>
      <c r="BN372" s="381" t="s">
        <v>9088</v>
      </c>
      <c r="BO372" s="382">
        <v>372</v>
      </c>
    </row>
    <row r="373" spans="1:67" s="24" customFormat="1" ht="15" customHeight="1" x14ac:dyDescent="0.25">
      <c r="A373" s="288" t="s">
        <v>470</v>
      </c>
      <c r="B373" s="241" t="str">
        <f>HYPERLINK(CONCATENATE($AT$3,BK373,$AU$3),$AV$3)</f>
        <v>S</v>
      </c>
      <c r="C373" s="242" t="str">
        <f>HYPERLINK(CONCATENATE($AT$4,BK373,$AU$4,BL373),$AV$4)</f>
        <v>A</v>
      </c>
      <c r="D373" s="243" t="s">
        <v>5638</v>
      </c>
      <c r="E373" s="244" t="s">
        <v>5337</v>
      </c>
      <c r="F373" s="269" t="s">
        <v>9143</v>
      </c>
      <c r="G373" s="270">
        <v>0.4</v>
      </c>
      <c r="H373" s="283">
        <v>500</v>
      </c>
      <c r="I373" s="246">
        <v>55</v>
      </c>
      <c r="J373" s="246">
        <v>2</v>
      </c>
      <c r="K373" s="247" t="s">
        <v>4315</v>
      </c>
      <c r="L373" s="248">
        <v>94458</v>
      </c>
      <c r="M373" s="249">
        <f>15*(LEFT(TEXT($L373,"000000"),2)+(MID(TEXT($L373,"000000"),3,2)/60)+(RIGHT(TEXT($L373,"000000"),2)/3600))</f>
        <v>146.24166666666667</v>
      </c>
      <c r="N373" s="250">
        <v>-194300</v>
      </c>
      <c r="O373" s="251">
        <f>IF($N373&gt;0,(LEFT(TEXT($N373,"000000"),2)+(MID(TEXT($N373,"000000"),3,2)/60)+(RIGHT(TEXT($N373,"000000"),2)/3600)),-(MID(TEXT($N373,"000000"),2,2)+(MID(TEXT($N373,"000000"),4,2)/60)+(RIGHT(TEXT($N373,"000000"),2)/3600)))</f>
        <v>-19.716666666666665</v>
      </c>
      <c r="P373" s="252" t="s">
        <v>103</v>
      </c>
      <c r="Q373" s="253"/>
      <c r="R373" s="247" t="s">
        <v>3293</v>
      </c>
      <c r="S373" s="272" t="s">
        <v>3293</v>
      </c>
      <c r="T373" s="273">
        <v>15.3</v>
      </c>
      <c r="U373" s="274"/>
      <c r="V373" s="280"/>
      <c r="W373" s="244"/>
      <c r="X373" s="244"/>
      <c r="Y373" s="362"/>
      <c r="Z373" s="257">
        <f>altaz(J2000_Bas,$O373,$M373,DecLat,DecLong,1)</f>
        <v>-52.159388144035773</v>
      </c>
      <c r="AA373" s="257">
        <f>altaz((J2000_Bas+(2*0.04167)),$O373,$M373,DecLat,DecLong,1)</f>
        <v>-75.473576835272866</v>
      </c>
      <c r="AB373" s="257">
        <f>altaz((J2000_Bas+(4*0.04167)),$O373,$M373,DecLat,DecLong,1)</f>
        <v>-68.803381783147572</v>
      </c>
      <c r="AC373" s="257">
        <f>altaz((J2000_Bas+(6*0.04167)),$O373,$M373,DecLat,DecLong,1)</f>
        <v>-43.810434835200653</v>
      </c>
      <c r="AD373" s="258">
        <f>1+ transit((J2000_Bas-1),$O373,$M373,DecLat,DecLong)/360 + (GMTOffset/24) + (IF(DST="Y", 1, 0)/24)</f>
        <v>1.3991267718588747</v>
      </c>
      <c r="AE373" s="259">
        <f>DATE(2001,9,21)+(M373/360)*365 - (360*((DecLong/360)- (GMTOffset/24) ))</f>
        <v>37308.272800925923</v>
      </c>
      <c r="AF373" s="260">
        <f>IF(DecLat&gt;0,IF((90 - (DecLat-O373))&gt;90, (90 - (O373-DecLat)), (90 - (DecLat-O373))),IF((90 + (DecLat-O373))&gt;90, (90 + (O373-DecLat)), (90 + (DecLat-O373))))</f>
        <v>39.283333333333331</v>
      </c>
      <c r="AG373" s="257">
        <f>angularseperation(MoonRA,MoonDec,$M373,$O373)</f>
        <v>92.002366329556153</v>
      </c>
      <c r="AH373" s="261">
        <f ca="1">MIN(100,IF($O$5&gt;80,0+30*($AG373/100),IF($O$5&gt;70,0+50*($AG373/100),IF($O$5&gt;60,5+50*($AG373/100),IF($O$5&gt;50,10+60*($AG373/100),IF($O$5&gt;40,15+70*($AG373/100),IF($O$5&gt;30,20+70*($AG373/100),IF($O$5&gt;20,40+55*($AG373/100),(80+(20-$O$5)+30*($AG373/100))))))))))</f>
        <v>100</v>
      </c>
      <c r="AI373" s="262"/>
      <c r="AJ373" s="262"/>
      <c r="AK373" s="262"/>
      <c r="AL373" s="263"/>
      <c r="AM373" s="264"/>
      <c r="AN373" s="263">
        <v>252</v>
      </c>
      <c r="AO373" s="263"/>
      <c r="AP373" s="265"/>
      <c r="AQ373" s="266"/>
      <c r="AR373" s="267">
        <v>27928</v>
      </c>
      <c r="AS373" s="263"/>
      <c r="AT373" s="263"/>
      <c r="AU373" s="263"/>
      <c r="AV373" s="264"/>
      <c r="AW373" s="263"/>
      <c r="AX373" s="263"/>
      <c r="AY373" s="263"/>
      <c r="AZ373" s="263"/>
      <c r="BA373" s="263"/>
      <c r="BB373" s="263"/>
      <c r="BC373" s="263"/>
      <c r="BD373" s="264"/>
      <c r="BE373" s="263"/>
      <c r="BF373" s="263"/>
      <c r="BG373" s="263"/>
      <c r="BH373" s="263">
        <v>29</v>
      </c>
      <c r="BI373" s="263"/>
      <c r="BJ373" s="404">
        <f>altaz(J2000_Bas,$O373,$M373,DecLat,DecLong,2)</f>
        <v>277.58029639003155</v>
      </c>
      <c r="BK373" s="378" t="s">
        <v>470</v>
      </c>
      <c r="BL373" s="379">
        <f>IF((2*G373)/60&lt;0.2,0.2,(2*G373)/60)</f>
        <v>0.2</v>
      </c>
      <c r="BM373" s="380">
        <f>MOD((50000+AD373-$B$3+(0/24)),1)</f>
        <v>0.61449370156333316</v>
      </c>
      <c r="BN373" s="381" t="s">
        <v>9223</v>
      </c>
      <c r="BO373" s="382">
        <v>373</v>
      </c>
    </row>
    <row r="374" spans="1:67" s="24" customFormat="1" ht="15" customHeight="1" x14ac:dyDescent="0.25">
      <c r="A374" s="288" t="s">
        <v>471</v>
      </c>
      <c r="B374" s="241" t="str">
        <f>HYPERLINK(CONCATENATE($AT$3,BK374,$AU$3),$AV$3)</f>
        <v>S</v>
      </c>
      <c r="C374" s="242" t="str">
        <f>HYPERLINK(CONCATENATE($AT$4,BK374,$AU$4,BL374),$AV$4)</f>
        <v>A</v>
      </c>
      <c r="D374" s="243" t="s">
        <v>5638</v>
      </c>
      <c r="E374" s="244" t="s">
        <v>5337</v>
      </c>
      <c r="F374" s="269" t="s">
        <v>3310</v>
      </c>
      <c r="G374" s="273">
        <v>1.1000000000000001</v>
      </c>
      <c r="H374" s="283">
        <v>95</v>
      </c>
      <c r="I374" s="246">
        <v>30</v>
      </c>
      <c r="J374" s="246">
        <v>2</v>
      </c>
      <c r="K374" s="247" t="s">
        <v>4316</v>
      </c>
      <c r="L374" s="248">
        <v>94324</v>
      </c>
      <c r="M374" s="249">
        <f>15*(LEFT(TEXT($L374,"000000"),2)+(MID(TEXT($L374,"000000"),3,2)/60)+(RIGHT(TEXT($L374,"000000"),2)/3600))</f>
        <v>145.85</v>
      </c>
      <c r="N374" s="250">
        <v>-51600</v>
      </c>
      <c r="O374" s="251">
        <f>IF($N374&gt;0,(LEFT(TEXT($N374,"000000"),2)+(MID(TEXT($N374,"000000"),3,2)/60)+(RIGHT(TEXT($N374,"000000"),2)/3600)),-(MID(TEXT($N374,"000000"),2,2)+(MID(TEXT($N374,"000000"),4,2)/60)+(RIGHT(TEXT($N374,"000000"),2)/3600)))</f>
        <v>-5.2666666666666666</v>
      </c>
      <c r="P374" s="252" t="s">
        <v>263</v>
      </c>
      <c r="Q374" s="253"/>
      <c r="R374" s="247" t="s">
        <v>3293</v>
      </c>
      <c r="S374" s="272" t="s">
        <v>3293</v>
      </c>
      <c r="T374" s="273">
        <v>15</v>
      </c>
      <c r="U374" s="274"/>
      <c r="V374" s="280"/>
      <c r="W374" s="244"/>
      <c r="X374" s="244"/>
      <c r="Y374" s="362"/>
      <c r="Z374" s="257">
        <f>altaz(J2000_Bas,$O374,$M374,DecLat,DecLong,1)</f>
        <v>-44.635279245523051</v>
      </c>
      <c r="AA374" s="257">
        <f>altaz((J2000_Bas+(2*0.04167)),$O374,$M374,DecLat,DecLong,1)</f>
        <v>-62.680812008136201</v>
      </c>
      <c r="AB374" s="257">
        <f>altaz((J2000_Bas+(4*0.04167)),$O374,$M374,DecLat,DecLong,1)</f>
        <v>-57.962110606839857</v>
      </c>
      <c r="AC374" s="257">
        <f>altaz((J2000_Bas+(6*0.04167)),$O374,$M374,DecLat,DecLong,1)</f>
        <v>-36.247644871948687</v>
      </c>
      <c r="AD374" s="258">
        <f>1+ transit((J2000_Bas-1),$O374,$M374,DecLat,DecLong)/360 + (GMTOffset/24) + (IF(DST="Y", 1, 0)/24)</f>
        <v>1.398038809004708</v>
      </c>
      <c r="AE374" s="259">
        <f>DATE(2001,9,21)+(M374/360)*365 - (360*((DecLong/360)- (GMTOffset/24) ))</f>
        <v>37307.875694444447</v>
      </c>
      <c r="AF374" s="260">
        <f>IF(DecLat&gt;0,IF((90 - (DecLat-O374))&gt;90, (90 - (O374-DecLat)), (90 - (DecLat-O374))),IF((90 + (DecLat-O374))&gt;90, (90 + (O374-DecLat)), (90 + (DecLat-O374))))</f>
        <v>53.733333333333334</v>
      </c>
      <c r="AG374" s="257">
        <f>angularseperation(MoonRA,MoonDec,$M374,$O374)</f>
        <v>99.412956696588807</v>
      </c>
      <c r="AH374" s="261">
        <f ca="1">MIN(100,IF($O$5&gt;80,0+30*($AG374/100),IF($O$5&gt;70,0+50*($AG374/100),IF($O$5&gt;60,5+50*($AG374/100),IF($O$5&gt;50,10+60*($AG374/100),IF($O$5&gt;40,15+70*($AG374/100),IF($O$5&gt;30,20+70*($AG374/100),IF($O$5&gt;20,40+55*($AG374/100),(80+(20-$O$5)+30*($AG374/100))))))))))</f>
        <v>100</v>
      </c>
      <c r="AI374" s="262"/>
      <c r="AJ374" s="262"/>
      <c r="AK374" s="262"/>
      <c r="AL374" s="263"/>
      <c r="AM374" s="264"/>
      <c r="AN374" s="263">
        <v>253</v>
      </c>
      <c r="AO374" s="263"/>
      <c r="AP374" s="265"/>
      <c r="AQ374" s="266"/>
      <c r="AR374" s="267">
        <v>27817</v>
      </c>
      <c r="AS374" s="263"/>
      <c r="AT374" s="263"/>
      <c r="AU374" s="263"/>
      <c r="AV374" s="264"/>
      <c r="AW374" s="263"/>
      <c r="AX374" s="263"/>
      <c r="AY374" s="263"/>
      <c r="AZ374" s="263"/>
      <c r="BA374" s="263"/>
      <c r="BB374" s="263"/>
      <c r="BC374" s="263"/>
      <c r="BD374" s="264"/>
      <c r="BE374" s="263"/>
      <c r="BF374" s="263"/>
      <c r="BG374" s="263"/>
      <c r="BH374" s="263"/>
      <c r="BI374" s="263"/>
      <c r="BJ374" s="404">
        <f>altaz(J2000_Bas,$O374,$M374,DecLat,DecLong,2)</f>
        <v>296.28078873922317</v>
      </c>
      <c r="BK374" s="378" t="s">
        <v>471</v>
      </c>
      <c r="BL374" s="379">
        <f>IF((2*G374)/60&lt;0.2,0.2,(2*G374)/60)</f>
        <v>0.2</v>
      </c>
      <c r="BM374" s="380">
        <f>MOD((50000+AD374-$B$3+(0/24)),1)</f>
        <v>0.61340573870984372</v>
      </c>
      <c r="BN374" s="381"/>
      <c r="BO374" s="382">
        <v>374</v>
      </c>
    </row>
    <row r="375" spans="1:67" s="24" customFormat="1" ht="15" customHeight="1" x14ac:dyDescent="0.25">
      <c r="A375" s="288" t="s">
        <v>472</v>
      </c>
      <c r="B375" s="241" t="str">
        <f>HYPERLINK(CONCATENATE($AT$3,BK375,$AU$3),$AV$3)</f>
        <v>S</v>
      </c>
      <c r="C375" s="242" t="str">
        <f>HYPERLINK(CONCATENATE($AT$4,BK375,$AU$4,BL375),$AV$4)</f>
        <v>A</v>
      </c>
      <c r="D375" s="243" t="s">
        <v>5638</v>
      </c>
      <c r="E375" s="244" t="s">
        <v>5178</v>
      </c>
      <c r="F375" s="269" t="s">
        <v>6500</v>
      </c>
      <c r="G375" s="273">
        <v>1.5</v>
      </c>
      <c r="H375" s="283">
        <v>85</v>
      </c>
      <c r="I375" s="246">
        <v>40</v>
      </c>
      <c r="J375" s="246">
        <v>2</v>
      </c>
      <c r="K375" s="247" t="s">
        <v>4317</v>
      </c>
      <c r="L375" s="248">
        <v>152132</v>
      </c>
      <c r="M375" s="249">
        <f>15*(LEFT(TEXT($L375,"000000"),2)+(MID(TEXT($L375,"000000"),3,2)/60)+(RIGHT(TEXT($L375,"000000"),2)/3600))</f>
        <v>230.38333333333333</v>
      </c>
      <c r="N375" s="250">
        <v>-72200</v>
      </c>
      <c r="O375" s="251">
        <f>IF($N375&gt;0,(LEFT(TEXT($N375,"000000"),2)+(MID(TEXT($N375,"000000"),3,2)/60)+(RIGHT(TEXT($N375,"000000"),2)/3600)),-(MID(TEXT($N375,"000000"),2,2)+(MID(TEXT($N375,"000000"),4,2)/60)+(RIGHT(TEXT($N375,"000000"),2)/3600)))</f>
        <v>-7.3666666666666663</v>
      </c>
      <c r="P375" s="252" t="s">
        <v>473</v>
      </c>
      <c r="Q375" s="253"/>
      <c r="R375" s="247" t="s">
        <v>3630</v>
      </c>
      <c r="S375" s="272" t="s">
        <v>3293</v>
      </c>
      <c r="T375" s="273">
        <v>13</v>
      </c>
      <c r="U375" s="289">
        <v>21.990000000000002</v>
      </c>
      <c r="V375" s="280"/>
      <c r="W375" s="244"/>
      <c r="X375" s="244"/>
      <c r="Y375" s="362"/>
      <c r="Z375" s="257">
        <f>altaz(J2000_Bas,$O375,$M375,DecLat,DecLong,1)</f>
        <v>24.456377898272059</v>
      </c>
      <c r="AA375" s="257">
        <f>altaz((J2000_Bas+(2*0.04167)),$O375,$M375,DecLat,DecLong,1)</f>
        <v>-0.13495635697881153</v>
      </c>
      <c r="AB375" s="257">
        <f>altaz((J2000_Bas+(4*0.04167)),$O375,$M375,DecLat,DecLong,1)</f>
        <v>-25.840591600479868</v>
      </c>
      <c r="AC375" s="257">
        <f>altaz((J2000_Bas+(6*0.04167)),$O375,$M375,DecLat,DecLong,1)</f>
        <v>-50.330529355267231</v>
      </c>
      <c r="AD375" s="258">
        <f>1+ transit((J2000_Bas-1),$O375,$M375,DecLat,DecLong)/360 + (GMTOffset/24) + (IF(DST="Y", 1, 0)/24)</f>
        <v>1.6328536003380414</v>
      </c>
      <c r="AE375" s="259">
        <f>DATE(2001,9,21)+(M375/360)*365 - (360*((DecLong/360)- (GMTOffset/24) ))</f>
        <v>37393.583101851851</v>
      </c>
      <c r="AF375" s="260">
        <f>IF(DecLat&gt;0,IF((90 - (DecLat-O375))&gt;90, (90 - (O375-DecLat)), (90 - (DecLat-O375))),IF((90 + (DecLat-O375))&gt;90, (90 + (O375-DecLat)), (90 + (DecLat-O375))))</f>
        <v>51.633333333333333</v>
      </c>
      <c r="AG375" s="257">
        <f>angularseperation(MoonRA,MoonDec,$M375,$O375)</f>
        <v>26.623767430914867</v>
      </c>
      <c r="AH375" s="261">
        <f ca="1">MIN(100,IF($O$5&gt;80,0+30*($AG375/100),IF($O$5&gt;70,0+50*($AG375/100),IF($O$5&gt;60,5+50*($AG375/100),IF($O$5&gt;50,10+60*($AG375/100),IF($O$5&gt;40,15+70*($AG375/100),IF($O$5&gt;30,20+70*($AG375/100),IF($O$5&gt;20,40+55*($AG375/100),(80+(20-$O$5)+30*($AG375/100))))))))))</f>
        <v>91.258190573424883</v>
      </c>
      <c r="AI375" s="262">
        <v>5917</v>
      </c>
      <c r="AJ375" s="262"/>
      <c r="AK375" s="262"/>
      <c r="AL375" s="263"/>
      <c r="AM375" s="264"/>
      <c r="AN375" s="263">
        <v>254</v>
      </c>
      <c r="AO375" s="263"/>
      <c r="AP375" s="265"/>
      <c r="AQ375" s="266"/>
      <c r="AR375" s="267">
        <v>54809</v>
      </c>
      <c r="AS375" s="263"/>
      <c r="AT375" s="263"/>
      <c r="AU375" s="263"/>
      <c r="AV375" s="264"/>
      <c r="AW375" s="263"/>
      <c r="AX375" s="263"/>
      <c r="AY375" s="263"/>
      <c r="AZ375" s="263"/>
      <c r="BA375" s="263"/>
      <c r="BB375" s="263"/>
      <c r="BC375" s="263"/>
      <c r="BD375" s="264"/>
      <c r="BE375" s="263"/>
      <c r="BF375" s="263"/>
      <c r="BG375" s="263"/>
      <c r="BH375" s="263">
        <v>32</v>
      </c>
      <c r="BI375" s="263"/>
      <c r="BJ375" s="404">
        <f>altaz(J2000_Bas,$O375,$M375,DecLat,DecLong,2)</f>
        <v>244.04890019648809</v>
      </c>
      <c r="BK375" s="378" t="s">
        <v>472</v>
      </c>
      <c r="BL375" s="379">
        <f>IF((2*G375)/60&lt;0.2,0.2,(2*G375)/60)</f>
        <v>0.2</v>
      </c>
      <c r="BM375" s="380">
        <f>MOD((50000+AD375-$B$3+(0/24)),1)</f>
        <v>0.84822053003881592</v>
      </c>
      <c r="BN375" s="381"/>
      <c r="BO375" s="382">
        <v>375</v>
      </c>
    </row>
    <row r="376" spans="1:67" s="24" customFormat="1" ht="15" customHeight="1" x14ac:dyDescent="0.25">
      <c r="A376" s="288" t="s">
        <v>474</v>
      </c>
      <c r="B376" s="241" t="str">
        <f>HYPERLINK(CONCATENATE($AT$3,BK376,$AU$3),$AV$3)</f>
        <v>S</v>
      </c>
      <c r="C376" s="242" t="str">
        <f>HYPERLINK(CONCATENATE($AT$4,BK376,$AU$4,BL376),$AV$4)</f>
        <v>A</v>
      </c>
      <c r="D376" s="243" t="s">
        <v>5638</v>
      </c>
      <c r="E376" s="244" t="s">
        <v>5337</v>
      </c>
      <c r="F376" s="269" t="s">
        <v>3310</v>
      </c>
      <c r="G376" s="270">
        <v>0.7</v>
      </c>
      <c r="H376" s="283">
        <v>600</v>
      </c>
      <c r="I376" s="246">
        <v>120</v>
      </c>
      <c r="J376" s="246">
        <v>2</v>
      </c>
      <c r="K376" s="247" t="s">
        <v>4318</v>
      </c>
      <c r="L376" s="248">
        <v>95308</v>
      </c>
      <c r="M376" s="249">
        <f>15*(LEFT(TEXT($L376,"000000"),2)+(MID(TEXT($L376,"000000"),3,2)/60)+(RIGHT(TEXT($L376,"000000"),2)/3600))</f>
        <v>148.28333333333333</v>
      </c>
      <c r="N376" s="250">
        <v>75200</v>
      </c>
      <c r="O376" s="251">
        <f>IF($N376&gt;0,(LEFT(TEXT($N376,"000000"),2)+(MID(TEXT($N376,"000000"),3,2)/60)+(RIGHT(TEXT($N376,"000000"),2)/3600)),-(MID(TEXT($N376,"000000"),2,2)+(MID(TEXT($N376,"000000"),4,2)/60)+(RIGHT(TEXT($N376,"000000"),2)/3600)))</f>
        <v>7.8666666666666671</v>
      </c>
      <c r="P376" s="252" t="s">
        <v>183</v>
      </c>
      <c r="Q376" s="253"/>
      <c r="R376" s="247" t="s">
        <v>3293</v>
      </c>
      <c r="S376" s="272" t="s">
        <v>3293</v>
      </c>
      <c r="T376" s="273">
        <v>14</v>
      </c>
      <c r="U376" s="274"/>
      <c r="V376" s="280"/>
      <c r="W376" s="244"/>
      <c r="X376" s="244"/>
      <c r="Y376" s="362"/>
      <c r="Z376" s="257">
        <f>altaz(J2000_Bas,$O376,$M376,DecLat,DecLong,1)</f>
        <v>-33.898357925976839</v>
      </c>
      <c r="AA376" s="257">
        <f>altaz((J2000_Bas+(2*0.04167)),$O376,$M376,DecLat,DecLong,1)</f>
        <v>-49.415223083485984</v>
      </c>
      <c r="AB376" s="257">
        <f>altaz((J2000_Bas+(4*0.04167)),$O376,$M376,DecLat,DecLong,1)</f>
        <v>-47.523980229411464</v>
      </c>
      <c r="AC376" s="257">
        <f>altaz((J2000_Bas+(6*0.04167)),$O376,$M376,DecLat,DecLong,1)</f>
        <v>-29.86545821782661</v>
      </c>
      <c r="AD376" s="258">
        <f>1+ transit((J2000_Bas-1),$O376,$M376,DecLat,DecLong)/360 + (GMTOffset/24) + (IF(DST="Y", 1, 0)/24)</f>
        <v>1.4047980675880414</v>
      </c>
      <c r="AE376" s="259">
        <f>DATE(2001,9,21)+(M376/360)*365 - (360*((DecLong/360)- (GMTOffset/24) ))</f>
        <v>37310.342824074076</v>
      </c>
      <c r="AF376" s="260">
        <f>IF(DecLat&gt;0,IF((90 - (DecLat-O376))&gt;90, (90 - (O376-DecLat)), (90 - (DecLat-O376))),IF((90 + (DecLat-O376))&gt;90, (90 + (O376-DecLat)), (90 + (DecLat-O376))))</f>
        <v>66.866666666666674</v>
      </c>
      <c r="AG376" s="257">
        <f>angularseperation(MoonRA,MoonDec,$M376,$O376)</f>
        <v>103.29565166772331</v>
      </c>
      <c r="AH376" s="261">
        <f ca="1">MIN(100,IF($O$5&gt;80,0+30*($AG376/100),IF($O$5&gt;70,0+50*($AG376/100),IF($O$5&gt;60,5+50*($AG376/100),IF($O$5&gt;50,10+60*($AG376/100),IF($O$5&gt;40,15+70*($AG376/100),IF($O$5&gt;30,20+70*($AG376/100),IF($O$5&gt;20,40+55*($AG376/100),(80+(20-$O$5)+30*($AG376/100))))))))))</f>
        <v>100</v>
      </c>
      <c r="AI376" s="262"/>
      <c r="AJ376" s="262"/>
      <c r="AK376" s="262"/>
      <c r="AL376" s="263"/>
      <c r="AM376" s="264"/>
      <c r="AN376" s="263">
        <v>255</v>
      </c>
      <c r="AO376" s="263"/>
      <c r="AP376" s="265"/>
      <c r="AQ376" s="266">
        <v>5304</v>
      </c>
      <c r="AR376" s="267">
        <v>28487</v>
      </c>
      <c r="AS376" s="263"/>
      <c r="AT376" s="263"/>
      <c r="AU376" s="263"/>
      <c r="AV376" s="264"/>
      <c r="AW376" s="263"/>
      <c r="AX376" s="263"/>
      <c r="AY376" s="263"/>
      <c r="AZ376" s="263"/>
      <c r="BA376" s="263"/>
      <c r="BB376" s="263"/>
      <c r="BC376" s="263"/>
      <c r="BD376" s="264"/>
      <c r="BE376" s="263"/>
      <c r="BF376" s="263"/>
      <c r="BG376" s="263"/>
      <c r="BH376" s="263"/>
      <c r="BI376" s="263"/>
      <c r="BJ376" s="404">
        <f>altaz(J2000_Bas,$O376,$M376,DecLat,DecLong,2)</f>
        <v>306.59177780241794</v>
      </c>
      <c r="BK376" s="378" t="s">
        <v>474</v>
      </c>
      <c r="BL376" s="379">
        <f>IF((2*G376)/60&lt;0.2,0.2,(2*G376)/60)</f>
        <v>0.2</v>
      </c>
      <c r="BM376" s="380">
        <f>MOD((50000+AD376-$B$3+(0/24)),1)</f>
        <v>0.62016499729361385</v>
      </c>
      <c r="BN376" s="381" t="s">
        <v>8795</v>
      </c>
      <c r="BO376" s="382">
        <v>376</v>
      </c>
    </row>
    <row r="377" spans="1:67" s="24" customFormat="1" ht="15" customHeight="1" x14ac:dyDescent="0.25">
      <c r="A377" s="288" t="s">
        <v>475</v>
      </c>
      <c r="B377" s="241" t="str">
        <f>HYPERLINK(CONCATENATE($AT$3,BK377,$AU$3),$AV$3)</f>
        <v>S</v>
      </c>
      <c r="C377" s="242" t="str">
        <f>HYPERLINK(CONCATENATE($AT$4,BK377,$AU$4,BL377),$AV$4)</f>
        <v>A</v>
      </c>
      <c r="D377" s="243" t="s">
        <v>5638</v>
      </c>
      <c r="E377" s="244" t="s">
        <v>5337</v>
      </c>
      <c r="F377" s="269" t="s">
        <v>3310</v>
      </c>
      <c r="G377" s="273">
        <v>1</v>
      </c>
      <c r="H377" s="283">
        <v>380</v>
      </c>
      <c r="I377" s="246">
        <v>120</v>
      </c>
      <c r="J377" s="246">
        <v>2</v>
      </c>
      <c r="K377" s="247" t="s">
        <v>4998</v>
      </c>
      <c r="L377" s="248">
        <v>1850</v>
      </c>
      <c r="M377" s="249">
        <f>15*(LEFT(TEXT($L377,"000000"),2)+(MID(TEXT($L377,"000000"),3,2)/60)+(RIGHT(TEXT($L377,"000000"),2)/3600))</f>
        <v>4.708333333333333</v>
      </c>
      <c r="N377" s="250">
        <v>-102100</v>
      </c>
      <c r="O377" s="251">
        <f>IF($N377&gt;0,(LEFT(TEXT($N377,"000000"),2)+(MID(TEXT($N377,"000000"),3,2)/60)+(RIGHT(TEXT($N377,"000000"),2)/3600)),-(MID(TEXT($N377,"000000"),2,2)+(MID(TEXT($N377,"000000"),4,2)/60)+(RIGHT(TEXT($N377,"000000"),2)/3600)))</f>
        <v>-10.35</v>
      </c>
      <c r="P377" s="252" t="s">
        <v>75</v>
      </c>
      <c r="Q377" s="253"/>
      <c r="R377" s="247" t="s">
        <v>3293</v>
      </c>
      <c r="S377" s="272" t="s">
        <v>3293</v>
      </c>
      <c r="T377" s="273">
        <v>14</v>
      </c>
      <c r="U377" s="274"/>
      <c r="V377" s="280"/>
      <c r="W377" s="244"/>
      <c r="X377" s="244"/>
      <c r="Y377" s="362"/>
      <c r="Z377" s="257">
        <f>altaz(J2000_Bas,$O377,$M377,DecLat,DecLong,1)</f>
        <v>4.1639815852292532</v>
      </c>
      <c r="AA377" s="257">
        <f>altaz((J2000_Bas+(2*0.04167)),$O377,$M377,DecLat,DecLong,1)</f>
        <v>27.701525245471018</v>
      </c>
      <c r="AB377" s="257">
        <f>altaz((J2000_Bas+(4*0.04167)),$O377,$M377,DecLat,DecLong,1)</f>
        <v>44.986665425324816</v>
      </c>
      <c r="AC377" s="257">
        <f>altaz((J2000_Bas+(6*0.04167)),$O377,$M377,DecLat,DecLong,1)</f>
        <v>47.190659510485609</v>
      </c>
      <c r="AD377" s="258">
        <f>1+ transit((J2000_Bas-1),$O377,$M377,DecLat,DecLong)/360 + (GMTOffset/24) + (IF(DST="Y", 1, 0)/24)</f>
        <v>1.0059786630255414</v>
      </c>
      <c r="AE377" s="259">
        <f>DATE(2001,9,21)+(M377/360)*365 - (360*((DecLong/360)- (GMTOffset/24) ))</f>
        <v>37164.773726851854</v>
      </c>
      <c r="AF377" s="260">
        <f>IF(DecLat&gt;0,IF((90 - (DecLat-O377))&gt;90, (90 - (O377-DecLat)), (90 - (DecLat-O377))),IF((90 + (DecLat-O377))&gt;90, (90 + (O377-DecLat)), (90 + (DecLat-O377))))</f>
        <v>48.65</v>
      </c>
      <c r="AG377" s="257">
        <f>angularseperation(MoonRA,MoonDec,$M377,$O377)</f>
        <v>107.1456404184365</v>
      </c>
      <c r="AH377" s="261">
        <f ca="1">MIN(100,IF($O$5&gt;80,0+30*($AG377/100),IF($O$5&gt;70,0+50*($AG377/100),IF($O$5&gt;60,5+50*($AG377/100),IF($O$5&gt;50,10+60*($AG377/100),IF($O$5&gt;40,15+70*($AG377/100),IF($O$5&gt;30,20+70*($AG377/100),IF($O$5&gt;20,40+55*($AG377/100),(80+(20-$O$5)+30*($AG377/100))))))))))</f>
        <v>100</v>
      </c>
      <c r="AI377" s="262"/>
      <c r="AJ377" s="262"/>
      <c r="AK377" s="262"/>
      <c r="AL377" s="263"/>
      <c r="AM377" s="264"/>
      <c r="AN377" s="263">
        <v>256</v>
      </c>
      <c r="AO377" s="263"/>
      <c r="AP377" s="265"/>
      <c r="AQ377" s="266"/>
      <c r="AR377" s="267">
        <v>1224</v>
      </c>
      <c r="AS377" s="263"/>
      <c r="AT377" s="263"/>
      <c r="AU377" s="263"/>
      <c r="AV377" s="264"/>
      <c r="AW377" s="263"/>
      <c r="AX377" s="263"/>
      <c r="AY377" s="263"/>
      <c r="AZ377" s="263"/>
      <c r="BA377" s="263"/>
      <c r="BB377" s="263"/>
      <c r="BC377" s="263"/>
      <c r="BD377" s="264"/>
      <c r="BE377" s="263"/>
      <c r="BF377" s="263"/>
      <c r="BG377" s="263"/>
      <c r="BH377" s="263"/>
      <c r="BI377" s="263"/>
      <c r="BJ377" s="404">
        <f>altaz(J2000_Bas,$O377,$M377,DecLat,DecLong,2)</f>
        <v>104.70827657416125</v>
      </c>
      <c r="BK377" s="378" t="s">
        <v>475</v>
      </c>
      <c r="BL377" s="379">
        <f>IF((2*G377)/60&lt;0.2,0.2,(2*G377)/60)</f>
        <v>0.2</v>
      </c>
      <c r="BM377" s="380">
        <f>MOD((50000+AD377-$B$3+(0/24)),1)</f>
        <v>0.2213455927267205</v>
      </c>
      <c r="BN377" s="381"/>
      <c r="BO377" s="382">
        <v>377</v>
      </c>
    </row>
    <row r="378" spans="1:67" s="24" customFormat="1" ht="15" customHeight="1" x14ac:dyDescent="0.25">
      <c r="A378" s="288" t="s">
        <v>476</v>
      </c>
      <c r="B378" s="241" t="str">
        <f>HYPERLINK(CONCATENATE($AT$3,BK378,$AU$3),$AV$3)</f>
        <v>S</v>
      </c>
      <c r="C378" s="242" t="str">
        <f>HYPERLINK(CONCATENATE($AT$4,BK378,$AU$4,BL378),$AV$4)</f>
        <v>A</v>
      </c>
      <c r="D378" s="243" t="s">
        <v>5638</v>
      </c>
      <c r="E378" s="244" t="s">
        <v>5337</v>
      </c>
      <c r="F378" s="269" t="s">
        <v>3310</v>
      </c>
      <c r="G378" s="273">
        <v>1.1000000000000001</v>
      </c>
      <c r="H378" s="283">
        <v>150</v>
      </c>
      <c r="I378" s="246">
        <v>50</v>
      </c>
      <c r="J378" s="246">
        <v>2</v>
      </c>
      <c r="K378" s="247" t="s">
        <v>4320</v>
      </c>
      <c r="L378" s="248">
        <v>85138</v>
      </c>
      <c r="M378" s="249">
        <f>15*(LEFT(TEXT($L378,"000000"),2)+(MID(TEXT($L378,"000000"),3,2)/60)+(RIGHT(TEXT($L378,"000000"),2)/3600))</f>
        <v>132.90833333333333</v>
      </c>
      <c r="N378" s="250">
        <v>-22100</v>
      </c>
      <c r="O378" s="251">
        <f>IF($N378&gt;0,(LEFT(TEXT($N378,"000000"),2)+(MID(TEXT($N378,"000000"),3,2)/60)+(RIGHT(TEXT($N378,"000000"),2)/3600)),-(MID(TEXT($N378,"000000"),2,2)+(MID(TEXT($N378,"000000"),4,2)/60)+(RIGHT(TEXT($N378,"000000"),2)/3600)))</f>
        <v>-2.35</v>
      </c>
      <c r="P378" s="252" t="s">
        <v>103</v>
      </c>
      <c r="Q378" s="253"/>
      <c r="R378" s="247" t="s">
        <v>3293</v>
      </c>
      <c r="S378" s="272" t="s">
        <v>3293</v>
      </c>
      <c r="T378" s="273">
        <v>15</v>
      </c>
      <c r="U378" s="274"/>
      <c r="V378" s="280"/>
      <c r="W378" s="244"/>
      <c r="X378" s="244"/>
      <c r="Y378" s="362"/>
      <c r="Z378" s="257">
        <f>altaz(J2000_Bas,$O378,$M378,DecLat,DecLong,1)</f>
        <v>-51.707425798655912</v>
      </c>
      <c r="AA378" s="257">
        <f>altaz((J2000_Bas+(2*0.04167)),$O378,$M378,DecLat,DecLong,1)</f>
        <v>-61.192915039074947</v>
      </c>
      <c r="AB378" s="257">
        <f>altaz((J2000_Bas+(4*0.04167)),$O378,$M378,DecLat,DecLong,1)</f>
        <v>-47.497094680360107</v>
      </c>
      <c r="AC378" s="257">
        <f>altaz((J2000_Bas+(6*0.04167)),$O378,$M378,DecLat,DecLong,1)</f>
        <v>-23.909677871542847</v>
      </c>
      <c r="AD378" s="258">
        <f>1+ transit((J2000_Bas-1),$O378,$M378,DecLat,DecLong)/360 + (GMTOffset/24) + (IF(DST="Y", 1, 0)/24)</f>
        <v>1.3620897385255413</v>
      </c>
      <c r="AE378" s="259">
        <f>DATE(2001,9,21)+(M378/360)*365 - (360*((DecLong/360)- (GMTOffset/24) ))</f>
        <v>37294.754282407404</v>
      </c>
      <c r="AF378" s="260">
        <f>IF(DecLat&gt;0,IF((90 - (DecLat-O378))&gt;90, (90 - (O378-DecLat)), (90 - (DecLat-O378))),IF((90 + (DecLat-O378))&gt;90, (90 + (O378-DecLat)), (90 + (DecLat-O378))))</f>
        <v>56.65</v>
      </c>
      <c r="AG378" s="257">
        <f>angularseperation(MoonRA,MoonDec,$M378,$O378)</f>
        <v>112.08306033731803</v>
      </c>
      <c r="AH378" s="261">
        <f ca="1">MIN(100,IF($O$5&gt;80,0+30*($AG378/100),IF($O$5&gt;70,0+50*($AG378/100),IF($O$5&gt;60,5+50*($AG378/100),IF($O$5&gt;50,10+60*($AG378/100),IF($O$5&gt;40,15+70*($AG378/100),IF($O$5&gt;30,20+70*($AG378/100),IF($O$5&gt;20,40+55*($AG378/100),(80+(20-$O$5)+30*($AG378/100))))))))))</f>
        <v>100</v>
      </c>
      <c r="AI378" s="262"/>
      <c r="AJ378" s="262"/>
      <c r="AK378" s="262"/>
      <c r="AL378" s="263"/>
      <c r="AM378" s="264"/>
      <c r="AN378" s="263">
        <v>257</v>
      </c>
      <c r="AO378" s="263"/>
      <c r="AP378" s="265"/>
      <c r="AQ378" s="266">
        <v>4638</v>
      </c>
      <c r="AR378" s="267">
        <v>24890</v>
      </c>
      <c r="AS378" s="263"/>
      <c r="AT378" s="263"/>
      <c r="AU378" s="263"/>
      <c r="AV378" s="264"/>
      <c r="AW378" s="263"/>
      <c r="AX378" s="263"/>
      <c r="AY378" s="263"/>
      <c r="AZ378" s="263"/>
      <c r="BA378" s="263"/>
      <c r="BB378" s="263"/>
      <c r="BC378" s="263"/>
      <c r="BD378" s="264"/>
      <c r="BE378" s="263"/>
      <c r="BF378" s="263"/>
      <c r="BG378" s="263"/>
      <c r="BH378" s="263"/>
      <c r="BI378" s="263"/>
      <c r="BJ378" s="404">
        <f>altaz(J2000_Bas,$O378,$M378,DecLat,DecLong,2)</f>
        <v>313.14356208595484</v>
      </c>
      <c r="BK378" s="378" t="s">
        <v>476</v>
      </c>
      <c r="BL378" s="379">
        <f>IF((2*G378)/60&lt;0.2,0.2,(2*G378)/60)</f>
        <v>0.2</v>
      </c>
      <c r="BM378" s="380">
        <f>MOD((50000+AD378-$B$3+(0/24)),1)</f>
        <v>0.57745666823029751</v>
      </c>
      <c r="BN378" s="381"/>
      <c r="BO378" s="382">
        <v>378</v>
      </c>
    </row>
    <row r="379" spans="1:67" s="24" customFormat="1" ht="15" customHeight="1" x14ac:dyDescent="0.25">
      <c r="A379" s="288" t="s">
        <v>477</v>
      </c>
      <c r="B379" s="241" t="str">
        <f>HYPERLINK(CONCATENATE($AT$3,BK379,$AU$3),$AV$3)</f>
        <v>S</v>
      </c>
      <c r="C379" s="242" t="str">
        <f>HYPERLINK(CONCATENATE($AT$4,BK379,$AU$4,BL379),$AV$4)</f>
        <v>A</v>
      </c>
      <c r="D379" s="243" t="s">
        <v>5638</v>
      </c>
      <c r="E379" s="244" t="s">
        <v>5625</v>
      </c>
      <c r="F379" s="290">
        <v>4</v>
      </c>
      <c r="G379" s="291">
        <v>1.7</v>
      </c>
      <c r="H379" s="283">
        <v>470</v>
      </c>
      <c r="I379" s="284">
        <v>230</v>
      </c>
      <c r="J379" s="246">
        <v>2</v>
      </c>
      <c r="K379" s="247" t="s">
        <v>4321</v>
      </c>
      <c r="L379" s="248">
        <v>23906</v>
      </c>
      <c r="M379" s="249">
        <f>15*(LEFT(TEXT($L379,"000000"),2)+(MID(TEXT($L379,"000000"),3,2)/60)+(RIGHT(TEXT($L379,"000000"),2)/3600))</f>
        <v>39.774999999999999</v>
      </c>
      <c r="N379" s="250">
        <v>182305</v>
      </c>
      <c r="O379" s="251">
        <f>IF($N379&gt;0,(LEFT(TEXT($N379,"000000"),2)+(MID(TEXT($N379,"000000"),3,2)/60)+(RIGHT(TEXT($N379,"000000"),2)/3600)),-(MID(TEXT($N379,"000000"),2,2)+(MID(TEXT($N379,"000000"),4,2)/60)+(RIGHT(TEXT($N379,"000000"),2)/3600)))</f>
        <v>18.384722222222223</v>
      </c>
      <c r="P379" s="252" t="s">
        <v>249</v>
      </c>
      <c r="Q379" s="253"/>
      <c r="R379" s="292" t="s">
        <v>3442</v>
      </c>
      <c r="S379" s="272" t="s">
        <v>3293</v>
      </c>
      <c r="T379" s="273">
        <v>12.7</v>
      </c>
      <c r="U379" s="289">
        <v>22.8</v>
      </c>
      <c r="V379" s="280"/>
      <c r="W379" s="244"/>
      <c r="X379" s="244"/>
      <c r="Y379" s="362"/>
      <c r="Z379" s="257">
        <f>altaz(J2000_Bas,$O379,$M379,DecLat,DecLong,1)</f>
        <v>-9.5234347332943479</v>
      </c>
      <c r="AA379" s="257">
        <f>altaz((J2000_Bas+(2*0.04167)),$O379,$M379,DecLat,DecLong,1)</f>
        <v>14.588345737087998</v>
      </c>
      <c r="AB379" s="257">
        <f>altaz((J2000_Bas+(4*0.04167)),$O379,$M379,DecLat,DecLong,1)</f>
        <v>40.17323217359116</v>
      </c>
      <c r="AC379" s="257">
        <f>altaz((J2000_Bas+(6*0.04167)),$O379,$M379,DecLat,DecLong,1)</f>
        <v>65.269776899173252</v>
      </c>
      <c r="AD379" s="258">
        <f>1+ transit((J2000_Bas-1),$O379,$M379,DecLat,DecLong)/360 + (GMTOffset/24) + (IF(DST="Y", 1, 0)/24)</f>
        <v>1.1033860606922079</v>
      </c>
      <c r="AE379" s="259">
        <f>DATE(2001,9,21)+(M379/360)*365 - (360*((DecLong/360)- (GMTOffset/24) ))</f>
        <v>37200.327430555553</v>
      </c>
      <c r="AF379" s="260">
        <f>IF(DecLat&gt;0,IF((90 - (DecLat-O379))&gt;90, (90 - (O379-DecLat)), (90 - (DecLat-O379))),IF((90 + (DecLat-O379))&gt;90, (90 + (O379-DecLat)), (90 + (DecLat-O379))))</f>
        <v>77.384722222222223</v>
      </c>
      <c r="AG379" s="257">
        <f>angularseperation(MoonRA,MoonDec,$M379,$O379)</f>
        <v>151.54597088059643</v>
      </c>
      <c r="AH379" s="261">
        <f ca="1">MIN(100,IF($O$5&gt;80,0+30*($AG379/100),IF($O$5&gt;70,0+50*($AG379/100),IF($O$5&gt;60,5+50*($AG379/100),IF($O$5&gt;50,10+60*($AG379/100),IF($O$5&gt;40,15+70*($AG379/100),IF($O$5&gt;30,20+70*($AG379/100),IF($O$5&gt;20,40+55*($AG379/100),(80+(20-$O$5)+30*($AG379/100))))))))))</f>
        <v>100</v>
      </c>
      <c r="AI379" s="262"/>
      <c r="AJ379" s="262"/>
      <c r="AK379" s="262"/>
      <c r="AL379" s="263"/>
      <c r="AM379" s="264"/>
      <c r="AN379" s="263">
        <v>258</v>
      </c>
      <c r="AO379" s="263">
        <v>18</v>
      </c>
      <c r="AP379" s="265"/>
      <c r="AQ379" s="266">
        <v>2140</v>
      </c>
      <c r="AR379" s="267"/>
      <c r="AS379" s="263"/>
      <c r="AT379" s="263"/>
      <c r="AU379" s="263"/>
      <c r="AV379" s="264"/>
      <c r="AW379" s="263"/>
      <c r="AX379" s="263"/>
      <c r="AY379" s="263"/>
      <c r="AZ379" s="263"/>
      <c r="BA379" s="263"/>
      <c r="BB379" s="263"/>
      <c r="BC379" s="263"/>
      <c r="BD379" s="264"/>
      <c r="BE379" s="263"/>
      <c r="BF379" s="263"/>
      <c r="BG379" s="263"/>
      <c r="BH379" s="263"/>
      <c r="BI379" s="263"/>
      <c r="BJ379" s="404">
        <f>altaz(J2000_Bas,$O379,$M379,DecLat,DecLong,2)</f>
        <v>61.712524433084759</v>
      </c>
      <c r="BK379" s="378" t="s">
        <v>4015</v>
      </c>
      <c r="BL379" s="379">
        <f>IF((2*G379)/60&lt;0.2,0.2,(2*G379)/60)</f>
        <v>0.2</v>
      </c>
      <c r="BM379" s="380">
        <f>MOD((50000+AD379-$B$3+(0/24)),1)</f>
        <v>0.31875299039529637</v>
      </c>
      <c r="BN379" s="381"/>
      <c r="BO379" s="382">
        <v>379</v>
      </c>
    </row>
    <row r="380" spans="1:67" s="24" customFormat="1" ht="15" customHeight="1" x14ac:dyDescent="0.25">
      <c r="A380" s="288" t="s">
        <v>478</v>
      </c>
      <c r="B380" s="241" t="str">
        <f>HYPERLINK(CONCATENATE($AT$3,BK380,$AU$3),$AV$3)</f>
        <v>S</v>
      </c>
      <c r="C380" s="242" t="str">
        <f>HYPERLINK(CONCATENATE($AT$4,BK380,$AU$4,BL380),$AV$4)</f>
        <v>A</v>
      </c>
      <c r="D380" s="243" t="s">
        <v>5638</v>
      </c>
      <c r="E380" s="244" t="s">
        <v>5625</v>
      </c>
      <c r="F380" s="290">
        <v>4</v>
      </c>
      <c r="G380" s="291">
        <v>3</v>
      </c>
      <c r="H380" s="283">
        <v>190</v>
      </c>
      <c r="I380" s="284">
        <v>170</v>
      </c>
      <c r="J380" s="246">
        <v>2</v>
      </c>
      <c r="K380" s="247" t="s">
        <v>4322</v>
      </c>
      <c r="L380" s="248">
        <v>50136</v>
      </c>
      <c r="M380" s="249">
        <f>15*(LEFT(TEXT($L380,"000000"),2)+(MID(TEXT($L380,"000000"),3,2)/60)+(RIGHT(TEXT($L380,"000000"),2)/3600))</f>
        <v>75.399999999999991</v>
      </c>
      <c r="N380" s="250">
        <v>-41500</v>
      </c>
      <c r="O380" s="251">
        <f>IF($N380&gt;0,(LEFT(TEXT($N380,"000000"),2)+(MID(TEXT($N380,"000000"),3,2)/60)+(RIGHT(TEXT($N380,"000000"),2)/3600)),-(MID(TEXT($N380,"000000"),2,2)+(MID(TEXT($N380,"000000"),4,2)/60)+(RIGHT(TEXT($N380,"000000"),2)/3600)))</f>
        <v>-4.25</v>
      </c>
      <c r="P380" s="252" t="s">
        <v>257</v>
      </c>
      <c r="Q380" s="253"/>
      <c r="R380" s="292" t="s">
        <v>3443</v>
      </c>
      <c r="S380" s="272" t="s">
        <v>3293</v>
      </c>
      <c r="T380" s="273">
        <v>13.5</v>
      </c>
      <c r="U380" s="289">
        <v>21.9</v>
      </c>
      <c r="V380" s="280"/>
      <c r="W380" s="244"/>
      <c r="X380" s="244"/>
      <c r="Y380" s="362"/>
      <c r="Z380" s="257">
        <f>altaz(J2000_Bas,$O380,$M380,DecLat,DecLong,1)</f>
        <v>-50.707204787467091</v>
      </c>
      <c r="AA380" s="257">
        <f>altaz((J2000_Bas+(2*0.04167)),$O380,$M380,DecLat,DecLong,1)</f>
        <v>-27.172097458998611</v>
      </c>
      <c r="AB380" s="257">
        <f>altaz((J2000_Bas+(4*0.04167)),$O380,$M380,DecLat,DecLong,1)</f>
        <v>-1.5274363384247183</v>
      </c>
      <c r="AC380" s="257">
        <f>altaz((J2000_Bas+(6*0.04167)),$O380,$M380,DecLat,DecLong,1)</f>
        <v>23.593904329270512</v>
      </c>
      <c r="AD380" s="258">
        <f>1+ transit((J2000_Bas-1),$O380,$M380,DecLat,DecLong)/360 + (GMTOffset/24) + (IF(DST="Y", 1, 0)/24)</f>
        <v>1.2023443841297079</v>
      </c>
      <c r="AE380" s="259">
        <f>DATE(2001,9,21)+(M380/360)*365 - (360*((DecLong/360)- (GMTOffset/24) ))</f>
        <v>37236.447222222225</v>
      </c>
      <c r="AF380" s="260">
        <f>IF(DecLat&gt;0,IF((90 - (DecLat-O380))&gt;90, (90 - (O380-DecLat)), (90 - (DecLat-O380))),IF((90 + (DecLat-O380))&gt;90, (90 + (O380-DecLat)), (90 + (DecLat-O380))))</f>
        <v>54.75</v>
      </c>
      <c r="AG380" s="257">
        <f>angularseperation(MoonRA,MoonDec,$M380,$O380)</f>
        <v>148.10590541722033</v>
      </c>
      <c r="AH380" s="261">
        <f ca="1">MIN(100,IF($O$5&gt;80,0+30*($AG380/100),IF($O$5&gt;70,0+50*($AG380/100),IF($O$5&gt;60,5+50*($AG380/100),IF($O$5&gt;50,10+60*($AG380/100),IF($O$5&gt;40,15+70*($AG380/100),IF($O$5&gt;30,20+70*($AG380/100),IF($O$5&gt;20,40+55*($AG380/100),(80+(20-$O$5)+30*($AG380/100))))))))))</f>
        <v>100</v>
      </c>
      <c r="AI380" s="262"/>
      <c r="AJ380" s="262"/>
      <c r="AK380" s="262"/>
      <c r="AL380" s="263"/>
      <c r="AM380" s="264"/>
      <c r="AN380" s="263">
        <v>259</v>
      </c>
      <c r="AO380" s="263">
        <v>31</v>
      </c>
      <c r="AP380" s="265"/>
      <c r="AQ380" s="266"/>
      <c r="AR380" s="267"/>
      <c r="AS380" s="263"/>
      <c r="AT380" s="263"/>
      <c r="AU380" s="263"/>
      <c r="AV380" s="264"/>
      <c r="AW380" s="263"/>
      <c r="AX380" s="263"/>
      <c r="AY380" s="263"/>
      <c r="AZ380" s="263"/>
      <c r="BA380" s="263"/>
      <c r="BB380" s="263"/>
      <c r="BC380" s="263"/>
      <c r="BD380" s="264"/>
      <c r="BE380" s="263"/>
      <c r="BF380" s="263"/>
      <c r="BG380" s="263"/>
      <c r="BH380" s="263"/>
      <c r="BI380" s="263"/>
      <c r="BJ380" s="404">
        <f>altaz(J2000_Bas,$O380,$M380,DecLat,DecLong,2)</f>
        <v>53.289353733902757</v>
      </c>
      <c r="BK380" s="378" t="s">
        <v>4028</v>
      </c>
      <c r="BL380" s="379">
        <f>IF((2*G380)/60&lt;0.2,0.2,(2*G380)/60)</f>
        <v>0.2</v>
      </c>
      <c r="BM380" s="380">
        <f>MOD((50000+AD380-$B$3+(0/24)),1)</f>
        <v>0.41771131383575266</v>
      </c>
      <c r="BN380" s="381"/>
      <c r="BO380" s="382">
        <v>380</v>
      </c>
    </row>
    <row r="381" spans="1:67" s="24" customFormat="1" ht="15" customHeight="1" x14ac:dyDescent="0.25">
      <c r="A381" s="288" t="s">
        <v>479</v>
      </c>
      <c r="B381" s="241" t="str">
        <f>HYPERLINK(CONCATENATE($AT$3,BK381,$AU$3),$AV$3)</f>
        <v>S</v>
      </c>
      <c r="C381" s="242" t="str">
        <f>HYPERLINK(CONCATENATE($AT$4,BK381,$AU$4,BL381),$AV$4)</f>
        <v>A</v>
      </c>
      <c r="D381" s="243" t="s">
        <v>5638</v>
      </c>
      <c r="E381" s="244" t="s">
        <v>5178</v>
      </c>
      <c r="F381" s="269"/>
      <c r="G381" s="273">
        <v>1</v>
      </c>
      <c r="H381" s="283">
        <v>340</v>
      </c>
      <c r="I381" s="246">
        <v>110</v>
      </c>
      <c r="J381" s="246">
        <v>2</v>
      </c>
      <c r="K381" s="247" t="s">
        <v>4326</v>
      </c>
      <c r="L381" s="248">
        <v>121338</v>
      </c>
      <c r="M381" s="249">
        <f>15*(LEFT(TEXT($L381,"000000"),2)+(MID(TEXT($L381,"000000"),3,2)/60)+(RIGHT(TEXT($L381,"000000"),2)/3600))</f>
        <v>183.40833333333333</v>
      </c>
      <c r="N381" s="250">
        <v>160700</v>
      </c>
      <c r="O381" s="251">
        <f>IF($N381&gt;0,(LEFT(TEXT($N381,"000000"),2)+(MID(TEXT($N381,"000000"),3,2)/60)+(RIGHT(TEXT($N381,"000000"),2)/3600)),-(MID(TEXT($N381,"000000"),2,2)+(MID(TEXT($N381,"000000"),4,2)/60)+(RIGHT(TEXT($N381,"000000"),2)/3600)))</f>
        <v>16.116666666666667</v>
      </c>
      <c r="P381" s="252" t="s">
        <v>190</v>
      </c>
      <c r="Q381" s="253"/>
      <c r="R381" s="247" t="s">
        <v>3293</v>
      </c>
      <c r="S381" s="272" t="s">
        <v>3293</v>
      </c>
      <c r="T381" s="273">
        <v>14.5</v>
      </c>
      <c r="U381" s="274"/>
      <c r="V381" s="280"/>
      <c r="W381" s="244"/>
      <c r="X381" s="244"/>
      <c r="Y381" s="362"/>
      <c r="Z381" s="257">
        <f>altaz(J2000_Bas,$O381,$M381,DecLat,DecLong,1)</f>
        <v>-2.0966259895627202</v>
      </c>
      <c r="AA381" s="257">
        <f>altaz((J2000_Bas+(2*0.04167)),$O381,$M381,DecLat,DecLong,1)</f>
        <v>-24.535397298853173</v>
      </c>
      <c r="AB381" s="257">
        <f>altaz((J2000_Bas+(4*0.04167)),$O381,$M381,DecLat,DecLong,1)</f>
        <v>-40.055146302411472</v>
      </c>
      <c r="AC381" s="257">
        <f>altaz((J2000_Bas+(6*0.04167)),$O381,$M381,DecLat,DecLong,1)</f>
        <v>-41.29155091875149</v>
      </c>
      <c r="AD381" s="258">
        <f>1+ transit((J2000_Bas-1),$O381,$M381,DecLat,DecLong)/360 + (GMTOffset/24) + (IF(DST="Y", 1, 0)/24)</f>
        <v>1.5023675022755414</v>
      </c>
      <c r="AE381" s="259">
        <f>DATE(2001,9,21)+(M381/360)*365 - (360*((DecLong/360)- (GMTOffset/24) ))</f>
        <v>37345.955671296295</v>
      </c>
      <c r="AF381" s="260">
        <f>IF(DecLat&gt;0,IF((90 - (DecLat-O381))&gt;90, (90 - (O381-DecLat)), (90 - (DecLat-O381))),IF((90 + (DecLat-O381))&gt;90, (90 + (O381-DecLat)), (90 + (DecLat-O381))))</f>
        <v>75.116666666666674</v>
      </c>
      <c r="AG381" s="257">
        <f>angularseperation(MoonRA,MoonDec,$M381,$O381)</f>
        <v>77.068770603986053</v>
      </c>
      <c r="AH381" s="261">
        <f ca="1">MIN(100,IF($O$5&gt;80,0+30*($AG381/100),IF($O$5&gt;70,0+50*($AG381/100),IF($O$5&gt;60,5+50*($AG381/100),IF($O$5&gt;50,10+60*($AG381/100),IF($O$5&gt;40,15+70*($AG381/100),IF($O$5&gt;30,20+70*($AG381/100),IF($O$5&gt;20,40+55*($AG381/100),(80+(20-$O$5)+30*($AG381/100))))))))))</f>
        <v>100</v>
      </c>
      <c r="AI381" s="262"/>
      <c r="AJ381" s="262"/>
      <c r="AK381" s="262"/>
      <c r="AL381" s="263"/>
      <c r="AM381" s="264"/>
      <c r="AN381" s="263">
        <v>260</v>
      </c>
      <c r="AO381" s="263"/>
      <c r="AP381" s="265"/>
      <c r="AQ381" s="266">
        <v>7230</v>
      </c>
      <c r="AR381" s="267">
        <v>39014</v>
      </c>
      <c r="AS381" s="263"/>
      <c r="AT381" s="263"/>
      <c r="AU381" s="263"/>
      <c r="AV381" s="264"/>
      <c r="AW381" s="263"/>
      <c r="AX381" s="263"/>
      <c r="AY381" s="263"/>
      <c r="AZ381" s="263"/>
      <c r="BA381" s="263"/>
      <c r="BB381" s="263"/>
      <c r="BC381" s="263"/>
      <c r="BD381" s="264"/>
      <c r="BE381" s="263"/>
      <c r="BF381" s="263"/>
      <c r="BG381" s="263"/>
      <c r="BH381" s="263"/>
      <c r="BI381" s="263"/>
      <c r="BJ381" s="404">
        <f>altaz(J2000_Bas,$O381,$M381,DecLat,DecLong,2)</f>
        <v>290.24679934376672</v>
      </c>
      <c r="BK381" s="378" t="s">
        <v>479</v>
      </c>
      <c r="BL381" s="379">
        <f>IF((2*G381)/60&lt;0.2,0.2,(2*G381)/60)</f>
        <v>0.2</v>
      </c>
      <c r="BM381" s="380">
        <f>MOD((50000+AD381-$B$3+(0/24)),1)</f>
        <v>0.71773443197889719</v>
      </c>
      <c r="BN381" s="381"/>
      <c r="BO381" s="382">
        <v>381</v>
      </c>
    </row>
    <row r="382" spans="1:67" s="24" customFormat="1" ht="15" customHeight="1" x14ac:dyDescent="0.25">
      <c r="A382" s="288" t="s">
        <v>480</v>
      </c>
      <c r="B382" s="241" t="str">
        <f>HYPERLINK(CONCATENATE($AT$3,BK382,$AU$3),$AV$3)</f>
        <v>S</v>
      </c>
      <c r="C382" s="241" t="str">
        <f>HYPERLINK(CONCATENATE($AT$4,BK382,$AU$4,BL382),$AV$4)</f>
        <v>A</v>
      </c>
      <c r="D382" s="243" t="s">
        <v>5638</v>
      </c>
      <c r="E382" s="244" t="s">
        <v>5337</v>
      </c>
      <c r="F382" s="269" t="s">
        <v>3310</v>
      </c>
      <c r="G382" s="273">
        <v>1.6</v>
      </c>
      <c r="H382" s="283">
        <v>85</v>
      </c>
      <c r="I382" s="246">
        <v>40</v>
      </c>
      <c r="J382" s="246">
        <v>2</v>
      </c>
      <c r="K382" s="247" t="s">
        <v>4327</v>
      </c>
      <c r="L382" s="248">
        <v>144932</v>
      </c>
      <c r="M382" s="249">
        <f>15*(LEFT(TEXT($L382,"000000"),2)+(MID(TEXT($L382,"000000"),3,2)/60)+(RIGHT(TEXT($L382,"000000"),2)/3600))</f>
        <v>222.38333333333333</v>
      </c>
      <c r="N382" s="250">
        <v>-100900</v>
      </c>
      <c r="O382" s="251">
        <f>IF($N382&gt;0,(LEFT(TEXT($N382,"000000"),2)+(MID(TEXT($N382,"000000"),3,2)/60)+(RIGHT(TEXT($N382,"000000"),2)/3600)),-(MID(TEXT($N382,"000000"),2,2)+(MID(TEXT($N382,"000000"),4,2)/60)+(RIGHT(TEXT($N382,"000000"),2)/3600)))</f>
        <v>-10.15</v>
      </c>
      <c r="P382" s="252" t="s">
        <v>473</v>
      </c>
      <c r="Q382" s="253"/>
      <c r="R382" s="247" t="s">
        <v>3293</v>
      </c>
      <c r="S382" s="272" t="s">
        <v>3293</v>
      </c>
      <c r="T382" s="273">
        <v>13.4</v>
      </c>
      <c r="U382" s="274"/>
      <c r="V382" s="280"/>
      <c r="W382" s="244"/>
      <c r="X382" s="244"/>
      <c r="Y382" s="362"/>
      <c r="Z382" s="257">
        <f>altaz(J2000_Bas,$O382,$M382,DecLat,DecLong,1)</f>
        <v>16.507718289884394</v>
      </c>
      <c r="AA382" s="257">
        <f>altaz((J2000_Bas+(2*0.04167)),$O382,$M382,DecLat,DecLong,1)</f>
        <v>-8.3528383271966984</v>
      </c>
      <c r="AB382" s="257">
        <f>altaz((J2000_Bas+(4*0.04167)),$O382,$M382,DecLat,DecLong,1)</f>
        <v>-34.055561642804129</v>
      </c>
      <c r="AC382" s="257">
        <f>altaz((J2000_Bas+(6*0.04167)),$O382,$M382,DecLat,DecLong,1)</f>
        <v>-58.027296089243272</v>
      </c>
      <c r="AD382" s="258">
        <f>1+ transit((J2000_Bas-1),$O382,$M382,DecLat,DecLong)/360 + (GMTOffset/24) + (IF(DST="Y", 1, 0)/24)</f>
        <v>1.6106313803380414</v>
      </c>
      <c r="AE382" s="259">
        <f>DATE(2001,9,21)+(M382/360)*365 - (360*((DecLong/360)- (GMTOffset/24) ))</f>
        <v>37385.471990740742</v>
      </c>
      <c r="AF382" s="260">
        <f>IF(DecLat&gt;0,IF((90 - (DecLat-O382))&gt;90, (90 - (O382-DecLat)), (90 - (DecLat-O382))),IF((90 + (DecLat-O382))&gt;90, (90 + (O382-DecLat)), (90 + (DecLat-O382))))</f>
        <v>48.85</v>
      </c>
      <c r="AG382" s="257">
        <f>angularseperation(MoonRA,MoonDec,$M382,$O382)</f>
        <v>30.447067941739007</v>
      </c>
      <c r="AH382" s="261">
        <f ca="1">MIN(100,IF($O$5&gt;80,0+30*($AG382/100),IF($O$5&gt;70,0+50*($AG382/100),IF($O$5&gt;60,5+50*($AG382/100),IF($O$5&gt;50,10+60*($AG382/100),IF($O$5&gt;40,15+70*($AG382/100),IF($O$5&gt;30,20+70*($AG382/100),IF($O$5&gt;20,40+55*($AG382/100),(80+(20-$O$5)+30*($AG382/100))))))))))</f>
        <v>92.405180726672128</v>
      </c>
      <c r="AI382" s="262"/>
      <c r="AJ382" s="262"/>
      <c r="AK382" s="262"/>
      <c r="AL382" s="263"/>
      <c r="AM382" s="264"/>
      <c r="AN382" s="263">
        <v>261</v>
      </c>
      <c r="AO382" s="263"/>
      <c r="AP382" s="265"/>
      <c r="AQ382" s="266"/>
      <c r="AR382" s="267">
        <v>52935</v>
      </c>
      <c r="AS382" s="263"/>
      <c r="AT382" s="263"/>
      <c r="AU382" s="263"/>
      <c r="AV382" s="264"/>
      <c r="AW382" s="263"/>
      <c r="AX382" s="263"/>
      <c r="AY382" s="263"/>
      <c r="AZ382" s="263"/>
      <c r="BA382" s="263"/>
      <c r="BB382" s="263"/>
      <c r="BC382" s="263"/>
      <c r="BD382" s="264"/>
      <c r="BE382" s="263"/>
      <c r="BF382" s="263"/>
      <c r="BG382" s="263"/>
      <c r="BH382" s="263"/>
      <c r="BI382" s="263"/>
      <c r="BJ382" s="404">
        <f>altaz(J2000_Bas,$O382,$M382,DecLat,DecLong,2)</f>
        <v>246.8898262249223</v>
      </c>
      <c r="BK382" s="378" t="s">
        <v>480</v>
      </c>
      <c r="BL382" s="379">
        <f>IF((2*G382)/60&lt;0.2,0.2,(2*G382)/60)</f>
        <v>0.2</v>
      </c>
      <c r="BM382" s="380">
        <f>MOD((50000+AD382-$B$3+(0/24)),1)</f>
        <v>0.82599831004336011</v>
      </c>
      <c r="BN382" s="381"/>
      <c r="BO382" s="382">
        <v>382</v>
      </c>
    </row>
    <row r="383" spans="1:67" s="24" customFormat="1" ht="15" customHeight="1" x14ac:dyDescent="0.25">
      <c r="A383" s="288" t="s">
        <v>481</v>
      </c>
      <c r="B383" s="241" t="str">
        <f>HYPERLINK(CONCATENATE($AT$3,BK383,$AU$3),$AV$3)</f>
        <v>S</v>
      </c>
      <c r="C383" s="242" t="str">
        <f>HYPERLINK(CONCATENATE($AT$4,BK383,$AU$4,BL383),$AV$4)</f>
        <v>A</v>
      </c>
      <c r="D383" s="243" t="s">
        <v>5638</v>
      </c>
      <c r="E383" s="244" t="s">
        <v>5178</v>
      </c>
      <c r="F383" s="269"/>
      <c r="G383" s="273">
        <v>1.6</v>
      </c>
      <c r="H383" s="283">
        <v>85</v>
      </c>
      <c r="I383" s="246">
        <v>40</v>
      </c>
      <c r="J383" s="246">
        <v>2</v>
      </c>
      <c r="K383" s="247" t="s">
        <v>4328</v>
      </c>
      <c r="L383" s="248">
        <v>235644</v>
      </c>
      <c r="M383" s="249">
        <f>15*(LEFT(TEXT($L383,"000000"),2)+(MID(TEXT($L383,"000000"),3,2)/60)+(RIGHT(TEXT($L383,"000000"),2)/3600))</f>
        <v>359.18333333333334</v>
      </c>
      <c r="N383" s="250">
        <v>164800</v>
      </c>
      <c r="O383" s="251">
        <f>IF($N383&gt;0,(LEFT(TEXT($N383,"000000"),2)+(MID(TEXT($N383,"000000"),3,2)/60)+(RIGHT(TEXT($N383,"000000"),2)/3600)),-(MID(TEXT($N383,"000000"),2,2)+(MID(TEXT($N383,"000000"),4,2)/60)+(RIGHT(TEXT($N383,"000000"),2)/3600)))</f>
        <v>16.8</v>
      </c>
      <c r="P383" s="252" t="s">
        <v>39</v>
      </c>
      <c r="Q383" s="253"/>
      <c r="R383" s="247" t="s">
        <v>3293</v>
      </c>
      <c r="S383" s="272" t="s">
        <v>3293</v>
      </c>
      <c r="T383" s="273">
        <v>14.5</v>
      </c>
      <c r="U383" s="274"/>
      <c r="V383" s="280"/>
      <c r="W383" s="244"/>
      <c r="X383" s="244"/>
      <c r="Y383" s="362"/>
      <c r="Z383" s="257">
        <f>altaz(J2000_Bas,$O383,$M383,DecLat,DecLong,1)</f>
        <v>22.72456056140906</v>
      </c>
      <c r="AA383" s="257">
        <f>altaz((J2000_Bas+(2*0.04167)),$O383,$M383,DecLat,DecLong,1)</f>
        <v>48.422491781147322</v>
      </c>
      <c r="AB383" s="257">
        <f>altaz((J2000_Bas+(4*0.04167)),$O383,$M383,DecLat,DecLong,1)</f>
        <v>71.509528856660538</v>
      </c>
      <c r="AC383" s="257">
        <f>altaz((J2000_Bas+(6*0.04167)),$O383,$M383,DecLat,DecLong,1)</f>
        <v>68.952623384889591</v>
      </c>
      <c r="AD383" s="258">
        <f>1+ transit((J2000_Bas-1),$O383,$M383,DecLat,DecLong)/360 + (GMTOffset/24) + (IF(DST="Y", 1, 0)/24)</f>
        <v>1.9906313423380417</v>
      </c>
      <c r="AE383" s="259">
        <f>DATE(2001,9,21)+(M383/360)*365 - (360*((DecLong/360)- (GMTOffset/24) ))</f>
        <v>37524.171990740739</v>
      </c>
      <c r="AF383" s="260">
        <f>IF(DecLat&gt;0,IF((90 - (DecLat-O383))&gt;90, (90 - (O383-DecLat)), (90 - (DecLat-O383))),IF((90 + (DecLat-O383))&gt;90, (90 + (O383-DecLat)), (90 + (DecLat-O383))))</f>
        <v>75.8</v>
      </c>
      <c r="AG383" s="257">
        <f>angularseperation(MoonRA,MoonDec,$M383,$O383)</f>
        <v>114.97947980376442</v>
      </c>
      <c r="AH383" s="261">
        <f ca="1">MIN(100,IF($O$5&gt;80,0+30*($AG383/100),IF($O$5&gt;70,0+50*($AG383/100),IF($O$5&gt;60,5+50*($AG383/100),IF($O$5&gt;50,10+60*($AG383/100),IF($O$5&gt;40,15+70*($AG383/100),IF($O$5&gt;30,20+70*($AG383/100),IF($O$5&gt;20,40+55*($AG383/100),(80+(20-$O$5)+30*($AG383/100))))))))))</f>
        <v>100</v>
      </c>
      <c r="AI383" s="262"/>
      <c r="AJ383" s="262"/>
      <c r="AK383" s="262"/>
      <c r="AL383" s="263"/>
      <c r="AM383" s="264"/>
      <c r="AN383" s="263">
        <v>262</v>
      </c>
      <c r="AO383" s="263"/>
      <c r="AP383" s="265"/>
      <c r="AQ383" s="266">
        <v>12856</v>
      </c>
      <c r="AR383" s="359">
        <v>5912271</v>
      </c>
      <c r="AS383" s="263"/>
      <c r="AT383" s="263"/>
      <c r="AU383" s="263"/>
      <c r="AV383" s="264"/>
      <c r="AW383" s="263"/>
      <c r="AX383" s="263"/>
      <c r="AY383" s="263"/>
      <c r="AZ383" s="263"/>
      <c r="BA383" s="263"/>
      <c r="BB383" s="263"/>
      <c r="BC383" s="263"/>
      <c r="BD383" s="264"/>
      <c r="BE383" s="263"/>
      <c r="BF383" s="263"/>
      <c r="BG383" s="263"/>
      <c r="BH383" s="263"/>
      <c r="BI383" s="263"/>
      <c r="BJ383" s="404">
        <f>altaz(J2000_Bas,$O383,$M383,DecLat,DecLong,2)</f>
        <v>83.458405812222935</v>
      </c>
      <c r="BK383" s="378" t="s">
        <v>481</v>
      </c>
      <c r="BL383" s="379">
        <f>IF((2*G383)/60&lt;0.2,0.2,(2*G383)/60)</f>
        <v>0.2</v>
      </c>
      <c r="BM383" s="380">
        <f>MOD((50000+AD383-$B$3+(0/24)),1)</f>
        <v>0.2059982720456901</v>
      </c>
      <c r="BN383" s="381"/>
      <c r="BO383" s="382">
        <v>383</v>
      </c>
    </row>
    <row r="384" spans="1:67" s="24" customFormat="1" ht="15" customHeight="1" x14ac:dyDescent="0.25">
      <c r="A384" s="288" t="s">
        <v>482</v>
      </c>
      <c r="B384" s="241" t="str">
        <f>HYPERLINK(CONCATENATE($AT$3,BK384,$AU$3),$AV$3)</f>
        <v>S</v>
      </c>
      <c r="C384" s="242" t="str">
        <f>HYPERLINK(CONCATENATE($AT$4,BK384,$AU$4,BL384),$AV$4)</f>
        <v>A</v>
      </c>
      <c r="D384" s="243" t="s">
        <v>5638</v>
      </c>
      <c r="E384" s="244" t="s">
        <v>3259</v>
      </c>
      <c r="F384" s="269"/>
      <c r="G384" s="273">
        <v>5</v>
      </c>
      <c r="H384" s="283">
        <v>25</v>
      </c>
      <c r="I384" s="246">
        <v>40</v>
      </c>
      <c r="J384" s="246">
        <v>2</v>
      </c>
      <c r="K384" s="247" t="s">
        <v>4329</v>
      </c>
      <c r="L384" s="248">
        <v>102505</v>
      </c>
      <c r="M384" s="249">
        <f>15*(LEFT(TEXT($L384,"000000"),2)+(MID(TEXT($L384,"000000"),3,2)/60)+(RIGHT(TEXT($L384,"000000"),2)/3600))</f>
        <v>156.27083333333331</v>
      </c>
      <c r="N384" s="250">
        <v>170900</v>
      </c>
      <c r="O384" s="251">
        <f>IF($N384&gt;0,(LEFT(TEXT($N384,"000000"),2)+(MID(TEXT($N384,"000000"),3,2)/60)+(RIGHT(TEXT($N384,"000000"),2)/3600)),-(MID(TEXT($N384,"000000"),2,2)+(MID(TEXT($N384,"000000"),4,2)/60)+(RIGHT(TEXT($N384,"000000"),2)/3600)))</f>
        <v>17.149999999999999</v>
      </c>
      <c r="P384" s="252" t="s">
        <v>183</v>
      </c>
      <c r="Q384" s="253"/>
      <c r="R384" s="247" t="s">
        <v>3540</v>
      </c>
      <c r="S384" s="272" t="s">
        <v>4181</v>
      </c>
      <c r="T384" s="273">
        <v>11.3</v>
      </c>
      <c r="U384" s="289">
        <v>23.09</v>
      </c>
      <c r="V384" s="280"/>
      <c r="W384" s="244"/>
      <c r="X384" s="244"/>
      <c r="Y384" s="362"/>
      <c r="Z384" s="257">
        <f>altaz(J2000_Bas,$O384,$M384,DecLat,DecLong,1)</f>
        <v>-21.818253552525331</v>
      </c>
      <c r="AA384" s="257">
        <f>altaz((J2000_Bas+(2*0.04167)),$O384,$M384,DecLat,DecLong,1)</f>
        <v>-38.089076031924293</v>
      </c>
      <c r="AB384" s="257">
        <f>altaz((J2000_Bas+(4*0.04167)),$O384,$M384,DecLat,DecLong,1)</f>
        <v>-40.918461849837243</v>
      </c>
      <c r="AC384" s="257">
        <f>altaz((J2000_Bas+(6*0.04167)),$O384,$M384,DecLat,DecLong,1)</f>
        <v>-28.404570416199935</v>
      </c>
      <c r="AD384" s="258">
        <f>1+ transit((J2000_Bas-1),$O384,$M384,DecLat,DecLong)/360 + (GMTOffset/24) + (IF(DST="Y", 1, 0)/24)</f>
        <v>1.4269855653692913</v>
      </c>
      <c r="AE384" s="259">
        <f>DATE(2001,9,21)+(M384/360)*365 - (360*((DecLong/360)- (GMTOffset/24) ))</f>
        <v>37318.441261574073</v>
      </c>
      <c r="AF384" s="260">
        <f>IF(DecLat&gt;0,IF((90 - (DecLat-O384))&gt;90, (90 - (O384-DecLat)), (90 - (DecLat-O384))),IF((90 + (DecLat-O384))&gt;90, (90 + (O384-DecLat)), (90 + (DecLat-O384))))</f>
        <v>76.150000000000006</v>
      </c>
      <c r="AG384" s="257">
        <f>angularseperation(MoonRA,MoonDec,$M384,$O384)</f>
        <v>100.27376183406344</v>
      </c>
      <c r="AH384" s="261">
        <f ca="1">MIN(100,IF($O$5&gt;80,0+30*($AG384/100),IF($O$5&gt;70,0+50*($AG384/100),IF($O$5&gt;60,5+50*($AG384/100),IF($O$5&gt;50,10+60*($AG384/100),IF($O$5&gt;40,15+70*($AG384/100),IF($O$5&gt;30,20+70*($AG384/100),IF($O$5&gt;20,40+55*($AG384/100),(80+(20-$O$5)+30*($AG384/100))))))))))</f>
        <v>100</v>
      </c>
      <c r="AI384" s="262">
        <v>3239</v>
      </c>
      <c r="AJ384" s="262"/>
      <c r="AK384" s="262"/>
      <c r="AL384" s="263"/>
      <c r="AM384" s="264"/>
      <c r="AN384" s="263">
        <v>263</v>
      </c>
      <c r="AO384" s="263"/>
      <c r="AP384" s="265"/>
      <c r="AQ384" s="266">
        <v>5637</v>
      </c>
      <c r="AR384" s="267">
        <v>30560</v>
      </c>
      <c r="AS384" s="263"/>
      <c r="AT384" s="263"/>
      <c r="AU384" s="263"/>
      <c r="AV384" s="264"/>
      <c r="AW384" s="263"/>
      <c r="AX384" s="263"/>
      <c r="AY384" s="263"/>
      <c r="AZ384" s="263"/>
      <c r="BA384" s="263"/>
      <c r="BB384" s="263"/>
      <c r="BC384" s="263"/>
      <c r="BD384" s="264"/>
      <c r="BE384" s="263"/>
      <c r="BF384" s="263"/>
      <c r="BG384" s="263"/>
      <c r="BH384" s="263"/>
      <c r="BI384" s="263"/>
      <c r="BJ384" s="404">
        <f>altaz(J2000_Bas,$O384,$M384,DecLat,DecLong,2)</f>
        <v>307.66930711434406</v>
      </c>
      <c r="BK384" s="378" t="s">
        <v>482</v>
      </c>
      <c r="BL384" s="379">
        <f>IF((2*G384)/60&lt;0.2,0.2,(2*G384)/60)</f>
        <v>0.2</v>
      </c>
      <c r="BM384" s="380">
        <f>MOD((50000+AD384-$B$3+(0/24)),1)</f>
        <v>0.64235249507328263</v>
      </c>
      <c r="BN384" s="381"/>
      <c r="BO384" s="382">
        <v>384</v>
      </c>
    </row>
    <row r="385" spans="1:67" s="24" customFormat="1" ht="15" customHeight="1" x14ac:dyDescent="0.25">
      <c r="A385" s="288" t="s">
        <v>483</v>
      </c>
      <c r="B385" s="241" t="str">
        <f>HYPERLINK(CONCATENATE($AT$3,BK385,$AU$3),$AV$3)</f>
        <v>S</v>
      </c>
      <c r="C385" s="242" t="str">
        <f>HYPERLINK(CONCATENATE($AT$4,BK385,$AU$4,BL385),$AV$4)</f>
        <v>A</v>
      </c>
      <c r="D385" s="243" t="s">
        <v>5638</v>
      </c>
      <c r="E385" s="244" t="s">
        <v>3259</v>
      </c>
      <c r="F385" s="269"/>
      <c r="G385" s="273">
        <v>3.4</v>
      </c>
      <c r="H385" s="283">
        <v>25</v>
      </c>
      <c r="I385" s="246">
        <v>25</v>
      </c>
      <c r="J385" s="246">
        <v>2</v>
      </c>
      <c r="K385" s="247" t="s">
        <v>4330</v>
      </c>
      <c r="L385" s="248">
        <v>100357</v>
      </c>
      <c r="M385" s="249">
        <f>15*(LEFT(TEXT($L385,"000000"),2)+(MID(TEXT($L385,"000000"),3,2)/60)+(RIGHT(TEXT($L385,"000000"),2)/3600))</f>
        <v>150.98750000000001</v>
      </c>
      <c r="N385" s="250">
        <v>404500</v>
      </c>
      <c r="O385" s="251">
        <f>IF($N385&gt;0,(LEFT(TEXT($N385,"000000"),2)+(MID(TEXT($N385,"000000"),3,2)/60)+(RIGHT(TEXT($N385,"000000"),2)/3600)),-(MID(TEXT($N385,"000000"),2,2)+(MID(TEXT($N385,"000000"),4,2)/60)+(RIGHT(TEXT($N385,"000000"),2)/3600)))</f>
        <v>40.75</v>
      </c>
      <c r="P385" s="252" t="s">
        <v>239</v>
      </c>
      <c r="Q385" s="253"/>
      <c r="R385" s="247" t="s">
        <v>3536</v>
      </c>
      <c r="S385" s="272" t="s">
        <v>3293</v>
      </c>
      <c r="T385" s="273">
        <v>13.2</v>
      </c>
      <c r="U385" s="289">
        <v>24.09</v>
      </c>
      <c r="V385" s="280"/>
      <c r="W385" s="244"/>
      <c r="X385" s="244"/>
      <c r="Y385" s="362"/>
      <c r="Z385" s="257">
        <f>altaz(J2000_Bas,$O385,$M385,DecLat,DecLong,1)</f>
        <v>-7.0705785387817741</v>
      </c>
      <c r="AA385" s="257">
        <f>altaz((J2000_Bas+(2*0.04167)),$O385,$M385,DecLat,DecLong,1)</f>
        <v>-16.93752730963153</v>
      </c>
      <c r="AB385" s="257">
        <f>altaz((J2000_Bas+(4*0.04167)),$O385,$M385,DecLat,DecLong,1)</f>
        <v>-16.887521549322184</v>
      </c>
      <c r="AC385" s="257">
        <f>altaz((J2000_Bas+(6*0.04167)),$O385,$M385,DecLat,DecLong,1)</f>
        <v>-6.938957240071205</v>
      </c>
      <c r="AD385" s="258">
        <f>1+ transit((J2000_Bas-1),$O385,$M385,DecLat,DecLong)/360 + (GMTOffset/24) + (IF(DST="Y", 1, 0)/24)</f>
        <v>1.4123096409109581</v>
      </c>
      <c r="AE385" s="259">
        <f>DATE(2001,9,21)+(M385/360)*365 - (360*((DecLong/360)- (GMTOffset/24) ))</f>
        <v>37313.084548611114</v>
      </c>
      <c r="AF385" s="260">
        <f>IF(DecLat&gt;0,IF((90 - (DecLat-O385))&gt;90, (90 - (O385-DecLat)), (90 - (DecLat-O385))),IF((90 + (DecLat-O385))&gt;90, (90 + (O385-DecLat)), (90 + (DecLat-O385))))</f>
        <v>80.25</v>
      </c>
      <c r="AG385" s="257">
        <f>angularseperation(MoonRA,MoonDec,$M385,$O385)</f>
        <v>113.20585043020611</v>
      </c>
      <c r="AH385" s="261">
        <f ca="1">MIN(100,IF($O$5&gt;80,0+30*($AG385/100),IF($O$5&gt;70,0+50*($AG385/100),IF($O$5&gt;60,5+50*($AG385/100),IF($O$5&gt;50,10+60*($AG385/100),IF($O$5&gt;40,15+70*($AG385/100),IF($O$5&gt;30,20+70*($AG385/100),IF($O$5&gt;20,40+55*($AG385/100),(80+(20-$O$5)+30*($AG385/100))))))))))</f>
        <v>100</v>
      </c>
      <c r="AI385" s="262">
        <v>3104</v>
      </c>
      <c r="AJ385" s="262"/>
      <c r="AK385" s="262"/>
      <c r="AL385" s="263"/>
      <c r="AM385" s="264"/>
      <c r="AN385" s="263">
        <v>264</v>
      </c>
      <c r="AO385" s="263"/>
      <c r="AP385" s="265"/>
      <c r="AQ385" s="266">
        <v>5414</v>
      </c>
      <c r="AR385" s="267">
        <v>29186</v>
      </c>
      <c r="AS385" s="263"/>
      <c r="AT385" s="263"/>
      <c r="AU385" s="263"/>
      <c r="AV385" s="264"/>
      <c r="AW385" s="263"/>
      <c r="AX385" s="263"/>
      <c r="AY385" s="263"/>
      <c r="AZ385" s="263"/>
      <c r="BA385" s="263"/>
      <c r="BB385" s="263"/>
      <c r="BC385" s="263"/>
      <c r="BD385" s="264"/>
      <c r="BE385" s="263"/>
      <c r="BF385" s="263"/>
      <c r="BG385" s="263"/>
      <c r="BH385" s="263"/>
      <c r="BI385" s="263"/>
      <c r="BJ385" s="404">
        <f>altaz(J2000_Bas,$O385,$M385,DecLat,DecLong,2)</f>
        <v>327.34074766798341</v>
      </c>
      <c r="BK385" s="378" t="s">
        <v>483</v>
      </c>
      <c r="BL385" s="379">
        <f>IF((2*G385)/60&lt;0.2,0.2,(2*G385)/60)</f>
        <v>0.2</v>
      </c>
      <c r="BM385" s="380">
        <f>MOD((50000+AD385-$B$3+(0/24)),1)</f>
        <v>0.62767657061340287</v>
      </c>
      <c r="BN385" s="381"/>
      <c r="BO385" s="382">
        <v>385</v>
      </c>
    </row>
    <row r="386" spans="1:67" s="24" customFormat="1" ht="15" customHeight="1" x14ac:dyDescent="0.25">
      <c r="A386" s="288" t="s">
        <v>484</v>
      </c>
      <c r="B386" s="241" t="str">
        <f>HYPERLINK(CONCATENATE($AT$3,BK386,$AU$3),$AV$3)</f>
        <v>S</v>
      </c>
      <c r="C386" s="242" t="str">
        <f>HYPERLINK(CONCATENATE($AT$4,BK386,$AU$4,BL386),$AV$4)</f>
        <v>A</v>
      </c>
      <c r="D386" s="243" t="s">
        <v>5638</v>
      </c>
      <c r="E386" s="244" t="s">
        <v>5337</v>
      </c>
      <c r="F386" s="269" t="s">
        <v>3301</v>
      </c>
      <c r="G386" s="273">
        <v>1.1000000000000001</v>
      </c>
      <c r="H386" s="283">
        <v>190</v>
      </c>
      <c r="I386" s="246">
        <v>60</v>
      </c>
      <c r="J386" s="246">
        <v>2</v>
      </c>
      <c r="K386" s="247" t="s">
        <v>4331</v>
      </c>
      <c r="L386" s="248">
        <v>125353</v>
      </c>
      <c r="M386" s="249">
        <f>15*(LEFT(TEXT($L386,"000000"),2)+(MID(TEXT($L386,"000000"),3,2)/60)+(RIGHT(TEXT($L386,"000000"),2)/3600))</f>
        <v>193.47083333333333</v>
      </c>
      <c r="N386" s="250">
        <v>360500</v>
      </c>
      <c r="O386" s="251">
        <f>IF($N386&gt;0,(LEFT(TEXT($N386,"000000"),2)+(MID(TEXT($N386,"000000"),3,2)/60)+(RIGHT(TEXT($N386,"000000"),2)/3600)),-(MID(TEXT($N386,"000000"),2,2)+(MID(TEXT($N386,"000000"),4,2)/60)+(RIGHT(TEXT($N386,"000000"),2)/3600)))</f>
        <v>36.083333333333336</v>
      </c>
      <c r="P386" s="252" t="s">
        <v>242</v>
      </c>
      <c r="Q386" s="253"/>
      <c r="R386" s="247" t="s">
        <v>3742</v>
      </c>
      <c r="S386" s="272" t="s">
        <v>3293</v>
      </c>
      <c r="T386" s="273">
        <v>14.5</v>
      </c>
      <c r="U386" s="289">
        <v>22.990000000000002</v>
      </c>
      <c r="V386" s="280"/>
      <c r="W386" s="244"/>
      <c r="X386" s="244"/>
      <c r="Y386" s="362"/>
      <c r="Z386" s="257">
        <f>altaz(J2000_Bas,$O386,$M386,DecLat,DecLong,1)</f>
        <v>15.827201449217329</v>
      </c>
      <c r="AA386" s="257">
        <f>altaz((J2000_Bas+(2*0.04167)),$O386,$M386,DecLat,DecLong,1)</f>
        <v>-4.01693115683653</v>
      </c>
      <c r="AB386" s="257">
        <f>altaz((J2000_Bas+(4*0.04167)),$O386,$M386,DecLat,DecLong,1)</f>
        <v>-18.194194835397258</v>
      </c>
      <c r="AC386" s="257">
        <f>altaz((J2000_Bas+(6*0.04167)),$O386,$M386,DecLat,DecLong,1)</f>
        <v>-22.865764849116708</v>
      </c>
      <c r="AD386" s="258">
        <f>1+ transit((J2000_Bas-1),$O386,$M386,DecLat,DecLong)/360 + (GMTOffset/24) + (IF(DST="Y", 1, 0)/24)</f>
        <v>1.5303188883692913</v>
      </c>
      <c r="AE386" s="259">
        <f>DATE(2001,9,21)+(M386/360)*365 - (360*((DecLong/360)- (GMTOffset/24) ))</f>
        <v>37356.15792824074</v>
      </c>
      <c r="AF386" s="260">
        <f>IF(DecLat&gt;0,IF((90 - (DecLat-O386))&gt;90, (90 - (O386-DecLat)), (90 - (DecLat-O386))),IF((90 + (DecLat-O386))&gt;90, (90 + (O386-DecLat)), (90 + (DecLat-O386))))</f>
        <v>84.916666666666657</v>
      </c>
      <c r="AG386" s="257">
        <f>angularseperation(MoonRA,MoonDec,$M386,$O386)</f>
        <v>82.14955781164835</v>
      </c>
      <c r="AH386" s="261">
        <f ca="1">MIN(100,IF($O$5&gt;80,0+30*($AG386/100),IF($O$5&gt;70,0+50*($AG386/100),IF($O$5&gt;60,5+50*($AG386/100),IF($O$5&gt;50,10+60*($AG386/100),IF($O$5&gt;40,15+70*($AG386/100),IF($O$5&gt;30,20+70*($AG386/100),IF($O$5&gt;20,40+55*($AG386/100),(80+(20-$O$5)+30*($AG386/100))))))))))</f>
        <v>100</v>
      </c>
      <c r="AI386" s="262"/>
      <c r="AJ386" s="262">
        <v>3862</v>
      </c>
      <c r="AK386" s="262"/>
      <c r="AL386" s="263"/>
      <c r="AM386" s="264"/>
      <c r="AN386" s="263">
        <v>265</v>
      </c>
      <c r="AO386" s="263"/>
      <c r="AP386" s="265"/>
      <c r="AQ386" s="266">
        <v>8023</v>
      </c>
      <c r="AR386" s="267">
        <v>43844</v>
      </c>
      <c r="AS386" s="263"/>
      <c r="AT386" s="263"/>
      <c r="AU386" s="263"/>
      <c r="AV386" s="264"/>
      <c r="AW386" s="263"/>
      <c r="AX386" s="263"/>
      <c r="AY386" s="263"/>
      <c r="AZ386" s="263"/>
      <c r="BA386" s="263"/>
      <c r="BB386" s="263"/>
      <c r="BC386" s="263"/>
      <c r="BD386" s="264"/>
      <c r="BE386" s="263"/>
      <c r="BF386" s="263"/>
      <c r="BG386" s="263"/>
      <c r="BH386" s="263"/>
      <c r="BI386" s="263"/>
      <c r="BJ386" s="404">
        <f>altaz(J2000_Bas,$O386,$M386,DecLat,DecLong,2)</f>
        <v>302.94562064084113</v>
      </c>
      <c r="BK386" s="378" t="s">
        <v>484</v>
      </c>
      <c r="BL386" s="379">
        <f>IF((2*G386)/60&lt;0.2,0.2,(2*G386)/60)</f>
        <v>0.2</v>
      </c>
      <c r="BM386" s="380">
        <f>MOD((50000+AD386-$B$3+(0/24)),1)</f>
        <v>0.74568581807398004</v>
      </c>
      <c r="BN386" s="381" t="s">
        <v>9281</v>
      </c>
      <c r="BO386" s="382">
        <v>386</v>
      </c>
    </row>
    <row r="387" spans="1:67" s="24" customFormat="1" ht="15" customHeight="1" x14ac:dyDescent="0.25">
      <c r="A387" s="288" t="s">
        <v>485</v>
      </c>
      <c r="B387" s="241" t="str">
        <f>HYPERLINK(CONCATENATE($AT$3,BK387,$AU$3),$AV$3)</f>
        <v>S</v>
      </c>
      <c r="C387" s="242" t="str">
        <f>HYPERLINK(CONCATENATE($AT$4,BK387,$AU$4,BL387),$AV$4)</f>
        <v>A</v>
      </c>
      <c r="D387" s="243" t="s">
        <v>5638</v>
      </c>
      <c r="E387" s="244" t="s">
        <v>3259</v>
      </c>
      <c r="F387" s="269"/>
      <c r="G387" s="273">
        <v>4.4000000000000004</v>
      </c>
      <c r="H387" s="283">
        <v>30</v>
      </c>
      <c r="I387" s="246">
        <v>40</v>
      </c>
      <c r="J387" s="246">
        <v>2</v>
      </c>
      <c r="K387" s="247" t="s">
        <v>4325</v>
      </c>
      <c r="L387" s="248">
        <v>125901</v>
      </c>
      <c r="M387" s="249">
        <f>15*(LEFT(TEXT($L387,"000000"),2)+(MID(TEXT($L387,"000000"),3,2)/60)+(RIGHT(TEXT($L387,"000000"),2)/3600))</f>
        <v>194.75416666666663</v>
      </c>
      <c r="N387" s="250">
        <v>345100</v>
      </c>
      <c r="O387" s="251">
        <f>IF($N387&gt;0,(LEFT(TEXT($N387,"000000"),2)+(MID(TEXT($N387,"000000"),3,2)/60)+(RIGHT(TEXT($N387,"000000"),2)/3600)),-(MID(TEXT($N387,"000000"),2,2)+(MID(TEXT($N387,"000000"),4,2)/60)+(RIGHT(TEXT($N387,"000000"),2)/3600)))</f>
        <v>34.85</v>
      </c>
      <c r="P387" s="252" t="s">
        <v>242</v>
      </c>
      <c r="Q387" s="253"/>
      <c r="R387" s="247" t="s">
        <v>3604</v>
      </c>
      <c r="S387" s="272" t="s">
        <v>3293</v>
      </c>
      <c r="T387" s="273">
        <v>13.5</v>
      </c>
      <c r="U387" s="289">
        <v>24.29</v>
      </c>
      <c r="V387" s="280"/>
      <c r="W387" s="244"/>
      <c r="X387" s="244"/>
      <c r="Y387" s="362"/>
      <c r="Z387" s="257">
        <f>altaz(J2000_Bas,$O387,$M387,DecLat,DecLong,1)</f>
        <v>16.199439912248163</v>
      </c>
      <c r="AA387" s="257">
        <f>altaz((J2000_Bas+(2*0.04167)),$O387,$M387,DecLat,DecLong,1)</f>
        <v>-4.0993402064378284</v>
      </c>
      <c r="AB387" s="257">
        <f>altaz((J2000_Bas+(4*0.04167)),$O387,$M387,DecLat,DecLong,1)</f>
        <v>-18.868603965538131</v>
      </c>
      <c r="AC387" s="257">
        <f>altaz((J2000_Bas+(6*0.04167)),$O387,$M387,DecLat,DecLong,1)</f>
        <v>-24.13482280364876</v>
      </c>
      <c r="AD387" s="258">
        <f>1+ transit((J2000_Bas-1),$O387,$M387,DecLat,DecLong)/360 + (GMTOffset/24) + (IF(DST="Y", 1, 0)/24)</f>
        <v>1.5338837028276247</v>
      </c>
      <c r="AE387" s="259">
        <f>DATE(2001,9,21)+(M387/360)*365 - (360*((DecLong/360)- (GMTOffset/24) ))</f>
        <v>37357.459085648145</v>
      </c>
      <c r="AF387" s="260">
        <f>IF(DecLat&gt;0,IF((90 - (DecLat-O387))&gt;90, (90 - (O387-DecLat)), (90 - (DecLat-O387))),IF((90 + (DecLat-O387))&gt;90, (90 + (O387-DecLat)), (90 + (DecLat-O387))))</f>
        <v>86.15</v>
      </c>
      <c r="AG387" s="257">
        <f>angularseperation(MoonRA,MoonDec,$M387,$O387)</f>
        <v>80.546243668584424</v>
      </c>
      <c r="AH387" s="261">
        <f ca="1">MIN(100,IF($O$5&gt;80,0+30*($AG387/100),IF($O$5&gt;70,0+50*($AG387/100),IF($O$5&gt;60,5+50*($AG387/100),IF($O$5&gt;50,10+60*($AG387/100),IF($O$5&gt;40,15+70*($AG387/100),IF($O$5&gt;30,20+70*($AG387/100),IF($O$5&gt;20,40+55*($AG387/100),(80+(20-$O$5)+30*($AG387/100))))))))))</f>
        <v>100</v>
      </c>
      <c r="AI387" s="262">
        <v>4861</v>
      </c>
      <c r="AJ387" s="262">
        <v>3961</v>
      </c>
      <c r="AK387" s="262"/>
      <c r="AL387" s="263"/>
      <c r="AM387" s="264"/>
      <c r="AN387" s="263">
        <v>266</v>
      </c>
      <c r="AO387" s="263"/>
      <c r="AP387" s="265"/>
      <c r="AQ387" s="266"/>
      <c r="AR387" s="267">
        <v>44536</v>
      </c>
      <c r="AS387" s="263"/>
      <c r="AT387" s="263"/>
      <c r="AU387" s="263"/>
      <c r="AV387" s="264"/>
      <c r="AW387" s="263"/>
      <c r="AX387" s="263"/>
      <c r="AY387" s="263"/>
      <c r="AZ387" s="263"/>
      <c r="BA387" s="263"/>
      <c r="BB387" s="263"/>
      <c r="BC387" s="263"/>
      <c r="BD387" s="264"/>
      <c r="BE387" s="263"/>
      <c r="BF387" s="263"/>
      <c r="BG387" s="263"/>
      <c r="BH387" s="263"/>
      <c r="BI387" s="263"/>
      <c r="BJ387" s="404">
        <f>altaz(J2000_Bas,$O387,$M387,DecLat,DecLong,2)</f>
        <v>301.30892312799216</v>
      </c>
      <c r="BK387" s="378" t="s">
        <v>485</v>
      </c>
      <c r="BL387" s="379">
        <f>IF((2*G387)/60&lt;0.2,0.2,(2*G387)/60)</f>
        <v>0.2</v>
      </c>
      <c r="BM387" s="380">
        <f>MOD((50000+AD387-$B$3+(0/24)),1)</f>
        <v>0.74925063252885593</v>
      </c>
      <c r="BN387" s="381"/>
      <c r="BO387" s="382">
        <v>387</v>
      </c>
    </row>
    <row r="388" spans="1:67" s="24" customFormat="1" ht="15" customHeight="1" x14ac:dyDescent="0.25">
      <c r="A388" s="288" t="s">
        <v>486</v>
      </c>
      <c r="B388" s="241" t="str">
        <f>HYPERLINK(CONCATENATE($AT$3,BK388,$AU$3),$AV$3)</f>
        <v>S</v>
      </c>
      <c r="C388" s="242" t="str">
        <f>HYPERLINK(CONCATENATE($AT$4,BK388,$AU$4,BL388),$AV$4)</f>
        <v>A</v>
      </c>
      <c r="D388" s="243" t="s">
        <v>5638</v>
      </c>
      <c r="E388" s="244" t="s">
        <v>3259</v>
      </c>
      <c r="F388" s="269"/>
      <c r="G388" s="273">
        <v>1.6</v>
      </c>
      <c r="H388" s="283">
        <v>30</v>
      </c>
      <c r="I388" s="246">
        <v>15</v>
      </c>
      <c r="J388" s="246">
        <v>2</v>
      </c>
      <c r="K388" s="247" t="s">
        <v>4324</v>
      </c>
      <c r="L388" s="248">
        <v>103642</v>
      </c>
      <c r="M388" s="249">
        <f>15*(LEFT(TEXT($L388,"000000"),2)+(MID(TEXT($L388,"000000"),3,2)/60)+(RIGHT(TEXT($L388,"000000"),2)/3600))</f>
        <v>159.17499999999998</v>
      </c>
      <c r="N388" s="250">
        <v>313200</v>
      </c>
      <c r="O388" s="251">
        <f>IF($N388&gt;0,(LEFT(TEXT($N388,"000000"),2)+(MID(TEXT($N388,"000000"),3,2)/60)+(RIGHT(TEXT($N388,"000000"),2)/3600)),-(MID(TEXT($N388,"000000"),2,2)+(MID(TEXT($N388,"000000"),4,2)/60)+(RIGHT(TEXT($N388,"000000"),2)/3600)))</f>
        <v>31.533333333333335</v>
      </c>
      <c r="P388" s="252" t="s">
        <v>239</v>
      </c>
      <c r="Q388" s="253"/>
      <c r="R388" s="247" t="s">
        <v>3293</v>
      </c>
      <c r="S388" s="272" t="s">
        <v>3293</v>
      </c>
      <c r="T388" s="273">
        <v>15</v>
      </c>
      <c r="U388" s="274"/>
      <c r="V388" s="280"/>
      <c r="W388" s="244"/>
      <c r="X388" s="244"/>
      <c r="Y388" s="362"/>
      <c r="Z388" s="257">
        <f>altaz(J2000_Bas,$O388,$M388,DecLat,DecLong,1)</f>
        <v>-9.7042988524111653</v>
      </c>
      <c r="AA388" s="257">
        <f>altaz((J2000_Bas+(2*0.04167)),$O388,$M388,DecLat,DecLong,1)</f>
        <v>-23.748040500942182</v>
      </c>
      <c r="AB388" s="257">
        <f>altaz((J2000_Bas+(4*0.04167)),$O388,$M388,DecLat,DecLong,1)</f>
        <v>-27.115895222810316</v>
      </c>
      <c r="AC388" s="257">
        <f>altaz((J2000_Bas+(6*0.04167)),$O388,$M388,DecLat,DecLong,1)</f>
        <v>-18.269833160409988</v>
      </c>
      <c r="AD388" s="258">
        <f>1+ transit((J2000_Bas-1),$O388,$M388,DecLat,DecLong)/360 + (GMTOffset/24) + (IF(DST="Y", 1, 0)/24)</f>
        <v>1.4350526941922079</v>
      </c>
      <c r="AE388" s="259">
        <f>DATE(2001,9,21)+(M388/360)*365 - (360*((DecLong/360)- (GMTOffset/24) ))</f>
        <v>37321.385763888888</v>
      </c>
      <c r="AF388" s="260">
        <f>IF(DecLat&gt;0,IF((90 - (DecLat-O388))&gt;90, (90 - (O388-DecLat)), (90 - (DecLat-O388))),IF((90 + (DecLat-O388))&gt;90, (90 + (O388-DecLat)), (90 + (DecLat-O388))))</f>
        <v>89.466666666666669</v>
      </c>
      <c r="AG388" s="257">
        <f>angularseperation(MoonRA,MoonDec,$M388,$O388)</f>
        <v>103.82779029947922</v>
      </c>
      <c r="AH388" s="261">
        <f ca="1">MIN(100,IF($O$5&gt;80,0+30*($AG388/100),IF($O$5&gt;70,0+50*($AG388/100),IF($O$5&gt;60,5+50*($AG388/100),IF($O$5&gt;50,10+60*($AG388/100),IF($O$5&gt;40,15+70*($AG388/100),IF($O$5&gt;30,20+70*($AG388/100),IF($O$5&gt;20,40+55*($AG388/100),(80+(20-$O$5)+30*($AG388/100))))))))))</f>
        <v>100</v>
      </c>
      <c r="AI388" s="262"/>
      <c r="AJ388" s="262"/>
      <c r="AK388" s="262"/>
      <c r="AL388" s="263"/>
      <c r="AM388" s="264"/>
      <c r="AN388" s="263">
        <v>267</v>
      </c>
      <c r="AO388" s="263"/>
      <c r="AP388" s="265"/>
      <c r="AQ388" s="266">
        <v>5764</v>
      </c>
      <c r="AR388" s="267">
        <v>31477</v>
      </c>
      <c r="AS388" s="263"/>
      <c r="AT388" s="263"/>
      <c r="AU388" s="263"/>
      <c r="AV388" s="264"/>
      <c r="AW388" s="263"/>
      <c r="AX388" s="263"/>
      <c r="AY388" s="263"/>
      <c r="AZ388" s="263"/>
      <c r="BA388" s="263"/>
      <c r="BB388" s="263"/>
      <c r="BC388" s="263"/>
      <c r="BD388" s="264"/>
      <c r="BE388" s="263"/>
      <c r="BF388" s="263"/>
      <c r="BG388" s="263"/>
      <c r="BH388" s="263"/>
      <c r="BI388" s="263"/>
      <c r="BJ388" s="404">
        <f>altaz(J2000_Bas,$O388,$M388,DecLat,DecLong,2)</f>
        <v>316.19945511469683</v>
      </c>
      <c r="BK388" s="378" t="s">
        <v>486</v>
      </c>
      <c r="BL388" s="379">
        <f>IF((2*G388)/60&lt;0.2,0.2,(2*G388)/60)</f>
        <v>0.2</v>
      </c>
      <c r="BM388" s="380">
        <f>MOD((50000+AD388-$B$3+(0/24)),1)</f>
        <v>0.65041962389659602</v>
      </c>
      <c r="BN388" s="381"/>
      <c r="BO388" s="382">
        <v>388</v>
      </c>
    </row>
    <row r="389" spans="1:67" s="24" customFormat="1" ht="15" customHeight="1" x14ac:dyDescent="0.25">
      <c r="A389" s="288" t="s">
        <v>487</v>
      </c>
      <c r="B389" s="241" t="str">
        <f>HYPERLINK(CONCATENATE($AT$3,BK389,$AU$3),$AV$3)</f>
        <v>S</v>
      </c>
      <c r="C389" s="242" t="str">
        <f>HYPERLINK(CONCATENATE($AT$4,BK389,$AU$4,BL389),$AV$4)</f>
        <v>A</v>
      </c>
      <c r="D389" s="243" t="s">
        <v>5638</v>
      </c>
      <c r="E389" s="244" t="s">
        <v>13</v>
      </c>
      <c r="F389" s="269"/>
      <c r="G389" s="273">
        <v>8</v>
      </c>
      <c r="H389" s="283">
        <v>10</v>
      </c>
      <c r="I389" s="246">
        <v>25</v>
      </c>
      <c r="J389" s="246">
        <v>2</v>
      </c>
      <c r="K389" s="247" t="s">
        <v>4323</v>
      </c>
      <c r="L389" s="248">
        <v>81906</v>
      </c>
      <c r="M389" s="249">
        <f>15*(LEFT(TEXT($L389,"000000"),2)+(MID(TEXT($L389,"000000"),3,2)/60)+(RIGHT(TEXT($L389,"000000"),2)/3600))</f>
        <v>124.77500000000001</v>
      </c>
      <c r="N389" s="250">
        <v>704200</v>
      </c>
      <c r="O389" s="251">
        <f>IF($N389&gt;0,(LEFT(TEXT($N389,"000000"),2)+(MID(TEXT($N389,"000000"),3,2)/60)+(RIGHT(TEXT($N389,"000000"),2)/3600)),-(MID(TEXT($N389,"000000"),2,2)+(MID(TEXT($N389,"000000"),4,2)/60)+(RIGHT(TEXT($N389,"000000"),2)/3600)))</f>
        <v>70.7</v>
      </c>
      <c r="P389" s="252" t="s">
        <v>37</v>
      </c>
      <c r="Q389" s="253"/>
      <c r="R389" s="247" t="s">
        <v>3376</v>
      </c>
      <c r="S389" s="272" t="s">
        <v>3293</v>
      </c>
      <c r="T389" s="273">
        <v>12</v>
      </c>
      <c r="U389" s="274"/>
      <c r="V389" s="280"/>
      <c r="W389" s="244"/>
      <c r="X389" s="244"/>
      <c r="Y389" s="362"/>
      <c r="Z389" s="257">
        <f>altaz(J2000_Bas,$O389,$M389,DecLat,DecLong,1)</f>
        <v>12.583247951032837</v>
      </c>
      <c r="AA389" s="257">
        <f>altaz((J2000_Bas+(2*0.04167)),$O389,$M389,DecLat,DecLong,1)</f>
        <v>12.022223927214677</v>
      </c>
      <c r="AB389" s="257">
        <f>altaz((J2000_Bas+(4*0.04167)),$O389,$M389,DecLat,DecLong,1)</f>
        <v>15.876910033719026</v>
      </c>
      <c r="AC389" s="257">
        <f>altaz((J2000_Bas+(6*0.04167)),$O389,$M389,DecLat,DecLong,1)</f>
        <v>23.335294487228868</v>
      </c>
      <c r="AD389" s="258">
        <f>1+ transit((J2000_Bas-1),$O389,$M389,DecLat,DecLong)/360 + (GMTOffset/24) + (IF(DST="Y", 1, 0)/24)</f>
        <v>1.339497148192208</v>
      </c>
      <c r="AE389" s="259">
        <f>DATE(2001,9,21)+(M389/360)*365 - (360*((DecLong/360)- (GMTOffset/24) ))</f>
        <v>37286.507986111108</v>
      </c>
      <c r="AF389" s="260">
        <f>IF(DecLat&gt;0,IF((90 - (DecLat-O389))&gt;90, (90 - (O389-DecLat)), (90 - (DecLat-O389))),IF((90 + (DecLat-O389))&gt;90, (90 + (O389-DecLat)), (90 + (DecLat-O389))))</f>
        <v>50.3</v>
      </c>
      <c r="AG389" s="257">
        <f>angularseperation(MoonRA,MoonDec,$M389,$O389)</f>
        <v>126.60155691861834</v>
      </c>
      <c r="AH389" s="261">
        <f ca="1">MIN(100,IF($O$5&gt;80,0+30*($AG389/100),IF($O$5&gt;70,0+50*($AG389/100),IF($O$5&gt;60,5+50*($AG389/100),IF($O$5&gt;50,10+60*($AG389/100),IF($O$5&gt;40,15+70*($AG389/100),IF($O$5&gt;30,20+70*($AG389/100),IF($O$5&gt;20,40+55*($AG389/100),(80+(20-$O$5)+30*($AG389/100))))))))))</f>
        <v>100</v>
      </c>
      <c r="AI389" s="262"/>
      <c r="AJ389" s="262"/>
      <c r="AK389" s="262"/>
      <c r="AL389" s="263"/>
      <c r="AM389" s="264"/>
      <c r="AN389" s="263">
        <v>268</v>
      </c>
      <c r="AO389" s="263"/>
      <c r="AP389" s="265"/>
      <c r="AQ389" s="266">
        <v>4305</v>
      </c>
      <c r="AR389" s="267">
        <v>23324</v>
      </c>
      <c r="AS389" s="263"/>
      <c r="AT389" s="263"/>
      <c r="AU389" s="263"/>
      <c r="AV389" s="264"/>
      <c r="AW389" s="263"/>
      <c r="AX389" s="263"/>
      <c r="AY389" s="263"/>
      <c r="AZ389" s="263"/>
      <c r="BA389" s="263"/>
      <c r="BB389" s="263"/>
      <c r="BC389" s="263"/>
      <c r="BD389" s="264"/>
      <c r="BE389" s="263"/>
      <c r="BF389" s="263"/>
      <c r="BG389" s="263"/>
      <c r="BH389" s="263"/>
      <c r="BI389" s="263"/>
      <c r="BJ389" s="404">
        <f>altaz(J2000_Bas,$O389,$M389,DecLat,DecLong,2)</f>
        <v>353.74346675368065</v>
      </c>
      <c r="BK389" s="378" t="s">
        <v>487</v>
      </c>
      <c r="BL389" s="379">
        <f>IF((2*G389)/60&lt;0.2,0.2,(2*G389)/60)</f>
        <v>0.26666666666666666</v>
      </c>
      <c r="BM389" s="380">
        <f>MOD((50000+AD389-$B$3+(0/24)),1)</f>
        <v>0.55486407789430814</v>
      </c>
      <c r="BN389" s="381"/>
      <c r="BO389" s="382">
        <v>389</v>
      </c>
    </row>
    <row r="390" spans="1:67" s="24" customFormat="1" ht="15" customHeight="1" x14ac:dyDescent="0.25">
      <c r="A390" s="288" t="s">
        <v>488</v>
      </c>
      <c r="B390" s="241" t="str">
        <f>HYPERLINK(CONCATENATE($AT$3,BK390,$AU$3),$AV$3)</f>
        <v>S</v>
      </c>
      <c r="C390" s="242" t="str">
        <f>HYPERLINK(CONCATENATE($AT$4,BK390,$AU$4,BL390),$AV$4)</f>
        <v>A</v>
      </c>
      <c r="D390" s="243" t="s">
        <v>5638</v>
      </c>
      <c r="E390" s="244" t="s">
        <v>5337</v>
      </c>
      <c r="F390" s="269" t="s">
        <v>3310</v>
      </c>
      <c r="G390" s="273">
        <v>7</v>
      </c>
      <c r="H390" s="283">
        <v>25</v>
      </c>
      <c r="I390" s="246">
        <v>50</v>
      </c>
      <c r="J390" s="246">
        <v>4</v>
      </c>
      <c r="K390" s="247" t="s">
        <v>4332</v>
      </c>
      <c r="L390" s="248">
        <v>123036</v>
      </c>
      <c r="M390" s="249">
        <f>15*(LEFT(TEXT($L390,"000000"),2)+(MID(TEXT($L390,"000000"),3,2)/60)+(RIGHT(TEXT($L390,"000000"),2)/3600))</f>
        <v>187.65</v>
      </c>
      <c r="N390" s="250">
        <v>413832</v>
      </c>
      <c r="O390" s="251">
        <f>IF($N390&gt;0,(LEFT(TEXT($N390,"000000"),2)+(MID(TEXT($N390,"000000"),3,2)/60)+(RIGHT(TEXT($N390,"000000"),2)/3600)),-(MID(TEXT($N390,"000000"),2,2)+(MID(TEXT($N390,"000000"),4,2)/60)+(RIGHT(TEXT($N390,"000000"),2)/3600)))</f>
        <v>41.642222222222223</v>
      </c>
      <c r="P390" s="252" t="s">
        <v>242</v>
      </c>
      <c r="Q390" s="253" t="s">
        <v>6845</v>
      </c>
      <c r="R390" s="247" t="s">
        <v>3293</v>
      </c>
      <c r="S390" s="272" t="s">
        <v>3293</v>
      </c>
      <c r="T390" s="273">
        <v>9.8000000000000007</v>
      </c>
      <c r="U390" s="289">
        <v>21.79</v>
      </c>
      <c r="V390" s="280"/>
      <c r="W390" s="244"/>
      <c r="X390" s="244"/>
      <c r="Y390" s="362"/>
      <c r="Z390" s="257">
        <f>altaz(J2000_Bas,$O390,$M390,DecLat,DecLong,1)</f>
        <v>14.428922998544143</v>
      </c>
      <c r="AA390" s="257">
        <f>altaz((J2000_Bas+(2*0.04167)),$O390,$M390,DecLat,DecLong,1)</f>
        <v>-3.2092276438405181</v>
      </c>
      <c r="AB390" s="257">
        <f>altaz((J2000_Bas+(4*0.04167)),$O390,$M390,DecLat,DecLong,1)</f>
        <v>-14.705697750569101</v>
      </c>
      <c r="AC390" s="257">
        <f>altaz((J2000_Bas+(6*0.04167)),$O390,$M390,DecLat,DecLong,1)</f>
        <v>-16.925304576872261</v>
      </c>
      <c r="AD390" s="258">
        <f>1+ transit((J2000_Bas-1),$O390,$M390,DecLat,DecLong)/360 + (GMTOffset/24) + (IF(DST="Y", 1, 0)/24)</f>
        <v>1.5141499085047079</v>
      </c>
      <c r="AE390" s="259">
        <f>DATE(2001,9,21)+(M390/360)*365 - (360*((DecLong/360)- (GMTOffset/24) ))</f>
        <v>37350.256249999999</v>
      </c>
      <c r="AF390" s="260">
        <f>IF(DecLat&gt;0,IF((90 - (DecLat-O390))&gt;90, (90 - (O390-DecLat)), (90 - (DecLat-O390))),IF((90 + (DecLat-O390))&gt;90, (90 + (O390-DecLat)), (90 + (DecLat-O390))))</f>
        <v>79.357777777777784</v>
      </c>
      <c r="AG390" s="257">
        <f>angularseperation(MoonRA,MoonDec,$M390,$O390)</f>
        <v>89.197365375416908</v>
      </c>
      <c r="AH390" s="261">
        <f ca="1">MIN(100,IF($O$5&gt;80,0+30*($AG390/100),IF($O$5&gt;70,0+50*($AG390/100),IF($O$5&gt;60,5+50*($AG390/100),IF($O$5&gt;50,10+60*($AG390/100),IF($O$5&gt;40,15+70*($AG390/100),IF($O$5&gt;30,20+70*($AG390/100),IF($O$5&gt;20,40+55*($AG390/100),(80+(20-$O$5)+30*($AG390/100))))))))))</f>
        <v>100</v>
      </c>
      <c r="AI390" s="262">
        <v>4490</v>
      </c>
      <c r="AJ390" s="262"/>
      <c r="AK390" s="262">
        <v>250</v>
      </c>
      <c r="AL390" s="263"/>
      <c r="AM390" s="264"/>
      <c r="AN390" s="263">
        <v>269</v>
      </c>
      <c r="AO390" s="263"/>
      <c r="AP390" s="265"/>
      <c r="AQ390" s="266">
        <v>7651</v>
      </c>
      <c r="AR390" s="267">
        <v>41333</v>
      </c>
      <c r="AS390" s="263"/>
      <c r="AT390" s="263"/>
      <c r="AU390" s="263"/>
      <c r="AV390" s="264"/>
      <c r="AW390" s="263"/>
      <c r="AX390" s="263"/>
      <c r="AY390" s="263"/>
      <c r="AZ390" s="263"/>
      <c r="BA390" s="263"/>
      <c r="BB390" s="263"/>
      <c r="BC390" s="263"/>
      <c r="BD390" s="264"/>
      <c r="BE390" s="263">
        <v>63</v>
      </c>
      <c r="BF390" s="263"/>
      <c r="BG390" s="263"/>
      <c r="BH390" s="263"/>
      <c r="BI390" s="263"/>
      <c r="BJ390" s="404">
        <f>altaz(J2000_Bas,$O390,$M390,DecLat,DecLong,2)</f>
        <v>310.22952626045657</v>
      </c>
      <c r="BK390" s="378" t="s">
        <v>488</v>
      </c>
      <c r="BL390" s="379">
        <f>IF((2*G390)/60&lt;0.2,0.2,(2*G390)/60)</f>
        <v>0.23333333333333334</v>
      </c>
      <c r="BM390" s="380">
        <f>MOD((50000+AD390-$B$3+(0/24)),1)</f>
        <v>0.72951683821156621</v>
      </c>
      <c r="BN390" s="381"/>
      <c r="BO390" s="382">
        <v>390</v>
      </c>
    </row>
    <row r="391" spans="1:67" s="24" customFormat="1" ht="15" customHeight="1" x14ac:dyDescent="0.25">
      <c r="A391" s="288" t="s">
        <v>489</v>
      </c>
      <c r="B391" s="241" t="str">
        <f>HYPERLINK(CONCATENATE($AT$3,BK391,$AU$3),$AV$3)</f>
        <v>S</v>
      </c>
      <c r="C391" s="242" t="str">
        <f>HYPERLINK(CONCATENATE($AT$4,BK391,$AU$4,BL391),$AV$4)</f>
        <v>A</v>
      </c>
      <c r="D391" s="243" t="s">
        <v>5638</v>
      </c>
      <c r="E391" s="244" t="s">
        <v>5337</v>
      </c>
      <c r="F391" s="269" t="s">
        <v>3310</v>
      </c>
      <c r="G391" s="273">
        <v>2</v>
      </c>
      <c r="H391" s="283">
        <v>90</v>
      </c>
      <c r="I391" s="246">
        <v>50</v>
      </c>
      <c r="J391" s="246">
        <v>2</v>
      </c>
      <c r="K391" s="247" t="s">
        <v>4333</v>
      </c>
      <c r="L391" s="248">
        <v>104956</v>
      </c>
      <c r="M391" s="249">
        <f>15*(LEFT(TEXT($L391,"000000"),2)+(MID(TEXT($L391,"000000"),3,2)/60)+(RIGHT(TEXT($L391,"000000"),2)/3600))</f>
        <v>162.48333333333335</v>
      </c>
      <c r="N391" s="250">
        <v>325900</v>
      </c>
      <c r="O391" s="251">
        <f>IF($N391&gt;0,(LEFT(TEXT($N391,"000000"),2)+(MID(TEXT($N391,"000000"),3,2)/60)+(RIGHT(TEXT($N391,"000000"),2)/3600)),-(MID(TEXT($N391,"000000"),2,2)+(MID(TEXT($N391,"000000"),4,2)/60)+(RIGHT(TEXT($N391,"000000"),2)/3600)))</f>
        <v>32.983333333333334</v>
      </c>
      <c r="P391" s="252" t="s">
        <v>239</v>
      </c>
      <c r="Q391" s="253"/>
      <c r="R391" s="247" t="s">
        <v>8760</v>
      </c>
      <c r="S391" s="272" t="s">
        <v>8772</v>
      </c>
      <c r="T391" s="273">
        <v>12</v>
      </c>
      <c r="U391" s="289">
        <v>22.09</v>
      </c>
      <c r="V391" s="280"/>
      <c r="W391" s="244"/>
      <c r="X391" s="244"/>
      <c r="Y391" s="362"/>
      <c r="Z391" s="257">
        <f>altaz(J2000_Bas,$O391,$M391,DecLat,DecLong,1)</f>
        <v>-6.6999366486962844</v>
      </c>
      <c r="AA391" s="257">
        <f>altaz((J2000_Bas+(2*0.04167)),$O391,$M391,DecLat,DecLong,1)</f>
        <v>-21.325693372955271</v>
      </c>
      <c r="AB391" s="257">
        <f>altaz((J2000_Bas+(4*0.04167)),$O391,$M391,DecLat,DecLong,1)</f>
        <v>-25.921751822515922</v>
      </c>
      <c r="AC391" s="257">
        <f>altaz((J2000_Bas+(6*0.04167)),$O391,$M391,DecLat,DecLong,1)</f>
        <v>-18.499508571074564</v>
      </c>
      <c r="AD391" s="258">
        <f>1+ transit((J2000_Bas-1),$O391,$M391,DecLat,DecLong)/360 + (GMTOffset/24) + (IF(DST="Y", 1, 0)/24)</f>
        <v>1.4442425080880414</v>
      </c>
      <c r="AE391" s="259">
        <f>DATE(2001,9,21)+(M391/360)*365 - (360*((DecLong/360)- (GMTOffset/24) ))</f>
        <v>37324.740046296298</v>
      </c>
      <c r="AF391" s="260">
        <f>IF(DecLat&gt;0,IF((90 - (DecLat-O391))&gt;90, (90 - (O391-DecLat)), (90 - (DecLat-O391))),IF((90 + (DecLat-O391))&gt;90, (90 + (O391-DecLat)), (90 + (DecLat-O391))))</f>
        <v>88.016666666666666</v>
      </c>
      <c r="AG391" s="257">
        <f>angularseperation(MoonRA,MoonDec,$M391,$O391)</f>
        <v>101.86655148084688</v>
      </c>
      <c r="AH391" s="261">
        <f ca="1">MIN(100,IF($O$5&gt;80,0+30*($AG391/100),IF($O$5&gt;70,0+50*($AG391/100),IF($O$5&gt;60,5+50*($AG391/100),IF($O$5&gt;50,10+60*($AG391/100),IF($O$5&gt;40,15+70*($AG391/100),IF($O$5&gt;30,20+70*($AG391/100),IF($O$5&gt;20,40+55*($AG391/100),(80+(20-$O$5)+30*($AG391/100))))))))))</f>
        <v>100</v>
      </c>
      <c r="AI391" s="262">
        <v>3395</v>
      </c>
      <c r="AJ391" s="262"/>
      <c r="AK391" s="262">
        <v>158</v>
      </c>
      <c r="AL391" s="263"/>
      <c r="AM391" s="264"/>
      <c r="AN391" s="263">
        <v>270</v>
      </c>
      <c r="AO391" s="263"/>
      <c r="AP391" s="265"/>
      <c r="AQ391" s="266">
        <v>5935</v>
      </c>
      <c r="AR391" s="267">
        <v>32434</v>
      </c>
      <c r="AS391" s="263"/>
      <c r="AT391" s="263"/>
      <c r="AU391" s="263"/>
      <c r="AV391" s="264"/>
      <c r="AW391" s="263"/>
      <c r="AX391" s="263"/>
      <c r="AY391" s="263"/>
      <c r="AZ391" s="263"/>
      <c r="BA391" s="263"/>
      <c r="BB391" s="263"/>
      <c r="BC391" s="263"/>
      <c r="BD391" s="264"/>
      <c r="BE391" s="263"/>
      <c r="BF391" s="263"/>
      <c r="BG391" s="263"/>
      <c r="BH391" s="263"/>
      <c r="BI391" s="263"/>
      <c r="BJ391" s="404">
        <f>altaz(J2000_Bas,$O391,$M391,DecLat,DecLong,2)</f>
        <v>315.23986269204966</v>
      </c>
      <c r="BK391" s="378" t="s">
        <v>489</v>
      </c>
      <c r="BL391" s="379">
        <f>IF((2*G391)/60&lt;0.2,0.2,(2*G391)/60)</f>
        <v>0.2</v>
      </c>
      <c r="BM391" s="380">
        <f>MOD((50000+AD391-$B$3+(0/24)),1)</f>
        <v>0.6596094377891859</v>
      </c>
      <c r="BN391" s="381"/>
      <c r="BO391" s="382">
        <v>391</v>
      </c>
    </row>
    <row r="392" spans="1:67" s="24" customFormat="1" ht="15" customHeight="1" x14ac:dyDescent="0.25">
      <c r="A392" s="288" t="s">
        <v>490</v>
      </c>
      <c r="B392" s="241" t="str">
        <f>HYPERLINK(CONCATENATE($AT$3,BK392,$AU$3),$AV$3)</f>
        <v>S</v>
      </c>
      <c r="C392" s="242" t="str">
        <f>HYPERLINK(CONCATENATE($AT$4,BK392,$AU$4,BL392),$AV$4)</f>
        <v>A</v>
      </c>
      <c r="D392" s="243" t="s">
        <v>5638</v>
      </c>
      <c r="E392" s="244" t="s">
        <v>5337</v>
      </c>
      <c r="F392" s="269" t="s">
        <v>3310</v>
      </c>
      <c r="G392" s="273">
        <v>3.4</v>
      </c>
      <c r="H392" s="283">
        <v>100</v>
      </c>
      <c r="I392" s="246">
        <v>100</v>
      </c>
      <c r="J392" s="246">
        <v>3</v>
      </c>
      <c r="K392" s="247" t="s">
        <v>4334</v>
      </c>
      <c r="L392" s="248">
        <v>140325</v>
      </c>
      <c r="M392" s="249">
        <f>15*(LEFT(TEXT($L392,"000000"),2)+(MID(TEXT($L392,"000000"),3,2)/60)+(RIGHT(TEXT($L392,"000000"),2)/3600))</f>
        <v>210.85416666666669</v>
      </c>
      <c r="N392" s="250">
        <v>-60100</v>
      </c>
      <c r="O392" s="251">
        <f>IF($N392&gt;0,(LEFT(TEXT($N392,"000000"),2)+(MID(TEXT($N392,"000000"),3,2)/60)+(RIGHT(TEXT($N392,"000000"),2)/3600)),-(MID(TEXT($N392,"000000"),2,2)+(MID(TEXT($N392,"000000"),4,2)/60)+(RIGHT(TEXT($N392,"000000"),2)/3600)))</f>
        <v>-6.0166666666666666</v>
      </c>
      <c r="P392" s="252" t="s">
        <v>61</v>
      </c>
      <c r="Q392" s="253"/>
      <c r="R392" s="247" t="s">
        <v>3618</v>
      </c>
      <c r="S392" s="272" t="s">
        <v>3293</v>
      </c>
      <c r="T392" s="273">
        <v>12.1</v>
      </c>
      <c r="U392" s="289">
        <v>22.59</v>
      </c>
      <c r="V392" s="280"/>
      <c r="W392" s="244"/>
      <c r="X392" s="244"/>
      <c r="Y392" s="362"/>
      <c r="Z392" s="257">
        <f>altaz(J2000_Bas,$O392,$M392,DecLat,DecLong,1)</f>
        <v>9.4687556924912535</v>
      </c>
      <c r="AA392" s="257">
        <f>altaz((J2000_Bas+(2*0.04167)),$O392,$M392,DecLat,DecLong,1)</f>
        <v>-16.138545592147608</v>
      </c>
      <c r="AB392" s="257">
        <f>altaz((J2000_Bas+(4*0.04167)),$O392,$M392,DecLat,DecLong,1)</f>
        <v>-41.306477353866576</v>
      </c>
      <c r="AC392" s="257">
        <f>altaz((J2000_Bas+(6*0.04167)),$O392,$M392,DecLat,DecLong,1)</f>
        <v>-61.5114383867596</v>
      </c>
      <c r="AD392" s="258">
        <f>1+ transit((J2000_Bas-1),$O392,$M392,DecLat,DecLong)/360 + (GMTOffset/24) + (IF(DST="Y", 1, 0)/24)</f>
        <v>1.5786059205776246</v>
      </c>
      <c r="AE392" s="259">
        <f>DATE(2001,9,21)+(M392/360)*365 - (360*((DecLong/360)- (GMTOffset/24) ))</f>
        <v>37373.782696759263</v>
      </c>
      <c r="AF392" s="260">
        <f>IF(DecLat&gt;0,IF((90 - (DecLat-O392))&gt;90, (90 - (O392-DecLat)), (90 - (DecLat-O392))),IF((90 + (DecLat-O392))&gt;90, (90 + (O392-DecLat)), (90 + (DecLat-O392))))</f>
        <v>52.983333333333334</v>
      </c>
      <c r="AG392" s="257">
        <f>angularseperation(MoonRA,MoonDec,$M392,$O392)</f>
        <v>42.119268882856232</v>
      </c>
      <c r="AH392" s="261">
        <f ca="1">MIN(100,IF($O$5&gt;80,0+30*($AG392/100),IF($O$5&gt;70,0+50*($AG392/100),IF($O$5&gt;60,5+50*($AG392/100),IF($O$5&gt;50,10+60*($AG392/100),IF($O$5&gt;40,15+70*($AG392/100),IF($O$5&gt;30,20+70*($AG392/100),IF($O$5&gt;20,40+55*($AG392/100),(80+(20-$O$5)+30*($AG392/100))))))))))</f>
        <v>95.906841009007294</v>
      </c>
      <c r="AI392" s="262">
        <v>5426</v>
      </c>
      <c r="AJ392" s="262"/>
      <c r="AK392" s="262"/>
      <c r="AL392" s="263"/>
      <c r="AM392" s="264"/>
      <c r="AN392" s="263">
        <v>271</v>
      </c>
      <c r="AO392" s="263"/>
      <c r="AP392" s="265"/>
      <c r="AQ392" s="266"/>
      <c r="AR392" s="267">
        <v>50083</v>
      </c>
      <c r="AS392" s="263"/>
      <c r="AT392" s="263"/>
      <c r="AU392" s="263"/>
      <c r="AV392" s="264"/>
      <c r="AW392" s="263"/>
      <c r="AX392" s="263"/>
      <c r="AY392" s="263"/>
      <c r="AZ392" s="263"/>
      <c r="BA392" s="263"/>
      <c r="BB392" s="263"/>
      <c r="BC392" s="263"/>
      <c r="BD392" s="264"/>
      <c r="BE392" s="263"/>
      <c r="BF392" s="263"/>
      <c r="BG392" s="263"/>
      <c r="BH392" s="263">
        <v>12</v>
      </c>
      <c r="BI392" s="263"/>
      <c r="BJ392" s="404">
        <f>altaz(J2000_Bas,$O392,$M392,DecLat,DecLong,2)</f>
        <v>257.04499823369798</v>
      </c>
      <c r="BK392" s="378" t="s">
        <v>490</v>
      </c>
      <c r="BL392" s="379">
        <f>IF((2*G392)/60&lt;0.2,0.2,(2*G392)/60)</f>
        <v>0.2</v>
      </c>
      <c r="BM392" s="380">
        <f>MOD((50000+AD392-$B$3+(0/24)),1)</f>
        <v>0.79397285028244369</v>
      </c>
      <c r="BN392" s="381"/>
      <c r="BO392" s="382">
        <v>392</v>
      </c>
    </row>
    <row r="393" spans="1:67" s="24" customFormat="1" ht="15" customHeight="1" x14ac:dyDescent="0.25">
      <c r="A393" s="288" t="s">
        <v>491</v>
      </c>
      <c r="B393" s="241" t="str">
        <f>HYPERLINK(CONCATENATE($AT$3,BK393,$AU$3),$AV$3)</f>
        <v>S</v>
      </c>
      <c r="C393" s="242" t="str">
        <f>HYPERLINK(CONCATENATE($AT$4,BK393,$AU$4,BL393),$AV$4)</f>
        <v>A</v>
      </c>
      <c r="D393" s="243" t="s">
        <v>5638</v>
      </c>
      <c r="E393" s="244" t="s">
        <v>5178</v>
      </c>
      <c r="F393" s="269"/>
      <c r="G393" s="270">
        <v>0.8</v>
      </c>
      <c r="H393" s="283">
        <v>439.64855999999997</v>
      </c>
      <c r="I393" s="246">
        <v>100</v>
      </c>
      <c r="J393" s="246">
        <v>2</v>
      </c>
      <c r="K393" s="247" t="s">
        <v>4335</v>
      </c>
      <c r="L393" s="248">
        <v>160522</v>
      </c>
      <c r="M393" s="249">
        <f>15*(LEFT(TEXT($L393,"000000"),2)+(MID(TEXT($L393,"000000"),3,2)/60)+(RIGHT(TEXT($L393,"000000"),2)/3600))</f>
        <v>241.34166666666664</v>
      </c>
      <c r="N393" s="250">
        <v>174500</v>
      </c>
      <c r="O393" s="251">
        <f>IF($N393&gt;0,(LEFT(TEXT($N393,"000000"),2)+(MID(TEXT($N393,"000000"),3,2)/60)+(RIGHT(TEXT($N393,"000000"),2)/3600)),-(MID(TEXT($N393,"000000"),2,2)+(MID(TEXT($N393,"000000"),4,2)/60)+(RIGHT(TEXT($N393,"000000"),2)/3600)))</f>
        <v>17.75</v>
      </c>
      <c r="P393" s="252" t="s">
        <v>111</v>
      </c>
      <c r="Q393" s="253"/>
      <c r="R393" s="247" t="s">
        <v>3636</v>
      </c>
      <c r="S393" s="272" t="s">
        <v>4195</v>
      </c>
      <c r="T393" s="273">
        <v>14.7</v>
      </c>
      <c r="U393" s="289">
        <v>22.79</v>
      </c>
      <c r="V393" s="280"/>
      <c r="W393" s="244"/>
      <c r="X393" s="244"/>
      <c r="Y393" s="362"/>
      <c r="Z393" s="257">
        <f>altaz(J2000_Bas,$O393,$M393,DecLat,DecLong,1)</f>
        <v>47.533982930026703</v>
      </c>
      <c r="AA393" s="257">
        <f>altaz((J2000_Bas+(2*0.04167)),$O393,$M393,DecLat,DecLong,1)</f>
        <v>21.827124663170487</v>
      </c>
      <c r="AB393" s="257">
        <f>altaz((J2000_Bas+(4*0.04167)),$O393,$M393,DecLat,DecLong,1)</f>
        <v>-2.976910873391299</v>
      </c>
      <c r="AC393" s="257">
        <f>altaz((J2000_Bas+(6*0.04167)),$O393,$M393,DecLat,DecLong,1)</f>
        <v>-24.795301229584638</v>
      </c>
      <c r="AD393" s="258">
        <f>1+ transit((J2000_Bas-1),$O393,$M393,DecLat,DecLong)/360 + (GMTOffset/24) + (IF(DST="Y", 1, 0)/24)</f>
        <v>1.6632934121088747</v>
      </c>
      <c r="AE393" s="259">
        <f>DATE(2001,9,21)+(M393/360)*365 - (360*((DecLong/360)- (GMTOffset/24) ))</f>
        <v>37404.69363425926</v>
      </c>
      <c r="AF393" s="260">
        <f>IF(DecLat&gt;0,IF((90 - (DecLat-O393))&gt;90, (90 - (O393-DecLat)), (90 - (DecLat-O393))),IF((90 + (DecLat-O393))&gt;90, (90 + (O393-DecLat)), (90 + (DecLat-O393))))</f>
        <v>76.75</v>
      </c>
      <c r="AG393" s="257">
        <f>angularseperation(MoonRA,MoonDec,$M393,$O393)</f>
        <v>45.484412817834368</v>
      </c>
      <c r="AH393" s="261">
        <f ca="1">MIN(100,IF($O$5&gt;80,0+30*($AG393/100),IF($O$5&gt;70,0+50*($AG393/100),IF($O$5&gt;60,5+50*($AG393/100),IF($O$5&gt;50,10+60*($AG393/100),IF($O$5&gt;40,15+70*($AG393/100),IF($O$5&gt;30,20+70*($AG393/100),IF($O$5&gt;20,40+55*($AG393/100),(80+(20-$O$5)+30*($AG393/100))))))))))</f>
        <v>96.916384189500732</v>
      </c>
      <c r="AI393" s="262">
        <v>6050</v>
      </c>
      <c r="AJ393" s="262">
        <v>1179</v>
      </c>
      <c r="AK393" s="262"/>
      <c r="AL393" s="263"/>
      <c r="AM393" s="264"/>
      <c r="AN393" s="263">
        <v>272</v>
      </c>
      <c r="AO393" s="263"/>
      <c r="AP393" s="265"/>
      <c r="AQ393" s="266"/>
      <c r="AR393" s="267">
        <v>57058</v>
      </c>
      <c r="AS393" s="263"/>
      <c r="AT393" s="263"/>
      <c r="AU393" s="263"/>
      <c r="AV393" s="264"/>
      <c r="AW393" s="263"/>
      <c r="AX393" s="263"/>
      <c r="AY393" s="263"/>
      <c r="AZ393" s="263"/>
      <c r="BA393" s="263"/>
      <c r="BB393" s="263"/>
      <c r="BC393" s="263"/>
      <c r="BD393" s="264"/>
      <c r="BE393" s="263"/>
      <c r="BF393" s="263"/>
      <c r="BG393" s="263"/>
      <c r="BH393" s="263"/>
      <c r="BI393" s="263"/>
      <c r="BJ393" s="404">
        <f>altaz(J2000_Bas,$O393,$M393,DecLat,DecLong,2)</f>
        <v>262.54693745908833</v>
      </c>
      <c r="BK393" s="378" t="s">
        <v>491</v>
      </c>
      <c r="BL393" s="379">
        <f>IF((2*G393)/60&lt;0.2,0.2,(2*G393)/60)</f>
        <v>0.2</v>
      </c>
      <c r="BM393" s="380">
        <f>MOD((50000+AD393-$B$3+(0/24)),1)</f>
        <v>0.87866034181206487</v>
      </c>
      <c r="BN393" s="381"/>
      <c r="BO393" s="382">
        <v>393</v>
      </c>
    </row>
    <row r="394" spans="1:67" s="24" customFormat="1" ht="15" customHeight="1" x14ac:dyDescent="0.25">
      <c r="A394" s="288" t="s">
        <v>492</v>
      </c>
      <c r="B394" s="241" t="str">
        <f>HYPERLINK(CONCATENATE($AT$3,BK394,$AU$3),$AV$3)</f>
        <v>S</v>
      </c>
      <c r="C394" s="242" t="str">
        <f>HYPERLINK(CONCATENATE($AT$4,BK394,$AU$4,BL394),$AV$4)</f>
        <v>A</v>
      </c>
      <c r="D394" s="243" t="s">
        <v>5638</v>
      </c>
      <c r="E394" s="244" t="s">
        <v>5337</v>
      </c>
      <c r="F394" s="269" t="s">
        <v>3310</v>
      </c>
      <c r="G394" s="273">
        <v>2</v>
      </c>
      <c r="H394" s="283">
        <v>300</v>
      </c>
      <c r="I394" s="246">
        <v>170</v>
      </c>
      <c r="J394" s="246">
        <v>4</v>
      </c>
      <c r="K394" s="247" t="s">
        <v>4336</v>
      </c>
      <c r="L394" s="248">
        <v>22132</v>
      </c>
      <c r="M394" s="249">
        <f>15*(LEFT(TEXT($L394,"000000"),2)+(MID(TEXT($L394,"000000"),3,2)/60)+(RIGHT(TEXT($L394,"000000"),2)/3600))</f>
        <v>35.383333333333333</v>
      </c>
      <c r="N394" s="250">
        <v>392100</v>
      </c>
      <c r="O394" s="251">
        <f>IF($N394&gt;0,(LEFT(TEXT($N394,"000000"),2)+(MID(TEXT($N394,"000000"),3,2)/60)+(RIGHT(TEXT($N394,"000000"),2)/3600)),-(MID(TEXT($N394,"000000"),2,2)+(MID(TEXT($N394,"000000"),4,2)/60)+(RIGHT(TEXT($N394,"000000"),2)/3600)))</f>
        <v>39.35</v>
      </c>
      <c r="P394" s="252" t="s">
        <v>36</v>
      </c>
      <c r="Q394" s="253" t="s">
        <v>6897</v>
      </c>
      <c r="R394" s="247" t="s">
        <v>3293</v>
      </c>
      <c r="S394" s="272" t="s">
        <v>3293</v>
      </c>
      <c r="T394" s="273">
        <v>13</v>
      </c>
      <c r="U394" s="274"/>
      <c r="V394" s="280"/>
      <c r="W394" s="244"/>
      <c r="X394" s="244"/>
      <c r="Y394" s="362"/>
      <c r="Z394" s="257">
        <f>altaz(J2000_Bas,$O394,$M394,DecLat,DecLong,1)</f>
        <v>6.1196436666101786</v>
      </c>
      <c r="AA394" s="257">
        <f>altaz((J2000_Bas+(2*0.04167)),$O394,$M394,DecLat,DecLong,1)</f>
        <v>26.722717315310863</v>
      </c>
      <c r="AB394" s="257">
        <f>altaz((J2000_Bas+(4*0.04167)),$O394,$M394,DecLat,DecLong,1)</f>
        <v>49.42649926416059</v>
      </c>
      <c r="AC394" s="257">
        <f>altaz((J2000_Bas+(6*0.04167)),$O394,$M394,DecLat,DecLong,1)</f>
        <v>72.327445254604456</v>
      </c>
      <c r="AD394" s="258">
        <f>1+ transit((J2000_Bas-1),$O394,$M394,DecLat,DecLong)/360 + (GMTOffset/24) + (IF(DST="Y", 1, 0)/24)</f>
        <v>1.0911869878380414</v>
      </c>
      <c r="AE394" s="259">
        <f>DATE(2001,9,21)+(M394/360)*365 - (360*((DecLong/360)- (GMTOffset/24) ))</f>
        <v>37195.874768518515</v>
      </c>
      <c r="AF394" s="260">
        <f>IF(DecLat&gt;0,IF((90 - (DecLat-O394))&gt;90, (90 - (O394-DecLat)), (90 - (DecLat-O394))),IF((90 + (DecLat-O394))&gt;90, (90 + (O394-DecLat)), (90 + (DecLat-O394))))</f>
        <v>81.650000000000006</v>
      </c>
      <c r="AG394" s="257">
        <f>angularseperation(MoonRA,MoonDec,$M394,$O394)</f>
        <v>149.36322575655407</v>
      </c>
      <c r="AH394" s="261">
        <f ca="1">MIN(100,IF($O$5&gt;80,0+30*($AG394/100),IF($O$5&gt;70,0+50*($AG394/100),IF($O$5&gt;60,5+50*($AG394/100),IF($O$5&gt;50,10+60*($AG394/100),IF($O$5&gt;40,15+70*($AG394/100),IF($O$5&gt;30,20+70*($AG394/100),IF($O$5&gt;20,40+55*($AG394/100),(80+(20-$O$5)+30*($AG394/100))))))))))</f>
        <v>100</v>
      </c>
      <c r="AI394" s="262"/>
      <c r="AJ394" s="262"/>
      <c r="AK394" s="262"/>
      <c r="AL394" s="263"/>
      <c r="AM394" s="264"/>
      <c r="AN394" s="263">
        <v>273</v>
      </c>
      <c r="AO394" s="263"/>
      <c r="AP394" s="265"/>
      <c r="AQ394" s="266">
        <v>1810</v>
      </c>
      <c r="AR394" s="267">
        <v>8961</v>
      </c>
      <c r="AS394" s="263"/>
      <c r="AT394" s="263"/>
      <c r="AU394" s="263"/>
      <c r="AV394" s="264"/>
      <c r="AW394" s="263"/>
      <c r="AX394" s="263"/>
      <c r="AY394" s="263"/>
      <c r="AZ394" s="263"/>
      <c r="BA394" s="263"/>
      <c r="BB394" s="263"/>
      <c r="BC394" s="263"/>
      <c r="BD394" s="264"/>
      <c r="BE394" s="263"/>
      <c r="BF394" s="263"/>
      <c r="BG394" s="263"/>
      <c r="BH394" s="263">
        <v>5</v>
      </c>
      <c r="BI394" s="263"/>
      <c r="BJ394" s="404">
        <f>altaz(J2000_Bas,$O394,$M394,DecLat,DecLong,2)</f>
        <v>47.193196546335976</v>
      </c>
      <c r="BK394" s="378" t="s">
        <v>492</v>
      </c>
      <c r="BL394" s="379">
        <f>IF((2*G394)/60&lt;0.2,0.2,(2*G394)/60)</f>
        <v>0.2</v>
      </c>
      <c r="BM394" s="380">
        <f>MOD((50000+AD394-$B$3+(0/24)),1)</f>
        <v>0.30655391754407901</v>
      </c>
      <c r="BN394" s="381"/>
      <c r="BO394" s="382">
        <v>394</v>
      </c>
    </row>
    <row r="395" spans="1:67" s="24" customFormat="1" ht="15" customHeight="1" x14ac:dyDescent="0.25">
      <c r="A395" s="288" t="s">
        <v>493</v>
      </c>
      <c r="B395" s="241" t="str">
        <f>HYPERLINK(CONCATENATE($AT$3,BK395,$AU$3),$AV$3)</f>
        <v>S</v>
      </c>
      <c r="C395" s="242" t="str">
        <f>HYPERLINK(CONCATENATE($AT$4,BK395,$AU$4,BL395),$AV$4)</f>
        <v>A</v>
      </c>
      <c r="D395" s="243" t="s">
        <v>5638</v>
      </c>
      <c r="E395" s="244" t="s">
        <v>5178</v>
      </c>
      <c r="F395" s="269"/>
      <c r="G395" s="273">
        <v>1.2</v>
      </c>
      <c r="H395" s="283">
        <v>410</v>
      </c>
      <c r="I395" s="246">
        <v>140</v>
      </c>
      <c r="J395" s="246">
        <v>2</v>
      </c>
      <c r="K395" s="247" t="s">
        <v>4337</v>
      </c>
      <c r="L395" s="248">
        <v>143508</v>
      </c>
      <c r="M395" s="249">
        <f>15*(LEFT(TEXT($L395,"000000"),2)+(MID(TEXT($L395,"000000"),3,2)/60)+(RIGHT(TEXT($L395,"000000"),2)/3600))</f>
        <v>218.78333333333336</v>
      </c>
      <c r="N395" s="250">
        <v>52100</v>
      </c>
      <c r="O395" s="251">
        <f>IF($N395&gt;0,(LEFT(TEXT($N395,"000000"),2)+(MID(TEXT($N395,"000000"),3,2)/60)+(RIGHT(TEXT($N395,"000000"),2)/3600)),-(MID(TEXT($N395,"000000"),2,2)+(MID(TEXT($N395,"000000"),4,2)/60)+(RIGHT(TEXT($N395,"000000"),2)/3600)))</f>
        <v>5.35</v>
      </c>
      <c r="P395" s="252" t="s">
        <v>61</v>
      </c>
      <c r="Q395" s="253"/>
      <c r="R395" s="247" t="s">
        <v>3625</v>
      </c>
      <c r="S395" s="272" t="s">
        <v>3293</v>
      </c>
      <c r="T395" s="273">
        <v>13</v>
      </c>
      <c r="U395" s="289">
        <v>21.490000000000002</v>
      </c>
      <c r="V395" s="280"/>
      <c r="W395" s="244"/>
      <c r="X395" s="244"/>
      <c r="Y395" s="362"/>
      <c r="Z395" s="257">
        <f>altaz(J2000_Bas,$O395,$M395,DecLat,DecLong,1)</f>
        <v>22.23929086312544</v>
      </c>
      <c r="AA395" s="257">
        <f>altaz((J2000_Bas+(2*0.04167)),$O395,$M395,DecLat,DecLong,1)</f>
        <v>-3.4671334989522107</v>
      </c>
      <c r="AB395" s="257">
        <f>altaz((J2000_Bas+(4*0.04167)),$O395,$M395,DecLat,DecLong,1)</f>
        <v>-28.046977636297012</v>
      </c>
      <c r="AC395" s="257">
        <f>altaz((J2000_Bas+(6*0.04167)),$O395,$M395,DecLat,DecLong,1)</f>
        <v>-47.756396957555573</v>
      </c>
      <c r="AD395" s="258">
        <f>1+ transit((J2000_Bas-1),$O395,$M395,DecLat,DecLong)/360 + (GMTOffset/24) + (IF(DST="Y", 1, 0)/24)</f>
        <v>1.6006313813380415</v>
      </c>
      <c r="AE395" s="259">
        <f>DATE(2001,9,21)+(M395/360)*365 - (360*((DecLong/360)- (GMTOffset/24) ))</f>
        <v>37381.82199074074</v>
      </c>
      <c r="AF395" s="260">
        <f>IF(DecLat&gt;0,IF((90 - (DecLat-O395))&gt;90, (90 - (O395-DecLat)), (90 - (DecLat-O395))),IF((90 + (DecLat-O395))&gt;90, (90 + (O395-DecLat)), (90 + (DecLat-O395))))</f>
        <v>64.349999999999994</v>
      </c>
      <c r="AG395" s="257">
        <f>angularseperation(MoonRA,MoonDec,$M395,$O395)</f>
        <v>43.807163154147297</v>
      </c>
      <c r="AH395" s="261">
        <f ca="1">MIN(100,IF($O$5&gt;80,0+30*($AG395/100),IF($O$5&gt;70,0+50*($AG395/100),IF($O$5&gt;60,5+50*($AG395/100),IF($O$5&gt;50,10+60*($AG395/100),IF($O$5&gt;40,15+70*($AG395/100),IF($O$5&gt;30,20+70*($AG395/100),IF($O$5&gt;20,40+55*($AG395/100),(80+(20-$O$5)+30*($AG395/100))))))))))</f>
        <v>96.413209290394619</v>
      </c>
      <c r="AI395" s="262">
        <v>5679</v>
      </c>
      <c r="AJ395" s="262"/>
      <c r="AK395" s="262"/>
      <c r="AL395" s="263"/>
      <c r="AM395" s="264"/>
      <c r="AN395" s="263">
        <v>274</v>
      </c>
      <c r="AO395" s="263"/>
      <c r="AP395" s="265"/>
      <c r="AQ395" s="266"/>
      <c r="AR395" s="267">
        <v>52132</v>
      </c>
      <c r="AS395" s="263"/>
      <c r="AT395" s="263"/>
      <c r="AU395" s="263"/>
      <c r="AV395" s="264"/>
      <c r="AW395" s="263"/>
      <c r="AX395" s="263"/>
      <c r="AY395" s="263"/>
      <c r="AZ395" s="263"/>
      <c r="BA395" s="263"/>
      <c r="BB395" s="263"/>
      <c r="BC395" s="263"/>
      <c r="BD395" s="264"/>
      <c r="BE395" s="263"/>
      <c r="BF395" s="263"/>
      <c r="BG395" s="263"/>
      <c r="BH395" s="263"/>
      <c r="BI395" s="263"/>
      <c r="BJ395" s="404">
        <f>altaz(J2000_Bas,$O395,$M395,DecLat,DecLong,2)</f>
        <v>262.63619349576436</v>
      </c>
      <c r="BK395" s="378" t="s">
        <v>493</v>
      </c>
      <c r="BL395" s="379">
        <f>IF((2*G395)/60&lt;0.2,0.2,(2*G395)/60)</f>
        <v>0.2</v>
      </c>
      <c r="BM395" s="380">
        <f>MOD((50000+AD395-$B$3+(0/24)),1)</f>
        <v>0.81599831104540499</v>
      </c>
      <c r="BN395" s="381"/>
      <c r="BO395" s="382">
        <v>395</v>
      </c>
    </row>
    <row r="396" spans="1:67" s="24" customFormat="1" ht="15" customHeight="1" x14ac:dyDescent="0.25">
      <c r="A396" s="288" t="s">
        <v>494</v>
      </c>
      <c r="B396" s="241" t="str">
        <f>HYPERLINK(CONCATENATE($AT$3,BK396,$AU$3),$AV$3)</f>
        <v>S</v>
      </c>
      <c r="C396" s="242" t="str">
        <f>HYPERLINK(CONCATENATE($AT$4,BK396,$AU$4,BL396),$AV$4)</f>
        <v>A</v>
      </c>
      <c r="D396" s="243" t="s">
        <v>5638</v>
      </c>
      <c r="E396" s="244" t="s">
        <v>5178</v>
      </c>
      <c r="F396" s="269"/>
      <c r="G396" s="270">
        <v>0.7</v>
      </c>
      <c r="H396" s="283">
        <v>240</v>
      </c>
      <c r="I396" s="246">
        <v>50</v>
      </c>
      <c r="J396" s="246">
        <v>2</v>
      </c>
      <c r="K396" s="247" t="s">
        <v>4338</v>
      </c>
      <c r="L396" s="248">
        <v>92554</v>
      </c>
      <c r="M396" s="249">
        <f>15*(LEFT(TEXT($L396,"000000"),2)+(MID(TEXT($L396,"000000"),3,2)/60)+(RIGHT(TEXT($L396,"000000"),2)/3600))</f>
        <v>141.47499999999999</v>
      </c>
      <c r="N396" s="250">
        <v>-120000</v>
      </c>
      <c r="O396" s="251">
        <f>IF($N396&gt;0,(LEFT(TEXT($N396,"000000"),2)+(MID(TEXT($N396,"000000"),3,2)/60)+(RIGHT(TEXT($N396,"000000"),2)/3600)),-(MID(TEXT($N396,"000000"),2,2)+(MID(TEXT($N396,"000000"),4,2)/60)+(RIGHT(TEXT($N396,"000000"),2)/3600)))</f>
        <v>-12</v>
      </c>
      <c r="P396" s="252" t="s">
        <v>103</v>
      </c>
      <c r="Q396" s="253"/>
      <c r="R396" s="247" t="s">
        <v>3528</v>
      </c>
      <c r="S396" s="272" t="s">
        <v>3293</v>
      </c>
      <c r="T396" s="273">
        <v>14</v>
      </c>
      <c r="U396" s="289">
        <v>21.79</v>
      </c>
      <c r="V396" s="280"/>
      <c r="W396" s="244"/>
      <c r="X396" s="244"/>
      <c r="Y396" s="362"/>
      <c r="Z396" s="257">
        <f>altaz(J2000_Bas,$O396,$M396,DecLat,DecLong,1)</f>
        <v>-52.176260272787964</v>
      </c>
      <c r="AA396" s="257">
        <f>altaz((J2000_Bas+(2*0.04167)),$O396,$M396,DecLat,DecLong,1)</f>
        <v>-70.358512630051052</v>
      </c>
      <c r="AB396" s="257">
        <f>altaz((J2000_Bas+(4*0.04167)),$O396,$M396,DecLat,DecLong,1)</f>
        <v>-60.322800841572317</v>
      </c>
      <c r="AC396" s="257">
        <f>altaz((J2000_Bas+(6*0.04167)),$O396,$M396,DecLat,DecLong,1)</f>
        <v>-36.200179865536604</v>
      </c>
      <c r="AD396" s="258">
        <f>1+ transit((J2000_Bas-1),$O396,$M396,DecLat,DecLong)/360 + (GMTOffset/24) + (IF(DST="Y", 1, 0)/24)</f>
        <v>1.385886032442208</v>
      </c>
      <c r="AE396" s="259">
        <f>DATE(2001,9,21)+(M396/360)*365 - (360*((DecLong/360)- (GMTOffset/24) ))</f>
        <v>37303.439930555556</v>
      </c>
      <c r="AF396" s="260">
        <f>IF(DecLat&gt;0,IF((90 - (DecLat-O396))&gt;90, (90 - (O396-DecLat)), (90 - (DecLat-O396))),IF((90 + (DecLat-O396))&gt;90, (90 + (O396-DecLat)), (90 + (DecLat-O396))))</f>
        <v>47</v>
      </c>
      <c r="AG396" s="257">
        <f>angularseperation(MoonRA,MoonDec,$M396,$O396)</f>
        <v>99.850867636029818</v>
      </c>
      <c r="AH396" s="261">
        <f ca="1">MIN(100,IF($O$5&gt;80,0+30*($AG396/100),IF($O$5&gt;70,0+50*($AG396/100),IF($O$5&gt;60,5+50*($AG396/100),IF($O$5&gt;50,10+60*($AG396/100),IF($O$5&gt;40,15+70*($AG396/100),IF($O$5&gt;30,20+70*($AG396/100),IF($O$5&gt;20,40+55*($AG396/100),(80+(20-$O$5)+30*($AG396/100))))))))))</f>
        <v>100</v>
      </c>
      <c r="AI396" s="262">
        <v>2881</v>
      </c>
      <c r="AJ396" s="262"/>
      <c r="AK396" s="262"/>
      <c r="AL396" s="263"/>
      <c r="AM396" s="264"/>
      <c r="AN396" s="263">
        <v>275</v>
      </c>
      <c r="AO396" s="263"/>
      <c r="AP396" s="265"/>
      <c r="AQ396" s="266"/>
      <c r="AR396" s="267">
        <v>26747</v>
      </c>
      <c r="AS396" s="263"/>
      <c r="AT396" s="263"/>
      <c r="AU396" s="263"/>
      <c r="AV396" s="264"/>
      <c r="AW396" s="263"/>
      <c r="AX396" s="263"/>
      <c r="AY396" s="263"/>
      <c r="AZ396" s="263"/>
      <c r="BA396" s="263"/>
      <c r="BB396" s="263"/>
      <c r="BC396" s="263"/>
      <c r="BD396" s="264"/>
      <c r="BE396" s="263"/>
      <c r="BF396" s="263"/>
      <c r="BG396" s="263"/>
      <c r="BH396" s="263"/>
      <c r="BI396" s="263"/>
      <c r="BJ396" s="404">
        <f>altaz(J2000_Bas,$O396,$M396,DecLat,DecLong,2)</f>
        <v>292.23620344479127</v>
      </c>
      <c r="BK396" s="378" t="s">
        <v>494</v>
      </c>
      <c r="BL396" s="379">
        <f>IF((2*G396)/60&lt;0.2,0.2,(2*G396)/60)</f>
        <v>0.2</v>
      </c>
      <c r="BM396" s="380">
        <f>MOD((50000+AD396-$B$3+(0/24)),1)</f>
        <v>0.6012529621439171</v>
      </c>
      <c r="BN396" s="381"/>
      <c r="BO396" s="382">
        <v>396</v>
      </c>
    </row>
    <row r="397" spans="1:67" s="24" customFormat="1" ht="15" customHeight="1" x14ac:dyDescent="0.25">
      <c r="A397" s="288" t="s">
        <v>495</v>
      </c>
      <c r="B397" s="241" t="str">
        <f>HYPERLINK(CONCATENATE($AT$3,BK397,$AU$3),$AV$3)</f>
        <v>S</v>
      </c>
      <c r="C397" s="242" t="str">
        <f>HYPERLINK(CONCATENATE($AT$4,BK397,$AU$4,BL397),$AV$4)</f>
        <v>A</v>
      </c>
      <c r="D397" s="243" t="s">
        <v>5638</v>
      </c>
      <c r="E397" s="244" t="s">
        <v>5178</v>
      </c>
      <c r="F397" s="269"/>
      <c r="G397" s="273">
        <v>1.8</v>
      </c>
      <c r="H397" s="283">
        <v>180</v>
      </c>
      <c r="I397" s="246">
        <v>100</v>
      </c>
      <c r="J397" s="246">
        <v>2</v>
      </c>
      <c r="K397" s="247" t="s">
        <v>4339</v>
      </c>
      <c r="L397" s="248">
        <v>22810</v>
      </c>
      <c r="M397" s="249">
        <f>15*(LEFT(TEXT($L397,"000000"),2)+(MID(TEXT($L397,"000000"),3,2)/60)+(RIGHT(TEXT($L397,"000000"),2)/3600))</f>
        <v>37.041666666666671</v>
      </c>
      <c r="N397" s="250">
        <v>193500</v>
      </c>
      <c r="O397" s="251">
        <f>IF($N397&gt;0,(LEFT(TEXT($N397,"000000"),2)+(MID(TEXT($N397,"000000"),3,2)/60)+(RIGHT(TEXT($N397,"000000"),2)/3600)),-(MID(TEXT($N397,"000000"),2,2)+(MID(TEXT($N397,"000000"),4,2)/60)+(RIGHT(TEXT($N397,"000000"),2)/3600)))</f>
        <v>19.583333333333332</v>
      </c>
      <c r="P397" s="252" t="s">
        <v>249</v>
      </c>
      <c r="Q397" s="253"/>
      <c r="R397" s="247" t="s">
        <v>3474</v>
      </c>
      <c r="S397" s="272" t="s">
        <v>3293</v>
      </c>
      <c r="T397" s="273">
        <v>12.9</v>
      </c>
      <c r="U397" s="289">
        <v>22.39</v>
      </c>
      <c r="V397" s="280"/>
      <c r="W397" s="244"/>
      <c r="X397" s="244"/>
      <c r="Y397" s="362"/>
      <c r="Z397" s="257">
        <f>altaz(J2000_Bas,$O397,$M397,DecLat,DecLong,1)</f>
        <v>-6.7361214979086048</v>
      </c>
      <c r="AA397" s="257">
        <f>altaz((J2000_Bas+(2*0.04167)),$O397,$M397,DecLat,DecLong,1)</f>
        <v>17.433379944032314</v>
      </c>
      <c r="AB397" s="257">
        <f>altaz((J2000_Bas+(4*0.04167)),$O397,$M397,DecLat,DecLong,1)</f>
        <v>43.022206782181556</v>
      </c>
      <c r="AC397" s="257">
        <f>altaz((J2000_Bas+(6*0.04167)),$O397,$M397,DecLat,DecLong,1)</f>
        <v>68.071848241278857</v>
      </c>
      <c r="AD397" s="258">
        <f>1+ transit((J2000_Bas-1),$O397,$M397,DecLat,DecLong)/360 + (GMTOffset/24) + (IF(DST="Y", 1, 0)/24)</f>
        <v>1.0957934688588746</v>
      </c>
      <c r="AE397" s="259">
        <f>DATE(2001,9,21)+(M397/360)*365 - (360*((DecLong/360)- (GMTOffset/24) ))</f>
        <v>37197.556134259263</v>
      </c>
      <c r="AF397" s="260">
        <f>IF(DecLat&gt;0,IF((90 - (DecLat-O397))&gt;90, (90 - (O397-DecLat)), (90 - (DecLat-O397))),IF((90 + (DecLat-O397))&gt;90, (90 + (O397-DecLat)), (90 + (DecLat-O397))))</f>
        <v>78.583333333333329</v>
      </c>
      <c r="AG397" s="257">
        <f>angularseperation(MoonRA,MoonDec,$M397,$O397)</f>
        <v>149.58965232898279</v>
      </c>
      <c r="AH397" s="261">
        <f ca="1">MIN(100,IF($O$5&gt;80,0+30*($AG397/100),IF($O$5&gt;70,0+50*($AG397/100),IF($O$5&gt;60,5+50*($AG397/100),IF($O$5&gt;50,10+60*($AG397/100),IF($O$5&gt;40,15+70*($AG397/100),IF($O$5&gt;30,20+70*($AG397/100),IF($O$5&gt;20,40+55*($AG397/100),(80+(20-$O$5)+30*($AG397/100))))))))))</f>
        <v>100</v>
      </c>
      <c r="AI397" s="262">
        <v>935</v>
      </c>
      <c r="AJ397" s="262"/>
      <c r="AK397" s="262"/>
      <c r="AL397" s="263"/>
      <c r="AM397" s="264"/>
      <c r="AN397" s="263">
        <v>276</v>
      </c>
      <c r="AO397" s="263"/>
      <c r="AP397" s="265"/>
      <c r="AQ397" s="266">
        <v>1937</v>
      </c>
      <c r="AR397" s="267">
        <v>9388</v>
      </c>
      <c r="AS397" s="263"/>
      <c r="AT397" s="263"/>
      <c r="AU397" s="263"/>
      <c r="AV397" s="264"/>
      <c r="AW397" s="263"/>
      <c r="AX397" s="263"/>
      <c r="AY397" s="263"/>
      <c r="AZ397" s="263"/>
      <c r="BA397" s="263"/>
      <c r="BB397" s="263"/>
      <c r="BC397" s="263"/>
      <c r="BD397" s="264"/>
      <c r="BE397" s="263"/>
      <c r="BF397" s="263"/>
      <c r="BG397" s="263"/>
      <c r="BH397" s="263"/>
      <c r="BI397" s="263"/>
      <c r="BJ397" s="404">
        <f>altaz(J2000_Bas,$O397,$M397,DecLat,DecLong,2)</f>
        <v>62.308134924478871</v>
      </c>
      <c r="BK397" s="378" t="s">
        <v>495</v>
      </c>
      <c r="BL397" s="379">
        <f>IF((2*G397)/60&lt;0.2,0.2,(2*G397)/60)</f>
        <v>0.2</v>
      </c>
      <c r="BM397" s="380">
        <f>MOD((50000+AD397-$B$3+(0/24)),1)</f>
        <v>0.31116039855987765</v>
      </c>
      <c r="BN397" s="381"/>
      <c r="BO397" s="382">
        <v>397</v>
      </c>
    </row>
    <row r="398" spans="1:67" s="24" customFormat="1" ht="15" customHeight="1" x14ac:dyDescent="0.25">
      <c r="A398" s="288" t="s">
        <v>496</v>
      </c>
      <c r="B398" s="241" t="str">
        <f>HYPERLINK(CONCATENATE($AT$3,BK398,$AU$3),$AV$3)</f>
        <v>S</v>
      </c>
      <c r="C398" s="242" t="str">
        <f>HYPERLINK(CONCATENATE($AT$4,BK398,$AU$4,BL398),$AV$4)</f>
        <v>A</v>
      </c>
      <c r="D398" s="243" t="s">
        <v>5638</v>
      </c>
      <c r="E398" s="244" t="s">
        <v>5337</v>
      </c>
      <c r="F398" s="269" t="s">
        <v>3310</v>
      </c>
      <c r="G398" s="273">
        <v>1.8</v>
      </c>
      <c r="H398" s="283">
        <v>45</v>
      </c>
      <c r="I398" s="246">
        <v>25</v>
      </c>
      <c r="J398" s="246">
        <v>2</v>
      </c>
      <c r="K398" s="247" t="s">
        <v>4340</v>
      </c>
      <c r="L398" s="248">
        <v>125450</v>
      </c>
      <c r="M398" s="249">
        <f>15*(LEFT(TEXT($L398,"000000"),2)+(MID(TEXT($L398,"000000"),3,2)/60)+(RIGHT(TEXT($L398,"000000"),2)/3600))</f>
        <v>193.70833333333334</v>
      </c>
      <c r="N398" s="250">
        <v>23900</v>
      </c>
      <c r="O398" s="251">
        <f>IF($N398&gt;0,(LEFT(TEXT($N398,"000000"),2)+(MID(TEXT($N398,"000000"),3,2)/60)+(RIGHT(TEXT($N398,"000000"),2)/3600)),-(MID(TEXT($N398,"000000"),2,2)+(MID(TEXT($N398,"000000"),4,2)/60)+(RIGHT(TEXT($N398,"000000"),2)/3600)))</f>
        <v>2.65</v>
      </c>
      <c r="P398" s="252" t="s">
        <v>61</v>
      </c>
      <c r="Q398" s="253"/>
      <c r="R398" s="247" t="s">
        <v>3602</v>
      </c>
      <c r="S398" s="272" t="s">
        <v>3293</v>
      </c>
      <c r="T398" s="273">
        <v>13.8</v>
      </c>
      <c r="U398" s="289">
        <v>22.69</v>
      </c>
      <c r="V398" s="280"/>
      <c r="W398" s="244"/>
      <c r="X398" s="244"/>
      <c r="Y398" s="362"/>
      <c r="Z398" s="257">
        <f>altaz(J2000_Bas,$O398,$M398,DecLat,DecLong,1)</f>
        <v>-0.59961206199797945</v>
      </c>
      <c r="AA398" s="257">
        <f>altaz((J2000_Bas+(2*0.04167)),$O398,$M398,DecLat,DecLong,1)</f>
        <v>-25.767626709073415</v>
      </c>
      <c r="AB398" s="257">
        <f>altaz((J2000_Bas+(4*0.04167)),$O398,$M398,DecLat,DecLong,1)</f>
        <v>-47.344248537266907</v>
      </c>
      <c r="AC398" s="257">
        <f>altaz((J2000_Bas+(6*0.04167)),$O398,$M398,DecLat,DecLong,1)</f>
        <v>-56.262572044396435</v>
      </c>
      <c r="AD398" s="258">
        <f>1+ transit((J2000_Bas-1),$O398,$M398,DecLat,DecLong)/360 + (GMTOffset/24) + (IF(DST="Y", 1, 0)/24)</f>
        <v>1.5309786105255414</v>
      </c>
      <c r="AE398" s="259">
        <f>DATE(2001,9,21)+(M398/360)*365 - (360*((DecLong/360)- (GMTOffset/24) ))</f>
        <v>37356.398726851854</v>
      </c>
      <c r="AF398" s="260">
        <f>IF(DecLat&gt;0,IF((90 - (DecLat-O398))&gt;90, (90 - (O398-DecLat)), (90 - (DecLat-O398))),IF((90 + (DecLat-O398))&gt;90, (90 + (O398-DecLat)), (90 + (DecLat-O398))))</f>
        <v>61.65</v>
      </c>
      <c r="AG398" s="257">
        <f>angularseperation(MoonRA,MoonDec,$M398,$O398)</f>
        <v>61.16596162998524</v>
      </c>
      <c r="AH398" s="261">
        <f ca="1">MIN(100,IF($O$5&gt;80,0+30*($AG398/100),IF($O$5&gt;70,0+50*($AG398/100),IF($O$5&gt;60,5+50*($AG398/100),IF($O$5&gt;50,10+60*($AG398/100),IF($O$5&gt;40,15+70*($AG398/100),IF($O$5&gt;30,20+70*($AG398/100),IF($O$5&gt;20,40+55*($AG398/100),(80+(20-$O$5)+30*($AG398/100))))))))))</f>
        <v>100</v>
      </c>
      <c r="AI398" s="262">
        <v>4809</v>
      </c>
      <c r="AJ398" s="262"/>
      <c r="AK398" s="262"/>
      <c r="AL398" s="263"/>
      <c r="AM398" s="264"/>
      <c r="AN398" s="263">
        <v>277</v>
      </c>
      <c r="AO398" s="263"/>
      <c r="AP398" s="265"/>
      <c r="AQ398" s="266">
        <v>8034</v>
      </c>
      <c r="AR398" s="267">
        <v>43969</v>
      </c>
      <c r="AS398" s="263"/>
      <c r="AT398" s="263"/>
      <c r="AU398" s="263"/>
      <c r="AV398" s="264"/>
      <c r="AW398" s="263"/>
      <c r="AX398" s="263"/>
      <c r="AY398" s="263"/>
      <c r="AZ398" s="263"/>
      <c r="BA398" s="263"/>
      <c r="BB398" s="263"/>
      <c r="BC398" s="263"/>
      <c r="BD398" s="264"/>
      <c r="BE398" s="263"/>
      <c r="BF398" s="263"/>
      <c r="BG398" s="263"/>
      <c r="BH398" s="263"/>
      <c r="BI398" s="263"/>
      <c r="BJ398" s="404">
        <f>altaz(J2000_Bas,$O398,$M398,DecLat,DecLong,2)</f>
        <v>273.4530319576391</v>
      </c>
      <c r="BK398" s="378" t="s">
        <v>496</v>
      </c>
      <c r="BL398" s="379">
        <f>IF((2*G398)/60&lt;0.2,0.2,(2*G398)/60)</f>
        <v>0.2</v>
      </c>
      <c r="BM398" s="380">
        <f>MOD((50000+AD398-$B$3+(0/24)),1)</f>
        <v>0.7463455402321415</v>
      </c>
      <c r="BN398" s="381"/>
      <c r="BO398" s="382">
        <v>398</v>
      </c>
    </row>
    <row r="399" spans="1:67" s="24" customFormat="1" ht="15" customHeight="1" x14ac:dyDescent="0.25">
      <c r="A399" s="288" t="s">
        <v>497</v>
      </c>
      <c r="B399" s="241" t="str">
        <f>HYPERLINK(CONCATENATE($AT$3,BK399,$AU$3),$AV$3)</f>
        <v>S</v>
      </c>
      <c r="C399" s="242" t="str">
        <f>HYPERLINK(CONCATENATE($AT$4,BK399,$AU$4,BL399),$AV$4)</f>
        <v>A</v>
      </c>
      <c r="D399" s="243" t="s">
        <v>5638</v>
      </c>
      <c r="E399" s="244" t="s">
        <v>5337</v>
      </c>
      <c r="F399" s="269" t="s">
        <v>3310</v>
      </c>
      <c r="G399" s="273">
        <v>1.7</v>
      </c>
      <c r="H399" s="283">
        <v>209.86856999999998</v>
      </c>
      <c r="I399" s="246">
        <v>100</v>
      </c>
      <c r="J399" s="246">
        <v>3</v>
      </c>
      <c r="K399" s="247" t="s">
        <v>4341</v>
      </c>
      <c r="L399" s="248">
        <v>221926</v>
      </c>
      <c r="M399" s="249">
        <f>15*(LEFT(TEXT($L399,"000000"),2)+(MID(TEXT($L399,"000000"),3,2)/60)+(RIGHT(TEXT($L399,"000000"),2)/3600))</f>
        <v>334.85833333333335</v>
      </c>
      <c r="N399" s="250">
        <v>292300</v>
      </c>
      <c r="O399" s="251">
        <f>IF($N399&gt;0,(LEFT(TEXT($N399,"000000"),2)+(MID(TEXT($N399,"000000"),3,2)/60)+(RIGHT(TEXT($N399,"000000"),2)/3600)),-(MID(TEXT($N399,"000000"),2,2)+(MID(TEXT($N399,"000000"),4,2)/60)+(RIGHT(TEXT($N399,"000000"),2)/3600)))</f>
        <v>29.383333333333333</v>
      </c>
      <c r="P399" s="252" t="s">
        <v>39</v>
      </c>
      <c r="Q399" s="253"/>
      <c r="R399" s="247" t="s">
        <v>3690</v>
      </c>
      <c r="S399" s="272" t="s">
        <v>3293</v>
      </c>
      <c r="T399" s="273">
        <v>13.2</v>
      </c>
      <c r="U399" s="289">
        <v>22.29</v>
      </c>
      <c r="V399" s="280"/>
      <c r="W399" s="244"/>
      <c r="X399" s="244"/>
      <c r="Y399" s="362"/>
      <c r="Z399" s="257">
        <f>altaz(J2000_Bas,$O399,$M399,DecLat,DecLong,1)</f>
        <v>48.084516680332257</v>
      </c>
      <c r="AA399" s="257">
        <f>altaz((J2000_Bas+(2*0.04167)),$O399,$M399,DecLat,DecLong,1)</f>
        <v>73.714323659161963</v>
      </c>
      <c r="AB399" s="257">
        <f>altaz((J2000_Bas+(4*0.04167)),$O399,$M399,DecLat,DecLong,1)</f>
        <v>80.093185496567969</v>
      </c>
      <c r="AC399" s="257">
        <f>altaz((J2000_Bas+(6*0.04167)),$O399,$M399,DecLat,DecLong,1)</f>
        <v>54.38793904994786</v>
      </c>
      <c r="AD399" s="258">
        <f>1+ transit((J2000_Bas-1),$O399,$M399,DecLat,DecLong)/360 + (GMTOffset/24) + (IF(DST="Y", 1, 0)/24)</f>
        <v>1.9230619046505415</v>
      </c>
      <c r="AE399" s="259">
        <f>DATE(2001,9,21)+(M399/360)*365 - (360*((DecLong/360)- (GMTOffset/24) ))</f>
        <v>37499.509143518517</v>
      </c>
      <c r="AF399" s="260">
        <f>IF(DecLat&gt;0,IF((90 - (DecLat-O399))&gt;90, (90 - (O399-DecLat)), (90 - (DecLat-O399))),IF((90 + (DecLat-O399))&gt;90, (90 + (O399-DecLat)), (90 + (DecLat-O399))))</f>
        <v>88.383333333333326</v>
      </c>
      <c r="AG399" s="257">
        <f>angularseperation(MoonRA,MoonDec,$M399,$O399)</f>
        <v>99.444654897516841</v>
      </c>
      <c r="AH399" s="261">
        <f ca="1">MIN(100,IF($O$5&gt;80,0+30*($AG399/100),IF($O$5&gt;70,0+50*($AG399/100),IF($O$5&gt;60,5+50*($AG399/100),IF($O$5&gt;50,10+60*($AG399/100),IF($O$5&gt;40,15+70*($AG399/100),IF($O$5&gt;30,20+70*($AG399/100),IF($O$5&gt;20,40+55*($AG399/100),(80+(20-$O$5)+30*($AG399/100))))))))))</f>
        <v>100</v>
      </c>
      <c r="AI399" s="262">
        <v>7253</v>
      </c>
      <c r="AJ399" s="262"/>
      <c r="AK399" s="262"/>
      <c r="AL399" s="263"/>
      <c r="AM399" s="264"/>
      <c r="AN399" s="263">
        <v>278</v>
      </c>
      <c r="AO399" s="263"/>
      <c r="AP399" s="265"/>
      <c r="AQ399" s="266">
        <v>11984</v>
      </c>
      <c r="AR399" s="267">
        <v>68572</v>
      </c>
      <c r="AS399" s="263"/>
      <c r="AT399" s="263"/>
      <c r="AU399" s="263"/>
      <c r="AV399" s="264"/>
      <c r="AW399" s="263"/>
      <c r="AX399" s="263"/>
      <c r="AY399" s="263"/>
      <c r="AZ399" s="263"/>
      <c r="BA399" s="263"/>
      <c r="BB399" s="263"/>
      <c r="BC399" s="263"/>
      <c r="BD399" s="264"/>
      <c r="BE399" s="263"/>
      <c r="BF399" s="263"/>
      <c r="BG399" s="263"/>
      <c r="BH399" s="263"/>
      <c r="BI399" s="263"/>
      <c r="BJ399" s="404">
        <f>altaz(J2000_Bas,$O399,$M399,DecLat,DecLong,2)</f>
        <v>79.190136327388217</v>
      </c>
      <c r="BK399" s="378" t="s">
        <v>497</v>
      </c>
      <c r="BL399" s="379">
        <f>IF((2*G399)/60&lt;0.2,0.2,(2*G399)/60)</f>
        <v>0.2</v>
      </c>
      <c r="BM399" s="380">
        <f>MOD((50000+AD399-$B$3+(0/24)),1)</f>
        <v>0.13842883435427211</v>
      </c>
      <c r="BN399" s="381"/>
      <c r="BO399" s="382">
        <v>399</v>
      </c>
    </row>
    <row r="400" spans="1:67" s="24" customFormat="1" ht="15" customHeight="1" x14ac:dyDescent="0.25">
      <c r="A400" s="288" t="s">
        <v>498</v>
      </c>
      <c r="B400" s="241" t="str">
        <f>HYPERLINK(CONCATENATE($AT$3,BK400,$AU$3),$AV$3)</f>
        <v>S</v>
      </c>
      <c r="C400" s="242" t="str">
        <f>HYPERLINK(CONCATENATE($AT$4,BK400,$AU$4,BL400),$AV$4)</f>
        <v>A</v>
      </c>
      <c r="D400" s="243" t="s">
        <v>5638</v>
      </c>
      <c r="E400" s="244" t="s">
        <v>5178</v>
      </c>
      <c r="F400" s="269"/>
      <c r="G400" s="273">
        <v>5.8</v>
      </c>
      <c r="H400" s="283">
        <v>70</v>
      </c>
      <c r="I400" s="246">
        <v>120</v>
      </c>
      <c r="J400" s="246">
        <v>2</v>
      </c>
      <c r="K400" s="247" t="s">
        <v>4342</v>
      </c>
      <c r="L400" s="248">
        <v>31423</v>
      </c>
      <c r="M400" s="249">
        <f>15*(LEFT(TEXT($L400,"000000"),2)+(MID(TEXT($L400,"000000"),3,2)/60)+(RIGHT(TEXT($L400,"000000"),2)/3600))</f>
        <v>48.595833333333339</v>
      </c>
      <c r="N400" s="250">
        <v>-24800</v>
      </c>
      <c r="O400" s="251">
        <f>IF($N400&gt;0,(LEFT(TEXT($N400,"000000"),2)+(MID(TEXT($N400,"000000"),3,2)/60)+(RIGHT(TEXT($N400,"000000"),2)/3600)),-(MID(TEXT($N400,"000000"),2,2)+(MID(TEXT($N400,"000000"),4,2)/60)+(RIGHT(TEXT($N400,"000000"),2)/3600)))</f>
        <v>-2.8</v>
      </c>
      <c r="P400" s="252" t="s">
        <v>257</v>
      </c>
      <c r="Q400" s="253"/>
      <c r="R400" s="247" t="s">
        <v>3482</v>
      </c>
      <c r="S400" s="272" t="s">
        <v>3293</v>
      </c>
      <c r="T400" s="273">
        <v>11.7</v>
      </c>
      <c r="U400" s="289">
        <v>23.19</v>
      </c>
      <c r="V400" s="280"/>
      <c r="W400" s="244"/>
      <c r="X400" s="244"/>
      <c r="Y400" s="362"/>
      <c r="Z400" s="257">
        <f>altaz(J2000_Bas,$O400,$M400,DecLat,DecLong,1)</f>
        <v>-29.100258409063841</v>
      </c>
      <c r="AA400" s="257">
        <f>altaz((J2000_Bas+(2*0.04167)),$O400,$M400,DecLat,DecLong,1)</f>
        <v>-3.5909732317042766</v>
      </c>
      <c r="AB400" s="257">
        <f>altaz((J2000_Bas+(4*0.04167)),$O400,$M400,DecLat,DecLong,1)</f>
        <v>21.78774255741849</v>
      </c>
      <c r="AC400" s="257">
        <f>altaz((J2000_Bas+(6*0.04167)),$O400,$M400,DecLat,DecLong,1)</f>
        <v>44.281980159439421</v>
      </c>
      <c r="AD400" s="258">
        <f>1+ transit((J2000_Bas-1),$O400,$M400,DecLat,DecLong)/360 + (GMTOffset/24) + (IF(DST="Y", 1, 0)/24)</f>
        <v>1.1278883730567915</v>
      </c>
      <c r="AE400" s="259">
        <f>DATE(2001,9,21)+(M400/360)*365 - (360*((DecLong/360)- (GMTOffset/24) ))</f>
        <v>37209.270775462966</v>
      </c>
      <c r="AF400" s="260">
        <f>IF(DecLat&gt;0,IF((90 - (DecLat-O400))&gt;90, (90 - (O400-DecLat)), (90 - (DecLat-O400))),IF((90 + (DecLat-O400))&gt;90, (90 + (O400-DecLat)), (90 + (DecLat-O400))))</f>
        <v>56.2</v>
      </c>
      <c r="AG400" s="257">
        <f>angularseperation(MoonRA,MoonDec,$M400,$O400)</f>
        <v>144.08835723305071</v>
      </c>
      <c r="AH400" s="261">
        <f ca="1">MIN(100,IF($O$5&gt;80,0+30*($AG400/100),IF($O$5&gt;70,0+50*($AG400/100),IF($O$5&gt;60,5+50*($AG400/100),IF($O$5&gt;50,10+60*($AG400/100),IF($O$5&gt;40,15+70*($AG400/100),IF($O$5&gt;30,20+70*($AG400/100),IF($O$5&gt;20,40+55*($AG400/100),(80+(20-$O$5)+30*($AG400/100))))))))))</f>
        <v>100</v>
      </c>
      <c r="AI400" s="262">
        <v>1253</v>
      </c>
      <c r="AJ400" s="262"/>
      <c r="AK400" s="262"/>
      <c r="AL400" s="263"/>
      <c r="AM400" s="264"/>
      <c r="AN400" s="263">
        <v>279</v>
      </c>
      <c r="AO400" s="263"/>
      <c r="AP400" s="265"/>
      <c r="AQ400" s="266"/>
      <c r="AR400" s="267">
        <v>12041</v>
      </c>
      <c r="AS400" s="263"/>
      <c r="AT400" s="263"/>
      <c r="AU400" s="263"/>
      <c r="AV400" s="264"/>
      <c r="AW400" s="263"/>
      <c r="AX400" s="263"/>
      <c r="AY400" s="263"/>
      <c r="AZ400" s="263"/>
      <c r="BA400" s="263"/>
      <c r="BB400" s="263"/>
      <c r="BC400" s="263"/>
      <c r="BD400" s="264"/>
      <c r="BE400" s="263"/>
      <c r="BF400" s="263"/>
      <c r="BG400" s="263"/>
      <c r="BH400" s="263">
        <v>16</v>
      </c>
      <c r="BI400" s="263"/>
      <c r="BJ400" s="404">
        <f>altaz(J2000_Bas,$O400,$M400,DecLat,DecLong,2)</f>
        <v>74.382414395899048</v>
      </c>
      <c r="BK400" s="378" t="s">
        <v>498</v>
      </c>
      <c r="BL400" s="379">
        <f>IF((2*G400)/60&lt;0.2,0.2,(2*G400)/60)</f>
        <v>0.2</v>
      </c>
      <c r="BM400" s="380">
        <f>MOD((50000+AD400-$B$3+(0/24)),1)</f>
        <v>0.34325530275964411</v>
      </c>
      <c r="BN400" s="381"/>
      <c r="BO400" s="382">
        <v>400</v>
      </c>
    </row>
    <row r="401" spans="1:67" s="24" customFormat="1" ht="15" customHeight="1" x14ac:dyDescent="0.25">
      <c r="A401" s="288" t="s">
        <v>499</v>
      </c>
      <c r="B401" s="241" t="str">
        <f>HYPERLINK(CONCATENATE($AT$3,BK401,$AU$3),$AV$3)</f>
        <v>S</v>
      </c>
      <c r="C401" s="242" t="str">
        <f>HYPERLINK(CONCATENATE($AT$4,BK401,$AU$4,BL401),$AV$4)</f>
        <v>A</v>
      </c>
      <c r="D401" s="243" t="s">
        <v>5638</v>
      </c>
      <c r="E401" s="244" t="s">
        <v>5178</v>
      </c>
      <c r="F401" s="269"/>
      <c r="G401" s="273">
        <v>3.5</v>
      </c>
      <c r="H401" s="283">
        <v>55</v>
      </c>
      <c r="I401" s="246">
        <v>60</v>
      </c>
      <c r="J401" s="246">
        <v>2</v>
      </c>
      <c r="K401" s="247" t="s">
        <v>4999</v>
      </c>
      <c r="L401" s="248">
        <v>113744</v>
      </c>
      <c r="M401" s="249">
        <f>15*(LEFT(TEXT($L401,"000000"),2)+(MID(TEXT($L401,"000000"),3,2)/60)+(RIGHT(TEXT($L401,"000000"),2)/3600))</f>
        <v>174.43333333333334</v>
      </c>
      <c r="N401" s="250">
        <v>475300</v>
      </c>
      <c r="O401" s="251">
        <f>IF($N401&gt;0,(LEFT(TEXT($N401,"000000"),2)+(MID(TEXT($N401,"000000"),3,2)/60)+(RIGHT(TEXT($N401,"000000"),2)/3600)),-(MID(TEXT($N401,"000000"),2,2)+(MID(TEXT($N401,"000000"),4,2)/60)+(RIGHT(TEXT($N401,"000000"),2)/3600)))</f>
        <v>47.883333333333333</v>
      </c>
      <c r="P401" s="252" t="s">
        <v>37</v>
      </c>
      <c r="Q401" s="253"/>
      <c r="R401" s="247" t="s">
        <v>3563</v>
      </c>
      <c r="S401" s="272" t="s">
        <v>3293</v>
      </c>
      <c r="T401" s="273">
        <v>12.7</v>
      </c>
      <c r="U401" s="289">
        <v>21.59</v>
      </c>
      <c r="V401" s="280"/>
      <c r="W401" s="244"/>
      <c r="X401" s="244"/>
      <c r="Y401" s="362"/>
      <c r="Z401" s="257">
        <f>altaz(J2000_Bas,$O401,$M401,DecLat,DecLong,1)</f>
        <v>9.8293590775719899</v>
      </c>
      <c r="AA401" s="257">
        <f>altaz((J2000_Bas+(2*0.04167)),$O401,$M401,DecLat,DecLong,1)</f>
        <v>-3.9449690562971118</v>
      </c>
      <c r="AB401" s="257">
        <f>altaz((J2000_Bas+(4*0.04167)),$O401,$M401,DecLat,DecLong,1)</f>
        <v>-10.768528671730875</v>
      </c>
      <c r="AC401" s="257">
        <f>altaz((J2000_Bas+(6*0.04167)),$O401,$M401,DecLat,DecLong,1)</f>
        <v>-8.7203456995958799</v>
      </c>
      <c r="AD401" s="258">
        <f>1+ transit((J2000_Bas-1),$O401,$M401,DecLat,DecLong)/360 + (GMTOffset/24) + (IF(DST="Y", 1, 0)/24)</f>
        <v>1.4774369492130413</v>
      </c>
      <c r="AE401" s="259">
        <f>DATE(2001,9,21)+(M401/360)*365 - (360*((DecLong/360)- (GMTOffset/24) ))</f>
        <v>37336.85601851852</v>
      </c>
      <c r="AF401" s="260">
        <f>IF(DecLat&gt;0,IF((90 - (DecLat-O401))&gt;90, (90 - (O401-DecLat)), (90 - (DecLat-O401))),IF((90 + (DecLat-O401))&gt;90, (90 + (O401-DecLat)), (90 + (DecLat-O401))))</f>
        <v>73.116666666666674</v>
      </c>
      <c r="AG401" s="257">
        <f>angularseperation(MoonRA,MoonDec,$M401,$O401)</f>
        <v>100.44341798372986</v>
      </c>
      <c r="AH401" s="261">
        <f ca="1">MIN(100,IF($O$5&gt;80,0+30*($AG401/100),IF($O$5&gt;70,0+50*($AG401/100),IF($O$5&gt;60,5+50*($AG401/100),IF($O$5&gt;50,10+60*($AG401/100),IF($O$5&gt;40,15+70*($AG401/100),IF($O$5&gt;30,20+70*($AG401/100),IF($O$5&gt;20,40+55*($AG401/100),(80+(20-$O$5)+30*($AG401/100))))))))))</f>
        <v>100</v>
      </c>
      <c r="AI401" s="262">
        <v>3769</v>
      </c>
      <c r="AJ401" s="262"/>
      <c r="AK401" s="262"/>
      <c r="AL401" s="263"/>
      <c r="AM401" s="264"/>
      <c r="AN401" s="263">
        <v>280</v>
      </c>
      <c r="AO401" s="263"/>
      <c r="AP401" s="265"/>
      <c r="AQ401" s="266">
        <v>6595</v>
      </c>
      <c r="AR401" s="267">
        <v>35999</v>
      </c>
      <c r="AS401" s="296"/>
      <c r="AT401" s="263"/>
      <c r="AU401" s="263"/>
      <c r="AV401" s="264"/>
      <c r="AW401" s="263"/>
      <c r="AX401" s="263"/>
      <c r="AY401" s="263"/>
      <c r="AZ401" s="263"/>
      <c r="BA401" s="263"/>
      <c r="BB401" s="263"/>
      <c r="BC401" s="263"/>
      <c r="BD401" s="264"/>
      <c r="BE401" s="263"/>
      <c r="BF401" s="263"/>
      <c r="BG401" s="263"/>
      <c r="BH401" s="263"/>
      <c r="BI401" s="263"/>
      <c r="BJ401" s="404">
        <f>altaz(J2000_Bas,$O401,$M401,DecLat,DecLong,2)</f>
        <v>320.73030767271598</v>
      </c>
      <c r="BK401" s="378" t="s">
        <v>499</v>
      </c>
      <c r="BL401" s="379">
        <f>IF((2*G401)/60&lt;0.2,0.2,(2*G401)/60)</f>
        <v>0.2</v>
      </c>
      <c r="BM401" s="380">
        <f>MOD((50000+AD401-$B$3+(0/24)),1)</f>
        <v>0.69280387891922146</v>
      </c>
      <c r="BN401" s="381"/>
      <c r="BO401" s="382">
        <v>401</v>
      </c>
    </row>
    <row r="402" spans="1:67" s="24" customFormat="1" ht="15" customHeight="1" x14ac:dyDescent="0.25">
      <c r="A402" s="288" t="s">
        <v>501</v>
      </c>
      <c r="B402" s="241" t="str">
        <f>HYPERLINK(CONCATENATE($AT$3,BK402,$AU$3),$AV$3)</f>
        <v>S</v>
      </c>
      <c r="C402" s="242" t="str">
        <f>HYPERLINK(CONCATENATE($AT$4,BK402,$AU$4,BL402),$AV$4)</f>
        <v>A</v>
      </c>
      <c r="D402" s="243" t="s">
        <v>5638</v>
      </c>
      <c r="E402" s="244" t="s">
        <v>5192</v>
      </c>
      <c r="F402" s="269" t="s">
        <v>8698</v>
      </c>
      <c r="G402" s="273">
        <v>1.5</v>
      </c>
      <c r="H402" s="283">
        <v>320</v>
      </c>
      <c r="I402" s="246">
        <v>140</v>
      </c>
      <c r="J402" s="246">
        <v>3</v>
      </c>
      <c r="K402" s="247" t="s">
        <v>4343</v>
      </c>
      <c r="L402" s="248">
        <v>3652</v>
      </c>
      <c r="M402" s="249">
        <f>15*(LEFT(TEXT($L402,"000000"),2)+(MID(TEXT($L402,"000000"),3,2)/60)+(RIGHT(TEXT($L402,"000000"),2)/3600))</f>
        <v>9.2166666666666668</v>
      </c>
      <c r="N402" s="250">
        <v>235900</v>
      </c>
      <c r="O402" s="251">
        <f>IF($N402&gt;0,(LEFT(TEXT($N402,"000000"),2)+(MID(TEXT($N402,"000000"),3,2)/60)+(RIGHT(TEXT($N402,"000000"),2)/3600)),-(MID(TEXT($N402,"000000"),2,2)+(MID(TEXT($N402,"000000"),4,2)/60)+(RIGHT(TEXT($N402,"000000"),2)/3600)))</f>
        <v>23.983333333333334</v>
      </c>
      <c r="P402" s="252" t="s">
        <v>36</v>
      </c>
      <c r="Q402" s="253"/>
      <c r="R402" s="247" t="s">
        <v>3734</v>
      </c>
      <c r="S402" s="272" t="s">
        <v>3293</v>
      </c>
      <c r="T402" s="273">
        <v>14</v>
      </c>
      <c r="U402" s="289">
        <v>21.59</v>
      </c>
      <c r="V402" s="280">
        <v>80</v>
      </c>
      <c r="W402" s="244"/>
      <c r="X402" s="244"/>
      <c r="Y402" s="362"/>
      <c r="Z402" s="257">
        <f>altaz(J2000_Bas,$O402,$M402,DecLat,DecLong,1)</f>
        <v>17.570975619052128</v>
      </c>
      <c r="AA402" s="257">
        <f>altaz((J2000_Bas+(2*0.04167)),$O402,$M402,DecLat,DecLong,1)</f>
        <v>42.78523653547601</v>
      </c>
      <c r="AB402" s="257">
        <f>altaz((J2000_Bas+(4*0.04167)),$O402,$M402,DecLat,DecLong,1)</f>
        <v>68.436798740696688</v>
      </c>
      <c r="AC402" s="257">
        <f>altaz((J2000_Bas+(6*0.04167)),$O402,$M402,DecLat,DecLong,1)</f>
        <v>80.612210315600436</v>
      </c>
      <c r="AD402" s="258">
        <f>1+ transit((J2000_Bas-1),$O402,$M402,DecLat,DecLong)/360 + (GMTOffset/24) + (IF(DST="Y", 1, 0)/24)</f>
        <v>1.0185018099213747</v>
      </c>
      <c r="AE402" s="259">
        <f>DATE(2001,9,21)+(M402/360)*365 - (360*((DecLong/360)- (GMTOffset/24) ))</f>
        <v>37169.344675925924</v>
      </c>
      <c r="AF402" s="260">
        <f>IF(DecLat&gt;0,IF((90 - (DecLat-O402))&gt;90, (90 - (O402-DecLat)), (90 - (DecLat-O402))),IF((90 + (DecLat-O402))&gt;90, (90 + (O402-DecLat)), (90 + (DecLat-O402))))</f>
        <v>82.983333333333334</v>
      </c>
      <c r="AG402" s="257">
        <f>angularseperation(MoonRA,MoonDec,$M402,$O402)</f>
        <v>126.26282633223597</v>
      </c>
      <c r="AH402" s="261">
        <f ca="1">MIN(100,IF($O$5&gt;80,0+30*($AG402/100),IF($O$5&gt;70,0+50*($AG402/100),IF($O$5&gt;60,5+50*($AG402/100),IF($O$5&gt;50,10+60*($AG402/100),IF($O$5&gt;40,15+70*($AG402/100),IF($O$5&gt;30,20+70*($AG402/100),IF($O$5&gt;20,40+55*($AG402/100),(80+(20-$O$5)+30*($AG402/100))))))))))</f>
        <v>100</v>
      </c>
      <c r="AI402" s="262"/>
      <c r="AJ402" s="262">
        <v>1559</v>
      </c>
      <c r="AK402" s="262"/>
      <c r="AL402" s="263"/>
      <c r="AM402" s="264"/>
      <c r="AN402" s="263">
        <v>282</v>
      </c>
      <c r="AO402" s="263"/>
      <c r="AP402" s="265"/>
      <c r="AQ402" s="266"/>
      <c r="AR402" s="267">
        <v>2201</v>
      </c>
      <c r="AS402" s="263"/>
      <c r="AT402" s="263"/>
      <c r="AU402" s="263"/>
      <c r="AV402" s="264"/>
      <c r="AW402" s="263"/>
      <c r="AX402" s="263"/>
      <c r="AY402" s="263"/>
      <c r="AZ402" s="263"/>
      <c r="BA402" s="263"/>
      <c r="BB402" s="263"/>
      <c r="BC402" s="263"/>
      <c r="BD402" s="264"/>
      <c r="BE402" s="263"/>
      <c r="BF402" s="263"/>
      <c r="BG402" s="263"/>
      <c r="BH402" s="263"/>
      <c r="BI402" s="263"/>
      <c r="BJ402" s="404">
        <f>altaz(J2000_Bas,$O402,$M402,DecLat,DecLong,2)</f>
        <v>72.113009557849381</v>
      </c>
      <c r="BK402" s="378" t="s">
        <v>501</v>
      </c>
      <c r="BL402" s="379">
        <f>IF((2*G402)/60&lt;0.2,0.2,(2*G402)/60)</f>
        <v>0.2</v>
      </c>
      <c r="BM402" s="380">
        <f>MOD((50000+AD402-$B$3+(0/24)),1)</f>
        <v>0.23386873962590471</v>
      </c>
      <c r="BN402" s="381"/>
      <c r="BO402" s="382">
        <v>402</v>
      </c>
    </row>
    <row r="403" spans="1:67" s="24" customFormat="1" ht="15" customHeight="1" x14ac:dyDescent="0.25">
      <c r="A403" s="288" t="s">
        <v>502</v>
      </c>
      <c r="B403" s="241" t="str">
        <f>HYPERLINK(CONCATENATE($AT$3,BK403,$AU$3),$AV$3)</f>
        <v>S</v>
      </c>
      <c r="C403" s="242" t="str">
        <f>HYPERLINK(CONCATENATE($AT$4,BK403,$AU$4,BL403),$AV$4)</f>
        <v>A</v>
      </c>
      <c r="D403" s="243" t="s">
        <v>5638</v>
      </c>
      <c r="E403" s="244" t="s">
        <v>5178</v>
      </c>
      <c r="F403" s="269"/>
      <c r="G403" s="273">
        <v>2.4</v>
      </c>
      <c r="H403" s="283">
        <v>85</v>
      </c>
      <c r="I403" s="246">
        <v>60</v>
      </c>
      <c r="J403" s="246">
        <v>2</v>
      </c>
      <c r="K403" s="247" t="s">
        <v>4344</v>
      </c>
      <c r="L403" s="248">
        <v>91731</v>
      </c>
      <c r="M403" s="249">
        <f>15*(LEFT(TEXT($L403,"000000"),2)+(MID(TEXT($L403,"000000"),3,2)/60)+(RIGHT(TEXT($L403,"000000"),2)/3600))</f>
        <v>139.37916666666666</v>
      </c>
      <c r="N403" s="250">
        <v>415900</v>
      </c>
      <c r="O403" s="251">
        <f>IF($N403&gt;0,(LEFT(TEXT($N403,"000000"),2)+(MID(TEXT($N403,"000000"),3,2)/60)+(RIGHT(TEXT($N403,"000000"),2)/3600)),-(MID(TEXT($N403,"000000"),2,2)+(MID(TEXT($N403,"000000"),4,2)/60)+(RIGHT(TEXT($N403,"000000"),2)/3600)))</f>
        <v>41.983333333333334</v>
      </c>
      <c r="P403" s="252" t="s">
        <v>82</v>
      </c>
      <c r="Q403" s="253"/>
      <c r="R403" s="247" t="s">
        <v>3522</v>
      </c>
      <c r="S403" s="272" t="s">
        <v>3293</v>
      </c>
      <c r="T403" s="273">
        <v>13.7</v>
      </c>
      <c r="U403" s="289">
        <v>22.39</v>
      </c>
      <c r="V403" s="280"/>
      <c r="W403" s="244"/>
      <c r="X403" s="244"/>
      <c r="Y403" s="362"/>
      <c r="Z403" s="257">
        <f>altaz(J2000_Bas,$O403,$M403,DecLat,DecLong,1)</f>
        <v>-10.81066032493251</v>
      </c>
      <c r="AA403" s="257">
        <f>altaz((J2000_Bas+(2*0.04167)),$O403,$M403,DecLat,DecLong,1)</f>
        <v>-16.953677105685717</v>
      </c>
      <c r="AB403" s="257">
        <f>altaz((J2000_Bas+(4*0.04167)),$O403,$M403,DecLat,DecLong,1)</f>
        <v>-12.958575848319931</v>
      </c>
      <c r="AC403" s="257">
        <f>altaz((J2000_Bas+(6*0.04167)),$O403,$M403,DecLat,DecLong,1)</f>
        <v>-0.20940158784383447</v>
      </c>
      <c r="AD403" s="258">
        <f>1+ transit((J2000_Bas-1),$O403,$M403,DecLat,DecLong)/360 + (GMTOffset/24) + (IF(DST="Y", 1, 0)/24)</f>
        <v>1.3800642737651245</v>
      </c>
      <c r="AE403" s="259">
        <f>DATE(2001,9,21)+(M403/360)*365 - (360*((DecLong/360)- (GMTOffset/24) ))</f>
        <v>37301.314988425926</v>
      </c>
      <c r="AF403" s="260">
        <f>IF(DecLat&gt;0,IF((90 - (DecLat-O403))&gt;90, (90 - (O403-DecLat)), (90 - (DecLat-O403))),IF((90 + (DecLat-O403))&gt;90, (90 + (O403-DecLat)), (90 + (DecLat-O403))))</f>
        <v>79.016666666666666</v>
      </c>
      <c r="AG403" s="257">
        <f>angularseperation(MoonRA,MoonDec,$M403,$O403)</f>
        <v>121.96640919773887</v>
      </c>
      <c r="AH403" s="261">
        <f ca="1">MIN(100,IF($O$5&gt;80,0+30*($AG403/100),IF($O$5&gt;70,0+50*($AG403/100),IF($O$5&gt;60,5+50*($AG403/100),IF($O$5&gt;50,10+60*($AG403/100),IF($O$5&gt;40,15+70*($AG403/100),IF($O$5&gt;30,20+70*($AG403/100),IF($O$5&gt;20,40+55*($AG403/100),(80+(20-$O$5)+30*($AG403/100))))))))))</f>
        <v>100</v>
      </c>
      <c r="AI403" s="262">
        <v>2799</v>
      </c>
      <c r="AJ403" s="262"/>
      <c r="AK403" s="262"/>
      <c r="AL403" s="263"/>
      <c r="AM403" s="264"/>
      <c r="AN403" s="263">
        <v>283</v>
      </c>
      <c r="AO403" s="263"/>
      <c r="AP403" s="265"/>
      <c r="AQ403" s="266">
        <v>4909</v>
      </c>
      <c r="AR403" s="267">
        <v>26238</v>
      </c>
      <c r="AS403" s="263"/>
      <c r="AT403" s="263"/>
      <c r="AU403" s="263"/>
      <c r="AV403" s="264"/>
      <c r="AW403" s="263"/>
      <c r="AX403" s="263"/>
      <c r="AY403" s="263"/>
      <c r="AZ403" s="263"/>
      <c r="BA403" s="263"/>
      <c r="BB403" s="263"/>
      <c r="BC403" s="263"/>
      <c r="BD403" s="264"/>
      <c r="BE403" s="263"/>
      <c r="BF403" s="263"/>
      <c r="BG403" s="263"/>
      <c r="BH403" s="263"/>
      <c r="BI403" s="263"/>
      <c r="BJ403" s="404">
        <f>altaz(J2000_Bas,$O403,$M403,DecLat,DecLong,2)</f>
        <v>335.39697744841806</v>
      </c>
      <c r="BK403" s="378" t="s">
        <v>502</v>
      </c>
      <c r="BL403" s="379">
        <f>IF((2*G403)/60&lt;0.2,0.2,(2*G403)/60)</f>
        <v>0.2</v>
      </c>
      <c r="BM403" s="380">
        <f>MOD((50000+AD403-$B$3+(0/24)),1)</f>
        <v>0.59543120346643263</v>
      </c>
      <c r="BN403" s="381"/>
      <c r="BO403" s="382">
        <v>403</v>
      </c>
    </row>
    <row r="404" spans="1:67" s="24" customFormat="1" ht="15" customHeight="1" x14ac:dyDescent="0.25">
      <c r="A404" s="288" t="s">
        <v>503</v>
      </c>
      <c r="B404" s="241" t="str">
        <f>HYPERLINK(CONCATENATE($AT$3,BK404,$AU$3),$AV$3)</f>
        <v>S</v>
      </c>
      <c r="C404" s="242" t="str">
        <f>HYPERLINK(CONCATENATE($AT$4,BK404,$AU$4,BL404),$AV$4)</f>
        <v>A</v>
      </c>
      <c r="D404" s="243" t="s">
        <v>5638</v>
      </c>
      <c r="E404" s="244" t="s">
        <v>5337</v>
      </c>
      <c r="F404" s="269" t="s">
        <v>9119</v>
      </c>
      <c r="G404" s="273">
        <v>3</v>
      </c>
      <c r="H404" s="283">
        <v>115</v>
      </c>
      <c r="I404" s="246">
        <v>100</v>
      </c>
      <c r="J404" s="246">
        <v>2</v>
      </c>
      <c r="K404" s="247" t="s">
        <v>4345</v>
      </c>
      <c r="L404" s="248">
        <v>233614</v>
      </c>
      <c r="M404" s="249">
        <f>15*(LEFT(TEXT($L404,"000000"),2)+(MID(TEXT($L404,"000000"),3,2)/60)+(RIGHT(TEXT($L404,"000000"),2)/3600))</f>
        <v>354.05833333333334</v>
      </c>
      <c r="N404" s="250">
        <v>20918</v>
      </c>
      <c r="O404" s="251">
        <f>IF($N404&gt;0,(LEFT(TEXT($N404,"000000"),2)+(MID(TEXT($N404,"000000"),3,2)/60)+(RIGHT(TEXT($N404,"000000"),2)/3600)),-(MID(TEXT($N404,"000000"),2,2)+(MID(TEXT($N404,"000000"),4,2)/60)+(RIGHT(TEXT($N404,"000000"),2)/3600)))</f>
        <v>2.1549999999999998</v>
      </c>
      <c r="P404" s="252" t="s">
        <v>158</v>
      </c>
      <c r="Q404" s="253"/>
      <c r="R404" s="247" t="s">
        <v>3703</v>
      </c>
      <c r="S404" s="272" t="s">
        <v>3293</v>
      </c>
      <c r="T404" s="273">
        <v>12.5</v>
      </c>
      <c r="U404" s="289">
        <v>22.29</v>
      </c>
      <c r="V404" s="280"/>
      <c r="W404" s="244"/>
      <c r="X404" s="244"/>
      <c r="Y404" s="362"/>
      <c r="Z404" s="257">
        <f>altaz(J2000_Bas,$O404,$M404,DecLat,DecLong,1)</f>
        <v>19.844470081875919</v>
      </c>
      <c r="AA404" s="257">
        <f>altaz((J2000_Bas+(2*0.04167)),$O404,$M404,DecLat,DecLong,1)</f>
        <v>43.99627798798106</v>
      </c>
      <c r="AB404" s="257">
        <f>altaz((J2000_Bas+(4*0.04167)),$O404,$M404,DecLat,DecLong,1)</f>
        <v>60.207014492966408</v>
      </c>
      <c r="AC404" s="257">
        <f>altaz((J2000_Bas+(6*0.04167)),$O404,$M404,DecLat,DecLong,1)</f>
        <v>54.335348733436433</v>
      </c>
      <c r="AD404" s="258">
        <f>1+ transit((J2000_Bas-1),$O404,$M404,DecLat,DecLong)/360 + (GMTOffset/24) + (IF(DST="Y", 1, 0)/24)</f>
        <v>1.9763952326505414</v>
      </c>
      <c r="AE404" s="259">
        <f>DATE(2001,9,21)+(M404/360)*365 - (360*((DecLong/360)- (GMTOffset/24) ))</f>
        <v>37518.975810185184</v>
      </c>
      <c r="AF404" s="260">
        <f>IF(DecLat&gt;0,IF((90 - (DecLat-O404))&gt;90, (90 - (O404-DecLat)), (90 - (DecLat-O404))),IF((90 + (DecLat-O404))&gt;90, (90 + (O404-DecLat)), (90 + (DecLat-O404))))</f>
        <v>61.155000000000001</v>
      </c>
      <c r="AG404" s="257">
        <f>angularseperation(MoonRA,MoonDec,$M404,$O404)</f>
        <v>104.16053659141024</v>
      </c>
      <c r="AH404" s="261">
        <f ca="1">MIN(100,IF($O$5&gt;80,0+30*($AG404/100),IF($O$5&gt;70,0+50*($AG404/100),IF($O$5&gt;60,5+50*($AG404/100),IF($O$5&gt;50,10+60*($AG404/100),IF($O$5&gt;40,15+70*($AG404/100),IF($O$5&gt;30,20+70*($AG404/100),IF($O$5&gt;20,40+55*($AG404/100),(80+(20-$O$5)+30*($AG404/100))))))))))</f>
        <v>100</v>
      </c>
      <c r="AI404" s="262">
        <v>7714</v>
      </c>
      <c r="AJ404" s="262"/>
      <c r="AK404" s="262"/>
      <c r="AL404" s="263"/>
      <c r="AM404" s="264"/>
      <c r="AN404" s="263">
        <v>284</v>
      </c>
      <c r="AO404" s="263"/>
      <c r="AP404" s="265"/>
      <c r="AQ404" s="266">
        <v>12699</v>
      </c>
      <c r="AR404" s="267">
        <v>71868</v>
      </c>
      <c r="AS404" s="263"/>
      <c r="AT404" s="263"/>
      <c r="AU404" s="263"/>
      <c r="AV404" s="264"/>
      <c r="AW404" s="263"/>
      <c r="AX404" s="263"/>
      <c r="AY404" s="263"/>
      <c r="AZ404" s="263"/>
      <c r="BA404" s="263"/>
      <c r="BB404" s="263"/>
      <c r="BC404" s="263"/>
      <c r="BD404" s="264"/>
      <c r="BE404" s="263"/>
      <c r="BF404" s="263"/>
      <c r="BG404" s="263"/>
      <c r="BH404" s="263"/>
      <c r="BI404" s="263"/>
      <c r="BJ404" s="404">
        <f>altaz(J2000_Bas,$O404,$M404,DecLat,DecLong,2)</f>
        <v>99.800127690118373</v>
      </c>
      <c r="BK404" s="378" t="s">
        <v>503</v>
      </c>
      <c r="BL404" s="379">
        <f>IF((2*G404)/60&lt;0.2,0.2,(2*G404)/60)</f>
        <v>0.2</v>
      </c>
      <c r="BM404" s="380">
        <f>MOD((50000+AD404-$B$3+(0/24)),1)</f>
        <v>0.19176216235791799</v>
      </c>
      <c r="BN404" s="381"/>
      <c r="BO404" s="382">
        <v>404</v>
      </c>
    </row>
    <row r="405" spans="1:67" s="24" customFormat="1" ht="15" customHeight="1" x14ac:dyDescent="0.25">
      <c r="A405" s="288" t="s">
        <v>504</v>
      </c>
      <c r="B405" s="241" t="str">
        <f>HYPERLINK(CONCATENATE($AT$3,BK405,$AU$3),$AV$3)</f>
        <v>S</v>
      </c>
      <c r="C405" s="242" t="str">
        <f>HYPERLINK(CONCATENATE($AT$4,BK405,$AU$4,BL405),$AV$4)</f>
        <v>A</v>
      </c>
      <c r="D405" s="243" t="s">
        <v>5638</v>
      </c>
      <c r="E405" s="244" t="s">
        <v>5178</v>
      </c>
      <c r="F405" s="269" t="s">
        <v>8646</v>
      </c>
      <c r="G405" s="273">
        <v>1.8</v>
      </c>
      <c r="H405" s="283">
        <v>130</v>
      </c>
      <c r="I405" s="246">
        <v>70</v>
      </c>
      <c r="J405" s="246">
        <v>2</v>
      </c>
      <c r="K405" s="247" t="s">
        <v>4346</v>
      </c>
      <c r="L405" s="248">
        <v>92402</v>
      </c>
      <c r="M405" s="249">
        <f>15*(LEFT(TEXT($L405,"000000"),2)+(MID(TEXT($L405,"000000"),3,2)/60)+(RIGHT(TEXT($L405,"000000"),2)/3600))</f>
        <v>141.00833333333333</v>
      </c>
      <c r="N405" s="250">
        <v>491200</v>
      </c>
      <c r="O405" s="251">
        <f>IF($N405&gt;0,(LEFT(TEXT($N405,"000000"),2)+(MID(TEXT($N405,"000000"),3,2)/60)+(RIGHT(TEXT($N405,"000000"),2)/3600)),-(MID(TEXT($N405,"000000"),2,2)+(MID(TEXT($N405,"000000"),4,2)/60)+(RIGHT(TEXT($N405,"000000"),2)/3600)))</f>
        <v>49.2</v>
      </c>
      <c r="P405" s="252" t="s">
        <v>37</v>
      </c>
      <c r="Q405" s="253"/>
      <c r="R405" s="247" t="s">
        <v>3525</v>
      </c>
      <c r="S405" s="272" t="s">
        <v>4180</v>
      </c>
      <c r="T405" s="273">
        <v>13</v>
      </c>
      <c r="U405" s="289">
        <v>21.69</v>
      </c>
      <c r="V405" s="280"/>
      <c r="W405" s="244"/>
      <c r="X405" s="244"/>
      <c r="Y405" s="362"/>
      <c r="Z405" s="257">
        <f>altaz(J2000_Bas,$O405,$M405,DecLat,DecLong,1)</f>
        <v>-3.9500184559123501</v>
      </c>
      <c r="AA405" s="257">
        <f>altaz((J2000_Bas+(2*0.04167)),$O405,$M405,DecLat,DecLong,1)</f>
        <v>-9.6799727340447994</v>
      </c>
      <c r="AB405" s="257">
        <f>altaz((J2000_Bas+(4*0.04167)),$O405,$M405,DecLat,DecLong,1)</f>
        <v>-6.7222446348285994</v>
      </c>
      <c r="AC405" s="257">
        <f>altaz((J2000_Bas+(6*0.04167)),$O405,$M405,DecLat,DecLong,1)</f>
        <v>4.0492933217355453</v>
      </c>
      <c r="AD405" s="258">
        <f>1+ transit((J2000_Bas-1),$O405,$M405,DecLat,DecLong)/360 + (GMTOffset/24) + (IF(DST="Y", 1, 0)/24)</f>
        <v>1.3845897362755413</v>
      </c>
      <c r="AE405" s="259">
        <f>DATE(2001,9,21)+(M405/360)*365 - (360*((DecLong/360)- (GMTOffset/24) ))</f>
        <v>37302.966782407406</v>
      </c>
      <c r="AF405" s="260">
        <f>IF(DecLat&gt;0,IF((90 - (DecLat-O405))&gt;90, (90 - (O405-DecLat)), (90 - (DecLat-O405))),IF((90 + (DecLat-O405))&gt;90, (90 + (O405-DecLat)), (90 + (DecLat-O405))))</f>
        <v>71.8</v>
      </c>
      <c r="AG405" s="257">
        <f>angularseperation(MoonRA,MoonDec,$M405,$O405)</f>
        <v>121.7819374977646</v>
      </c>
      <c r="AH405" s="261">
        <f ca="1">MIN(100,IF($O$5&gt;80,0+30*($AG405/100),IF($O$5&gt;70,0+50*($AG405/100),IF($O$5&gt;60,5+50*($AG405/100),IF($O$5&gt;50,10+60*($AG405/100),IF($O$5&gt;40,15+70*($AG405/100),IF($O$5&gt;30,20+70*($AG405/100),IF($O$5&gt;20,40+55*($AG405/100),(80+(20-$O$5)+30*($AG405/100))))))))))</f>
        <v>100</v>
      </c>
      <c r="AI405" s="262">
        <v>2854</v>
      </c>
      <c r="AJ405" s="262"/>
      <c r="AK405" s="262"/>
      <c r="AL405" s="263"/>
      <c r="AM405" s="264"/>
      <c r="AN405" s="263">
        <v>285</v>
      </c>
      <c r="AO405" s="263"/>
      <c r="AP405" s="265"/>
      <c r="AQ405" s="266">
        <v>4995</v>
      </c>
      <c r="AR405" s="267">
        <v>26631</v>
      </c>
      <c r="AS405" s="263"/>
      <c r="AT405" s="263"/>
      <c r="AU405" s="263"/>
      <c r="AV405" s="264"/>
      <c r="AW405" s="263"/>
      <c r="AX405" s="263"/>
      <c r="AY405" s="263"/>
      <c r="AZ405" s="263"/>
      <c r="BA405" s="263"/>
      <c r="BB405" s="263"/>
      <c r="BC405" s="263"/>
      <c r="BD405" s="264"/>
      <c r="BE405" s="263"/>
      <c r="BF405" s="263"/>
      <c r="BG405" s="263"/>
      <c r="BH405" s="263"/>
      <c r="BI405" s="263"/>
      <c r="BJ405" s="404">
        <f>altaz(J2000_Bas,$O405,$M405,DecLat,DecLong,2)</f>
        <v>337.93040620846955</v>
      </c>
      <c r="BK405" s="378" t="s">
        <v>504</v>
      </c>
      <c r="BL405" s="379">
        <f>IF((2*G405)/60&lt;0.2,0.2,(2*G405)/60)</f>
        <v>0.2</v>
      </c>
      <c r="BM405" s="380">
        <f>MOD((50000+AD405-$B$3+(0/24)),1)</f>
        <v>0.59995666598115349</v>
      </c>
      <c r="BN405" s="381"/>
      <c r="BO405" s="382">
        <v>405</v>
      </c>
    </row>
    <row r="406" spans="1:67" s="24" customFormat="1" ht="15" customHeight="1" x14ac:dyDescent="0.25">
      <c r="A406" s="288" t="s">
        <v>505</v>
      </c>
      <c r="B406" s="241" t="str">
        <f>HYPERLINK(CONCATENATE($AT$3,BK406,$AU$3),$AV$3)</f>
        <v>S</v>
      </c>
      <c r="C406" s="242" t="str">
        <f>HYPERLINK(CONCATENATE($AT$4,BK406,$AU$4,BL406),$AV$4)</f>
        <v>A</v>
      </c>
      <c r="D406" s="243" t="s">
        <v>5638</v>
      </c>
      <c r="E406" s="244" t="s">
        <v>5194</v>
      </c>
      <c r="F406" s="269"/>
      <c r="G406" s="273">
        <v>6</v>
      </c>
      <c r="H406" s="283">
        <v>80</v>
      </c>
      <c r="I406" s="246">
        <v>150</v>
      </c>
      <c r="J406" s="246">
        <v>3</v>
      </c>
      <c r="K406" s="247" t="s">
        <v>4347</v>
      </c>
      <c r="L406" s="248">
        <v>142020</v>
      </c>
      <c r="M406" s="249">
        <f>15*(LEFT(TEXT($L406,"000000"),2)+(MID(TEXT($L406,"000000"),3,2)/60)+(RIGHT(TEXT($L406,"000000"),2)/3600))</f>
        <v>215.08333333333334</v>
      </c>
      <c r="N406" s="250">
        <v>35500</v>
      </c>
      <c r="O406" s="251">
        <f>IF($N406&gt;0,(LEFT(TEXT($N406,"000000"),2)+(MID(TEXT($N406,"000000"),3,2)/60)+(RIGHT(TEXT($N406,"000000"),2)/3600)),-(MID(TEXT($N406,"000000"),2,2)+(MID(TEXT($N406,"000000"),4,2)/60)+(RIGHT(TEXT($N406,"000000"),2)/3600)))</f>
        <v>3.9166666666666665</v>
      </c>
      <c r="P406" s="252" t="s">
        <v>61</v>
      </c>
      <c r="Q406" s="253"/>
      <c r="R406" s="247" t="s">
        <v>3621</v>
      </c>
      <c r="S406" s="272" t="s">
        <v>3293</v>
      </c>
      <c r="T406" s="273">
        <v>10.6</v>
      </c>
      <c r="U406" s="289">
        <v>22.19</v>
      </c>
      <c r="V406" s="280"/>
      <c r="W406" s="244"/>
      <c r="X406" s="244"/>
      <c r="Y406" s="362"/>
      <c r="Z406" s="257">
        <f>altaz(J2000_Bas,$O406,$M406,DecLat,DecLong,1)</f>
        <v>18.344708853467509</v>
      </c>
      <c r="AA406" s="257">
        <f>altaz((J2000_Bas+(2*0.04167)),$O406,$M406,DecLat,DecLong,1)</f>
        <v>-7.3568965802910036</v>
      </c>
      <c r="AB406" s="257">
        <f>altaz((J2000_Bas+(4*0.04167)),$O406,$M406,DecLat,DecLong,1)</f>
        <v>-31.793131250044322</v>
      </c>
      <c r="AC406" s="257">
        <f>altaz((J2000_Bas+(6*0.04167)),$O406,$M406,DecLat,DecLong,1)</f>
        <v>-50.735399405048376</v>
      </c>
      <c r="AD406" s="258">
        <f>1+ transit((J2000_Bas-1),$O406,$M406,DecLat,DecLong)/360 + (GMTOffset/24) + (IF(DST="Y", 1, 0)/24)</f>
        <v>1.5903536045880415</v>
      </c>
      <c r="AE406" s="259">
        <f>DATE(2001,9,21)+(M406/360)*365 - (360*((DecLong/360)- (GMTOffset/24) ))</f>
        <v>37378.070601851854</v>
      </c>
      <c r="AF406" s="260">
        <f>IF(DecLat&gt;0,IF((90 - (DecLat-O406))&gt;90, (90 - (O406-DecLat)), (90 - (DecLat-O406))),IF((90 + (DecLat-O406))&gt;90, (90 + (O406-DecLat)), (90 + (DecLat-O406))))</f>
        <v>62.916666666666671</v>
      </c>
      <c r="AG406" s="257">
        <f>angularseperation(MoonRA,MoonDec,$M406,$O406)</f>
        <v>45.257331351670828</v>
      </c>
      <c r="AH406" s="261">
        <f ca="1">MIN(100,IF($O$5&gt;80,0+30*($AG406/100),IF($O$5&gt;70,0+50*($AG406/100),IF($O$5&gt;60,5+50*($AG406/100),IF($O$5&gt;50,10+60*($AG406/100),IF($O$5&gt;40,15+70*($AG406/100),IF($O$5&gt;30,20+70*($AG406/100),IF($O$5&gt;20,40+55*($AG406/100),(80+(20-$O$5)+30*($AG406/100))))))))))</f>
        <v>96.848259749651675</v>
      </c>
      <c r="AI406" s="262">
        <v>5566</v>
      </c>
      <c r="AJ406" s="262"/>
      <c r="AK406" s="262">
        <v>302</v>
      </c>
      <c r="AL406" s="263"/>
      <c r="AM406" s="264"/>
      <c r="AN406" s="263">
        <v>286</v>
      </c>
      <c r="AO406" s="263"/>
      <c r="AP406" s="265"/>
      <c r="AQ406" s="266">
        <v>9175</v>
      </c>
      <c r="AR406" s="267">
        <v>51233</v>
      </c>
      <c r="AS406" s="263"/>
      <c r="AT406" s="263"/>
      <c r="AU406" s="263"/>
      <c r="AV406" s="264"/>
      <c r="AW406" s="263"/>
      <c r="AX406" s="263"/>
      <c r="AY406" s="263"/>
      <c r="AZ406" s="263"/>
      <c r="BA406" s="263"/>
      <c r="BB406" s="263"/>
      <c r="BC406" s="263"/>
      <c r="BD406" s="264"/>
      <c r="BE406" s="263"/>
      <c r="BF406" s="263"/>
      <c r="BG406" s="263"/>
      <c r="BH406" s="263"/>
      <c r="BI406" s="263"/>
      <c r="BJ406" s="404">
        <f>altaz(J2000_Bas,$O406,$M406,DecLat,DecLong,2)</f>
        <v>263.38011398749939</v>
      </c>
      <c r="BK406" s="378" t="s">
        <v>505</v>
      </c>
      <c r="BL406" s="379">
        <f>IF((2*G406)/60&lt;0.2,0.2,(2*G406)/60)</f>
        <v>0.2</v>
      </c>
      <c r="BM406" s="380">
        <f>MOD((50000+AD406-$B$3+(0/24)),1)</f>
        <v>0.80572053429204971</v>
      </c>
      <c r="BN406" s="381"/>
      <c r="BO406" s="382">
        <v>406</v>
      </c>
    </row>
    <row r="407" spans="1:67" s="24" customFormat="1" ht="15" customHeight="1" x14ac:dyDescent="0.25">
      <c r="A407" s="288" t="s">
        <v>506</v>
      </c>
      <c r="B407" s="241" t="str">
        <f>HYPERLINK(CONCATENATE($AT$3,BK407,$AU$3),$AV$3)</f>
        <v>S</v>
      </c>
      <c r="C407" s="242" t="str">
        <f>HYPERLINK(CONCATENATE($AT$4,BK407,$AU$4,BL407),$AV$4)</f>
        <v>A</v>
      </c>
      <c r="D407" s="243" t="s">
        <v>5638</v>
      </c>
      <c r="E407" s="244" t="s">
        <v>5192</v>
      </c>
      <c r="F407" s="269" t="s">
        <v>8908</v>
      </c>
      <c r="G407" s="273">
        <v>1.2</v>
      </c>
      <c r="H407" s="283">
        <v>115</v>
      </c>
      <c r="I407" s="246">
        <v>40</v>
      </c>
      <c r="J407" s="246">
        <v>2</v>
      </c>
      <c r="K407" s="247" t="s">
        <v>5000</v>
      </c>
      <c r="L407" s="248">
        <v>90238</v>
      </c>
      <c r="M407" s="249">
        <f>15*(LEFT(TEXT($L407,"000000"),2)+(MID(TEXT($L407,"000000"),3,2)/60)+(RIGHT(TEXT($L407,"000000"),2)/3600))</f>
        <v>135.65833333333333</v>
      </c>
      <c r="N407" s="250">
        <v>255600</v>
      </c>
      <c r="O407" s="251">
        <f>IF($N407&gt;0,(LEFT(TEXT($N407,"000000"),2)+(MID(TEXT($N407,"000000"),3,2)/60)+(RIGHT(TEXT($N407,"000000"),2)/3600)),-(MID(TEXT($N407,"000000"),2,2)+(MID(TEXT($N407,"000000"),4,2)/60)+(RIGHT(TEXT($N407,"000000"),2)/3600)))</f>
        <v>25.933333333333334</v>
      </c>
      <c r="P407" s="252" t="s">
        <v>100</v>
      </c>
      <c r="Q407" s="253"/>
      <c r="R407" s="247" t="s">
        <v>3520</v>
      </c>
      <c r="S407" s="272" t="s">
        <v>3293</v>
      </c>
      <c r="T407" s="273">
        <v>13.3</v>
      </c>
      <c r="U407" s="289">
        <v>21.39</v>
      </c>
      <c r="V407" s="280">
        <v>80</v>
      </c>
      <c r="W407" s="244"/>
      <c r="X407" s="244"/>
      <c r="Y407" s="362"/>
      <c r="Z407" s="257">
        <f>altaz(J2000_Bas,$O407,$M407,DecLat,DecLong,1)</f>
        <v>-26.400544691989094</v>
      </c>
      <c r="AA407" s="257">
        <f>altaz((J2000_Bas+(2*0.04167)),$O407,$M407,DecLat,DecLong,1)</f>
        <v>-33.065190497153914</v>
      </c>
      <c r="AB407" s="257">
        <f>altaz((J2000_Bas+(4*0.04167)),$O407,$M407,DecLat,DecLong,1)</f>
        <v>-26.031132728501099</v>
      </c>
      <c r="AC407" s="257">
        <f>altaz((J2000_Bas+(6*0.04167)),$O407,$M407,DecLat,DecLong,1)</f>
        <v>-8.8124268884615784</v>
      </c>
      <c r="AD407" s="258">
        <f>1+ transit((J2000_Bas-1),$O407,$M407,DecLat,DecLong)/360 + (GMTOffset/24) + (IF(DST="Y", 1, 0)/24)</f>
        <v>1.3697286266505413</v>
      </c>
      <c r="AE407" s="259">
        <f>DATE(2001,9,21)+(M407/360)*365 - (360*((DecLong/360)- (GMTOffset/24) ))</f>
        <v>37297.54247685185</v>
      </c>
      <c r="AF407" s="260">
        <f>IF(DecLat&gt;0,IF((90 - (DecLat-O407))&gt;90, (90 - (O407-DecLat)), (90 - (DecLat-O407))),IF((90 + (DecLat-O407))&gt;90, (90 + (O407-DecLat)), (90 + (DecLat-O407))))</f>
        <v>84.933333333333337</v>
      </c>
      <c r="AG407" s="257">
        <f>angularseperation(MoonRA,MoonDec,$M407,$O407)</f>
        <v>121.29579214944263</v>
      </c>
      <c r="AH407" s="261">
        <f ca="1">MIN(100,IF($O$5&gt;80,0+30*($AG407/100),IF($O$5&gt;70,0+50*($AG407/100),IF($O$5&gt;60,5+50*($AG407/100),IF($O$5&gt;50,10+60*($AG407/100),IF($O$5&gt;40,15+70*($AG407/100),IF($O$5&gt;30,20+70*($AG407/100),IF($O$5&gt;20,40+55*($AG407/100),(80+(20-$O$5)+30*($AG407/100))))))))))</f>
        <v>100</v>
      </c>
      <c r="AI407" s="262">
        <v>2735</v>
      </c>
      <c r="AJ407" s="262"/>
      <c r="AK407" s="262"/>
      <c r="AL407" s="263"/>
      <c r="AM407" s="264"/>
      <c r="AN407" s="263">
        <v>287</v>
      </c>
      <c r="AO407" s="263"/>
      <c r="AP407" s="265"/>
      <c r="AQ407" s="266">
        <v>4744</v>
      </c>
      <c r="AR407" s="267">
        <v>25399</v>
      </c>
      <c r="AS407" s="263"/>
      <c r="AT407" s="263"/>
      <c r="AU407" s="263"/>
      <c r="AV407" s="264"/>
      <c r="AW407" s="263"/>
      <c r="AX407" s="263"/>
      <c r="AY407" s="263"/>
      <c r="AZ407" s="263"/>
      <c r="BA407" s="263"/>
      <c r="BB407" s="263"/>
      <c r="BC407" s="263"/>
      <c r="BD407" s="264"/>
      <c r="BE407" s="263"/>
      <c r="BF407" s="263"/>
      <c r="BG407" s="263"/>
      <c r="BH407" s="263"/>
      <c r="BI407" s="263"/>
      <c r="BJ407" s="404">
        <f>altaz(J2000_Bas,$O407,$M407,DecLat,DecLong,2)</f>
        <v>330.21324049328626</v>
      </c>
      <c r="BK407" s="378" t="s">
        <v>506</v>
      </c>
      <c r="BL407" s="379">
        <f>IF((2*G407)/60&lt;0.2,0.2,(2*G407)/60)</f>
        <v>0.2</v>
      </c>
      <c r="BM407" s="380">
        <f>MOD((50000+AD407-$B$3+(0/24)),1)</f>
        <v>0.58509555635100696</v>
      </c>
      <c r="BN407" s="381"/>
      <c r="BO407" s="382">
        <v>407</v>
      </c>
    </row>
    <row r="408" spans="1:67" s="24" customFormat="1" ht="15" customHeight="1" x14ac:dyDescent="0.25">
      <c r="A408" s="288" t="s">
        <v>507</v>
      </c>
      <c r="B408" s="241" t="str">
        <f>HYPERLINK(CONCATENATE($AT$3,BK408,$AU$3),$AV$3)</f>
        <v>S</v>
      </c>
      <c r="C408" s="242" t="str">
        <f>HYPERLINK(CONCATENATE($AT$4,BK408,$AU$4,BL408),$AV$4)</f>
        <v>A</v>
      </c>
      <c r="D408" s="243" t="s">
        <v>5638</v>
      </c>
      <c r="E408" s="244" t="s">
        <v>5192</v>
      </c>
      <c r="F408" s="269" t="s">
        <v>8689</v>
      </c>
      <c r="G408" s="273">
        <v>1.2</v>
      </c>
      <c r="H408" s="283">
        <v>330</v>
      </c>
      <c r="I408" s="246">
        <v>120</v>
      </c>
      <c r="J408" s="246">
        <v>2</v>
      </c>
      <c r="K408" s="247" t="s">
        <v>4348</v>
      </c>
      <c r="L408" s="248">
        <v>133457</v>
      </c>
      <c r="M408" s="249">
        <f>15*(LEFT(TEXT($L408,"000000"),2)+(MID(TEXT($L408,"000000"),3,2)/60)+(RIGHT(TEXT($L408,"000000"),2)/3600))</f>
        <v>203.73749999999998</v>
      </c>
      <c r="N408" s="250">
        <v>134500</v>
      </c>
      <c r="O408" s="251">
        <f>IF($N408&gt;0,(LEFT(TEXT($N408,"000000"),2)+(MID(TEXT($N408,"000000"),3,2)/60)+(RIGHT(TEXT($N408,"000000"),2)/3600)),-(MID(TEXT($N408,"000000"),2,2)+(MID(TEXT($N408,"000000"),4,2)/60)+(RIGHT(TEXT($N408,"000000"),2)/3600)))</f>
        <v>13.75</v>
      </c>
      <c r="P408" s="252" t="s">
        <v>61</v>
      </c>
      <c r="Q408" s="253"/>
      <c r="R408" s="247" t="s">
        <v>3611</v>
      </c>
      <c r="S408" s="272" t="s">
        <v>3293</v>
      </c>
      <c r="T408" s="273">
        <v>13.1</v>
      </c>
      <c r="U408" s="289">
        <v>22.69</v>
      </c>
      <c r="V408" s="280">
        <v>80</v>
      </c>
      <c r="W408" s="244"/>
      <c r="X408" s="244"/>
      <c r="Y408" s="362"/>
      <c r="Z408" s="257">
        <f>altaz(J2000_Bas,$O408,$M408,DecLat,DecLong,1)</f>
        <v>13.560778741869864</v>
      </c>
      <c r="AA408" s="257">
        <f>altaz((J2000_Bas+(2*0.04167)),$O408,$M408,DecLat,DecLong,1)</f>
        <v>-11.197212136224243</v>
      </c>
      <c r="AB408" s="257">
        <f>altaz((J2000_Bas+(4*0.04167)),$O408,$M408,DecLat,DecLong,1)</f>
        <v>-32.51690488515294</v>
      </c>
      <c r="AC408" s="257">
        <f>altaz((J2000_Bas+(6*0.04167)),$O408,$M408,DecLat,DecLong,1)</f>
        <v>-44.676078843715189</v>
      </c>
      <c r="AD408" s="258">
        <f>1+ transit((J2000_Bas-1),$O408,$M408,DecLat,DecLong)/360 + (GMTOffset/24) + (IF(DST="Y", 1, 0)/24)</f>
        <v>1.5588374040359578</v>
      </c>
      <c r="AE408" s="259">
        <f>DATE(2001,9,21)+(M408/360)*365 - (360*((DecLong/360)- (GMTOffset/24) ))</f>
        <v>37366.567187499997</v>
      </c>
      <c r="AF408" s="260">
        <f>IF(DecLat&gt;0,IF((90 - (DecLat-O408))&gt;90, (90 - (O408-DecLat)), (90 - (DecLat-O408))),IF((90 + (DecLat-O408))&gt;90, (90 + (O408-DecLat)), (90 + (DecLat-O408))))</f>
        <v>72.75</v>
      </c>
      <c r="AG408" s="257">
        <f>angularseperation(MoonRA,MoonDec,$M408,$O408)</f>
        <v>60.138984984112476</v>
      </c>
      <c r="AH408" s="261">
        <f ca="1">MIN(100,IF($O$5&gt;80,0+30*($AG408/100),IF($O$5&gt;70,0+50*($AG408/100),IF($O$5&gt;60,5+50*($AG408/100),IF($O$5&gt;50,10+60*($AG408/100),IF($O$5&gt;40,15+70*($AG408/100),IF($O$5&gt;30,20+70*($AG408/100),IF($O$5&gt;20,40+55*($AG408/100),(80+(20-$O$5)+30*($AG408/100))))))))))</f>
        <v>100</v>
      </c>
      <c r="AI408" s="262">
        <v>5222</v>
      </c>
      <c r="AJ408" s="262"/>
      <c r="AK408" s="262"/>
      <c r="AL408" s="263"/>
      <c r="AM408" s="264"/>
      <c r="AN408" s="263">
        <v>288</v>
      </c>
      <c r="AO408" s="263"/>
      <c r="AP408" s="265"/>
      <c r="AQ408" s="266">
        <v>8558</v>
      </c>
      <c r="AR408" s="267">
        <v>47871</v>
      </c>
      <c r="AS408" s="263"/>
      <c r="AT408" s="263"/>
      <c r="AU408" s="263"/>
      <c r="AV408" s="264"/>
      <c r="AW408" s="263"/>
      <c r="AX408" s="263"/>
      <c r="AY408" s="263"/>
      <c r="AZ408" s="263"/>
      <c r="BA408" s="263"/>
      <c r="BB408" s="263"/>
      <c r="BC408" s="263"/>
      <c r="BD408" s="264"/>
      <c r="BE408" s="263"/>
      <c r="BF408" s="263"/>
      <c r="BG408" s="263"/>
      <c r="BH408" s="263"/>
      <c r="BI408" s="263"/>
      <c r="BJ408" s="404">
        <f>altaz(J2000_Bas,$O408,$M408,DecLat,DecLong,2)</f>
        <v>278.06614674761408</v>
      </c>
      <c r="BK408" s="378" t="s">
        <v>507</v>
      </c>
      <c r="BL408" s="379">
        <f>IF((2*G408)/60&lt;0.2,0.2,(2*G408)/60)</f>
        <v>0.2</v>
      </c>
      <c r="BM408" s="380">
        <f>MOD((50000+AD408-$B$3+(0/24)),1)</f>
        <v>0.77420433374209097</v>
      </c>
      <c r="BN408" s="381"/>
      <c r="BO408" s="382">
        <v>408</v>
      </c>
    </row>
    <row r="409" spans="1:67" s="24" customFormat="1" ht="15" customHeight="1" x14ac:dyDescent="0.25">
      <c r="A409" s="288" t="s">
        <v>508</v>
      </c>
      <c r="B409" s="241" t="str">
        <f>HYPERLINK(CONCATENATE($AT$3,BK409,$AU$3),$AV$3)</f>
        <v>S</v>
      </c>
      <c r="C409" s="242" t="str">
        <f>HYPERLINK(CONCATENATE($AT$4,BK409,$AU$4,BL409),$AV$4)</f>
        <v>A</v>
      </c>
      <c r="D409" s="243" t="s">
        <v>5638</v>
      </c>
      <c r="E409" s="244" t="s">
        <v>5192</v>
      </c>
      <c r="F409" s="269" t="s">
        <v>8890</v>
      </c>
      <c r="G409" s="273">
        <v>3.1</v>
      </c>
      <c r="H409" s="283">
        <v>65</v>
      </c>
      <c r="I409" s="246">
        <v>60</v>
      </c>
      <c r="J409" s="246">
        <v>2</v>
      </c>
      <c r="K409" s="247" t="s">
        <v>4349</v>
      </c>
      <c r="L409" s="248">
        <v>115607</v>
      </c>
      <c r="M409" s="249">
        <f>15*(LEFT(TEXT($L409,"000000"),2)+(MID(TEXT($L409,"000000"),3,2)/60)+(RIGHT(TEXT($L409,"000000"),2)/3600))</f>
        <v>179.02916666666667</v>
      </c>
      <c r="N409" s="250">
        <v>-195300</v>
      </c>
      <c r="O409" s="251">
        <f>IF($N409&gt;0,(LEFT(TEXT($N409,"000000"),2)+(MID(TEXT($N409,"000000"),3,2)/60)+(RIGHT(TEXT($N409,"000000"),2)/3600)),-(MID(TEXT($N409,"000000"),2,2)+(MID(TEXT($N409,"000000"),4,2)/60)+(RIGHT(TEXT($N409,"000000"),2)/3600)))</f>
        <v>-19.883333333333333</v>
      </c>
      <c r="P409" s="252" t="s">
        <v>509</v>
      </c>
      <c r="Q409" s="253"/>
      <c r="R409" s="247" t="s">
        <v>3568</v>
      </c>
      <c r="S409" s="272" t="s">
        <v>3293</v>
      </c>
      <c r="T409" s="273">
        <v>12</v>
      </c>
      <c r="U409" s="289">
        <v>22.59</v>
      </c>
      <c r="V409" s="280">
        <v>75</v>
      </c>
      <c r="W409" s="244"/>
      <c r="X409" s="244"/>
      <c r="Y409" s="362"/>
      <c r="Z409" s="257">
        <f>altaz(J2000_Bas,$O409,$M409,DecLat,DecLong,1)</f>
        <v>-24.235132653817121</v>
      </c>
      <c r="AA409" s="257">
        <f>altaz((J2000_Bas+(2*0.04167)),$O409,$M409,DecLat,DecLong,1)</f>
        <v>-49.928827039250692</v>
      </c>
      <c r="AB409" s="257">
        <f>altaz((J2000_Bas+(4*0.04167)),$O409,$M409,DecLat,DecLong,1)</f>
        <v>-73.951041760703887</v>
      </c>
      <c r="AC409" s="257">
        <f>altaz((J2000_Bas+(6*0.04167)),$O409,$M409,DecLat,DecLong,1)</f>
        <v>-70.922107386028514</v>
      </c>
      <c r="AD409" s="258">
        <f>1+ transit((J2000_Bas-1),$O409,$M409,DecLat,DecLong)/360 + (GMTOffset/24) + (IF(DST="Y", 1, 0)/24)</f>
        <v>1.4902031516401246</v>
      </c>
      <c r="AE409" s="259">
        <f>DATE(2001,9,21)+(M409/360)*365 - (360*((DecLong/360)- (GMTOffset/24) ))</f>
        <v>37341.515682870369</v>
      </c>
      <c r="AF409" s="260">
        <f>IF(DecLat&gt;0,IF((90 - (DecLat-O409))&gt;90, (90 - (O409-DecLat)), (90 - (DecLat-O409))),IF((90 + (DecLat-O409))&gt;90, (90 + (O409-DecLat)), (90 + (DecLat-O409))))</f>
        <v>39.116666666666667</v>
      </c>
      <c r="AG409" s="257">
        <f>angularseperation(MoonRA,MoonDec,$M409,$O409)</f>
        <v>64.005353582323082</v>
      </c>
      <c r="AH409" s="261">
        <f ca="1">MIN(100,IF($O$5&gt;80,0+30*($AG409/100),IF($O$5&gt;70,0+50*($AG409/100),IF($O$5&gt;60,5+50*($AG409/100),IF($O$5&gt;50,10+60*($AG409/100),IF($O$5&gt;40,15+70*($AG409/100),IF($O$5&gt;30,20+70*($AG409/100),IF($O$5&gt;20,40+55*($AG409/100),(80+(20-$O$5)+30*($AG409/100))))))))))</f>
        <v>100</v>
      </c>
      <c r="AI409" s="262">
        <v>3981</v>
      </c>
      <c r="AJ409" s="262"/>
      <c r="AK409" s="262"/>
      <c r="AL409" s="263"/>
      <c r="AM409" s="264"/>
      <c r="AN409" s="263">
        <v>289</v>
      </c>
      <c r="AO409" s="263"/>
      <c r="AP409" s="265"/>
      <c r="AQ409" s="266"/>
      <c r="AR409" s="267">
        <v>37496</v>
      </c>
      <c r="AS409" s="263"/>
      <c r="AT409" s="263"/>
      <c r="AU409" s="263"/>
      <c r="AV409" s="264"/>
      <c r="AW409" s="263"/>
      <c r="AX409" s="263"/>
      <c r="AY409" s="263"/>
      <c r="AZ409" s="263"/>
      <c r="BA409" s="263"/>
      <c r="BB409" s="263"/>
      <c r="BC409" s="263"/>
      <c r="BD409" s="264"/>
      <c r="BE409" s="263"/>
      <c r="BF409" s="263"/>
      <c r="BG409" s="263"/>
      <c r="BH409" s="263"/>
      <c r="BI409" s="263"/>
      <c r="BJ409" s="404">
        <f>altaz(J2000_Bas,$O409,$M409,DecLat,DecLong,2)</f>
        <v>260.52327195312068</v>
      </c>
      <c r="BK409" s="378" t="s">
        <v>508</v>
      </c>
      <c r="BL409" s="379">
        <f>IF((2*G409)/60&lt;0.2,0.2,(2*G409)/60)</f>
        <v>0.2</v>
      </c>
      <c r="BM409" s="380">
        <f>MOD((50000+AD409-$B$3+(0/24)),1)</f>
        <v>0.70557008134346688</v>
      </c>
      <c r="BN409" s="381"/>
      <c r="BO409" s="382">
        <v>409</v>
      </c>
    </row>
    <row r="410" spans="1:67" s="24" customFormat="1" ht="15" customHeight="1" x14ac:dyDescent="0.25">
      <c r="A410" s="288" t="s">
        <v>510</v>
      </c>
      <c r="B410" s="241" t="str">
        <f>HYPERLINK(CONCATENATE($AT$3,BK410,$AU$3),$AV$3)</f>
        <v>S</v>
      </c>
      <c r="C410" s="242" t="str">
        <f>HYPERLINK(CONCATENATE($AT$4,BK410,$AU$4,BL410),$AV$4)</f>
        <v>A</v>
      </c>
      <c r="D410" s="243" t="s">
        <v>5638</v>
      </c>
      <c r="E410" s="244" t="s">
        <v>5192</v>
      </c>
      <c r="F410" s="269" t="s">
        <v>8689</v>
      </c>
      <c r="G410" s="273">
        <v>2.1</v>
      </c>
      <c r="H410" s="283">
        <v>160</v>
      </c>
      <c r="I410" s="246">
        <v>100</v>
      </c>
      <c r="J410" s="246">
        <v>2</v>
      </c>
      <c r="K410" s="247" t="s">
        <v>4350</v>
      </c>
      <c r="L410" s="248">
        <v>20344</v>
      </c>
      <c r="M410" s="249">
        <f>15*(LEFT(TEXT($L410,"000000"),2)+(MID(TEXT($L410,"000000"),3,2)/60)+(RIGHT(TEXT($L410,"000000"),2)/3600))</f>
        <v>30.933333333333334</v>
      </c>
      <c r="N410" s="250">
        <v>144200</v>
      </c>
      <c r="O410" s="251">
        <f>IF($N410&gt;0,(LEFT(TEXT($N410,"000000"),2)+(MID(TEXT($N410,"000000"),3,2)/60)+(RIGHT(TEXT($N410,"000000"),2)/3600)),-(MID(TEXT($N410,"000000"),2,2)+(MID(TEXT($N410,"000000"),4,2)/60)+(RIGHT(TEXT($N410,"000000"),2)/3600)))</f>
        <v>14.7</v>
      </c>
      <c r="P410" s="252" t="s">
        <v>249</v>
      </c>
      <c r="Q410" s="253"/>
      <c r="R410" s="247" t="s">
        <v>3713</v>
      </c>
      <c r="S410" s="272" t="s">
        <v>3293</v>
      </c>
      <c r="T410" s="273">
        <v>13</v>
      </c>
      <c r="U410" s="289">
        <v>21.39</v>
      </c>
      <c r="V410" s="280">
        <v>70</v>
      </c>
      <c r="W410" s="244"/>
      <c r="X410" s="244"/>
      <c r="Y410" s="362"/>
      <c r="Z410" s="257">
        <f>altaz(J2000_Bas,$O410,$M410,DecLat,DecLong,1)</f>
        <v>-4.7567615387262299</v>
      </c>
      <c r="AA410" s="257">
        <f>altaz((J2000_Bas+(2*0.04167)),$O410,$M410,DecLat,DecLong,1)</f>
        <v>20.330449823653993</v>
      </c>
      <c r="AB410" s="257">
        <f>altaz((J2000_Bas+(4*0.04167)),$O410,$M410,DecLat,DecLong,1)</f>
        <v>46.004852247331549</v>
      </c>
      <c r="AC410" s="257">
        <f>altaz((J2000_Bas+(6*0.04167)),$O410,$M410,DecLat,DecLong,1)</f>
        <v>68.867751792460098</v>
      </c>
      <c r="AD410" s="258">
        <f>1+ transit((J2000_Bas-1),$O410,$M410,DecLat,DecLong)/360 + (GMTOffset/24) + (IF(DST="Y", 1, 0)/24)</f>
        <v>1.0788258779630413</v>
      </c>
      <c r="AE410" s="259">
        <f>DATE(2001,9,21)+(M410/360)*365 - (360*((DecLong/360)- (GMTOffset/24) ))</f>
        <v>37191.362962962965</v>
      </c>
      <c r="AF410" s="260">
        <f>IF(DecLat&gt;0,IF((90 - (DecLat-O410))&gt;90, (90 - (O410-DecLat)), (90 - (DecLat-O410))),IF((90 + (DecLat-O410))&gt;90, (90 + (O410-DecLat)), (90 + (DecLat-O410))))</f>
        <v>73.7</v>
      </c>
      <c r="AG410" s="257">
        <f>angularseperation(MoonRA,MoonDec,$M410,$O410)</f>
        <v>142.30736250617929</v>
      </c>
      <c r="AH410" s="261">
        <f ca="1">MIN(100,IF($O$5&gt;80,0+30*($AG410/100),IF($O$5&gt;70,0+50*($AG410/100),IF($O$5&gt;60,5+50*($AG410/100),IF($O$5&gt;50,10+60*($AG410/100),IF($O$5&gt;40,15+70*($AG410/100),IF($O$5&gt;30,20+70*($AG410/100),IF($O$5&gt;20,40+55*($AG410/100),(80+(20-$O$5)+30*($AG410/100))))))))))</f>
        <v>100</v>
      </c>
      <c r="AI410" s="262"/>
      <c r="AJ410" s="262">
        <v>195</v>
      </c>
      <c r="AK410" s="262"/>
      <c r="AL410" s="263"/>
      <c r="AM410" s="264"/>
      <c r="AN410" s="263">
        <v>290</v>
      </c>
      <c r="AO410" s="263"/>
      <c r="AP410" s="265"/>
      <c r="AQ410" s="266">
        <v>1555</v>
      </c>
      <c r="AR410" s="267">
        <v>7846</v>
      </c>
      <c r="AS410" s="263"/>
      <c r="AT410" s="263"/>
      <c r="AU410" s="263"/>
      <c r="AV410" s="264"/>
      <c r="AW410" s="263"/>
      <c r="AX410" s="263"/>
      <c r="AY410" s="263"/>
      <c r="AZ410" s="263"/>
      <c r="BA410" s="263"/>
      <c r="BB410" s="263"/>
      <c r="BC410" s="263"/>
      <c r="BD410" s="264"/>
      <c r="BE410" s="263"/>
      <c r="BF410" s="263"/>
      <c r="BG410" s="263"/>
      <c r="BH410" s="263"/>
      <c r="BI410" s="263"/>
      <c r="BJ410" s="404">
        <f>altaz(J2000_Bas,$O410,$M410,DecLat,DecLong,2)</f>
        <v>69.692114064941521</v>
      </c>
      <c r="BK410" s="378" t="s">
        <v>510</v>
      </c>
      <c r="BL410" s="379">
        <f>IF((2*G410)/60&lt;0.2,0.2,(2*G410)/60)</f>
        <v>0.2</v>
      </c>
      <c r="BM410" s="380">
        <f>MOD((50000+AD410-$B$3+(0/24)),1)</f>
        <v>0.29419280766887823</v>
      </c>
      <c r="BN410" s="381"/>
      <c r="BO410" s="382">
        <v>410</v>
      </c>
    </row>
    <row r="411" spans="1:67" s="24" customFormat="1" ht="15" customHeight="1" x14ac:dyDescent="0.25">
      <c r="A411" s="288" t="s">
        <v>511</v>
      </c>
      <c r="B411" s="241" t="str">
        <f>HYPERLINK(CONCATENATE($AT$3,BK411,$AU$3),$AV$3)</f>
        <v>S</v>
      </c>
      <c r="C411" s="242" t="str">
        <f>HYPERLINK(CONCATENATE($AT$4,BK411,$AU$4,BL411),$AV$4)</f>
        <v>A</v>
      </c>
      <c r="D411" s="243" t="s">
        <v>5638</v>
      </c>
      <c r="E411" s="244" t="s">
        <v>3259</v>
      </c>
      <c r="F411" s="269"/>
      <c r="G411" s="273">
        <v>1.3</v>
      </c>
      <c r="H411" s="283">
        <v>60</v>
      </c>
      <c r="I411" s="246">
        <v>25</v>
      </c>
      <c r="J411" s="246">
        <v>2</v>
      </c>
      <c r="K411" s="247" t="s">
        <v>4351</v>
      </c>
      <c r="L411" s="248">
        <v>104248</v>
      </c>
      <c r="M411" s="249">
        <f>15*(LEFT(TEXT($L411,"000000"),2)+(MID(TEXT($L411,"000000"),3,2)/60)+(RIGHT(TEXT($L411,"000000"),2)/3600))</f>
        <v>160.69999999999999</v>
      </c>
      <c r="N411" s="250">
        <v>132700</v>
      </c>
      <c r="O411" s="251">
        <f>IF($N411&gt;0,(LEFT(TEXT($N411,"000000"),2)+(MID(TEXT($N411,"000000"),3,2)/60)+(RIGHT(TEXT($N411,"000000"),2)/3600)),-(MID(TEXT($N411,"000000"),2,2)+(MID(TEXT($N411,"000000"),4,2)/60)+(RIGHT(TEXT($N411,"000000"),2)/3600)))</f>
        <v>13.45</v>
      </c>
      <c r="P411" s="252" t="s">
        <v>183</v>
      </c>
      <c r="Q411" s="253"/>
      <c r="R411" s="247" t="s">
        <v>3293</v>
      </c>
      <c r="S411" s="272" t="s">
        <v>3293</v>
      </c>
      <c r="T411" s="273">
        <v>14</v>
      </c>
      <c r="U411" s="274"/>
      <c r="V411" s="280"/>
      <c r="W411" s="244"/>
      <c r="X411" s="244"/>
      <c r="Y411" s="362"/>
      <c r="Z411" s="257">
        <f>altaz(J2000_Bas,$O411,$M411,DecLat,DecLong,1)</f>
        <v>-21.221270430107761</v>
      </c>
      <c r="AA411" s="257">
        <f>altaz((J2000_Bas+(2*0.04167)),$O411,$M411,DecLat,DecLong,1)</f>
        <v>-39.651631261698832</v>
      </c>
      <c r="AB411" s="257">
        <f>altaz((J2000_Bas+(4*0.04167)),$O411,$M411,DecLat,DecLong,1)</f>
        <v>-45.240056441142499</v>
      </c>
      <c r="AC411" s="257">
        <f>altaz((J2000_Bas+(6*0.04167)),$O411,$M411,DecLat,DecLong,1)</f>
        <v>-33.94674412365147</v>
      </c>
      <c r="AD411" s="258">
        <f>1+ transit((J2000_Bas-1),$O411,$M411,DecLat,DecLong)/360 + (GMTOffset/24) + (IF(DST="Y", 1, 0)/24)</f>
        <v>1.4392888048797079</v>
      </c>
      <c r="AE411" s="259">
        <f>DATE(2001,9,21)+(M411/360)*365 - (360*((DecLong/360)- (GMTOffset/24) ))</f>
        <v>37322.931944444441</v>
      </c>
      <c r="AF411" s="260">
        <f>IF(DecLat&gt;0,IF((90 - (DecLat-O411))&gt;90, (90 - (O411-DecLat)), (90 - (DecLat-O411))),IF((90 + (DecLat-O411))&gt;90, (90 + (O411-DecLat)), (90 + (DecLat-O411))))</f>
        <v>72.45</v>
      </c>
      <c r="AG411" s="257">
        <f>angularseperation(MoonRA,MoonDec,$M411,$O411)</f>
        <v>94.810866392158204</v>
      </c>
      <c r="AH411" s="261">
        <f ca="1">MIN(100,IF($O$5&gt;80,0+30*($AG411/100),IF($O$5&gt;70,0+50*($AG411/100),IF($O$5&gt;60,5+50*($AG411/100),IF($O$5&gt;50,10+60*($AG411/100),IF($O$5&gt;40,15+70*($AG411/100),IF($O$5&gt;30,20+70*($AG411/100),IF($O$5&gt;20,40+55*($AG411/100),(80+(20-$O$5)+30*($AG411/100))))))))))</f>
        <v>100</v>
      </c>
      <c r="AI411" s="262"/>
      <c r="AJ411" s="262"/>
      <c r="AK411" s="262"/>
      <c r="AL411" s="263"/>
      <c r="AM411" s="264"/>
      <c r="AN411" s="263">
        <v>291</v>
      </c>
      <c r="AO411" s="263"/>
      <c r="AP411" s="265"/>
      <c r="AQ411" s="266">
        <v>5832</v>
      </c>
      <c r="AR411" s="267">
        <v>31930</v>
      </c>
      <c r="AS411" s="263"/>
      <c r="AT411" s="263"/>
      <c r="AU411" s="263"/>
      <c r="AV411" s="264"/>
      <c r="AW411" s="263"/>
      <c r="AX411" s="263"/>
      <c r="AY411" s="263"/>
      <c r="AZ411" s="263"/>
      <c r="BA411" s="263"/>
      <c r="BB411" s="263"/>
      <c r="BC411" s="263"/>
      <c r="BD411" s="264"/>
      <c r="BE411" s="263"/>
      <c r="BF411" s="263"/>
      <c r="BG411" s="263"/>
      <c r="BH411" s="263"/>
      <c r="BI411" s="263"/>
      <c r="BJ411" s="404">
        <f>altaz(J2000_Bas,$O411,$M411,DecLat,DecLong,2)</f>
        <v>301.62849929488272</v>
      </c>
      <c r="BK411" s="378" t="s">
        <v>511</v>
      </c>
      <c r="BL411" s="379">
        <f>IF((2*G411)/60&lt;0.2,0.2,(2*G411)/60)</f>
        <v>0.2</v>
      </c>
      <c r="BM411" s="380">
        <f>MOD((50000+AD411-$B$3+(0/24)),1)</f>
        <v>0.65465573458641302</v>
      </c>
      <c r="BN411" s="381"/>
      <c r="BO411" s="382">
        <v>411</v>
      </c>
    </row>
    <row r="412" spans="1:67" s="24" customFormat="1" ht="15" customHeight="1" x14ac:dyDescent="0.25">
      <c r="A412" s="288" t="s">
        <v>512</v>
      </c>
      <c r="B412" s="241" t="str">
        <f>HYPERLINK(CONCATENATE($AT$3,BK412,$AU$3),$AV$3)</f>
        <v>S</v>
      </c>
      <c r="C412" s="242" t="str">
        <f>HYPERLINK(CONCATENATE($AT$4,BK412,$AU$4,BL412),$AV$4)</f>
        <v>A</v>
      </c>
      <c r="D412" s="243" t="s">
        <v>5638</v>
      </c>
      <c r="E412" s="244" t="s">
        <v>5192</v>
      </c>
      <c r="F412" s="269" t="s">
        <v>8716</v>
      </c>
      <c r="G412" s="273">
        <v>1</v>
      </c>
      <c r="H412" s="283">
        <v>270</v>
      </c>
      <c r="I412" s="246">
        <v>80</v>
      </c>
      <c r="J412" s="246">
        <v>2</v>
      </c>
      <c r="K412" s="247" t="s">
        <v>4352</v>
      </c>
      <c r="L412" s="248">
        <v>95433</v>
      </c>
      <c r="M412" s="249">
        <f>15*(LEFT(TEXT($L412,"000000"),2)+(MID(TEXT($L412,"000000"),3,2)/60)+(RIGHT(TEXT($L412,"000000"),2)/3600))</f>
        <v>148.63750000000002</v>
      </c>
      <c r="N412" s="250">
        <v>-65100</v>
      </c>
      <c r="O412" s="251">
        <f>IF($N412&gt;0,(LEFT(TEXT($N412,"000000"),2)+(MID(TEXT($N412,"000000"),3,2)/60)+(RIGHT(TEXT($N412,"000000"),2)/3600)),-(MID(TEXT($N412,"000000"),2,2)+(MID(TEXT($N412,"000000"),4,2)/60)+(RIGHT(TEXT($N412,"000000"),2)/3600)))</f>
        <v>-6.85</v>
      </c>
      <c r="P412" s="252" t="s">
        <v>263</v>
      </c>
      <c r="Q412" s="253"/>
      <c r="R412" s="247" t="s">
        <v>3718</v>
      </c>
      <c r="S412" s="272" t="s">
        <v>3293</v>
      </c>
      <c r="T412" s="273">
        <v>14</v>
      </c>
      <c r="U412" s="289">
        <v>21.89</v>
      </c>
      <c r="V412" s="280">
        <v>88</v>
      </c>
      <c r="W412" s="244"/>
      <c r="X412" s="244"/>
      <c r="Y412" s="362"/>
      <c r="Z412" s="257">
        <f>altaz(J2000_Bas,$O412,$M412,DecLat,DecLong,1)</f>
        <v>-43.435103974350206</v>
      </c>
      <c r="AA412" s="257">
        <f>altaz((J2000_Bas+(2*0.04167)),$O412,$M412,DecLat,DecLong,1)</f>
        <v>-63.143671097448902</v>
      </c>
      <c r="AB412" s="257">
        <f>altaz((J2000_Bas+(4*0.04167)),$O412,$M412,DecLat,DecLong,1)</f>
        <v>-60.801564684489982</v>
      </c>
      <c r="AC412" s="257">
        <f>altaz((J2000_Bas+(6*0.04167)),$O412,$M412,DecLat,DecLong,1)</f>
        <v>-39.426451190985318</v>
      </c>
      <c r="AD412" s="258">
        <f>1+ transit((J2000_Bas-1),$O412,$M412,DecLat,DecLong)/360 + (GMTOffset/24) + (IF(DST="Y", 1, 0)/24)</f>
        <v>1.405781863785958</v>
      </c>
      <c r="AE412" s="259">
        <f>DATE(2001,9,21)+(M412/360)*365 - (360*((DecLong/360)- (GMTOffset/24) ))</f>
        <v>37310.701909722222</v>
      </c>
      <c r="AF412" s="260">
        <f>IF(DecLat&gt;0,IF((90 - (DecLat-O412))&gt;90, (90 - (O412-DecLat)), (90 - (DecLat-O412))),IF((90 + (DecLat-O412))&gt;90, (90 + (O412-DecLat)), (90 + (DecLat-O412))))</f>
        <v>52.15</v>
      </c>
      <c r="AG412" s="257">
        <f>angularseperation(MoonRA,MoonDec,$M412,$O412)</f>
        <v>96.221555645405132</v>
      </c>
      <c r="AH412" s="261">
        <f ca="1">MIN(100,IF($O$5&gt;80,0+30*($AG412/100),IF($O$5&gt;70,0+50*($AG412/100),IF($O$5&gt;60,5+50*($AG412/100),IF($O$5&gt;50,10+60*($AG412/100),IF($O$5&gt;40,15+70*($AG412/100),IF($O$5&gt;30,20+70*($AG412/100),IF($O$5&gt;20,40+55*($AG412/100),(80+(20-$O$5)+30*($AG412/100))))))))))</f>
        <v>100</v>
      </c>
      <c r="AI412" s="262"/>
      <c r="AJ412" s="262">
        <v>575</v>
      </c>
      <c r="AK412" s="262"/>
      <c r="AL412" s="263"/>
      <c r="AM412" s="264"/>
      <c r="AN412" s="263">
        <v>292</v>
      </c>
      <c r="AO412" s="263"/>
      <c r="AP412" s="265"/>
      <c r="AQ412" s="266"/>
      <c r="AR412" s="267">
        <v>28575</v>
      </c>
      <c r="AS412" s="263"/>
      <c r="AT412" s="263"/>
      <c r="AU412" s="263"/>
      <c r="AV412" s="264"/>
      <c r="AW412" s="263"/>
      <c r="AX412" s="263"/>
      <c r="AY412" s="263"/>
      <c r="AZ412" s="263"/>
      <c r="BA412" s="263"/>
      <c r="BB412" s="263"/>
      <c r="BC412" s="263"/>
      <c r="BD412" s="264"/>
      <c r="BE412" s="263"/>
      <c r="BF412" s="263"/>
      <c r="BG412" s="263"/>
      <c r="BH412" s="263"/>
      <c r="BI412" s="263"/>
      <c r="BJ412" s="404">
        <f>altaz(J2000_Bas,$O412,$M412,DecLat,DecLong,2)</f>
        <v>292.1655668050505</v>
      </c>
      <c r="BK412" s="378" t="s">
        <v>512</v>
      </c>
      <c r="BL412" s="379">
        <f>IF((2*G412)/60&lt;0.2,0.2,(2*G412)/60)</f>
        <v>0.2</v>
      </c>
      <c r="BM412" s="380">
        <f>MOD((50000+AD412-$B$3+(0/24)),1)</f>
        <v>0.62114879349246621</v>
      </c>
      <c r="BN412" s="381" t="s">
        <v>9218</v>
      </c>
      <c r="BO412" s="382">
        <v>412</v>
      </c>
    </row>
    <row r="413" spans="1:67" s="24" customFormat="1" ht="15" customHeight="1" x14ac:dyDescent="0.25">
      <c r="A413" s="288" t="s">
        <v>513</v>
      </c>
      <c r="B413" s="241" t="str">
        <f>HYPERLINK(CONCATENATE($AT$3,BK413,$AU$3),$AV$3)</f>
        <v>S</v>
      </c>
      <c r="C413" s="242" t="str">
        <f>HYPERLINK(CONCATENATE($AT$4,BK413,$AU$4,BL413),$AV$4)</f>
        <v>A</v>
      </c>
      <c r="D413" s="243" t="s">
        <v>5638</v>
      </c>
      <c r="E413" s="244" t="s">
        <v>28</v>
      </c>
      <c r="F413" s="269"/>
      <c r="G413" s="273">
        <v>1.3</v>
      </c>
      <c r="H413" s="283">
        <v>250</v>
      </c>
      <c r="I413" s="246">
        <v>95</v>
      </c>
      <c r="J413" s="246">
        <v>2</v>
      </c>
      <c r="K413" s="247" t="s">
        <v>4353</v>
      </c>
      <c r="L413" s="248">
        <v>165831</v>
      </c>
      <c r="M413" s="249">
        <f>15*(LEFT(TEXT($L413,"000000"),2)+(MID(TEXT($L413,"000000"),3,2)/60)+(RIGHT(TEXT($L413,"000000"),2)/3600))</f>
        <v>254.62916666666666</v>
      </c>
      <c r="N413" s="250">
        <v>585600</v>
      </c>
      <c r="O413" s="251">
        <f>IF($N413&gt;0,(LEFT(TEXT($N413,"000000"),2)+(MID(TEXT($N413,"000000"),3,2)/60)+(RIGHT(TEXT($N413,"000000"),2)/3600)),-(MID(TEXT($N413,"000000"),2,2)+(MID(TEXT($N413,"000000"),4,2)/60)+(RIGHT(TEXT($N413,"000000"),2)/3600)))</f>
        <v>58.93333333333333</v>
      </c>
      <c r="P413" s="252" t="s">
        <v>34</v>
      </c>
      <c r="Q413" s="253"/>
      <c r="R413" s="247" t="s">
        <v>3650</v>
      </c>
      <c r="S413" s="272" t="s">
        <v>3293</v>
      </c>
      <c r="T413" s="273">
        <v>13.3</v>
      </c>
      <c r="U413" s="289">
        <v>22.490000000000002</v>
      </c>
      <c r="V413" s="280"/>
      <c r="W413" s="244"/>
      <c r="X413" s="244"/>
      <c r="Y413" s="362"/>
      <c r="Z413" s="257">
        <f>altaz(J2000_Bas,$O413,$M413,DecLat,DecLong,1)</f>
        <v>54.96697651671964</v>
      </c>
      <c r="AA413" s="257">
        <f>altaz((J2000_Bas+(2*0.04167)),$O413,$M413,DecLat,DecLong,1)</f>
        <v>40.73115785942705</v>
      </c>
      <c r="AB413" s="257">
        <f>altaz((J2000_Bas+(4*0.04167)),$O413,$M413,DecLat,DecLong,1)</f>
        <v>25.420460035629137</v>
      </c>
      <c r="AC413" s="257">
        <f>altaz((J2000_Bas+(6*0.04167)),$O413,$M413,DecLat,DecLong,1)</f>
        <v>12.07622938857701</v>
      </c>
      <c r="AD413" s="258">
        <f>1+ transit((J2000_Bas-1),$O413,$M413,DecLat,DecLong)/360 + (GMTOffset/24) + (IF(DST="Y", 1, 0)/24)</f>
        <v>1.7002031306401248</v>
      </c>
      <c r="AE413" s="259">
        <f>DATE(2001,9,21)+(M413/360)*365 - (360*((DecLong/360)- (GMTOffset/24) ))</f>
        <v>37418.165682870371</v>
      </c>
      <c r="AF413" s="260">
        <f>IF(DecLat&gt;0,IF((90 - (DecLat-O413))&gt;90, (90 - (O413-DecLat)), (90 - (DecLat-O413))),IF((90 + (DecLat-O413))&gt;90, (90 + (O413-DecLat)), (90 + (DecLat-O413))))</f>
        <v>62.06666666666667</v>
      </c>
      <c r="AG413" s="257">
        <f>angularseperation(MoonRA,MoonDec,$M413,$O413)</f>
        <v>86.133977615917274</v>
      </c>
      <c r="AH413" s="261">
        <f ca="1">MIN(100,IF($O$5&gt;80,0+30*($AG413/100),IF($O$5&gt;70,0+50*($AG413/100),IF($O$5&gt;60,5+50*($AG413/100),IF($O$5&gt;50,10+60*($AG413/100),IF($O$5&gt;40,15+70*($AG413/100),IF($O$5&gt;30,20+70*($AG413/100),IF($O$5&gt;20,40+55*($AG413/100),(80+(20-$O$5)+30*($AG413/100))))))))))</f>
        <v>100</v>
      </c>
      <c r="AI413" s="262">
        <v>6286</v>
      </c>
      <c r="AJ413" s="262"/>
      <c r="AK413" s="262"/>
      <c r="AL413" s="263"/>
      <c r="AM413" s="264"/>
      <c r="AN413" s="263">
        <v>293</v>
      </c>
      <c r="AO413" s="263"/>
      <c r="AP413" s="265"/>
      <c r="AQ413" s="266">
        <v>10647</v>
      </c>
      <c r="AR413" s="267">
        <v>59352</v>
      </c>
      <c r="AS413" s="263"/>
      <c r="AT413" s="263"/>
      <c r="AU413" s="263"/>
      <c r="AV413" s="264"/>
      <c r="AW413" s="263"/>
      <c r="AX413" s="263"/>
      <c r="AY413" s="263"/>
      <c r="AZ413" s="263"/>
      <c r="BA413" s="263"/>
      <c r="BB413" s="263"/>
      <c r="BC413" s="263"/>
      <c r="BD413" s="264"/>
      <c r="BE413" s="263"/>
      <c r="BF413" s="263"/>
      <c r="BG413" s="263"/>
      <c r="BH413" s="263">
        <v>22</v>
      </c>
      <c r="BI413" s="263"/>
      <c r="BJ413" s="404">
        <f>altaz(J2000_Bas,$O413,$M413,DecLat,DecLong,2)</f>
        <v>332.09539199231443</v>
      </c>
      <c r="BK413" s="378" t="s">
        <v>513</v>
      </c>
      <c r="BL413" s="379">
        <f>IF((2*G413)/60&lt;0.2,0.2,(2*G413)/60)</f>
        <v>0.2</v>
      </c>
      <c r="BM413" s="380">
        <f>MOD((50000+AD413-$B$3+(0/24)),1)</f>
        <v>0.91557006034418009</v>
      </c>
      <c r="BN413" s="381"/>
      <c r="BO413" s="382">
        <v>413</v>
      </c>
    </row>
    <row r="414" spans="1:67" s="24" customFormat="1" ht="15" customHeight="1" x14ac:dyDescent="0.25">
      <c r="A414" s="288" t="s">
        <v>514</v>
      </c>
      <c r="B414" s="241" t="str">
        <f>HYPERLINK(CONCATENATE($AT$3,BK414,$AU$3),$AV$3)</f>
        <v>S</v>
      </c>
      <c r="C414" s="242" t="str">
        <f>HYPERLINK(CONCATENATE($AT$4,BK414,$AU$4,BL414),$AV$4)</f>
        <v>A</v>
      </c>
      <c r="D414" s="243" t="s">
        <v>5638</v>
      </c>
      <c r="E414" s="244" t="s">
        <v>5178</v>
      </c>
      <c r="F414" s="269" t="s">
        <v>8647</v>
      </c>
      <c r="G414" s="273">
        <v>2.2000000000000002</v>
      </c>
      <c r="H414" s="283">
        <v>130</v>
      </c>
      <c r="I414" s="246">
        <v>80</v>
      </c>
      <c r="J414" s="246">
        <v>3</v>
      </c>
      <c r="K414" s="247" t="s">
        <v>4354</v>
      </c>
      <c r="L414" s="248">
        <v>113942</v>
      </c>
      <c r="M414" s="249">
        <f>15*(LEFT(TEXT($L414,"000000"),2)+(MID(TEXT($L414,"000000"),3,2)/60)+(RIGHT(TEXT($L414,"000000"),2)/3600))</f>
        <v>174.92500000000001</v>
      </c>
      <c r="N414" s="250">
        <v>315400</v>
      </c>
      <c r="O414" s="251">
        <f>IF($N414&gt;0,(LEFT(TEXT($N414,"000000"),2)+(MID(TEXT($N414,"000000"),3,2)/60)+(RIGHT(TEXT($N414,"000000"),2)/3600)),-(MID(TEXT($N414,"000000"),2,2)+(MID(TEXT($N414,"000000"),4,2)/60)+(RIGHT(TEXT($N414,"000000"),2)/3600)))</f>
        <v>31.9</v>
      </c>
      <c r="P414" s="252" t="s">
        <v>37</v>
      </c>
      <c r="Q414" s="253"/>
      <c r="R414" s="247" t="s">
        <v>3564</v>
      </c>
      <c r="S414" s="272" t="s">
        <v>3293</v>
      </c>
      <c r="T414" s="273">
        <v>12.5</v>
      </c>
      <c r="U414" s="289">
        <v>22.19</v>
      </c>
      <c r="V414" s="280"/>
      <c r="W414" s="244"/>
      <c r="X414" s="244"/>
      <c r="Y414" s="362"/>
      <c r="Z414" s="257">
        <f>altaz(J2000_Bas,$O414,$M414,DecLat,DecLong,1)</f>
        <v>0.59917782154535482</v>
      </c>
      <c r="AA414" s="257">
        <f>altaz((J2000_Bas+(2*0.04167)),$O414,$M414,DecLat,DecLong,1)</f>
        <v>-17.137485296329473</v>
      </c>
      <c r="AB414" s="257">
        <f>altaz((J2000_Bas+(4*0.04167)),$O414,$M414,DecLat,DecLong,1)</f>
        <v>-26.555795638959729</v>
      </c>
      <c r="AC414" s="257">
        <f>altaz((J2000_Bas+(6*0.04167)),$O414,$M414,DecLat,DecLong,1)</f>
        <v>-23.934471207513951</v>
      </c>
      <c r="AD414" s="258">
        <f>1+ transit((J2000_Bas-1),$O414,$M414,DecLat,DecLong)/360 + (GMTOffset/24) + (IF(DST="Y", 1, 0)/24)</f>
        <v>1.478802689817208</v>
      </c>
      <c r="AE414" s="259">
        <f>DATE(2001,9,21)+(M414/360)*365 - (360*((DecLong/360)- (GMTOffset/24) ))</f>
        <v>37337.354513888888</v>
      </c>
      <c r="AF414" s="260">
        <f>IF(DecLat&gt;0,IF((90 - (DecLat-O414))&gt;90, (90 - (O414-DecLat)), (90 - (DecLat-O414))),IF((90 + (DecLat-O414))&gt;90, (90 + (O414-DecLat)), (90 + (DecLat-O414))))</f>
        <v>89.1</v>
      </c>
      <c r="AG414" s="257">
        <f>angularseperation(MoonRA,MoonDec,$M414,$O414)</f>
        <v>92.078691973804254</v>
      </c>
      <c r="AH414" s="261">
        <f ca="1">MIN(100,IF($O$5&gt;80,0+30*($AG414/100),IF($O$5&gt;70,0+50*($AG414/100),IF($O$5&gt;60,5+50*($AG414/100),IF($O$5&gt;50,10+60*($AG414/100),IF($O$5&gt;40,15+70*($AG414/100),IF($O$5&gt;30,20+70*($AG414/100),IF($O$5&gt;20,40+55*($AG414/100),(80+(20-$O$5)+30*($AG414/100))))))))))</f>
        <v>100</v>
      </c>
      <c r="AI414" s="262">
        <v>3786</v>
      </c>
      <c r="AJ414" s="262"/>
      <c r="AK414" s="262"/>
      <c r="AL414" s="263"/>
      <c r="AM414" s="264"/>
      <c r="AN414" s="263">
        <v>294</v>
      </c>
      <c r="AO414" s="263"/>
      <c r="AP414" s="265"/>
      <c r="AQ414" s="266">
        <v>6621</v>
      </c>
      <c r="AR414" s="267">
        <v>36158</v>
      </c>
      <c r="AS414" s="263"/>
      <c r="AT414" s="263"/>
      <c r="AU414" s="263"/>
      <c r="AV414" s="264"/>
      <c r="AW414" s="263"/>
      <c r="AX414" s="263"/>
      <c r="AY414" s="263"/>
      <c r="AZ414" s="263"/>
      <c r="BA414" s="263"/>
      <c r="BB414" s="263"/>
      <c r="BC414" s="263"/>
      <c r="BD414" s="264"/>
      <c r="BE414" s="263"/>
      <c r="BF414" s="263"/>
      <c r="BG414" s="263"/>
      <c r="BH414" s="263">
        <v>21</v>
      </c>
      <c r="BI414" s="263"/>
      <c r="BJ414" s="404">
        <f>altaz(J2000_Bas,$O414,$M414,DecLat,DecLong,2)</f>
        <v>307.60712738390157</v>
      </c>
      <c r="BK414" s="378" t="s">
        <v>514</v>
      </c>
      <c r="BL414" s="379">
        <f>IF((2*G414)/60&lt;0.2,0.2,(2*G414)/60)</f>
        <v>0.2</v>
      </c>
      <c r="BM414" s="380">
        <f>MOD((50000+AD414-$B$3+(0/24)),1)</f>
        <v>0.69416961952083511</v>
      </c>
      <c r="BN414" s="381"/>
      <c r="BO414" s="382">
        <v>414</v>
      </c>
    </row>
    <row r="415" spans="1:67" s="24" customFormat="1" ht="15" customHeight="1" x14ac:dyDescent="0.25">
      <c r="A415" s="288" t="s">
        <v>515</v>
      </c>
      <c r="B415" s="241" t="str">
        <f>HYPERLINK(CONCATENATE($AT$3,BK415,$AU$3),$AV$3)</f>
        <v>S</v>
      </c>
      <c r="C415" s="242" t="str">
        <f>HYPERLINK(CONCATENATE($AT$4,BK415,$AU$4,BL415),$AV$4)</f>
        <v>A</v>
      </c>
      <c r="D415" s="243" t="s">
        <v>5638</v>
      </c>
      <c r="E415" s="244" t="s">
        <v>5337</v>
      </c>
      <c r="F415" s="269" t="s">
        <v>9135</v>
      </c>
      <c r="G415" s="273">
        <v>2</v>
      </c>
      <c r="H415" s="283">
        <v>300</v>
      </c>
      <c r="I415" s="246">
        <v>180</v>
      </c>
      <c r="J415" s="246">
        <v>3</v>
      </c>
      <c r="K415" s="247" t="s">
        <v>4355</v>
      </c>
      <c r="L415" s="248">
        <v>234204</v>
      </c>
      <c r="M415" s="249">
        <f>15*(LEFT(TEXT($L415,"000000"),2)+(MID(TEXT($L415,"000000"),3,2)/60)+(RIGHT(TEXT($L415,"000000"),2)/3600))</f>
        <v>355.51666666666665</v>
      </c>
      <c r="N415" s="250">
        <v>-33500</v>
      </c>
      <c r="O415" s="251">
        <f>IF($N415&gt;0,(LEFT(TEXT($N415,"000000"),2)+(MID(TEXT($N415,"000000"),3,2)/60)+(RIGHT(TEXT($N415,"000000"),2)/3600)),-(MID(TEXT($N415,"000000"),2,2)+(MID(TEXT($N415,"000000"),4,2)/60)+(RIGHT(TEXT($N415,"000000"),2)/3600)))</f>
        <v>-3.5833333333333335</v>
      </c>
      <c r="P415" s="252" t="s">
        <v>3119</v>
      </c>
      <c r="Q415" s="253"/>
      <c r="R415" s="247" t="s">
        <v>3293</v>
      </c>
      <c r="S415" s="272" t="s">
        <v>3293</v>
      </c>
      <c r="T415" s="273">
        <v>14.5</v>
      </c>
      <c r="U415" s="274"/>
      <c r="V415" s="280"/>
      <c r="W415" s="244"/>
      <c r="X415" s="244"/>
      <c r="Y415" s="362"/>
      <c r="Z415" s="257">
        <f>altaz(J2000_Bas,$O415,$M415,DecLat,DecLong,1)</f>
        <v>15.498496552676658</v>
      </c>
      <c r="AA415" s="257">
        <f>altaz((J2000_Bas+(2*0.04167)),$O415,$M415,DecLat,DecLong,1)</f>
        <v>38.946716168691985</v>
      </c>
      <c r="AB415" s="257">
        <f>altaz((J2000_Bas+(4*0.04167)),$O415,$M415,DecLat,DecLong,1)</f>
        <v>54.28669173231841</v>
      </c>
      <c r="AC415" s="257">
        <f>altaz((J2000_Bas+(6*0.04167)),$O415,$M415,DecLat,DecLong,1)</f>
        <v>50.162578129479328</v>
      </c>
      <c r="AD415" s="258">
        <f>1+ transit((J2000_Bas-1),$O415,$M415,DecLat,DecLong)/360 + (GMTOffset/24) + (IF(DST="Y", 1, 0)/24)</f>
        <v>1.9804461581713746</v>
      </c>
      <c r="AE415" s="259">
        <f>DATE(2001,9,21)+(M415/360)*365 - (360*((DecLong/360)- (GMTOffset/24) ))</f>
        <v>37520.454398148147</v>
      </c>
      <c r="AF415" s="260">
        <f>IF(DecLat&gt;0,IF((90 - (DecLat-O415))&gt;90, (90 - (O415-DecLat)), (90 - (DecLat-O415))),IF((90 + (DecLat-O415))&gt;90, (90 + (O415-DecLat)), (90 + (DecLat-O415))))</f>
        <v>55.416666666666664</v>
      </c>
      <c r="AG415" s="257">
        <f>angularseperation(MoonRA,MoonDec,$M415,$O415)</f>
        <v>102.7423976992915</v>
      </c>
      <c r="AH415" s="261">
        <f ca="1">MIN(100,IF($O$5&gt;80,0+30*($AG415/100),IF($O$5&gt;70,0+50*($AG415/100),IF($O$5&gt;60,5+50*($AG415/100),IF($O$5&gt;50,10+60*($AG415/100),IF($O$5&gt;40,15+70*($AG415/100),IF($O$5&gt;30,20+70*($AG415/100),IF($O$5&gt;20,40+55*($AG415/100),(80+(20-$O$5)+30*($AG415/100))))))))))</f>
        <v>100</v>
      </c>
      <c r="AI415" s="262"/>
      <c r="AJ415" s="262"/>
      <c r="AK415" s="262"/>
      <c r="AL415" s="263"/>
      <c r="AM415" s="264"/>
      <c r="AN415" s="263">
        <v>295</v>
      </c>
      <c r="AO415" s="263"/>
      <c r="AP415" s="265"/>
      <c r="AQ415" s="266"/>
      <c r="AR415" s="267">
        <v>72139</v>
      </c>
      <c r="AS415" s="296"/>
      <c r="AT415" s="263"/>
      <c r="AU415" s="263"/>
      <c r="AV415" s="264"/>
      <c r="AW415" s="263"/>
      <c r="AX415" s="263"/>
      <c r="AY415" s="263"/>
      <c r="AZ415" s="263"/>
      <c r="BA415" s="263"/>
      <c r="BB415" s="263"/>
      <c r="BC415" s="263"/>
      <c r="BD415" s="264"/>
      <c r="BE415" s="263"/>
      <c r="BF415" s="263"/>
      <c r="BG415" s="263"/>
      <c r="BH415" s="263">
        <v>23</v>
      </c>
      <c r="BI415" s="263"/>
      <c r="BJ415" s="404">
        <f>altaz(J2000_Bas,$O415,$M415,DecLat,DecLong,2)</f>
        <v>104.02130394840201</v>
      </c>
      <c r="BK415" s="378" t="s">
        <v>515</v>
      </c>
      <c r="BL415" s="379">
        <f>IF((2*G415)/60&lt;0.2,0.2,(2*G415)/60)</f>
        <v>0.2</v>
      </c>
      <c r="BM415" s="380">
        <f>MOD((50000+AD415-$B$3+(0/24)),1)</f>
        <v>0.19581308787746821</v>
      </c>
      <c r="BN415" s="381"/>
      <c r="BO415" s="382">
        <v>415</v>
      </c>
    </row>
    <row r="416" spans="1:67" s="24" customFormat="1" ht="15" customHeight="1" x14ac:dyDescent="0.25">
      <c r="A416" s="288" t="s">
        <v>516</v>
      </c>
      <c r="B416" s="241" t="str">
        <f>HYPERLINK(CONCATENATE($AT$3,BK416,$AU$3),$AV$3)</f>
        <v>S</v>
      </c>
      <c r="C416" s="242" t="str">
        <f>HYPERLINK(CONCATENATE($AT$4,BK416,$AU$4,BL416),$AV$4)</f>
        <v>A</v>
      </c>
      <c r="D416" s="243" t="s">
        <v>5638</v>
      </c>
      <c r="E416" s="244" t="s">
        <v>5337</v>
      </c>
      <c r="F416" s="269" t="s">
        <v>3319</v>
      </c>
      <c r="G416" s="270">
        <v>0.5</v>
      </c>
      <c r="H416" s="283">
        <v>800</v>
      </c>
      <c r="I416" s="246">
        <v>120</v>
      </c>
      <c r="J416" s="246">
        <v>2</v>
      </c>
      <c r="K416" s="247" t="s">
        <v>4356</v>
      </c>
      <c r="L416" s="248">
        <v>112853</v>
      </c>
      <c r="M416" s="249">
        <f>15*(LEFT(TEXT($L416,"000000"),2)+(MID(TEXT($L416,"000000"),3,2)/60)+(RIGHT(TEXT($L416,"000000"),2)/3600))</f>
        <v>172.22083333333333</v>
      </c>
      <c r="N416" s="250">
        <v>583300</v>
      </c>
      <c r="O416" s="251">
        <f>IF($N416&gt;0,(LEFT(TEXT($N416,"000000"),2)+(MID(TEXT($N416,"000000"),3,2)/60)+(RIGHT(TEXT($N416,"000000"),2)/3600)),-(MID(TEXT($N416,"000000"),2,2)+(MID(TEXT($N416,"000000"),4,2)/60)+(RIGHT(TEXT($N416,"000000"),2)/3600)))</f>
        <v>58.55</v>
      </c>
      <c r="P416" s="252" t="s">
        <v>37</v>
      </c>
      <c r="Q416" s="253"/>
      <c r="R416" s="247" t="s">
        <v>3293</v>
      </c>
      <c r="S416" s="272" t="s">
        <v>519</v>
      </c>
      <c r="T416" s="273">
        <v>15.7</v>
      </c>
      <c r="U416" s="274"/>
      <c r="V416" s="280"/>
      <c r="W416" s="244"/>
      <c r="X416" s="244"/>
      <c r="Y416" s="362"/>
      <c r="Z416" s="257">
        <f>altaz(J2000_Bas,$O416,$M416,DecLat,DecLong,1)</f>
        <v>15.012454451132021</v>
      </c>
      <c r="AA416" s="257">
        <f>altaz((J2000_Bas+(2*0.04167)),$O416,$M416,DecLat,DecLong,1)</f>
        <v>4.4836034165572398</v>
      </c>
      <c r="AB416" s="257">
        <f>altaz((J2000_Bas+(4*0.04167)),$O416,$M416,DecLat,DecLong,1)</f>
        <v>-0.30731794242881205</v>
      </c>
      <c r="AC416" s="257">
        <f>altaz((J2000_Bas+(6*0.04167)),$O416,$M416,DecLat,DecLong,1)</f>
        <v>1.7720842500866272</v>
      </c>
      <c r="AD416" s="258">
        <f>1+ transit((J2000_Bas-1),$O416,$M416,DecLat,DecLong)/360 + (GMTOffset/24) + (IF(DST="Y", 1, 0)/24)</f>
        <v>1.4712911164942912</v>
      </c>
      <c r="AE416" s="259">
        <f>DATE(2001,9,21)+(M416/360)*365 - (360*((DecLong/360)- (GMTOffset/24) ))</f>
        <v>37334.61278935185</v>
      </c>
      <c r="AF416" s="260">
        <f>IF(DecLat&gt;0,IF((90 - (DecLat-O416))&gt;90, (90 - (O416-DecLat)), (90 - (DecLat-O416))),IF((90 + (DecLat-O416))&gt;90, (90 + (O416-DecLat)), (90 + (DecLat-O416))))</f>
        <v>62.45</v>
      </c>
      <c r="AG416" s="257">
        <f>angularseperation(MoonRA,MoonDec,$M416,$O416)</f>
        <v>106.50390765448905</v>
      </c>
      <c r="AH416" s="261">
        <f ca="1">MIN(100,IF($O$5&gt;80,0+30*($AG416/100),IF($O$5&gt;70,0+50*($AG416/100),IF($O$5&gt;60,5+50*($AG416/100),IF($O$5&gt;50,10+60*($AG416/100),IF($O$5&gt;40,15+70*($AG416/100),IF($O$5&gt;30,20+70*($AG416/100),IF($O$5&gt;20,40+55*($AG416/100),(80+(20-$O$5)+30*($AG416/100))))))))))</f>
        <v>100</v>
      </c>
      <c r="AI416" s="262"/>
      <c r="AJ416" s="262"/>
      <c r="AK416" s="262"/>
      <c r="AL416" s="263"/>
      <c r="AM416" s="264"/>
      <c r="AN416" s="263">
        <v>296</v>
      </c>
      <c r="AO416" s="263"/>
      <c r="AP416" s="265"/>
      <c r="AQ416" s="266"/>
      <c r="AR416" s="267">
        <v>35345</v>
      </c>
      <c r="AS416" s="263"/>
      <c r="AT416" s="263"/>
      <c r="AU416" s="263"/>
      <c r="AV416" s="264"/>
      <c r="AW416" s="263"/>
      <c r="AX416" s="263"/>
      <c r="AY416" s="263"/>
      <c r="AZ416" s="263"/>
      <c r="BA416" s="263"/>
      <c r="BB416" s="263"/>
      <c r="BC416" s="263"/>
      <c r="BD416" s="264"/>
      <c r="BE416" s="263"/>
      <c r="BF416" s="263"/>
      <c r="BG416" s="263"/>
      <c r="BH416" s="263">
        <v>80</v>
      </c>
      <c r="BI416" s="263"/>
      <c r="BJ416" s="404">
        <f>altaz(J2000_Bas,$O416,$M416,DecLat,DecLong,2)</f>
        <v>330.37491679112094</v>
      </c>
      <c r="BK416" s="378" t="s">
        <v>516</v>
      </c>
      <c r="BL416" s="379">
        <f>IF((2*G416)/60&lt;0.2,0.2,(2*G416)/60)</f>
        <v>0.2</v>
      </c>
      <c r="BM416" s="380">
        <f>MOD((50000+AD416-$B$3+(0/24)),1)</f>
        <v>0.68665804620104609</v>
      </c>
      <c r="BN416" s="381"/>
      <c r="BO416" s="382">
        <v>416</v>
      </c>
    </row>
    <row r="417" spans="1:67" s="24" customFormat="1" ht="15" customHeight="1" x14ac:dyDescent="0.25">
      <c r="A417" s="288" t="s">
        <v>517</v>
      </c>
      <c r="B417" s="241" t="str">
        <f>HYPERLINK(CONCATENATE($AT$3,BK417,$AU$3),$AV$3)</f>
        <v>S</v>
      </c>
      <c r="C417" s="242" t="str">
        <f>HYPERLINK(CONCATENATE($AT$4,BK417,$AU$4,BL417),$AV$4)</f>
        <v>A</v>
      </c>
      <c r="D417" s="243" t="s">
        <v>5638</v>
      </c>
      <c r="E417" s="244" t="s">
        <v>5625</v>
      </c>
      <c r="F417" s="290" t="s">
        <v>9155</v>
      </c>
      <c r="G417" s="291">
        <v>6</v>
      </c>
      <c r="H417" s="283">
        <v>200</v>
      </c>
      <c r="I417" s="284">
        <v>350</v>
      </c>
      <c r="J417" s="246">
        <v>2</v>
      </c>
      <c r="K417" s="247" t="s">
        <v>4357</v>
      </c>
      <c r="L417" s="248">
        <v>144524</v>
      </c>
      <c r="M417" s="249">
        <f>15*(LEFT(TEXT($L417,"000000"),2)+(MID(TEXT($L417,"000000"),3,2)/60)+(RIGHT(TEXT($L417,"000000"),2)/3600))</f>
        <v>221.35</v>
      </c>
      <c r="N417" s="250">
        <v>384600</v>
      </c>
      <c r="O417" s="251">
        <f>IF($N417&gt;0,(LEFT(TEXT($N417,"000000"),2)+(MID(TEXT($N417,"000000"),3,2)/60)+(RIGHT(TEXT($N417,"000000"),2)/3600)),-(MID(TEXT($N417,"000000"),2,2)+(MID(TEXT($N417,"000000"),4,2)/60)+(RIGHT(TEXT($N417,"000000"),2)/3600)))</f>
        <v>38.766666666666666</v>
      </c>
      <c r="P417" s="252" t="s">
        <v>260</v>
      </c>
      <c r="Q417" s="253"/>
      <c r="R417" s="247" t="s">
        <v>3627</v>
      </c>
      <c r="S417" s="272" t="s">
        <v>3293</v>
      </c>
      <c r="T417" s="273">
        <v>13</v>
      </c>
      <c r="U417" s="289">
        <v>23.19</v>
      </c>
      <c r="V417" s="280"/>
      <c r="W417" s="244"/>
      <c r="X417" s="244"/>
      <c r="Y417" s="362"/>
      <c r="Z417" s="257">
        <f>altaz(J2000_Bas,$O417,$M417,DecLat,DecLong,1)</f>
        <v>37.489000914437902</v>
      </c>
      <c r="AA417" s="257">
        <f>altaz((J2000_Bas+(2*0.04167)),$O417,$M417,DecLat,DecLong,1)</f>
        <v>15.503469539971142</v>
      </c>
      <c r="AB417" s="257">
        <f>altaz((J2000_Bas+(4*0.04167)),$O417,$M417,DecLat,DecLong,1)</f>
        <v>-3.3907254922341532</v>
      </c>
      <c r="AC417" s="257">
        <f>altaz((J2000_Bas+(6*0.04167)),$O417,$M417,DecLat,DecLong,1)</f>
        <v>-16.425201641693107</v>
      </c>
      <c r="AD417" s="258">
        <f>1+ transit((J2000_Bas-1),$O417,$M417,DecLat,DecLong)/360 + (GMTOffset/24) + (IF(DST="Y", 1, 0)/24)</f>
        <v>1.607761010254708</v>
      </c>
      <c r="AE417" s="259">
        <f>DATE(2001,9,21)+(M417/360)*365 - (360*((DecLong/360)- (GMTOffset/24) ))</f>
        <v>37384.424305555556</v>
      </c>
      <c r="AF417" s="260">
        <f>IF(DecLat&gt;0,IF((90 - (DecLat-O417))&gt;90, (90 - (O417-DecLat)), (90 - (DecLat-O417))),IF((90 + (DecLat-O417))&gt;90, (90 + (O417-DecLat)), (90 + (DecLat-O417))))</f>
        <v>82.233333333333334</v>
      </c>
      <c r="AG417" s="257">
        <f>angularseperation(MoonRA,MoonDec,$M417,$O417)</f>
        <v>70.824014816386381</v>
      </c>
      <c r="AH417" s="261">
        <f ca="1">MIN(100,IF($O$5&gt;80,0+30*($AG417/100),IF($O$5&gt;70,0+50*($AG417/100),IF($O$5&gt;60,5+50*($AG417/100),IF($O$5&gt;50,10+60*($AG417/100),IF($O$5&gt;40,15+70*($AG417/100),IF($O$5&gt;30,20+70*($AG417/100),IF($O$5&gt;20,40+55*($AG417/100),(80+(20-$O$5)+30*($AG417/100))))))))))</f>
        <v>100</v>
      </c>
      <c r="AI417" s="262">
        <v>5754</v>
      </c>
      <c r="AJ417" s="262"/>
      <c r="AK417" s="262"/>
      <c r="AL417" s="263"/>
      <c r="AM417" s="264"/>
      <c r="AN417" s="263">
        <v>297</v>
      </c>
      <c r="AO417" s="263"/>
      <c r="AP417" s="265"/>
      <c r="AQ417" s="266">
        <v>9505</v>
      </c>
      <c r="AR417" s="267">
        <v>52686</v>
      </c>
      <c r="AS417" s="263"/>
      <c r="AT417" s="263"/>
      <c r="AU417" s="263"/>
      <c r="AV417" s="264"/>
      <c r="AW417" s="263"/>
      <c r="AX417" s="263"/>
      <c r="AY417" s="263"/>
      <c r="AZ417" s="263"/>
      <c r="BA417" s="263"/>
      <c r="BB417" s="263"/>
      <c r="BC417" s="263"/>
      <c r="BD417" s="264"/>
      <c r="BE417" s="263"/>
      <c r="BF417" s="263"/>
      <c r="BG417" s="263"/>
      <c r="BH417" s="263"/>
      <c r="BI417" s="263"/>
      <c r="BJ417" s="404">
        <f>altaz(J2000_Bas,$O417,$M417,DecLat,DecLong,2)</f>
        <v>297.37103245922106</v>
      </c>
      <c r="BK417" s="378" t="s">
        <v>517</v>
      </c>
      <c r="BL417" s="379">
        <f>IF((2*G417)/60&lt;0.2,0.2,(2*G417)/60)</f>
        <v>0.2</v>
      </c>
      <c r="BM417" s="380">
        <f>MOD((50000+AD417-$B$3+(0/24)),1)</f>
        <v>0.82312793995515676</v>
      </c>
      <c r="BN417" s="381"/>
      <c r="BO417" s="382">
        <v>417</v>
      </c>
    </row>
    <row r="418" spans="1:67" s="24" customFormat="1" ht="15" customHeight="1" x14ac:dyDescent="0.25">
      <c r="A418" s="288" t="s">
        <v>518</v>
      </c>
      <c r="B418" s="241" t="str">
        <f>HYPERLINK(CONCATENATE($AT$3,BK418,$AU$3),$AV$3)</f>
        <v>S</v>
      </c>
      <c r="C418" s="242" t="str">
        <f>HYPERLINK(CONCATENATE($AT$4,BK418,$AU$4,BL418),$AV$4)</f>
        <v>A</v>
      </c>
      <c r="D418" s="243" t="s">
        <v>5638</v>
      </c>
      <c r="E418" s="244" t="s">
        <v>5178</v>
      </c>
      <c r="F418" s="269" t="s">
        <v>6500</v>
      </c>
      <c r="G418" s="273">
        <v>1.7</v>
      </c>
      <c r="H418" s="283">
        <v>230</v>
      </c>
      <c r="I418" s="246">
        <v>120</v>
      </c>
      <c r="J418" s="246">
        <v>2</v>
      </c>
      <c r="K418" s="247" t="s">
        <v>4358</v>
      </c>
      <c r="L418" s="248">
        <v>230318</v>
      </c>
      <c r="M418" s="249">
        <f>15*(LEFT(TEXT($L418,"000000"),2)+(MID(TEXT($L418,"000000"),3,2)/60)+(RIGHT(TEXT($L418,"000000"),2)/3600))</f>
        <v>345.82499999999999</v>
      </c>
      <c r="N418" s="250">
        <v>85300</v>
      </c>
      <c r="O418" s="251">
        <f>IF($N418&gt;0,(LEFT(TEXT($N418,"000000"),2)+(MID(TEXT($N418,"000000"),3,2)/60)+(RIGHT(TEXT($N418,"000000"),2)/3600)),-(MID(TEXT($N418,"000000"),2,2)+(MID(TEXT($N418,"000000"),4,2)/60)+(RIGHT(TEXT($N418,"000000"),2)/3600)))</f>
        <v>8.8833333333333329</v>
      </c>
      <c r="P418" s="252" t="s">
        <v>39</v>
      </c>
      <c r="Q418" s="253"/>
      <c r="R418" s="247" t="s">
        <v>3749</v>
      </c>
      <c r="S418" s="272" t="s">
        <v>3293</v>
      </c>
      <c r="T418" s="273">
        <v>12</v>
      </c>
      <c r="U418" s="289">
        <v>21.29</v>
      </c>
      <c r="V418" s="280"/>
      <c r="W418" s="244"/>
      <c r="X418" s="244"/>
      <c r="Y418" s="362"/>
      <c r="Z418" s="257">
        <f>altaz(J2000_Bas,$O418,$M418,DecLat,DecLong,1)</f>
        <v>30.347825991183917</v>
      </c>
      <c r="AA418" s="257">
        <f>altaz((J2000_Bas+(2*0.04167)),$O418,$M418,DecLat,DecLong,1)</f>
        <v>54.576279151996559</v>
      </c>
      <c r="AB418" s="257">
        <f>altaz((J2000_Bas+(4*0.04167)),$O418,$M418,DecLat,DecLong,1)</f>
        <v>67.880973749876645</v>
      </c>
      <c r="AC418" s="257">
        <f>altaz((J2000_Bas+(6*0.04167)),$O418,$M418,DecLat,DecLong,1)</f>
        <v>54.071519800155947</v>
      </c>
      <c r="AD418" s="258">
        <f>1+ transit((J2000_Bas-1),$O418,$M418,DecLat,DecLong)/360 + (GMTOffset/24) + (IF(DST="Y", 1, 0)/24)</f>
        <v>1.9535248645672081</v>
      </c>
      <c r="AE418" s="259">
        <f>DATE(2001,9,21)+(M418/360)*365 - (360*((DecLong/360)- (GMTOffset/24) ))</f>
        <v>37510.628125000003</v>
      </c>
      <c r="AF418" s="260">
        <f>IF(DecLat&gt;0,IF((90 - (DecLat-O418))&gt;90, (90 - (O418-DecLat)), (90 - (DecLat-O418))),IF((90 + (DecLat-O418))&gt;90, (90 + (O418-DecLat)), (90 + (DecLat-O418))))</f>
        <v>67.883333333333326</v>
      </c>
      <c r="AG418" s="257">
        <f>angularseperation(MoonRA,MoonDec,$M418,$O418)</f>
        <v>99.855041418238685</v>
      </c>
      <c r="AH418" s="261">
        <f ca="1">MIN(100,IF($O$5&gt;80,0+30*($AG418/100),IF($O$5&gt;70,0+50*($AG418/100),IF($O$5&gt;60,5+50*($AG418/100),IF($O$5&gt;50,10+60*($AG418/100),IF($O$5&gt;40,15+70*($AG418/100),IF($O$5&gt;30,20+70*($AG418/100),IF($O$5&gt;20,40+55*($AG418/100),(80+(20-$O$5)+30*($AG418/100))))))))))</f>
        <v>100</v>
      </c>
      <c r="AI418" s="262"/>
      <c r="AJ418" s="262">
        <v>5283</v>
      </c>
      <c r="AK418" s="262"/>
      <c r="AL418" s="263"/>
      <c r="AM418" s="264"/>
      <c r="AN418" s="263">
        <v>298</v>
      </c>
      <c r="AO418" s="263"/>
      <c r="AP418" s="265"/>
      <c r="AQ418" s="266"/>
      <c r="AR418" s="267">
        <v>70350</v>
      </c>
      <c r="AS418" s="263"/>
      <c r="AT418" s="263"/>
      <c r="AU418" s="263"/>
      <c r="AV418" s="264"/>
      <c r="AW418" s="263"/>
      <c r="AX418" s="263"/>
      <c r="AY418" s="263"/>
      <c r="AZ418" s="263"/>
      <c r="BA418" s="263"/>
      <c r="BB418" s="263"/>
      <c r="BC418" s="263"/>
      <c r="BD418" s="264"/>
      <c r="BE418" s="263"/>
      <c r="BF418" s="263"/>
      <c r="BG418" s="263"/>
      <c r="BH418" s="263"/>
      <c r="BI418" s="263"/>
      <c r="BJ418" s="404">
        <f>altaz(J2000_Bas,$O418,$M418,DecLat,DecLong,2)</f>
        <v>98.223049918496955</v>
      </c>
      <c r="BK418" s="378" t="s">
        <v>518</v>
      </c>
      <c r="BL418" s="379">
        <f>IF((2*G418)/60&lt;0.2,0.2,(2*G418)/60)</f>
        <v>0.2</v>
      </c>
      <c r="BM418" s="380">
        <f>MOD((50000+AD418-$B$3+(0/24)),1)</f>
        <v>0.16889179427380441</v>
      </c>
      <c r="BN418" s="381"/>
      <c r="BO418" s="382">
        <v>418</v>
      </c>
    </row>
    <row r="419" spans="1:67" s="24" customFormat="1" ht="15" customHeight="1" x14ac:dyDescent="0.25">
      <c r="A419" s="288" t="s">
        <v>519</v>
      </c>
      <c r="B419" s="241" t="str">
        <f>HYPERLINK(CONCATENATE($AT$3,BK419,$AU$3),$AV$3)</f>
        <v>S</v>
      </c>
      <c r="C419" s="242" t="str">
        <f>HYPERLINK(CONCATENATE($AT$4,BK419,$AU$4,BL419),$AV$4)</f>
        <v>A</v>
      </c>
      <c r="D419" s="243" t="s">
        <v>5638</v>
      </c>
      <c r="E419" s="244" t="s">
        <v>5337</v>
      </c>
      <c r="F419" s="269" t="s">
        <v>3301</v>
      </c>
      <c r="G419" s="273">
        <v>1.5</v>
      </c>
      <c r="H419" s="283">
        <v>140</v>
      </c>
      <c r="I419" s="246">
        <v>60</v>
      </c>
      <c r="J419" s="246">
        <v>2</v>
      </c>
      <c r="K419" s="247" t="s">
        <v>4359</v>
      </c>
      <c r="L419" s="248">
        <v>112828</v>
      </c>
      <c r="M419" s="249">
        <f>15*(LEFT(TEXT($L419,"000000"),2)+(MID(TEXT($L419,"000000"),3,2)/60)+(RIGHT(TEXT($L419,"000000"),2)/3600))</f>
        <v>172.11666666666667</v>
      </c>
      <c r="N419" s="250">
        <v>583400</v>
      </c>
      <c r="O419" s="251">
        <f>IF($N419&gt;0,(LEFT(TEXT($N419,"000000"),2)+(MID(TEXT($N419,"000000"),3,2)/60)+(RIGHT(TEXT($N419,"000000"),2)/3600)),-(MID(TEXT($N419,"000000"),2,2)+(MID(TEXT($N419,"000000"),4,2)/60)+(RIGHT(TEXT($N419,"000000"),2)/3600)))</f>
        <v>58.56666666666667</v>
      </c>
      <c r="P419" s="252" t="s">
        <v>37</v>
      </c>
      <c r="Q419" s="253"/>
      <c r="R419" s="247" t="s">
        <v>3560</v>
      </c>
      <c r="S419" s="272" t="s">
        <v>516</v>
      </c>
      <c r="T419" s="273">
        <v>11.2</v>
      </c>
      <c r="U419" s="289">
        <v>20.79</v>
      </c>
      <c r="V419" s="280"/>
      <c r="W419" s="244"/>
      <c r="X419" s="244"/>
      <c r="Y419" s="362"/>
      <c r="Z419" s="257">
        <f>altaz(J2000_Bas,$O419,$M419,DecLat,DecLong,1)</f>
        <v>14.978083348185226</v>
      </c>
      <c r="AA419" s="257">
        <f>altaz((J2000_Bas+(2*0.04167)),$O419,$M419,DecLat,DecLong,1)</f>
        <v>4.47046149067448</v>
      </c>
      <c r="AB419" s="257">
        <f>altaz((J2000_Bas+(4*0.04167)),$O419,$M419,DecLat,DecLong,1)</f>
        <v>-0.29558438082157051</v>
      </c>
      <c r="AC419" s="257">
        <f>altaz((J2000_Bas+(6*0.04167)),$O419,$M419,DecLat,DecLong,1)</f>
        <v>1.806714872123004</v>
      </c>
      <c r="AD419" s="258">
        <f>1+ transit((J2000_Bas-1),$O419,$M419,DecLat,DecLong)/360 + (GMTOffset/24) + (IF(DST="Y", 1, 0)/24)</f>
        <v>1.4710017646713747</v>
      </c>
      <c r="AE419" s="259">
        <f>DATE(2001,9,21)+(M419/360)*365 - (360*((DecLong/360)- (GMTOffset/24) ))</f>
        <v>37334.507175925923</v>
      </c>
      <c r="AF419" s="260">
        <f>IF(DecLat&gt;0,IF((90 - (DecLat-O419))&gt;90, (90 - (O419-DecLat)), (90 - (DecLat-O419))),IF((90 + (DecLat-O419))&gt;90, (90 + (O419-DecLat)), (90 + (DecLat-O419))))</f>
        <v>62.43333333333333</v>
      </c>
      <c r="AG419" s="257">
        <f>angularseperation(MoonRA,MoonDec,$M419,$O419)</f>
        <v>106.56017603365898</v>
      </c>
      <c r="AH419" s="261">
        <f ca="1">MIN(100,IF($O$5&gt;80,0+30*($AG419/100),IF($O$5&gt;70,0+50*($AG419/100),IF($O$5&gt;60,5+50*($AG419/100),IF($O$5&gt;50,10+60*($AG419/100),IF($O$5&gt;40,15+70*($AG419/100),IF($O$5&gt;30,20+70*($AG419/100),IF($O$5&gt;20,40+55*($AG419/100),(80+(20-$O$5)+30*($AG419/100))))))))))</f>
        <v>100</v>
      </c>
      <c r="AI419" s="262">
        <v>3690</v>
      </c>
      <c r="AJ419" s="262"/>
      <c r="AK419" s="262"/>
      <c r="AL419" s="263"/>
      <c r="AM419" s="264"/>
      <c r="AN419" s="263">
        <v>299</v>
      </c>
      <c r="AO419" s="263"/>
      <c r="AP419" s="265"/>
      <c r="AQ419" s="266">
        <v>6472</v>
      </c>
      <c r="AR419" s="267">
        <v>35326</v>
      </c>
      <c r="AS419" s="263"/>
      <c r="AT419" s="263"/>
      <c r="AU419" s="263"/>
      <c r="AV419" s="264"/>
      <c r="AW419" s="263"/>
      <c r="AX419" s="263"/>
      <c r="AY419" s="263"/>
      <c r="AZ419" s="263"/>
      <c r="BA419" s="263"/>
      <c r="BB419" s="263"/>
      <c r="BC419" s="263"/>
      <c r="BD419" s="264"/>
      <c r="BE419" s="263"/>
      <c r="BF419" s="263"/>
      <c r="BG419" s="263"/>
      <c r="BH419" s="263"/>
      <c r="BI419" s="263"/>
      <c r="BJ419" s="404">
        <f>altaz(J2000_Bas,$O419,$M419,DecLat,DecLong,2)</f>
        <v>330.42177681331077</v>
      </c>
      <c r="BK419" s="378" t="s">
        <v>519</v>
      </c>
      <c r="BL419" s="379">
        <f>IF((2*G419)/60&lt;0.2,0.2,(2*G419)/60)</f>
        <v>0.2</v>
      </c>
      <c r="BM419" s="380">
        <f>MOD((50000+AD419-$B$3+(0/24)),1)</f>
        <v>0.68636869437614223</v>
      </c>
      <c r="BN419" s="381" t="s">
        <v>9281</v>
      </c>
      <c r="BO419" s="382">
        <v>419</v>
      </c>
    </row>
    <row r="420" spans="1:67" s="24" customFormat="1" ht="15" customHeight="1" x14ac:dyDescent="0.25">
      <c r="A420" s="288" t="s">
        <v>520</v>
      </c>
      <c r="B420" s="241" t="str">
        <f>HYPERLINK(CONCATENATE($AT$3,BK420,$AU$3),$AV$3)</f>
        <v>S</v>
      </c>
      <c r="C420" s="242" t="str">
        <f>HYPERLINK(CONCATENATE($AT$4,BK420,$AU$4,BL420),$AV$4)</f>
        <v>A</v>
      </c>
      <c r="D420" s="243" t="s">
        <v>5638</v>
      </c>
      <c r="E420" s="244" t="s">
        <v>5178</v>
      </c>
      <c r="F420" s="269"/>
      <c r="G420" s="270">
        <v>0.7</v>
      </c>
      <c r="H420" s="283">
        <v>180</v>
      </c>
      <c r="I420" s="246">
        <v>35</v>
      </c>
      <c r="J420" s="246">
        <v>2</v>
      </c>
      <c r="K420" s="247" t="s">
        <v>4360</v>
      </c>
      <c r="L420" s="248">
        <v>92750</v>
      </c>
      <c r="M420" s="249">
        <f>15*(LEFT(TEXT($L420,"000000"),2)+(MID(TEXT($L420,"000000"),3,2)/60)+(RIGHT(TEXT($L420,"000000"),2)/3600))</f>
        <v>141.95833333333331</v>
      </c>
      <c r="N420" s="250">
        <v>682400</v>
      </c>
      <c r="O420" s="251">
        <f>IF($N420&gt;0,(LEFT(TEXT($N420,"000000"),2)+(MID(TEXT($N420,"000000"),3,2)/60)+(RIGHT(TEXT($N420,"000000"),2)/3600)),-(MID(TEXT($N420,"000000"),2,2)+(MID(TEXT($N420,"000000"),4,2)/60)+(RIGHT(TEXT($N420,"000000"),2)/3600)))</f>
        <v>68.400000000000006</v>
      </c>
      <c r="P420" s="252" t="s">
        <v>37</v>
      </c>
      <c r="Q420" s="253"/>
      <c r="R420" s="247" t="s">
        <v>3293</v>
      </c>
      <c r="S420" s="272" t="s">
        <v>3293</v>
      </c>
      <c r="T420" s="273">
        <v>14.3</v>
      </c>
      <c r="U420" s="274"/>
      <c r="V420" s="280"/>
      <c r="W420" s="244"/>
      <c r="X420" s="244"/>
      <c r="Y420" s="362"/>
      <c r="Z420" s="257">
        <f>altaz(J2000_Bas,$O420,$M420,DecLat,DecLong,1)</f>
        <v>12.911529467104613</v>
      </c>
      <c r="AA420" s="257">
        <f>altaz((J2000_Bas+(2*0.04167)),$O420,$M420,DecLat,DecLong,1)</f>
        <v>9.4961407653561789</v>
      </c>
      <c r="AB420" s="257">
        <f>altaz((J2000_Bas+(4*0.04167)),$O420,$M420,DecLat,DecLong,1)</f>
        <v>11.016179103042013</v>
      </c>
      <c r="AC420" s="257">
        <f>altaz((J2000_Bas+(6*0.04167)),$O420,$M420,DecLat,DecLong,1)</f>
        <v>17.141221312114858</v>
      </c>
      <c r="AD420" s="258">
        <f>1+ transit((J2000_Bas-1),$O420,$M420,DecLat,DecLong)/360 + (GMTOffset/24) + (IF(DST="Y", 1, 0)/24)</f>
        <v>1.3872286249005412</v>
      </c>
      <c r="AE420" s="259">
        <f>DATE(2001,9,21)+(M420/360)*365 - (360*((DecLong/360)- (GMTOffset/24) ))</f>
        <v>37303.929976851854</v>
      </c>
      <c r="AF420" s="260">
        <f>IF(DecLat&gt;0,IF((90 - (DecLat-O420))&gt;90, (90 - (O420-DecLat)), (90 - (DecLat-O420))),IF((90 + (DecLat-O420))&gt;90, (90 + (O420-DecLat)), (90 + (DecLat-O420))))</f>
        <v>52.599999999999994</v>
      </c>
      <c r="AG420" s="257">
        <f>angularseperation(MoonRA,MoonDec,$M420,$O420)</f>
        <v>121.37933630481973</v>
      </c>
      <c r="AH420" s="261">
        <f ca="1">MIN(100,IF($O$5&gt;80,0+30*($AG420/100),IF($O$5&gt;70,0+50*($AG420/100),IF($O$5&gt;60,5+50*($AG420/100),IF($O$5&gt;50,10+60*($AG420/100),IF($O$5&gt;40,15+70*($AG420/100),IF($O$5&gt;30,20+70*($AG420/100),IF($O$5&gt;20,40+55*($AG420/100),(80+(20-$O$5)+30*($AG420/100))))))))))</f>
        <v>100</v>
      </c>
      <c r="AI420" s="262"/>
      <c r="AJ420" s="262"/>
      <c r="AK420" s="262"/>
      <c r="AL420" s="263"/>
      <c r="AM420" s="264"/>
      <c r="AN420" s="263">
        <v>300</v>
      </c>
      <c r="AO420" s="263"/>
      <c r="AP420" s="265"/>
      <c r="AQ420" s="266">
        <v>5028</v>
      </c>
      <c r="AR420" s="267">
        <v>26849</v>
      </c>
      <c r="AS420" s="263"/>
      <c r="AT420" s="263"/>
      <c r="AU420" s="263"/>
      <c r="AV420" s="264"/>
      <c r="AW420" s="263"/>
      <c r="AX420" s="263"/>
      <c r="AY420" s="263"/>
      <c r="AZ420" s="263"/>
      <c r="BA420" s="263"/>
      <c r="BB420" s="263"/>
      <c r="BC420" s="263"/>
      <c r="BD420" s="264"/>
      <c r="BE420" s="263"/>
      <c r="BF420" s="263"/>
      <c r="BG420" s="263"/>
      <c r="BH420" s="263"/>
      <c r="BI420" s="263"/>
      <c r="BJ420" s="404">
        <f>altaz(J2000_Bas,$O420,$M420,DecLat,DecLong,2)</f>
        <v>347.18788567624716</v>
      </c>
      <c r="BK420" s="378" t="s">
        <v>520</v>
      </c>
      <c r="BL420" s="379">
        <f>IF((2*G420)/60&lt;0.2,0.2,(2*G420)/60)</f>
        <v>0.2</v>
      </c>
      <c r="BM420" s="380">
        <f>MOD((50000+AD420-$B$3+(0/24)),1)</f>
        <v>0.60259555460652336</v>
      </c>
      <c r="BN420" s="381"/>
      <c r="BO420" s="382">
        <v>420</v>
      </c>
    </row>
    <row r="421" spans="1:67" s="24" customFormat="1" ht="15" customHeight="1" x14ac:dyDescent="0.25">
      <c r="A421" s="288" t="s">
        <v>521</v>
      </c>
      <c r="B421" s="241" t="str">
        <f>HYPERLINK(CONCATENATE($AT$3,BK421,$AU$3),$AV$3)</f>
        <v>S</v>
      </c>
      <c r="C421" s="242" t="str">
        <f>HYPERLINK(CONCATENATE($AT$4,BK421,$AU$4,BL421),$AV$4)</f>
        <v>A</v>
      </c>
      <c r="D421" s="243" t="s">
        <v>5638</v>
      </c>
      <c r="E421" s="244" t="s">
        <v>5178</v>
      </c>
      <c r="F421" s="269"/>
      <c r="G421" s="273">
        <v>1.5</v>
      </c>
      <c r="H421" s="283">
        <v>280</v>
      </c>
      <c r="I421" s="246">
        <v>120</v>
      </c>
      <c r="J421" s="246">
        <v>2</v>
      </c>
      <c r="K421" s="247" t="s">
        <v>4360</v>
      </c>
      <c r="L421" s="248">
        <v>110951</v>
      </c>
      <c r="M421" s="249">
        <f>15*(LEFT(TEXT($L421,"000000"),2)+(MID(TEXT($L421,"000000"),3,2)/60)+(RIGHT(TEXT($L421,"000000"),2)/3600))</f>
        <v>167.46250000000001</v>
      </c>
      <c r="N421" s="250">
        <v>241500</v>
      </c>
      <c r="O421" s="251">
        <f>IF($N421&gt;0,(LEFT(TEXT($N421,"000000"),2)+(MID(TEXT($N421,"000000"),3,2)/60)+(RIGHT(TEXT($N421,"000000"),2)/3600)),-(MID(TEXT($N421,"000000"),2,2)+(MID(TEXT($N421,"000000"),4,2)/60)+(RIGHT(TEXT($N421,"000000"),2)/3600)))</f>
        <v>24.25</v>
      </c>
      <c r="P421" s="252" t="s">
        <v>183</v>
      </c>
      <c r="Q421" s="253"/>
      <c r="R421" s="247" t="s">
        <v>3293</v>
      </c>
      <c r="S421" s="272" t="s">
        <v>3293</v>
      </c>
      <c r="T421" s="273">
        <v>15</v>
      </c>
      <c r="U421" s="274"/>
      <c r="V421" s="280"/>
      <c r="W421" s="244"/>
      <c r="X421" s="244"/>
      <c r="Y421" s="362"/>
      <c r="Z421" s="257">
        <f>altaz(J2000_Bas,$O421,$M421,DecLat,DecLong,1)</f>
        <v>-9.3148858759875086</v>
      </c>
      <c r="AA421" s="257">
        <f>altaz((J2000_Bas+(2*0.04167)),$O421,$M421,DecLat,DecLong,1)</f>
        <v>-27.111089773922693</v>
      </c>
      <c r="AB421" s="257">
        <f>altaz((J2000_Bas+(4*0.04167)),$O421,$M421,DecLat,DecLong,1)</f>
        <v>-34.736171898444624</v>
      </c>
      <c r="AC421" s="257">
        <f>altaz((J2000_Bas+(6*0.04167)),$O421,$M421,DecLat,DecLong,1)</f>
        <v>-28.253105372257945</v>
      </c>
      <c r="AD421" s="258">
        <f>1+ transit((J2000_Bas-1),$O421,$M421,DecLat,DecLong)/360 + (GMTOffset/24) + (IF(DST="Y", 1, 0)/24)</f>
        <v>1.458073525223458</v>
      </c>
      <c r="AE421" s="259">
        <f>DATE(2001,9,21)+(M421/360)*365 - (360*((DecLong/360)- (GMTOffset/24) ))</f>
        <v>37329.788368055553</v>
      </c>
      <c r="AF421" s="260">
        <f>IF(DecLat&gt;0,IF((90 - (DecLat-O421))&gt;90, (90 - (O421-DecLat)), (90 - (DecLat-O421))),IF((90 + (DecLat-O421))&gt;90, (90 + (O421-DecLat)), (90 + (DecLat-O421))))</f>
        <v>83.25</v>
      </c>
      <c r="AG421" s="257">
        <f>angularseperation(MoonRA,MoonDec,$M421,$O421)</f>
        <v>94.067273065532234</v>
      </c>
      <c r="AH421" s="261">
        <f ca="1">MIN(100,IF($O$5&gt;80,0+30*($AG421/100),IF($O$5&gt;70,0+50*($AG421/100),IF($O$5&gt;60,5+50*($AG421/100),IF($O$5&gt;50,10+60*($AG421/100),IF($O$5&gt;40,15+70*($AG421/100),IF($O$5&gt;30,20+70*($AG421/100),IF($O$5&gt;20,40+55*($AG421/100),(80+(20-$O$5)+30*($AG421/100))))))))))</f>
        <v>100</v>
      </c>
      <c r="AI421" s="262"/>
      <c r="AJ421" s="262"/>
      <c r="AK421" s="262"/>
      <c r="AL421" s="263"/>
      <c r="AM421" s="264"/>
      <c r="AN421" s="263">
        <v>301</v>
      </c>
      <c r="AO421" s="263"/>
      <c r="AP421" s="265"/>
      <c r="AQ421" s="266">
        <v>6204</v>
      </c>
      <c r="AR421" s="267"/>
      <c r="AS421" s="263"/>
      <c r="AT421" s="263"/>
      <c r="AU421" s="263"/>
      <c r="AV421" s="264"/>
      <c r="AW421" s="263"/>
      <c r="AX421" s="263"/>
      <c r="AY421" s="263"/>
      <c r="AZ421" s="263"/>
      <c r="BA421" s="263"/>
      <c r="BB421" s="263"/>
      <c r="BC421" s="263"/>
      <c r="BD421" s="264"/>
      <c r="BE421" s="263"/>
      <c r="BF421" s="263"/>
      <c r="BG421" s="263"/>
      <c r="BH421" s="263"/>
      <c r="BI421" s="263"/>
      <c r="BJ421" s="404">
        <f>altaz(J2000_Bas,$O421,$M421,DecLat,DecLong,2)</f>
        <v>305.74057011467903</v>
      </c>
      <c r="BK421" s="378" t="s">
        <v>521</v>
      </c>
      <c r="BL421" s="379">
        <f>IF((2*G421)/60&lt;0.2,0.2,(2*G421)/60)</f>
        <v>0.2</v>
      </c>
      <c r="BM421" s="380">
        <f>MOD((50000+AD421-$B$3+(0/24)),1)</f>
        <v>0.67344045492791338</v>
      </c>
      <c r="BN421" s="381"/>
      <c r="BO421" s="382">
        <v>421</v>
      </c>
    </row>
    <row r="422" spans="1:67" s="24" customFormat="1" ht="15" customHeight="1" x14ac:dyDescent="0.25">
      <c r="A422" s="288" t="s">
        <v>522</v>
      </c>
      <c r="B422" s="241" t="str">
        <f>HYPERLINK(CONCATENATE($AT$3,BK422,$AU$3),$AV$3)</f>
        <v>S</v>
      </c>
      <c r="C422" s="242" t="str">
        <f>HYPERLINK(CONCATENATE($AT$4,BK422,$AU$4,BL422),$AV$4)</f>
        <v>A</v>
      </c>
      <c r="D422" s="243" t="s">
        <v>5638</v>
      </c>
      <c r="E422" s="244" t="s">
        <v>5178</v>
      </c>
      <c r="F422" s="269"/>
      <c r="G422" s="270">
        <v>0.7</v>
      </c>
      <c r="H422" s="283">
        <v>500</v>
      </c>
      <c r="I422" s="246">
        <v>100</v>
      </c>
      <c r="J422" s="246">
        <v>2</v>
      </c>
      <c r="K422" s="247" t="s">
        <v>4361</v>
      </c>
      <c r="L422" s="248">
        <v>145700</v>
      </c>
      <c r="M422" s="249">
        <f>15*(LEFT(TEXT($L422,"000000"),2)+(MID(TEXT($L422,"000000"),3,2)/60)+(RIGHT(TEXT($L422,"000000"),2)/3600))</f>
        <v>224.25</v>
      </c>
      <c r="N422" s="250">
        <v>243600</v>
      </c>
      <c r="O422" s="251">
        <f>IF($N422&gt;0,(LEFT(TEXT($N422,"000000"),2)+(MID(TEXT($N422,"000000"),3,2)/60)+(RIGHT(TEXT($N422,"000000"),2)/3600)),-(MID(TEXT($N422,"000000"),2,2)+(MID(TEXT($N422,"000000"),4,2)/60)+(RIGHT(TEXT($N422,"000000"),2)/3600)))</f>
        <v>24.6</v>
      </c>
      <c r="P422" s="252" t="s">
        <v>260</v>
      </c>
      <c r="Q422" s="253"/>
      <c r="R422" s="247" t="s">
        <v>3293</v>
      </c>
      <c r="S422" s="272" t="s">
        <v>393</v>
      </c>
      <c r="T422" s="273">
        <v>15</v>
      </c>
      <c r="U422" s="274"/>
      <c r="V422" s="280"/>
      <c r="W422" s="244"/>
      <c r="X422" s="244"/>
      <c r="Y422" s="362"/>
      <c r="Z422" s="257">
        <f>altaz(J2000_Bas,$O422,$M422,DecLat,DecLong,1)</f>
        <v>35.680086233608186</v>
      </c>
      <c r="AA422" s="257">
        <f>altaz((J2000_Bas+(2*0.04167)),$O422,$M422,DecLat,DecLong,1)</f>
        <v>10.918621266570819</v>
      </c>
      <c r="AB422" s="257">
        <f>altaz((J2000_Bas+(4*0.04167)),$O422,$M422,DecLat,DecLong,1)</f>
        <v>-11.40237186757679</v>
      </c>
      <c r="AC422" s="257">
        <f>altaz((J2000_Bas+(6*0.04167)),$O422,$M422,DecLat,DecLong,1)</f>
        <v>-28.279954016480918</v>
      </c>
      <c r="AD422" s="258">
        <f>1+ transit((J2000_Bas-1),$O422,$M422,DecLat,DecLong)/360 + (GMTOffset/24) + (IF(DST="Y", 1, 0)/24)</f>
        <v>1.615816565004708</v>
      </c>
      <c r="AE422" s="259">
        <f>DATE(2001,9,21)+(M422/360)*365 - (360*((DecLong/360)- (GMTOffset/24) ))</f>
        <v>37387.364583333336</v>
      </c>
      <c r="AF422" s="260">
        <f>IF(DecLat&gt;0,IF((90 - (DecLat-O422))&gt;90, (90 - (O422-DecLat)), (90 - (DecLat-O422))),IF((90 + (DecLat-O422))&gt;90, (90 + (O422-DecLat)), (90 + (DecLat-O422))))</f>
        <v>83.6</v>
      </c>
      <c r="AG422" s="257">
        <f>angularseperation(MoonRA,MoonDec,$M422,$O422)</f>
        <v>57.030081208497776</v>
      </c>
      <c r="AH422" s="261">
        <f ca="1">MIN(100,IF($O$5&gt;80,0+30*($AG422/100),IF($O$5&gt;70,0+50*($AG422/100),IF($O$5&gt;60,5+50*($AG422/100),IF($O$5&gt;50,10+60*($AG422/100),IF($O$5&gt;40,15+70*($AG422/100),IF($O$5&gt;30,20+70*($AG422/100),IF($O$5&gt;20,40+55*($AG422/100),(80+(20-$O$5)+30*($AG422/100))))))))))</f>
        <v>100</v>
      </c>
      <c r="AI422" s="262"/>
      <c r="AJ422" s="262"/>
      <c r="AK422" s="262"/>
      <c r="AL422" s="263"/>
      <c r="AM422" s="264"/>
      <c r="AN422" s="263">
        <v>302</v>
      </c>
      <c r="AO422" s="263"/>
      <c r="AP422" s="265"/>
      <c r="AQ422" s="266">
        <v>9618</v>
      </c>
      <c r="AR422" s="267"/>
      <c r="AS422" s="263"/>
      <c r="AT422" s="263"/>
      <c r="AU422" s="263"/>
      <c r="AV422" s="264"/>
      <c r="AW422" s="263"/>
      <c r="AX422" s="263"/>
      <c r="AY422" s="263"/>
      <c r="AZ422" s="263"/>
      <c r="BA422" s="263"/>
      <c r="BB422" s="263"/>
      <c r="BC422" s="263"/>
      <c r="BD422" s="264"/>
      <c r="BE422" s="263"/>
      <c r="BF422" s="263"/>
      <c r="BG422" s="263"/>
      <c r="BH422" s="263"/>
      <c r="BI422" s="263"/>
      <c r="BJ422" s="404">
        <f>altaz(J2000_Bas,$O422,$M422,DecLat,DecLong,2)</f>
        <v>279.5803838696533</v>
      </c>
      <c r="BK422" s="378" t="s">
        <v>522</v>
      </c>
      <c r="BL422" s="379">
        <f>IF((2*G422)/60&lt;0.2,0.2,(2*G422)/60)</f>
        <v>0.2</v>
      </c>
      <c r="BM422" s="380">
        <f>MOD((50000+AD422-$B$3+(0/24)),1)</f>
        <v>0.83118349470896646</v>
      </c>
      <c r="BN422" s="381"/>
      <c r="BO422" s="382">
        <v>422</v>
      </c>
    </row>
    <row r="423" spans="1:67" s="24" customFormat="1" ht="15" customHeight="1" x14ac:dyDescent="0.25">
      <c r="A423" s="288" t="s">
        <v>523</v>
      </c>
      <c r="B423" s="241" t="str">
        <f>HYPERLINK(CONCATENATE($AT$3,BK423,$AU$3),$AV$3)</f>
        <v>S</v>
      </c>
      <c r="C423" s="242" t="str">
        <f>HYPERLINK(CONCATENATE($AT$4,BK423,$AU$4,BL423),$AV$4)</f>
        <v>A</v>
      </c>
      <c r="D423" s="243" t="s">
        <v>5638</v>
      </c>
      <c r="E423" s="244" t="s">
        <v>5178</v>
      </c>
      <c r="F423" s="269"/>
      <c r="G423" s="273">
        <v>1</v>
      </c>
      <c r="H423" s="283">
        <v>280</v>
      </c>
      <c r="I423" s="246">
        <v>90</v>
      </c>
      <c r="J423" s="246">
        <v>2</v>
      </c>
      <c r="K423" s="247" t="s">
        <v>5001</v>
      </c>
      <c r="L423" s="248">
        <v>94620</v>
      </c>
      <c r="M423" s="249">
        <f>15*(LEFT(TEXT($L423,"000000"),2)+(MID(TEXT($L423,"000000"),3,2)/60)+(RIGHT(TEXT($L423,"000000"),2)/3600))</f>
        <v>146.58333333333337</v>
      </c>
      <c r="N423" s="250">
        <v>30200</v>
      </c>
      <c r="O423" s="251">
        <f>IF($N423&gt;0,(LEFT(TEXT($N423,"000000"),2)+(MID(TEXT($N423,"000000"),3,2)/60)+(RIGHT(TEXT($N423,"000000"),2)/3600)),-(MID(TEXT($N423,"000000"),2,2)+(MID(TEXT($N423,"000000"),4,2)/60)+(RIGHT(TEXT($N423,"000000"),2)/3600)))</f>
        <v>3.0333333333333332</v>
      </c>
      <c r="P423" s="252" t="s">
        <v>263</v>
      </c>
      <c r="Q423" s="253"/>
      <c r="R423" s="247" t="s">
        <v>3717</v>
      </c>
      <c r="S423" s="272" t="s">
        <v>3293</v>
      </c>
      <c r="T423" s="273">
        <v>14.9</v>
      </c>
      <c r="U423" s="289">
        <v>21.39</v>
      </c>
      <c r="V423" s="280"/>
      <c r="W423" s="244"/>
      <c r="X423" s="244"/>
      <c r="Y423" s="362"/>
      <c r="Z423" s="257">
        <f>altaz(J2000_Bas,$O423,$M423,DecLat,DecLong,1)</f>
        <v>-38.524116351519268</v>
      </c>
      <c r="AA423" s="257">
        <f>altaz((J2000_Bas+(2*0.04167)),$O423,$M423,DecLat,DecLong,1)</f>
        <v>-54.527023638350023</v>
      </c>
      <c r="AB423" s="257">
        <f>altaz((J2000_Bas+(4*0.04167)),$O423,$M423,DecLat,DecLong,1)</f>
        <v>-51.184959153597447</v>
      </c>
      <c r="AC423" s="257">
        <f>altaz((J2000_Bas+(6*0.04167)),$O423,$M423,DecLat,DecLong,1)</f>
        <v>-31.781710435666366</v>
      </c>
      <c r="AD423" s="258">
        <f>1+ transit((J2000_Bas-1),$O423,$M423,DecLat,DecLong)/360 + (GMTOffset/24) + (IF(DST="Y", 1, 0)/24)</f>
        <v>1.4000758458380413</v>
      </c>
      <c r="AE423" s="259">
        <f>DATE(2001,9,21)+(M423/360)*365 - (360*((DecLong/360)- (GMTOffset/24) ))</f>
        <v>37308.619212962964</v>
      </c>
      <c r="AF423" s="260">
        <f>IF(DecLat&gt;0,IF((90 - (DecLat-O423))&gt;90, (90 - (O423-DecLat)), (90 - (DecLat-O423))),IF((90 + (DecLat-O423))&gt;90, (90 + (O423-DecLat)), (90 + (DecLat-O423))))</f>
        <v>62.033333333333331</v>
      </c>
      <c r="AG423" s="257">
        <f>angularseperation(MoonRA,MoonDec,$M423,$O423)</f>
        <v>102.64615547747607</v>
      </c>
      <c r="AH423" s="261">
        <f ca="1">MIN(100,IF($O$5&gt;80,0+30*($AG423/100),IF($O$5&gt;70,0+50*($AG423/100),IF($O$5&gt;60,5+50*($AG423/100),IF($O$5&gt;50,10+60*($AG423/100),IF($O$5&gt;40,15+70*($AG423/100),IF($O$5&gt;30,20+70*($AG423/100),IF($O$5&gt;20,40+55*($AG423/100),(80+(20-$O$5)+30*($AG423/100))))))))))</f>
        <v>100</v>
      </c>
      <c r="AI423" s="262"/>
      <c r="AJ423" s="262">
        <v>563</v>
      </c>
      <c r="AK423" s="262"/>
      <c r="AL423" s="263"/>
      <c r="AM423" s="264"/>
      <c r="AN423" s="263">
        <v>303</v>
      </c>
      <c r="AO423" s="263"/>
      <c r="AP423" s="265"/>
      <c r="AQ423" s="266"/>
      <c r="AR423" s="267">
        <v>28032</v>
      </c>
      <c r="AS423" s="263"/>
      <c r="AT423" s="263"/>
      <c r="AU423" s="263"/>
      <c r="AV423" s="264"/>
      <c r="AW423" s="263"/>
      <c r="AX423" s="263"/>
      <c r="AY423" s="263"/>
      <c r="AZ423" s="263"/>
      <c r="BA423" s="263"/>
      <c r="BB423" s="263"/>
      <c r="BC423" s="263"/>
      <c r="BD423" s="264"/>
      <c r="BE423" s="263"/>
      <c r="BF423" s="263"/>
      <c r="BG423" s="263"/>
      <c r="BH423" s="263"/>
      <c r="BI423" s="263"/>
      <c r="BJ423" s="404">
        <f>altaz(J2000_Bas,$O423,$M423,DecLat,DecLong,2)</f>
        <v>303.86712896147964</v>
      </c>
      <c r="BK423" s="378" t="s">
        <v>523</v>
      </c>
      <c r="BL423" s="379">
        <f>IF((2*G423)/60&lt;0.2,0.2,(2*G423)/60)</f>
        <v>0.2</v>
      </c>
      <c r="BM423" s="380">
        <f>MOD((50000+AD423-$B$3+(0/24)),1)</f>
        <v>0.61544277553912252</v>
      </c>
      <c r="BN423" s="381"/>
      <c r="BO423" s="382">
        <v>423</v>
      </c>
    </row>
    <row r="424" spans="1:67" s="24" customFormat="1" ht="15" customHeight="1" x14ac:dyDescent="0.25">
      <c r="A424" s="288" t="s">
        <v>524</v>
      </c>
      <c r="B424" s="241" t="str">
        <f>HYPERLINK(CONCATENATE($AT$3,BK424,$AU$3),$AV$3)</f>
        <v>S</v>
      </c>
      <c r="C424" s="242" t="str">
        <f>HYPERLINK(CONCATENATE($AT$4,BK424,$AU$4,BL424),$AV$4)</f>
        <v>A</v>
      </c>
      <c r="D424" s="243" t="s">
        <v>5638</v>
      </c>
      <c r="E424" s="244" t="s">
        <v>5178</v>
      </c>
      <c r="F424" s="269" t="s">
        <v>8664</v>
      </c>
      <c r="G424" s="273">
        <v>2.2000000000000002</v>
      </c>
      <c r="H424" s="283">
        <v>200</v>
      </c>
      <c r="I424" s="246">
        <v>130</v>
      </c>
      <c r="J424" s="246">
        <v>2</v>
      </c>
      <c r="K424" s="247" t="s">
        <v>4362</v>
      </c>
      <c r="L424" s="248">
        <v>31119</v>
      </c>
      <c r="M424" s="249">
        <f>15*(LEFT(TEXT($L424,"000000"),2)+(MID(TEXT($L424,"000000"),3,2)/60)+(RIGHT(TEXT($L424,"000000"),2)/3600))</f>
        <v>47.829166666666666</v>
      </c>
      <c r="N424" s="250">
        <v>-85400</v>
      </c>
      <c r="O424" s="251">
        <f>IF($N424&gt;0,(LEFT(TEXT($N424,"000000"),2)+(MID(TEXT($N424,"000000"),3,2)/60)+(RIGHT(TEXT($N424,"000000"),2)/3600)),-(MID(TEXT($N424,"000000"),2,2)+(MID(TEXT($N424,"000000"),4,2)/60)+(RIGHT(TEXT($N424,"000000"),2)/3600)))</f>
        <v>-8.9</v>
      </c>
      <c r="P424" s="252" t="s">
        <v>257</v>
      </c>
      <c r="Q424" s="253"/>
      <c r="R424" s="247" t="s">
        <v>3481</v>
      </c>
      <c r="S424" s="272" t="s">
        <v>3293</v>
      </c>
      <c r="T424" s="273">
        <v>12</v>
      </c>
      <c r="U424" s="289">
        <v>22.59</v>
      </c>
      <c r="V424" s="280"/>
      <c r="W424" s="244"/>
      <c r="X424" s="244"/>
      <c r="Y424" s="362"/>
      <c r="Z424" s="257">
        <f>altaz(J2000_Bas,$O424,$M424,DecLat,DecLong,1)</f>
        <v>-31.75350562216417</v>
      </c>
      <c r="AA424" s="257">
        <f>altaz((J2000_Bas+(2*0.04167)),$O424,$M424,DecLat,DecLong,1)</f>
        <v>-6.0516494863854229</v>
      </c>
      <c r="AB424" s="257">
        <f>altaz((J2000_Bas+(4*0.04167)),$O424,$M424,DecLat,DecLong,1)</f>
        <v>18.805222587316297</v>
      </c>
      <c r="AC424" s="257">
        <f>altaz((J2000_Bas+(6*0.04167)),$O424,$M424,DecLat,DecLong,1)</f>
        <v>39.926942083502283</v>
      </c>
      <c r="AD424" s="258">
        <f>1+ transit((J2000_Bas-1),$O424,$M424,DecLat,DecLong)/360 + (GMTOffset/24) + (IF(DST="Y", 1, 0)/24)</f>
        <v>1.1257587436401246</v>
      </c>
      <c r="AE424" s="259">
        <f>DATE(2001,9,21)+(M424/360)*365 - (360*((DecLong/360)- (GMTOffset/24) ))</f>
        <v>37208.493460648147</v>
      </c>
      <c r="AF424" s="260">
        <f>IF(DecLat&gt;0,IF((90 - (DecLat-O424))&gt;90, (90 - (O424-DecLat)), (90 - (DecLat-O424))),IF((90 + (DecLat-O424))&gt;90, (90 + (O424-DecLat)), (90 + (DecLat-O424))))</f>
        <v>50.1</v>
      </c>
      <c r="AG424" s="257">
        <f>angularseperation(MoonRA,MoonDec,$M424,$O424)</f>
        <v>138.45750696443548</v>
      </c>
      <c r="AH424" s="261">
        <f ca="1">MIN(100,IF($O$5&gt;80,0+30*($AG424/100),IF($O$5&gt;70,0+50*($AG424/100),IF($O$5&gt;60,5+50*($AG424/100),IF($O$5&gt;50,10+60*($AG424/100),IF($O$5&gt;40,15+70*($AG424/100),IF($O$5&gt;30,20+70*($AG424/100),IF($O$5&gt;20,40+55*($AG424/100),(80+(20-$O$5)+30*($AG424/100))))))))))</f>
        <v>100</v>
      </c>
      <c r="AI424" s="262">
        <v>1241</v>
      </c>
      <c r="AJ424" s="262"/>
      <c r="AK424" s="262"/>
      <c r="AL424" s="263"/>
      <c r="AM424" s="264"/>
      <c r="AN424" s="263">
        <v>304</v>
      </c>
      <c r="AO424" s="263"/>
      <c r="AP424" s="265"/>
      <c r="AQ424" s="266"/>
      <c r="AR424" s="267">
        <v>11887</v>
      </c>
      <c r="AS424" s="263"/>
      <c r="AT424" s="263"/>
      <c r="AU424" s="263"/>
      <c r="AV424" s="264"/>
      <c r="AW424" s="263"/>
      <c r="AX424" s="263"/>
      <c r="AY424" s="263"/>
      <c r="AZ424" s="263"/>
      <c r="BA424" s="263"/>
      <c r="BB424" s="263"/>
      <c r="BC424" s="263"/>
      <c r="BD424" s="264"/>
      <c r="BE424" s="263"/>
      <c r="BF424" s="263"/>
      <c r="BG424" s="263"/>
      <c r="BH424" s="263"/>
      <c r="BI424" s="263"/>
      <c r="BJ424" s="404">
        <f>altaz(J2000_Bas,$O424,$M424,DecLat,DecLong,2)</f>
        <v>80.815562430237762</v>
      </c>
      <c r="BK424" s="378" t="s">
        <v>524</v>
      </c>
      <c r="BL424" s="379">
        <f>IF((2*G424)/60&lt;0.2,0.2,(2*G424)/60)</f>
        <v>0.2</v>
      </c>
      <c r="BM424" s="380">
        <f>MOD((50000+AD424-$B$3+(0/24)),1)</f>
        <v>0.34112567334523192</v>
      </c>
      <c r="BN424" s="381" t="s">
        <v>6500</v>
      </c>
      <c r="BO424" s="382">
        <v>424</v>
      </c>
    </row>
    <row r="425" spans="1:67" s="24" customFormat="1" ht="15" customHeight="1" x14ac:dyDescent="0.25">
      <c r="A425" s="288" t="s">
        <v>525</v>
      </c>
      <c r="B425" s="241" t="str">
        <f>HYPERLINK(CONCATENATE($AT$3,BK425,$AU$3),$AV$3)</f>
        <v>S</v>
      </c>
      <c r="C425" s="242" t="str">
        <f>HYPERLINK(CONCATENATE($AT$4,BK425,$AU$4,BL425),$AV$4)</f>
        <v>A</v>
      </c>
      <c r="D425" s="243" t="s">
        <v>5638</v>
      </c>
      <c r="E425" s="244" t="s">
        <v>5178</v>
      </c>
      <c r="F425" s="269" t="s">
        <v>9121</v>
      </c>
      <c r="G425" s="273">
        <v>2.4</v>
      </c>
      <c r="H425" s="283">
        <v>170</v>
      </c>
      <c r="I425" s="246">
        <v>120</v>
      </c>
      <c r="J425" s="246">
        <v>2</v>
      </c>
      <c r="K425" s="247" t="s">
        <v>4363</v>
      </c>
      <c r="L425" s="248">
        <v>115829</v>
      </c>
      <c r="M425" s="249">
        <f>15*(LEFT(TEXT($L425,"000000"),2)+(MID(TEXT($L425,"000000"),3,2)/60)+(RIGHT(TEXT($L425,"000000"),2)/3600))</f>
        <v>179.62083333333334</v>
      </c>
      <c r="N425" s="250">
        <v>273100</v>
      </c>
      <c r="O425" s="251">
        <f>IF($N425&gt;0,(LEFT(TEXT($N425,"000000"),2)+(MID(TEXT($N425,"000000"),3,2)/60)+(RIGHT(TEXT($N425,"000000"),2)/3600)),-(MID(TEXT($N425,"000000"),2,2)+(MID(TEXT($N425,"000000"),4,2)/60)+(RIGHT(TEXT($N425,"000000"),2)/3600)))</f>
        <v>27.516666666666666</v>
      </c>
      <c r="P425" s="252" t="s">
        <v>190</v>
      </c>
      <c r="Q425" s="253"/>
      <c r="R425" s="247" t="s">
        <v>3572</v>
      </c>
      <c r="S425" s="272" t="s">
        <v>3293</v>
      </c>
      <c r="T425" s="273">
        <v>13.8</v>
      </c>
      <c r="U425" s="289">
        <v>21.89</v>
      </c>
      <c r="V425" s="280"/>
      <c r="W425" s="244"/>
      <c r="X425" s="244"/>
      <c r="Y425" s="362"/>
      <c r="Z425" s="257">
        <f>altaz(J2000_Bas,$O425,$M425,DecLat,DecLong,1)</f>
        <v>1.3492305263602553</v>
      </c>
      <c r="AA425" s="257">
        <f>altaz((J2000_Bas+(2*0.04167)),$O425,$M425,DecLat,DecLong,1)</f>
        <v>-18.250504061493313</v>
      </c>
      <c r="AB425" s="257">
        <f>altaz((J2000_Bas+(4*0.04167)),$O425,$M425,DecLat,DecLong,1)</f>
        <v>-30.092891540264489</v>
      </c>
      <c r="AC425" s="257">
        <f>altaz((J2000_Bas+(6*0.04167)),$O425,$M425,DecLat,DecLong,1)</f>
        <v>-29.369036074968502</v>
      </c>
      <c r="AD425" s="258">
        <f>1+ transit((J2000_Bas-1),$O425,$M425,DecLat,DecLong)/360 + (GMTOffset/24) + (IF(DST="Y", 1, 0)/24)</f>
        <v>1.4918466699942914</v>
      </c>
      <c r="AE425" s="259">
        <f>DATE(2001,9,21)+(M425/360)*365 - (360*((DecLong/360)- (GMTOffset/24) ))</f>
        <v>37342.115567129629</v>
      </c>
      <c r="AF425" s="260">
        <f>IF(DecLat&gt;0,IF((90 - (DecLat-O425))&gt;90, (90 - (O425-DecLat)), (90 - (DecLat-O425))),IF((90 + (DecLat-O425))&gt;90, (90 + (O425-DecLat)), (90 + (DecLat-O425))))</f>
        <v>86.516666666666666</v>
      </c>
      <c r="AG425" s="257">
        <f>angularseperation(MoonRA,MoonDec,$M425,$O425)</f>
        <v>86.295142062386773</v>
      </c>
      <c r="AH425" s="261">
        <f ca="1">MIN(100,IF($O$5&gt;80,0+30*($AG425/100),IF($O$5&gt;70,0+50*($AG425/100),IF($O$5&gt;60,5+50*($AG425/100),IF($O$5&gt;50,10+60*($AG425/100),IF($O$5&gt;40,15+70*($AG425/100),IF($O$5&gt;30,20+70*($AG425/100),IF($O$5&gt;20,40+55*($AG425/100),(80+(20-$O$5)+30*($AG425/100))))))))))</f>
        <v>100</v>
      </c>
      <c r="AI425" s="262">
        <v>4016</v>
      </c>
      <c r="AJ425" s="262"/>
      <c r="AK425" s="262"/>
      <c r="AL425" s="263"/>
      <c r="AM425" s="264"/>
      <c r="AN425" s="263">
        <v>305</v>
      </c>
      <c r="AO425" s="263"/>
      <c r="AP425" s="265"/>
      <c r="AQ425" s="266">
        <v>6954</v>
      </c>
      <c r="AR425" s="267">
        <v>37687</v>
      </c>
      <c r="AS425" s="263"/>
      <c r="AT425" s="263"/>
      <c r="AU425" s="263"/>
      <c r="AV425" s="264"/>
      <c r="AW425" s="263"/>
      <c r="AX425" s="263"/>
      <c r="AY425" s="263"/>
      <c r="AZ425" s="263"/>
      <c r="BA425" s="263"/>
      <c r="BB425" s="263"/>
      <c r="BC425" s="263"/>
      <c r="BD425" s="264"/>
      <c r="BE425" s="263"/>
      <c r="BF425" s="263"/>
      <c r="BG425" s="263"/>
      <c r="BH425" s="263"/>
      <c r="BI425" s="263"/>
      <c r="BJ425" s="404">
        <f>altaz(J2000_Bas,$O425,$M425,DecLat,DecLong,2)</f>
        <v>301.66755888788379</v>
      </c>
      <c r="BK425" s="378" t="s">
        <v>525</v>
      </c>
      <c r="BL425" s="379">
        <f>IF((2*G425)/60&lt;0.2,0.2,(2*G425)/60)</f>
        <v>0.2</v>
      </c>
      <c r="BM425" s="380">
        <f>MOD((50000+AD425-$B$3+(0/24)),1)</f>
        <v>0.7072135997004807</v>
      </c>
      <c r="BN425" s="381"/>
      <c r="BO425" s="382">
        <v>425</v>
      </c>
    </row>
    <row r="426" spans="1:67" s="24" customFormat="1" ht="15" customHeight="1" x14ac:dyDescent="0.25">
      <c r="A426" s="288" t="s">
        <v>526</v>
      </c>
      <c r="B426" s="241" t="str">
        <f>HYPERLINK(CONCATENATE($AT$3,BK426,$AU$3),$AV$3)</f>
        <v>S</v>
      </c>
      <c r="C426" s="242" t="str">
        <f>HYPERLINK(CONCATENATE($AT$4,BK426,$AU$4,BL426),$AV$4)</f>
        <v>A</v>
      </c>
      <c r="D426" s="243" t="s">
        <v>5638</v>
      </c>
      <c r="E426" s="244" t="s">
        <v>5178</v>
      </c>
      <c r="F426" s="269"/>
      <c r="G426" s="273">
        <v>1.3</v>
      </c>
      <c r="H426" s="283">
        <v>90</v>
      </c>
      <c r="I426" s="246">
        <v>35</v>
      </c>
      <c r="J426" s="246">
        <v>2</v>
      </c>
      <c r="K426" s="247" t="s">
        <v>4364</v>
      </c>
      <c r="L426" s="248">
        <v>13241</v>
      </c>
      <c r="M426" s="249">
        <f>15*(LEFT(TEXT($L426,"000000"),2)+(MID(TEXT($L426,"000000"),3,2)/60)+(RIGHT(TEXT($L426,"000000"),2)/3600))</f>
        <v>23.170833333333331</v>
      </c>
      <c r="N426" s="250">
        <v>43800</v>
      </c>
      <c r="O426" s="251">
        <f>IF($N426&gt;0,(LEFT(TEXT($N426,"000000"),2)+(MID(TEXT($N426,"000000"),3,2)/60)+(RIGHT(TEXT($N426,"000000"),2)/3600)),-(MID(TEXT($N426,"000000"),2,2)+(MID(TEXT($N426,"000000"),4,2)/60)+(RIGHT(TEXT($N426,"000000"),2)/3600)))</f>
        <v>4.6333333333333329</v>
      </c>
      <c r="P426" s="252" t="s">
        <v>158</v>
      </c>
      <c r="Q426" s="253"/>
      <c r="R426" s="247" t="s">
        <v>3293</v>
      </c>
      <c r="S426" s="272" t="s">
        <v>3293</v>
      </c>
      <c r="T426" s="273">
        <v>14</v>
      </c>
      <c r="U426" s="274"/>
      <c r="V426" s="280"/>
      <c r="W426" s="244"/>
      <c r="X426" s="244"/>
      <c r="Y426" s="362"/>
      <c r="Z426" s="257">
        <f>altaz(J2000_Bas,$O426,$M426,DecLat,DecLong,1)</f>
        <v>-3.7271939416994151</v>
      </c>
      <c r="AA426" s="257">
        <f>altaz((J2000_Bas+(2*0.04167)),$O426,$M426,DecLat,DecLong,1)</f>
        <v>21.979997825770511</v>
      </c>
      <c r="AB426" s="257">
        <f>altaz((J2000_Bas+(4*0.04167)),$O426,$M426,DecLat,DecLong,1)</f>
        <v>46.380672955076996</v>
      </c>
      <c r="AC426" s="257">
        <f>altaz((J2000_Bas+(6*0.04167)),$O426,$M426,DecLat,DecLong,1)</f>
        <v>62.842635615147252</v>
      </c>
      <c r="AD426" s="258">
        <f>1+ transit((J2000_Bas-1),$O426,$M426,DecLat,DecLong)/360 + (GMTOffset/24) + (IF(DST="Y", 1, 0)/24)</f>
        <v>1.0572633801192912</v>
      </c>
      <c r="AE426" s="259">
        <f>DATE(2001,9,21)+(M426/360)*365 - (360*((DecLong/360)- (GMTOffset/24) ))</f>
        <v>37183.492650462962</v>
      </c>
      <c r="AF426" s="260">
        <f>IF(DecLat&gt;0,IF((90 - (DecLat-O426))&gt;90, (90 - (O426-DecLat)), (90 - (DecLat-O426))),IF((90 + (DecLat-O426))&gt;90, (90 + (O426-DecLat)), (90 + (DecLat-O426))))</f>
        <v>63.633333333333333</v>
      </c>
      <c r="AG426" s="257">
        <f>angularseperation(MoonRA,MoonDec,$M426,$O426)</f>
        <v>130.72630863850895</v>
      </c>
      <c r="AH426" s="261">
        <f ca="1">MIN(100,IF($O$5&gt;80,0+30*($AG426/100),IF($O$5&gt;70,0+50*($AG426/100),IF($O$5&gt;60,5+50*($AG426/100),IF($O$5&gt;50,10+60*($AG426/100),IF($O$5&gt;40,15+70*($AG426/100),IF($O$5&gt;30,20+70*($AG426/100),IF($O$5&gt;20,40+55*($AG426/100),(80+(20-$O$5)+30*($AG426/100))))))))))</f>
        <v>100</v>
      </c>
      <c r="AI426" s="262"/>
      <c r="AJ426" s="262"/>
      <c r="AK426" s="262"/>
      <c r="AL426" s="263"/>
      <c r="AM426" s="264"/>
      <c r="AN426" s="263">
        <v>306</v>
      </c>
      <c r="AO426" s="263"/>
      <c r="AP426" s="265"/>
      <c r="AQ426" s="266">
        <v>1102</v>
      </c>
      <c r="AR426" s="267">
        <v>5744</v>
      </c>
      <c r="AS426" s="263"/>
      <c r="AT426" s="263"/>
      <c r="AU426" s="263"/>
      <c r="AV426" s="264"/>
      <c r="AW426" s="263"/>
      <c r="AX426" s="263"/>
      <c r="AY426" s="263"/>
      <c r="AZ426" s="263"/>
      <c r="BA426" s="263"/>
      <c r="BB426" s="263"/>
      <c r="BC426" s="263"/>
      <c r="BD426" s="264"/>
      <c r="BE426" s="263"/>
      <c r="BF426" s="263"/>
      <c r="BG426" s="263"/>
      <c r="BH426" s="263"/>
      <c r="BI426" s="263"/>
      <c r="BJ426" s="404">
        <f>altaz(J2000_Bas,$O426,$M426,DecLat,DecLong,2)</f>
        <v>82.323408152282738</v>
      </c>
      <c r="BK426" s="378" t="s">
        <v>526</v>
      </c>
      <c r="BL426" s="379">
        <f>IF((2*G426)/60&lt;0.2,0.2,(2*G426)/60)</f>
        <v>0.2</v>
      </c>
      <c r="BM426" s="380">
        <f>MOD((50000+AD426-$B$3+(0/24)),1)</f>
        <v>0.27263030982430791</v>
      </c>
      <c r="BN426" s="381"/>
      <c r="BO426" s="382">
        <v>426</v>
      </c>
    </row>
    <row r="427" spans="1:67" s="24" customFormat="1" ht="15" customHeight="1" x14ac:dyDescent="0.25">
      <c r="A427" s="288" t="s">
        <v>527</v>
      </c>
      <c r="B427" s="241" t="str">
        <f>HYPERLINK(CONCATENATE($AT$3,BK427,$AU$3),$AV$3)</f>
        <v>S</v>
      </c>
      <c r="C427" s="242" t="str">
        <f>HYPERLINK(CONCATENATE($AT$4,BK427,$AU$4,BL427),$AV$4)</f>
        <v>A</v>
      </c>
      <c r="D427" s="243" t="s">
        <v>5638</v>
      </c>
      <c r="E427" s="244" t="s">
        <v>5178</v>
      </c>
      <c r="F427" s="269" t="s">
        <v>8646</v>
      </c>
      <c r="G427" s="273">
        <v>2.6</v>
      </c>
      <c r="H427" s="283">
        <v>160</v>
      </c>
      <c r="I427" s="246">
        <v>120</v>
      </c>
      <c r="J427" s="246">
        <v>2</v>
      </c>
      <c r="K427" s="247" t="s">
        <v>4365</v>
      </c>
      <c r="L427" s="248">
        <v>92542</v>
      </c>
      <c r="M427" s="249">
        <f>15*(LEFT(TEXT($L427,"000000"),2)+(MID(TEXT($L427,"000000"),3,2)/60)+(RIGHT(TEXT($L427,"000000"),2)/3600))</f>
        <v>141.42499999999998</v>
      </c>
      <c r="N427" s="250">
        <v>112500</v>
      </c>
      <c r="O427" s="251">
        <f>IF($N427&gt;0,(LEFT(TEXT($N427,"000000"),2)+(MID(TEXT($N427,"000000"),3,2)/60)+(RIGHT(TEXT($N427,"000000"),2)/3600)),-(MID(TEXT($N427,"000000"),2,2)+(MID(TEXT($N427,"000000"),4,2)/60)+(RIGHT(TEXT($N427,"000000"),2)/3600)))</f>
        <v>11.416666666666666</v>
      </c>
      <c r="P427" s="252" t="s">
        <v>183</v>
      </c>
      <c r="Q427" s="253"/>
      <c r="R427" s="247" t="s">
        <v>3527</v>
      </c>
      <c r="S427" s="272" t="s">
        <v>3293</v>
      </c>
      <c r="T427" s="273">
        <v>11.9</v>
      </c>
      <c r="U427" s="289">
        <v>22.19</v>
      </c>
      <c r="V427" s="280"/>
      <c r="W427" s="244"/>
      <c r="X427" s="244"/>
      <c r="Y427" s="362"/>
      <c r="Z427" s="257">
        <f>altaz(J2000_Bas,$O427,$M427,DecLat,DecLong,1)</f>
        <v>-35.643358880928282</v>
      </c>
      <c r="AA427" s="257">
        <f>altaz((J2000_Bas+(2*0.04167)),$O427,$M427,DecLat,DecLong,1)</f>
        <v>-47.274744763610023</v>
      </c>
      <c r="AB427" s="257">
        <f>altaz((J2000_Bas+(4*0.04167)),$O427,$M427,DecLat,DecLong,1)</f>
        <v>-41.383863077918271</v>
      </c>
      <c r="AC427" s="257">
        <f>altaz((J2000_Bas+(6*0.04167)),$O427,$M427,DecLat,DecLong,1)</f>
        <v>-22.457619712050516</v>
      </c>
      <c r="AD427" s="258">
        <f>1+ transit((J2000_Bas-1),$O427,$M427,DecLat,DecLong)/360 + (GMTOffset/24) + (IF(DST="Y", 1, 0)/24)</f>
        <v>1.385747143567208</v>
      </c>
      <c r="AE427" s="259">
        <f>DATE(2001,9,21)+(M427/360)*365 - (360*((DecLong/360)- (GMTOffset/24) ))</f>
        <v>37303.389236111114</v>
      </c>
      <c r="AF427" s="260">
        <f>IF(DecLat&gt;0,IF((90 - (DecLat-O427))&gt;90, (90 - (O427-DecLat)), (90 - (DecLat-O427))),IF((90 + (DecLat-O427))&gt;90, (90 + (O427-DecLat)), (90 + (DecLat-O427))))</f>
        <v>70.416666666666657</v>
      </c>
      <c r="AG427" s="257">
        <f>angularseperation(MoonRA,MoonDec,$M427,$O427)</f>
        <v>110.92559254520575</v>
      </c>
      <c r="AH427" s="261">
        <f ca="1">MIN(100,IF($O$5&gt;80,0+30*($AG427/100),IF($O$5&gt;70,0+50*($AG427/100),IF($O$5&gt;60,5+50*($AG427/100),IF($O$5&gt;50,10+60*($AG427/100),IF($O$5&gt;40,15+70*($AG427/100),IF($O$5&gt;30,20+70*($AG427/100),IF($O$5&gt;20,40+55*($AG427/100),(80+(20-$O$5)+30*($AG427/100))))))))))</f>
        <v>100</v>
      </c>
      <c r="AI427" s="262">
        <v>2872</v>
      </c>
      <c r="AJ427" s="262"/>
      <c r="AK427" s="262"/>
      <c r="AL427" s="263"/>
      <c r="AM427" s="264"/>
      <c r="AN427" s="263">
        <v>307</v>
      </c>
      <c r="AO427" s="263"/>
      <c r="AP427" s="265"/>
      <c r="AQ427" s="266">
        <v>5018</v>
      </c>
      <c r="AR427" s="267">
        <v>26733</v>
      </c>
      <c r="AS427" s="263"/>
      <c r="AT427" s="263"/>
      <c r="AU427" s="263"/>
      <c r="AV427" s="264"/>
      <c r="AW427" s="263"/>
      <c r="AX427" s="263"/>
      <c r="AY427" s="263"/>
      <c r="AZ427" s="263"/>
      <c r="BA427" s="263"/>
      <c r="BB427" s="263"/>
      <c r="BC427" s="263"/>
      <c r="BD427" s="264"/>
      <c r="BE427" s="263"/>
      <c r="BF427" s="263"/>
      <c r="BG427" s="263"/>
      <c r="BH427" s="263"/>
      <c r="BI427" s="263"/>
      <c r="BJ427" s="404">
        <f>altaz(J2000_Bas,$O427,$M427,DecLat,DecLong,2)</f>
        <v>315.64509463273941</v>
      </c>
      <c r="BK427" s="378" t="s">
        <v>527</v>
      </c>
      <c r="BL427" s="379">
        <f>IF((2*G427)/60&lt;0.2,0.2,(2*G427)/60)</f>
        <v>0.2</v>
      </c>
      <c r="BM427" s="380">
        <f>MOD((50000+AD427-$B$3+(0/24)),1)</f>
        <v>0.60111407327349298</v>
      </c>
      <c r="BN427" s="381"/>
      <c r="BO427" s="382">
        <v>427</v>
      </c>
    </row>
    <row r="428" spans="1:67" s="24" customFormat="1" ht="15" customHeight="1" x14ac:dyDescent="0.25">
      <c r="A428" s="288" t="s">
        <v>528</v>
      </c>
      <c r="B428" s="241" t="str">
        <f>HYPERLINK(CONCATENATE($AT$3,BK428,$AU$3),$AV$3)</f>
        <v>S</v>
      </c>
      <c r="C428" s="242" t="str">
        <f>HYPERLINK(CONCATENATE($AT$4,BK428,$AU$4,BL428),$AV$4)</f>
        <v>A</v>
      </c>
      <c r="D428" s="243" t="s">
        <v>5638</v>
      </c>
      <c r="E428" s="244" t="s">
        <v>5337</v>
      </c>
      <c r="F428" s="293" t="s">
        <v>3310</v>
      </c>
      <c r="G428" s="273">
        <v>1.2</v>
      </c>
      <c r="H428" s="283">
        <v>230</v>
      </c>
      <c r="I428" s="246">
        <v>80</v>
      </c>
      <c r="J428" s="246">
        <v>2</v>
      </c>
      <c r="K428" s="247" t="s">
        <v>4366</v>
      </c>
      <c r="L428" s="248">
        <v>12600</v>
      </c>
      <c r="M428" s="249">
        <f>15*(LEFT(TEXT($L428,"000000"),2)+(MID(TEXT($L428,"000000"),3,2)/60)+(RIGHT(TEXT($L428,"000000"),2)/3600))</f>
        <v>21.5</v>
      </c>
      <c r="N428" s="250">
        <v>-12000</v>
      </c>
      <c r="O428" s="251">
        <f>IF($N428&gt;0,(LEFT(TEXT($N428,"000000"),2)+(MID(TEXT($N428,"000000"),3,2)/60)+(RIGHT(TEXT($N428,"000000"),2)/3600)),-(MID(TEXT($N428,"000000"),2,2)+(MID(TEXT($N428,"000000"),4,2)/60)+(RIGHT(TEXT($N428,"000000"),2)/3600)))</f>
        <v>-1.3333333333333333</v>
      </c>
      <c r="P428" s="252" t="s">
        <v>75</v>
      </c>
      <c r="Q428" s="253"/>
      <c r="R428" s="247" t="s">
        <v>3467</v>
      </c>
      <c r="S428" s="272" t="s">
        <v>352</v>
      </c>
      <c r="T428" s="273">
        <v>12.2</v>
      </c>
      <c r="U428" s="289">
        <v>21.59</v>
      </c>
      <c r="V428" s="280"/>
      <c r="W428" s="244"/>
      <c r="X428" s="244"/>
      <c r="Y428" s="362"/>
      <c r="Z428" s="257">
        <f>altaz(J2000_Bas,$O428,$M428,DecLat,DecLong,1)</f>
        <v>-5.3983066616399356</v>
      </c>
      <c r="AA428" s="257">
        <f>altaz((J2000_Bas+(2*0.04167)),$O428,$M428,DecLat,DecLong,1)</f>
        <v>20.155353920611724</v>
      </c>
      <c r="AB428" s="257">
        <f>altaz((J2000_Bas+(4*0.04167)),$O428,$M428,DecLat,DecLong,1)</f>
        <v>43.404777916947658</v>
      </c>
      <c r="AC428" s="257">
        <f>altaz((J2000_Bas+(6*0.04167)),$O428,$M428,DecLat,DecLong,1)</f>
        <v>57.284486122991517</v>
      </c>
      <c r="AD428" s="258">
        <f>1+ transit((J2000_Bas-1),$O428,$M428,DecLat,DecLong)/360 + (GMTOffset/24) + (IF(DST="Y", 1, 0)/24)</f>
        <v>1.0526221768797079</v>
      </c>
      <c r="AE428" s="259">
        <f>DATE(2001,9,21)+(M428/360)*365 - (360*((DecLong/360)- (GMTOffset/24) ))</f>
        <v>37181.798611111109</v>
      </c>
      <c r="AF428" s="260">
        <f>IF(DecLat&gt;0,IF((90 - (DecLat-O428))&gt;90, (90 - (O428-DecLat)), (90 - (DecLat-O428))),IF((90 + (DecLat-O428))&gt;90, (90 + (O428-DecLat)), (90 + (DecLat-O428))))</f>
        <v>57.666666666666664</v>
      </c>
      <c r="AG428" s="257">
        <f>angularseperation(MoonRA,MoonDec,$M428,$O428)</f>
        <v>126.01316757553866</v>
      </c>
      <c r="AH428" s="261">
        <f ca="1">MIN(100,IF($O$5&gt;80,0+30*($AG428/100),IF($O$5&gt;70,0+50*($AG428/100),IF($O$5&gt;60,5+50*($AG428/100),IF($O$5&gt;50,10+60*($AG428/100),IF($O$5&gt;40,15+70*($AG428/100),IF($O$5&gt;30,20+70*($AG428/100),IF($O$5&gt;20,40+55*($AG428/100),(80+(20-$O$5)+30*($AG428/100))))))))))</f>
        <v>100</v>
      </c>
      <c r="AI428" s="262">
        <v>547</v>
      </c>
      <c r="AJ428" s="262"/>
      <c r="AK428" s="262"/>
      <c r="AL428" s="263"/>
      <c r="AM428" s="264"/>
      <c r="AN428" s="263">
        <v>308</v>
      </c>
      <c r="AO428" s="263"/>
      <c r="AP428" s="265"/>
      <c r="AQ428" s="266">
        <v>1009</v>
      </c>
      <c r="AR428" s="267">
        <v>5324</v>
      </c>
      <c r="AS428" s="263"/>
      <c r="AT428" s="263"/>
      <c r="AU428" s="263"/>
      <c r="AV428" s="264"/>
      <c r="AW428" s="263"/>
      <c r="AX428" s="263"/>
      <c r="AY428" s="263"/>
      <c r="AZ428" s="263"/>
      <c r="BA428" s="263"/>
      <c r="BB428" s="263"/>
      <c r="BC428" s="263"/>
      <c r="BD428" s="264"/>
      <c r="BE428" s="263"/>
      <c r="BF428" s="263"/>
      <c r="BG428" s="263"/>
      <c r="BH428" s="263"/>
      <c r="BI428" s="263"/>
      <c r="BJ428" s="404">
        <f>altaz(J2000_Bas,$O428,$M428,DecLat,DecLong,2)</f>
        <v>88.30879236551074</v>
      </c>
      <c r="BK428" s="378" t="s">
        <v>528</v>
      </c>
      <c r="BL428" s="379">
        <f>IF((2*G428)/60&lt;0.2,0.2,(2*G428)/60)</f>
        <v>0.2</v>
      </c>
      <c r="BM428" s="380">
        <f>MOD((50000+AD428-$B$3+(0/24)),1)</f>
        <v>0.26798910658544628</v>
      </c>
      <c r="BN428" s="381"/>
      <c r="BO428" s="382">
        <v>428</v>
      </c>
    </row>
    <row r="429" spans="1:67" s="24" customFormat="1" ht="15" customHeight="1" x14ac:dyDescent="0.25">
      <c r="A429" s="288" t="s">
        <v>529</v>
      </c>
      <c r="B429" s="241" t="str">
        <f>HYPERLINK(CONCATENATE($AT$3,BK429,$AU$3),$AV$3)</f>
        <v>S</v>
      </c>
      <c r="C429" s="242" t="str">
        <f>HYPERLINK(CONCATENATE($AT$4,BK429,$AU$4,BL429),$AV$4)</f>
        <v>A</v>
      </c>
      <c r="D429" s="243" t="s">
        <v>5638</v>
      </c>
      <c r="E429" s="244" t="s">
        <v>5178</v>
      </c>
      <c r="F429" s="269"/>
      <c r="G429" s="273">
        <v>1.5</v>
      </c>
      <c r="H429" s="283">
        <v>200</v>
      </c>
      <c r="I429" s="246">
        <v>90</v>
      </c>
      <c r="J429" s="246">
        <v>2</v>
      </c>
      <c r="K429" s="247" t="s">
        <v>4367</v>
      </c>
      <c r="L429" s="248">
        <v>22910</v>
      </c>
      <c r="M429" s="249">
        <f>15*(LEFT(TEXT($L429,"000000"),2)+(MID(TEXT($L429,"000000"),3,2)/60)+(RIGHT(TEXT($L429,"000000"),2)/3600))</f>
        <v>37.291666666666664</v>
      </c>
      <c r="N429" s="250">
        <v>-105000</v>
      </c>
      <c r="O429" s="251">
        <f>IF($N429&gt;0,(LEFT(TEXT($N429,"000000"),2)+(MID(TEXT($N429,"000000"),3,2)/60)+(RIGHT(TEXT($N429,"000000"),2)/3600)),-(MID(TEXT($N429,"000000"),2,2)+(MID(TEXT($N429,"000000"),4,2)/60)+(RIGHT(TEXT($N429,"000000"),2)/3600)))</f>
        <v>-10.833333333333334</v>
      </c>
      <c r="P429" s="252" t="s">
        <v>75</v>
      </c>
      <c r="Q429" s="253"/>
      <c r="R429" s="247" t="s">
        <v>3475</v>
      </c>
      <c r="S429" s="272" t="s">
        <v>3293</v>
      </c>
      <c r="T429" s="273">
        <v>14</v>
      </c>
      <c r="U429" s="289">
        <v>23.19</v>
      </c>
      <c r="V429" s="280"/>
      <c r="W429" s="244"/>
      <c r="X429" s="244"/>
      <c r="Y429" s="362"/>
      <c r="Z429" s="257">
        <f>altaz(J2000_Bas,$O429,$M429,DecLat,DecLong,1)</f>
        <v>-23.732724171996331</v>
      </c>
      <c r="AA429" s="257">
        <f>altaz((J2000_Bas+(2*0.04167)),$O429,$M429,DecLat,DecLong,1)</f>
        <v>1.8297238970846748</v>
      </c>
      <c r="AB429" s="257">
        <f>altaz((J2000_Bas+(4*0.04167)),$O429,$M429,DecLat,DecLong,1)</f>
        <v>25.572025826193304</v>
      </c>
      <c r="AC429" s="257">
        <f>altaz((J2000_Bas+(6*0.04167)),$O429,$M429,DecLat,DecLong,1)</f>
        <v>43.549694930693931</v>
      </c>
      <c r="AD429" s="258">
        <f>1+ transit((J2000_Bas-1),$O429,$M429,DecLat,DecLong)/360 + (GMTOffset/24) + (IF(DST="Y", 1, 0)/24)</f>
        <v>1.0964879132338747</v>
      </c>
      <c r="AE429" s="259">
        <f>DATE(2001,9,21)+(M429/360)*365 - (360*((DecLong/360)- (GMTOffset/24) ))</f>
        <v>37197.809606481482</v>
      </c>
      <c r="AF429" s="260">
        <f>IF(DecLat&gt;0,IF((90 - (DecLat-O429))&gt;90, (90 - (O429-DecLat)), (90 - (DecLat-O429))),IF((90 + (DecLat-O429))&gt;90, (90 + (O429-DecLat)), (90 + (DecLat-O429))))</f>
        <v>48.166666666666664</v>
      </c>
      <c r="AG429" s="257">
        <f>angularseperation(MoonRA,MoonDec,$M429,$O429)</f>
        <v>131.02753919319932</v>
      </c>
      <c r="AH429" s="261">
        <f ca="1">MIN(100,IF($O$5&gt;80,0+30*($AG429/100),IF($O$5&gt;70,0+50*($AG429/100),IF($O$5&gt;60,5+50*($AG429/100),IF($O$5&gt;50,10+60*($AG429/100),IF($O$5&gt;40,15+70*($AG429/100),IF($O$5&gt;30,20+70*($AG429/100),IF($O$5&gt;20,40+55*($AG429/100),(80+(20-$O$5)+30*($AG429/100))))))))))</f>
        <v>100</v>
      </c>
      <c r="AI429" s="262">
        <v>942</v>
      </c>
      <c r="AJ429" s="262"/>
      <c r="AK429" s="262"/>
      <c r="AL429" s="263"/>
      <c r="AM429" s="264"/>
      <c r="AN429" s="263">
        <v>309</v>
      </c>
      <c r="AO429" s="263"/>
      <c r="AP429" s="265"/>
      <c r="AQ429" s="266"/>
      <c r="AR429" s="267">
        <v>9458</v>
      </c>
      <c r="AS429" s="263"/>
      <c r="AT429" s="263"/>
      <c r="AU429" s="263"/>
      <c r="AV429" s="264"/>
      <c r="AW429" s="263"/>
      <c r="AX429" s="263"/>
      <c r="AY429" s="263"/>
      <c r="AZ429" s="263"/>
      <c r="BA429" s="263"/>
      <c r="BB429" s="263"/>
      <c r="BC429" s="263"/>
      <c r="BD429" s="264"/>
      <c r="BE429" s="263"/>
      <c r="BF429" s="263"/>
      <c r="BG429" s="263"/>
      <c r="BH429" s="263"/>
      <c r="BI429" s="263"/>
      <c r="BJ429" s="404">
        <f>altaz(J2000_Bas,$O429,$M429,DecLat,DecLong,2)</f>
        <v>88.588054064121522</v>
      </c>
      <c r="BK429" s="378" t="s">
        <v>529</v>
      </c>
      <c r="BL429" s="379">
        <f>IF((2*G429)/60&lt;0.2,0.2,(2*G429)/60)</f>
        <v>0.2</v>
      </c>
      <c r="BM429" s="380">
        <f>MOD((50000+AD429-$B$3+(0/24)),1)</f>
        <v>0.31185484294110211</v>
      </c>
      <c r="BN429" s="381"/>
      <c r="BO429" s="382">
        <v>429</v>
      </c>
    </row>
    <row r="430" spans="1:67" s="24" customFormat="1" ht="15" customHeight="1" x14ac:dyDescent="0.25">
      <c r="A430" s="288" t="s">
        <v>530</v>
      </c>
      <c r="B430" s="241" t="str">
        <f>HYPERLINK(CONCATENATE($AT$3,BK430,$AU$3),$AV$3)</f>
        <v>S</v>
      </c>
      <c r="C430" s="242" t="str">
        <f>HYPERLINK(CONCATENATE($AT$4,BK430,$AU$4,BL430),$AV$4)</f>
        <v>A</v>
      </c>
      <c r="D430" s="243" t="s">
        <v>5638</v>
      </c>
      <c r="E430" s="244" t="s">
        <v>5337</v>
      </c>
      <c r="F430" s="269" t="s">
        <v>3310</v>
      </c>
      <c r="G430" s="270">
        <v>0.9</v>
      </c>
      <c r="H430" s="283">
        <v>380</v>
      </c>
      <c r="I430" s="246">
        <v>100</v>
      </c>
      <c r="J430" s="246">
        <v>2</v>
      </c>
      <c r="K430" s="247" t="s">
        <v>4368</v>
      </c>
      <c r="L430" s="248">
        <v>172726</v>
      </c>
      <c r="M430" s="249">
        <f>15*(LEFT(TEXT($L430,"000000"),2)+(MID(TEXT($L430,"000000"),3,2)/60)+(RIGHT(TEXT($L430,"000000"),2)/3600))</f>
        <v>261.85833333333329</v>
      </c>
      <c r="N430" s="250">
        <v>583000</v>
      </c>
      <c r="O430" s="251">
        <f>IF($N430&gt;0,(LEFT(TEXT($N430,"000000"),2)+(MID(TEXT($N430,"000000"),3,2)/60)+(RIGHT(TEXT($N430,"000000"),2)/3600)),-(MID(TEXT($N430,"000000"),2,2)+(MID(TEXT($N430,"000000"),4,2)/60)+(RIGHT(TEXT($N430,"000000"),2)/3600)))</f>
        <v>58.5</v>
      </c>
      <c r="P430" s="252" t="s">
        <v>34</v>
      </c>
      <c r="Q430" s="253"/>
      <c r="R430" s="247" t="s">
        <v>3727</v>
      </c>
      <c r="S430" s="272" t="s">
        <v>531</v>
      </c>
      <c r="T430" s="273">
        <v>14.9</v>
      </c>
      <c r="U430" s="289">
        <v>22.59</v>
      </c>
      <c r="V430" s="280"/>
      <c r="W430" s="244"/>
      <c r="X430" s="244"/>
      <c r="Y430" s="362"/>
      <c r="Z430" s="257">
        <f>altaz(J2000_Bas,$O430,$M430,DecLat,DecLong,1)</f>
        <v>57.976479871973311</v>
      </c>
      <c r="AA430" s="257">
        <f>altaz((J2000_Bas+(2*0.04167)),$O430,$M430,DecLat,DecLong,1)</f>
        <v>44.502751274996264</v>
      </c>
      <c r="AB430" s="257">
        <f>altaz((J2000_Bas+(4*0.04167)),$O430,$M430,DecLat,DecLong,1)</f>
        <v>28.915570035754381</v>
      </c>
      <c r="AC430" s="257">
        <f>altaz((J2000_Bas+(6*0.04167)),$O430,$M430,DecLat,DecLong,1)</f>
        <v>14.722654685588163</v>
      </c>
      <c r="AD430" s="258">
        <f>1+ transit((J2000_Bas-1),$O430,$M430,DecLat,DecLong)/360 + (GMTOffset/24) + (IF(DST="Y", 1, 0)/24)</f>
        <v>1.7202841471505412</v>
      </c>
      <c r="AE430" s="259">
        <f>DATE(2001,9,21)+(M430/360)*365 - (360*((DecLong/360)- (GMTOffset/24) ))</f>
        <v>37425.495254629626</v>
      </c>
      <c r="AF430" s="260">
        <f>IF(DecLat&gt;0,IF((90 - (DecLat-O430))&gt;90, (90 - (O430-DecLat)), (90 - (DecLat-O430))),IF((90 + (DecLat-O430))&gt;90, (90 + (O430-DecLat)), (90 + (DecLat-O430))))</f>
        <v>62.5</v>
      </c>
      <c r="AG430" s="257">
        <f>angularseperation(MoonRA,MoonDec,$M430,$O430)</f>
        <v>86.22932578266807</v>
      </c>
      <c r="AH430" s="261">
        <f ca="1">MIN(100,IF($O$5&gt;80,0+30*($AG430/100),IF($O$5&gt;70,0+50*($AG430/100),IF($O$5&gt;60,5+50*($AG430/100),IF($O$5&gt;50,10+60*($AG430/100),IF($O$5&gt;40,15+70*($AG430/100),IF($O$5&gt;30,20+70*($AG430/100),IF($O$5&gt;20,40+55*($AG430/100),(80+(20-$O$5)+30*($AG430/100))))))))))</f>
        <v>100</v>
      </c>
      <c r="AI430" s="262"/>
      <c r="AJ430" s="262">
        <v>1259</v>
      </c>
      <c r="AK430" s="262"/>
      <c r="AL430" s="263"/>
      <c r="AM430" s="264"/>
      <c r="AN430" s="263">
        <v>310</v>
      </c>
      <c r="AO430" s="263"/>
      <c r="AP430" s="265"/>
      <c r="AQ430" s="266">
        <v>10869</v>
      </c>
      <c r="AR430" s="267">
        <v>60323</v>
      </c>
      <c r="AS430" s="263"/>
      <c r="AT430" s="263"/>
      <c r="AU430" s="263"/>
      <c r="AV430" s="264"/>
      <c r="AW430" s="263"/>
      <c r="AX430" s="263"/>
      <c r="AY430" s="263"/>
      <c r="AZ430" s="263"/>
      <c r="BA430" s="263"/>
      <c r="BB430" s="263"/>
      <c r="BC430" s="263"/>
      <c r="BD430" s="264"/>
      <c r="BE430" s="263"/>
      <c r="BF430" s="263"/>
      <c r="BG430" s="263"/>
      <c r="BH430" s="263"/>
      <c r="BI430" s="263"/>
      <c r="BJ430" s="404">
        <f>altaz(J2000_Bas,$O430,$M430,DecLat,DecLong,2)</f>
        <v>336.23142779685469</v>
      </c>
      <c r="BK430" s="378" t="s">
        <v>530</v>
      </c>
      <c r="BL430" s="379">
        <f>IF((2*G430)/60&lt;0.2,0.2,(2*G430)/60)</f>
        <v>0.2</v>
      </c>
      <c r="BM430" s="380">
        <f>MOD((50000+AD430-$B$3+(0/24)),1)</f>
        <v>0.93565107685572002</v>
      </c>
      <c r="BN430" s="381"/>
      <c r="BO430" s="382">
        <v>430</v>
      </c>
    </row>
    <row r="431" spans="1:67" s="24" customFormat="1" ht="15" customHeight="1" x14ac:dyDescent="0.25">
      <c r="A431" s="288" t="s">
        <v>531</v>
      </c>
      <c r="B431" s="241" t="str">
        <f>HYPERLINK(CONCATENATE($AT$3,BK431,$AU$3),$AV$3)</f>
        <v>S</v>
      </c>
      <c r="C431" s="242" t="str">
        <f>HYPERLINK(CONCATENATE($AT$4,BK431,$AU$4,BL431),$AV$4)</f>
        <v>A</v>
      </c>
      <c r="D431" s="243" t="s">
        <v>5638</v>
      </c>
      <c r="E431" s="244" t="s">
        <v>5625</v>
      </c>
      <c r="F431" s="293">
        <v>6</v>
      </c>
      <c r="G431" s="291">
        <v>8</v>
      </c>
      <c r="H431" s="283">
        <v>380</v>
      </c>
      <c r="I431" s="284">
        <v>850</v>
      </c>
      <c r="J431" s="246">
        <v>2</v>
      </c>
      <c r="K431" s="247" t="s">
        <v>4370</v>
      </c>
      <c r="L431" s="248">
        <v>172731</v>
      </c>
      <c r="M431" s="249">
        <f>15*(LEFT(TEXT($L431,"000000"),2)+(MID(TEXT($L431,"000000"),3,2)/60)+(RIGHT(TEXT($L431,"000000"),2)/3600))</f>
        <v>261.87916666666666</v>
      </c>
      <c r="N431" s="250">
        <v>582800</v>
      </c>
      <c r="O431" s="251">
        <f>IF($N431&gt;0,(LEFT(TEXT($N431,"000000"),2)+(MID(TEXT($N431,"000000"),3,2)/60)+(RIGHT(TEXT($N431,"000000"),2)/3600)),-(MID(TEXT($N431,"000000"),2,2)+(MID(TEXT($N431,"000000"),4,2)/60)+(RIGHT(TEXT($N431,"000000"),2)/3600)))</f>
        <v>58.466666666666669</v>
      </c>
      <c r="P431" s="252" t="s">
        <v>34</v>
      </c>
      <c r="Q431" s="253"/>
      <c r="R431" s="247" t="s">
        <v>3728</v>
      </c>
      <c r="S431" s="272" t="s">
        <v>530</v>
      </c>
      <c r="T431" s="273">
        <v>14.7</v>
      </c>
      <c r="U431" s="289">
        <v>20.79</v>
      </c>
      <c r="V431" s="280"/>
      <c r="W431" s="244"/>
      <c r="X431" s="244"/>
      <c r="Y431" s="362"/>
      <c r="Z431" s="257">
        <f>altaz(J2000_Bas,$O431,$M431,DecLat,DecLong,1)</f>
        <v>58.008687175444216</v>
      </c>
      <c r="AA431" s="257">
        <f>altaz((J2000_Bas+(2*0.04167)),$O431,$M431,DecLat,DecLong,1)</f>
        <v>44.520757460867081</v>
      </c>
      <c r="AB431" s="257">
        <f>altaz((J2000_Bas+(4*0.04167)),$O431,$M431,DecLat,DecLong,1)</f>
        <v>28.918691596531421</v>
      </c>
      <c r="AC431" s="257">
        <f>altaz((J2000_Bas+(6*0.04167)),$O431,$M431,DecLat,DecLong,1)</f>
        <v>14.711767764573608</v>
      </c>
      <c r="AD431" s="258">
        <f>1+ transit((J2000_Bas-1),$O431,$M431,DecLat,DecLong)/360 + (GMTOffset/24) + (IF(DST="Y", 1, 0)/24)</f>
        <v>1.7203420175151247</v>
      </c>
      <c r="AE431" s="259">
        <f>DATE(2001,9,21)+(M431/360)*365 - (360*((DecLong/360)- (GMTOffset/24) ))</f>
        <v>37425.516377314816</v>
      </c>
      <c r="AF431" s="260">
        <f>IF(DecLat&gt;0,IF((90 - (DecLat-O431))&gt;90, (90 - (O431-DecLat)), (90 - (DecLat-O431))),IF((90 + (DecLat-O431))&gt;90, (90 + (O431-DecLat)), (90 + (DecLat-O431))))</f>
        <v>62.533333333333331</v>
      </c>
      <c r="AG431" s="257">
        <f>angularseperation(MoonRA,MoonDec,$M431,$O431)</f>
        <v>86.198756947999954</v>
      </c>
      <c r="AH431" s="261">
        <f ca="1">MIN(100,IF($O$5&gt;80,0+30*($AG431/100),IF($O$5&gt;70,0+50*($AG431/100),IF($O$5&gt;60,5+50*($AG431/100),IF($O$5&gt;50,10+60*($AG431/100),IF($O$5&gt;40,15+70*($AG431/100),IF($O$5&gt;30,20+70*($AG431/100),IF($O$5&gt;20,40+55*($AG431/100),(80+(20-$O$5)+30*($AG431/100))))))))))</f>
        <v>100</v>
      </c>
      <c r="AI431" s="262"/>
      <c r="AJ431" s="262">
        <v>1260</v>
      </c>
      <c r="AK431" s="262"/>
      <c r="AL431" s="263"/>
      <c r="AM431" s="264"/>
      <c r="AN431" s="263">
        <v>311</v>
      </c>
      <c r="AO431" s="263"/>
      <c r="AP431" s="265"/>
      <c r="AQ431" s="266"/>
      <c r="AR431" s="267">
        <v>60324</v>
      </c>
      <c r="AS431" s="263"/>
      <c r="AT431" s="263"/>
      <c r="AU431" s="263"/>
      <c r="AV431" s="264"/>
      <c r="AW431" s="263"/>
      <c r="AX431" s="263"/>
      <c r="AY431" s="263"/>
      <c r="AZ431" s="263"/>
      <c r="BA431" s="263"/>
      <c r="BB431" s="263"/>
      <c r="BC431" s="263"/>
      <c r="BD431" s="264"/>
      <c r="BE431" s="263"/>
      <c r="BF431" s="263"/>
      <c r="BG431" s="263"/>
      <c r="BH431" s="263"/>
      <c r="BI431" s="263"/>
      <c r="BJ431" s="404">
        <f>altaz(J2000_Bas,$O431,$M431,DecLat,DecLong,2)</f>
        <v>336.20525751578691</v>
      </c>
      <c r="BK431" s="378" t="s">
        <v>531</v>
      </c>
      <c r="BL431" s="379">
        <f>IF((2*G431)/60&lt;0.2,0.2,(2*G431)/60)</f>
        <v>0.26666666666666666</v>
      </c>
      <c r="BM431" s="380">
        <f>MOD((50000+AD431-$B$3+(0/24)),1)</f>
        <v>0.93570894721779041</v>
      </c>
      <c r="BN431" s="381"/>
      <c r="BO431" s="382">
        <v>431</v>
      </c>
    </row>
    <row r="432" spans="1:67" s="24" customFormat="1" ht="15" customHeight="1" x14ac:dyDescent="0.25">
      <c r="A432" s="288" t="s">
        <v>532</v>
      </c>
      <c r="B432" s="241" t="str">
        <f>HYPERLINK(CONCATENATE($AT$3,BK432,$AU$3),$AV$3)</f>
        <v>S</v>
      </c>
      <c r="C432" s="242" t="str">
        <f>HYPERLINK(CONCATENATE($AT$4,BK432,$AU$4,BL432),$AV$4)</f>
        <v>A</v>
      </c>
      <c r="D432" s="243" t="s">
        <v>5638</v>
      </c>
      <c r="E432" s="244" t="s">
        <v>5625</v>
      </c>
      <c r="F432" s="293">
        <v>6</v>
      </c>
      <c r="G432" s="291">
        <v>6</v>
      </c>
      <c r="H432" s="283">
        <v>500</v>
      </c>
      <c r="I432" s="284">
        <v>900</v>
      </c>
      <c r="J432" s="246">
        <v>2</v>
      </c>
      <c r="K432" s="247" t="s">
        <v>4377</v>
      </c>
      <c r="L432" s="248">
        <v>164950</v>
      </c>
      <c r="M432" s="249">
        <f>15*(LEFT(TEXT($L432,"000000"),2)+(MID(TEXT($L432,"000000"),3,2)/60)+(RIGHT(TEXT($L432,"000000"),2)/3600))</f>
        <v>252.45833333333334</v>
      </c>
      <c r="N432" s="250">
        <v>464300</v>
      </c>
      <c r="O432" s="251">
        <f>IF($N432&gt;0,(LEFT(TEXT($N432,"000000"),2)+(MID(TEXT($N432,"000000"),3,2)/60)+(RIGHT(TEXT($N432,"000000"),2)/3600)),-(MID(TEXT($N432,"000000"),2,2)+(MID(TEXT($N432,"000000"),4,2)/60)+(RIGHT(TEXT($N432,"000000"),2)/3600)))</f>
        <v>46.716666666666669</v>
      </c>
      <c r="P432" s="252" t="s">
        <v>111</v>
      </c>
      <c r="Q432" s="253"/>
      <c r="R432" s="247" t="s">
        <v>3293</v>
      </c>
      <c r="S432" s="272" t="s">
        <v>3293</v>
      </c>
      <c r="T432" s="273">
        <v>15</v>
      </c>
      <c r="U432" s="274"/>
      <c r="V432" s="280"/>
      <c r="W432" s="244"/>
      <c r="X432" s="244"/>
      <c r="Y432" s="362"/>
      <c r="Z432" s="257">
        <f>altaz(J2000_Bas,$O432,$M432,DecLat,DecLong,1)</f>
        <v>59.853050460978359</v>
      </c>
      <c r="AA432" s="257">
        <f>altaz((J2000_Bas+(2*0.04167)),$O432,$M432,DecLat,DecLong,1)</f>
        <v>39.492072883857666</v>
      </c>
      <c r="AB432" s="257">
        <f>altaz((J2000_Bas+(4*0.04167)),$O432,$M432,DecLat,DecLong,1)</f>
        <v>19.686421379491829</v>
      </c>
      <c r="AC432" s="257">
        <f>altaz((J2000_Bas+(6*0.04167)),$O432,$M432,DecLat,DecLong,1)</f>
        <v>2.752833427422825</v>
      </c>
      <c r="AD432" s="258">
        <f>1+ transit((J2000_Bas-1),$O432,$M432,DecLat,DecLong)/360 + (GMTOffset/24) + (IF(DST="Y", 1, 0)/24)</f>
        <v>1.6941730386505414</v>
      </c>
      <c r="AE432" s="259">
        <f>DATE(2001,9,21)+(M432/360)*365 - (360*((DecLong/360)- (GMTOffset/24) ))</f>
        <v>37415.964699074073</v>
      </c>
      <c r="AF432" s="260">
        <f>IF(DecLat&gt;0,IF((90 - (DecLat-O432))&gt;90, (90 - (O432-DecLat)), (90 - (DecLat-O432))),IF((90 + (DecLat-O432))&gt;90, (90 + (O432-DecLat)), (90 + (DecLat-O432))))</f>
        <v>74.283333333333331</v>
      </c>
      <c r="AG432" s="257">
        <f>angularseperation(MoonRA,MoonDec,$M432,$O432)</f>
        <v>73.858123958609099</v>
      </c>
      <c r="AH432" s="261">
        <f ca="1">MIN(100,IF($O$5&gt;80,0+30*($AG432/100),IF($O$5&gt;70,0+50*($AG432/100),IF($O$5&gt;60,5+50*($AG432/100),IF($O$5&gt;50,10+60*($AG432/100),IF($O$5&gt;40,15+70*($AG432/100),IF($O$5&gt;30,20+70*($AG432/100),IF($O$5&gt;20,40+55*($AG432/100),(80+(20-$O$5)+30*($AG432/100))))))))))</f>
        <v>100</v>
      </c>
      <c r="AI432" s="262"/>
      <c r="AJ432" s="262"/>
      <c r="AK432" s="262"/>
      <c r="AL432" s="263"/>
      <c r="AM432" s="264"/>
      <c r="AN432" s="263">
        <v>312</v>
      </c>
      <c r="AO432" s="263"/>
      <c r="AP432" s="265"/>
      <c r="AQ432" s="266"/>
      <c r="AR432" s="267">
        <v>59072</v>
      </c>
      <c r="AS432" s="263"/>
      <c r="AT432" s="263"/>
      <c r="AU432" s="263"/>
      <c r="AV432" s="264"/>
      <c r="AW432" s="263"/>
      <c r="AX432" s="263"/>
      <c r="AY432" s="263"/>
      <c r="AZ432" s="263"/>
      <c r="BA432" s="263"/>
      <c r="BB432" s="263"/>
      <c r="BC432" s="263"/>
      <c r="BD432" s="264"/>
      <c r="BE432" s="263"/>
      <c r="BF432" s="263"/>
      <c r="BG432" s="263"/>
      <c r="BH432" s="263"/>
      <c r="BI432" s="263"/>
      <c r="BJ432" s="404">
        <f>altaz(J2000_Bas,$O432,$M432,DecLat,DecLong,2)</f>
        <v>311.03065630358424</v>
      </c>
      <c r="BK432" s="378" t="s">
        <v>532</v>
      </c>
      <c r="BL432" s="379">
        <f>IF((2*G432)/60&lt;0.2,0.2,(2*G432)/60)</f>
        <v>0.2</v>
      </c>
      <c r="BM432" s="380">
        <f>MOD((50000+AD432-$B$3+(0/24)),1)</f>
        <v>0.90953996835742146</v>
      </c>
      <c r="BN432" s="381"/>
      <c r="BO432" s="382">
        <v>432</v>
      </c>
    </row>
    <row r="433" spans="1:67" s="24" customFormat="1" ht="15" customHeight="1" x14ac:dyDescent="0.25">
      <c r="A433" s="288" t="s">
        <v>533</v>
      </c>
      <c r="B433" s="241" t="str">
        <f>HYPERLINK(CONCATENATE($AT$3,BK433,$AU$3),$AV$3)</f>
        <v>S</v>
      </c>
      <c r="C433" s="242" t="str">
        <f>HYPERLINK(CONCATENATE($AT$4,BK433,$AU$4,BL433),$AV$4)</f>
        <v>A</v>
      </c>
      <c r="D433" s="243" t="s">
        <v>5638</v>
      </c>
      <c r="E433" s="244" t="s">
        <v>3259</v>
      </c>
      <c r="F433" s="269"/>
      <c r="G433" s="273">
        <v>2.6</v>
      </c>
      <c r="H433" s="283">
        <v>160</v>
      </c>
      <c r="I433" s="246">
        <v>120</v>
      </c>
      <c r="J433" s="246">
        <v>2</v>
      </c>
      <c r="K433" s="247" t="s">
        <v>4371</v>
      </c>
      <c r="L433" s="248">
        <v>115744</v>
      </c>
      <c r="M433" s="249">
        <f>15*(LEFT(TEXT($L433,"000000"),2)+(MID(TEXT($L433,"000000"),3,2)/60)+(RIGHT(TEXT($L433,"000000"),2)/3600))</f>
        <v>179.43333333333334</v>
      </c>
      <c r="N433" s="250">
        <v>321700</v>
      </c>
      <c r="O433" s="251">
        <f>IF($N433&gt;0,(LEFT(TEXT($N433,"000000"),2)+(MID(TEXT($N433,"000000"),3,2)/60)+(RIGHT(TEXT($N433,"000000"),2)/3600)),-(MID(TEXT($N433,"000000"),2,2)+(MID(TEXT($N433,"000000"),4,2)/60)+(RIGHT(TEXT($N433,"000000"),2)/3600)))</f>
        <v>32.283333333333331</v>
      </c>
      <c r="P433" s="252" t="s">
        <v>37</v>
      </c>
      <c r="Q433" s="253"/>
      <c r="R433" s="247" t="s">
        <v>3570</v>
      </c>
      <c r="S433" s="272" t="s">
        <v>3293</v>
      </c>
      <c r="T433" s="273">
        <v>13</v>
      </c>
      <c r="U433" s="289">
        <v>22.29</v>
      </c>
      <c r="V433" s="280"/>
      <c r="W433" s="244"/>
      <c r="X433" s="244"/>
      <c r="Y433" s="362"/>
      <c r="Z433" s="257">
        <f>altaz(J2000_Bas,$O433,$M433,DecLat,DecLong,1)</f>
        <v>3.9237758712262782</v>
      </c>
      <c r="AA433" s="257">
        <f>altaz((J2000_Bas+(2*0.04167)),$O433,$M433,DecLat,DecLong,1)</f>
        <v>-14.590267637910735</v>
      </c>
      <c r="AB433" s="257">
        <f>altaz((J2000_Bas+(4*0.04167)),$O433,$M433,DecLat,DecLong,1)</f>
        <v>-25.483684631211414</v>
      </c>
      <c r="AC433" s="257">
        <f>altaz((J2000_Bas+(6*0.04167)),$O433,$M433,DecLat,DecLong,1)</f>
        <v>-24.744083973768063</v>
      </c>
      <c r="AD433" s="258">
        <f>1+ transit((J2000_Bas-1),$O433,$M433,DecLat,DecLong)/360 + (GMTOffset/24) + (IF(DST="Y", 1, 0)/24)</f>
        <v>1.4913258367130413</v>
      </c>
      <c r="AE433" s="259">
        <f>DATE(2001,9,21)+(M433/360)*365 - (360*((DecLong/360)- (GMTOffset/24) ))</f>
        <v>37341.925462962965</v>
      </c>
      <c r="AF433" s="260">
        <f>IF(DecLat&gt;0,IF((90 - (DecLat-O433))&gt;90, (90 - (O433-DecLat)), (90 - (DecLat-O433))),IF((90 + (DecLat-O433))&gt;90, (90 + (O433-DecLat)), (90 + (DecLat-O433))))</f>
        <v>88.716666666666669</v>
      </c>
      <c r="AG433" s="257">
        <f>angularseperation(MoonRA,MoonDec,$M433,$O433)</f>
        <v>89.047383407880972</v>
      </c>
      <c r="AH433" s="261">
        <f ca="1">MIN(100,IF($O$5&gt;80,0+30*($AG433/100),IF($O$5&gt;70,0+50*($AG433/100),IF($O$5&gt;60,5+50*($AG433/100),IF($O$5&gt;50,10+60*($AG433/100),IF($O$5&gt;40,15+70*($AG433/100),IF($O$5&gt;30,20+70*($AG433/100),IF($O$5&gt;20,40+55*($AG433/100),(80+(20-$O$5)+30*($AG433/100))))))))))</f>
        <v>100</v>
      </c>
      <c r="AI433" s="262">
        <v>3995</v>
      </c>
      <c r="AJ433" s="262"/>
      <c r="AK433" s="262"/>
      <c r="AL433" s="263"/>
      <c r="AM433" s="264"/>
      <c r="AN433" s="263">
        <v>313</v>
      </c>
      <c r="AO433" s="263"/>
      <c r="AP433" s="265"/>
      <c r="AQ433" s="266">
        <v>6944</v>
      </c>
      <c r="AR433" s="267">
        <v>37624</v>
      </c>
      <c r="AS433" s="263"/>
      <c r="AT433" s="263"/>
      <c r="AU433" s="263"/>
      <c r="AV433" s="264"/>
      <c r="AW433" s="263"/>
      <c r="AX433" s="263"/>
      <c r="AY433" s="263"/>
      <c r="AZ433" s="263"/>
      <c r="BA433" s="263"/>
      <c r="BB433" s="263"/>
      <c r="BC433" s="263"/>
      <c r="BD433" s="264"/>
      <c r="BE433" s="263"/>
      <c r="BF433" s="263"/>
      <c r="BG433" s="263"/>
      <c r="BH433" s="263"/>
      <c r="BI433" s="263"/>
      <c r="BJ433" s="404">
        <f>altaz(J2000_Bas,$O433,$M433,DecLat,DecLong,2)</f>
        <v>305.68702987885609</v>
      </c>
      <c r="BK433" s="378" t="s">
        <v>533</v>
      </c>
      <c r="BL433" s="379">
        <f>IF((2*G433)/60&lt;0.2,0.2,(2*G433)/60)</f>
        <v>0.2</v>
      </c>
      <c r="BM433" s="380">
        <f>MOD((50000+AD433-$B$3+(0/24)),1)</f>
        <v>0.70669276642001932</v>
      </c>
      <c r="BN433" s="381"/>
      <c r="BO433" s="382">
        <v>433</v>
      </c>
    </row>
    <row r="434" spans="1:67" s="24" customFormat="1" ht="15" customHeight="1" x14ac:dyDescent="0.25">
      <c r="A434" s="288" t="s">
        <v>534</v>
      </c>
      <c r="B434" s="241" t="str">
        <f>HYPERLINK(CONCATENATE($AT$3,BK434,$AU$3),$AV$3)</f>
        <v>S</v>
      </c>
      <c r="C434" s="242" t="str">
        <f>HYPERLINK(CONCATENATE($AT$4,BK434,$AU$4,BL434),$AV$4)</f>
        <v>A</v>
      </c>
      <c r="D434" s="243" t="s">
        <v>5638</v>
      </c>
      <c r="E434" s="244" t="s">
        <v>3259</v>
      </c>
      <c r="F434" s="269"/>
      <c r="G434" s="273">
        <v>1.2</v>
      </c>
      <c r="H434" s="283">
        <v>170</v>
      </c>
      <c r="I434" s="246">
        <v>60</v>
      </c>
      <c r="J434" s="246">
        <v>2</v>
      </c>
      <c r="K434" s="247" t="s">
        <v>4372</v>
      </c>
      <c r="L434" s="248">
        <v>225801</v>
      </c>
      <c r="M434" s="249">
        <f>15*(LEFT(TEXT($L434,"000000"),2)+(MID(TEXT($L434,"000000"),3,2)/60)+(RIGHT(TEXT($L434,"000000"),2)/3600))</f>
        <v>344.50416666666666</v>
      </c>
      <c r="N434" s="250">
        <v>-34600</v>
      </c>
      <c r="O434" s="251">
        <f>IF($N434&gt;0,(LEFT(TEXT($N434,"000000"),2)+(MID(TEXT($N434,"000000"),3,2)/60)+(RIGHT(TEXT($N434,"000000"),2)/3600)),-(MID(TEXT($N434,"000000"),2,2)+(MID(TEXT($N434,"000000"),4,2)/60)+(RIGHT(TEXT($N434,"000000"),2)/3600)))</f>
        <v>-3.7666666666666666</v>
      </c>
      <c r="P434" s="252" t="s">
        <v>3119</v>
      </c>
      <c r="Q434" s="253"/>
      <c r="R434" s="247" t="s">
        <v>3293</v>
      </c>
      <c r="S434" s="272" t="s">
        <v>3293</v>
      </c>
      <c r="T434" s="273">
        <v>13</v>
      </c>
      <c r="U434" s="274"/>
      <c r="V434" s="280"/>
      <c r="W434" s="244"/>
      <c r="X434" s="244"/>
      <c r="Y434" s="362"/>
      <c r="Z434" s="257">
        <f>altaz(J2000_Bas,$O434,$M434,DecLat,DecLong,1)</f>
        <v>24.396388575054349</v>
      </c>
      <c r="AA434" s="257">
        <f>altaz((J2000_Bas+(2*0.04167)),$O434,$M434,DecLat,DecLong,1)</f>
        <v>45.924345029502277</v>
      </c>
      <c r="AB434" s="257">
        <f>altaz((J2000_Bas+(4*0.04167)),$O434,$M434,DecLat,DecLong,1)</f>
        <v>55.196954659588236</v>
      </c>
      <c r="AC434" s="257">
        <f>altaz((J2000_Bas+(6*0.04167)),$O434,$M434,DecLat,DecLong,1)</f>
        <v>43.905307653652947</v>
      </c>
      <c r="AD434" s="258">
        <f>1+ transit((J2000_Bas-1),$O434,$M434,DecLat,DecLong)/360 + (GMTOffset/24) + (IF(DST="Y", 1, 0)/24)</f>
        <v>1.9498558834526249</v>
      </c>
      <c r="AE434" s="259">
        <f>DATE(2001,9,21)+(M434/360)*365 - (360*((DecLong/360)- (GMTOffset/24) ))</f>
        <v>37509.288946759261</v>
      </c>
      <c r="AF434" s="260">
        <f>IF(DecLat&gt;0,IF((90 - (DecLat-O434))&gt;90, (90 - (O434-DecLat)), (90 - (DecLat-O434))),IF((90 + (DecLat-O434))&gt;90, (90 + (O434-DecLat)), (90 + (DecLat-O434))))</f>
        <v>55.233333333333334</v>
      </c>
      <c r="AG434" s="257">
        <f>angularseperation(MoonRA,MoonDec,$M434,$O434)</f>
        <v>92.956092605528255</v>
      </c>
      <c r="AH434" s="261">
        <f ca="1">MIN(100,IF($O$5&gt;80,0+30*($AG434/100),IF($O$5&gt;70,0+50*($AG434/100),IF($O$5&gt;60,5+50*($AG434/100),IF($O$5&gt;50,10+60*($AG434/100),IF($O$5&gt;40,15+70*($AG434/100),IF($O$5&gt;30,20+70*($AG434/100),IF($O$5&gt;20,40+55*($AG434/100),(80+(20-$O$5)+30*($AG434/100))))))))))</f>
        <v>100</v>
      </c>
      <c r="AI434" s="262"/>
      <c r="AJ434" s="262"/>
      <c r="AK434" s="262"/>
      <c r="AL434" s="263"/>
      <c r="AM434" s="264"/>
      <c r="AN434" s="263">
        <v>314</v>
      </c>
      <c r="AO434" s="263"/>
      <c r="AP434" s="265"/>
      <c r="AQ434" s="266"/>
      <c r="AR434" s="267">
        <v>70127</v>
      </c>
      <c r="AS434" s="263"/>
      <c r="AT434" s="263"/>
      <c r="AU434" s="263"/>
      <c r="AV434" s="264"/>
      <c r="AW434" s="263"/>
      <c r="AX434" s="263"/>
      <c r="AY434" s="263"/>
      <c r="AZ434" s="263"/>
      <c r="BA434" s="263"/>
      <c r="BB434" s="263"/>
      <c r="BC434" s="263"/>
      <c r="BD434" s="264"/>
      <c r="BE434" s="263"/>
      <c r="BF434" s="263"/>
      <c r="BG434" s="263"/>
      <c r="BH434" s="263"/>
      <c r="BI434" s="263"/>
      <c r="BJ434" s="404">
        <f>altaz(J2000_Bas,$O434,$M434,DecLat,DecLong,2)</f>
        <v>110.89589488895044</v>
      </c>
      <c r="BK434" s="378" t="s">
        <v>534</v>
      </c>
      <c r="BL434" s="379">
        <f>IF((2*G434)/60&lt;0.2,0.2,(2*G434)/60)</f>
        <v>0.2</v>
      </c>
      <c r="BM434" s="380">
        <f>MOD((50000+AD434-$B$3+(0/24)),1)</f>
        <v>0.16522281315701548</v>
      </c>
      <c r="BN434" s="381"/>
      <c r="BO434" s="382">
        <v>434</v>
      </c>
    </row>
    <row r="435" spans="1:67" s="24" customFormat="1" ht="15" customHeight="1" x14ac:dyDescent="0.25">
      <c r="A435" s="288" t="s">
        <v>535</v>
      </c>
      <c r="B435" s="241" t="str">
        <f>HYPERLINK(CONCATENATE($AT$3,BK435,$AU$3),$AV$3)</f>
        <v>S</v>
      </c>
      <c r="C435" s="242" t="str">
        <f>HYPERLINK(CONCATENATE($AT$4,BK435,$AU$4,BL435),$AV$4)</f>
        <v>A</v>
      </c>
      <c r="D435" s="243" t="s">
        <v>5638</v>
      </c>
      <c r="E435" s="244" t="s">
        <v>5625</v>
      </c>
      <c r="F435" s="293">
        <v>8</v>
      </c>
      <c r="G435" s="291">
        <v>8</v>
      </c>
      <c r="H435" s="283">
        <v>320</v>
      </c>
      <c r="I435" s="284">
        <v>800</v>
      </c>
      <c r="J435" s="246">
        <v>2</v>
      </c>
      <c r="K435" s="247" t="s">
        <v>4373</v>
      </c>
      <c r="L435" s="248">
        <v>91941</v>
      </c>
      <c r="M435" s="249">
        <f>15*(LEFT(TEXT($L435,"000000"),2)+(MID(TEXT($L435,"000000"),3,2)/60)+(RIGHT(TEXT($L435,"000000"),2)/3600))</f>
        <v>139.92083333333332</v>
      </c>
      <c r="N435" s="250">
        <v>334400</v>
      </c>
      <c r="O435" s="251">
        <f>IF($N435&gt;0,(LEFT(TEXT($N435,"000000"),2)+(MID(TEXT($N435,"000000"),3,2)/60)+(RIGHT(TEXT($N435,"000000"),2)/3600)),-(MID(TEXT($N435,"000000"),2,2)+(MID(TEXT($N435,"000000"),4,2)/60)+(RIGHT(TEXT($N435,"000000"),2)/3600)))</f>
        <v>33.733333333333334</v>
      </c>
      <c r="P435" s="252" t="s">
        <v>82</v>
      </c>
      <c r="Q435" s="253"/>
      <c r="R435" s="247" t="s">
        <v>3524</v>
      </c>
      <c r="S435" s="272" t="s">
        <v>3293</v>
      </c>
      <c r="T435" s="273">
        <v>12</v>
      </c>
      <c r="U435" s="289">
        <v>21.490000000000002</v>
      </c>
      <c r="V435" s="280"/>
      <c r="W435" s="244"/>
      <c r="X435" s="244"/>
      <c r="Y435" s="362"/>
      <c r="Z435" s="257">
        <f>altaz(J2000_Bas,$O435,$M435,DecLat,DecLong,1)</f>
        <v>-17.790065266563644</v>
      </c>
      <c r="AA435" s="257">
        <f>altaz((J2000_Bas+(2*0.04167)),$O435,$M435,DecLat,DecLong,1)</f>
        <v>-25.165648009637131</v>
      </c>
      <c r="AB435" s="257">
        <f>altaz((J2000_Bas+(4*0.04167)),$O435,$M435,DecLat,DecLong,1)</f>
        <v>-20.690087695641672</v>
      </c>
      <c r="AC435" s="257">
        <f>altaz((J2000_Bas+(6*0.04167)),$O435,$M435,DecLat,DecLong,1)</f>
        <v>-6.2655826382449931</v>
      </c>
      <c r="AD435" s="258">
        <f>1+ transit((J2000_Bas-1),$O435,$M435,DecLat,DecLong)/360 + (GMTOffset/24) + (IF(DST="Y", 1, 0)/24)</f>
        <v>1.3815689032442913</v>
      </c>
      <c r="AE435" s="259">
        <f>DATE(2001,9,21)+(M435/360)*365 - (360*((DecLong/360)- (GMTOffset/24) ))</f>
        <v>37301.864178240743</v>
      </c>
      <c r="AF435" s="260">
        <f>IF(DecLat&gt;0,IF((90 - (DecLat-O435))&gt;90, (90 - (O435-DecLat)), (90 - (DecLat-O435))),IF((90 + (DecLat-O435))&gt;90, (90 + (O435-DecLat)), (90 + (DecLat-O435))))</f>
        <v>87.266666666666666</v>
      </c>
      <c r="AG435" s="257">
        <f>angularseperation(MoonRA,MoonDec,$M435,$O435)</f>
        <v>119.8559345619267</v>
      </c>
      <c r="AH435" s="261">
        <f ca="1">MIN(100,IF($O$5&gt;80,0+30*($AG435/100),IF($O$5&gt;70,0+50*($AG435/100),IF($O$5&gt;60,5+50*($AG435/100),IF($O$5&gt;50,10+60*($AG435/100),IF($O$5&gt;40,15+70*($AG435/100),IF($O$5&gt;30,20+70*($AG435/100),IF($O$5&gt;20,40+55*($AG435/100),(80+(20-$O$5)+30*($AG435/100))))))))))</f>
        <v>100</v>
      </c>
      <c r="AI435" s="262">
        <v>2830</v>
      </c>
      <c r="AJ435" s="262"/>
      <c r="AK435" s="262"/>
      <c r="AL435" s="263"/>
      <c r="AM435" s="264"/>
      <c r="AN435" s="263">
        <v>315</v>
      </c>
      <c r="AO435" s="263"/>
      <c r="AP435" s="265"/>
      <c r="AQ435" s="266">
        <v>4941</v>
      </c>
      <c r="AR435" s="267">
        <v>26371</v>
      </c>
      <c r="AS435" s="263"/>
      <c r="AT435" s="263"/>
      <c r="AU435" s="263"/>
      <c r="AV435" s="264"/>
      <c r="AW435" s="263"/>
      <c r="AX435" s="263"/>
      <c r="AY435" s="263"/>
      <c r="AZ435" s="263"/>
      <c r="BA435" s="263"/>
      <c r="BB435" s="263"/>
      <c r="BC435" s="263"/>
      <c r="BD435" s="264"/>
      <c r="BE435" s="263"/>
      <c r="BF435" s="263"/>
      <c r="BG435" s="263"/>
      <c r="BH435" s="263"/>
      <c r="BI435" s="263"/>
      <c r="BJ435" s="404">
        <f>altaz(J2000_Bas,$O435,$M435,DecLat,DecLong,2)</f>
        <v>330.83265739549671</v>
      </c>
      <c r="BK435" s="378" t="s">
        <v>535</v>
      </c>
      <c r="BL435" s="379">
        <f>IF((2*G435)/60&lt;0.2,0.2,(2*G435)/60)</f>
        <v>0.26666666666666666</v>
      </c>
      <c r="BM435" s="380">
        <f>MOD((50000+AD435-$B$3+(0/24)),1)</f>
        <v>0.59693583294574637</v>
      </c>
      <c r="BN435" s="381"/>
      <c r="BO435" s="382">
        <v>435</v>
      </c>
    </row>
    <row r="436" spans="1:67" s="24" customFormat="1" ht="15" customHeight="1" x14ac:dyDescent="0.25">
      <c r="A436" s="288" t="s">
        <v>536</v>
      </c>
      <c r="B436" s="241" t="str">
        <f>HYPERLINK(CONCATENATE($AT$3,BK436,$AU$3),$AV$3)</f>
        <v>S</v>
      </c>
      <c r="C436" s="242" t="str">
        <f>HYPERLINK(CONCATENATE($AT$4,BK436,$AU$4,BL436),$AV$4)</f>
        <v>A</v>
      </c>
      <c r="D436" s="243" t="s">
        <v>5638</v>
      </c>
      <c r="E436" s="244" t="s">
        <v>5625</v>
      </c>
      <c r="F436" s="290">
        <v>4</v>
      </c>
      <c r="G436" s="282">
        <v>12</v>
      </c>
      <c r="H436" s="283">
        <v>60</v>
      </c>
      <c r="I436" s="284">
        <v>220</v>
      </c>
      <c r="J436" s="246">
        <v>4</v>
      </c>
      <c r="K436" s="247" t="s">
        <v>6231</v>
      </c>
      <c r="L436" s="248">
        <v>101806</v>
      </c>
      <c r="M436" s="249">
        <f>15*(LEFT(TEXT($L436,"000000"),2)+(MID(TEXT($L436,"000000"),3,2)/60)+(RIGHT(TEXT($L436,"000000"),2)/3600))</f>
        <v>154.52500000000001</v>
      </c>
      <c r="N436" s="250">
        <v>214900</v>
      </c>
      <c r="O436" s="251">
        <f>IF($N436&gt;0,(LEFT(TEXT($N436,"000000"),2)+(MID(TEXT($N436,"000000"),3,2)/60)+(RIGHT(TEXT($N436,"000000"),2)/3600)),-(MID(TEXT($N436,"000000"),2,2)+(MID(TEXT($N436,"000000"),4,2)/60)+(RIGHT(TEXT($N436,"000000"),2)/3600)))</f>
        <v>21.816666666666666</v>
      </c>
      <c r="P436" s="252" t="s">
        <v>183</v>
      </c>
      <c r="Q436" s="253"/>
      <c r="R436" s="292" t="s">
        <v>4295</v>
      </c>
      <c r="S436" s="272" t="s">
        <v>3293</v>
      </c>
      <c r="T436" s="273">
        <v>9.3000000000000007</v>
      </c>
      <c r="U436" s="289">
        <v>24</v>
      </c>
      <c r="V436" s="280"/>
      <c r="W436" s="244"/>
      <c r="X436" s="244"/>
      <c r="Y436" s="362"/>
      <c r="Z436" s="257">
        <f>altaz(J2000_Bas,$O436,$M436,DecLat,DecLong,1)</f>
        <v>-19.612438069677793</v>
      </c>
      <c r="AA436" s="257">
        <f>altaz((J2000_Bas+(2*0.04167)),$O436,$M436,DecLat,DecLong,1)</f>
        <v>-34.299454575671689</v>
      </c>
      <c r="AB436" s="257">
        <f>altaz((J2000_Bas+(4*0.04167)),$O436,$M436,DecLat,DecLong,1)</f>
        <v>-36.014017340451701</v>
      </c>
      <c r="AC436" s="257">
        <f>altaz((J2000_Bas+(6*0.04167)),$O436,$M436,DecLat,DecLong,1)</f>
        <v>-23.732022561362196</v>
      </c>
      <c r="AD436" s="258">
        <f>1+ transit((J2000_Bas-1),$O436,$M436,DecLat,DecLong)/360 + (GMTOffset/24) + (IF(DST="Y", 1, 0)/24)</f>
        <v>1.422136028817208</v>
      </c>
      <c r="AE436" s="259">
        <f>DATE(2001,9,21)+(M436/360)*365 - (360*((DecLong/360)- (GMTOffset/24) ))</f>
        <v>37316.671180555553</v>
      </c>
      <c r="AF436" s="260">
        <f>IF(DecLat&gt;0,IF((90 - (DecLat-O436))&gt;90, (90 - (O436-DecLat)), (90 - (DecLat-O436))),IF((90 + (DecLat-O436))&gt;90, (90 + (O436-DecLat)), (90 + (DecLat-O436))))</f>
        <v>80.816666666666663</v>
      </c>
      <c r="AG436" s="257">
        <f>angularseperation(MoonRA,MoonDec,$M436,$O436)</f>
        <v>103.71998819550208</v>
      </c>
      <c r="AH436" s="261">
        <f ca="1">MIN(100,IF($O$5&gt;80,0+30*($AG436/100),IF($O$5&gt;70,0+50*($AG436/100),IF($O$5&gt;60,5+50*($AG436/100),IF($O$5&gt;50,10+60*($AG436/100),IF($O$5&gt;40,15+70*($AG436/100),IF($O$5&gt;30,20+70*($AG436/100),IF($O$5&gt;20,40+55*($AG436/100),(80+(20-$O$5)+30*($AG436/100))))))))))</f>
        <v>100</v>
      </c>
      <c r="AI436" s="262">
        <v>3189</v>
      </c>
      <c r="AJ436" s="262"/>
      <c r="AK436" s="262">
        <v>144</v>
      </c>
      <c r="AL436" s="263"/>
      <c r="AM436" s="264"/>
      <c r="AN436" s="263">
        <v>316</v>
      </c>
      <c r="AO436" s="263">
        <v>44</v>
      </c>
      <c r="AP436" s="265"/>
      <c r="AQ436" s="266">
        <v>5559</v>
      </c>
      <c r="AR436" s="267"/>
      <c r="AS436" s="263"/>
      <c r="AT436" s="263"/>
      <c r="AU436" s="263"/>
      <c r="AV436" s="264"/>
      <c r="AW436" s="263"/>
      <c r="AX436" s="263"/>
      <c r="AY436" s="263"/>
      <c r="AZ436" s="263"/>
      <c r="BA436" s="263"/>
      <c r="BB436" s="263"/>
      <c r="BC436" s="263"/>
      <c r="BD436" s="264"/>
      <c r="BE436" s="263"/>
      <c r="BF436" s="263"/>
      <c r="BG436" s="263">
        <v>51</v>
      </c>
      <c r="BH436" s="263"/>
      <c r="BI436" s="263"/>
      <c r="BJ436" s="404">
        <f>altaz(J2000_Bas,$O436,$M436,DecLat,DecLong,2)</f>
        <v>312.40537340821982</v>
      </c>
      <c r="BK436" s="378" t="s">
        <v>4041</v>
      </c>
      <c r="BL436" s="379">
        <f>IF((2*G436)/60&lt;0.2,0.2,(2*G436)/60)</f>
        <v>0.4</v>
      </c>
      <c r="BM436" s="380">
        <f>MOD((50000+AD436-$B$3+(0/24)),1)</f>
        <v>0.63750295851787087</v>
      </c>
      <c r="BN436" s="381" t="s">
        <v>9223</v>
      </c>
      <c r="BO436" s="382">
        <v>436</v>
      </c>
    </row>
    <row r="437" spans="1:67" s="24" customFormat="1" ht="15" customHeight="1" x14ac:dyDescent="0.25">
      <c r="A437" s="288" t="s">
        <v>537</v>
      </c>
      <c r="B437" s="241" t="str">
        <f>HYPERLINK(CONCATENATE($AT$3,BK437,$AU$3),$AV$3)</f>
        <v>S</v>
      </c>
      <c r="C437" s="242" t="str">
        <f>HYPERLINK(CONCATENATE($AT$4,BK437,$AU$4,BL437),$AV$4)</f>
        <v>A</v>
      </c>
      <c r="D437" s="243" t="s">
        <v>5638</v>
      </c>
      <c r="E437" s="244" t="s">
        <v>5194</v>
      </c>
      <c r="F437" s="293" t="s">
        <v>6500</v>
      </c>
      <c r="G437" s="276">
        <v>13</v>
      </c>
      <c r="H437" s="283">
        <v>31</v>
      </c>
      <c r="I437" s="246">
        <v>120</v>
      </c>
      <c r="J437" s="246">
        <v>4</v>
      </c>
      <c r="K437" s="247" t="s">
        <v>4369</v>
      </c>
      <c r="L437" s="248">
        <v>111855</v>
      </c>
      <c r="M437" s="249">
        <f>15*(LEFT(TEXT($L437,"000000"),2)+(MID(TEXT($L437,"000000"),3,2)/60)+(RIGHT(TEXT($L437,"000000"),2)/3600))</f>
        <v>169.72916666666669</v>
      </c>
      <c r="N437" s="250">
        <v>130500</v>
      </c>
      <c r="O437" s="251">
        <f>IF($N437&gt;0,(LEFT(TEXT($N437,"000000"),2)+(MID(TEXT($N437,"000000"),3,2)/60)+(RIGHT(TEXT($N437,"000000"),2)/3600)),-(MID(TEXT($N437,"000000"),2,2)+(MID(TEXT($N437,"000000"),4,2)/60)+(RIGHT(TEXT($N437,"000000"),2)/3600)))</f>
        <v>13.083333333333334</v>
      </c>
      <c r="P437" s="252" t="s">
        <v>183</v>
      </c>
      <c r="Q437" s="253" t="s">
        <v>538</v>
      </c>
      <c r="R437" s="247" t="s">
        <v>3293</v>
      </c>
      <c r="S437" s="272" t="s">
        <v>4183</v>
      </c>
      <c r="T437" s="273">
        <v>9.6999999999999993</v>
      </c>
      <c r="U437" s="274"/>
      <c r="V437" s="280"/>
      <c r="W437" s="244"/>
      <c r="X437" s="244"/>
      <c r="Y437" s="362"/>
      <c r="Z437" s="257">
        <f>altaz(J2000_Bas,$O437,$M437,DecLat,DecLong,1)</f>
        <v>-14.654676885171417</v>
      </c>
      <c r="AA437" s="257">
        <f>altaz((J2000_Bas+(2*0.04167)),$O437,$M437,DecLat,DecLong,1)</f>
        <v>-35.344617174644057</v>
      </c>
      <c r="AB437" s="257">
        <f>altaz((J2000_Bas+(4*0.04167)),$O437,$M437,DecLat,DecLong,1)</f>
        <v>-45.784327752383923</v>
      </c>
      <c r="AC437" s="257">
        <f>altaz((J2000_Bas+(6*0.04167)),$O437,$M437,DecLat,DecLong,1)</f>
        <v>-39.081957283801522</v>
      </c>
      <c r="AD437" s="258">
        <f>1+ transit((J2000_Bas-1),$O437,$M437,DecLat,DecLong)/360 + (GMTOffset/24) + (IF(DST="Y", 1, 0)/24)</f>
        <v>1.4643698208901246</v>
      </c>
      <c r="AE437" s="259">
        <f>DATE(2001,9,21)+(M437/360)*365 - (360*((DecLong/360)- (GMTOffset/24) ))</f>
        <v>37332.086516203701</v>
      </c>
      <c r="AF437" s="260">
        <f>IF(DecLat&gt;0,IF((90 - (DecLat-O437))&gt;90, (90 - (O437-DecLat)), (90 - (DecLat-O437))),IF((90 + (DecLat-O437))&gt;90, (90 + (O437-DecLat)), (90 + (DecLat-O437))))</f>
        <v>72.083333333333343</v>
      </c>
      <c r="AG437" s="257">
        <f>angularseperation(MoonRA,MoonDec,$M437,$O437)</f>
        <v>86.859468466305117</v>
      </c>
      <c r="AH437" s="261">
        <f ca="1">MIN(100,IF($O$5&gt;80,0+30*($AG437/100),IF($O$5&gt;70,0+50*($AG437/100),IF($O$5&gt;60,5+50*($AG437/100),IF($O$5&gt;50,10+60*($AG437/100),IF($O$5&gt;40,15+70*($AG437/100),IF($O$5&gt;30,20+70*($AG437/100),IF($O$5&gt;20,40+55*($AG437/100),(80+(20-$O$5)+30*($AG437/100))))))))))</f>
        <v>100</v>
      </c>
      <c r="AI437" s="262"/>
      <c r="AJ437" s="262"/>
      <c r="AK437" s="262"/>
      <c r="AL437" s="263"/>
      <c r="AM437" s="264"/>
      <c r="AN437" s="263">
        <v>317</v>
      </c>
      <c r="AO437" s="263"/>
      <c r="AP437" s="265"/>
      <c r="AQ437" s="266"/>
      <c r="AR437" s="267"/>
      <c r="AS437" s="263"/>
      <c r="AT437" s="263"/>
      <c r="AU437" s="263"/>
      <c r="AV437" s="264"/>
      <c r="AW437" s="263"/>
      <c r="AX437" s="263"/>
      <c r="AY437" s="263"/>
      <c r="AZ437" s="263"/>
      <c r="BA437" s="263"/>
      <c r="BB437" s="263"/>
      <c r="BC437" s="263"/>
      <c r="BD437" s="264"/>
      <c r="BE437" s="263"/>
      <c r="BF437" s="263"/>
      <c r="BG437" s="263"/>
      <c r="BH437" s="263"/>
      <c r="BI437" s="263"/>
      <c r="BJ437" s="404">
        <f>altaz(J2000_Bas,$O437,$M437,DecLat,DecLong,2)</f>
        <v>295.47349606735833</v>
      </c>
      <c r="BK437" s="378" t="s">
        <v>537</v>
      </c>
      <c r="BL437" s="379">
        <f>IF((2*G437)/60&lt;0.2,0.2,(2*G437)/60)</f>
        <v>0.43333333333333335</v>
      </c>
      <c r="BM437" s="380">
        <f>MOD((50000+AD437-$B$3+(0/24)),1)</f>
        <v>0.67973675059329253</v>
      </c>
      <c r="BN437" s="381"/>
      <c r="BO437" s="382">
        <v>437</v>
      </c>
    </row>
    <row r="438" spans="1:67" s="24" customFormat="1" ht="15" customHeight="1" x14ac:dyDescent="0.25">
      <c r="A438" s="288" t="s">
        <v>539</v>
      </c>
      <c r="B438" s="241" t="str">
        <f>HYPERLINK(CONCATENATE($AT$3,BK438,$AU$3),$AV$3)</f>
        <v>S</v>
      </c>
      <c r="C438" s="242" t="str">
        <f>HYPERLINK(CONCATENATE($AT$4,BK438,$AU$4,BL438),$AV$4)</f>
        <v>A</v>
      </c>
      <c r="D438" s="243" t="s">
        <v>5638</v>
      </c>
      <c r="E438" s="244" t="s">
        <v>5625</v>
      </c>
      <c r="F438" s="290">
        <v>4</v>
      </c>
      <c r="G438" s="291">
        <v>7</v>
      </c>
      <c r="H438" s="283">
        <v>190</v>
      </c>
      <c r="I438" s="284">
        <v>420</v>
      </c>
      <c r="J438" s="295">
        <v>2</v>
      </c>
      <c r="K438" s="247" t="s">
        <v>7615</v>
      </c>
      <c r="L438" s="248">
        <v>20920</v>
      </c>
      <c r="M438" s="249">
        <f>15*(LEFT(TEXT($L438,"000000"),2)+(MID(TEXT($L438,"000000"),3,2)/60)+(RIGHT(TEXT($L438,"000000"),2)/3600))</f>
        <v>32.333333333333329</v>
      </c>
      <c r="N438" s="250">
        <v>-100700</v>
      </c>
      <c r="O438" s="251">
        <f>IF($N438&gt;0,(LEFT(TEXT($N438,"000000"),2)+(MID(TEXT($N438,"000000"),3,2)/60)+(RIGHT(TEXT($N438,"000000"),2)/3600)),-(MID(TEXT($N438,"000000"),2,2)+(MID(TEXT($N438,"000000"),4,2)/60)+(RIGHT(TEXT($N438,"000000"),2)/3600)))</f>
        <v>-10.116666666666667</v>
      </c>
      <c r="P438" s="252" t="s">
        <v>75</v>
      </c>
      <c r="Q438" s="253"/>
      <c r="R438" s="292" t="s">
        <v>4294</v>
      </c>
      <c r="S438" s="272" t="s">
        <v>3293</v>
      </c>
      <c r="T438" s="273">
        <v>10.199999999999999</v>
      </c>
      <c r="U438" s="289">
        <v>22.9</v>
      </c>
      <c r="V438" s="280"/>
      <c r="W438" s="244"/>
      <c r="X438" s="244"/>
      <c r="Y438" s="362"/>
      <c r="Z438" s="257">
        <f>altaz(J2000_Bas,$O438,$M438,DecLat,DecLong,1)</f>
        <v>-19.131654095722613</v>
      </c>
      <c r="AA438" s="257">
        <f>altaz((J2000_Bas+(2*0.04167)),$O438,$M438,DecLat,DecLong,1)</f>
        <v>6.3242949680922678</v>
      </c>
      <c r="AB438" s="257">
        <f>altaz((J2000_Bas+(4*0.04167)),$O438,$M438,DecLat,DecLong,1)</f>
        <v>29.603701681177235</v>
      </c>
      <c r="AC438" s="257">
        <f>altaz((J2000_Bas+(6*0.04167)),$O438,$M438,DecLat,DecLong,1)</f>
        <v>46.085002021834725</v>
      </c>
      <c r="AD438" s="258">
        <f>1+ transit((J2000_Bas-1),$O438,$M438,DecLat,DecLong)/360 + (GMTOffset/24) + (IF(DST="Y", 1, 0)/24)</f>
        <v>1.0827147664630414</v>
      </c>
      <c r="AE438" s="259">
        <f>DATE(2001,9,21)+(M438/360)*365 - (360*((DecLong/360)- (GMTOffset/24) ))</f>
        <v>37192.782407407409</v>
      </c>
      <c r="AF438" s="260">
        <f>IF(DecLat&gt;0,IF((90 - (DecLat-O438))&gt;90, (90 - (O438-DecLat)), (90 - (DecLat-O438))),IF((90 + (DecLat-O438))&gt;90, (90 + (O438-DecLat)), (90 + (DecLat-O438))))</f>
        <v>48.883333333333333</v>
      </c>
      <c r="AG438" s="257">
        <f>angularseperation(MoonRA,MoonDec,$M438,$O438)</f>
        <v>128.3795062926965</v>
      </c>
      <c r="AH438" s="261">
        <f ca="1">MIN(100,IF($O$5&gt;80,0+30*($AG438/100),IF($O$5&gt;70,0+50*($AG438/100),IF($O$5&gt;60,5+50*($AG438/100),IF($O$5&gt;50,10+60*($AG438/100),IF($O$5&gt;40,15+70*($AG438/100),IF($O$5&gt;30,20+70*($AG438/100),IF($O$5&gt;20,40+55*($AG438/100),(80+(20-$O$5)+30*($AG438/100))))))))))</f>
        <v>100</v>
      </c>
      <c r="AI438" s="262">
        <v>835</v>
      </c>
      <c r="AJ438" s="262"/>
      <c r="AK438" s="262"/>
      <c r="AL438" s="263"/>
      <c r="AM438" s="264"/>
      <c r="AN438" s="263">
        <v>318</v>
      </c>
      <c r="AO438" s="263">
        <v>16</v>
      </c>
      <c r="AP438" s="265"/>
      <c r="AQ438" s="266"/>
      <c r="AR438" s="267">
        <v>8228</v>
      </c>
      <c r="AS438" s="263"/>
      <c r="AT438" s="263"/>
      <c r="AU438" s="263"/>
      <c r="AV438" s="264"/>
      <c r="AW438" s="263"/>
      <c r="AX438" s="263"/>
      <c r="AY438" s="263"/>
      <c r="AZ438" s="263"/>
      <c r="BA438" s="263"/>
      <c r="BB438" s="263"/>
      <c r="BC438" s="263"/>
      <c r="BD438" s="264"/>
      <c r="BE438" s="263"/>
      <c r="BF438" s="263"/>
      <c r="BG438" s="263"/>
      <c r="BH438" s="263"/>
      <c r="BI438" s="263"/>
      <c r="BJ438" s="404">
        <f>altaz(J2000_Bas,$O438,$M438,DecLat,DecLong,2)</f>
        <v>90.48497268792363</v>
      </c>
      <c r="BK438" s="378" t="s">
        <v>4013</v>
      </c>
      <c r="BL438" s="379">
        <f>IF((2*G438)/60&lt;0.2,0.2,(2*G438)/60)</f>
        <v>0.23333333333333334</v>
      </c>
      <c r="BM438" s="380">
        <f>MOD((50000+AD438-$B$3+(0/24)),1)</f>
        <v>0.29808169616444502</v>
      </c>
      <c r="BN438" s="381"/>
      <c r="BO438" s="382">
        <v>438</v>
      </c>
    </row>
    <row r="439" spans="1:67" s="24" customFormat="1" ht="15" customHeight="1" x14ac:dyDescent="0.25">
      <c r="A439" s="288" t="s">
        <v>540</v>
      </c>
      <c r="B439" s="241" t="str">
        <f>HYPERLINK(CONCATENATE($AT$3,BK439,$AU$3),$AV$3)</f>
        <v>S</v>
      </c>
      <c r="C439" s="242" t="str">
        <f>HYPERLINK(CONCATENATE($AT$4,BK439,$AU$4,BL439),$AV$4)</f>
        <v>A</v>
      </c>
      <c r="D439" s="243" t="s">
        <v>5638</v>
      </c>
      <c r="E439" s="244" t="s">
        <v>5625</v>
      </c>
      <c r="F439" s="290" t="s">
        <v>9127</v>
      </c>
      <c r="G439" s="291">
        <v>5</v>
      </c>
      <c r="H439" s="283">
        <v>40</v>
      </c>
      <c r="I439" s="284">
        <v>60</v>
      </c>
      <c r="J439" s="246">
        <v>4</v>
      </c>
      <c r="K439" s="247" t="s">
        <v>6234</v>
      </c>
      <c r="L439" s="248">
        <v>223604</v>
      </c>
      <c r="M439" s="249">
        <f>15*(LEFT(TEXT($L439,"000000"),2)+(MID(TEXT($L439,"000000"),3,2)/60)+(RIGHT(TEXT($L439,"000000"),2)/3600))</f>
        <v>339.01666666666671</v>
      </c>
      <c r="N439" s="250">
        <v>335600</v>
      </c>
      <c r="O439" s="251">
        <f>IF($N439&gt;0,(LEFT(TEXT($N439,"000000"),2)+(MID(TEXT($N439,"000000"),3,2)/60)+(RIGHT(TEXT($N439,"000000"),2)/3600)),-(MID(TEXT($N439,"000000"),2,2)+(MID(TEXT($N439,"000000"),4,2)/60)+(RIGHT(TEXT($N439,"000000"),2)/3600)))</f>
        <v>33.93333333333333</v>
      </c>
      <c r="P439" s="252" t="s">
        <v>39</v>
      </c>
      <c r="Q439" s="253" t="s">
        <v>3257</v>
      </c>
      <c r="R439" s="292" t="s">
        <v>4298</v>
      </c>
      <c r="S439" s="272" t="s">
        <v>3293</v>
      </c>
      <c r="T439" s="273">
        <v>11.1</v>
      </c>
      <c r="U439" s="289">
        <v>22.3</v>
      </c>
      <c r="V439" s="280"/>
      <c r="W439" s="244"/>
      <c r="X439" s="244"/>
      <c r="Y439" s="362"/>
      <c r="Z439" s="257">
        <f>altaz(J2000_Bas,$O439,$M439,DecLat,DecLong,1)</f>
        <v>45.673441856431268</v>
      </c>
      <c r="AA439" s="257">
        <f>altaz((J2000_Bas+(2*0.04167)),$O439,$M439,DecLat,DecLong,1)</f>
        <v>70.474999980722899</v>
      </c>
      <c r="AB439" s="257">
        <f>altaz((J2000_Bas+(4*0.04167)),$O439,$M439,DecLat,DecLong,1)</f>
        <v>83.290648068759523</v>
      </c>
      <c r="AC439" s="257">
        <f>altaz((J2000_Bas+(6*0.04167)),$O439,$M439,DecLat,DecLong,1)</f>
        <v>58.615137335832877</v>
      </c>
      <c r="AD439" s="258">
        <f>1+ transit((J2000_Bas-1),$O439,$M439,DecLat,DecLong)/360 + (GMTOffset/24) + (IF(DST="Y", 1, 0)/24)</f>
        <v>1.9346128294213749</v>
      </c>
      <c r="AE439" s="259">
        <f>DATE(2001,9,21)+(M439/360)*365 - (360*((DecLong/360)- (GMTOffset/24) ))</f>
        <v>37503.725231481483</v>
      </c>
      <c r="AF439" s="260">
        <f>IF(DecLat&gt;0,IF((90 - (DecLat-O439))&gt;90, (90 - (O439-DecLat)), (90 - (DecLat-O439))),IF((90 + (DecLat-O439))&gt;90, (90 + (O439-DecLat)), (90 + (DecLat-O439))))</f>
        <v>87.066666666666663</v>
      </c>
      <c r="AG439" s="257">
        <f>angularseperation(MoonRA,MoonDec,$M439,$O439)</f>
        <v>104.55183995082895</v>
      </c>
      <c r="AH439" s="261">
        <f ca="1">MIN(100,IF($O$5&gt;80,0+30*($AG439/100),IF($O$5&gt;70,0+50*($AG439/100),IF($O$5&gt;60,5+50*($AG439/100),IF($O$5&gt;50,10+60*($AG439/100),IF($O$5&gt;40,15+70*($AG439/100),IF($O$5&gt;30,20+70*($AG439/100),IF($O$5&gt;20,40+55*($AG439/100),(80+(20-$O$5)+30*($AG439/100))))))))))</f>
        <v>100</v>
      </c>
      <c r="AI439" s="262">
        <v>7320</v>
      </c>
      <c r="AJ439" s="262"/>
      <c r="AK439" s="262"/>
      <c r="AL439" s="263"/>
      <c r="AM439" s="264"/>
      <c r="AN439" s="263">
        <v>319</v>
      </c>
      <c r="AO439" s="263">
        <v>92</v>
      </c>
      <c r="AP439" s="265"/>
      <c r="AQ439" s="266">
        <v>12101</v>
      </c>
      <c r="AR439" s="267">
        <v>69270</v>
      </c>
      <c r="AS439" s="263"/>
      <c r="AT439" s="263"/>
      <c r="AU439" s="263"/>
      <c r="AV439" s="264"/>
      <c r="AW439" s="263"/>
      <c r="AX439" s="263"/>
      <c r="AY439" s="263"/>
      <c r="AZ439" s="263"/>
      <c r="BA439" s="263"/>
      <c r="BB439" s="263"/>
      <c r="BC439" s="263"/>
      <c r="BD439" s="264"/>
      <c r="BE439" s="263"/>
      <c r="BF439" s="263"/>
      <c r="BG439" s="263">
        <v>102</v>
      </c>
      <c r="BH439" s="263"/>
      <c r="BI439" s="263"/>
      <c r="BJ439" s="404">
        <f>altaz(J2000_Bas,$O439,$M439,DecLat,DecLong,2)</f>
        <v>71.526402015071568</v>
      </c>
      <c r="BK439" s="378" t="s">
        <v>4089</v>
      </c>
      <c r="BL439" s="379">
        <f>IF((2*G439)/60&lt;0.2,0.2,(2*G439)/60)</f>
        <v>0.2</v>
      </c>
      <c r="BM439" s="380">
        <f>MOD((50000+AD439-$B$3+(0/24)),1)</f>
        <v>0.14997975912410766</v>
      </c>
      <c r="BN439" s="381"/>
      <c r="BO439" s="382">
        <v>439</v>
      </c>
    </row>
    <row r="440" spans="1:67" s="24" customFormat="1" ht="15" customHeight="1" x14ac:dyDescent="0.25">
      <c r="A440" s="288" t="s">
        <v>541</v>
      </c>
      <c r="B440" s="241" t="str">
        <f>HYPERLINK(CONCATENATE($AT$3,BK440,$AU$3),$AV$3)</f>
        <v>S</v>
      </c>
      <c r="C440" s="242" t="str">
        <f>HYPERLINK(CONCATENATE($AT$4,BK440,$AU$4,BL440),$AV$4)</f>
        <v>A</v>
      </c>
      <c r="D440" s="243" t="s">
        <v>5638</v>
      </c>
      <c r="E440" s="244" t="s">
        <v>5625</v>
      </c>
      <c r="F440" s="290">
        <v>8</v>
      </c>
      <c r="G440" s="282">
        <v>10</v>
      </c>
      <c r="H440" s="283">
        <v>410</v>
      </c>
      <c r="I440" s="284">
        <v>1250</v>
      </c>
      <c r="J440" s="295">
        <v>4</v>
      </c>
      <c r="K440" s="247" t="s">
        <v>6232</v>
      </c>
      <c r="L440" s="248">
        <v>113755</v>
      </c>
      <c r="M440" s="249">
        <f>15*(LEFT(TEXT($L440,"000000"),2)+(MID(TEXT($L440,"000000"),3,2)/60)+(RIGHT(TEXT($L440,"000000"),2)/3600))</f>
        <v>174.47916666666666</v>
      </c>
      <c r="N440" s="250">
        <v>215900</v>
      </c>
      <c r="O440" s="251">
        <f>IF($N440&gt;0,(LEFT(TEXT($N440,"000000"),2)+(MID(TEXT($N440,"000000"),3,2)/60)+(RIGHT(TEXT($N440,"000000"),2)/3600)),-(MID(TEXT($N440,"000000"),2,2)+(MID(TEXT($N440,"000000"),4,2)/60)+(RIGHT(TEXT($N440,"000000"),2)/3600)))</f>
        <v>21.983333333333334</v>
      </c>
      <c r="P440" s="252" t="s">
        <v>183</v>
      </c>
      <c r="Q440" s="253" t="s">
        <v>542</v>
      </c>
      <c r="R440" s="292" t="s">
        <v>4296</v>
      </c>
      <c r="S440" s="272" t="s">
        <v>4184</v>
      </c>
      <c r="T440" s="273">
        <v>11.4</v>
      </c>
      <c r="U440" s="289">
        <v>23.7</v>
      </c>
      <c r="V440" s="280"/>
      <c r="W440" s="244"/>
      <c r="X440" s="244"/>
      <c r="Y440" s="362"/>
      <c r="Z440" s="257">
        <f>altaz(J2000_Bas,$O440,$M440,DecLat,DecLong,1)</f>
        <v>-5.671036715961967</v>
      </c>
      <c r="AA440" s="257">
        <f>altaz((J2000_Bas+(2*0.04167)),$O440,$M440,DecLat,DecLong,1)</f>
        <v>-25.479370553981227</v>
      </c>
      <c r="AB440" s="257">
        <f>altaz((J2000_Bas+(4*0.04167)),$O440,$M440,DecLat,DecLong,1)</f>
        <v>-36.420512315279865</v>
      </c>
      <c r="AC440" s="257">
        <f>altaz((J2000_Bas+(6*0.04167)),$O440,$M440,DecLat,DecLong,1)</f>
        <v>-33.046710734570475</v>
      </c>
      <c r="AD440" s="258">
        <f>1+ transit((J2000_Bas-1),$O440,$M440,DecLat,DecLong)/360 + (GMTOffset/24) + (IF(DST="Y", 1, 0)/24)</f>
        <v>1.4775642640151248</v>
      </c>
      <c r="AE440" s="259">
        <f>DATE(2001,9,21)+(M440/360)*365 - (360*((DecLong/360)- (GMTOffset/24) ))</f>
        <v>37336.902488425927</v>
      </c>
      <c r="AF440" s="260">
        <f>IF(DecLat&gt;0,IF((90 - (DecLat-O440))&gt;90, (90 - (O440-DecLat)), (90 - (DecLat-O440))),IF((90 + (DecLat-O440))&gt;90, (90 + (O440-DecLat)), (90 + (DecLat-O440))))</f>
        <v>80.983333333333334</v>
      </c>
      <c r="AG440" s="257">
        <f>angularseperation(MoonRA,MoonDec,$M440,$O440)</f>
        <v>87.332032110200984</v>
      </c>
      <c r="AH440" s="261">
        <f ca="1">MIN(100,IF($O$5&gt;80,0+30*($AG440/100),IF($O$5&gt;70,0+50*($AG440/100),IF($O$5&gt;60,5+50*($AG440/100),IF($O$5&gt;50,10+60*($AG440/100),IF($O$5&gt;40,15+70*($AG440/100),IF($O$5&gt;30,20+70*($AG440/100),IF($O$5&gt;20,40+55*($AG440/100),(80+(20-$O$5)+30*($AG440/100))))))))))</f>
        <v>100</v>
      </c>
      <c r="AI440" s="262">
        <v>3745</v>
      </c>
      <c r="AJ440" s="262"/>
      <c r="AK440" s="262"/>
      <c r="AL440" s="263"/>
      <c r="AM440" s="264"/>
      <c r="AN440" s="263">
        <v>320</v>
      </c>
      <c r="AO440" s="263">
        <v>57</v>
      </c>
      <c r="AP440" s="265"/>
      <c r="AQ440" s="266">
        <v>6602</v>
      </c>
      <c r="AR440" s="267">
        <v>36001</v>
      </c>
      <c r="AS440" s="263"/>
      <c r="AT440" s="263"/>
      <c r="AU440" s="263"/>
      <c r="AV440" s="264"/>
      <c r="AW440" s="263"/>
      <c r="AX440" s="263"/>
      <c r="AY440" s="263"/>
      <c r="AZ440" s="263"/>
      <c r="BA440" s="263"/>
      <c r="BB440" s="263"/>
      <c r="BC440" s="263"/>
      <c r="BD440" s="264"/>
      <c r="BE440" s="263"/>
      <c r="BF440" s="263"/>
      <c r="BG440" s="263"/>
      <c r="BH440" s="263">
        <v>59</v>
      </c>
      <c r="BI440" s="263"/>
      <c r="BJ440" s="404">
        <f>altaz(J2000_Bas,$O440,$M440,DecLat,DecLong,2)</f>
        <v>299.90272396456658</v>
      </c>
      <c r="BK440" s="378" t="s">
        <v>4054</v>
      </c>
      <c r="BL440" s="379">
        <f>IF((2*G440)/60&lt;0.2,0.2,(2*G440)/60)</f>
        <v>0.33333333333333331</v>
      </c>
      <c r="BM440" s="380">
        <f>MOD((50000+AD440-$B$3+(0/24)),1)</f>
        <v>0.69293119372014189</v>
      </c>
      <c r="BN440" s="381"/>
      <c r="BO440" s="382">
        <v>440</v>
      </c>
    </row>
    <row r="441" spans="1:67" s="24" customFormat="1" ht="15" customHeight="1" x14ac:dyDescent="0.25">
      <c r="A441" s="288" t="s">
        <v>543</v>
      </c>
      <c r="B441" s="241" t="str">
        <f>HYPERLINK(CONCATENATE($AT$3,BK441,$AU$3),$AV$3)</f>
        <v>S</v>
      </c>
      <c r="C441" s="242" t="str">
        <f>HYPERLINK(CONCATENATE($AT$4,BK441,$AU$4,BL441),$AV$4)</f>
        <v>A</v>
      </c>
      <c r="D441" s="243" t="s">
        <v>5638</v>
      </c>
      <c r="E441" s="244" t="s">
        <v>5625</v>
      </c>
      <c r="F441" s="293">
        <v>6</v>
      </c>
      <c r="G441" s="291">
        <v>4</v>
      </c>
      <c r="H441" s="283">
        <v>310</v>
      </c>
      <c r="I441" s="284">
        <v>380</v>
      </c>
      <c r="J441" s="246">
        <v>4</v>
      </c>
      <c r="K441" s="247" t="s">
        <v>6229</v>
      </c>
      <c r="L441" s="248">
        <v>93853</v>
      </c>
      <c r="M441" s="249">
        <f>15*(LEFT(TEXT($L441,"000000"),2)+(MID(TEXT($L441,"000000"),3,2)/60)+(RIGHT(TEXT($L441,"000000"),2)/3600))</f>
        <v>144.72083333333333</v>
      </c>
      <c r="N441" s="250">
        <v>-45100</v>
      </c>
      <c r="O441" s="251">
        <f>IF($N441&gt;0,(LEFT(TEXT($N441,"000000"),2)+(MID(TEXT($N441,"000000"),3,2)/60)+(RIGHT(TEXT($N441,"000000"),2)/3600)),-(MID(TEXT($N441,"000000"),2,2)+(MID(TEXT($N441,"000000"),4,2)/60)+(RIGHT(TEXT($N441,"000000"),2)/3600)))</f>
        <v>-4.8499999999999996</v>
      </c>
      <c r="P441" s="252" t="s">
        <v>103</v>
      </c>
      <c r="Q441" s="253"/>
      <c r="R441" s="292" t="s">
        <v>3446</v>
      </c>
      <c r="S441" s="272" t="s">
        <v>3293</v>
      </c>
      <c r="T441" s="273">
        <v>11.4</v>
      </c>
      <c r="U441" s="289">
        <v>21.2</v>
      </c>
      <c r="V441" s="280"/>
      <c r="W441" s="244"/>
      <c r="X441" s="244"/>
      <c r="Y441" s="362"/>
      <c r="Z441" s="257">
        <f>altaz(J2000_Bas,$O441,$M441,DecLat,DecLong,1)</f>
        <v>-45.230001379048694</v>
      </c>
      <c r="AA441" s="257">
        <f>altaz((J2000_Bas+(2*0.04167)),$O441,$M441,DecLat,DecLong,1)</f>
        <v>-62.618630361686947</v>
      </c>
      <c r="AB441" s="257">
        <f>altaz((J2000_Bas+(4*0.04167)),$O441,$M441,DecLat,DecLong,1)</f>
        <v>-56.980078399539828</v>
      </c>
      <c r="AC441" s="257">
        <f>altaz((J2000_Bas+(6*0.04167)),$O441,$M441,DecLat,DecLong,1)</f>
        <v>-35.087053920964458</v>
      </c>
      <c r="AD441" s="258">
        <f>1+ transit((J2000_Bas-1),$O441,$M441,DecLat,DecLong)/360 + (GMTOffset/24) + (IF(DST="Y", 1, 0)/24)</f>
        <v>1.3949022352442915</v>
      </c>
      <c r="AE441" s="259">
        <f>DATE(2001,9,21)+(M441/360)*365 - (360*((DecLong/360)- (GMTOffset/24) ))</f>
        <v>37306.730844907404</v>
      </c>
      <c r="AF441" s="260">
        <f>IF(DecLat&gt;0,IF((90 - (DecLat-O441))&gt;90, (90 - (O441-DecLat)), (90 - (DecLat-O441))),IF((90 + (DecLat-O441))&gt;90, (90 + (O441-DecLat)), (90 + (DecLat-O441))))</f>
        <v>54.15</v>
      </c>
      <c r="AG441" s="257">
        <f>angularseperation(MoonRA,MoonDec,$M441,$O441)</f>
        <v>100.59972767987047</v>
      </c>
      <c r="AH441" s="261">
        <f ca="1">MIN(100,IF($O$5&gt;80,0+30*($AG441/100),IF($O$5&gt;70,0+50*($AG441/100),IF($O$5&gt;60,5+50*($AG441/100),IF($O$5&gt;50,10+60*($AG441/100),IF($O$5&gt;40,15+70*($AG441/100),IF($O$5&gt;30,20+70*($AG441/100),IF($O$5&gt;20,40+55*($AG441/100),(80+(20-$O$5)+30*($AG441/100))))))))))</f>
        <v>100</v>
      </c>
      <c r="AI441" s="262"/>
      <c r="AJ441" s="262"/>
      <c r="AK441" s="262"/>
      <c r="AL441" s="263"/>
      <c r="AM441" s="264"/>
      <c r="AN441" s="263">
        <v>321</v>
      </c>
      <c r="AO441" s="263">
        <v>40</v>
      </c>
      <c r="AP441" s="265"/>
      <c r="AQ441" s="266"/>
      <c r="AR441" s="267"/>
      <c r="AS441" s="263"/>
      <c r="AT441" s="263"/>
      <c r="AU441" s="263"/>
      <c r="AV441" s="264"/>
      <c r="AW441" s="263"/>
      <c r="AX441" s="263"/>
      <c r="AY441" s="263"/>
      <c r="AZ441" s="263"/>
      <c r="BA441" s="263"/>
      <c r="BB441" s="263"/>
      <c r="BC441" s="263"/>
      <c r="BD441" s="264"/>
      <c r="BE441" s="263"/>
      <c r="BF441" s="263"/>
      <c r="BG441" s="263"/>
      <c r="BH441" s="263">
        <v>57</v>
      </c>
      <c r="BI441" s="263"/>
      <c r="BJ441" s="404">
        <f>altaz(J2000_Bas,$O441,$M441,DecLat,DecLong,2)</f>
        <v>297.75220937192614</v>
      </c>
      <c r="BK441" s="378" t="s">
        <v>4037</v>
      </c>
      <c r="BL441" s="379">
        <f>IF((2*G441)/60&lt;0.2,0.2,(2*G441)/60)</f>
        <v>0.2</v>
      </c>
      <c r="BM441" s="380">
        <f>MOD((50000+AD441-$B$3+(0/24)),1)</f>
        <v>0.61026916495029582</v>
      </c>
      <c r="BN441" s="381"/>
      <c r="BO441" s="382">
        <v>441</v>
      </c>
    </row>
    <row r="442" spans="1:67" s="24" customFormat="1" ht="15" customHeight="1" x14ac:dyDescent="0.25">
      <c r="A442" s="288" t="s">
        <v>544</v>
      </c>
      <c r="B442" s="241" t="str">
        <f>HYPERLINK(CONCATENATE($AT$3,BK442,$AU$3),$AV$3)</f>
        <v>S</v>
      </c>
      <c r="C442" s="242" t="str">
        <f>HYPERLINK(CONCATENATE($AT$4,BK442,$AU$4,BL442),$AV$4)</f>
        <v>A</v>
      </c>
      <c r="D442" s="243" t="s">
        <v>5638</v>
      </c>
      <c r="E442" s="244" t="s">
        <v>5626</v>
      </c>
      <c r="F442" s="290">
        <v>5</v>
      </c>
      <c r="G442" s="291">
        <v>2</v>
      </c>
      <c r="H442" s="283">
        <v>380</v>
      </c>
      <c r="I442" s="284">
        <v>230</v>
      </c>
      <c r="J442" s="295">
        <v>2</v>
      </c>
      <c r="K442" s="247" t="s">
        <v>4375</v>
      </c>
      <c r="L442" s="248">
        <v>113233</v>
      </c>
      <c r="M442" s="249">
        <f>15*(LEFT(TEXT($L442,"000000"),2)+(MID(TEXT($L442,"000000"),3,2)/60)+(RIGHT(TEXT($L442,"000000"),2)/3600))</f>
        <v>173.13750000000002</v>
      </c>
      <c r="N442" s="250">
        <v>525600</v>
      </c>
      <c r="O442" s="251">
        <f>IF($N442&gt;0,(LEFT(TEXT($N442,"000000"),2)+(MID(TEXT($N442,"000000"),3,2)/60)+(RIGHT(TEXT($N442,"000000"),2)/3600)),-(MID(TEXT($N442,"000000"),2,2)+(MID(TEXT($N442,"000000"),4,2)/60)+(RIGHT(TEXT($N442,"000000"),2)/3600)))</f>
        <v>52.93333333333333</v>
      </c>
      <c r="P442" s="252" t="s">
        <v>37</v>
      </c>
      <c r="Q442" s="253"/>
      <c r="R442" s="292" t="s">
        <v>3448</v>
      </c>
      <c r="S442" s="272" t="s">
        <v>430</v>
      </c>
      <c r="T442" s="273">
        <v>12.2</v>
      </c>
      <c r="U442" s="289">
        <v>22.4</v>
      </c>
      <c r="V442" s="280"/>
      <c r="W442" s="244"/>
      <c r="X442" s="244"/>
      <c r="Y442" s="362"/>
      <c r="Z442" s="257">
        <f>altaz(J2000_Bas,$O442,$M442,DecLat,DecLong,1)</f>
        <v>12.13493336617014</v>
      </c>
      <c r="AA442" s="257">
        <f>altaz((J2000_Bas+(2*0.04167)),$O442,$M442,DecLat,DecLong,1)</f>
        <v>-7.8887972913255638E-2</v>
      </c>
      <c r="AB442" s="257">
        <f>altaz((J2000_Bas+(4*0.04167)),$O442,$M442,DecLat,DecLong,1)</f>
        <v>-5.8469805613347567</v>
      </c>
      <c r="AC442" s="257">
        <f>altaz((J2000_Bas+(6*0.04167)),$O442,$M442,DecLat,DecLong,1)</f>
        <v>-3.6806203368409798</v>
      </c>
      <c r="AD442" s="258">
        <f>1+ transit((J2000_Bas-1),$O442,$M442,DecLat,DecLong)/360 + (GMTOffset/24) + (IF(DST="Y", 1, 0)/24)</f>
        <v>1.4738374125359581</v>
      </c>
      <c r="AE442" s="259">
        <f>DATE(2001,9,21)+(M442/360)*365 - (360*((DecLong/360)- (GMTOffset/24) ))</f>
        <v>37335.542187500003</v>
      </c>
      <c r="AF442" s="260">
        <f>IF(DecLat&gt;0,IF((90 - (DecLat-O442))&gt;90, (90 - (O442-DecLat)), (90 - (DecLat-O442))),IF((90 + (DecLat-O442))&gt;90, (90 + (O442-DecLat)), (90 + (DecLat-O442))))</f>
        <v>68.066666666666663</v>
      </c>
      <c r="AG442" s="257">
        <f>angularseperation(MoonRA,MoonDec,$M442,$O442)</f>
        <v>103.55746289930411</v>
      </c>
      <c r="AH442" s="261">
        <f ca="1">MIN(100,IF($O$5&gt;80,0+30*($AG442/100),IF($O$5&gt;70,0+50*($AG442/100),IF($O$5&gt;60,5+50*($AG442/100),IF($O$5&gt;50,10+60*($AG442/100),IF($O$5&gt;40,15+70*($AG442/100),IF($O$5&gt;30,20+70*($AG442/100),IF($O$5&gt;20,40+55*($AG442/100),(80+(20-$O$5)+30*($AG442/100))))))))))</f>
        <v>100</v>
      </c>
      <c r="AI442" s="262"/>
      <c r="AJ442" s="262"/>
      <c r="AK442" s="262"/>
      <c r="AL442" s="263"/>
      <c r="AM442" s="264"/>
      <c r="AN442" s="263">
        <v>322</v>
      </c>
      <c r="AO442" s="263">
        <v>56</v>
      </c>
      <c r="AP442" s="265"/>
      <c r="AQ442" s="266">
        <v>6527</v>
      </c>
      <c r="AR442" s="267">
        <v>35609</v>
      </c>
      <c r="AS442" s="263"/>
      <c r="AT442" s="263"/>
      <c r="AU442" s="263"/>
      <c r="AV442" s="264"/>
      <c r="AW442" s="263"/>
      <c r="AX442" s="263"/>
      <c r="AY442" s="263"/>
      <c r="AZ442" s="263"/>
      <c r="BA442" s="263"/>
      <c r="BB442" s="263"/>
      <c r="BC442" s="263"/>
      <c r="BD442" s="264"/>
      <c r="BE442" s="263"/>
      <c r="BF442" s="263"/>
      <c r="BG442" s="263"/>
      <c r="BH442" s="263"/>
      <c r="BI442" s="263"/>
      <c r="BJ442" s="404">
        <f>altaz(J2000_Bas,$O442,$M442,DecLat,DecLong,2)</f>
        <v>325.38390146015985</v>
      </c>
      <c r="BK442" s="378" t="s">
        <v>4053</v>
      </c>
      <c r="BL442" s="379">
        <f>IF((2*G442)/60&lt;0.2,0.2,(2*G442)/60)</f>
        <v>0.2</v>
      </c>
      <c r="BM442" s="380">
        <f>MOD((50000+AD442-$B$3+(0/24)),1)</f>
        <v>0.68920434224128257</v>
      </c>
      <c r="BN442" s="381"/>
      <c r="BO442" s="382">
        <v>442</v>
      </c>
    </row>
    <row r="443" spans="1:67" s="24" customFormat="1" ht="15" customHeight="1" x14ac:dyDescent="0.25">
      <c r="A443" s="288" t="s">
        <v>545</v>
      </c>
      <c r="B443" s="241" t="str">
        <f>HYPERLINK(CONCATENATE($AT$3,BK443,$AU$3),$AV$3)</f>
        <v>S</v>
      </c>
      <c r="C443" s="242" t="str">
        <f>HYPERLINK(CONCATENATE($AT$4,BK443,$AU$4,BL443),$AV$4)</f>
        <v>A</v>
      </c>
      <c r="D443" s="243" t="s">
        <v>5638</v>
      </c>
      <c r="E443" s="244" t="s">
        <v>5626</v>
      </c>
      <c r="F443" s="290">
        <v>4</v>
      </c>
      <c r="G443" s="291">
        <v>2</v>
      </c>
      <c r="H443" s="283">
        <v>370</v>
      </c>
      <c r="I443" s="284">
        <v>215</v>
      </c>
      <c r="J443" s="295">
        <v>2</v>
      </c>
      <c r="K443" s="277" t="s">
        <v>5002</v>
      </c>
      <c r="L443" s="248">
        <v>235414</v>
      </c>
      <c r="M443" s="249">
        <f>15*(LEFT(TEXT($L443,"000000"),2)+(MID(TEXT($L443,"000000"),3,2)/60)+(RIGHT(TEXT($L443,"000000"),2)/3600))</f>
        <v>358.55833333333328</v>
      </c>
      <c r="N443" s="250">
        <v>2100</v>
      </c>
      <c r="O443" s="251">
        <f>IF($N443&gt;0,(LEFT(TEXT($N443,"000000"),2)+(MID(TEXT($N443,"000000"),3,2)/60)+(RIGHT(TEXT($N443,"000000"),2)/3600)),-(MID(TEXT($N443,"000000"),2,2)+(MID(TEXT($N443,"000000"),4,2)/60)+(RIGHT(TEXT($N443,"000000"),2)/3600)))</f>
        <v>0.35</v>
      </c>
      <c r="P443" s="252" t="s">
        <v>158</v>
      </c>
      <c r="Q443" s="253"/>
      <c r="R443" s="292" t="s">
        <v>4374</v>
      </c>
      <c r="S443" s="272" t="s">
        <v>3293</v>
      </c>
      <c r="T443" s="273">
        <v>11.5</v>
      </c>
      <c r="U443" s="289">
        <v>22</v>
      </c>
      <c r="V443" s="280"/>
      <c r="W443" s="244"/>
      <c r="X443" s="244"/>
      <c r="Y443" s="362"/>
      <c r="Z443" s="257">
        <f>altaz(J2000_Bas,$O443,$M443,DecLat,DecLong,1)</f>
        <v>15.076091650131907</v>
      </c>
      <c r="AA443" s="257">
        <f>altaz((J2000_Bas+(2*0.04167)),$O443,$M443,DecLat,DecLong,1)</f>
        <v>39.449344924506512</v>
      </c>
      <c r="AB443" s="257">
        <f>altaz((J2000_Bas+(4*0.04167)),$O443,$M443,DecLat,DecLong,1)</f>
        <v>57.176574421978728</v>
      </c>
      <c r="AC443" s="257">
        <f>altaz((J2000_Bas+(6*0.04167)),$O443,$M443,DecLat,DecLong,1)</f>
        <v>55.05783887944466</v>
      </c>
      <c r="AD443" s="258">
        <f>1+ transit((J2000_Bas-1),$O443,$M443,DecLat,DecLong)/360 + (GMTOffset/24) + (IF(DST="Y", 1, 0)/24)</f>
        <v>1.9888952314005415</v>
      </c>
      <c r="AE443" s="259">
        <f>DATE(2001,9,21)+(M443/360)*365 - (360*((DecLong/360)- (GMTOffset/24) ))</f>
        <v>37523.538310185184</v>
      </c>
      <c r="AF443" s="260">
        <f>IF(DecLat&gt;0,IF((90 - (DecLat-O443))&gt;90, (90 - (O443-DecLat)), (90 - (DecLat-O443))),IF((90 + (DecLat-O443))&gt;90, (90 + (O443-DecLat)), (90 + (DecLat-O443))))</f>
        <v>59.35</v>
      </c>
      <c r="AG443" s="257">
        <f>angularseperation(MoonRA,MoonDec,$M443,$O443)</f>
        <v>107.29469655300346</v>
      </c>
      <c r="AH443" s="261">
        <f ca="1">MIN(100,IF($O$5&gt;80,0+30*($AG443/100),IF($O$5&gt;70,0+50*($AG443/100),IF($O$5&gt;60,5+50*($AG443/100),IF($O$5&gt;50,10+60*($AG443/100),IF($O$5&gt;40,15+70*($AG443/100),IF($O$5&gt;30,20+70*($AG443/100),IF($O$5&gt;20,40+55*($AG443/100),(80+(20-$O$5)+30*($AG443/100))))))))))</f>
        <v>100</v>
      </c>
      <c r="AI443" s="262">
        <v>7783</v>
      </c>
      <c r="AJ443" s="262"/>
      <c r="AK443" s="262"/>
      <c r="AL443" s="263"/>
      <c r="AM443" s="264"/>
      <c r="AN443" s="263">
        <v>323</v>
      </c>
      <c r="AO443" s="263">
        <v>98</v>
      </c>
      <c r="AP443" s="265"/>
      <c r="AQ443" s="266">
        <v>12837</v>
      </c>
      <c r="AR443" s="267">
        <v>72803</v>
      </c>
      <c r="AS443" s="263"/>
      <c r="AT443" s="263"/>
      <c r="AU443" s="263"/>
      <c r="AV443" s="264"/>
      <c r="AW443" s="263"/>
      <c r="AX443" s="263"/>
      <c r="AY443" s="263"/>
      <c r="AZ443" s="263"/>
      <c r="BA443" s="263"/>
      <c r="BB443" s="263"/>
      <c r="BC443" s="263"/>
      <c r="BD443" s="264"/>
      <c r="BE443" s="263"/>
      <c r="BF443" s="263"/>
      <c r="BG443" s="263"/>
      <c r="BH443" s="263"/>
      <c r="BI443" s="263"/>
      <c r="BJ443" s="404">
        <f>altaz(J2000_Bas,$O443,$M443,DecLat,DecLong,2)</f>
        <v>98.886357644175931</v>
      </c>
      <c r="BK443" s="378" t="s">
        <v>4095</v>
      </c>
      <c r="BL443" s="379">
        <f>IF((2*G443)/60&lt;0.2,0.2,(2*G443)/60)</f>
        <v>0.2</v>
      </c>
      <c r="BM443" s="380">
        <f>MOD((50000+AD443-$B$3+(0/24)),1)</f>
        <v>0.20426216110354289</v>
      </c>
      <c r="BN443" s="381"/>
      <c r="BO443" s="382">
        <v>443</v>
      </c>
    </row>
    <row r="444" spans="1:67" s="24" customFormat="1" ht="15" customHeight="1" x14ac:dyDescent="0.25">
      <c r="A444" s="288" t="s">
        <v>546</v>
      </c>
      <c r="B444" s="241" t="str">
        <f>HYPERLINK(CONCATENATE($AT$3,BK444,$AU$3),$AV$3)</f>
        <v>S</v>
      </c>
      <c r="C444" s="242" t="str">
        <f>HYPERLINK(CONCATENATE($AT$4,BK444,$AU$4,BL444),$AV$4)</f>
        <v>A</v>
      </c>
      <c r="D444" s="243" t="s">
        <v>5638</v>
      </c>
      <c r="E444" s="244" t="s">
        <v>5626</v>
      </c>
      <c r="F444" s="269">
        <v>8</v>
      </c>
      <c r="G444" s="291">
        <v>8</v>
      </c>
      <c r="H444" s="283">
        <v>500</v>
      </c>
      <c r="I444" s="284">
        <v>1200</v>
      </c>
      <c r="J444" s="295">
        <v>2</v>
      </c>
      <c r="K444" s="247" t="s">
        <v>4378</v>
      </c>
      <c r="L444" s="248">
        <v>160216</v>
      </c>
      <c r="M444" s="249">
        <f>15*(LEFT(TEXT($L444,"000000"),2)+(MID(TEXT($L444,"000000"),3,2)/60)+(RIGHT(TEXT($L444,"000000"),2)/3600))</f>
        <v>240.56666666666669</v>
      </c>
      <c r="N444" s="250">
        <v>160000</v>
      </c>
      <c r="O444" s="251">
        <f>IF($N444&gt;0,(LEFT(TEXT($N444,"000000"),2)+(MID(TEXT($N444,"000000"),3,2)/60)+(RIGHT(TEXT($N444,"000000"),2)/3600)),-(MID(TEXT($N444,"000000"),2,2)+(MID(TEXT($N444,"000000"),4,2)/60)+(RIGHT(TEXT($N444,"000000"),2)/3600)))</f>
        <v>16</v>
      </c>
      <c r="P444" s="252" t="s">
        <v>111</v>
      </c>
      <c r="Q444" s="253"/>
      <c r="R444" s="247" t="s">
        <v>3293</v>
      </c>
      <c r="S444" s="272" t="s">
        <v>3293</v>
      </c>
      <c r="T444" s="273">
        <v>13</v>
      </c>
      <c r="U444" s="274"/>
      <c r="V444" s="280"/>
      <c r="W444" s="244"/>
      <c r="X444" s="244"/>
      <c r="Y444" s="362"/>
      <c r="Z444" s="257">
        <f>altaz(J2000_Bas,$O444,$M444,DecLat,DecLong,1)</f>
        <v>46.066279914705774</v>
      </c>
      <c r="AA444" s="257">
        <f>altaz((J2000_Bas+(2*0.04167)),$O444,$M444,DecLat,DecLong,1)</f>
        <v>20.363927294224087</v>
      </c>
      <c r="AB444" s="257">
        <f>altaz((J2000_Bas+(4*0.04167)),$O444,$M444,DecLat,DecLong,1)</f>
        <v>-4.5705129090817982</v>
      </c>
      <c r="AC444" s="257">
        <f>altaz((J2000_Bas+(6*0.04167)),$O444,$M444,DecLat,DecLong,1)</f>
        <v>-26.592074752506438</v>
      </c>
      <c r="AD444" s="258">
        <f>1+ transit((J2000_Bas-1),$O444,$M444,DecLat,DecLong)/360 + (GMTOffset/24) + (IF(DST="Y", 1, 0)/24)</f>
        <v>1.6611406345463748</v>
      </c>
      <c r="AE444" s="259">
        <f>DATE(2001,9,21)+(M444/360)*365 - (360*((DecLong/360)- (GMTOffset/24) ))</f>
        <v>37403.907870370371</v>
      </c>
      <c r="AF444" s="260">
        <f>IF(DecLat&gt;0,IF((90 - (DecLat-O444))&gt;90, (90 - (O444-DecLat)), (90 - (DecLat-O444))),IF((90 + (DecLat-O444))&gt;90, (90 + (O444-DecLat)), (90 + (DecLat-O444))))</f>
        <v>75</v>
      </c>
      <c r="AG444" s="257">
        <f>angularseperation(MoonRA,MoonDec,$M444,$O444)</f>
        <v>43.899240704477876</v>
      </c>
      <c r="AH444" s="261">
        <f ca="1">MIN(100,IF($O$5&gt;80,0+30*($AG444/100),IF($O$5&gt;70,0+50*($AG444/100),IF($O$5&gt;60,5+50*($AG444/100),IF($O$5&gt;50,10+60*($AG444/100),IF($O$5&gt;40,15+70*($AG444/100),IF($O$5&gt;30,20+70*($AG444/100),IF($O$5&gt;20,40+55*($AG444/100),(80+(20-$O$5)+30*($AG444/100))))))))))</f>
        <v>96.440832555493785</v>
      </c>
      <c r="AI444" s="262"/>
      <c r="AJ444" s="262"/>
      <c r="AK444" s="262"/>
      <c r="AL444" s="263"/>
      <c r="AM444" s="264"/>
      <c r="AN444" s="263">
        <v>324</v>
      </c>
      <c r="AO444" s="263"/>
      <c r="AP444" s="265"/>
      <c r="AQ444" s="266"/>
      <c r="AR444" s="267">
        <v>56782</v>
      </c>
      <c r="AS444" s="263"/>
      <c r="AT444" s="263"/>
      <c r="AU444" s="263"/>
      <c r="AV444" s="264"/>
      <c r="AW444" s="263"/>
      <c r="AX444" s="263"/>
      <c r="AY444" s="263"/>
      <c r="AZ444" s="263"/>
      <c r="BA444" s="263"/>
      <c r="BB444" s="263"/>
      <c r="BC444" s="263"/>
      <c r="BD444" s="264"/>
      <c r="BE444" s="263"/>
      <c r="BF444" s="263"/>
      <c r="BG444" s="263"/>
      <c r="BH444" s="263"/>
      <c r="BI444" s="263"/>
      <c r="BJ444" s="404">
        <f>altaz(J2000_Bas,$O444,$M444,DecLat,DecLong,2)</f>
        <v>260.7825928132192</v>
      </c>
      <c r="BK444" s="378" t="s">
        <v>546</v>
      </c>
      <c r="BL444" s="379">
        <f>IF((2*G444)/60&lt;0.2,0.2,(2*G444)/60)</f>
        <v>0.26666666666666666</v>
      </c>
      <c r="BM444" s="380">
        <f>MOD((50000+AD444-$B$3+(0/24)),1)</f>
        <v>0.87650756425136933</v>
      </c>
      <c r="BN444" s="381"/>
      <c r="BO444" s="382">
        <v>444</v>
      </c>
    </row>
    <row r="445" spans="1:67" s="24" customFormat="1" ht="15" customHeight="1" x14ac:dyDescent="0.25">
      <c r="A445" s="288" t="s">
        <v>547</v>
      </c>
      <c r="B445" s="241" t="str">
        <f>HYPERLINK(CONCATENATE($AT$3,BK445,$AU$3),$AV$3)</f>
        <v>S</v>
      </c>
      <c r="C445" s="242" t="str">
        <f>HYPERLINK(CONCATENATE($AT$4,BK445,$AU$4,BL445),$AV$4)</f>
        <v>A</v>
      </c>
      <c r="D445" s="243" t="s">
        <v>5638</v>
      </c>
      <c r="E445" s="244" t="s">
        <v>5626</v>
      </c>
      <c r="F445" s="269">
        <v>6</v>
      </c>
      <c r="G445" s="291">
        <v>2</v>
      </c>
      <c r="H445" s="283">
        <v>600</v>
      </c>
      <c r="I445" s="284">
        <v>340</v>
      </c>
      <c r="J445" s="295">
        <v>2</v>
      </c>
      <c r="K445" s="247" t="s">
        <v>4380</v>
      </c>
      <c r="L445" s="248">
        <v>220623</v>
      </c>
      <c r="M445" s="249">
        <f>15*(LEFT(TEXT($L445,"000000"),2)+(MID(TEXT($L445,"000000"),3,2)/60)+(RIGHT(TEXT($L445,"000000"),2)/3600))</f>
        <v>331.59583333333336</v>
      </c>
      <c r="N445" s="250">
        <v>-210500</v>
      </c>
      <c r="O445" s="251">
        <f>IF($N445&gt;0,(LEFT(TEXT($N445,"000000"),2)+(MID(TEXT($N445,"000000"),3,2)/60)+(RIGHT(TEXT($N445,"000000"),2)/3600)),-(MID(TEXT($N445,"000000"),2,2)+(MID(TEXT($N445,"000000"),4,2)/60)+(RIGHT(TEXT($N445,"000000"),2)/3600)))</f>
        <v>-21.083333333333332</v>
      </c>
      <c r="P445" s="252" t="s">
        <v>3119</v>
      </c>
      <c r="Q445" s="253"/>
      <c r="R445" s="247" t="s">
        <v>3293</v>
      </c>
      <c r="S445" s="272" t="s">
        <v>3293</v>
      </c>
      <c r="T445" s="273">
        <v>14.5</v>
      </c>
      <c r="U445" s="274"/>
      <c r="V445" s="280"/>
      <c r="W445" s="244"/>
      <c r="X445" s="244"/>
      <c r="Y445" s="362"/>
      <c r="Z445" s="257">
        <f>altaz(J2000_Bas,$O445,$M445,DecLat,DecLong,1)</f>
        <v>21.985819480342009</v>
      </c>
      <c r="AA445" s="257">
        <f>altaz((J2000_Bas+(2*0.04167)),$O445,$M445,DecLat,DecLong,1)</f>
        <v>35.830864225594155</v>
      </c>
      <c r="AB445" s="257">
        <f>altaz((J2000_Bas+(4*0.04167)),$O445,$M445,DecLat,DecLong,1)</f>
        <v>36.070035841261188</v>
      </c>
      <c r="AC445" s="257">
        <f>altaz((J2000_Bas+(6*0.04167)),$O445,$M445,DecLat,DecLong,1)</f>
        <v>22.55712238188784</v>
      </c>
      <c r="AD445" s="258">
        <f>1+ transit((J2000_Bas-1),$O445,$M445,DecLat,DecLong)/360 + (GMTOffset/24) + (IF(DST="Y", 1, 0)/24)</f>
        <v>1.9139994055567915</v>
      </c>
      <c r="AE445" s="259">
        <f>DATE(2001,9,21)+(M445/360)*365 - (360*((DecLong/360)- (GMTOffset/24) ))</f>
        <v>37496.201331018521</v>
      </c>
      <c r="AF445" s="260">
        <f>IF(DecLat&gt;0,IF((90 - (DecLat-O445))&gt;90, (90 - (O445-DecLat)), (90 - (DecLat-O445))),IF((90 + (DecLat-O445))&gt;90, (90 + (O445-DecLat)), (90 + (DecLat-O445))))</f>
        <v>37.916666666666671</v>
      </c>
      <c r="AG445" s="257">
        <f>angularseperation(MoonRA,MoonDec,$M445,$O445)</f>
        <v>74.07881393821657</v>
      </c>
      <c r="AH445" s="261">
        <f ca="1">MIN(100,IF($O$5&gt;80,0+30*($AG445/100),IF($O$5&gt;70,0+50*($AG445/100),IF($O$5&gt;60,5+50*($AG445/100),IF($O$5&gt;50,10+60*($AG445/100),IF($O$5&gt;40,15+70*($AG445/100),IF($O$5&gt;30,20+70*($AG445/100),IF($O$5&gt;20,40+55*($AG445/100),(80+(20-$O$5)+30*($AG445/100))))))))))</f>
        <v>100</v>
      </c>
      <c r="AI445" s="262"/>
      <c r="AJ445" s="262"/>
      <c r="AK445" s="262"/>
      <c r="AL445" s="263"/>
      <c r="AM445" s="264"/>
      <c r="AN445" s="263">
        <v>325</v>
      </c>
      <c r="AO445" s="263"/>
      <c r="AP445" s="265"/>
      <c r="AQ445" s="266"/>
      <c r="AR445" s="267"/>
      <c r="AS445" s="263"/>
      <c r="AT445" s="263"/>
      <c r="AU445" s="263"/>
      <c r="AV445" s="264"/>
      <c r="AW445" s="263"/>
      <c r="AX445" s="263"/>
      <c r="AY445" s="263"/>
      <c r="AZ445" s="263"/>
      <c r="BA445" s="263"/>
      <c r="BB445" s="263"/>
      <c r="BC445" s="263"/>
      <c r="BD445" s="264"/>
      <c r="BE445" s="263"/>
      <c r="BF445" s="263"/>
      <c r="BG445" s="263"/>
      <c r="BH445" s="263">
        <v>65</v>
      </c>
      <c r="BI445" s="263"/>
      <c r="BJ445" s="404">
        <f>altaz(J2000_Bas,$O445,$M445,DecLat,DecLong,2)</f>
        <v>134.04087750300545</v>
      </c>
      <c r="BK445" s="378" t="s">
        <v>547</v>
      </c>
      <c r="BL445" s="379">
        <f>IF((2*G445)/60&lt;0.2,0.2,(2*G445)/60)</f>
        <v>0.2</v>
      </c>
      <c r="BM445" s="380">
        <f>MOD((50000+AD445-$B$3+(0/24)),1)</f>
        <v>0.12936633526260266</v>
      </c>
      <c r="BN445" s="381"/>
      <c r="BO445" s="382">
        <v>445</v>
      </c>
    </row>
    <row r="446" spans="1:67" s="24" customFormat="1" ht="15" customHeight="1" x14ac:dyDescent="0.25">
      <c r="A446" s="288" t="s">
        <v>548</v>
      </c>
      <c r="B446" s="241" t="str">
        <f>HYPERLINK(CONCATENATE($AT$3,BK446,$AU$3),$AV$3)</f>
        <v>S</v>
      </c>
      <c r="C446" s="242" t="str">
        <f>HYPERLINK(CONCATENATE($AT$4,BK446,$AU$4,BL446),$AV$4)</f>
        <v>A</v>
      </c>
      <c r="D446" s="243" t="s">
        <v>5638</v>
      </c>
      <c r="E446" s="244" t="s">
        <v>5626</v>
      </c>
      <c r="F446" s="269">
        <v>7</v>
      </c>
      <c r="G446" s="291">
        <v>8</v>
      </c>
      <c r="H446" s="283">
        <v>530</v>
      </c>
      <c r="I446" s="284">
        <v>1200</v>
      </c>
      <c r="J446" s="295">
        <v>2</v>
      </c>
      <c r="K446" s="247" t="s">
        <v>4381</v>
      </c>
      <c r="L446" s="248">
        <v>133725</v>
      </c>
      <c r="M446" s="249">
        <f>15*(LEFT(TEXT($L446,"000000"),2)+(MID(TEXT($L446,"000000"),3,2)/60)+(RIGHT(TEXT($L446,"000000"),2)/3600))</f>
        <v>204.35416666666669</v>
      </c>
      <c r="N446" s="250">
        <v>63100</v>
      </c>
      <c r="O446" s="251">
        <f>IF($N446&gt;0,(LEFT(TEXT($N446,"000000"),2)+(MID(TEXT($N446,"000000"),3,2)/60)+(RIGHT(TEXT($N446,"000000"),2)/3600)),-(MID(TEXT($N446,"000000"),2,2)+(MID(TEXT($N446,"000000"),4,2)/60)+(RIGHT(TEXT($N446,"000000"),2)/3600)))</f>
        <v>6.5166666666666666</v>
      </c>
      <c r="P446" s="252" t="s">
        <v>61</v>
      </c>
      <c r="Q446" s="253"/>
      <c r="R446" s="247" t="s">
        <v>3293</v>
      </c>
      <c r="S446" s="272" t="s">
        <v>4196</v>
      </c>
      <c r="T446" s="273">
        <v>14</v>
      </c>
      <c r="U446" s="274"/>
      <c r="V446" s="280"/>
      <c r="W446" s="244"/>
      <c r="X446" s="244"/>
      <c r="Y446" s="362"/>
      <c r="Z446" s="257">
        <f>altaz(J2000_Bas,$O446,$M446,DecLat,DecLong,1)</f>
        <v>10.494943506013618</v>
      </c>
      <c r="AA446" s="257">
        <f>altaz((J2000_Bas+(2*0.04167)),$O446,$M446,DecLat,DecLong,1)</f>
        <v>-14.885605818193572</v>
      </c>
      <c r="AB446" s="257">
        <f>altaz((J2000_Bas+(4*0.04167)),$O446,$M446,DecLat,DecLong,1)</f>
        <v>-37.659456485763243</v>
      </c>
      <c r="AC446" s="257">
        <f>altaz((J2000_Bas+(6*0.04167)),$O446,$M446,DecLat,DecLong,1)</f>
        <v>-51.691504342494277</v>
      </c>
      <c r="AD446" s="258">
        <f>1+ transit((J2000_Bas-1),$O446,$M446,DecLat,DecLong)/360 + (GMTOffset/24) + (IF(DST="Y", 1, 0)/24)</f>
        <v>1.5605503668276246</v>
      </c>
      <c r="AE446" s="259">
        <f>DATE(2001,9,21)+(M446/360)*365 - (360*((DecLong/360)- (GMTOffset/24) ))</f>
        <v>37367.192418981482</v>
      </c>
      <c r="AF446" s="260">
        <f>IF(DecLat&gt;0,IF((90 - (DecLat-O446))&gt;90, (90 - (O446-DecLat)), (90 - (DecLat-O446))),IF((90 + (DecLat-O446))&gt;90, (90 + (O446-DecLat)), (90 + (DecLat-O446))))</f>
        <v>65.516666666666666</v>
      </c>
      <c r="AG446" s="257">
        <f>angularseperation(MoonRA,MoonDec,$M446,$O446)</f>
        <v>54.896953913564346</v>
      </c>
      <c r="AH446" s="261">
        <f ca="1">MIN(100,IF($O$5&gt;80,0+30*($AG446/100),IF($O$5&gt;70,0+50*($AG446/100),IF($O$5&gt;60,5+50*($AG446/100),IF($O$5&gt;50,10+60*($AG446/100),IF($O$5&gt;40,15+70*($AG446/100),IF($O$5&gt;30,20+70*($AG446/100),IF($O$5&gt;20,40+55*($AG446/100),(80+(20-$O$5)+30*($AG446/100))))))))))</f>
        <v>99.740146518219731</v>
      </c>
      <c r="AI446" s="262"/>
      <c r="AJ446" s="262"/>
      <c r="AK446" s="262"/>
      <c r="AL446" s="263"/>
      <c r="AM446" s="264"/>
      <c r="AN446" s="263">
        <v>326</v>
      </c>
      <c r="AO446" s="263"/>
      <c r="AP446" s="265"/>
      <c r="AQ446" s="266"/>
      <c r="AR446" s="267"/>
      <c r="AS446" s="263"/>
      <c r="AT446" s="263"/>
      <c r="AU446" s="263"/>
      <c r="AV446" s="264"/>
      <c r="AW446" s="263"/>
      <c r="AX446" s="263"/>
      <c r="AY446" s="263"/>
      <c r="AZ446" s="263"/>
      <c r="BA446" s="263"/>
      <c r="BB446" s="263"/>
      <c r="BC446" s="263"/>
      <c r="BD446" s="264"/>
      <c r="BE446" s="263"/>
      <c r="BF446" s="263"/>
      <c r="BG446" s="263"/>
      <c r="BH446" s="263"/>
      <c r="BI446" s="263"/>
      <c r="BJ446" s="404">
        <f>altaz(J2000_Bas,$O446,$M446,DecLat,DecLong,2)</f>
        <v>271.33788680125173</v>
      </c>
      <c r="BK446" s="378" t="s">
        <v>548</v>
      </c>
      <c r="BL446" s="379">
        <f>IF((2*G446)/60&lt;0.2,0.2,(2*G446)/60)</f>
        <v>0.26666666666666666</v>
      </c>
      <c r="BM446" s="380">
        <f>MOD((50000+AD446-$B$3+(0/24)),1)</f>
        <v>0.77591729653067887</v>
      </c>
      <c r="BN446" s="381"/>
      <c r="BO446" s="382">
        <v>446</v>
      </c>
    </row>
    <row r="447" spans="1:67" s="24" customFormat="1" ht="15" customHeight="1" x14ac:dyDescent="0.25">
      <c r="A447" s="288" t="s">
        <v>549</v>
      </c>
      <c r="B447" s="241" t="str">
        <f>HYPERLINK(CONCATENATE($AT$3,BK447,$AU$3),$AV$3)</f>
        <v>S</v>
      </c>
      <c r="C447" s="242" t="str">
        <f>HYPERLINK(CONCATENATE($AT$4,BK447,$AU$4,BL447),$AV$4)</f>
        <v>A</v>
      </c>
      <c r="D447" s="243" t="s">
        <v>5638</v>
      </c>
      <c r="E447" s="244" t="s">
        <v>5626</v>
      </c>
      <c r="F447" s="290">
        <v>4</v>
      </c>
      <c r="G447" s="291">
        <v>3</v>
      </c>
      <c r="H447" s="283">
        <v>420</v>
      </c>
      <c r="I447" s="284">
        <v>350</v>
      </c>
      <c r="J447" s="295">
        <v>2</v>
      </c>
      <c r="K447" s="247" t="s">
        <v>4376</v>
      </c>
      <c r="L447" s="248">
        <v>52147</v>
      </c>
      <c r="M447" s="249">
        <f>15*(LEFT(TEXT($L447,"000000"),2)+(MID(TEXT($L447,"000000"),3,2)/60)+(RIGHT(TEXT($L447,"000000"),2)/3600))</f>
        <v>80.445833333333326</v>
      </c>
      <c r="N447" s="250">
        <v>64100</v>
      </c>
      <c r="O447" s="251">
        <f>IF($N447&gt;0,(LEFT(TEXT($N447,"000000"),2)+(MID(TEXT($N447,"000000"),3,2)/60)+(RIGHT(TEXT($N447,"000000"),2)/3600)),-(MID(TEXT($N447,"000000"),2,2)+(MID(TEXT($N447,"000000"),4,2)/60)+(RIGHT(TEXT($N447,"000000"),2)/3600)))</f>
        <v>6.6833333333333336</v>
      </c>
      <c r="P447" s="252" t="s">
        <v>41</v>
      </c>
      <c r="Q447" s="253"/>
      <c r="R447" s="292" t="s">
        <v>3444</v>
      </c>
      <c r="S447" s="272" t="s">
        <v>3293</v>
      </c>
      <c r="T447" s="273">
        <v>12.7</v>
      </c>
      <c r="U447" s="289">
        <v>21.7</v>
      </c>
      <c r="V447" s="280"/>
      <c r="W447" s="244"/>
      <c r="X447" s="244"/>
      <c r="Y447" s="362"/>
      <c r="Z447" s="257">
        <f>altaz(J2000_Bas,$O447,$M447,DecLat,DecLong,1)</f>
        <v>-45.080894623522134</v>
      </c>
      <c r="AA447" s="257">
        <f>altaz((J2000_Bas+(2*0.04167)),$O447,$M447,DecLat,DecLong,1)</f>
        <v>-24.868204428701457</v>
      </c>
      <c r="AB447" s="257">
        <f>altaz((J2000_Bas+(4*0.04167)),$O447,$M447,DecLat,DecLong,1)</f>
        <v>-0.20099469660316654</v>
      </c>
      <c r="AC447" s="257">
        <f>altaz((J2000_Bas+(6*0.04167)),$O447,$M447,DecLat,DecLong,1)</f>
        <v>25.506357618009947</v>
      </c>
      <c r="AD447" s="258">
        <f>1+ transit((J2000_Bas-1),$O447,$M447,DecLat,DecLong)/360 + (GMTOffset/24) + (IF(DST="Y", 1, 0)/24)</f>
        <v>1.2163605864317912</v>
      </c>
      <c r="AE447" s="259">
        <f>DATE(2001,9,21)+(M447/360)*365 - (360*((DecLong/360)- (GMTOffset/24) ))</f>
        <v>37241.563136574077</v>
      </c>
      <c r="AF447" s="260">
        <f>IF(DecLat&gt;0,IF((90 - (DecLat-O447))&gt;90, (90 - (O447-DecLat)), (90 - (DecLat-O447))),IF((90 + (DecLat-O447))&gt;90, (90 + (O447-DecLat)), (90 + (DecLat-O447))))</f>
        <v>65.683333333333337</v>
      </c>
      <c r="AG447" s="257">
        <f>angularseperation(MoonRA,MoonDec,$M447,$O447)</f>
        <v>156.98821480884459</v>
      </c>
      <c r="AH447" s="261">
        <f ca="1">MIN(100,IF($O$5&gt;80,0+30*($AG447/100),IF($O$5&gt;70,0+50*($AG447/100),IF($O$5&gt;60,5+50*($AG447/100),IF($O$5&gt;50,10+60*($AG447/100),IF($O$5&gt;40,15+70*($AG447/100),IF($O$5&gt;30,20+70*($AG447/100),IF($O$5&gt;20,40+55*($AG447/100),(80+(20-$O$5)+30*($AG447/100))))))))))</f>
        <v>100</v>
      </c>
      <c r="AI447" s="262">
        <v>1875</v>
      </c>
      <c r="AJ447" s="262"/>
      <c r="AK447" s="262"/>
      <c r="AL447" s="263"/>
      <c r="AM447" s="264"/>
      <c r="AN447" s="263">
        <v>327</v>
      </c>
      <c r="AO447" s="263">
        <v>34</v>
      </c>
      <c r="AP447" s="265"/>
      <c r="AQ447" s="266"/>
      <c r="AR447" s="267"/>
      <c r="AS447" s="263"/>
      <c r="AT447" s="263"/>
      <c r="AU447" s="263"/>
      <c r="AV447" s="264"/>
      <c r="AW447" s="263"/>
      <c r="AX447" s="263"/>
      <c r="AY447" s="263"/>
      <c r="AZ447" s="263"/>
      <c r="BA447" s="263"/>
      <c r="BB447" s="263"/>
      <c r="BC447" s="263"/>
      <c r="BD447" s="264"/>
      <c r="BE447" s="263"/>
      <c r="BF447" s="263"/>
      <c r="BG447" s="263"/>
      <c r="BH447" s="263"/>
      <c r="BI447" s="263"/>
      <c r="BJ447" s="404">
        <f>altaz(J2000_Bas,$O447,$M447,DecLat,DecLong,2)</f>
        <v>37.359275665786086</v>
      </c>
      <c r="BK447" s="378" t="s">
        <v>4031</v>
      </c>
      <c r="BL447" s="379">
        <f>IF((2*G447)/60&lt;0.2,0.2,(2*G447)/60)</f>
        <v>0.2</v>
      </c>
      <c r="BM447" s="380">
        <f>MOD((50000+AD447-$B$3+(0/24)),1)</f>
        <v>0.43172751613747096</v>
      </c>
      <c r="BN447" s="381"/>
      <c r="BO447" s="382">
        <v>447</v>
      </c>
    </row>
    <row r="448" spans="1:67" s="24" customFormat="1" ht="15" customHeight="1" x14ac:dyDescent="0.25">
      <c r="A448" s="288" t="s">
        <v>550</v>
      </c>
      <c r="B448" s="241" t="str">
        <f>HYPERLINK(CONCATENATE($AT$3,BK448,$AU$3),$AV$3)</f>
        <v>S</v>
      </c>
      <c r="C448" s="242" t="str">
        <f>HYPERLINK(CONCATENATE($AT$4,BK448,$AU$4,BL448),$AV$4)</f>
        <v>A</v>
      </c>
      <c r="D448" s="243" t="s">
        <v>5638</v>
      </c>
      <c r="E448" s="244" t="s">
        <v>5626</v>
      </c>
      <c r="F448" s="290">
        <v>5</v>
      </c>
      <c r="G448" s="291">
        <v>3</v>
      </c>
      <c r="H448" s="283">
        <v>580</v>
      </c>
      <c r="I448" s="284">
        <v>480</v>
      </c>
      <c r="J448" s="295">
        <v>2</v>
      </c>
      <c r="K448" s="277" t="s">
        <v>3764</v>
      </c>
      <c r="L448" s="248">
        <v>144754</v>
      </c>
      <c r="M448" s="249">
        <f>15*(LEFT(TEXT($L448,"000000"),2)+(MID(TEXT($L448,"000000"),3,2)/60)+(RIGHT(TEXT($L448,"000000"),2)/3600))</f>
        <v>221.97499999999999</v>
      </c>
      <c r="N448" s="250">
        <v>190500</v>
      </c>
      <c r="O448" s="251">
        <f>IF($N448&gt;0,(LEFT(TEXT($N448,"000000"),2)+(MID(TEXT($N448,"000000"),3,2)/60)+(RIGHT(TEXT($N448,"000000"),2)/3600)),-(MID(TEXT($N448,"000000"),2,2)+(MID(TEXT($N448,"000000"),4,2)/60)+(RIGHT(TEXT($N448,"000000"),2)/3600)))</f>
        <v>19.083333333333332</v>
      </c>
      <c r="P448" s="252" t="s">
        <v>260</v>
      </c>
      <c r="Q448" s="253"/>
      <c r="R448" s="292" t="s">
        <v>3449</v>
      </c>
      <c r="S448" s="272" t="s">
        <v>4189</v>
      </c>
      <c r="T448" s="273">
        <v>11.9</v>
      </c>
      <c r="U448" s="289">
        <v>21.8</v>
      </c>
      <c r="V448" s="280"/>
      <c r="W448" s="244"/>
      <c r="X448" s="244"/>
      <c r="Y448" s="362"/>
      <c r="Z448" s="257">
        <f>altaz(J2000_Bas,$O448,$M448,DecLat,DecLong,1)</f>
        <v>31.543402326239832</v>
      </c>
      <c r="AA448" s="257">
        <f>altaz((J2000_Bas+(2*0.04167)),$O448,$M448,DecLat,DecLong,1)</f>
        <v>6.332562573046868</v>
      </c>
      <c r="AB448" s="257">
        <f>altaz((J2000_Bas+(4*0.04167)),$O448,$M448,DecLat,DecLong,1)</f>
        <v>-16.672168917597755</v>
      </c>
      <c r="AC448" s="257">
        <f>altaz((J2000_Bas+(6*0.04167)),$O448,$M448,DecLat,DecLong,1)</f>
        <v>-34.154346882936167</v>
      </c>
      <c r="AD448" s="258">
        <f>1+ transit((J2000_Bas-1),$O448,$M448,DecLat,DecLong)/360 + (GMTOffset/24) + (IF(DST="Y", 1, 0)/24)</f>
        <v>1.6094971211922082</v>
      </c>
      <c r="AE448" s="259">
        <f>DATE(2001,9,21)+(M448/360)*365 - (360*((DecLong/360)- (GMTOffset/24) ))</f>
        <v>37385.057986111111</v>
      </c>
      <c r="AF448" s="260">
        <f>IF(DecLat&gt;0,IF((90 - (DecLat-O448))&gt;90, (90 - (O448-DecLat)), (90 - (DecLat-O448))),IF((90 + (DecLat-O448))&gt;90, (90 + (O448-DecLat)), (90 + (DecLat-O448))))</f>
        <v>78.083333333333329</v>
      </c>
      <c r="AG448" s="257">
        <f>angularseperation(MoonRA,MoonDec,$M448,$O448)</f>
        <v>53.19756865956176</v>
      </c>
      <c r="AH448" s="261">
        <f ca="1">MIN(100,IF($O$5&gt;80,0+30*($AG448/100),IF($O$5&gt;70,0+50*($AG448/100),IF($O$5&gt;60,5+50*($AG448/100),IF($O$5&gt;50,10+60*($AG448/100),IF($O$5&gt;40,15+70*($AG448/100),IF($O$5&gt;30,20+70*($AG448/100),IF($O$5&gt;20,40+55*($AG448/100),(80+(20-$O$5)+30*($AG448/100))))))))))</f>
        <v>99.230330942018952</v>
      </c>
      <c r="AI448" s="262"/>
      <c r="AJ448" s="262"/>
      <c r="AK448" s="262"/>
      <c r="AL448" s="263"/>
      <c r="AM448" s="264"/>
      <c r="AN448" s="263">
        <v>328</v>
      </c>
      <c r="AO448" s="263">
        <v>72</v>
      </c>
      <c r="AP448" s="265"/>
      <c r="AQ448" s="266">
        <v>9532</v>
      </c>
      <c r="AR448" s="267"/>
      <c r="AS448" s="263"/>
      <c r="AT448" s="263"/>
      <c r="AU448" s="263"/>
      <c r="AV448" s="264"/>
      <c r="AW448" s="263"/>
      <c r="AX448" s="263"/>
      <c r="AY448" s="263"/>
      <c r="AZ448" s="263"/>
      <c r="BA448" s="263"/>
      <c r="BB448" s="263"/>
      <c r="BC448" s="263"/>
      <c r="BD448" s="264"/>
      <c r="BE448" s="263"/>
      <c r="BF448" s="263"/>
      <c r="BG448" s="263"/>
      <c r="BH448" s="263">
        <v>62</v>
      </c>
      <c r="BI448" s="263"/>
      <c r="BJ448" s="404">
        <f>altaz(J2000_Bas,$O448,$M448,DecLat,DecLong,2)</f>
        <v>274.51480420289795</v>
      </c>
      <c r="BK448" s="378" t="s">
        <v>4069</v>
      </c>
      <c r="BL448" s="379">
        <f>IF((2*G448)/60&lt;0.2,0.2,(2*G448)/60)</f>
        <v>0.2</v>
      </c>
      <c r="BM448" s="380">
        <f>MOD((50000+AD448-$B$3+(0/24)),1)</f>
        <v>0.82486405089730397</v>
      </c>
      <c r="BN448" s="381"/>
      <c r="BO448" s="382">
        <v>448</v>
      </c>
    </row>
    <row r="449" spans="1:67" s="24" customFormat="1" ht="15" customHeight="1" x14ac:dyDescent="0.25">
      <c r="A449" s="288" t="s">
        <v>551</v>
      </c>
      <c r="B449" s="241" t="str">
        <f>HYPERLINK(CONCATENATE($AT$3,BK449,$AU$3),$AV$3)</f>
        <v>S</v>
      </c>
      <c r="C449" s="242" t="str">
        <f>HYPERLINK(CONCATENATE($AT$4,BK449,$AU$4,BL449),$AV$4)</f>
        <v>A</v>
      </c>
      <c r="D449" s="243" t="s">
        <v>5638</v>
      </c>
      <c r="E449" s="244" t="s">
        <v>5626</v>
      </c>
      <c r="F449" s="290">
        <v>5</v>
      </c>
      <c r="G449" s="291">
        <v>2</v>
      </c>
      <c r="H449" s="283">
        <v>740</v>
      </c>
      <c r="I449" s="284">
        <v>430</v>
      </c>
      <c r="J449" s="295">
        <v>3</v>
      </c>
      <c r="K449" s="247" t="s">
        <v>6230</v>
      </c>
      <c r="L449" s="248">
        <v>113207</v>
      </c>
      <c r="M449" s="249">
        <f>15*(LEFT(TEXT($L449,"000000"),2)+(MID(TEXT($L449,"000000"),3,2)/60)+(RIGHT(TEXT($L449,"000000"),2)/3600))</f>
        <v>173.02916666666667</v>
      </c>
      <c r="N449" s="250">
        <v>704843</v>
      </c>
      <c r="O449" s="251">
        <f>IF($N449&gt;0,(LEFT(TEXT($N449,"000000"),2)+(MID(TEXT($N449,"000000"),3,2)/60)+(RIGHT(TEXT($N449,"000000"),2)/3600)),-(MID(TEXT($N449,"000000"),2,2)+(MID(TEXT($N449,"000000"),4,2)/60)+(RIGHT(TEXT($N449,"000000"),2)/3600)))</f>
        <v>70.811944444444435</v>
      </c>
      <c r="P449" s="252" t="s">
        <v>34</v>
      </c>
      <c r="Q449" s="253"/>
      <c r="R449" s="292" t="s">
        <v>3447</v>
      </c>
      <c r="S449" s="272" t="s">
        <v>3293</v>
      </c>
      <c r="T449" s="273">
        <v>13.4</v>
      </c>
      <c r="U449" s="289">
        <v>21.8</v>
      </c>
      <c r="V449" s="280"/>
      <c r="W449" s="244"/>
      <c r="X449" s="244"/>
      <c r="Y449" s="362"/>
      <c r="Z449" s="257">
        <f>altaz(J2000_Bas,$O449,$M449,DecLat,DecLong,1)</f>
        <v>22.114980791321916</v>
      </c>
      <c r="AA449" s="257">
        <f>altaz((J2000_Bas+(2*0.04167)),$O449,$M449,DecLat,DecLong,1)</f>
        <v>15.144719952845723</v>
      </c>
      <c r="AB449" s="257">
        <f>altaz((J2000_Bas+(4*0.04167)),$O449,$M449,DecLat,DecLong,1)</f>
        <v>11.929940827251931</v>
      </c>
      <c r="AC449" s="257">
        <f>altaz((J2000_Bas+(6*0.04167)),$O449,$M449,DecLat,DecLong,1)</f>
        <v>13.151943887191125</v>
      </c>
      <c r="AD449" s="258">
        <f>1+ transit((J2000_Bas-1),$O449,$M449,DecLat,DecLong)/360 + (GMTOffset/24) + (IF(DST="Y", 1, 0)/24)</f>
        <v>1.4735364866401246</v>
      </c>
      <c r="AE449" s="259">
        <f>DATE(2001,9,21)+(M449/360)*365 - (360*((DecLong/360)- (GMTOffset/24) ))</f>
        <v>37335.432349537034</v>
      </c>
      <c r="AF449" s="260">
        <f>IF(DecLat&gt;0,IF((90 - (DecLat-O449))&gt;90, (90 - (O449-DecLat)), (90 - (DecLat-O449))),IF((90 + (DecLat-O449))&gt;90, (90 + (O449-DecLat)), (90 + (DecLat-O449))))</f>
        <v>50.188055555555565</v>
      </c>
      <c r="AG449" s="257">
        <f>angularseperation(MoonRA,MoonDec,$M449,$O449)</f>
        <v>111.11649492740322</v>
      </c>
      <c r="AH449" s="261">
        <f ca="1">MIN(100,IF($O$5&gt;80,0+30*($AG449/100),IF($O$5&gt;70,0+50*($AG449/100),IF($O$5&gt;60,5+50*($AG449/100),IF($O$5&gt;50,10+60*($AG449/100),IF($O$5&gt;40,15+70*($AG449/100),IF($O$5&gt;30,20+70*($AG449/100),IF($O$5&gt;20,40+55*($AG449/100),(80+(20-$O$5)+30*($AG449/100))))))))))</f>
        <v>100</v>
      </c>
      <c r="AI449" s="262"/>
      <c r="AJ449" s="262"/>
      <c r="AK449" s="262"/>
      <c r="AL449" s="263"/>
      <c r="AM449" s="264"/>
      <c r="AN449" s="263">
        <v>329</v>
      </c>
      <c r="AO449" s="263">
        <v>55</v>
      </c>
      <c r="AP449" s="265"/>
      <c r="AQ449" s="266">
        <v>6514</v>
      </c>
      <c r="AR449" s="267"/>
      <c r="AS449" s="263"/>
      <c r="AT449" s="263"/>
      <c r="AU449" s="263"/>
      <c r="AV449" s="264"/>
      <c r="AW449" s="263"/>
      <c r="AX449" s="263"/>
      <c r="AY449" s="263"/>
      <c r="AZ449" s="263"/>
      <c r="BA449" s="263"/>
      <c r="BB449" s="263"/>
      <c r="BC449" s="263"/>
      <c r="BD449" s="264"/>
      <c r="BE449" s="263"/>
      <c r="BF449" s="263"/>
      <c r="BG449" s="263"/>
      <c r="BH449" s="263">
        <v>66</v>
      </c>
      <c r="BI449" s="263"/>
      <c r="BJ449" s="404">
        <f>altaz(J2000_Bas,$O449,$M449,DecLat,DecLong,2)</f>
        <v>340.93553395959674</v>
      </c>
      <c r="BK449" s="378" t="s">
        <v>4052</v>
      </c>
      <c r="BL449" s="379">
        <f>IF((2*G449)/60&lt;0.2,0.2,(2*G449)/60)</f>
        <v>0.2</v>
      </c>
      <c r="BM449" s="380">
        <f>MOD((50000+AD449-$B$3+(0/24)),1)</f>
        <v>0.68890341634687502</v>
      </c>
      <c r="BN449" s="381"/>
      <c r="BO449" s="382">
        <v>449</v>
      </c>
    </row>
    <row r="450" spans="1:67" s="24" customFormat="1" ht="15" customHeight="1" x14ac:dyDescent="0.25">
      <c r="A450" s="288" t="s">
        <v>552</v>
      </c>
      <c r="B450" s="241" t="str">
        <f>HYPERLINK(CONCATENATE($AT$3,BK450,$AU$3),$AV$3)</f>
        <v>S</v>
      </c>
      <c r="C450" s="242" t="str">
        <f>HYPERLINK(CONCATENATE($AT$4,BK450,$AU$4,BL450),$AV$4)</f>
        <v>A</v>
      </c>
      <c r="D450" s="243" t="s">
        <v>5638</v>
      </c>
      <c r="E450" s="244" t="s">
        <v>5626</v>
      </c>
      <c r="F450" s="269">
        <v>9</v>
      </c>
      <c r="G450" s="282">
        <v>12</v>
      </c>
      <c r="H450" s="283">
        <v>400</v>
      </c>
      <c r="I450" s="284">
        <v>1300</v>
      </c>
      <c r="J450" s="295">
        <v>2</v>
      </c>
      <c r="K450" s="247" t="s">
        <v>4382</v>
      </c>
      <c r="L450" s="248">
        <v>164900</v>
      </c>
      <c r="M450" s="249">
        <f>15*(LEFT(TEXT($L450,"000000"),2)+(MID(TEXT($L450,"000000"),3,2)/60)+(RIGHT(TEXT($L450,"000000"),2)/3600))</f>
        <v>252.25</v>
      </c>
      <c r="N450" s="250">
        <v>532400</v>
      </c>
      <c r="O450" s="251">
        <f>IF($N450&gt;0,(LEFT(TEXT($N450,"000000"),2)+(MID(TEXT($N450,"000000"),3,2)/60)+(RIGHT(TEXT($N450,"000000"),2)/3600)),-(MID(TEXT($N450,"000000"),2,2)+(MID(TEXT($N450,"000000"),4,2)/60)+(RIGHT(TEXT($N450,"000000"),2)/3600)))</f>
        <v>53.4</v>
      </c>
      <c r="P450" s="252" t="s">
        <v>34</v>
      </c>
      <c r="Q450" s="253" t="s">
        <v>553</v>
      </c>
      <c r="R450" s="247" t="s">
        <v>3293</v>
      </c>
      <c r="S450" s="272" t="s">
        <v>3293</v>
      </c>
      <c r="T450" s="273">
        <v>14</v>
      </c>
      <c r="U450" s="274"/>
      <c r="V450" s="280"/>
      <c r="W450" s="244"/>
      <c r="X450" s="244"/>
      <c r="Y450" s="362"/>
      <c r="Z450" s="257">
        <f>altaz(J2000_Bas,$O450,$M450,DecLat,DecLong,1)</f>
        <v>56.971875479281664</v>
      </c>
      <c r="AA450" s="257">
        <f>altaz((J2000_Bas+(2*0.04167)),$O450,$M450,DecLat,DecLong,1)</f>
        <v>39.704033683808767</v>
      </c>
      <c r="AB450" s="257">
        <f>altaz((J2000_Bas+(4*0.04167)),$O450,$M450,DecLat,DecLong,1)</f>
        <v>22.242541413109453</v>
      </c>
      <c r="AC450" s="257">
        <f>altaz((J2000_Bas+(6*0.04167)),$O450,$M450,DecLat,DecLong,1)</f>
        <v>7.3339120109453324</v>
      </c>
      <c r="AD450" s="258">
        <f>1+ transit((J2000_Bas-1),$O450,$M450,DecLat,DecLong)/360 + (GMTOffset/24) + (IF(DST="Y", 1, 0)/24)</f>
        <v>1.693594335004708</v>
      </c>
      <c r="AE450" s="259">
        <f>DATE(2001,9,21)+(M450/360)*365 - (360*((DecLong/360)- (GMTOffset/24) ))</f>
        <v>37415.753472222219</v>
      </c>
      <c r="AF450" s="260">
        <f>IF(DecLat&gt;0,IF((90 - (DecLat-O450))&gt;90, (90 - (O450-DecLat)), (90 - (DecLat-O450))),IF((90 + (DecLat-O450))&gt;90, (90 + (O450-DecLat)), (90 + (DecLat-O450))))</f>
        <v>67.599999999999994</v>
      </c>
      <c r="AG450" s="257">
        <f>angularseperation(MoonRA,MoonDec,$M450,$O450)</f>
        <v>80.52658291768843</v>
      </c>
      <c r="AH450" s="261">
        <f ca="1">MIN(100,IF($O$5&gt;80,0+30*($AG450/100),IF($O$5&gt;70,0+50*($AG450/100),IF($O$5&gt;60,5+50*($AG450/100),IF($O$5&gt;50,10+60*($AG450/100),IF($O$5&gt;40,15+70*($AG450/100),IF($O$5&gt;30,20+70*($AG450/100),IF($O$5&gt;20,40+55*($AG450/100),(80+(20-$O$5)+30*($AG450/100))))))))))</f>
        <v>100</v>
      </c>
      <c r="AI450" s="262"/>
      <c r="AJ450" s="262"/>
      <c r="AK450" s="262"/>
      <c r="AL450" s="263"/>
      <c r="AM450" s="264"/>
      <c r="AN450" s="263">
        <v>330</v>
      </c>
      <c r="AO450" s="263"/>
      <c r="AP450" s="265"/>
      <c r="AQ450" s="266"/>
      <c r="AR450" s="267"/>
      <c r="AS450" s="263"/>
      <c r="AT450" s="263"/>
      <c r="AU450" s="263"/>
      <c r="AV450" s="264"/>
      <c r="AW450" s="263"/>
      <c r="AX450" s="263"/>
      <c r="AY450" s="263"/>
      <c r="AZ450" s="263"/>
      <c r="BA450" s="263"/>
      <c r="BB450" s="263"/>
      <c r="BC450" s="263"/>
      <c r="BD450" s="264"/>
      <c r="BE450" s="263"/>
      <c r="BF450" s="263"/>
      <c r="BG450" s="263"/>
      <c r="BH450" s="263">
        <v>61</v>
      </c>
      <c r="BI450" s="263"/>
      <c r="BJ450" s="404">
        <f>altaz(J2000_Bas,$O450,$M450,DecLat,DecLong,2)</f>
        <v>322.57128955592918</v>
      </c>
      <c r="BK450" s="378" t="s">
        <v>552</v>
      </c>
      <c r="BL450" s="379">
        <f>IF((2*G450)/60&lt;0.2,0.2,(2*G450)/60)</f>
        <v>0.4</v>
      </c>
      <c r="BM450" s="380">
        <f>MOD((50000+AD450-$B$3+(0/24)),1)</f>
        <v>0.90896126470761374</v>
      </c>
      <c r="BN450" s="381"/>
      <c r="BO450" s="382">
        <v>450</v>
      </c>
    </row>
    <row r="451" spans="1:67" s="24" customFormat="1" ht="15" customHeight="1" x14ac:dyDescent="0.25">
      <c r="A451" s="288" t="s">
        <v>554</v>
      </c>
      <c r="B451" s="241" t="str">
        <f>HYPERLINK(CONCATENATE($AT$3,BK451,$AU$3),$AV$3)</f>
        <v>S</v>
      </c>
      <c r="C451" s="242" t="str">
        <f>HYPERLINK(CONCATENATE($AT$4,BK451,$AU$4,BL451),$AV$4)</f>
        <v>A</v>
      </c>
      <c r="D451" s="243" t="s">
        <v>5638</v>
      </c>
      <c r="E451" s="244" t="s">
        <v>5626</v>
      </c>
      <c r="F451" s="269">
        <v>12</v>
      </c>
      <c r="G451" s="282">
        <v>16</v>
      </c>
      <c r="H451" s="283">
        <v>300</v>
      </c>
      <c r="I451" s="284">
        <v>1300</v>
      </c>
      <c r="J451" s="295">
        <v>2</v>
      </c>
      <c r="K451" s="247" t="s">
        <v>4383</v>
      </c>
      <c r="L451" s="248">
        <v>10731</v>
      </c>
      <c r="M451" s="249">
        <f>15*(LEFT(TEXT($L451,"000000"),2)+(MID(TEXT($L451,"000000"),3,2)/60)+(RIGHT(TEXT($L451,"000000"),2)/3600))</f>
        <v>16.879166666666666</v>
      </c>
      <c r="N451" s="250">
        <v>322100</v>
      </c>
      <c r="O451" s="251">
        <f>IF($N451&gt;0,(LEFT(TEXT($N451,"000000"),2)+(MID(TEXT($N451,"000000"),3,2)/60)+(RIGHT(TEXT($N451,"000000"),2)/3600)),-(MID(TEXT($N451,"000000"),2,2)+(MID(TEXT($N451,"000000"),4,2)/60)+(RIGHT(TEXT($N451,"000000"),2)/3600)))</f>
        <v>32.35</v>
      </c>
      <c r="P451" s="252" t="s">
        <v>158</v>
      </c>
      <c r="Q451" s="253"/>
      <c r="R451" s="247" t="s">
        <v>3459</v>
      </c>
      <c r="S451" s="272" t="s">
        <v>3293</v>
      </c>
      <c r="T451" s="273">
        <v>12</v>
      </c>
      <c r="U451" s="289">
        <v>22.89</v>
      </c>
      <c r="V451" s="280"/>
      <c r="W451" s="244"/>
      <c r="X451" s="244"/>
      <c r="Y451" s="362"/>
      <c r="Z451" s="257">
        <f>altaz(J2000_Bas,$O451,$M451,DecLat,DecLong,1)</f>
        <v>15.33807197413644</v>
      </c>
      <c r="AA451" s="257">
        <f>altaz((J2000_Bas+(2*0.04167)),$O451,$M451,DecLat,DecLong,1)</f>
        <v>38.973001904581615</v>
      </c>
      <c r="AB451" s="257">
        <f>altaz((J2000_Bas+(4*0.04167)),$O451,$M451,DecLat,DecLong,1)</f>
        <v>63.921037759425126</v>
      </c>
      <c r="AC451" s="257">
        <f>altaz((J2000_Bas+(6*0.04167)),$O451,$M451,DecLat,DecLong,1)</f>
        <v>88.549655716680448</v>
      </c>
      <c r="AD451" s="258">
        <f>1+ transit((J2000_Bas-1),$O451,$M451,DecLat,DecLong)/360 + (GMTOffset/24) + (IF(DST="Y", 1, 0)/24)</f>
        <v>1.0397865300151248</v>
      </c>
      <c r="AE451" s="259">
        <f>DATE(2001,9,21)+(M451/360)*365 - (360*((DecLong/360)- (GMTOffset/24) ))</f>
        <v>37177.113599537035</v>
      </c>
      <c r="AF451" s="260">
        <f>IF(DecLat&gt;0,IF((90 - (DecLat-O451))&gt;90, (90 - (O451-DecLat)), (90 - (DecLat-O451))),IF((90 + (DecLat-O451))&gt;90, (90 + (O451-DecLat)), (90 + (DecLat-O451))))</f>
        <v>88.65</v>
      </c>
      <c r="AG451" s="257">
        <f>angularseperation(MoonRA,MoonDec,$M451,$O451)</f>
        <v>134.66302619221128</v>
      </c>
      <c r="AH451" s="261">
        <f ca="1">MIN(100,IF($O$5&gt;80,0+30*($AG451/100),IF($O$5&gt;70,0+50*($AG451/100),IF($O$5&gt;60,5+50*($AG451/100),IF($O$5&gt;50,10+60*($AG451/100),IF($O$5&gt;40,15+70*($AG451/100),IF($O$5&gt;30,20+70*($AG451/100),IF($O$5&gt;20,40+55*($AG451/100),(80+(20-$O$5)+30*($AG451/100))))))))))</f>
        <v>100</v>
      </c>
      <c r="AI451" s="262">
        <v>386</v>
      </c>
      <c r="AJ451" s="262"/>
      <c r="AK451" s="262"/>
      <c r="AL451" s="263"/>
      <c r="AM451" s="264"/>
      <c r="AN451" s="263">
        <v>331</v>
      </c>
      <c r="AO451" s="263"/>
      <c r="AP451" s="265"/>
      <c r="AQ451" s="266"/>
      <c r="AR451" s="267">
        <v>3989</v>
      </c>
      <c r="AS451" s="263"/>
      <c r="AT451" s="263"/>
      <c r="AU451" s="263"/>
      <c r="AV451" s="264"/>
      <c r="AW451" s="263"/>
      <c r="AX451" s="263"/>
      <c r="AY451" s="263"/>
      <c r="AZ451" s="263"/>
      <c r="BA451" s="263"/>
      <c r="BB451" s="263"/>
      <c r="BC451" s="263"/>
      <c r="BD451" s="264"/>
      <c r="BE451" s="263"/>
      <c r="BF451" s="263"/>
      <c r="BG451" s="263"/>
      <c r="BH451" s="263"/>
      <c r="BI451" s="263"/>
      <c r="BJ451" s="404">
        <f>altaz(J2000_Bas,$O451,$M451,DecLat,DecLong,2)</f>
        <v>61.150963888198831</v>
      </c>
      <c r="BK451" s="378" t="s">
        <v>554</v>
      </c>
      <c r="BL451" s="379">
        <f>IF((2*G451)/60&lt;0.2,0.2,(2*G451)/60)</f>
        <v>0.53333333333333333</v>
      </c>
      <c r="BM451" s="380">
        <f>MOD((50000+AD451-$B$3+(0/24)),1)</f>
        <v>0.25515345972235082</v>
      </c>
      <c r="BN451" s="381"/>
      <c r="BO451" s="382">
        <v>451</v>
      </c>
    </row>
    <row r="452" spans="1:67" s="24" customFormat="1" ht="15" customHeight="1" x14ac:dyDescent="0.25">
      <c r="A452" s="288" t="s">
        <v>555</v>
      </c>
      <c r="B452" s="241" t="str">
        <f>HYPERLINK(CONCATENATE($AT$3,BK452,$AU$3),$AV$3)</f>
        <v>S</v>
      </c>
      <c r="C452" s="242" t="str">
        <f>HYPERLINK(CONCATENATE($AT$4,BK452,$AU$4,BL452),$AV$4)</f>
        <v>A</v>
      </c>
      <c r="D452" s="243" t="s">
        <v>5638</v>
      </c>
      <c r="E452" s="244" t="s">
        <v>5626</v>
      </c>
      <c r="F452" s="269">
        <v>8</v>
      </c>
      <c r="G452" s="282">
        <v>10</v>
      </c>
      <c r="H452" s="283">
        <v>95</v>
      </c>
      <c r="I452" s="284">
        <v>270</v>
      </c>
      <c r="J452" s="295">
        <v>2</v>
      </c>
      <c r="K452" s="247" t="s">
        <v>4384</v>
      </c>
      <c r="L452" s="248">
        <v>30759</v>
      </c>
      <c r="M452" s="249">
        <f>15*(LEFT(TEXT($L452,"000000"),2)+(MID(TEXT($L452,"000000"),3,2)/60)+(RIGHT(TEXT($L452,"000000"),2)/3600))</f>
        <v>46.99583333333333</v>
      </c>
      <c r="N452" s="250">
        <v>-225300</v>
      </c>
      <c r="O452" s="251">
        <f>IF($N452&gt;0,(LEFT(TEXT($N452,"000000"),2)+(MID(TEXT($N452,"000000"),3,2)/60)+(RIGHT(TEXT($N452,"000000"),2)/3600)),-(MID(TEXT($N452,"000000"),2,2)+(MID(TEXT($N452,"000000"),4,2)/60)+(RIGHT(TEXT($N452,"000000"),2)/3600)))</f>
        <v>-22.883333333333333</v>
      </c>
      <c r="P452" s="252" t="s">
        <v>257</v>
      </c>
      <c r="Q452" s="253"/>
      <c r="R452" s="247" t="s">
        <v>3293</v>
      </c>
      <c r="S452" s="272" t="s">
        <v>3293</v>
      </c>
      <c r="T452" s="273">
        <v>12</v>
      </c>
      <c r="U452" s="274"/>
      <c r="V452" s="280"/>
      <c r="W452" s="244"/>
      <c r="X452" s="244"/>
      <c r="Y452" s="362"/>
      <c r="Z452" s="257">
        <f>altaz(J2000_Bas,$O452,$M452,DecLat,DecLong,1)</f>
        <v>-37.367457722987908</v>
      </c>
      <c r="AA452" s="257">
        <f>altaz((J2000_Bas+(2*0.04167)),$O452,$M452,DecLat,DecLong,1)</f>
        <v>-12.286442569059789</v>
      </c>
      <c r="AB452" s="257">
        <f>altaz((J2000_Bas+(4*0.04167)),$O452,$M452,DecLat,DecLong,1)</f>
        <v>10.643661994581214</v>
      </c>
      <c r="AC452" s="257">
        <f>altaz((J2000_Bas+(6*0.04167)),$O452,$M452,DecLat,DecLong,1)</f>
        <v>28.585985059609968</v>
      </c>
      <c r="AD452" s="258">
        <f>1+ transit((J2000_Bas-1),$O452,$M452,DecLat,DecLong)/360 + (GMTOffset/24) + (IF(DST="Y", 1, 0)/24)</f>
        <v>1.1234439290567912</v>
      </c>
      <c r="AE452" s="259">
        <f>DATE(2001,9,21)+(M452/360)*365 - (360*((DecLong/360)- (GMTOffset/24) ))</f>
        <v>37207.648553240739</v>
      </c>
      <c r="AF452" s="260">
        <f>IF(DecLat&gt;0,IF((90 - (DecLat-O452))&gt;90, (90 - (O452-DecLat)), (90 - (DecLat-O452))),IF((90 + (DecLat-O452))&gt;90, (90 + (O452-DecLat)), (90 + (DecLat-O452))))</f>
        <v>36.116666666666667</v>
      </c>
      <c r="AG452" s="257">
        <f>angularseperation(MoonRA,MoonDec,$M452,$O452)</f>
        <v>125.60313837415482</v>
      </c>
      <c r="AH452" s="261">
        <f ca="1">MIN(100,IF($O$5&gt;80,0+30*($AG452/100),IF($O$5&gt;70,0+50*($AG452/100),IF($O$5&gt;60,5+50*($AG452/100),IF($O$5&gt;50,10+60*($AG452/100),IF($O$5&gt;40,15+70*($AG452/100),IF($O$5&gt;30,20+70*($AG452/100),IF($O$5&gt;20,40+55*($AG452/100),(80+(20-$O$5)+30*($AG452/100))))))))))</f>
        <v>100</v>
      </c>
      <c r="AI452" s="262"/>
      <c r="AJ452" s="262"/>
      <c r="AK452" s="262"/>
      <c r="AL452" s="263"/>
      <c r="AM452" s="264"/>
      <c r="AN452" s="263">
        <v>332</v>
      </c>
      <c r="AO452" s="263"/>
      <c r="AP452" s="265"/>
      <c r="AQ452" s="266"/>
      <c r="AR452" s="267"/>
      <c r="AS452" s="263"/>
      <c r="AT452" s="263"/>
      <c r="AU452" s="263"/>
      <c r="AV452" s="264"/>
      <c r="AW452" s="263"/>
      <c r="AX452" s="263"/>
      <c r="AY452" s="263"/>
      <c r="AZ452" s="263"/>
      <c r="BA452" s="263"/>
      <c r="BB452" s="263"/>
      <c r="BC452" s="263"/>
      <c r="BD452" s="264"/>
      <c r="BE452" s="263"/>
      <c r="BF452" s="263"/>
      <c r="BG452" s="263"/>
      <c r="BH452" s="263"/>
      <c r="BI452" s="263"/>
      <c r="BJ452" s="404">
        <f>altaz(J2000_Bas,$O452,$M452,DecLat,DecLong,2)</f>
        <v>96.42788095986397</v>
      </c>
      <c r="BK452" s="378" t="s">
        <v>555</v>
      </c>
      <c r="BL452" s="379">
        <f>IF((2*G452)/60&lt;0.2,0.2,(2*G452)/60)</f>
        <v>0.33333333333333331</v>
      </c>
      <c r="BM452" s="380">
        <f>MOD((50000+AD452-$B$3+(0/24)),1)</f>
        <v>0.33881085876055295</v>
      </c>
      <c r="BN452" s="381"/>
      <c r="BO452" s="382">
        <v>452</v>
      </c>
    </row>
    <row r="453" spans="1:67" s="24" customFormat="1" ht="15" customHeight="1" x14ac:dyDescent="0.25">
      <c r="A453" s="288" t="s">
        <v>556</v>
      </c>
      <c r="B453" s="241" t="str">
        <f>HYPERLINK(CONCATENATE($AT$3,BK453,$AU$3),$AV$3)</f>
        <v>S</v>
      </c>
      <c r="C453" s="242" t="str">
        <f>HYPERLINK(CONCATENATE($AT$4,BK453,$AU$4,BL453),$AV$4)</f>
        <v>A</v>
      </c>
      <c r="D453" s="243" t="s">
        <v>5638</v>
      </c>
      <c r="E453" s="244" t="s">
        <v>5192</v>
      </c>
      <c r="F453" s="269" t="s">
        <v>8702</v>
      </c>
      <c r="G453" s="273">
        <v>3.6</v>
      </c>
      <c r="H453" s="283">
        <v>170</v>
      </c>
      <c r="I453" s="246">
        <v>180</v>
      </c>
      <c r="J453" s="295">
        <v>3</v>
      </c>
      <c r="K453" s="247" t="s">
        <v>4385</v>
      </c>
      <c r="L453" s="248">
        <v>23912</v>
      </c>
      <c r="M453" s="249">
        <f>15*(LEFT(TEXT($L453,"000000"),2)+(MID(TEXT($L453,"000000"),3,2)/60)+(RIGHT(TEXT($L453,"000000"),2)/3600))</f>
        <v>39.799999999999997</v>
      </c>
      <c r="N453" s="250">
        <v>105000</v>
      </c>
      <c r="O453" s="251">
        <f>IF($N453&gt;0,(LEFT(TEXT($N453,"000000"),2)+(MID(TEXT($N453,"000000"),3,2)/60)+(RIGHT(TEXT($N453,"000000"),2)/3600)),-(MID(TEXT($N453,"000000"),2,2)+(MID(TEXT($N453,"000000"),4,2)/60)+(RIGHT(TEXT($N453,"000000"),2)/3600)))</f>
        <v>10.833333333333334</v>
      </c>
      <c r="P453" s="252" t="s">
        <v>249</v>
      </c>
      <c r="Q453" s="253"/>
      <c r="R453" s="247" t="s">
        <v>3477</v>
      </c>
      <c r="S453" s="272" t="s">
        <v>3293</v>
      </c>
      <c r="T453" s="273">
        <v>12.1</v>
      </c>
      <c r="U453" s="289">
        <v>22.69</v>
      </c>
      <c r="V453" s="280">
        <v>75</v>
      </c>
      <c r="W453" s="244"/>
      <c r="X453" s="244"/>
      <c r="Y453" s="362"/>
      <c r="Z453" s="257">
        <f>altaz(J2000_Bas,$O453,$M453,DecLat,DecLong,1)</f>
        <v>-14.057940189305954</v>
      </c>
      <c r="AA453" s="257">
        <f>altaz((J2000_Bas+(2*0.04167)),$O453,$M453,DecLat,DecLong,1)</f>
        <v>10.894417827683439</v>
      </c>
      <c r="AB453" s="257">
        <f>altaz((J2000_Bas+(4*0.04167)),$O453,$M453,DecLat,DecLong,1)</f>
        <v>36.588391817080165</v>
      </c>
      <c r="AC453" s="257">
        <f>altaz((J2000_Bas+(6*0.04167)),$O453,$M453,DecLat,DecLong,1)</f>
        <v>60.297612458384485</v>
      </c>
      <c r="AD453" s="258">
        <f>1+ transit((J2000_Bas-1),$O453,$M453,DecLat,DecLong)/360 + (GMTOffset/24) + (IF(DST="Y", 1, 0)/24)</f>
        <v>1.1034555051297079</v>
      </c>
      <c r="AE453" s="259">
        <f>DATE(2001,9,21)+(M453/360)*365 - (360*((DecLong/360)- (GMTOffset/24) ))</f>
        <v>37200.352777777778</v>
      </c>
      <c r="AF453" s="260">
        <f>IF(DecLat&gt;0,IF((90 - (DecLat-O453))&gt;90, (90 - (O453-DecLat)), (90 - (DecLat-O453))),IF((90 + (DecLat-O453))&gt;90, (90 + (O453-DecLat)), (90 + (DecLat-O453))))</f>
        <v>69.833333333333343</v>
      </c>
      <c r="AG453" s="257">
        <f>angularseperation(MoonRA,MoonDec,$M453,$O453)</f>
        <v>147.89893488440649</v>
      </c>
      <c r="AH453" s="261">
        <f ca="1">MIN(100,IF($O$5&gt;80,0+30*($AG453/100),IF($O$5&gt;70,0+50*($AG453/100),IF($O$5&gt;60,5+50*($AG453/100),IF($O$5&gt;50,10+60*($AG453/100),IF($O$5&gt;40,15+70*($AG453/100),IF($O$5&gt;30,20+70*($AG453/100),IF($O$5&gt;20,40+55*($AG453/100),(80+(20-$O$5)+30*($AG453/100))))))))))</f>
        <v>100</v>
      </c>
      <c r="AI453" s="262">
        <v>1024</v>
      </c>
      <c r="AJ453" s="262"/>
      <c r="AK453" s="262"/>
      <c r="AL453" s="263"/>
      <c r="AM453" s="264"/>
      <c r="AN453" s="263">
        <v>333</v>
      </c>
      <c r="AO453" s="263"/>
      <c r="AP453" s="265"/>
      <c r="AQ453" s="266">
        <v>2142</v>
      </c>
      <c r="AR453" s="267">
        <v>10048</v>
      </c>
      <c r="AS453" s="263"/>
      <c r="AT453" s="263"/>
      <c r="AU453" s="263"/>
      <c r="AV453" s="264"/>
      <c r="AW453" s="263"/>
      <c r="AX453" s="263"/>
      <c r="AY453" s="263"/>
      <c r="AZ453" s="263"/>
      <c r="BA453" s="263"/>
      <c r="BB453" s="263"/>
      <c r="BC453" s="263"/>
      <c r="BD453" s="264"/>
      <c r="BE453" s="263"/>
      <c r="BF453" s="263"/>
      <c r="BG453" s="263"/>
      <c r="BH453" s="263"/>
      <c r="BI453" s="263"/>
      <c r="BJ453" s="404">
        <f>altaz(J2000_Bas,$O453,$M453,DecLat,DecLong,2)</f>
        <v>67.88302735710333</v>
      </c>
      <c r="BK453" s="378" t="s">
        <v>556</v>
      </c>
      <c r="BL453" s="379">
        <f>IF((2*G453)/60&lt;0.2,0.2,(2*G453)/60)</f>
        <v>0.2</v>
      </c>
      <c r="BM453" s="380">
        <f>MOD((50000+AD453-$B$3+(0/24)),1)</f>
        <v>0.31882243483414641</v>
      </c>
      <c r="BN453" s="381"/>
      <c r="BO453" s="382">
        <v>453</v>
      </c>
    </row>
    <row r="454" spans="1:67" s="24" customFormat="1" ht="15" customHeight="1" x14ac:dyDescent="0.25">
      <c r="A454" s="288" t="s">
        <v>557</v>
      </c>
      <c r="B454" s="241" t="str">
        <f>HYPERLINK(CONCATENATE($AT$3,BK454,$AU$3),$AV$3)</f>
        <v>S</v>
      </c>
      <c r="C454" s="242" t="str">
        <f>HYPERLINK(CONCATENATE($AT$4,BK454,$AU$4,BL454),$AV$4)</f>
        <v>A</v>
      </c>
      <c r="D454" s="243" t="s">
        <v>5638</v>
      </c>
      <c r="E454" s="244" t="s">
        <v>5192</v>
      </c>
      <c r="F454" s="269" t="s">
        <v>3306</v>
      </c>
      <c r="G454" s="273">
        <v>1.2</v>
      </c>
      <c r="H454" s="283">
        <v>350</v>
      </c>
      <c r="I454" s="246">
        <v>125</v>
      </c>
      <c r="J454" s="295">
        <v>2</v>
      </c>
      <c r="K454" s="247" t="s">
        <v>8039</v>
      </c>
      <c r="L454" s="248">
        <v>133025</v>
      </c>
      <c r="M454" s="249">
        <f>15*(LEFT(TEXT($L454,"000000"),2)+(MID(TEXT($L454,"000000"),3,2)/60)+(RIGHT(TEXT($L454,"000000"),2)/3600))</f>
        <v>202.60416666666666</v>
      </c>
      <c r="N454" s="250">
        <v>313700</v>
      </c>
      <c r="O454" s="251">
        <f>IF($N454&gt;0,(LEFT(TEXT($N454,"000000"),2)+(MID(TEXT($N454,"000000"),3,2)/60)+(RIGHT(TEXT($N454,"000000"),2)/3600)),-(MID(TEXT($N454,"000000"),2,2)+(MID(TEXT($N454,"000000"),4,2)/60)+(RIGHT(TEXT($N454,"000000"),2)/3600)))</f>
        <v>31.616666666666667</v>
      </c>
      <c r="P454" s="252" t="s">
        <v>242</v>
      </c>
      <c r="Q454" s="253"/>
      <c r="R454" s="247" t="s">
        <v>3293</v>
      </c>
      <c r="S454" s="272" t="s">
        <v>3293</v>
      </c>
      <c r="T454" s="273">
        <v>14</v>
      </c>
      <c r="U454" s="274"/>
      <c r="V454" s="280">
        <v>75</v>
      </c>
      <c r="W454" s="244"/>
      <c r="X454" s="244"/>
      <c r="Y454" s="362"/>
      <c r="Z454" s="257">
        <f>altaz(J2000_Bas,$O454,$M454,DecLat,DecLong,1)</f>
        <v>20.727096721640624</v>
      </c>
      <c r="AA454" s="257">
        <f>altaz((J2000_Bas+(2*0.04167)),$O454,$M454,DecLat,DecLong,1)</f>
        <v>-1.1955486742607828</v>
      </c>
      <c r="AB454" s="257">
        <f>altaz((J2000_Bas+(4*0.04167)),$O454,$M454,DecLat,DecLong,1)</f>
        <v>-18.498504524234001</v>
      </c>
      <c r="AC454" s="257">
        <f>altaz((J2000_Bas+(6*0.04167)),$O454,$M454,DecLat,DecLong,1)</f>
        <v>-27.094929858081546</v>
      </c>
      <c r="AD454" s="258">
        <f>1+ transit((J2000_Bas-1),$O454,$M454,DecLat,DecLong)/360 + (GMTOffset/24) + (IF(DST="Y", 1, 0)/24)</f>
        <v>1.5556892562026248</v>
      </c>
      <c r="AE454" s="259">
        <f>DATE(2001,9,21)+(M454/360)*365 - (360*((DecLong/360)- (GMTOffset/24) ))</f>
        <v>37365.418113425927</v>
      </c>
      <c r="AF454" s="260">
        <f>IF(DecLat&gt;0,IF((90 - (DecLat-O454))&gt;90, (90 - (O454-DecLat)), (90 - (DecLat-O454))),IF((90 + (DecLat-O454))&gt;90, (90 + (O454-DecLat)), (90 + (DecLat-O454))))</f>
        <v>89.383333333333326</v>
      </c>
      <c r="AG454" s="257">
        <f>angularseperation(MoonRA,MoonDec,$M454,$O454)</f>
        <v>73.626509035454745</v>
      </c>
      <c r="AH454" s="261">
        <f ca="1">MIN(100,IF($O$5&gt;80,0+30*($AG454/100),IF($O$5&gt;70,0+50*($AG454/100),IF($O$5&gt;60,5+50*($AG454/100),IF($O$5&gt;50,10+60*($AG454/100),IF($O$5&gt;40,15+70*($AG454/100),IF($O$5&gt;30,20+70*($AG454/100),IF($O$5&gt;20,40+55*($AG454/100),(80+(20-$O$5)+30*($AG454/100))))))))))</f>
        <v>100</v>
      </c>
      <c r="AI454" s="262"/>
      <c r="AJ454" s="262"/>
      <c r="AK454" s="262"/>
      <c r="AL454" s="263"/>
      <c r="AM454" s="264"/>
      <c r="AN454" s="263">
        <v>334</v>
      </c>
      <c r="AO454" s="263"/>
      <c r="AP454" s="265"/>
      <c r="AQ454" s="266">
        <v>8498</v>
      </c>
      <c r="AR454" s="267">
        <v>47462</v>
      </c>
      <c r="AS454" s="263"/>
      <c r="AT454" s="263"/>
      <c r="AU454" s="263"/>
      <c r="AV454" s="264"/>
      <c r="AW454" s="263"/>
      <c r="AX454" s="263"/>
      <c r="AY454" s="263"/>
      <c r="AZ454" s="263"/>
      <c r="BA454" s="263"/>
      <c r="BB454" s="263"/>
      <c r="BC454" s="263"/>
      <c r="BD454" s="264"/>
      <c r="BE454" s="263"/>
      <c r="BF454" s="263"/>
      <c r="BG454" s="263"/>
      <c r="BH454" s="263"/>
      <c r="BI454" s="263"/>
      <c r="BJ454" s="404">
        <f>altaz(J2000_Bas,$O454,$M454,DecLat,DecLong,2)</f>
        <v>295.24822115488547</v>
      </c>
      <c r="BK454" s="378" t="s">
        <v>557</v>
      </c>
      <c r="BL454" s="379">
        <f>IF((2*G454)/60&lt;0.2,0.2,(2*G454)/60)</f>
        <v>0.2</v>
      </c>
      <c r="BM454" s="380">
        <f>MOD((50000+AD454-$B$3+(0/24)),1)</f>
        <v>0.77105618590576341</v>
      </c>
      <c r="BN454" s="381"/>
      <c r="BO454" s="382">
        <v>454</v>
      </c>
    </row>
    <row r="455" spans="1:67" s="24" customFormat="1" ht="15" customHeight="1" x14ac:dyDescent="0.25">
      <c r="A455" s="288" t="s">
        <v>558</v>
      </c>
      <c r="B455" s="241" t="str">
        <f>HYPERLINK(CONCATENATE($AT$3,BK455,$AU$3),$AV$3)</f>
        <v>S</v>
      </c>
      <c r="C455" s="242" t="str">
        <f>HYPERLINK(CONCATENATE($AT$4,BK455,$AU$4,BL455),$AV$4)</f>
        <v>A</v>
      </c>
      <c r="D455" s="243" t="s">
        <v>5638</v>
      </c>
      <c r="E455" s="244" t="s">
        <v>5192</v>
      </c>
      <c r="F455" s="269" t="s">
        <v>8699</v>
      </c>
      <c r="G455" s="273">
        <v>1.7</v>
      </c>
      <c r="H455" s="283">
        <v>360</v>
      </c>
      <c r="I455" s="246">
        <v>180</v>
      </c>
      <c r="J455" s="295">
        <v>3</v>
      </c>
      <c r="K455" s="247" t="s">
        <v>4386</v>
      </c>
      <c r="L455" s="248">
        <v>110423</v>
      </c>
      <c r="M455" s="249">
        <f>15*(LEFT(TEXT($L455,"000000"),2)+(MID(TEXT($L455,"000000"),3,2)/60)+(RIGHT(TEXT($L455,"000000"),2)/3600))</f>
        <v>166.09583333333333</v>
      </c>
      <c r="N455" s="250">
        <v>44900</v>
      </c>
      <c r="O455" s="251">
        <f>IF($N455&gt;0,(LEFT(TEXT($N455,"000000"),2)+(MID(TEXT($N455,"000000"),3,2)/60)+(RIGHT(TEXT($N455,"000000"),2)/3600)),-(MID(TEXT($N455,"000000"),2,2)+(MID(TEXT($N455,"000000"),4,2)/60)+(RIGHT(TEXT($N455,"000000"),2)/3600)))</f>
        <v>4.8166666666666664</v>
      </c>
      <c r="P455" s="252" t="s">
        <v>183</v>
      </c>
      <c r="Q455" s="253"/>
      <c r="R455" s="247" t="s">
        <v>3551</v>
      </c>
      <c r="S455" s="272" t="s">
        <v>3293</v>
      </c>
      <c r="T455" s="273">
        <v>12.7</v>
      </c>
      <c r="U455" s="289">
        <v>22.29</v>
      </c>
      <c r="V455" s="280">
        <v>65</v>
      </c>
      <c r="W455" s="244"/>
      <c r="X455" s="244"/>
      <c r="Y455" s="362"/>
      <c r="Z455" s="257">
        <f>altaz(J2000_Bas,$O455,$M455,DecLat,DecLong,1)</f>
        <v>-22.496043960105478</v>
      </c>
      <c r="AA455" s="257">
        <f>altaz((J2000_Bas+(2*0.04167)),$O455,$M455,DecLat,DecLong,1)</f>
        <v>-44.138562044857537</v>
      </c>
      <c r="AB455" s="257">
        <f>altaz((J2000_Bas+(4*0.04167)),$O455,$M455,DecLat,DecLong,1)</f>
        <v>-54.183259992400799</v>
      </c>
      <c r="AC455" s="257">
        <f>altaz((J2000_Bas+(6*0.04167)),$O455,$M455,DecLat,DecLong,1)</f>
        <v>-44.048088369420661</v>
      </c>
      <c r="AD455" s="258">
        <f>1+ transit((J2000_Bas-1),$O455,$M455,DecLat,DecLong)/360 + (GMTOffset/24) + (IF(DST="Y", 1, 0)/24)</f>
        <v>1.4542772293067914</v>
      </c>
      <c r="AE455" s="259">
        <f>DATE(2001,9,21)+(M455/360)*365 - (360*((DecLong/360)- (GMTOffset/24) ))</f>
        <v>37328.402719907404</v>
      </c>
      <c r="AF455" s="260">
        <f>IF(DecLat&gt;0,IF((90 - (DecLat-O455))&gt;90, (90 - (O455-DecLat)), (90 - (DecLat-O455))),IF((90 + (DecLat-O455))&gt;90, (90 + (O455-DecLat)), (90 + (DecLat-O455))))</f>
        <v>63.816666666666663</v>
      </c>
      <c r="AG455" s="257">
        <f>angularseperation(MoonRA,MoonDec,$M455,$O455)</f>
        <v>86.121200812087878</v>
      </c>
      <c r="AH455" s="261">
        <f ca="1">MIN(100,IF($O$5&gt;80,0+30*($AG455/100),IF($O$5&gt;70,0+50*($AG455/100),IF($O$5&gt;60,5+50*($AG455/100),IF($O$5&gt;50,10+60*($AG455/100),IF($O$5&gt;40,15+70*($AG455/100),IF($O$5&gt;30,20+70*($AG455/100),IF($O$5&gt;20,40+55*($AG455/100),(80+(20-$O$5)+30*($AG455/100))))))))))</f>
        <v>100</v>
      </c>
      <c r="AI455" s="262">
        <v>3509</v>
      </c>
      <c r="AJ455" s="262"/>
      <c r="AK455" s="262"/>
      <c r="AL455" s="263"/>
      <c r="AM455" s="264"/>
      <c r="AN455" s="263">
        <v>335</v>
      </c>
      <c r="AO455" s="263"/>
      <c r="AP455" s="265"/>
      <c r="AQ455" s="266">
        <v>6134</v>
      </c>
      <c r="AR455" s="267">
        <v>33446</v>
      </c>
      <c r="AS455" s="263"/>
      <c r="AT455" s="263"/>
      <c r="AU455" s="263"/>
      <c r="AV455" s="264"/>
      <c r="AW455" s="263"/>
      <c r="AX455" s="263"/>
      <c r="AY455" s="263"/>
      <c r="AZ455" s="263"/>
      <c r="BA455" s="263"/>
      <c r="BB455" s="263"/>
      <c r="BC455" s="263"/>
      <c r="BD455" s="264"/>
      <c r="BE455" s="263"/>
      <c r="BF455" s="263"/>
      <c r="BG455" s="263"/>
      <c r="BH455" s="263"/>
      <c r="BI455" s="263"/>
      <c r="BJ455" s="404">
        <f>altaz(J2000_Bas,$O455,$M455,DecLat,DecLong,2)</f>
        <v>290.78508591614809</v>
      </c>
      <c r="BK455" s="378" t="s">
        <v>558</v>
      </c>
      <c r="BL455" s="379">
        <f>IF((2*G455)/60&lt;0.2,0.2,(2*G455)/60)</f>
        <v>0.2</v>
      </c>
      <c r="BM455" s="380">
        <f>MOD((50000+AD455-$B$3+(0/24)),1)</f>
        <v>0.66964415901020402</v>
      </c>
      <c r="BN455" s="381" t="s">
        <v>9221</v>
      </c>
      <c r="BO455" s="382">
        <v>455</v>
      </c>
    </row>
    <row r="456" spans="1:67" s="24" customFormat="1" ht="15" customHeight="1" x14ac:dyDescent="0.25">
      <c r="A456" s="288" t="s">
        <v>559</v>
      </c>
      <c r="B456" s="241" t="str">
        <f>HYPERLINK(CONCATENATE($AT$3,BK456,$AU$3),$AV$3)</f>
        <v>S</v>
      </c>
      <c r="C456" s="242" t="str">
        <f>HYPERLINK(CONCATENATE($AT$4,BK456,$AU$4,BL456),$AV$4)</f>
        <v>A</v>
      </c>
      <c r="D456" s="243" t="s">
        <v>5638</v>
      </c>
      <c r="E456" s="244" t="s">
        <v>28</v>
      </c>
      <c r="F456" s="269"/>
      <c r="G456" s="273">
        <v>4.3</v>
      </c>
      <c r="H456" s="283">
        <v>40</v>
      </c>
      <c r="I456" s="246">
        <v>50</v>
      </c>
      <c r="J456" s="246">
        <v>4</v>
      </c>
      <c r="K456" s="247" t="s">
        <v>4387</v>
      </c>
      <c r="L456" s="248">
        <v>85535</v>
      </c>
      <c r="M456" s="249">
        <f>15*(LEFT(TEXT($L456,"000000"),2)+(MID(TEXT($L456,"000000"),3,2)/60)+(RIGHT(TEXT($L456,"000000"),2)/3600))</f>
        <v>133.89583333333334</v>
      </c>
      <c r="N456" s="250">
        <v>584402</v>
      </c>
      <c r="O456" s="251">
        <f>IF($N456&gt;0,(LEFT(TEXT($N456,"000000"),2)+(MID(TEXT($N456,"000000"),3,2)/60)+(RIGHT(TEXT($N456,"000000"),2)/3600)),-(MID(TEXT($N456,"000000"),2,2)+(MID(TEXT($N456,"000000"),4,2)/60)+(RIGHT(TEXT($N456,"000000"),2)/3600)))</f>
        <v>58.733888888888892</v>
      </c>
      <c r="P456" s="252" t="s">
        <v>37</v>
      </c>
      <c r="Q456" s="253" t="s">
        <v>6877</v>
      </c>
      <c r="R456" s="247" t="s">
        <v>3518</v>
      </c>
      <c r="S456" s="272" t="s">
        <v>3293</v>
      </c>
      <c r="T456" s="273">
        <v>12.7</v>
      </c>
      <c r="U456" s="289">
        <v>22.59</v>
      </c>
      <c r="V456" s="280"/>
      <c r="W456" s="244"/>
      <c r="X456" s="244"/>
      <c r="Y456" s="362"/>
      <c r="Z456" s="257">
        <f>altaz(J2000_Bas,$O456,$M456,DecLat,DecLong,1)</f>
        <v>2.6962654915558564</v>
      </c>
      <c r="AA456" s="257">
        <f>altaz((J2000_Bas+(2*0.04167)),$O456,$M456,DecLat,DecLong,1)</f>
        <v>-0.24747043375072328</v>
      </c>
      <c r="AB456" s="257">
        <f>altaz((J2000_Bas+(4*0.04167)),$O456,$M456,DecLat,DecLong,1)</f>
        <v>3.674927418742409</v>
      </c>
      <c r="AC456" s="257">
        <f>altaz((J2000_Bas+(6*0.04167)),$O456,$M456,DecLat,DecLong,1)</f>
        <v>13.524015199429035</v>
      </c>
      <c r="AD456" s="258">
        <f>1+ transit((J2000_Bas-1),$O456,$M456,DecLat,DecLong)/360 + (GMTOffset/24) + (IF(DST="Y", 1, 0)/24)</f>
        <v>1.3648327938067915</v>
      </c>
      <c r="AE456" s="259">
        <f>DATE(2001,9,21)+(M456/360)*365 - (360*((DecLong/360)- (GMTOffset/24) ))</f>
        <v>37295.755497685182</v>
      </c>
      <c r="AF456" s="260">
        <f>IF(DecLat&gt;0,IF((90 - (DecLat-O456))&gt;90, (90 - (O456-DecLat)), (90 - (DecLat-O456))),IF((90 + (DecLat-O456))&gt;90, (90 + (O456-DecLat)), (90 + (DecLat-O456))))</f>
        <v>62.266111111111108</v>
      </c>
      <c r="AG456" s="257">
        <f>angularseperation(MoonRA,MoonDec,$M456,$O456)</f>
        <v>125.9437158676823</v>
      </c>
      <c r="AH456" s="261">
        <f ca="1">MIN(100,IF($O$5&gt;80,0+30*($AG456/100),IF($O$5&gt;70,0+50*($AG456/100),IF($O$5&gt;60,5+50*($AG456/100),IF($O$5&gt;50,10+60*($AG456/100),IF($O$5&gt;40,15+70*($AG456/100),IF($O$5&gt;30,20+70*($AG456/100),IF($O$5&gt;20,40+55*($AG456/100),(80+(20-$O$5)+30*($AG456/100))))))))))</f>
        <v>100</v>
      </c>
      <c r="AI456" s="262">
        <v>2685</v>
      </c>
      <c r="AJ456" s="262"/>
      <c r="AK456" s="262"/>
      <c r="AL456" s="263"/>
      <c r="AM456" s="264"/>
      <c r="AN456" s="263">
        <v>336</v>
      </c>
      <c r="AO456" s="263"/>
      <c r="AP456" s="265"/>
      <c r="AQ456" s="266">
        <v>4666</v>
      </c>
      <c r="AR456" s="267">
        <v>25065</v>
      </c>
      <c r="AS456" s="263"/>
      <c r="AT456" s="263"/>
      <c r="AU456" s="263"/>
      <c r="AV456" s="264"/>
      <c r="AW456" s="263"/>
      <c r="AX456" s="263"/>
      <c r="AY456" s="263"/>
      <c r="AZ456" s="263"/>
      <c r="BA456" s="263"/>
      <c r="BB456" s="263"/>
      <c r="BC456" s="263"/>
      <c r="BD456" s="264"/>
      <c r="BE456" s="263"/>
      <c r="BF456" s="263"/>
      <c r="BG456" s="263"/>
      <c r="BH456" s="263">
        <v>33</v>
      </c>
      <c r="BI456" s="263"/>
      <c r="BJ456" s="404">
        <f>altaz(J2000_Bas,$O456,$M456,DecLat,DecLong,2)</f>
        <v>345.9318010445308</v>
      </c>
      <c r="BK456" s="378" t="s">
        <v>559</v>
      </c>
      <c r="BL456" s="379">
        <f>IF((2*G456)/60&lt;0.2,0.2,(2*G456)/60)</f>
        <v>0.2</v>
      </c>
      <c r="BM456" s="380">
        <f>MOD((50000+AD456-$B$3+(0/24)),1)</f>
        <v>0.58019972351030447</v>
      </c>
      <c r="BN456" s="381"/>
      <c r="BO456" s="382">
        <v>456</v>
      </c>
    </row>
    <row r="457" spans="1:67" s="24" customFormat="1" ht="15" customHeight="1" x14ac:dyDescent="0.25">
      <c r="A457" s="288" t="s">
        <v>560</v>
      </c>
      <c r="B457" s="241" t="str">
        <f>HYPERLINK(CONCATENATE($AT$3,BK457,$AU$3),$AV$3)</f>
        <v>S</v>
      </c>
      <c r="C457" s="242" t="str">
        <f>HYPERLINK(CONCATENATE($AT$4,BK457,$AU$4,BL457),$AV$4)</f>
        <v>A</v>
      </c>
      <c r="D457" s="243" t="s">
        <v>5638</v>
      </c>
      <c r="E457" s="244" t="s">
        <v>5178</v>
      </c>
      <c r="F457" s="269"/>
      <c r="G457" s="270">
        <v>0.6</v>
      </c>
      <c r="H457" s="283">
        <v>680</v>
      </c>
      <c r="I457" s="246">
        <v>130</v>
      </c>
      <c r="J457" s="246">
        <v>0</v>
      </c>
      <c r="K457" s="247" t="s">
        <v>4389</v>
      </c>
      <c r="L457" s="248">
        <v>101059</v>
      </c>
      <c r="M457" s="249">
        <f>15*(LEFT(TEXT($L457,"000000"),2)+(MID(TEXT($L457,"000000"),3,2)/60)+(RIGHT(TEXT($L457,"000000"),2)/3600))</f>
        <v>152.74583333333334</v>
      </c>
      <c r="N457" s="250">
        <v>-75400</v>
      </c>
      <c r="O457" s="251">
        <f>IF($N457&gt;0,(LEFT(TEXT($N457,"000000"),2)+(MID(TEXT($N457,"000000"),3,2)/60)+(RIGHT(TEXT($N457,"000000"),2)/3600)),-(MID(TEXT($N457,"000000"),2,2)+(MID(TEXT($N457,"000000"),4,2)/60)+(RIGHT(TEXT($N457,"000000"),2)/3600)))</f>
        <v>-7.9</v>
      </c>
      <c r="P457" s="252" t="s">
        <v>263</v>
      </c>
      <c r="Q457" s="253"/>
      <c r="R457" s="247" t="s">
        <v>3293</v>
      </c>
      <c r="S457" s="272" t="s">
        <v>3293</v>
      </c>
      <c r="T457" s="273">
        <v>15.8</v>
      </c>
      <c r="U457" s="274"/>
      <c r="V457" s="280"/>
      <c r="W457" s="244"/>
      <c r="X457" s="244"/>
      <c r="Y457" s="362"/>
      <c r="Z457" s="257">
        <f>altaz(J2000_Bas,$O457,$M457,DecLat,DecLong,1)</f>
        <v>-40.73829701005932</v>
      </c>
      <c r="AA457" s="257">
        <f>altaz((J2000_Bas+(2*0.04167)),$O457,$M457,DecLat,DecLong,1)</f>
        <v>-62.151668723626642</v>
      </c>
      <c r="AB457" s="257">
        <f>altaz((J2000_Bas+(4*0.04167)),$O457,$M457,DecLat,DecLong,1)</f>
        <v>-63.717067402175225</v>
      </c>
      <c r="AC457" s="257">
        <f>altaz((J2000_Bas+(6*0.04167)),$O457,$M457,DecLat,DecLong,1)</f>
        <v>-43.357558075616573</v>
      </c>
      <c r="AD457" s="258">
        <f>1+ transit((J2000_Bas-1),$O457,$M457,DecLat,DecLong)/360 + (GMTOffset/24) + (IF(DST="Y", 1, 0)/24)</f>
        <v>1.4171938996817912</v>
      </c>
      <c r="AE457" s="259">
        <f>DATE(2001,9,21)+(M457/360)*365 - (360*((DecLong/360)- (GMTOffset/24) ))</f>
        <v>37314.867303240739</v>
      </c>
      <c r="AF457" s="260">
        <f>IF(DecLat&gt;0,IF((90 - (DecLat-O457))&gt;90, (90 - (O457-DecLat)), (90 - (DecLat-O457))),IF((90 + (DecLat-O457))&gt;90, (90 + (O457-DecLat)), (90 + (DecLat-O457))))</f>
        <v>51.1</v>
      </c>
      <c r="AG457" s="257">
        <f>angularseperation(MoonRA,MoonDec,$M457,$O457)</f>
        <v>92.131583152548714</v>
      </c>
      <c r="AH457" s="261">
        <f ca="1">MIN(100,IF($O$5&gt;80,0+30*($AG457/100),IF($O$5&gt;70,0+50*($AG457/100),IF($O$5&gt;60,5+50*($AG457/100),IF($O$5&gt;50,10+60*($AG457/100),IF($O$5&gt;40,15+70*($AG457/100),IF($O$5&gt;30,20+70*($AG457/100),IF($O$5&gt;20,40+55*($AG457/100),(80+(20-$O$5)+30*($AG457/100))))))))))</f>
        <v>100</v>
      </c>
      <c r="AI457" s="262"/>
      <c r="AJ457" s="262"/>
      <c r="AK457" s="262"/>
      <c r="AL457" s="263"/>
      <c r="AM457" s="264"/>
      <c r="AN457" s="263">
        <v>338</v>
      </c>
      <c r="AO457" s="263"/>
      <c r="AP457" s="265"/>
      <c r="AQ457" s="266"/>
      <c r="AR457" s="357">
        <v>154807</v>
      </c>
      <c r="AS457" s="263"/>
      <c r="AT457" s="263"/>
      <c r="AU457" s="263"/>
      <c r="AV457" s="264"/>
      <c r="AW457" s="263"/>
      <c r="AX457" s="263"/>
      <c r="AY457" s="263"/>
      <c r="AZ457" s="263"/>
      <c r="BA457" s="263"/>
      <c r="BB457" s="263"/>
      <c r="BC457" s="263"/>
      <c r="BD457" s="264"/>
      <c r="BE457" s="263"/>
      <c r="BF457" s="263"/>
      <c r="BG457" s="263"/>
      <c r="BH457" s="263"/>
      <c r="BI457" s="263"/>
      <c r="BJ457" s="404">
        <f>altaz(J2000_Bas,$O457,$M457,DecLat,DecLong,2)</f>
        <v>287.81210683607839</v>
      </c>
      <c r="BK457" s="378" t="s">
        <v>560</v>
      </c>
      <c r="BL457" s="379">
        <f>IF((2*G457)/60&lt;0.2,0.2,(2*G457)/60)</f>
        <v>0.2</v>
      </c>
      <c r="BM457" s="380">
        <f>MOD((50000+AD457-$B$3+(0/24)),1)</f>
        <v>0.63256082938460167</v>
      </c>
      <c r="BN457" s="381"/>
      <c r="BO457" s="382">
        <v>457</v>
      </c>
    </row>
    <row r="458" spans="1:67" s="24" customFormat="1" ht="15" customHeight="1" x14ac:dyDescent="0.25">
      <c r="A458" s="288" t="s">
        <v>561</v>
      </c>
      <c r="B458" s="241" t="str">
        <f>HYPERLINK(CONCATENATE($AT$3,BK458,$AU$3),$AV$3)</f>
        <v>S</v>
      </c>
      <c r="C458" s="242" t="str">
        <f>HYPERLINK(CONCATENATE($AT$4,BK458,$AU$4,BL458),$AV$4)</f>
        <v>A</v>
      </c>
      <c r="D458" s="243" t="s">
        <v>5335</v>
      </c>
      <c r="E458" s="244" t="s">
        <v>5184</v>
      </c>
      <c r="F458" s="269" t="s">
        <v>3320</v>
      </c>
      <c r="G458" s="273">
        <v>3</v>
      </c>
      <c r="H458" s="271">
        <v>90000</v>
      </c>
      <c r="I458" s="281">
        <v>85</v>
      </c>
      <c r="J458" s="246">
        <v>2</v>
      </c>
      <c r="K458" s="247" t="s">
        <v>4391</v>
      </c>
      <c r="L458" s="248">
        <v>192842</v>
      </c>
      <c r="M458" s="249">
        <f>15*(LEFT(TEXT($L458,"000000"),2)+(MID(TEXT($L458,"000000"),3,2)/60)+(RIGHT(TEXT($L458,"000000"),2)/3600))</f>
        <v>292.17499999999995</v>
      </c>
      <c r="N458" s="250">
        <v>-302100</v>
      </c>
      <c r="O458" s="251">
        <f>IF($N458&gt;0,(LEFT(TEXT($N458,"000000"),2)+(MID(TEXT($N458,"000000"),3,2)/60)+(RIGHT(TEXT($N458,"000000"),2)/3600)),-(MID(TEXT($N458,"000000"),2,2)+(MID(TEXT($N458,"000000"),4,2)/60)+(RIGHT(TEXT($N458,"000000"),2)/3600)))</f>
        <v>-30.35</v>
      </c>
      <c r="P458" s="252" t="s">
        <v>119</v>
      </c>
      <c r="Q458" s="253"/>
      <c r="R458" s="247" t="s">
        <v>3293</v>
      </c>
      <c r="S458" s="272" t="s">
        <v>3293</v>
      </c>
      <c r="T458" s="273">
        <v>12</v>
      </c>
      <c r="U458" s="274"/>
      <c r="V458" s="256"/>
      <c r="W458" s="244"/>
      <c r="X458" s="244"/>
      <c r="Y458" s="362"/>
      <c r="Z458" s="257">
        <f>altaz(J2000_Bas,$O458,$M458,DecLat,DecLong,1)</f>
        <v>28.370405073012986</v>
      </c>
      <c r="AA458" s="257">
        <f>altaz((J2000_Bas+(2*0.04167)),$O458,$M458,DecLat,DecLong,1)</f>
        <v>24.580298117009765</v>
      </c>
      <c r="AB458" s="257">
        <f>altaz((J2000_Bas+(4*0.04167)),$O458,$M458,DecLat,DecLong,1)</f>
        <v>10.054116501064088</v>
      </c>
      <c r="AC458" s="257">
        <f>altaz((J2000_Bas+(6*0.04167)),$O458,$M458,DecLat,DecLong,1)</f>
        <v>-10.600674362293152</v>
      </c>
      <c r="AD458" s="258">
        <f>1+ transit((J2000_Bas-1),$O458,$M458,DecLat,DecLong)/360 + (GMTOffset/24) + (IF(DST="Y", 1, 0)/24)</f>
        <v>1.8044971016922078</v>
      </c>
      <c r="AE458" s="259">
        <f>DATE(2001,9,21)+(M458/360)*365 - (360*((DecLong/360)- (GMTOffset/24) ))</f>
        <v>37456.232986111114</v>
      </c>
      <c r="AF458" s="260">
        <f>IF(DecLat&gt;0,IF((90 - (DecLat-O458))&gt;90, (90 - (O458-DecLat)), (90 - (DecLat-O458))),IF((90 + (DecLat-O458))&gt;90, (90 + (O458-DecLat)), (90 + (DecLat-O458))))</f>
        <v>28.65</v>
      </c>
      <c r="AG458" s="257">
        <f>angularseperation(MoonRA,MoonDec,$M458,$O458)</f>
        <v>37.572686480495676</v>
      </c>
      <c r="AH458" s="261">
        <f ca="1">MIN(100,IF($O$5&gt;80,0+30*($AG458/100),IF($O$5&gt;70,0+50*($AG458/100),IF($O$5&gt;60,5+50*($AG458/100),IF($O$5&gt;50,10+60*($AG458/100),IF($O$5&gt;40,15+70*($AG458/100),IF($O$5&gt;30,20+70*($AG458/100),IF($O$5&gt;20,40+55*($AG458/100),(80+(20-$O$5)+30*($AG458/100))))))))))</f>
        <v>94.542866288299138</v>
      </c>
      <c r="AI458" s="262"/>
      <c r="AJ458" s="262"/>
      <c r="AK458" s="262"/>
      <c r="AL458" s="263"/>
      <c r="AM458" s="264"/>
      <c r="AN458" s="263"/>
      <c r="AO458" s="263"/>
      <c r="AP458" s="265"/>
      <c r="AQ458" s="266"/>
      <c r="AR458" s="267"/>
      <c r="AS458" s="263"/>
      <c r="AT458" s="263"/>
      <c r="AU458" s="263"/>
      <c r="AV458" s="264"/>
      <c r="AW458" s="263"/>
      <c r="AX458" s="263"/>
      <c r="AY458" s="263"/>
      <c r="AZ458" s="263"/>
      <c r="BA458" s="263"/>
      <c r="BB458" s="263"/>
      <c r="BC458" s="263"/>
      <c r="BD458" s="264"/>
      <c r="BE458" s="263"/>
      <c r="BF458" s="263"/>
      <c r="BG458" s="263"/>
      <c r="BH458" s="263"/>
      <c r="BI458" s="263"/>
      <c r="BJ458" s="404">
        <f>altaz(J2000_Bas,$O458,$M458,DecLat,DecLong,2)</f>
        <v>173.94690224169355</v>
      </c>
      <c r="BK458" s="378" t="s">
        <v>7969</v>
      </c>
      <c r="BL458" s="379">
        <f>IF((2*G458)/60&lt;0.2,0.2,(2*G458)/60)</f>
        <v>0.2</v>
      </c>
      <c r="BM458" s="380">
        <f>MOD((50000+AD458-$B$3+(0/24)),1)</f>
        <v>1.9864031397446524E-2</v>
      </c>
      <c r="BN458" s="381" t="s">
        <v>8646</v>
      </c>
      <c r="BO458" s="382">
        <v>458</v>
      </c>
    </row>
    <row r="459" spans="1:67" s="24" customFormat="1" ht="15" customHeight="1" x14ac:dyDescent="0.25">
      <c r="A459" s="288" t="s">
        <v>4397</v>
      </c>
      <c r="B459" s="241" t="str">
        <f>HYPERLINK(CONCATENATE($AT$3,BK459,$AU$3),$AV$3)</f>
        <v>S</v>
      </c>
      <c r="C459" s="242" t="str">
        <f>HYPERLINK(CONCATENATE($AT$4,BK459,$AU$4,BL459),$AV$4)</f>
        <v>A</v>
      </c>
      <c r="D459" s="243" t="s">
        <v>5187</v>
      </c>
      <c r="E459" s="244" t="s">
        <v>5181</v>
      </c>
      <c r="F459" s="269" t="s">
        <v>5209</v>
      </c>
      <c r="G459" s="273">
        <v>1</v>
      </c>
      <c r="H459" s="271">
        <v>8100</v>
      </c>
      <c r="I459" s="245">
        <v>2.4</v>
      </c>
      <c r="J459" s="246">
        <v>2</v>
      </c>
      <c r="K459" s="247" t="s">
        <v>4392</v>
      </c>
      <c r="L459" s="248">
        <v>35337</v>
      </c>
      <c r="M459" s="249">
        <f>15*(LEFT(TEXT($L459,"000000"),2)+(MID(TEXT($L459,"000000"),3,2)/60)+(RIGHT(TEXT($L459,"000000"),2)/3600))</f>
        <v>58.404166666666661</v>
      </c>
      <c r="N459" s="250">
        <v>192939</v>
      </c>
      <c r="O459" s="251">
        <f>IF($N459&gt;0,(LEFT(TEXT($N459,"000000"),2)+(MID(TEXT($N459,"000000"),3,2)/60)+(RIGHT(TEXT($N459,"000000"),2)/3600)),-(MID(TEXT($N459,"000000"),2,2)+(MID(TEXT($N459,"000000"),4,2)/60)+(RIGHT(TEXT($N459,"000000"),2)/3600)))</f>
        <v>19.494166666666668</v>
      </c>
      <c r="P459" s="252" t="s">
        <v>56</v>
      </c>
      <c r="Q459" s="253"/>
      <c r="R459" s="247" t="s">
        <v>3293</v>
      </c>
      <c r="S459" s="272" t="s">
        <v>3293</v>
      </c>
      <c r="T459" s="273">
        <v>16</v>
      </c>
      <c r="U459" s="274"/>
      <c r="V459" s="256"/>
      <c r="W459" s="244"/>
      <c r="X459" s="244"/>
      <c r="Y459" s="362"/>
      <c r="Z459" s="257">
        <f>altaz(J2000_Bas,$O459,$M459,DecLat,DecLong,1)</f>
        <v>-21.900703680611674</v>
      </c>
      <c r="AA459" s="257">
        <f>altaz((J2000_Bas+(2*0.04167)),$O459,$M459,DecLat,DecLong,1)</f>
        <v>-2.8386369359645718E-2</v>
      </c>
      <c r="AB459" s="257">
        <f>altaz((J2000_Bas+(4*0.04167)),$O459,$M459,DecLat,DecLong,1)</f>
        <v>24.7367160837269</v>
      </c>
      <c r="AC459" s="257">
        <f>altaz((J2000_Bas+(6*0.04167)),$O459,$M459,DecLat,DecLong,1)</f>
        <v>50.440157601048099</v>
      </c>
      <c r="AD459" s="258">
        <f>1+ transit((J2000_Bas-1),$O459,$M459,DecLat,DecLong)/360 + (GMTOffset/24) + (IF(DST="Y", 1, 0)/24)</f>
        <v>1.1551337407026245</v>
      </c>
      <c r="AE459" s="259">
        <f>DATE(2001,9,21)+(M459/360)*365 - (360*((DecLong/360)- (GMTOffset/24) ))</f>
        <v>37219.21533564815</v>
      </c>
      <c r="AF459" s="260">
        <f>IF(DecLat&gt;0,IF((90 - (DecLat-O459))&gt;90, (90 - (O459-DecLat)), (90 - (DecLat-O459))),IF((90 + (DecLat-O459))&gt;90, (90 + (O459-DecLat)), (90 + (DecLat-O459))))</f>
        <v>78.494166666666672</v>
      </c>
      <c r="AG459" s="257">
        <f>angularseperation(MoonRA,MoonDec,$M459,$O459)</f>
        <v>167.49276399772961</v>
      </c>
      <c r="AH459" s="261">
        <f ca="1">MIN(100,IF($O$5&gt;80,0+30*($AG459/100),IF($O$5&gt;70,0+50*($AG459/100),IF($O$5&gt;60,5+50*($AG459/100),IF($O$5&gt;50,10+60*($AG459/100),IF($O$5&gt;40,15+70*($AG459/100),IF($O$5&gt;30,20+70*($AG459/100),IF($O$5&gt;20,40+55*($AG459/100),(80+(20-$O$5)+30*($AG459/100))))))))))</f>
        <v>100</v>
      </c>
      <c r="AI459" s="262"/>
      <c r="AJ459" s="262"/>
      <c r="AK459" s="262"/>
      <c r="AL459" s="263"/>
      <c r="AM459" s="264"/>
      <c r="AN459" s="263"/>
      <c r="AO459" s="263"/>
      <c r="AP459" s="265"/>
      <c r="AQ459" s="266"/>
      <c r="AR459" s="267"/>
      <c r="AS459" s="263"/>
      <c r="AT459" s="263"/>
      <c r="AU459" s="263"/>
      <c r="AV459" s="264"/>
      <c r="AW459" s="263"/>
      <c r="AX459" s="263"/>
      <c r="AY459" s="263"/>
      <c r="AZ459" s="263"/>
      <c r="BA459" s="263"/>
      <c r="BB459" s="263"/>
      <c r="BC459" s="263"/>
      <c r="BD459" s="264"/>
      <c r="BE459" s="263"/>
      <c r="BF459" s="263"/>
      <c r="BG459" s="263"/>
      <c r="BH459" s="263"/>
      <c r="BI459" s="263"/>
      <c r="BJ459" s="404">
        <f>altaz(J2000_Bas,$O459,$M459,DecLat,DecLong,2)</f>
        <v>48.612126257803929</v>
      </c>
      <c r="BK459" s="378" t="s">
        <v>4396</v>
      </c>
      <c r="BL459" s="379">
        <f>IF((2*G459)/60&lt;0.2,0.2,(2*G459)/60)</f>
        <v>0.2</v>
      </c>
      <c r="BM459" s="380">
        <f>MOD((50000+AD459-$B$3+(0/24)),1)</f>
        <v>0.37050067040399881</v>
      </c>
      <c r="BN459" s="381" t="s">
        <v>8665</v>
      </c>
      <c r="BO459" s="382">
        <v>459</v>
      </c>
    </row>
    <row r="460" spans="1:67" s="24" customFormat="1" ht="15" customHeight="1" x14ac:dyDescent="0.25">
      <c r="A460" s="288" t="s">
        <v>562</v>
      </c>
      <c r="B460" s="241" t="str">
        <f>HYPERLINK(CONCATENATE($AT$3,BK460,$AU$3),$AV$3)</f>
        <v>S</v>
      </c>
      <c r="C460" s="242" t="str">
        <f>HYPERLINK(CONCATENATE($AT$4,BK460,$AU$4,BL460),$AV$4)</f>
        <v>A</v>
      </c>
      <c r="D460" s="243" t="s">
        <v>5187</v>
      </c>
      <c r="E460" s="244" t="s">
        <v>5179</v>
      </c>
      <c r="F460" s="269">
        <v>4</v>
      </c>
      <c r="G460" s="276">
        <v>30</v>
      </c>
      <c r="H460" s="271" t="s">
        <v>6500</v>
      </c>
      <c r="I460" s="244" t="s">
        <v>6500</v>
      </c>
      <c r="J460" s="246">
        <v>1</v>
      </c>
      <c r="K460" s="247" t="s">
        <v>5941</v>
      </c>
      <c r="L460" s="248">
        <v>33256</v>
      </c>
      <c r="M460" s="249">
        <f>15*(LEFT(TEXT($L460,"000000"),2)+(MID(TEXT($L460,"000000"),3,2)/60)+(RIGHT(TEXT($L460,"000000"),2)/3600))</f>
        <v>53.233333333333334</v>
      </c>
      <c r="N460" s="286">
        <v>311000</v>
      </c>
      <c r="O460" s="251">
        <f>IF($N460&gt;0,(LEFT(TEXT($N460,"000000"),2)+(MID(TEXT($N460,"000000"),3,2)/60)+(RIGHT(TEXT($N460,"000000"),2)/3600)),-(MID(TEXT($N460,"000000"),2,2)+(MID(TEXT($N460,"000000"),4,2)/60)+(RIGHT(TEXT($N460,"000000"),2)/3600)))</f>
        <v>31.166666666666668</v>
      </c>
      <c r="P460" s="252" t="s">
        <v>43</v>
      </c>
      <c r="Q460" s="253"/>
      <c r="R460" s="277" t="s">
        <v>3293</v>
      </c>
      <c r="S460" s="272" t="s">
        <v>3293</v>
      </c>
      <c r="T460" s="273"/>
      <c r="U460" s="274"/>
      <c r="V460" s="256"/>
      <c r="W460" s="244"/>
      <c r="X460" s="244"/>
      <c r="Y460" s="362"/>
      <c r="Z460" s="257">
        <f>altaz(J2000_Bas,$O460,$M460,DecLat,DecLong,1)</f>
        <v>-10.207178314348017</v>
      </c>
      <c r="AA460" s="257">
        <f>altaz((J2000_Bas+(2*0.04167)),$O460,$M460,DecLat,DecLong,1)</f>
        <v>10.09644289929437</v>
      </c>
      <c r="AB460" s="257">
        <f>altaz((J2000_Bas+(4*0.04167)),$O460,$M460,DecLat,DecLong,1)</f>
        <v>33.531970156875829</v>
      </c>
      <c r="AC460" s="257">
        <f>altaz((J2000_Bas+(6*0.04167)),$O460,$M460,DecLat,DecLong,1)</f>
        <v>58.482644667709039</v>
      </c>
      <c r="AD460" s="258">
        <f>1+ transit((J2000_Bas-1),$O460,$M460,DecLat,DecLong)/360 + (GMTOffset/24) + (IF(DST="Y", 1, 0)/24)</f>
        <v>1.1407703162130414</v>
      </c>
      <c r="AE460" s="259">
        <f>DATE(2001,9,21)+(M460/360)*365 - (360*((DecLong/360)- (GMTOffset/24) ))</f>
        <v>37213.972685185188</v>
      </c>
      <c r="AF460" s="260">
        <f>IF(DecLat&gt;0,IF((90 - (DecLat-O460))&gt;90, (90 - (O460-DecLat)), (90 - (DecLat-O460))),IF((90 + (DecLat-O460))&gt;90, (90 + (O460-DecLat)), (90 + (DecLat-O460))))</f>
        <v>89.833333333333329</v>
      </c>
      <c r="AG460" s="257">
        <f>angularseperation(MoonRA,MoonDec,$M460,$O460)</f>
        <v>165.4477553358779</v>
      </c>
      <c r="AH460" s="261">
        <f ca="1">MIN(100,IF($O$5&gt;80,0+30*($AG460/100),IF($O$5&gt;70,0+50*($AG460/100),IF($O$5&gt;60,5+50*($AG460/100),IF($O$5&gt;50,10+60*($AG460/100),IF($O$5&gt;40,15+70*($AG460/100),IF($O$5&gt;30,20+70*($AG460/100),IF($O$5&gt;20,40+55*($AG460/100),(80+(20-$O$5)+30*($AG460/100))))))))))</f>
        <v>100</v>
      </c>
      <c r="AI460" s="263"/>
      <c r="AJ460" s="263"/>
      <c r="AK460" s="263"/>
      <c r="AL460" s="263"/>
      <c r="AM460" s="264"/>
      <c r="AN460" s="263"/>
      <c r="AO460" s="263"/>
      <c r="AP460" s="265"/>
      <c r="AQ460" s="265"/>
      <c r="AR460" s="285"/>
      <c r="AS460" s="263"/>
      <c r="AT460" s="263"/>
      <c r="AU460" s="263"/>
      <c r="AV460" s="264"/>
      <c r="AW460" s="263">
        <v>1</v>
      </c>
      <c r="AX460" s="263"/>
      <c r="AY460" s="263"/>
      <c r="AZ460" s="263"/>
      <c r="BA460" s="263"/>
      <c r="BB460" s="263"/>
      <c r="BC460" s="263"/>
      <c r="BD460" s="264"/>
      <c r="BE460" s="263"/>
      <c r="BF460" s="263"/>
      <c r="BG460" s="263"/>
      <c r="BH460" s="263"/>
      <c r="BI460" s="263"/>
      <c r="BJ460" s="404">
        <f>altaz(J2000_Bas,$O460,$M460,DecLat,DecLong,2)</f>
        <v>43.80781658594637</v>
      </c>
      <c r="BK460" s="378" t="s">
        <v>562</v>
      </c>
      <c r="BL460" s="379">
        <f>IF((2*G460)/60&lt;0.2,0.2,(2*G460)/60)</f>
        <v>1</v>
      </c>
      <c r="BM460" s="380">
        <f>MOD((50000+AD460-$B$3+(0/24)),1)</f>
        <v>0.35613724591530627</v>
      </c>
      <c r="BN460" s="381"/>
      <c r="BO460" s="382">
        <v>460</v>
      </c>
    </row>
    <row r="461" spans="1:67" s="24" customFormat="1" ht="15" customHeight="1" x14ac:dyDescent="0.25">
      <c r="A461" s="288" t="s">
        <v>563</v>
      </c>
      <c r="B461" s="241" t="str">
        <f>HYPERLINK(CONCATENATE($AT$3,BK461,$AU$3),$AV$3)</f>
        <v>S</v>
      </c>
      <c r="C461" s="242" t="str">
        <f>HYPERLINK(CONCATENATE($AT$4,BK461,$AU$4,BL461),$AV$4)</f>
        <v>A</v>
      </c>
      <c r="D461" s="243" t="s">
        <v>5187</v>
      </c>
      <c r="E461" s="244" t="s">
        <v>5179</v>
      </c>
      <c r="F461" s="269">
        <v>4</v>
      </c>
      <c r="G461" s="276">
        <v>20</v>
      </c>
      <c r="H461" s="271" t="s">
        <v>6500</v>
      </c>
      <c r="I461" s="244" t="s">
        <v>6500</v>
      </c>
      <c r="J461" s="246">
        <v>0</v>
      </c>
      <c r="K461" s="247" t="s">
        <v>5942</v>
      </c>
      <c r="L461" s="248">
        <v>33330</v>
      </c>
      <c r="M461" s="249">
        <f>15*(LEFT(TEXT($L461,"000000"),2)+(MID(TEXT($L461,"000000"),3,2)/60)+(RIGHT(TEXT($L461,"000000"),2)/3600))</f>
        <v>53.375</v>
      </c>
      <c r="N461" s="286">
        <v>322000</v>
      </c>
      <c r="O461" s="251">
        <f>IF($N461&gt;0,(LEFT(TEXT($N461,"000000"),2)+(MID(TEXT($N461,"000000"),3,2)/60)+(RIGHT(TEXT($N461,"000000"),2)/3600)),-(MID(TEXT($N461,"000000"),2,2)+(MID(TEXT($N461,"000000"),4,2)/60)+(RIGHT(TEXT($N461,"000000"),2)/3600)))</f>
        <v>32.333333333333336</v>
      </c>
      <c r="P461" s="252" t="s">
        <v>43</v>
      </c>
      <c r="Q461" s="253"/>
      <c r="R461" s="277" t="s">
        <v>3293</v>
      </c>
      <c r="S461" s="272" t="s">
        <v>3293</v>
      </c>
      <c r="T461" s="273"/>
      <c r="U461" s="274"/>
      <c r="V461" s="256"/>
      <c r="W461" s="244"/>
      <c r="X461" s="244"/>
      <c r="Y461" s="362"/>
      <c r="Z461" s="257">
        <f>altaz(J2000_Bas,$O461,$M461,DecLat,DecLong,1)</f>
        <v>-9.4483285851009917</v>
      </c>
      <c r="AA461" s="257">
        <f>altaz((J2000_Bas+(2*0.04167)),$O461,$M461,DecLat,DecLong,1)</f>
        <v>10.578895794999301</v>
      </c>
      <c r="AB461" s="257">
        <f>altaz((J2000_Bas+(4*0.04167)),$O461,$M461,DecLat,DecLong,1)</f>
        <v>33.785852819019595</v>
      </c>
      <c r="AC461" s="257">
        <f>altaz((J2000_Bas+(6*0.04167)),$O461,$M461,DecLat,DecLong,1)</f>
        <v>58.537679339130875</v>
      </c>
      <c r="AD461" s="258">
        <f>1+ transit((J2000_Bas-1),$O461,$M461,DecLat,DecLong)/360 + (GMTOffset/24) + (IF(DST="Y", 1, 0)/24)</f>
        <v>1.1411638346922079</v>
      </c>
      <c r="AE461" s="259">
        <f>DATE(2001,9,21)+(M461/360)*365 - (360*((DecLong/360)- (GMTOffset/24) ))</f>
        <v>37214.116319444445</v>
      </c>
      <c r="AF461" s="260">
        <f>IF(DecLat&gt;0,IF((90 - (DecLat-O461))&gt;90, (90 - (O461-DecLat)), (90 - (DecLat-O461))),IF((90 + (DecLat-O461))&gt;90, (90 + (O461-DecLat)), (90 + (DecLat-O461))))</f>
        <v>88.666666666666657</v>
      </c>
      <c r="AG461" s="257">
        <f>angularseperation(MoonRA,MoonDec,$M461,$O461)</f>
        <v>165.27192601402618</v>
      </c>
      <c r="AH461" s="261">
        <f ca="1">MIN(100,IF($O$5&gt;80,0+30*($AG461/100),IF($O$5&gt;70,0+50*($AG461/100),IF($O$5&gt;60,5+50*($AG461/100),IF($O$5&gt;50,10+60*($AG461/100),IF($O$5&gt;40,15+70*($AG461/100),IF($O$5&gt;30,20+70*($AG461/100),IF($O$5&gt;20,40+55*($AG461/100),(80+(20-$O$5)+30*($AG461/100))))))))))</f>
        <v>100</v>
      </c>
      <c r="AI461" s="263"/>
      <c r="AJ461" s="263"/>
      <c r="AK461" s="263"/>
      <c r="AL461" s="263"/>
      <c r="AM461" s="264"/>
      <c r="AN461" s="263"/>
      <c r="AO461" s="263"/>
      <c r="AP461" s="265"/>
      <c r="AQ461" s="265"/>
      <c r="AR461" s="285"/>
      <c r="AS461" s="263"/>
      <c r="AT461" s="263"/>
      <c r="AU461" s="263"/>
      <c r="AV461" s="264"/>
      <c r="AW461" s="263">
        <v>2</v>
      </c>
      <c r="AX461" s="263"/>
      <c r="AY461" s="263"/>
      <c r="AZ461" s="263"/>
      <c r="BA461" s="263"/>
      <c r="BB461" s="263"/>
      <c r="BC461" s="263"/>
      <c r="BD461" s="264"/>
      <c r="BE461" s="263"/>
      <c r="BF461" s="263"/>
      <c r="BG461" s="263"/>
      <c r="BH461" s="263"/>
      <c r="BI461" s="263"/>
      <c r="BJ461" s="404">
        <f>altaz(J2000_Bas,$O461,$M461,DecLat,DecLong,2)</f>
        <v>42.900191876284389</v>
      </c>
      <c r="BK461" s="378" t="s">
        <v>563</v>
      </c>
      <c r="BL461" s="379">
        <f>IF((2*G461)/60&lt;0.2,0.2,(2*G461)/60)</f>
        <v>0.66666666666666663</v>
      </c>
      <c r="BM461" s="380">
        <f>MOD((50000+AD461-$B$3+(0/24)),1)</f>
        <v>0.35653076439484721</v>
      </c>
      <c r="BN461" s="381"/>
      <c r="BO461" s="382">
        <v>461</v>
      </c>
    </row>
    <row r="462" spans="1:67" s="24" customFormat="1" ht="15" customHeight="1" x14ac:dyDescent="0.25">
      <c r="A462" s="288" t="s">
        <v>564</v>
      </c>
      <c r="B462" s="241" t="str">
        <f>HYPERLINK(CONCATENATE($AT$3,BK462,$AU$3),$AV$3)</f>
        <v>S</v>
      </c>
      <c r="C462" s="242" t="str">
        <f>HYPERLINK(CONCATENATE($AT$4,BK462,$AU$4,BL462),$AV$4)</f>
        <v>A</v>
      </c>
      <c r="D462" s="243" t="s">
        <v>5187</v>
      </c>
      <c r="E462" s="244" t="s">
        <v>5179</v>
      </c>
      <c r="F462" s="269">
        <v>5</v>
      </c>
      <c r="G462" s="276">
        <v>20</v>
      </c>
      <c r="H462" s="271" t="s">
        <v>6500</v>
      </c>
      <c r="I462" s="244" t="s">
        <v>6500</v>
      </c>
      <c r="J462" s="246">
        <v>2</v>
      </c>
      <c r="K462" s="247" t="s">
        <v>5944</v>
      </c>
      <c r="L462" s="248">
        <v>34000</v>
      </c>
      <c r="M462" s="249">
        <f>15*(LEFT(TEXT($L462,"000000"),2)+(MID(TEXT($L462,"000000"),3,2)/60)+(RIGHT(TEXT($L462,"000000"),2)/3600))</f>
        <v>55</v>
      </c>
      <c r="N462" s="250">
        <v>315900</v>
      </c>
      <c r="O462" s="251">
        <f>IF($N462&gt;0,(LEFT(TEXT($N462,"000000"),2)+(MID(TEXT($N462,"000000"),3,2)/60)+(RIGHT(TEXT($N462,"000000"),2)/3600)),-(MID(TEXT($N462,"000000"),2,2)+(MID(TEXT($N462,"000000"),4,2)/60)+(RIGHT(TEXT($N462,"000000"),2)/3600)))</f>
        <v>31.983333333333334</v>
      </c>
      <c r="P462" s="252" t="s">
        <v>43</v>
      </c>
      <c r="Q462" s="253"/>
      <c r="R462" s="247" t="s">
        <v>3293</v>
      </c>
      <c r="S462" s="272" t="s">
        <v>6021</v>
      </c>
      <c r="T462" s="273"/>
      <c r="U462" s="274"/>
      <c r="V462" s="256"/>
      <c r="W462" s="244"/>
      <c r="X462" s="244"/>
      <c r="Y462" s="362"/>
      <c r="Z462" s="257">
        <f>altaz(J2000_Bas,$O462,$M462,DecLat,DecLong,1)</f>
        <v>-10.644849282306494</v>
      </c>
      <c r="AA462" s="257">
        <f>altaz((J2000_Bas+(2*0.04167)),$O462,$M462,DecLat,DecLong,1)</f>
        <v>9.2160863247505826</v>
      </c>
      <c r="AB462" s="257">
        <f>altaz((J2000_Bas+(4*0.04167)),$O462,$M462,DecLat,DecLong,1)</f>
        <v>32.370122818901464</v>
      </c>
      <c r="AC462" s="257">
        <f>altaz((J2000_Bas+(6*0.04167)),$O462,$M462,DecLat,DecLong,1)</f>
        <v>57.126097363473356</v>
      </c>
      <c r="AD462" s="258">
        <f>1+ transit((J2000_Bas-1),$O462,$M462,DecLat,DecLong)/360 + (GMTOffset/24) + (IF(DST="Y", 1, 0)/24)</f>
        <v>1.1456777231297079</v>
      </c>
      <c r="AE462" s="259">
        <f>DATE(2001,9,21)+(M462/360)*365 - (360*((DecLong/360)- (GMTOffset/24) ))</f>
        <v>37215.763888888891</v>
      </c>
      <c r="AF462" s="260">
        <f>IF(DecLat&gt;0,IF((90 - (DecLat-O462))&gt;90, (90 - (O462-DecLat)), (90 - (DecLat-O462))),IF((90 + (DecLat-O462))&gt;90, (90 + (O462-DecLat)), (90 + (DecLat-O462))))</f>
        <v>89.016666666666666</v>
      </c>
      <c r="AG462" s="257">
        <f>angularseperation(MoonRA,MoonDec,$M462,$O462)</f>
        <v>166.68938181383353</v>
      </c>
      <c r="AH462" s="261">
        <f ca="1">MIN(100,IF($O$5&gt;80,0+30*($AG462/100),IF($O$5&gt;70,0+50*($AG462/100),IF($O$5&gt;60,5+50*($AG462/100),IF($O$5&gt;50,10+60*($AG462/100),IF($O$5&gt;40,15+70*($AG462/100),IF($O$5&gt;30,20+70*($AG462/100),IF($O$5&gt;20,40+55*($AG462/100),(80+(20-$O$5)+30*($AG462/100))))))))))</f>
        <v>100</v>
      </c>
      <c r="AI462" s="262"/>
      <c r="AJ462" s="262"/>
      <c r="AK462" s="262"/>
      <c r="AL462" s="263"/>
      <c r="AM462" s="264"/>
      <c r="AN462" s="263"/>
      <c r="AO462" s="263"/>
      <c r="AP462" s="265"/>
      <c r="AQ462" s="266"/>
      <c r="AR462" s="267"/>
      <c r="AS462" s="263"/>
      <c r="AT462" s="263"/>
      <c r="AU462" s="263"/>
      <c r="AV462" s="264"/>
      <c r="AW462" s="263">
        <v>3</v>
      </c>
      <c r="AX462" s="263"/>
      <c r="AY462" s="263"/>
      <c r="AZ462" s="263"/>
      <c r="BA462" s="263"/>
      <c r="BB462" s="263"/>
      <c r="BC462" s="263"/>
      <c r="BD462" s="264"/>
      <c r="BE462" s="263"/>
      <c r="BF462" s="263"/>
      <c r="BG462" s="263"/>
      <c r="BH462" s="263"/>
      <c r="BI462" s="263"/>
      <c r="BJ462" s="404">
        <f>altaz(J2000_Bas,$O462,$M462,DecLat,DecLong,2)</f>
        <v>42.124527900697899</v>
      </c>
      <c r="BK462" s="378" t="s">
        <v>564</v>
      </c>
      <c r="BL462" s="379">
        <f>IF((2*G462)/60&lt;0.2,0.2,(2*G462)/60)</f>
        <v>0.66666666666666663</v>
      </c>
      <c r="BM462" s="380">
        <f>MOD((50000+AD462-$B$3+(0/24)),1)</f>
        <v>0.36104465283278842</v>
      </c>
      <c r="BN462" s="381"/>
      <c r="BO462" s="382">
        <v>462</v>
      </c>
    </row>
    <row r="463" spans="1:67" s="24" customFormat="1" ht="15" customHeight="1" x14ac:dyDescent="0.25">
      <c r="A463" s="288" t="s">
        <v>565</v>
      </c>
      <c r="B463" s="241" t="str">
        <f>HYPERLINK(CONCATENATE($AT$3,BK463,$AU$3),$AV$3)</f>
        <v>S</v>
      </c>
      <c r="C463" s="242" t="str">
        <f>HYPERLINK(CONCATENATE($AT$4,BK463,$AU$4,BL463),$AV$4)</f>
        <v>A</v>
      </c>
      <c r="D463" s="243" t="s">
        <v>5187</v>
      </c>
      <c r="E463" s="244" t="s">
        <v>5179</v>
      </c>
      <c r="F463" s="269">
        <v>5</v>
      </c>
      <c r="G463" s="276">
        <v>20</v>
      </c>
      <c r="H463" s="271" t="s">
        <v>6500</v>
      </c>
      <c r="I463" s="244" t="s">
        <v>6500</v>
      </c>
      <c r="J463" s="246">
        <v>0</v>
      </c>
      <c r="K463" s="247" t="s">
        <v>5943</v>
      </c>
      <c r="L463" s="248">
        <v>34401</v>
      </c>
      <c r="M463" s="249">
        <f>15*(LEFT(TEXT($L463,"000000"),2)+(MID(TEXT($L463,"000000"),3,2)/60)+(RIGHT(TEXT($L463,"000000"),2)/3600))</f>
        <v>56.00416666666667</v>
      </c>
      <c r="N463" s="286">
        <v>314900</v>
      </c>
      <c r="O463" s="251">
        <f>IF($N463&gt;0,(LEFT(TEXT($N463,"000000"),2)+(MID(TEXT($N463,"000000"),3,2)/60)+(RIGHT(TEXT($N463,"000000"),2)/3600)),-(MID(TEXT($N463,"000000"),2,2)+(MID(TEXT($N463,"000000"),4,2)/60)+(RIGHT(TEXT($N463,"000000"),2)/3600)))</f>
        <v>31.816666666666666</v>
      </c>
      <c r="P463" s="252" t="s">
        <v>43</v>
      </c>
      <c r="Q463" s="253"/>
      <c r="R463" s="277" t="s">
        <v>3293</v>
      </c>
      <c r="S463" s="272" t="s">
        <v>3293</v>
      </c>
      <c r="T463" s="273"/>
      <c r="U463" s="274"/>
      <c r="V463" s="256"/>
      <c r="W463" s="244"/>
      <c r="X463" s="244"/>
      <c r="Y463" s="362"/>
      <c r="Z463" s="257">
        <f>altaz(J2000_Bas,$O463,$M463,DecLat,DecLong,1)</f>
        <v>-11.342403210800647</v>
      </c>
      <c r="AA463" s="257">
        <f>altaz((J2000_Bas+(2*0.04167)),$O463,$M463,DecLat,DecLong,1)</f>
        <v>8.4003451344965185</v>
      </c>
      <c r="AB463" s="257">
        <f>altaz((J2000_Bas+(4*0.04167)),$O463,$M463,DecLat,DecLong,1)</f>
        <v>31.509964535726358</v>
      </c>
      <c r="AC463" s="257">
        <f>altaz((J2000_Bas+(6*0.04167)),$O463,$M463,DecLat,DecLong,1)</f>
        <v>56.257984479092599</v>
      </c>
      <c r="AD463" s="258">
        <f>1+ transit((J2000_Bas-1),$O463,$M463,DecLat,DecLong)/360 + (GMTOffset/24) + (IF(DST="Y", 1, 0)/24)</f>
        <v>1.1484670747026247</v>
      </c>
      <c r="AE463" s="259">
        <f>DATE(2001,9,21)+(M463/360)*365 - (360*((DecLong/360)- (GMTOffset/24) ))</f>
        <v>37216.782002314816</v>
      </c>
      <c r="AF463" s="260">
        <f>IF(DecLat&gt;0,IF((90 - (DecLat-O463))&gt;90, (90 - (O463-DecLat)), (90 - (DecLat-O463))),IF((90 + (DecLat-O463))&gt;90, (90 + (O463-DecLat)), (90 + (DecLat-O463))))</f>
        <v>89.183333333333337</v>
      </c>
      <c r="AG463" s="257">
        <f>angularseperation(MoonRA,MoonDec,$M463,$O463)</f>
        <v>167.55082615542261</v>
      </c>
      <c r="AH463" s="261">
        <f ca="1">MIN(100,IF($O$5&gt;80,0+30*($AG463/100),IF($O$5&gt;70,0+50*($AG463/100),IF($O$5&gt;60,5+50*($AG463/100),IF($O$5&gt;50,10+60*($AG463/100),IF($O$5&gt;40,15+70*($AG463/100),IF($O$5&gt;30,20+70*($AG463/100),IF($O$5&gt;20,40+55*($AG463/100),(80+(20-$O$5)+30*($AG463/100))))))))))</f>
        <v>100</v>
      </c>
      <c r="AI463" s="263"/>
      <c r="AJ463" s="263"/>
      <c r="AK463" s="263"/>
      <c r="AL463" s="263"/>
      <c r="AM463" s="264"/>
      <c r="AN463" s="263"/>
      <c r="AO463" s="263"/>
      <c r="AP463" s="265"/>
      <c r="AQ463" s="265"/>
      <c r="AR463" s="285"/>
      <c r="AS463" s="263"/>
      <c r="AT463" s="263"/>
      <c r="AU463" s="263"/>
      <c r="AV463" s="264"/>
      <c r="AW463" s="263">
        <v>4</v>
      </c>
      <c r="AX463" s="263"/>
      <c r="AY463" s="263"/>
      <c r="AZ463" s="263"/>
      <c r="BA463" s="263"/>
      <c r="BB463" s="263"/>
      <c r="BC463" s="263"/>
      <c r="BD463" s="264"/>
      <c r="BE463" s="263"/>
      <c r="BF463" s="263"/>
      <c r="BG463" s="263"/>
      <c r="BH463" s="263"/>
      <c r="BI463" s="263"/>
      <c r="BJ463" s="404">
        <f>altaz(J2000_Bas,$O463,$M463,DecLat,DecLong,2)</f>
        <v>41.597196729777529</v>
      </c>
      <c r="BK463" s="378" t="s">
        <v>565</v>
      </c>
      <c r="BL463" s="379">
        <f>IF((2*G463)/60&lt;0.2,0.2,(2*G463)/60)</f>
        <v>0.66666666666666663</v>
      </c>
      <c r="BM463" s="380">
        <f>MOD((50000+AD463-$B$3+(0/24)),1)</f>
        <v>0.36383400440536207</v>
      </c>
      <c r="BN463" s="381"/>
      <c r="BO463" s="382">
        <v>463</v>
      </c>
    </row>
    <row r="464" spans="1:67" s="24" customFormat="1" ht="15" customHeight="1" x14ac:dyDescent="0.25">
      <c r="A464" s="288" t="s">
        <v>566</v>
      </c>
      <c r="B464" s="241" t="str">
        <f>HYPERLINK(CONCATENATE($AT$3,BK464,$AU$3),$AV$3)</f>
        <v>S</v>
      </c>
      <c r="C464" s="242" t="str">
        <f>HYPERLINK(CONCATENATE($AT$4,BK464,$AU$4,BL464),$AV$4)</f>
        <v>A</v>
      </c>
      <c r="D464" s="243" t="s">
        <v>5187</v>
      </c>
      <c r="E464" s="244" t="s">
        <v>5179</v>
      </c>
      <c r="F464" s="269">
        <v>5</v>
      </c>
      <c r="G464" s="276">
        <v>60</v>
      </c>
      <c r="H464" s="271" t="s">
        <v>6500</v>
      </c>
      <c r="I464" s="244" t="s">
        <v>6500</v>
      </c>
      <c r="J464" s="246">
        <v>2</v>
      </c>
      <c r="K464" s="247" t="s">
        <v>5946</v>
      </c>
      <c r="L464" s="248">
        <v>34751</v>
      </c>
      <c r="M464" s="249">
        <f>15*(LEFT(TEXT($L464,"000000"),2)+(MID(TEXT($L464,"000000"),3,2)/60)+(RIGHT(TEXT($L464,"000000"),2)/3600))</f>
        <v>56.962499999999999</v>
      </c>
      <c r="N464" s="250">
        <v>325400</v>
      </c>
      <c r="O464" s="251">
        <f>IF($N464&gt;0,(LEFT(TEXT($N464,"000000"),2)+(MID(TEXT($N464,"000000"),3,2)/60)+(RIGHT(TEXT($N464,"000000"),2)/3600)),-(MID(TEXT($N464,"000000"),2,2)+(MID(TEXT($N464,"000000"),4,2)/60)+(RIGHT(TEXT($N464,"000000"),2)/3600)))</f>
        <v>32.9</v>
      </c>
      <c r="P464" s="252" t="s">
        <v>43</v>
      </c>
      <c r="Q464" s="253"/>
      <c r="R464" s="247" t="s">
        <v>4394</v>
      </c>
      <c r="S464" s="272" t="s">
        <v>3293</v>
      </c>
      <c r="T464" s="273"/>
      <c r="U464" s="274"/>
      <c r="V464" s="256"/>
      <c r="W464" s="244"/>
      <c r="X464" s="244"/>
      <c r="Y464" s="362"/>
      <c r="Z464" s="257">
        <f>altaz(J2000_Bas,$O464,$M464,DecLat,DecLong,1)</f>
        <v>-11.071052334571071</v>
      </c>
      <c r="AA464" s="257">
        <f>altaz((J2000_Bas+(2*0.04167)),$O464,$M464,DecLat,DecLong,1)</f>
        <v>8.2775720930697396</v>
      </c>
      <c r="AB464" s="257">
        <f>altaz((J2000_Bas+(4*0.04167)),$O464,$M464,DecLat,DecLong,1)</f>
        <v>31.101008996315279</v>
      </c>
      <c r="AC464" s="257">
        <f>altaz((J2000_Bas+(6*0.04167)),$O464,$M464,DecLat,DecLong,1)</f>
        <v>55.62192741391469</v>
      </c>
      <c r="AD464" s="258">
        <f>1+ transit((J2000_Bas-1),$O464,$M464,DecLat,DecLong)/360 + (GMTOffset/24) + (IF(DST="Y", 1, 0)/24)</f>
        <v>1.1511291114734581</v>
      </c>
      <c r="AE464" s="259">
        <f>DATE(2001,9,21)+(M464/360)*365 - (360*((DecLong/360)- (GMTOffset/24) ))</f>
        <v>37217.753645833334</v>
      </c>
      <c r="AF464" s="260">
        <f>IF(DecLat&gt;0,IF((90 - (DecLat-O464))&gt;90, (90 - (O464-DecLat)), (90 - (DecLat-O464))),IF((90 + (DecLat-O464))&gt;90, (90 + (O464-DecLat)), (90 + (DecLat-O464))))</f>
        <v>88.1</v>
      </c>
      <c r="AG464" s="257">
        <f>angularseperation(MoonRA,MoonDec,$M464,$O464)</f>
        <v>167.89099753946965</v>
      </c>
      <c r="AH464" s="261">
        <f ca="1">MIN(100,IF($O$5&gt;80,0+30*($AG464/100),IF($O$5&gt;70,0+50*($AG464/100),IF($O$5&gt;60,5+50*($AG464/100),IF($O$5&gt;50,10+60*($AG464/100),IF($O$5&gt;40,15+70*($AG464/100),IF($O$5&gt;30,20+70*($AG464/100),IF($O$5&gt;20,40+55*($AG464/100),(80+(20-$O$5)+30*($AG464/100))))))))))</f>
        <v>100</v>
      </c>
      <c r="AI464" s="262"/>
      <c r="AJ464" s="262"/>
      <c r="AK464" s="262"/>
      <c r="AL464" s="263"/>
      <c r="AM464" s="264"/>
      <c r="AN464" s="263"/>
      <c r="AO464" s="263"/>
      <c r="AP464" s="265"/>
      <c r="AQ464" s="266"/>
      <c r="AR464" s="267"/>
      <c r="AS464" s="263"/>
      <c r="AT464" s="263"/>
      <c r="AU464" s="263"/>
      <c r="AV464" s="264"/>
      <c r="AW464" s="263">
        <v>5</v>
      </c>
      <c r="AX464" s="263"/>
      <c r="AY464" s="263"/>
      <c r="AZ464" s="263"/>
      <c r="BA464" s="263"/>
      <c r="BB464" s="263"/>
      <c r="BC464" s="263"/>
      <c r="BD464" s="264"/>
      <c r="BE464" s="263"/>
      <c r="BF464" s="263"/>
      <c r="BG464" s="263"/>
      <c r="BH464" s="263"/>
      <c r="BI464" s="263"/>
      <c r="BJ464" s="404">
        <f>altaz(J2000_Bas,$O464,$M464,DecLat,DecLong,2)</f>
        <v>40.246580216394882</v>
      </c>
      <c r="BK464" s="378" t="s">
        <v>566</v>
      </c>
      <c r="BL464" s="379">
        <f>IF((2*G464)/60&lt;0.2,0.2,(2*G464)/60)</f>
        <v>2</v>
      </c>
      <c r="BM464" s="380">
        <f>MOD((50000+AD464-$B$3+(0/24)),1)</f>
        <v>0.36649604117701529</v>
      </c>
      <c r="BN464" s="381"/>
      <c r="BO464" s="382">
        <v>464</v>
      </c>
    </row>
    <row r="465" spans="1:67" s="24" customFormat="1" ht="15" customHeight="1" x14ac:dyDescent="0.25">
      <c r="A465" s="288" t="s">
        <v>567</v>
      </c>
      <c r="B465" s="241" t="str">
        <f>HYPERLINK(CONCATENATE($AT$3,BK465,$AU$3),$AV$3)</f>
        <v>S</v>
      </c>
      <c r="C465" s="242" t="str">
        <f>HYPERLINK(CONCATENATE($AT$4,BK465,$AU$4,BL465),$AV$4)</f>
        <v>A</v>
      </c>
      <c r="D465" s="243" t="s">
        <v>5187</v>
      </c>
      <c r="E465" s="244" t="s">
        <v>5179</v>
      </c>
      <c r="F465" s="269">
        <v>4</v>
      </c>
      <c r="G465" s="276">
        <v>10</v>
      </c>
      <c r="H465" s="271" t="s">
        <v>6500</v>
      </c>
      <c r="I465" s="244" t="s">
        <v>6500</v>
      </c>
      <c r="J465" s="246">
        <v>1</v>
      </c>
      <c r="K465" s="277" t="s">
        <v>5945</v>
      </c>
      <c r="L465" s="248">
        <v>35619</v>
      </c>
      <c r="M465" s="249">
        <f>15*(LEFT(TEXT($L465,"000000"),2)+(MID(TEXT($L465,"000000"),3,2)/60)+(RIGHT(TEXT($L465,"000000"),2)/3600))</f>
        <v>59.079166666666666</v>
      </c>
      <c r="N465" s="286">
        <v>560800</v>
      </c>
      <c r="O465" s="251">
        <f>IF($N465&gt;0,(LEFT(TEXT($N465,"000000"),2)+(MID(TEXT($N465,"000000"),3,2)/60)+(RIGHT(TEXT($N465,"000000"),2)/3600)),-(MID(TEXT($N465,"000000"),2,2)+(MID(TEXT($N465,"000000"),4,2)/60)+(RIGHT(TEXT($N465,"000000"),2)/3600)))</f>
        <v>56.133333333333333</v>
      </c>
      <c r="P465" s="252" t="s">
        <v>226</v>
      </c>
      <c r="Q465" s="253"/>
      <c r="R465" s="277" t="s">
        <v>3293</v>
      </c>
      <c r="S465" s="272" t="s">
        <v>3293</v>
      </c>
      <c r="T465" s="273"/>
      <c r="U465" s="274"/>
      <c r="V465" s="256"/>
      <c r="W465" s="244"/>
      <c r="X465" s="244"/>
      <c r="Y465" s="362"/>
      <c r="Z465" s="257">
        <f>altaz(J2000_Bas,$O465,$M465,DecLat,DecLong,1)</f>
        <v>5.8209787318536383</v>
      </c>
      <c r="AA465" s="257">
        <f>altaz((J2000_Bas+(2*0.04167)),$O465,$M465,DecLat,DecLong,1)</f>
        <v>18.679153147585986</v>
      </c>
      <c r="AB465" s="257">
        <f>altaz((J2000_Bas+(4*0.04167)),$O465,$M465,DecLat,DecLong,1)</f>
        <v>34.614282869822539</v>
      </c>
      <c r="AC465" s="257">
        <f>altaz((J2000_Bas+(6*0.04167)),$O465,$M465,DecLat,DecLong,1)</f>
        <v>51.07815251714549</v>
      </c>
      <c r="AD465" s="258">
        <f>1+ transit((J2000_Bas-1),$O465,$M465,DecLat,DecLong)/360 + (GMTOffset/24) + (IF(DST="Y", 1, 0)/24)</f>
        <v>1.1570087405151248</v>
      </c>
      <c r="AE465" s="259">
        <f>DATE(2001,9,21)+(M465/360)*365 - (360*((DecLong/360)- (GMTOffset/24) ))</f>
        <v>37219.899710648147</v>
      </c>
      <c r="AF465" s="260">
        <f>IF(DecLat&gt;0,IF((90 - (DecLat-O465))&gt;90, (90 - (O465-DecLat)), (90 - (DecLat-O465))),IF((90 + (DecLat-O465))&gt;90, (90 + (O465-DecLat)), (90 + (DecLat-O465))))</f>
        <v>64.866666666666674</v>
      </c>
      <c r="AG465" s="257">
        <f>angularseperation(MoonRA,MoonDec,$M465,$O465)</f>
        <v>150.04506196793486</v>
      </c>
      <c r="AH465" s="261">
        <f ca="1">MIN(100,IF($O$5&gt;80,0+30*($AG465/100),IF($O$5&gt;70,0+50*($AG465/100),IF($O$5&gt;60,5+50*($AG465/100),IF($O$5&gt;50,10+60*($AG465/100),IF($O$5&gt;40,15+70*($AG465/100),IF($O$5&gt;30,20+70*($AG465/100),IF($O$5&gt;20,40+55*($AG465/100),(80+(20-$O$5)+30*($AG465/100))))))))))</f>
        <v>100</v>
      </c>
      <c r="AI465" s="263"/>
      <c r="AJ465" s="263"/>
      <c r="AK465" s="263"/>
      <c r="AL465" s="263"/>
      <c r="AM465" s="264"/>
      <c r="AN465" s="263"/>
      <c r="AO465" s="263"/>
      <c r="AP465" s="265"/>
      <c r="AQ465" s="265"/>
      <c r="AR465" s="285"/>
      <c r="AS465" s="263"/>
      <c r="AT465" s="263"/>
      <c r="AU465" s="263"/>
      <c r="AV465" s="264"/>
      <c r="AW465" s="263">
        <v>6</v>
      </c>
      <c r="AX465" s="263"/>
      <c r="AY465" s="263"/>
      <c r="AZ465" s="263"/>
      <c r="BA465" s="263"/>
      <c r="BB465" s="263"/>
      <c r="BC465" s="263"/>
      <c r="BD465" s="264"/>
      <c r="BE465" s="263"/>
      <c r="BF465" s="263"/>
      <c r="BG465" s="263"/>
      <c r="BH465" s="263"/>
      <c r="BI465" s="263"/>
      <c r="BJ465" s="404">
        <f>altaz(J2000_Bas,$O465,$M465,DecLat,DecLong,2)</f>
        <v>24.151916427007208</v>
      </c>
      <c r="BK465" s="378" t="s">
        <v>567</v>
      </c>
      <c r="BL465" s="379">
        <f>IF((2*G465)/60&lt;0.2,0.2,(2*G465)/60)</f>
        <v>0.33333333333333331</v>
      </c>
      <c r="BM465" s="380">
        <f>MOD((50000+AD465-$B$3+(0/24)),1)</f>
        <v>0.37237567021657014</v>
      </c>
      <c r="BN465" s="381"/>
      <c r="BO465" s="382">
        <v>465</v>
      </c>
    </row>
    <row r="466" spans="1:67" s="24" customFormat="1" ht="15" customHeight="1" x14ac:dyDescent="0.25">
      <c r="A466" s="288" t="s">
        <v>568</v>
      </c>
      <c r="B466" s="241" t="str">
        <f>HYPERLINK(CONCATENATE($AT$3,BK466,$AU$3),$AV$3)</f>
        <v>S</v>
      </c>
      <c r="C466" s="242" t="str">
        <f>HYPERLINK(CONCATENATE($AT$4,BK466,$AU$4,BL466),$AV$4)</f>
        <v>A</v>
      </c>
      <c r="D466" s="243" t="s">
        <v>5187</v>
      </c>
      <c r="E466" s="244" t="s">
        <v>5179</v>
      </c>
      <c r="F466" s="269">
        <v>5</v>
      </c>
      <c r="G466" s="276">
        <v>50</v>
      </c>
      <c r="H466" s="271" t="s">
        <v>6500</v>
      </c>
      <c r="I466" s="244" t="s">
        <v>6500</v>
      </c>
      <c r="J466" s="246">
        <v>4</v>
      </c>
      <c r="K466" s="247" t="s">
        <v>9339</v>
      </c>
      <c r="L466" s="248">
        <v>41724</v>
      </c>
      <c r="M466" s="249">
        <f>15*(LEFT(TEXT($L466,"000000"),2)+(MID(TEXT($L466,"000000"),3,2)/60)+(RIGHT(TEXT($L466,"000000"),2)/3600))</f>
        <v>64.349999999999994</v>
      </c>
      <c r="N466" s="250">
        <v>283400</v>
      </c>
      <c r="O466" s="251">
        <f>IF($N466&gt;0,(LEFT(TEXT($N466,"000000"),2)+(MID(TEXT($N466,"000000"),3,2)/60)+(RIGHT(TEXT($N466,"000000"),2)/3600)),-(MID(TEXT($N466,"000000"),2,2)+(MID(TEXT($N466,"000000"),4,2)/60)+(RIGHT(TEXT($N466,"000000"),2)/3600)))</f>
        <v>28.566666666666666</v>
      </c>
      <c r="P466" s="252" t="s">
        <v>56</v>
      </c>
      <c r="Q466" s="253"/>
      <c r="R466" s="247" t="s">
        <v>3293</v>
      </c>
      <c r="S466" s="272" t="s">
        <v>5360</v>
      </c>
      <c r="T466" s="273"/>
      <c r="U466" s="274"/>
      <c r="V466" s="256"/>
      <c r="W466" s="244"/>
      <c r="X466" s="244"/>
      <c r="Y466" s="362"/>
      <c r="Z466" s="257">
        <f>altaz(J2000_Bas,$O466,$M466,DecLat,DecLong,1)</f>
        <v>-18.434134865780614</v>
      </c>
      <c r="AA466" s="257">
        <f>altaz((J2000_Bas+(2*0.04167)),$O466,$M466,DecLat,DecLong,1)</f>
        <v>0.59395786389052541</v>
      </c>
      <c r="AB466" s="257">
        <f>altaz((J2000_Bas+(4*0.04167)),$O466,$M466,DecLat,DecLong,1)</f>
        <v>23.609987811204892</v>
      </c>
      <c r="AC466" s="257">
        <f>altaz((J2000_Bas+(6*0.04167)),$O466,$M466,DecLat,DecLong,1)</f>
        <v>48.512325024827476</v>
      </c>
      <c r="AD466" s="258">
        <f>1+ transit((J2000_Bas-1),$O466,$M466,DecLat,DecLong)/360 + (GMTOffset/24) + (IF(DST="Y", 1, 0)/24)</f>
        <v>1.171649942754708</v>
      </c>
      <c r="AE466" s="259">
        <f>DATE(2001,9,21)+(M466/360)*365 - (360*((DecLong/360)- (GMTOffset/24) ))</f>
        <v>37225.243750000001</v>
      </c>
      <c r="AF466" s="260">
        <f>IF(DecLat&gt;0,IF((90 - (DecLat-O466))&gt;90, (90 - (O466-DecLat)), (90 - (DecLat-O466))),IF((90 + (DecLat-O466))&gt;90, (90 + (O466-DecLat)), (90 + (DecLat-O466))))</f>
        <v>87.566666666666663</v>
      </c>
      <c r="AG466" s="257">
        <f>angularseperation(MoonRA,MoonDec,$M466,$O466)</f>
        <v>175.42721751957691</v>
      </c>
      <c r="AH466" s="261">
        <f ca="1">MIN(100,IF($O$5&gt;80,0+30*($AG466/100),IF($O$5&gt;70,0+50*($AG466/100),IF($O$5&gt;60,5+50*($AG466/100),IF($O$5&gt;50,10+60*($AG466/100),IF($O$5&gt;40,15+70*($AG466/100),IF($O$5&gt;30,20+70*($AG466/100),IF($O$5&gt;20,40+55*($AG466/100),(80+(20-$O$5)+30*($AG466/100))))))))))</f>
        <v>100</v>
      </c>
      <c r="AI466" s="262"/>
      <c r="AJ466" s="262"/>
      <c r="AK466" s="262"/>
      <c r="AL466" s="263"/>
      <c r="AM466" s="264"/>
      <c r="AN466" s="263"/>
      <c r="AO466" s="263"/>
      <c r="AP466" s="265"/>
      <c r="AQ466" s="266"/>
      <c r="AR466" s="267"/>
      <c r="AS466" s="263"/>
      <c r="AT466" s="263"/>
      <c r="AU466" s="263"/>
      <c r="AV466" s="264"/>
      <c r="AW466" s="263">
        <v>7</v>
      </c>
      <c r="AX466" s="263"/>
      <c r="AY466" s="263"/>
      <c r="AZ466" s="263"/>
      <c r="BA466" s="263"/>
      <c r="BB466" s="263"/>
      <c r="BC466" s="263"/>
      <c r="BD466" s="264"/>
      <c r="BE466" s="263"/>
      <c r="BF466" s="263"/>
      <c r="BG466" s="263"/>
      <c r="BH466" s="263"/>
      <c r="BI466" s="263">
        <v>24</v>
      </c>
      <c r="BJ466" s="404">
        <f>altaz(J2000_Bas,$O466,$M466,DecLat,DecLong,2)</f>
        <v>37.97189194694559</v>
      </c>
      <c r="BK466" s="378" t="s">
        <v>568</v>
      </c>
      <c r="BL466" s="379">
        <f>IF((2*G466)/60&lt;0.2,0.2,(2*G466)/60)</f>
        <v>1.6666666666666667</v>
      </c>
      <c r="BM466" s="380">
        <f>MOD((50000+AD466-$B$3+(0/24)),1)</f>
        <v>0.38701687246066285</v>
      </c>
      <c r="BN466" s="381"/>
      <c r="BO466" s="382">
        <v>466</v>
      </c>
    </row>
    <row r="467" spans="1:67" s="24" customFormat="1" ht="15" customHeight="1" x14ac:dyDescent="0.25">
      <c r="A467" s="288" t="s">
        <v>569</v>
      </c>
      <c r="B467" s="241" t="str">
        <f>HYPERLINK(CONCATENATE($AT$3,BK467,$AU$3),$AV$3)</f>
        <v>S</v>
      </c>
      <c r="C467" s="242" t="str">
        <f>HYPERLINK(CONCATENATE($AT$4,BK467,$AU$4,BL467),$AV$4)</f>
        <v>A</v>
      </c>
      <c r="D467" s="243" t="s">
        <v>5187</v>
      </c>
      <c r="E467" s="244" t="s">
        <v>5179</v>
      </c>
      <c r="F467" s="269">
        <v>5</v>
      </c>
      <c r="G467" s="276">
        <v>140</v>
      </c>
      <c r="H467" s="271" t="s">
        <v>6500</v>
      </c>
      <c r="I467" s="244" t="s">
        <v>6500</v>
      </c>
      <c r="J467" s="246">
        <v>2</v>
      </c>
      <c r="K467" s="247" t="s">
        <v>9340</v>
      </c>
      <c r="L467" s="248">
        <v>41747</v>
      </c>
      <c r="M467" s="249">
        <f>15*(LEFT(TEXT($L467,"000000"),2)+(MID(TEXT($L467,"000000"),3,2)/60)+(RIGHT(TEXT($L467,"000000"),2)/3600))</f>
        <v>64.44583333333334</v>
      </c>
      <c r="N467" s="286">
        <v>551600</v>
      </c>
      <c r="O467" s="251">
        <f>IF($N467&gt;0,(LEFT(TEXT($N467,"000000"),2)+(MID(TEXT($N467,"000000"),3,2)/60)+(RIGHT(TEXT($N467,"000000"),2)/3600)),-(MID(TEXT($N467,"000000"),2,2)+(MID(TEXT($N467,"000000"),4,2)/60)+(RIGHT(TEXT($N467,"000000"),2)/3600)))</f>
        <v>55.266666666666666</v>
      </c>
      <c r="P467" s="252" t="s">
        <v>43</v>
      </c>
      <c r="Q467" s="253"/>
      <c r="R467" s="277" t="s">
        <v>3293</v>
      </c>
      <c r="S467" s="272" t="s">
        <v>3293</v>
      </c>
      <c r="T467" s="273"/>
      <c r="U467" s="274"/>
      <c r="V467" s="256"/>
      <c r="W467" s="244"/>
      <c r="X467" s="244"/>
      <c r="Y467" s="362"/>
      <c r="Z467" s="257">
        <f>altaz(J2000_Bas,$O467,$M467,DecLat,DecLong,1)</f>
        <v>3.3142612395489763</v>
      </c>
      <c r="AA467" s="257">
        <f>altaz((J2000_Bas+(2*0.04167)),$O467,$M467,DecLat,DecLong,1)</f>
        <v>15.631140545525506</v>
      </c>
      <c r="AB467" s="257">
        <f>altaz((J2000_Bas+(4*0.04167)),$O467,$M467,DecLat,DecLong,1)</f>
        <v>31.501281902183841</v>
      </c>
      <c r="AC467" s="257">
        <f>altaz((J2000_Bas+(6*0.04167)),$O467,$M467,DecLat,DecLong,1)</f>
        <v>48.490916963526288</v>
      </c>
      <c r="AD467" s="258">
        <f>1+ transit((J2000_Bas-1),$O467,$M467,DecLat,DecLong)/360 + (GMTOffset/24) + (IF(DST="Y", 1, 0)/24)</f>
        <v>1.1719161464317913</v>
      </c>
      <c r="AE467" s="259">
        <f>DATE(2001,9,21)+(M467/360)*365 - (360*((DecLong/360)- (GMTOffset/24) ))</f>
        <v>37225.340914351851</v>
      </c>
      <c r="AF467" s="260">
        <f>IF(DecLat&gt;0,IF((90 - (DecLat-O467))&gt;90, (90 - (O467-DecLat)), (90 - (DecLat-O467))),IF((90 + (DecLat-O467))&gt;90, (90 + (O467-DecLat)), (90 + (DecLat-O467))))</f>
        <v>65.733333333333334</v>
      </c>
      <c r="AG467" s="257">
        <f>angularseperation(MoonRA,MoonDec,$M467,$O467)</f>
        <v>151.60269536051285</v>
      </c>
      <c r="AH467" s="261">
        <f ca="1">MIN(100,IF($O$5&gt;80,0+30*($AG467/100),IF($O$5&gt;70,0+50*($AG467/100),IF($O$5&gt;60,5+50*($AG467/100),IF($O$5&gt;50,10+60*($AG467/100),IF($O$5&gt;40,15+70*($AG467/100),IF($O$5&gt;30,20+70*($AG467/100),IF($O$5&gt;20,40+55*($AG467/100),(80+(20-$O$5)+30*($AG467/100))))))))))</f>
        <v>100</v>
      </c>
      <c r="AI467" s="263"/>
      <c r="AJ467" s="263"/>
      <c r="AK467" s="263"/>
      <c r="AL467" s="263"/>
      <c r="AM467" s="264"/>
      <c r="AN467" s="263"/>
      <c r="AO467" s="263"/>
      <c r="AP467" s="265"/>
      <c r="AQ467" s="265"/>
      <c r="AR467" s="285"/>
      <c r="AS467" s="263"/>
      <c r="AT467" s="263"/>
      <c r="AU467" s="263"/>
      <c r="AV467" s="264"/>
      <c r="AW467" s="263">
        <v>8</v>
      </c>
      <c r="AX467" s="263"/>
      <c r="AY467" s="263"/>
      <c r="AZ467" s="263"/>
      <c r="BA467" s="263"/>
      <c r="BB467" s="263"/>
      <c r="BC467" s="263"/>
      <c r="BD467" s="264"/>
      <c r="BE467" s="263"/>
      <c r="BF467" s="263"/>
      <c r="BG467" s="263"/>
      <c r="BH467" s="263"/>
      <c r="BI467" s="263">
        <v>25</v>
      </c>
      <c r="BJ467" s="404">
        <f>altaz(J2000_Bas,$O467,$M467,DecLat,DecLong,2)</f>
        <v>22.246303176508821</v>
      </c>
      <c r="BK467" s="378" t="s">
        <v>569</v>
      </c>
      <c r="BL467" s="379">
        <f>IF((2*G467)/60&lt;0.2,0.2,(2*G467)/60)</f>
        <v>4.666666666666667</v>
      </c>
      <c r="BM467" s="380">
        <f>MOD((50000+AD467-$B$3+(0/24)),1)</f>
        <v>0.38728307613928337</v>
      </c>
      <c r="BN467" s="381"/>
      <c r="BO467" s="382">
        <v>467</v>
      </c>
    </row>
    <row r="468" spans="1:67" s="24" customFormat="1" ht="15" customHeight="1" x14ac:dyDescent="0.25">
      <c r="A468" s="288" t="s">
        <v>570</v>
      </c>
      <c r="B468" s="241" t="str">
        <f>HYPERLINK(CONCATENATE($AT$3,BK468,$AU$3),$AV$3)</f>
        <v>S</v>
      </c>
      <c r="C468" s="242" t="str">
        <f>HYPERLINK(CONCATENATE($AT$4,BK468,$AU$4,BL468),$AV$4)</f>
        <v>A</v>
      </c>
      <c r="D468" s="243" t="s">
        <v>5187</v>
      </c>
      <c r="E468" s="244" t="s">
        <v>5179</v>
      </c>
      <c r="F468" s="269">
        <v>5</v>
      </c>
      <c r="G468" s="276">
        <v>150</v>
      </c>
      <c r="H468" s="271" t="s">
        <v>6500</v>
      </c>
      <c r="I468" s="244" t="s">
        <v>6500</v>
      </c>
      <c r="J468" s="246">
        <v>1</v>
      </c>
      <c r="K468" s="247" t="s">
        <v>8365</v>
      </c>
      <c r="L468" s="248">
        <v>41853</v>
      </c>
      <c r="M468" s="249">
        <f>15*(LEFT(TEXT($L468,"000000"),2)+(MID(TEXT($L468,"000000"),3,2)/60)+(RIGHT(TEXT($L468,"000000"),2)/3600))</f>
        <v>64.720833333333331</v>
      </c>
      <c r="N468" s="286">
        <v>550400</v>
      </c>
      <c r="O468" s="251">
        <f>IF($N468&gt;0,(LEFT(TEXT($N468,"000000"),2)+(MID(TEXT($N468,"000000"),3,2)/60)+(RIGHT(TEXT($N468,"000000"),2)/3600)),-(MID(TEXT($N468,"000000"),2,2)+(MID(TEXT($N468,"000000"),4,2)/60)+(RIGHT(TEXT($N468,"000000"),2)/3600)))</f>
        <v>55.06666666666667</v>
      </c>
      <c r="P468" s="252" t="s">
        <v>43</v>
      </c>
      <c r="Q468" s="253"/>
      <c r="R468" s="277" t="s">
        <v>3293</v>
      </c>
      <c r="S468" s="272" t="s">
        <v>3293</v>
      </c>
      <c r="T468" s="273"/>
      <c r="U468" s="274"/>
      <c r="V468" s="256"/>
      <c r="W468" s="244"/>
      <c r="X468" s="244"/>
      <c r="Y468" s="362"/>
      <c r="Z468" s="257">
        <f>altaz(J2000_Bas,$O468,$M468,DecLat,DecLong,1)</f>
        <v>3.0604368308059309</v>
      </c>
      <c r="AA468" s="257">
        <f>altaz((J2000_Bas+(2*0.04167)),$O468,$M468,DecLat,DecLong,1)</f>
        <v>15.391238603341208</v>
      </c>
      <c r="AB468" s="257">
        <f>altaz((J2000_Bas+(4*0.04167)),$O468,$M468,DecLat,DecLong,1)</f>
        <v>31.310926715042239</v>
      </c>
      <c r="AC468" s="257">
        <f>altaz((J2000_Bas+(6*0.04167)),$O468,$M468,DecLat,DecLong,1)</f>
        <v>48.39165439682165</v>
      </c>
      <c r="AD468" s="258">
        <f>1+ transit((J2000_Bas-1),$O468,$M468,DecLat,DecLong)/360 + (GMTOffset/24) + (IF(DST="Y", 1, 0)/24)</f>
        <v>1.1726800352442914</v>
      </c>
      <c r="AE468" s="259">
        <f>DATE(2001,9,21)+(M468/360)*365 - (360*((DecLong/360)- (GMTOffset/24) ))</f>
        <v>37225.619733796295</v>
      </c>
      <c r="AF468" s="260">
        <f>IF(DecLat&gt;0,IF((90 - (DecLat-O468))&gt;90, (90 - (O468-DecLat)), (90 - (DecLat-O468))),IF((90 + (DecLat-O468))&gt;90, (90 + (O468-DecLat)), (90 + (DecLat-O468))))</f>
        <v>65.933333333333337</v>
      </c>
      <c r="AG468" s="257">
        <f>angularseperation(MoonRA,MoonDec,$M468,$O468)</f>
        <v>151.82432068210954</v>
      </c>
      <c r="AH468" s="261">
        <f ca="1">MIN(100,IF($O$5&gt;80,0+30*($AG468/100),IF($O$5&gt;70,0+50*($AG468/100),IF($O$5&gt;60,5+50*($AG468/100),IF($O$5&gt;50,10+60*($AG468/100),IF($O$5&gt;40,15+70*($AG468/100),IF($O$5&gt;30,20+70*($AG468/100),IF($O$5&gt;20,40+55*($AG468/100),(80+(20-$O$5)+30*($AG468/100))))))))))</f>
        <v>100</v>
      </c>
      <c r="AI468" s="263"/>
      <c r="AJ468" s="263"/>
      <c r="AK468" s="263"/>
      <c r="AL468" s="263"/>
      <c r="AM468" s="264"/>
      <c r="AN468" s="263"/>
      <c r="AO468" s="263"/>
      <c r="AP468" s="265"/>
      <c r="AQ468" s="265"/>
      <c r="AR468" s="285"/>
      <c r="AS468" s="263"/>
      <c r="AT468" s="263"/>
      <c r="AU468" s="263"/>
      <c r="AV468" s="264"/>
      <c r="AW468" s="263">
        <v>9</v>
      </c>
      <c r="AX468" s="263"/>
      <c r="AY468" s="263"/>
      <c r="AZ468" s="263"/>
      <c r="BA468" s="263"/>
      <c r="BB468" s="263"/>
      <c r="BC468" s="263"/>
      <c r="BD468" s="264"/>
      <c r="BE468" s="263"/>
      <c r="BF468" s="263"/>
      <c r="BG468" s="263"/>
      <c r="BH468" s="263"/>
      <c r="BI468" s="263"/>
      <c r="BJ468" s="404">
        <f>altaz(J2000_Bas,$O468,$M468,DecLat,DecLong,2)</f>
        <v>22.230584161100847</v>
      </c>
      <c r="BK468" s="378" t="s">
        <v>570</v>
      </c>
      <c r="BL468" s="379">
        <f>IF((2*G468)/60&lt;0.2,0.2,(2*G468)/60)</f>
        <v>5</v>
      </c>
      <c r="BM468" s="380">
        <f>MOD((50000+AD468-$B$3+(0/24)),1)</f>
        <v>0.38804696494480595</v>
      </c>
      <c r="BN468" s="381"/>
      <c r="BO468" s="382">
        <v>468</v>
      </c>
    </row>
    <row r="469" spans="1:67" s="24" customFormat="1" ht="15" customHeight="1" x14ac:dyDescent="0.25">
      <c r="A469" s="288" t="s">
        <v>3208</v>
      </c>
      <c r="B469" s="241" t="str">
        <f>HYPERLINK(CONCATENATE($AT$3,BK469,$AU$3),$AV$3)</f>
        <v>S</v>
      </c>
      <c r="C469" s="242" t="str">
        <f>HYPERLINK(CONCATENATE($AT$4,BK469,$AU$4,BL469),$AV$4)</f>
        <v>A</v>
      </c>
      <c r="D469" s="243" t="s">
        <v>5187</v>
      </c>
      <c r="E469" s="244" t="s">
        <v>5179</v>
      </c>
      <c r="F469" s="269">
        <v>5</v>
      </c>
      <c r="G469" s="273">
        <v>8</v>
      </c>
      <c r="H469" s="271" t="s">
        <v>6500</v>
      </c>
      <c r="I469" s="244" t="s">
        <v>6500</v>
      </c>
      <c r="J469" s="246">
        <v>2</v>
      </c>
      <c r="K469" s="247" t="s">
        <v>5947</v>
      </c>
      <c r="L469" s="248">
        <v>41840</v>
      </c>
      <c r="M469" s="249">
        <f>15*(LEFT(TEXT($L469,"000000"),2)+(MID(TEXT($L469,"000000"),3,2)/60)+(RIGHT(TEXT($L469,"000000"),2)/3600))</f>
        <v>64.666666666666657</v>
      </c>
      <c r="N469" s="286">
        <v>281700</v>
      </c>
      <c r="O469" s="251">
        <f>IF($N469&gt;0,(LEFT(TEXT($N469,"000000"),2)+(MID(TEXT($N469,"000000"),3,2)/60)+(RIGHT(TEXT($N469,"000000"),2)/3600)),-(MID(TEXT($N469,"000000"),2,2)+(MID(TEXT($N469,"000000"),4,2)/60)+(RIGHT(TEXT($N469,"000000"),2)/3600)))</f>
        <v>28.283333333333335</v>
      </c>
      <c r="P469" s="252" t="s">
        <v>56</v>
      </c>
      <c r="Q469" s="253"/>
      <c r="R469" s="247" t="s">
        <v>3293</v>
      </c>
      <c r="S469" s="272"/>
      <c r="T469" s="273"/>
      <c r="U469" s="274"/>
      <c r="V469" s="256"/>
      <c r="W469" s="244"/>
      <c r="X469" s="244"/>
      <c r="Y469" s="362"/>
      <c r="Z469" s="257">
        <f>altaz(J2000_Bas,$O469,$M469,DecLat,DecLong,1)</f>
        <v>-18.827849806651546</v>
      </c>
      <c r="AA469" s="257">
        <f>altaz((J2000_Bas+(2*0.04167)),$O469,$M469,DecLat,DecLong,1)</f>
        <v>0.20260271614281788</v>
      </c>
      <c r="AB469" s="257">
        <f>altaz((J2000_Bas+(4*0.04167)),$O469,$M469,DecLat,DecLong,1)</f>
        <v>23.24081333566987</v>
      </c>
      <c r="AC469" s="257">
        <f>altaz((J2000_Bas+(6*0.04167)),$O469,$M469,DecLat,DecLong,1)</f>
        <v>48.16712785603255</v>
      </c>
      <c r="AD469" s="258">
        <f>1+ transit((J2000_Bas-1),$O469,$M469,DecLat,DecLong)/360 + (GMTOffset/24) + (IF(DST="Y", 1, 0)/24)</f>
        <v>1.1725295722963747</v>
      </c>
      <c r="AE469" s="259">
        <f>DATE(2001,9,21)+(M469/360)*365 - (360*((DecLong/360)- (GMTOffset/24) ))</f>
        <v>37225.564814814818</v>
      </c>
      <c r="AF469" s="260">
        <f>IF(DecLat&gt;0,IF((90 - (DecLat-O469))&gt;90, (90 - (O469-DecLat)), (90 - (DecLat-O469))),IF((90 + (DecLat-O469))&gt;90, (90 + (O469-DecLat)), (90 + (DecLat-O469))))</f>
        <v>87.283333333333331</v>
      </c>
      <c r="AG469" s="257">
        <f>angularseperation(MoonRA,MoonDec,$M469,$O469)</f>
        <v>175.77509376595393</v>
      </c>
      <c r="AH469" s="261">
        <f ca="1">MIN(100,IF($O$5&gt;80,0+30*($AG469/100),IF($O$5&gt;70,0+50*($AG469/100),IF($O$5&gt;60,5+50*($AG469/100),IF($O$5&gt;50,10+60*($AG469/100),IF($O$5&gt;40,15+70*($AG469/100),IF($O$5&gt;30,20+70*($AG469/100),IF($O$5&gt;20,40+55*($AG469/100),(80+(20-$O$5)+30*($AG469/100))))))))))</f>
        <v>100</v>
      </c>
      <c r="AI469" s="263"/>
      <c r="AJ469" s="263"/>
      <c r="AK469" s="263"/>
      <c r="AL469" s="263"/>
      <c r="AM469" s="264"/>
      <c r="AN469" s="263"/>
      <c r="AO469" s="263"/>
      <c r="AP469" s="265"/>
      <c r="AQ469" s="265"/>
      <c r="AR469" s="285"/>
      <c r="AS469" s="263"/>
      <c r="AT469" s="263"/>
      <c r="AU469" s="263"/>
      <c r="AV469" s="264"/>
      <c r="AW469" s="263">
        <v>10</v>
      </c>
      <c r="AX469" s="263"/>
      <c r="AY469" s="263"/>
      <c r="AZ469" s="263"/>
      <c r="BA469" s="263"/>
      <c r="BB469" s="263"/>
      <c r="BC469" s="263"/>
      <c r="BD469" s="264"/>
      <c r="BE469" s="263"/>
      <c r="BF469" s="263"/>
      <c r="BG469" s="263"/>
      <c r="BH469" s="263"/>
      <c r="BI469" s="263"/>
      <c r="BJ469" s="404">
        <f>altaz(J2000_Bas,$O469,$M469,DecLat,DecLong,2)</f>
        <v>37.915826938136178</v>
      </c>
      <c r="BK469" s="378" t="s">
        <v>3208</v>
      </c>
      <c r="BL469" s="379">
        <f>IF((2*G469)/60&lt;0.2,0.2,(2*G469)/60)</f>
        <v>0.26666666666666666</v>
      </c>
      <c r="BM469" s="380">
        <f>MOD((50000+AD469-$B$3+(0/24)),1)</f>
        <v>0.38789650199760217</v>
      </c>
      <c r="BN469" s="381"/>
      <c r="BO469" s="382">
        <v>469</v>
      </c>
    </row>
    <row r="470" spans="1:67" s="24" customFormat="1" ht="15" customHeight="1" x14ac:dyDescent="0.25">
      <c r="A470" s="288" t="s">
        <v>571</v>
      </c>
      <c r="B470" s="241" t="str">
        <f>HYPERLINK(CONCATENATE($AT$3,BK470,$AU$3),$AV$3)</f>
        <v>S</v>
      </c>
      <c r="C470" s="242" t="str">
        <f>HYPERLINK(CONCATENATE($AT$4,BK470,$AU$4,BL470),$AV$4)</f>
        <v>A</v>
      </c>
      <c r="D470" s="243" t="s">
        <v>5187</v>
      </c>
      <c r="E470" s="244" t="s">
        <v>5179</v>
      </c>
      <c r="F470" s="269">
        <v>3</v>
      </c>
      <c r="G470" s="276">
        <v>10</v>
      </c>
      <c r="H470" s="271" t="s">
        <v>6500</v>
      </c>
      <c r="I470" s="244" t="s">
        <v>6500</v>
      </c>
      <c r="J470" s="246">
        <v>2</v>
      </c>
      <c r="K470" s="247" t="s">
        <v>6204</v>
      </c>
      <c r="L470" s="248">
        <v>42634</v>
      </c>
      <c r="M470" s="249">
        <f>15*(LEFT(TEXT($L470,"000000"),2)+(MID(TEXT($L470,"000000"),3,2)/60)+(RIGHT(TEXT($L470,"000000"),2)/3600))</f>
        <v>66.641666666666666</v>
      </c>
      <c r="N470" s="286">
        <v>550300</v>
      </c>
      <c r="O470" s="251">
        <f>IF($N470&gt;0,(LEFT(TEXT($N470,"000000"),2)+(MID(TEXT($N470,"000000"),3,2)/60)+(RIGHT(TEXT($N470,"000000"),2)/3600)),-(MID(TEXT($N470,"000000"),2,2)+(MID(TEXT($N470,"000000"),4,2)/60)+(RIGHT(TEXT($N470,"000000"),2)/3600)))</f>
        <v>55.05</v>
      </c>
      <c r="P470" s="252" t="s">
        <v>43</v>
      </c>
      <c r="Q470" s="253"/>
      <c r="R470" s="277" t="s">
        <v>6203</v>
      </c>
      <c r="S470" s="272" t="s">
        <v>3293</v>
      </c>
      <c r="T470" s="273"/>
      <c r="U470" s="274"/>
      <c r="V470" s="256"/>
      <c r="W470" s="244"/>
      <c r="X470" s="244"/>
      <c r="Y470" s="362"/>
      <c r="Z470" s="257">
        <f>altaz(J2000_Bas,$O470,$M470,DecLat,DecLong,1)</f>
        <v>2.4357051805422634</v>
      </c>
      <c r="AA470" s="257">
        <f>altaz((J2000_Bas+(2*0.04167)),$O470,$M470,DecLat,DecLong,1)</f>
        <v>14.462695065378245</v>
      </c>
      <c r="AB470" s="257">
        <f>altaz((J2000_Bas+(4*0.04167)),$O470,$M470,DecLat,DecLong,1)</f>
        <v>30.228564003977926</v>
      </c>
      <c r="AC470" s="257">
        <f>altaz((J2000_Bas+(6*0.04167)),$O470,$M470,DecLat,DecLong,1)</f>
        <v>47.328167454934018</v>
      </c>
      <c r="AD470" s="258">
        <f>1+ transit((J2000_Bas-1),$O470,$M470,DecLat,DecLong)/360 + (GMTOffset/24) + (IF(DST="Y", 1, 0)/24)</f>
        <v>1.1780156828588746</v>
      </c>
      <c r="AE470" s="259">
        <f>DATE(2001,9,21)+(M470/360)*365 - (360*((DecLong/360)- (GMTOffset/24) ))</f>
        <v>37227.567245370374</v>
      </c>
      <c r="AF470" s="260">
        <f>IF(DecLat&gt;0,IF((90 - (DecLat-O470))&gt;90, (90 - (O470-DecLat)), (90 - (DecLat-O470))),IF((90 + (DecLat-O470))&gt;90, (90 + (O470-DecLat)), (90 + (DecLat-O470))))</f>
        <v>65.95</v>
      </c>
      <c r="AG470" s="257">
        <f>angularseperation(MoonRA,MoonDec,$M470,$O470)</f>
        <v>151.96999776087932</v>
      </c>
      <c r="AH470" s="261">
        <f ca="1">MIN(100,IF($O$5&gt;80,0+30*($AG470/100),IF($O$5&gt;70,0+50*($AG470/100),IF($O$5&gt;60,5+50*($AG470/100),IF($O$5&gt;50,10+60*($AG470/100),IF($O$5&gt;40,15+70*($AG470/100),IF($O$5&gt;30,20+70*($AG470/100),IF($O$5&gt;20,40+55*($AG470/100),(80+(20-$O$5)+30*($AG470/100))))))))))</f>
        <v>100</v>
      </c>
      <c r="AI470" s="263"/>
      <c r="AJ470" s="263"/>
      <c r="AK470" s="263"/>
      <c r="AL470" s="263"/>
      <c r="AM470" s="264"/>
      <c r="AN470" s="263"/>
      <c r="AO470" s="263"/>
      <c r="AP470" s="265"/>
      <c r="AQ470" s="265"/>
      <c r="AR470" s="285"/>
      <c r="AS470" s="263"/>
      <c r="AT470" s="263"/>
      <c r="AU470" s="263"/>
      <c r="AV470" s="264"/>
      <c r="AW470" s="263">
        <v>11</v>
      </c>
      <c r="AX470" s="263"/>
      <c r="AY470" s="263"/>
      <c r="AZ470" s="263"/>
      <c r="BA470" s="263"/>
      <c r="BB470" s="263"/>
      <c r="BC470" s="263"/>
      <c r="BD470" s="264"/>
      <c r="BE470" s="263"/>
      <c r="BF470" s="263"/>
      <c r="BG470" s="263"/>
      <c r="BH470" s="263"/>
      <c r="BI470" s="263"/>
      <c r="BJ470" s="404">
        <f>altaz(J2000_Bas,$O470,$M470,DecLat,DecLong,2)</f>
        <v>21.323874269691636</v>
      </c>
      <c r="BK470" s="378" t="s">
        <v>571</v>
      </c>
      <c r="BL470" s="379">
        <f>IF((2*G470)/60&lt;0.2,0.2,(2*G470)/60)</f>
        <v>0.33333333333333331</v>
      </c>
      <c r="BM470" s="380">
        <f>MOD((50000+AD470-$B$3+(0/24)),1)</f>
        <v>0.39338261256489204</v>
      </c>
      <c r="BN470" s="381"/>
      <c r="BO470" s="382">
        <v>470</v>
      </c>
    </row>
    <row r="471" spans="1:67" s="24" customFormat="1" ht="15" customHeight="1" x14ac:dyDescent="0.25">
      <c r="A471" s="288" t="s">
        <v>572</v>
      </c>
      <c r="B471" s="241" t="str">
        <f>HYPERLINK(CONCATENATE($AT$3,BK471,$AU$3),$AV$3)</f>
        <v>S</v>
      </c>
      <c r="C471" s="242" t="str">
        <f>HYPERLINK(CONCATENATE($AT$4,BK471,$AU$4,BL471),$AV$4)</f>
        <v>A</v>
      </c>
      <c r="D471" s="243" t="s">
        <v>5187</v>
      </c>
      <c r="E471" s="244" t="s">
        <v>5179</v>
      </c>
      <c r="F471" s="269">
        <v>5</v>
      </c>
      <c r="G471" s="276">
        <v>24</v>
      </c>
      <c r="H471" s="271" t="s">
        <v>6500</v>
      </c>
      <c r="I471" s="244" t="s">
        <v>6500</v>
      </c>
      <c r="J471" s="246">
        <v>1</v>
      </c>
      <c r="K471" s="247" t="s">
        <v>5776</v>
      </c>
      <c r="L471" s="248">
        <v>42944</v>
      </c>
      <c r="M471" s="249">
        <f>15*(LEFT(TEXT($L471,"000000"),2)+(MID(TEXT($L471,"000000"),3,2)/60)+(RIGHT(TEXT($L471,"000000"),2)/3600))</f>
        <v>67.433333333333337</v>
      </c>
      <c r="N471" s="286">
        <v>541600</v>
      </c>
      <c r="O471" s="251">
        <f>IF($N471&gt;0,(LEFT(TEXT($N471,"000000"),2)+(MID(TEXT($N471,"000000"),3,2)/60)+(RIGHT(TEXT($N471,"000000"),2)/3600)),-(MID(TEXT($N471,"000000"),2,2)+(MID(TEXT($N471,"000000"),4,2)/60)+(RIGHT(TEXT($N471,"000000"),2)/3600)))</f>
        <v>54.266666666666666</v>
      </c>
      <c r="P471" s="252" t="s">
        <v>43</v>
      </c>
      <c r="Q471" s="253"/>
      <c r="R471" s="277" t="s">
        <v>3293</v>
      </c>
      <c r="S471" s="272" t="s">
        <v>3293</v>
      </c>
      <c r="T471" s="273"/>
      <c r="U471" s="274"/>
      <c r="V471" s="256"/>
      <c r="W471" s="244"/>
      <c r="X471" s="244"/>
      <c r="Y471" s="362"/>
      <c r="Z471" s="257">
        <f>altaz(J2000_Bas,$O471,$M471,DecLat,DecLong,1)</f>
        <v>1.5290983394003845</v>
      </c>
      <c r="AA471" s="257">
        <f>altaz((J2000_Bas+(2*0.04167)),$O471,$M471,DecLat,DecLong,1)</f>
        <v>13.64236371694652</v>
      </c>
      <c r="AB471" s="257">
        <f>altaz((J2000_Bas+(4*0.04167)),$O471,$M471,DecLat,DecLong,1)</f>
        <v>29.612479804155178</v>
      </c>
      <c r="AC471" s="257">
        <f>altaz((J2000_Bas+(6*0.04167)),$O471,$M471,DecLat,DecLong,1)</f>
        <v>47.046864068734401</v>
      </c>
      <c r="AD471" s="258">
        <f>1+ transit((J2000_Bas-1),$O471,$M471,DecLat,DecLong)/360 + (GMTOffset/24) + (IF(DST="Y", 1, 0)/24)</f>
        <v>1.1802147567130412</v>
      </c>
      <c r="AE471" s="259">
        <f>DATE(2001,9,21)+(M471/360)*365 - (360*((DecLong/360)- (GMTOffset/24) ))</f>
        <v>37228.36990740741</v>
      </c>
      <c r="AF471" s="260">
        <f>IF(DecLat&gt;0,IF((90 - (DecLat-O471))&gt;90, (90 - (O471-DecLat)), (90 - (DecLat-O471))),IF((90 + (DecLat-O471))&gt;90, (90 + (O471-DecLat)), (90 + (DecLat-O471))))</f>
        <v>66.733333333333334</v>
      </c>
      <c r="AG471" s="257">
        <f>angularseperation(MoonRA,MoonDec,$M471,$O471)</f>
        <v>152.78495713575717</v>
      </c>
      <c r="AH471" s="261">
        <f ca="1">MIN(100,IF($O$5&gt;80,0+30*($AG471/100),IF($O$5&gt;70,0+50*($AG471/100),IF($O$5&gt;60,5+50*($AG471/100),IF($O$5&gt;50,10+60*($AG471/100),IF($O$5&gt;40,15+70*($AG471/100),IF($O$5&gt;30,20+70*($AG471/100),IF($O$5&gt;20,40+55*($AG471/100),(80+(20-$O$5)+30*($AG471/100))))))))))</f>
        <v>100</v>
      </c>
      <c r="AI471" s="263"/>
      <c r="AJ471" s="263"/>
      <c r="AK471" s="263"/>
      <c r="AL471" s="263"/>
      <c r="AM471" s="264"/>
      <c r="AN471" s="263"/>
      <c r="AO471" s="263"/>
      <c r="AP471" s="265"/>
      <c r="AQ471" s="265"/>
      <c r="AR471" s="285"/>
      <c r="AS471" s="263"/>
      <c r="AT471" s="263"/>
      <c r="AU471" s="263"/>
      <c r="AV471" s="264"/>
      <c r="AW471" s="263">
        <v>12</v>
      </c>
      <c r="AX471" s="263"/>
      <c r="AY471" s="263"/>
      <c r="AZ471" s="263"/>
      <c r="BA471" s="263"/>
      <c r="BB471" s="263"/>
      <c r="BC471" s="263"/>
      <c r="BD471" s="264"/>
      <c r="BE471" s="263"/>
      <c r="BF471" s="263"/>
      <c r="BG471" s="263"/>
      <c r="BH471" s="263"/>
      <c r="BI471" s="263"/>
      <c r="BJ471" s="404">
        <f>altaz(J2000_Bas,$O471,$M471,DecLat,DecLong,2)</f>
        <v>21.360768783517212</v>
      </c>
      <c r="BK471" s="378" t="s">
        <v>572</v>
      </c>
      <c r="BL471" s="379">
        <f>IF((2*G471)/60&lt;0.2,0.2,(2*G471)/60)</f>
        <v>0.8</v>
      </c>
      <c r="BM471" s="380">
        <f>MOD((50000+AD471-$B$3+(0/24)),1)</f>
        <v>0.39558168641815428</v>
      </c>
      <c r="BN471" s="381"/>
      <c r="BO471" s="382">
        <v>471</v>
      </c>
    </row>
    <row r="472" spans="1:67" s="24" customFormat="1" ht="15" customHeight="1" x14ac:dyDescent="0.25">
      <c r="A472" s="288" t="s">
        <v>573</v>
      </c>
      <c r="B472" s="241" t="str">
        <f>HYPERLINK(CONCATENATE($AT$3,BK472,$AU$3),$AV$3)</f>
        <v>S</v>
      </c>
      <c r="C472" s="242" t="str">
        <f>HYPERLINK(CONCATENATE($AT$4,BK472,$AU$4,BL472),$AV$4)</f>
        <v>A</v>
      </c>
      <c r="D472" s="243" t="s">
        <v>5187</v>
      </c>
      <c r="E472" s="244" t="s">
        <v>5179</v>
      </c>
      <c r="F472" s="269">
        <v>4</v>
      </c>
      <c r="G472" s="276">
        <v>11</v>
      </c>
      <c r="H472" s="271" t="s">
        <v>6500</v>
      </c>
      <c r="I472" s="244" t="s">
        <v>6500</v>
      </c>
      <c r="J472" s="246">
        <v>0</v>
      </c>
      <c r="K472" s="247" t="s">
        <v>5948</v>
      </c>
      <c r="L472" s="248">
        <v>43115</v>
      </c>
      <c r="M472" s="249">
        <f>15*(LEFT(TEXT($L472,"000000"),2)+(MID(TEXT($L472,"000000"),3,2)/60)+(RIGHT(TEXT($L472,"000000"),2)/3600))</f>
        <v>67.8125</v>
      </c>
      <c r="N472" s="250">
        <v>545400</v>
      </c>
      <c r="O472" s="251">
        <f>IF($N472&gt;0,(LEFT(TEXT($N472,"000000"),2)+(MID(TEXT($N472,"000000"),3,2)/60)+(RIGHT(TEXT($N472,"000000"),2)/3600)),-(MID(TEXT($N472,"000000"),2,2)+(MID(TEXT($N472,"000000"),4,2)/60)+(RIGHT(TEXT($N472,"000000"),2)/3600)))</f>
        <v>54.9</v>
      </c>
      <c r="P472" s="252" t="s">
        <v>226</v>
      </c>
      <c r="Q472" s="253"/>
      <c r="R472" s="277" t="s">
        <v>3293</v>
      </c>
      <c r="S472" s="272" t="s">
        <v>3293</v>
      </c>
      <c r="T472" s="273"/>
      <c r="U472" s="274"/>
      <c r="V472" s="256"/>
      <c r="W472" s="244"/>
      <c r="X472" s="244"/>
      <c r="Y472" s="362"/>
      <c r="Z472" s="257">
        <f>altaz(J2000_Bas,$O472,$M472,DecLat,DecLong,1)</f>
        <v>1.9482011654835198</v>
      </c>
      <c r="AA472" s="257">
        <f>altaz((J2000_Bas+(2*0.04167)),$O472,$M472,DecLat,DecLong,1)</f>
        <v>13.823788114381788</v>
      </c>
      <c r="AB472" s="257">
        <f>altaz((J2000_Bas+(4*0.04167)),$O472,$M472,DecLat,DecLong,1)</f>
        <v>29.540056976064207</v>
      </c>
      <c r="AC472" s="257">
        <f>altaz((J2000_Bas+(6*0.04167)),$O472,$M472,DecLat,DecLong,1)</f>
        <v>46.704098509204265</v>
      </c>
      <c r="AD472" s="258">
        <f>1+ transit((J2000_Bas-1),$O472,$M472,DecLat,DecLong)/360 + (GMTOffset/24) + (IF(DST="Y", 1, 0)/24)</f>
        <v>1.1812679973484579</v>
      </c>
      <c r="AE472" s="259">
        <f>DATE(2001,9,21)+(M472/360)*365 - (360*((DecLong/360)- (GMTOffset/24) ))</f>
        <v>37228.754340277781</v>
      </c>
      <c r="AF472" s="260">
        <f>IF(DecLat&gt;0,IF((90 - (DecLat-O472))&gt;90, (90 - (O472-DecLat)), (90 - (DecLat-O472))),IF((90 + (DecLat-O472))&gt;90, (90 + (O472-DecLat)), (90 + (DecLat-O472))))</f>
        <v>66.099999999999994</v>
      </c>
      <c r="AG472" s="257">
        <f>angularseperation(MoonRA,MoonDec,$M472,$O472)</f>
        <v>152.16453837050213</v>
      </c>
      <c r="AH472" s="261">
        <f ca="1">MIN(100,IF($O$5&gt;80,0+30*($AG472/100),IF($O$5&gt;70,0+50*($AG472/100),IF($O$5&gt;60,5+50*($AG472/100),IF($O$5&gt;50,10+60*($AG472/100),IF($O$5&gt;40,15+70*($AG472/100),IF($O$5&gt;30,20+70*($AG472/100),IF($O$5&gt;20,40+55*($AG472/100),(80+(20-$O$5)+30*($AG472/100))))))))))</f>
        <v>100</v>
      </c>
      <c r="AI472" s="263"/>
      <c r="AJ472" s="263"/>
      <c r="AK472" s="263"/>
      <c r="AL472" s="263"/>
      <c r="AM472" s="264"/>
      <c r="AN472" s="263"/>
      <c r="AO472" s="263"/>
      <c r="AP472" s="265"/>
      <c r="AQ472" s="265"/>
      <c r="AR472" s="285"/>
      <c r="AS472" s="263"/>
      <c r="AT472" s="263"/>
      <c r="AU472" s="263"/>
      <c r="AV472" s="264"/>
      <c r="AW472" s="263">
        <v>13</v>
      </c>
      <c r="AX472" s="263"/>
      <c r="AY472" s="263"/>
      <c r="AZ472" s="263"/>
      <c r="BA472" s="263"/>
      <c r="BB472" s="263"/>
      <c r="BC472" s="263"/>
      <c r="BD472" s="264"/>
      <c r="BE472" s="263"/>
      <c r="BF472" s="263"/>
      <c r="BG472" s="263"/>
      <c r="BH472" s="263"/>
      <c r="BI472" s="263"/>
      <c r="BJ472" s="404">
        <f>altaz(J2000_Bas,$O472,$M472,DecLat,DecLong,2)</f>
        <v>20.837321658174265</v>
      </c>
      <c r="BK472" s="378" t="s">
        <v>573</v>
      </c>
      <c r="BL472" s="379">
        <f>IF((2*G472)/60&lt;0.2,0.2,(2*G472)/60)</f>
        <v>0.36666666666666664</v>
      </c>
      <c r="BM472" s="380">
        <f>MOD((50000+AD472-$B$3+(0/24)),1)</f>
        <v>0.39663492705585668</v>
      </c>
      <c r="BN472" s="381"/>
      <c r="BO472" s="382">
        <v>472</v>
      </c>
    </row>
    <row r="473" spans="1:67" s="24" customFormat="1" ht="15" customHeight="1" x14ac:dyDescent="0.25">
      <c r="A473" s="288" t="s">
        <v>574</v>
      </c>
      <c r="B473" s="241" t="str">
        <f>HYPERLINK(CONCATENATE($AT$3,BK473,$AU$3),$AV$3)</f>
        <v>S</v>
      </c>
      <c r="C473" s="242" t="str">
        <f>HYPERLINK(CONCATENATE($AT$4,BK473,$AU$4,BL473),$AV$4)</f>
        <v>A</v>
      </c>
      <c r="D473" s="243" t="s">
        <v>5187</v>
      </c>
      <c r="E473" s="244" t="s">
        <v>5179</v>
      </c>
      <c r="F473" s="269">
        <v>4</v>
      </c>
      <c r="G473" s="273">
        <v>4</v>
      </c>
      <c r="H473" s="271" t="s">
        <v>6500</v>
      </c>
      <c r="I473" s="244" t="s">
        <v>6500</v>
      </c>
      <c r="J473" s="246">
        <v>3</v>
      </c>
      <c r="K473" s="247" t="s">
        <v>8526</v>
      </c>
      <c r="L473" s="248">
        <v>43958</v>
      </c>
      <c r="M473" s="249">
        <f>15*(LEFT(TEXT($L473,"000000"),2)+(MID(TEXT($L473,"000000"),3,2)/60)+(RIGHT(TEXT($L473,"000000"),2)/3600))</f>
        <v>69.991666666666674</v>
      </c>
      <c r="N473" s="286">
        <v>254600</v>
      </c>
      <c r="O473" s="251">
        <f>IF($N473&gt;0,(LEFT(TEXT($N473,"000000"),2)+(MID(TEXT($N473,"000000"),3,2)/60)+(RIGHT(TEXT($N473,"000000"),2)/3600)),-(MID(TEXT($N473,"000000"),2,2)+(MID(TEXT($N473,"000000"),4,2)/60)+(RIGHT(TEXT($N473,"000000"),2)/3600)))</f>
        <v>25.766666666666666</v>
      </c>
      <c r="P473" s="252" t="s">
        <v>56</v>
      </c>
      <c r="Q473" s="253"/>
      <c r="R473" s="247"/>
      <c r="S473" s="272" t="s">
        <v>6020</v>
      </c>
      <c r="T473" s="273"/>
      <c r="U473" s="274"/>
      <c r="V473" s="256"/>
      <c r="W473" s="244"/>
      <c r="X473" s="244"/>
      <c r="Y473" s="362"/>
      <c r="Z473" s="257">
        <f>altaz(J2000_Bas,$O473,$M473,DecLat,DecLong,1)</f>
        <v>-23.61166403078273</v>
      </c>
      <c r="AA473" s="257">
        <f>altaz((J2000_Bas+(2*0.04167)),$O473,$M473,DecLat,DecLong,1)</f>
        <v>-5.1008967054256615</v>
      </c>
      <c r="AB473" s="257">
        <f>altaz((J2000_Bas+(4*0.04167)),$O473,$M473,DecLat,DecLong,1)</f>
        <v>17.878085971073929</v>
      </c>
      <c r="AC473" s="257">
        <f>altaz((J2000_Bas+(6*0.04167)),$O473,$M473,DecLat,DecLong,1)</f>
        <v>42.883142005206949</v>
      </c>
      <c r="AD473" s="258">
        <f>1+ transit((J2000_Bas-1),$O473,$M473,DecLat,DecLong)/360 + (GMTOffset/24) + (IF(DST="Y", 1, 0)/24)</f>
        <v>1.1873212374838746</v>
      </c>
      <c r="AE473" s="259">
        <f>DATE(2001,9,21)+(M473/360)*365 - (360*((DecLong/360)- (GMTOffset/24) ))</f>
        <v>37230.963773148149</v>
      </c>
      <c r="AF473" s="260">
        <f>IF(DecLat&gt;0,IF((90 - (DecLat-O473))&gt;90, (90 - (O473-DecLat)), (90 - (DecLat-O473))),IF((90 + (DecLat-O473))&gt;90, (90 + (O473-DecLat)), (90 + (DecLat-O473))))</f>
        <v>84.766666666666666</v>
      </c>
      <c r="AG473" s="257">
        <f>angularseperation(MoonRA,MoonDec,$M473,$O473)</f>
        <v>178.52136002735563</v>
      </c>
      <c r="AH473" s="261">
        <f ca="1">MIN(100,IF($O$5&gt;80,0+30*($AG473/100),IF($O$5&gt;70,0+50*($AG473/100),IF($O$5&gt;60,5+50*($AG473/100),IF($O$5&gt;50,10+60*($AG473/100),IF($O$5&gt;40,15+70*($AG473/100),IF($O$5&gt;30,20+70*($AG473/100),IF($O$5&gt;20,40+55*($AG473/100),(80+(20-$O$5)+30*($AG473/100))))))))))</f>
        <v>100</v>
      </c>
      <c r="AI473" s="262"/>
      <c r="AJ473" s="262"/>
      <c r="AK473" s="262"/>
      <c r="AL473" s="263"/>
      <c r="AM473" s="264"/>
      <c r="AN473" s="263"/>
      <c r="AO473" s="263"/>
      <c r="AP473" s="265"/>
      <c r="AQ473" s="266"/>
      <c r="AR473" s="267"/>
      <c r="AS473" s="263"/>
      <c r="AT473" s="263"/>
      <c r="AU473" s="263"/>
      <c r="AV473" s="264"/>
      <c r="AW473" s="263">
        <v>14</v>
      </c>
      <c r="AX473" s="263"/>
      <c r="AY473" s="263"/>
      <c r="AZ473" s="263"/>
      <c r="BA473" s="263"/>
      <c r="BB473" s="263"/>
      <c r="BC473" s="263"/>
      <c r="BD473" s="264"/>
      <c r="BE473" s="263"/>
      <c r="BF473" s="263"/>
      <c r="BG473" s="263"/>
      <c r="BH473" s="263"/>
      <c r="BI473" s="263"/>
      <c r="BJ473" s="404">
        <f>altaz(J2000_Bas,$O473,$M473,DecLat,DecLong,2)</f>
        <v>35.300162245428695</v>
      </c>
      <c r="BK473" s="378" t="s">
        <v>574</v>
      </c>
      <c r="BL473" s="379">
        <f>IF((2*G473)/60&lt;0.2,0.2,(2*G473)/60)</f>
        <v>0.2</v>
      </c>
      <c r="BM473" s="380">
        <f>MOD((50000+AD473-$B$3+(0/24)),1)</f>
        <v>0.40268816718889866</v>
      </c>
      <c r="BN473" s="381"/>
      <c r="BO473" s="382">
        <v>473</v>
      </c>
    </row>
    <row r="474" spans="1:67" s="24" customFormat="1" ht="15" customHeight="1" x14ac:dyDescent="0.25">
      <c r="A474" s="288" t="s">
        <v>575</v>
      </c>
      <c r="B474" s="241" t="str">
        <f>HYPERLINK(CONCATENATE($AT$3,BK474,$AU$3),$AV$3)</f>
        <v>S</v>
      </c>
      <c r="C474" s="242" t="str">
        <f>HYPERLINK(CONCATENATE($AT$4,BK474,$AU$4,BL474),$AV$4)</f>
        <v>A</v>
      </c>
      <c r="D474" s="243" t="s">
        <v>5187</v>
      </c>
      <c r="E474" s="244" t="s">
        <v>5179</v>
      </c>
      <c r="F474" s="269">
        <v>5</v>
      </c>
      <c r="G474" s="276">
        <v>15</v>
      </c>
      <c r="H474" s="271" t="s">
        <v>6500</v>
      </c>
      <c r="I474" s="244" t="s">
        <v>6500</v>
      </c>
      <c r="J474" s="246">
        <v>2</v>
      </c>
      <c r="K474" s="247" t="s">
        <v>9342</v>
      </c>
      <c r="L474" s="248">
        <v>43154</v>
      </c>
      <c r="M474" s="249">
        <f>15*(LEFT(TEXT($L474,"000000"),2)+(MID(TEXT($L474,"000000"),3,2)/60)+(RIGHT(TEXT($L474,"000000"),2)/3600))</f>
        <v>67.974999999999994</v>
      </c>
      <c r="N474" s="286">
        <v>463800</v>
      </c>
      <c r="O474" s="251">
        <f>IF($N474&gt;0,(LEFT(TEXT($N474,"000000"),2)+(MID(TEXT($N474,"000000"),3,2)/60)+(RIGHT(TEXT($N474,"000000"),2)/3600)),-(MID(TEXT($N474,"000000"),2,2)+(MID(TEXT($N474,"000000"),4,2)/60)+(RIGHT(TEXT($N474,"000000"),2)/3600)))</f>
        <v>46.633333333333333</v>
      </c>
      <c r="P474" s="252" t="s">
        <v>43</v>
      </c>
      <c r="Q474" s="253"/>
      <c r="R474" s="277" t="s">
        <v>3293</v>
      </c>
      <c r="S474" s="272" t="s">
        <v>3293</v>
      </c>
      <c r="T474" s="273"/>
      <c r="U474" s="274"/>
      <c r="V474" s="256"/>
      <c r="W474" s="244"/>
      <c r="X474" s="244"/>
      <c r="Y474" s="362"/>
      <c r="Z474" s="257">
        <f>altaz(J2000_Bas,$O474,$M474,DecLat,DecLong,1)</f>
        <v>-5.1186375671236455</v>
      </c>
      <c r="AA474" s="257">
        <f>altaz((J2000_Bas+(2*0.04167)),$O474,$M474,DecLat,DecLong,1)</f>
        <v>8.9167883132795041</v>
      </c>
      <c r="AB474" s="257">
        <f>altaz((J2000_Bas+(4*0.04167)),$O474,$M474,DecLat,DecLong,1)</f>
        <v>27.279752177928835</v>
      </c>
      <c r="AC474" s="257">
        <f>altaz((J2000_Bas+(6*0.04167)),$O474,$M474,DecLat,DecLong,1)</f>
        <v>47.651565572393444</v>
      </c>
      <c r="AD474" s="258">
        <f>1+ transit((J2000_Bas-1),$O474,$M474,DecLat,DecLong)/360 + (GMTOffset/24) + (IF(DST="Y", 1, 0)/24)</f>
        <v>1.181719386192208</v>
      </c>
      <c r="AE474" s="259">
        <f>DATE(2001,9,21)+(M474/360)*365 - (360*((DecLong/360)- (GMTOffset/24) ))</f>
        <v>37228.91909722222</v>
      </c>
      <c r="AF474" s="260">
        <f>IF(DecLat&gt;0,IF((90 - (DecLat-O474))&gt;90, (90 - (O474-DecLat)), (90 - (DecLat-O474))),IF((90 + (DecLat-O474))&gt;90, (90 + (O474-DecLat)), (90 + (DecLat-O474))))</f>
        <v>74.366666666666674</v>
      </c>
      <c r="AG474" s="257">
        <f>angularseperation(MoonRA,MoonDec,$M474,$O474)</f>
        <v>160.4251855607628</v>
      </c>
      <c r="AH474" s="261">
        <f ca="1">MIN(100,IF($O$5&gt;80,0+30*($AG474/100),IF($O$5&gt;70,0+50*($AG474/100),IF($O$5&gt;60,5+50*($AG474/100),IF($O$5&gt;50,10+60*($AG474/100),IF($O$5&gt;40,15+70*($AG474/100),IF($O$5&gt;30,20+70*($AG474/100),IF($O$5&gt;20,40+55*($AG474/100),(80+(20-$O$5)+30*($AG474/100))))))))))</f>
        <v>100</v>
      </c>
      <c r="AI474" s="263"/>
      <c r="AJ474" s="263"/>
      <c r="AK474" s="263"/>
      <c r="AL474" s="263"/>
      <c r="AM474" s="264"/>
      <c r="AN474" s="263"/>
      <c r="AO474" s="263"/>
      <c r="AP474" s="265"/>
      <c r="AQ474" s="265"/>
      <c r="AR474" s="285"/>
      <c r="AS474" s="263"/>
      <c r="AT474" s="263"/>
      <c r="AU474" s="263"/>
      <c r="AV474" s="264"/>
      <c r="AW474" s="263">
        <v>15</v>
      </c>
      <c r="AX474" s="263"/>
      <c r="AY474" s="263"/>
      <c r="AZ474" s="263"/>
      <c r="BA474" s="263"/>
      <c r="BB474" s="263"/>
      <c r="BC474" s="263"/>
      <c r="BD474" s="264"/>
      <c r="BE474" s="263"/>
      <c r="BF474" s="263"/>
      <c r="BG474" s="263"/>
      <c r="BH474" s="263"/>
      <c r="BI474" s="263">
        <v>27</v>
      </c>
      <c r="BJ474" s="404">
        <f>altaz(J2000_Bas,$O474,$M474,DecLat,DecLong,2)</f>
        <v>25.132153556857272</v>
      </c>
      <c r="BK474" s="378" t="s">
        <v>575</v>
      </c>
      <c r="BL474" s="379">
        <f>IF((2*G474)/60&lt;0.2,0.2,(2*G474)/60)</f>
        <v>0.5</v>
      </c>
      <c r="BM474" s="380">
        <f>MOD((50000+AD474-$B$3+(0/24)),1)</f>
        <v>0.39708631589746801</v>
      </c>
      <c r="BN474" s="381"/>
      <c r="BO474" s="382">
        <v>474</v>
      </c>
    </row>
    <row r="475" spans="1:67" s="24" customFormat="1" ht="15" customHeight="1" x14ac:dyDescent="0.25">
      <c r="A475" s="288" t="s">
        <v>576</v>
      </c>
      <c r="B475" s="241" t="str">
        <f>HYPERLINK(CONCATENATE($AT$3,BK475,$AU$3),$AV$3)</f>
        <v>S</v>
      </c>
      <c r="C475" s="242" t="str">
        <f>HYPERLINK(CONCATENATE($AT$4,BK475,$AU$4,BL475),$AV$4)</f>
        <v>A</v>
      </c>
      <c r="D475" s="243" t="s">
        <v>5187</v>
      </c>
      <c r="E475" s="244" t="s">
        <v>5179</v>
      </c>
      <c r="F475" s="269">
        <v>5</v>
      </c>
      <c r="G475" s="273">
        <v>2</v>
      </c>
      <c r="H475" s="271" t="s">
        <v>6500</v>
      </c>
      <c r="I475" s="244" t="s">
        <v>6500</v>
      </c>
      <c r="J475" s="246">
        <v>0</v>
      </c>
      <c r="K475" s="247" t="s">
        <v>9324</v>
      </c>
      <c r="L475" s="248">
        <v>43224</v>
      </c>
      <c r="M475" s="249">
        <f>15*(LEFT(TEXT($L475,"000000"),2)+(MID(TEXT($L475,"000000"),3,2)/60)+(RIGHT(TEXT($L475,"000000"),2)/3600))</f>
        <v>68.099999999999994</v>
      </c>
      <c r="N475" s="286">
        <v>463700</v>
      </c>
      <c r="O475" s="251">
        <f>IF($N475&gt;0,(LEFT(TEXT($N475,"000000"),2)+(MID(TEXT($N475,"000000"),3,2)/60)+(RIGHT(TEXT($N475,"000000"),2)/3600)),-(MID(TEXT($N475,"000000"),2,2)+(MID(TEXT($N475,"000000"),4,2)/60)+(RIGHT(TEXT($N475,"000000"),2)/3600)))</f>
        <v>46.616666666666667</v>
      </c>
      <c r="P475" s="252" t="s">
        <v>43</v>
      </c>
      <c r="Q475" s="253"/>
      <c r="R475" s="277" t="s">
        <v>3293</v>
      </c>
      <c r="S475" s="272" t="s">
        <v>3293</v>
      </c>
      <c r="T475" s="273"/>
      <c r="U475" s="274"/>
      <c r="V475" s="256"/>
      <c r="W475" s="244"/>
      <c r="X475" s="244"/>
      <c r="Y475" s="362"/>
      <c r="Z475" s="257">
        <f>altaz(J2000_Bas,$O475,$M475,DecLat,DecLong,1)</f>
        <v>-5.1782278761754323</v>
      </c>
      <c r="AA475" s="257">
        <f>altaz((J2000_Bas+(2*0.04167)),$O475,$M475,DecLat,DecLong,1)</f>
        <v>8.8378150824490582</v>
      </c>
      <c r="AB475" s="257">
        <f>altaz((J2000_Bas+(4*0.04167)),$O475,$M475,DecLat,DecLong,1)</f>
        <v>27.192846383778878</v>
      </c>
      <c r="AC475" s="257">
        <f>altaz((J2000_Bas+(6*0.04167)),$O475,$M475,DecLat,DecLong,1)</f>
        <v>47.566599391305083</v>
      </c>
      <c r="AD475" s="258">
        <f>1+ transit((J2000_Bas-1),$O475,$M475,DecLat,DecLong)/360 + (GMTOffset/24) + (IF(DST="Y", 1, 0)/24)</f>
        <v>1.182066608379708</v>
      </c>
      <c r="AE475" s="259">
        <f>DATE(2001,9,21)+(M475/360)*365 - (360*((DecLong/360)- (GMTOffset/24) ))</f>
        <v>37229.04583333333</v>
      </c>
      <c r="AF475" s="260">
        <f>IF(DecLat&gt;0,IF((90 - (DecLat-O475))&gt;90, (90 - (O475-DecLat)), (90 - (DecLat-O475))),IF((90 + (DecLat-O475))&gt;90, (90 + (O475-DecLat)), (90 + (DecLat-O475))))</f>
        <v>74.383333333333326</v>
      </c>
      <c r="AG475" s="257">
        <f>angularseperation(MoonRA,MoonDec,$M475,$O475)</f>
        <v>160.44662380686796</v>
      </c>
      <c r="AH475" s="261">
        <f ca="1">MIN(100,IF($O$5&gt;80,0+30*($AG475/100),IF($O$5&gt;70,0+50*($AG475/100),IF($O$5&gt;60,5+50*($AG475/100),IF($O$5&gt;50,10+60*($AG475/100),IF($O$5&gt;40,15+70*($AG475/100),IF($O$5&gt;30,20+70*($AG475/100),IF($O$5&gt;20,40+55*($AG475/100),(80+(20-$O$5)+30*($AG475/100))))))))))</f>
        <v>100</v>
      </c>
      <c r="AI475" s="263"/>
      <c r="AJ475" s="263"/>
      <c r="AK475" s="263"/>
      <c r="AL475" s="263"/>
      <c r="AM475" s="264"/>
      <c r="AN475" s="263"/>
      <c r="AO475" s="263"/>
      <c r="AP475" s="265"/>
      <c r="AQ475" s="265"/>
      <c r="AR475" s="285"/>
      <c r="AS475" s="263"/>
      <c r="AT475" s="263"/>
      <c r="AU475" s="263"/>
      <c r="AV475" s="264"/>
      <c r="AW475" s="263">
        <v>16</v>
      </c>
      <c r="AX475" s="263"/>
      <c r="AY475" s="263"/>
      <c r="AZ475" s="263"/>
      <c r="BA475" s="263"/>
      <c r="BB475" s="263"/>
      <c r="BC475" s="263"/>
      <c r="BD475" s="264"/>
      <c r="BE475" s="263"/>
      <c r="BF475" s="263"/>
      <c r="BG475" s="263"/>
      <c r="BH475" s="263"/>
      <c r="BI475" s="263"/>
      <c r="BJ475" s="404">
        <f>altaz(J2000_Bas,$O475,$M475,DecLat,DecLong,2)</f>
        <v>25.067891490772695</v>
      </c>
      <c r="BK475" s="378" t="s">
        <v>576</v>
      </c>
      <c r="BL475" s="379">
        <f>IF((2*G475)/60&lt;0.2,0.2,(2*G475)/60)</f>
        <v>0.2</v>
      </c>
      <c r="BM475" s="380">
        <f>MOD((50000+AD475-$B$3+(0/24)),1)</f>
        <v>0.39743353808444226</v>
      </c>
      <c r="BN475" s="381"/>
      <c r="BO475" s="382">
        <v>475</v>
      </c>
    </row>
    <row r="476" spans="1:67" s="24" customFormat="1" ht="15" customHeight="1" x14ac:dyDescent="0.25">
      <c r="A476" s="288" t="s">
        <v>577</v>
      </c>
      <c r="B476" s="241" t="str">
        <f>HYPERLINK(CONCATENATE($AT$3,BK476,$AU$3),$AV$3)</f>
        <v>S</v>
      </c>
      <c r="C476" s="242" t="str">
        <f>HYPERLINK(CONCATENATE($AT$4,BK476,$AU$4,BL476),$AV$4)</f>
        <v>A</v>
      </c>
      <c r="D476" s="243" t="s">
        <v>5187</v>
      </c>
      <c r="E476" s="244" t="s">
        <v>5179</v>
      </c>
      <c r="F476" s="269">
        <v>5</v>
      </c>
      <c r="G476" s="273">
        <v>2</v>
      </c>
      <c r="H476" s="271" t="s">
        <v>6500</v>
      </c>
      <c r="I476" s="244" t="s">
        <v>6500</v>
      </c>
      <c r="J476" s="246">
        <v>0</v>
      </c>
      <c r="K476" s="247" t="s">
        <v>9325</v>
      </c>
      <c r="L476" s="248">
        <v>43228</v>
      </c>
      <c r="M476" s="249">
        <f>15*(LEFT(TEXT($L476,"000000"),2)+(MID(TEXT($L476,"000000"),3,2)/60)+(RIGHT(TEXT($L476,"000000"),2)/3600))</f>
        <v>68.116666666666674</v>
      </c>
      <c r="N476" s="286">
        <v>463200</v>
      </c>
      <c r="O476" s="251">
        <f>IF($N476&gt;0,(LEFT(TEXT($N476,"000000"),2)+(MID(TEXT($N476,"000000"),3,2)/60)+(RIGHT(TEXT($N476,"000000"),2)/3600)),-(MID(TEXT($N476,"000000"),2,2)+(MID(TEXT($N476,"000000"),4,2)/60)+(RIGHT(TEXT($N476,"000000"),2)/3600)))</f>
        <v>46.533333333333331</v>
      </c>
      <c r="P476" s="252" t="s">
        <v>43</v>
      </c>
      <c r="Q476" s="253"/>
      <c r="R476" s="277" t="s">
        <v>3293</v>
      </c>
      <c r="S476" s="272" t="s">
        <v>3293</v>
      </c>
      <c r="T476" s="273"/>
      <c r="U476" s="274"/>
      <c r="V476" s="256"/>
      <c r="W476" s="244"/>
      <c r="X476" s="244"/>
      <c r="Y476" s="362"/>
      <c r="Z476" s="257">
        <f>altaz(J2000_Bas,$O476,$M476,DecLat,DecLong,1)</f>
        <v>-5.2550204296165264</v>
      </c>
      <c r="AA476" s="257">
        <f>altaz((J2000_Bas+(2*0.04167)),$O476,$M476,DecLat,DecLong,1)</f>
        <v>8.7790632638367079</v>
      </c>
      <c r="AB476" s="257">
        <f>altaz((J2000_Bas+(4*0.04167)),$O476,$M476,DecLat,DecLong,1)</f>
        <v>27.156932420602637</v>
      </c>
      <c r="AC476" s="257">
        <f>altaz((J2000_Bas+(6*0.04167)),$O476,$M476,DecLat,DecLong,1)</f>
        <v>47.558920897882402</v>
      </c>
      <c r="AD476" s="258">
        <f>1+ transit((J2000_Bas-1),$O476,$M476,DecLat,DecLong)/360 + (GMTOffset/24) + (IF(DST="Y", 1, 0)/24)</f>
        <v>1.1821129046713748</v>
      </c>
      <c r="AE476" s="259">
        <f>DATE(2001,9,21)+(M476/360)*365 - (360*((DecLong/360)- (GMTOffset/24) ))</f>
        <v>37229.062731481485</v>
      </c>
      <c r="AF476" s="260">
        <f>IF(DecLat&gt;0,IF((90 - (DecLat-O476))&gt;90, (90 - (O476-DecLat)), (90 - (DecLat-O476))),IF((90 + (DecLat-O476))&gt;90, (90 + (O476-DecLat)), (90 + (DecLat-O476))))</f>
        <v>74.466666666666669</v>
      </c>
      <c r="AG476" s="257">
        <f>angularseperation(MoonRA,MoonDec,$M476,$O476)</f>
        <v>160.53044536769522</v>
      </c>
      <c r="AH476" s="261">
        <f ca="1">MIN(100,IF($O$5&gt;80,0+30*($AG476/100),IF($O$5&gt;70,0+50*($AG476/100),IF($O$5&gt;60,5+50*($AG476/100),IF($O$5&gt;50,10+60*($AG476/100),IF($O$5&gt;40,15+70*($AG476/100),IF($O$5&gt;30,20+70*($AG476/100),IF($O$5&gt;20,40+55*($AG476/100),(80+(20-$O$5)+30*($AG476/100))))))))))</f>
        <v>100</v>
      </c>
      <c r="AI476" s="263"/>
      <c r="AJ476" s="263"/>
      <c r="AK476" s="263"/>
      <c r="AL476" s="263"/>
      <c r="AM476" s="264"/>
      <c r="AN476" s="263"/>
      <c r="AO476" s="263"/>
      <c r="AP476" s="265"/>
      <c r="AQ476" s="265"/>
      <c r="AR476" s="285"/>
      <c r="AS476" s="263"/>
      <c r="AT476" s="263"/>
      <c r="AU476" s="263"/>
      <c r="AV476" s="264"/>
      <c r="AW476" s="263">
        <v>17</v>
      </c>
      <c r="AX476" s="263"/>
      <c r="AY476" s="263"/>
      <c r="AZ476" s="263"/>
      <c r="BA476" s="263"/>
      <c r="BB476" s="263"/>
      <c r="BC476" s="263"/>
      <c r="BD476" s="264"/>
      <c r="BE476" s="263"/>
      <c r="BF476" s="263"/>
      <c r="BG476" s="263"/>
      <c r="BH476" s="263"/>
      <c r="BI476" s="263"/>
      <c r="BJ476" s="404">
        <f>altaz(J2000_Bas,$O476,$M476,DecLat,DecLong,2)</f>
        <v>25.102365098066063</v>
      </c>
      <c r="BK476" s="378" t="s">
        <v>577</v>
      </c>
      <c r="BL476" s="379">
        <f>IF((2*G476)/60&lt;0.2,0.2,(2*G476)/60)</f>
        <v>0.2</v>
      </c>
      <c r="BM476" s="380">
        <f>MOD((50000+AD476-$B$3+(0/24)),1)</f>
        <v>0.39747983437700896</v>
      </c>
      <c r="BN476" s="381"/>
      <c r="BO476" s="382">
        <v>476</v>
      </c>
    </row>
    <row r="477" spans="1:67" s="24" customFormat="1" ht="15" customHeight="1" x14ac:dyDescent="0.25">
      <c r="A477" s="288" t="s">
        <v>578</v>
      </c>
      <c r="B477" s="241" t="str">
        <f>HYPERLINK(CONCATENATE($AT$3,BK477,$AU$3),$AV$3)</f>
        <v>S</v>
      </c>
      <c r="C477" s="242" t="str">
        <f>HYPERLINK(CONCATENATE($AT$4,BK477,$AU$4,BL477),$AV$4)</f>
        <v>A</v>
      </c>
      <c r="D477" s="243" t="s">
        <v>5187</v>
      </c>
      <c r="E477" s="244" t="s">
        <v>5179</v>
      </c>
      <c r="F477" s="269">
        <v>5</v>
      </c>
      <c r="G477" s="276">
        <v>60</v>
      </c>
      <c r="H477" s="271" t="s">
        <v>6500</v>
      </c>
      <c r="I477" s="244" t="s">
        <v>6500</v>
      </c>
      <c r="J477" s="246">
        <v>2</v>
      </c>
      <c r="K477" s="247" t="s">
        <v>9341</v>
      </c>
      <c r="L477" s="248">
        <v>43112</v>
      </c>
      <c r="M477" s="249">
        <f>15*(LEFT(TEXT($L477,"000000"),2)+(MID(TEXT($L477,"000000"),3,2)/60)+(RIGHT(TEXT($L477,"000000"),2)/3600))</f>
        <v>67.8</v>
      </c>
      <c r="N477" s="286">
        <v>242200</v>
      </c>
      <c r="O477" s="251">
        <f>IF($N477&gt;0,(LEFT(TEXT($N477,"000000"),2)+(MID(TEXT($N477,"000000"),3,2)/60)+(RIGHT(TEXT($N477,"000000"),2)/3600)),-(MID(TEXT($N477,"000000"),2,2)+(MID(TEXT($N477,"000000"),4,2)/60)+(RIGHT(TEXT($N477,"000000"),2)/3600)))</f>
        <v>24.366666666666667</v>
      </c>
      <c r="P477" s="252" t="s">
        <v>56</v>
      </c>
      <c r="Q477" s="253"/>
      <c r="R477" s="277" t="s">
        <v>3293</v>
      </c>
      <c r="S477" s="272" t="s">
        <v>3293</v>
      </c>
      <c r="T477" s="273"/>
      <c r="U477" s="274"/>
      <c r="V477" s="256"/>
      <c r="W477" s="244"/>
      <c r="X477" s="244"/>
      <c r="Y477" s="362"/>
      <c r="Z477" s="257">
        <f>altaz(J2000_Bas,$O477,$M477,DecLat,DecLong,1)</f>
        <v>-23.646614249269359</v>
      </c>
      <c r="AA477" s="257">
        <f>altaz((J2000_Bas+(2*0.04167)),$O477,$M477,DecLat,DecLong,1)</f>
        <v>-4.3801920739886544</v>
      </c>
      <c r="AB477" s="257">
        <f>altaz((J2000_Bas+(4*0.04167)),$O477,$M477,DecLat,DecLong,1)</f>
        <v>19.036713424432151</v>
      </c>
      <c r="AC477" s="257">
        <f>altaz((J2000_Bas+(6*0.04167)),$O477,$M477,DecLat,DecLong,1)</f>
        <v>44.274218299436129</v>
      </c>
      <c r="AD477" s="258">
        <f>1+ transit((J2000_Bas-1),$O477,$M477,DecLat,DecLong)/360 + (GMTOffset/24) + (IF(DST="Y", 1, 0)/24)</f>
        <v>1.1812332751297079</v>
      </c>
      <c r="AE477" s="259">
        <f>DATE(2001,9,21)+(M477/360)*365 - (360*((DecLong/360)- (GMTOffset/24) ))</f>
        <v>37228.741666666669</v>
      </c>
      <c r="AF477" s="260">
        <f>IF(DecLat&gt;0,IF((90 - (DecLat-O477))&gt;90, (90 - (O477-DecLat)), (90 - (DecLat-O477))),IF((90 + (DecLat-O477))&gt;90, (90 + (O477-DecLat)), (90 + (DecLat-O477))))</f>
        <v>83.366666666666674</v>
      </c>
      <c r="AG477" s="257">
        <f>angularseperation(MoonRA,MoonDec,$M477,$O477)</f>
        <v>176.98814907933485</v>
      </c>
      <c r="AH477" s="261">
        <f ca="1">MIN(100,IF($O$5&gt;80,0+30*($AG477/100),IF($O$5&gt;70,0+50*($AG477/100),IF($O$5&gt;60,5+50*($AG477/100),IF($O$5&gt;50,10+60*($AG477/100),IF($O$5&gt;40,15+70*($AG477/100),IF($O$5&gt;30,20+70*($AG477/100),IF($O$5&gt;20,40+55*($AG477/100),(80+(20-$O$5)+30*($AG477/100))))))))))</f>
        <v>100</v>
      </c>
      <c r="AI477" s="263"/>
      <c r="AJ477" s="263"/>
      <c r="AK477" s="263"/>
      <c r="AL477" s="263"/>
      <c r="AM477" s="264"/>
      <c r="AN477" s="263"/>
      <c r="AO477" s="263"/>
      <c r="AP477" s="265"/>
      <c r="AQ477" s="265"/>
      <c r="AR477" s="285"/>
      <c r="AS477" s="263"/>
      <c r="AT477" s="263"/>
      <c r="AU477" s="263"/>
      <c r="AV477" s="264"/>
      <c r="AW477" s="263">
        <v>18</v>
      </c>
      <c r="AX477" s="263"/>
      <c r="AY477" s="263"/>
      <c r="AZ477" s="263"/>
      <c r="BA477" s="263"/>
      <c r="BB477" s="263"/>
      <c r="BC477" s="263"/>
      <c r="BD477" s="264"/>
      <c r="BE477" s="263"/>
      <c r="BF477" s="263"/>
      <c r="BG477" s="263"/>
      <c r="BH477" s="263"/>
      <c r="BI477" s="263">
        <v>26</v>
      </c>
      <c r="BJ477" s="404">
        <f>altaz(J2000_Bas,$O477,$M477,DecLat,DecLong,2)</f>
        <v>37.95138033297517</v>
      </c>
      <c r="BK477" s="378" t="s">
        <v>578</v>
      </c>
      <c r="BL477" s="379">
        <f>IF((2*G477)/60&lt;0.2,0.2,(2*G477)/60)</f>
        <v>2</v>
      </c>
      <c r="BM477" s="380">
        <f>MOD((50000+AD477-$B$3+(0/24)),1)</f>
        <v>0.39660020483279368</v>
      </c>
      <c r="BN477" s="381"/>
      <c r="BO477" s="382">
        <v>477</v>
      </c>
    </row>
    <row r="478" spans="1:67" s="24" customFormat="1" ht="15" customHeight="1" x14ac:dyDescent="0.25">
      <c r="A478" s="288" t="s">
        <v>579</v>
      </c>
      <c r="B478" s="241" t="str">
        <f>HYPERLINK(CONCATENATE($AT$3,BK478,$AU$3),$AV$3)</f>
        <v>S</v>
      </c>
      <c r="C478" s="242" t="str">
        <f>HYPERLINK(CONCATENATE($AT$4,BK478,$AU$4,BL478),$AV$4)</f>
        <v>A</v>
      </c>
      <c r="D478" s="243" t="s">
        <v>5187</v>
      </c>
      <c r="E478" s="244" t="s">
        <v>5179</v>
      </c>
      <c r="F478" s="269">
        <v>4</v>
      </c>
      <c r="G478" s="276">
        <v>60</v>
      </c>
      <c r="H478" s="271" t="s">
        <v>6500</v>
      </c>
      <c r="I478" s="244" t="s">
        <v>6500</v>
      </c>
      <c r="J478" s="246">
        <v>1</v>
      </c>
      <c r="K478" s="247" t="s">
        <v>5949</v>
      </c>
      <c r="L478" s="248">
        <v>43339</v>
      </c>
      <c r="M478" s="249">
        <f>15*(LEFT(TEXT($L478,"000000"),2)+(MID(TEXT($L478,"000000"),3,2)/60)+(RIGHT(TEXT($L478,"000000"),2)/3600))</f>
        <v>68.412499999999994</v>
      </c>
      <c r="N478" s="286">
        <v>261700</v>
      </c>
      <c r="O478" s="251">
        <f>IF($N478&gt;0,(LEFT(TEXT($N478,"000000"),2)+(MID(TEXT($N478,"000000"),3,2)/60)+(RIGHT(TEXT($N478,"000000"),2)/3600)),-(MID(TEXT($N478,"000000"),2,2)+(MID(TEXT($N478,"000000"),4,2)/60)+(RIGHT(TEXT($N478,"000000"),2)/3600)))</f>
        <v>26.283333333333335</v>
      </c>
      <c r="P478" s="252" t="s">
        <v>226</v>
      </c>
      <c r="Q478" s="253"/>
      <c r="R478" s="277" t="s">
        <v>3293</v>
      </c>
      <c r="S478" s="272" t="s">
        <v>3293</v>
      </c>
      <c r="T478" s="273"/>
      <c r="U478" s="274"/>
      <c r="V478" s="256"/>
      <c r="W478" s="244"/>
      <c r="X478" s="244"/>
      <c r="Y478" s="362"/>
      <c r="Z478" s="257">
        <f>altaz(J2000_Bas,$O478,$M478,DecLat,DecLong,1)</f>
        <v>-22.391315132792631</v>
      </c>
      <c r="AA478" s="257">
        <f>altaz((J2000_Bas+(2*0.04167)),$O478,$M478,DecLat,DecLong,1)</f>
        <v>-3.6625981940909131</v>
      </c>
      <c r="AB478" s="257">
        <f>altaz((J2000_Bas+(4*0.04167)),$O478,$M478,DecLat,DecLong,1)</f>
        <v>19.379660392912434</v>
      </c>
      <c r="AC478" s="257">
        <f>altaz((J2000_Bas+(6*0.04167)),$O478,$M478,DecLat,DecLong,1)</f>
        <v>44.393088804660152</v>
      </c>
      <c r="AD478" s="258">
        <f>1+ transit((J2000_Bas-1),$O478,$M478,DecLat,DecLong)/360 + (GMTOffset/24) + (IF(DST="Y", 1, 0)/24)</f>
        <v>1.1829346638484581</v>
      </c>
      <c r="AE478" s="259">
        <f>DATE(2001,9,21)+(M478/360)*365 - (360*((DecLong/360)- (GMTOffset/24) ))</f>
        <v>37229.362673611111</v>
      </c>
      <c r="AF478" s="260">
        <f>IF(DecLat&gt;0,IF((90 - (DecLat-O478))&gt;90, (90 - (O478-DecLat)), (90 - (DecLat-O478))),IF((90 + (DecLat-O478))&gt;90, (90 + (O478-DecLat)), (90 + (DecLat-O478))))</f>
        <v>85.283333333333331</v>
      </c>
      <c r="AG478" s="257">
        <f>angularseperation(MoonRA,MoonDec,$M478,$O478)</f>
        <v>178.90894693894103</v>
      </c>
      <c r="AH478" s="261">
        <f ca="1">MIN(100,IF($O$5&gt;80,0+30*($AG478/100),IF($O$5&gt;70,0+50*($AG478/100),IF($O$5&gt;60,5+50*($AG478/100),IF($O$5&gt;50,10+60*($AG478/100),IF($O$5&gt;40,15+70*($AG478/100),IF($O$5&gt;30,20+70*($AG478/100),IF($O$5&gt;20,40+55*($AG478/100),(80+(20-$O$5)+30*($AG478/100))))))))))</f>
        <v>100</v>
      </c>
      <c r="AI478" s="263"/>
      <c r="AJ478" s="263"/>
      <c r="AK478" s="263"/>
      <c r="AL478" s="263"/>
      <c r="AM478" s="264"/>
      <c r="AN478" s="263"/>
      <c r="AO478" s="263"/>
      <c r="AP478" s="265"/>
      <c r="AQ478" s="265"/>
      <c r="AR478" s="285"/>
      <c r="AS478" s="263"/>
      <c r="AT478" s="263"/>
      <c r="AU478" s="263"/>
      <c r="AV478" s="264"/>
      <c r="AW478" s="263">
        <v>19</v>
      </c>
      <c r="AX478" s="263"/>
      <c r="AY478" s="263"/>
      <c r="AZ478" s="263"/>
      <c r="BA478" s="263"/>
      <c r="BB478" s="263"/>
      <c r="BC478" s="263"/>
      <c r="BD478" s="264"/>
      <c r="BE478" s="263"/>
      <c r="BF478" s="263"/>
      <c r="BG478" s="263"/>
      <c r="BH478" s="263"/>
      <c r="BI478" s="263">
        <v>28</v>
      </c>
      <c r="BJ478" s="404">
        <f>altaz(J2000_Bas,$O478,$M478,DecLat,DecLong,2)</f>
        <v>36.26659302913977</v>
      </c>
      <c r="BK478" s="378" t="s">
        <v>579</v>
      </c>
      <c r="BL478" s="379">
        <f>IF((2*G478)/60&lt;0.2,0.2,(2*G478)/60)</f>
        <v>2</v>
      </c>
      <c r="BM478" s="380">
        <f>MOD((50000+AD478-$B$3+(0/24)),1)</f>
        <v>0.39830159355187789</v>
      </c>
      <c r="BN478" s="381"/>
      <c r="BO478" s="382">
        <v>478</v>
      </c>
    </row>
    <row r="479" spans="1:67" s="24" customFormat="1" ht="15" customHeight="1" x14ac:dyDescent="0.25">
      <c r="A479" s="288" t="s">
        <v>580</v>
      </c>
      <c r="B479" s="241" t="str">
        <f>HYPERLINK(CONCATENATE($AT$3,BK479,$AU$3),$AV$3)</f>
        <v>S</v>
      </c>
      <c r="C479" s="242" t="str">
        <f>HYPERLINK(CONCATENATE($AT$4,BK479,$AU$4,BL479),$AV$4)</f>
        <v>A</v>
      </c>
      <c r="D479" s="243" t="s">
        <v>5187</v>
      </c>
      <c r="E479" s="244" t="s">
        <v>5179</v>
      </c>
      <c r="F479" s="269">
        <v>2</v>
      </c>
      <c r="G479" s="276">
        <v>8</v>
      </c>
      <c r="H479" s="271" t="s">
        <v>6500</v>
      </c>
      <c r="I479" s="244" t="s">
        <v>6500</v>
      </c>
      <c r="J479" s="246">
        <v>2</v>
      </c>
      <c r="K479" s="247" t="s">
        <v>9343</v>
      </c>
      <c r="L479" s="248">
        <v>43702</v>
      </c>
      <c r="M479" s="249">
        <f>15*(LEFT(TEXT($L479,"000000"),2)+(MID(TEXT($L479,"000000"),3,2)/60)+(RIGHT(TEXT($L479,"000000"),2)/3600))</f>
        <v>69.25833333333334</v>
      </c>
      <c r="N479" s="286">
        <v>505900</v>
      </c>
      <c r="O479" s="251">
        <f>IF($N479&gt;0,(LEFT(TEXT($N479,"000000"),2)+(MID(TEXT($N479,"000000"),3,2)/60)+(RIGHT(TEXT($N479,"000000"),2)/3600)),-(MID(TEXT($N479,"000000"),2,2)+(MID(TEXT($N479,"000000"),4,2)/60)+(RIGHT(TEXT($N479,"000000"),2)/3600)))</f>
        <v>50.983333333333334</v>
      </c>
      <c r="P479" s="252" t="s">
        <v>43</v>
      </c>
      <c r="Q479" s="253"/>
      <c r="R479" s="277" t="s">
        <v>3293</v>
      </c>
      <c r="S479" s="272" t="s">
        <v>3293</v>
      </c>
      <c r="T479" s="273"/>
      <c r="U479" s="274"/>
      <c r="V479" s="256"/>
      <c r="W479" s="244"/>
      <c r="X479" s="244"/>
      <c r="Y479" s="362"/>
      <c r="Z479" s="257">
        <f>altaz(J2000_Bas,$O479,$M479,DecLat,DecLong,1)</f>
        <v>-1.8477983526740112</v>
      </c>
      <c r="AA479" s="257">
        <f>altaz((J2000_Bas+(2*0.04167)),$O479,$M479,DecLat,DecLong,1)</f>
        <v>10.826381581560023</v>
      </c>
      <c r="AB479" s="257">
        <f>altaz((J2000_Bas+(4*0.04167)),$O479,$M479,DecLat,DecLong,1)</f>
        <v>27.717963194528661</v>
      </c>
      <c r="AC479" s="257">
        <f>altaz((J2000_Bas+(6*0.04167)),$O479,$M479,DecLat,DecLong,1)</f>
        <v>46.460966684404909</v>
      </c>
      <c r="AD479" s="258">
        <f>1+ transit((J2000_Bas-1),$O479,$M479,DecLat,DecLong)/360 + (GMTOffset/24) + (IF(DST="Y", 1, 0)/24)</f>
        <v>1.1852842006505413</v>
      </c>
      <c r="AE479" s="259">
        <f>DATE(2001,9,21)+(M479/360)*365 - (360*((DecLong/360)- (GMTOffset/24) ))</f>
        <v>37230.220254629632</v>
      </c>
      <c r="AF479" s="260">
        <f>IF(DecLat&gt;0,IF((90 - (DecLat-O479))&gt;90, (90 - (O479-DecLat)), (90 - (DecLat-O479))),IF((90 + (DecLat-O479))&gt;90, (90 + (O479-DecLat)), (90 + (DecLat-O479))))</f>
        <v>70.016666666666666</v>
      </c>
      <c r="AG479" s="257">
        <f>angularseperation(MoonRA,MoonDec,$M479,$O479)</f>
        <v>156.10075652073667</v>
      </c>
      <c r="AH479" s="261">
        <f ca="1">MIN(100,IF($O$5&gt;80,0+30*($AG479/100),IF($O$5&gt;70,0+50*($AG479/100),IF($O$5&gt;60,5+50*($AG479/100),IF($O$5&gt;50,10+60*($AG479/100),IF($O$5&gt;40,15+70*($AG479/100),IF($O$5&gt;30,20+70*($AG479/100),IF($O$5&gt;20,40+55*($AG479/100),(80+(20-$O$5)+30*($AG479/100))))))))))</f>
        <v>100</v>
      </c>
      <c r="AI479" s="263"/>
      <c r="AJ479" s="263"/>
      <c r="AK479" s="263"/>
      <c r="AL479" s="263"/>
      <c r="AM479" s="264"/>
      <c r="AN479" s="263"/>
      <c r="AO479" s="263"/>
      <c r="AP479" s="265"/>
      <c r="AQ479" s="265"/>
      <c r="AR479" s="285"/>
      <c r="AS479" s="263"/>
      <c r="AT479" s="263"/>
      <c r="AU479" s="263"/>
      <c r="AV479" s="264"/>
      <c r="AW479" s="263">
        <v>20</v>
      </c>
      <c r="AX479" s="263"/>
      <c r="AY479" s="263"/>
      <c r="AZ479" s="263"/>
      <c r="BA479" s="263"/>
      <c r="BB479" s="263"/>
      <c r="BC479" s="263"/>
      <c r="BD479" s="264"/>
      <c r="BE479" s="263"/>
      <c r="BF479" s="263"/>
      <c r="BG479" s="263"/>
      <c r="BH479" s="263"/>
      <c r="BI479" s="263">
        <v>29</v>
      </c>
      <c r="BJ479" s="404">
        <f>altaz(J2000_Bas,$O479,$M479,DecLat,DecLong,2)</f>
        <v>22.136771513996141</v>
      </c>
      <c r="BK479" s="378" t="s">
        <v>580</v>
      </c>
      <c r="BL479" s="379">
        <f>IF((2*G479)/60&lt;0.2,0.2,(2*G479)/60)</f>
        <v>0.26666666666666666</v>
      </c>
      <c r="BM479" s="380">
        <f>MOD((50000+AD479-$B$3+(0/24)),1)</f>
        <v>0.4006511303523439</v>
      </c>
      <c r="BN479" s="381"/>
      <c r="BO479" s="382">
        <v>479</v>
      </c>
    </row>
    <row r="480" spans="1:67" s="24" customFormat="1" ht="15" customHeight="1" x14ac:dyDescent="0.25">
      <c r="A480" s="288" t="s">
        <v>581</v>
      </c>
      <c r="B480" s="241" t="str">
        <f>HYPERLINK(CONCATENATE($AT$3,BK480,$AU$3),$AV$3)</f>
        <v>S</v>
      </c>
      <c r="C480" s="242" t="str">
        <f>HYPERLINK(CONCATENATE($AT$4,BK480,$AU$4,BL480),$AV$4)</f>
        <v>A</v>
      </c>
      <c r="D480" s="243" t="s">
        <v>5187</v>
      </c>
      <c r="E480" s="244" t="s">
        <v>5179</v>
      </c>
      <c r="F480" s="269">
        <v>4</v>
      </c>
      <c r="G480" s="276">
        <v>10</v>
      </c>
      <c r="H480" s="271" t="s">
        <v>6500</v>
      </c>
      <c r="I480" s="244" t="s">
        <v>6500</v>
      </c>
      <c r="J480" s="246">
        <v>0</v>
      </c>
      <c r="K480" s="247" t="s">
        <v>5950</v>
      </c>
      <c r="L480" s="248">
        <v>43755</v>
      </c>
      <c r="M480" s="249">
        <f>15*(LEFT(TEXT($L480,"000000"),2)+(MID(TEXT($L480,"000000"),3,2)/60)+(RIGHT(TEXT($L480,"000000"),2)/3600))</f>
        <v>69.479166666666671</v>
      </c>
      <c r="N480" s="286">
        <v>552200</v>
      </c>
      <c r="O480" s="251">
        <f>IF($N480&gt;0,(LEFT(TEXT($N480,"000000"),2)+(MID(TEXT($N480,"000000"),3,2)/60)+(RIGHT(TEXT($N480,"000000"),2)/3600)),-(MID(TEXT($N480,"000000"),2,2)+(MID(TEXT($N480,"000000"),4,2)/60)+(RIGHT(TEXT($N480,"000000"),2)/3600)))</f>
        <v>55.366666666666667</v>
      </c>
      <c r="P480" s="252" t="s">
        <v>43</v>
      </c>
      <c r="Q480" s="253"/>
      <c r="R480" s="277" t="s">
        <v>3293</v>
      </c>
      <c r="S480" s="272" t="s">
        <v>3293</v>
      </c>
      <c r="T480" s="273"/>
      <c r="U480" s="274"/>
      <c r="V480" s="256"/>
      <c r="W480" s="244"/>
      <c r="X480" s="244"/>
      <c r="Y480" s="362"/>
      <c r="Z480" s="257">
        <f>altaz(J2000_Bas,$O480,$M480,DecLat,DecLong,1)</f>
        <v>1.850871348465742</v>
      </c>
      <c r="AA480" s="257">
        <f>altaz((J2000_Bas+(2*0.04167)),$O480,$M480,DecLat,DecLong,1)</f>
        <v>13.318809814800042</v>
      </c>
      <c r="AB480" s="257">
        <f>altaz((J2000_Bas+(4*0.04167)),$O480,$M480,DecLat,DecLong,1)</f>
        <v>28.721282593354946</v>
      </c>
      <c r="AC480" s="257">
        <f>altaz((J2000_Bas+(6*0.04167)),$O480,$M480,DecLat,DecLong,1)</f>
        <v>45.678713551631724</v>
      </c>
      <c r="AD480" s="258">
        <f>1+ transit((J2000_Bas-1),$O480,$M480,DecLat,DecLong)/360 + (GMTOffset/24) + (IF(DST="Y", 1, 0)/24)</f>
        <v>1.1858976265151246</v>
      </c>
      <c r="AE480" s="259">
        <f>DATE(2001,9,21)+(M480/360)*365 - (360*((DecLong/360)- (GMTOffset/24) ))</f>
        <v>37230.444155092591</v>
      </c>
      <c r="AF480" s="260">
        <f>IF(DecLat&gt;0,IF((90 - (DecLat-O480))&gt;90, (90 - (O480-DecLat)), (90 - (DecLat-O480))),IF((90 + (DecLat-O480))&gt;90, (90 + (O480-DecLat)), (90 + (DecLat-O480))))</f>
        <v>65.633333333333326</v>
      </c>
      <c r="AG480" s="257">
        <f>angularseperation(MoonRA,MoonDec,$M480,$O480)</f>
        <v>151.71690186723509</v>
      </c>
      <c r="AH480" s="261">
        <f ca="1">MIN(100,IF($O$5&gt;80,0+30*($AG480/100),IF($O$5&gt;70,0+50*($AG480/100),IF($O$5&gt;60,5+50*($AG480/100),IF($O$5&gt;50,10+60*($AG480/100),IF($O$5&gt;40,15+70*($AG480/100),IF($O$5&gt;30,20+70*($AG480/100),IF($O$5&gt;20,40+55*($AG480/100),(80+(20-$O$5)+30*($AG480/100))))))))))</f>
        <v>100</v>
      </c>
      <c r="AI480" s="263"/>
      <c r="AJ480" s="263"/>
      <c r="AK480" s="263"/>
      <c r="AL480" s="263"/>
      <c r="AM480" s="264"/>
      <c r="AN480" s="263"/>
      <c r="AO480" s="263"/>
      <c r="AP480" s="265"/>
      <c r="AQ480" s="265"/>
      <c r="AR480" s="285"/>
      <c r="AS480" s="263"/>
      <c r="AT480" s="263"/>
      <c r="AU480" s="263"/>
      <c r="AV480" s="264"/>
      <c r="AW480" s="263">
        <v>21</v>
      </c>
      <c r="AX480" s="263"/>
      <c r="AY480" s="263"/>
      <c r="AZ480" s="263"/>
      <c r="BA480" s="263"/>
      <c r="BB480" s="263"/>
      <c r="BC480" s="263"/>
      <c r="BD480" s="264"/>
      <c r="BE480" s="263"/>
      <c r="BF480" s="263"/>
      <c r="BG480" s="263"/>
      <c r="BH480" s="263"/>
      <c r="BI480" s="263"/>
      <c r="BJ480" s="404">
        <f>altaz(J2000_Bas,$O480,$M480,DecLat,DecLong,2)</f>
        <v>19.780323479492676</v>
      </c>
      <c r="BK480" s="378" t="s">
        <v>581</v>
      </c>
      <c r="BL480" s="379">
        <f>IF((2*G480)/60&lt;0.2,0.2,(2*G480)/60)</f>
        <v>0.33333333333333331</v>
      </c>
      <c r="BM480" s="380">
        <f>MOD((50000+AD480-$B$3+(0/24)),1)</f>
        <v>0.40126455621793866</v>
      </c>
      <c r="BN480" s="381"/>
      <c r="BO480" s="382">
        <v>480</v>
      </c>
    </row>
    <row r="481" spans="1:67" s="24" customFormat="1" ht="15" customHeight="1" x14ac:dyDescent="0.25">
      <c r="A481" s="288" t="s">
        <v>582</v>
      </c>
      <c r="B481" s="241" t="str">
        <f>HYPERLINK(CONCATENATE($AT$3,BK481,$AU$3),$AV$3)</f>
        <v>S</v>
      </c>
      <c r="C481" s="242" t="str">
        <f>HYPERLINK(CONCATENATE($AT$4,BK481,$AU$4,BL481),$AV$4)</f>
        <v>A</v>
      </c>
      <c r="D481" s="243" t="s">
        <v>5187</v>
      </c>
      <c r="E481" s="244" t="s">
        <v>5179</v>
      </c>
      <c r="F481" s="269">
        <v>4</v>
      </c>
      <c r="G481" s="276">
        <v>120</v>
      </c>
      <c r="H481" s="271" t="s">
        <v>6500</v>
      </c>
      <c r="I481" s="244" t="s">
        <v>6500</v>
      </c>
      <c r="J481" s="246">
        <v>3</v>
      </c>
      <c r="K481" s="247" t="s">
        <v>9344</v>
      </c>
      <c r="L481" s="248">
        <v>43839</v>
      </c>
      <c r="M481" s="249">
        <f>15*(LEFT(TEXT($L481,"000000"),2)+(MID(TEXT($L481,"000000"),3,2)/60)+(RIGHT(TEXT($L481,"000000"),2)/3600))</f>
        <v>69.662499999999994</v>
      </c>
      <c r="N481" s="286">
        <v>260400</v>
      </c>
      <c r="O481" s="251">
        <f>IF($N481&gt;0,(LEFT(TEXT($N481,"000000"),2)+(MID(TEXT($N481,"000000"),3,2)/60)+(RIGHT(TEXT($N481,"000000"),2)/3600)),-(MID(TEXT($N481,"000000"),2,2)+(MID(TEXT($N481,"000000"),4,2)/60)+(RIGHT(TEXT($N481,"000000"),2)/3600)))</f>
        <v>26.066666666666666</v>
      </c>
      <c r="P481" s="252" t="s">
        <v>56</v>
      </c>
      <c r="Q481" s="253"/>
      <c r="R481" s="247" t="s">
        <v>3293</v>
      </c>
      <c r="S481" s="272"/>
      <c r="T481" s="273"/>
      <c r="U481" s="274"/>
      <c r="V481" s="256"/>
      <c r="W481" s="244"/>
      <c r="X481" s="244"/>
      <c r="Y481" s="362"/>
      <c r="Z481" s="257">
        <f>altaz(J2000_Bas,$O481,$M481,DecLat,DecLong,1)</f>
        <v>-23.198151713281788</v>
      </c>
      <c r="AA481" s="257">
        <f>altaz((J2000_Bas+(2*0.04167)),$O481,$M481,DecLat,DecLong,1)</f>
        <v>-4.6828539224754513</v>
      </c>
      <c r="AB481" s="257">
        <f>altaz((J2000_Bas+(4*0.04167)),$O481,$M481,DecLat,DecLong,1)</f>
        <v>18.276525945152173</v>
      </c>
      <c r="AC481" s="257">
        <f>altaz((J2000_Bas+(6*0.04167)),$O481,$M481,DecLat,DecLong,1)</f>
        <v>43.261539586194125</v>
      </c>
      <c r="AD481" s="258">
        <f>1+ transit((J2000_Bas-1),$O481,$M481,DecLat,DecLong)/360 + (GMTOffset/24) + (IF(DST="Y", 1, 0)/24)</f>
        <v>1.186406885723458</v>
      </c>
      <c r="AE481" s="259">
        <f>DATE(2001,9,21)+(M481/360)*365 - (360*((DecLong/360)- (GMTOffset/24) ))</f>
        <v>37230.63003472222</v>
      </c>
      <c r="AF481" s="260">
        <f>IF(DecLat&gt;0,IF((90 - (DecLat-O481))&gt;90, (90 - (O481-DecLat)), (90 - (DecLat-O481))),IF((90 + (DecLat-O481))&gt;90, (90 + (O481-DecLat)), (90 + (DecLat-O481))))</f>
        <v>85.066666666666663</v>
      </c>
      <c r="AG481" s="257">
        <f>angularseperation(MoonRA,MoonDec,$M481,$O481)</f>
        <v>178.91526977758963</v>
      </c>
      <c r="AH481" s="261">
        <f ca="1">MIN(100,IF($O$5&gt;80,0+30*($AG481/100),IF($O$5&gt;70,0+50*($AG481/100),IF($O$5&gt;60,5+50*($AG481/100),IF($O$5&gt;50,10+60*($AG481/100),IF($O$5&gt;40,15+70*($AG481/100),IF($O$5&gt;30,20+70*($AG481/100),IF($O$5&gt;20,40+55*($AG481/100),(80+(20-$O$5)+30*($AG481/100))))))))))</f>
        <v>100</v>
      </c>
      <c r="AI481" s="262"/>
      <c r="AJ481" s="262"/>
      <c r="AK481" s="262"/>
      <c r="AL481" s="263"/>
      <c r="AM481" s="264"/>
      <c r="AN481" s="263"/>
      <c r="AO481" s="263"/>
      <c r="AP481" s="265"/>
      <c r="AQ481" s="266"/>
      <c r="AR481" s="267"/>
      <c r="AS481" s="263"/>
      <c r="AT481" s="263"/>
      <c r="AU481" s="263"/>
      <c r="AV481" s="264"/>
      <c r="AW481" s="263">
        <v>22</v>
      </c>
      <c r="AX481" s="263"/>
      <c r="AY481" s="263"/>
      <c r="AZ481" s="263"/>
      <c r="BA481" s="263"/>
      <c r="BB481" s="263"/>
      <c r="BC481" s="263"/>
      <c r="BD481" s="264"/>
      <c r="BE481" s="263"/>
      <c r="BF481" s="263"/>
      <c r="BG481" s="263"/>
      <c r="BH481" s="263"/>
      <c r="BI481" s="263">
        <v>30</v>
      </c>
      <c r="BJ481" s="404">
        <f>altaz(J2000_Bas,$O481,$M481,DecLat,DecLong,2)</f>
        <v>35.389089699525393</v>
      </c>
      <c r="BK481" s="378" t="s">
        <v>582</v>
      </c>
      <c r="BL481" s="379">
        <f>IF((2*G481)/60&lt;0.2,0.2,(2*G481)/60)</f>
        <v>4</v>
      </c>
      <c r="BM481" s="380">
        <f>MOD((50000+AD481-$B$3+(0/24)),1)</f>
        <v>0.40177381542889634</v>
      </c>
      <c r="BN481" s="381"/>
      <c r="BO481" s="382">
        <v>481</v>
      </c>
    </row>
    <row r="482" spans="1:67" s="24" customFormat="1" ht="15" customHeight="1" x14ac:dyDescent="0.25">
      <c r="A482" s="288" t="s">
        <v>583</v>
      </c>
      <c r="B482" s="241" t="str">
        <f>HYPERLINK(CONCATENATE($AT$3,BK482,$AU$3),$AV$3)</f>
        <v>S</v>
      </c>
      <c r="C482" s="242" t="str">
        <f>HYPERLINK(CONCATENATE($AT$4,BK482,$AU$4,BL482),$AV$4)</f>
        <v>A</v>
      </c>
      <c r="D482" s="243" t="s">
        <v>5187</v>
      </c>
      <c r="E482" s="244" t="s">
        <v>5179</v>
      </c>
      <c r="F482" s="269">
        <v>5</v>
      </c>
      <c r="G482" s="273">
        <v>5</v>
      </c>
      <c r="H482" s="271" t="s">
        <v>6500</v>
      </c>
      <c r="I482" s="244" t="s">
        <v>6500</v>
      </c>
      <c r="J482" s="246">
        <v>2</v>
      </c>
      <c r="K482" s="247" t="s">
        <v>9345</v>
      </c>
      <c r="L482" s="248">
        <v>44032</v>
      </c>
      <c r="M482" s="249">
        <f>15*(LEFT(TEXT($L482,"000000"),2)+(MID(TEXT($L482,"000000"),3,2)/60)+(RIGHT(TEXT($L482,"000000"),2)/3600))</f>
        <v>70.133333333333326</v>
      </c>
      <c r="N482" s="250">
        <v>295400</v>
      </c>
      <c r="O482" s="251">
        <f>IF($N482&gt;0,(LEFT(TEXT($N482,"000000"),2)+(MID(TEXT($N482,"000000"),3,2)/60)+(RIGHT(TEXT($N482,"000000"),2)/3600)),-(MID(TEXT($N482,"000000"),2,2)+(MID(TEXT($N482,"000000"),4,2)/60)+(RIGHT(TEXT($N482,"000000"),2)/3600)))</f>
        <v>29.9</v>
      </c>
      <c r="P482" s="252" t="s">
        <v>56</v>
      </c>
      <c r="Q482" s="253"/>
      <c r="R482" s="277" t="s">
        <v>3293</v>
      </c>
      <c r="S482" s="272" t="s">
        <v>3293</v>
      </c>
      <c r="T482" s="273"/>
      <c r="U482" s="274"/>
      <c r="V482" s="256"/>
      <c r="W482" s="244"/>
      <c r="X482" s="244"/>
      <c r="Y482" s="362"/>
      <c r="Z482" s="257">
        <f>altaz(J2000_Bas,$O482,$M482,DecLat,DecLong,1)</f>
        <v>-20.207155130045347</v>
      </c>
      <c r="AA482" s="257">
        <f>altaz((J2000_Bas+(2*0.04167)),$O482,$M482,DecLat,DecLong,1)</f>
        <v>-2.6389863368874904</v>
      </c>
      <c r="AB482" s="257">
        <f>altaz((J2000_Bas+(4*0.04167)),$O482,$M482,DecLat,DecLong,1)</f>
        <v>19.56692766312214</v>
      </c>
      <c r="AC482" s="257">
        <f>altaz((J2000_Bas+(6*0.04167)),$O482,$M482,DecLat,DecLong,1)</f>
        <v>44.011104038124984</v>
      </c>
      <c r="AD482" s="258">
        <f>1+ transit((J2000_Bas-1),$O482,$M482,DecLat,DecLong)/360 + (GMTOffset/24) + (IF(DST="Y", 1, 0)/24)</f>
        <v>1.1877147559630414</v>
      </c>
      <c r="AE482" s="259">
        <f>DATE(2001,9,21)+(M482/360)*365 - (360*((DecLong/360)- (GMTOffset/24) ))</f>
        <v>37231.107407407406</v>
      </c>
      <c r="AF482" s="260">
        <f>IF(DecLat&gt;0,IF((90 - (DecLat-O482))&gt;90, (90 - (O482-DecLat)), (90 - (DecLat-O482))),IF((90 + (DecLat-O482))&gt;90, (90 + (O482-DecLat)), (90 + (DecLat-O482))))</f>
        <v>88.9</v>
      </c>
      <c r="AG482" s="257">
        <f>angularseperation(MoonRA,MoonDec,$M482,$O482)</f>
        <v>177.07717637031334</v>
      </c>
      <c r="AH482" s="261">
        <f ca="1">MIN(100,IF($O$5&gt;80,0+30*($AG482/100),IF($O$5&gt;70,0+50*($AG482/100),IF($O$5&gt;60,5+50*($AG482/100),IF($O$5&gt;50,10+60*($AG482/100),IF($O$5&gt;40,15+70*($AG482/100),IF($O$5&gt;30,20+70*($AG482/100),IF($O$5&gt;20,40+55*($AG482/100),(80+(20-$O$5)+30*($AG482/100))))))))))</f>
        <v>100</v>
      </c>
      <c r="AI482" s="263"/>
      <c r="AJ482" s="263"/>
      <c r="AK482" s="263"/>
      <c r="AL482" s="263"/>
      <c r="AM482" s="264"/>
      <c r="AN482" s="263"/>
      <c r="AO482" s="263"/>
      <c r="AP482" s="265"/>
      <c r="AQ482" s="265"/>
      <c r="AR482" s="285"/>
      <c r="AS482" s="263"/>
      <c r="AT482" s="263"/>
      <c r="AU482" s="263"/>
      <c r="AV482" s="264"/>
      <c r="AW482" s="263">
        <v>23</v>
      </c>
      <c r="AX482" s="263"/>
      <c r="AY482" s="263"/>
      <c r="AZ482" s="263"/>
      <c r="BA482" s="263"/>
      <c r="BB482" s="263"/>
      <c r="BC482" s="263"/>
      <c r="BD482" s="264"/>
      <c r="BE482" s="263"/>
      <c r="BF482" s="263"/>
      <c r="BG482" s="263"/>
      <c r="BH482" s="263"/>
      <c r="BI482" s="263">
        <v>31</v>
      </c>
      <c r="BJ482" s="404">
        <f>altaz(J2000_Bas,$O482,$M482,DecLat,DecLong,2)</f>
        <v>32.769634319395976</v>
      </c>
      <c r="BK482" s="378" t="s">
        <v>583</v>
      </c>
      <c r="BL482" s="379">
        <f>IF((2*G482)/60&lt;0.2,0.2,(2*G482)/60)</f>
        <v>0.2</v>
      </c>
      <c r="BM482" s="380">
        <f>MOD((50000+AD482-$B$3+(0/24)),1)</f>
        <v>0.4030816856684396</v>
      </c>
      <c r="BN482" s="381"/>
      <c r="BO482" s="382">
        <v>482</v>
      </c>
    </row>
    <row r="483" spans="1:67" s="24" customFormat="1" ht="15" customHeight="1" x14ac:dyDescent="0.25">
      <c r="A483" s="288" t="s">
        <v>584</v>
      </c>
      <c r="B483" s="241" t="str">
        <f>HYPERLINK(CONCATENATE($AT$3,BK483,$AU$3),$AV$3)</f>
        <v>S</v>
      </c>
      <c r="C483" s="242" t="str">
        <f>HYPERLINK(CONCATENATE($AT$4,BK483,$AU$4,BL483),$AV$4)</f>
        <v>A</v>
      </c>
      <c r="D483" s="243" t="s">
        <v>5187</v>
      </c>
      <c r="E483" s="244" t="s">
        <v>5179</v>
      </c>
      <c r="F483" s="269">
        <v>5</v>
      </c>
      <c r="G483" s="273">
        <v>8</v>
      </c>
      <c r="H483" s="271" t="s">
        <v>6500</v>
      </c>
      <c r="I483" s="244" t="s">
        <v>6500</v>
      </c>
      <c r="J483" s="246">
        <v>1</v>
      </c>
      <c r="K483" s="247" t="s">
        <v>5951</v>
      </c>
      <c r="L483" s="248">
        <v>44252</v>
      </c>
      <c r="M483" s="249">
        <f>15*(LEFT(TEXT($L483,"000000"),2)+(MID(TEXT($L483,"000000"),3,2)/60)+(RIGHT(TEXT($L483,"000000"),2)/3600))</f>
        <v>70.716666666666669</v>
      </c>
      <c r="N483" s="286">
        <v>294500</v>
      </c>
      <c r="O483" s="251">
        <f>IF($N483&gt;0,(LEFT(TEXT($N483,"000000"),2)+(MID(TEXT($N483,"000000"),3,2)/60)+(RIGHT(TEXT($N483,"000000"),2)/3600)),-(MID(TEXT($N483,"000000"),2,2)+(MID(TEXT($N483,"000000"),4,2)/60)+(RIGHT(TEXT($N483,"000000"),2)/3600)))</f>
        <v>29.75</v>
      </c>
      <c r="P483" s="252" t="s">
        <v>43</v>
      </c>
      <c r="Q483" s="253"/>
      <c r="R483" s="277" t="s">
        <v>3293</v>
      </c>
      <c r="S483" s="272" t="s">
        <v>3293</v>
      </c>
      <c r="T483" s="273"/>
      <c r="U483" s="274"/>
      <c r="V483" s="256"/>
      <c r="W483" s="244"/>
      <c r="X483" s="244"/>
      <c r="Y483" s="362"/>
      <c r="Z483" s="257">
        <f>altaz(J2000_Bas,$O483,$M483,DecLat,DecLong,1)</f>
        <v>-20.603432875601996</v>
      </c>
      <c r="AA483" s="257">
        <f>altaz((J2000_Bas+(2*0.04167)),$O483,$M483,DecLat,DecLong,1)</f>
        <v>-3.1282182110090724</v>
      </c>
      <c r="AB483" s="257">
        <f>altaz((J2000_Bas+(4*0.04167)),$O483,$M483,DecLat,DecLong,1)</f>
        <v>19.045372184724886</v>
      </c>
      <c r="AC483" s="257">
        <f>altaz((J2000_Bas+(6*0.04167)),$O483,$M483,DecLat,DecLong,1)</f>
        <v>43.483308087603213</v>
      </c>
      <c r="AD483" s="258">
        <f>1+ transit((J2000_Bas-1),$O483,$M483,DecLat,DecLong)/360 + (GMTOffset/24) + (IF(DST="Y", 1, 0)/24)</f>
        <v>1.1893351261713747</v>
      </c>
      <c r="AE483" s="259">
        <f>DATE(2001,9,21)+(M483/360)*365 - (360*((DecLong/360)- (GMTOffset/24) ))</f>
        <v>37231.698842592596</v>
      </c>
      <c r="AF483" s="260">
        <f>IF(DecLat&gt;0,IF((90 - (DecLat-O483))&gt;90, (90 - (O483-DecLat)), (90 - (DecLat-O483))),IF((90 + (DecLat-O483))&gt;90, (90 + (O483-DecLat)), (90 + (DecLat-O483))))</f>
        <v>88.75</v>
      </c>
      <c r="AG483" s="257">
        <f>angularseperation(MoonRA,MoonDec,$M483,$O483)</f>
        <v>177.03540477286651</v>
      </c>
      <c r="AH483" s="261">
        <f ca="1">MIN(100,IF($O$5&gt;80,0+30*($AG483/100),IF($O$5&gt;70,0+50*($AG483/100),IF($O$5&gt;60,5+50*($AG483/100),IF($O$5&gt;50,10+60*($AG483/100),IF($O$5&gt;40,15+70*($AG483/100),IF($O$5&gt;30,20+70*($AG483/100),IF($O$5&gt;20,40+55*($AG483/100),(80+(20-$O$5)+30*($AG483/100))))))))))</f>
        <v>100</v>
      </c>
      <c r="AI483" s="263"/>
      <c r="AJ483" s="263"/>
      <c r="AK483" s="263"/>
      <c r="AL483" s="263"/>
      <c r="AM483" s="264"/>
      <c r="AN483" s="263"/>
      <c r="AO483" s="263"/>
      <c r="AP483" s="265"/>
      <c r="AQ483" s="265"/>
      <c r="AR483" s="285"/>
      <c r="AS483" s="263"/>
      <c r="AT483" s="263"/>
      <c r="AU483" s="263"/>
      <c r="AV483" s="264"/>
      <c r="AW483" s="263">
        <v>24</v>
      </c>
      <c r="AX483" s="263"/>
      <c r="AY483" s="263"/>
      <c r="AZ483" s="263"/>
      <c r="BA483" s="263"/>
      <c r="BB483" s="263"/>
      <c r="BC483" s="263"/>
      <c r="BD483" s="264"/>
      <c r="BE483" s="263"/>
      <c r="BF483" s="263"/>
      <c r="BG483" s="263"/>
      <c r="BH483" s="263"/>
      <c r="BI483" s="263"/>
      <c r="BJ483" s="404">
        <f>altaz(J2000_Bas,$O483,$M483,DecLat,DecLong,2)</f>
        <v>32.397620518647706</v>
      </c>
      <c r="BK483" s="378" t="s">
        <v>584</v>
      </c>
      <c r="BL483" s="379">
        <f>IF((2*G483)/60&lt;0.2,0.2,(2*G483)/60)</f>
        <v>0.26666666666666666</v>
      </c>
      <c r="BM483" s="380">
        <f>MOD((50000+AD483-$B$3+(0/24)),1)</f>
        <v>0.40470205587189412</v>
      </c>
      <c r="BN483" s="381"/>
      <c r="BO483" s="382">
        <v>483</v>
      </c>
    </row>
    <row r="484" spans="1:67" s="24" customFormat="1" ht="15" customHeight="1" x14ac:dyDescent="0.25">
      <c r="A484" s="288" t="s">
        <v>585</v>
      </c>
      <c r="B484" s="241" t="str">
        <f>HYPERLINK(CONCATENATE($AT$3,BK484,$AU$3),$AV$3)</f>
        <v>S</v>
      </c>
      <c r="C484" s="242" t="str">
        <f>HYPERLINK(CONCATENATE($AT$4,BK484,$AU$4,BL484),$AV$4)</f>
        <v>A</v>
      </c>
      <c r="D484" s="243" t="s">
        <v>5187</v>
      </c>
      <c r="E484" s="244" t="s">
        <v>5179</v>
      </c>
      <c r="F484" s="269">
        <v>3</v>
      </c>
      <c r="G484" s="273">
        <v>8</v>
      </c>
      <c r="H484" s="271" t="s">
        <v>6500</v>
      </c>
      <c r="I484" s="244" t="s">
        <v>6500</v>
      </c>
      <c r="J484" s="246">
        <v>0</v>
      </c>
      <c r="K484" s="247" t="s">
        <v>5952</v>
      </c>
      <c r="L484" s="248">
        <v>45202</v>
      </c>
      <c r="M484" s="249">
        <f>15*(LEFT(TEXT($L484,"000000"),2)+(MID(TEXT($L484,"000000"),3,2)/60)+(RIGHT(TEXT($L484,"000000"),2)/3600))</f>
        <v>73.00833333333334</v>
      </c>
      <c r="N484" s="286">
        <v>460200</v>
      </c>
      <c r="O484" s="251">
        <f>IF($N484&gt;0,(LEFT(TEXT($N484,"000000"),2)+(MID(TEXT($N484,"000000"),3,2)/60)+(RIGHT(TEXT($N484,"000000"),2)/3600)),-(MID(TEXT($N484,"000000"),2,2)+(MID(TEXT($N484,"000000"),4,2)/60)+(RIGHT(TEXT($N484,"000000"),2)/3600)))</f>
        <v>46.033333333333331</v>
      </c>
      <c r="P484" s="252" t="s">
        <v>62</v>
      </c>
      <c r="Q484" s="253"/>
      <c r="R484" s="277" t="s">
        <v>3293</v>
      </c>
      <c r="S484" s="272" t="s">
        <v>3293</v>
      </c>
      <c r="T484" s="273"/>
      <c r="U484" s="274"/>
      <c r="V484" s="256"/>
      <c r="W484" s="244"/>
      <c r="X484" s="244"/>
      <c r="Y484" s="362"/>
      <c r="Z484" s="257">
        <f>altaz(J2000_Bas,$O484,$M484,DecLat,DecLong,1)</f>
        <v>-7.3778704513541413</v>
      </c>
      <c r="AA484" s="257">
        <f>altaz((J2000_Bas+(2*0.04167)),$O484,$M484,DecLat,DecLong,1)</f>
        <v>5.8120078626507974</v>
      </c>
      <c r="AB484" s="257">
        <f>altaz((J2000_Bas+(4*0.04167)),$O484,$M484,DecLat,DecLong,1)</f>
        <v>23.799290716193219</v>
      </c>
      <c r="AC484" s="257">
        <f>altaz((J2000_Bas+(6*0.04167)),$O484,$M484,DecLat,DecLong,1)</f>
        <v>44.183256702788732</v>
      </c>
      <c r="AD484" s="258">
        <f>1+ transit((J2000_Bas-1),$O484,$M484,DecLat,DecLong)/360 + (GMTOffset/24) + (IF(DST="Y", 1, 0)/24)</f>
        <v>1.1957008662755413</v>
      </c>
      <c r="AE484" s="259">
        <f>DATE(2001,9,21)+(M484/360)*365 - (360*((DecLong/360)- (GMTOffset/24) ))</f>
        <v>37234.022337962961</v>
      </c>
      <c r="AF484" s="260">
        <f>IF(DecLat&gt;0,IF((90 - (DecLat-O484))&gt;90, (90 - (O484-DecLat)), (90 - (DecLat-O484))),IF((90 + (DecLat-O484))&gt;90, (90 + (O484-DecLat)), (90 + (DecLat-O484))))</f>
        <v>74.966666666666669</v>
      </c>
      <c r="AG484" s="257">
        <f>angularseperation(MoonRA,MoonDec,$M484,$O484)</f>
        <v>160.81659860542311</v>
      </c>
      <c r="AH484" s="261">
        <f ca="1">MIN(100,IF($O$5&gt;80,0+30*($AG484/100),IF($O$5&gt;70,0+50*($AG484/100),IF($O$5&gt;60,5+50*($AG484/100),IF($O$5&gt;50,10+60*($AG484/100),IF($O$5&gt;40,15+70*($AG484/100),IF($O$5&gt;30,20+70*($AG484/100),IF($O$5&gt;20,40+55*($AG484/100),(80+(20-$O$5)+30*($AG484/100))))))))))</f>
        <v>100</v>
      </c>
      <c r="AI484" s="263"/>
      <c r="AJ484" s="263"/>
      <c r="AK484" s="263"/>
      <c r="AL484" s="263"/>
      <c r="AM484" s="264"/>
      <c r="AN484" s="263"/>
      <c r="AO484" s="263"/>
      <c r="AP484" s="265"/>
      <c r="AQ484" s="265"/>
      <c r="AR484" s="285"/>
      <c r="AS484" s="263"/>
      <c r="AT484" s="263"/>
      <c r="AU484" s="263"/>
      <c r="AV484" s="264"/>
      <c r="AW484" s="263">
        <v>25</v>
      </c>
      <c r="AX484" s="263"/>
      <c r="AY484" s="263"/>
      <c r="AZ484" s="263"/>
      <c r="BA484" s="263"/>
      <c r="BB484" s="263"/>
      <c r="BC484" s="263"/>
      <c r="BD484" s="264"/>
      <c r="BE484" s="263"/>
      <c r="BF484" s="263"/>
      <c r="BG484" s="263"/>
      <c r="BH484" s="263"/>
      <c r="BI484" s="263"/>
      <c r="BJ484" s="404">
        <f>altaz(J2000_Bas,$O484,$M484,DecLat,DecLong,2)</f>
        <v>22.408539447476269</v>
      </c>
      <c r="BK484" s="378" t="s">
        <v>585</v>
      </c>
      <c r="BL484" s="379">
        <f>IF((2*G484)/60&lt;0.2,0.2,(2*G484)/60)</f>
        <v>0.26666666666666666</v>
      </c>
      <c r="BM484" s="380">
        <f>MOD((50000+AD484-$B$3+(0/24)),1)</f>
        <v>0.41106779597612331</v>
      </c>
      <c r="BN484" s="381"/>
      <c r="BO484" s="382">
        <v>484</v>
      </c>
    </row>
    <row r="485" spans="1:67" s="24" customFormat="1" ht="15" customHeight="1" x14ac:dyDescent="0.25">
      <c r="A485" s="288" t="s">
        <v>586</v>
      </c>
      <c r="B485" s="241" t="str">
        <f>HYPERLINK(CONCATENATE($AT$3,BK485,$AU$3),$AV$3)</f>
        <v>S</v>
      </c>
      <c r="C485" s="242" t="str">
        <f>HYPERLINK(CONCATENATE($AT$4,BK485,$AU$4,BL485),$AV$4)</f>
        <v>A</v>
      </c>
      <c r="D485" s="243" t="s">
        <v>5187</v>
      </c>
      <c r="E485" s="244" t="s">
        <v>5179</v>
      </c>
      <c r="F485" s="269">
        <v>6</v>
      </c>
      <c r="G485" s="273">
        <v>8</v>
      </c>
      <c r="H485" s="271" t="s">
        <v>6500</v>
      </c>
      <c r="I485" s="244" t="s">
        <v>6500</v>
      </c>
      <c r="J485" s="246">
        <v>2</v>
      </c>
      <c r="K485" s="247" t="s">
        <v>5953</v>
      </c>
      <c r="L485" s="248">
        <v>45437</v>
      </c>
      <c r="M485" s="249">
        <f>15*(LEFT(TEXT($L485,"000000"),2)+(MID(TEXT($L485,"000000"),3,2)/60)+(RIGHT(TEXT($L485,"000000"),2)/3600))</f>
        <v>73.654166666666669</v>
      </c>
      <c r="N485" s="286">
        <v>303800</v>
      </c>
      <c r="O485" s="251">
        <f>IF($N485&gt;0,(LEFT(TEXT($N485,"000000"),2)+(MID(TEXT($N485,"000000"),3,2)/60)+(RIGHT(TEXT($N485,"000000"),2)/3600)),-(MID(TEXT($N485,"000000"),2,2)+(MID(TEXT($N485,"000000"),4,2)/60)+(RIGHT(TEXT($N485,"000000"),2)/3600)))</f>
        <v>30.633333333333333</v>
      </c>
      <c r="P485" s="252" t="s">
        <v>62</v>
      </c>
      <c r="Q485" s="253"/>
      <c r="R485" s="247" t="s">
        <v>3293</v>
      </c>
      <c r="S485" s="272" t="s">
        <v>5301</v>
      </c>
      <c r="T485" s="273"/>
      <c r="U485" s="274"/>
      <c r="V485" s="256"/>
      <c r="W485" s="244"/>
      <c r="X485" s="244"/>
      <c r="Y485" s="362"/>
      <c r="Z485" s="257">
        <f>altaz(J2000_Bas,$O485,$M485,DecLat,DecLong,1)</f>
        <v>-21.140261689125946</v>
      </c>
      <c r="AA485" s="257">
        <f>altaz((J2000_Bas+(2*0.04167)),$O485,$M485,DecLat,DecLong,1)</f>
        <v>-4.5248793555271991</v>
      </c>
      <c r="AB485" s="257">
        <f>altaz((J2000_Bas+(4*0.04167)),$O485,$M485,DecLat,DecLong,1)</f>
        <v>17.147376742728568</v>
      </c>
      <c r="AC485" s="257">
        <f>altaz((J2000_Bas+(6*0.04167)),$O485,$M485,DecLat,DecLong,1)</f>
        <v>41.286487255209117</v>
      </c>
      <c r="AD485" s="258">
        <f>1+ transit((J2000_Bas-1),$O485,$M485,DecLat,DecLong)/360 + (GMTOffset/24) + (IF(DST="Y", 1, 0)/24)</f>
        <v>1.1974948475776246</v>
      </c>
      <c r="AE485" s="259">
        <f>DATE(2001,9,21)+(M485/360)*365 - (360*((DecLong/360)- (GMTOffset/24) ))</f>
        <v>37234.677141203705</v>
      </c>
      <c r="AF485" s="260">
        <f>IF(DecLat&gt;0,IF((90 - (DecLat-O485))&gt;90, (90 - (O485-DecLat)), (90 - (DecLat-O485))),IF((90 + (DecLat-O485))&gt;90, (90 + (O485-DecLat)), (90 + (DecLat-O485))))</f>
        <v>89.633333333333326</v>
      </c>
      <c r="AG485" s="257">
        <f>angularseperation(MoonRA,MoonDec,$M485,$O485)</f>
        <v>174.75413186584498</v>
      </c>
      <c r="AH485" s="261">
        <f ca="1">MIN(100,IF($O$5&gt;80,0+30*($AG485/100),IF($O$5&gt;70,0+50*($AG485/100),IF($O$5&gt;60,5+50*($AG485/100),IF($O$5&gt;50,10+60*($AG485/100),IF($O$5&gt;40,15+70*($AG485/100),IF($O$5&gt;30,20+70*($AG485/100),IF($O$5&gt;20,40+55*($AG485/100),(80+(20-$O$5)+30*($AG485/100))))))))))</f>
        <v>100</v>
      </c>
      <c r="AI485" s="262"/>
      <c r="AJ485" s="262"/>
      <c r="AK485" s="262"/>
      <c r="AL485" s="263"/>
      <c r="AM485" s="264"/>
      <c r="AN485" s="263"/>
      <c r="AO485" s="263"/>
      <c r="AP485" s="265"/>
      <c r="AQ485" s="266"/>
      <c r="AR485" s="267"/>
      <c r="AS485" s="263"/>
      <c r="AT485" s="263"/>
      <c r="AU485" s="263"/>
      <c r="AV485" s="264"/>
      <c r="AW485" s="263">
        <v>26</v>
      </c>
      <c r="AX485" s="263"/>
      <c r="AY485" s="263"/>
      <c r="AZ485" s="263"/>
      <c r="BA485" s="263"/>
      <c r="BB485" s="263"/>
      <c r="BC485" s="263"/>
      <c r="BD485" s="264"/>
      <c r="BE485" s="263"/>
      <c r="BF485" s="263"/>
      <c r="BG485" s="263"/>
      <c r="BH485" s="263"/>
      <c r="BI485" s="263"/>
      <c r="BJ485" s="404">
        <f>altaz(J2000_Bas,$O485,$M485,DecLat,DecLong,2)</f>
        <v>29.578555413809582</v>
      </c>
      <c r="BK485" s="378" t="s">
        <v>586</v>
      </c>
      <c r="BL485" s="379">
        <f>IF((2*G485)/60&lt;0.2,0.2,(2*G485)/60)</f>
        <v>0.26666666666666666</v>
      </c>
      <c r="BM485" s="380">
        <f>MOD((50000+AD485-$B$3+(0/24)),1)</f>
        <v>0.4128617772803409</v>
      </c>
      <c r="BN485" s="381"/>
      <c r="BO485" s="382">
        <v>485</v>
      </c>
    </row>
    <row r="486" spans="1:67" s="24" customFormat="1" ht="15" customHeight="1" x14ac:dyDescent="0.25">
      <c r="A486" s="288" t="s">
        <v>587</v>
      </c>
      <c r="B486" s="241" t="str">
        <f>HYPERLINK(CONCATENATE($AT$3,BK486,$AU$3),$AV$3)</f>
        <v>S</v>
      </c>
      <c r="C486" s="242" t="str">
        <f>HYPERLINK(CONCATENATE($AT$4,BK486,$AU$4,BL486),$AV$4)</f>
        <v>A</v>
      </c>
      <c r="D486" s="243" t="s">
        <v>5187</v>
      </c>
      <c r="E486" s="244" t="s">
        <v>5179</v>
      </c>
      <c r="F486" s="269">
        <v>6</v>
      </c>
      <c r="G486" s="273">
        <v>6</v>
      </c>
      <c r="H486" s="271" t="s">
        <v>6500</v>
      </c>
      <c r="I486" s="244" t="s">
        <v>6500</v>
      </c>
      <c r="J486" s="246">
        <v>2</v>
      </c>
      <c r="K486" s="247" t="s">
        <v>5768</v>
      </c>
      <c r="L486" s="248">
        <v>45507</v>
      </c>
      <c r="M486" s="249">
        <f>15*(LEFT(TEXT($L486,"000000"),2)+(MID(TEXT($L486,"000000"),3,2)/60)+(RIGHT(TEXT($L486,"000000"),2)/3600))</f>
        <v>73.779166666666669</v>
      </c>
      <c r="N486" s="286">
        <v>303400</v>
      </c>
      <c r="O486" s="251">
        <f>IF($N486&gt;0,(LEFT(TEXT($N486,"000000"),2)+(MID(TEXT($N486,"000000"),3,2)/60)+(RIGHT(TEXT($N486,"000000"),2)/3600)),-(MID(TEXT($N486,"000000"),2,2)+(MID(TEXT($N486,"000000"),4,2)/60)+(RIGHT(TEXT($N486,"000000"),2)/3600)))</f>
        <v>30.566666666666666</v>
      </c>
      <c r="P486" s="252" t="s">
        <v>62</v>
      </c>
      <c r="Q486" s="253"/>
      <c r="R486" s="247" t="s">
        <v>3293</v>
      </c>
      <c r="S486" s="272" t="s">
        <v>5301</v>
      </c>
      <c r="T486" s="273"/>
      <c r="U486" s="274"/>
      <c r="V486" s="256"/>
      <c r="W486" s="244"/>
      <c r="X486" s="244"/>
      <c r="Y486" s="362"/>
      <c r="Z486" s="257">
        <f>altaz(J2000_Bas,$O486,$M486,DecLat,DecLong,1)</f>
        <v>-21.251172083792959</v>
      </c>
      <c r="AA486" s="257">
        <f>altaz((J2000_Bas+(2*0.04167)),$O486,$M486,DecLat,DecLong,1)</f>
        <v>-4.6500327627148037</v>
      </c>
      <c r="AB486" s="257">
        <f>altaz((J2000_Bas+(4*0.04167)),$O486,$M486,DecLat,DecLong,1)</f>
        <v>17.021367749052249</v>
      </c>
      <c r="AC486" s="257">
        <f>altaz((J2000_Bas+(6*0.04167)),$O486,$M486,DecLat,DecLong,1)</f>
        <v>41.164624656683607</v>
      </c>
      <c r="AD486" s="258">
        <f>1+ transit((J2000_Bas-1),$O486,$M486,DecLat,DecLong)/360 + (GMTOffset/24) + (IF(DST="Y", 1, 0)/24)</f>
        <v>1.1978420697651246</v>
      </c>
      <c r="AE486" s="259">
        <f>DATE(2001,9,21)+(M486/360)*365 - (360*((DecLong/360)- (GMTOffset/24) ))</f>
        <v>37234.803877314815</v>
      </c>
      <c r="AF486" s="260">
        <f>IF(DecLat&gt;0,IF((90 - (DecLat-O486))&gt;90, (90 - (O486-DecLat)), (90 - (DecLat-O486))),IF((90 + (DecLat-O486))&gt;90, (90 + (O486-DecLat)), (90 + (DecLat-O486))))</f>
        <v>89.566666666666663</v>
      </c>
      <c r="AG486" s="257">
        <f>angularseperation(MoonRA,MoonDec,$M486,$O486)</f>
        <v>174.71623292638452</v>
      </c>
      <c r="AH486" s="261">
        <f ca="1">MIN(100,IF($O$5&gt;80,0+30*($AG486/100),IF($O$5&gt;70,0+50*($AG486/100),IF($O$5&gt;60,5+50*($AG486/100),IF($O$5&gt;50,10+60*($AG486/100),IF($O$5&gt;40,15+70*($AG486/100),IF($O$5&gt;30,20+70*($AG486/100),IF($O$5&gt;20,40+55*($AG486/100),(80+(20-$O$5)+30*($AG486/100))))))))))</f>
        <v>100</v>
      </c>
      <c r="AI486" s="262"/>
      <c r="AJ486" s="262"/>
      <c r="AK486" s="262"/>
      <c r="AL486" s="263"/>
      <c r="AM486" s="264"/>
      <c r="AN486" s="263"/>
      <c r="AO486" s="263"/>
      <c r="AP486" s="265"/>
      <c r="AQ486" s="266"/>
      <c r="AR486" s="267"/>
      <c r="AS486" s="263"/>
      <c r="AT486" s="263"/>
      <c r="AU486" s="263"/>
      <c r="AV486" s="264"/>
      <c r="AW486" s="263">
        <v>27</v>
      </c>
      <c r="AX486" s="263"/>
      <c r="AY486" s="263"/>
      <c r="AZ486" s="263"/>
      <c r="BA486" s="263"/>
      <c r="BB486" s="263"/>
      <c r="BC486" s="263"/>
      <c r="BD486" s="264"/>
      <c r="BE486" s="263"/>
      <c r="BF486" s="263"/>
      <c r="BG486" s="263"/>
      <c r="BH486" s="263"/>
      <c r="BI486" s="263"/>
      <c r="BJ486" s="404">
        <f>altaz(J2000_Bas,$O486,$M486,DecLat,DecLong,2)</f>
        <v>29.51314234716601</v>
      </c>
      <c r="BK486" s="378" t="s">
        <v>587</v>
      </c>
      <c r="BL486" s="379">
        <f>IF((2*G486)/60&lt;0.2,0.2,(2*G486)/60)</f>
        <v>0.2</v>
      </c>
      <c r="BM486" s="380">
        <f>MOD((50000+AD486-$B$3+(0/24)),1)</f>
        <v>0.41320899946731515</v>
      </c>
      <c r="BN486" s="381"/>
      <c r="BO486" s="382">
        <v>486</v>
      </c>
    </row>
    <row r="487" spans="1:67" s="24" customFormat="1" ht="15" customHeight="1" x14ac:dyDescent="0.25">
      <c r="A487" s="288" t="s">
        <v>588</v>
      </c>
      <c r="B487" s="241" t="str">
        <f>HYPERLINK(CONCATENATE($AT$3,BK487,$AU$3),$AV$3)</f>
        <v>S</v>
      </c>
      <c r="C487" s="242" t="str">
        <f>HYPERLINK(CONCATENATE($AT$4,BK487,$AU$4,BL487),$AV$4)</f>
        <v>A</v>
      </c>
      <c r="D487" s="243" t="s">
        <v>5187</v>
      </c>
      <c r="E487" s="244" t="s">
        <v>5179</v>
      </c>
      <c r="F487" s="269">
        <v>6</v>
      </c>
      <c r="G487" s="273">
        <v>9</v>
      </c>
      <c r="H487" s="271" t="s">
        <v>6500</v>
      </c>
      <c r="I487" s="244" t="s">
        <v>6500</v>
      </c>
      <c r="J487" s="246">
        <v>2</v>
      </c>
      <c r="K487" s="247" t="s">
        <v>5769</v>
      </c>
      <c r="L487" s="248">
        <v>45552</v>
      </c>
      <c r="M487" s="249">
        <f>15*(LEFT(TEXT($L487,"000000"),2)+(MID(TEXT($L487,"000000"),3,2)/60)+(RIGHT(TEXT($L487,"000000"),2)/3600))</f>
        <v>73.966666666666669</v>
      </c>
      <c r="N487" s="286">
        <v>303900</v>
      </c>
      <c r="O487" s="251">
        <f>IF($N487&gt;0,(LEFT(TEXT($N487,"000000"),2)+(MID(TEXT($N487,"000000"),3,2)/60)+(RIGHT(TEXT($N487,"000000"),2)/3600)),-(MID(TEXT($N487,"000000"),2,2)+(MID(TEXT($N487,"000000"),4,2)/60)+(RIGHT(TEXT($N487,"000000"),2)/3600)))</f>
        <v>30.65</v>
      </c>
      <c r="P487" s="252" t="s">
        <v>62</v>
      </c>
      <c r="Q487" s="253"/>
      <c r="R487" s="247" t="s">
        <v>3293</v>
      </c>
      <c r="S487" s="272" t="s">
        <v>5301</v>
      </c>
      <c r="T487" s="273"/>
      <c r="U487" s="274"/>
      <c r="V487" s="256"/>
      <c r="W487" s="244"/>
      <c r="X487" s="244"/>
      <c r="Y487" s="362"/>
      <c r="Z487" s="257">
        <f>altaz(J2000_Bas,$O487,$M487,DecLat,DecLong,1)</f>
        <v>-21.257424540096615</v>
      </c>
      <c r="AA487" s="257">
        <f>altaz((J2000_Bas+(2*0.04167)),$O487,$M487,DecLat,DecLong,1)</f>
        <v>-4.7187442053339934</v>
      </c>
      <c r="AB487" s="257">
        <f>altaz((J2000_Bas+(4*0.04167)),$O487,$M487,DecLat,DecLong,1)</f>
        <v>16.913958915463279</v>
      </c>
      <c r="AC487" s="257">
        <f>altaz((J2000_Bas+(6*0.04167)),$O487,$M487,DecLat,DecLong,1)</f>
        <v>41.032782988833205</v>
      </c>
      <c r="AD487" s="258">
        <f>1+ transit((J2000_Bas-1),$O487,$M487,DecLat,DecLong)/360 + (GMTOffset/24) + (IF(DST="Y", 1, 0)/24)</f>
        <v>1.1983629030463747</v>
      </c>
      <c r="AE487" s="259">
        <f>DATE(2001,9,21)+(M487/360)*365 - (360*((DecLong/360)- (GMTOffset/24) ))</f>
        <v>37234.993981481479</v>
      </c>
      <c r="AF487" s="260">
        <f>IF(DecLat&gt;0,IF((90 - (DecLat-O487))&gt;90, (90 - (O487-DecLat)), (90 - (DecLat-O487))),IF((90 + (DecLat-O487))&gt;90, (90 + (O487-DecLat)), (90 + (DecLat-O487))))</f>
        <v>89.65</v>
      </c>
      <c r="AG487" s="257">
        <f>angularseperation(MoonRA,MoonDec,$M487,$O487)</f>
        <v>174.53894203601408</v>
      </c>
      <c r="AH487" s="261">
        <f ca="1">MIN(100,IF($O$5&gt;80,0+30*($AG487/100),IF($O$5&gt;70,0+50*($AG487/100),IF($O$5&gt;60,5+50*($AG487/100),IF($O$5&gt;50,10+60*($AG487/100),IF($O$5&gt;40,15+70*($AG487/100),IF($O$5&gt;30,20+70*($AG487/100),IF($O$5&gt;20,40+55*($AG487/100),(80+(20-$O$5)+30*($AG487/100))))))))))</f>
        <v>100</v>
      </c>
      <c r="AI487" s="262"/>
      <c r="AJ487" s="262"/>
      <c r="AK487" s="262"/>
      <c r="AL487" s="263"/>
      <c r="AM487" s="264"/>
      <c r="AN487" s="263"/>
      <c r="AO487" s="263"/>
      <c r="AP487" s="265"/>
      <c r="AQ487" s="266"/>
      <c r="AR487" s="267"/>
      <c r="AS487" s="263"/>
      <c r="AT487" s="263"/>
      <c r="AU487" s="263"/>
      <c r="AV487" s="264"/>
      <c r="AW487" s="263">
        <v>28</v>
      </c>
      <c r="AX487" s="263"/>
      <c r="AY487" s="263"/>
      <c r="AZ487" s="263"/>
      <c r="BA487" s="263"/>
      <c r="BB487" s="263"/>
      <c r="BC487" s="263"/>
      <c r="BD487" s="264"/>
      <c r="BE487" s="263"/>
      <c r="BF487" s="263"/>
      <c r="BG487" s="263"/>
      <c r="BH487" s="263"/>
      <c r="BI487" s="263"/>
      <c r="BJ487" s="404">
        <f>altaz(J2000_Bas,$O487,$M487,DecLat,DecLong,2)</f>
        <v>29.318380863517227</v>
      </c>
      <c r="BK487" s="378" t="s">
        <v>588</v>
      </c>
      <c r="BL487" s="379">
        <f>IF((2*G487)/60&lt;0.2,0.2,(2*G487)/60)</f>
        <v>0.3</v>
      </c>
      <c r="BM487" s="380">
        <f>MOD((50000+AD487-$B$3+(0/24)),1)</f>
        <v>0.41372983274777653</v>
      </c>
      <c r="BN487" s="381"/>
      <c r="BO487" s="382">
        <v>487</v>
      </c>
    </row>
    <row r="488" spans="1:67" s="24" customFormat="1" ht="15" customHeight="1" x14ac:dyDescent="0.25">
      <c r="A488" s="288" t="s">
        <v>589</v>
      </c>
      <c r="B488" s="241" t="str">
        <f>HYPERLINK(CONCATENATE($AT$3,BK488,$AU$3),$AV$3)</f>
        <v>S</v>
      </c>
      <c r="C488" s="242" t="str">
        <f>HYPERLINK(CONCATENATE($AT$4,BK488,$AU$4,BL488),$AV$4)</f>
        <v>A</v>
      </c>
      <c r="D488" s="243" t="s">
        <v>5187</v>
      </c>
      <c r="E488" s="244" t="s">
        <v>5179</v>
      </c>
      <c r="F488" s="269">
        <v>6</v>
      </c>
      <c r="G488" s="276">
        <v>10</v>
      </c>
      <c r="H488" s="271" t="s">
        <v>6500</v>
      </c>
      <c r="I488" s="244" t="s">
        <v>6500</v>
      </c>
      <c r="J488" s="246">
        <v>1</v>
      </c>
      <c r="K488" s="247" t="s">
        <v>5954</v>
      </c>
      <c r="L488" s="248">
        <v>50623</v>
      </c>
      <c r="M488" s="249">
        <f>15*(LEFT(TEXT($L488,"000000"),2)+(MID(TEXT($L488,"000000"),3,2)/60)+(RIGHT(TEXT($L488,"000000"),2)/3600))</f>
        <v>76.595833333333331</v>
      </c>
      <c r="N488" s="286">
        <v>313600</v>
      </c>
      <c r="O488" s="251">
        <f>IF($N488&gt;0,(LEFT(TEXT($N488,"000000"),2)+(MID(TEXT($N488,"000000"),3,2)/60)+(RIGHT(TEXT($N488,"000000"),2)/3600)),-(MID(TEXT($N488,"000000"),2,2)+(MID(TEXT($N488,"000000"),4,2)/60)+(RIGHT(TEXT($N488,"000000"),2)/3600)))</f>
        <v>31.6</v>
      </c>
      <c r="P488" s="252" t="s">
        <v>62</v>
      </c>
      <c r="Q488" s="253"/>
      <c r="R488" s="277" t="s">
        <v>3293</v>
      </c>
      <c r="S488" s="272" t="s">
        <v>3293</v>
      </c>
      <c r="T488" s="273"/>
      <c r="U488" s="274"/>
      <c r="V488" s="256"/>
      <c r="W488" s="244"/>
      <c r="X488" s="244"/>
      <c r="Y488" s="362"/>
      <c r="Z488" s="257">
        <f>altaz(J2000_Bas,$O488,$M488,DecLat,DecLong,1)</f>
        <v>-21.477389706235655</v>
      </c>
      <c r="AA488" s="257">
        <f>altaz((J2000_Bas+(2*0.04167)),$O488,$M488,DecLat,DecLong,1)</f>
        <v>-5.7830629824259292</v>
      </c>
      <c r="AB488" s="257">
        <f>altaz((J2000_Bas+(4*0.04167)),$O488,$M488,DecLat,DecLong,1)</f>
        <v>15.335376358846039</v>
      </c>
      <c r="AC488" s="257">
        <f>altaz((J2000_Bas+(6*0.04167)),$O488,$M488,DecLat,DecLong,1)</f>
        <v>39.135411438059272</v>
      </c>
      <c r="AD488" s="258">
        <f>1+ transit((J2000_Bas-1),$O488,$M488,DecLat,DecLong)/360 + (GMTOffset/24) + (IF(DST="Y", 1, 0)/24)</f>
        <v>1.2056661430567914</v>
      </c>
      <c r="AE488" s="259">
        <f>DATE(2001,9,21)+(M488/360)*365 - (360*((DecLong/360)- (GMTOffset/24) ))</f>
        <v>37237.65966435185</v>
      </c>
      <c r="AF488" s="260">
        <f>IF(DecLat&gt;0,IF((90 - (DecLat-O488))&gt;90, (90 - (O488-DecLat)), (90 - (DecLat-O488))),IF((90 + (DecLat-O488))&gt;90, (90 + (O488-DecLat)), (90 + (DecLat-O488))))</f>
        <v>89.4</v>
      </c>
      <c r="AG488" s="257">
        <f>angularseperation(MoonRA,MoonDec,$M488,$O488)</f>
        <v>172.16209746283752</v>
      </c>
      <c r="AH488" s="261">
        <f ca="1">MIN(100,IF($O$5&gt;80,0+30*($AG488/100),IF($O$5&gt;70,0+50*($AG488/100),IF($O$5&gt;60,5+50*($AG488/100),IF($O$5&gt;50,10+60*($AG488/100),IF($O$5&gt;40,15+70*($AG488/100),IF($O$5&gt;30,20+70*($AG488/100),IF($O$5&gt;20,40+55*($AG488/100),(80+(20-$O$5)+30*($AG488/100))))))))))</f>
        <v>100</v>
      </c>
      <c r="AI488" s="263"/>
      <c r="AJ488" s="263"/>
      <c r="AK488" s="263"/>
      <c r="AL488" s="263"/>
      <c r="AM488" s="264"/>
      <c r="AN488" s="263"/>
      <c r="AO488" s="263"/>
      <c r="AP488" s="265"/>
      <c r="AQ488" s="265"/>
      <c r="AR488" s="285"/>
      <c r="AS488" s="263"/>
      <c r="AT488" s="263"/>
      <c r="AU488" s="263"/>
      <c r="AV488" s="264"/>
      <c r="AW488" s="263">
        <v>29</v>
      </c>
      <c r="AX488" s="263"/>
      <c r="AY488" s="263"/>
      <c r="AZ488" s="263"/>
      <c r="BA488" s="263"/>
      <c r="BB488" s="263"/>
      <c r="BC488" s="263"/>
      <c r="BD488" s="264"/>
      <c r="BE488" s="263"/>
      <c r="BF488" s="263"/>
      <c r="BG488" s="263"/>
      <c r="BH488" s="263"/>
      <c r="BI488" s="263"/>
      <c r="BJ488" s="404">
        <f>altaz(J2000_Bas,$O488,$M488,DecLat,DecLong,2)</f>
        <v>26.705836826306829</v>
      </c>
      <c r="BK488" s="378" t="s">
        <v>589</v>
      </c>
      <c r="BL488" s="379">
        <f>IF((2*G488)/60&lt;0.2,0.2,(2*G488)/60)</f>
        <v>0.33333333333333331</v>
      </c>
      <c r="BM488" s="380">
        <f>MOD((50000+AD488-$B$3+(0/24)),1)</f>
        <v>0.42103307275829138</v>
      </c>
      <c r="BN488" s="381"/>
      <c r="BO488" s="382">
        <v>488</v>
      </c>
    </row>
    <row r="489" spans="1:67" s="24" customFormat="1" ht="15" customHeight="1" x14ac:dyDescent="0.25">
      <c r="A489" s="288" t="s">
        <v>590</v>
      </c>
      <c r="B489" s="241" t="str">
        <f>HYPERLINK(CONCATENATE($AT$3,BK489,$AU$3),$AV$3)</f>
        <v>S</v>
      </c>
      <c r="C489" s="242" t="str">
        <f>HYPERLINK(CONCATENATE($AT$4,BK489,$AU$4,BL489),$AV$4)</f>
        <v>A</v>
      </c>
      <c r="D489" s="243" t="s">
        <v>5187</v>
      </c>
      <c r="E489" s="244" t="s">
        <v>5179</v>
      </c>
      <c r="F489" s="269">
        <v>4</v>
      </c>
      <c r="G489" s="276">
        <v>55</v>
      </c>
      <c r="H489" s="271" t="s">
        <v>6500</v>
      </c>
      <c r="I489" s="244" t="s">
        <v>6500</v>
      </c>
      <c r="J489" s="246">
        <v>2</v>
      </c>
      <c r="K489" s="247" t="s">
        <v>5955</v>
      </c>
      <c r="L489" s="248">
        <v>53016</v>
      </c>
      <c r="M489" s="249">
        <f>15*(LEFT(TEXT($L489,"000000"),2)+(MID(TEXT($L489,"000000"),3,2)/60)+(RIGHT(TEXT($L489,"000000"),2)/3600))</f>
        <v>82.566666666666663</v>
      </c>
      <c r="N489" s="286">
        <v>124700</v>
      </c>
      <c r="O489" s="251">
        <f>IF($N489&gt;0,(LEFT(TEXT($N489,"000000"),2)+(MID(TEXT($N489,"000000"),3,2)/60)+(RIGHT(TEXT($N489,"000000"),2)/3600)),-(MID(TEXT($N489,"000000"),2,2)+(MID(TEXT($N489,"000000"),4,2)/60)+(RIGHT(TEXT($N489,"000000"),2)/3600)))</f>
        <v>12.783333333333333</v>
      </c>
      <c r="P489" s="252" t="s">
        <v>41</v>
      </c>
      <c r="Q489" s="253"/>
      <c r="R489" s="247" t="s">
        <v>3293</v>
      </c>
      <c r="S489" s="272" t="s">
        <v>4395</v>
      </c>
      <c r="T489" s="273"/>
      <c r="U489" s="274"/>
      <c r="V489" s="256"/>
      <c r="W489" s="244"/>
      <c r="X489" s="244"/>
      <c r="Y489" s="362"/>
      <c r="Z489" s="257">
        <f>altaz(J2000_Bas,$O489,$M489,DecLat,DecLong,1)</f>
        <v>-40.76835107319534</v>
      </c>
      <c r="AA489" s="257">
        <f>altaz((J2000_Bas+(2*0.04167)),$O489,$M489,DecLat,DecLong,1)</f>
        <v>-22.521168919092762</v>
      </c>
      <c r="AB489" s="257">
        <f>altaz((J2000_Bas+(4*0.04167)),$O489,$M489,DecLat,DecLong,1)</f>
        <v>1.1949179796702203</v>
      </c>
      <c r="AC489" s="257">
        <f>altaz((J2000_Bas+(6*0.04167)),$O489,$M489,DecLat,DecLong,1)</f>
        <v>26.731974792822292</v>
      </c>
      <c r="AD489" s="258">
        <f>1+ transit((J2000_Bas-1),$O489,$M489,DecLat,DecLong)/360 + (GMTOffset/24) + (IF(DST="Y", 1, 0)/24)</f>
        <v>1.2222517895463747</v>
      </c>
      <c r="AE489" s="259">
        <f>DATE(2001,9,21)+(M489/360)*365 - (360*((DecLong/360)- (GMTOffset/24) ))</f>
        <v>37243.713425925926</v>
      </c>
      <c r="AF489" s="260">
        <f>IF(DecLat&gt;0,IF((90 - (DecLat-O489))&gt;90, (90 - (O489-DecLat)), (90 - (DecLat-O489))),IF((90 + (DecLat-O489))&gt;90, (90 + (O489-DecLat)), (90 + (DecLat-O489))))</f>
        <v>71.783333333333331</v>
      </c>
      <c r="AG489" s="257">
        <f>angularseperation(MoonRA,MoonDec,$M489,$O489)</f>
        <v>161.02104047374817</v>
      </c>
      <c r="AH489" s="261">
        <f ca="1">MIN(100,IF($O$5&gt;80,0+30*($AG489/100),IF($O$5&gt;70,0+50*($AG489/100),IF($O$5&gt;60,5+50*($AG489/100),IF($O$5&gt;50,10+60*($AG489/100),IF($O$5&gt;40,15+70*($AG489/100),IF($O$5&gt;30,20+70*($AG489/100),IF($O$5&gt;20,40+55*($AG489/100),(80+(20-$O$5)+30*($AG489/100))))))))))</f>
        <v>100</v>
      </c>
      <c r="AI489" s="262"/>
      <c r="AJ489" s="262"/>
      <c r="AK489" s="262"/>
      <c r="AL489" s="263"/>
      <c r="AM489" s="264"/>
      <c r="AN489" s="263"/>
      <c r="AO489" s="263"/>
      <c r="AP489" s="265"/>
      <c r="AQ489" s="266"/>
      <c r="AR489" s="267"/>
      <c r="AS489" s="263"/>
      <c r="AT489" s="263"/>
      <c r="AU489" s="263"/>
      <c r="AV489" s="264"/>
      <c r="AW489" s="263">
        <v>30</v>
      </c>
      <c r="AX489" s="263"/>
      <c r="AY489" s="263"/>
      <c r="AZ489" s="263"/>
      <c r="BA489" s="263"/>
      <c r="BB489" s="263"/>
      <c r="BC489" s="263"/>
      <c r="BD489" s="264"/>
      <c r="BE489" s="263"/>
      <c r="BF489" s="263"/>
      <c r="BG489" s="263"/>
      <c r="BH489" s="263"/>
      <c r="BI489" s="263"/>
      <c r="BJ489" s="404">
        <f>altaz(J2000_Bas,$O489,$M489,DecLat,DecLong,2)</f>
        <v>30.805907160329756</v>
      </c>
      <c r="BK489" s="378" t="s">
        <v>590</v>
      </c>
      <c r="BL489" s="379">
        <f>IF((2*G489)/60&lt;0.2,0.2,(2*G489)/60)</f>
        <v>1.8333333333333333</v>
      </c>
      <c r="BM489" s="380">
        <f>MOD((50000+AD489-$B$3+(0/24)),1)</f>
        <v>0.43761871925380547</v>
      </c>
      <c r="BN489" s="381"/>
      <c r="BO489" s="382">
        <v>489</v>
      </c>
    </row>
    <row r="490" spans="1:67" s="24" customFormat="1" ht="15" customHeight="1" x14ac:dyDescent="0.25">
      <c r="A490" s="288" t="s">
        <v>591</v>
      </c>
      <c r="B490" s="241" t="str">
        <f>HYPERLINK(CONCATENATE($AT$3,BK490,$AU$3),$AV$3)</f>
        <v>S</v>
      </c>
      <c r="C490" s="242" t="str">
        <f>HYPERLINK(CONCATENATE($AT$4,BK490,$AU$4,BL490),$AV$4)</f>
        <v>A</v>
      </c>
      <c r="D490" s="243" t="s">
        <v>5187</v>
      </c>
      <c r="E490" s="244" t="s">
        <v>5179</v>
      </c>
      <c r="F490" s="269">
        <v>4</v>
      </c>
      <c r="G490" s="276">
        <v>30</v>
      </c>
      <c r="H490" s="271" t="s">
        <v>6500</v>
      </c>
      <c r="I490" s="244" t="s">
        <v>6500</v>
      </c>
      <c r="J490" s="246">
        <v>1</v>
      </c>
      <c r="K490" s="247" t="s">
        <v>5956</v>
      </c>
      <c r="L490" s="248">
        <v>53201</v>
      </c>
      <c r="M490" s="249">
        <f>15*(LEFT(TEXT($L490,"000000"),2)+(MID(TEXT($L490,"000000"),3,2)/60)+(RIGHT(TEXT($L490,"000000"),2)/3600))</f>
        <v>83.004166666666663</v>
      </c>
      <c r="N490" s="286">
        <v>124600</v>
      </c>
      <c r="O490" s="251">
        <f>IF($N490&gt;0,(LEFT(TEXT($N490,"000000"),2)+(MID(TEXT($N490,"000000"),3,2)/60)+(RIGHT(TEXT($N490,"000000"),2)/3600)),-(MID(TEXT($N490,"000000"),2,2)+(MID(TEXT($N490,"000000"),4,2)/60)+(RIGHT(TEXT($N490,"000000"),2)/3600)))</f>
        <v>12.766666666666667</v>
      </c>
      <c r="P490" s="252" t="s">
        <v>41</v>
      </c>
      <c r="Q490" s="253"/>
      <c r="R490" s="247" t="s">
        <v>3293</v>
      </c>
      <c r="S490" s="272" t="s">
        <v>3293</v>
      </c>
      <c r="T490" s="273"/>
      <c r="U490" s="274"/>
      <c r="V490" s="256"/>
      <c r="W490" s="244"/>
      <c r="X490" s="244"/>
      <c r="Y490" s="362"/>
      <c r="Z490" s="257">
        <f>altaz(J2000_Bas,$O490,$M490,DecLat,DecLong,1)</f>
        <v>-40.973923971917571</v>
      </c>
      <c r="AA490" s="257">
        <f>altaz((J2000_Bas+(2*0.04167)),$O490,$M490,DecLat,DecLong,1)</f>
        <v>-22.850115116300543</v>
      </c>
      <c r="AB490" s="257">
        <f>altaz((J2000_Bas+(4*0.04167)),$O490,$M490,DecLat,DecLong,1)</f>
        <v>0.82283139135380434</v>
      </c>
      <c r="AC490" s="257">
        <f>altaz((J2000_Bas+(6*0.04167)),$O490,$M490,DecLat,DecLong,1)</f>
        <v>26.349038973837864</v>
      </c>
      <c r="AD490" s="258">
        <f>1+ transit((J2000_Bas-1),$O490,$M490,DecLat,DecLong)/360 + (GMTOffset/24) + (IF(DST="Y", 1, 0)/24)</f>
        <v>1.2234670672026247</v>
      </c>
      <c r="AE490" s="259">
        <f>DATE(2001,9,21)+(M490/360)*365 - (360*((DecLong/360)- (GMTOffset/24) ))</f>
        <v>37244.157002314816</v>
      </c>
      <c r="AF490" s="260">
        <f>IF(DecLat&gt;0,IF((90 - (DecLat-O490))&gt;90, (90 - (O490-DecLat)), (90 - (DecLat-O490))),IF((90 + (DecLat-O490))&gt;90, (90 + (O490-DecLat)), (90 + (DecLat-O490))))</f>
        <v>71.766666666666666</v>
      </c>
      <c r="AG490" s="257">
        <f>angularseperation(MoonRA,MoonDec,$M490,$O490)</f>
        <v>160.73660324704173</v>
      </c>
      <c r="AH490" s="261">
        <f ca="1">MIN(100,IF($O$5&gt;80,0+30*($AG490/100),IF($O$5&gt;70,0+50*($AG490/100),IF($O$5&gt;60,5+50*($AG490/100),IF($O$5&gt;50,10+60*($AG490/100),IF($O$5&gt;40,15+70*($AG490/100),IF($O$5&gt;30,20+70*($AG490/100),IF($O$5&gt;20,40+55*($AG490/100),(80+(20-$O$5)+30*($AG490/100))))))))))</f>
        <v>100</v>
      </c>
      <c r="AI490" s="262"/>
      <c r="AJ490" s="262"/>
      <c r="AK490" s="262"/>
      <c r="AL490" s="263"/>
      <c r="AM490" s="264"/>
      <c r="AN490" s="263"/>
      <c r="AO490" s="263"/>
      <c r="AP490" s="265"/>
      <c r="AQ490" s="266"/>
      <c r="AR490" s="267"/>
      <c r="AS490" s="263"/>
      <c r="AT490" s="263"/>
      <c r="AU490" s="263"/>
      <c r="AV490" s="264"/>
      <c r="AW490" s="263">
        <v>31</v>
      </c>
      <c r="AX490" s="263"/>
      <c r="AY490" s="263"/>
      <c r="AZ490" s="263"/>
      <c r="BA490" s="263"/>
      <c r="BB490" s="263"/>
      <c r="BC490" s="263"/>
      <c r="BD490" s="264"/>
      <c r="BE490" s="263"/>
      <c r="BF490" s="263"/>
      <c r="BG490" s="263"/>
      <c r="BH490" s="263"/>
      <c r="BI490" s="263"/>
      <c r="BJ490" s="404">
        <f>altaz(J2000_Bas,$O490,$M490,DecLat,DecLong,2)</f>
        <v>30.310982665798299</v>
      </c>
      <c r="BK490" s="378" t="s">
        <v>591</v>
      </c>
      <c r="BL490" s="379">
        <f>IF((2*G490)/60&lt;0.2,0.2,(2*G490)/60)</f>
        <v>1</v>
      </c>
      <c r="BM490" s="380">
        <f>MOD((50000+AD490-$B$3+(0/24)),1)</f>
        <v>0.43883399690821534</v>
      </c>
      <c r="BN490" s="381"/>
      <c r="BO490" s="382">
        <v>490</v>
      </c>
    </row>
    <row r="491" spans="1:67" s="24" customFormat="1" ht="15" customHeight="1" x14ac:dyDescent="0.25">
      <c r="A491" s="288" t="s">
        <v>592</v>
      </c>
      <c r="B491" s="241" t="str">
        <f>HYPERLINK(CONCATENATE($AT$3,BK491,$AU$3),$AV$3)</f>
        <v>S</v>
      </c>
      <c r="C491" s="242" t="str">
        <f>HYPERLINK(CONCATENATE($AT$4,BK491,$AU$4,BL491),$AV$4)</f>
        <v>A</v>
      </c>
      <c r="D491" s="243" t="s">
        <v>5187</v>
      </c>
      <c r="E491" s="244" t="s">
        <v>5179</v>
      </c>
      <c r="F491" s="269">
        <v>3</v>
      </c>
      <c r="G491" s="276">
        <v>45</v>
      </c>
      <c r="H491" s="271" t="s">
        <v>6500</v>
      </c>
      <c r="I491" s="244" t="s">
        <v>6500</v>
      </c>
      <c r="J491" s="246">
        <v>2</v>
      </c>
      <c r="K491" s="247" t="s">
        <v>8527</v>
      </c>
      <c r="L491" s="248">
        <v>53208</v>
      </c>
      <c r="M491" s="249">
        <f>15*(LEFT(TEXT($L491,"000000"),2)+(MID(TEXT($L491,"000000"),3,2)/60)+(RIGHT(TEXT($L491,"000000"),2)/3600))</f>
        <v>83.033333333333331</v>
      </c>
      <c r="N491" s="286">
        <v>122600</v>
      </c>
      <c r="O491" s="251">
        <f>IF($N491&gt;0,(LEFT(TEXT($N491,"000000"),2)+(MID(TEXT($N491,"000000"),3,2)/60)+(RIGHT(TEXT($N491,"000000"),2)/3600)),-(MID(TEXT($N491,"000000"),2,2)+(MID(TEXT($N491,"000000"),4,2)/60)+(RIGHT(TEXT($N491,"000000"),2)/3600)))</f>
        <v>12.433333333333334</v>
      </c>
      <c r="P491" s="252" t="s">
        <v>41</v>
      </c>
      <c r="Q491" s="253"/>
      <c r="R491" s="247" t="s">
        <v>3293</v>
      </c>
      <c r="S491" s="272" t="s">
        <v>3293</v>
      </c>
      <c r="T491" s="273"/>
      <c r="U491" s="274"/>
      <c r="V491" s="256"/>
      <c r="W491" s="244"/>
      <c r="X491" s="244"/>
      <c r="Y491" s="362"/>
      <c r="Z491" s="257">
        <f>altaz(J2000_Bas,$O491,$M491,DecLat,DecLong,1)</f>
        <v>-41.285188716142876</v>
      </c>
      <c r="AA491" s="257">
        <f>altaz((J2000_Bas+(2*0.04167)),$O491,$M491,DecLat,DecLong,1)</f>
        <v>-23.093950778973017</v>
      </c>
      <c r="AB491" s="257">
        <f>altaz((J2000_Bas+(4*0.04167)),$O491,$M491,DecLat,DecLong,1)</f>
        <v>0.62361566736938379</v>
      </c>
      <c r="AC491" s="257">
        <f>altaz((J2000_Bas+(6*0.04167)),$O491,$M491,DecLat,DecLong,1)</f>
        <v>26.164640088723448</v>
      </c>
      <c r="AD491" s="258">
        <f>1+ transit((J2000_Bas-1),$O491,$M491,DecLat,DecLong)/360 + (GMTOffset/24) + (IF(DST="Y", 1, 0)/24)</f>
        <v>1.2235480857130414</v>
      </c>
      <c r="AE491" s="259">
        <f>DATE(2001,9,21)+(M491/360)*365 - (360*((DecLong/360)- (GMTOffset/24) ))</f>
        <v>37244.186574074076</v>
      </c>
      <c r="AF491" s="260">
        <f>IF(DecLat&gt;0,IF((90 - (DecLat-O491))&gt;90, (90 - (O491-DecLat)), (90 - (DecLat-O491))),IF((90 + (DecLat-O491))&gt;90, (90 + (O491-DecLat)), (90 + (DecLat-O491))))</f>
        <v>71.433333333333337</v>
      </c>
      <c r="AG491" s="257">
        <f>angularseperation(MoonRA,MoonDec,$M491,$O491)</f>
        <v>160.46184340517991</v>
      </c>
      <c r="AH491" s="261">
        <f ca="1">MIN(100,IF($O$5&gt;80,0+30*($AG491/100),IF($O$5&gt;70,0+50*($AG491/100),IF($O$5&gt;60,5+50*($AG491/100),IF($O$5&gt;50,10+60*($AG491/100),IF($O$5&gt;40,15+70*($AG491/100),IF($O$5&gt;30,20+70*($AG491/100),IF($O$5&gt;20,40+55*($AG491/100),(80+(20-$O$5)+30*($AG491/100))))))))))</f>
        <v>100</v>
      </c>
      <c r="AI491" s="262"/>
      <c r="AJ491" s="262"/>
      <c r="AK491" s="262"/>
      <c r="AL491" s="263"/>
      <c r="AM491" s="264"/>
      <c r="AN491" s="263"/>
      <c r="AO491" s="263"/>
      <c r="AP491" s="265"/>
      <c r="AQ491" s="266"/>
      <c r="AR491" s="267"/>
      <c r="AS491" s="263"/>
      <c r="AT491" s="263"/>
      <c r="AU491" s="263"/>
      <c r="AV491" s="264"/>
      <c r="AW491" s="263">
        <v>32</v>
      </c>
      <c r="AX491" s="263"/>
      <c r="AY491" s="263"/>
      <c r="AZ491" s="263"/>
      <c r="BA491" s="263"/>
      <c r="BB491" s="263"/>
      <c r="BC491" s="263"/>
      <c r="BD491" s="264"/>
      <c r="BE491" s="263"/>
      <c r="BF491" s="263"/>
      <c r="BG491" s="263"/>
      <c r="BH491" s="263"/>
      <c r="BI491" s="263"/>
      <c r="BJ491" s="404">
        <f>altaz(J2000_Bas,$O491,$M491,DecLat,DecLong,2)</f>
        <v>30.473776391793127</v>
      </c>
      <c r="BK491" s="378" t="s">
        <v>592</v>
      </c>
      <c r="BL491" s="379">
        <f>IF((2*G491)/60&lt;0.2,0.2,(2*G491)/60)</f>
        <v>1.5</v>
      </c>
      <c r="BM491" s="380">
        <f>MOD((50000+AD491-$B$3+(0/24)),1)</f>
        <v>0.43891501541656908</v>
      </c>
      <c r="BN491" s="381"/>
      <c r="BO491" s="382">
        <v>491</v>
      </c>
    </row>
    <row r="492" spans="1:67" s="24" customFormat="1" ht="15" customHeight="1" x14ac:dyDescent="0.25">
      <c r="A492" s="287" t="s">
        <v>593</v>
      </c>
      <c r="B492" s="241" t="str">
        <f>HYPERLINK(CONCATENATE($AT$3,BK492,$AU$3),$AV$3)</f>
        <v>S</v>
      </c>
      <c r="C492" s="242" t="str">
        <f>HYPERLINK(CONCATENATE($AT$4,BK492,$AU$4,BL492),$AV$4)</f>
        <v>A</v>
      </c>
      <c r="D492" s="243" t="s">
        <v>5187</v>
      </c>
      <c r="E492" s="244" t="s">
        <v>5179</v>
      </c>
      <c r="F492" s="269">
        <v>4</v>
      </c>
      <c r="G492" s="276">
        <v>20</v>
      </c>
      <c r="H492" s="271" t="s">
        <v>6500</v>
      </c>
      <c r="I492" s="244" t="s">
        <v>6500</v>
      </c>
      <c r="J492" s="246">
        <v>1</v>
      </c>
      <c r="K492" s="247" t="s">
        <v>5958</v>
      </c>
      <c r="L492" s="248">
        <v>54330</v>
      </c>
      <c r="M492" s="249">
        <f>15*(LEFT(TEXT($L492,"000000"),2)+(MID(TEXT($L492,"000000"),3,2)/60)+(RIGHT(TEXT($L492,"000000"),2)/3600))</f>
        <v>85.875000000000014</v>
      </c>
      <c r="N492" s="250">
        <v>323900</v>
      </c>
      <c r="O492" s="251">
        <f>IF($N492&gt;0,(LEFT(TEXT($N492,"000000"),2)+(MID(TEXT($N492,"000000"),3,2)/60)+(RIGHT(TEXT($N492,"000000"),2)/3600)),-(MID(TEXT($N492,"000000"),2,2)+(MID(TEXT($N492,"000000"),4,2)/60)+(RIGHT(TEXT($N492,"000000"),2)/3600)))</f>
        <v>32.65</v>
      </c>
      <c r="P492" s="252" t="s">
        <v>62</v>
      </c>
      <c r="Q492" s="253"/>
      <c r="R492" s="277" t="s">
        <v>3293</v>
      </c>
      <c r="S492" s="272" t="s">
        <v>3293</v>
      </c>
      <c r="T492" s="273"/>
      <c r="U492" s="274"/>
      <c r="V492" s="256"/>
      <c r="W492" s="244"/>
      <c r="X492" s="244"/>
      <c r="Y492" s="362"/>
      <c r="Z492" s="257">
        <f>altaz(J2000_Bas,$O492,$M492,DecLat,DecLong,1)</f>
        <v>-23.564227430262804</v>
      </c>
      <c r="AA492" s="257">
        <f>altaz((J2000_Bas+(2*0.04167)),$O492,$M492,DecLat,DecLong,1)</f>
        <v>-10.602588754102303</v>
      </c>
      <c r="AB492" s="257">
        <f>altaz((J2000_Bas+(4*0.04167)),$O492,$M492,DecLat,DecLong,1)</f>
        <v>8.9877428848134073</v>
      </c>
      <c r="AC492" s="257">
        <f>altaz((J2000_Bas+(6*0.04167)),$O492,$M492,DecLat,DecLong,1)</f>
        <v>31.952493013603</v>
      </c>
      <c r="AD492" s="258">
        <f>1+ transit((J2000_Bas-1),$O492,$M492,DecLat,DecLong)/360 + (GMTOffset/24) + (IF(DST="Y", 1, 0)/24)</f>
        <v>1.2314416034422082</v>
      </c>
      <c r="AE492" s="259">
        <f>DATE(2001,9,21)+(M492/360)*365 - (360*((DecLong/360)- (GMTOffset/24) ))</f>
        <v>37247.067708333336</v>
      </c>
      <c r="AF492" s="260">
        <f>IF(DecLat&gt;0,IF((90 - (DecLat-O492))&gt;90, (90 - (O492-DecLat)), (90 - (DecLat-O492))),IF((90 + (DecLat-O492))&gt;90, (90 + (O492-DecLat)), (90 + (DecLat-O492))))</f>
        <v>88.35</v>
      </c>
      <c r="AG492" s="257">
        <f>angularseperation(MoonRA,MoonDec,$M492,$O492)</f>
        <v>164.56177597946839</v>
      </c>
      <c r="AH492" s="261">
        <f ca="1">MIN(100,IF($O$5&gt;80,0+30*($AG492/100),IF($O$5&gt;70,0+50*($AG492/100),IF($O$5&gt;60,5+50*($AG492/100),IF($O$5&gt;50,10+60*($AG492/100),IF($O$5&gt;40,15+70*($AG492/100),IF($O$5&gt;30,20+70*($AG492/100),IF($O$5&gt;20,40+55*($AG492/100),(80+(20-$O$5)+30*($AG492/100))))))))))</f>
        <v>100</v>
      </c>
      <c r="AI492" s="263"/>
      <c r="AJ492" s="263"/>
      <c r="AK492" s="263"/>
      <c r="AL492" s="263"/>
      <c r="AM492" s="264"/>
      <c r="AN492" s="263"/>
      <c r="AO492" s="263"/>
      <c r="AP492" s="265"/>
      <c r="AQ492" s="265"/>
      <c r="AR492" s="285"/>
      <c r="AS492" s="263"/>
      <c r="AT492" s="263"/>
      <c r="AU492" s="263"/>
      <c r="AV492" s="264"/>
      <c r="AW492" s="263">
        <v>34</v>
      </c>
      <c r="AX492" s="263"/>
      <c r="AY492" s="263"/>
      <c r="AZ492" s="263"/>
      <c r="BA492" s="263"/>
      <c r="BB492" s="263"/>
      <c r="BC492" s="263"/>
      <c r="BD492" s="264"/>
      <c r="BE492" s="263"/>
      <c r="BF492" s="263"/>
      <c r="BG492" s="263"/>
      <c r="BH492" s="263"/>
      <c r="BI492" s="263"/>
      <c r="BJ492" s="404">
        <f>altaz(J2000_Bas,$O492,$M492,DecLat,DecLong,2)</f>
        <v>18.426920227282984</v>
      </c>
      <c r="BK492" s="378" t="s">
        <v>593</v>
      </c>
      <c r="BL492" s="379">
        <f>IF((2*G492)/60&lt;0.2,0.2,(2*G492)/60)</f>
        <v>0.66666666666666663</v>
      </c>
      <c r="BM492" s="380">
        <f>MOD((50000+AD492-$B$3+(0/24)),1)</f>
        <v>0.44680853314639535</v>
      </c>
      <c r="BN492" s="381"/>
      <c r="BO492" s="382">
        <v>492</v>
      </c>
    </row>
    <row r="493" spans="1:67" s="24" customFormat="1" ht="15" customHeight="1" x14ac:dyDescent="0.25">
      <c r="A493" s="288" t="s">
        <v>594</v>
      </c>
      <c r="B493" s="241" t="str">
        <f>HYPERLINK(CONCATENATE($AT$3,BK493,$AU$3),$AV$3)</f>
        <v>S</v>
      </c>
      <c r="C493" s="242" t="str">
        <f>HYPERLINK(CONCATENATE($AT$4,BK493,$AU$4,BL493),$AV$4)</f>
        <v>A</v>
      </c>
      <c r="D493" s="243" t="s">
        <v>5187</v>
      </c>
      <c r="E493" s="244" t="s">
        <v>5179</v>
      </c>
      <c r="F493" s="269">
        <v>2</v>
      </c>
      <c r="G493" s="276">
        <v>20</v>
      </c>
      <c r="H493" s="271" t="s">
        <v>6500</v>
      </c>
      <c r="I493" s="244" t="s">
        <v>6500</v>
      </c>
      <c r="J493" s="246">
        <v>4</v>
      </c>
      <c r="K493" s="247" t="s">
        <v>9351</v>
      </c>
      <c r="L493" s="248">
        <v>54531</v>
      </c>
      <c r="M493" s="249">
        <f>15*(LEFT(TEXT($L493,"000000"),2)+(MID(TEXT($L493,"000000"),3,2)/60)+(RIGHT(TEXT($L493,"000000"),2)/3600))</f>
        <v>86.379166666666663</v>
      </c>
      <c r="N493" s="250">
        <v>90400</v>
      </c>
      <c r="O493" s="251">
        <f>IF($N493&gt;0,(LEFT(TEXT($N493,"000000"),2)+(MID(TEXT($N493,"000000"),3,2)/60)+(RIGHT(TEXT($N493,"000000"),2)/3600)),-(MID(TEXT($N493,"000000"),2,2)+(MID(TEXT($N493,"000000"),4,2)/60)+(RIGHT(TEXT($N493,"000000"),2)/3600)))</f>
        <v>9.0666666666666664</v>
      </c>
      <c r="P493" s="252" t="s">
        <v>41</v>
      </c>
      <c r="Q493" s="253"/>
      <c r="R493" s="247" t="s">
        <v>3293</v>
      </c>
      <c r="S493" s="272" t="s">
        <v>4398</v>
      </c>
      <c r="T493" s="273"/>
      <c r="U493" s="274"/>
      <c r="V493" s="256"/>
      <c r="W493" s="244"/>
      <c r="X493" s="244"/>
      <c r="Y493" s="362"/>
      <c r="Z493" s="257">
        <f>altaz(J2000_Bas,$O493,$M493,DecLat,DecLong,1)</f>
        <v>-45.736192903615816</v>
      </c>
      <c r="AA493" s="257">
        <f>altaz((J2000_Bas+(2*0.04167)),$O493,$M493,DecLat,DecLong,1)</f>
        <v>-27.789748262517985</v>
      </c>
      <c r="AB493" s="257">
        <f>altaz((J2000_Bas+(4*0.04167)),$O493,$M493,DecLat,DecLong,1)</f>
        <v>-3.9474506736877957</v>
      </c>
      <c r="AC493" s="257">
        <f>altaz((J2000_Bas+(6*0.04167)),$O493,$M493,DecLat,DecLong,1)</f>
        <v>21.651500788726278</v>
      </c>
      <c r="AD493" s="258">
        <f>1+ transit((J2000_Bas-1),$O493,$M493,DecLat,DecLong)/360 + (GMTOffset/24) + (IF(DST="Y", 1, 0)/24)</f>
        <v>1.2328420662651245</v>
      </c>
      <c r="AE493" s="259">
        <f>DATE(2001,9,21)+(M493/360)*365 - (360*((DecLong/360)- (GMTOffset/24) ))</f>
        <v>37247.578877314816</v>
      </c>
      <c r="AF493" s="260">
        <f>IF(DecLat&gt;0,IF((90 - (DecLat-O493))&gt;90, (90 - (O493-DecLat)), (90 - (DecLat-O493))),IF((90 + (DecLat-O493))&gt;90, (90 + (O493-DecLat)), (90 + (DecLat-O493))))</f>
        <v>68.066666666666663</v>
      </c>
      <c r="AG493" s="257">
        <f>angularseperation(MoonRA,MoonDec,$M493,$O493)</f>
        <v>155.77298916988005</v>
      </c>
      <c r="AH493" s="261">
        <f ca="1">MIN(100,IF($O$5&gt;80,0+30*($AG493/100),IF($O$5&gt;70,0+50*($AG493/100),IF($O$5&gt;60,5+50*($AG493/100),IF($O$5&gt;50,10+60*($AG493/100),IF($O$5&gt;40,15+70*($AG493/100),IF($O$5&gt;30,20+70*($AG493/100),IF($O$5&gt;20,40+55*($AG493/100),(80+(20-$O$5)+30*($AG493/100))))))))))</f>
        <v>100</v>
      </c>
      <c r="AI493" s="262"/>
      <c r="AJ493" s="262"/>
      <c r="AK493" s="262"/>
      <c r="AL493" s="263"/>
      <c r="AM493" s="264"/>
      <c r="AN493" s="263"/>
      <c r="AO493" s="263"/>
      <c r="AP493" s="265"/>
      <c r="AQ493" s="266"/>
      <c r="AR493" s="267"/>
      <c r="AS493" s="263"/>
      <c r="AT493" s="263"/>
      <c r="AU493" s="263"/>
      <c r="AV493" s="264"/>
      <c r="AW493" s="263">
        <v>35</v>
      </c>
      <c r="AX493" s="263"/>
      <c r="AY493" s="263">
        <v>878</v>
      </c>
      <c r="AZ493" s="263"/>
      <c r="BA493" s="263"/>
      <c r="BB493" s="263"/>
      <c r="BC493" s="263"/>
      <c r="BD493" s="264"/>
      <c r="BE493" s="263"/>
      <c r="BF493" s="263"/>
      <c r="BG493" s="263"/>
      <c r="BH493" s="263"/>
      <c r="BI493" s="263">
        <v>39</v>
      </c>
      <c r="BJ493" s="404">
        <f>altaz(J2000_Bas,$O493,$M493,DecLat,DecLong,2)</f>
        <v>28.369496044873657</v>
      </c>
      <c r="BK493" s="378" t="s">
        <v>594</v>
      </c>
      <c r="BL493" s="379">
        <f>IF((2*G493)/60&lt;0.2,0.2,(2*G493)/60)</f>
        <v>0.66666666666666663</v>
      </c>
      <c r="BM493" s="380">
        <f>MOD((50000+AD493-$B$3+(0/24)),1)</f>
        <v>0.448208995971072</v>
      </c>
      <c r="BN493" s="381"/>
      <c r="BO493" s="382">
        <v>493</v>
      </c>
    </row>
    <row r="494" spans="1:67" s="24" customFormat="1" ht="15" customHeight="1" x14ac:dyDescent="0.25">
      <c r="A494" s="288" t="s">
        <v>595</v>
      </c>
      <c r="B494" s="241" t="str">
        <f>HYPERLINK(CONCATENATE($AT$3,BK494,$AU$3),$AV$3)</f>
        <v>S</v>
      </c>
      <c r="C494" s="242" t="str">
        <f>HYPERLINK(CONCATENATE($AT$4,BK494,$AU$4,BL494),$AV$4)</f>
        <v>A</v>
      </c>
      <c r="D494" s="243" t="s">
        <v>5187</v>
      </c>
      <c r="E494" s="244" t="s">
        <v>5179</v>
      </c>
      <c r="F494" s="269">
        <v>4</v>
      </c>
      <c r="G494" s="276">
        <v>120</v>
      </c>
      <c r="H494" s="271" t="s">
        <v>6500</v>
      </c>
      <c r="I494" s="244" t="s">
        <v>6500</v>
      </c>
      <c r="J494" s="246">
        <v>1</v>
      </c>
      <c r="K494" s="247" t="s">
        <v>9352</v>
      </c>
      <c r="L494" s="248">
        <v>54946</v>
      </c>
      <c r="M494" s="249">
        <f>15*(LEFT(TEXT($L494,"000000"),2)+(MID(TEXT($L494,"000000"),3,2)/60)+(RIGHT(TEXT($L494,"000000"),2)/3600))</f>
        <v>87.441666666666663</v>
      </c>
      <c r="N494" s="286">
        <v>72600</v>
      </c>
      <c r="O494" s="251">
        <f>IF($N494&gt;0,(LEFT(TEXT($N494,"000000"),2)+(MID(TEXT($N494,"000000"),3,2)/60)+(RIGHT(TEXT($N494,"000000"),2)/3600)),-(MID(TEXT($N494,"000000"),2,2)+(MID(TEXT($N494,"000000"),4,2)/60)+(RIGHT(TEXT($N494,"000000"),2)/3600)))</f>
        <v>7.4333333333333336</v>
      </c>
      <c r="P494" s="252" t="s">
        <v>41</v>
      </c>
      <c r="Q494" s="253"/>
      <c r="R494" s="277" t="s">
        <v>3293</v>
      </c>
      <c r="S494" s="272" t="s">
        <v>3293</v>
      </c>
      <c r="T494" s="273"/>
      <c r="U494" s="274"/>
      <c r="V494" s="256"/>
      <c r="W494" s="244"/>
      <c r="X494" s="244"/>
      <c r="Y494" s="362"/>
      <c r="Z494" s="257">
        <f>altaz(J2000_Bas,$O494,$M494,DecLat,DecLong,1)</f>
        <v>-47.656637448754218</v>
      </c>
      <c r="AA494" s="257">
        <f>altaz((J2000_Bas+(2*0.04167)),$O494,$M494,DecLat,DecLong,1)</f>
        <v>-29.666637754161478</v>
      </c>
      <c r="AB494" s="257">
        <f>altaz((J2000_Bas+(4*0.04167)),$O494,$M494,DecLat,DecLong,1)</f>
        <v>-5.7091245176294976</v>
      </c>
      <c r="AC494" s="257">
        <f>altaz((J2000_Bas+(6*0.04167)),$O494,$M494,DecLat,DecLong,1)</f>
        <v>19.922624903387003</v>
      </c>
      <c r="AD494" s="258">
        <f>1+ transit((J2000_Bas-1),$O494,$M494,DecLat,DecLong)/360 + (GMTOffset/24) + (IF(DST="Y", 1, 0)/24)</f>
        <v>1.2357934548588747</v>
      </c>
      <c r="AE494" s="259">
        <f>DATE(2001,9,21)+(M494/360)*365 - (360*((DecLong/360)- (GMTOffset/24) ))</f>
        <v>37248.656134259261</v>
      </c>
      <c r="AF494" s="260">
        <f>IF(DecLat&gt;0,IF((90 - (DecLat-O494))&gt;90, (90 - (O494-DecLat)), (90 - (DecLat-O494))),IF((90 + (DecLat-O494))&gt;90, (90 + (O494-DecLat)), (90 + (DecLat-O494))))</f>
        <v>66.433333333333337</v>
      </c>
      <c r="AG494" s="257">
        <f>angularseperation(MoonRA,MoonDec,$M494,$O494)</f>
        <v>153.84353259907169</v>
      </c>
      <c r="AH494" s="261">
        <f ca="1">MIN(100,IF($O$5&gt;80,0+30*($AG494/100),IF($O$5&gt;70,0+50*($AG494/100),IF($O$5&gt;60,5+50*($AG494/100),IF($O$5&gt;50,10+60*($AG494/100),IF($O$5&gt;40,15+70*($AG494/100),IF($O$5&gt;30,20+70*($AG494/100),IF($O$5&gt;20,40+55*($AG494/100),(80+(20-$O$5)+30*($AG494/100))))))))))</f>
        <v>100</v>
      </c>
      <c r="AI494" s="263"/>
      <c r="AJ494" s="263"/>
      <c r="AK494" s="263"/>
      <c r="AL494" s="263"/>
      <c r="AM494" s="264"/>
      <c r="AN494" s="263"/>
      <c r="AO494" s="263"/>
      <c r="AP494" s="265"/>
      <c r="AQ494" s="265"/>
      <c r="AR494" s="285"/>
      <c r="AS494" s="263"/>
      <c r="AT494" s="263"/>
      <c r="AU494" s="263"/>
      <c r="AV494" s="264"/>
      <c r="AW494" s="263">
        <v>36</v>
      </c>
      <c r="AX494" s="263"/>
      <c r="AY494" s="263"/>
      <c r="AZ494" s="263"/>
      <c r="BA494" s="263"/>
      <c r="BB494" s="263"/>
      <c r="BC494" s="263"/>
      <c r="BD494" s="264"/>
      <c r="BE494" s="263"/>
      <c r="BF494" s="263"/>
      <c r="BG494" s="263"/>
      <c r="BH494" s="263"/>
      <c r="BI494" s="263">
        <v>40</v>
      </c>
      <c r="BJ494" s="404">
        <f>altaz(J2000_Bas,$O494,$M494,DecLat,DecLong,2)</f>
        <v>27.943697283668183</v>
      </c>
      <c r="BK494" s="378" t="s">
        <v>595</v>
      </c>
      <c r="BL494" s="379">
        <f>IF((2*G494)/60&lt;0.2,0.2,(2*G494)/60)</f>
        <v>4</v>
      </c>
      <c r="BM494" s="380">
        <f>MOD((50000+AD494-$B$3+(0/24)),1)</f>
        <v>0.45116038456035312</v>
      </c>
      <c r="BN494" s="381"/>
      <c r="BO494" s="382">
        <v>494</v>
      </c>
    </row>
    <row r="495" spans="1:67" s="24" customFormat="1" ht="15" customHeight="1" x14ac:dyDescent="0.25">
      <c r="A495" s="288" t="s">
        <v>596</v>
      </c>
      <c r="B495" s="241" t="str">
        <f>HYPERLINK(CONCATENATE($AT$3,BK495,$AU$3),$AV$3)</f>
        <v>S</v>
      </c>
      <c r="C495" s="242" t="str">
        <f>HYPERLINK(CONCATENATE($AT$4,BK495,$AU$4,BL495),$AV$4)</f>
        <v>A</v>
      </c>
      <c r="D495" s="243" t="s">
        <v>5187</v>
      </c>
      <c r="E495" s="244" t="s">
        <v>5179</v>
      </c>
      <c r="F495" s="269">
        <v>4</v>
      </c>
      <c r="G495" s="276">
        <v>60</v>
      </c>
      <c r="H495" s="271" t="s">
        <v>6500</v>
      </c>
      <c r="I495" s="244" t="s">
        <v>6500</v>
      </c>
      <c r="J495" s="246">
        <v>2</v>
      </c>
      <c r="K495" s="247" t="s">
        <v>5959</v>
      </c>
      <c r="L495" s="248">
        <v>63255</v>
      </c>
      <c r="M495" s="249">
        <f>15*(LEFT(TEXT($L495,"000000"),2)+(MID(TEXT($L495,"000000"),3,2)/60)+(RIGHT(TEXT($L495,"000000"),2)/3600))</f>
        <v>98.229166666666657</v>
      </c>
      <c r="N495" s="286">
        <v>102900</v>
      </c>
      <c r="O495" s="251">
        <f>IF($N495&gt;0,(LEFT(TEXT($N495,"000000"),2)+(MID(TEXT($N495,"000000"),3,2)/60)+(RIGHT(TEXT($N495,"000000"),2)/3600)),-(MID(TEXT($N495,"000000"),2,2)+(MID(TEXT($N495,"000000"),4,2)/60)+(RIGHT(TEXT($N495,"000000"),2)/3600)))</f>
        <v>10.483333333333333</v>
      </c>
      <c r="P495" s="252" t="s">
        <v>47</v>
      </c>
      <c r="Q495" s="253"/>
      <c r="R495" s="247" t="s">
        <v>3293</v>
      </c>
      <c r="S495" s="272" t="s">
        <v>4399</v>
      </c>
      <c r="T495" s="273"/>
      <c r="U495" s="274"/>
      <c r="V495" s="256"/>
      <c r="W495" s="244"/>
      <c r="X495" s="244"/>
      <c r="Y495" s="362"/>
      <c r="Z495" s="257">
        <f>altaz(J2000_Bas,$O495,$M495,DecLat,DecLong,1)</f>
        <v>-47.851072660319446</v>
      </c>
      <c r="AA495" s="257">
        <f>altaz((J2000_Bas+(2*0.04167)),$O495,$M495,DecLat,DecLong,1)</f>
        <v>-34.872719324716073</v>
      </c>
      <c r="AB495" s="257">
        <f>altaz((J2000_Bas+(4*0.04167)),$O495,$M495,DecLat,DecLong,1)</f>
        <v>-12.874320278147028</v>
      </c>
      <c r="AC495" s="257">
        <f>altaz((J2000_Bas+(6*0.04167)),$O495,$M495,DecLat,DecLong,1)</f>
        <v>12.204931257761073</v>
      </c>
      <c r="AD495" s="258">
        <f>1+ transit((J2000_Bas-1),$O495,$M495,DecLat,DecLong)/360 + (GMTOffset/24) + (IF(DST="Y", 1, 0)/24)</f>
        <v>1.2657587296401247</v>
      </c>
      <c r="AE495" s="259">
        <f>DATE(2001,9,21)+(M495/360)*365 - (360*((DecLong/360)- (GMTOffset/24) ))</f>
        <v>37259.593460648146</v>
      </c>
      <c r="AF495" s="260">
        <f>IF(DecLat&gt;0,IF((90 - (DecLat-O495))&gt;90, (90 - (O495-DecLat)), (90 - (DecLat-O495))),IF((90 + (DecLat-O495))&gt;90, (90 + (O495-DecLat)), (90 + (DecLat-O495))))</f>
        <v>69.483333333333334</v>
      </c>
      <c r="AG495" s="257">
        <f>angularseperation(MoonRA,MoonDec,$M495,$O495)</f>
        <v>148.06465593992601</v>
      </c>
      <c r="AH495" s="261">
        <f ca="1">MIN(100,IF($O$5&gt;80,0+30*($AG495/100),IF($O$5&gt;70,0+50*($AG495/100),IF($O$5&gt;60,5+50*($AG495/100),IF($O$5&gt;50,10+60*($AG495/100),IF($O$5&gt;40,15+70*($AG495/100),IF($O$5&gt;30,20+70*($AG495/100),IF($O$5&gt;20,40+55*($AG495/100),(80+(20-$O$5)+30*($AG495/100))))))))))</f>
        <v>100</v>
      </c>
      <c r="AI495" s="262"/>
      <c r="AJ495" s="262"/>
      <c r="AK495" s="262"/>
      <c r="AL495" s="263"/>
      <c r="AM495" s="264"/>
      <c r="AN495" s="263"/>
      <c r="AO495" s="263"/>
      <c r="AP495" s="265"/>
      <c r="AQ495" s="266"/>
      <c r="AR495" s="267"/>
      <c r="AS495" s="263"/>
      <c r="AT495" s="263"/>
      <c r="AU495" s="263"/>
      <c r="AV495" s="264"/>
      <c r="AW495" s="263">
        <v>37</v>
      </c>
      <c r="AX495" s="263"/>
      <c r="AY495" s="263"/>
      <c r="AZ495" s="263"/>
      <c r="BA495" s="263"/>
      <c r="BB495" s="263"/>
      <c r="BC495" s="263"/>
      <c r="BD495" s="264"/>
      <c r="BE495" s="263"/>
      <c r="BF495" s="263"/>
      <c r="BG495" s="263"/>
      <c r="BH495" s="263"/>
      <c r="BI495" s="263"/>
      <c r="BJ495" s="404">
        <f>altaz(J2000_Bas,$O495,$M495,DecLat,DecLong,2)</f>
        <v>11.431269261025848</v>
      </c>
      <c r="BK495" s="378" t="s">
        <v>596</v>
      </c>
      <c r="BL495" s="379">
        <f>IF((2*G495)/60&lt;0.2,0.2,(2*G495)/60)</f>
        <v>2</v>
      </c>
      <c r="BM495" s="380">
        <f>MOD((50000+AD495-$B$3+(0/24)),1)</f>
        <v>0.48112565934570739</v>
      </c>
      <c r="BN495" s="381"/>
      <c r="BO495" s="382">
        <v>495</v>
      </c>
    </row>
    <row r="496" spans="1:67" s="24" customFormat="1" ht="15" customHeight="1" x14ac:dyDescent="0.25">
      <c r="A496" s="288" t="s">
        <v>597</v>
      </c>
      <c r="B496" s="241" t="str">
        <f>HYPERLINK(CONCATENATE($AT$3,BK496,$AU$3),$AV$3)</f>
        <v>S</v>
      </c>
      <c r="C496" s="242" t="str">
        <f>HYPERLINK(CONCATENATE($AT$4,BK496,$AU$4,BL496),$AV$4)</f>
        <v>A</v>
      </c>
      <c r="D496" s="243" t="s">
        <v>5187</v>
      </c>
      <c r="E496" s="244" t="s">
        <v>5179</v>
      </c>
      <c r="F496" s="269">
        <v>4</v>
      </c>
      <c r="G496" s="276">
        <v>60</v>
      </c>
      <c r="H496" s="271" t="s">
        <v>6500</v>
      </c>
      <c r="I496" s="244" t="s">
        <v>6500</v>
      </c>
      <c r="J496" s="246">
        <v>0</v>
      </c>
      <c r="K496" s="247" t="s">
        <v>5777</v>
      </c>
      <c r="L496" s="248">
        <v>63342</v>
      </c>
      <c r="M496" s="249">
        <f>15*(LEFT(TEXT($L496,"000000"),2)+(MID(TEXT($L496,"000000"),3,2)/60)+(RIGHT(TEXT($L496,"000000"),2)/3600))</f>
        <v>98.424999999999997</v>
      </c>
      <c r="N496" s="286">
        <v>110500</v>
      </c>
      <c r="O496" s="251">
        <f>IF($N496&gt;0,(LEFT(TEXT($N496,"000000"),2)+(MID(TEXT($N496,"000000"),3,2)/60)+(RIGHT(TEXT($N496,"000000"),2)/3600)),-(MID(TEXT($N496,"000000"),2,2)+(MID(TEXT($N496,"000000"),4,2)/60)+(RIGHT(TEXT($N496,"000000"),2)/3600)))</f>
        <v>11.083333333333334</v>
      </c>
      <c r="P496" s="252" t="s">
        <v>47</v>
      </c>
      <c r="Q496" s="253"/>
      <c r="R496" s="277" t="s">
        <v>3293</v>
      </c>
      <c r="S496" s="272" t="s">
        <v>3293</v>
      </c>
      <c r="T496" s="273"/>
      <c r="U496" s="274"/>
      <c r="V496" s="256"/>
      <c r="W496" s="244"/>
      <c r="X496" s="244"/>
      <c r="Y496" s="362"/>
      <c r="Z496" s="257">
        <f>altaz(J2000_Bas,$O496,$M496,DecLat,DecLong,1)</f>
        <v>-47.292422082967292</v>
      </c>
      <c r="AA496" s="257">
        <f>altaz((J2000_Bas+(2*0.04167)),$O496,$M496,DecLat,DecLong,1)</f>
        <v>-34.533760325368789</v>
      </c>
      <c r="AB496" s="257">
        <f>altaz((J2000_Bas+(4*0.04167)),$O496,$M496,DecLat,DecLong,1)</f>
        <v>-12.68243597806611</v>
      </c>
      <c r="AC496" s="257">
        <f>altaz((J2000_Bas+(6*0.04167)),$O496,$M496,DecLat,DecLong,1)</f>
        <v>12.334871357103959</v>
      </c>
      <c r="AD496" s="258">
        <f>1+ transit((J2000_Bas-1),$O496,$M496,DecLat,DecLong)/360 + (GMTOffset/24) + (IF(DST="Y", 1, 0)/24)</f>
        <v>1.266302711067208</v>
      </c>
      <c r="AE496" s="259">
        <f>DATE(2001,9,21)+(M496/360)*365 - (360*((DecLong/360)- (GMTOffset/24) ))</f>
        <v>37259.792013888888</v>
      </c>
      <c r="AF496" s="260">
        <f>IF(DecLat&gt;0,IF((90 - (DecLat-O496))&gt;90, (90 - (O496-DecLat)), (90 - (DecLat-O496))),IF((90 + (DecLat-O496))&gt;90, (90 + (O496-DecLat)), (90 + (DecLat-O496))))</f>
        <v>70.083333333333343</v>
      </c>
      <c r="AG496" s="257">
        <f>angularseperation(MoonRA,MoonDec,$M496,$O496)</f>
        <v>148.24993515655729</v>
      </c>
      <c r="AH496" s="261">
        <f ca="1">MIN(100,IF($O$5&gt;80,0+30*($AG496/100),IF($O$5&gt;70,0+50*($AG496/100),IF($O$5&gt;60,5+50*($AG496/100),IF($O$5&gt;50,10+60*($AG496/100),IF($O$5&gt;40,15+70*($AG496/100),IF($O$5&gt;30,20+70*($AG496/100),IF($O$5&gt;20,40+55*($AG496/100),(80+(20-$O$5)+30*($AG496/100))))))))))</f>
        <v>100</v>
      </c>
      <c r="AI496" s="263"/>
      <c r="AJ496" s="263"/>
      <c r="AK496" s="263"/>
      <c r="AL496" s="263"/>
      <c r="AM496" s="264"/>
      <c r="AN496" s="263"/>
      <c r="AO496" s="263"/>
      <c r="AP496" s="265"/>
      <c r="AQ496" s="265"/>
      <c r="AR496" s="285"/>
      <c r="AS496" s="263"/>
      <c r="AT496" s="263"/>
      <c r="AU496" s="263"/>
      <c r="AV496" s="264"/>
      <c r="AW496" s="263">
        <v>38</v>
      </c>
      <c r="AX496" s="263"/>
      <c r="AY496" s="263"/>
      <c r="AZ496" s="263"/>
      <c r="BA496" s="263"/>
      <c r="BB496" s="263"/>
      <c r="BC496" s="263"/>
      <c r="BD496" s="264"/>
      <c r="BE496" s="263"/>
      <c r="BF496" s="263"/>
      <c r="BG496" s="263"/>
      <c r="BH496" s="263"/>
      <c r="BI496" s="263"/>
      <c r="BJ496" s="404">
        <f>altaz(J2000_Bas,$O496,$M496,DecLat,DecLong,2)</f>
        <v>10.999334973422105</v>
      </c>
      <c r="BK496" s="378" t="s">
        <v>597</v>
      </c>
      <c r="BL496" s="379">
        <f>IF((2*G496)/60&lt;0.2,0.2,(2*G496)/60)</f>
        <v>2</v>
      </c>
      <c r="BM496" s="380">
        <f>MOD((50000+AD496-$B$3+(0/24)),1)</f>
        <v>0.48166964077245211</v>
      </c>
      <c r="BN496" s="381"/>
      <c r="BO496" s="382">
        <v>496</v>
      </c>
    </row>
    <row r="497" spans="1:67" s="24" customFormat="1" ht="15" customHeight="1" x14ac:dyDescent="0.25">
      <c r="A497" s="288" t="s">
        <v>598</v>
      </c>
      <c r="B497" s="241" t="str">
        <f>HYPERLINK(CONCATENATE($AT$3,BK497,$AU$3),$AV$3)</f>
        <v>S</v>
      </c>
      <c r="C497" s="242" t="str">
        <f>HYPERLINK(CONCATENATE($AT$4,BK497,$AU$4,BL497),$AV$4)</f>
        <v>A</v>
      </c>
      <c r="D497" s="243" t="s">
        <v>5187</v>
      </c>
      <c r="E497" s="244" t="s">
        <v>5179</v>
      </c>
      <c r="F497" s="269">
        <v>5</v>
      </c>
      <c r="G497" s="273">
        <v>6</v>
      </c>
      <c r="H497" s="271" t="s">
        <v>6500</v>
      </c>
      <c r="I497" s="244" t="s">
        <v>6500</v>
      </c>
      <c r="J497" s="246">
        <v>1</v>
      </c>
      <c r="K497" s="247" t="s">
        <v>8528</v>
      </c>
      <c r="L497" s="248">
        <v>63803</v>
      </c>
      <c r="M497" s="249">
        <f>15*(LEFT(TEXT($L497,"000000"),2)+(MID(TEXT($L497,"000000"),3,2)/60)+(RIGHT(TEXT($L497,"000000"),2)/3600))</f>
        <v>99.512499999999989</v>
      </c>
      <c r="N497" s="250">
        <v>102000</v>
      </c>
      <c r="O497" s="251">
        <f>IF($N497&gt;0,(LEFT(TEXT($N497,"000000"),2)+(MID(TEXT($N497,"000000"),3,2)/60)+(RIGHT(TEXT($N497,"000000"),2)/3600)),-(MID(TEXT($N497,"000000"),2,2)+(MID(TEXT($N497,"000000"),4,2)/60)+(RIGHT(TEXT($N497,"000000"),2)/3600)))</f>
        <v>10.333333333333334</v>
      </c>
      <c r="P497" s="252" t="s">
        <v>47</v>
      </c>
      <c r="Q497" s="253"/>
      <c r="R497" s="277" t="s">
        <v>3293</v>
      </c>
      <c r="S497" s="272" t="s">
        <v>3293</v>
      </c>
      <c r="T497" s="273"/>
      <c r="U497" s="274"/>
      <c r="V497" s="256"/>
      <c r="W497" s="244"/>
      <c r="X497" s="244"/>
      <c r="Y497" s="362"/>
      <c r="Z497" s="257">
        <f>altaz(J2000_Bas,$O497,$M497,DecLat,DecLong,1)</f>
        <v>-48.199986471364383</v>
      </c>
      <c r="AA497" s="257">
        <f>altaz((J2000_Bas+(2*0.04167)),$O497,$M497,DecLat,DecLong,1)</f>
        <v>-35.790638998427724</v>
      </c>
      <c r="AB497" s="257">
        <f>altaz((J2000_Bas+(4*0.04167)),$O497,$M497,DecLat,DecLong,1)</f>
        <v>-13.987846782450331</v>
      </c>
      <c r="AC497" s="257">
        <f>altaz((J2000_Bas+(6*0.04167)),$O497,$M497,DecLat,DecLong,1)</f>
        <v>11.035003637236642</v>
      </c>
      <c r="AD497" s="258">
        <f>1+ transit((J2000_Bas-1),$O497,$M497,DecLat,DecLong)/360 + (GMTOffset/24) + (IF(DST="Y", 1, 0)/24)</f>
        <v>1.269323544098458</v>
      </c>
      <c r="AE497" s="259">
        <f>DATE(2001,9,21)+(M497/360)*365 - (360*((DecLong/360)- (GMTOffset/24) ))</f>
        <v>37260.894618055558</v>
      </c>
      <c r="AF497" s="260">
        <f>IF(DecLat&gt;0,IF((90 - (DecLat-O497))&gt;90, (90 - (O497-DecLat)), (90 - (DecLat-O497))),IF((90 + (DecLat-O497))&gt;90, (90 + (O497-DecLat)), (90 + (DecLat-O497))))</f>
        <v>69.333333333333343</v>
      </c>
      <c r="AG497" s="257">
        <f>angularseperation(MoonRA,MoonDec,$M497,$O497)</f>
        <v>146.94450291068992</v>
      </c>
      <c r="AH497" s="261">
        <f ca="1">MIN(100,IF($O$5&gt;80,0+30*($AG497/100),IF($O$5&gt;70,0+50*($AG497/100),IF($O$5&gt;60,5+50*($AG497/100),IF($O$5&gt;50,10+60*($AG497/100),IF($O$5&gt;40,15+70*($AG497/100),IF($O$5&gt;30,20+70*($AG497/100),IF($O$5&gt;20,40+55*($AG497/100),(80+(20-$O$5)+30*($AG497/100))))))))))</f>
        <v>100</v>
      </c>
      <c r="AI497" s="263"/>
      <c r="AJ497" s="263"/>
      <c r="AK497" s="263"/>
      <c r="AL497" s="263"/>
      <c r="AM497" s="264"/>
      <c r="AN497" s="263"/>
      <c r="AO497" s="263"/>
      <c r="AP497" s="265"/>
      <c r="AQ497" s="265"/>
      <c r="AR497" s="285"/>
      <c r="AS497" s="263"/>
      <c r="AT497" s="263"/>
      <c r="AU497" s="263"/>
      <c r="AV497" s="264"/>
      <c r="AW497" s="263">
        <v>39</v>
      </c>
      <c r="AX497" s="263"/>
      <c r="AY497" s="263"/>
      <c r="AZ497" s="263"/>
      <c r="BA497" s="263"/>
      <c r="BB497" s="263"/>
      <c r="BC497" s="263"/>
      <c r="BD497" s="264"/>
      <c r="BE497" s="263"/>
      <c r="BF497" s="263"/>
      <c r="BG497" s="263"/>
      <c r="BH497" s="263"/>
      <c r="BI497" s="263"/>
      <c r="BJ497" s="404">
        <f>altaz(J2000_Bas,$O497,$M497,DecLat,DecLong,2)</f>
        <v>9.6036534184201496</v>
      </c>
      <c r="BK497" s="378" t="s">
        <v>598</v>
      </c>
      <c r="BL497" s="379">
        <f>IF((2*G497)/60&lt;0.2,0.2,(2*G497)/60)</f>
        <v>0.2</v>
      </c>
      <c r="BM497" s="380">
        <f>MOD((50000+AD497-$B$3+(0/24)),1)</f>
        <v>0.48469047380058328</v>
      </c>
      <c r="BN497" s="381"/>
      <c r="BO497" s="382">
        <v>497</v>
      </c>
    </row>
    <row r="498" spans="1:67" s="24" customFormat="1" ht="15" customHeight="1" x14ac:dyDescent="0.25">
      <c r="A498" s="288" t="s">
        <v>599</v>
      </c>
      <c r="B498" s="241" t="str">
        <f>HYPERLINK(CONCATENATE($AT$3,BK498,$AU$3),$AV$3)</f>
        <v>S</v>
      </c>
      <c r="C498" s="242" t="str">
        <f>HYPERLINK(CONCATENATE($AT$4,BK498,$AU$4,BL498),$AV$4)</f>
        <v>A</v>
      </c>
      <c r="D498" s="243" t="s">
        <v>5187</v>
      </c>
      <c r="E498" s="244" t="s">
        <v>5179</v>
      </c>
      <c r="F498" s="269">
        <v>3</v>
      </c>
      <c r="G498" s="276">
        <v>70</v>
      </c>
      <c r="H498" s="271" t="s">
        <v>6500</v>
      </c>
      <c r="I498" s="244" t="s">
        <v>6500</v>
      </c>
      <c r="J498" s="246">
        <v>2</v>
      </c>
      <c r="K498" s="277" t="s">
        <v>7170</v>
      </c>
      <c r="L498" s="248">
        <v>161438</v>
      </c>
      <c r="M498" s="249">
        <f>15*(LEFT(TEXT($L498,"000000"),2)+(MID(TEXT($L498,"000000"),3,2)/60)+(RIGHT(TEXT($L498,"000000"),2)/3600))</f>
        <v>243.65833333333336</v>
      </c>
      <c r="N498" s="250">
        <v>-185900</v>
      </c>
      <c r="O498" s="251">
        <f>IF($N498&gt;0,(LEFT(TEXT($N498,"000000"),2)+(MID(TEXT($N498,"000000"),3,2)/60)+(RIGHT(TEXT($N498,"000000"),2)/3600)),-(MID(TEXT($N498,"000000"),2,2)+(MID(TEXT($N498,"000000"),4,2)/60)+(RIGHT(TEXT($N498,"000000"),2)/3600)))</f>
        <v>-18.983333333333334</v>
      </c>
      <c r="P498" s="252" t="s">
        <v>109</v>
      </c>
      <c r="Q498" s="253"/>
      <c r="R498" s="277" t="s">
        <v>3293</v>
      </c>
      <c r="S498" s="272" t="s">
        <v>4400</v>
      </c>
      <c r="T498" s="273"/>
      <c r="U498" s="274"/>
      <c r="V498" s="256"/>
      <c r="W498" s="244"/>
      <c r="X498" s="244"/>
      <c r="Y498" s="362"/>
      <c r="Z498" s="257">
        <f>altaz(J2000_Bas,$O498,$M498,DecLat,DecLong,1)</f>
        <v>25.565765969816212</v>
      </c>
      <c r="AA498" s="257">
        <f>altaz((J2000_Bas+(2*0.04167)),$O498,$M498,DecLat,DecLong,1)</f>
        <v>4.4252439869092095</v>
      </c>
      <c r="AB498" s="257">
        <f>altaz((J2000_Bas+(4*0.04167)),$O498,$M498,DecLat,DecLong,1)</f>
        <v>-20.069393766788586</v>
      </c>
      <c r="AC498" s="257">
        <f>altaz((J2000_Bas+(6*0.04167)),$O498,$M498,DecLat,DecLong,1)</f>
        <v>-45.738157046243671</v>
      </c>
      <c r="AD498" s="258">
        <f>1+ transit((J2000_Bas-1),$O498,$M498,DecLat,DecLong)/360 + (GMTOffset/24) + (IF(DST="Y", 1, 0)/24)</f>
        <v>1.6697285966505415</v>
      </c>
      <c r="AE498" s="259">
        <f>DATE(2001,9,21)+(M498/360)*365 - (360*((DecLong/360)- (GMTOffset/24) ))</f>
        <v>37407.04247685185</v>
      </c>
      <c r="AF498" s="260">
        <f>IF(DecLat&gt;0,IF((90 - (DecLat-O498))&gt;90, (90 - (O498-DecLat)), (90 - (DecLat-O498))),IF((90 + (DecLat-O498))&gt;90, (90 + (O498-DecLat)), (90 + (DecLat-O498))))</f>
        <v>40.016666666666666</v>
      </c>
      <c r="AG498" s="257">
        <f>angularseperation(MoonRA,MoonDec,$M498,$O498)</f>
        <v>9.5892979393949211</v>
      </c>
      <c r="AH498" s="261">
        <f ca="1">MIN(100,IF($O$5&gt;80,0+30*($AG498/100),IF($O$5&gt;70,0+50*($AG498/100),IF($O$5&gt;60,5+50*($AG498/100),IF($O$5&gt;50,10+60*($AG498/100),IF($O$5&gt;40,15+70*($AG498/100),IF($O$5&gt;30,20+70*($AG498/100),IF($O$5&gt;20,40+55*($AG498/100),(80+(20-$O$5)+30*($AG498/100))))))))))</f>
        <v>86.147849725968911</v>
      </c>
      <c r="AI498" s="263"/>
      <c r="AJ498" s="263"/>
      <c r="AK498" s="263"/>
      <c r="AL498" s="263"/>
      <c r="AM498" s="264"/>
      <c r="AN498" s="263"/>
      <c r="AO498" s="263"/>
      <c r="AP498" s="265"/>
      <c r="AQ498" s="265"/>
      <c r="AR498" s="285"/>
      <c r="AS498" s="263"/>
      <c r="AT498" s="263"/>
      <c r="AU498" s="263"/>
      <c r="AV498" s="264"/>
      <c r="AW498" s="263">
        <v>40</v>
      </c>
      <c r="AX498" s="263"/>
      <c r="AY498" s="263"/>
      <c r="AZ498" s="263"/>
      <c r="BA498" s="263"/>
      <c r="BB498" s="263"/>
      <c r="BC498" s="263"/>
      <c r="BD498" s="264"/>
      <c r="BE498" s="263"/>
      <c r="BF498" s="263"/>
      <c r="BG498" s="263"/>
      <c r="BH498" s="263"/>
      <c r="BI498" s="263"/>
      <c r="BJ498" s="404">
        <f>altaz(J2000_Bas,$O498,$M498,DecLat,DecLong,2)</f>
        <v>224.91703727599207</v>
      </c>
      <c r="BK498" s="378" t="s">
        <v>599</v>
      </c>
      <c r="BL498" s="379">
        <f>IF((2*G498)/60&lt;0.2,0.2,(2*G498)/60)</f>
        <v>2.3333333333333335</v>
      </c>
      <c r="BM498" s="380">
        <f>MOD((50000+AD498-$B$3+(0/24)),1)</f>
        <v>0.8850955263551441</v>
      </c>
      <c r="BN498" s="381"/>
      <c r="BO498" s="382">
        <v>498</v>
      </c>
    </row>
    <row r="499" spans="1:67" s="24" customFormat="1" ht="15" customHeight="1" x14ac:dyDescent="0.25">
      <c r="A499" s="288" t="s">
        <v>600</v>
      </c>
      <c r="B499" s="241" t="str">
        <f>HYPERLINK(CONCATENATE($AT$3,BK499,$AU$3),$AV$3)</f>
        <v>S</v>
      </c>
      <c r="C499" s="242" t="str">
        <f>HYPERLINK(CONCATENATE($AT$4,BK499,$AU$4,BL499),$AV$4)</f>
        <v>A</v>
      </c>
      <c r="D499" s="243" t="s">
        <v>5187</v>
      </c>
      <c r="E499" s="244" t="s">
        <v>5179</v>
      </c>
      <c r="F499" s="269">
        <v>3</v>
      </c>
      <c r="G499" s="276">
        <v>45</v>
      </c>
      <c r="H499" s="271" t="s">
        <v>6500</v>
      </c>
      <c r="I499" s="244" t="s">
        <v>6500</v>
      </c>
      <c r="J499" s="246">
        <v>2</v>
      </c>
      <c r="K499" s="277" t="s">
        <v>7173</v>
      </c>
      <c r="L499" s="248">
        <v>162217</v>
      </c>
      <c r="M499" s="249">
        <f>15*(LEFT(TEXT($L499,"000000"),2)+(MID(TEXT($L499,"000000"),3,2)/60)+(RIGHT(TEXT($L499,"000000"),2)/3600))</f>
        <v>245.57083333333335</v>
      </c>
      <c r="N499" s="286">
        <v>-193800</v>
      </c>
      <c r="O499" s="251">
        <f>IF($N499&gt;0,(LEFT(TEXT($N499,"000000"),2)+(MID(TEXT($N499,"000000"),3,2)/60)+(RIGHT(TEXT($N499,"000000"),2)/3600)),-(MID(TEXT($N499,"000000"),2,2)+(MID(TEXT($N499,"000000"),4,2)/60)+(RIGHT(TEXT($N499,"000000"),2)/3600)))</f>
        <v>-19.633333333333333</v>
      </c>
      <c r="P499" s="252" t="s">
        <v>109</v>
      </c>
      <c r="Q499" s="253"/>
      <c r="R499" s="277" t="s">
        <v>3293</v>
      </c>
      <c r="S499" s="272" t="s">
        <v>4688</v>
      </c>
      <c r="T499" s="273"/>
      <c r="U499" s="274"/>
      <c r="V499" s="256"/>
      <c r="W499" s="244"/>
      <c r="X499" s="244"/>
      <c r="Y499" s="362"/>
      <c r="Z499" s="257">
        <f>altaz(J2000_Bas,$O499,$M499,DecLat,DecLong,1)</f>
        <v>26.197857814834894</v>
      </c>
      <c r="AA499" s="257">
        <f>altaz((J2000_Bas+(2*0.04167)),$O499,$M499,DecLat,DecLong,1)</f>
        <v>5.5217637515772138</v>
      </c>
      <c r="AB499" s="257">
        <f>altaz((J2000_Bas+(4*0.04167)),$O499,$M499,DecLat,DecLong,1)</f>
        <v>-18.758192334668951</v>
      </c>
      <c r="AC499" s="257">
        <f>altaz((J2000_Bas+(6*0.04167)),$O499,$M499,DecLat,DecLong,1)</f>
        <v>-44.375494897930935</v>
      </c>
      <c r="AD499" s="258">
        <f>1+ transit((J2000_Bas-1),$O499,$M499,DecLat,DecLong)/360 + (GMTOffset/24) + (IF(DST="Y", 1, 0)/24)</f>
        <v>1.6750410961192914</v>
      </c>
      <c r="AE499" s="259">
        <f>DATE(2001,9,21)+(M499/360)*365 - (360*((DecLong/360)- (GMTOffset/24) ))</f>
        <v>37408.981539351851</v>
      </c>
      <c r="AF499" s="260">
        <f>IF(DecLat&gt;0,IF((90 - (DecLat-O499))&gt;90, (90 - (O499-DecLat)), (90 - (DecLat-O499))),IF((90 + (DecLat-O499))&gt;90, (90 + (O499-DecLat)), (90 + (DecLat-O499))))</f>
        <v>39.366666666666667</v>
      </c>
      <c r="AG499" s="257">
        <f>angularseperation(MoonRA,MoonDec,$M499,$O499)</f>
        <v>8.1759691852660623</v>
      </c>
      <c r="AH499" s="261">
        <f ca="1">MIN(100,IF($O$5&gt;80,0+30*($AG499/100),IF($O$5&gt;70,0+50*($AG499/100),IF($O$5&gt;60,5+50*($AG499/100),IF($O$5&gt;50,10+60*($AG499/100),IF($O$5&gt;40,15+70*($AG499/100),IF($O$5&gt;30,20+70*($AG499/100),IF($O$5&gt;20,40+55*($AG499/100),(80+(20-$O$5)+30*($AG499/100))))))))))</f>
        <v>85.72385109973024</v>
      </c>
      <c r="AI499" s="263"/>
      <c r="AJ499" s="263"/>
      <c r="AK499" s="263"/>
      <c r="AL499" s="263"/>
      <c r="AM499" s="264"/>
      <c r="AN499" s="263"/>
      <c r="AO499" s="263"/>
      <c r="AP499" s="265"/>
      <c r="AQ499" s="265"/>
      <c r="AR499" s="285"/>
      <c r="AS499" s="263"/>
      <c r="AT499" s="263"/>
      <c r="AU499" s="263"/>
      <c r="AV499" s="264"/>
      <c r="AW499" s="263">
        <v>41</v>
      </c>
      <c r="AX499" s="263"/>
      <c r="AY499" s="263"/>
      <c r="AZ499" s="263"/>
      <c r="BA499" s="263"/>
      <c r="BB499" s="263"/>
      <c r="BC499" s="263"/>
      <c r="BD499" s="264"/>
      <c r="BE499" s="263"/>
      <c r="BF499" s="263"/>
      <c r="BG499" s="263"/>
      <c r="BH499" s="263"/>
      <c r="BI499" s="263"/>
      <c r="BJ499" s="404">
        <f>altaz(J2000_Bas,$O499,$M499,DecLat,DecLong,2)</f>
        <v>222.90381631400993</v>
      </c>
      <c r="BK499" s="378" t="s">
        <v>600</v>
      </c>
      <c r="BL499" s="379">
        <f>IF((2*G499)/60&lt;0.2,0.2,(2*G499)/60)</f>
        <v>1.5</v>
      </c>
      <c r="BM499" s="380">
        <f>MOD((50000+AD499-$B$3+(0/24)),1)</f>
        <v>0.89040802582167089</v>
      </c>
      <c r="BN499" s="381"/>
      <c r="BO499" s="382">
        <v>499</v>
      </c>
    </row>
    <row r="500" spans="1:67" s="24" customFormat="1" ht="15" customHeight="1" x14ac:dyDescent="0.25">
      <c r="A500" s="288" t="s">
        <v>601</v>
      </c>
      <c r="B500" s="241" t="str">
        <f>HYPERLINK(CONCATENATE($AT$3,BK500,$AU$3),$AV$3)</f>
        <v>S</v>
      </c>
      <c r="C500" s="242" t="str">
        <f>HYPERLINK(CONCATENATE($AT$4,BK500,$AU$4,BL500),$AV$4)</f>
        <v>A</v>
      </c>
      <c r="D500" s="243" t="s">
        <v>5187</v>
      </c>
      <c r="E500" s="244" t="s">
        <v>5179</v>
      </c>
      <c r="F500" s="269">
        <v>6</v>
      </c>
      <c r="G500" s="276">
        <v>20</v>
      </c>
      <c r="H500" s="271" t="s">
        <v>6500</v>
      </c>
      <c r="I500" s="244" t="s">
        <v>6500</v>
      </c>
      <c r="J500" s="246">
        <v>2</v>
      </c>
      <c r="K500" s="247" t="s">
        <v>5960</v>
      </c>
      <c r="L500" s="248">
        <v>162529</v>
      </c>
      <c r="M500" s="249">
        <f>15*(LEFT(TEXT($L500,"000000"),2)+(MID(TEXT($L500,"000000"),3,2)/60)+(RIGHT(TEXT($L500,"000000"),2)/3600))</f>
        <v>246.37083333333334</v>
      </c>
      <c r="N500" s="250">
        <v>-232700</v>
      </c>
      <c r="O500" s="251">
        <f>IF($N500&gt;0,(LEFT(TEXT($N500,"000000"),2)+(MID(TEXT($N500,"000000"),3,2)/60)+(RIGHT(TEXT($N500,"000000"),2)/3600)),-(MID(TEXT($N500,"000000"),2,2)+(MID(TEXT($N500,"000000"),4,2)/60)+(RIGHT(TEXT($N500,"000000"),2)/3600)))</f>
        <v>-23.45</v>
      </c>
      <c r="P500" s="252" t="s">
        <v>113</v>
      </c>
      <c r="Q500" s="253"/>
      <c r="R500" s="247" t="s">
        <v>3293</v>
      </c>
      <c r="S500" s="272" t="s">
        <v>2453</v>
      </c>
      <c r="T500" s="273"/>
      <c r="U500" s="274"/>
      <c r="V500" s="256"/>
      <c r="W500" s="244"/>
      <c r="X500" s="244"/>
      <c r="Y500" s="362"/>
      <c r="Z500" s="257">
        <f>altaz(J2000_Bas,$O500,$M500,DecLat,DecLong,1)</f>
        <v>23.620258411875046</v>
      </c>
      <c r="AA500" s="257">
        <f>altaz((J2000_Bas+(2*0.04167)),$O500,$M500,DecLat,DecLong,1)</f>
        <v>3.8791042878111104</v>
      </c>
      <c r="AB500" s="257">
        <f>altaz((J2000_Bas+(4*0.04167)),$O500,$M500,DecLat,DecLong,1)</f>
        <v>-19.804911962166734</v>
      </c>
      <c r="AC500" s="257">
        <f>altaz((J2000_Bas+(6*0.04167)),$O500,$M500,DecLat,DecLong,1)</f>
        <v>-45.171745687908484</v>
      </c>
      <c r="AD500" s="258">
        <f>1+ transit((J2000_Bas-1),$O500,$M500,DecLat,DecLong)/360 + (GMTOffset/24) + (IF(DST="Y", 1, 0)/24)</f>
        <v>1.6772633181192913</v>
      </c>
      <c r="AE500" s="259">
        <f>DATE(2001,9,21)+(M500/360)*365 - (360*((DecLong/360)- (GMTOffset/24) ))</f>
        <v>37409.792650462965</v>
      </c>
      <c r="AF500" s="260">
        <f>IF(DecLat&gt;0,IF((90 - (DecLat-O500))&gt;90, (90 - (O500-DecLat)), (90 - (DecLat-O500))),IF((90 + (DecLat-O500))&gt;90, (90 + (O500-DecLat)), (90 + (DecLat-O500))))</f>
        <v>35.549999999999997</v>
      </c>
      <c r="AG500" s="257">
        <f>angularseperation(MoonRA,MoonDec,$M500,$O500)</f>
        <v>4.4658576982790175</v>
      </c>
      <c r="AH500" s="261">
        <f ca="1">MIN(100,IF($O$5&gt;80,0+30*($AG500/100),IF($O$5&gt;70,0+50*($AG500/100),IF($O$5&gt;60,5+50*($AG500/100),IF($O$5&gt;50,10+60*($AG500/100),IF($O$5&gt;40,15+70*($AG500/100),IF($O$5&gt;30,20+70*($AG500/100),IF($O$5&gt;20,40+55*($AG500/100),(80+(20-$O$5)+30*($AG500/100))))))))))</f>
        <v>84.610817653634129</v>
      </c>
      <c r="AI500" s="262"/>
      <c r="AJ500" s="262"/>
      <c r="AK500" s="262"/>
      <c r="AL500" s="263"/>
      <c r="AM500" s="264"/>
      <c r="AN500" s="263"/>
      <c r="AO500" s="263"/>
      <c r="AP500" s="265"/>
      <c r="AQ500" s="266"/>
      <c r="AR500" s="267"/>
      <c r="AS500" s="263"/>
      <c r="AT500" s="263"/>
      <c r="AU500" s="263"/>
      <c r="AV500" s="264"/>
      <c r="AW500" s="263">
        <v>42</v>
      </c>
      <c r="AX500" s="263"/>
      <c r="AY500" s="263"/>
      <c r="AZ500" s="263"/>
      <c r="BA500" s="263"/>
      <c r="BB500" s="263"/>
      <c r="BC500" s="263"/>
      <c r="BD500" s="264"/>
      <c r="BE500" s="263"/>
      <c r="BF500" s="263"/>
      <c r="BG500" s="263"/>
      <c r="BH500" s="263"/>
      <c r="BI500" s="263"/>
      <c r="BJ500" s="404">
        <f>altaz(J2000_Bas,$O500,$M500,DecLat,DecLong,2)</f>
        <v>219.69327615530281</v>
      </c>
      <c r="BK500" s="378" t="s">
        <v>601</v>
      </c>
      <c r="BL500" s="379">
        <f>IF((2*G500)/60&lt;0.2,0.2,(2*G500)/60)</f>
        <v>0.66666666666666663</v>
      </c>
      <c r="BM500" s="380">
        <f>MOD((50000+AD500-$B$3+(0/24)),1)</f>
        <v>0.89263024782121647</v>
      </c>
      <c r="BN500" s="381"/>
      <c r="BO500" s="382">
        <v>500</v>
      </c>
    </row>
    <row r="501" spans="1:67" s="24" customFormat="1" ht="15" customHeight="1" x14ac:dyDescent="0.25">
      <c r="A501" s="287" t="s">
        <v>602</v>
      </c>
      <c r="B501" s="241" t="str">
        <f>HYPERLINK(CONCATENATE($AT$3,BK501,$AU$3),$AV$3)</f>
        <v>S</v>
      </c>
      <c r="C501" s="242" t="str">
        <f>HYPERLINK(CONCATENATE($AT$4,BK501,$AU$4,BL501),$AV$4)</f>
        <v>A</v>
      </c>
      <c r="D501" s="243" t="s">
        <v>5187</v>
      </c>
      <c r="E501" s="244" t="s">
        <v>5179</v>
      </c>
      <c r="F501" s="269">
        <v>4</v>
      </c>
      <c r="G501" s="276">
        <v>70</v>
      </c>
      <c r="H501" s="271" t="s">
        <v>6500</v>
      </c>
      <c r="I501" s="244" t="s">
        <v>6500</v>
      </c>
      <c r="J501" s="246">
        <v>0</v>
      </c>
      <c r="K501" s="247" t="s">
        <v>5961</v>
      </c>
      <c r="L501" s="248">
        <v>163018</v>
      </c>
      <c r="M501" s="249">
        <f>15*(LEFT(TEXT($L501,"000000"),2)+(MID(TEXT($L501,"000000"),3,2)/60)+(RIGHT(TEXT($L501,"000000"),2)/3600))</f>
        <v>247.57499999999999</v>
      </c>
      <c r="N501" s="286">
        <v>-194700</v>
      </c>
      <c r="O501" s="251">
        <f>IF($N501&gt;0,(LEFT(TEXT($N501,"000000"),2)+(MID(TEXT($N501,"000000"),3,2)/60)+(RIGHT(TEXT($N501,"000000"),2)/3600)),-(MID(TEXT($N501,"000000"),2,2)+(MID(TEXT($N501,"000000"),4,2)/60)+(RIGHT(TEXT($N501,"000000"),2)/3600)))</f>
        <v>-19.783333333333335</v>
      </c>
      <c r="P501" s="252" t="s">
        <v>113</v>
      </c>
      <c r="Q501" s="253"/>
      <c r="R501" s="277" t="s">
        <v>3293</v>
      </c>
      <c r="S501" s="272" t="s">
        <v>4688</v>
      </c>
      <c r="T501" s="273"/>
      <c r="U501" s="274"/>
      <c r="V501" s="256"/>
      <c r="W501" s="244"/>
      <c r="X501" s="244"/>
      <c r="Y501" s="362"/>
      <c r="Z501" s="257">
        <f>altaz(J2000_Bas,$O501,$M501,DecLat,DecLong,1)</f>
        <v>27.228819565235316</v>
      </c>
      <c r="AA501" s="257">
        <f>altaz((J2000_Bas+(2*0.04167)),$O501,$M501,DecLat,DecLong,1)</f>
        <v>6.957320122435906</v>
      </c>
      <c r="AB501" s="257">
        <f>altaz((J2000_Bas+(4*0.04167)),$O501,$M501,DecLat,DecLong,1)</f>
        <v>-17.150818224989518</v>
      </c>
      <c r="AC501" s="257">
        <f>altaz((J2000_Bas+(6*0.04167)),$O501,$M501,DecLat,DecLong,1)</f>
        <v>-42.720467694457838</v>
      </c>
      <c r="AD501" s="258">
        <f>1+ transit((J2000_Bas-1),$O501,$M501,DecLat,DecLong)/360 + (GMTOffset/24) + (IF(DST="Y", 1, 0)/24)</f>
        <v>1.6806082251922081</v>
      </c>
      <c r="AE501" s="259">
        <f>DATE(2001,9,21)+(M501/360)*365 - (360*((DecLong/360)- (GMTOffset/24) ))</f>
        <v>37411.013541666667</v>
      </c>
      <c r="AF501" s="260">
        <f>IF(DecLat&gt;0,IF((90 - (DecLat-O501))&gt;90, (90 - (O501-DecLat)), (90 - (DecLat-O501))),IF((90 + (DecLat-O501))&gt;90, (90 + (O501-DecLat)), (90 + (DecLat-O501))))</f>
        <v>39.216666666666669</v>
      </c>
      <c r="AG501" s="257">
        <f>angularseperation(MoonRA,MoonDec,$M501,$O501)</f>
        <v>7.4589048103477857</v>
      </c>
      <c r="AH501" s="261">
        <f ca="1">MIN(100,IF($O$5&gt;80,0+30*($AG501/100),IF($O$5&gt;70,0+50*($AG501/100),IF($O$5&gt;60,5+50*($AG501/100),IF($O$5&gt;50,10+60*($AG501/100),IF($O$5&gt;40,15+70*($AG501/100),IF($O$5&gt;30,20+70*($AG501/100),IF($O$5&gt;20,40+55*($AG501/100),(80+(20-$O$5)+30*($AG501/100))))))))))</f>
        <v>85.50873178725476</v>
      </c>
      <c r="AI501" s="263"/>
      <c r="AJ501" s="263"/>
      <c r="AK501" s="263"/>
      <c r="AL501" s="263"/>
      <c r="AM501" s="264"/>
      <c r="AN501" s="263"/>
      <c r="AO501" s="263"/>
      <c r="AP501" s="265"/>
      <c r="AQ501" s="265"/>
      <c r="AR501" s="285"/>
      <c r="AS501" s="263"/>
      <c r="AT501" s="263"/>
      <c r="AU501" s="263"/>
      <c r="AV501" s="264"/>
      <c r="AW501" s="263">
        <v>43</v>
      </c>
      <c r="AX501" s="263"/>
      <c r="AY501" s="263"/>
      <c r="AZ501" s="263"/>
      <c r="BA501" s="263"/>
      <c r="BB501" s="263"/>
      <c r="BC501" s="263"/>
      <c r="BD501" s="264"/>
      <c r="BE501" s="263"/>
      <c r="BF501" s="263"/>
      <c r="BG501" s="263"/>
      <c r="BH501" s="263"/>
      <c r="BI501" s="263"/>
      <c r="BJ501" s="404">
        <f>altaz(J2000_Bas,$O501,$M501,DecLat,DecLong,2)</f>
        <v>221.12682119882351</v>
      </c>
      <c r="BK501" s="378" t="s">
        <v>602</v>
      </c>
      <c r="BL501" s="379">
        <f>IF((2*G501)/60&lt;0.2,0.2,(2*G501)/60)</f>
        <v>2.3333333333333335</v>
      </c>
      <c r="BM501" s="380">
        <f>MOD((50000+AD501-$B$3+(0/24)),1)</f>
        <v>0.8959751548973145</v>
      </c>
      <c r="BN501" s="381"/>
      <c r="BO501" s="382">
        <v>501</v>
      </c>
    </row>
    <row r="502" spans="1:67" s="24" customFormat="1" ht="15" customHeight="1" x14ac:dyDescent="0.25">
      <c r="A502" s="287" t="s">
        <v>603</v>
      </c>
      <c r="B502" s="241" t="str">
        <f>HYPERLINK(CONCATENATE($AT$3,BK502,$AU$3),$AV$3)</f>
        <v>S</v>
      </c>
      <c r="C502" s="242" t="str">
        <f>HYPERLINK(CONCATENATE($AT$4,BK502,$AU$4,BL502),$AV$4)</f>
        <v>A</v>
      </c>
      <c r="D502" s="243" t="s">
        <v>5187</v>
      </c>
      <c r="E502" s="244" t="s">
        <v>5179</v>
      </c>
      <c r="F502" s="269">
        <v>5</v>
      </c>
      <c r="G502" s="276">
        <v>270</v>
      </c>
      <c r="H502" s="271" t="s">
        <v>6500</v>
      </c>
      <c r="I502" s="244" t="s">
        <v>6500</v>
      </c>
      <c r="J502" s="246">
        <v>1</v>
      </c>
      <c r="K502" s="247" t="s">
        <v>8366</v>
      </c>
      <c r="L502" s="248">
        <v>164033</v>
      </c>
      <c r="M502" s="249">
        <f>15*(LEFT(TEXT($L502,"000000"),2)+(MID(TEXT($L502,"000000"),3,2)/60)+(RIGHT(TEXT($L502,"000000"),2)/3600))</f>
        <v>250.13749999999999</v>
      </c>
      <c r="N502" s="286">
        <v>-240500</v>
      </c>
      <c r="O502" s="251">
        <f>IF($N502&gt;0,(LEFT(TEXT($N502,"000000"),2)+(MID(TEXT($N502,"000000"),3,2)/60)+(RIGHT(TEXT($N502,"000000"),2)/3600)),-(MID(TEXT($N502,"000000"),2,2)+(MID(TEXT($N502,"000000"),4,2)/60)+(RIGHT(TEXT($N502,"000000"),2)/3600)))</f>
        <v>-24.083333333333332</v>
      </c>
      <c r="P502" s="252" t="s">
        <v>109</v>
      </c>
      <c r="Q502" s="253"/>
      <c r="R502" s="277" t="s">
        <v>3293</v>
      </c>
      <c r="S502" s="272" t="s">
        <v>2453</v>
      </c>
      <c r="T502" s="273"/>
      <c r="U502" s="274"/>
      <c r="V502" s="256"/>
      <c r="W502" s="244"/>
      <c r="X502" s="244"/>
      <c r="Y502" s="362"/>
      <c r="Z502" s="257">
        <f>altaz(J2000_Bas,$O502,$M502,DecLat,DecLong,1)</f>
        <v>25.088081261928362</v>
      </c>
      <c r="AA502" s="257">
        <f>altaz((J2000_Bas+(2*0.04167)),$O502,$M502,DecLat,DecLong,1)</f>
        <v>6.2433801570354062</v>
      </c>
      <c r="AB502" s="257">
        <f>altaz((J2000_Bas+(4*0.04167)),$O502,$M502,DecLat,DecLong,1)</f>
        <v>-17.003660650155325</v>
      </c>
      <c r="AC502" s="257">
        <f>altaz((J2000_Bas+(6*0.04167)),$O502,$M502,DecLat,DecLong,1)</f>
        <v>-42.17935052450752</v>
      </c>
      <c r="AD502" s="258">
        <f>1+ transit((J2000_Bas-1),$O502,$M502,DecLat,DecLong)/360 + (GMTOffset/24) + (IF(DST="Y", 1, 0)/24)</f>
        <v>1.6877262800359578</v>
      </c>
      <c r="AE502" s="259">
        <f>DATE(2001,9,21)+(M502/360)*365 - (360*((DecLong/360)- (GMTOffset/24) ))</f>
        <v>37413.611631944441</v>
      </c>
      <c r="AF502" s="260">
        <f>IF(DecLat&gt;0,IF((90 - (DecLat-O502))&gt;90, (90 - (O502-DecLat)), (90 - (DecLat-O502))),IF((90 + (DecLat-O502))&gt;90, (90 + (O502-DecLat)), (90 + (DecLat-O502))))</f>
        <v>34.916666666666671</v>
      </c>
      <c r="AG502" s="257">
        <f>angularseperation(MoonRA,MoonDec,$M502,$O502)</f>
        <v>3.1075414299988871</v>
      </c>
      <c r="AH502" s="261">
        <f ca="1">MIN(100,IF($O$5&gt;80,0+30*($AG502/100),IF($O$5&gt;70,0+50*($AG502/100),IF($O$5&gt;60,5+50*($AG502/100),IF($O$5&gt;50,10+60*($AG502/100),IF($O$5&gt;40,15+70*($AG502/100),IF($O$5&gt;30,20+70*($AG502/100),IF($O$5&gt;20,40+55*($AG502/100),(80+(20-$O$5)+30*($AG502/100))))))))))</f>
        <v>84.203322773150092</v>
      </c>
      <c r="AI502" s="263"/>
      <c r="AJ502" s="263"/>
      <c r="AK502" s="263"/>
      <c r="AL502" s="263"/>
      <c r="AM502" s="264"/>
      <c r="AN502" s="263"/>
      <c r="AO502" s="263"/>
      <c r="AP502" s="265"/>
      <c r="AQ502" s="265"/>
      <c r="AR502" s="285"/>
      <c r="AS502" s="263"/>
      <c r="AT502" s="263"/>
      <c r="AU502" s="263"/>
      <c r="AV502" s="264"/>
      <c r="AW502" s="263">
        <v>44</v>
      </c>
      <c r="AX502" s="263"/>
      <c r="AY502" s="263"/>
      <c r="AZ502" s="263"/>
      <c r="BA502" s="263"/>
      <c r="BB502" s="263"/>
      <c r="BC502" s="263"/>
      <c r="BD502" s="264"/>
      <c r="BE502" s="263"/>
      <c r="BF502" s="263"/>
      <c r="BG502" s="263"/>
      <c r="BH502" s="263"/>
      <c r="BI502" s="263"/>
      <c r="BJ502" s="404">
        <f>altaz(J2000_Bas,$O502,$M502,DecLat,DecLong,2)</f>
        <v>216.19952726339017</v>
      </c>
      <c r="BK502" s="378" t="s">
        <v>603</v>
      </c>
      <c r="BL502" s="379">
        <f>IF((2*G502)/60&lt;0.2,0.2,(2*G502)/60)</f>
        <v>9</v>
      </c>
      <c r="BM502" s="380">
        <f>MOD((50000+AD502-$B$3+(0/24)),1)</f>
        <v>0.90309320973756257</v>
      </c>
      <c r="BN502" s="381"/>
      <c r="BO502" s="382">
        <v>502</v>
      </c>
    </row>
    <row r="503" spans="1:67" s="24" customFormat="1" ht="15" customHeight="1" x14ac:dyDescent="0.25">
      <c r="A503" s="287" t="s">
        <v>604</v>
      </c>
      <c r="B503" s="241" t="str">
        <f>HYPERLINK(CONCATENATE($AT$3,BK503,$AU$3),$AV$3)</f>
        <v>S</v>
      </c>
      <c r="C503" s="242" t="str">
        <f>HYPERLINK(CONCATENATE($AT$4,BK503,$AU$4,BL503),$AV$4)</f>
        <v>A</v>
      </c>
      <c r="D503" s="243" t="s">
        <v>5187</v>
      </c>
      <c r="E503" s="244" t="s">
        <v>5179</v>
      </c>
      <c r="F503" s="269">
        <v>5</v>
      </c>
      <c r="G503" s="273">
        <v>5</v>
      </c>
      <c r="H503" s="271" t="s">
        <v>6500</v>
      </c>
      <c r="I503" s="244" t="s">
        <v>6500</v>
      </c>
      <c r="J503" s="246">
        <v>2</v>
      </c>
      <c r="K503" s="247" t="s">
        <v>5962</v>
      </c>
      <c r="L503" s="248">
        <v>164444</v>
      </c>
      <c r="M503" s="249">
        <f>15*(LEFT(TEXT($L503,"000000"),2)+(MID(TEXT($L503,"000000"),3,2)/60)+(RIGHT(TEXT($L503,"000000"),2)/3600))</f>
        <v>251.18333333333334</v>
      </c>
      <c r="N503" s="286">
        <v>-402100</v>
      </c>
      <c r="O503" s="251">
        <f>IF($N503&gt;0,(LEFT(TEXT($N503,"000000"),2)+(MID(TEXT($N503,"000000"),3,2)/60)+(RIGHT(TEXT($N503,"000000"),2)/3600)),-(MID(TEXT($N503,"000000"),2,2)+(MID(TEXT($N503,"000000"),4,2)/60)+(RIGHT(TEXT($N503,"000000"),2)/3600)))</f>
        <v>-40.35</v>
      </c>
      <c r="P503" s="252" t="s">
        <v>109</v>
      </c>
      <c r="Q503" s="253"/>
      <c r="R503" s="277" t="s">
        <v>3293</v>
      </c>
      <c r="S503" s="272"/>
      <c r="T503" s="273"/>
      <c r="U503" s="274"/>
      <c r="V503" s="256"/>
      <c r="W503" s="244"/>
      <c r="X503" s="244"/>
      <c r="Y503" s="362"/>
      <c r="Z503" s="257">
        <f>altaz(J2000_Bas,$O503,$M503,DecLat,DecLong,1)</f>
        <v>11.702286190846769</v>
      </c>
      <c r="AA503" s="257">
        <f>altaz((J2000_Bas+(2*0.04167)),$O503,$M503,DecLat,DecLong,1)</f>
        <v>-3.232924791715424</v>
      </c>
      <c r="AB503" s="257">
        <f>altaz((J2000_Bas+(4*0.04167)),$O503,$M503,DecLat,DecLong,1)</f>
        <v>-22.971087193045005</v>
      </c>
      <c r="AC503" s="257">
        <f>altaz((J2000_Bas+(6*0.04167)),$O503,$M503,DecLat,DecLong,1)</f>
        <v>-45.140107064957277</v>
      </c>
      <c r="AD503" s="258">
        <f>1+ transit((J2000_Bas-1),$O503,$M503,DecLat,DecLong)/360 + (GMTOffset/24) + (IF(DST="Y", 1, 0)/24)</f>
        <v>1.6906313723380413</v>
      </c>
      <c r="AE503" s="259">
        <f>DATE(2001,9,21)+(M503/360)*365 - (360*((DecLong/360)- (GMTOffset/24) ))</f>
        <v>37414.671990740739</v>
      </c>
      <c r="AF503" s="260">
        <f>IF(DecLat&gt;0,IF((90 - (DecLat-O503))&gt;90, (90 - (O503-DecLat)), (90 - (DecLat-O503))),IF((90 + (DecLat-O503))&gt;90, (90 + (O503-DecLat)), (90 + (DecLat-O503))))</f>
        <v>18.650000000000006</v>
      </c>
      <c r="AG503" s="257">
        <f>angularseperation(MoonRA,MoonDec,$M503,$O503)</f>
        <v>13.362808950794635</v>
      </c>
      <c r="AH503" s="261">
        <f ca="1">MIN(100,IF($O$5&gt;80,0+30*($AG503/100),IF($O$5&gt;70,0+50*($AG503/100),IF($O$5&gt;60,5+50*($AG503/100),IF($O$5&gt;50,10+60*($AG503/100),IF($O$5&gt;40,15+70*($AG503/100),IF($O$5&gt;30,20+70*($AG503/100),IF($O$5&gt;20,40+55*($AG503/100),(80+(20-$O$5)+30*($AG503/100))))))))))</f>
        <v>87.279903029388819</v>
      </c>
      <c r="AI503" s="263"/>
      <c r="AJ503" s="263"/>
      <c r="AK503" s="263"/>
      <c r="AL503" s="263"/>
      <c r="AM503" s="264"/>
      <c r="AN503" s="263"/>
      <c r="AO503" s="263"/>
      <c r="AP503" s="265"/>
      <c r="AQ503" s="265"/>
      <c r="AR503" s="285"/>
      <c r="AS503" s="263"/>
      <c r="AT503" s="263"/>
      <c r="AU503" s="263"/>
      <c r="AV503" s="264"/>
      <c r="AW503" s="299">
        <v>44.1</v>
      </c>
      <c r="AX503" s="263"/>
      <c r="AY503" s="263"/>
      <c r="AZ503" s="263"/>
      <c r="BA503" s="263"/>
      <c r="BB503" s="263"/>
      <c r="BC503" s="263"/>
      <c r="BD503" s="264"/>
      <c r="BE503" s="263"/>
      <c r="BF503" s="263"/>
      <c r="BG503" s="263"/>
      <c r="BH503" s="263"/>
      <c r="BI503" s="263"/>
      <c r="BJ503" s="404">
        <f>altaz(J2000_Bas,$O503,$M503,DecLat,DecLong,2)</f>
        <v>206.38434039049469</v>
      </c>
      <c r="BK503" s="378" t="s">
        <v>604</v>
      </c>
      <c r="BL503" s="379">
        <f>IF((2*G503)/60&lt;0.2,0.2,(2*G503)/60)</f>
        <v>0.2</v>
      </c>
      <c r="BM503" s="380">
        <f>MOD((50000+AD503-$B$3+(0/24)),1)</f>
        <v>0.90599830204155296</v>
      </c>
      <c r="BN503" s="381"/>
      <c r="BO503" s="382">
        <v>503</v>
      </c>
    </row>
    <row r="504" spans="1:67" s="24" customFormat="1" ht="15" customHeight="1" x14ac:dyDescent="0.25">
      <c r="A504" s="287" t="s">
        <v>605</v>
      </c>
      <c r="B504" s="241" t="str">
        <f>HYPERLINK(CONCATENATE($AT$3,BK504,$AU$3),$AV$3)</f>
        <v>S</v>
      </c>
      <c r="C504" s="242" t="str">
        <f>HYPERLINK(CONCATENATE($AT$4,BK504,$AU$4,BL504),$AV$4)</f>
        <v>A</v>
      </c>
      <c r="D504" s="243" t="s">
        <v>5187</v>
      </c>
      <c r="E504" s="244" t="s">
        <v>5179</v>
      </c>
      <c r="F504" s="269">
        <v>5</v>
      </c>
      <c r="G504" s="276">
        <v>150</v>
      </c>
      <c r="H504" s="271" t="s">
        <v>6500</v>
      </c>
      <c r="I504" s="244" t="s">
        <v>6500</v>
      </c>
      <c r="J504" s="246">
        <v>1</v>
      </c>
      <c r="K504" s="247" t="s">
        <v>8456</v>
      </c>
      <c r="L504" s="248">
        <v>164626</v>
      </c>
      <c r="M504" s="249">
        <f>15*(LEFT(TEXT($L504,"000000"),2)+(MID(TEXT($L504,"000000"),3,2)/60)+(RIGHT(TEXT($L504,"000000"),2)/3600))</f>
        <v>251.60833333333332</v>
      </c>
      <c r="N504" s="286">
        <v>-213600</v>
      </c>
      <c r="O504" s="251">
        <f>IF($N504&gt;0,(LEFT(TEXT($N504,"000000"),2)+(MID(TEXT($N504,"000000"),3,2)/60)+(RIGHT(TEXT($N504,"000000"),2)/3600)),-(MID(TEXT($N504,"000000"),2,2)+(MID(TEXT($N504,"000000"),4,2)/60)+(RIGHT(TEXT($N504,"000000"),2)/3600)))</f>
        <v>-21.6</v>
      </c>
      <c r="P504" s="252" t="s">
        <v>109</v>
      </c>
      <c r="Q504" s="253"/>
      <c r="R504" s="277" t="s">
        <v>3293</v>
      </c>
      <c r="S504" s="272"/>
      <c r="T504" s="273"/>
      <c r="U504" s="274"/>
      <c r="V504" s="256"/>
      <c r="W504" s="244"/>
      <c r="X504" s="244"/>
      <c r="Y504" s="362"/>
      <c r="Z504" s="257">
        <f>altaz(J2000_Bas,$O504,$M504,DecLat,DecLong,1)</f>
        <v>27.907188182112773</v>
      </c>
      <c r="AA504" s="257">
        <f>altaz((J2000_Bas+(2*0.04167)),$O504,$M504,DecLat,DecLong,1)</f>
        <v>8.845679369501406</v>
      </c>
      <c r="AB504" s="257">
        <f>altaz((J2000_Bas+(4*0.04167)),$O504,$M504,DecLat,DecLong,1)</f>
        <v>-14.655515889601284</v>
      </c>
      <c r="AC504" s="257">
        <f>altaz((J2000_Bas+(6*0.04167)),$O504,$M504,DecLat,DecLong,1)</f>
        <v>-39.993704260637678</v>
      </c>
      <c r="AD504" s="258">
        <f>1+ transit((J2000_Bas-1),$O504,$M504,DecLat,DecLong)/360 + (GMTOffset/24) + (IF(DST="Y", 1, 0)/24)</f>
        <v>1.6918119277755412</v>
      </c>
      <c r="AE504" s="259">
        <f>DATE(2001,9,21)+(M504/360)*365 - (360*((DecLong/360)- (GMTOffset/24) ))</f>
        <v>37415.102893518517</v>
      </c>
      <c r="AF504" s="260">
        <f>IF(DecLat&gt;0,IF((90 - (DecLat-O504))&gt;90, (90 - (O504-DecLat)), (90 - (DecLat-O504))),IF((90 + (DecLat-O504))&gt;90, (90 + (O504-DecLat)), (90 + (DecLat-O504))))</f>
        <v>37.4</v>
      </c>
      <c r="AG504" s="257">
        <f>angularseperation(MoonRA,MoonDec,$M504,$O504)</f>
        <v>5.8921965813395012</v>
      </c>
      <c r="AH504" s="261">
        <f ca="1">MIN(100,IF($O$5&gt;80,0+30*($AG504/100),IF($O$5&gt;70,0+50*($AG504/100),IF($O$5&gt;60,5+50*($AG504/100),IF($O$5&gt;50,10+60*($AG504/100),IF($O$5&gt;40,15+70*($AG504/100),IF($O$5&gt;30,20+70*($AG504/100),IF($O$5&gt;20,40+55*($AG504/100),(80+(20-$O$5)+30*($AG504/100))))))))))</f>
        <v>85.038719318552282</v>
      </c>
      <c r="AI504" s="263"/>
      <c r="AJ504" s="263"/>
      <c r="AK504" s="263"/>
      <c r="AL504" s="263"/>
      <c r="AM504" s="264"/>
      <c r="AN504" s="263"/>
      <c r="AO504" s="263"/>
      <c r="AP504" s="265"/>
      <c r="AQ504" s="265"/>
      <c r="AR504" s="285"/>
      <c r="AS504" s="263"/>
      <c r="AT504" s="263"/>
      <c r="AU504" s="263"/>
      <c r="AV504" s="264"/>
      <c r="AW504" s="263">
        <v>45</v>
      </c>
      <c r="AX504" s="263"/>
      <c r="AY504" s="263"/>
      <c r="AZ504" s="263"/>
      <c r="BA504" s="263"/>
      <c r="BB504" s="263"/>
      <c r="BC504" s="263"/>
      <c r="BD504" s="264"/>
      <c r="BE504" s="263"/>
      <c r="BF504" s="263"/>
      <c r="BG504" s="263"/>
      <c r="BH504" s="263"/>
      <c r="BI504" s="263"/>
      <c r="BJ504" s="404">
        <f>altaz(J2000_Bas,$O504,$M504,DecLat,DecLong,2)</f>
        <v>216.46513344877431</v>
      </c>
      <c r="BK504" s="378" t="s">
        <v>605</v>
      </c>
      <c r="BL504" s="379">
        <f>IF((2*G504)/60&lt;0.2,0.2,(2*G504)/60)</f>
        <v>5</v>
      </c>
      <c r="BM504" s="380">
        <f>MOD((50000+AD504-$B$3+(0/24)),1)</f>
        <v>0.90717885748017579</v>
      </c>
      <c r="BN504" s="381"/>
      <c r="BO504" s="382">
        <v>504</v>
      </c>
    </row>
    <row r="505" spans="1:67" s="24" customFormat="1" ht="15" customHeight="1" x14ac:dyDescent="0.25">
      <c r="A505" s="287" t="s">
        <v>606</v>
      </c>
      <c r="B505" s="241" t="str">
        <f>HYPERLINK(CONCATENATE($AT$3,BK505,$AU$3),$AV$3)</f>
        <v>S</v>
      </c>
      <c r="C505" s="242" t="str">
        <f>HYPERLINK(CONCATENATE($AT$4,BK505,$AU$4,BL505),$AV$4)</f>
        <v>A</v>
      </c>
      <c r="D505" s="243" t="s">
        <v>5187</v>
      </c>
      <c r="E505" s="244" t="s">
        <v>5179</v>
      </c>
      <c r="F505" s="269">
        <v>6</v>
      </c>
      <c r="G505" s="276">
        <v>20</v>
      </c>
      <c r="H505" s="271" t="s">
        <v>6500</v>
      </c>
      <c r="I505" s="244" t="s">
        <v>6500</v>
      </c>
      <c r="J505" s="246">
        <v>2</v>
      </c>
      <c r="K505" s="247" t="s">
        <v>5778</v>
      </c>
      <c r="L505" s="248">
        <v>165712</v>
      </c>
      <c r="M505" s="249">
        <f>15*(LEFT(TEXT($L505,"000000"),2)+(MID(TEXT($L505,"000000"),3,2)/60)+(RIGHT(TEXT($L505,"000000"),2)/3600))</f>
        <v>254.3</v>
      </c>
      <c r="N505" s="286">
        <v>-224500</v>
      </c>
      <c r="O505" s="251">
        <f>IF($N505&gt;0,(LEFT(TEXT($N505,"000000"),2)+(MID(TEXT($N505,"000000"),3,2)/60)+(RIGHT(TEXT($N505,"000000"),2)/3600)),-(MID(TEXT($N505,"000000"),2,2)+(MID(TEXT($N505,"000000"),4,2)/60)+(RIGHT(TEXT($N505,"000000"),2)/3600)))</f>
        <v>-22.75</v>
      </c>
      <c r="P505" s="252" t="s">
        <v>113</v>
      </c>
      <c r="Q505" s="253"/>
      <c r="R505" s="277" t="s">
        <v>3293</v>
      </c>
      <c r="S505" s="272" t="s">
        <v>3293</v>
      </c>
      <c r="T505" s="273"/>
      <c r="U505" s="274"/>
      <c r="V505" s="256"/>
      <c r="W505" s="244"/>
      <c r="X505" s="244"/>
      <c r="Y505" s="362"/>
      <c r="Z505" s="257">
        <f>altaz(J2000_Bas,$O505,$M505,DecLat,DecLong,1)</f>
        <v>28.252603341834714</v>
      </c>
      <c r="AA505" s="257">
        <f>altaz((J2000_Bas+(2*0.04167)),$O505,$M505,DecLat,DecLong,1)</f>
        <v>10.051150099318932</v>
      </c>
      <c r="AB505" s="257">
        <f>altaz((J2000_Bas+(4*0.04167)),$O505,$M505,DecLat,DecLong,1)</f>
        <v>-13.00225278210638</v>
      </c>
      <c r="AC505" s="257">
        <f>altaz((J2000_Bas+(6*0.04167)),$O505,$M505,DecLat,DecLong,1)</f>
        <v>-38.137429462961862</v>
      </c>
      <c r="AD505" s="258">
        <f>1+ transit((J2000_Bas-1),$O505,$M505,DecLat,DecLong)/360 + (GMTOffset/24) + (IF(DST="Y", 1, 0)/24)</f>
        <v>1.6992887788797082</v>
      </c>
      <c r="AE505" s="259">
        <f>DATE(2001,9,21)+(M505/360)*365 - (360*((DecLong/360)- (GMTOffset/24) ))</f>
        <v>37417.831944444442</v>
      </c>
      <c r="AF505" s="260">
        <f>IF(DecLat&gt;0,IF((90 - (DecLat-O505))&gt;90, (90 - (O505-DecLat)), (90 - (DecLat-O505))),IF((90 + (DecLat-O505))&gt;90, (90 + (O505-DecLat)), (90 + (DecLat-O505))))</f>
        <v>36.25</v>
      </c>
      <c r="AG505" s="257">
        <f>angularseperation(MoonRA,MoonDec,$M505,$O505)</f>
        <v>6.3093965871549509</v>
      </c>
      <c r="AH505" s="261">
        <f ca="1">MIN(100,IF($O$5&gt;80,0+30*($AG505/100),IF($O$5&gt;70,0+50*($AG505/100),IF($O$5&gt;60,5+50*($AG505/100),IF($O$5&gt;50,10+60*($AG505/100),IF($O$5&gt;40,15+70*($AG505/100),IF($O$5&gt;30,20+70*($AG505/100),IF($O$5&gt;20,40+55*($AG505/100),(80+(20-$O$5)+30*($AG505/100))))))))))</f>
        <v>85.163879320296914</v>
      </c>
      <c r="AI505" s="263"/>
      <c r="AJ505" s="263"/>
      <c r="AK505" s="263"/>
      <c r="AL505" s="263"/>
      <c r="AM505" s="264"/>
      <c r="AN505" s="263"/>
      <c r="AO505" s="263"/>
      <c r="AP505" s="265"/>
      <c r="AQ505" s="265"/>
      <c r="AR505" s="285"/>
      <c r="AS505" s="263"/>
      <c r="AT505" s="263"/>
      <c r="AU505" s="263"/>
      <c r="AV505" s="264"/>
      <c r="AW505" s="263">
        <v>46</v>
      </c>
      <c r="AX505" s="263"/>
      <c r="AY505" s="263"/>
      <c r="AZ505" s="263"/>
      <c r="BA505" s="263"/>
      <c r="BB505" s="263"/>
      <c r="BC505" s="263"/>
      <c r="BD505" s="264"/>
      <c r="BE505" s="263"/>
      <c r="BF505" s="263"/>
      <c r="BG505" s="263"/>
      <c r="BH505" s="263"/>
      <c r="BI505" s="263"/>
      <c r="BJ505" s="404">
        <f>altaz(J2000_Bas,$O505,$M505,DecLat,DecLong,2)</f>
        <v>213.37856864873817</v>
      </c>
      <c r="BK505" s="378" t="s">
        <v>606</v>
      </c>
      <c r="BL505" s="379">
        <f>IF((2*G505)/60&lt;0.2,0.2,(2*G505)/60)</f>
        <v>0.66666666666666663</v>
      </c>
      <c r="BM505" s="380">
        <f>MOD((50000+AD505-$B$3+(0/24)),1)</f>
        <v>0.91465570858417777</v>
      </c>
      <c r="BN505" s="381"/>
      <c r="BO505" s="382">
        <v>505</v>
      </c>
    </row>
    <row r="506" spans="1:67" s="24" customFormat="1" ht="15" customHeight="1" x14ac:dyDescent="0.25">
      <c r="A506" s="287" t="s">
        <v>607</v>
      </c>
      <c r="B506" s="241" t="str">
        <f>HYPERLINK(CONCATENATE($AT$3,BK506,$AU$3),$AV$3)</f>
        <v>S</v>
      </c>
      <c r="C506" s="242" t="str">
        <f>HYPERLINK(CONCATENATE($AT$4,BK506,$AU$4,BL506),$AV$4)</f>
        <v>A</v>
      </c>
      <c r="D506" s="243" t="s">
        <v>5187</v>
      </c>
      <c r="E506" s="244" t="s">
        <v>5179</v>
      </c>
      <c r="F506" s="269">
        <v>5</v>
      </c>
      <c r="G506" s="276">
        <v>15</v>
      </c>
      <c r="H506" s="271" t="s">
        <v>6500</v>
      </c>
      <c r="I506" s="244" t="s">
        <v>6500</v>
      </c>
      <c r="J506" s="246">
        <v>1</v>
      </c>
      <c r="K506" s="247" t="s">
        <v>5779</v>
      </c>
      <c r="L506" s="248">
        <v>165942</v>
      </c>
      <c r="M506" s="249">
        <f>15*(LEFT(TEXT($L506,"000000"),2)+(MID(TEXT($L506,"000000"),3,2)/60)+(RIGHT(TEXT($L506,"000000"),2)/3600))</f>
        <v>254.92500000000001</v>
      </c>
      <c r="N506" s="286">
        <v>-223900</v>
      </c>
      <c r="O506" s="251">
        <f>IF($N506&gt;0,(LEFT(TEXT($N506,"000000"),2)+(MID(TEXT($N506,"000000"),3,2)/60)+(RIGHT(TEXT($N506,"000000"),2)/3600)),-(MID(TEXT($N506,"000000"),2,2)+(MID(TEXT($N506,"000000"),4,2)/60)+(RIGHT(TEXT($N506,"000000"),2)/3600)))</f>
        <v>-22.65</v>
      </c>
      <c r="P506" s="252" t="s">
        <v>113</v>
      </c>
      <c r="Q506" s="253"/>
      <c r="R506" s="277" t="s">
        <v>3293</v>
      </c>
      <c r="S506" s="272" t="s">
        <v>3293</v>
      </c>
      <c r="T506" s="273"/>
      <c r="U506" s="274"/>
      <c r="V506" s="256"/>
      <c r="W506" s="244"/>
      <c r="X506" s="244"/>
      <c r="Y506" s="362"/>
      <c r="Z506" s="257">
        <f>altaz(J2000_Bas,$O506,$M506,DecLat,DecLong,1)</f>
        <v>28.631514917475787</v>
      </c>
      <c r="AA506" s="257">
        <f>altaz((J2000_Bas+(2*0.04167)),$O506,$M506,DecLat,DecLong,1)</f>
        <v>10.55684992027917</v>
      </c>
      <c r="AB506" s="257">
        <f>altaz((J2000_Bas+(4*0.04167)),$O506,$M506,DecLat,DecLong,1)</f>
        <v>-12.447977146617387</v>
      </c>
      <c r="AC506" s="257">
        <f>altaz((J2000_Bas+(6*0.04167)),$O506,$M506,DecLat,DecLong,1)</f>
        <v>-37.566365607330766</v>
      </c>
      <c r="AD506" s="258">
        <f>1+ transit((J2000_Bas-1),$O506,$M506,DecLat,DecLong)/360 + (GMTOffset/24) + (IF(DST="Y", 1, 0)/24)</f>
        <v>1.701024889817208</v>
      </c>
      <c r="AE506" s="259">
        <f>DATE(2001,9,21)+(M506/360)*365 - (360*((DecLong/360)- (GMTOffset/24) ))</f>
        <v>37418.465624999997</v>
      </c>
      <c r="AF506" s="260">
        <f>IF(DecLat&gt;0,IF((90 - (DecLat-O506))&gt;90, (90 - (O506-DecLat)), (90 - (DecLat-O506))),IF((90 + (DecLat-O506))&gt;90, (90 + (O506-DecLat)), (90 + (DecLat-O506))))</f>
        <v>36.35</v>
      </c>
      <c r="AG506" s="257">
        <f>angularseperation(MoonRA,MoonDec,$M506,$O506)</f>
        <v>6.798657862447822</v>
      </c>
      <c r="AH506" s="261">
        <f ca="1">MIN(100,IF($O$5&gt;80,0+30*($AG506/100),IF($O$5&gt;70,0+50*($AG506/100),IF($O$5&gt;60,5+50*($AG506/100),IF($O$5&gt;50,10+60*($AG506/100),IF($O$5&gt;40,15+70*($AG506/100),IF($O$5&gt;30,20+70*($AG506/100),IF($O$5&gt;20,40+55*($AG506/100),(80+(20-$O$5)+30*($AG506/100))))))))))</f>
        <v>85.310657702884768</v>
      </c>
      <c r="AI506" s="263"/>
      <c r="AJ506" s="263"/>
      <c r="AK506" s="263"/>
      <c r="AL506" s="263"/>
      <c r="AM506" s="264"/>
      <c r="AN506" s="263"/>
      <c r="AO506" s="263"/>
      <c r="AP506" s="265"/>
      <c r="AQ506" s="265"/>
      <c r="AR506" s="285"/>
      <c r="AS506" s="263"/>
      <c r="AT506" s="263"/>
      <c r="AU506" s="263"/>
      <c r="AV506" s="264"/>
      <c r="AW506" s="263">
        <v>47</v>
      </c>
      <c r="AX506" s="263"/>
      <c r="AY506" s="263"/>
      <c r="AZ506" s="263"/>
      <c r="BA506" s="263"/>
      <c r="BB506" s="263"/>
      <c r="BC506" s="263"/>
      <c r="BD506" s="264"/>
      <c r="BE506" s="263"/>
      <c r="BF506" s="263"/>
      <c r="BG506" s="263"/>
      <c r="BH506" s="263"/>
      <c r="BI506" s="263"/>
      <c r="BJ506" s="404">
        <f>altaz(J2000_Bas,$O506,$M506,DecLat,DecLong,2)</f>
        <v>212.87139393105198</v>
      </c>
      <c r="BK506" s="378" t="s">
        <v>607</v>
      </c>
      <c r="BL506" s="379">
        <f>IF((2*G506)/60&lt;0.2,0.2,(2*G506)/60)</f>
        <v>0.5</v>
      </c>
      <c r="BM506" s="380">
        <f>MOD((50000+AD506-$B$3+(0/24)),1)</f>
        <v>0.91639181951904902</v>
      </c>
      <c r="BN506" s="381"/>
      <c r="BO506" s="382">
        <v>506</v>
      </c>
    </row>
    <row r="507" spans="1:67" s="24" customFormat="1" ht="15" customHeight="1" x14ac:dyDescent="0.25">
      <c r="A507" s="288" t="s">
        <v>608</v>
      </c>
      <c r="B507" s="241" t="str">
        <f>HYPERLINK(CONCATENATE($AT$3,BK507,$AU$3),$AV$3)</f>
        <v>S</v>
      </c>
      <c r="C507" s="242" t="str">
        <f>HYPERLINK(CONCATENATE($AT$4,BK507,$AU$4,BL507),$AV$4)</f>
        <v>A</v>
      </c>
      <c r="D507" s="243" t="s">
        <v>5187</v>
      </c>
      <c r="E507" s="244" t="s">
        <v>5179</v>
      </c>
      <c r="F507" s="269">
        <v>5</v>
      </c>
      <c r="G507" s="276">
        <v>40</v>
      </c>
      <c r="H507" s="271" t="s">
        <v>6500</v>
      </c>
      <c r="I507" s="244" t="s">
        <v>6500</v>
      </c>
      <c r="J507" s="246">
        <v>2</v>
      </c>
      <c r="K507" s="247" t="s">
        <v>5963</v>
      </c>
      <c r="L507" s="248">
        <v>170141</v>
      </c>
      <c r="M507" s="249">
        <f>15*(LEFT(TEXT($L507,"000000"),2)+(MID(TEXT($L507,"000000"),3,2)/60)+(RIGHT(TEXT($L507,"000000"),2)/3600))</f>
        <v>255.42083333333329</v>
      </c>
      <c r="N507" s="286">
        <v>-404200</v>
      </c>
      <c r="O507" s="251">
        <f>IF($N507&gt;0,(LEFT(TEXT($N507,"000000"),2)+(MID(TEXT($N507,"000000"),3,2)/60)+(RIGHT(TEXT($N507,"000000"),2)/3600)),-(MID(TEXT($N507,"000000"),2,2)+(MID(TEXT($N507,"000000"),4,2)/60)+(RIGHT(TEXT($N507,"000000"),2)/3600)))</f>
        <v>-40.700000000000003</v>
      </c>
      <c r="P507" s="252" t="s">
        <v>109</v>
      </c>
      <c r="Q507" s="253"/>
      <c r="R507" s="277" t="s">
        <v>3293</v>
      </c>
      <c r="S507" s="272" t="s">
        <v>3293</v>
      </c>
      <c r="T507" s="273"/>
      <c r="U507" s="274"/>
      <c r="V507" s="256"/>
      <c r="W507" s="244"/>
      <c r="X507" s="244"/>
      <c r="Y507" s="362"/>
      <c r="Z507" s="257">
        <f>altaz(J2000_Bas,$O507,$M507,DecLat,DecLong,1)</f>
        <v>12.920627501965445</v>
      </c>
      <c r="AA507" s="257">
        <f>altaz((J2000_Bas+(2*0.04167)),$O507,$M507,DecLat,DecLong,1)</f>
        <v>-1.0026365783504134</v>
      </c>
      <c r="AB507" s="257">
        <f>altaz((J2000_Bas+(4*0.04167)),$O507,$M507,DecLat,DecLong,1)</f>
        <v>-20.143449702211232</v>
      </c>
      <c r="AC507" s="257">
        <f>altaz((J2000_Bas+(6*0.04167)),$O507,$M507,DecLat,DecLong,1)</f>
        <v>-41.986121538192329</v>
      </c>
      <c r="AD507" s="258">
        <f>1+ transit((J2000_Bas-1),$O507,$M507,DecLat,DecLong)/360 + (GMTOffset/24) + (IF(DST="Y", 1, 0)/24)</f>
        <v>1.7024022044942912</v>
      </c>
      <c r="AE507" s="259">
        <f>DATE(2001,9,21)+(M507/360)*365 - (360*((DecLong/360)- (GMTOffset/24) ))</f>
        <v>37418.968344907407</v>
      </c>
      <c r="AF507" s="260">
        <f>IF(DecLat&gt;0,IF((90 - (DecLat-O507))&gt;90, (90 - (O507-DecLat)), (90 - (DecLat-O507))),IF((90 + (DecLat-O507))&gt;90, (90 + (O507-DecLat)), (90 + (DecLat-O507))))</f>
        <v>18.299999999999997</v>
      </c>
      <c r="AG507" s="257">
        <f>angularseperation(MoonRA,MoonDec,$M507,$O507)</f>
        <v>14.539596368719781</v>
      </c>
      <c r="AH507" s="261">
        <f ca="1">MIN(100,IF($O$5&gt;80,0+30*($AG507/100),IF($O$5&gt;70,0+50*($AG507/100),IF($O$5&gt;60,5+50*($AG507/100),IF($O$5&gt;50,10+60*($AG507/100),IF($O$5&gt;40,15+70*($AG507/100),IF($O$5&gt;30,20+70*($AG507/100),IF($O$5&gt;20,40+55*($AG507/100),(80+(20-$O$5)+30*($AG507/100))))))))))</f>
        <v>87.632939254766356</v>
      </c>
      <c r="AI507" s="263"/>
      <c r="AJ507" s="263"/>
      <c r="AK507" s="263"/>
      <c r="AL507" s="263"/>
      <c r="AM507" s="264"/>
      <c r="AN507" s="263"/>
      <c r="AO507" s="263"/>
      <c r="AP507" s="265"/>
      <c r="AQ507" s="265"/>
      <c r="AR507" s="285"/>
      <c r="AS507" s="263"/>
      <c r="AT507" s="263"/>
      <c r="AU507" s="263"/>
      <c r="AV507" s="264"/>
      <c r="AW507" s="263">
        <v>48</v>
      </c>
      <c r="AX507" s="263"/>
      <c r="AY507" s="263"/>
      <c r="AZ507" s="263"/>
      <c r="BA507" s="263"/>
      <c r="BB507" s="263"/>
      <c r="BC507" s="263"/>
      <c r="BD507" s="264"/>
      <c r="BE507" s="263"/>
      <c r="BF507" s="263"/>
      <c r="BG507" s="263"/>
      <c r="BH507" s="263"/>
      <c r="BI507" s="263"/>
      <c r="BJ507" s="404">
        <f>altaz(J2000_Bas,$O507,$M507,DecLat,DecLong,2)</f>
        <v>203.31176500561546</v>
      </c>
      <c r="BK507" s="378" t="s">
        <v>608</v>
      </c>
      <c r="BL507" s="379">
        <f>IF((2*G507)/60&lt;0.2,0.2,(2*G507)/60)</f>
        <v>1.3333333333333333</v>
      </c>
      <c r="BM507" s="380">
        <f>MOD((50000+AD507-$B$3+(0/24)),1)</f>
        <v>0.91776913419744233</v>
      </c>
      <c r="BN507" s="381"/>
      <c r="BO507" s="382">
        <v>507</v>
      </c>
    </row>
    <row r="508" spans="1:67" s="24" customFormat="1" ht="15" customHeight="1" x14ac:dyDescent="0.25">
      <c r="A508" s="287" t="s">
        <v>609</v>
      </c>
      <c r="B508" s="241" t="str">
        <f>HYPERLINK(CONCATENATE($AT$3,BK508,$AU$3),$AV$3)</f>
        <v>S</v>
      </c>
      <c r="C508" s="242" t="str">
        <f>HYPERLINK(CONCATENATE($AT$4,BK508,$AU$4,BL508),$AV$4)</f>
        <v>A</v>
      </c>
      <c r="D508" s="243" t="s">
        <v>5187</v>
      </c>
      <c r="E508" s="244" t="s">
        <v>5179</v>
      </c>
      <c r="F508" s="269">
        <v>3</v>
      </c>
      <c r="G508" s="273">
        <v>5</v>
      </c>
      <c r="H508" s="271" t="s">
        <v>6500</v>
      </c>
      <c r="I508" s="244" t="s">
        <v>6500</v>
      </c>
      <c r="J508" s="246">
        <v>2</v>
      </c>
      <c r="K508" s="247" t="s">
        <v>5964</v>
      </c>
      <c r="L508" s="248">
        <v>170239</v>
      </c>
      <c r="M508" s="249">
        <f>15*(LEFT(TEXT($L508,"000000"),2)+(MID(TEXT($L508,"000000"),3,2)/60)+(RIGHT(TEXT($L508,"000000"),2)/3600))</f>
        <v>255.66250000000002</v>
      </c>
      <c r="N508" s="286">
        <v>-331700</v>
      </c>
      <c r="O508" s="251">
        <f>IF($N508&gt;0,(LEFT(TEXT($N508,"000000"),2)+(MID(TEXT($N508,"000000"),3,2)/60)+(RIGHT(TEXT($N508,"000000"),2)/3600)),-(MID(TEXT($N508,"000000"),2,2)+(MID(TEXT($N508,"000000"),4,2)/60)+(RIGHT(TEXT($N508,"000000"),2)/3600)))</f>
        <v>-33.283333333333331</v>
      </c>
      <c r="P508" s="252" t="s">
        <v>109</v>
      </c>
      <c r="Q508" s="253"/>
      <c r="R508" s="277" t="s">
        <v>3293</v>
      </c>
      <c r="S508" s="272" t="s">
        <v>3293</v>
      </c>
      <c r="T508" s="273"/>
      <c r="U508" s="274"/>
      <c r="V508" s="256"/>
      <c r="W508" s="244"/>
      <c r="X508" s="244"/>
      <c r="Y508" s="362"/>
      <c r="Z508" s="257">
        <f>altaz(J2000_Bas,$O508,$M508,DecLat,DecLong,1)</f>
        <v>19.620101426274697</v>
      </c>
      <c r="AA508" s="257">
        <f>altaz((J2000_Bas+(2*0.04167)),$O508,$M508,DecLat,DecLong,1)</f>
        <v>4.0731508848373146</v>
      </c>
      <c r="AB508" s="257">
        <f>altaz((J2000_Bas+(4*0.04167)),$O508,$M508,DecLat,DecLong,1)</f>
        <v>-16.798742098653189</v>
      </c>
      <c r="AC508" s="257">
        <f>altaz((J2000_Bas+(6*0.04167)),$O508,$M508,DecLat,DecLong,1)</f>
        <v>-40.341031310480012</v>
      </c>
      <c r="AD508" s="258">
        <f>1+ transit((J2000_Bas-1),$O508,$M508,DecLat,DecLong)/360 + (GMTOffset/24) + (IF(DST="Y", 1, 0)/24)</f>
        <v>1.7030735007234579</v>
      </c>
      <c r="AE508" s="259">
        <f>DATE(2001,9,21)+(M508/360)*365 - (360*((DecLong/360)- (GMTOffset/24) ))</f>
        <v>37419.213368055556</v>
      </c>
      <c r="AF508" s="260">
        <f>IF(DecLat&gt;0,IF((90 - (DecLat-O508))&gt;90, (90 - (O508-DecLat)), (90 - (DecLat-O508))),IF((90 + (DecLat-O508))&gt;90, (90 + (O508-DecLat)), (90 + (DecLat-O508))))</f>
        <v>25.716666666666669</v>
      </c>
      <c r="AG508" s="257">
        <f>angularseperation(MoonRA,MoonDec,$M508,$O508)</f>
        <v>8.3165561164771891</v>
      </c>
      <c r="AH508" s="261">
        <f ca="1">MIN(100,IF($O$5&gt;80,0+30*($AG508/100),IF($O$5&gt;70,0+50*($AG508/100),IF($O$5&gt;60,5+50*($AG508/100),IF($O$5&gt;50,10+60*($AG508/100),IF($O$5&gt;40,15+70*($AG508/100),IF($O$5&gt;30,20+70*($AG508/100),IF($O$5&gt;20,40+55*($AG508/100),(80+(20-$O$5)+30*($AG508/100))))))))))</f>
        <v>85.766027179093584</v>
      </c>
      <c r="AI508" s="263"/>
      <c r="AJ508" s="263"/>
      <c r="AK508" s="263"/>
      <c r="AL508" s="263"/>
      <c r="AM508" s="264"/>
      <c r="AN508" s="263"/>
      <c r="AO508" s="263"/>
      <c r="AP508" s="265"/>
      <c r="AQ508" s="265"/>
      <c r="AR508" s="285"/>
      <c r="AS508" s="263"/>
      <c r="AT508" s="263"/>
      <c r="AU508" s="263"/>
      <c r="AV508" s="264"/>
      <c r="AW508" s="263">
        <v>49</v>
      </c>
      <c r="AX508" s="263"/>
      <c r="AY508" s="263"/>
      <c r="AZ508" s="263"/>
      <c r="BA508" s="263"/>
      <c r="BB508" s="263"/>
      <c r="BC508" s="263"/>
      <c r="BD508" s="264"/>
      <c r="BE508" s="263"/>
      <c r="BF508" s="263"/>
      <c r="BG508" s="263"/>
      <c r="BH508" s="263"/>
      <c r="BI508" s="263"/>
      <c r="BJ508" s="404">
        <f>altaz(J2000_Bas,$O508,$M508,DecLat,DecLong,2)</f>
        <v>206.63482077338449</v>
      </c>
      <c r="BK508" s="378" t="s">
        <v>609</v>
      </c>
      <c r="BL508" s="379">
        <f>IF((2*G508)/60&lt;0.2,0.2,(2*G508)/60)</f>
        <v>0.2</v>
      </c>
      <c r="BM508" s="380">
        <f>MOD((50000+AD508-$B$3+(0/24)),1)</f>
        <v>0.91844043042510748</v>
      </c>
      <c r="BN508" s="381"/>
      <c r="BO508" s="382">
        <v>508</v>
      </c>
    </row>
    <row r="509" spans="1:67" s="24" customFormat="1" ht="15" customHeight="1" x14ac:dyDescent="0.25">
      <c r="A509" s="287" t="s">
        <v>610</v>
      </c>
      <c r="B509" s="241" t="str">
        <f>HYPERLINK(CONCATENATE($AT$3,BK509,$AU$3),$AV$3)</f>
        <v>S</v>
      </c>
      <c r="C509" s="242" t="str">
        <f>HYPERLINK(CONCATENATE($AT$4,BK509,$AU$4,BL509),$AV$4)</f>
        <v>A</v>
      </c>
      <c r="D509" s="243" t="s">
        <v>5187</v>
      </c>
      <c r="E509" s="244" t="s">
        <v>5179</v>
      </c>
      <c r="F509" s="269">
        <v>6</v>
      </c>
      <c r="G509" s="276">
        <v>16</v>
      </c>
      <c r="H509" s="271" t="s">
        <v>6500</v>
      </c>
      <c r="I509" s="244" t="s">
        <v>6500</v>
      </c>
      <c r="J509" s="246">
        <v>2</v>
      </c>
      <c r="K509" s="247" t="s">
        <v>5965</v>
      </c>
      <c r="L509" s="248">
        <v>170253</v>
      </c>
      <c r="M509" s="249">
        <f>15*(LEFT(TEXT($L509,"000000"),2)+(MID(TEXT($L509,"000000"),3,2)/60)+(RIGHT(TEXT($L509,"000000"),2)/3600))</f>
        <v>255.72083333333336</v>
      </c>
      <c r="N509" s="286">
        <v>-342400</v>
      </c>
      <c r="O509" s="251">
        <f>IF($N509&gt;0,(LEFT(TEXT($N509,"000000"),2)+(MID(TEXT($N509,"000000"),3,2)/60)+(RIGHT(TEXT($N509,"000000"),2)/3600)),-(MID(TEXT($N509,"000000"),2,2)+(MID(TEXT($N509,"000000"),4,2)/60)+(RIGHT(TEXT($N509,"000000"),2)/3600)))</f>
        <v>-34.4</v>
      </c>
      <c r="P509" s="252" t="s">
        <v>109</v>
      </c>
      <c r="Q509" s="253"/>
      <c r="R509" s="277" t="s">
        <v>3293</v>
      </c>
      <c r="S509" s="272" t="s">
        <v>3293</v>
      </c>
      <c r="T509" s="273"/>
      <c r="U509" s="274"/>
      <c r="V509" s="256"/>
      <c r="W509" s="244"/>
      <c r="X509" s="244"/>
      <c r="Y509" s="362"/>
      <c r="Z509" s="257">
        <f>altaz(J2000_Bas,$O509,$M509,DecLat,DecLong,1)</f>
        <v>18.649575005757075</v>
      </c>
      <c r="AA509" s="257">
        <f>altaz((J2000_Bas+(2*0.04167)),$O509,$M509,DecLat,DecLong,1)</f>
        <v>3.3667579459148795</v>
      </c>
      <c r="AB509" s="257">
        <f>altaz((J2000_Bas+(4*0.04167)),$O509,$M509,DecLat,DecLong,1)</f>
        <v>-17.250214424942932</v>
      </c>
      <c r="AC509" s="257">
        <f>altaz((J2000_Bas+(6*0.04167)),$O509,$M509,DecLat,DecLong,1)</f>
        <v>-40.565579763191643</v>
      </c>
      <c r="AD509" s="258">
        <f>1+ transit((J2000_Bas-1),$O509,$M509,DecLat,DecLong)/360 + (GMTOffset/24) + (IF(DST="Y", 1, 0)/24)</f>
        <v>1.7032355377442914</v>
      </c>
      <c r="AE509" s="259">
        <f>DATE(2001,9,21)+(M509/360)*365 - (360*((DecLong/360)- (GMTOffset/24) ))</f>
        <v>37419.272511574076</v>
      </c>
      <c r="AF509" s="260">
        <f>IF(DecLat&gt;0,IF((90 - (DecLat-O509))&gt;90, (90 - (O509-DecLat)), (90 - (DecLat-O509))),IF((90 + (DecLat-O509))&gt;90, (90 + (O509-DecLat)), (90 + (DecLat-O509))))</f>
        <v>24.599999999999994</v>
      </c>
      <c r="AG509" s="257">
        <f>angularseperation(MoonRA,MoonDec,$M509,$O509)</f>
        <v>9.1888499986715004</v>
      </c>
      <c r="AH509" s="261">
        <f ca="1">MIN(100,IF($O$5&gt;80,0+30*($AG509/100),IF($O$5&gt;70,0+50*($AG509/100),IF($O$5&gt;60,5+50*($AG509/100),IF($O$5&gt;50,10+60*($AG509/100),IF($O$5&gt;40,15+70*($AG509/100),IF($O$5&gt;30,20+70*($AG509/100),IF($O$5&gt;20,40+55*($AG509/100),(80+(20-$O$5)+30*($AG509/100))))))))))</f>
        <v>86.027715343751879</v>
      </c>
      <c r="AI509" s="263"/>
      <c r="AJ509" s="263"/>
      <c r="AK509" s="263"/>
      <c r="AL509" s="263"/>
      <c r="AM509" s="264"/>
      <c r="AN509" s="263"/>
      <c r="AO509" s="263"/>
      <c r="AP509" s="265"/>
      <c r="AQ509" s="265"/>
      <c r="AR509" s="285"/>
      <c r="AS509" s="263"/>
      <c r="AT509" s="263"/>
      <c r="AU509" s="263"/>
      <c r="AV509" s="264"/>
      <c r="AW509" s="263">
        <v>50</v>
      </c>
      <c r="AX509" s="263"/>
      <c r="AY509" s="263"/>
      <c r="AZ509" s="263"/>
      <c r="BA509" s="263"/>
      <c r="BB509" s="263"/>
      <c r="BC509" s="263"/>
      <c r="BD509" s="264"/>
      <c r="BE509" s="263"/>
      <c r="BF509" s="263"/>
      <c r="BG509" s="263"/>
      <c r="BH509" s="263"/>
      <c r="BI509" s="263"/>
      <c r="BJ509" s="404">
        <f>altaz(J2000_Bas,$O509,$M509,DecLat,DecLong,2)</f>
        <v>206.04797856311293</v>
      </c>
      <c r="BK509" s="378" t="s">
        <v>610</v>
      </c>
      <c r="BL509" s="379">
        <f>IF((2*G509)/60&lt;0.2,0.2,(2*G509)/60)</f>
        <v>0.53333333333333333</v>
      </c>
      <c r="BM509" s="380">
        <f>MOD((50000+AD509-$B$3+(0/24)),1)</f>
        <v>0.91860246744909091</v>
      </c>
      <c r="BN509" s="381"/>
      <c r="BO509" s="382">
        <v>509</v>
      </c>
    </row>
    <row r="510" spans="1:67" s="24" customFormat="1" ht="15" customHeight="1" x14ac:dyDescent="0.25">
      <c r="A510" s="287" t="s">
        <v>611</v>
      </c>
      <c r="B510" s="241" t="str">
        <f>HYPERLINK(CONCATENATE($AT$3,BK510,$AU$3),$AV$3)</f>
        <v>S</v>
      </c>
      <c r="C510" s="242" t="str">
        <f>HYPERLINK(CONCATENATE($AT$4,BK510,$AU$4,BL510),$AV$4)</f>
        <v>A</v>
      </c>
      <c r="D510" s="243" t="s">
        <v>5187</v>
      </c>
      <c r="E510" s="244" t="s">
        <v>5179</v>
      </c>
      <c r="F510" s="269">
        <v>6</v>
      </c>
      <c r="G510" s="276">
        <v>20</v>
      </c>
      <c r="H510" s="271" t="s">
        <v>6500</v>
      </c>
      <c r="I510" s="244" t="s">
        <v>6500</v>
      </c>
      <c r="J510" s="246">
        <v>0</v>
      </c>
      <c r="K510" s="247" t="s">
        <v>8367</v>
      </c>
      <c r="L510" s="248">
        <v>170443</v>
      </c>
      <c r="M510" s="249">
        <f>15*(LEFT(TEXT($L510,"000000"),2)+(MID(TEXT($L510,"000000"),3,2)/60)+(RIGHT(TEXT($L510,"000000"),2)/3600))</f>
        <v>256.17916666666667</v>
      </c>
      <c r="N510" s="286">
        <v>-221600</v>
      </c>
      <c r="O510" s="251">
        <f>IF($N510&gt;0,(LEFT(TEXT($N510,"000000"),2)+(MID(TEXT($N510,"000000"),3,2)/60)+(RIGHT(TEXT($N510,"000000"),2)/3600)),-(MID(TEXT($N510,"000000"),2,2)+(MID(TEXT($N510,"000000"),4,2)/60)+(RIGHT(TEXT($N510,"000000"),2)/3600)))</f>
        <v>-22.266666666666666</v>
      </c>
      <c r="P510" s="252" t="s">
        <v>109</v>
      </c>
      <c r="Q510" s="253"/>
      <c r="R510" s="277" t="s">
        <v>3293</v>
      </c>
      <c r="S510" s="272" t="s">
        <v>3293</v>
      </c>
      <c r="T510" s="273"/>
      <c r="U510" s="274"/>
      <c r="V510" s="256"/>
      <c r="W510" s="244"/>
      <c r="X510" s="244"/>
      <c r="Y510" s="362"/>
      <c r="Z510" s="257">
        <f>altaz(J2000_Bas,$O510,$M510,DecLat,DecLong,1)</f>
        <v>29.540269376615488</v>
      </c>
      <c r="AA510" s="257">
        <f>altaz((J2000_Bas+(2*0.04167)),$O510,$M510,DecLat,DecLong,1)</f>
        <v>11.687268986886012</v>
      </c>
      <c r="AB510" s="257">
        <f>altaz((J2000_Bas+(4*0.04167)),$O510,$M510,DecLat,DecLong,1)</f>
        <v>-11.247874535688361</v>
      </c>
      <c r="AC510" s="257">
        <f>altaz((J2000_Bas+(6*0.04167)),$O510,$M510,DecLat,DecLong,1)</f>
        <v>-36.349226322654431</v>
      </c>
      <c r="AD510" s="258">
        <f>1+ transit((J2000_Bas-1),$O510,$M510,DecLat,DecLong)/360 + (GMTOffset/24) + (IF(DST="Y", 1, 0)/24)</f>
        <v>1.7045086857651246</v>
      </c>
      <c r="AE510" s="259">
        <f>DATE(2001,9,21)+(M510/360)*365 - (360*((DecLong/360)- (GMTOffset/24) ))</f>
        <v>37419.737210648149</v>
      </c>
      <c r="AF510" s="260">
        <f>IF(DecLat&gt;0,IF((90 - (DecLat-O510))&gt;90, (90 - (O510-DecLat)), (90 - (DecLat-O510))),IF((90 + (DecLat-O510))&gt;90, (90 + (O510-DecLat)), (90 + (DecLat-O510))))</f>
        <v>36.733333333333334</v>
      </c>
      <c r="AG510" s="257">
        <f>angularseperation(MoonRA,MoonDec,$M510,$O510)</f>
        <v>7.9308720595886459</v>
      </c>
      <c r="AH510" s="261">
        <f ca="1">MIN(100,IF($O$5&gt;80,0+30*($AG510/100),IF($O$5&gt;70,0+50*($AG510/100),IF($O$5&gt;60,5+50*($AG510/100),IF($O$5&gt;50,10+60*($AG510/100),IF($O$5&gt;40,15+70*($AG510/100),IF($O$5&gt;30,20+70*($AG510/100),IF($O$5&gt;20,40+55*($AG510/100),(80+(20-$O$5)+30*($AG510/100))))))))))</f>
        <v>85.650321962027022</v>
      </c>
      <c r="AI510" s="263"/>
      <c r="AJ510" s="263"/>
      <c r="AK510" s="263"/>
      <c r="AL510" s="263"/>
      <c r="AM510" s="264"/>
      <c r="AN510" s="263"/>
      <c r="AO510" s="263"/>
      <c r="AP510" s="265"/>
      <c r="AQ510" s="265"/>
      <c r="AR510" s="285"/>
      <c r="AS510" s="263"/>
      <c r="AT510" s="263"/>
      <c r="AU510" s="263"/>
      <c r="AV510" s="264"/>
      <c r="AW510" s="263">
        <v>51</v>
      </c>
      <c r="AX510" s="263"/>
      <c r="AY510" s="263"/>
      <c r="AZ510" s="263"/>
      <c r="BA510" s="263"/>
      <c r="BB510" s="263"/>
      <c r="BC510" s="263"/>
      <c r="BD510" s="264"/>
      <c r="BE510" s="263"/>
      <c r="BF510" s="263"/>
      <c r="BG510" s="263"/>
      <c r="BH510" s="263"/>
      <c r="BI510" s="263"/>
      <c r="BJ510" s="404">
        <f>altaz(J2000_Bas,$O510,$M510,DecLat,DecLong,2)</f>
        <v>211.9385799974475</v>
      </c>
      <c r="BK510" s="378" t="s">
        <v>611</v>
      </c>
      <c r="BL510" s="379">
        <f>IF((2*G510)/60&lt;0.2,0.2,(2*G510)/60)</f>
        <v>0.66666666666666663</v>
      </c>
      <c r="BM510" s="380">
        <f>MOD((50000+AD510-$B$3+(0/24)),1)</f>
        <v>0.91987561546557117</v>
      </c>
      <c r="BN510" s="381"/>
      <c r="BO510" s="382">
        <v>510</v>
      </c>
    </row>
    <row r="511" spans="1:67" s="24" customFormat="1" ht="15" customHeight="1" x14ac:dyDescent="0.25">
      <c r="A511" s="287" t="s">
        <v>612</v>
      </c>
      <c r="B511" s="241" t="str">
        <f>HYPERLINK(CONCATENATE($AT$3,BK511,$AU$3),$AV$3)</f>
        <v>S</v>
      </c>
      <c r="C511" s="242" t="str">
        <f>HYPERLINK(CONCATENATE($AT$4,BK511,$AU$4,BL511),$AV$4)</f>
        <v>A</v>
      </c>
      <c r="D511" s="243" t="s">
        <v>5187</v>
      </c>
      <c r="E511" s="244" t="s">
        <v>5179</v>
      </c>
      <c r="F511" s="269">
        <v>4</v>
      </c>
      <c r="G511" s="276">
        <v>24</v>
      </c>
      <c r="H511" s="271" t="s">
        <v>6500</v>
      </c>
      <c r="I511" s="244" t="s">
        <v>6500</v>
      </c>
      <c r="J511" s="246">
        <v>1</v>
      </c>
      <c r="K511" s="247" t="s">
        <v>5780</v>
      </c>
      <c r="L511" s="248">
        <v>170610</v>
      </c>
      <c r="M511" s="249">
        <f>15*(LEFT(TEXT($L511,"000000"),2)+(MID(TEXT($L511,"000000"),3,2)/60)+(RIGHT(TEXT($L511,"000000"),2)/3600))</f>
        <v>256.54166666666669</v>
      </c>
      <c r="N511" s="286">
        <v>-333600</v>
      </c>
      <c r="O511" s="251">
        <f>IF($N511&gt;0,(LEFT(TEXT($N511,"000000"),2)+(MID(TEXT($N511,"000000"),3,2)/60)+(RIGHT(TEXT($N511,"000000"),2)/3600)),-(MID(TEXT($N511,"000000"),2,2)+(MID(TEXT($N511,"000000"),4,2)/60)+(RIGHT(TEXT($N511,"000000"),2)/3600)))</f>
        <v>-33.6</v>
      </c>
      <c r="P511" s="252" t="s">
        <v>109</v>
      </c>
      <c r="Q511" s="253"/>
      <c r="R511" s="277" t="s">
        <v>3293</v>
      </c>
      <c r="S511" s="272" t="s">
        <v>3293</v>
      </c>
      <c r="T511" s="273"/>
      <c r="U511" s="274"/>
      <c r="V511" s="256"/>
      <c r="W511" s="244"/>
      <c r="X511" s="244"/>
      <c r="Y511" s="362"/>
      <c r="Z511" s="257">
        <f>altaz(J2000_Bas,$O511,$M511,DecLat,DecLong,1)</f>
        <v>19.670751879211124</v>
      </c>
      <c r="AA511" s="257">
        <f>altaz((J2000_Bas+(2*0.04167)),$O511,$M511,DecLat,DecLong,1)</f>
        <v>4.4076452354749147</v>
      </c>
      <c r="AB511" s="257">
        <f>altaz((J2000_Bas+(4*0.04167)),$O511,$M511,DecLat,DecLong,1)</f>
        <v>-16.284547492972152</v>
      </c>
      <c r="AC511" s="257">
        <f>altaz((J2000_Bas+(6*0.04167)),$O511,$M511,DecLat,DecLong,1)</f>
        <v>-39.710572210920375</v>
      </c>
      <c r="AD511" s="258">
        <f>1+ transit((J2000_Bas-1),$O511,$M511,DecLat,DecLong)/360 + (GMTOffset/24) + (IF(DST="Y", 1, 0)/24)</f>
        <v>1.7055156301088747</v>
      </c>
      <c r="AE511" s="259">
        <f>DATE(2001,9,21)+(M511/360)*365 - (360*((DecLong/360)- (GMTOffset/24) ))</f>
        <v>37420.104745370372</v>
      </c>
      <c r="AF511" s="260">
        <f>IF(DecLat&gt;0,IF((90 - (DecLat-O511))&gt;90, (90 - (O511-DecLat)), (90 - (DecLat-O511))),IF((90 + (DecLat-O511))&gt;90, (90 + (O511-DecLat)), (90 + (DecLat-O511))))</f>
        <v>25.400000000000006</v>
      </c>
      <c r="AG511" s="257">
        <f>angularseperation(MoonRA,MoonDec,$M511,$O511)</f>
        <v>9.0578630429586742</v>
      </c>
      <c r="AH511" s="261">
        <f ca="1">MIN(100,IF($O$5&gt;80,0+30*($AG511/100),IF($O$5&gt;70,0+50*($AG511/100),IF($O$5&gt;60,5+50*($AG511/100),IF($O$5&gt;50,10+60*($AG511/100),IF($O$5&gt;40,15+70*($AG511/100),IF($O$5&gt;30,20+70*($AG511/100),IF($O$5&gt;20,40+55*($AG511/100),(80+(20-$O$5)+30*($AG511/100))))))))))</f>
        <v>85.988419257038032</v>
      </c>
      <c r="AI511" s="263"/>
      <c r="AJ511" s="263"/>
      <c r="AK511" s="263"/>
      <c r="AL511" s="263"/>
      <c r="AM511" s="264"/>
      <c r="AN511" s="263"/>
      <c r="AO511" s="263"/>
      <c r="AP511" s="265"/>
      <c r="AQ511" s="265"/>
      <c r="AR511" s="285"/>
      <c r="AS511" s="263"/>
      <c r="AT511" s="263"/>
      <c r="AU511" s="263"/>
      <c r="AV511" s="264"/>
      <c r="AW511" s="263">
        <v>53</v>
      </c>
      <c r="AX511" s="263"/>
      <c r="AY511" s="263"/>
      <c r="AZ511" s="263"/>
      <c r="BA511" s="263"/>
      <c r="BB511" s="263"/>
      <c r="BC511" s="263"/>
      <c r="BD511" s="264"/>
      <c r="BE511" s="263"/>
      <c r="BF511" s="263"/>
      <c r="BG511" s="263"/>
      <c r="BH511" s="263"/>
      <c r="BI511" s="263"/>
      <c r="BJ511" s="404">
        <f>altaz(J2000_Bas,$O511,$M511,DecLat,DecLong,2)</f>
        <v>205.78809879048995</v>
      </c>
      <c r="BK511" s="378" t="s">
        <v>612</v>
      </c>
      <c r="BL511" s="379">
        <f>IF((2*G511)/60&lt;0.2,0.2,(2*G511)/60)</f>
        <v>0.8</v>
      </c>
      <c r="BM511" s="380">
        <f>MOD((50000+AD511-$B$3+(0/24)),1)</f>
        <v>0.92088255981070688</v>
      </c>
      <c r="BN511" s="381"/>
      <c r="BO511" s="382">
        <v>511</v>
      </c>
    </row>
    <row r="512" spans="1:67" s="24" customFormat="1" ht="15" customHeight="1" x14ac:dyDescent="0.25">
      <c r="A512" s="287" t="s">
        <v>613</v>
      </c>
      <c r="B512" s="241" t="str">
        <f>HYPERLINK(CONCATENATE($AT$3,BK512,$AU$3),$AV$3)</f>
        <v>S</v>
      </c>
      <c r="C512" s="242" t="str">
        <f>HYPERLINK(CONCATENATE($AT$4,BK512,$AU$4,BL512),$AV$4)</f>
        <v>A</v>
      </c>
      <c r="D512" s="243" t="s">
        <v>5187</v>
      </c>
      <c r="E512" s="244" t="s">
        <v>5179</v>
      </c>
      <c r="F512" s="269">
        <v>5</v>
      </c>
      <c r="G512" s="273">
        <v>5</v>
      </c>
      <c r="H512" s="271" t="s">
        <v>6500</v>
      </c>
      <c r="I512" s="244" t="s">
        <v>6500</v>
      </c>
      <c r="J512" s="246">
        <v>0</v>
      </c>
      <c r="K512" s="247" t="s">
        <v>5781</v>
      </c>
      <c r="L512" s="248">
        <v>170633</v>
      </c>
      <c r="M512" s="249">
        <f>15*(LEFT(TEXT($L512,"000000"),2)+(MID(TEXT($L512,"000000"),3,2)/60)+(RIGHT(TEXT($L512,"000000"),2)/3600))</f>
        <v>256.63749999999999</v>
      </c>
      <c r="N512" s="286">
        <v>-341600</v>
      </c>
      <c r="O512" s="251">
        <f>IF($N512&gt;0,(LEFT(TEXT($N512,"000000"),2)+(MID(TEXT($N512,"000000"),3,2)/60)+(RIGHT(TEXT($N512,"000000"),2)/3600)),-(MID(TEXT($N512,"000000"),2,2)+(MID(TEXT($N512,"000000"),4,2)/60)+(RIGHT(TEXT($N512,"000000"),2)/3600)))</f>
        <v>-34.266666666666666</v>
      </c>
      <c r="P512" s="252" t="s">
        <v>109</v>
      </c>
      <c r="Q512" s="253"/>
      <c r="R512" s="277" t="s">
        <v>3293</v>
      </c>
      <c r="S512" s="272" t="s">
        <v>3293</v>
      </c>
      <c r="T512" s="273"/>
      <c r="U512" s="274"/>
      <c r="V512" s="256"/>
      <c r="W512" s="244"/>
      <c r="X512" s="244"/>
      <c r="Y512" s="362"/>
      <c r="Z512" s="257">
        <f>altaz(J2000_Bas,$O512,$M512,DecLat,DecLong,1)</f>
        <v>19.109637820682714</v>
      </c>
      <c r="AA512" s="257">
        <f>altaz((J2000_Bas+(2*0.04167)),$O512,$M512,DecLat,DecLong,1)</f>
        <v>4.0185222987706704</v>
      </c>
      <c r="AB512" s="257">
        <f>altaz((J2000_Bas+(4*0.04167)),$O512,$M512,DecLat,DecLong,1)</f>
        <v>-16.512890010113885</v>
      </c>
      <c r="AC512" s="257">
        <f>altaz((J2000_Bas+(6*0.04167)),$O512,$M512,DecLat,DecLong,1)</f>
        <v>-39.798725526619833</v>
      </c>
      <c r="AD512" s="258">
        <f>1+ transit((J2000_Bas-1),$O512,$M512,DecLat,DecLong)/360 + (GMTOffset/24) + (IF(DST="Y", 1, 0)/24)</f>
        <v>1.7057818337859578</v>
      </c>
      <c r="AE512" s="259">
        <f>DATE(2001,9,21)+(M512/360)*365 - (360*((DecLong/360)- (GMTOffset/24) ))</f>
        <v>37420.201909722222</v>
      </c>
      <c r="AF512" s="260">
        <f>IF(DecLat&gt;0,IF((90 - (DecLat-O512))&gt;90, (90 - (O512-DecLat)), (90 - (DecLat-O512))),IF((90 + (DecLat-O512))&gt;90, (90 + (O512-DecLat)), (90 + (DecLat-O512))))</f>
        <v>24.733333333333334</v>
      </c>
      <c r="AG512" s="257">
        <f>angularseperation(MoonRA,MoonDec,$M512,$O512)</f>
        <v>9.5877340326418246</v>
      </c>
      <c r="AH512" s="261">
        <f ca="1">MIN(100,IF($O$5&gt;80,0+30*($AG512/100),IF($O$5&gt;70,0+50*($AG512/100),IF($O$5&gt;60,5+50*($AG512/100),IF($O$5&gt;50,10+60*($AG512/100),IF($O$5&gt;40,15+70*($AG512/100),IF($O$5&gt;30,20+70*($AG512/100),IF($O$5&gt;20,40+55*($AG512/100),(80+(20-$O$5)+30*($AG512/100))))))))))</f>
        <v>86.14738055394298</v>
      </c>
      <c r="AI512" s="263"/>
      <c r="AJ512" s="263"/>
      <c r="AK512" s="263"/>
      <c r="AL512" s="263"/>
      <c r="AM512" s="264"/>
      <c r="AN512" s="263"/>
      <c r="AO512" s="263"/>
      <c r="AP512" s="265"/>
      <c r="AQ512" s="265"/>
      <c r="AR512" s="285"/>
      <c r="AS512" s="263"/>
      <c r="AT512" s="263"/>
      <c r="AU512" s="263"/>
      <c r="AV512" s="264"/>
      <c r="AW512" s="263">
        <v>54</v>
      </c>
      <c r="AX512" s="263"/>
      <c r="AY512" s="263"/>
      <c r="AZ512" s="263"/>
      <c r="BA512" s="263"/>
      <c r="BB512" s="263"/>
      <c r="BC512" s="263"/>
      <c r="BD512" s="264"/>
      <c r="BE512" s="263"/>
      <c r="BF512" s="263"/>
      <c r="BG512" s="263"/>
      <c r="BH512" s="263"/>
      <c r="BI512" s="263"/>
      <c r="BJ512" s="404">
        <f>altaz(J2000_Bas,$O512,$M512,DecLat,DecLong,2)</f>
        <v>205.39725823669002</v>
      </c>
      <c r="BK512" s="378" t="s">
        <v>613</v>
      </c>
      <c r="BL512" s="379">
        <f>IF((2*G512)/60&lt;0.2,0.2,(2*G512)/60)</f>
        <v>0.2</v>
      </c>
      <c r="BM512" s="380">
        <f>MOD((50000+AD512-$B$3+(0/24)),1)</f>
        <v>0.92114876348932739</v>
      </c>
      <c r="BN512" s="381"/>
      <c r="BO512" s="382">
        <v>512</v>
      </c>
    </row>
    <row r="513" spans="1:67" s="24" customFormat="1" ht="15" customHeight="1" x14ac:dyDescent="0.25">
      <c r="A513" s="287" t="s">
        <v>614</v>
      </c>
      <c r="B513" s="241" t="str">
        <f>HYPERLINK(CONCATENATE($AT$3,BK513,$AU$3),$AV$3)</f>
        <v>S</v>
      </c>
      <c r="C513" s="242" t="str">
        <f>HYPERLINK(CONCATENATE($AT$4,BK513,$AU$4,BL513),$AV$4)</f>
        <v>A</v>
      </c>
      <c r="D513" s="243" t="s">
        <v>5187</v>
      </c>
      <c r="E513" s="244" t="s">
        <v>5179</v>
      </c>
      <c r="F513" s="269">
        <v>5</v>
      </c>
      <c r="G513" s="276">
        <v>16</v>
      </c>
      <c r="H513" s="271" t="s">
        <v>6500</v>
      </c>
      <c r="I513" s="244" t="s">
        <v>6500</v>
      </c>
      <c r="J513" s="246">
        <v>1</v>
      </c>
      <c r="K513" s="247" t="s">
        <v>5782</v>
      </c>
      <c r="L513" s="248">
        <v>170732</v>
      </c>
      <c r="M513" s="249">
        <f>15*(LEFT(TEXT($L513,"000000"),2)+(MID(TEXT($L513,"000000"),3,2)/60)+(RIGHT(TEXT($L513,"000000"),2)/3600))</f>
        <v>256.88333333333338</v>
      </c>
      <c r="N513" s="286">
        <v>-320100</v>
      </c>
      <c r="O513" s="251">
        <f>IF($N513&gt;0,(LEFT(TEXT($N513,"000000"),2)+(MID(TEXT($N513,"000000"),3,2)/60)+(RIGHT(TEXT($N513,"000000"),2)/3600)),-(MID(TEXT($N513,"000000"),2,2)+(MID(TEXT($N513,"000000"),4,2)/60)+(RIGHT(TEXT($N513,"000000"),2)/3600)))</f>
        <v>-32.016666666666666</v>
      </c>
      <c r="P513" s="252" t="s">
        <v>109</v>
      </c>
      <c r="Q513" s="253"/>
      <c r="R513" s="277" t="s">
        <v>3293</v>
      </c>
      <c r="S513" s="272" t="s">
        <v>3293</v>
      </c>
      <c r="T513" s="273"/>
      <c r="U513" s="274"/>
      <c r="V513" s="256"/>
      <c r="W513" s="244"/>
      <c r="X513" s="244"/>
      <c r="Y513" s="362"/>
      <c r="Z513" s="257">
        <f>altaz(J2000_Bas,$O513,$M513,DecLat,DecLong,1)</f>
        <v>21.215178144206526</v>
      </c>
      <c r="AA513" s="257">
        <f>altaz((J2000_Bas+(2*0.04167)),$O513,$M513,DecLat,DecLong,1)</f>
        <v>5.6843880094349348</v>
      </c>
      <c r="AB513" s="257">
        <f>altaz((J2000_Bas+(4*0.04167)),$O513,$M513,DecLat,DecLong,1)</f>
        <v>-15.309270537957149</v>
      </c>
      <c r="AC513" s="257">
        <f>altaz((J2000_Bas+(6*0.04167)),$O513,$M513,DecLat,DecLong,1)</f>
        <v>-39.01610613575496</v>
      </c>
      <c r="AD513" s="258">
        <f>1+ transit((J2000_Bas-1),$O513,$M513,DecLat,DecLong)/360 + (GMTOffset/24) + (IF(DST="Y", 1, 0)/24)</f>
        <v>1.7064647040880414</v>
      </c>
      <c r="AE513" s="259">
        <f>DATE(2001,9,21)+(M513/360)*365 - (360*((DecLong/360)- (GMTOffset/24) ))</f>
        <v>37420.451157407406</v>
      </c>
      <c r="AF513" s="260">
        <f>IF(DecLat&gt;0,IF((90 - (DecLat-O513))&gt;90, (90 - (O513-DecLat)), (90 - (DecLat-O513))),IF((90 + (DecLat-O513))&gt;90, (90 + (O513-DecLat)), (90 + (DecLat-O513))))</f>
        <v>26.983333333333334</v>
      </c>
      <c r="AG513" s="257">
        <f>angularseperation(MoonRA,MoonDec,$M513,$O513)</f>
        <v>8.2734024704610913</v>
      </c>
      <c r="AH513" s="261">
        <f ca="1">MIN(100,IF($O$5&gt;80,0+30*($AG513/100),IF($O$5&gt;70,0+50*($AG513/100),IF($O$5&gt;60,5+50*($AG513/100),IF($O$5&gt;50,10+60*($AG513/100),IF($O$5&gt;40,15+70*($AG513/100),IF($O$5&gt;30,20+70*($AG513/100),IF($O$5&gt;20,40+55*($AG513/100),(80+(20-$O$5)+30*($AG513/100))))))))))</f>
        <v>85.753081085288756</v>
      </c>
      <c r="AI513" s="263"/>
      <c r="AJ513" s="263"/>
      <c r="AK513" s="263"/>
      <c r="AL513" s="263"/>
      <c r="AM513" s="264"/>
      <c r="AN513" s="263"/>
      <c r="AO513" s="263"/>
      <c r="AP513" s="265"/>
      <c r="AQ513" s="265"/>
      <c r="AR513" s="285"/>
      <c r="AS513" s="263"/>
      <c r="AT513" s="263"/>
      <c r="AU513" s="263"/>
      <c r="AV513" s="264"/>
      <c r="AW513" s="263">
        <v>55</v>
      </c>
      <c r="AX513" s="263"/>
      <c r="AY513" s="263"/>
      <c r="AZ513" s="263"/>
      <c r="BA513" s="263"/>
      <c r="BB513" s="263"/>
      <c r="BC513" s="263"/>
      <c r="BD513" s="264"/>
      <c r="BE513" s="263"/>
      <c r="BF513" s="263"/>
      <c r="BG513" s="263"/>
      <c r="BH513" s="263"/>
      <c r="BI513" s="263"/>
      <c r="BJ513" s="404">
        <f>altaz(J2000_Bas,$O513,$M513,DecLat,DecLong,2)</f>
        <v>206.27031179349504</v>
      </c>
      <c r="BK513" s="378" t="s">
        <v>614</v>
      </c>
      <c r="BL513" s="379">
        <f>IF((2*G513)/60&lt;0.2,0.2,(2*G513)/60)</f>
        <v>0.53333333333333333</v>
      </c>
      <c r="BM513" s="380">
        <f>MOD((50000+AD513-$B$3+(0/24)),1)</f>
        <v>0.9218316337937722</v>
      </c>
      <c r="BN513" s="381"/>
      <c r="BO513" s="382">
        <v>513</v>
      </c>
    </row>
    <row r="514" spans="1:67" s="24" customFormat="1" ht="15" customHeight="1" x14ac:dyDescent="0.25">
      <c r="A514" s="287" t="s">
        <v>615</v>
      </c>
      <c r="B514" s="241" t="str">
        <f>HYPERLINK(CONCATENATE($AT$3,BK514,$AU$3),$AV$3)</f>
        <v>S</v>
      </c>
      <c r="C514" s="242" t="str">
        <f>HYPERLINK(CONCATENATE($AT$4,BK514,$AU$4,BL514),$AV$4)</f>
        <v>A</v>
      </c>
      <c r="D514" s="243" t="s">
        <v>5187</v>
      </c>
      <c r="E514" s="244" t="s">
        <v>5179</v>
      </c>
      <c r="F514" s="269">
        <v>5</v>
      </c>
      <c r="G514" s="273">
        <v>3</v>
      </c>
      <c r="H514" s="271" t="s">
        <v>6500</v>
      </c>
      <c r="I514" s="244" t="s">
        <v>6500</v>
      </c>
      <c r="J514" s="246">
        <v>1</v>
      </c>
      <c r="K514" s="247" t="s">
        <v>5966</v>
      </c>
      <c r="L514" s="248">
        <v>170848</v>
      </c>
      <c r="M514" s="249">
        <f>15*(LEFT(TEXT($L514,"000000"),2)+(MID(TEXT($L514,"000000"),3,2)/60)+(RIGHT(TEXT($L514,"000000"),2)/3600))</f>
        <v>257.2</v>
      </c>
      <c r="N514" s="286">
        <v>-320700</v>
      </c>
      <c r="O514" s="251">
        <f>IF($N514&gt;0,(LEFT(TEXT($N514,"000000"),2)+(MID(TEXT($N514,"000000"),3,2)/60)+(RIGHT(TEXT($N514,"000000"),2)/3600)),-(MID(TEXT($N514,"000000"),2,2)+(MID(TEXT($N514,"000000"),4,2)/60)+(RIGHT(TEXT($N514,"000000"),2)/3600)))</f>
        <v>-32.116666666666667</v>
      </c>
      <c r="P514" s="252" t="s">
        <v>113</v>
      </c>
      <c r="Q514" s="253"/>
      <c r="R514" s="277" t="s">
        <v>3293</v>
      </c>
      <c r="S514" s="272" t="s">
        <v>3293</v>
      </c>
      <c r="T514" s="273"/>
      <c r="U514" s="274"/>
      <c r="V514" s="256"/>
      <c r="W514" s="244"/>
      <c r="X514" s="244"/>
      <c r="Y514" s="362"/>
      <c r="Z514" s="257">
        <f>altaz(J2000_Bas,$O514,$M514,DecLat,DecLong,1)</f>
        <v>21.245128574072382</v>
      </c>
      <c r="AA514" s="257">
        <f>altaz((J2000_Bas+(2*0.04167)),$O514,$M514,DecLat,DecLong,1)</f>
        <v>5.8152558747789866</v>
      </c>
      <c r="AB514" s="257">
        <f>altaz((J2000_Bas+(4*0.04167)),$O514,$M514,DecLat,DecLong,1)</f>
        <v>-15.116868249065096</v>
      </c>
      <c r="AC514" s="257">
        <f>altaz((J2000_Bas+(6*0.04167)),$O514,$M514,DecLat,DecLong,1)</f>
        <v>-38.7856749990721</v>
      </c>
      <c r="AD514" s="258">
        <f>1+ transit((J2000_Bas-1),$O514,$M514,DecLat,DecLong)/360 + (GMTOffset/24) + (IF(DST="Y", 1, 0)/24)</f>
        <v>1.7073443336297081</v>
      </c>
      <c r="AE514" s="259">
        <f>DATE(2001,9,21)+(M514/360)*365 - (360*((DecLong/360)- (GMTOffset/24) ))</f>
        <v>37420.772222222222</v>
      </c>
      <c r="AF514" s="260">
        <f>IF(DecLat&gt;0,IF((90 - (DecLat-O514))&gt;90, (90 - (O514-DecLat)), (90 - (DecLat-O514))),IF((90 + (DecLat-O514))&gt;90, (90 + (O514-DecLat)), (90 + (DecLat-O514))))</f>
        <v>26.883333333333333</v>
      </c>
      <c r="AG514" s="257">
        <f>angularseperation(MoonRA,MoonDec,$M514,$O514)</f>
        <v>8.551416133087983</v>
      </c>
      <c r="AH514" s="261">
        <f ca="1">MIN(100,IF($O$5&gt;80,0+30*($AG514/100),IF($O$5&gt;70,0+50*($AG514/100),IF($O$5&gt;60,5+50*($AG514/100),IF($O$5&gt;50,10+60*($AG514/100),IF($O$5&gt;40,15+70*($AG514/100),IF($O$5&gt;30,20+70*($AG514/100),IF($O$5&gt;20,40+55*($AG514/100),(80+(20-$O$5)+30*($AG514/100))))))))))</f>
        <v>85.836485184076821</v>
      </c>
      <c r="AI514" s="263"/>
      <c r="AJ514" s="263"/>
      <c r="AK514" s="263"/>
      <c r="AL514" s="263"/>
      <c r="AM514" s="264"/>
      <c r="AN514" s="263"/>
      <c r="AO514" s="263"/>
      <c r="AP514" s="265"/>
      <c r="AQ514" s="265"/>
      <c r="AR514" s="285"/>
      <c r="AS514" s="263"/>
      <c r="AT514" s="263"/>
      <c r="AU514" s="263"/>
      <c r="AV514" s="264"/>
      <c r="AW514" s="263">
        <v>56</v>
      </c>
      <c r="AX514" s="263"/>
      <c r="AY514" s="263"/>
      <c r="AZ514" s="263"/>
      <c r="BA514" s="263"/>
      <c r="BB514" s="263"/>
      <c r="BC514" s="263"/>
      <c r="BD514" s="264"/>
      <c r="BE514" s="263"/>
      <c r="BF514" s="263"/>
      <c r="BG514" s="263"/>
      <c r="BH514" s="263"/>
      <c r="BI514" s="263"/>
      <c r="BJ514" s="404">
        <f>altaz(J2000_Bas,$O514,$M514,DecLat,DecLong,2)</f>
        <v>205.96476618740874</v>
      </c>
      <c r="BK514" s="378" t="s">
        <v>615</v>
      </c>
      <c r="BL514" s="379">
        <f>IF((2*G514)/60&lt;0.2,0.2,(2*G514)/60)</f>
        <v>0.2</v>
      </c>
      <c r="BM514" s="380">
        <f>MOD((50000+AD514-$B$3+(0/24)),1)</f>
        <v>0.92271126333071152</v>
      </c>
      <c r="BN514" s="381"/>
      <c r="BO514" s="382">
        <v>514</v>
      </c>
    </row>
    <row r="515" spans="1:67" s="24" customFormat="1" ht="15" customHeight="1" x14ac:dyDescent="0.25">
      <c r="A515" s="287" t="s">
        <v>616</v>
      </c>
      <c r="B515" s="241" t="str">
        <f>HYPERLINK(CONCATENATE($AT$3,BK515,$AU$3),$AV$3)</f>
        <v>S</v>
      </c>
      <c r="C515" s="242" t="str">
        <f>HYPERLINK(CONCATENATE($AT$4,BK515,$AU$4,BL515),$AV$4)</f>
        <v>A</v>
      </c>
      <c r="D515" s="243" t="s">
        <v>5187</v>
      </c>
      <c r="E515" s="244" t="s">
        <v>5179</v>
      </c>
      <c r="F515" s="269">
        <v>6</v>
      </c>
      <c r="G515" s="273">
        <v>5</v>
      </c>
      <c r="H515" s="271" t="s">
        <v>6500</v>
      </c>
      <c r="I515" s="244" t="s">
        <v>6500</v>
      </c>
      <c r="J515" s="246">
        <v>1</v>
      </c>
      <c r="K515" s="247" t="s">
        <v>5783</v>
      </c>
      <c r="L515" s="248">
        <v>170822</v>
      </c>
      <c r="M515" s="249">
        <f>15*(LEFT(TEXT($L515,"000000"),2)+(MID(TEXT($L515,"000000"),3,2)/60)+(RIGHT(TEXT($L515,"000000"),2)/3600))</f>
        <v>257.09166666666664</v>
      </c>
      <c r="N515" s="286">
        <v>-225100</v>
      </c>
      <c r="O515" s="251">
        <f>IF($N515&gt;0,(LEFT(TEXT($N515,"000000"),2)+(MID(TEXT($N515,"000000"),3,2)/60)+(RIGHT(TEXT($N515,"000000"),2)/3600)),-(MID(TEXT($N515,"000000"),2,2)+(MID(TEXT($N515,"000000"),4,2)/60)+(RIGHT(TEXT($N515,"000000"),2)/3600)))</f>
        <v>-22.85</v>
      </c>
      <c r="P515" s="252" t="s">
        <v>113</v>
      </c>
      <c r="Q515" s="253"/>
      <c r="R515" s="277" t="s">
        <v>3293</v>
      </c>
      <c r="S515" s="272" t="s">
        <v>3293</v>
      </c>
      <c r="T515" s="273"/>
      <c r="U515" s="274"/>
      <c r="V515" s="256"/>
      <c r="W515" s="244"/>
      <c r="X515" s="244"/>
      <c r="Y515" s="362"/>
      <c r="Z515" s="257">
        <f>altaz(J2000_Bas,$O515,$M515,DecLat,DecLong,1)</f>
        <v>29.436426020953366</v>
      </c>
      <c r="AA515" s="257">
        <f>altaz((J2000_Bas+(2*0.04167)),$O515,$M515,DecLat,DecLong,1)</f>
        <v>11.939724674997853</v>
      </c>
      <c r="AB515" s="257">
        <f>altaz((J2000_Bas+(4*0.04167)),$O515,$M515,DecLat,DecLong,1)</f>
        <v>-10.796265473803768</v>
      </c>
      <c r="AC515" s="257">
        <f>altaz((J2000_Bas+(6*0.04167)),$O515,$M515,DecLat,DecLong,1)</f>
        <v>-35.7983329646244</v>
      </c>
      <c r="AD515" s="258">
        <f>1+ transit((J2000_Bas-1),$O515,$M515,DecLat,DecLong)/360 + (GMTOffset/24) + (IF(DST="Y", 1, 0)/24)</f>
        <v>1.7070434077338745</v>
      </c>
      <c r="AE515" s="259">
        <f>DATE(2001,9,21)+(M515/360)*365 - (360*((DecLong/360)- (GMTOffset/24) ))</f>
        <v>37420.66238425926</v>
      </c>
      <c r="AF515" s="260">
        <f>IF(DecLat&gt;0,IF((90 - (DecLat-O515))&gt;90, (90 - (O515-DecLat)), (90 - (DecLat-O515))),IF((90 + (DecLat-O515))&gt;90, (90 + (O515-DecLat)), (90 + (DecLat-O515))))</f>
        <v>36.15</v>
      </c>
      <c r="AG515" s="257">
        <f>angularseperation(MoonRA,MoonDec,$M515,$O515)</f>
        <v>8.277418805714623</v>
      </c>
      <c r="AH515" s="261">
        <f ca="1">MIN(100,IF($O$5&gt;80,0+30*($AG515/100),IF($O$5&gt;70,0+50*($AG515/100),IF($O$5&gt;60,5+50*($AG515/100),IF($O$5&gt;50,10+60*($AG515/100),IF($O$5&gt;40,15+70*($AG515/100),IF($O$5&gt;30,20+70*($AG515/100),IF($O$5&gt;20,40+55*($AG515/100),(80+(20-$O$5)+30*($AG515/100))))))))))</f>
        <v>85.754285985864811</v>
      </c>
      <c r="AI515" s="263"/>
      <c r="AJ515" s="263"/>
      <c r="AK515" s="263"/>
      <c r="AL515" s="263"/>
      <c r="AM515" s="264"/>
      <c r="AN515" s="263"/>
      <c r="AO515" s="263"/>
      <c r="AP515" s="265"/>
      <c r="AQ515" s="265"/>
      <c r="AR515" s="285"/>
      <c r="AS515" s="263"/>
      <c r="AT515" s="263"/>
      <c r="AU515" s="263"/>
      <c r="AV515" s="264"/>
      <c r="AW515" s="263">
        <v>57</v>
      </c>
      <c r="AX515" s="263"/>
      <c r="AY515" s="263"/>
      <c r="AZ515" s="263"/>
      <c r="BA515" s="263"/>
      <c r="BB515" s="263"/>
      <c r="BC515" s="263"/>
      <c r="BD515" s="264"/>
      <c r="BE515" s="263"/>
      <c r="BF515" s="263"/>
      <c r="BG515" s="263"/>
      <c r="BH515" s="263"/>
      <c r="BI515" s="263"/>
      <c r="BJ515" s="404">
        <f>altaz(J2000_Bas,$O515,$M515,DecLat,DecLong,2)</f>
        <v>210.76722587419755</v>
      </c>
      <c r="BK515" s="378" t="s">
        <v>616</v>
      </c>
      <c r="BL515" s="379">
        <f>IF((2*G515)/60&lt;0.2,0.2,(2*G515)/60)</f>
        <v>0.2</v>
      </c>
      <c r="BM515" s="380">
        <f>MOD((50000+AD515-$B$3+(0/24)),1)</f>
        <v>0.92241033743630396</v>
      </c>
      <c r="BN515" s="381"/>
      <c r="BO515" s="382">
        <v>515</v>
      </c>
    </row>
    <row r="516" spans="1:67" s="24" customFormat="1" ht="15" customHeight="1" x14ac:dyDescent="0.25">
      <c r="A516" s="287" t="s">
        <v>617</v>
      </c>
      <c r="B516" s="241" t="str">
        <f>HYPERLINK(CONCATENATE($AT$3,BK516,$AU$3),$AV$3)</f>
        <v>S</v>
      </c>
      <c r="C516" s="242" t="str">
        <f>HYPERLINK(CONCATENATE($AT$4,BK516,$AU$4,BL516),$AV$4)</f>
        <v>A</v>
      </c>
      <c r="D516" s="243" t="s">
        <v>5187</v>
      </c>
      <c r="E516" s="244" t="s">
        <v>5179</v>
      </c>
      <c r="F516" s="269">
        <v>6</v>
      </c>
      <c r="G516" s="276">
        <v>30</v>
      </c>
      <c r="H516" s="271" t="s">
        <v>6500</v>
      </c>
      <c r="I516" s="244" t="s">
        <v>6500</v>
      </c>
      <c r="J516" s="246">
        <v>1</v>
      </c>
      <c r="K516" s="247" t="s">
        <v>5784</v>
      </c>
      <c r="L516" s="248">
        <v>171111</v>
      </c>
      <c r="M516" s="249">
        <f>15*(LEFT(TEXT($L516,"000000"),2)+(MID(TEXT($L516,"000000"),3,2)/60)+(RIGHT(TEXT($L516,"000000"),2)/3600))</f>
        <v>257.79583333333335</v>
      </c>
      <c r="N516" s="286">
        <v>-402500</v>
      </c>
      <c r="O516" s="251">
        <f>IF($N516&gt;0,(LEFT(TEXT($N516,"000000"),2)+(MID(TEXT($N516,"000000"),3,2)/60)+(RIGHT(TEXT($N516,"000000"),2)/3600)),-(MID(TEXT($N516,"000000"),2,2)+(MID(TEXT($N516,"000000"),4,2)/60)+(RIGHT(TEXT($N516,"000000"),2)/3600)))</f>
        <v>-40.416666666666664</v>
      </c>
      <c r="P516" s="252" t="s">
        <v>113</v>
      </c>
      <c r="Q516" s="253"/>
      <c r="R516" s="277" t="s">
        <v>3293</v>
      </c>
      <c r="S516" s="272" t="s">
        <v>3293</v>
      </c>
      <c r="T516" s="273"/>
      <c r="U516" s="274"/>
      <c r="V516" s="256"/>
      <c r="W516" s="244"/>
      <c r="X516" s="244"/>
      <c r="Y516" s="362"/>
      <c r="Z516" s="257">
        <f>altaz(J2000_Bas,$O516,$M516,DecLat,DecLong,1)</f>
        <v>13.956500994689176</v>
      </c>
      <c r="AA516" s="257">
        <f>altaz((J2000_Bas+(2*0.04167)),$O516,$M516,DecLat,DecLong,1)</f>
        <v>0.52073386375337249</v>
      </c>
      <c r="AB516" s="257">
        <f>altaz((J2000_Bas+(4*0.04167)),$O516,$M516,DecLat,DecLong,1)</f>
        <v>-18.386419629165342</v>
      </c>
      <c r="AC516" s="257">
        <f>altaz((J2000_Bas+(6*0.04167)),$O516,$M516,DecLat,DecLong,1)</f>
        <v>-40.159682114552986</v>
      </c>
      <c r="AD516" s="258">
        <f>1+ transit((J2000_Bas-1),$O516,$M516,DecLat,DecLong)/360 + (GMTOffset/24) + (IF(DST="Y", 1, 0)/24)</f>
        <v>1.7089994260567913</v>
      </c>
      <c r="AE516" s="259">
        <f>DATE(2001,9,21)+(M516/360)*365 - (360*((DecLong/360)- (GMTOffset/24) ))</f>
        <v>37421.376331018517</v>
      </c>
      <c r="AF516" s="260">
        <f>IF(DecLat&gt;0,IF((90 - (DecLat-O516))&gt;90, (90 - (O516-DecLat)), (90 - (DecLat-O516))),IF((90 + (DecLat-O516))&gt;90, (90 + (O516-DecLat)), (90 + (DecLat-O516))))</f>
        <v>18.583333333333343</v>
      </c>
      <c r="AG516" s="257">
        <f>angularseperation(MoonRA,MoonDec,$M516,$O516)</f>
        <v>15.092298749852903</v>
      </c>
      <c r="AH516" s="261">
        <f ca="1">MIN(100,IF($O$5&gt;80,0+30*($AG516/100),IF($O$5&gt;70,0+50*($AG516/100),IF($O$5&gt;60,5+50*($AG516/100),IF($O$5&gt;50,10+60*($AG516/100),IF($O$5&gt;40,15+70*($AG516/100),IF($O$5&gt;30,20+70*($AG516/100),IF($O$5&gt;20,40+55*($AG516/100),(80+(20-$O$5)+30*($AG516/100))))))))))</f>
        <v>87.798749969106296</v>
      </c>
      <c r="AI516" s="263"/>
      <c r="AJ516" s="263"/>
      <c r="AK516" s="263"/>
      <c r="AL516" s="263"/>
      <c r="AM516" s="264"/>
      <c r="AN516" s="263"/>
      <c r="AO516" s="263"/>
      <c r="AP516" s="265"/>
      <c r="AQ516" s="265"/>
      <c r="AR516" s="285"/>
      <c r="AS516" s="263"/>
      <c r="AT516" s="263"/>
      <c r="AU516" s="263"/>
      <c r="AV516" s="264"/>
      <c r="AW516" s="263">
        <v>58</v>
      </c>
      <c r="AX516" s="263"/>
      <c r="AY516" s="263"/>
      <c r="AZ516" s="263"/>
      <c r="BA516" s="263"/>
      <c r="BB516" s="263"/>
      <c r="BC516" s="263"/>
      <c r="BD516" s="264"/>
      <c r="BE516" s="263"/>
      <c r="BF516" s="263"/>
      <c r="BG516" s="263"/>
      <c r="BH516" s="263"/>
      <c r="BI516" s="263"/>
      <c r="BJ516" s="404">
        <f>altaz(J2000_Bas,$O516,$M516,DecLat,DecLong,2)</f>
        <v>201.76511035483446</v>
      </c>
      <c r="BK516" s="378" t="s">
        <v>617</v>
      </c>
      <c r="BL516" s="379">
        <f>IF((2*G516)/60&lt;0.2,0.2,(2*G516)/60)</f>
        <v>1</v>
      </c>
      <c r="BM516" s="380">
        <f>MOD((50000+AD516-$B$3+(0/24)),1)</f>
        <v>0.92436635575722903</v>
      </c>
      <c r="BN516" s="381"/>
      <c r="BO516" s="382">
        <v>516</v>
      </c>
    </row>
    <row r="517" spans="1:67" s="24" customFormat="1" ht="15" customHeight="1" x14ac:dyDescent="0.25">
      <c r="A517" s="288" t="s">
        <v>618</v>
      </c>
      <c r="B517" s="241" t="str">
        <f>HYPERLINK(CONCATENATE($AT$3,BK517,$AU$3),$AV$3)</f>
        <v>S</v>
      </c>
      <c r="C517" s="242" t="str">
        <f>HYPERLINK(CONCATENATE($AT$4,BK517,$AU$4,BL517),$AV$4)</f>
        <v>A</v>
      </c>
      <c r="D517" s="243" t="s">
        <v>5187</v>
      </c>
      <c r="E517" s="244" t="s">
        <v>5179</v>
      </c>
      <c r="F517" s="269">
        <v>5</v>
      </c>
      <c r="G517" s="276">
        <v>60</v>
      </c>
      <c r="H517" s="271" t="s">
        <v>6500</v>
      </c>
      <c r="I517" s="244" t="s">
        <v>6500</v>
      </c>
      <c r="J517" s="246">
        <v>3</v>
      </c>
      <c r="K517" s="247" t="s">
        <v>5967</v>
      </c>
      <c r="L517" s="248">
        <v>171123</v>
      </c>
      <c r="M517" s="249">
        <f>15*(LEFT(TEXT($L517,"000000"),2)+(MID(TEXT($L517,"000000"),3,2)/60)+(RIGHT(TEXT($L517,"000000"),2)/3600))</f>
        <v>257.84583333333336</v>
      </c>
      <c r="N517" s="250">
        <v>-273000</v>
      </c>
      <c r="O517" s="251">
        <f>IF($N517&gt;0,(LEFT(TEXT($N517,"000000"),2)+(MID(TEXT($N517,"000000"),3,2)/60)+(RIGHT(TEXT($N517,"000000"),2)/3600)),-(MID(TEXT($N517,"000000"),2,2)+(MID(TEXT($N517,"000000"),4,2)/60)+(RIGHT(TEXT($N517,"000000"),2)/3600)))</f>
        <v>-27.5</v>
      </c>
      <c r="P517" s="252" t="s">
        <v>113</v>
      </c>
      <c r="Q517" s="253" t="s">
        <v>619</v>
      </c>
      <c r="R517" s="247" t="s">
        <v>3293</v>
      </c>
      <c r="S517" s="272" t="s">
        <v>4401</v>
      </c>
      <c r="T517" s="273"/>
      <c r="U517" s="274"/>
      <c r="V517" s="256"/>
      <c r="W517" s="244"/>
      <c r="X517" s="244"/>
      <c r="Y517" s="362"/>
      <c r="Z517" s="257">
        <f>altaz(J2000_Bas,$O517,$M517,DecLat,DecLong,1)</f>
        <v>25.627741357343307</v>
      </c>
      <c r="AA517" s="257">
        <f>altaz((J2000_Bas+(2*0.04167)),$O517,$M517,DecLat,DecLong,1)</f>
        <v>9.3444197169307515</v>
      </c>
      <c r="AB517" s="257">
        <f>altaz((J2000_Bas+(4*0.04167)),$O517,$M517,DecLat,DecLong,1)</f>
        <v>-12.451063269292396</v>
      </c>
      <c r="AC517" s="257">
        <f>altaz((J2000_Bas+(6*0.04167)),$O517,$M517,DecLat,DecLong,1)</f>
        <v>-36.838736811697139</v>
      </c>
      <c r="AD517" s="258">
        <f>1+ transit((J2000_Bas-1),$O517,$M517,DecLat,DecLong)/360 + (GMTOffset/24) + (IF(DST="Y", 1, 0)/24)</f>
        <v>1.7091383149317914</v>
      </c>
      <c r="AE517" s="259">
        <f>DATE(2001,9,21)+(M517/360)*365 - (360*((DecLong/360)- (GMTOffset/24) ))</f>
        <v>37421.427025462966</v>
      </c>
      <c r="AF517" s="260">
        <f>IF(DecLat&gt;0,IF((90 - (DecLat-O517))&gt;90, (90 - (O517-DecLat)), (90 - (DecLat-O517))),IF((90 + (DecLat-O517))&gt;90, (90 + (O517-DecLat)), (90 + (DecLat-O517))))</f>
        <v>31.5</v>
      </c>
      <c r="AG517" s="257">
        <f>angularseperation(MoonRA,MoonDec,$M517,$O517)</f>
        <v>7.6559023954287797</v>
      </c>
      <c r="AH517" s="261">
        <f ca="1">MIN(100,IF($O$5&gt;80,0+30*($AG517/100),IF($O$5&gt;70,0+50*($AG517/100),IF($O$5&gt;60,5+50*($AG517/100),IF($O$5&gt;50,10+60*($AG517/100),IF($O$5&gt;40,15+70*($AG517/100),IF($O$5&gt;30,20+70*($AG517/100),IF($O$5&gt;20,40+55*($AG517/100),(80+(20-$O$5)+30*($AG517/100))))))))))</f>
        <v>85.567831062779064</v>
      </c>
      <c r="AI517" s="262"/>
      <c r="AJ517" s="262"/>
      <c r="AK517" s="262"/>
      <c r="AL517" s="263"/>
      <c r="AM517" s="264"/>
      <c r="AN517" s="263"/>
      <c r="AO517" s="263"/>
      <c r="AP517" s="265"/>
      <c r="AQ517" s="266"/>
      <c r="AR517" s="267"/>
      <c r="AS517" s="263"/>
      <c r="AT517" s="263"/>
      <c r="AU517" s="263"/>
      <c r="AV517" s="264"/>
      <c r="AW517" s="263">
        <v>59</v>
      </c>
      <c r="AX517" s="263"/>
      <c r="AY517" s="263"/>
      <c r="AZ517" s="263"/>
      <c r="BA517" s="263"/>
      <c r="BB517" s="263"/>
      <c r="BC517" s="263"/>
      <c r="BD517" s="264"/>
      <c r="BE517" s="263"/>
      <c r="BF517" s="263"/>
      <c r="BG517" s="263">
        <v>71</v>
      </c>
      <c r="BH517" s="263"/>
      <c r="BI517" s="263"/>
      <c r="BJ517" s="404">
        <f>altaz(J2000_Bas,$O517,$M517,DecLat,DecLong,2)</f>
        <v>207.66093770260736</v>
      </c>
      <c r="BK517" s="378" t="s">
        <v>618</v>
      </c>
      <c r="BL517" s="379">
        <f>IF((2*G517)/60&lt;0.2,0.2,(2*G517)/60)</f>
        <v>2</v>
      </c>
      <c r="BM517" s="380">
        <f>MOD((50000+AD517-$B$3+(0/24)),1)</f>
        <v>0.92450524463492911</v>
      </c>
      <c r="BN517" s="381"/>
      <c r="BO517" s="382">
        <v>517</v>
      </c>
    </row>
    <row r="518" spans="1:67" s="24" customFormat="1" ht="15" customHeight="1" x14ac:dyDescent="0.25">
      <c r="A518" s="287" t="s">
        <v>620</v>
      </c>
      <c r="B518" s="241" t="str">
        <f>HYPERLINK(CONCATENATE($AT$3,BK518,$AU$3),$AV$3)</f>
        <v>S</v>
      </c>
      <c r="C518" s="242" t="str">
        <f>HYPERLINK(CONCATENATE($AT$4,BK518,$AU$4,BL518),$AV$4)</f>
        <v>A</v>
      </c>
      <c r="D518" s="243" t="s">
        <v>5187</v>
      </c>
      <c r="E518" s="244" t="s">
        <v>5179</v>
      </c>
      <c r="F518" s="269">
        <v>3</v>
      </c>
      <c r="G518" s="276">
        <v>13</v>
      </c>
      <c r="H518" s="271" t="s">
        <v>6500</v>
      </c>
      <c r="I518" s="244" t="s">
        <v>6500</v>
      </c>
      <c r="J518" s="246">
        <v>1</v>
      </c>
      <c r="K518" s="247" t="s">
        <v>8368</v>
      </c>
      <c r="L518" s="248">
        <v>171151</v>
      </c>
      <c r="M518" s="249">
        <f>15*(LEFT(TEXT($L518,"000000"),2)+(MID(TEXT($L518,"000000"),3,2)/60)+(RIGHT(TEXT($L518,"000000"),2)/3600))</f>
        <v>257.96250000000003</v>
      </c>
      <c r="N518" s="286">
        <v>-222700</v>
      </c>
      <c r="O518" s="251">
        <f>IF($N518&gt;0,(LEFT(TEXT($N518,"000000"),2)+(MID(TEXT($N518,"000000"),3,2)/60)+(RIGHT(TEXT($N518,"000000"),2)/3600)),-(MID(TEXT($N518,"000000"),2,2)+(MID(TEXT($N518,"000000"),4,2)/60)+(RIGHT(TEXT($N518,"000000"),2)/3600)))</f>
        <v>-22.45</v>
      </c>
      <c r="P518" s="252" t="s">
        <v>113</v>
      </c>
      <c r="Q518" s="253"/>
      <c r="R518" s="277" t="s">
        <v>3293</v>
      </c>
      <c r="S518" s="272" t="s">
        <v>3293</v>
      </c>
      <c r="T518" s="273"/>
      <c r="U518" s="274"/>
      <c r="V518" s="256"/>
      <c r="W518" s="244"/>
      <c r="X518" s="244"/>
      <c r="Y518" s="362"/>
      <c r="Z518" s="257">
        <f>altaz(J2000_Bas,$O518,$M518,DecLat,DecLong,1)</f>
        <v>30.16778219554924</v>
      </c>
      <c r="AA518" s="257">
        <f>altaz((J2000_Bas+(2*0.04167)),$O518,$M518,DecLat,DecLong,1)</f>
        <v>12.806597522253835</v>
      </c>
      <c r="AB518" s="257">
        <f>altaz((J2000_Bas+(4*0.04167)),$O518,$M518,DecLat,DecLong,1)</f>
        <v>-9.8997496723679284</v>
      </c>
      <c r="AC518" s="257">
        <f>altaz((J2000_Bas+(6*0.04167)),$O518,$M518,DecLat,DecLong,1)</f>
        <v>-34.9024131811668</v>
      </c>
      <c r="AD518" s="258">
        <f>1+ transit((J2000_Bas-1),$O518,$M518,DecLat,DecLong)/360 + (GMTOffset/24) + (IF(DST="Y", 1, 0)/24)</f>
        <v>1.7094623889734581</v>
      </c>
      <c r="AE518" s="259">
        <f>DATE(2001,9,21)+(M518/360)*365 - (360*((DecLong/360)- (GMTOffset/24) ))</f>
        <v>37421.545312499999</v>
      </c>
      <c r="AF518" s="260">
        <f>IF(DecLat&gt;0,IF((90 - (DecLat-O518))&gt;90, (90 - (O518-DecLat)), (90 - (DecLat-O518))),IF((90 + (DecLat-O518))&gt;90, (90 + (O518-DecLat)), (90 + (DecLat-O518))))</f>
        <v>36.549999999999997</v>
      </c>
      <c r="AG518" s="257">
        <f>angularseperation(MoonRA,MoonDec,$M518,$O518)</f>
        <v>9.1705739746111234</v>
      </c>
      <c r="AH518" s="261">
        <f ca="1">MIN(100,IF($O$5&gt;80,0+30*($AG518/100),IF($O$5&gt;70,0+50*($AG518/100),IF($O$5&gt;60,5+50*($AG518/100),IF($O$5&gt;50,10+60*($AG518/100),IF($O$5&gt;40,15+70*($AG518/100),IF($O$5&gt;30,20+70*($AG518/100),IF($O$5&gt;20,40+55*($AG518/100),(80+(20-$O$5)+30*($AG518/100))))))))))</f>
        <v>86.022232536533764</v>
      </c>
      <c r="AI518" s="263"/>
      <c r="AJ518" s="263"/>
      <c r="AK518" s="263"/>
      <c r="AL518" s="263"/>
      <c r="AM518" s="264"/>
      <c r="AN518" s="263"/>
      <c r="AO518" s="263"/>
      <c r="AP518" s="265"/>
      <c r="AQ518" s="265"/>
      <c r="AR518" s="285"/>
      <c r="AS518" s="263"/>
      <c r="AT518" s="263"/>
      <c r="AU518" s="263"/>
      <c r="AV518" s="264"/>
      <c r="AW518" s="263">
        <v>60</v>
      </c>
      <c r="AX518" s="263"/>
      <c r="AY518" s="263"/>
      <c r="AZ518" s="263"/>
      <c r="BA518" s="263"/>
      <c r="BB518" s="263"/>
      <c r="BC518" s="263"/>
      <c r="BD518" s="264"/>
      <c r="BE518" s="263"/>
      <c r="BF518" s="263"/>
      <c r="BG518" s="263"/>
      <c r="BH518" s="263"/>
      <c r="BI518" s="263"/>
      <c r="BJ518" s="404">
        <f>altaz(J2000_Bas,$O518,$M518,DecLat,DecLong,2)</f>
        <v>210.16730243620017</v>
      </c>
      <c r="BK518" s="378" t="s">
        <v>620</v>
      </c>
      <c r="BL518" s="379">
        <f>IF((2*G518)/60&lt;0.2,0.2,(2*G518)/60)</f>
        <v>0.43333333333333335</v>
      </c>
      <c r="BM518" s="380">
        <f>MOD((50000+AD518-$B$3+(0/24)),1)</f>
        <v>0.92482931867562002</v>
      </c>
      <c r="BN518" s="381"/>
      <c r="BO518" s="382">
        <v>518</v>
      </c>
    </row>
    <row r="519" spans="1:67" s="24" customFormat="1" ht="15" customHeight="1" x14ac:dyDescent="0.25">
      <c r="A519" s="287" t="s">
        <v>621</v>
      </c>
      <c r="B519" s="241" t="str">
        <f>HYPERLINK(CONCATENATE($AT$3,BK519,$AU$3),$AV$3)</f>
        <v>S</v>
      </c>
      <c r="C519" s="242" t="str">
        <f>HYPERLINK(CONCATENATE($AT$4,BK519,$AU$4,BL519),$AV$4)</f>
        <v>A</v>
      </c>
      <c r="D519" s="243" t="s">
        <v>5187</v>
      </c>
      <c r="E519" s="244" t="s">
        <v>5179</v>
      </c>
      <c r="F519" s="269">
        <v>6</v>
      </c>
      <c r="G519" s="273">
        <v>5</v>
      </c>
      <c r="H519" s="271" t="s">
        <v>6500</v>
      </c>
      <c r="I519" s="244" t="s">
        <v>6500</v>
      </c>
      <c r="J519" s="246">
        <v>1</v>
      </c>
      <c r="K519" s="247" t="s">
        <v>7265</v>
      </c>
      <c r="L519" s="248">
        <v>171500</v>
      </c>
      <c r="M519" s="249">
        <f>15*(LEFT(TEXT($L519,"000000"),2)+(MID(TEXT($L519,"000000"),3,2)/60)+(RIGHT(TEXT($L519,"000000"),2)/3600))</f>
        <v>258.75</v>
      </c>
      <c r="N519" s="250">
        <v>-202900</v>
      </c>
      <c r="O519" s="251">
        <f>IF($N519&gt;0,(LEFT(TEXT($N519,"000000"),2)+(MID(TEXT($N519,"000000"),3,2)/60)+(RIGHT(TEXT($N519,"000000"),2)/3600)),-(MID(TEXT($N519,"000000"),2,2)+(MID(TEXT($N519,"000000"),4,2)/60)+(RIGHT(TEXT($N519,"000000"),2)/3600)))</f>
        <v>-20.483333333333334</v>
      </c>
      <c r="P519" s="252" t="s">
        <v>113</v>
      </c>
      <c r="Q519" s="253"/>
      <c r="R519" s="277" t="s">
        <v>3293</v>
      </c>
      <c r="S519" s="272" t="s">
        <v>3293</v>
      </c>
      <c r="T519" s="273"/>
      <c r="U519" s="274"/>
      <c r="V519" s="256"/>
      <c r="W519" s="244"/>
      <c r="X519" s="244"/>
      <c r="Y519" s="362"/>
      <c r="Z519" s="257">
        <f>altaz(J2000_Bas,$O519,$M519,DecLat,DecLong,1)</f>
        <v>32.249644587197032</v>
      </c>
      <c r="AA519" s="257">
        <f>altaz((J2000_Bas+(2*0.04167)),$O519,$M519,DecLat,DecLong,1)</f>
        <v>14.662784892726929</v>
      </c>
      <c r="AB519" s="257">
        <f>altaz((J2000_Bas+(4*0.04167)),$O519,$M519,DecLat,DecLong,1)</f>
        <v>-8.2856632964979369</v>
      </c>
      <c r="AC519" s="257">
        <f>altaz((J2000_Bas+(6*0.04167)),$O519,$M519,DecLat,DecLong,1)</f>
        <v>-33.441056678424843</v>
      </c>
      <c r="AD519" s="258">
        <f>1+ transit((J2000_Bas-1),$O519,$M519,DecLat,DecLong)/360 + (GMTOffset/24) + (IF(DST="Y", 1, 0)/24)</f>
        <v>1.711649888754708</v>
      </c>
      <c r="AE519" s="259">
        <f>DATE(2001,9,21)+(M519/360)*365 - (360*((DecLong/360)- (GMTOffset/24) ))</f>
        <v>37422.34375</v>
      </c>
      <c r="AF519" s="260">
        <f>IF(DecLat&gt;0,IF((90 - (DecLat-O519))&gt;90, (90 - (O519-DecLat)), (90 - (DecLat-O519))),IF((90 + (DecLat-O519))&gt;90, (90 + (O519-DecLat)), (90 + (DecLat-O519))))</f>
        <v>38.516666666666666</v>
      </c>
      <c r="AG519" s="257">
        <f>angularseperation(MoonRA,MoonDec,$M519,$O519)</f>
        <v>10.913735289313472</v>
      </c>
      <c r="AH519" s="261">
        <f ca="1">MIN(100,IF($O$5&gt;80,0+30*($AG519/100),IF($O$5&gt;70,0+50*($AG519/100),IF($O$5&gt;60,5+50*($AG519/100),IF($O$5&gt;50,10+60*($AG519/100),IF($O$5&gt;40,15+70*($AG519/100),IF($O$5&gt;30,20+70*($AG519/100),IF($O$5&gt;20,40+55*($AG519/100),(80+(20-$O$5)+30*($AG519/100))))))))))</f>
        <v>86.545180930944468</v>
      </c>
      <c r="AI519" s="263"/>
      <c r="AJ519" s="263"/>
      <c r="AK519" s="263"/>
      <c r="AL519" s="263"/>
      <c r="AM519" s="264"/>
      <c r="AN519" s="263"/>
      <c r="AO519" s="263"/>
      <c r="AP519" s="265"/>
      <c r="AQ519" s="265"/>
      <c r="AR519" s="285"/>
      <c r="AS519" s="263"/>
      <c r="AT519" s="263"/>
      <c r="AU519" s="263"/>
      <c r="AV519" s="264"/>
      <c r="AW519" s="263">
        <v>61</v>
      </c>
      <c r="AX519" s="263"/>
      <c r="AY519" s="263"/>
      <c r="AZ519" s="263"/>
      <c r="BA519" s="263"/>
      <c r="BB519" s="263"/>
      <c r="BC519" s="263"/>
      <c r="BD519" s="264"/>
      <c r="BE519" s="263"/>
      <c r="BF519" s="263"/>
      <c r="BG519" s="263"/>
      <c r="BH519" s="263"/>
      <c r="BI519" s="263"/>
      <c r="BJ519" s="404">
        <f>altaz(J2000_Bas,$O519,$M519,DecLat,DecLong,2)</f>
        <v>210.47811102204648</v>
      </c>
      <c r="BK519" s="378" t="s">
        <v>621</v>
      </c>
      <c r="BL519" s="379">
        <f>IF((2*G519)/60&lt;0.2,0.2,(2*G519)/60)</f>
        <v>0.2</v>
      </c>
      <c r="BM519" s="380">
        <f>MOD((50000+AD519-$B$3+(0/24)),1)</f>
        <v>0.92701681845937856</v>
      </c>
      <c r="BN519" s="381"/>
      <c r="BO519" s="382">
        <v>519</v>
      </c>
    </row>
    <row r="520" spans="1:67" s="24" customFormat="1" ht="15" customHeight="1" x14ac:dyDescent="0.25">
      <c r="A520" s="288" t="s">
        <v>622</v>
      </c>
      <c r="B520" s="241" t="str">
        <f>HYPERLINK(CONCATENATE($AT$3,BK520,$AU$3),$AV$3)</f>
        <v>S</v>
      </c>
      <c r="C520" s="242" t="str">
        <f>HYPERLINK(CONCATENATE($AT$4,BK520,$AU$4,BL520),$AV$4)</f>
        <v>A</v>
      </c>
      <c r="D520" s="243" t="s">
        <v>5187</v>
      </c>
      <c r="E520" s="244" t="s">
        <v>5179</v>
      </c>
      <c r="F520" s="269">
        <v>6</v>
      </c>
      <c r="G520" s="276">
        <v>20</v>
      </c>
      <c r="H520" s="271" t="s">
        <v>6500</v>
      </c>
      <c r="I520" s="244" t="s">
        <v>6500</v>
      </c>
      <c r="J520" s="246">
        <v>1</v>
      </c>
      <c r="K520" s="247" t="s">
        <v>5968</v>
      </c>
      <c r="L520" s="248">
        <v>171612</v>
      </c>
      <c r="M520" s="249">
        <f>15*(LEFT(TEXT($L520,"000000"),2)+(MID(TEXT($L520,"000000"),3,2)/60)+(RIGHT(TEXT($L520,"000000"),2)/3600))</f>
        <v>259.05</v>
      </c>
      <c r="N520" s="250">
        <v>-205300</v>
      </c>
      <c r="O520" s="251">
        <f>IF($N520&gt;0,(LEFT(TEXT($N520,"000000"),2)+(MID(TEXT($N520,"000000"),3,2)/60)+(RIGHT(TEXT($N520,"000000"),2)/3600)),-(MID(TEXT($N520,"000000"),2,2)+(MID(TEXT($N520,"000000"),4,2)/60)+(RIGHT(TEXT($N520,"000000"),2)/3600)))</f>
        <v>-20.883333333333333</v>
      </c>
      <c r="P520" s="252" t="s">
        <v>113</v>
      </c>
      <c r="Q520" s="253"/>
      <c r="R520" s="247" t="s">
        <v>3293</v>
      </c>
      <c r="S520" s="272" t="s">
        <v>4402</v>
      </c>
      <c r="T520" s="273"/>
      <c r="U520" s="274"/>
      <c r="V520" s="256"/>
      <c r="W520" s="244"/>
      <c r="X520" s="244"/>
      <c r="Y520" s="362"/>
      <c r="Z520" s="257">
        <f>altaz(J2000_Bas,$O520,$M520,DecLat,DecLong,1)</f>
        <v>32.024157998313797</v>
      </c>
      <c r="AA520" s="257">
        <f>altaz((J2000_Bas+(2*0.04167)),$O520,$M520,DecLat,DecLong,1)</f>
        <v>14.604730547045106</v>
      </c>
      <c r="AB520" s="257">
        <f>altaz((J2000_Bas+(4*0.04167)),$O520,$M520,DecLat,DecLong,1)</f>
        <v>-8.2434238768299295</v>
      </c>
      <c r="AC520" s="257">
        <f>altaz((J2000_Bas+(6*0.04167)),$O520,$M520,DecLat,DecLong,1)</f>
        <v>-33.349330034526538</v>
      </c>
      <c r="AD520" s="258">
        <f>1+ transit((J2000_Bas-1),$O520,$M520,DecLat,DecLong)/360 + (GMTOffset/24) + (IF(DST="Y", 1, 0)/24)</f>
        <v>1.7124832220047079</v>
      </c>
      <c r="AE520" s="259">
        <f>DATE(2001,9,21)+(M520/360)*365 - (360*((DecLong/360)- (GMTOffset/24) ))</f>
        <v>37422.647916666669</v>
      </c>
      <c r="AF520" s="260">
        <f>IF(DecLat&gt;0,IF((90 - (DecLat-O520))&gt;90, (90 - (O520-DecLat)), (90 - (DecLat-O520))),IF((90 + (DecLat-O520))&gt;90, (90 + (O520-DecLat)), (90 + (DecLat-O520))))</f>
        <v>38.116666666666667</v>
      </c>
      <c r="AG520" s="257">
        <f>angularseperation(MoonRA,MoonDec,$M520,$O520)</f>
        <v>10.890188618954882</v>
      </c>
      <c r="AH520" s="261">
        <f ca="1">MIN(100,IF($O$5&gt;80,0+30*($AG520/100),IF($O$5&gt;70,0+50*($AG520/100),IF($O$5&gt;60,5+50*($AG520/100),IF($O$5&gt;50,10+60*($AG520/100),IF($O$5&gt;40,15+70*($AG520/100),IF($O$5&gt;30,20+70*($AG520/100),IF($O$5&gt;20,40+55*($AG520/100),(80+(20-$O$5)+30*($AG520/100))))))))))</f>
        <v>86.538116929836889</v>
      </c>
      <c r="AI520" s="262"/>
      <c r="AJ520" s="262"/>
      <c r="AK520" s="262"/>
      <c r="AL520" s="263"/>
      <c r="AM520" s="264"/>
      <c r="AN520" s="263"/>
      <c r="AO520" s="263"/>
      <c r="AP520" s="265"/>
      <c r="AQ520" s="266"/>
      <c r="AR520" s="267"/>
      <c r="AS520" s="263"/>
      <c r="AT520" s="263"/>
      <c r="AU520" s="263"/>
      <c r="AV520" s="264"/>
      <c r="AW520" s="263">
        <v>62</v>
      </c>
      <c r="AX520" s="263"/>
      <c r="AY520" s="263"/>
      <c r="AZ520" s="263"/>
      <c r="BA520" s="263"/>
      <c r="BB520" s="263"/>
      <c r="BC520" s="263"/>
      <c r="BD520" s="264"/>
      <c r="BE520" s="263"/>
      <c r="BF520" s="263"/>
      <c r="BG520" s="263"/>
      <c r="BH520" s="263"/>
      <c r="BI520" s="263"/>
      <c r="BJ520" s="404">
        <f>altaz(J2000_Bas,$O520,$M520,DecLat,DecLong,2)</f>
        <v>209.96616284835486</v>
      </c>
      <c r="BK520" s="378" t="s">
        <v>622</v>
      </c>
      <c r="BL520" s="379">
        <f>IF((2*G520)/60&lt;0.2,0.2,(2*G520)/60)</f>
        <v>0.66666666666666663</v>
      </c>
      <c r="BM520" s="380">
        <f>MOD((50000+AD520-$B$3+(0/24)),1)</f>
        <v>0.92785015171102714</v>
      </c>
      <c r="BN520" s="381"/>
      <c r="BO520" s="382">
        <v>520</v>
      </c>
    </row>
    <row r="521" spans="1:67" s="24" customFormat="1" ht="15" customHeight="1" x14ac:dyDescent="0.25">
      <c r="A521" s="288" t="s">
        <v>623</v>
      </c>
      <c r="B521" s="241" t="str">
        <f>HYPERLINK(CONCATENATE($AT$3,BK521,$AU$3),$AV$3)</f>
        <v>S</v>
      </c>
      <c r="C521" s="242" t="str">
        <f>HYPERLINK(CONCATENATE($AT$4,BK521,$AU$4,BL521),$AV$4)</f>
        <v>A</v>
      </c>
      <c r="D521" s="243" t="s">
        <v>5187</v>
      </c>
      <c r="E521" s="244" t="s">
        <v>5179</v>
      </c>
      <c r="F521" s="269">
        <v>3</v>
      </c>
      <c r="G521" s="276">
        <v>20</v>
      </c>
      <c r="H521" s="271" t="s">
        <v>6500</v>
      </c>
      <c r="I521" s="244" t="s">
        <v>6500</v>
      </c>
      <c r="J521" s="246">
        <v>2</v>
      </c>
      <c r="K521" s="247" t="s">
        <v>8457</v>
      </c>
      <c r="L521" s="248">
        <v>171628</v>
      </c>
      <c r="M521" s="249">
        <f>15*(LEFT(TEXT($L521,"000000"),2)+(MID(TEXT($L521,"000000"),3,2)/60)+(RIGHT(TEXT($L521,"000000"),2)/3600))</f>
        <v>259.11666666666667</v>
      </c>
      <c r="N521" s="250">
        <v>-212900</v>
      </c>
      <c r="O521" s="251">
        <f>IF($N521&gt;0,(LEFT(TEXT($N521,"000000"),2)+(MID(TEXT($N521,"000000"),3,2)/60)+(RIGHT(TEXT($N521,"000000"),2)/3600)),-(MID(TEXT($N521,"000000"),2,2)+(MID(TEXT($N521,"000000"),4,2)/60)+(RIGHT(TEXT($N521,"000000"),2)/3600)))</f>
        <v>-21.483333333333334</v>
      </c>
      <c r="P521" s="252" t="s">
        <v>113</v>
      </c>
      <c r="Q521" s="253"/>
      <c r="R521" s="277" t="s">
        <v>3293</v>
      </c>
      <c r="S521" s="272" t="s">
        <v>3293</v>
      </c>
      <c r="T521" s="273"/>
      <c r="U521" s="274"/>
      <c r="V521" s="256"/>
      <c r="W521" s="244"/>
      <c r="X521" s="244"/>
      <c r="Y521" s="362"/>
      <c r="Z521" s="257">
        <f>altaz(J2000_Bas,$O521,$M521,DecLat,DecLong,1)</f>
        <v>31.518691160883531</v>
      </c>
      <c r="AA521" s="257">
        <f>altaz((J2000_Bas+(2*0.04167)),$O521,$M521,DecLat,DecLong,1)</f>
        <v>14.248848647373229</v>
      </c>
      <c r="AB521" s="257">
        <f>altaz((J2000_Bas+(4*0.04167)),$O521,$M521,DecLat,DecLong,1)</f>
        <v>-8.4904198365609762</v>
      </c>
      <c r="AC521" s="257">
        <f>altaz((J2000_Bas+(6*0.04167)),$O521,$M521,DecLat,DecLong,1)</f>
        <v>-33.536124646883962</v>
      </c>
      <c r="AD521" s="258">
        <f>1+ transit((J2000_Bas-1),$O521,$M521,DecLat,DecLong)/360 + (GMTOffset/24) + (IF(DST="Y", 1, 0)/24)</f>
        <v>1.7126684071713747</v>
      </c>
      <c r="AE521" s="259">
        <f>DATE(2001,9,21)+(M521/360)*365 - (360*((DecLong/360)- (GMTOffset/24) ))</f>
        <v>37422.715509259258</v>
      </c>
      <c r="AF521" s="260">
        <f>IF(DecLat&gt;0,IF((90 - (DecLat-O521))&gt;90, (90 - (O521-DecLat)), (90 - (DecLat-O521))),IF((90 + (DecLat-O521))&gt;90, (90 + (O521-DecLat)), (90 + (DecLat-O521))))</f>
        <v>37.516666666666666</v>
      </c>
      <c r="AG521" s="257">
        <f>angularseperation(MoonRA,MoonDec,$M521,$O521)</f>
        <v>10.594771678082424</v>
      </c>
      <c r="AH521" s="261">
        <f ca="1">MIN(100,IF($O$5&gt;80,0+30*($AG521/100),IF($O$5&gt;70,0+50*($AG521/100),IF($O$5&gt;60,5+50*($AG521/100),IF($O$5&gt;50,10+60*($AG521/100),IF($O$5&gt;40,15+70*($AG521/100),IF($O$5&gt;30,20+70*($AG521/100),IF($O$5&gt;20,40+55*($AG521/100),(80+(20-$O$5)+30*($AG521/100))))))))))</f>
        <v>86.44949184757516</v>
      </c>
      <c r="AI521" s="263"/>
      <c r="AJ521" s="263"/>
      <c r="AK521" s="263"/>
      <c r="AL521" s="263"/>
      <c r="AM521" s="264"/>
      <c r="AN521" s="263"/>
      <c r="AO521" s="263"/>
      <c r="AP521" s="265"/>
      <c r="AQ521" s="265"/>
      <c r="AR521" s="285"/>
      <c r="AS521" s="263"/>
      <c r="AT521" s="263"/>
      <c r="AU521" s="263"/>
      <c r="AV521" s="264"/>
      <c r="AW521" s="263">
        <v>63</v>
      </c>
      <c r="AX521" s="263"/>
      <c r="AY521" s="263"/>
      <c r="AZ521" s="263"/>
      <c r="BA521" s="263"/>
      <c r="BB521" s="263"/>
      <c r="BC521" s="263"/>
      <c r="BD521" s="264"/>
      <c r="BE521" s="263"/>
      <c r="BF521" s="263"/>
      <c r="BG521" s="263"/>
      <c r="BH521" s="263"/>
      <c r="BI521" s="263"/>
      <c r="BJ521" s="404">
        <f>altaz(J2000_Bas,$O521,$M521,DecLat,DecLong,2)</f>
        <v>209.57894610429625</v>
      </c>
      <c r="BK521" s="378" t="s">
        <v>623</v>
      </c>
      <c r="BL521" s="379">
        <f>IF((2*G521)/60&lt;0.2,0.2,(2*G521)/60)</f>
        <v>0.66666666666666663</v>
      </c>
      <c r="BM521" s="380">
        <f>MOD((50000+AD521-$B$3+(0/24)),1)</f>
        <v>0.92803533687401796</v>
      </c>
      <c r="BN521" s="381"/>
      <c r="BO521" s="382">
        <v>521</v>
      </c>
    </row>
    <row r="522" spans="1:67" s="24" customFormat="1" ht="15" customHeight="1" x14ac:dyDescent="0.25">
      <c r="A522" s="287" t="s">
        <v>624</v>
      </c>
      <c r="B522" s="241" t="str">
        <f>HYPERLINK(CONCATENATE($AT$3,BK522,$AU$3),$AV$3)</f>
        <v>S</v>
      </c>
      <c r="C522" s="242" t="str">
        <f>HYPERLINK(CONCATENATE($AT$4,BK522,$AU$4,BL522),$AV$4)</f>
        <v>A</v>
      </c>
      <c r="D522" s="243" t="s">
        <v>5187</v>
      </c>
      <c r="E522" s="244" t="s">
        <v>5179</v>
      </c>
      <c r="F522" s="269">
        <v>6</v>
      </c>
      <c r="G522" s="273">
        <v>7</v>
      </c>
      <c r="H522" s="271" t="s">
        <v>6500</v>
      </c>
      <c r="I522" s="244" t="s">
        <v>6500</v>
      </c>
      <c r="J522" s="246">
        <v>1</v>
      </c>
      <c r="K522" s="247" t="s">
        <v>8369</v>
      </c>
      <c r="L522" s="248">
        <v>171718</v>
      </c>
      <c r="M522" s="249">
        <f>15*(LEFT(TEXT($L522,"000000"),2)+(MID(TEXT($L522,"000000"),3,2)/60)+(RIGHT(TEXT($L522,"000000"),2)/3600))</f>
        <v>259.32499999999999</v>
      </c>
      <c r="N522" s="250">
        <v>-183000</v>
      </c>
      <c r="O522" s="251">
        <f>IF($N522&gt;0,(LEFT(TEXT($N522,"000000"),2)+(MID(TEXT($N522,"000000"),3,2)/60)+(RIGHT(TEXT($N522,"000000"),2)/3600)),-(MID(TEXT($N522,"000000"),2,2)+(MID(TEXT($N522,"000000"),4,2)/60)+(RIGHT(TEXT($N522,"000000"),2)/3600)))</f>
        <v>-18.5</v>
      </c>
      <c r="P522" s="252" t="s">
        <v>113</v>
      </c>
      <c r="Q522" s="253"/>
      <c r="R522" s="277" t="s">
        <v>3293</v>
      </c>
      <c r="S522" s="272" t="s">
        <v>3293</v>
      </c>
      <c r="T522" s="273"/>
      <c r="U522" s="274"/>
      <c r="V522" s="256"/>
      <c r="W522" s="244"/>
      <c r="X522" s="244"/>
      <c r="Y522" s="362"/>
      <c r="Z522" s="257">
        <f>altaz(J2000_Bas,$O522,$M522,DecLat,DecLong,1)</f>
        <v>34.257643745487592</v>
      </c>
      <c r="AA522" s="257">
        <f>altaz((J2000_Bas+(2*0.04167)),$O522,$M522,DecLat,DecLong,1)</f>
        <v>16.38700295009334</v>
      </c>
      <c r="AB522" s="257">
        <f>altaz((J2000_Bas+(4*0.04167)),$O522,$M522,DecLat,DecLong,1)</f>
        <v>-6.8176574672041683</v>
      </c>
      <c r="AC522" s="257">
        <f>altaz((J2000_Bas+(6*0.04167)),$O522,$M522,DecLat,DecLong,1)</f>
        <v>-32.113010911836348</v>
      </c>
      <c r="AD522" s="258">
        <f>1+ transit((J2000_Bas-1),$O522,$M522,DecLat,DecLong)/360 + (GMTOffset/24) + (IF(DST="Y", 1, 0)/24)</f>
        <v>1.713247110817208</v>
      </c>
      <c r="AE522" s="259">
        <f>DATE(2001,9,21)+(M522/360)*365 - (360*((DecLong/360)- (GMTOffset/24) ))</f>
        <v>37422.926736111112</v>
      </c>
      <c r="AF522" s="260">
        <f>IF(DecLat&gt;0,IF((90 - (DecLat-O522))&gt;90, (90 - (O522-DecLat)), (90 - (DecLat-O522))),IF((90 + (DecLat-O522))&gt;90, (90 + (O522-DecLat)), (90 + (DecLat-O522))))</f>
        <v>40.5</v>
      </c>
      <c r="AG522" s="257">
        <f>angularseperation(MoonRA,MoonDec,$M522,$O522)</f>
        <v>12.64186680391032</v>
      </c>
      <c r="AH522" s="261">
        <f ca="1">MIN(100,IF($O$5&gt;80,0+30*($AG522/100),IF($O$5&gt;70,0+50*($AG522/100),IF($O$5&gt;60,5+50*($AG522/100),IF($O$5&gt;50,10+60*($AG522/100),IF($O$5&gt;40,15+70*($AG522/100),IF($O$5&gt;30,20+70*($AG522/100),IF($O$5&gt;20,40+55*($AG522/100),(80+(20-$O$5)+30*($AG522/100))))))))))</f>
        <v>87.063620385323517</v>
      </c>
      <c r="AI522" s="263"/>
      <c r="AJ522" s="263"/>
      <c r="AK522" s="263"/>
      <c r="AL522" s="263"/>
      <c r="AM522" s="264"/>
      <c r="AN522" s="263"/>
      <c r="AO522" s="263"/>
      <c r="AP522" s="265"/>
      <c r="AQ522" s="265"/>
      <c r="AR522" s="285"/>
      <c r="AS522" s="263"/>
      <c r="AT522" s="263"/>
      <c r="AU522" s="263"/>
      <c r="AV522" s="264"/>
      <c r="AW522" s="263">
        <v>64</v>
      </c>
      <c r="AX522" s="263"/>
      <c r="AY522" s="263"/>
      <c r="AZ522" s="263"/>
      <c r="BA522" s="263"/>
      <c r="BB522" s="263"/>
      <c r="BC522" s="263"/>
      <c r="BD522" s="264"/>
      <c r="BE522" s="263"/>
      <c r="BF522" s="263"/>
      <c r="BG522" s="263"/>
      <c r="BH522" s="263"/>
      <c r="BI522" s="263"/>
      <c r="BJ522" s="404">
        <f>altaz(J2000_Bas,$O522,$M522,DecLat,DecLong,2)</f>
        <v>211.00666942970642</v>
      </c>
      <c r="BK522" s="378" t="s">
        <v>624</v>
      </c>
      <c r="BL522" s="379">
        <f>IF((2*G522)/60&lt;0.2,0.2,(2*G522)/60)</f>
        <v>0.23333333333333334</v>
      </c>
      <c r="BM522" s="380">
        <f>MOD((50000+AD522-$B$3+(0/24)),1)</f>
        <v>0.92861404052382568</v>
      </c>
      <c r="BN522" s="381"/>
      <c r="BO522" s="382">
        <v>522</v>
      </c>
    </row>
    <row r="523" spans="1:67" s="24" customFormat="1" ht="15" customHeight="1" x14ac:dyDescent="0.25">
      <c r="A523" s="288" t="s">
        <v>625</v>
      </c>
      <c r="B523" s="241" t="str">
        <f>HYPERLINK(CONCATENATE($AT$3,BK523,$AU$3),$AV$3)</f>
        <v>S</v>
      </c>
      <c r="C523" s="242" t="str">
        <f>HYPERLINK(CONCATENATE($AT$4,BK523,$AU$4,BL523),$AV$4)</f>
        <v>A</v>
      </c>
      <c r="D523" s="243" t="s">
        <v>5187</v>
      </c>
      <c r="E523" s="244" t="s">
        <v>5179</v>
      </c>
      <c r="F523" s="269">
        <v>6</v>
      </c>
      <c r="G523" s="276">
        <v>12</v>
      </c>
      <c r="H523" s="271" t="s">
        <v>6500</v>
      </c>
      <c r="I523" s="244" t="s">
        <v>6500</v>
      </c>
      <c r="J523" s="246">
        <v>1</v>
      </c>
      <c r="K523" s="247" t="s">
        <v>5785</v>
      </c>
      <c r="L523" s="248">
        <v>171936</v>
      </c>
      <c r="M523" s="249">
        <f>15*(LEFT(TEXT($L523,"000000"),2)+(MID(TEXT($L523,"000000"),3,2)/60)+(RIGHT(TEXT($L523,"000000"),2)/3600))</f>
        <v>259.90000000000003</v>
      </c>
      <c r="N523" s="250">
        <v>-264300</v>
      </c>
      <c r="O523" s="251">
        <f>IF($N523&gt;0,(LEFT(TEXT($N523,"000000"),2)+(MID(TEXT($N523,"000000"),3,2)/60)+(RIGHT(TEXT($N523,"000000"),2)/3600)),-(MID(TEXT($N523,"000000"),2,2)+(MID(TEXT($N523,"000000"),4,2)/60)+(RIGHT(TEXT($N523,"000000"),2)/3600)))</f>
        <v>-26.716666666666665</v>
      </c>
      <c r="P523" s="252" t="s">
        <v>113</v>
      </c>
      <c r="Q523" s="253"/>
      <c r="R523" s="277" t="s">
        <v>3293</v>
      </c>
      <c r="S523" s="272" t="s">
        <v>3293</v>
      </c>
      <c r="T523" s="273"/>
      <c r="U523" s="274"/>
      <c r="V523" s="256"/>
      <c r="W523" s="244"/>
      <c r="X523" s="244"/>
      <c r="Y523" s="362"/>
      <c r="Z523" s="257">
        <f>altaz(J2000_Bas,$O523,$M523,DecLat,DecLong,1)</f>
        <v>27.130269037777968</v>
      </c>
      <c r="AA523" s="257">
        <f>altaz((J2000_Bas+(2*0.04167)),$O523,$M523,DecLat,DecLong,1)</f>
        <v>11.21689957964036</v>
      </c>
      <c r="AB523" s="257">
        <f>altaz((J2000_Bas+(4*0.04167)),$O523,$M523,DecLat,DecLong,1)</f>
        <v>-10.4724922880481</v>
      </c>
      <c r="AC523" s="257">
        <f>altaz((J2000_Bas+(6*0.04167)),$O523,$M523,DecLat,DecLong,1)</f>
        <v>-34.852409693667454</v>
      </c>
      <c r="AD523" s="258">
        <f>1+ transit((J2000_Bas-1),$O523,$M523,DecLat,DecLong)/360 + (GMTOffset/24) + (IF(DST="Y", 1, 0)/24)</f>
        <v>1.7148443328797083</v>
      </c>
      <c r="AE523" s="259">
        <f>DATE(2001,9,21)+(M523/360)*365 - (360*((DecLong/360)- (GMTOffset/24) ))</f>
        <v>37423.509722222225</v>
      </c>
      <c r="AF523" s="260">
        <f>IF(DecLat&gt;0,IF((90 - (DecLat-O523))&gt;90, (90 - (O523-DecLat)), (90 - (DecLat-O523))),IF((90 + (DecLat-O523))&gt;90, (90 + (O523-DecLat)), (90 + (DecLat-O523))))</f>
        <v>32.283333333333331</v>
      </c>
      <c r="AG523" s="257">
        <f>angularseperation(MoonRA,MoonDec,$M523,$O523)</f>
        <v>9.5090839731669146</v>
      </c>
      <c r="AH523" s="261">
        <f ca="1">MIN(100,IF($O$5&gt;80,0+30*($AG523/100),IF($O$5&gt;70,0+50*($AG523/100),IF($O$5&gt;60,5+50*($AG523/100),IF($O$5&gt;50,10+60*($AG523/100),IF($O$5&gt;40,15+70*($AG523/100),IF($O$5&gt;30,20+70*($AG523/100),IF($O$5&gt;20,40+55*($AG523/100),(80+(20-$O$5)+30*($AG523/100))))))))))</f>
        <v>86.123785536100499</v>
      </c>
      <c r="AI523" s="263"/>
      <c r="AJ523" s="263"/>
      <c r="AK523" s="263"/>
      <c r="AL523" s="263"/>
      <c r="AM523" s="264"/>
      <c r="AN523" s="263"/>
      <c r="AO523" s="263"/>
      <c r="AP523" s="265"/>
      <c r="AQ523" s="265"/>
      <c r="AR523" s="285"/>
      <c r="AS523" s="263"/>
      <c r="AT523" s="263"/>
      <c r="AU523" s="263"/>
      <c r="AV523" s="264"/>
      <c r="AW523" s="263">
        <v>65</v>
      </c>
      <c r="AX523" s="263"/>
      <c r="AY523" s="263"/>
      <c r="AZ523" s="263"/>
      <c r="BA523" s="263"/>
      <c r="BB523" s="263"/>
      <c r="BC523" s="263"/>
      <c r="BD523" s="264"/>
      <c r="BE523" s="263"/>
      <c r="BF523" s="263"/>
      <c r="BG523" s="263"/>
      <c r="BH523" s="263"/>
      <c r="BI523" s="263"/>
      <c r="BJ523" s="404">
        <f>altaz(J2000_Bas,$O523,$M523,DecLat,DecLong,2)</f>
        <v>206.20577411683107</v>
      </c>
      <c r="BK523" s="378" t="s">
        <v>625</v>
      </c>
      <c r="BL523" s="379">
        <f>IF((2*G523)/60&lt;0.2,0.2,(2*G523)/60)</f>
        <v>0.4</v>
      </c>
      <c r="BM523" s="380">
        <f>MOD((50000+AD523-$B$3+(0/24)),1)</f>
        <v>0.93021126258099684</v>
      </c>
      <c r="BN523" s="381"/>
      <c r="BO523" s="382">
        <v>523</v>
      </c>
    </row>
    <row r="524" spans="1:67" s="24" customFormat="1" ht="15" customHeight="1" x14ac:dyDescent="0.25">
      <c r="A524" s="288" t="s">
        <v>626</v>
      </c>
      <c r="B524" s="241" t="str">
        <f>HYPERLINK(CONCATENATE($AT$3,BK524,$AU$3),$AV$3)</f>
        <v>S</v>
      </c>
      <c r="C524" s="242" t="str">
        <f>HYPERLINK(CONCATENATE($AT$4,BK524,$AU$4,BL524),$AV$4)</f>
        <v>A</v>
      </c>
      <c r="D524" s="243" t="s">
        <v>5187</v>
      </c>
      <c r="E524" s="244" t="s">
        <v>5179</v>
      </c>
      <c r="F524" s="269">
        <v>6</v>
      </c>
      <c r="G524" s="273">
        <v>8</v>
      </c>
      <c r="H524" s="271" t="s">
        <v>6500</v>
      </c>
      <c r="I524" s="244" t="s">
        <v>6500</v>
      </c>
      <c r="J524" s="246">
        <v>1</v>
      </c>
      <c r="K524" s="247" t="s">
        <v>5786</v>
      </c>
      <c r="L524" s="248">
        <v>171957</v>
      </c>
      <c r="M524" s="249">
        <f>15*(LEFT(TEXT($L524,"000000"),2)+(MID(TEXT($L524,"000000"),3,2)/60)+(RIGHT(TEXT($L524,"000000"),2)/3600))</f>
        <v>259.98750000000001</v>
      </c>
      <c r="N524" s="286">
        <v>-265500</v>
      </c>
      <c r="O524" s="251">
        <f>IF($N524&gt;0,(LEFT(TEXT($N524,"000000"),2)+(MID(TEXT($N524,"000000"),3,2)/60)+(RIGHT(TEXT($N524,"000000"),2)/3600)),-(MID(TEXT($N524,"000000"),2,2)+(MID(TEXT($N524,"000000"),4,2)/60)+(RIGHT(TEXT($N524,"000000"),2)/3600)))</f>
        <v>-26.916666666666668</v>
      </c>
      <c r="P524" s="252" t="s">
        <v>113</v>
      </c>
      <c r="Q524" s="253"/>
      <c r="R524" s="277" t="s">
        <v>3293</v>
      </c>
      <c r="S524" s="272" t="s">
        <v>3293</v>
      </c>
      <c r="T524" s="273"/>
      <c r="U524" s="274"/>
      <c r="V524" s="256"/>
      <c r="W524" s="244"/>
      <c r="X524" s="244"/>
      <c r="Y524" s="362"/>
      <c r="Z524" s="257">
        <f>altaz(J2000_Bas,$O524,$M524,DecLat,DecLong,1)</f>
        <v>26.982044687573286</v>
      </c>
      <c r="AA524" s="257">
        <f>altaz((J2000_Bas+(2*0.04167)),$O524,$M524,DecLat,DecLong,1)</f>
        <v>11.135933047362533</v>
      </c>
      <c r="AB524" s="257">
        <f>altaz((J2000_Bas+(4*0.04167)),$O524,$M524,DecLat,DecLong,1)</f>
        <v>-10.503232486199471</v>
      </c>
      <c r="AC524" s="257">
        <f>altaz((J2000_Bas+(6*0.04167)),$O524,$M524,DecLat,DecLong,1)</f>
        <v>-34.849542047513651</v>
      </c>
      <c r="AD524" s="258">
        <f>1+ transit((J2000_Bas-1),$O524,$M524,DecLat,DecLong)/360 + (GMTOffset/24) + (IF(DST="Y", 1, 0)/24)</f>
        <v>1.7150873884109581</v>
      </c>
      <c r="AE524" s="259">
        <f>DATE(2001,9,21)+(M524/360)*365 - (360*((DecLong/360)- (GMTOffset/24) ))</f>
        <v>37423.598437499997</v>
      </c>
      <c r="AF524" s="260">
        <f>IF(DecLat&gt;0,IF((90 - (DecLat-O524))&gt;90, (90 - (O524-DecLat)), (90 - (DecLat-O524))),IF((90 + (DecLat-O524))&gt;90, (90 + (O524-DecLat)), (90 + (DecLat-O524))))</f>
        <v>32.083333333333329</v>
      </c>
      <c r="AG524" s="257">
        <f>angularseperation(MoonRA,MoonDec,$M524,$O524)</f>
        <v>9.572914630117328</v>
      </c>
      <c r="AH524" s="261">
        <f ca="1">MIN(100,IF($O$5&gt;80,0+30*($AG524/100),IF($O$5&gt;70,0+50*($AG524/100),IF($O$5&gt;60,5+50*($AG524/100),IF($O$5&gt;50,10+60*($AG524/100),IF($O$5&gt;40,15+70*($AG524/100),IF($O$5&gt;30,20+70*($AG524/100),IF($O$5&gt;20,40+55*($AG524/100),(80+(20-$O$5)+30*($AG524/100))))))))))</f>
        <v>86.142934733185626</v>
      </c>
      <c r="AI524" s="263"/>
      <c r="AJ524" s="263"/>
      <c r="AK524" s="263"/>
      <c r="AL524" s="263"/>
      <c r="AM524" s="264"/>
      <c r="AN524" s="263"/>
      <c r="AO524" s="263"/>
      <c r="AP524" s="265"/>
      <c r="AQ524" s="265"/>
      <c r="AR524" s="285"/>
      <c r="AS524" s="263"/>
      <c r="AT524" s="263"/>
      <c r="AU524" s="263"/>
      <c r="AV524" s="264"/>
      <c r="AW524" s="263">
        <v>66</v>
      </c>
      <c r="AX524" s="263"/>
      <c r="AY524" s="263"/>
      <c r="AZ524" s="263"/>
      <c r="BA524" s="263"/>
      <c r="BB524" s="263"/>
      <c r="BC524" s="263"/>
      <c r="BD524" s="264"/>
      <c r="BE524" s="263"/>
      <c r="BF524" s="263"/>
      <c r="BG524" s="263"/>
      <c r="BH524" s="263"/>
      <c r="BI524" s="263"/>
      <c r="BJ524" s="404">
        <f>altaz(J2000_Bas,$O524,$M524,DecLat,DecLong,2)</f>
        <v>206.03135540378989</v>
      </c>
      <c r="BK524" s="378" t="s">
        <v>626</v>
      </c>
      <c r="BL524" s="379">
        <f>IF((2*G524)/60&lt;0.2,0.2,(2*G524)/60)</f>
        <v>0.26666666666666666</v>
      </c>
      <c r="BM524" s="380">
        <f>MOD((50000+AD524-$B$3+(0/24)),1)</f>
        <v>0.93045431811333401</v>
      </c>
      <c r="BN524" s="381"/>
      <c r="BO524" s="382">
        <v>524</v>
      </c>
    </row>
    <row r="525" spans="1:67" s="24" customFormat="1" ht="15" customHeight="1" x14ac:dyDescent="0.25">
      <c r="A525" s="288" t="s">
        <v>627</v>
      </c>
      <c r="B525" s="241" t="str">
        <f>HYPERLINK(CONCATENATE($AT$3,BK525,$AU$3),$AV$3)</f>
        <v>S</v>
      </c>
      <c r="C525" s="242" t="str">
        <f>HYPERLINK(CONCATENATE($AT$4,BK525,$AU$4,BL525),$AV$4)</f>
        <v>A</v>
      </c>
      <c r="D525" s="243" t="s">
        <v>5187</v>
      </c>
      <c r="E525" s="244" t="s">
        <v>5179</v>
      </c>
      <c r="F525" s="269">
        <v>6</v>
      </c>
      <c r="G525" s="276">
        <v>25</v>
      </c>
      <c r="H525" s="271" t="s">
        <v>6500</v>
      </c>
      <c r="I525" s="244" t="s">
        <v>6500</v>
      </c>
      <c r="J525" s="246">
        <v>2</v>
      </c>
      <c r="K525" s="247" t="s">
        <v>5787</v>
      </c>
      <c r="L525" s="248">
        <v>172057</v>
      </c>
      <c r="M525" s="249">
        <f>15*(LEFT(TEXT($L525,"000000"),2)+(MID(TEXT($L525,"000000"),3,2)/60)+(RIGHT(TEXT($L525,"000000"),2)/3600))</f>
        <v>260.23749999999995</v>
      </c>
      <c r="N525" s="250">
        <v>-265200</v>
      </c>
      <c r="O525" s="251">
        <f>IF($N525&gt;0,(LEFT(TEXT($N525,"000000"),2)+(MID(TEXT($N525,"000000"),3,2)/60)+(RIGHT(TEXT($N525,"000000"),2)/3600)),-(MID(TEXT($N525,"000000"),2,2)+(MID(TEXT($N525,"000000"),4,2)/60)+(RIGHT(TEXT($N525,"000000"),2)/3600)))</f>
        <v>-26.866666666666667</v>
      </c>
      <c r="P525" s="252" t="s">
        <v>113</v>
      </c>
      <c r="Q525" s="253"/>
      <c r="R525" s="247" t="s">
        <v>3293</v>
      </c>
      <c r="S525" s="272"/>
      <c r="T525" s="273"/>
      <c r="U525" s="274"/>
      <c r="V525" s="256"/>
      <c r="W525" s="244"/>
      <c r="X525" s="244"/>
      <c r="Y525" s="362"/>
      <c r="Z525" s="257">
        <f>altaz(J2000_Bas,$O525,$M525,DecLat,DecLong,1)</f>
        <v>27.121117653021226</v>
      </c>
      <c r="AA525" s="257">
        <f>altaz((J2000_Bas+(2*0.04167)),$O525,$M525,DecLat,DecLong,1)</f>
        <v>11.331899542822942</v>
      </c>
      <c r="AB525" s="257">
        <f>altaz((J2000_Bas+(4*0.04167)),$O525,$M525,DecLat,DecLong,1)</f>
        <v>-10.284679622816382</v>
      </c>
      <c r="AC525" s="257">
        <f>altaz((J2000_Bas+(6*0.04167)),$O525,$M525,DecLat,DecLong,1)</f>
        <v>-34.623215091437707</v>
      </c>
      <c r="AD525" s="258">
        <f>1+ transit((J2000_Bas-1),$O525,$M525,DecLat,DecLong)/360 + (GMTOffset/24) + (IF(DST="Y", 1, 0)/24)</f>
        <v>1.715781832785958</v>
      </c>
      <c r="AE525" s="259">
        <f>DATE(2001,9,21)+(M525/360)*365 - (360*((DecLong/360)- (GMTOffset/24) ))</f>
        <v>37423.851909722223</v>
      </c>
      <c r="AF525" s="260">
        <f>IF(DecLat&gt;0,IF((90 - (DecLat-O525))&gt;90, (90 - (O525-DecLat)), (90 - (DecLat-O525))),IF((90 + (DecLat-O525))&gt;90, (90 + (O525-DecLat)), (90 + (DecLat-O525))))</f>
        <v>32.133333333333333</v>
      </c>
      <c r="AG525" s="257">
        <f>angularseperation(MoonRA,MoonDec,$M525,$O525)</f>
        <v>9.798583786998746</v>
      </c>
      <c r="AH525" s="261">
        <f ca="1">MIN(100,IF($O$5&gt;80,0+30*($AG525/100),IF($O$5&gt;70,0+50*($AG525/100),IF($O$5&gt;60,5+50*($AG525/100),IF($O$5&gt;50,10+60*($AG525/100),IF($O$5&gt;40,15+70*($AG525/100),IF($O$5&gt;30,20+70*($AG525/100),IF($O$5&gt;20,40+55*($AG525/100),(80+(20-$O$5)+30*($AG525/100))))))))))</f>
        <v>86.210635480250048</v>
      </c>
      <c r="AI525" s="262"/>
      <c r="AJ525" s="262"/>
      <c r="AK525" s="262"/>
      <c r="AL525" s="263"/>
      <c r="AM525" s="264"/>
      <c r="AN525" s="263"/>
      <c r="AO525" s="263"/>
      <c r="AP525" s="265"/>
      <c r="AQ525" s="266"/>
      <c r="AR525" s="267"/>
      <c r="AS525" s="263"/>
      <c r="AT525" s="263"/>
      <c r="AU525" s="263"/>
      <c r="AV525" s="264"/>
      <c r="AW525" s="263">
        <v>67</v>
      </c>
      <c r="AX525" s="263"/>
      <c r="AY525" s="263"/>
      <c r="AZ525" s="263"/>
      <c r="BA525" s="263"/>
      <c r="BB525" s="263"/>
      <c r="BC525" s="263"/>
      <c r="BD525" s="264"/>
      <c r="BE525" s="263"/>
      <c r="BF525" s="263"/>
      <c r="BG525" s="263"/>
      <c r="BH525" s="263"/>
      <c r="BI525" s="263"/>
      <c r="BJ525" s="404">
        <f>altaz(J2000_Bas,$O525,$M525,DecLat,DecLong,2)</f>
        <v>205.82777553618538</v>
      </c>
      <c r="BK525" s="378" t="s">
        <v>627</v>
      </c>
      <c r="BL525" s="379">
        <f>IF((2*G525)/60&lt;0.2,0.2,(2*G525)/60)</f>
        <v>0.83333333333333337</v>
      </c>
      <c r="BM525" s="380">
        <f>MOD((50000+AD525-$B$3+(0/24)),1)</f>
        <v>0.93114876248728251</v>
      </c>
      <c r="BN525" s="381"/>
      <c r="BO525" s="382">
        <v>525</v>
      </c>
    </row>
    <row r="526" spans="1:67" s="24" customFormat="1" ht="15" customHeight="1" x14ac:dyDescent="0.25">
      <c r="A526" s="288" t="s">
        <v>628</v>
      </c>
      <c r="B526" s="241" t="str">
        <f>HYPERLINK(CONCATENATE($AT$3,BK526,$AU$3),$AV$3)</f>
        <v>S</v>
      </c>
      <c r="C526" s="242" t="str">
        <f>HYPERLINK(CONCATENATE($AT$4,BK526,$AU$4,BL526),$AV$4)</f>
        <v>A</v>
      </c>
      <c r="D526" s="243" t="s">
        <v>5187</v>
      </c>
      <c r="E526" s="244" t="s">
        <v>5179</v>
      </c>
      <c r="F526" s="269">
        <v>6</v>
      </c>
      <c r="G526" s="276">
        <v>13</v>
      </c>
      <c r="H526" s="271" t="s">
        <v>6500</v>
      </c>
      <c r="I526" s="244" t="s">
        <v>6500</v>
      </c>
      <c r="J526" s="246">
        <v>1</v>
      </c>
      <c r="K526" s="247" t="s">
        <v>5788</v>
      </c>
      <c r="L526" s="248">
        <v>172230</v>
      </c>
      <c r="M526" s="249">
        <f>15*(LEFT(TEXT($L526,"000000"),2)+(MID(TEXT($L526,"000000"),3,2)/60)+(RIGHT(TEXT($L526,"000000"),2)/3600))</f>
        <v>260.625</v>
      </c>
      <c r="N526" s="286">
        <v>-215400</v>
      </c>
      <c r="O526" s="251">
        <f>IF($N526&gt;0,(LEFT(TEXT($N526,"000000"),2)+(MID(TEXT($N526,"000000"),3,2)/60)+(RIGHT(TEXT($N526,"000000"),2)/3600)),-(MID(TEXT($N526,"000000"),2,2)+(MID(TEXT($N526,"000000"),4,2)/60)+(RIGHT(TEXT($N526,"000000"),2)/3600)))</f>
        <v>-21.9</v>
      </c>
      <c r="P526" s="252" t="s">
        <v>113</v>
      </c>
      <c r="Q526" s="253"/>
      <c r="R526" s="277" t="s">
        <v>3293</v>
      </c>
      <c r="S526" s="272" t="s">
        <v>3293</v>
      </c>
      <c r="T526" s="273"/>
      <c r="U526" s="274"/>
      <c r="V526" s="256"/>
      <c r="W526" s="244"/>
      <c r="X526" s="244"/>
      <c r="Y526" s="362"/>
      <c r="Z526" s="257">
        <f>altaz(J2000_Bas,$O526,$M526,DecLat,DecLong,1)</f>
        <v>31.766760162455586</v>
      </c>
      <c r="AA526" s="257">
        <f>altaz((J2000_Bas+(2*0.04167)),$O526,$M526,DecLat,DecLong,1)</f>
        <v>14.998798694197863</v>
      </c>
      <c r="AB526" s="257">
        <f>altaz((J2000_Bas+(4*0.04167)),$O526,$M526,DecLat,DecLong,1)</f>
        <v>-7.4898175962592415</v>
      </c>
      <c r="AC526" s="257">
        <f>altaz((J2000_Bas+(6*0.04167)),$O526,$M526,DecLat,DecLong,1)</f>
        <v>-32.421029894519123</v>
      </c>
      <c r="AD526" s="258">
        <f>1+ transit((J2000_Bas-1),$O526,$M526,DecLat,DecLong)/360 + (GMTOffset/24) + (IF(DST="Y", 1, 0)/24)</f>
        <v>1.7168582215672081</v>
      </c>
      <c r="AE526" s="259">
        <f>DATE(2001,9,21)+(M526/360)*365 - (360*((DecLong/360)- (GMTOffset/24) ))</f>
        <v>37424.244791666664</v>
      </c>
      <c r="AF526" s="260">
        <f>IF(DecLat&gt;0,IF((90 - (DecLat-O526))&gt;90, (90 - (O526-DecLat)), (90 - (DecLat-O526))),IF((90 + (DecLat-O526))&gt;90, (90 + (O526-DecLat)), (90 + (DecLat-O526))))</f>
        <v>37.1</v>
      </c>
      <c r="AG526" s="257">
        <f>angularseperation(MoonRA,MoonDec,$M526,$O526)</f>
        <v>11.575849589400852</v>
      </c>
      <c r="AH526" s="261">
        <f ca="1">MIN(100,IF($O$5&gt;80,0+30*($AG526/100),IF($O$5&gt;70,0+50*($AG526/100),IF($O$5&gt;60,5+50*($AG526/100),IF($O$5&gt;50,10+60*($AG526/100),IF($O$5&gt;40,15+70*($AG526/100),IF($O$5&gt;30,20+70*($AG526/100),IF($O$5&gt;20,40+55*($AG526/100),(80+(20-$O$5)+30*($AG526/100))))))))))</f>
        <v>86.743815220970689</v>
      </c>
      <c r="AI526" s="263"/>
      <c r="AJ526" s="263"/>
      <c r="AK526" s="263"/>
      <c r="AL526" s="263"/>
      <c r="AM526" s="264"/>
      <c r="AN526" s="263"/>
      <c r="AO526" s="263"/>
      <c r="AP526" s="265"/>
      <c r="AQ526" s="265"/>
      <c r="AR526" s="285"/>
      <c r="AS526" s="263"/>
      <c r="AT526" s="263"/>
      <c r="AU526" s="263"/>
      <c r="AV526" s="264"/>
      <c r="AW526" s="299">
        <v>67.099999999999994</v>
      </c>
      <c r="AX526" s="263"/>
      <c r="AY526" s="263"/>
      <c r="AZ526" s="263"/>
      <c r="BA526" s="263"/>
      <c r="BB526" s="263"/>
      <c r="BC526" s="263"/>
      <c r="BD526" s="264"/>
      <c r="BE526" s="263"/>
      <c r="BF526" s="263"/>
      <c r="BG526" s="263"/>
      <c r="BH526" s="263"/>
      <c r="BI526" s="263"/>
      <c r="BJ526" s="404">
        <f>altaz(J2000_Bas,$O526,$M526,DecLat,DecLong,2)</f>
        <v>207.88636202142061</v>
      </c>
      <c r="BK526" s="378" t="s">
        <v>628</v>
      </c>
      <c r="BL526" s="379">
        <f>IF((2*G526)/60&lt;0.2,0.2,(2*G526)/60)</f>
        <v>0.43333333333333335</v>
      </c>
      <c r="BM526" s="380">
        <f>MOD((50000+AD526-$B$3+(0/24)),1)</f>
        <v>0.93222515127126826</v>
      </c>
      <c r="BN526" s="381"/>
      <c r="BO526" s="382">
        <v>526</v>
      </c>
    </row>
    <row r="527" spans="1:67" s="24" customFormat="1" ht="15" customHeight="1" x14ac:dyDescent="0.25">
      <c r="A527" s="288" t="s">
        <v>629</v>
      </c>
      <c r="B527" s="241" t="str">
        <f>HYPERLINK(CONCATENATE($AT$3,BK527,$AU$3),$AV$3)</f>
        <v>S</v>
      </c>
      <c r="C527" s="242" t="str">
        <f>HYPERLINK(CONCATENATE($AT$4,BK527,$AU$4,BL527),$AV$4)</f>
        <v>A</v>
      </c>
      <c r="D527" s="243" t="s">
        <v>5187</v>
      </c>
      <c r="E527" s="244" t="s">
        <v>5179</v>
      </c>
      <c r="F527" s="269">
        <v>6</v>
      </c>
      <c r="G527" s="273">
        <v>4</v>
      </c>
      <c r="H527" s="271" t="s">
        <v>6500</v>
      </c>
      <c r="I527" s="244" t="s">
        <v>6500</v>
      </c>
      <c r="J527" s="246">
        <v>2</v>
      </c>
      <c r="K527" s="247" t="s">
        <v>5789</v>
      </c>
      <c r="L527" s="248">
        <v>172236</v>
      </c>
      <c r="M527" s="249">
        <f>15*(LEFT(TEXT($L527,"000000"),2)+(MID(TEXT($L527,"000000"),3,2)/60)+(RIGHT(TEXT($L527,"000000"),2)/3600))</f>
        <v>260.65000000000003</v>
      </c>
      <c r="N527" s="286">
        <v>-234800</v>
      </c>
      <c r="O527" s="251">
        <f>IF($N527&gt;0,(LEFT(TEXT($N527,"000000"),2)+(MID(TEXT($N527,"000000"),3,2)/60)+(RIGHT(TEXT($N527,"000000"),2)/3600)),-(MID(TEXT($N527,"000000"),2,2)+(MID(TEXT($N527,"000000"),4,2)/60)+(RIGHT(TEXT($N527,"000000"),2)/3600)))</f>
        <v>-23.8</v>
      </c>
      <c r="P527" s="252" t="s">
        <v>113</v>
      </c>
      <c r="Q527" s="253"/>
      <c r="R527" s="277" t="s">
        <v>3293</v>
      </c>
      <c r="S527" s="272" t="s">
        <v>3293</v>
      </c>
      <c r="T527" s="273"/>
      <c r="U527" s="274"/>
      <c r="V527" s="256"/>
      <c r="W527" s="244"/>
      <c r="X527" s="244"/>
      <c r="Y527" s="362"/>
      <c r="Z527" s="257">
        <f>altaz(J2000_Bas,$O527,$M527,DecLat,DecLong,1)</f>
        <v>30.059471884615775</v>
      </c>
      <c r="AA527" s="257">
        <f>altaz((J2000_Bas+(2*0.04167)),$O527,$M527,DecLat,DecLong,1)</f>
        <v>13.714541127705809</v>
      </c>
      <c r="AB527" s="257">
        <f>altaz((J2000_Bas+(4*0.04167)),$O527,$M527,DecLat,DecLong,1)</f>
        <v>-8.4301815162883535</v>
      </c>
      <c r="AC527" s="257">
        <f>altaz((J2000_Bas+(6*0.04167)),$O527,$M527,DecLat,DecLong,1)</f>
        <v>-33.147197958424179</v>
      </c>
      <c r="AD527" s="258">
        <f>1+ transit((J2000_Bas-1),$O527,$M527,DecLat,DecLong)/360 + (GMTOffset/24) + (IF(DST="Y", 1, 0)/24)</f>
        <v>1.7169276660047081</v>
      </c>
      <c r="AE527" s="259">
        <f>DATE(2001,9,21)+(M527/360)*365 - (360*((DecLong/360)- (GMTOffset/24) ))</f>
        <v>37424.270138888889</v>
      </c>
      <c r="AF527" s="260">
        <f>IF(DecLat&gt;0,IF((90 - (DecLat-O527))&gt;90, (90 - (O527-DecLat)), (90 - (DecLat-O527))),IF((90 + (DecLat-O527))&gt;90, (90 + (O527-DecLat)), (90 + (DecLat-O527))))</f>
        <v>35.200000000000003</v>
      </c>
      <c r="AG527" s="257">
        <f>angularseperation(MoonRA,MoonDec,$M527,$O527)</f>
        <v>10.807278707139513</v>
      </c>
      <c r="AH527" s="261">
        <f ca="1">MIN(100,IF($O$5&gt;80,0+30*($AG527/100),IF($O$5&gt;70,0+50*($AG527/100),IF($O$5&gt;60,5+50*($AG527/100),IF($O$5&gt;50,10+60*($AG527/100),IF($O$5&gt;40,15+70*($AG527/100),IF($O$5&gt;30,20+70*($AG527/100),IF($O$5&gt;20,40+55*($AG527/100),(80+(20-$O$5)+30*($AG527/100))))))))))</f>
        <v>86.513243956292285</v>
      </c>
      <c r="AI527" s="263"/>
      <c r="AJ527" s="263"/>
      <c r="AK527" s="263"/>
      <c r="AL527" s="263"/>
      <c r="AM527" s="264"/>
      <c r="AN527" s="263"/>
      <c r="AO527" s="263"/>
      <c r="AP527" s="265"/>
      <c r="AQ527" s="265"/>
      <c r="AR527" s="285"/>
      <c r="AS527" s="263"/>
      <c r="AT527" s="263"/>
      <c r="AU527" s="263"/>
      <c r="AV527" s="264"/>
      <c r="AW527" s="263">
        <v>68</v>
      </c>
      <c r="AX527" s="263"/>
      <c r="AY527" s="263"/>
      <c r="AZ527" s="263"/>
      <c r="BA527" s="263"/>
      <c r="BB527" s="263"/>
      <c r="BC527" s="263"/>
      <c r="BD527" s="264"/>
      <c r="BE527" s="263"/>
      <c r="BF527" s="263"/>
      <c r="BG527" s="263"/>
      <c r="BH527" s="263"/>
      <c r="BI527" s="263"/>
      <c r="BJ527" s="404">
        <f>altaz(J2000_Bas,$O527,$M527,DecLat,DecLong,2)</f>
        <v>206.91409780692413</v>
      </c>
      <c r="BK527" s="378" t="s">
        <v>629</v>
      </c>
      <c r="BL527" s="379">
        <f>IF((2*G527)/60&lt;0.2,0.2,(2*G527)/60)</f>
        <v>0.2</v>
      </c>
      <c r="BM527" s="380">
        <f>MOD((50000+AD527-$B$3+(0/24)),1)</f>
        <v>0.9322945957101183</v>
      </c>
      <c r="BN527" s="381"/>
      <c r="BO527" s="382">
        <v>527</v>
      </c>
    </row>
    <row r="528" spans="1:67" s="24" customFormat="1" ht="15" customHeight="1" x14ac:dyDescent="0.25">
      <c r="A528" s="288" t="s">
        <v>630</v>
      </c>
      <c r="B528" s="241" t="str">
        <f>HYPERLINK(CONCATENATE($AT$3,BK528,$AU$3),$AV$3)</f>
        <v>S</v>
      </c>
      <c r="C528" s="242" t="str">
        <f>HYPERLINK(CONCATENATE($AT$4,BK528,$AU$4,BL528),$AV$4)</f>
        <v>A</v>
      </c>
      <c r="D528" s="243" t="s">
        <v>5187</v>
      </c>
      <c r="E528" s="244" t="s">
        <v>5179</v>
      </c>
      <c r="F528" s="269">
        <v>6</v>
      </c>
      <c r="G528" s="273">
        <v>4</v>
      </c>
      <c r="H528" s="271" t="s">
        <v>6500</v>
      </c>
      <c r="I528" s="244" t="s">
        <v>6500</v>
      </c>
      <c r="J528" s="246">
        <v>1</v>
      </c>
      <c r="K528" s="247" t="s">
        <v>5790</v>
      </c>
      <c r="L528" s="248">
        <v>172256</v>
      </c>
      <c r="M528" s="249">
        <f>15*(LEFT(TEXT($L528,"000000"),2)+(MID(TEXT($L528,"000000"),3,2)/60)+(RIGHT(TEXT($L528,"000000"),2)/3600))</f>
        <v>260.73333333333335</v>
      </c>
      <c r="N528" s="286">
        <v>-235600</v>
      </c>
      <c r="O528" s="251">
        <f>IF($N528&gt;0,(LEFT(TEXT($N528,"000000"),2)+(MID(TEXT($N528,"000000"),3,2)/60)+(RIGHT(TEXT($N528,"000000"),2)/3600)),-(MID(TEXT($N528,"000000"),2,2)+(MID(TEXT($N528,"000000"),4,2)/60)+(RIGHT(TEXT($N528,"000000"),2)/3600)))</f>
        <v>-23.933333333333334</v>
      </c>
      <c r="P528" s="252" t="s">
        <v>113</v>
      </c>
      <c r="Q528" s="253"/>
      <c r="R528" s="277" t="s">
        <v>3293</v>
      </c>
      <c r="S528" s="272" t="s">
        <v>3293</v>
      </c>
      <c r="T528" s="273"/>
      <c r="U528" s="274"/>
      <c r="V528" s="256"/>
      <c r="W528" s="244"/>
      <c r="X528" s="244"/>
      <c r="Y528" s="362"/>
      <c r="Z528" s="257">
        <f>altaz(J2000_Bas,$O528,$M528,DecLat,DecLong,1)</f>
        <v>29.970921234000638</v>
      </c>
      <c r="AA528" s="257">
        <f>altaz((J2000_Bas+(2*0.04167)),$O528,$M528,DecLat,DecLong,1)</f>
        <v>13.678213509709163</v>
      </c>
      <c r="AB528" s="257">
        <f>altaz((J2000_Bas+(4*0.04167)),$O528,$M528,DecLat,DecLong,1)</f>
        <v>-8.4315204134426338</v>
      </c>
      <c r="AC528" s="257">
        <f>altaz((J2000_Bas+(6*0.04167)),$O528,$M528,DecLat,DecLong,1)</f>
        <v>-33.127991517339666</v>
      </c>
      <c r="AD528" s="258">
        <f>1+ transit((J2000_Bas-1),$O528,$M528,DecLat,DecLong)/360 + (GMTOffset/24) + (IF(DST="Y", 1, 0)/24)</f>
        <v>1.7171591474630414</v>
      </c>
      <c r="AE528" s="259">
        <f>DATE(2001,9,21)+(M528/360)*365 - (360*((DecLong/360)- (GMTOffset/24) ))</f>
        <v>37424.354629629626</v>
      </c>
      <c r="AF528" s="260">
        <f>IF(DecLat&gt;0,IF((90 - (DecLat-O528))&gt;90, (90 - (O528-DecLat)), (90 - (DecLat-O528))),IF((90 + (DecLat-O528))&gt;90, (90 + (O528-DecLat)), (90 + (DecLat-O528))))</f>
        <v>35.066666666666663</v>
      </c>
      <c r="AG528" s="257">
        <f>angularseperation(MoonRA,MoonDec,$M528,$O528)</f>
        <v>10.834069799766217</v>
      </c>
      <c r="AH528" s="261">
        <f ca="1">MIN(100,IF($O$5&gt;80,0+30*($AG528/100),IF($O$5&gt;70,0+50*($AG528/100),IF($O$5&gt;60,5+50*($AG528/100),IF($O$5&gt;50,10+60*($AG528/100),IF($O$5&gt;40,15+70*($AG528/100),IF($O$5&gt;30,20+70*($AG528/100),IF($O$5&gt;20,40+55*($AG528/100),(80+(20-$O$5)+30*($AG528/100))))))))))</f>
        <v>86.521281284080288</v>
      </c>
      <c r="AI528" s="263"/>
      <c r="AJ528" s="263"/>
      <c r="AK528" s="263"/>
      <c r="AL528" s="263"/>
      <c r="AM528" s="264"/>
      <c r="AN528" s="263"/>
      <c r="AO528" s="263"/>
      <c r="AP528" s="265"/>
      <c r="AQ528" s="265"/>
      <c r="AR528" s="285"/>
      <c r="AS528" s="263"/>
      <c r="AT528" s="263"/>
      <c r="AU528" s="263"/>
      <c r="AV528" s="264"/>
      <c r="AW528" s="263">
        <v>69</v>
      </c>
      <c r="AX528" s="263"/>
      <c r="AY528" s="263"/>
      <c r="AZ528" s="263"/>
      <c r="BA528" s="263"/>
      <c r="BB528" s="263"/>
      <c r="BC528" s="263"/>
      <c r="BD528" s="264"/>
      <c r="BE528" s="263"/>
      <c r="BF528" s="263"/>
      <c r="BG528" s="263"/>
      <c r="BH528" s="263"/>
      <c r="BI528" s="263"/>
      <c r="BJ528" s="404">
        <f>altaz(J2000_Bas,$O528,$M528,DecLat,DecLong,2)</f>
        <v>206.76918880160039</v>
      </c>
      <c r="BK528" s="378" t="s">
        <v>630</v>
      </c>
      <c r="BL528" s="379">
        <f>IF((2*G528)/60&lt;0.2,0.2,(2*G528)/60)</f>
        <v>0.2</v>
      </c>
      <c r="BM528" s="380">
        <f>MOD((50000+AD528-$B$3+(0/24)),1)</f>
        <v>0.93252607716567582</v>
      </c>
      <c r="BN528" s="381"/>
      <c r="BO528" s="382">
        <v>528</v>
      </c>
    </row>
    <row r="529" spans="1:67" s="24" customFormat="1" ht="15" customHeight="1" x14ac:dyDescent="0.25">
      <c r="A529" s="288" t="s">
        <v>631</v>
      </c>
      <c r="B529" s="241" t="str">
        <f>HYPERLINK(CONCATENATE($AT$3,BK529,$AU$3),$AV$3)</f>
        <v>S</v>
      </c>
      <c r="C529" s="242" t="str">
        <f>HYPERLINK(CONCATENATE($AT$4,BK529,$AU$4,BL529),$AV$4)</f>
        <v>A</v>
      </c>
      <c r="D529" s="243" t="s">
        <v>5187</v>
      </c>
      <c r="E529" s="244" t="s">
        <v>5179</v>
      </c>
      <c r="F529" s="269">
        <v>4</v>
      </c>
      <c r="G529" s="273">
        <v>4</v>
      </c>
      <c r="H529" s="271" t="s">
        <v>6500</v>
      </c>
      <c r="I529" s="244" t="s">
        <v>6500</v>
      </c>
      <c r="J529" s="246">
        <v>1</v>
      </c>
      <c r="K529" s="247" t="s">
        <v>5791</v>
      </c>
      <c r="L529" s="248">
        <v>172332</v>
      </c>
      <c r="M529" s="249">
        <f>15*(LEFT(TEXT($L529,"000000"),2)+(MID(TEXT($L529,"000000"),3,2)/60)+(RIGHT(TEXT($L529,"000000"),2)/3600))</f>
        <v>260.88333333333333</v>
      </c>
      <c r="N529" s="286">
        <v>-240300</v>
      </c>
      <c r="O529" s="251">
        <f>IF($N529&gt;0,(LEFT(TEXT($N529,"000000"),2)+(MID(TEXT($N529,"000000"),3,2)/60)+(RIGHT(TEXT($N529,"000000"),2)/3600)),-(MID(TEXT($N529,"000000"),2,2)+(MID(TEXT($N529,"000000"),4,2)/60)+(RIGHT(TEXT($N529,"000000"),2)/3600)))</f>
        <v>-24.05</v>
      </c>
      <c r="P529" s="252" t="s">
        <v>113</v>
      </c>
      <c r="Q529" s="253"/>
      <c r="R529" s="277" t="s">
        <v>3293</v>
      </c>
      <c r="S529" s="272" t="s">
        <v>3293</v>
      </c>
      <c r="T529" s="273"/>
      <c r="U529" s="274"/>
      <c r="V529" s="256"/>
      <c r="W529" s="244"/>
      <c r="X529" s="244"/>
      <c r="Y529" s="362"/>
      <c r="Z529" s="257">
        <f>altaz(J2000_Bas,$O529,$M529,DecLat,DecLong,1)</f>
        <v>29.922812701406901</v>
      </c>
      <c r="AA529" s="257">
        <f>altaz((J2000_Bas+(2*0.04167)),$O529,$M529,DecLat,DecLong,1)</f>
        <v>13.697247358986584</v>
      </c>
      <c r="AB529" s="257">
        <f>altaz((J2000_Bas+(4*0.04167)),$O529,$M529,DecLat,DecLong,1)</f>
        <v>-8.3719825270685728</v>
      </c>
      <c r="AC529" s="257">
        <f>altaz((J2000_Bas+(6*0.04167)),$O529,$M529,DecLat,DecLong,1)</f>
        <v>-33.046060774978713</v>
      </c>
      <c r="AD529" s="258">
        <f>1+ transit((J2000_Bas-1),$O529,$M529,DecLat,DecLong)/360 + (GMTOffset/24) + (IF(DST="Y", 1, 0)/24)</f>
        <v>1.7175758140880413</v>
      </c>
      <c r="AE529" s="259">
        <f>DATE(2001,9,21)+(M529/360)*365 - (360*((DecLong/360)- (GMTOffset/24) ))</f>
        <v>37424.506712962961</v>
      </c>
      <c r="AF529" s="260">
        <f>IF(DecLat&gt;0,IF((90 - (DecLat-O529))&gt;90, (90 - (O529-DecLat)), (90 - (DecLat-O529))),IF((90 + (DecLat-O529))&gt;90, (90 + (O529-DecLat)), (90 + (DecLat-O529))))</f>
        <v>34.950000000000003</v>
      </c>
      <c r="AG529" s="257">
        <f>angularseperation(MoonRA,MoonDec,$M529,$O529)</f>
        <v>10.9257908901613</v>
      </c>
      <c r="AH529" s="261">
        <f ca="1">MIN(100,IF($O$5&gt;80,0+30*($AG529/100),IF($O$5&gt;70,0+50*($AG529/100),IF($O$5&gt;60,5+50*($AG529/100),IF($O$5&gt;50,10+60*($AG529/100),IF($O$5&gt;40,15+70*($AG529/100),IF($O$5&gt;30,20+70*($AG529/100),IF($O$5&gt;20,40+55*($AG529/100),(80+(20-$O$5)+30*($AG529/100))))))))))</f>
        <v>86.548797611198822</v>
      </c>
      <c r="AI529" s="263"/>
      <c r="AJ529" s="263"/>
      <c r="AK529" s="263"/>
      <c r="AL529" s="263"/>
      <c r="AM529" s="264"/>
      <c r="AN529" s="263"/>
      <c r="AO529" s="263"/>
      <c r="AP529" s="265"/>
      <c r="AQ529" s="265"/>
      <c r="AR529" s="285"/>
      <c r="AS529" s="263"/>
      <c r="AT529" s="263"/>
      <c r="AU529" s="263"/>
      <c r="AV529" s="264"/>
      <c r="AW529" s="263">
        <v>70</v>
      </c>
      <c r="AX529" s="263"/>
      <c r="AY529" s="263"/>
      <c r="AZ529" s="263"/>
      <c r="BA529" s="263"/>
      <c r="BB529" s="263"/>
      <c r="BC529" s="263"/>
      <c r="BD529" s="264"/>
      <c r="BE529" s="263"/>
      <c r="BF529" s="263"/>
      <c r="BG529" s="263"/>
      <c r="BH529" s="263"/>
      <c r="BI529" s="263"/>
      <c r="BJ529" s="404">
        <f>altaz(J2000_Bas,$O529,$M529,DecLat,DecLong,2)</f>
        <v>206.56903993914509</v>
      </c>
      <c r="BK529" s="378" t="s">
        <v>631</v>
      </c>
      <c r="BL529" s="379">
        <f>IF((2*G529)/60&lt;0.2,0.2,(2*G529)/60)</f>
        <v>0.2</v>
      </c>
      <c r="BM529" s="380">
        <f>MOD((50000+AD529-$B$3+(0/24)),1)</f>
        <v>0.93294274379150011</v>
      </c>
      <c r="BN529" s="381"/>
      <c r="BO529" s="382">
        <v>529</v>
      </c>
    </row>
    <row r="530" spans="1:67" s="24" customFormat="1" ht="15" customHeight="1" x14ac:dyDescent="0.25">
      <c r="A530" s="288" t="s">
        <v>632</v>
      </c>
      <c r="B530" s="241" t="str">
        <f>HYPERLINK(CONCATENATE($AT$3,BK530,$AU$3),$AV$3)</f>
        <v>S</v>
      </c>
      <c r="C530" s="242" t="str">
        <f>HYPERLINK(CONCATENATE($AT$4,BK530,$AU$4,BL530),$AV$4)</f>
        <v>A</v>
      </c>
      <c r="D530" s="243" t="s">
        <v>5187</v>
      </c>
      <c r="E530" s="244" t="s">
        <v>5179</v>
      </c>
      <c r="F530" s="269">
        <v>6</v>
      </c>
      <c r="G530" s="273">
        <v>1</v>
      </c>
      <c r="H530" s="271" t="s">
        <v>6500</v>
      </c>
      <c r="I530" s="244" t="s">
        <v>6500</v>
      </c>
      <c r="J530" s="246">
        <v>0</v>
      </c>
      <c r="K530" s="277" t="s">
        <v>5792</v>
      </c>
      <c r="L530" s="248">
        <v>172302</v>
      </c>
      <c r="M530" s="249">
        <f>15*(LEFT(TEXT($L530,"000000"),2)+(MID(TEXT($L530,"000000"),3,2)/60)+(RIGHT(TEXT($L530,"000000"),2)/3600))</f>
        <v>260.75833333333333</v>
      </c>
      <c r="N530" s="286">
        <v>-240100</v>
      </c>
      <c r="O530" s="251">
        <f>IF($N530&gt;0,(LEFT(TEXT($N530,"000000"),2)+(MID(TEXT($N530,"000000"),3,2)/60)+(RIGHT(TEXT($N530,"000000"),2)/3600)),-(MID(TEXT($N530,"000000"),2,2)+(MID(TEXT($N530,"000000"),4,2)/60)+(RIGHT(TEXT($N530,"000000"),2)/3600)))</f>
        <v>-24.016666666666666</v>
      </c>
      <c r="P530" s="252" t="s">
        <v>113</v>
      </c>
      <c r="Q530" s="253"/>
      <c r="R530" s="277" t="s">
        <v>3293</v>
      </c>
      <c r="S530" s="272" t="s">
        <v>3293</v>
      </c>
      <c r="T530" s="273"/>
      <c r="U530" s="274"/>
      <c r="V530" s="256"/>
      <c r="W530" s="244"/>
      <c r="X530" s="244"/>
      <c r="Y530" s="362"/>
      <c r="Z530" s="257">
        <f>altaz(J2000_Bas,$O530,$M530,DecLat,DecLong,1)</f>
        <v>29.905014333476512</v>
      </c>
      <c r="AA530" s="257">
        <f>altaz((J2000_Bas+(2*0.04167)),$O530,$M530,DecLat,DecLong,1)</f>
        <v>13.637443620899804</v>
      </c>
      <c r="AB530" s="257">
        <f>altaz((J2000_Bas+(4*0.04167)),$O530,$M530,DecLat,DecLong,1)</f>
        <v>-8.4537751525419598</v>
      </c>
      <c r="AC530" s="257">
        <f>altaz((J2000_Bas+(6*0.04167)),$O530,$M530,DecLat,DecLong,1)</f>
        <v>-33.138792941007907</v>
      </c>
      <c r="AD530" s="258">
        <f>1+ transit((J2000_Bas-1),$O530,$M530,DecLat,DecLong)/360 + (GMTOffset/24) + (IF(DST="Y", 1, 0)/24)</f>
        <v>1.7172285919005414</v>
      </c>
      <c r="AE530" s="259">
        <f>DATE(2001,9,21)+(M530/360)*365 - (360*((DecLong/360)- (GMTOffset/24) ))</f>
        <v>37424.379976851851</v>
      </c>
      <c r="AF530" s="260">
        <f>IF(DecLat&gt;0,IF((90 - (DecLat-O530))&gt;90, (90 - (O530-DecLat)), (90 - (DecLat-O530))),IF((90 + (DecLat-O530))&gt;90, (90 + (O530-DecLat)), (90 + (DecLat-O530))))</f>
        <v>34.983333333333334</v>
      </c>
      <c r="AG530" s="257">
        <f>angularseperation(MoonRA,MoonDec,$M530,$O530)</f>
        <v>10.828379533447796</v>
      </c>
      <c r="AH530" s="261">
        <f ca="1">MIN(100,IF($O$5&gt;80,0+30*($AG530/100),IF($O$5&gt;70,0+50*($AG530/100),IF($O$5&gt;60,5+50*($AG530/100),IF($O$5&gt;50,10+60*($AG530/100),IF($O$5&gt;40,15+70*($AG530/100),IF($O$5&gt;30,20+70*($AG530/100),IF($O$5&gt;20,40+55*($AG530/100),(80+(20-$O$5)+30*($AG530/100))))))))))</f>
        <v>86.519574204184764</v>
      </c>
      <c r="AI530" s="263"/>
      <c r="AJ530" s="263"/>
      <c r="AK530" s="263"/>
      <c r="AL530" s="263"/>
      <c r="AM530" s="264"/>
      <c r="AN530" s="263"/>
      <c r="AO530" s="263"/>
      <c r="AP530" s="265"/>
      <c r="AQ530" s="265"/>
      <c r="AR530" s="285"/>
      <c r="AS530" s="263"/>
      <c r="AT530" s="263"/>
      <c r="AU530" s="263"/>
      <c r="AV530" s="264"/>
      <c r="AW530" s="263">
        <v>71</v>
      </c>
      <c r="AX530" s="263"/>
      <c r="AY530" s="263"/>
      <c r="AZ530" s="263"/>
      <c r="BA530" s="263"/>
      <c r="BB530" s="263"/>
      <c r="BC530" s="263"/>
      <c r="BD530" s="264"/>
      <c r="BE530" s="263"/>
      <c r="BF530" s="263"/>
      <c r="BG530" s="263"/>
      <c r="BH530" s="263"/>
      <c r="BI530" s="263"/>
      <c r="BJ530" s="404">
        <f>altaz(J2000_Bas,$O530,$M530,DecLat,DecLong,2)</f>
        <v>206.7047048492168</v>
      </c>
      <c r="BK530" s="378" t="s">
        <v>632</v>
      </c>
      <c r="BL530" s="379">
        <f>IF((2*G530)/60&lt;0.2,0.2,(2*G530)/60)</f>
        <v>0.2</v>
      </c>
      <c r="BM530" s="380">
        <f>MOD((50000+AD530-$B$3+(0/24)),1)</f>
        <v>0.93259552160452586</v>
      </c>
      <c r="BN530" s="381"/>
      <c r="BO530" s="382">
        <v>530</v>
      </c>
    </row>
    <row r="531" spans="1:67" s="24" customFormat="1" ht="15" customHeight="1" x14ac:dyDescent="0.25">
      <c r="A531" s="288" t="s">
        <v>633</v>
      </c>
      <c r="B531" s="241" t="str">
        <f>HYPERLINK(CONCATENATE($AT$3,BK531,$AU$3),$AV$3)</f>
        <v>S</v>
      </c>
      <c r="C531" s="242" t="str">
        <f>HYPERLINK(CONCATENATE($AT$4,BK531,$AU$4,BL531),$AV$4)</f>
        <v>A</v>
      </c>
      <c r="D531" s="243" t="s">
        <v>5187</v>
      </c>
      <c r="E531" s="244" t="s">
        <v>5179</v>
      </c>
      <c r="F531" s="269">
        <v>6</v>
      </c>
      <c r="G531" s="276">
        <v>37</v>
      </c>
      <c r="H531" s="271" t="s">
        <v>6500</v>
      </c>
      <c r="I531" s="244" t="s">
        <v>6500</v>
      </c>
      <c r="J531" s="246">
        <v>4</v>
      </c>
      <c r="K531" s="247" t="s">
        <v>4403</v>
      </c>
      <c r="L531" s="248">
        <v>172336</v>
      </c>
      <c r="M531" s="249">
        <f>15*(LEFT(TEXT($L531,"000000"),2)+(MID(TEXT($L531,"000000"),3,2)/60)+(RIGHT(TEXT($L531,"000000"),2)/3600))</f>
        <v>260.90000000000003</v>
      </c>
      <c r="N531" s="250">
        <v>-233800</v>
      </c>
      <c r="O531" s="251">
        <f>IF($N531&gt;0,(LEFT(TEXT($N531,"000000"),2)+(MID(TEXT($N531,"000000"),3,2)/60)+(RIGHT(TEXT($N531,"000000"),2)/3600)),-(MID(TEXT($N531,"000000"),2,2)+(MID(TEXT($N531,"000000"),4,2)/60)+(RIGHT(TEXT($N531,"000000"),2)/3600)))</f>
        <v>-23.633333333333333</v>
      </c>
      <c r="P531" s="252" t="s">
        <v>113</v>
      </c>
      <c r="Q531" s="253" t="s">
        <v>7067</v>
      </c>
      <c r="R531" s="247" t="s">
        <v>3293</v>
      </c>
      <c r="S531" s="272" t="s">
        <v>3293</v>
      </c>
      <c r="T531" s="273"/>
      <c r="U531" s="274"/>
      <c r="V531" s="256"/>
      <c r="W531" s="244"/>
      <c r="X531" s="244"/>
      <c r="Y531" s="362"/>
      <c r="Z531" s="257">
        <f>altaz(J2000_Bas,$O531,$M531,DecLat,DecLong,1)</f>
        <v>30.307257651578361</v>
      </c>
      <c r="AA531" s="257">
        <f>altaz((J2000_Bas+(2*0.04167)),$O531,$M531,DecLat,DecLong,1)</f>
        <v>13.995325124179317</v>
      </c>
      <c r="AB531" s="257">
        <f>altaz((J2000_Bas+(4*0.04167)),$O531,$M531,DecLat,DecLong,1)</f>
        <v>-8.1484757622131454</v>
      </c>
      <c r="AC531" s="257">
        <f>altaz((J2000_Bas+(6*0.04167)),$O531,$M531,DecLat,DecLong,1)</f>
        <v>-32.871757581964388</v>
      </c>
      <c r="AD531" s="258">
        <f>1+ transit((J2000_Bas-1),$O531,$M531,DecLat,DecLong)/360 + (GMTOffset/24) + (IF(DST="Y", 1, 0)/24)</f>
        <v>1.7176221103797082</v>
      </c>
      <c r="AE531" s="259">
        <f>DATE(2001,9,21)+(M531/360)*365 - (360*((DecLong/360)- (GMTOffset/24) ))</f>
        <v>37424.523611111108</v>
      </c>
      <c r="AF531" s="260">
        <f>IF(DecLat&gt;0,IF((90 - (DecLat-O531))&gt;90, (90 - (O531-DecLat)), (90 - (DecLat-O531))),IF((90 + (DecLat-O531))&gt;90, (90 + (O531-DecLat)), (90 + (DecLat-O531))))</f>
        <v>35.366666666666667</v>
      </c>
      <c r="AG531" s="257">
        <f>angularseperation(MoonRA,MoonDec,$M531,$O531)</f>
        <v>11.079815233472777</v>
      </c>
      <c r="AH531" s="261">
        <f ca="1">MIN(100,IF($O$5&gt;80,0+30*($AG531/100),IF($O$5&gt;70,0+50*($AG531/100),IF($O$5&gt;60,5+50*($AG531/100),IF($O$5&gt;50,10+60*($AG531/100),IF($O$5&gt;40,15+70*($AG531/100),IF($O$5&gt;30,20+70*($AG531/100),IF($O$5&gt;20,40+55*($AG531/100),(80+(20-$O$5)+30*($AG531/100))))))))))</f>
        <v>86.595004914192259</v>
      </c>
      <c r="AI531" s="262"/>
      <c r="AJ531" s="262"/>
      <c r="AK531" s="262"/>
      <c r="AL531" s="263"/>
      <c r="AM531" s="264"/>
      <c r="AN531" s="263"/>
      <c r="AO531" s="263"/>
      <c r="AP531" s="265"/>
      <c r="AQ531" s="266"/>
      <c r="AR531" s="267"/>
      <c r="AS531" s="263"/>
      <c r="AT531" s="263"/>
      <c r="AU531" s="263"/>
      <c r="AV531" s="264"/>
      <c r="AW531" s="263">
        <v>72</v>
      </c>
      <c r="AX531" s="263"/>
      <c r="AY531" s="263"/>
      <c r="AZ531" s="263"/>
      <c r="BA531" s="263"/>
      <c r="BB531" s="263"/>
      <c r="BC531" s="263"/>
      <c r="BD531" s="264"/>
      <c r="BE531" s="263"/>
      <c r="BF531" s="263"/>
      <c r="BG531" s="263">
        <v>75</v>
      </c>
      <c r="BH531" s="263"/>
      <c r="BI531" s="263"/>
      <c r="BJ531" s="404">
        <f>altaz(J2000_Bas,$O531,$M531,DecLat,DecLong,2)</f>
        <v>206.75561031241176</v>
      </c>
      <c r="BK531" s="378" t="s">
        <v>633</v>
      </c>
      <c r="BL531" s="379">
        <f>IF((2*G531)/60&lt;0.2,0.2,(2*G531)/60)</f>
        <v>1.2333333333333334</v>
      </c>
      <c r="BM531" s="380">
        <f>MOD((50000+AD531-$B$3+(0/24)),1)</f>
        <v>0.9329890400840668</v>
      </c>
      <c r="BN531" s="381"/>
      <c r="BO531" s="382">
        <v>531</v>
      </c>
    </row>
    <row r="532" spans="1:67" s="24" customFormat="1" ht="15" customHeight="1" x14ac:dyDescent="0.25">
      <c r="A532" s="288" t="s">
        <v>634</v>
      </c>
      <c r="B532" s="241" t="str">
        <f>HYPERLINK(CONCATENATE($AT$3,BK532,$AU$3),$AV$3)</f>
        <v>S</v>
      </c>
      <c r="C532" s="242" t="str">
        <f>HYPERLINK(CONCATENATE($AT$4,BK532,$AU$4,BL532),$AV$4)</f>
        <v>A</v>
      </c>
      <c r="D532" s="243" t="s">
        <v>5187</v>
      </c>
      <c r="E532" s="244" t="s">
        <v>5179</v>
      </c>
      <c r="F532" s="269">
        <v>4</v>
      </c>
      <c r="G532" s="273">
        <v>1</v>
      </c>
      <c r="H532" s="271" t="s">
        <v>6500</v>
      </c>
      <c r="I532" s="244" t="s">
        <v>6500</v>
      </c>
      <c r="J532" s="246">
        <v>0</v>
      </c>
      <c r="K532" s="277" t="s">
        <v>5793</v>
      </c>
      <c r="L532" s="248">
        <v>172408</v>
      </c>
      <c r="M532" s="249">
        <f>15*(LEFT(TEXT($L532,"000000"),2)+(MID(TEXT($L532,"000000"),3,2)/60)+(RIGHT(TEXT($L532,"000000"),2)/3600))</f>
        <v>261.0333333333333</v>
      </c>
      <c r="N532" s="286">
        <v>-241800</v>
      </c>
      <c r="O532" s="251">
        <f>IF($N532&gt;0,(LEFT(TEXT($N532,"000000"),2)+(MID(TEXT($N532,"000000"),3,2)/60)+(RIGHT(TEXT($N532,"000000"),2)/3600)),-(MID(TEXT($N532,"000000"),2,2)+(MID(TEXT($N532,"000000"),4,2)/60)+(RIGHT(TEXT($N532,"000000"),2)/3600)))</f>
        <v>-24.3</v>
      </c>
      <c r="P532" s="252" t="s">
        <v>113</v>
      </c>
      <c r="Q532" s="253"/>
      <c r="R532" s="277" t="s">
        <v>3293</v>
      </c>
      <c r="S532" s="272" t="s">
        <v>3293</v>
      </c>
      <c r="T532" s="273"/>
      <c r="U532" s="274"/>
      <c r="V532" s="256"/>
      <c r="W532" s="244"/>
      <c r="X532" s="244"/>
      <c r="Y532" s="362"/>
      <c r="Z532" s="257">
        <f>altaz(J2000_Bas,$O532,$M532,DecLat,DecLong,1)</f>
        <v>29.752979840670111</v>
      </c>
      <c r="AA532" s="257">
        <f>altaz((J2000_Bas+(2*0.04167)),$O532,$M532,DecLat,DecLong,1)</f>
        <v>13.623764048197701</v>
      </c>
      <c r="AB532" s="257">
        <f>altaz((J2000_Bas+(4*0.04167)),$O532,$M532,DecLat,DecLong,1)</f>
        <v>-8.3799682214384443</v>
      </c>
      <c r="AC532" s="257">
        <f>altaz((J2000_Bas+(6*0.04167)),$O532,$M532,DecLat,DecLong,1)</f>
        <v>-33.014949076467389</v>
      </c>
      <c r="AD532" s="258">
        <f>1+ transit((J2000_Bas-1),$O532,$M532,DecLat,DecLong)/360 + (GMTOffset/24) + (IF(DST="Y", 1, 0)/24)</f>
        <v>1.7179924807130413</v>
      </c>
      <c r="AE532" s="259">
        <f>DATE(2001,9,21)+(M532/360)*365 - (360*((DecLong/360)- (GMTOffset/24) ))</f>
        <v>37424.658796296295</v>
      </c>
      <c r="AF532" s="260">
        <f>IF(DecLat&gt;0,IF((90 - (DecLat-O532))&gt;90, (90 - (O532-DecLat)), (90 - (DecLat-O532))),IF((90 + (DecLat-O532))&gt;90, (90 + (O532-DecLat)), (90 + (DecLat-O532))))</f>
        <v>34.700000000000003</v>
      </c>
      <c r="AG532" s="257">
        <f>angularseperation(MoonRA,MoonDec,$M532,$O532)</f>
        <v>10.979235564806924</v>
      </c>
      <c r="AH532" s="261">
        <f ca="1">MIN(100,IF($O$5&gt;80,0+30*($AG532/100),IF($O$5&gt;70,0+50*($AG532/100),IF($O$5&gt;60,5+50*($AG532/100),IF($O$5&gt;50,10+60*($AG532/100),IF($O$5&gt;40,15+70*($AG532/100),IF($O$5&gt;30,20+70*($AG532/100),IF($O$5&gt;20,40+55*($AG532/100),(80+(20-$O$5)+30*($AG532/100))))))))))</f>
        <v>86.56483101359251</v>
      </c>
      <c r="AI532" s="263"/>
      <c r="AJ532" s="263"/>
      <c r="AK532" s="263"/>
      <c r="AL532" s="263"/>
      <c r="AM532" s="264"/>
      <c r="AN532" s="263"/>
      <c r="AO532" s="263"/>
      <c r="AP532" s="265"/>
      <c r="AQ532" s="265"/>
      <c r="AR532" s="285"/>
      <c r="AS532" s="263"/>
      <c r="AT532" s="263"/>
      <c r="AU532" s="263"/>
      <c r="AV532" s="264"/>
      <c r="AW532" s="263">
        <v>73</v>
      </c>
      <c r="AX532" s="263"/>
      <c r="AY532" s="263"/>
      <c r="AZ532" s="263"/>
      <c r="BA532" s="263"/>
      <c r="BB532" s="263"/>
      <c r="BC532" s="263"/>
      <c r="BD532" s="264"/>
      <c r="BE532" s="263"/>
      <c r="BF532" s="263"/>
      <c r="BG532" s="263"/>
      <c r="BH532" s="263"/>
      <c r="BI532" s="263"/>
      <c r="BJ532" s="404">
        <f>altaz(J2000_Bas,$O532,$M532,DecLat,DecLong,2)</f>
        <v>206.30518881755569</v>
      </c>
      <c r="BK532" s="378" t="s">
        <v>634</v>
      </c>
      <c r="BL532" s="379">
        <f>IF((2*G532)/60&lt;0.2,0.2,(2*G532)/60)</f>
        <v>0.2</v>
      </c>
      <c r="BM532" s="380">
        <f>MOD((50000+AD532-$B$3+(0/24)),1)</f>
        <v>0.9333594104173244</v>
      </c>
      <c r="BN532" s="381"/>
      <c r="BO532" s="382">
        <v>532</v>
      </c>
    </row>
    <row r="533" spans="1:67" s="24" customFormat="1" ht="15" customHeight="1" x14ac:dyDescent="0.25">
      <c r="A533" s="288" t="s">
        <v>635</v>
      </c>
      <c r="B533" s="241" t="str">
        <f>HYPERLINK(CONCATENATE($AT$3,BK533,$AU$3),$AV$3)</f>
        <v>S</v>
      </c>
      <c r="C533" s="242" t="str">
        <f>HYPERLINK(CONCATENATE($AT$4,BK533,$AU$4,BL533),$AV$4)</f>
        <v>A</v>
      </c>
      <c r="D533" s="243" t="s">
        <v>5187</v>
      </c>
      <c r="E533" s="244" t="s">
        <v>5179</v>
      </c>
      <c r="F533" s="269">
        <v>5</v>
      </c>
      <c r="G533" s="273">
        <v>5</v>
      </c>
      <c r="H533" s="271" t="s">
        <v>6500</v>
      </c>
      <c r="I533" s="244" t="s">
        <v>6500</v>
      </c>
      <c r="J533" s="246">
        <v>1</v>
      </c>
      <c r="K533" s="247" t="s">
        <v>8370</v>
      </c>
      <c r="L533" s="248">
        <v>172508</v>
      </c>
      <c r="M533" s="249">
        <f>15*(LEFT(TEXT($L533,"000000"),2)+(MID(TEXT($L533,"000000"),3,2)/60)+(RIGHT(TEXT($L533,"000000"),2)/3600))</f>
        <v>261.28333333333336</v>
      </c>
      <c r="N533" s="286">
        <v>-241300</v>
      </c>
      <c r="O533" s="251">
        <f>IF($N533&gt;0,(LEFT(TEXT($N533,"000000"),2)+(MID(TEXT($N533,"000000"),3,2)/60)+(RIGHT(TEXT($N533,"000000"),2)/3600)),-(MID(TEXT($N533,"000000"),2,2)+(MID(TEXT($N533,"000000"),4,2)/60)+(RIGHT(TEXT($N533,"000000"),2)/3600)))</f>
        <v>-24.216666666666665</v>
      </c>
      <c r="P533" s="252" t="s">
        <v>113</v>
      </c>
      <c r="Q533" s="253"/>
      <c r="R533" s="277" t="s">
        <v>3293</v>
      </c>
      <c r="S533" s="272" t="s">
        <v>3293</v>
      </c>
      <c r="T533" s="273"/>
      <c r="U533" s="274"/>
      <c r="V533" s="256"/>
      <c r="W533" s="244"/>
      <c r="X533" s="244"/>
      <c r="Y533" s="362"/>
      <c r="Z533" s="257">
        <f>altaz(J2000_Bas,$O533,$M533,DecLat,DecLong,1)</f>
        <v>29.923421589413504</v>
      </c>
      <c r="AA533" s="257">
        <f>altaz((J2000_Bas+(2*0.04167)),$O533,$M533,DecLat,DecLong,1)</f>
        <v>13.846010814058086</v>
      </c>
      <c r="AB533" s="257">
        <f>altaz((J2000_Bas+(4*0.04167)),$O533,$M533,DecLat,DecLong,1)</f>
        <v>-8.1411788420660471</v>
      </c>
      <c r="AC533" s="257">
        <f>altaz((J2000_Bas+(6*0.04167)),$O533,$M533,DecLat,DecLong,1)</f>
        <v>-32.772468193601611</v>
      </c>
      <c r="AD533" s="258">
        <f>1+ transit((J2000_Bas-1),$O533,$M533,DecLat,DecLong)/360 + (GMTOffset/24) + (IF(DST="Y", 1, 0)/24)</f>
        <v>1.7186869250880414</v>
      </c>
      <c r="AE533" s="259">
        <f>DATE(2001,9,21)+(M533/360)*365 - (360*((DecLong/360)- (GMTOffset/24) ))</f>
        <v>37424.912268518521</v>
      </c>
      <c r="AF533" s="260">
        <f>IF(DecLat&gt;0,IF((90 - (DecLat-O533))&gt;90, (90 - (O533-DecLat)), (90 - (DecLat-O533))),IF((90 + (DecLat-O533))&gt;90, (90 + (O533-DecLat)), (90 + (DecLat-O533))))</f>
        <v>34.783333333333331</v>
      </c>
      <c r="AG533" s="257">
        <f>angularseperation(MoonRA,MoonDec,$M533,$O533)</f>
        <v>11.221626449331236</v>
      </c>
      <c r="AH533" s="261">
        <f ca="1">MIN(100,IF($O$5&gt;80,0+30*($AG533/100),IF($O$5&gt;70,0+50*($AG533/100),IF($O$5&gt;60,5+50*($AG533/100),IF($O$5&gt;50,10+60*($AG533/100),IF($O$5&gt;40,15+70*($AG533/100),IF($O$5&gt;30,20+70*($AG533/100),IF($O$5&gt;20,40+55*($AG533/100),(80+(20-$O$5)+30*($AG533/100))))))))))</f>
        <v>86.637548278949794</v>
      </c>
      <c r="AI533" s="263"/>
      <c r="AJ533" s="263"/>
      <c r="AK533" s="263"/>
      <c r="AL533" s="263"/>
      <c r="AM533" s="264"/>
      <c r="AN533" s="263"/>
      <c r="AO533" s="263"/>
      <c r="AP533" s="265"/>
      <c r="AQ533" s="265"/>
      <c r="AR533" s="285"/>
      <c r="AS533" s="263"/>
      <c r="AT533" s="263"/>
      <c r="AU533" s="263"/>
      <c r="AV533" s="264"/>
      <c r="AW533" s="263">
        <v>74</v>
      </c>
      <c r="AX533" s="263"/>
      <c r="AY533" s="263"/>
      <c r="AZ533" s="263"/>
      <c r="BA533" s="263"/>
      <c r="BB533" s="263"/>
      <c r="BC533" s="263"/>
      <c r="BD533" s="264"/>
      <c r="BE533" s="263"/>
      <c r="BF533" s="263"/>
      <c r="BG533" s="263"/>
      <c r="BH533" s="263"/>
      <c r="BI533" s="263"/>
      <c r="BJ533" s="404">
        <f>altaz(J2000_Bas,$O533,$M533,DecLat,DecLong,2)</f>
        <v>206.10603292042421</v>
      </c>
      <c r="BK533" s="378" t="s">
        <v>635</v>
      </c>
      <c r="BL533" s="379">
        <f>IF((2*G533)/60&lt;0.2,0.2,(2*G533)/60)</f>
        <v>0.2</v>
      </c>
      <c r="BM533" s="380">
        <f>MOD((50000+AD533-$B$3+(0/24)),1)</f>
        <v>0.9340538547912729</v>
      </c>
      <c r="BN533" s="381"/>
      <c r="BO533" s="382">
        <v>533</v>
      </c>
    </row>
    <row r="534" spans="1:67" s="24" customFormat="1" ht="15" customHeight="1" x14ac:dyDescent="0.25">
      <c r="A534" s="288" t="s">
        <v>636</v>
      </c>
      <c r="B534" s="241" t="str">
        <f>HYPERLINK(CONCATENATE($AT$3,BK534,$AU$3),$AV$3)</f>
        <v>S</v>
      </c>
      <c r="C534" s="242" t="str">
        <f>HYPERLINK(CONCATENATE($AT$4,BK534,$AU$4,BL534),$AV$4)</f>
        <v>A</v>
      </c>
      <c r="D534" s="243" t="s">
        <v>5187</v>
      </c>
      <c r="E534" s="244" t="s">
        <v>5179</v>
      </c>
      <c r="F534" s="269">
        <v>5</v>
      </c>
      <c r="G534" s="276">
        <v>60</v>
      </c>
      <c r="H534" s="271" t="s">
        <v>6500</v>
      </c>
      <c r="I534" s="244" t="s">
        <v>6500</v>
      </c>
      <c r="J534" s="246">
        <v>3</v>
      </c>
      <c r="K534" s="247" t="s">
        <v>5969</v>
      </c>
      <c r="L534" s="248">
        <v>172517</v>
      </c>
      <c r="M534" s="249">
        <f>15*(LEFT(TEXT($L534,"000000"),2)+(MID(TEXT($L534,"000000"),3,2)/60)+(RIGHT(TEXT($L534,"000000"),2)/3600))</f>
        <v>261.32083333333338</v>
      </c>
      <c r="N534" s="250">
        <v>-220300</v>
      </c>
      <c r="O534" s="251">
        <f>IF($N534&gt;0,(LEFT(TEXT($N534,"000000"),2)+(MID(TEXT($N534,"000000"),3,2)/60)+(RIGHT(TEXT($N534,"000000"),2)/3600)),-(MID(TEXT($N534,"000000"),2,2)+(MID(TEXT($N534,"000000"),4,2)/60)+(RIGHT(TEXT($N534,"000000"),2)/3600)))</f>
        <v>-22.05</v>
      </c>
      <c r="P534" s="252" t="s">
        <v>113</v>
      </c>
      <c r="Q534" s="253"/>
      <c r="R534" s="247" t="s">
        <v>3293</v>
      </c>
      <c r="S534" s="272"/>
      <c r="T534" s="273"/>
      <c r="U534" s="274"/>
      <c r="V534" s="256"/>
      <c r="W534" s="244"/>
      <c r="X534" s="244"/>
      <c r="Y534" s="362"/>
      <c r="Z534" s="257">
        <f>altaz(J2000_Bas,$O534,$M534,DecLat,DecLong,1)</f>
        <v>31.906570806055218</v>
      </c>
      <c r="AA534" s="257">
        <f>altaz((J2000_Bas+(2*0.04167)),$O534,$M534,DecLat,DecLong,1)</f>
        <v>15.366173227086112</v>
      </c>
      <c r="AB534" s="257">
        <f>altaz((J2000_Bas+(4*0.04167)),$O534,$M534,DecLat,DecLong,1)</f>
        <v>-7.0104860679871699</v>
      </c>
      <c r="AC534" s="257">
        <f>altaz((J2000_Bas+(6*0.04167)),$O534,$M534,DecLat,DecLong,1)</f>
        <v>-31.890638317006037</v>
      </c>
      <c r="AD534" s="258">
        <f>1+ transit((J2000_Bas-1),$O534,$M534,DecLat,DecLong)/360 + (GMTOffset/24) + (IF(DST="Y", 1, 0)/24)</f>
        <v>1.7187910917442915</v>
      </c>
      <c r="AE534" s="259">
        <f>DATE(2001,9,21)+(M534/360)*365 - (360*((DecLong/360)- (GMTOffset/24) ))</f>
        <v>37424.950289351851</v>
      </c>
      <c r="AF534" s="260">
        <f>IF(DecLat&gt;0,IF((90 - (DecLat-O534))&gt;90, (90 - (O534-DecLat)), (90 - (DecLat-O534))),IF((90 + (DecLat-O534))&gt;90, (90 + (O534-DecLat)), (90 + (DecLat-O534))))</f>
        <v>36.950000000000003</v>
      </c>
      <c r="AG534" s="257">
        <f>angularseperation(MoonRA,MoonDec,$M534,$O534)</f>
        <v>12.075549960944361</v>
      </c>
      <c r="AH534" s="261">
        <f ca="1">MIN(100,IF($O$5&gt;80,0+30*($AG534/100),IF($O$5&gt;70,0+50*($AG534/100),IF($O$5&gt;60,5+50*($AG534/100),IF($O$5&gt;50,10+60*($AG534/100),IF($O$5&gt;40,15+70*($AG534/100),IF($O$5&gt;30,20+70*($AG534/100),IF($O$5&gt;20,40+55*($AG534/100),(80+(20-$O$5)+30*($AG534/100))))))))))</f>
        <v>86.893725332433732</v>
      </c>
      <c r="AI534" s="262"/>
      <c r="AJ534" s="262"/>
      <c r="AK534" s="262"/>
      <c r="AL534" s="263"/>
      <c r="AM534" s="264"/>
      <c r="AN534" s="263"/>
      <c r="AO534" s="263"/>
      <c r="AP534" s="265"/>
      <c r="AQ534" s="266"/>
      <c r="AR534" s="267"/>
      <c r="AS534" s="263"/>
      <c r="AT534" s="263"/>
      <c r="AU534" s="263"/>
      <c r="AV534" s="264"/>
      <c r="AW534" s="263">
        <v>75</v>
      </c>
      <c r="AX534" s="263"/>
      <c r="AY534" s="263"/>
      <c r="AZ534" s="263"/>
      <c r="BA534" s="263"/>
      <c r="BB534" s="263"/>
      <c r="BC534" s="263"/>
      <c r="BD534" s="264"/>
      <c r="BE534" s="263"/>
      <c r="BF534" s="263"/>
      <c r="BG534" s="263">
        <v>77</v>
      </c>
      <c r="BH534" s="263"/>
      <c r="BI534" s="263"/>
      <c r="BJ534" s="404">
        <f>altaz(J2000_Bas,$O534,$M534,DecLat,DecLong,2)</f>
        <v>207.12412317043672</v>
      </c>
      <c r="BK534" s="378" t="s">
        <v>636</v>
      </c>
      <c r="BL534" s="379">
        <f>IF((2*G534)/60&lt;0.2,0.2,(2*G534)/60)</f>
        <v>2</v>
      </c>
      <c r="BM534" s="380">
        <f>MOD((50000+AD534-$B$3+(0/24)),1)</f>
        <v>0.93415802144590998</v>
      </c>
      <c r="BN534" s="381"/>
      <c r="BO534" s="382">
        <v>534</v>
      </c>
    </row>
    <row r="535" spans="1:67" s="24" customFormat="1" ht="15" customHeight="1" x14ac:dyDescent="0.25">
      <c r="A535" s="288" t="s">
        <v>637</v>
      </c>
      <c r="B535" s="241" t="str">
        <f>HYPERLINK(CONCATENATE($AT$3,BK535,$AU$3),$AV$3)</f>
        <v>S</v>
      </c>
      <c r="C535" s="242" t="str">
        <f>HYPERLINK(CONCATENATE($AT$4,BK535,$AU$4,BL535),$AV$4)</f>
        <v>A</v>
      </c>
      <c r="D535" s="243" t="s">
        <v>5187</v>
      </c>
      <c r="E535" s="244" t="s">
        <v>5179</v>
      </c>
      <c r="F535" s="269">
        <v>4</v>
      </c>
      <c r="G535" s="276">
        <v>30</v>
      </c>
      <c r="H535" s="271" t="s">
        <v>6500</v>
      </c>
      <c r="I535" s="244" t="s">
        <v>6500</v>
      </c>
      <c r="J535" s="246">
        <v>1</v>
      </c>
      <c r="K535" s="247" t="s">
        <v>5794</v>
      </c>
      <c r="L535" s="248">
        <v>172538</v>
      </c>
      <c r="M535" s="249">
        <f>15*(LEFT(TEXT($L535,"000000"),2)+(MID(TEXT($L535,"000000"),3,2)/60)+(RIGHT(TEXT($L535,"000000"),2)/3600))</f>
        <v>261.40833333333336</v>
      </c>
      <c r="N535" s="286">
        <v>-242600</v>
      </c>
      <c r="O535" s="251">
        <f>IF($N535&gt;0,(LEFT(TEXT($N535,"000000"),2)+(MID(TEXT($N535,"000000"),3,2)/60)+(RIGHT(TEXT($N535,"000000"),2)/3600)),-(MID(TEXT($N535,"000000"),2,2)+(MID(TEXT($N535,"000000"),4,2)/60)+(RIGHT(TEXT($N535,"000000"),2)/3600)))</f>
        <v>-24.433333333333334</v>
      </c>
      <c r="P535" s="252" t="s">
        <v>113</v>
      </c>
      <c r="Q535" s="253"/>
      <c r="R535" s="277" t="s">
        <v>3293</v>
      </c>
      <c r="S535" s="272" t="s">
        <v>3293</v>
      </c>
      <c r="T535" s="273"/>
      <c r="U535" s="274"/>
      <c r="V535" s="256"/>
      <c r="W535" s="244"/>
      <c r="X535" s="244"/>
      <c r="Y535" s="362"/>
      <c r="Z535" s="257">
        <f>altaz(J2000_Bas,$O535,$M535,DecLat,DecLong,1)</f>
        <v>29.772987166335508</v>
      </c>
      <c r="AA535" s="257">
        <f>altaz((J2000_Bas+(2*0.04167)),$O535,$M535,DecLat,DecLong,1)</f>
        <v>13.777919217878678</v>
      </c>
      <c r="AB535" s="257">
        <f>altaz((J2000_Bas+(4*0.04167)),$O535,$M535,DecLat,DecLong,1)</f>
        <v>-8.1526424815000773</v>
      </c>
      <c r="AC535" s="257">
        <f>altaz((J2000_Bas+(6*0.04167)),$O535,$M535,DecLat,DecLong,1)</f>
        <v>-32.749770065486011</v>
      </c>
      <c r="AD535" s="258">
        <f>1+ transit((J2000_Bas-1),$O535,$M535,DecLat,DecLong)/360 + (GMTOffset/24) + (IF(DST="Y", 1, 0)/24)</f>
        <v>1.7190341472755415</v>
      </c>
      <c r="AE535" s="259">
        <f>DATE(2001,9,21)+(M535/360)*365 - (360*((DecLong/360)- (GMTOffset/24) ))</f>
        <v>37425.039004629631</v>
      </c>
      <c r="AF535" s="260">
        <f>IF(DecLat&gt;0,IF((90 - (DecLat-O535))&gt;90, (90 - (O535-DecLat)), (90 - (DecLat-O535))),IF((90 + (DecLat-O535))&gt;90, (90 + (O535-DecLat)), (90 + (DecLat-O535))))</f>
        <v>34.566666666666663</v>
      </c>
      <c r="AG535" s="257">
        <f>angularseperation(MoonRA,MoonDec,$M535,$O535)</f>
        <v>11.268130911318142</v>
      </c>
      <c r="AH535" s="261">
        <f ca="1">MIN(100,IF($O$5&gt;80,0+30*($AG535/100),IF($O$5&gt;70,0+50*($AG535/100),IF($O$5&gt;60,5+50*($AG535/100),IF($O$5&gt;50,10+60*($AG535/100),IF($O$5&gt;40,15+70*($AG535/100),IF($O$5&gt;30,20+70*($AG535/100),IF($O$5&gt;20,40+55*($AG535/100),(80+(20-$O$5)+30*($AG535/100))))))))))</f>
        <v>86.651499617545866</v>
      </c>
      <c r="AI535" s="263"/>
      <c r="AJ535" s="263"/>
      <c r="AK535" s="263"/>
      <c r="AL535" s="263"/>
      <c r="AM535" s="264"/>
      <c r="AN535" s="263"/>
      <c r="AO535" s="263"/>
      <c r="AP535" s="265"/>
      <c r="AQ535" s="265"/>
      <c r="AR535" s="285"/>
      <c r="AS535" s="263"/>
      <c r="AT535" s="263"/>
      <c r="AU535" s="263"/>
      <c r="AV535" s="264"/>
      <c r="AW535" s="263">
        <v>76</v>
      </c>
      <c r="AX535" s="263"/>
      <c r="AY535" s="263"/>
      <c r="AZ535" s="263"/>
      <c r="BA535" s="263"/>
      <c r="BB535" s="263"/>
      <c r="BC535" s="263"/>
      <c r="BD535" s="264"/>
      <c r="BE535" s="263"/>
      <c r="BF535" s="263"/>
      <c r="BG535" s="263"/>
      <c r="BH535" s="263"/>
      <c r="BI535" s="263"/>
      <c r="BJ535" s="404">
        <f>altaz(J2000_Bas,$O535,$M535,DecLat,DecLong,2)</f>
        <v>205.88339931551363</v>
      </c>
      <c r="BK535" s="378" t="s">
        <v>637</v>
      </c>
      <c r="BL535" s="379">
        <f>IF((2*G535)/60&lt;0.2,0.2,(2*G535)/60)</f>
        <v>1</v>
      </c>
      <c r="BM535" s="380">
        <f>MOD((50000+AD535-$B$3+(0/24)),1)</f>
        <v>0.93440107697824715</v>
      </c>
      <c r="BN535" s="381"/>
      <c r="BO535" s="382">
        <v>535</v>
      </c>
    </row>
    <row r="536" spans="1:67" s="24" customFormat="1" ht="15" customHeight="1" x14ac:dyDescent="0.25">
      <c r="A536" s="288" t="s">
        <v>638</v>
      </c>
      <c r="B536" s="241" t="str">
        <f>HYPERLINK(CONCATENATE($AT$3,BK536,$AU$3),$AV$3)</f>
        <v>S</v>
      </c>
      <c r="C536" s="242" t="str">
        <f>HYPERLINK(CONCATENATE($AT$4,BK536,$AU$4,BL536),$AV$4)</f>
        <v>A</v>
      </c>
      <c r="D536" s="243" t="s">
        <v>5187</v>
      </c>
      <c r="E536" s="244" t="s">
        <v>5179</v>
      </c>
      <c r="F536" s="269">
        <v>3</v>
      </c>
      <c r="G536" s="276">
        <v>60</v>
      </c>
      <c r="H536" s="271" t="s">
        <v>6500</v>
      </c>
      <c r="I536" s="244" t="s">
        <v>6500</v>
      </c>
      <c r="J536" s="246">
        <v>1</v>
      </c>
      <c r="K536" s="247" t="s">
        <v>5795</v>
      </c>
      <c r="L536" s="248">
        <v>172837</v>
      </c>
      <c r="M536" s="249">
        <f>15*(LEFT(TEXT($L536,"000000"),2)+(MID(TEXT($L536,"000000"),3,2)/60)+(RIGHT(TEXT($L536,"000000"),2)/3600))</f>
        <v>262.15416666666664</v>
      </c>
      <c r="N536" s="286">
        <v>-235200</v>
      </c>
      <c r="O536" s="251">
        <f>IF($N536&gt;0,(LEFT(TEXT($N536,"000000"),2)+(MID(TEXT($N536,"000000"),3,2)/60)+(RIGHT(TEXT($N536,"000000"),2)/3600)),-(MID(TEXT($N536,"000000"),2,2)+(MID(TEXT($N536,"000000"),4,2)/60)+(RIGHT(TEXT($N536,"000000"),2)/3600)))</f>
        <v>-23.866666666666667</v>
      </c>
      <c r="P536" s="252" t="s">
        <v>113</v>
      </c>
      <c r="Q536" s="253"/>
      <c r="R536" s="277" t="s">
        <v>3293</v>
      </c>
      <c r="S536" s="272" t="s">
        <v>3293</v>
      </c>
      <c r="T536" s="273"/>
      <c r="U536" s="274"/>
      <c r="V536" s="256"/>
      <c r="W536" s="244"/>
      <c r="X536" s="244"/>
      <c r="Y536" s="362"/>
      <c r="Z536" s="257">
        <f>altaz(J2000_Bas,$O536,$M536,DecLat,DecLong,1)</f>
        <v>30.567475409867178</v>
      </c>
      <c r="AA536" s="257">
        <f>altaz((J2000_Bas+(2*0.04167)),$O536,$M536,DecLat,DecLong,1)</f>
        <v>14.660992894429661</v>
      </c>
      <c r="AB536" s="257">
        <f>altaz((J2000_Bas+(4*0.04167)),$O536,$M536,DecLat,DecLong,1)</f>
        <v>-7.2784395963528699</v>
      </c>
      <c r="AC536" s="257">
        <f>altaz((J2000_Bas+(6*0.04167)),$O536,$M536,DecLat,DecLong,1)</f>
        <v>-31.903735835801978</v>
      </c>
      <c r="AD536" s="258">
        <f>1+ transit((J2000_Bas-1),$O536,$M536,DecLat,DecLong)/360 + (GMTOffset/24) + (IF(DST="Y", 1, 0)/24)</f>
        <v>1.7211059063276248</v>
      </c>
      <c r="AE536" s="259">
        <f>DATE(2001,9,21)+(M536/360)*365 - (360*((DecLong/360)- (GMTOffset/24) ))</f>
        <v>37425.79519675926</v>
      </c>
      <c r="AF536" s="260">
        <f>IF(DecLat&gt;0,IF((90 - (DecLat-O536))&gt;90, (90 - (O536-DecLat)), (90 - (DecLat-O536))),IF((90 + (DecLat-O536))&gt;90, (90 + (O536-DecLat)), (90 + (DecLat-O536))))</f>
        <v>35.133333333333333</v>
      </c>
      <c r="AG536" s="257">
        <f>angularseperation(MoonRA,MoonDec,$M536,$O536)</f>
        <v>12.085772012919827</v>
      </c>
      <c r="AH536" s="261">
        <f ca="1">MIN(100,IF($O$5&gt;80,0+30*($AG536/100),IF($O$5&gt;70,0+50*($AG536/100),IF($O$5&gt;60,5+50*($AG536/100),IF($O$5&gt;50,10+60*($AG536/100),IF($O$5&gt;40,15+70*($AG536/100),IF($O$5&gt;30,20+70*($AG536/100),IF($O$5&gt;20,40+55*($AG536/100),(80+(20-$O$5)+30*($AG536/100))))))))))</f>
        <v>86.896791948026376</v>
      </c>
      <c r="AI536" s="263"/>
      <c r="AJ536" s="263"/>
      <c r="AK536" s="263"/>
      <c r="AL536" s="263"/>
      <c r="AM536" s="264"/>
      <c r="AN536" s="263"/>
      <c r="AO536" s="263"/>
      <c r="AP536" s="265"/>
      <c r="AQ536" s="265"/>
      <c r="AR536" s="285"/>
      <c r="AS536" s="263"/>
      <c r="AT536" s="263"/>
      <c r="AU536" s="263"/>
      <c r="AV536" s="264"/>
      <c r="AW536" s="263">
        <v>77</v>
      </c>
      <c r="AX536" s="263"/>
      <c r="AY536" s="263"/>
      <c r="AZ536" s="263"/>
      <c r="BA536" s="263"/>
      <c r="BB536" s="263"/>
      <c r="BC536" s="263"/>
      <c r="BD536" s="264"/>
      <c r="BE536" s="263"/>
      <c r="BF536" s="263"/>
      <c r="BG536" s="263"/>
      <c r="BH536" s="263"/>
      <c r="BI536" s="263"/>
      <c r="BJ536" s="404">
        <f>altaz(J2000_Bas,$O536,$M536,DecLat,DecLong,2)</f>
        <v>205.43087752135656</v>
      </c>
      <c r="BK536" s="378" t="s">
        <v>638</v>
      </c>
      <c r="BL536" s="379">
        <f>IF((2*G536)/60&lt;0.2,0.2,(2*G536)/60)</f>
        <v>2</v>
      </c>
      <c r="BM536" s="380">
        <f>MOD((50000+AD536-$B$3+(0/24)),1)</f>
        <v>0.93647283603058895</v>
      </c>
      <c r="BN536" s="381"/>
      <c r="BO536" s="382">
        <v>536</v>
      </c>
    </row>
    <row r="537" spans="1:67" s="24" customFormat="1" ht="15" customHeight="1" x14ac:dyDescent="0.25">
      <c r="A537" s="288" t="s">
        <v>639</v>
      </c>
      <c r="B537" s="241" t="str">
        <f>HYPERLINK(CONCATENATE($AT$3,BK537,$AU$3),$AV$3)</f>
        <v>S</v>
      </c>
      <c r="C537" s="242" t="str">
        <f>HYPERLINK(CONCATENATE($AT$4,BK537,$AU$4,BL537),$AV$4)</f>
        <v>A</v>
      </c>
      <c r="D537" s="243" t="s">
        <v>5187</v>
      </c>
      <c r="E537" s="244" t="s">
        <v>5179</v>
      </c>
      <c r="F537" s="269">
        <v>5</v>
      </c>
      <c r="G537" s="276">
        <v>180</v>
      </c>
      <c r="H537" s="271" t="s">
        <v>6500</v>
      </c>
      <c r="I537" s="244" t="s">
        <v>6500</v>
      </c>
      <c r="J537" s="246">
        <v>4</v>
      </c>
      <c r="K537" s="247" t="s">
        <v>9370</v>
      </c>
      <c r="L537" s="248">
        <v>173243</v>
      </c>
      <c r="M537" s="249">
        <f>15*(LEFT(TEXT($L537,"000000"),2)+(MID(TEXT($L537,"000000"),3,2)/60)+(RIGHT(TEXT($L537,"000000"),2)/3600))</f>
        <v>263.17916666666673</v>
      </c>
      <c r="N537" s="250">
        <v>-253600</v>
      </c>
      <c r="O537" s="251">
        <f>IF($N537&gt;0,(LEFT(TEXT($N537,"000000"),2)+(MID(TEXT($N537,"000000"),3,2)/60)+(RIGHT(TEXT($N537,"000000"),2)/3600)),-(MID(TEXT($N537,"000000"),2,2)+(MID(TEXT($N537,"000000"),4,2)/60)+(RIGHT(TEXT($N537,"000000"),2)/3600)))</f>
        <v>-25.6</v>
      </c>
      <c r="P537" s="252" t="s">
        <v>113</v>
      </c>
      <c r="Q537" s="253" t="s">
        <v>640</v>
      </c>
      <c r="R537" s="277" t="s">
        <v>3293</v>
      </c>
      <c r="S537" s="272" t="s">
        <v>3293</v>
      </c>
      <c r="T537" s="273"/>
      <c r="U537" s="274"/>
      <c r="V537" s="256"/>
      <c r="W537" s="244"/>
      <c r="X537" s="244"/>
      <c r="Y537" s="362"/>
      <c r="Z537" s="257">
        <f>altaz(J2000_Bas,$O537,$M537,DecLat,DecLong,1)</f>
        <v>29.337727176852056</v>
      </c>
      <c r="AA537" s="257">
        <f>altaz((J2000_Bas+(2*0.04167)),$O537,$M537,DecLat,DecLong,1)</f>
        <v>14.103006653954951</v>
      </c>
      <c r="AB537" s="257">
        <f>altaz((J2000_Bas+(4*0.04167)),$O537,$M537,DecLat,DecLong,1)</f>
        <v>-7.3675086020109344</v>
      </c>
      <c r="AC537" s="257">
        <f>altaz((J2000_Bas+(6*0.04167)),$O537,$M537,DecLat,DecLong,1)</f>
        <v>-31.704688159834642</v>
      </c>
      <c r="AD537" s="258">
        <f>1+ transit((J2000_Bas-1),$O537,$M537,DecLat,DecLong)/360 + (GMTOffset/24) + (IF(DST="Y", 1, 0)/24)</f>
        <v>1.7239531282651248</v>
      </c>
      <c r="AE537" s="259">
        <f>DATE(2001,9,21)+(M537/360)*365 - (360*((DecLong/360)- (GMTOffset/24) ))</f>
        <v>37426.834432870368</v>
      </c>
      <c r="AF537" s="260">
        <f>IF(DecLat&gt;0,IF((90 - (DecLat-O537))&gt;90, (90 - (O537-DecLat)), (90 - (DecLat-O537))),IF((90 + (DecLat-O537))&gt;90, (90 + (O537-DecLat)), (90 + (DecLat-O537))))</f>
        <v>33.4</v>
      </c>
      <c r="AG537" s="257">
        <f>angularseperation(MoonRA,MoonDec,$M537,$O537)</f>
        <v>12.571235667630589</v>
      </c>
      <c r="AH537" s="261">
        <f ca="1">MIN(100,IF($O$5&gt;80,0+30*($AG537/100),IF($O$5&gt;70,0+50*($AG537/100),IF($O$5&gt;60,5+50*($AG537/100),IF($O$5&gt;50,10+60*($AG537/100),IF($O$5&gt;40,15+70*($AG537/100),IF($O$5&gt;30,20+70*($AG537/100),IF($O$5&gt;20,40+55*($AG537/100),(80+(20-$O$5)+30*($AG537/100))))))))))</f>
        <v>87.04243104443961</v>
      </c>
      <c r="AI537" s="263"/>
      <c r="AJ537" s="263"/>
      <c r="AK537" s="263"/>
      <c r="AL537" s="263"/>
      <c r="AM537" s="264"/>
      <c r="AN537" s="263"/>
      <c r="AO537" s="263"/>
      <c r="AP537" s="265"/>
      <c r="AQ537" s="265"/>
      <c r="AR537" s="285"/>
      <c r="AS537" s="263"/>
      <c r="AT537" s="263"/>
      <c r="AU537" s="263"/>
      <c r="AV537" s="264"/>
      <c r="AW537" s="263">
        <v>78</v>
      </c>
      <c r="AX537" s="263"/>
      <c r="AY537" s="263"/>
      <c r="AZ537" s="263"/>
      <c r="BA537" s="263"/>
      <c r="BB537" s="263"/>
      <c r="BC537" s="263"/>
      <c r="BD537" s="264"/>
      <c r="BE537" s="263"/>
      <c r="BF537" s="263"/>
      <c r="BG537" s="263"/>
      <c r="BH537" s="263"/>
      <c r="BI537" s="263">
        <v>75</v>
      </c>
      <c r="BJ537" s="404">
        <f>altaz(J2000_Bas,$O537,$M537,DecLat,DecLong,2)</f>
        <v>203.65821962286111</v>
      </c>
      <c r="BK537" s="378" t="s">
        <v>639</v>
      </c>
      <c r="BL537" s="379">
        <f>IF((2*G537)/60&lt;0.2,0.2,(2*G537)/60)</f>
        <v>6</v>
      </c>
      <c r="BM537" s="380">
        <f>MOD((50000+AD537-$B$3+(0/24)),1)</f>
        <v>0.93932005797250895</v>
      </c>
      <c r="BN537" s="381"/>
      <c r="BO537" s="382">
        <v>537</v>
      </c>
    </row>
    <row r="538" spans="1:67" s="24" customFormat="1" ht="15" customHeight="1" x14ac:dyDescent="0.25">
      <c r="A538" s="288" t="s">
        <v>641</v>
      </c>
      <c r="B538" s="241" t="str">
        <f>HYPERLINK(CONCATENATE($AT$3,BK538,$AU$3),$AV$3)</f>
        <v>S</v>
      </c>
      <c r="C538" s="242" t="str">
        <f>HYPERLINK(CONCATENATE($AT$4,BK538,$AU$4,BL538),$AV$4)</f>
        <v>A</v>
      </c>
      <c r="D538" s="243" t="s">
        <v>5187</v>
      </c>
      <c r="E538" s="244" t="s">
        <v>5179</v>
      </c>
      <c r="F538" s="269">
        <v>6</v>
      </c>
      <c r="G538" s="276">
        <v>30</v>
      </c>
      <c r="H538" s="271" t="s">
        <v>6500</v>
      </c>
      <c r="I538" s="244" t="s">
        <v>6500</v>
      </c>
      <c r="J538" s="246">
        <v>1</v>
      </c>
      <c r="K538" s="247" t="s">
        <v>5796</v>
      </c>
      <c r="L538" s="248">
        <v>173723</v>
      </c>
      <c r="M538" s="249">
        <f>15*(LEFT(TEXT($L538,"000000"),2)+(MID(TEXT($L538,"000000"),3,2)/60)+(RIGHT(TEXT($L538,"000000"),2)/3600))</f>
        <v>264.34583333333336</v>
      </c>
      <c r="N538" s="286">
        <v>-193700</v>
      </c>
      <c r="O538" s="251">
        <f>IF($N538&gt;0,(LEFT(TEXT($N538,"000000"),2)+(MID(TEXT($N538,"000000"),3,2)/60)+(RIGHT(TEXT($N538,"000000"),2)/3600)),-(MID(TEXT($N538,"000000"),2,2)+(MID(TEXT($N538,"000000"),4,2)/60)+(RIGHT(TEXT($N538,"000000"),2)/3600)))</f>
        <v>-19.616666666666667</v>
      </c>
      <c r="P538" s="252" t="s">
        <v>113</v>
      </c>
      <c r="Q538" s="253"/>
      <c r="R538" s="277" t="s">
        <v>3293</v>
      </c>
      <c r="S538" s="272" t="s">
        <v>3293</v>
      </c>
      <c r="T538" s="273"/>
      <c r="U538" s="274"/>
      <c r="V538" s="256"/>
      <c r="W538" s="244"/>
      <c r="X538" s="244"/>
      <c r="Y538" s="362"/>
      <c r="Z538" s="257">
        <f>altaz(J2000_Bas,$O538,$M538,DecLat,DecLong,1)</f>
        <v>35.275672367017741</v>
      </c>
      <c r="AA538" s="257">
        <f>altaz((J2000_Bas+(2*0.04167)),$O538,$M538,DecLat,DecLong,1)</f>
        <v>19.089909867829096</v>
      </c>
      <c r="AB538" s="257">
        <f>altaz((J2000_Bas+(4*0.04167)),$O538,$M538,DecLat,DecLong,1)</f>
        <v>-3.3314156826275081</v>
      </c>
      <c r="AC538" s="257">
        <f>altaz((J2000_Bas+(6*0.04167)),$O538,$M538,DecLat,DecLong,1)</f>
        <v>-28.307568131315527</v>
      </c>
      <c r="AD538" s="258">
        <f>1+ transit((J2000_Bas-1),$O538,$M538,DecLat,DecLong)/360 + (GMTOffset/24) + (IF(DST="Y", 1, 0)/24)</f>
        <v>1.7271938686817914</v>
      </c>
      <c r="AE538" s="259">
        <f>DATE(2001,9,21)+(M538/360)*365 - (360*((DecLong/360)- (GMTOffset/24) ))</f>
        <v>37428.01730324074</v>
      </c>
      <c r="AF538" s="260">
        <f>IF(DecLat&gt;0,IF((90 - (DecLat-O538))&gt;90, (90 - (O538-DecLat)), (90 - (DecLat-O538))),IF((90 + (DecLat-O538))&gt;90, (90 + (O538-DecLat)), (90 + (DecLat-O538))))</f>
        <v>39.383333333333333</v>
      </c>
      <c r="AG538" s="257">
        <f>angularseperation(MoonRA,MoonDec,$M538,$O538)</f>
        <v>15.730597925956706</v>
      </c>
      <c r="AH538" s="261">
        <f ca="1">MIN(100,IF($O$5&gt;80,0+30*($AG538/100),IF($O$5&gt;70,0+50*($AG538/100),IF($O$5&gt;60,5+50*($AG538/100),IF($O$5&gt;50,10+60*($AG538/100),IF($O$5&gt;40,15+70*($AG538/100),IF($O$5&gt;30,20+70*($AG538/100),IF($O$5&gt;20,40+55*($AG538/100),(80+(20-$O$5)+30*($AG538/100))))))))))</f>
        <v>87.990239721937442</v>
      </c>
      <c r="AI538" s="263"/>
      <c r="AJ538" s="263"/>
      <c r="AK538" s="263"/>
      <c r="AL538" s="263"/>
      <c r="AM538" s="264"/>
      <c r="AN538" s="263"/>
      <c r="AO538" s="263"/>
      <c r="AP538" s="265"/>
      <c r="AQ538" s="265"/>
      <c r="AR538" s="285"/>
      <c r="AS538" s="263"/>
      <c r="AT538" s="263"/>
      <c r="AU538" s="263"/>
      <c r="AV538" s="264"/>
      <c r="AW538" s="263">
        <v>79</v>
      </c>
      <c r="AX538" s="263"/>
      <c r="AY538" s="263"/>
      <c r="AZ538" s="263"/>
      <c r="BA538" s="263"/>
      <c r="BB538" s="263"/>
      <c r="BC538" s="263"/>
      <c r="BD538" s="264"/>
      <c r="BE538" s="263"/>
      <c r="BF538" s="263"/>
      <c r="BG538" s="263"/>
      <c r="BH538" s="263"/>
      <c r="BI538" s="263"/>
      <c r="BJ538" s="404">
        <f>altaz(J2000_Bas,$O538,$M538,DecLat,DecLong,2)</f>
        <v>205.20213978647459</v>
      </c>
      <c r="BK538" s="378" t="s">
        <v>641</v>
      </c>
      <c r="BL538" s="379">
        <f>IF((2*G538)/60&lt;0.2,0.2,(2*G538)/60)</f>
        <v>1</v>
      </c>
      <c r="BM538" s="380">
        <f>MOD((50000+AD538-$B$3+(0/24)),1)</f>
        <v>0.94256079838669393</v>
      </c>
      <c r="BN538" s="381"/>
      <c r="BO538" s="382">
        <v>538</v>
      </c>
    </row>
    <row r="539" spans="1:67" s="24" customFormat="1" ht="15" customHeight="1" x14ac:dyDescent="0.25">
      <c r="A539" s="287" t="s">
        <v>642</v>
      </c>
      <c r="B539" s="241" t="str">
        <f>HYPERLINK(CONCATENATE($AT$3,BK539,$AU$3),$AV$3)</f>
        <v>S</v>
      </c>
      <c r="C539" s="242" t="str">
        <f>HYPERLINK(CONCATENATE($AT$4,BK539,$AU$4,BL539),$AV$4)</f>
        <v>A</v>
      </c>
      <c r="D539" s="243" t="s">
        <v>5187</v>
      </c>
      <c r="E539" s="244" t="s">
        <v>5179</v>
      </c>
      <c r="F539" s="269">
        <v>3</v>
      </c>
      <c r="G539" s="273">
        <v>3</v>
      </c>
      <c r="H539" s="271" t="s">
        <v>6500</v>
      </c>
      <c r="I539" s="244" t="s">
        <v>6500</v>
      </c>
      <c r="J539" s="246">
        <v>0</v>
      </c>
      <c r="K539" s="247" t="s">
        <v>5797</v>
      </c>
      <c r="L539" s="248">
        <v>173742</v>
      </c>
      <c r="M539" s="249">
        <f>15*(LEFT(TEXT($L539,"000000"),2)+(MID(TEXT($L539,"000000"),3,2)/60)+(RIGHT(TEXT($L539,"000000"),2)/3600))</f>
        <v>264.42500000000001</v>
      </c>
      <c r="N539" s="286">
        <v>-211700</v>
      </c>
      <c r="O539" s="251">
        <f>IF($N539&gt;0,(LEFT(TEXT($N539,"000000"),2)+(MID(TEXT($N539,"000000"),3,2)/60)+(RIGHT(TEXT($N539,"000000"),2)/3600)),-(MID(TEXT($N539,"000000"),2,2)+(MID(TEXT($N539,"000000"),4,2)/60)+(RIGHT(TEXT($N539,"000000"),2)/3600)))</f>
        <v>-21.283333333333335</v>
      </c>
      <c r="P539" s="252" t="s">
        <v>113</v>
      </c>
      <c r="Q539" s="253"/>
      <c r="R539" s="277" t="s">
        <v>3293</v>
      </c>
      <c r="S539" s="272" t="s">
        <v>3293</v>
      </c>
      <c r="T539" s="273"/>
      <c r="U539" s="274"/>
      <c r="V539" s="256"/>
      <c r="W539" s="244"/>
      <c r="X539" s="244"/>
      <c r="Y539" s="362"/>
      <c r="Z539" s="257">
        <f>altaz(J2000_Bas,$O539,$M539,DecLat,DecLong,1)</f>
        <v>33.764731663538228</v>
      </c>
      <c r="AA539" s="257">
        <f>altaz((J2000_Bas+(2*0.04167)),$O539,$M539,DecLat,DecLong,1)</f>
        <v>17.968026630720143</v>
      </c>
      <c r="AB539" s="257">
        <f>altaz((J2000_Bas+(4*0.04167)),$O539,$M539,DecLat,DecLong,1)</f>
        <v>-4.1458099582957493</v>
      </c>
      <c r="AC539" s="257">
        <f>altaz((J2000_Bas+(6*0.04167)),$O539,$M539,DecLat,DecLong,1)</f>
        <v>-28.944802303089809</v>
      </c>
      <c r="AD539" s="258">
        <f>1+ transit((J2000_Bas-1),$O539,$M539,DecLat,DecLong)/360 + (GMTOffset/24) + (IF(DST="Y", 1, 0)/24)</f>
        <v>1.7274137760672079</v>
      </c>
      <c r="AE539" s="259">
        <f>DATE(2001,9,21)+(M539/360)*365 - (360*((DecLong/360)- (GMTOffset/24) ))</f>
        <v>37428.097569444442</v>
      </c>
      <c r="AF539" s="260">
        <f>IF(DecLat&gt;0,IF((90 - (DecLat-O539))&gt;90, (90 - (O539-DecLat)), (90 - (DecLat-O539))),IF((90 + (DecLat-O539))&gt;90, (90 + (O539-DecLat)), (90 + (DecLat-O539))))</f>
        <v>37.716666666666669</v>
      </c>
      <c r="AG539" s="257">
        <f>angularseperation(MoonRA,MoonDec,$M539,$O539)</f>
        <v>15.001137563613661</v>
      </c>
      <c r="AH539" s="261">
        <f ca="1">MIN(100,IF($O$5&gt;80,0+30*($AG539/100),IF($O$5&gt;70,0+50*($AG539/100),IF($O$5&gt;60,5+50*($AG539/100),IF($O$5&gt;50,10+60*($AG539/100),IF($O$5&gt;40,15+70*($AG539/100),IF($O$5&gt;30,20+70*($AG539/100),IF($O$5&gt;20,40+55*($AG539/100),(80+(20-$O$5)+30*($AG539/100))))))))))</f>
        <v>87.771401613234531</v>
      </c>
      <c r="AI539" s="263"/>
      <c r="AJ539" s="263"/>
      <c r="AK539" s="263"/>
      <c r="AL539" s="263"/>
      <c r="AM539" s="264"/>
      <c r="AN539" s="263"/>
      <c r="AO539" s="263"/>
      <c r="AP539" s="265"/>
      <c r="AQ539" s="265"/>
      <c r="AR539" s="285"/>
      <c r="AS539" s="263"/>
      <c r="AT539" s="263"/>
      <c r="AU539" s="263"/>
      <c r="AV539" s="264"/>
      <c r="AW539" s="263">
        <v>80</v>
      </c>
      <c r="AX539" s="263"/>
      <c r="AY539" s="263"/>
      <c r="AZ539" s="263"/>
      <c r="BA539" s="263"/>
      <c r="BB539" s="263"/>
      <c r="BC539" s="263"/>
      <c r="BD539" s="264"/>
      <c r="BE539" s="263"/>
      <c r="BF539" s="263"/>
      <c r="BG539" s="263"/>
      <c r="BH539" s="263"/>
      <c r="BI539" s="263"/>
      <c r="BJ539" s="404">
        <f>altaz(J2000_Bas,$O539,$M539,DecLat,DecLong,2)</f>
        <v>204.34357131934129</v>
      </c>
      <c r="BK539" s="378" t="s">
        <v>642</v>
      </c>
      <c r="BL539" s="379">
        <f>IF((2*G539)/60&lt;0.2,0.2,(2*G539)/60)</f>
        <v>0.2</v>
      </c>
      <c r="BM539" s="380">
        <f>MOD((50000+AD539-$B$3+(0/24)),1)</f>
        <v>0.94278070577274775</v>
      </c>
      <c r="BN539" s="381"/>
      <c r="BO539" s="382">
        <v>539</v>
      </c>
    </row>
    <row r="540" spans="1:67" s="24" customFormat="1" ht="15" customHeight="1" x14ac:dyDescent="0.25">
      <c r="A540" s="288" t="s">
        <v>643</v>
      </c>
      <c r="B540" s="241" t="str">
        <f>HYPERLINK(CONCATENATE($AT$3,BK540,$AU$3),$AV$3)</f>
        <v>S</v>
      </c>
      <c r="C540" s="242" t="str">
        <f>HYPERLINK(CONCATENATE($AT$4,BK540,$AU$4,BL540),$AV$4)</f>
        <v>A</v>
      </c>
      <c r="D540" s="243" t="s">
        <v>5187</v>
      </c>
      <c r="E540" s="244" t="s">
        <v>5179</v>
      </c>
      <c r="F540" s="269">
        <v>0</v>
      </c>
      <c r="G540" s="273">
        <v>3</v>
      </c>
      <c r="H540" s="271" t="s">
        <v>6500</v>
      </c>
      <c r="I540" s="244" t="s">
        <v>6500</v>
      </c>
      <c r="J540" s="246">
        <v>1</v>
      </c>
      <c r="K540" s="247" t="s">
        <v>5970</v>
      </c>
      <c r="L540" s="248">
        <v>173833</v>
      </c>
      <c r="M540" s="249">
        <f>15*(LEFT(TEXT($L540,"000000"),2)+(MID(TEXT($L540,"000000"),3,2)/60)+(RIGHT(TEXT($L540,"000000"),2)/3600))</f>
        <v>264.63749999999999</v>
      </c>
      <c r="N540" s="286">
        <v>-235600</v>
      </c>
      <c r="O540" s="251">
        <f>IF($N540&gt;0,(LEFT(TEXT($N540,"000000"),2)+(MID(TEXT($N540,"000000"),3,2)/60)+(RIGHT(TEXT($N540,"000000"),2)/3600)),-(MID(TEXT($N540,"000000"),2,2)+(MID(TEXT($N540,"000000"),4,2)/60)+(RIGHT(TEXT($N540,"000000"),2)/3600)))</f>
        <v>-23.933333333333334</v>
      </c>
      <c r="P540" s="252" t="s">
        <v>113</v>
      </c>
      <c r="Q540" s="253"/>
      <c r="R540" s="277" t="s">
        <v>3293</v>
      </c>
      <c r="S540" s="272" t="s">
        <v>5775</v>
      </c>
      <c r="T540" s="273"/>
      <c r="U540" s="274"/>
      <c r="V540" s="256"/>
      <c r="W540" s="244"/>
      <c r="X540" s="244"/>
      <c r="Y540" s="362"/>
      <c r="Z540" s="257">
        <f>altaz(J2000_Bas,$O540,$M540,DecLat,DecLong,1)</f>
        <v>31.378384289358721</v>
      </c>
      <c r="AA540" s="257">
        <f>altaz((J2000_Bas+(2*0.04167)),$O540,$M540,DecLat,DecLong,1)</f>
        <v>16.219652568406342</v>
      </c>
      <c r="AB540" s="257">
        <f>altaz((J2000_Bas+(4*0.04167)),$O540,$M540,DecLat,DecLong,1)</f>
        <v>-5.3705323629462045</v>
      </c>
      <c r="AC540" s="257">
        <f>altaz((J2000_Bas+(6*0.04167)),$O540,$M540,DecLat,DecLong,1)</f>
        <v>-29.840614452138983</v>
      </c>
      <c r="AD540" s="258">
        <f>1+ transit((J2000_Bas-1),$O540,$M540,DecLat,DecLong)/360 + (GMTOffset/24) + (IF(DST="Y", 1, 0)/24)</f>
        <v>1.728004053785958</v>
      </c>
      <c r="AE540" s="259">
        <f>DATE(2001,9,21)+(M540/360)*365 - (360*((DecLong/360)- (GMTOffset/24) ))</f>
        <v>37428.313020833331</v>
      </c>
      <c r="AF540" s="260">
        <f>IF(DecLat&gt;0,IF((90 - (DecLat-O540))&gt;90, (90 - (O540-DecLat)), (90 - (DecLat-O540))),IF((90 + (DecLat-O540))&gt;90, (90 + (O540-DecLat)), (90 + (DecLat-O540))))</f>
        <v>35.066666666666663</v>
      </c>
      <c r="AG540" s="257">
        <f>angularseperation(MoonRA,MoonDec,$M540,$O540)</f>
        <v>14.237091024133806</v>
      </c>
      <c r="AH540" s="261">
        <f ca="1">MIN(100,IF($O$5&gt;80,0+30*($AG540/100),IF($O$5&gt;70,0+50*($AG540/100),IF($O$5&gt;60,5+50*($AG540/100),IF($O$5&gt;50,10+60*($AG540/100),IF($O$5&gt;40,15+70*($AG540/100),IF($O$5&gt;30,20+70*($AG540/100),IF($O$5&gt;20,40+55*($AG540/100),(80+(20-$O$5)+30*($AG540/100))))))))))</f>
        <v>87.542187651390563</v>
      </c>
      <c r="AI540" s="263"/>
      <c r="AJ540" s="263"/>
      <c r="AK540" s="263"/>
      <c r="AL540" s="263"/>
      <c r="AM540" s="264"/>
      <c r="AN540" s="263"/>
      <c r="AO540" s="263"/>
      <c r="AP540" s="265"/>
      <c r="AQ540" s="265"/>
      <c r="AR540" s="285"/>
      <c r="AS540" s="263"/>
      <c r="AT540" s="263"/>
      <c r="AU540" s="263"/>
      <c r="AV540" s="264"/>
      <c r="AW540" s="263">
        <v>81</v>
      </c>
      <c r="AX540" s="263"/>
      <c r="AY540" s="263"/>
      <c r="AZ540" s="263"/>
      <c r="BA540" s="263"/>
      <c r="BB540" s="263"/>
      <c r="BC540" s="263"/>
      <c r="BD540" s="264"/>
      <c r="BE540" s="263"/>
      <c r="BF540" s="263"/>
      <c r="BG540" s="263"/>
      <c r="BH540" s="263"/>
      <c r="BI540" s="263"/>
      <c r="BJ540" s="404">
        <f>altaz(J2000_Bas,$O540,$M540,DecLat,DecLong,2)</f>
        <v>202.95628619197561</v>
      </c>
      <c r="BK540" s="378" t="s">
        <v>643</v>
      </c>
      <c r="BL540" s="379">
        <f>IF((2*G540)/60&lt;0.2,0.2,(2*G540)/60)</f>
        <v>0.2</v>
      </c>
      <c r="BM540" s="380">
        <f>MOD((50000+AD540-$B$3+(0/24)),1)</f>
        <v>0.94337098349205917</v>
      </c>
      <c r="BN540" s="381"/>
      <c r="BO540" s="382">
        <v>540</v>
      </c>
    </row>
    <row r="541" spans="1:67" s="24" customFormat="1" ht="15" customHeight="1" x14ac:dyDescent="0.25">
      <c r="A541" s="288" t="s">
        <v>644</v>
      </c>
      <c r="B541" s="241" t="str">
        <f>HYPERLINK(CONCATENATE($AT$3,BK541,$AU$3),$AV$3)</f>
        <v>S</v>
      </c>
      <c r="C541" s="242" t="str">
        <f>HYPERLINK(CONCATENATE($AT$4,BK541,$AU$4,BL541),$AV$4)</f>
        <v>A</v>
      </c>
      <c r="D541" s="243" t="s">
        <v>5187</v>
      </c>
      <c r="E541" s="244" t="s">
        <v>5179</v>
      </c>
      <c r="F541" s="269">
        <v>3</v>
      </c>
      <c r="G541" s="273">
        <v>5</v>
      </c>
      <c r="H541" s="271" t="s">
        <v>6500</v>
      </c>
      <c r="I541" s="244" t="s">
        <v>6500</v>
      </c>
      <c r="J541" s="246">
        <v>1</v>
      </c>
      <c r="K541" s="247" t="s">
        <v>5971</v>
      </c>
      <c r="L541" s="248">
        <v>173837</v>
      </c>
      <c r="M541" s="249">
        <f>15*(LEFT(TEXT($L541,"000000"),2)+(MID(TEXT($L541,"000000"),3,2)/60)+(RIGHT(TEXT($L541,"000000"),2)/3600))</f>
        <v>264.65416666666664</v>
      </c>
      <c r="N541" s="286">
        <v>-234700</v>
      </c>
      <c r="O541" s="251">
        <f>IF($N541&gt;0,(LEFT(TEXT($N541,"000000"),2)+(MID(TEXT($N541,"000000"),3,2)/60)+(RIGHT(TEXT($N541,"000000"),2)/3600)),-(MID(TEXT($N541,"000000"),2,2)+(MID(TEXT($N541,"000000"),4,2)/60)+(RIGHT(TEXT($N541,"000000"),2)/3600)))</f>
        <v>-23.783333333333335</v>
      </c>
      <c r="P541" s="252" t="s">
        <v>113</v>
      </c>
      <c r="Q541" s="253"/>
      <c r="R541" s="277" t="s">
        <v>3293</v>
      </c>
      <c r="S541" s="272" t="s">
        <v>3293</v>
      </c>
      <c r="T541" s="273"/>
      <c r="U541" s="274"/>
      <c r="V541" s="256"/>
      <c r="W541" s="244"/>
      <c r="X541" s="244"/>
      <c r="Y541" s="362"/>
      <c r="Z541" s="257">
        <f>altaz(J2000_Bas,$O541,$M541,DecLat,DecLong,1)</f>
        <v>31.523558909317948</v>
      </c>
      <c r="AA541" s="257">
        <f>altaz((J2000_Bas+(2*0.04167)),$O541,$M541,DecLat,DecLong,1)</f>
        <v>16.337670634819379</v>
      </c>
      <c r="AB541" s="257">
        <f>altaz((J2000_Bas+(4*0.04167)),$O541,$M541,DecLat,DecLong,1)</f>
        <v>-5.2788964797379325</v>
      </c>
      <c r="AC541" s="257">
        <f>altaz((J2000_Bas+(6*0.04167)),$O541,$M541,DecLat,DecLong,1)</f>
        <v>-29.767264903587947</v>
      </c>
      <c r="AD541" s="258">
        <f>1+ transit((J2000_Bas-1),$O541,$M541,DecLat,DecLong)/360 + (GMTOffset/24) + (IF(DST="Y", 1, 0)/24)</f>
        <v>1.7280503500776245</v>
      </c>
      <c r="AE541" s="259">
        <f>DATE(2001,9,21)+(M541/360)*365 - (360*((DecLong/360)- (GMTOffset/24) ))</f>
        <v>37428.329918981479</v>
      </c>
      <c r="AF541" s="260">
        <f>IF(DecLat&gt;0,IF((90 - (DecLat-O541))&gt;90, (90 - (O541-DecLat)), (90 - (DecLat-O541))),IF((90 + (DecLat-O541))&gt;90, (90 + (O541-DecLat)), (90 + (DecLat-O541))))</f>
        <v>35.216666666666669</v>
      </c>
      <c r="AG541" s="257">
        <f>angularseperation(MoonRA,MoonDec,$M541,$O541)</f>
        <v>14.293848076422236</v>
      </c>
      <c r="AH541" s="261">
        <f ca="1">MIN(100,IF($O$5&gt;80,0+30*($AG541/100),IF($O$5&gt;70,0+50*($AG541/100),IF($O$5&gt;60,5+50*($AG541/100),IF($O$5&gt;50,10+60*($AG541/100),IF($O$5&gt;40,15+70*($AG541/100),IF($O$5&gt;30,20+70*($AG541/100),IF($O$5&gt;20,40+55*($AG541/100),(80+(20-$O$5)+30*($AG541/100))))))))))</f>
        <v>87.559214767077094</v>
      </c>
      <c r="AI541" s="263"/>
      <c r="AJ541" s="263"/>
      <c r="AK541" s="263"/>
      <c r="AL541" s="263"/>
      <c r="AM541" s="264"/>
      <c r="AN541" s="263"/>
      <c r="AO541" s="263"/>
      <c r="AP541" s="265"/>
      <c r="AQ541" s="265"/>
      <c r="AR541" s="285"/>
      <c r="AS541" s="263"/>
      <c r="AT541" s="263"/>
      <c r="AU541" s="263"/>
      <c r="AV541" s="264"/>
      <c r="AW541" s="263">
        <v>82</v>
      </c>
      <c r="AX541" s="263"/>
      <c r="AY541" s="263"/>
      <c r="AZ541" s="263"/>
      <c r="BA541" s="263"/>
      <c r="BB541" s="263"/>
      <c r="BC541" s="263"/>
      <c r="BD541" s="264"/>
      <c r="BE541" s="263"/>
      <c r="BF541" s="263"/>
      <c r="BG541" s="263"/>
      <c r="BH541" s="263"/>
      <c r="BI541" s="263"/>
      <c r="BJ541" s="404">
        <f>altaz(J2000_Bas,$O541,$M541,DecLat,DecLong,2)</f>
        <v>203.00399779021305</v>
      </c>
      <c r="BK541" s="378" t="s">
        <v>644</v>
      </c>
      <c r="BL541" s="379">
        <f>IF((2*G541)/60&lt;0.2,0.2,(2*G541)/60)</f>
        <v>0.2</v>
      </c>
      <c r="BM541" s="380">
        <f>MOD((50000+AD541-$B$3+(0/24)),1)</f>
        <v>0.94341727978462586</v>
      </c>
      <c r="BN541" s="381"/>
      <c r="BO541" s="382">
        <v>541</v>
      </c>
    </row>
    <row r="542" spans="1:67" s="24" customFormat="1" ht="15" customHeight="1" x14ac:dyDescent="0.25">
      <c r="A542" s="288" t="s">
        <v>645</v>
      </c>
      <c r="B542" s="241" t="str">
        <f>HYPERLINK(CONCATENATE($AT$3,BK542,$AU$3),$AV$3)</f>
        <v>S</v>
      </c>
      <c r="C542" s="242" t="str">
        <f>HYPERLINK(CONCATENATE($AT$4,BK542,$AU$4,BL542),$AV$4)</f>
        <v>A</v>
      </c>
      <c r="D542" s="243" t="s">
        <v>5187</v>
      </c>
      <c r="E542" s="244" t="s">
        <v>5179</v>
      </c>
      <c r="F542" s="269">
        <v>6</v>
      </c>
      <c r="G542" s="273">
        <v>7</v>
      </c>
      <c r="H542" s="271" t="s">
        <v>6500</v>
      </c>
      <c r="I542" s="244" t="s">
        <v>6500</v>
      </c>
      <c r="J542" s="246">
        <v>1</v>
      </c>
      <c r="K542" s="247" t="s">
        <v>8529</v>
      </c>
      <c r="L542" s="248">
        <v>173858</v>
      </c>
      <c r="M542" s="249">
        <f>15*(LEFT(TEXT($L542,"000000"),2)+(MID(TEXT($L542,"000000"),3,2)/60)+(RIGHT(TEXT($L542,"000000"),2)/3600))</f>
        <v>264.74166666666667</v>
      </c>
      <c r="N542" s="286">
        <v>-241100</v>
      </c>
      <c r="O542" s="251">
        <f>IF($N542&gt;0,(LEFT(TEXT($N542,"000000"),2)+(MID(TEXT($N542,"000000"),3,2)/60)+(RIGHT(TEXT($N542,"000000"),2)/3600)),-(MID(TEXT($N542,"000000"),2,2)+(MID(TEXT($N542,"000000"),4,2)/60)+(RIGHT(TEXT($N542,"000000"),2)/3600)))</f>
        <v>-24.183333333333334</v>
      </c>
      <c r="P542" s="252" t="s">
        <v>113</v>
      </c>
      <c r="Q542" s="253"/>
      <c r="R542" s="277" t="s">
        <v>3293</v>
      </c>
      <c r="S542" s="272" t="s">
        <v>3293</v>
      </c>
      <c r="T542" s="273"/>
      <c r="U542" s="274"/>
      <c r="V542" s="256"/>
      <c r="W542" s="244"/>
      <c r="X542" s="244"/>
      <c r="Y542" s="362"/>
      <c r="Z542" s="257">
        <f>altaz(J2000_Bas,$O542,$M542,DecLat,DecLong,1)</f>
        <v>31.180260956753347</v>
      </c>
      <c r="AA542" s="257">
        <f>altaz((J2000_Bas+(2*0.04167)),$O542,$M542,DecLat,DecLong,1)</f>
        <v>16.106830618023157</v>
      </c>
      <c r="AB542" s="257">
        <f>altaz((J2000_Bas+(4*0.04167)),$O542,$M542,DecLat,DecLong,1)</f>
        <v>-5.4206357163069674</v>
      </c>
      <c r="AC542" s="257">
        <f>altaz((J2000_Bas+(6*0.04167)),$O542,$M542,DecLat,DecLong,1)</f>
        <v>-29.851726969042375</v>
      </c>
      <c r="AD542" s="258">
        <f>1+ transit((J2000_Bas-1),$O542,$M542,DecLat,DecLong)/360 + (GMTOffset/24) + (IF(DST="Y", 1, 0)/24)</f>
        <v>1.7282934056088748</v>
      </c>
      <c r="AE542" s="259">
        <f>DATE(2001,9,21)+(M542/360)*365 - (360*((DecLong/360)- (GMTOffset/24) ))</f>
        <v>37428.418634259258</v>
      </c>
      <c r="AF542" s="260">
        <f>IF(DecLat&gt;0,IF((90 - (DecLat-O542))&gt;90, (90 - (O542-DecLat)), (90 - (DecLat-O542))),IF((90 + (DecLat-O542))&gt;90, (90 + (O542-DecLat)), (90 + (DecLat-O542))))</f>
        <v>34.816666666666663</v>
      </c>
      <c r="AG542" s="257">
        <f>angularseperation(MoonRA,MoonDec,$M542,$O542)</f>
        <v>14.261803053696774</v>
      </c>
      <c r="AH542" s="261">
        <f ca="1">MIN(100,IF($O$5&gt;80,0+30*($AG542/100),IF($O$5&gt;70,0+50*($AG542/100),IF($O$5&gt;60,5+50*($AG542/100),IF($O$5&gt;50,10+60*($AG542/100),IF($O$5&gt;40,15+70*($AG542/100),IF($O$5&gt;30,20+70*($AG542/100),IF($O$5&gt;20,40+55*($AG542/100),(80+(20-$O$5)+30*($AG542/100))))))))))</f>
        <v>87.549601260259465</v>
      </c>
      <c r="AI542" s="263"/>
      <c r="AJ542" s="263"/>
      <c r="AK542" s="263"/>
      <c r="AL542" s="263"/>
      <c r="AM542" s="264"/>
      <c r="AN542" s="263"/>
      <c r="AO542" s="263"/>
      <c r="AP542" s="265"/>
      <c r="AQ542" s="265"/>
      <c r="AR542" s="285"/>
      <c r="AS542" s="263"/>
      <c r="AT542" s="263"/>
      <c r="AU542" s="263"/>
      <c r="AV542" s="264"/>
      <c r="AW542" s="263">
        <v>83</v>
      </c>
      <c r="AX542" s="263"/>
      <c r="AY542" s="263"/>
      <c r="AZ542" s="263"/>
      <c r="BA542" s="263"/>
      <c r="BB542" s="263"/>
      <c r="BC542" s="263"/>
      <c r="BD542" s="264"/>
      <c r="BE542" s="263"/>
      <c r="BF542" s="263"/>
      <c r="BG542" s="263"/>
      <c r="BH542" s="263"/>
      <c r="BI542" s="263"/>
      <c r="BJ542" s="404">
        <f>altaz(J2000_Bas,$O542,$M542,DecLat,DecLong,2)</f>
        <v>202.74601560606223</v>
      </c>
      <c r="BK542" s="378" t="s">
        <v>645</v>
      </c>
      <c r="BL542" s="379">
        <f>IF((2*G542)/60&lt;0.2,0.2,(2*G542)/60)</f>
        <v>0.23333333333333334</v>
      </c>
      <c r="BM542" s="380">
        <f>MOD((50000+AD542-$B$3+(0/24)),1)</f>
        <v>0.94366033530968707</v>
      </c>
      <c r="BN542" s="381"/>
      <c r="BO542" s="382">
        <v>542</v>
      </c>
    </row>
    <row r="543" spans="1:67" s="24" customFormat="1" ht="15" customHeight="1" x14ac:dyDescent="0.25">
      <c r="A543" s="287" t="s">
        <v>646</v>
      </c>
      <c r="B543" s="241" t="str">
        <f>HYPERLINK(CONCATENATE($AT$3,BK543,$AU$3),$AV$3)</f>
        <v>S</v>
      </c>
      <c r="C543" s="242" t="str">
        <f>HYPERLINK(CONCATENATE($AT$4,BK543,$AU$4,BL543),$AV$4)</f>
        <v>A</v>
      </c>
      <c r="D543" s="243" t="s">
        <v>5187</v>
      </c>
      <c r="E543" s="244" t="s">
        <v>5179</v>
      </c>
      <c r="F543" s="269">
        <v>6</v>
      </c>
      <c r="G543" s="273">
        <v>4</v>
      </c>
      <c r="H543" s="271" t="s">
        <v>6500</v>
      </c>
      <c r="I543" s="244" t="s">
        <v>6500</v>
      </c>
      <c r="J543" s="246">
        <v>1</v>
      </c>
      <c r="K543" s="247" t="s">
        <v>5972</v>
      </c>
      <c r="L543" s="248">
        <v>174519</v>
      </c>
      <c r="M543" s="249">
        <f>15*(LEFT(TEXT($L543,"000000"),2)+(MID(TEXT($L543,"000000"),3,2)/60)+(RIGHT(TEXT($L543,"000000"),2)/3600))</f>
        <v>266.32916666666665</v>
      </c>
      <c r="N543" s="286">
        <v>-200100</v>
      </c>
      <c r="O543" s="251">
        <f>IF($N543&gt;0,(LEFT(TEXT($N543,"000000"),2)+(MID(TEXT($N543,"000000"),3,2)/60)+(RIGHT(TEXT($N543,"000000"),2)/3600)),-(MID(TEXT($N543,"000000"),2,2)+(MID(TEXT($N543,"000000"),4,2)/60)+(RIGHT(TEXT($N543,"000000"),2)/3600)))</f>
        <v>-20.016666666666666</v>
      </c>
      <c r="P543" s="252" t="s">
        <v>119</v>
      </c>
      <c r="Q543" s="253"/>
      <c r="R543" s="277" t="s">
        <v>3293</v>
      </c>
      <c r="S543" s="272" t="s">
        <v>3293</v>
      </c>
      <c r="T543" s="273"/>
      <c r="U543" s="274"/>
      <c r="V543" s="256"/>
      <c r="W543" s="244"/>
      <c r="X543" s="244"/>
      <c r="Y543" s="362"/>
      <c r="Z543" s="257">
        <f>altaz(J2000_Bas,$O543,$M543,DecLat,DecLong,1)</f>
        <v>35.597044617023556</v>
      </c>
      <c r="AA543" s="257">
        <f>altaz((J2000_Bas+(2*0.04167)),$O543,$M543,DecLat,DecLong,1)</f>
        <v>20.120810145134115</v>
      </c>
      <c r="AB543" s="257">
        <f>altaz((J2000_Bas+(4*0.04167)),$O543,$M543,DecLat,DecLong,1)</f>
        <v>-1.9633854171770855</v>
      </c>
      <c r="AC543" s="257">
        <f>altaz((J2000_Bas+(6*0.04167)),$O543,$M543,DecLat,DecLong,1)</f>
        <v>-26.79438018293558</v>
      </c>
      <c r="AD543" s="258">
        <f>1+ transit((J2000_Bas-1),$O543,$M543,DecLat,DecLong)/360 + (GMTOffset/24) + (IF(DST="Y", 1, 0)/24)</f>
        <v>1.7327031273901248</v>
      </c>
      <c r="AE543" s="259">
        <f>DATE(2001,9,21)+(M543/360)*365 - (360*((DecLong/360)- (GMTOffset/24) ))</f>
        <v>37430.028182870374</v>
      </c>
      <c r="AF543" s="260">
        <f>IF(DecLat&gt;0,IF((90 - (DecLat-O543))&gt;90, (90 - (O543-DecLat)), (90 - (DecLat-O543))),IF((90 + (DecLat-O543))&gt;90, (90 + (O543-DecLat)), (90 + (DecLat-O543))))</f>
        <v>38.983333333333334</v>
      </c>
      <c r="AG543" s="257">
        <f>angularseperation(MoonRA,MoonDec,$M543,$O543)</f>
        <v>17.161839220580045</v>
      </c>
      <c r="AH543" s="261">
        <f ca="1">MIN(100,IF($O$5&gt;80,0+30*($AG543/100),IF($O$5&gt;70,0+50*($AG543/100),IF($O$5&gt;60,5+50*($AG543/100),IF($O$5&gt;50,10+60*($AG543/100),IF($O$5&gt;40,15+70*($AG543/100),IF($O$5&gt;30,20+70*($AG543/100),IF($O$5&gt;20,40+55*($AG543/100),(80+(20-$O$5)+30*($AG543/100))))))))))</f>
        <v>88.419612110324437</v>
      </c>
      <c r="AI543" s="263"/>
      <c r="AJ543" s="263"/>
      <c r="AK543" s="263"/>
      <c r="AL543" s="263"/>
      <c r="AM543" s="264"/>
      <c r="AN543" s="263"/>
      <c r="AO543" s="263"/>
      <c r="AP543" s="265"/>
      <c r="AQ543" s="265"/>
      <c r="AR543" s="285"/>
      <c r="AS543" s="263"/>
      <c r="AT543" s="263"/>
      <c r="AU543" s="263"/>
      <c r="AV543" s="264"/>
      <c r="AW543" s="299">
        <v>83.1</v>
      </c>
      <c r="AX543" s="263"/>
      <c r="AY543" s="263"/>
      <c r="AZ543" s="263"/>
      <c r="BA543" s="263"/>
      <c r="BB543" s="263"/>
      <c r="BC543" s="263"/>
      <c r="BD543" s="264"/>
      <c r="BE543" s="263"/>
      <c r="BF543" s="263"/>
      <c r="BG543" s="263"/>
      <c r="BH543" s="263"/>
      <c r="BI543" s="263"/>
      <c r="BJ543" s="404">
        <f>altaz(J2000_Bas,$O543,$M543,DecLat,DecLong,2)</f>
        <v>202.893416304319</v>
      </c>
      <c r="BK543" s="378" t="s">
        <v>646</v>
      </c>
      <c r="BL543" s="379">
        <f>IF((2*G543)/60&lt;0.2,0.2,(2*G543)/60)</f>
        <v>0.2</v>
      </c>
      <c r="BM543" s="380">
        <f>MOD((50000+AD543-$B$3+(0/24)),1)</f>
        <v>0.94807005709299119</v>
      </c>
      <c r="BN543" s="381"/>
      <c r="BO543" s="382">
        <v>543</v>
      </c>
    </row>
    <row r="544" spans="1:67" s="24" customFormat="1" ht="15" customHeight="1" x14ac:dyDescent="0.25">
      <c r="A544" s="287" t="s">
        <v>647</v>
      </c>
      <c r="B544" s="241" t="str">
        <f>HYPERLINK(CONCATENATE($AT$3,BK544,$AU$3),$AV$3)</f>
        <v>S</v>
      </c>
      <c r="C544" s="242" t="str">
        <f>HYPERLINK(CONCATENATE($AT$4,BK544,$AU$4,BL544),$AV$4)</f>
        <v>A</v>
      </c>
      <c r="D544" s="243" t="s">
        <v>5187</v>
      </c>
      <c r="E544" s="244" t="s">
        <v>5179</v>
      </c>
      <c r="F544" s="269">
        <v>6</v>
      </c>
      <c r="G544" s="276">
        <v>60</v>
      </c>
      <c r="H544" s="271" t="s">
        <v>6500</v>
      </c>
      <c r="I544" s="244" t="s">
        <v>6500</v>
      </c>
      <c r="J544" s="246">
        <v>2</v>
      </c>
      <c r="K544" s="247" t="s">
        <v>8530</v>
      </c>
      <c r="L544" s="248">
        <v>174625</v>
      </c>
      <c r="M544" s="249">
        <f>15*(LEFT(TEXT($L544,"000000"),2)+(MID(TEXT($L544,"000000"),3,2)/60)+(RIGHT(TEXT($L544,"000000"),2)/3600))</f>
        <v>266.60416666666663</v>
      </c>
      <c r="N544" s="250">
        <v>-201600</v>
      </c>
      <c r="O544" s="251">
        <f>IF($N544&gt;0,(LEFT(TEXT($N544,"000000"),2)+(MID(TEXT($N544,"000000"),3,2)/60)+(RIGHT(TEXT($N544,"000000"),2)/3600)),-(MID(TEXT($N544,"000000"),2,2)+(MID(TEXT($N544,"000000"),4,2)/60)+(RIGHT(TEXT($N544,"000000"),2)/3600)))</f>
        <v>-20.266666666666666</v>
      </c>
      <c r="P544" s="252" t="s">
        <v>119</v>
      </c>
      <c r="Q544" s="253"/>
      <c r="R544" s="277" t="s">
        <v>3293</v>
      </c>
      <c r="S544" s="272" t="s">
        <v>3293</v>
      </c>
      <c r="T544" s="273"/>
      <c r="U544" s="274"/>
      <c r="V544" s="256"/>
      <c r="W544" s="244"/>
      <c r="X544" s="244"/>
      <c r="Y544" s="362"/>
      <c r="Z544" s="257">
        <f>altaz(J2000_Bas,$O544,$M544,DecLat,DecLong,1)</f>
        <v>35.453993959908999</v>
      </c>
      <c r="AA544" s="257">
        <f>altaz((J2000_Bas+(2*0.04167)),$O544,$M544,DecLat,DecLong,1)</f>
        <v>20.120697084941852</v>
      </c>
      <c r="AB544" s="257">
        <f>altaz((J2000_Bas+(4*0.04167)),$O544,$M544,DecLat,DecLong,1)</f>
        <v>-1.8796689784209388</v>
      </c>
      <c r="AC544" s="257">
        <f>altaz((J2000_Bas+(6*0.04167)),$O544,$M544,DecLat,DecLong,1)</f>
        <v>-26.668605417829252</v>
      </c>
      <c r="AD544" s="258">
        <f>1+ transit((J2000_Bas-1),$O544,$M544,DecLat,DecLong)/360 + (GMTOffset/24) + (IF(DST="Y", 1, 0)/24)</f>
        <v>1.7334670162026247</v>
      </c>
      <c r="AE544" s="259">
        <f>DATE(2001,9,21)+(M544/360)*365 - (360*((DecLong/360)- (GMTOffset/24) ))</f>
        <v>37430.307002314818</v>
      </c>
      <c r="AF544" s="260">
        <f>IF(DecLat&gt;0,IF((90 - (DecLat-O544))&gt;90, (90 - (O544-DecLat)), (90 - (DecLat-O544))),IF((90 + (DecLat-O544))&gt;90, (90 + (O544-DecLat)), (90 + (DecLat-O544))))</f>
        <v>38.733333333333334</v>
      </c>
      <c r="AG544" s="257">
        <f>angularseperation(MoonRA,MoonDec,$M544,$O544)</f>
        <v>17.278084280037529</v>
      </c>
      <c r="AH544" s="261">
        <f ca="1">MIN(100,IF($O$5&gt;80,0+30*($AG544/100),IF($O$5&gt;70,0+50*($AG544/100),IF($O$5&gt;60,5+50*($AG544/100),IF($O$5&gt;50,10+60*($AG544/100),IF($O$5&gt;40,15+70*($AG544/100),IF($O$5&gt;30,20+70*($AG544/100),IF($O$5&gt;20,40+55*($AG544/100),(80+(20-$O$5)+30*($AG544/100))))))))))</f>
        <v>88.454485628161692</v>
      </c>
      <c r="AI544" s="263"/>
      <c r="AJ544" s="263"/>
      <c r="AK544" s="263"/>
      <c r="AL544" s="263"/>
      <c r="AM544" s="264"/>
      <c r="AN544" s="263"/>
      <c r="AO544" s="263"/>
      <c r="AP544" s="265"/>
      <c r="AQ544" s="265"/>
      <c r="AR544" s="285"/>
      <c r="AS544" s="263"/>
      <c r="AT544" s="263"/>
      <c r="AU544" s="263"/>
      <c r="AV544" s="264"/>
      <c r="AW544" s="263">
        <v>84</v>
      </c>
      <c r="AX544" s="263"/>
      <c r="AY544" s="263"/>
      <c r="AZ544" s="263"/>
      <c r="BA544" s="263"/>
      <c r="BB544" s="263"/>
      <c r="BC544" s="263"/>
      <c r="BD544" s="264"/>
      <c r="BE544" s="263"/>
      <c r="BF544" s="263"/>
      <c r="BG544" s="263"/>
      <c r="BH544" s="263"/>
      <c r="BI544" s="263"/>
      <c r="BJ544" s="404">
        <f>altaz(J2000_Bas,$O544,$M544,DecLat,DecLong,2)</f>
        <v>202.48832204209015</v>
      </c>
      <c r="BK544" s="378" t="s">
        <v>647</v>
      </c>
      <c r="BL544" s="379">
        <f>IF((2*G544)/60&lt;0.2,0.2,(2*G544)/60)</f>
        <v>2</v>
      </c>
      <c r="BM544" s="380">
        <f>MOD((50000+AD544-$B$3+(0/24)),1)</f>
        <v>0.94883394590578973</v>
      </c>
      <c r="BN544" s="381"/>
      <c r="BO544" s="382">
        <v>544</v>
      </c>
    </row>
    <row r="545" spans="1:67" s="24" customFormat="1" ht="15" customHeight="1" x14ac:dyDescent="0.25">
      <c r="A545" s="287" t="s">
        <v>648</v>
      </c>
      <c r="B545" s="241" t="str">
        <f>HYPERLINK(CONCATENATE($AT$3,BK545,$AU$3),$AV$3)</f>
        <v>S</v>
      </c>
      <c r="C545" s="242" t="str">
        <f>HYPERLINK(CONCATENATE($AT$4,BK545,$AU$4,BL545),$AV$4)</f>
        <v>A</v>
      </c>
      <c r="D545" s="243" t="s">
        <v>5187</v>
      </c>
      <c r="E545" s="244" t="s">
        <v>5179</v>
      </c>
      <c r="F545" s="269">
        <v>5</v>
      </c>
      <c r="G545" s="276">
        <v>16</v>
      </c>
      <c r="H545" s="271" t="s">
        <v>6500</v>
      </c>
      <c r="I545" s="244" t="s">
        <v>6500</v>
      </c>
      <c r="J545" s="246">
        <v>1</v>
      </c>
      <c r="K545" s="247" t="s">
        <v>5973</v>
      </c>
      <c r="L545" s="248">
        <v>175737</v>
      </c>
      <c r="M545" s="249">
        <f>15*(LEFT(TEXT($L545,"000000"),2)+(MID(TEXT($L545,"000000"),3,2)/60)+(RIGHT(TEXT($L545,"000000"),2)/3600))</f>
        <v>269.40416666666664</v>
      </c>
      <c r="N545" s="286">
        <v>-174100</v>
      </c>
      <c r="O545" s="251">
        <f>IF($N545&gt;0,(LEFT(TEXT($N545,"000000"),2)+(MID(TEXT($N545,"000000"),3,2)/60)+(RIGHT(TEXT($N545,"000000"),2)/3600)),-(MID(TEXT($N545,"000000"),2,2)+(MID(TEXT($N545,"000000"),4,2)/60)+(RIGHT(TEXT($N545,"000000"),2)/3600)))</f>
        <v>-17.683333333333334</v>
      </c>
      <c r="P545" s="252" t="s">
        <v>119</v>
      </c>
      <c r="Q545" s="253"/>
      <c r="R545" s="277" t="s">
        <v>3293</v>
      </c>
      <c r="S545" s="272" t="s">
        <v>3293</v>
      </c>
      <c r="T545" s="273"/>
      <c r="U545" s="274"/>
      <c r="V545" s="256"/>
      <c r="W545" s="244"/>
      <c r="X545" s="244"/>
      <c r="Y545" s="362"/>
      <c r="Z545" s="257">
        <f>altaz(J2000_Bas,$O545,$M545,DecLat,DecLong,1)</f>
        <v>38.769576720757797</v>
      </c>
      <c r="AA545" s="257">
        <f>altaz((J2000_Bas+(2*0.04167)),$O545,$M545,DecLat,DecLong,1)</f>
        <v>23.816888360001862</v>
      </c>
      <c r="AB545" s="257">
        <f>altaz((J2000_Bas+(4*0.04167)),$O545,$M545,DecLat,DecLong,1)</f>
        <v>1.7472670211602874</v>
      </c>
      <c r="AC545" s="257">
        <f>altaz((J2000_Bas+(6*0.04167)),$O545,$M545,DecLat,DecLong,1)</f>
        <v>-23.153699275797447</v>
      </c>
      <c r="AD545" s="258">
        <f>1+ transit((J2000_Bas-1),$O545,$M545,DecLat,DecLong)/360 + (GMTOffset/24) + (IF(DST="Y", 1, 0)/24)</f>
        <v>1.7412447932026247</v>
      </c>
      <c r="AE545" s="259">
        <f>DATE(2001,9,21)+(M545/360)*365 - (360*((DecLong/360)- (GMTOffset/24) ))</f>
        <v>37433.145891203705</v>
      </c>
      <c r="AF545" s="260">
        <f>IF(DecLat&gt;0,IF((90 - (DecLat-O545))&gt;90, (90 - (O545-DecLat)), (90 - (DecLat-O545))),IF((90 + (DecLat-O545))&gt;90, (90 + (O545-DecLat)), (90 + (DecLat-O545))))</f>
        <v>41.316666666666663</v>
      </c>
      <c r="AG545" s="257">
        <f>angularseperation(MoonRA,MoonDec,$M545,$O545)</f>
        <v>20.83827874974553</v>
      </c>
      <c r="AH545" s="261">
        <f ca="1">MIN(100,IF($O$5&gt;80,0+30*($AG545/100),IF($O$5&gt;70,0+50*($AG545/100),IF($O$5&gt;60,5+50*($AG545/100),IF($O$5&gt;50,10+60*($AG545/100),IF($O$5&gt;40,15+70*($AG545/100),IF($O$5&gt;30,20+70*($AG545/100),IF($O$5&gt;20,40+55*($AG545/100),(80+(20-$O$5)+30*($AG545/100))))))))))</f>
        <v>89.522543969074093</v>
      </c>
      <c r="AI545" s="263"/>
      <c r="AJ545" s="263"/>
      <c r="AK545" s="263"/>
      <c r="AL545" s="263"/>
      <c r="AM545" s="264"/>
      <c r="AN545" s="263"/>
      <c r="AO545" s="263"/>
      <c r="AP545" s="265"/>
      <c r="AQ545" s="265"/>
      <c r="AR545" s="285"/>
      <c r="AS545" s="263"/>
      <c r="AT545" s="263"/>
      <c r="AU545" s="263"/>
      <c r="AV545" s="264"/>
      <c r="AW545" s="299">
        <v>84.1</v>
      </c>
      <c r="AX545" s="263"/>
      <c r="AY545" s="263"/>
      <c r="AZ545" s="263"/>
      <c r="BA545" s="263"/>
      <c r="BB545" s="263"/>
      <c r="BC545" s="263"/>
      <c r="BD545" s="264"/>
      <c r="BE545" s="263"/>
      <c r="BF545" s="263"/>
      <c r="BG545" s="263"/>
      <c r="BH545" s="263"/>
      <c r="BI545" s="263"/>
      <c r="BJ545" s="404">
        <f>altaz(J2000_Bas,$O545,$M545,DecLat,DecLong,2)</f>
        <v>200.43086734011979</v>
      </c>
      <c r="BK545" s="378" t="s">
        <v>648</v>
      </c>
      <c r="BL545" s="379">
        <f>IF((2*G545)/60&lt;0.2,0.2,(2*G545)/60)</f>
        <v>0.53333333333333333</v>
      </c>
      <c r="BM545" s="380">
        <f>MOD((50000+AD545-$B$3+(0/24)),1)</f>
        <v>0.95661172290419927</v>
      </c>
      <c r="BN545" s="381"/>
      <c r="BO545" s="382">
        <v>545</v>
      </c>
    </row>
    <row r="546" spans="1:67" s="24" customFormat="1" ht="15" customHeight="1" x14ac:dyDescent="0.25">
      <c r="A546" s="288" t="s">
        <v>649</v>
      </c>
      <c r="B546" s="241" t="str">
        <f>HYPERLINK(CONCATENATE($AT$3,BK546,$AU$3),$AV$3)</f>
        <v>S</v>
      </c>
      <c r="C546" s="242" t="str">
        <f>HYPERLINK(CONCATENATE($AT$4,BK546,$AU$4,BL546),$AV$4)</f>
        <v>A</v>
      </c>
      <c r="D546" s="243" t="s">
        <v>5187</v>
      </c>
      <c r="E546" s="244" t="s">
        <v>5179</v>
      </c>
      <c r="F546" s="269">
        <v>0</v>
      </c>
      <c r="G546" s="276">
        <v>29</v>
      </c>
      <c r="H546" s="271" t="s">
        <v>6500</v>
      </c>
      <c r="I546" s="244" t="s">
        <v>6500</v>
      </c>
      <c r="J546" s="246">
        <v>3</v>
      </c>
      <c r="K546" s="247" t="s">
        <v>5974</v>
      </c>
      <c r="L546" s="248">
        <v>180225</v>
      </c>
      <c r="M546" s="249">
        <f>15*(LEFT(TEXT($L546,"000000"),2)+(MID(TEXT($L546,"000000"),3,2)/60)+(RIGHT(TEXT($L546,"000000"),2)/3600))</f>
        <v>270.60416666666669</v>
      </c>
      <c r="N546" s="286">
        <v>-230200</v>
      </c>
      <c r="O546" s="251">
        <f>IF($N546&gt;0,(LEFT(TEXT($N546,"000000"),2)+(MID(TEXT($N546,"000000"),3,2)/60)+(RIGHT(TEXT($N546,"000000"),2)/3600)),-(MID(TEXT($N546,"000000"),2,2)+(MID(TEXT($N546,"000000"),4,2)/60)+(RIGHT(TEXT($N546,"000000"),2)/3600)))</f>
        <v>-23.033333333333335</v>
      </c>
      <c r="P546" s="252" t="s">
        <v>119</v>
      </c>
      <c r="Q546" s="253"/>
      <c r="R546" s="247" t="s">
        <v>3293</v>
      </c>
      <c r="S546" s="272" t="s">
        <v>4404</v>
      </c>
      <c r="T546" s="273"/>
      <c r="U546" s="274"/>
      <c r="V546" s="256"/>
      <c r="W546" s="244"/>
      <c r="X546" s="244"/>
      <c r="Y546" s="362"/>
      <c r="Z546" s="257">
        <f>altaz(J2000_Bas,$O546,$M546,DecLat,DecLong,1)</f>
        <v>33.986491832611328</v>
      </c>
      <c r="AA546" s="257">
        <f>altaz((J2000_Bas+(2*0.04167)),$O546,$M546,DecLat,DecLong,1)</f>
        <v>20.582094976388955</v>
      </c>
      <c r="AB546" s="257">
        <f>altaz((J2000_Bas+(4*0.04167)),$O546,$M546,DecLat,DecLong,1)</f>
        <v>-0.28132393048570148</v>
      </c>
      <c r="AC546" s="257">
        <f>altaz((J2000_Bas+(6*0.04167)),$O546,$M546,DecLat,DecLong,1)</f>
        <v>-24.477781614644492</v>
      </c>
      <c r="AD546" s="258">
        <f>1+ transit((J2000_Bas-1),$O546,$M546,DecLat,DecLong)/360 + (GMTOffset/24) + (IF(DST="Y", 1, 0)/24)</f>
        <v>1.7445781262026248</v>
      </c>
      <c r="AE546" s="259">
        <f>DATE(2001,9,21)+(M546/360)*365 - (360*((DecLong/360)- (GMTOffset/24) ))</f>
        <v>37434.362557870372</v>
      </c>
      <c r="AF546" s="260">
        <f>IF(DecLat&gt;0,IF((90 - (DecLat-O546))&gt;90, (90 - (O546-DecLat)), (90 - (DecLat-O546))),IF((90 + (DecLat-O546))&gt;90, (90 + (O546-DecLat)), (90 + (DecLat-O546))))</f>
        <v>35.966666666666669</v>
      </c>
      <c r="AG546" s="257">
        <f>angularseperation(MoonRA,MoonDec,$M546,$O546)</f>
        <v>19.744473360673005</v>
      </c>
      <c r="AH546" s="261">
        <f ca="1">MIN(100,IF($O$5&gt;80,0+30*($AG546/100),IF($O$5&gt;70,0+50*($AG546/100),IF($O$5&gt;60,5+50*($AG546/100),IF($O$5&gt;50,10+60*($AG546/100),IF($O$5&gt;40,15+70*($AG546/100),IF($O$5&gt;30,20+70*($AG546/100),IF($O$5&gt;20,40+55*($AG546/100),(80+(20-$O$5)+30*($AG546/100))))))))))</f>
        <v>89.194402352352327</v>
      </c>
      <c r="AI546" s="262"/>
      <c r="AJ546" s="262"/>
      <c r="AK546" s="262"/>
      <c r="AL546" s="263"/>
      <c r="AM546" s="264"/>
      <c r="AN546" s="263"/>
      <c r="AO546" s="263"/>
      <c r="AP546" s="265"/>
      <c r="AQ546" s="266"/>
      <c r="AR546" s="267"/>
      <c r="AS546" s="263"/>
      <c r="AT546" s="263"/>
      <c r="AU546" s="263"/>
      <c r="AV546" s="264"/>
      <c r="AW546" s="263">
        <v>85</v>
      </c>
      <c r="AX546" s="263"/>
      <c r="AY546" s="263"/>
      <c r="AZ546" s="263"/>
      <c r="BA546" s="263"/>
      <c r="BB546" s="263"/>
      <c r="BC546" s="263"/>
      <c r="BD546" s="264"/>
      <c r="BE546" s="263"/>
      <c r="BF546" s="263"/>
      <c r="BG546" s="263"/>
      <c r="BH546" s="263"/>
      <c r="BI546" s="263"/>
      <c r="BJ546" s="404">
        <f>altaz(J2000_Bas,$O546,$M546,DecLat,DecLong,2)</f>
        <v>197.13992692238972</v>
      </c>
      <c r="BK546" s="378" t="s">
        <v>649</v>
      </c>
      <c r="BL546" s="379">
        <f>IF((2*G546)/60&lt;0.2,0.2,(2*G546)/60)</f>
        <v>0.96666666666666667</v>
      </c>
      <c r="BM546" s="380">
        <f>MOD((50000+AD546-$B$3+(0/24)),1)</f>
        <v>0.95994505590351764</v>
      </c>
      <c r="BN546" s="381"/>
      <c r="BO546" s="382">
        <v>546</v>
      </c>
    </row>
    <row r="547" spans="1:67" s="24" customFormat="1" ht="15" customHeight="1" x14ac:dyDescent="0.25">
      <c r="A547" s="288" t="s">
        <v>650</v>
      </c>
      <c r="B547" s="241" t="str">
        <f>HYPERLINK(CONCATENATE($AT$3,BK547,$AU$3),$AV$3)</f>
        <v>S</v>
      </c>
      <c r="C547" s="242" t="str">
        <f>HYPERLINK(CONCATENATE($AT$4,BK547,$AU$4,BL547),$AV$4)</f>
        <v>A</v>
      </c>
      <c r="D547" s="243" t="s">
        <v>5187</v>
      </c>
      <c r="E547" s="244" t="s">
        <v>5179</v>
      </c>
      <c r="F547" s="269">
        <v>5</v>
      </c>
      <c r="G547" s="273">
        <v>5</v>
      </c>
      <c r="H547" s="271" t="s">
        <v>6500</v>
      </c>
      <c r="I547" s="244" t="s">
        <v>6500</v>
      </c>
      <c r="J547" s="246">
        <v>2</v>
      </c>
      <c r="K547" s="247" t="s">
        <v>5975</v>
      </c>
      <c r="L547" s="248">
        <v>180302</v>
      </c>
      <c r="M547" s="249">
        <f>15*(LEFT(TEXT($L547,"000000"),2)+(MID(TEXT($L547,"000000"),3,2)/60)+(RIGHT(TEXT($L547,"000000"),2)/3600))</f>
        <v>270.75833333333333</v>
      </c>
      <c r="N547" s="250">
        <v>-275300</v>
      </c>
      <c r="O547" s="251">
        <f>IF($N547&gt;0,(LEFT(TEXT($N547,"000000"),2)+(MID(TEXT($N547,"000000"),3,2)/60)+(RIGHT(TEXT($N547,"000000"),2)/3600)),-(MID(TEXT($N547,"000000"),2,2)+(MID(TEXT($N547,"000000"),4,2)/60)+(RIGHT(TEXT($N547,"000000"),2)/3600)))</f>
        <v>-27.883333333333333</v>
      </c>
      <c r="P547" s="252" t="s">
        <v>119</v>
      </c>
      <c r="Q547" s="253" t="s">
        <v>7010</v>
      </c>
      <c r="R547" s="247" t="s">
        <v>3293</v>
      </c>
      <c r="S547" s="272" t="s">
        <v>3293</v>
      </c>
      <c r="T547" s="273"/>
      <c r="U547" s="274"/>
      <c r="V547" s="256"/>
      <c r="W547" s="244"/>
      <c r="X547" s="244"/>
      <c r="Y547" s="362"/>
      <c r="Z547" s="257">
        <f>altaz(J2000_Bas,$O547,$M547,DecLat,DecLong,1)</f>
        <v>29.348685218098414</v>
      </c>
      <c r="AA547" s="257">
        <f>altaz((J2000_Bas+(2*0.04167)),$O547,$M547,DecLat,DecLong,1)</f>
        <v>16.96501792676581</v>
      </c>
      <c r="AB547" s="257">
        <f>altaz((J2000_Bas+(4*0.04167)),$O547,$M547,DecLat,DecLong,1)</f>
        <v>-2.8694107116889933</v>
      </c>
      <c r="AC547" s="257">
        <f>altaz((J2000_Bas+(6*0.04167)),$O547,$M547,DecLat,DecLong,1)</f>
        <v>-26.315673486820906</v>
      </c>
      <c r="AD547" s="258">
        <f>1+ transit((J2000_Bas-1),$O547,$M547,DecLat,DecLong)/360 + (GMTOffset/24) + (IF(DST="Y", 1, 0)/24)</f>
        <v>1.7450063669005413</v>
      </c>
      <c r="AE547" s="259">
        <f>DATE(2001,9,21)+(M547/360)*365 - (360*((DecLong/360)- (GMTOffset/24) ))</f>
        <v>37434.518865740742</v>
      </c>
      <c r="AF547" s="260">
        <f>IF(DecLat&gt;0,IF((90 - (DecLat-O547))&gt;90, (90 - (O547-DecLat)), (90 - (DecLat-O547))),IF((90 + (DecLat-O547))&gt;90, (90 + (O547-DecLat)), (90 + (DecLat-O547))))</f>
        <v>31.116666666666667</v>
      </c>
      <c r="AG547" s="257">
        <f>angularseperation(MoonRA,MoonDec,$M547,$O547)</f>
        <v>19.080440221008015</v>
      </c>
      <c r="AH547" s="261">
        <f ca="1">MIN(100,IF($O$5&gt;80,0+30*($AG547/100),IF($O$5&gt;70,0+50*($AG547/100),IF($O$5&gt;60,5+50*($AG547/100),IF($O$5&gt;50,10+60*($AG547/100),IF($O$5&gt;40,15+70*($AG547/100),IF($O$5&gt;30,20+70*($AG547/100),IF($O$5&gt;20,40+55*($AG547/100),(80+(20-$O$5)+30*($AG547/100))))))))))</f>
        <v>88.99519241045283</v>
      </c>
      <c r="AI547" s="262"/>
      <c r="AJ547" s="262"/>
      <c r="AK547" s="262"/>
      <c r="AL547" s="263"/>
      <c r="AM547" s="264"/>
      <c r="AN547" s="263"/>
      <c r="AO547" s="263"/>
      <c r="AP547" s="265"/>
      <c r="AQ547" s="266"/>
      <c r="AR547" s="267"/>
      <c r="AS547" s="263"/>
      <c r="AT547" s="263"/>
      <c r="AU547" s="263"/>
      <c r="AV547" s="264"/>
      <c r="AW547" s="263">
        <v>86</v>
      </c>
      <c r="AX547" s="263"/>
      <c r="AY547" s="263"/>
      <c r="AZ547" s="263">
        <v>93</v>
      </c>
      <c r="BA547" s="263"/>
      <c r="BB547" s="263"/>
      <c r="BC547" s="263"/>
      <c r="BD547" s="264"/>
      <c r="BE547" s="263"/>
      <c r="BF547" s="263"/>
      <c r="BG547" s="263"/>
      <c r="BH547" s="263"/>
      <c r="BI547" s="263"/>
      <c r="BJ547" s="404">
        <f>altaz(J2000_Bas,$O547,$M547,DecLat,DecLong,2)</f>
        <v>195.46382572754712</v>
      </c>
      <c r="BK547" s="378" t="s">
        <v>650</v>
      </c>
      <c r="BL547" s="379">
        <f>IF((2*G547)/60&lt;0.2,0.2,(2*G547)/60)</f>
        <v>0.2</v>
      </c>
      <c r="BM547" s="380">
        <f>MOD((50000+AD547-$B$3+(0/24)),1)</f>
        <v>0.96037329660612158</v>
      </c>
      <c r="BN547" s="381"/>
      <c r="BO547" s="382">
        <v>547</v>
      </c>
    </row>
    <row r="548" spans="1:67" s="24" customFormat="1" ht="15" customHeight="1" x14ac:dyDescent="0.25">
      <c r="A548" s="288" t="s">
        <v>651</v>
      </c>
      <c r="B548" s="241" t="str">
        <f>HYPERLINK(CONCATENATE($AT$3,BK548,$AU$3),$AV$3)</f>
        <v>S</v>
      </c>
      <c r="C548" s="242" t="str">
        <f>HYPERLINK(CONCATENATE($AT$4,BK548,$AU$4,BL548),$AV$4)</f>
        <v>A</v>
      </c>
      <c r="D548" s="243" t="s">
        <v>5187</v>
      </c>
      <c r="E548" s="244" t="s">
        <v>5179</v>
      </c>
      <c r="F548" s="269">
        <v>4</v>
      </c>
      <c r="G548" s="276">
        <v>20</v>
      </c>
      <c r="H548" s="271" t="s">
        <v>6500</v>
      </c>
      <c r="I548" s="244" t="s">
        <v>6500</v>
      </c>
      <c r="J548" s="246">
        <v>2</v>
      </c>
      <c r="K548" s="247" t="s">
        <v>8838</v>
      </c>
      <c r="L548" s="248">
        <v>180411</v>
      </c>
      <c r="M548" s="249">
        <f>15*(LEFT(TEXT($L548,"000000"),2)+(MID(TEXT($L548,"000000"),3,2)/60)+(RIGHT(TEXT($L548,"000000"),2)/3600))</f>
        <v>271.04583333333335</v>
      </c>
      <c r="N548" s="250">
        <v>-323100</v>
      </c>
      <c r="O548" s="251">
        <f>IF($N548&gt;0,(LEFT(TEXT($N548,"000000"),2)+(MID(TEXT($N548,"000000"),3,2)/60)+(RIGHT(TEXT($N548,"000000"),2)/3600)),-(MID(TEXT($N548,"000000"),2,2)+(MID(TEXT($N548,"000000"),4,2)/60)+(RIGHT(TEXT($N548,"000000"),2)/3600)))</f>
        <v>-32.516666666666666</v>
      </c>
      <c r="P548" s="252" t="s">
        <v>119</v>
      </c>
      <c r="Q548" s="253" t="s">
        <v>7045</v>
      </c>
      <c r="R548" s="247" t="s">
        <v>3293</v>
      </c>
      <c r="S548" s="272" t="s">
        <v>3293</v>
      </c>
      <c r="T548" s="273"/>
      <c r="U548" s="274"/>
      <c r="V548" s="256"/>
      <c r="W548" s="244"/>
      <c r="X548" s="244"/>
      <c r="Y548" s="362"/>
      <c r="Z548" s="257">
        <f>altaz(J2000_Bas,$O548,$M548,DecLat,DecLong,1)</f>
        <v>24.926149932574479</v>
      </c>
      <c r="AA548" s="257">
        <f>altaz((J2000_Bas+(2*0.04167)),$O548,$M548,DecLat,DecLong,1)</f>
        <v>13.524861059660735</v>
      </c>
      <c r="AB548" s="257">
        <f>altaz((J2000_Bas+(4*0.04167)),$O548,$M548,DecLat,DecLong,1)</f>
        <v>-5.2394183918981403</v>
      </c>
      <c r="AC548" s="257">
        <f>altaz((J2000_Bas+(6*0.04167)),$O548,$M548,DecLat,DecLong,1)</f>
        <v>-27.806802697821762</v>
      </c>
      <c r="AD548" s="258">
        <f>1+ transit((J2000_Bas-1),$O548,$M548,DecLat,DecLong)/360 + (GMTOffset/24) + (IF(DST="Y", 1, 0)/24)</f>
        <v>1.7458049779317915</v>
      </c>
      <c r="AE548" s="259">
        <f>DATE(2001,9,21)+(M548/360)*365 - (360*((DecLong/360)- (GMTOffset/24) ))</f>
        <v>37434.810358796298</v>
      </c>
      <c r="AF548" s="260">
        <f>IF(DecLat&gt;0,IF((90 - (DecLat-O548))&gt;90, (90 - (O548-DecLat)), (90 - (DecLat-O548))),IF((90 + (DecLat-O548))&gt;90, (90 + (O548-DecLat)), (90 + (DecLat-O548))))</f>
        <v>26.483333333333334</v>
      </c>
      <c r="AG548" s="257">
        <f>angularseperation(MoonRA,MoonDec,$M548,$O548)</f>
        <v>19.644120649962048</v>
      </c>
      <c r="AH548" s="261">
        <f ca="1">MIN(100,IF($O$5&gt;80,0+30*($AG548/100),IF($O$5&gt;70,0+50*($AG548/100),IF($O$5&gt;60,5+50*($AG548/100),IF($O$5&gt;50,10+60*($AG548/100),IF($O$5&gt;40,15+70*($AG548/100),IF($O$5&gt;30,20+70*($AG548/100),IF($O$5&gt;20,40+55*($AG548/100),(80+(20-$O$5)+30*($AG548/100))))))))))</f>
        <v>89.164296539139045</v>
      </c>
      <c r="AI548" s="262"/>
      <c r="AJ548" s="262"/>
      <c r="AK548" s="262"/>
      <c r="AL548" s="263"/>
      <c r="AM548" s="264"/>
      <c r="AN548" s="263"/>
      <c r="AO548" s="263"/>
      <c r="AP548" s="265"/>
      <c r="AQ548" s="266"/>
      <c r="AR548" s="267"/>
      <c r="AS548" s="263"/>
      <c r="AT548" s="263"/>
      <c r="AU548" s="263"/>
      <c r="AV548" s="264"/>
      <c r="AW548" s="263">
        <v>87</v>
      </c>
      <c r="AX548" s="263"/>
      <c r="AY548" s="263"/>
      <c r="AZ548" s="263"/>
      <c r="BA548" s="263"/>
      <c r="BB548" s="263"/>
      <c r="BC548" s="263"/>
      <c r="BD548" s="264"/>
      <c r="BE548" s="263"/>
      <c r="BF548" s="263"/>
      <c r="BG548" s="263"/>
      <c r="BH548" s="263"/>
      <c r="BI548" s="263"/>
      <c r="BJ548" s="404">
        <f>altaz(J2000_Bas,$O548,$M548,DecLat,DecLong,2)</f>
        <v>193.88566906588466</v>
      </c>
      <c r="BK548" s="378" t="s">
        <v>651</v>
      </c>
      <c r="BL548" s="379">
        <f>IF((2*G548)/60&lt;0.2,0.2,(2*G548)/60)</f>
        <v>0.66666666666666663</v>
      </c>
      <c r="BM548" s="380">
        <f>MOD((50000+AD548-$B$3+(0/24)),1)</f>
        <v>0.96117190763470717</v>
      </c>
      <c r="BN548" s="381"/>
      <c r="BO548" s="382">
        <v>548</v>
      </c>
    </row>
    <row r="549" spans="1:67" s="24" customFormat="1" ht="15" customHeight="1" x14ac:dyDescent="0.25">
      <c r="A549" s="288" t="s">
        <v>652</v>
      </c>
      <c r="B549" s="241" t="str">
        <f>HYPERLINK(CONCATENATE($AT$3,BK549,$AU$3),$AV$3)</f>
        <v>S</v>
      </c>
      <c r="C549" s="242" t="str">
        <f>HYPERLINK(CONCATENATE($AT$4,BK549,$AU$4,BL549),$AV$4)</f>
        <v>A</v>
      </c>
      <c r="D549" s="243" t="s">
        <v>5187</v>
      </c>
      <c r="E549" s="244" t="s">
        <v>5179</v>
      </c>
      <c r="F549" s="269">
        <v>5</v>
      </c>
      <c r="G549" s="273">
        <v>2</v>
      </c>
      <c r="H549" s="271" t="s">
        <v>6500</v>
      </c>
      <c r="I549" s="244" t="s">
        <v>6500</v>
      </c>
      <c r="J549" s="246">
        <v>2</v>
      </c>
      <c r="K549" s="247" t="s">
        <v>5976</v>
      </c>
      <c r="L549" s="248">
        <v>180435</v>
      </c>
      <c r="M549" s="249">
        <f>15*(LEFT(TEXT($L549,"000000"),2)+(MID(TEXT($L549,"000000"),3,2)/60)+(RIGHT(TEXT($L549,"000000"),2)/3600))</f>
        <v>271.14583333333331</v>
      </c>
      <c r="N549" s="250">
        <v>-240800</v>
      </c>
      <c r="O549" s="251">
        <f>IF($N549&gt;0,(LEFT(TEXT($N549,"000000"),2)+(MID(TEXT($N549,"000000"),3,2)/60)+(RIGHT(TEXT($N549,"000000"),2)/3600)),-(MID(TEXT($N549,"000000"),2,2)+(MID(TEXT($N549,"000000"),4,2)/60)+(RIGHT(TEXT($N549,"000000"),2)/3600)))</f>
        <v>-24.133333333333333</v>
      </c>
      <c r="P549" s="252" t="s">
        <v>119</v>
      </c>
      <c r="Q549" s="253"/>
      <c r="R549" s="277" t="s">
        <v>3293</v>
      </c>
      <c r="S549" s="272" t="s">
        <v>3293</v>
      </c>
      <c r="T549" s="273"/>
      <c r="U549" s="274"/>
      <c r="V549" s="256"/>
      <c r="W549" s="244"/>
      <c r="X549" s="244"/>
      <c r="Y549" s="362"/>
      <c r="Z549" s="257">
        <f>altaz(J2000_Bas,$O549,$M549,DecLat,DecLong,1)</f>
        <v>33.06005924415885</v>
      </c>
      <c r="AA549" s="257">
        <f>altaz((J2000_Bas+(2*0.04167)),$O549,$M549,DecLat,DecLong,1)</f>
        <v>20.067050034984447</v>
      </c>
      <c r="AB549" s="257">
        <f>altaz((J2000_Bas+(4*0.04167)),$O549,$M549,DecLat,DecLong,1)</f>
        <v>-0.48472287978472511</v>
      </c>
      <c r="AC549" s="257">
        <f>altaz((J2000_Bas+(6*0.04167)),$O549,$M549,DecLat,DecLong,1)</f>
        <v>-24.487563858290773</v>
      </c>
      <c r="AD549" s="258">
        <f>1+ transit((J2000_Bas-1),$O549,$M549,DecLat,DecLong)/360 + (GMTOffset/24) + (IF(DST="Y", 1, 0)/24)</f>
        <v>1.7460827556817913</v>
      </c>
      <c r="AE549" s="259">
        <f>DATE(2001,9,21)+(M549/360)*365 - (360*((DecLong/360)- (GMTOffset/24) ))</f>
        <v>37434.911747685182</v>
      </c>
      <c r="AF549" s="260">
        <f>IF(DecLat&gt;0,IF((90 - (DecLat-O549))&gt;90, (90 - (O549-DecLat)), (90 - (DecLat-O549))),IF((90 + (DecLat-O549))&gt;90, (90 + (O549-DecLat)), (90 + (DecLat-O549))))</f>
        <v>34.866666666666667</v>
      </c>
      <c r="AG549" s="257">
        <f>angularseperation(MoonRA,MoonDec,$M549,$O549)</f>
        <v>19.945272251497698</v>
      </c>
      <c r="AH549" s="261">
        <f ca="1">MIN(100,IF($O$5&gt;80,0+30*($AG549/100),IF($O$5&gt;70,0+50*($AG549/100),IF($O$5&gt;60,5+50*($AG549/100),IF($O$5&gt;50,10+60*($AG549/100),IF($O$5&gt;40,15+70*($AG549/100),IF($O$5&gt;30,20+70*($AG549/100),IF($O$5&gt;20,40+55*($AG549/100),(80+(20-$O$5)+30*($AG549/100))))))))))</f>
        <v>89.254642019599743</v>
      </c>
      <c r="AI549" s="263"/>
      <c r="AJ549" s="263"/>
      <c r="AK549" s="263"/>
      <c r="AL549" s="263"/>
      <c r="AM549" s="264"/>
      <c r="AN549" s="263"/>
      <c r="AO549" s="263"/>
      <c r="AP549" s="265"/>
      <c r="AQ549" s="265"/>
      <c r="AR549" s="285"/>
      <c r="AS549" s="263"/>
      <c r="AT549" s="263"/>
      <c r="AU549" s="263"/>
      <c r="AV549" s="264"/>
      <c r="AW549" s="263">
        <v>88</v>
      </c>
      <c r="AX549" s="263"/>
      <c r="AY549" s="263"/>
      <c r="AZ549" s="263"/>
      <c r="BA549" s="263"/>
      <c r="BB549" s="263"/>
      <c r="BC549" s="263"/>
      <c r="BD549" s="264"/>
      <c r="BE549" s="263"/>
      <c r="BF549" s="263"/>
      <c r="BG549" s="263"/>
      <c r="BH549" s="263"/>
      <c r="BI549" s="263"/>
      <c r="BJ549" s="404">
        <f>altaz(J2000_Bas,$O549,$M549,DecLat,DecLong,2)</f>
        <v>196.21218433144162</v>
      </c>
      <c r="BK549" s="378" t="s">
        <v>652</v>
      </c>
      <c r="BL549" s="379">
        <f>IF((2*G549)/60&lt;0.2,0.2,(2*G549)/60)</f>
        <v>0.2</v>
      </c>
      <c r="BM549" s="380">
        <f>MOD((50000+AD549-$B$3+(0/24)),1)</f>
        <v>0.96144968538283138</v>
      </c>
      <c r="BN549" s="381"/>
      <c r="BO549" s="382">
        <v>549</v>
      </c>
    </row>
    <row r="550" spans="1:67" s="24" customFormat="1" ht="15" customHeight="1" x14ac:dyDescent="0.25">
      <c r="A550" s="288" t="s">
        <v>653</v>
      </c>
      <c r="B550" s="241" t="str">
        <f>HYPERLINK(CONCATENATE($AT$3,BK550,$AU$3),$AV$3)</f>
        <v>S</v>
      </c>
      <c r="C550" s="242" t="str">
        <f>HYPERLINK(CONCATENATE($AT$4,BK550,$AU$4,BL550),$AV$4)</f>
        <v>A</v>
      </c>
      <c r="D550" s="243" t="s">
        <v>5187</v>
      </c>
      <c r="E550" s="244" t="s">
        <v>5179</v>
      </c>
      <c r="F550" s="269">
        <v>5</v>
      </c>
      <c r="G550" s="273">
        <v>2</v>
      </c>
      <c r="H550" s="271" t="s">
        <v>6500</v>
      </c>
      <c r="I550" s="244" t="s">
        <v>6500</v>
      </c>
      <c r="J550" s="246">
        <v>2</v>
      </c>
      <c r="K550" s="247" t="s">
        <v>5977</v>
      </c>
      <c r="L550" s="248">
        <v>180500</v>
      </c>
      <c r="M550" s="249">
        <f>15*(LEFT(TEXT($L550,"000000"),2)+(MID(TEXT($L550,"000000"),3,2)/60)+(RIGHT(TEXT($L550,"000000"),2)/3600))</f>
        <v>271.25</v>
      </c>
      <c r="N550" s="250">
        <v>-242200</v>
      </c>
      <c r="O550" s="251">
        <f>IF($N550&gt;0,(LEFT(TEXT($N550,"000000"),2)+(MID(TEXT($N550,"000000"),3,2)/60)+(RIGHT(TEXT($N550,"000000"),2)/3600)),-(MID(TEXT($N550,"000000"),2,2)+(MID(TEXT($N550,"000000"),4,2)/60)+(RIGHT(TEXT($N550,"000000"),2)/3600)))</f>
        <v>-24.366666666666667</v>
      </c>
      <c r="P550" s="252" t="s">
        <v>119</v>
      </c>
      <c r="Q550" s="253"/>
      <c r="R550" s="277" t="s">
        <v>3293</v>
      </c>
      <c r="S550" s="272" t="s">
        <v>3293</v>
      </c>
      <c r="T550" s="273"/>
      <c r="U550" s="274"/>
      <c r="V550" s="256"/>
      <c r="W550" s="244"/>
      <c r="X550" s="244"/>
      <c r="Y550" s="362"/>
      <c r="Z550" s="257">
        <f>altaz(J2000_Bas,$O550,$M550,DecLat,DecLong,1)</f>
        <v>32.859608880205215</v>
      </c>
      <c r="AA550" s="257">
        <f>altaz((J2000_Bas+(2*0.04167)),$O550,$M550,DecLat,DecLong,1)</f>
        <v>19.949648172486825</v>
      </c>
      <c r="AB550" s="257">
        <f>altaz((J2000_Bas+(4*0.04167)),$O550,$M550,DecLat,DecLong,1)</f>
        <v>-0.53696776468905349</v>
      </c>
      <c r="AC550" s="257">
        <f>altaz((J2000_Bas+(6*0.04167)),$O550,$M550,DecLat,DecLong,1)</f>
        <v>-24.49813038787288</v>
      </c>
      <c r="AD550" s="258">
        <f>1+ transit((J2000_Bas-1),$O550,$M550,DecLat,DecLong)/360 + (GMTOffset/24) + (IF(DST="Y", 1, 0)/24)</f>
        <v>1.7463721075047081</v>
      </c>
      <c r="AE550" s="259">
        <f>DATE(2001,9,21)+(M550/360)*365 - (360*((DecLong/360)- (GMTOffset/24) ))</f>
        <v>37435.017361111109</v>
      </c>
      <c r="AF550" s="260">
        <f>IF(DecLat&gt;0,IF((90 - (DecLat-O550))&gt;90, (90 - (O550-DecLat)), (90 - (DecLat-O550))),IF((90 + (DecLat-O550))&gt;90, (90 + (O550-DecLat)), (90 + (DecLat-O550))))</f>
        <v>34.633333333333333</v>
      </c>
      <c r="AG550" s="257">
        <f>angularseperation(MoonRA,MoonDec,$M550,$O550)</f>
        <v>19.985953937884254</v>
      </c>
      <c r="AH550" s="261">
        <f ca="1">MIN(100,IF($O$5&gt;80,0+30*($AG550/100),IF($O$5&gt;70,0+50*($AG550/100),IF($O$5&gt;60,5+50*($AG550/100),IF($O$5&gt;50,10+60*($AG550/100),IF($O$5&gt;40,15+70*($AG550/100),IF($O$5&gt;30,20+70*($AG550/100),IF($O$5&gt;20,40+55*($AG550/100),(80+(20-$O$5)+30*($AG550/100))))))))))</f>
        <v>89.266846525515703</v>
      </c>
      <c r="AI550" s="263"/>
      <c r="AJ550" s="263"/>
      <c r="AK550" s="263"/>
      <c r="AL550" s="263"/>
      <c r="AM550" s="264"/>
      <c r="AN550" s="263"/>
      <c r="AO550" s="263"/>
      <c r="AP550" s="265"/>
      <c r="AQ550" s="265"/>
      <c r="AR550" s="285"/>
      <c r="AS550" s="263"/>
      <c r="AT550" s="263"/>
      <c r="AU550" s="263"/>
      <c r="AV550" s="264"/>
      <c r="AW550" s="263">
        <v>89</v>
      </c>
      <c r="AX550" s="263"/>
      <c r="AY550" s="263"/>
      <c r="AZ550" s="263"/>
      <c r="BA550" s="263"/>
      <c r="BB550" s="263"/>
      <c r="BC550" s="263"/>
      <c r="BD550" s="264"/>
      <c r="BE550" s="263"/>
      <c r="BF550" s="263"/>
      <c r="BG550" s="263"/>
      <c r="BH550" s="263"/>
      <c r="BI550" s="263"/>
      <c r="BJ550" s="404">
        <f>altaz(J2000_Bas,$O550,$M550,DecLat,DecLong,2)</f>
        <v>196.03032156012316</v>
      </c>
      <c r="BK550" s="378" t="s">
        <v>653</v>
      </c>
      <c r="BL550" s="379">
        <f>IF((2*G550)/60&lt;0.2,0.2,(2*G550)/60)</f>
        <v>0.2</v>
      </c>
      <c r="BM550" s="380">
        <f>MOD((50000+AD550-$B$3+(0/24)),1)</f>
        <v>0.96173903720773524</v>
      </c>
      <c r="BN550" s="381"/>
      <c r="BO550" s="382">
        <v>550</v>
      </c>
    </row>
    <row r="551" spans="1:67" s="24" customFormat="1" ht="15" customHeight="1" x14ac:dyDescent="0.25">
      <c r="A551" s="287" t="s">
        <v>654</v>
      </c>
      <c r="B551" s="241" t="str">
        <f>HYPERLINK(CONCATENATE($AT$3,BK551,$AU$3),$AV$3)</f>
        <v>S</v>
      </c>
      <c r="C551" s="242" t="str">
        <f>HYPERLINK(CONCATENATE($AT$4,BK551,$AU$4,BL551),$AV$4)</f>
        <v>A</v>
      </c>
      <c r="D551" s="243" t="s">
        <v>5187</v>
      </c>
      <c r="E551" s="244" t="s">
        <v>5179</v>
      </c>
      <c r="F551" s="269">
        <v>5</v>
      </c>
      <c r="G551" s="273">
        <v>3</v>
      </c>
      <c r="H551" s="271" t="s">
        <v>6500</v>
      </c>
      <c r="I551" s="244" t="s">
        <v>6500</v>
      </c>
      <c r="J551" s="246">
        <v>1</v>
      </c>
      <c r="K551" s="247" t="s">
        <v>5798</v>
      </c>
      <c r="L551" s="248">
        <v>181024</v>
      </c>
      <c r="M551" s="249">
        <f>15*(LEFT(TEXT($L551,"000000"),2)+(MID(TEXT($L551,"000000"),3,2)/60)+(RIGHT(TEXT($L551,"000000"),2)/3600))</f>
        <v>272.60000000000002</v>
      </c>
      <c r="N551" s="286">
        <v>-281800</v>
      </c>
      <c r="O551" s="251">
        <f>IF($N551&gt;0,(LEFT(TEXT($N551,"000000"),2)+(MID(TEXT($N551,"000000"),3,2)/60)+(RIGHT(TEXT($N551,"000000"),2)/3600)),-(MID(TEXT($N551,"000000"),2,2)+(MID(TEXT($N551,"000000"),4,2)/60)+(RIGHT(TEXT($N551,"000000"),2)/3600)))</f>
        <v>-28.3</v>
      </c>
      <c r="P551" s="252" t="s">
        <v>119</v>
      </c>
      <c r="Q551" s="253"/>
      <c r="R551" s="277" t="s">
        <v>3293</v>
      </c>
      <c r="S551" s="272" t="s">
        <v>3293</v>
      </c>
      <c r="T551" s="273"/>
      <c r="U551" s="274"/>
      <c r="V551" s="256"/>
      <c r="W551" s="244"/>
      <c r="X551" s="244"/>
      <c r="Y551" s="362"/>
      <c r="Z551" s="257">
        <f>altaz(J2000_Bas,$O551,$M551,DecLat,DecLong,1)</f>
        <v>29.339819594021563</v>
      </c>
      <c r="AA551" s="257">
        <f>altaz((J2000_Bas+(2*0.04167)),$O551,$M551,DecLat,DecLong,1)</f>
        <v>17.661615099584122</v>
      </c>
      <c r="AB551" s="257">
        <f>altaz((J2000_Bas+(4*0.04167)),$O551,$M551,DecLat,DecLong,1)</f>
        <v>-1.7608821844853733</v>
      </c>
      <c r="AC551" s="257">
        <f>altaz((J2000_Bas+(6*0.04167)),$O551,$M551,DecLat,DecLong,1)</f>
        <v>-24.983628297594571</v>
      </c>
      <c r="AD551" s="258">
        <f>1+ transit((J2000_Bas-1),$O551,$M551,DecLat,DecLong)/360 + (GMTOffset/24) + (IF(DST="Y", 1, 0)/24)</f>
        <v>1.7501221071297082</v>
      </c>
      <c r="AE551" s="259">
        <f>DATE(2001,9,21)+(M551/360)*365 - (360*((DecLong/360)- (GMTOffset/24) ))</f>
        <v>37436.386111111111</v>
      </c>
      <c r="AF551" s="260">
        <f>IF(DecLat&gt;0,IF((90 - (DecLat-O551))&gt;90, (90 - (O551-DecLat)), (90 - (DecLat-O551))),IF((90 + (DecLat-O551))&gt;90, (90 + (O551-DecLat)), (90 + (DecLat-O551))))</f>
        <v>30.700000000000003</v>
      </c>
      <c r="AG551" s="257">
        <f>angularseperation(MoonRA,MoonDec,$M551,$O551)</f>
        <v>20.686336906957081</v>
      </c>
      <c r="AH551" s="261">
        <f ca="1">MIN(100,IF($O$5&gt;80,0+30*($AG551/100),IF($O$5&gt;70,0+50*($AG551/100),IF($O$5&gt;60,5+50*($AG551/100),IF($O$5&gt;50,10+60*($AG551/100),IF($O$5&gt;40,15+70*($AG551/100),IF($O$5&gt;30,20+70*($AG551/100),IF($O$5&gt;20,40+55*($AG551/100),(80+(20-$O$5)+30*($AG551/100))))))))))</f>
        <v>89.476961416237558</v>
      </c>
      <c r="AI551" s="263"/>
      <c r="AJ551" s="263"/>
      <c r="AK551" s="263"/>
      <c r="AL551" s="263"/>
      <c r="AM551" s="264"/>
      <c r="AN551" s="263"/>
      <c r="AO551" s="263"/>
      <c r="AP551" s="265"/>
      <c r="AQ551" s="265"/>
      <c r="AR551" s="285"/>
      <c r="AS551" s="263"/>
      <c r="AT551" s="263"/>
      <c r="AU551" s="263"/>
      <c r="AV551" s="264"/>
      <c r="AW551" s="263">
        <v>90</v>
      </c>
      <c r="AX551" s="263"/>
      <c r="AY551" s="263"/>
      <c r="AZ551" s="263"/>
      <c r="BA551" s="263"/>
      <c r="BB551" s="263"/>
      <c r="BC551" s="263"/>
      <c r="BD551" s="264"/>
      <c r="BE551" s="263"/>
      <c r="BF551" s="263"/>
      <c r="BG551" s="263"/>
      <c r="BH551" s="263"/>
      <c r="BI551" s="263"/>
      <c r="BJ551" s="404">
        <f>altaz(J2000_Bas,$O551,$M551,DecLat,DecLong,2)</f>
        <v>193.53967901287891</v>
      </c>
      <c r="BK551" s="378" t="s">
        <v>654</v>
      </c>
      <c r="BL551" s="379">
        <f>IF((2*G551)/60&lt;0.2,0.2,(2*G551)/60)</f>
        <v>0.2</v>
      </c>
      <c r="BM551" s="380">
        <f>MOD((50000+AD551-$B$3+(0/24)),1)</f>
        <v>0.9654890368328779</v>
      </c>
      <c r="BN551" s="381"/>
      <c r="BO551" s="382">
        <v>551</v>
      </c>
    </row>
    <row r="552" spans="1:67" s="24" customFormat="1" ht="15" customHeight="1" x14ac:dyDescent="0.25">
      <c r="A552" s="288" t="s">
        <v>655</v>
      </c>
      <c r="B552" s="241" t="str">
        <f>HYPERLINK(CONCATENATE($AT$3,BK552,$AU$3),$AV$3)</f>
        <v>S</v>
      </c>
      <c r="C552" s="242" t="str">
        <f>HYPERLINK(CONCATENATE($AT$4,BK552,$AU$4,BL552),$AV$4)</f>
        <v>A</v>
      </c>
      <c r="D552" s="243" t="s">
        <v>5187</v>
      </c>
      <c r="E552" s="244" t="s">
        <v>5179</v>
      </c>
      <c r="F552" s="269">
        <v>5</v>
      </c>
      <c r="G552" s="273">
        <v>5</v>
      </c>
      <c r="H552" s="271" t="s">
        <v>6500</v>
      </c>
      <c r="I552" s="244" t="s">
        <v>6500</v>
      </c>
      <c r="J552" s="246">
        <v>2</v>
      </c>
      <c r="K552" s="277" t="s">
        <v>5799</v>
      </c>
      <c r="L552" s="248">
        <v>181008</v>
      </c>
      <c r="M552" s="249">
        <f>15*(LEFT(TEXT($L552,"000000"),2)+(MID(TEXT($L552,"000000"),3,2)/60)+(RIGHT(TEXT($L552,"000000"),2)/3600))</f>
        <v>272.53333333333336</v>
      </c>
      <c r="N552" s="286">
        <v>-234300</v>
      </c>
      <c r="O552" s="251">
        <f>IF($N552&gt;0,(LEFT(TEXT($N552,"000000"),2)+(MID(TEXT($N552,"000000"),3,2)/60)+(RIGHT(TEXT($N552,"000000"),2)/3600)),-(MID(TEXT($N552,"000000"),2,2)+(MID(TEXT($N552,"000000"),4,2)/60)+(RIGHT(TEXT($N552,"000000"),2)/3600)))</f>
        <v>-23.716666666666665</v>
      </c>
      <c r="P552" s="252" t="s">
        <v>119</v>
      </c>
      <c r="Q552" s="253"/>
      <c r="R552" s="277" t="s">
        <v>3293</v>
      </c>
      <c r="S552" s="272" t="s">
        <v>4405</v>
      </c>
      <c r="T552" s="273"/>
      <c r="U552" s="274"/>
      <c r="V552" s="256"/>
      <c r="W552" s="244"/>
      <c r="X552" s="244"/>
      <c r="Y552" s="362"/>
      <c r="Z552" s="257">
        <f>altaz(J2000_Bas,$O552,$M552,DecLat,DecLong,1)</f>
        <v>33.782022391604059</v>
      </c>
      <c r="AA552" s="257">
        <f>altaz((J2000_Bas+(2*0.04167)),$O552,$M552,DecLat,DecLong,1)</f>
        <v>21.198047840181925</v>
      </c>
      <c r="AB552" s="257">
        <f>altaz((J2000_Bas+(4*0.04167)),$O552,$M552,DecLat,DecLong,1)</f>
        <v>0.79728425385547697</v>
      </c>
      <c r="AC552" s="257">
        <f>altaz((J2000_Bas+(6*0.04167)),$O552,$M552,DecLat,DecLong,1)</f>
        <v>-23.161579381775031</v>
      </c>
      <c r="AD552" s="258">
        <f>1+ transit((J2000_Bas-1),$O552,$M552,DecLat,DecLong)/360 + (GMTOffset/24) + (IF(DST="Y", 1, 0)/24)</f>
        <v>1.7499369219630416</v>
      </c>
      <c r="AE552" s="259">
        <f>DATE(2001,9,21)+(M552/360)*365 - (360*((DecLong/360)- (GMTOffset/24) ))</f>
        <v>37436.318518518521</v>
      </c>
      <c r="AF552" s="260">
        <f>IF(DecLat&gt;0,IF((90 - (DecLat-O552))&gt;90, (90 - (O552-DecLat)), (90 - (DecLat-O552))),IF((90 + (DecLat-O552))&gt;90, (90 + (O552-DecLat)), (90 + (DecLat-O552))))</f>
        <v>35.283333333333331</v>
      </c>
      <c r="AG552" s="257">
        <f>angularseperation(MoonRA,MoonDec,$M552,$O552)</f>
        <v>21.275964451377348</v>
      </c>
      <c r="AH552" s="261">
        <f ca="1">MIN(100,IF($O$5&gt;80,0+30*($AG552/100),IF($O$5&gt;70,0+50*($AG552/100),IF($O$5&gt;60,5+50*($AG552/100),IF($O$5&gt;50,10+60*($AG552/100),IF($O$5&gt;40,15+70*($AG552/100),IF($O$5&gt;30,20+70*($AG552/100),IF($O$5&gt;20,40+55*($AG552/100),(80+(20-$O$5)+30*($AG552/100))))))))))</f>
        <v>89.653849679563635</v>
      </c>
      <c r="AI552" s="263"/>
      <c r="AJ552" s="263"/>
      <c r="AK552" s="263"/>
      <c r="AL552" s="263"/>
      <c r="AM552" s="264"/>
      <c r="AN552" s="263"/>
      <c r="AO552" s="263"/>
      <c r="AP552" s="265"/>
      <c r="AQ552" s="265"/>
      <c r="AR552" s="285"/>
      <c r="AS552" s="263"/>
      <c r="AT552" s="263"/>
      <c r="AU552" s="263"/>
      <c r="AV552" s="264"/>
      <c r="AW552" s="263">
        <v>91</v>
      </c>
      <c r="AX552" s="263"/>
      <c r="AY552" s="263"/>
      <c r="AZ552" s="263"/>
      <c r="BA552" s="263"/>
      <c r="BB552" s="263"/>
      <c r="BC552" s="263"/>
      <c r="BD552" s="264"/>
      <c r="BE552" s="263"/>
      <c r="BF552" s="263"/>
      <c r="BG552" s="263"/>
      <c r="BH552" s="263"/>
      <c r="BI552" s="263"/>
      <c r="BJ552" s="404">
        <f>altaz(J2000_Bas,$O552,$M552,DecLat,DecLong,2)</f>
        <v>194.86679795784923</v>
      </c>
      <c r="BK552" s="378" t="s">
        <v>655</v>
      </c>
      <c r="BL552" s="379">
        <f>IF((2*G552)/60&lt;0.2,0.2,(2*G552)/60)</f>
        <v>0.2</v>
      </c>
      <c r="BM552" s="380">
        <f>MOD((50000+AD552-$B$3+(0/24)),1)</f>
        <v>0.96530385166988708</v>
      </c>
      <c r="BN552" s="381"/>
      <c r="BO552" s="382">
        <v>552</v>
      </c>
    </row>
    <row r="553" spans="1:67" s="24" customFormat="1" ht="15" customHeight="1" x14ac:dyDescent="0.25">
      <c r="A553" s="288" t="s">
        <v>656</v>
      </c>
      <c r="B553" s="241" t="str">
        <f>HYPERLINK(CONCATENATE($AT$3,BK553,$AU$3),$AV$3)</f>
        <v>S</v>
      </c>
      <c r="C553" s="242" t="str">
        <f>HYPERLINK(CONCATENATE($AT$4,BK553,$AU$4,BL553),$AV$4)</f>
        <v>A</v>
      </c>
      <c r="D553" s="243" t="s">
        <v>5187</v>
      </c>
      <c r="E553" s="244" t="s">
        <v>5179</v>
      </c>
      <c r="F553" s="269">
        <v>6</v>
      </c>
      <c r="G553" s="276">
        <v>40</v>
      </c>
      <c r="H553" s="271" t="s">
        <v>6500</v>
      </c>
      <c r="I553" s="244" t="s">
        <v>6500</v>
      </c>
      <c r="J553" s="246">
        <v>1</v>
      </c>
      <c r="K553" s="247" t="s">
        <v>6272</v>
      </c>
      <c r="L553" s="248">
        <v>181535</v>
      </c>
      <c r="M553" s="249">
        <f>15*(LEFT(TEXT($L553,"000000"),2)+(MID(TEXT($L553,"000000"),3,2)/60)+(RIGHT(TEXT($L553,"000000"),2)/3600))</f>
        <v>273.89583333333337</v>
      </c>
      <c r="N553" s="250">
        <v>-181400</v>
      </c>
      <c r="O553" s="251">
        <f>IF($N553&gt;0,(LEFT(TEXT($N553,"000000"),2)+(MID(TEXT($N553,"000000"),3,2)/60)+(RIGHT(TEXT($N553,"000000"),2)/3600)),-(MID(TEXT($N553,"000000"),2,2)+(MID(TEXT($N553,"000000"),4,2)/60)+(RIGHT(TEXT($N553,"000000"),2)/3600)))</f>
        <v>-18.233333333333334</v>
      </c>
      <c r="P553" s="252" t="s">
        <v>119</v>
      </c>
      <c r="Q553" s="253"/>
      <c r="R553" s="277" t="s">
        <v>3293</v>
      </c>
      <c r="S553" s="272" t="s">
        <v>3293</v>
      </c>
      <c r="T553" s="273"/>
      <c r="U553" s="274"/>
      <c r="V553" s="256"/>
      <c r="W553" s="244"/>
      <c r="X553" s="244"/>
      <c r="Y553" s="362"/>
      <c r="Z553" s="257">
        <f>altaz(J2000_Bas,$O553,$M553,DecLat,DecLong,1)</f>
        <v>39.410531479591185</v>
      </c>
      <c r="AA553" s="257">
        <f>altaz((J2000_Bas+(2*0.04167)),$O553,$M553,DecLat,DecLong,1)</f>
        <v>26.234385117370064</v>
      </c>
      <c r="AB553" s="257">
        <f>altaz((J2000_Bas+(4*0.04167)),$O553,$M553,DecLat,DecLong,1)</f>
        <v>4.9737671302161965</v>
      </c>
      <c r="AC553" s="257">
        <f>altaz((J2000_Bas+(6*0.04167)),$O553,$M553,DecLat,DecLong,1)</f>
        <v>-19.598202724843453</v>
      </c>
      <c r="AD553" s="258">
        <f>1+ transit((J2000_Bas-1),$O553,$M553,DecLat,DecLong)/360 + (GMTOffset/24) + (IF(DST="Y", 1, 0)/24)</f>
        <v>1.7537216438067913</v>
      </c>
      <c r="AE553" s="259">
        <f>DATE(2001,9,21)+(M553/360)*365 - (360*((DecLong/360)- (GMTOffset/24) ))</f>
        <v>37437.699942129628</v>
      </c>
      <c r="AF553" s="260">
        <f>IF(DecLat&gt;0,IF((90 - (DecLat-O553))&gt;90, (90 - (O553-DecLat)), (90 - (DecLat-O553))),IF((90 + (DecLat-O553))&gt;90, (90 + (O553-DecLat)), (90 + (DecLat-O553))))</f>
        <v>40.766666666666666</v>
      </c>
      <c r="AG553" s="257">
        <f>angularseperation(MoonRA,MoonDec,$M553,$O553)</f>
        <v>24.355023009824013</v>
      </c>
      <c r="AH553" s="261">
        <f ca="1">MIN(100,IF($O$5&gt;80,0+30*($AG553/100),IF($O$5&gt;70,0+50*($AG553/100),IF($O$5&gt;60,5+50*($AG553/100),IF($O$5&gt;50,10+60*($AG553/100),IF($O$5&gt;40,15+70*($AG553/100),IF($O$5&gt;30,20+70*($AG553/100),IF($O$5&gt;20,40+55*($AG553/100),(80+(20-$O$5)+30*($AG553/100))))))))))</f>
        <v>90.577567247097633</v>
      </c>
      <c r="AI553" s="263"/>
      <c r="AJ553" s="263"/>
      <c r="AK553" s="263"/>
      <c r="AL553" s="263"/>
      <c r="AM553" s="264"/>
      <c r="AN553" s="263"/>
      <c r="AO553" s="263"/>
      <c r="AP553" s="265"/>
      <c r="AQ553" s="265"/>
      <c r="AR553" s="285"/>
      <c r="AS553" s="263"/>
      <c r="AT553" s="263"/>
      <c r="AU553" s="263"/>
      <c r="AV553" s="264"/>
      <c r="AW553" s="263">
        <v>92</v>
      </c>
      <c r="AX553" s="263"/>
      <c r="AY553" s="263"/>
      <c r="AZ553" s="263"/>
      <c r="BA553" s="263"/>
      <c r="BB553" s="263"/>
      <c r="BC553" s="263"/>
      <c r="BD553" s="264"/>
      <c r="BE553" s="263"/>
      <c r="BF553" s="263"/>
      <c r="BG553" s="263"/>
      <c r="BH553" s="263"/>
      <c r="BI553" s="263"/>
      <c r="BJ553" s="404">
        <f>altaz(J2000_Bas,$O553,$M553,DecLat,DecLong,2)</f>
        <v>194.94133737646956</v>
      </c>
      <c r="BK553" s="378" t="s">
        <v>656</v>
      </c>
      <c r="BL553" s="379">
        <f>IF((2*G553)/60&lt;0.2,0.2,(2*G553)/60)</f>
        <v>1.3333333333333333</v>
      </c>
      <c r="BM553" s="380">
        <f>MOD((50000+AD553-$B$3+(0/24)),1)</f>
        <v>0.96908857351081679</v>
      </c>
      <c r="BN553" s="381"/>
      <c r="BO553" s="382">
        <v>553</v>
      </c>
    </row>
    <row r="554" spans="1:67" s="24" customFormat="1" ht="15" customHeight="1" x14ac:dyDescent="0.25">
      <c r="A554" s="288" t="s">
        <v>657</v>
      </c>
      <c r="B554" s="241" t="str">
        <f>HYPERLINK(CONCATENATE($AT$3,BK554,$AU$3),$AV$3)</f>
        <v>S</v>
      </c>
      <c r="C554" s="242" t="str">
        <f>HYPERLINK(CONCATENATE($AT$4,BK554,$AU$4,BL554),$AV$4)</f>
        <v>A</v>
      </c>
      <c r="D554" s="243" t="s">
        <v>5187</v>
      </c>
      <c r="E554" s="244" t="s">
        <v>5179</v>
      </c>
      <c r="F554" s="269">
        <v>4</v>
      </c>
      <c r="G554" s="276">
        <v>90</v>
      </c>
      <c r="H554" s="271" t="s">
        <v>6500</v>
      </c>
      <c r="I554" s="244" t="s">
        <v>6500</v>
      </c>
      <c r="J554" s="246">
        <v>1</v>
      </c>
      <c r="K554" s="247" t="s">
        <v>8821</v>
      </c>
      <c r="L554" s="248">
        <v>181654</v>
      </c>
      <c r="M554" s="249">
        <f>15*(LEFT(TEXT($L554,"000000"),2)+(MID(TEXT($L554,"000000"),3,2)/60)+(RIGHT(TEXT($L554,"000000"),2)/3600))</f>
        <v>274.22500000000002</v>
      </c>
      <c r="N554" s="250">
        <v>-180400</v>
      </c>
      <c r="O554" s="251">
        <f>IF($N554&gt;0,(LEFT(TEXT($N554,"000000"),2)+(MID(TEXT($N554,"000000"),3,2)/60)+(RIGHT(TEXT($N554,"000000"),2)/3600)),-(MID(TEXT($N554,"000000"),2,2)+(MID(TEXT($N554,"000000"),4,2)/60)+(RIGHT(TEXT($N554,"000000"),2)/3600)))</f>
        <v>-18.066666666666666</v>
      </c>
      <c r="P554" s="252" t="s">
        <v>119</v>
      </c>
      <c r="Q554" s="253"/>
      <c r="R554" s="277" t="s">
        <v>3293</v>
      </c>
      <c r="S554" s="272" t="s">
        <v>3293</v>
      </c>
      <c r="T554" s="273"/>
      <c r="U554" s="274"/>
      <c r="V554" s="256"/>
      <c r="W554" s="244"/>
      <c r="X554" s="244"/>
      <c r="Y554" s="362"/>
      <c r="Z554" s="257">
        <f>altaz(J2000_Bas,$O554,$M554,DecLat,DecLong,1)</f>
        <v>39.644658594674858</v>
      </c>
      <c r="AA554" s="257">
        <f>altaz((J2000_Bas+(2*0.04167)),$O554,$M554,DecLat,DecLong,1)</f>
        <v>26.562746931091478</v>
      </c>
      <c r="AB554" s="257">
        <f>altaz((J2000_Bas+(4*0.04167)),$O554,$M554,DecLat,DecLong,1)</f>
        <v>5.3255757102064036</v>
      </c>
      <c r="AC554" s="257">
        <f>altaz((J2000_Bas+(6*0.04167)),$O554,$M554,DecLat,DecLong,1)</f>
        <v>-19.243809393235889</v>
      </c>
      <c r="AD554" s="258">
        <f>1+ transit((J2000_Bas-1),$O554,$M554,DecLat,DecLong)/360 + (GMTOffset/24) + (IF(DST="Y", 1, 0)/24)</f>
        <v>1.754635995567208</v>
      </c>
      <c r="AE554" s="259">
        <f>DATE(2001,9,21)+(M554/360)*365 - (360*((DecLong/360)- (GMTOffset/24) ))</f>
        <v>37438.033680555556</v>
      </c>
      <c r="AF554" s="260">
        <f>IF(DecLat&gt;0,IF((90 - (DecLat-O554))&gt;90, (90 - (O554-DecLat)), (90 - (DecLat-O554))),IF((90 + (DecLat-O554))&gt;90, (90 + (O554-DecLat)), (90 + (DecLat-O554))))</f>
        <v>40.933333333333337</v>
      </c>
      <c r="AG554" s="257">
        <f>angularseperation(MoonRA,MoonDec,$M554,$O554)</f>
        <v>24.709178412836085</v>
      </c>
      <c r="AH554" s="261">
        <f ca="1">MIN(100,IF($O$5&gt;80,0+30*($AG554/100),IF($O$5&gt;70,0+50*($AG554/100),IF($O$5&gt;60,5+50*($AG554/100),IF($O$5&gt;50,10+60*($AG554/100),IF($O$5&gt;40,15+70*($AG554/100),IF($O$5&gt;30,20+70*($AG554/100),IF($O$5&gt;20,40+55*($AG554/100),(80+(20-$O$5)+30*($AG554/100))))))))))</f>
        <v>90.683813868001252</v>
      </c>
      <c r="AI554" s="263"/>
      <c r="AJ554" s="263"/>
      <c r="AK554" s="263"/>
      <c r="AL554" s="263"/>
      <c r="AM554" s="264"/>
      <c r="AN554" s="263"/>
      <c r="AO554" s="263"/>
      <c r="AP554" s="265"/>
      <c r="AQ554" s="265"/>
      <c r="AR554" s="285"/>
      <c r="AS554" s="263"/>
      <c r="AT554" s="263"/>
      <c r="AU554" s="263"/>
      <c r="AV554" s="264"/>
      <c r="AW554" s="263">
        <v>93</v>
      </c>
      <c r="AX554" s="263"/>
      <c r="AY554" s="263"/>
      <c r="AZ554" s="263"/>
      <c r="BA554" s="263"/>
      <c r="BB554" s="263"/>
      <c r="BC554" s="263"/>
      <c r="BD554" s="264"/>
      <c r="BE554" s="263"/>
      <c r="BF554" s="263"/>
      <c r="BG554" s="263"/>
      <c r="BH554" s="263"/>
      <c r="BI554" s="263"/>
      <c r="BJ554" s="404">
        <f>altaz(J2000_Bas,$O554,$M554,DecLat,DecLong,2)</f>
        <v>194.59636761005865</v>
      </c>
      <c r="BK554" s="378" t="s">
        <v>657</v>
      </c>
      <c r="BL554" s="379">
        <f>IF((2*G554)/60&lt;0.2,0.2,(2*G554)/60)</f>
        <v>3</v>
      </c>
      <c r="BM554" s="380">
        <f>MOD((50000+AD554-$B$3+(0/24)),1)</f>
        <v>0.97000292527081911</v>
      </c>
      <c r="BN554" s="381"/>
      <c r="BO554" s="382">
        <v>554</v>
      </c>
    </row>
    <row r="555" spans="1:67" s="24" customFormat="1" ht="15" customHeight="1" x14ac:dyDescent="0.25">
      <c r="A555" s="287" t="s">
        <v>658</v>
      </c>
      <c r="B555" s="241" t="str">
        <f>HYPERLINK(CONCATENATE($AT$3,BK555,$AU$3),$AV$3)</f>
        <v>S</v>
      </c>
      <c r="C555" s="242" t="str">
        <f>HYPERLINK(CONCATENATE($AT$4,BK555,$AU$4,BL555),$AV$4)</f>
        <v>A</v>
      </c>
      <c r="D555" s="243" t="s">
        <v>5187</v>
      </c>
      <c r="E555" s="244" t="s">
        <v>5179</v>
      </c>
      <c r="F555" s="269">
        <v>4</v>
      </c>
      <c r="G555" s="276">
        <v>15</v>
      </c>
      <c r="H555" s="271" t="s">
        <v>6500</v>
      </c>
      <c r="I555" s="244" t="s">
        <v>6500</v>
      </c>
      <c r="J555" s="246">
        <v>0</v>
      </c>
      <c r="K555" s="247" t="s">
        <v>5800</v>
      </c>
      <c r="L555" s="248">
        <v>182554</v>
      </c>
      <c r="M555" s="249">
        <f>15*(LEFT(TEXT($L555,"000000"),2)+(MID(TEXT($L555,"000000"),3,2)/60)+(RIGHT(TEXT($L555,"000000"),2)/3600))</f>
        <v>276.47500000000002</v>
      </c>
      <c r="N555" s="286">
        <v>-104100</v>
      </c>
      <c r="O555" s="251">
        <f>IF($N555&gt;0,(LEFT(TEXT($N555,"000000"),2)+(MID(TEXT($N555,"000000"),3,2)/60)+(RIGHT(TEXT($N555,"000000"),2)/3600)),-(MID(TEXT($N555,"000000"),2,2)+(MID(TEXT($N555,"000000"),4,2)/60)+(RIGHT(TEXT($N555,"000000"),2)/3600)))</f>
        <v>-10.683333333333334</v>
      </c>
      <c r="P555" s="252" t="s">
        <v>121</v>
      </c>
      <c r="Q555" s="253"/>
      <c r="R555" s="277" t="s">
        <v>3293</v>
      </c>
      <c r="S555" s="272" t="s">
        <v>3293</v>
      </c>
      <c r="T555" s="273"/>
      <c r="U555" s="274"/>
      <c r="V555" s="256"/>
      <c r="W555" s="244"/>
      <c r="X555" s="244"/>
      <c r="Y555" s="362"/>
      <c r="Z555" s="257">
        <f>altaz(J2000_Bas,$O555,$M555,DecLat,DecLong,1)</f>
        <v>47.325196755737231</v>
      </c>
      <c r="AA555" s="257">
        <f>altaz((J2000_Bas+(2*0.04167)),$O555,$M555,DecLat,DecLong,1)</f>
        <v>33.601863891621477</v>
      </c>
      <c r="AB555" s="257">
        <f>altaz((J2000_Bas+(4*0.04167)),$O555,$M555,DecLat,DecLong,1)</f>
        <v>11.349569132503007</v>
      </c>
      <c r="AC555" s="257">
        <f>altaz((J2000_Bas+(6*0.04167)),$O555,$M555,DecLat,DecLong,1)</f>
        <v>-13.802497183681353</v>
      </c>
      <c r="AD555" s="258">
        <f>1+ transit((J2000_Bas-1),$O555,$M555,DecLat,DecLong)/360 + (GMTOffset/24) + (IF(DST="Y", 1, 0)/24)</f>
        <v>1.760885994942208</v>
      </c>
      <c r="AE555" s="259">
        <f>DATE(2001,9,21)+(M555/360)*365 - (360*((DecLong/360)- (GMTOffset/24) ))</f>
        <v>37440.314930555556</v>
      </c>
      <c r="AF555" s="260">
        <f>IF(DecLat&gt;0,IF((90 - (DecLat-O555))&gt;90, (90 - (O555-DecLat)), (90 - (DecLat-O555))),IF((90 + (DecLat-O555))&gt;90, (90 + (O555-DecLat)), (90 + (DecLat-O555))))</f>
        <v>48.316666666666663</v>
      </c>
      <c r="AG555" s="257">
        <f>angularseperation(MoonRA,MoonDec,$M555,$O555)</f>
        <v>30.420926803233577</v>
      </c>
      <c r="AH555" s="261">
        <f ca="1">MIN(100,IF($O$5&gt;80,0+30*($AG555/100),IF($O$5&gt;70,0+50*($AG555/100),IF($O$5&gt;60,5+50*($AG555/100),IF($O$5&gt;50,10+60*($AG555/100),IF($O$5&gt;40,15+70*($AG555/100),IF($O$5&gt;30,20+70*($AG555/100),IF($O$5&gt;20,40+55*($AG555/100),(80+(20-$O$5)+30*($AG555/100))))))))))</f>
        <v>92.397338385120506</v>
      </c>
      <c r="AI555" s="263"/>
      <c r="AJ555" s="263"/>
      <c r="AK555" s="263"/>
      <c r="AL555" s="263"/>
      <c r="AM555" s="264"/>
      <c r="AN555" s="263"/>
      <c r="AO555" s="263"/>
      <c r="AP555" s="265"/>
      <c r="AQ555" s="265"/>
      <c r="AR555" s="285"/>
      <c r="AS555" s="263"/>
      <c r="AT555" s="263"/>
      <c r="AU555" s="263"/>
      <c r="AV555" s="264"/>
      <c r="AW555" s="263">
        <v>94</v>
      </c>
      <c r="AX555" s="263"/>
      <c r="AY555" s="263"/>
      <c r="AZ555" s="263"/>
      <c r="BA555" s="263"/>
      <c r="BB555" s="263"/>
      <c r="BC555" s="263"/>
      <c r="BD555" s="264"/>
      <c r="BE555" s="263"/>
      <c r="BF555" s="263"/>
      <c r="BG555" s="263"/>
      <c r="BH555" s="263"/>
      <c r="BI555" s="263"/>
      <c r="BJ555" s="404">
        <f>altaz(J2000_Bas,$O555,$M555,DecLat,DecLong,2)</f>
        <v>193.8842211125183</v>
      </c>
      <c r="BK555" s="378" t="s">
        <v>658</v>
      </c>
      <c r="BL555" s="379">
        <f>IF((2*G555)/60&lt;0.2,0.2,(2*G555)/60)</f>
        <v>0.5</v>
      </c>
      <c r="BM555" s="380">
        <f>MOD((50000+AD555-$B$3+(0/24)),1)</f>
        <v>0.97625292464363156</v>
      </c>
      <c r="BN555" s="381"/>
      <c r="BO555" s="382">
        <v>555</v>
      </c>
    </row>
    <row r="556" spans="1:67" s="24" customFormat="1" ht="15" customHeight="1" x14ac:dyDescent="0.25">
      <c r="A556" s="287" t="s">
        <v>659</v>
      </c>
      <c r="B556" s="241" t="str">
        <f>HYPERLINK(CONCATENATE($AT$3,BK556,$AU$3),$AV$3)</f>
        <v>S</v>
      </c>
      <c r="C556" s="242" t="str">
        <f>HYPERLINK(CONCATENATE($AT$4,BK556,$AU$4,BL556),$AV$4)</f>
        <v>A</v>
      </c>
      <c r="D556" s="243" t="s">
        <v>5187</v>
      </c>
      <c r="E556" s="244" t="s">
        <v>5179</v>
      </c>
      <c r="F556" s="269">
        <v>5</v>
      </c>
      <c r="G556" s="276">
        <v>30</v>
      </c>
      <c r="H556" s="271" t="s">
        <v>6500</v>
      </c>
      <c r="I556" s="244" t="s">
        <v>6500</v>
      </c>
      <c r="J556" s="246">
        <v>0</v>
      </c>
      <c r="K556" s="247" t="s">
        <v>5801</v>
      </c>
      <c r="L556" s="248">
        <v>182536</v>
      </c>
      <c r="M556" s="249">
        <f>15*(LEFT(TEXT($L556,"000000"),2)+(MID(TEXT($L556,"000000"),3,2)/60)+(RIGHT(TEXT($L556,"000000"),2)/3600))</f>
        <v>276.40000000000003</v>
      </c>
      <c r="N556" s="250">
        <v>-114600</v>
      </c>
      <c r="O556" s="251">
        <f>IF($N556&gt;0,(LEFT(TEXT($N556,"000000"),2)+(MID(TEXT($N556,"000000"),3,2)/60)+(RIGHT(TEXT($N556,"000000"),2)/3600)),-(MID(TEXT($N556,"000000"),2,2)+(MID(TEXT($N556,"000000"),4,2)/60)+(RIGHT(TEXT($N556,"000000"),2)/3600)))</f>
        <v>-11.766666666666667</v>
      </c>
      <c r="P556" s="252" t="s">
        <v>121</v>
      </c>
      <c r="Q556" s="253"/>
      <c r="R556" s="277" t="s">
        <v>3293</v>
      </c>
      <c r="S556" s="272" t="s">
        <v>3293</v>
      </c>
      <c r="T556" s="273"/>
      <c r="U556" s="274"/>
      <c r="V556" s="256"/>
      <c r="W556" s="244"/>
      <c r="X556" s="244"/>
      <c r="Y556" s="362"/>
      <c r="Z556" s="257">
        <f>altaz(J2000_Bas,$O556,$M556,DecLat,DecLong,1)</f>
        <v>46.250260921489136</v>
      </c>
      <c r="AA556" s="257">
        <f>altaz((J2000_Bas+(2*0.04167)),$O556,$M556,DecLat,DecLong,1)</f>
        <v>32.733723173879476</v>
      </c>
      <c r="AB556" s="257">
        <f>altaz((J2000_Bas+(4*0.04167)),$O556,$M556,DecLat,DecLong,1)</f>
        <v>10.667983896502937</v>
      </c>
      <c r="AC556" s="257">
        <f>altaz((J2000_Bas+(6*0.04167)),$O556,$M556,DecLat,DecLong,1)</f>
        <v>-14.399056977316251</v>
      </c>
      <c r="AD556" s="258">
        <f>1+ transit((J2000_Bas-1),$O556,$M556,DecLat,DecLong)/360 + (GMTOffset/24) + (IF(DST="Y", 1, 0)/24)</f>
        <v>1.7606776616297082</v>
      </c>
      <c r="AE556" s="259">
        <f>DATE(2001,9,21)+(M556/360)*365 - (360*((DecLong/360)- (GMTOffset/24) ))</f>
        <v>37440.238888888889</v>
      </c>
      <c r="AF556" s="260">
        <f>IF(DecLat&gt;0,IF((90 - (DecLat-O556))&gt;90, (90 - (O556-DecLat)), (90 - (DecLat-O556))),IF((90 + (DecLat-O556))&gt;90, (90 + (O556-DecLat)), (90 + (DecLat-O556))))</f>
        <v>47.233333333333334</v>
      </c>
      <c r="AG556" s="257">
        <f>angularseperation(MoonRA,MoonDec,$M556,$O556)</f>
        <v>29.729029981513957</v>
      </c>
      <c r="AH556" s="261">
        <f ca="1">MIN(100,IF($O$5&gt;80,0+30*($AG556/100),IF($O$5&gt;70,0+50*($AG556/100),IF($O$5&gt;60,5+50*($AG556/100),IF($O$5&gt;50,10+60*($AG556/100),IF($O$5&gt;40,15+70*($AG556/100),IF($O$5&gt;30,20+70*($AG556/100),IF($O$5&gt;20,40+55*($AG556/100),(80+(20-$O$5)+30*($AG556/100))))))))))</f>
        <v>92.18976933860462</v>
      </c>
      <c r="AI556" s="263"/>
      <c r="AJ556" s="263"/>
      <c r="AK556" s="263"/>
      <c r="AL556" s="263"/>
      <c r="AM556" s="264"/>
      <c r="AN556" s="263"/>
      <c r="AO556" s="263"/>
      <c r="AP556" s="265"/>
      <c r="AQ556" s="265"/>
      <c r="AR556" s="285"/>
      <c r="AS556" s="263"/>
      <c r="AT556" s="263"/>
      <c r="AU556" s="263"/>
      <c r="AV556" s="264"/>
      <c r="AW556" s="263">
        <v>95</v>
      </c>
      <c r="AX556" s="263"/>
      <c r="AY556" s="263"/>
      <c r="AZ556" s="263"/>
      <c r="BA556" s="263"/>
      <c r="BB556" s="263"/>
      <c r="BC556" s="263"/>
      <c r="BD556" s="264"/>
      <c r="BE556" s="263"/>
      <c r="BF556" s="263"/>
      <c r="BG556" s="263"/>
      <c r="BH556" s="263"/>
      <c r="BI556" s="263"/>
      <c r="BJ556" s="404">
        <f>altaz(J2000_Bas,$O556,$M556,DecLat,DecLong,2)</f>
        <v>193.66014804425603</v>
      </c>
      <c r="BK556" s="378" t="s">
        <v>659</v>
      </c>
      <c r="BL556" s="379">
        <f>IF((2*G556)/60&lt;0.2,0.2,(2*G556)/60)</f>
        <v>1</v>
      </c>
      <c r="BM556" s="380">
        <f>MOD((50000+AD556-$B$3+(0/24)),1)</f>
        <v>0.97604459133435739</v>
      </c>
      <c r="BN556" s="381"/>
      <c r="BO556" s="382">
        <v>556</v>
      </c>
    </row>
    <row r="557" spans="1:67" s="24" customFormat="1" ht="15" customHeight="1" x14ac:dyDescent="0.25">
      <c r="A557" s="287" t="s">
        <v>660</v>
      </c>
      <c r="B557" s="241" t="str">
        <f>HYPERLINK(CONCATENATE($AT$3,BK557,$AU$3),$AV$3)</f>
        <v>S</v>
      </c>
      <c r="C557" s="242" t="str">
        <f>HYPERLINK(CONCATENATE($AT$4,BK557,$AU$4,BL557),$AV$4)</f>
        <v>A</v>
      </c>
      <c r="D557" s="243" t="s">
        <v>5187</v>
      </c>
      <c r="E557" s="244" t="s">
        <v>5179</v>
      </c>
      <c r="F557" s="269">
        <v>4</v>
      </c>
      <c r="G557" s="276">
        <v>10</v>
      </c>
      <c r="H557" s="271" t="s">
        <v>6500</v>
      </c>
      <c r="I557" s="244" t="s">
        <v>6500</v>
      </c>
      <c r="J557" s="246">
        <v>0</v>
      </c>
      <c r="K557" s="247" t="s">
        <v>5802</v>
      </c>
      <c r="L557" s="248">
        <v>182625</v>
      </c>
      <c r="M557" s="249">
        <f>15*(LEFT(TEXT($L557,"000000"),2)+(MID(TEXT($L557,"000000"),3,2)/60)+(RIGHT(TEXT($L557,"000000"),2)/3600))</f>
        <v>276.60416666666663</v>
      </c>
      <c r="N557" s="286">
        <v>-101800</v>
      </c>
      <c r="O557" s="251">
        <f>IF($N557&gt;0,(LEFT(TEXT($N557,"000000"),2)+(MID(TEXT($N557,"000000"),3,2)/60)+(RIGHT(TEXT($N557,"000000"),2)/3600)),-(MID(TEXT($N557,"000000"),2,2)+(MID(TEXT($N557,"000000"),4,2)/60)+(RIGHT(TEXT($N557,"000000"),2)/3600)))</f>
        <v>-10.3</v>
      </c>
      <c r="P557" s="252" t="s">
        <v>121</v>
      </c>
      <c r="Q557" s="253"/>
      <c r="R557" s="277" t="s">
        <v>3293</v>
      </c>
      <c r="S557" s="272" t="s">
        <v>3293</v>
      </c>
      <c r="T557" s="273"/>
      <c r="U557" s="274"/>
      <c r="V557" s="256"/>
      <c r="W557" s="244"/>
      <c r="X557" s="244"/>
      <c r="Y557" s="362"/>
      <c r="Z557" s="257">
        <f>altaz(J2000_Bas,$O557,$M557,DecLat,DecLong,1)</f>
        <v>47.726595398658262</v>
      </c>
      <c r="AA557" s="257">
        <f>altaz((J2000_Bas+(2*0.04167)),$O557,$M557,DecLat,DecLong,1)</f>
        <v>33.974362743859338</v>
      </c>
      <c r="AB557" s="257">
        <f>altaz((J2000_Bas+(4*0.04167)),$O557,$M557,DecLat,DecLong,1)</f>
        <v>11.673090716930604</v>
      </c>
      <c r="AC557" s="257">
        <f>altaz((J2000_Bas+(6*0.04167)),$O557,$M557,DecLat,DecLong,1)</f>
        <v>-13.502689779379267</v>
      </c>
      <c r="AD557" s="258">
        <f>1+ transit((J2000_Bas-1),$O557,$M557,DecLat,DecLong)/360 + (GMTOffset/24) + (IF(DST="Y", 1, 0)/24)</f>
        <v>1.7612447912026246</v>
      </c>
      <c r="AE557" s="259">
        <f>DATE(2001,9,21)+(M557/360)*365 - (360*((DecLong/360)- (GMTOffset/24) ))</f>
        <v>37440.445891203701</v>
      </c>
      <c r="AF557" s="260">
        <f>IF(DecLat&gt;0,IF((90 - (DecLat-O557))&gt;90, (90 - (O557-DecLat)), (90 - (DecLat-O557))),IF((90 + (DecLat-O557))&gt;90, (90 + (O557-DecLat)), (90 + (DecLat-O557))))</f>
        <v>48.7</v>
      </c>
      <c r="AG557" s="257">
        <f>angularseperation(MoonRA,MoonDec,$M557,$O557)</f>
        <v>30.751576010830128</v>
      </c>
      <c r="AH557" s="261">
        <f ca="1">MIN(100,IF($O$5&gt;80,0+30*($AG557/100),IF($O$5&gt;70,0+50*($AG557/100),IF($O$5&gt;60,5+50*($AG557/100),IF($O$5&gt;50,10+60*($AG557/100),IF($O$5&gt;40,15+70*($AG557/100),IF($O$5&gt;30,20+70*($AG557/100),IF($O$5&gt;20,40+55*($AG557/100),(80+(20-$O$5)+30*($AG557/100))))))))))</f>
        <v>92.496533147399461</v>
      </c>
      <c r="AI557" s="263"/>
      <c r="AJ557" s="263"/>
      <c r="AK557" s="263"/>
      <c r="AL557" s="263"/>
      <c r="AM557" s="264"/>
      <c r="AN557" s="263"/>
      <c r="AO557" s="263"/>
      <c r="AP557" s="265"/>
      <c r="AQ557" s="265"/>
      <c r="AR557" s="285"/>
      <c r="AS557" s="263"/>
      <c r="AT557" s="263"/>
      <c r="AU557" s="263"/>
      <c r="AV557" s="264"/>
      <c r="AW557" s="263">
        <v>96</v>
      </c>
      <c r="AX557" s="263"/>
      <c r="AY557" s="263"/>
      <c r="AZ557" s="263"/>
      <c r="BA557" s="263"/>
      <c r="BB557" s="263"/>
      <c r="BC557" s="263"/>
      <c r="BD557" s="264"/>
      <c r="BE557" s="263"/>
      <c r="BF557" s="263"/>
      <c r="BG557" s="263"/>
      <c r="BH557" s="263"/>
      <c r="BI557" s="263"/>
      <c r="BJ557" s="404">
        <f>altaz(J2000_Bas,$O557,$M557,DecLat,DecLong,2)</f>
        <v>193.81875234804227</v>
      </c>
      <c r="BK557" s="378" t="s">
        <v>660</v>
      </c>
      <c r="BL557" s="379">
        <f>IF((2*G557)/60&lt;0.2,0.2,(2*G557)/60)</f>
        <v>0.33333333333333331</v>
      </c>
      <c r="BM557" s="380">
        <f>MOD((50000+AD557-$B$3+(0/24)),1)</f>
        <v>0.97661172090738546</v>
      </c>
      <c r="BN557" s="381"/>
      <c r="BO557" s="382">
        <v>557</v>
      </c>
    </row>
    <row r="558" spans="1:67" s="24" customFormat="1" ht="15" customHeight="1" x14ac:dyDescent="0.25">
      <c r="A558" s="287" t="s">
        <v>661</v>
      </c>
      <c r="B558" s="241" t="str">
        <f>HYPERLINK(CONCATENATE($AT$3,BK558,$AU$3),$AV$3)</f>
        <v>S</v>
      </c>
      <c r="C558" s="242" t="str">
        <f>HYPERLINK(CONCATENATE($AT$4,BK558,$AU$4,BL558),$AV$4)</f>
        <v>A</v>
      </c>
      <c r="D558" s="243" t="s">
        <v>5187</v>
      </c>
      <c r="E558" s="244" t="s">
        <v>5179</v>
      </c>
      <c r="F558" s="269">
        <v>4</v>
      </c>
      <c r="G558" s="276">
        <v>60</v>
      </c>
      <c r="H558" s="271" t="s">
        <v>6500</v>
      </c>
      <c r="I558" s="244" t="s">
        <v>6500</v>
      </c>
      <c r="J558" s="246">
        <v>0</v>
      </c>
      <c r="K558" s="247" t="s">
        <v>8531</v>
      </c>
      <c r="L558" s="248">
        <v>182906</v>
      </c>
      <c r="M558" s="249">
        <f>15*(LEFT(TEXT($L558,"000000"),2)+(MID(TEXT($L558,"000000"),3,2)/60)+(RIGHT(TEXT($L558,"000000"),2)/3600))</f>
        <v>277.27499999999998</v>
      </c>
      <c r="N558" s="286">
        <v>-95600</v>
      </c>
      <c r="O558" s="251">
        <f>IF($N558&gt;0,(LEFT(TEXT($N558,"000000"),2)+(MID(TEXT($N558,"000000"),3,2)/60)+(RIGHT(TEXT($N558,"000000"),2)/3600)),-(MID(TEXT($N558,"000000"),2,2)+(MID(TEXT($N558,"000000"),4,2)/60)+(RIGHT(TEXT($N558,"000000"),2)/3600)))</f>
        <v>-9.9333333333333336</v>
      </c>
      <c r="P558" s="252" t="s">
        <v>121</v>
      </c>
      <c r="Q558" s="253"/>
      <c r="R558" s="277" t="s">
        <v>3293</v>
      </c>
      <c r="S558" s="272" t="s">
        <v>3293</v>
      </c>
      <c r="T558" s="273"/>
      <c r="U558" s="274"/>
      <c r="V558" s="256"/>
      <c r="W558" s="244"/>
      <c r="X558" s="244"/>
      <c r="Y558" s="362"/>
      <c r="Z558" s="257">
        <f>altaz(J2000_Bas,$O558,$M558,DecLat,DecLong,1)</f>
        <v>48.218909509659959</v>
      </c>
      <c r="AA558" s="257">
        <f>altaz((J2000_Bas+(2*0.04167)),$O558,$M558,DecLat,DecLong,1)</f>
        <v>34.684088627714921</v>
      </c>
      <c r="AB558" s="257">
        <f>altaz((J2000_Bas+(4*0.04167)),$O558,$M558,DecLat,DecLong,1)</f>
        <v>12.424422807987829</v>
      </c>
      <c r="AC558" s="257">
        <f>altaz((J2000_Bas+(6*0.04167)),$O558,$M558,DecLat,DecLong,1)</f>
        <v>-12.747377070903772</v>
      </c>
      <c r="AD558" s="258">
        <f>1+ transit((J2000_Bas-1),$O558,$M558,DecLat,DecLong)/360 + (GMTOffset/24) + (IF(DST="Y", 1, 0)/24)</f>
        <v>1.7631082169422079</v>
      </c>
      <c r="AE558" s="259">
        <f>DATE(2001,9,21)+(M558/360)*365 - (360*((DecLong/360)- (GMTOffset/24) ))</f>
        <v>37441.12604166667</v>
      </c>
      <c r="AF558" s="260">
        <f>IF(DecLat&gt;0,IF((90 - (DecLat-O558))&gt;90, (90 - (O558-DecLat)), (90 - (DecLat-O558))),IF((90 + (DecLat-O558))&gt;90, (90 + (O558-DecLat)), (90 + (DecLat-O558))))</f>
        <v>49.066666666666663</v>
      </c>
      <c r="AG558" s="257">
        <f>angularseperation(MoonRA,MoonDec,$M558,$O558)</f>
        <v>31.499997321561903</v>
      </c>
      <c r="AH558" s="261">
        <f ca="1">MIN(100,IF($O$5&gt;80,0+30*($AG558/100),IF($O$5&gt;70,0+50*($AG558/100),IF($O$5&gt;60,5+50*($AG558/100),IF($O$5&gt;50,10+60*($AG558/100),IF($O$5&gt;40,15+70*($AG558/100),IF($O$5&gt;30,20+70*($AG558/100),IF($O$5&gt;20,40+55*($AG558/100),(80+(20-$O$5)+30*($AG558/100))))))))))</f>
        <v>92.721059540618995</v>
      </c>
      <c r="AI558" s="263"/>
      <c r="AJ558" s="263"/>
      <c r="AK558" s="263"/>
      <c r="AL558" s="263"/>
      <c r="AM558" s="264"/>
      <c r="AN558" s="263"/>
      <c r="AO558" s="263"/>
      <c r="AP558" s="265"/>
      <c r="AQ558" s="265"/>
      <c r="AR558" s="285"/>
      <c r="AS558" s="263"/>
      <c r="AT558" s="263"/>
      <c r="AU558" s="263"/>
      <c r="AV558" s="264"/>
      <c r="AW558" s="263">
        <v>97</v>
      </c>
      <c r="AX558" s="263"/>
      <c r="AY558" s="263"/>
      <c r="AZ558" s="263"/>
      <c r="BA558" s="263"/>
      <c r="BB558" s="263"/>
      <c r="BC558" s="263"/>
      <c r="BD558" s="264"/>
      <c r="BE558" s="263"/>
      <c r="BF558" s="263"/>
      <c r="BG558" s="263"/>
      <c r="BH558" s="263"/>
      <c r="BI558" s="263"/>
      <c r="BJ558" s="404">
        <f>altaz(J2000_Bas,$O558,$M558,DecLat,DecLong,2)</f>
        <v>192.96301804054437</v>
      </c>
      <c r="BK558" s="378" t="s">
        <v>661</v>
      </c>
      <c r="BL558" s="379">
        <f>IF((2*G558)/60&lt;0.2,0.2,(2*G558)/60)</f>
        <v>2</v>
      </c>
      <c r="BM558" s="380">
        <f>MOD((50000+AD558-$B$3+(0/24)),1)</f>
        <v>0.97847514664317714</v>
      </c>
      <c r="BN558" s="381"/>
      <c r="BO558" s="382">
        <v>558</v>
      </c>
    </row>
    <row r="559" spans="1:67" s="24" customFormat="1" ht="15" customHeight="1" x14ac:dyDescent="0.25">
      <c r="A559" s="287" t="s">
        <v>662</v>
      </c>
      <c r="B559" s="241" t="str">
        <f>HYPERLINK(CONCATENATE($AT$3,BK559,$AU$3),$AV$3)</f>
        <v>S</v>
      </c>
      <c r="C559" s="242" t="str">
        <f>HYPERLINK(CONCATENATE($AT$4,BK559,$AU$4,BL559),$AV$4)</f>
        <v>A</v>
      </c>
      <c r="D559" s="243" t="s">
        <v>5187</v>
      </c>
      <c r="E559" s="244" t="s">
        <v>5179</v>
      </c>
      <c r="F559" s="269">
        <v>6</v>
      </c>
      <c r="G559" s="273">
        <v>3</v>
      </c>
      <c r="H559" s="271" t="s">
        <v>6500</v>
      </c>
      <c r="I559" s="244" t="s">
        <v>6500</v>
      </c>
      <c r="J559" s="246">
        <v>0</v>
      </c>
      <c r="K559" s="247" t="s">
        <v>5803</v>
      </c>
      <c r="L559" s="248">
        <v>183317</v>
      </c>
      <c r="M559" s="249">
        <f>15*(LEFT(TEXT($L559,"000000"),2)+(MID(TEXT($L559,"000000"),3,2)/60)+(RIGHT(TEXT($L559,"000000"),2)/3600))</f>
        <v>278.32083333333338</v>
      </c>
      <c r="N559" s="286">
        <v>-260400</v>
      </c>
      <c r="O559" s="251">
        <f>IF($N559&gt;0,(LEFT(TEXT($N559,"000000"),2)+(MID(TEXT($N559,"000000"),3,2)/60)+(RIGHT(TEXT($N559,"000000"),2)/3600)),-(MID(TEXT($N559,"000000"),2,2)+(MID(TEXT($N559,"000000"),4,2)/60)+(RIGHT(TEXT($N559,"000000"),2)/3600)))</f>
        <v>-26.066666666666666</v>
      </c>
      <c r="P559" s="252" t="s">
        <v>119</v>
      </c>
      <c r="Q559" s="253"/>
      <c r="R559" s="277" t="s">
        <v>3293</v>
      </c>
      <c r="S559" s="272" t="s">
        <v>3293</v>
      </c>
      <c r="T559" s="273"/>
      <c r="U559" s="274"/>
      <c r="V559" s="256"/>
      <c r="W559" s="244"/>
      <c r="X559" s="244"/>
      <c r="Y559" s="362"/>
      <c r="Z559" s="257">
        <f>altaz(J2000_Bas,$O559,$M559,DecLat,DecLong,1)</f>
        <v>32.462861935966025</v>
      </c>
      <c r="AA559" s="257">
        <f>altaz((J2000_Bas+(2*0.04167)),$O559,$M559,DecLat,DecLong,1)</f>
        <v>22.480174553413274</v>
      </c>
      <c r="AB559" s="257">
        <f>altaz((J2000_Bas+(4*0.04167)),$O559,$M559,DecLat,DecLong,1)</f>
        <v>3.6682903570371104</v>
      </c>
      <c r="AC559" s="257">
        <f>altaz((J2000_Bas+(6*0.04167)),$O559,$M559,DecLat,DecLong,1)</f>
        <v>-19.427709951513037</v>
      </c>
      <c r="AD559" s="258">
        <f>1+ transit((J2000_Bas-1),$O559,$M559,DecLat,DecLong)/360 + (GMTOffset/24) + (IF(DST="Y", 1, 0)/24)</f>
        <v>1.7660133092442916</v>
      </c>
      <c r="AE559" s="259">
        <f>DATE(2001,9,21)+(M559/360)*365 - (360*((DecLong/360)- (GMTOffset/24) ))</f>
        <v>37442.186400462961</v>
      </c>
      <c r="AF559" s="260">
        <f>IF(DecLat&gt;0,IF((90 - (DecLat-O559))&gt;90, (90 - (O559-DecLat)), (90 - (DecLat-O559))),IF((90 + (DecLat-O559))&gt;90, (90 + (O559-DecLat)), (90 + (DecLat-O559))))</f>
        <v>32.933333333333337</v>
      </c>
      <c r="AG559" s="257">
        <f>angularseperation(MoonRA,MoonDec,$M559,$O559)</f>
        <v>25.968969958751082</v>
      </c>
      <c r="AH559" s="261">
        <f ca="1">MIN(100,IF($O$5&gt;80,0+30*($AG559/100),IF($O$5&gt;70,0+50*($AG559/100),IF($O$5&gt;60,5+50*($AG559/100),IF($O$5&gt;50,10+60*($AG559/100),IF($O$5&gt;40,15+70*($AG559/100),IF($O$5&gt;30,20+70*($AG559/100),IF($O$5&gt;20,40+55*($AG559/100),(80+(20-$O$5)+30*($AG559/100))))))))))</f>
        <v>91.061751331775753</v>
      </c>
      <c r="AI559" s="263"/>
      <c r="AJ559" s="263"/>
      <c r="AK559" s="263"/>
      <c r="AL559" s="263"/>
      <c r="AM559" s="264"/>
      <c r="AN559" s="263"/>
      <c r="AO559" s="263"/>
      <c r="AP559" s="265"/>
      <c r="AQ559" s="265"/>
      <c r="AR559" s="285"/>
      <c r="AS559" s="263"/>
      <c r="AT559" s="263"/>
      <c r="AU559" s="263"/>
      <c r="AV559" s="264"/>
      <c r="AW559" s="263">
        <v>98</v>
      </c>
      <c r="AX559" s="263"/>
      <c r="AY559" s="263"/>
      <c r="AZ559" s="263"/>
      <c r="BA559" s="263"/>
      <c r="BB559" s="263"/>
      <c r="BC559" s="263"/>
      <c r="BD559" s="264"/>
      <c r="BE559" s="263"/>
      <c r="BF559" s="263"/>
      <c r="BG559" s="263"/>
      <c r="BH559" s="263"/>
      <c r="BI559" s="263"/>
      <c r="BJ559" s="404">
        <f>altaz(J2000_Bas,$O559,$M559,DecLat,DecLong,2)</f>
        <v>188.18168334919665</v>
      </c>
      <c r="BK559" s="378" t="s">
        <v>662</v>
      </c>
      <c r="BL559" s="379">
        <f>IF((2*G559)/60&lt;0.2,0.2,(2*G559)/60)</f>
        <v>0.2</v>
      </c>
      <c r="BM559" s="380">
        <f>MOD((50000+AD559-$B$3+(0/24)),1)</f>
        <v>0.98138023894716753</v>
      </c>
      <c r="BN559" s="381"/>
      <c r="BO559" s="382">
        <v>559</v>
      </c>
    </row>
    <row r="560" spans="1:67" s="24" customFormat="1" ht="15" customHeight="1" x14ac:dyDescent="0.25">
      <c r="A560" s="287" t="s">
        <v>663</v>
      </c>
      <c r="B560" s="241" t="str">
        <f>HYPERLINK(CONCATENATE($AT$3,BK560,$AU$3),$AV$3)</f>
        <v>S</v>
      </c>
      <c r="C560" s="242" t="str">
        <f>HYPERLINK(CONCATENATE($AT$4,BK560,$AU$4,BL560),$AV$4)</f>
        <v>A</v>
      </c>
      <c r="D560" s="243" t="s">
        <v>5187</v>
      </c>
      <c r="E560" s="244" t="s">
        <v>5179</v>
      </c>
      <c r="F560" s="269">
        <v>3</v>
      </c>
      <c r="G560" s="276">
        <v>11</v>
      </c>
      <c r="H560" s="271" t="s">
        <v>6500</v>
      </c>
      <c r="I560" s="244" t="s">
        <v>6500</v>
      </c>
      <c r="J560" s="246">
        <v>0</v>
      </c>
      <c r="K560" s="247" t="s">
        <v>5804</v>
      </c>
      <c r="L560" s="248">
        <v>183318</v>
      </c>
      <c r="M560" s="249">
        <f>15*(LEFT(TEXT($L560,"000000"),2)+(MID(TEXT($L560,"000000"),3,2)/60)+(RIGHT(TEXT($L560,"000000"),2)/3600))</f>
        <v>278.32499999999999</v>
      </c>
      <c r="N560" s="286">
        <v>-212900</v>
      </c>
      <c r="O560" s="251">
        <f>IF($N560&gt;0,(LEFT(TEXT($N560,"000000"),2)+(MID(TEXT($N560,"000000"),3,2)/60)+(RIGHT(TEXT($N560,"000000"),2)/3600)),-(MID(TEXT($N560,"000000"),2,2)+(MID(TEXT($N560,"000000"),4,2)/60)+(RIGHT(TEXT($N560,"000000"),2)/3600)))</f>
        <v>-21.483333333333334</v>
      </c>
      <c r="P560" s="252" t="s">
        <v>119</v>
      </c>
      <c r="Q560" s="253"/>
      <c r="R560" s="277" t="s">
        <v>3293</v>
      </c>
      <c r="S560" s="272" t="s">
        <v>3293</v>
      </c>
      <c r="T560" s="273"/>
      <c r="U560" s="274"/>
      <c r="V560" s="256"/>
      <c r="W560" s="244"/>
      <c r="X560" s="244"/>
      <c r="Y560" s="362"/>
      <c r="Z560" s="257">
        <f>altaz(J2000_Bas,$O560,$M560,DecLat,DecLong,1)</f>
        <v>37.001929436131348</v>
      </c>
      <c r="AA560" s="257">
        <f>altaz((J2000_Bas+(2*0.04167)),$O560,$M560,DecLat,DecLong,1)</f>
        <v>26.227683683572643</v>
      </c>
      <c r="AB560" s="257">
        <f>altaz((J2000_Bas+(4*0.04167)),$O560,$M560,DecLat,DecLong,1)</f>
        <v>6.4390687979169989</v>
      </c>
      <c r="AC560" s="257">
        <f>altaz((J2000_Bas+(6*0.04167)),$O560,$M560,DecLat,DecLong,1)</f>
        <v>-17.378428246921391</v>
      </c>
      <c r="AD560" s="258">
        <f>1+ transit((J2000_Bas-1),$O560,$M560,DecLat,DecLong)/360 + (GMTOffset/24) + (IF(DST="Y", 1, 0)/24)</f>
        <v>1.7660248833172081</v>
      </c>
      <c r="AE560" s="259">
        <f>DATE(2001,9,21)+(M560/360)*365 - (360*((DecLong/360)- (GMTOffset/24) ))</f>
        <v>37442.190625000003</v>
      </c>
      <c r="AF560" s="260">
        <f>IF(DecLat&gt;0,IF((90 - (DecLat-O560))&gt;90, (90 - (O560-DecLat)), (90 - (DecLat-O560))),IF((90 + (DecLat-O560))&gt;90, (90 + (O560-DecLat)), (90 + (DecLat-O560))))</f>
        <v>37.516666666666666</v>
      </c>
      <c r="AG560" s="257">
        <f>angularseperation(MoonRA,MoonDec,$M560,$O560)</f>
        <v>27.030144733765322</v>
      </c>
      <c r="AH560" s="261">
        <f ca="1">MIN(100,IF($O$5&gt;80,0+30*($AG560/100),IF($O$5&gt;70,0+50*($AG560/100),IF($O$5&gt;60,5+50*($AG560/100),IF($O$5&gt;50,10+60*($AG560/100),IF($O$5&gt;40,15+70*($AG560/100),IF($O$5&gt;30,20+70*($AG560/100),IF($O$5&gt;20,40+55*($AG560/100),(80+(20-$O$5)+30*($AG560/100))))))))))</f>
        <v>91.380103764280022</v>
      </c>
      <c r="AI560" s="263"/>
      <c r="AJ560" s="263"/>
      <c r="AK560" s="263"/>
      <c r="AL560" s="263"/>
      <c r="AM560" s="264"/>
      <c r="AN560" s="263"/>
      <c r="AO560" s="263"/>
      <c r="AP560" s="265"/>
      <c r="AQ560" s="265"/>
      <c r="AR560" s="285"/>
      <c r="AS560" s="263"/>
      <c r="AT560" s="263"/>
      <c r="AU560" s="263"/>
      <c r="AV560" s="264"/>
      <c r="AW560" s="263">
        <v>99</v>
      </c>
      <c r="AX560" s="263"/>
      <c r="AY560" s="263"/>
      <c r="AZ560" s="263"/>
      <c r="BA560" s="263"/>
      <c r="BB560" s="263"/>
      <c r="BC560" s="263"/>
      <c r="BD560" s="264"/>
      <c r="BE560" s="263"/>
      <c r="BF560" s="263"/>
      <c r="BG560" s="263"/>
      <c r="BH560" s="263"/>
      <c r="BI560" s="263"/>
      <c r="BJ560" s="404">
        <f>altaz(J2000_Bas,$O560,$M560,DecLat,DecLong,2)</f>
        <v>188.95542789023025</v>
      </c>
      <c r="BK560" s="378" t="s">
        <v>663</v>
      </c>
      <c r="BL560" s="379">
        <f>IF((2*G560)/60&lt;0.2,0.2,(2*G560)/60)</f>
        <v>0.36666666666666664</v>
      </c>
      <c r="BM560" s="380">
        <f>MOD((50000+AD560-$B$3+(0/24)),1)</f>
        <v>0.98139181302394718</v>
      </c>
      <c r="BN560" s="381"/>
      <c r="BO560" s="382">
        <v>560</v>
      </c>
    </row>
    <row r="561" spans="1:67" s="24" customFormat="1" ht="15" customHeight="1" x14ac:dyDescent="0.25">
      <c r="A561" s="287" t="s">
        <v>664</v>
      </c>
      <c r="B561" s="241" t="str">
        <f>HYPERLINK(CONCATENATE($AT$3,BK561,$AU$3),$AV$3)</f>
        <v>S</v>
      </c>
      <c r="C561" s="242" t="str">
        <f>HYPERLINK(CONCATENATE($AT$4,BK561,$AU$4,BL561),$AV$4)</f>
        <v>A</v>
      </c>
      <c r="D561" s="243" t="s">
        <v>5187</v>
      </c>
      <c r="E561" s="244" t="s">
        <v>5179</v>
      </c>
      <c r="F561" s="269">
        <v>5</v>
      </c>
      <c r="G561" s="276">
        <v>16</v>
      </c>
      <c r="H561" s="271" t="s">
        <v>6500</v>
      </c>
      <c r="I561" s="244" t="s">
        <v>6500</v>
      </c>
      <c r="J561" s="246">
        <v>0</v>
      </c>
      <c r="K561" s="247" t="s">
        <v>5978</v>
      </c>
      <c r="L561" s="248">
        <v>183241</v>
      </c>
      <c r="M561" s="249">
        <f>15*(LEFT(TEXT($L561,"000000"),2)+(MID(TEXT($L561,"000000"),3,2)/60)+(RIGHT(TEXT($L561,"000000"),2)/3600))</f>
        <v>278.17083333333335</v>
      </c>
      <c r="N561" s="250">
        <v>-90900</v>
      </c>
      <c r="O561" s="251">
        <f>IF($N561&gt;0,(LEFT(TEXT($N561,"000000"),2)+(MID(TEXT($N561,"000000"),3,2)/60)+(RIGHT(TEXT($N561,"000000"),2)/3600)),-(MID(TEXT($N561,"000000"),2,2)+(MID(TEXT($N561,"000000"),4,2)/60)+(RIGHT(TEXT($N561,"000000"),2)/3600)))</f>
        <v>-9.15</v>
      </c>
      <c r="P561" s="252" t="s">
        <v>121</v>
      </c>
      <c r="Q561" s="253"/>
      <c r="R561" s="277" t="s">
        <v>3293</v>
      </c>
      <c r="S561" s="272" t="s">
        <v>3293</v>
      </c>
      <c r="T561" s="273"/>
      <c r="U561" s="274"/>
      <c r="V561" s="256"/>
      <c r="W561" s="244"/>
      <c r="X561" s="244"/>
      <c r="Y561" s="362"/>
      <c r="Z561" s="257">
        <f>altaz(J2000_Bas,$O561,$M561,DecLat,DecLong,1)</f>
        <v>49.153579436153045</v>
      </c>
      <c r="AA561" s="257">
        <f>altaz((J2000_Bas+(2*0.04167)),$O561,$M561,DecLat,DecLong,1)</f>
        <v>35.853941987556901</v>
      </c>
      <c r="AB561" s="257">
        <f>altaz((J2000_Bas+(4*0.04167)),$O561,$M561,DecLat,DecLong,1)</f>
        <v>13.597599271552296</v>
      </c>
      <c r="AC561" s="257">
        <f>altaz((J2000_Bas+(6*0.04167)),$O561,$M561,DecLat,DecLong,1)</f>
        <v>-11.59118275780231</v>
      </c>
      <c r="AD561" s="258">
        <f>1+ transit((J2000_Bas-1),$O561,$M561,DecLat,DecLong)/360 + (GMTOffset/24) + (IF(DST="Y", 1, 0)/24)</f>
        <v>1.7655966426192915</v>
      </c>
      <c r="AE561" s="259">
        <f>DATE(2001,9,21)+(M561/360)*365 - (360*((DecLong/360)- (GMTOffset/24) ))</f>
        <v>37442.034317129626</v>
      </c>
      <c r="AF561" s="260">
        <f>IF(DecLat&gt;0,IF((90 - (DecLat-O561))&gt;90, (90 - (O561-DecLat)), (90 - (DecLat-O561))),IF((90 + (DecLat-O561))&gt;90, (90 + (O561-DecLat)), (90 + (DecLat-O561))))</f>
        <v>49.85</v>
      </c>
      <c r="AG561" s="257">
        <f>angularseperation(MoonRA,MoonDec,$M561,$O561)</f>
        <v>32.676861354931759</v>
      </c>
      <c r="AH561" s="261">
        <f ca="1">MIN(100,IF($O$5&gt;80,0+30*($AG561/100),IF($O$5&gt;70,0+50*($AG561/100),IF($O$5&gt;60,5+50*($AG561/100),IF($O$5&gt;50,10+60*($AG561/100),IF($O$5&gt;40,15+70*($AG561/100),IF($O$5&gt;30,20+70*($AG561/100),IF($O$5&gt;20,40+55*($AG561/100),(80+(20-$O$5)+30*($AG561/100))))))))))</f>
        <v>93.07411875062995</v>
      </c>
      <c r="AI561" s="263"/>
      <c r="AJ561" s="263"/>
      <c r="AK561" s="263"/>
      <c r="AL561" s="263"/>
      <c r="AM561" s="264"/>
      <c r="AN561" s="263"/>
      <c r="AO561" s="263"/>
      <c r="AP561" s="265"/>
      <c r="AQ561" s="265"/>
      <c r="AR561" s="285"/>
      <c r="AS561" s="263"/>
      <c r="AT561" s="263"/>
      <c r="AU561" s="263"/>
      <c r="AV561" s="264"/>
      <c r="AW561" s="263">
        <v>100</v>
      </c>
      <c r="AX561" s="263"/>
      <c r="AY561" s="263"/>
      <c r="AZ561" s="263"/>
      <c r="BA561" s="263"/>
      <c r="BB561" s="263"/>
      <c r="BC561" s="263"/>
      <c r="BD561" s="264"/>
      <c r="BE561" s="263"/>
      <c r="BF561" s="263"/>
      <c r="BG561" s="263"/>
      <c r="BH561" s="263"/>
      <c r="BI561" s="263"/>
      <c r="BJ561" s="404">
        <f>altaz(J2000_Bas,$O561,$M561,DecLat,DecLong,2)</f>
        <v>191.87018122947072</v>
      </c>
      <c r="BK561" s="378" t="s">
        <v>664</v>
      </c>
      <c r="BL561" s="379">
        <f>IF((2*G561)/60&lt;0.2,0.2,(2*G561)/60)</f>
        <v>0.53333333333333333</v>
      </c>
      <c r="BM561" s="380">
        <f>MOD((50000+AD561-$B$3+(0/24)),1)</f>
        <v>0.98096357232134324</v>
      </c>
      <c r="BN561" s="381"/>
      <c r="BO561" s="382">
        <v>561</v>
      </c>
    </row>
    <row r="562" spans="1:67" s="24" customFormat="1" ht="15" customHeight="1" x14ac:dyDescent="0.25">
      <c r="A562" s="287" t="s">
        <v>665</v>
      </c>
      <c r="B562" s="241" t="str">
        <f>HYPERLINK(CONCATENATE($AT$3,BK562,$AU$3),$AV$3)</f>
        <v>S</v>
      </c>
      <c r="C562" s="242" t="str">
        <f>HYPERLINK(CONCATENATE($AT$4,BK562,$AU$4,BL562),$AV$4)</f>
        <v>A</v>
      </c>
      <c r="D562" s="243" t="s">
        <v>5187</v>
      </c>
      <c r="E562" s="244" t="s">
        <v>5179</v>
      </c>
      <c r="F562" s="269">
        <v>5</v>
      </c>
      <c r="G562" s="276">
        <v>13</v>
      </c>
      <c r="H562" s="271" t="s">
        <v>6500</v>
      </c>
      <c r="I562" s="244" t="s">
        <v>6500</v>
      </c>
      <c r="J562" s="246">
        <v>0</v>
      </c>
      <c r="K562" s="247" t="s">
        <v>8371</v>
      </c>
      <c r="L562" s="248">
        <v>183240</v>
      </c>
      <c r="M562" s="249">
        <f>15*(LEFT(TEXT($L562,"000000"),2)+(MID(TEXT($L562,"000000"),3,2)/60)+(RIGHT(TEXT($L562,"000000"),2)/3600))</f>
        <v>278.16666666666674</v>
      </c>
      <c r="N562" s="286">
        <v>-84900</v>
      </c>
      <c r="O562" s="251">
        <f>IF($N562&gt;0,(LEFT(TEXT($N562,"000000"),2)+(MID(TEXT($N562,"000000"),3,2)/60)+(RIGHT(TEXT($N562,"000000"),2)/3600)),-(MID(TEXT($N562,"000000"),2,2)+(MID(TEXT($N562,"000000"),4,2)/60)+(RIGHT(TEXT($N562,"000000"),2)/3600)))</f>
        <v>-8.8166666666666664</v>
      </c>
      <c r="P562" s="252" t="s">
        <v>121</v>
      </c>
      <c r="Q562" s="253"/>
      <c r="R562" s="277" t="s">
        <v>3293</v>
      </c>
      <c r="S562" s="272" t="s">
        <v>3293</v>
      </c>
      <c r="T562" s="273"/>
      <c r="U562" s="274"/>
      <c r="V562" s="256"/>
      <c r="W562" s="244"/>
      <c r="X562" s="244"/>
      <c r="Y562" s="362"/>
      <c r="Z562" s="257">
        <f>altaz(J2000_Bas,$O562,$M562,DecLat,DecLong,1)</f>
        <v>49.480777629938039</v>
      </c>
      <c r="AA562" s="257">
        <f>altaz((J2000_Bas+(2*0.04167)),$O562,$M562,DecLat,DecLong,1)</f>
        <v>36.104304874743576</v>
      </c>
      <c r="AB562" s="257">
        <f>altaz((J2000_Bas+(4*0.04167)),$O562,$M562,DecLat,DecLong,1)</f>
        <v>13.785965315989769</v>
      </c>
      <c r="AC562" s="257">
        <f>altaz((J2000_Bas+(6*0.04167)),$O562,$M562,DecLat,DecLong,1)</f>
        <v>-11.428099269684775</v>
      </c>
      <c r="AD562" s="258">
        <f>1+ transit((J2000_Bas-1),$O562,$M562,DecLat,DecLong)/360 + (GMTOffset/24) + (IF(DST="Y", 1, 0)/24)</f>
        <v>1.765585068546375</v>
      </c>
      <c r="AE562" s="259">
        <f>DATE(2001,9,21)+(M562/360)*365 - (360*((DecLong/360)- (GMTOffset/24) ))</f>
        <v>37442.030092592591</v>
      </c>
      <c r="AF562" s="260">
        <f>IF(DecLat&gt;0,IF((90 - (DecLat-O562))&gt;90, (90 - (O562-DecLat)), (90 - (DecLat-O562))),IF((90 + (DecLat-O562))&gt;90, (90 + (O562-DecLat)), (90 + (DecLat-O562))))</f>
        <v>50.183333333333337</v>
      </c>
      <c r="AG562" s="257">
        <f>angularseperation(MoonRA,MoonDec,$M562,$O562)</f>
        <v>32.875568940670419</v>
      </c>
      <c r="AH562" s="261">
        <f ca="1">MIN(100,IF($O$5&gt;80,0+30*($AG562/100),IF($O$5&gt;70,0+50*($AG562/100),IF($O$5&gt;60,5+50*($AG562/100),IF($O$5&gt;50,10+60*($AG562/100),IF($O$5&gt;40,15+70*($AG562/100),IF($O$5&gt;30,20+70*($AG562/100),IF($O$5&gt;20,40+55*($AG562/100),(80+(20-$O$5)+30*($AG562/100))))))))))</f>
        <v>93.133731026351555</v>
      </c>
      <c r="AI562" s="263"/>
      <c r="AJ562" s="263"/>
      <c r="AK562" s="263"/>
      <c r="AL562" s="263"/>
      <c r="AM562" s="264"/>
      <c r="AN562" s="263"/>
      <c r="AO562" s="263"/>
      <c r="AP562" s="265"/>
      <c r="AQ562" s="265"/>
      <c r="AR562" s="285"/>
      <c r="AS562" s="263"/>
      <c r="AT562" s="263"/>
      <c r="AU562" s="263"/>
      <c r="AV562" s="264"/>
      <c r="AW562" s="263">
        <v>101</v>
      </c>
      <c r="AX562" s="263"/>
      <c r="AY562" s="263"/>
      <c r="AZ562" s="263"/>
      <c r="BA562" s="263"/>
      <c r="BB562" s="263"/>
      <c r="BC562" s="263"/>
      <c r="BD562" s="264"/>
      <c r="BE562" s="263"/>
      <c r="BF562" s="263"/>
      <c r="BG562" s="263"/>
      <c r="BH562" s="263"/>
      <c r="BI562" s="263"/>
      <c r="BJ562" s="404">
        <f>altaz(J2000_Bas,$O562,$M562,DecLat,DecLong,2)</f>
        <v>191.96804140984892</v>
      </c>
      <c r="BK562" s="378" t="s">
        <v>665</v>
      </c>
      <c r="BL562" s="379">
        <f>IF((2*G562)/60&lt;0.2,0.2,(2*G562)/60)</f>
        <v>0.43333333333333335</v>
      </c>
      <c r="BM562" s="380">
        <f>MOD((50000+AD562-$B$3+(0/24)),1)</f>
        <v>0.98095199825183954</v>
      </c>
      <c r="BN562" s="381"/>
      <c r="BO562" s="382">
        <v>562</v>
      </c>
    </row>
    <row r="563" spans="1:67" s="24" customFormat="1" ht="15" customHeight="1" x14ac:dyDescent="0.25">
      <c r="A563" s="287" t="s">
        <v>666</v>
      </c>
      <c r="B563" s="241" t="str">
        <f>HYPERLINK(CONCATENATE($AT$3,BK563,$AU$3),$AV$3)</f>
        <v>S</v>
      </c>
      <c r="C563" s="242" t="str">
        <f>HYPERLINK(CONCATENATE($AT$4,BK563,$AU$4,BL563),$AV$4)</f>
        <v>A</v>
      </c>
      <c r="D563" s="243" t="s">
        <v>5187</v>
      </c>
      <c r="E563" s="244" t="s">
        <v>5179</v>
      </c>
      <c r="F563" s="269">
        <v>5</v>
      </c>
      <c r="G563" s="273">
        <v>8</v>
      </c>
      <c r="H563" s="271" t="s">
        <v>6500</v>
      </c>
      <c r="I563" s="244" t="s">
        <v>6500</v>
      </c>
      <c r="J563" s="246">
        <v>0</v>
      </c>
      <c r="K563" s="247" t="s">
        <v>5805</v>
      </c>
      <c r="L563" s="248">
        <v>183742</v>
      </c>
      <c r="M563" s="249">
        <f>15*(LEFT(TEXT($L563,"000000"),2)+(MID(TEXT($L563,"000000"),3,2)/60)+(RIGHT(TEXT($L563,"000000"),2)/3600))</f>
        <v>279.42500000000001</v>
      </c>
      <c r="N563" s="286">
        <v>-134500</v>
      </c>
      <c r="O563" s="251">
        <f>IF($N563&gt;0,(LEFT(TEXT($N563,"000000"),2)+(MID(TEXT($N563,"000000"),3,2)/60)+(RIGHT(TEXT($N563,"000000"),2)/3600)),-(MID(TEXT($N563,"000000"),2,2)+(MID(TEXT($N563,"000000"),4,2)/60)+(RIGHT(TEXT($N563,"000000"),2)/3600)))</f>
        <v>-13.75</v>
      </c>
      <c r="P563" s="252" t="s">
        <v>121</v>
      </c>
      <c r="Q563" s="253"/>
      <c r="R563" s="277" t="s">
        <v>3293</v>
      </c>
      <c r="S563" s="272" t="s">
        <v>3293</v>
      </c>
      <c r="T563" s="273"/>
      <c r="U563" s="274"/>
      <c r="V563" s="256"/>
      <c r="W563" s="244"/>
      <c r="X563" s="244"/>
      <c r="Y563" s="362"/>
      <c r="Z563" s="257">
        <f>altaz(J2000_Bas,$O563,$M563,DecLat,DecLong,1)</f>
        <v>44.805702454187433</v>
      </c>
      <c r="AA563" s="257">
        <f>altaz((J2000_Bas+(2*0.04167)),$O563,$M563,DecLat,DecLong,1)</f>
        <v>33.056899149114699</v>
      </c>
      <c r="AB563" s="257">
        <f>altaz((J2000_Bas+(4*0.04167)),$O563,$M563,DecLat,DecLong,1)</f>
        <v>11.905104732404954</v>
      </c>
      <c r="AC563" s="257">
        <f>altaz((J2000_Bas+(6*0.04167)),$O563,$M563,DecLat,DecLong,1)</f>
        <v>-12.794316830122041</v>
      </c>
      <c r="AD563" s="258">
        <f>1+ transit((J2000_Bas-1),$O563,$M563,DecLat,DecLong)/360 + (GMTOffset/24) + (IF(DST="Y", 1, 0)/24)</f>
        <v>1.7690804385672079</v>
      </c>
      <c r="AE563" s="259">
        <f>DATE(2001,9,21)+(M563/360)*365 - (360*((DecLong/360)- (GMTOffset/24) ))</f>
        <v>37443.305902777778</v>
      </c>
      <c r="AF563" s="260">
        <f>IF(DecLat&gt;0,IF((90 - (DecLat-O563))&gt;90, (90 - (O563-DecLat)), (90 - (DecLat-O563))),IF((90 + (DecLat-O563))&gt;90, (90 + (O563-DecLat)), (90 + (DecLat-O563))))</f>
        <v>45.25</v>
      </c>
      <c r="AG563" s="257">
        <f>angularseperation(MoonRA,MoonDec,$M563,$O563)</f>
        <v>31.152681927972058</v>
      </c>
      <c r="AH563" s="261">
        <f ca="1">MIN(100,IF($O$5&gt;80,0+30*($AG563/100),IF($O$5&gt;70,0+50*($AG563/100),IF($O$5&gt;60,5+50*($AG563/100),IF($O$5&gt;50,10+60*($AG563/100),IF($O$5&gt;40,15+70*($AG563/100),IF($O$5&gt;30,20+70*($AG563/100),IF($O$5&gt;20,40+55*($AG563/100),(80+(20-$O$5)+30*($AG563/100))))))))))</f>
        <v>92.616864922542049</v>
      </c>
      <c r="AI563" s="263"/>
      <c r="AJ563" s="263"/>
      <c r="AK563" s="263"/>
      <c r="AL563" s="263"/>
      <c r="AM563" s="264"/>
      <c r="AN563" s="263"/>
      <c r="AO563" s="263"/>
      <c r="AP563" s="265"/>
      <c r="AQ563" s="265"/>
      <c r="AR563" s="285"/>
      <c r="AS563" s="263"/>
      <c r="AT563" s="263"/>
      <c r="AU563" s="263"/>
      <c r="AV563" s="264"/>
      <c r="AW563" s="263">
        <v>102</v>
      </c>
      <c r="AX563" s="263"/>
      <c r="AY563" s="263"/>
      <c r="AZ563" s="263"/>
      <c r="BA563" s="263"/>
      <c r="BB563" s="263"/>
      <c r="BC563" s="263"/>
      <c r="BD563" s="264"/>
      <c r="BE563" s="263"/>
      <c r="BF563" s="263"/>
      <c r="BG563" s="263"/>
      <c r="BH563" s="263"/>
      <c r="BI563" s="263"/>
      <c r="BJ563" s="404">
        <f>altaz(J2000_Bas,$O563,$M563,DecLat,DecLong,2)</f>
        <v>189.02257958996969</v>
      </c>
      <c r="BK563" s="378" t="s">
        <v>666</v>
      </c>
      <c r="BL563" s="379">
        <f>IF((2*G563)/60&lt;0.2,0.2,(2*G563)/60)</f>
        <v>0.26666666666666666</v>
      </c>
      <c r="BM563" s="380">
        <f>MOD((50000+AD563-$B$3+(0/24)),1)</f>
        <v>0.98444736826786539</v>
      </c>
      <c r="BN563" s="381"/>
      <c r="BO563" s="382">
        <v>563</v>
      </c>
    </row>
    <row r="564" spans="1:67" s="24" customFormat="1" ht="15" customHeight="1" x14ac:dyDescent="0.25">
      <c r="A564" s="288" t="s">
        <v>667</v>
      </c>
      <c r="B564" s="241" t="str">
        <f>HYPERLINK(CONCATENATE($AT$3,BK564,$AU$3),$AV$3)</f>
        <v>S</v>
      </c>
      <c r="C564" s="242" t="str">
        <f>HYPERLINK(CONCATENATE($AT$4,BK564,$AU$4,BL564),$AV$4)</f>
        <v>A</v>
      </c>
      <c r="D564" s="243" t="s">
        <v>5187</v>
      </c>
      <c r="E564" s="244" t="s">
        <v>5179</v>
      </c>
      <c r="F564" s="269">
        <v>6</v>
      </c>
      <c r="G564" s="276">
        <v>35</v>
      </c>
      <c r="H564" s="271" t="s">
        <v>6500</v>
      </c>
      <c r="I564" s="244" t="s">
        <v>6500</v>
      </c>
      <c r="J564" s="246">
        <v>2</v>
      </c>
      <c r="K564" s="247" t="s">
        <v>5806</v>
      </c>
      <c r="L564" s="248">
        <v>183926</v>
      </c>
      <c r="M564" s="249">
        <f>15*(LEFT(TEXT($L564,"000000"),2)+(MID(TEXT($L564,"000000"),3,2)/60)+(RIGHT(TEXT($L564,"000000"),2)/3600))</f>
        <v>279.85833333333329</v>
      </c>
      <c r="N564" s="250">
        <v>-64100</v>
      </c>
      <c r="O564" s="251">
        <f>IF($N564&gt;0,(LEFT(TEXT($N564,"000000"),2)+(MID(TEXT($N564,"000000"),3,2)/60)+(RIGHT(TEXT($N564,"000000"),2)/3600)),-(MID(TEXT($N564,"000000"),2,2)+(MID(TEXT($N564,"000000"),4,2)/60)+(RIGHT(TEXT($N564,"000000"),2)/3600)))</f>
        <v>-6.6833333333333336</v>
      </c>
      <c r="P564" s="252" t="s">
        <v>121</v>
      </c>
      <c r="Q564" s="253"/>
      <c r="R564" s="247" t="s">
        <v>4406</v>
      </c>
      <c r="S564" s="272" t="s">
        <v>3293</v>
      </c>
      <c r="T564" s="273"/>
      <c r="U564" s="274"/>
      <c r="V564" s="256"/>
      <c r="W564" s="244"/>
      <c r="X564" s="244"/>
      <c r="Y564" s="362"/>
      <c r="Z564" s="257">
        <f>altaz(J2000_Bas,$O564,$M564,DecLat,DecLong,1)</f>
        <v>51.860629816451002</v>
      </c>
      <c r="AA564" s="257">
        <f>altaz((J2000_Bas+(2*0.04167)),$O564,$M564,DecLat,DecLong,1)</f>
        <v>38.814818235298873</v>
      </c>
      <c r="AB564" s="257">
        <f>altaz((J2000_Bas+(4*0.04167)),$O564,$M564,DecLat,DecLong,1)</f>
        <v>16.383911004205878</v>
      </c>
      <c r="AC564" s="257">
        <f>altaz((J2000_Bas+(6*0.04167)),$O564,$M564,DecLat,DecLong,1)</f>
        <v>-8.905700016741374</v>
      </c>
      <c r="AD564" s="258">
        <f>1+ transit((J2000_Bas-1),$O564,$M564,DecLat,DecLong)/360 + (GMTOffset/24) + (IF(DST="Y", 1, 0)/24)</f>
        <v>1.7702841421505411</v>
      </c>
      <c r="AE564" s="259">
        <f>DATE(2001,9,21)+(M564/360)*365 - (360*((DecLong/360)- (GMTOffset/24) ))</f>
        <v>37443.745254629626</v>
      </c>
      <c r="AF564" s="260">
        <f>IF(DecLat&gt;0,IF((90 - (DecLat-O564))&gt;90, (90 - (O564-DecLat)), (90 - (DecLat-O564))),IF((90 + (DecLat-O564))&gt;90, (90 + (O564-DecLat)), (90 + (DecLat-O564))))</f>
        <v>52.316666666666663</v>
      </c>
      <c r="AG564" s="257">
        <f>angularseperation(MoonRA,MoonDec,$M564,$O564)</f>
        <v>35.510998285862648</v>
      </c>
      <c r="AH564" s="261">
        <f ca="1">MIN(100,IF($O$5&gt;80,0+30*($AG564/100),IF($O$5&gt;70,0+50*($AG564/100),IF($O$5&gt;60,5+50*($AG564/100),IF($O$5&gt;50,10+60*($AG564/100),IF($O$5&gt;40,15+70*($AG564/100),IF($O$5&gt;30,20+70*($AG564/100),IF($O$5&gt;20,40+55*($AG564/100),(80+(20-$O$5)+30*($AG564/100))))))))))</f>
        <v>93.924359829909221</v>
      </c>
      <c r="AI564" s="262"/>
      <c r="AJ564" s="262"/>
      <c r="AK564" s="262"/>
      <c r="AL564" s="263"/>
      <c r="AM564" s="264"/>
      <c r="AN564" s="263"/>
      <c r="AO564" s="263"/>
      <c r="AP564" s="265"/>
      <c r="AQ564" s="266"/>
      <c r="AR564" s="267"/>
      <c r="AS564" s="263"/>
      <c r="AT564" s="263"/>
      <c r="AU564" s="263"/>
      <c r="AV564" s="264"/>
      <c r="AW564" s="263">
        <v>103</v>
      </c>
      <c r="AX564" s="263"/>
      <c r="AY564" s="263"/>
      <c r="AZ564" s="263"/>
      <c r="BA564" s="263"/>
      <c r="BB564" s="263"/>
      <c r="BC564" s="263"/>
      <c r="BD564" s="264"/>
      <c r="BE564" s="263"/>
      <c r="BF564" s="263"/>
      <c r="BG564" s="263"/>
      <c r="BH564" s="263"/>
      <c r="BI564" s="263"/>
      <c r="BJ564" s="404">
        <f>altaz(J2000_Bas,$O564,$M564,DecLat,DecLong,2)</f>
        <v>189.91186943581801</v>
      </c>
      <c r="BK564" s="378" t="s">
        <v>667</v>
      </c>
      <c r="BL564" s="379">
        <f>IF((2*G564)/60&lt;0.2,0.2,(2*G564)/60)</f>
        <v>1.1666666666666667</v>
      </c>
      <c r="BM564" s="380">
        <f>MOD((50000+AD564-$B$3+(0/24)),1)</f>
        <v>0.98565107185277157</v>
      </c>
      <c r="BN564" s="381"/>
      <c r="BO564" s="382">
        <v>564</v>
      </c>
    </row>
    <row r="565" spans="1:67" s="24" customFormat="1" ht="15" customHeight="1" x14ac:dyDescent="0.25">
      <c r="A565" s="288" t="s">
        <v>668</v>
      </c>
      <c r="B565" s="241" t="str">
        <f>HYPERLINK(CONCATENATE($AT$3,BK565,$AU$3),$AV$3)</f>
        <v>S</v>
      </c>
      <c r="C565" s="242" t="str">
        <f>HYPERLINK(CONCATENATE($AT$4,BK565,$AU$4,BL565),$AV$4)</f>
        <v>A</v>
      </c>
      <c r="D565" s="243" t="s">
        <v>5187</v>
      </c>
      <c r="E565" s="244" t="s">
        <v>5179</v>
      </c>
      <c r="F565" s="269">
        <v>5</v>
      </c>
      <c r="G565" s="276">
        <v>16</v>
      </c>
      <c r="H565" s="271" t="s">
        <v>6500</v>
      </c>
      <c r="I565" s="244" t="s">
        <v>6500</v>
      </c>
      <c r="J565" s="246">
        <v>4</v>
      </c>
      <c r="K565" s="247" t="s">
        <v>9373</v>
      </c>
      <c r="L565" s="248">
        <v>184720</v>
      </c>
      <c r="M565" s="249">
        <f>15*(LEFT(TEXT($L565,"000000"),2)+(MID(TEXT($L565,"000000"),3,2)/60)+(RIGHT(TEXT($L565,"000000"),2)/3600))</f>
        <v>281.83333333333337</v>
      </c>
      <c r="N565" s="250">
        <v>-43300</v>
      </c>
      <c r="O565" s="251">
        <f>IF($N565&gt;0,(LEFT(TEXT($N565,"000000"),2)+(MID(TEXT($N565,"000000"),3,2)/60)+(RIGHT(TEXT($N565,"000000"),2)/3600)),-(MID(TEXT($N565,"000000"),2,2)+(MID(TEXT($N565,"000000"),4,2)/60)+(RIGHT(TEXT($N565,"000000"),2)/3600)))</f>
        <v>-4.55</v>
      </c>
      <c r="P565" s="252" t="s">
        <v>121</v>
      </c>
      <c r="Q565" s="253" t="s">
        <v>6965</v>
      </c>
      <c r="R565" s="247" t="s">
        <v>3293</v>
      </c>
      <c r="S565" s="272" t="s">
        <v>4407</v>
      </c>
      <c r="T565" s="273"/>
      <c r="U565" s="274"/>
      <c r="V565" s="256"/>
      <c r="W565" s="244"/>
      <c r="X565" s="244"/>
      <c r="Y565" s="362"/>
      <c r="Z565" s="257">
        <f>altaz(J2000_Bas,$O565,$M565,DecLat,DecLong,1)</f>
        <v>54.227763894687769</v>
      </c>
      <c r="AA565" s="257">
        <f>altaz((J2000_Bas+(2*0.04167)),$O565,$M565,DecLat,DecLong,1)</f>
        <v>41.713256673711868</v>
      </c>
      <c r="AB565" s="257">
        <f>altaz((J2000_Bas+(4*0.04167)),$O565,$M565,DecLat,DecLong,1)</f>
        <v>19.218623103779134</v>
      </c>
      <c r="AC565" s="257">
        <f>altaz((J2000_Bas+(6*0.04167)),$O565,$M565,DecLat,DecLong,1)</f>
        <v>-6.1281246837745433</v>
      </c>
      <c r="AD565" s="258">
        <f>1+ transit((J2000_Bas-1),$O565,$M565,DecLat,DecLong)/360 + (GMTOffset/24) + (IF(DST="Y", 1, 0)/24)</f>
        <v>1.7757702527130415</v>
      </c>
      <c r="AE565" s="259">
        <f>DATE(2001,9,21)+(M565/360)*365 - (360*((DecLong/360)- (GMTOffset/24) ))</f>
        <v>37445.747685185182</v>
      </c>
      <c r="AF565" s="260">
        <f>IF(DecLat&gt;0,IF((90 - (DecLat-O565))&gt;90, (90 - (O565-DecLat)), (90 - (DecLat-O565))),IF((90 + (DecLat-O565))&gt;90, (90 + (O565-DecLat)), (90 + (DecLat-O565))))</f>
        <v>54.45</v>
      </c>
      <c r="AG565" s="257">
        <f>angularseperation(MoonRA,MoonDec,$M565,$O565)</f>
        <v>38.381451724548128</v>
      </c>
      <c r="AH565" s="261">
        <f ca="1">MIN(100,IF($O$5&gt;80,0+30*($AG565/100),IF($O$5&gt;70,0+50*($AG565/100),IF($O$5&gt;60,5+50*($AG565/100),IF($O$5&gt;50,10+60*($AG565/100),IF($O$5&gt;40,15+70*($AG565/100),IF($O$5&gt;30,20+70*($AG565/100),IF($O$5&gt;20,40+55*($AG565/100),(80+(20-$O$5)+30*($AG565/100))))))))))</f>
        <v>94.78549586151486</v>
      </c>
      <c r="AI565" s="262"/>
      <c r="AJ565" s="262"/>
      <c r="AK565" s="262"/>
      <c r="AL565" s="263"/>
      <c r="AM565" s="264"/>
      <c r="AN565" s="263"/>
      <c r="AO565" s="263"/>
      <c r="AP565" s="265"/>
      <c r="AQ565" s="266"/>
      <c r="AR565" s="267"/>
      <c r="AS565" s="263"/>
      <c r="AT565" s="263"/>
      <c r="AU565" s="263"/>
      <c r="AV565" s="264"/>
      <c r="AW565" s="263">
        <v>104</v>
      </c>
      <c r="AX565" s="263"/>
      <c r="AY565" s="263"/>
      <c r="AZ565" s="263"/>
      <c r="BA565" s="263"/>
      <c r="BB565" s="263"/>
      <c r="BC565" s="263"/>
      <c r="BD565" s="264"/>
      <c r="BE565" s="263"/>
      <c r="BF565" s="263"/>
      <c r="BG565" s="263"/>
      <c r="BH565" s="263"/>
      <c r="BI565" s="263">
        <v>83</v>
      </c>
      <c r="BJ565" s="404">
        <f>altaz(J2000_Bas,$O565,$M565,DecLat,DecLong,2)</f>
        <v>187.12188100443956</v>
      </c>
      <c r="BK565" s="378" t="s">
        <v>668</v>
      </c>
      <c r="BL565" s="379">
        <f>IF((2*G565)/60&lt;0.2,0.2,(2*G565)/60)</f>
        <v>0.53333333333333333</v>
      </c>
      <c r="BM565" s="380">
        <f>MOD((50000+AD565-$B$3+(0/24)),1)</f>
        <v>0.99113718242006144</v>
      </c>
      <c r="BN565" s="381" t="s">
        <v>8664</v>
      </c>
      <c r="BO565" s="382">
        <v>565</v>
      </c>
    </row>
    <row r="566" spans="1:67" s="24" customFormat="1" ht="15" customHeight="1" x14ac:dyDescent="0.25">
      <c r="A566" s="297" t="s">
        <v>669</v>
      </c>
      <c r="B566" s="241" t="str">
        <f>HYPERLINK(CONCATENATE($AT$3,BK566,$AU$3),$AV$3)</f>
        <v>S</v>
      </c>
      <c r="C566" s="242" t="str">
        <f>HYPERLINK(CONCATENATE($AT$4,BK566,$AU$4,BL566),$AV$4)</f>
        <v>A</v>
      </c>
      <c r="D566" s="243" t="s">
        <v>5187</v>
      </c>
      <c r="E566" s="244" t="s">
        <v>5179</v>
      </c>
      <c r="F566" s="269">
        <v>4</v>
      </c>
      <c r="G566" s="273">
        <v>1</v>
      </c>
      <c r="H566" s="271" t="s">
        <v>6500</v>
      </c>
      <c r="I566" s="244" t="s">
        <v>6500</v>
      </c>
      <c r="J566" s="246">
        <v>0</v>
      </c>
      <c r="K566" s="277" t="s">
        <v>5979</v>
      </c>
      <c r="L566" s="248">
        <v>184745</v>
      </c>
      <c r="M566" s="249">
        <f>15*(LEFT(TEXT($L566,"000000"),2)+(MID(TEXT($L566,"000000"),3,2)/60)+(RIGHT(TEXT($L566,"000000"),2)/3600))</f>
        <v>281.9375</v>
      </c>
      <c r="N566" s="286">
        <v>-65600</v>
      </c>
      <c r="O566" s="251">
        <f>IF($N566&gt;0,(LEFT(TEXT($N566,"000000"),2)+(MID(TEXT($N566,"000000"),3,2)/60)+(RIGHT(TEXT($N566,"000000"),2)/3600)),-(MID(TEXT($N566,"000000"),2,2)+(MID(TEXT($N566,"000000"),4,2)/60)+(RIGHT(TEXT($N566,"000000"),2)/3600)))</f>
        <v>-6.9333333333333336</v>
      </c>
      <c r="P566" s="252" t="s">
        <v>121</v>
      </c>
      <c r="Q566" s="253"/>
      <c r="R566" s="277" t="s">
        <v>3293</v>
      </c>
      <c r="S566" s="272" t="s">
        <v>3293</v>
      </c>
      <c r="T566" s="273"/>
      <c r="U566" s="274"/>
      <c r="V566" s="256"/>
      <c r="W566" s="244"/>
      <c r="X566" s="244"/>
      <c r="Y566" s="362"/>
      <c r="Z566" s="257">
        <f>altaz(J2000_Bas,$O566,$M566,DecLat,DecLong,1)</f>
        <v>51.867585144169247</v>
      </c>
      <c r="AA566" s="257">
        <f>altaz((J2000_Bas+(2*0.04167)),$O566,$M566,DecLat,DecLong,1)</f>
        <v>39.941822540267992</v>
      </c>
      <c r="AB566" s="257">
        <f>altaz((J2000_Bas+(4*0.04167)),$O566,$M566,DecLat,DecLong,1)</f>
        <v>17.92114007091071</v>
      </c>
      <c r="AC566" s="257">
        <f>altaz((J2000_Bas+(6*0.04167)),$O566,$M566,DecLat,DecLong,1)</f>
        <v>-7.2529258829605654</v>
      </c>
      <c r="AD566" s="258">
        <f>1+ transit((J2000_Bas-1),$O566,$M566,DecLat,DecLong)/360 + (GMTOffset/24) + (IF(DST="Y", 1, 0)/24)</f>
        <v>1.776059604535958</v>
      </c>
      <c r="AE566" s="259">
        <f>DATE(2001,9,21)+(M566/360)*365 - (360*((DecLong/360)- (GMTOffset/24) ))</f>
        <v>37445.853298611109</v>
      </c>
      <c r="AF566" s="260">
        <f>IF(DecLat&gt;0,IF((90 - (DecLat-O566))&gt;90, (90 - (O566-DecLat)), (90 - (DecLat-O566))),IF((90 + (DecLat-O566))&gt;90, (90 + (O566-DecLat)), (90 + (DecLat-O566))))</f>
        <v>52.066666666666663</v>
      </c>
      <c r="AG566" s="257">
        <f>angularseperation(MoonRA,MoonDec,$M566,$O566)</f>
        <v>36.989201842307736</v>
      </c>
      <c r="AH566" s="261">
        <f ca="1">MIN(100,IF($O$5&gt;80,0+30*($AG566/100),IF($O$5&gt;70,0+50*($AG566/100),IF($O$5&gt;60,5+50*($AG566/100),IF($O$5&gt;50,10+60*($AG566/100),IF($O$5&gt;40,15+70*($AG566/100),IF($O$5&gt;30,20+70*($AG566/100),IF($O$5&gt;20,40+55*($AG566/100),(80+(20-$O$5)+30*($AG566/100))))))))))</f>
        <v>94.367820896842744</v>
      </c>
      <c r="AI566" s="263"/>
      <c r="AJ566" s="263"/>
      <c r="AK566" s="263"/>
      <c r="AL566" s="263"/>
      <c r="AM566" s="264"/>
      <c r="AN566" s="263"/>
      <c r="AO566" s="263"/>
      <c r="AP566" s="265"/>
      <c r="AQ566" s="265"/>
      <c r="AR566" s="285"/>
      <c r="AS566" s="263"/>
      <c r="AT566" s="263"/>
      <c r="AU566" s="263"/>
      <c r="AV566" s="264"/>
      <c r="AW566" s="263">
        <v>105</v>
      </c>
      <c r="AX566" s="263"/>
      <c r="AY566" s="263"/>
      <c r="AZ566" s="263"/>
      <c r="BA566" s="263"/>
      <c r="BB566" s="263"/>
      <c r="BC566" s="263"/>
      <c r="BD566" s="264"/>
      <c r="BE566" s="263"/>
      <c r="BF566" s="263"/>
      <c r="BG566" s="263"/>
      <c r="BH566" s="263"/>
      <c r="BI566" s="263"/>
      <c r="BJ566" s="404">
        <f>altaz(J2000_Bas,$O566,$M566,DecLat,DecLong,2)</f>
        <v>186.54399852794444</v>
      </c>
      <c r="BK566" s="378" t="s">
        <v>669</v>
      </c>
      <c r="BL566" s="379">
        <f>IF((2*G566)/60&lt;0.2,0.2,(2*G566)/60)</f>
        <v>0.2</v>
      </c>
      <c r="BM566" s="380">
        <f>MOD((50000+AD566-$B$3+(0/24)),1)</f>
        <v>0.99142653423768934</v>
      </c>
      <c r="BN566" s="381"/>
      <c r="BO566" s="382">
        <v>566</v>
      </c>
    </row>
    <row r="567" spans="1:67" s="24" customFormat="1" ht="15" customHeight="1" x14ac:dyDescent="0.25">
      <c r="A567" s="288" t="s">
        <v>670</v>
      </c>
      <c r="B567" s="241" t="str">
        <f>HYPERLINK(CONCATENATE($AT$3,BK567,$AU$3),$AV$3)</f>
        <v>S</v>
      </c>
      <c r="C567" s="242" t="str">
        <f>HYPERLINK(CONCATENATE($AT$4,BK567,$AU$4,BL567),$AV$4)</f>
        <v>A</v>
      </c>
      <c r="D567" s="243" t="s">
        <v>5187</v>
      </c>
      <c r="E567" s="244" t="s">
        <v>5179</v>
      </c>
      <c r="F567" s="269">
        <v>6</v>
      </c>
      <c r="G567" s="273">
        <v>2</v>
      </c>
      <c r="H567" s="271" t="s">
        <v>6500</v>
      </c>
      <c r="I567" s="244" t="s">
        <v>6500</v>
      </c>
      <c r="J567" s="246">
        <v>1</v>
      </c>
      <c r="K567" s="247" t="s">
        <v>5807</v>
      </c>
      <c r="L567" s="248">
        <v>184850</v>
      </c>
      <c r="M567" s="249">
        <f>15*(LEFT(TEXT($L567,"000000"),2)+(MID(TEXT($L567,"000000"),3,2)/60)+(RIGHT(TEXT($L567,"000000"),2)/3600))</f>
        <v>282.20833333333337</v>
      </c>
      <c r="N567" s="286">
        <v>-50500</v>
      </c>
      <c r="O567" s="251">
        <f>IF($N567&gt;0,(LEFT(TEXT($N567,"000000"),2)+(MID(TEXT($N567,"000000"),3,2)/60)+(RIGHT(TEXT($N567,"000000"),2)/3600)),-(MID(TEXT($N567,"000000"),2,2)+(MID(TEXT($N567,"000000"),4,2)/60)+(RIGHT(TEXT($N567,"000000"),2)/3600)))</f>
        <v>-5.083333333333333</v>
      </c>
      <c r="P567" s="252" t="s">
        <v>121</v>
      </c>
      <c r="Q567" s="253"/>
      <c r="R567" s="277" t="s">
        <v>3293</v>
      </c>
      <c r="S567" s="272" t="s">
        <v>3293</v>
      </c>
      <c r="T567" s="273"/>
      <c r="U567" s="274"/>
      <c r="V567" s="256"/>
      <c r="W567" s="244"/>
      <c r="X567" s="244"/>
      <c r="Y567" s="362"/>
      <c r="Z567" s="257">
        <f>altaz(J2000_Bas,$O567,$M567,DecLat,DecLong,1)</f>
        <v>53.735000160816227</v>
      </c>
      <c r="AA567" s="257">
        <f>altaz((J2000_Bas+(2*0.04167)),$O567,$M567,DecLat,DecLong,1)</f>
        <v>41.544554647474385</v>
      </c>
      <c r="AB567" s="257">
        <f>altaz((J2000_Bas+(4*0.04167)),$O567,$M567,DecLat,DecLong,1)</f>
        <v>19.216292056408452</v>
      </c>
      <c r="AC567" s="257">
        <f>altaz((J2000_Bas+(6*0.04167)),$O567,$M567,DecLat,DecLong,1)</f>
        <v>-6.0793050600428913</v>
      </c>
      <c r="AD567" s="258">
        <f>1+ transit((J2000_Bas-1),$O567,$M567,DecLat,DecLong)/360 + (GMTOffset/24) + (IF(DST="Y", 1, 0)/24)</f>
        <v>1.7768119192755416</v>
      </c>
      <c r="AE567" s="259">
        <f>DATE(2001,9,21)+(M567/360)*365 - (360*((DecLong/360)- (GMTOffset/24) ))</f>
        <v>37446.127893518518</v>
      </c>
      <c r="AF567" s="260">
        <f>IF(DecLat&gt;0,IF((90 - (DecLat-O567))&gt;90, (90 - (O567-DecLat)), (90 - (DecLat-O567))),IF((90 + (DecLat-O567))&gt;90, (90 + (O567-DecLat)), (90 + (DecLat-O567))))</f>
        <v>53.916666666666664</v>
      </c>
      <c r="AG567" s="257">
        <f>angularseperation(MoonRA,MoonDec,$M567,$O567)</f>
        <v>38.335810180686444</v>
      </c>
      <c r="AH567" s="261">
        <f ca="1">MIN(100,IF($O$5&gt;80,0+30*($AG567/100),IF($O$5&gt;70,0+50*($AG567/100),IF($O$5&gt;60,5+50*($AG567/100),IF($O$5&gt;50,10+60*($AG567/100),IF($O$5&gt;40,15+70*($AG567/100),IF($O$5&gt;30,20+70*($AG567/100),IF($O$5&gt;20,40+55*($AG567/100),(80+(20-$O$5)+30*($AG567/100))))))))))</f>
        <v>94.771803398356354</v>
      </c>
      <c r="AI567" s="263"/>
      <c r="AJ567" s="263"/>
      <c r="AK567" s="263"/>
      <c r="AL567" s="263"/>
      <c r="AM567" s="264"/>
      <c r="AN567" s="263"/>
      <c r="AO567" s="263"/>
      <c r="AP567" s="265"/>
      <c r="AQ567" s="265"/>
      <c r="AR567" s="285"/>
      <c r="AS567" s="263"/>
      <c r="AT567" s="263"/>
      <c r="AU567" s="263"/>
      <c r="AV567" s="264"/>
      <c r="AW567" s="263">
        <v>106</v>
      </c>
      <c r="AX567" s="263"/>
      <c r="AY567" s="263"/>
      <c r="AZ567" s="263"/>
      <c r="BA567" s="263"/>
      <c r="BB567" s="263"/>
      <c r="BC567" s="263"/>
      <c r="BD567" s="264"/>
      <c r="BE567" s="263"/>
      <c r="BF567" s="263"/>
      <c r="BG567" s="263"/>
      <c r="BH567" s="263"/>
      <c r="BI567" s="263"/>
      <c r="BJ567" s="404">
        <f>altaz(J2000_Bas,$O567,$M567,DecLat,DecLong,2)</f>
        <v>186.39786203135483</v>
      </c>
      <c r="BK567" s="378" t="s">
        <v>670</v>
      </c>
      <c r="BL567" s="379">
        <f>IF((2*G567)/60&lt;0.2,0.2,(2*G567)/60)</f>
        <v>0.2</v>
      </c>
      <c r="BM567" s="380">
        <f>MOD((50000+AD567-$B$3+(0/24)),1)</f>
        <v>0.99217884898098418</v>
      </c>
      <c r="BN567" s="381"/>
      <c r="BO567" s="382">
        <v>567</v>
      </c>
    </row>
    <row r="568" spans="1:67" s="24" customFormat="1" ht="15" customHeight="1" x14ac:dyDescent="0.25">
      <c r="A568" s="288" t="s">
        <v>671</v>
      </c>
      <c r="B568" s="241" t="str">
        <f>HYPERLINK(CONCATENATE($AT$3,BK568,$AU$3),$AV$3)</f>
        <v>S</v>
      </c>
      <c r="C568" s="242" t="str">
        <f>HYPERLINK(CONCATENATE($AT$4,BK568,$AU$4,BL568),$AV$4)</f>
        <v>A</v>
      </c>
      <c r="D568" s="243" t="s">
        <v>5187</v>
      </c>
      <c r="E568" s="244" t="s">
        <v>5179</v>
      </c>
      <c r="F568" s="269">
        <v>6</v>
      </c>
      <c r="G568" s="276">
        <v>30</v>
      </c>
      <c r="H568" s="271" t="s">
        <v>6500</v>
      </c>
      <c r="I568" s="244" t="s">
        <v>6500</v>
      </c>
      <c r="J568" s="246">
        <v>2</v>
      </c>
      <c r="K568" s="247" t="s">
        <v>5808</v>
      </c>
      <c r="L568" s="248">
        <v>184931</v>
      </c>
      <c r="M568" s="249">
        <f>15*(LEFT(TEXT($L568,"000000"),2)+(MID(TEXT($L568,"000000"),3,2)/60)+(RIGHT(TEXT($L568,"000000"),2)/3600))</f>
        <v>282.37916666666666</v>
      </c>
      <c r="N568" s="250">
        <v>-50100</v>
      </c>
      <c r="O568" s="251">
        <f>IF($N568&gt;0,(LEFT(TEXT($N568,"000000"),2)+(MID(TEXT($N568,"000000"),3,2)/60)+(RIGHT(TEXT($N568,"000000"),2)/3600)),-(MID(TEXT($N568,"000000"),2,2)+(MID(TEXT($N568,"000000"),4,2)/60)+(RIGHT(TEXT($N568,"000000"),2)/3600)))</f>
        <v>-5.0166666666666666</v>
      </c>
      <c r="P568" s="252" t="s">
        <v>121</v>
      </c>
      <c r="Q568" s="253"/>
      <c r="R568" s="277" t="s">
        <v>3293</v>
      </c>
      <c r="S568" s="272" t="s">
        <v>3293</v>
      </c>
      <c r="T568" s="273"/>
      <c r="U568" s="274"/>
      <c r="V568" s="256"/>
      <c r="W568" s="244"/>
      <c r="X568" s="244"/>
      <c r="Y568" s="362"/>
      <c r="Z568" s="257">
        <f>altaz(J2000_Bas,$O568,$M568,DecLat,DecLong,1)</f>
        <v>53.817339489819851</v>
      </c>
      <c r="AA568" s="257">
        <f>altaz((J2000_Bas+(2*0.04167)),$O568,$M568,DecLat,DecLong,1)</f>
        <v>41.704434746648303</v>
      </c>
      <c r="AB568" s="257">
        <f>altaz((J2000_Bas+(4*0.04167)),$O568,$M568,DecLat,DecLong,1)</f>
        <v>19.393647106871821</v>
      </c>
      <c r="AC568" s="257">
        <f>altaz((J2000_Bas+(6*0.04167)),$O568,$M568,DecLat,DecLong,1)</f>
        <v>-5.8989500071808791</v>
      </c>
      <c r="AD568" s="258">
        <f>1+ transit((J2000_Bas-1),$O568,$M568,DecLat,DecLong)/360 + (GMTOffset/24) + (IF(DST="Y", 1, 0)/24)</f>
        <v>1.7772864562651247</v>
      </c>
      <c r="AE568" s="259">
        <f>DATE(2001,9,21)+(M568/360)*365 - (360*((DecLong/360)- (GMTOffset/24) ))</f>
        <v>37446.301099537035</v>
      </c>
      <c r="AF568" s="260">
        <f>IF(DecLat&gt;0,IF((90 - (DecLat-O568))&gt;90, (90 - (O568-DecLat)), (90 - (DecLat-O568))),IF((90 + (DecLat-O568))&gt;90, (90 + (O568-DecLat)), (90 + (DecLat-O568))))</f>
        <v>53.983333333333334</v>
      </c>
      <c r="AG568" s="257">
        <f>angularseperation(MoonRA,MoonDec,$M568,$O568)</f>
        <v>38.510380011107465</v>
      </c>
      <c r="AH568" s="261">
        <f ca="1">MIN(100,IF($O$5&gt;80,0+30*($AG568/100),IF($O$5&gt;70,0+50*($AG568/100),IF($O$5&gt;60,5+50*($AG568/100),IF($O$5&gt;50,10+60*($AG568/100),IF($O$5&gt;40,15+70*($AG568/100),IF($O$5&gt;30,20+70*($AG568/100),IF($O$5&gt;20,40+55*($AG568/100),(80+(20-$O$5)+30*($AG568/100))))))))))</f>
        <v>94.824174347482668</v>
      </c>
      <c r="AI568" s="263"/>
      <c r="AJ568" s="263"/>
      <c r="AK568" s="263"/>
      <c r="AL568" s="263"/>
      <c r="AM568" s="264"/>
      <c r="AN568" s="263"/>
      <c r="AO568" s="263"/>
      <c r="AP568" s="265"/>
      <c r="AQ568" s="265"/>
      <c r="AR568" s="285"/>
      <c r="AS568" s="263"/>
      <c r="AT568" s="263"/>
      <c r="AU568" s="263"/>
      <c r="AV568" s="264"/>
      <c r="AW568" s="263">
        <v>107</v>
      </c>
      <c r="AX568" s="263"/>
      <c r="AY568" s="263"/>
      <c r="AZ568" s="263"/>
      <c r="BA568" s="263"/>
      <c r="BB568" s="263"/>
      <c r="BC568" s="263"/>
      <c r="BD568" s="264"/>
      <c r="BE568" s="263"/>
      <c r="BF568" s="263"/>
      <c r="BG568" s="263"/>
      <c r="BH568" s="263"/>
      <c r="BI568" s="263"/>
      <c r="BJ568" s="404">
        <f>altaz(J2000_Bas,$O568,$M568,DecLat,DecLong,2)</f>
        <v>186.12175260229512</v>
      </c>
      <c r="BK568" s="378" t="s">
        <v>671</v>
      </c>
      <c r="BL568" s="379">
        <f>IF((2*G568)/60&lt;0.2,0.2,(2*G568)/60)</f>
        <v>1</v>
      </c>
      <c r="BM568" s="380">
        <f>MOD((50000+AD568-$B$3+(0/24)),1)</f>
        <v>0.99265338596887887</v>
      </c>
      <c r="BN568" s="381"/>
      <c r="BO568" s="382">
        <v>568</v>
      </c>
    </row>
    <row r="569" spans="1:67" s="24" customFormat="1" ht="15" customHeight="1" x14ac:dyDescent="0.25">
      <c r="A569" s="287" t="s">
        <v>672</v>
      </c>
      <c r="B569" s="241" t="str">
        <f>HYPERLINK(CONCATENATE($AT$3,BK569,$AU$3),$AV$3)</f>
        <v>S</v>
      </c>
      <c r="C569" s="242" t="str">
        <f>HYPERLINK(CONCATENATE($AT$4,BK569,$AU$4,BL569),$AV$4)</f>
        <v>A</v>
      </c>
      <c r="D569" s="243" t="s">
        <v>5187</v>
      </c>
      <c r="E569" s="244" t="s">
        <v>5179</v>
      </c>
      <c r="F569" s="269">
        <v>3</v>
      </c>
      <c r="G569" s="273">
        <v>3</v>
      </c>
      <c r="H569" s="271" t="s">
        <v>6500</v>
      </c>
      <c r="I569" s="244" t="s">
        <v>6500</v>
      </c>
      <c r="J569" s="246">
        <v>0</v>
      </c>
      <c r="K569" s="247" t="s">
        <v>5980</v>
      </c>
      <c r="L569" s="248">
        <v>184935</v>
      </c>
      <c r="M569" s="249">
        <f>15*(LEFT(TEXT($L569,"000000"),2)+(MID(TEXT($L569,"000000"),3,2)/60)+(RIGHT(TEXT($L569,"000000"),2)/3600))</f>
        <v>282.39583333333331</v>
      </c>
      <c r="N569" s="250">
        <v>-61900</v>
      </c>
      <c r="O569" s="251">
        <f>IF($N569&gt;0,(LEFT(TEXT($N569,"000000"),2)+(MID(TEXT($N569,"000000"),3,2)/60)+(RIGHT(TEXT($N569,"000000"),2)/3600)),-(MID(TEXT($N569,"000000"),2,2)+(MID(TEXT($N569,"000000"),4,2)/60)+(RIGHT(TEXT($N569,"000000"),2)/3600)))</f>
        <v>-6.3166666666666664</v>
      </c>
      <c r="P569" s="252" t="s">
        <v>121</v>
      </c>
      <c r="Q569" s="253"/>
      <c r="R569" s="277" t="s">
        <v>3293</v>
      </c>
      <c r="S569" s="272" t="s">
        <v>3293</v>
      </c>
      <c r="T569" s="273"/>
      <c r="U569" s="274"/>
      <c r="V569" s="256"/>
      <c r="W569" s="244"/>
      <c r="X569" s="244"/>
      <c r="Y569" s="362"/>
      <c r="Z569" s="257">
        <f>altaz(J2000_Bas,$O569,$M569,DecLat,DecLong,1)</f>
        <v>52.524131843728455</v>
      </c>
      <c r="AA569" s="257">
        <f>altaz((J2000_Bas+(2*0.04167)),$O569,$M569,DecLat,DecLong,1)</f>
        <v>40.707655092337717</v>
      </c>
      <c r="AB569" s="257">
        <f>altaz((J2000_Bas+(4*0.04167)),$O569,$M569,DecLat,DecLong,1)</f>
        <v>18.650971432472232</v>
      </c>
      <c r="AC569" s="257">
        <f>altaz((J2000_Bas+(6*0.04167)),$O569,$M569,DecLat,DecLong,1)</f>
        <v>-6.5474314670153761</v>
      </c>
      <c r="AD569" s="258">
        <f>1+ transit((J2000_Bas-1),$O569,$M569,DecLat,DecLong)/360 + (GMTOffset/24) + (IF(DST="Y", 1, 0)/24)</f>
        <v>1.7773327525567912</v>
      </c>
      <c r="AE569" s="259">
        <f>DATE(2001,9,21)+(M569/360)*365 - (360*((DecLong/360)- (GMTOffset/24) ))</f>
        <v>37446.317997685182</v>
      </c>
      <c r="AF569" s="260">
        <f>IF(DecLat&gt;0,IF((90 - (DecLat-O569))&gt;90, (90 - (O569-DecLat)), (90 - (DecLat-O569))),IF((90 + (DecLat-O569))&gt;90, (90 + (O569-DecLat)), (90 + (DecLat-O569))))</f>
        <v>52.683333333333337</v>
      </c>
      <c r="AG569" s="257">
        <f>angularseperation(MoonRA,MoonDec,$M569,$O569)</f>
        <v>37.724304315237788</v>
      </c>
      <c r="AH569" s="261">
        <f ca="1">MIN(100,IF($O$5&gt;80,0+30*($AG569/100),IF($O$5&gt;70,0+50*($AG569/100),IF($O$5&gt;60,5+50*($AG569/100),IF($O$5&gt;50,10+60*($AG569/100),IF($O$5&gt;40,15+70*($AG569/100),IF($O$5&gt;30,20+70*($AG569/100),IF($O$5&gt;20,40+55*($AG569/100),(80+(20-$O$5)+30*($AG569/100))))))))))</f>
        <v>94.588351638721761</v>
      </c>
      <c r="AI569" s="263"/>
      <c r="AJ569" s="263"/>
      <c r="AK569" s="263"/>
      <c r="AL569" s="263"/>
      <c r="AM569" s="264"/>
      <c r="AN569" s="263"/>
      <c r="AO569" s="263"/>
      <c r="AP569" s="265"/>
      <c r="AQ569" s="265"/>
      <c r="AR569" s="285"/>
      <c r="AS569" s="263"/>
      <c r="AT569" s="263"/>
      <c r="AU569" s="263"/>
      <c r="AV569" s="264"/>
      <c r="AW569" s="263">
        <v>108</v>
      </c>
      <c r="AX569" s="263"/>
      <c r="AY569" s="263"/>
      <c r="AZ569" s="263"/>
      <c r="BA569" s="263"/>
      <c r="BB569" s="263"/>
      <c r="BC569" s="263"/>
      <c r="BD569" s="264"/>
      <c r="BE569" s="263"/>
      <c r="BF569" s="263"/>
      <c r="BG569" s="263"/>
      <c r="BH569" s="263"/>
      <c r="BI569" s="263"/>
      <c r="BJ569" s="404">
        <f>altaz(J2000_Bas,$O569,$M569,DecLat,DecLong,2)</f>
        <v>185.8985948571555</v>
      </c>
      <c r="BK569" s="378" t="s">
        <v>672</v>
      </c>
      <c r="BL569" s="379">
        <f>IF((2*G569)/60&lt;0.2,0.2,(2*G569)/60)</f>
        <v>0.2</v>
      </c>
      <c r="BM569" s="380">
        <f>MOD((50000+AD569-$B$3+(0/24)),1)</f>
        <v>0.99269968226144556</v>
      </c>
      <c r="BN569" s="381"/>
      <c r="BO569" s="382">
        <v>569</v>
      </c>
    </row>
    <row r="570" spans="1:67" s="24" customFormat="1" ht="15" customHeight="1" x14ac:dyDescent="0.25">
      <c r="A570" s="297" t="s">
        <v>673</v>
      </c>
      <c r="B570" s="241" t="str">
        <f>HYPERLINK(CONCATENATE($AT$3,BK570,$AU$3),$AV$3)</f>
        <v>S</v>
      </c>
      <c r="C570" s="242" t="str">
        <f>HYPERLINK(CONCATENATE($AT$4,BK570,$AU$4,BL570),$AV$4)</f>
        <v>A</v>
      </c>
      <c r="D570" s="243" t="s">
        <v>5187</v>
      </c>
      <c r="E570" s="244" t="s">
        <v>5179</v>
      </c>
      <c r="F570" s="269">
        <v>2</v>
      </c>
      <c r="G570" s="273">
        <v>1</v>
      </c>
      <c r="H570" s="271" t="s">
        <v>6500</v>
      </c>
      <c r="I570" s="244" t="s">
        <v>6500</v>
      </c>
      <c r="J570" s="246">
        <v>0</v>
      </c>
      <c r="K570" s="277" t="s">
        <v>5809</v>
      </c>
      <c r="L570" s="248">
        <v>184936</v>
      </c>
      <c r="M570" s="249">
        <f>15*(LEFT(TEXT($L570,"000000"),2)+(MID(TEXT($L570,"000000"),3,2)/60)+(RIGHT(TEXT($L570,"000000"),2)/3600))</f>
        <v>282.40000000000003</v>
      </c>
      <c r="N570" s="286">
        <v>-73400</v>
      </c>
      <c r="O570" s="251">
        <f>IF($N570&gt;0,(LEFT(TEXT($N570,"000000"),2)+(MID(TEXT($N570,"000000"),3,2)/60)+(RIGHT(TEXT($N570,"000000"),2)/3600)),-(MID(TEXT($N570,"000000"),2,2)+(MID(TEXT($N570,"000000"),4,2)/60)+(RIGHT(TEXT($N570,"000000"),2)/3600)))</f>
        <v>-7.5666666666666664</v>
      </c>
      <c r="P570" s="252" t="s">
        <v>121</v>
      </c>
      <c r="Q570" s="253"/>
      <c r="R570" s="277" t="s">
        <v>3293</v>
      </c>
      <c r="S570" s="272" t="s">
        <v>3293</v>
      </c>
      <c r="T570" s="273"/>
      <c r="U570" s="274"/>
      <c r="V570" s="256"/>
      <c r="W570" s="244"/>
      <c r="X570" s="244"/>
      <c r="Y570" s="362"/>
      <c r="Z570" s="257">
        <f>altaz(J2000_Bas,$O570,$M570,DecLat,DecLong,1)</f>
        <v>51.279271534553679</v>
      </c>
      <c r="AA570" s="257">
        <f>altaz((J2000_Bas+(2*0.04167)),$O570,$M570,DecLat,DecLong,1)</f>
        <v>39.732168835003556</v>
      </c>
      <c r="AB570" s="257">
        <f>altaz((J2000_Bas+(4*0.04167)),$O570,$M570,DecLat,DecLong,1)</f>
        <v>17.920994144184775</v>
      </c>
      <c r="AC570" s="257">
        <f>altaz((J2000_Bas+(6*0.04167)),$O570,$M570,DecLat,DecLong,1)</f>
        <v>-7.1787735677068847</v>
      </c>
      <c r="AD570" s="258">
        <f>1+ transit((J2000_Bas-1),$O570,$M570,DecLat,DecLong)/360 + (GMTOffset/24) + (IF(DST="Y", 1, 0)/24)</f>
        <v>1.7773443266297082</v>
      </c>
      <c r="AE570" s="259">
        <f>DATE(2001,9,21)+(M570/360)*365 - (360*((DecLong/360)- (GMTOffset/24) ))</f>
        <v>37446.322222222225</v>
      </c>
      <c r="AF570" s="260">
        <f>IF(DecLat&gt;0,IF((90 - (DecLat-O570))&gt;90, (90 - (O570-DecLat)), (90 - (DecLat-O570))),IF((90 + (DecLat-O570))&gt;90, (90 + (O570-DecLat)), (90 + (DecLat-O570))))</f>
        <v>51.433333333333337</v>
      </c>
      <c r="AG570" s="257">
        <f>angularseperation(MoonRA,MoonDec,$M570,$O570)</f>
        <v>36.982085890387637</v>
      </c>
      <c r="AH570" s="261">
        <f ca="1">MIN(100,IF($O$5&gt;80,0+30*($AG570/100),IF($O$5&gt;70,0+50*($AG570/100),IF($O$5&gt;60,5+50*($AG570/100),IF($O$5&gt;50,10+60*($AG570/100),IF($O$5&gt;40,15+70*($AG570/100),IF($O$5&gt;30,20+70*($AG570/100),IF($O$5&gt;20,40+55*($AG570/100),(80+(20-$O$5)+30*($AG570/100))))))))))</f>
        <v>94.365686111266712</v>
      </c>
      <c r="AI570" s="263"/>
      <c r="AJ570" s="263"/>
      <c r="AK570" s="263"/>
      <c r="AL570" s="263"/>
      <c r="AM570" s="264"/>
      <c r="AN570" s="263"/>
      <c r="AO570" s="263"/>
      <c r="AP570" s="265"/>
      <c r="AQ570" s="265"/>
      <c r="AR570" s="285"/>
      <c r="AS570" s="263"/>
      <c r="AT570" s="263"/>
      <c r="AU570" s="263"/>
      <c r="AV570" s="264"/>
      <c r="AW570" s="263">
        <v>109</v>
      </c>
      <c r="AX570" s="263"/>
      <c r="AY570" s="263"/>
      <c r="AZ570" s="263"/>
      <c r="BA570" s="263"/>
      <c r="BB570" s="263"/>
      <c r="BC570" s="263"/>
      <c r="BD570" s="264"/>
      <c r="BE570" s="263"/>
      <c r="BF570" s="263"/>
      <c r="BG570" s="263"/>
      <c r="BH570" s="263"/>
      <c r="BI570" s="263"/>
      <c r="BJ570" s="404">
        <f>altaz(J2000_Bas,$O570,$M570,DecLat,DecLong,2)</f>
        <v>185.71492516281961</v>
      </c>
      <c r="BK570" s="378" t="s">
        <v>673</v>
      </c>
      <c r="BL570" s="379">
        <f>IF((2*G570)/60&lt;0.2,0.2,(2*G570)/60)</f>
        <v>0.2</v>
      </c>
      <c r="BM570" s="380">
        <f>MOD((50000+AD570-$B$3+(0/24)),1)</f>
        <v>0.99271125633094925</v>
      </c>
      <c r="BN570" s="381"/>
      <c r="BO570" s="382">
        <v>570</v>
      </c>
    </row>
    <row r="571" spans="1:67" s="24" customFormat="1" ht="15" customHeight="1" x14ac:dyDescent="0.25">
      <c r="A571" s="288" t="s">
        <v>674</v>
      </c>
      <c r="B571" s="241" t="str">
        <f>HYPERLINK(CONCATENATE($AT$3,BK571,$AU$3),$AV$3)</f>
        <v>S</v>
      </c>
      <c r="C571" s="242" t="str">
        <f>HYPERLINK(CONCATENATE($AT$4,BK571,$AU$4,BL571),$AV$4)</f>
        <v>A</v>
      </c>
      <c r="D571" s="243" t="s">
        <v>5187</v>
      </c>
      <c r="E571" s="244" t="s">
        <v>5179</v>
      </c>
      <c r="F571" s="269">
        <v>6</v>
      </c>
      <c r="G571" s="276">
        <v>11</v>
      </c>
      <c r="H571" s="271" t="s">
        <v>6500</v>
      </c>
      <c r="I571" s="244" t="s">
        <v>6500</v>
      </c>
      <c r="J571" s="246">
        <v>2</v>
      </c>
      <c r="K571" s="247" t="s">
        <v>5810</v>
      </c>
      <c r="L571" s="248">
        <v>185008</v>
      </c>
      <c r="M571" s="249">
        <f>15*(LEFT(TEXT($L571,"000000"),2)+(MID(TEXT($L571,"000000"),3,2)/60)+(RIGHT(TEXT($L571,"000000"),2)/3600))</f>
        <v>282.5333333333333</v>
      </c>
      <c r="N571" s="286">
        <v>-44800</v>
      </c>
      <c r="O571" s="251">
        <f>IF($N571&gt;0,(LEFT(TEXT($N571,"000000"),2)+(MID(TEXT($N571,"000000"),3,2)/60)+(RIGHT(TEXT($N571,"000000"),2)/3600)),-(MID(TEXT($N571,"000000"),2,2)+(MID(TEXT($N571,"000000"),4,2)/60)+(RIGHT(TEXT($N571,"000000"),2)/3600)))</f>
        <v>-4.8</v>
      </c>
      <c r="P571" s="252" t="s">
        <v>121</v>
      </c>
      <c r="Q571" s="253"/>
      <c r="R571" s="277" t="s">
        <v>3293</v>
      </c>
      <c r="S571" s="272" t="s">
        <v>3293</v>
      </c>
      <c r="T571" s="273"/>
      <c r="U571" s="274"/>
      <c r="V571" s="256"/>
      <c r="W571" s="244"/>
      <c r="X571" s="244"/>
      <c r="Y571" s="362"/>
      <c r="Z571" s="257">
        <f>altaz(J2000_Bas,$O571,$M571,DecLat,DecLong,1)</f>
        <v>54.046958510859255</v>
      </c>
      <c r="AA571" s="257">
        <f>altaz((J2000_Bas+(2*0.04167)),$O571,$M571,DecLat,DecLong,1)</f>
        <v>41.969294438328269</v>
      </c>
      <c r="AB571" s="257">
        <f>altaz((J2000_Bas+(4*0.04167)),$O571,$M571,DecLat,DecLong,1)</f>
        <v>19.644321099000656</v>
      </c>
      <c r="AC571" s="257">
        <f>altaz((J2000_Bas+(6*0.04167)),$O571,$M571,DecLat,DecLong,1)</f>
        <v>-5.6562153210576103</v>
      </c>
      <c r="AD571" s="258">
        <f>1+ transit((J2000_Bas-1),$O571,$M571,DecLat,DecLong)/360 + (GMTOffset/24) + (IF(DST="Y", 1, 0)/24)</f>
        <v>1.7777146969630413</v>
      </c>
      <c r="AE571" s="259">
        <f>DATE(2001,9,21)+(M571/360)*365 - (360*((DecLong/360)- (GMTOffset/24) ))</f>
        <v>37446.457407407404</v>
      </c>
      <c r="AF571" s="260">
        <f>IF(DecLat&gt;0,IF((90 - (DecLat-O571))&gt;90, (90 - (O571-DecLat)), (90 - (DecLat-O571))),IF((90 + (DecLat-O571))&gt;90, (90 + (O571-DecLat)), (90 + (DecLat-O571))))</f>
        <v>54.2</v>
      </c>
      <c r="AG571" s="257">
        <f>angularseperation(MoonRA,MoonDec,$M571,$O571)</f>
        <v>38.765648289682382</v>
      </c>
      <c r="AH571" s="261">
        <f ca="1">MIN(100,IF($O$5&gt;80,0+30*($AG571/100),IF($O$5&gt;70,0+50*($AG571/100),IF($O$5&gt;60,5+50*($AG571/100),IF($O$5&gt;50,10+60*($AG571/100),IF($O$5&gt;40,15+70*($AG571/100),IF($O$5&gt;30,20+70*($AG571/100),IF($O$5&gt;20,40+55*($AG571/100),(80+(20-$O$5)+30*($AG571/100))))))))))</f>
        <v>94.900754831055139</v>
      </c>
      <c r="AI571" s="263"/>
      <c r="AJ571" s="263"/>
      <c r="AK571" s="263"/>
      <c r="AL571" s="263"/>
      <c r="AM571" s="264"/>
      <c r="AN571" s="263"/>
      <c r="AO571" s="263"/>
      <c r="AP571" s="265"/>
      <c r="AQ571" s="265"/>
      <c r="AR571" s="285"/>
      <c r="AS571" s="263"/>
      <c r="AT571" s="263"/>
      <c r="AU571" s="263"/>
      <c r="AV571" s="264"/>
      <c r="AW571" s="263">
        <v>110</v>
      </c>
      <c r="AX571" s="263"/>
      <c r="AY571" s="263"/>
      <c r="AZ571" s="263"/>
      <c r="BA571" s="263"/>
      <c r="BB571" s="263"/>
      <c r="BC571" s="263"/>
      <c r="BD571" s="264"/>
      <c r="BE571" s="263"/>
      <c r="BF571" s="263"/>
      <c r="BG571" s="263"/>
      <c r="BH571" s="263"/>
      <c r="BI571" s="263"/>
      <c r="BJ571" s="404">
        <f>altaz(J2000_Bas,$O571,$M571,DecLat,DecLong,2)</f>
        <v>185.89505675079803</v>
      </c>
      <c r="BK571" s="378" t="s">
        <v>674</v>
      </c>
      <c r="BL571" s="379">
        <f>IF((2*G571)/60&lt;0.2,0.2,(2*G571)/60)</f>
        <v>0.36666666666666664</v>
      </c>
      <c r="BM571" s="380">
        <f>MOD((50000+AD571-$B$3+(0/24)),1)</f>
        <v>0.99308162666420685</v>
      </c>
      <c r="BN571" s="381"/>
      <c r="BO571" s="382">
        <v>571</v>
      </c>
    </row>
    <row r="572" spans="1:67" s="24" customFormat="1" ht="15" customHeight="1" x14ac:dyDescent="0.25">
      <c r="A572" s="288" t="s">
        <v>675</v>
      </c>
      <c r="B572" s="241" t="str">
        <f>HYPERLINK(CONCATENATE($AT$3,BK572,$AU$3),$AV$3)</f>
        <v>S</v>
      </c>
      <c r="C572" s="242" t="str">
        <f>HYPERLINK(CONCATENATE($AT$4,BK572,$AU$4,BL572),$AV$4)</f>
        <v>A</v>
      </c>
      <c r="D572" s="243" t="s">
        <v>5187</v>
      </c>
      <c r="E572" s="244" t="s">
        <v>5179</v>
      </c>
      <c r="F572" s="269">
        <v>3</v>
      </c>
      <c r="G572" s="276">
        <v>120</v>
      </c>
      <c r="H572" s="271" t="s">
        <v>6500</v>
      </c>
      <c r="I572" s="244" t="s">
        <v>6500</v>
      </c>
      <c r="J572" s="246">
        <v>0</v>
      </c>
      <c r="K572" s="247" t="s">
        <v>5981</v>
      </c>
      <c r="L572" s="248">
        <v>185039</v>
      </c>
      <c r="M572" s="249">
        <f>15*(LEFT(TEXT($L572,"000000"),2)+(MID(TEXT($L572,"000000"),3,2)/60)+(RIGHT(TEXT($L572,"000000"),2)/3600))</f>
        <v>282.66250000000002</v>
      </c>
      <c r="N572" s="286">
        <v>-45800</v>
      </c>
      <c r="O572" s="251">
        <f>IF($N572&gt;0,(LEFT(TEXT($N572,"000000"),2)+(MID(TEXT($N572,"000000"),3,2)/60)+(RIGHT(TEXT($N572,"000000"),2)/3600)),-(MID(TEXT($N572,"000000"),2,2)+(MID(TEXT($N572,"000000"),4,2)/60)+(RIGHT(TEXT($N572,"000000"),2)/3600)))</f>
        <v>-4.9666666666666668</v>
      </c>
      <c r="P572" s="252" t="s">
        <v>121</v>
      </c>
      <c r="Q572" s="253"/>
      <c r="R572" s="277"/>
      <c r="S572" s="272" t="s">
        <v>3293</v>
      </c>
      <c r="T572" s="273"/>
      <c r="U572" s="274"/>
      <c r="V572" s="256"/>
      <c r="W572" s="244"/>
      <c r="X572" s="244"/>
      <c r="Y572" s="362"/>
      <c r="Z572" s="257">
        <f>altaz(J2000_Bas,$O572,$M572,DecLat,DecLong,1)</f>
        <v>53.892055291962571</v>
      </c>
      <c r="AA572" s="257">
        <f>altaz((J2000_Bas+(2*0.04167)),$O572,$M572,DecLat,DecLong,1)</f>
        <v>41.922505377915719</v>
      </c>
      <c r="AB572" s="257">
        <f>altaz((J2000_Bas+(4*0.04167)),$O572,$M572,DecLat,DecLong,1)</f>
        <v>19.652654277623835</v>
      </c>
      <c r="AC572" s="257">
        <f>altaz((J2000_Bas+(6*0.04167)),$O572,$M572,DecLat,DecLong,1)</f>
        <v>-5.6307533745969138</v>
      </c>
      <c r="AD572" s="258">
        <f>1+ transit((J2000_Bas-1),$O572,$M572,DecLat,DecLong)/360 + (GMTOffset/24) + (IF(DST="Y", 1, 0)/24)</f>
        <v>1.7780734932234581</v>
      </c>
      <c r="AE572" s="259">
        <f>DATE(2001,9,21)+(M572/360)*365 - (360*((DecLong/360)- (GMTOffset/24) ))</f>
        <v>37446.588368055556</v>
      </c>
      <c r="AF572" s="260">
        <f>IF(DecLat&gt;0,IF((90 - (DecLat-O572))&gt;90, (90 - (O572-DecLat)), (90 - (DecLat-O572))),IF((90 + (DecLat-O572))&gt;90, (90 + (O572-DecLat)), (90 + (DecLat-O572))))</f>
        <v>54.033333333333331</v>
      </c>
      <c r="AG572" s="257">
        <f>angularseperation(MoonRA,MoonDec,$M572,$O572)</f>
        <v>38.762368952395434</v>
      </c>
      <c r="AH572" s="261">
        <f ca="1">MIN(100,IF($O$5&gt;80,0+30*($AG572/100),IF($O$5&gt;70,0+50*($AG572/100),IF($O$5&gt;60,5+50*($AG572/100),IF($O$5&gt;50,10+60*($AG572/100),IF($O$5&gt;40,15+70*($AG572/100),IF($O$5&gt;30,20+70*($AG572/100),IF($O$5&gt;20,40+55*($AG572/100),(80+(20-$O$5)+30*($AG572/100))))))))))</f>
        <v>94.899771029869058</v>
      </c>
      <c r="AI572" s="263"/>
      <c r="AJ572" s="263"/>
      <c r="AK572" s="263"/>
      <c r="AL572" s="263"/>
      <c r="AM572" s="264"/>
      <c r="AN572" s="263"/>
      <c r="AO572" s="263"/>
      <c r="AP572" s="265"/>
      <c r="AQ572" s="265"/>
      <c r="AR572" s="285"/>
      <c r="AS572" s="263"/>
      <c r="AT572" s="263"/>
      <c r="AU572" s="263"/>
      <c r="AV572" s="264"/>
      <c r="AW572" s="263">
        <v>111</v>
      </c>
      <c r="AX572" s="263"/>
      <c r="AY572" s="263"/>
      <c r="AZ572" s="263"/>
      <c r="BA572" s="263"/>
      <c r="BB572" s="263"/>
      <c r="BC572" s="263"/>
      <c r="BD572" s="264"/>
      <c r="BE572" s="263"/>
      <c r="BF572" s="263"/>
      <c r="BG572" s="263"/>
      <c r="BH572" s="263"/>
      <c r="BI572" s="263"/>
      <c r="BJ572" s="404">
        <f>altaz(J2000_Bas,$O572,$M572,DecLat,DecLong,2)</f>
        <v>185.65256178034838</v>
      </c>
      <c r="BK572" s="378" t="s">
        <v>675</v>
      </c>
      <c r="BL572" s="379">
        <f>IF((2*G572)/60&lt;0.2,0.2,(2*G572)/60)</f>
        <v>4</v>
      </c>
      <c r="BM572" s="380">
        <f>MOD((50000+AD572-$B$3+(0/24)),1)</f>
        <v>0.99344042292796075</v>
      </c>
      <c r="BN572" s="381"/>
      <c r="BO572" s="382">
        <v>572</v>
      </c>
    </row>
    <row r="573" spans="1:67" s="24" customFormat="1" ht="15" customHeight="1" x14ac:dyDescent="0.25">
      <c r="A573" s="287" t="s">
        <v>676</v>
      </c>
      <c r="B573" s="241" t="str">
        <f>HYPERLINK(CONCATENATE($AT$3,BK573,$AU$3),$AV$3)</f>
        <v>S</v>
      </c>
      <c r="C573" s="242" t="str">
        <f>HYPERLINK(CONCATENATE($AT$4,BK573,$AU$4,BL573),$AV$4)</f>
        <v>A</v>
      </c>
      <c r="D573" s="243" t="s">
        <v>5187</v>
      </c>
      <c r="E573" s="244" t="s">
        <v>5179</v>
      </c>
      <c r="F573" s="269">
        <v>4</v>
      </c>
      <c r="G573" s="276">
        <v>18</v>
      </c>
      <c r="H573" s="271" t="s">
        <v>6500</v>
      </c>
      <c r="I573" s="244" t="s">
        <v>6500</v>
      </c>
      <c r="J573" s="246">
        <v>1</v>
      </c>
      <c r="K573" s="247" t="s">
        <v>5982</v>
      </c>
      <c r="L573" s="248">
        <v>185109</v>
      </c>
      <c r="M573" s="249">
        <f>15*(LEFT(TEXT($L573,"000000"),2)+(MID(TEXT($L573,"000000"),3,2)/60)+(RIGHT(TEXT($L573,"000000"),2)/3600))</f>
        <v>282.78750000000002</v>
      </c>
      <c r="N573" s="250">
        <v>-64100</v>
      </c>
      <c r="O573" s="251">
        <f>IF($N573&gt;0,(LEFT(TEXT($N573,"000000"),2)+(MID(TEXT($N573,"000000"),3,2)/60)+(RIGHT(TEXT($N573,"000000"),2)/3600)),-(MID(TEXT($N573,"000000"),2,2)+(MID(TEXT($N573,"000000"),4,2)/60)+(RIGHT(TEXT($N573,"000000"),2)/3600)))</f>
        <v>-6.6833333333333336</v>
      </c>
      <c r="P573" s="252" t="s">
        <v>121</v>
      </c>
      <c r="Q573" s="253"/>
      <c r="R573" s="277" t="s">
        <v>3293</v>
      </c>
      <c r="S573" s="272" t="s">
        <v>3293</v>
      </c>
      <c r="T573" s="273"/>
      <c r="U573" s="274"/>
      <c r="V573" s="256"/>
      <c r="W573" s="244"/>
      <c r="X573" s="244"/>
      <c r="Y573" s="362"/>
      <c r="Z573" s="257">
        <f>altaz(J2000_Bas,$O573,$M573,DecLat,DecLong,1)</f>
        <v>52.191246551194027</v>
      </c>
      <c r="AA573" s="257">
        <f>altaz((J2000_Bas+(2*0.04167)),$O573,$M573,DecLat,DecLong,1)</f>
        <v>40.663847484424963</v>
      </c>
      <c r="AB573" s="257">
        <f>altaz((J2000_Bas+(4*0.04167)),$O573,$M573,DecLat,DecLong,1)</f>
        <v>18.751542522806027</v>
      </c>
      <c r="AC573" s="257">
        <f>altaz((J2000_Bas+(6*0.04167)),$O573,$M573,DecLat,DecLong,1)</f>
        <v>-6.398962495341042</v>
      </c>
      <c r="AD573" s="258">
        <f>1+ transit((J2000_Bas-1),$O573,$M573,DecLat,DecLong)/360 + (GMTOffset/24) + (IF(DST="Y", 1, 0)/24)</f>
        <v>1.7784207154109581</v>
      </c>
      <c r="AE573" s="259">
        <f>DATE(2001,9,21)+(M573/360)*365 - (360*((DecLong/360)- (GMTOffset/24) ))</f>
        <v>37446.715104166666</v>
      </c>
      <c r="AF573" s="260">
        <f>IF(DecLat&gt;0,IF((90 - (DecLat-O573))&gt;90, (90 - (O573-DecLat)), (90 - (DecLat-O573))),IF((90 + (DecLat-O573))&gt;90, (90 + (O573-DecLat)), (90 + (DecLat-O573))))</f>
        <v>52.316666666666663</v>
      </c>
      <c r="AG573" s="257">
        <f>angularseperation(MoonRA,MoonDec,$M573,$O573)</f>
        <v>37.81487548366308</v>
      </c>
      <c r="AH573" s="261">
        <f ca="1">MIN(100,IF($O$5&gt;80,0+30*($AG573/100),IF($O$5&gt;70,0+50*($AG573/100),IF($O$5&gt;60,5+50*($AG573/100),IF($O$5&gt;50,10+60*($AG573/100),IF($O$5&gt;40,15+70*($AG573/100),IF($O$5&gt;30,20+70*($AG573/100),IF($O$5&gt;20,40+55*($AG573/100),(80+(20-$O$5)+30*($AG573/100))))))))))</f>
        <v>94.615522989249357</v>
      </c>
      <c r="AI573" s="263"/>
      <c r="AJ573" s="263"/>
      <c r="AK573" s="263"/>
      <c r="AL573" s="263"/>
      <c r="AM573" s="264"/>
      <c r="AN573" s="263"/>
      <c r="AO573" s="263"/>
      <c r="AP573" s="265"/>
      <c r="AQ573" s="265"/>
      <c r="AR573" s="285"/>
      <c r="AS573" s="263"/>
      <c r="AT573" s="263"/>
      <c r="AU573" s="263"/>
      <c r="AV573" s="264"/>
      <c r="AW573" s="263">
        <v>112</v>
      </c>
      <c r="AX573" s="263"/>
      <c r="AY573" s="263"/>
      <c r="AZ573" s="263"/>
      <c r="BA573" s="263"/>
      <c r="BB573" s="263"/>
      <c r="BC573" s="263"/>
      <c r="BD573" s="264"/>
      <c r="BE573" s="263"/>
      <c r="BF573" s="263"/>
      <c r="BG573" s="263"/>
      <c r="BH573" s="263"/>
      <c r="BI573" s="263"/>
      <c r="BJ573" s="404">
        <f>altaz(J2000_Bas,$O573,$M573,DecLat,DecLong,2)</f>
        <v>185.21348589207909</v>
      </c>
      <c r="BK573" s="378" t="s">
        <v>676</v>
      </c>
      <c r="BL573" s="379">
        <f>IF((2*G573)/60&lt;0.2,0.2,(2*G573)/60)</f>
        <v>0.6</v>
      </c>
      <c r="BM573" s="380">
        <f>MOD((50000+AD573-$B$3+(0/24)),1)</f>
        <v>0.993787645114935</v>
      </c>
      <c r="BN573" s="381"/>
      <c r="BO573" s="382">
        <v>573</v>
      </c>
    </row>
    <row r="574" spans="1:67" s="24" customFormat="1" ht="15" customHeight="1" x14ac:dyDescent="0.25">
      <c r="A574" s="288" t="s">
        <v>677</v>
      </c>
      <c r="B574" s="241" t="str">
        <f>HYPERLINK(CONCATENATE($AT$3,BK574,$AU$3),$AV$3)</f>
        <v>S</v>
      </c>
      <c r="C574" s="242" t="str">
        <f>HYPERLINK(CONCATENATE($AT$4,BK574,$AU$4,BL574),$AV$4)</f>
        <v>A</v>
      </c>
      <c r="D574" s="243" t="s">
        <v>5187</v>
      </c>
      <c r="E574" s="244" t="s">
        <v>5179</v>
      </c>
      <c r="F574" s="269">
        <v>5</v>
      </c>
      <c r="G574" s="276">
        <v>16</v>
      </c>
      <c r="H574" s="271" t="s">
        <v>6500</v>
      </c>
      <c r="I574" s="244" t="s">
        <v>6500</v>
      </c>
      <c r="J574" s="246">
        <v>1</v>
      </c>
      <c r="K574" s="247" t="s">
        <v>5811</v>
      </c>
      <c r="L574" s="248">
        <v>185125</v>
      </c>
      <c r="M574" s="249">
        <f>15*(LEFT(TEXT($L574,"000000"),2)+(MID(TEXT($L574,"000000"),3,2)/60)+(RIGHT(TEXT($L574,"000000"),2)/3600))</f>
        <v>282.85416666666669</v>
      </c>
      <c r="N574" s="286">
        <v>-42000</v>
      </c>
      <c r="O574" s="251">
        <f>IF($N574&gt;0,(LEFT(TEXT($N574,"000000"),2)+(MID(TEXT($N574,"000000"),3,2)/60)+(RIGHT(TEXT($N574,"000000"),2)/3600)),-(MID(TEXT($N574,"000000"),2,2)+(MID(TEXT($N574,"000000"),4,2)/60)+(RIGHT(TEXT($N574,"000000"),2)/3600)))</f>
        <v>-4.333333333333333</v>
      </c>
      <c r="P574" s="252" t="s">
        <v>121</v>
      </c>
      <c r="Q574" s="253"/>
      <c r="R574" s="277" t="s">
        <v>3293</v>
      </c>
      <c r="S574" s="272" t="s">
        <v>3293</v>
      </c>
      <c r="T574" s="273"/>
      <c r="U574" s="274"/>
      <c r="V574" s="256"/>
      <c r="W574" s="244"/>
      <c r="X574" s="244"/>
      <c r="Y574" s="362"/>
      <c r="Z574" s="257">
        <f>altaz(J2000_Bas,$O574,$M574,DecLat,DecLong,1)</f>
        <v>54.5390527536861</v>
      </c>
      <c r="AA574" s="257">
        <f>altaz((J2000_Bas+(2*0.04167)),$O574,$M574,DecLat,DecLong,1)</f>
        <v>42.532728998370601</v>
      </c>
      <c r="AB574" s="257">
        <f>altaz((J2000_Bas+(4*0.04167)),$O574,$M574,DecLat,DecLong,1)</f>
        <v>20.175142144675096</v>
      </c>
      <c r="AC574" s="257">
        <f>altaz((J2000_Bas+(6*0.04167)),$O574,$M574,DecLat,DecLong,1)</f>
        <v>-5.1427242954016936</v>
      </c>
      <c r="AD574" s="258">
        <f>1+ transit((J2000_Bas-1),$O574,$M574,DecLat,DecLong)/360 + (GMTOffset/24) + (IF(DST="Y", 1, 0)/24)</f>
        <v>1.7786059005776249</v>
      </c>
      <c r="AE574" s="259">
        <f>DATE(2001,9,21)+(M574/360)*365 - (360*((DecLong/360)- (GMTOffset/24) ))</f>
        <v>37446.782696759263</v>
      </c>
      <c r="AF574" s="260">
        <f>IF(DecLat&gt;0,IF((90 - (DecLat-O574))&gt;90, (90 - (O574-DecLat)), (90 - (DecLat-O574))),IF((90 + (DecLat-O574))&gt;90, (90 + (O574-DecLat)), (90 + (DecLat-O574))))</f>
        <v>54.666666666666664</v>
      </c>
      <c r="AG574" s="257">
        <f>angularseperation(MoonRA,MoonDec,$M574,$O574)</f>
        <v>39.307326089661501</v>
      </c>
      <c r="AH574" s="261">
        <f ca="1">MIN(100,IF($O$5&gt;80,0+30*($AG574/100),IF($O$5&gt;70,0+50*($AG574/100),IF($O$5&gt;60,5+50*($AG574/100),IF($O$5&gt;50,10+60*($AG574/100),IF($O$5&gt;40,15+70*($AG574/100),IF($O$5&gt;30,20+70*($AG574/100),IF($O$5&gt;20,40+55*($AG574/100),(80+(20-$O$5)+30*($AG574/100))))))))))</f>
        <v>95.063258171048872</v>
      </c>
      <c r="AI574" s="263"/>
      <c r="AJ574" s="263"/>
      <c r="AK574" s="263"/>
      <c r="AL574" s="263"/>
      <c r="AM574" s="264"/>
      <c r="AN574" s="263"/>
      <c r="AO574" s="263"/>
      <c r="AP574" s="265"/>
      <c r="AQ574" s="265"/>
      <c r="AR574" s="285"/>
      <c r="AS574" s="263"/>
      <c r="AT574" s="263"/>
      <c r="AU574" s="263"/>
      <c r="AV574" s="264"/>
      <c r="AW574" s="263">
        <v>113</v>
      </c>
      <c r="AX574" s="263"/>
      <c r="AY574" s="263"/>
      <c r="AZ574" s="263"/>
      <c r="BA574" s="263"/>
      <c r="BB574" s="263"/>
      <c r="BC574" s="263"/>
      <c r="BD574" s="264"/>
      <c r="BE574" s="263"/>
      <c r="BF574" s="263"/>
      <c r="BG574" s="263"/>
      <c r="BH574" s="263"/>
      <c r="BI574" s="263"/>
      <c r="BJ574" s="404">
        <f>altaz(J2000_Bas,$O574,$M574,DecLat,DecLong,2)</f>
        <v>185.41682454137415</v>
      </c>
      <c r="BK574" s="378" t="s">
        <v>677</v>
      </c>
      <c r="BL574" s="379">
        <f>IF((2*G574)/60&lt;0.2,0.2,(2*G574)/60)</f>
        <v>0.53333333333333333</v>
      </c>
      <c r="BM574" s="380">
        <f>MOD((50000+AD574-$B$3+(0/24)),1)</f>
        <v>0.99397283028520178</v>
      </c>
      <c r="BN574" s="381"/>
      <c r="BO574" s="382">
        <v>574</v>
      </c>
    </row>
    <row r="575" spans="1:67" s="24" customFormat="1" ht="15" customHeight="1" x14ac:dyDescent="0.25">
      <c r="A575" s="287" t="s">
        <v>678</v>
      </c>
      <c r="B575" s="241" t="str">
        <f>HYPERLINK(CONCATENATE($AT$3,BK575,$AU$3),$AV$3)</f>
        <v>S</v>
      </c>
      <c r="C575" s="242" t="str">
        <f>HYPERLINK(CONCATENATE($AT$4,BK575,$AU$4,BL575),$AV$4)</f>
        <v>A</v>
      </c>
      <c r="D575" s="243" t="s">
        <v>5187</v>
      </c>
      <c r="E575" s="244" t="s">
        <v>5179</v>
      </c>
      <c r="F575" s="269">
        <v>5</v>
      </c>
      <c r="G575" s="273">
        <v>6</v>
      </c>
      <c r="H575" s="271" t="s">
        <v>6500</v>
      </c>
      <c r="I575" s="244" t="s">
        <v>6500</v>
      </c>
      <c r="J575" s="246">
        <v>1</v>
      </c>
      <c r="K575" s="247" t="s">
        <v>8458</v>
      </c>
      <c r="L575" s="248">
        <v>185312</v>
      </c>
      <c r="M575" s="249">
        <f>15*(LEFT(TEXT($L575,"000000"),2)+(MID(TEXT($L575,"000000"),3,2)/60)+(RIGHT(TEXT($L575,"000000"),2)/3600))</f>
        <v>283.3</v>
      </c>
      <c r="N575" s="286">
        <v>-65800</v>
      </c>
      <c r="O575" s="251">
        <f>IF($N575&gt;0,(LEFT(TEXT($N575,"000000"),2)+(MID(TEXT($N575,"000000"),3,2)/60)+(RIGHT(TEXT($N575,"000000"),2)/3600)),-(MID(TEXT($N575,"000000"),2,2)+(MID(TEXT($N575,"000000"),4,2)/60)+(RIGHT(TEXT($N575,"000000"),2)/3600)))</f>
        <v>-6.9666666666666668</v>
      </c>
      <c r="P575" s="252" t="s">
        <v>121</v>
      </c>
      <c r="Q575" s="253"/>
      <c r="R575" s="277" t="s">
        <v>3293</v>
      </c>
      <c r="S575" s="272" t="s">
        <v>3293</v>
      </c>
      <c r="T575" s="273"/>
      <c r="U575" s="274"/>
      <c r="V575" s="256"/>
      <c r="W575" s="244"/>
      <c r="X575" s="244"/>
      <c r="Y575" s="362"/>
      <c r="Z575" s="257">
        <f>altaz(J2000_Bas,$O575,$M575,DecLat,DecLong,1)</f>
        <v>51.945281043675955</v>
      </c>
      <c r="AA575" s="257">
        <f>altaz((J2000_Bas+(2*0.04167)),$O575,$M575,DecLat,DecLong,1)</f>
        <v>40.754547117840367</v>
      </c>
      <c r="AB575" s="257">
        <f>altaz((J2000_Bas+(4*0.04167)),$O575,$M575,DecLat,DecLong,1)</f>
        <v>18.995820915748606</v>
      </c>
      <c r="AC575" s="257">
        <f>altaz((J2000_Bas+(6*0.04167)),$O575,$M575,DecLat,DecLong,1)</f>
        <v>-6.1049926476213434</v>
      </c>
      <c r="AD575" s="258">
        <f>1+ transit((J2000_Bas-1),$O575,$M575,DecLat,DecLong)/360 + (GMTOffset/24) + (IF(DST="Y", 1, 0)/24)</f>
        <v>1.7798443263797081</v>
      </c>
      <c r="AE575" s="259">
        <f>DATE(2001,9,21)+(M575/360)*365 - (360*((DecLong/360)- (GMTOffset/24) ))</f>
        <v>37447.234722222223</v>
      </c>
      <c r="AF575" s="260">
        <f>IF(DecLat&gt;0,IF((90 - (DecLat-O575))&gt;90, (90 - (O575-DecLat)), (90 - (DecLat-O575))),IF((90 + (DecLat-O575))&gt;90, (90 + (O575-DecLat)), (90 + (DecLat-O575))))</f>
        <v>52.033333333333331</v>
      </c>
      <c r="AG575" s="257">
        <f>angularseperation(MoonRA,MoonDec,$M575,$O575)</f>
        <v>38.057031499120214</v>
      </c>
      <c r="AH575" s="261">
        <f ca="1">MIN(100,IF($O$5&gt;80,0+30*($AG575/100),IF($O$5&gt;70,0+50*($AG575/100),IF($O$5&gt;60,5+50*($AG575/100),IF($O$5&gt;50,10+60*($AG575/100),IF($O$5&gt;40,15+70*($AG575/100),IF($O$5&gt;30,20+70*($AG575/100),IF($O$5&gt;20,40+55*($AG575/100),(80+(20-$O$5)+30*($AG575/100))))))))))</f>
        <v>94.688169793886487</v>
      </c>
      <c r="AI575" s="263"/>
      <c r="AJ575" s="263"/>
      <c r="AK575" s="263"/>
      <c r="AL575" s="263"/>
      <c r="AM575" s="264"/>
      <c r="AN575" s="263"/>
      <c r="AO575" s="263"/>
      <c r="AP575" s="265"/>
      <c r="AQ575" s="265"/>
      <c r="AR575" s="285"/>
      <c r="AS575" s="263"/>
      <c r="AT575" s="263"/>
      <c r="AU575" s="263"/>
      <c r="AV575" s="264"/>
      <c r="AW575" s="263">
        <v>114</v>
      </c>
      <c r="AX575" s="263"/>
      <c r="AY575" s="263"/>
      <c r="AZ575" s="263"/>
      <c r="BA575" s="263"/>
      <c r="BB575" s="263"/>
      <c r="BC575" s="263"/>
      <c r="BD575" s="264"/>
      <c r="BE575" s="263"/>
      <c r="BF575" s="263"/>
      <c r="BG575" s="263"/>
      <c r="BH575" s="263"/>
      <c r="BI575" s="263"/>
      <c r="BJ575" s="404">
        <f>altaz(J2000_Bas,$O575,$M575,DecLat,DecLong,2)</f>
        <v>184.35464309310453</v>
      </c>
      <c r="BK575" s="378" t="s">
        <v>678</v>
      </c>
      <c r="BL575" s="379">
        <f>IF((2*G575)/60&lt;0.2,0.2,(2*G575)/60)</f>
        <v>0.2</v>
      </c>
      <c r="BM575" s="380">
        <f>MOD((50000+AD575-$B$3+(0/24)),1)</f>
        <v>0.995211256085895</v>
      </c>
      <c r="BN575" s="381"/>
      <c r="BO575" s="382">
        <v>575</v>
      </c>
    </row>
    <row r="576" spans="1:67" s="24" customFormat="1" ht="15" customHeight="1" x14ac:dyDescent="0.25">
      <c r="A576" s="287" t="s">
        <v>679</v>
      </c>
      <c r="B576" s="241" t="str">
        <f>HYPERLINK(CONCATENATE($AT$3,BK576,$AU$3),$AV$3)</f>
        <v>S</v>
      </c>
      <c r="C576" s="242" t="str">
        <f>HYPERLINK(CONCATENATE($AT$4,BK576,$AU$4,BL576),$AV$4)</f>
        <v>A</v>
      </c>
      <c r="D576" s="243" t="s">
        <v>5187</v>
      </c>
      <c r="E576" s="244" t="s">
        <v>5179</v>
      </c>
      <c r="F576" s="269">
        <v>5</v>
      </c>
      <c r="G576" s="273">
        <v>7</v>
      </c>
      <c r="H576" s="271" t="s">
        <v>6500</v>
      </c>
      <c r="I576" s="244" t="s">
        <v>6500</v>
      </c>
      <c r="J576" s="246">
        <v>1</v>
      </c>
      <c r="K576" s="247" t="s">
        <v>5983</v>
      </c>
      <c r="L576" s="248">
        <v>185320</v>
      </c>
      <c r="M576" s="249">
        <f>15*(LEFT(TEXT($L576,"000000"),2)+(MID(TEXT($L576,"000000"),3,2)/60)+(RIGHT(TEXT($L576,"000000"),2)/3600))</f>
        <v>283.33333333333331</v>
      </c>
      <c r="N576" s="286">
        <v>-64100</v>
      </c>
      <c r="O576" s="251">
        <f>IF($N576&gt;0,(LEFT(TEXT($N576,"000000"),2)+(MID(TEXT($N576,"000000"),3,2)/60)+(RIGHT(TEXT($N576,"000000"),2)/3600)),-(MID(TEXT($N576,"000000"),2,2)+(MID(TEXT($N576,"000000"),4,2)/60)+(RIGHT(TEXT($N576,"000000"),2)/3600)))</f>
        <v>-6.6833333333333336</v>
      </c>
      <c r="P576" s="252" t="s">
        <v>121</v>
      </c>
      <c r="Q576" s="253"/>
      <c r="R576" s="277" t="s">
        <v>3293</v>
      </c>
      <c r="S576" s="272" t="s">
        <v>3293</v>
      </c>
      <c r="T576" s="273"/>
      <c r="U576" s="274"/>
      <c r="V576" s="256"/>
      <c r="W576" s="244"/>
      <c r="X576" s="244"/>
      <c r="Y576" s="362"/>
      <c r="Z576" s="257">
        <f>altaz(J2000_Bas,$O576,$M576,DecLat,DecLong,1)</f>
        <v>52.230171939791354</v>
      </c>
      <c r="AA576" s="257">
        <f>altaz((J2000_Bas+(2*0.04167)),$O576,$M576,DecLat,DecLong,1)</f>
        <v>40.998578141108418</v>
      </c>
      <c r="AB576" s="257">
        <f>altaz((J2000_Bas+(4*0.04167)),$O576,$M576,DecLat,DecLong,1)</f>
        <v>19.189797556554986</v>
      </c>
      <c r="AC576" s="257">
        <f>altaz((J2000_Bas+(6*0.04167)),$O576,$M576,DecLat,DecLong,1)</f>
        <v>-5.932295153351836</v>
      </c>
      <c r="AD576" s="258">
        <f>1+ transit((J2000_Bas-1),$O576,$M576,DecLat,DecLong)/360 + (GMTOffset/24) + (IF(DST="Y", 1, 0)/24)</f>
        <v>1.7799369189630414</v>
      </c>
      <c r="AE576" s="259">
        <f>DATE(2001,9,21)+(M576/360)*365 - (360*((DecLong/360)- (GMTOffset/24) ))</f>
        <v>37447.268518518518</v>
      </c>
      <c r="AF576" s="260">
        <f>IF(DecLat&gt;0,IF((90 - (DecLat-O576))&gt;90, (90 - (O576-DecLat)), (90 - (DecLat-O576))),IF((90 + (DecLat-O576))&gt;90, (90 + (O576-DecLat)), (90 + (DecLat-O576))))</f>
        <v>52.316666666666663</v>
      </c>
      <c r="AG576" s="257">
        <f>angularseperation(MoonRA,MoonDec,$M576,$O576)</f>
        <v>38.250896990565906</v>
      </c>
      <c r="AH576" s="261">
        <f ca="1">MIN(100,IF($O$5&gt;80,0+30*($AG576/100),IF($O$5&gt;70,0+50*($AG576/100),IF($O$5&gt;60,5+50*($AG576/100),IF($O$5&gt;50,10+60*($AG576/100),IF($O$5&gt;40,15+70*($AG576/100),IF($O$5&gt;30,20+70*($AG576/100),IF($O$5&gt;20,40+55*($AG576/100),(80+(20-$O$5)+30*($AG576/100))))))))))</f>
        <v>94.746329441320199</v>
      </c>
      <c r="AI576" s="263"/>
      <c r="AJ576" s="263"/>
      <c r="AK576" s="263"/>
      <c r="AL576" s="263"/>
      <c r="AM576" s="264"/>
      <c r="AN576" s="263"/>
      <c r="AO576" s="263"/>
      <c r="AP576" s="265"/>
      <c r="AQ576" s="265"/>
      <c r="AR576" s="285"/>
      <c r="AS576" s="263"/>
      <c r="AT576" s="263"/>
      <c r="AU576" s="263"/>
      <c r="AV576" s="264"/>
      <c r="AW576" s="263">
        <v>115</v>
      </c>
      <c r="AX576" s="263"/>
      <c r="AY576" s="263"/>
      <c r="AZ576" s="263"/>
      <c r="BA576" s="263"/>
      <c r="BB576" s="263"/>
      <c r="BC576" s="263"/>
      <c r="BD576" s="264"/>
      <c r="BE576" s="263"/>
      <c r="BF576" s="263"/>
      <c r="BG576" s="263"/>
      <c r="BH576" s="263"/>
      <c r="BI576" s="263"/>
      <c r="BJ576" s="404">
        <f>altaz(J2000_Bas,$O576,$M576,DecLat,DecLong,2)</f>
        <v>184.33103790000695</v>
      </c>
      <c r="BK576" s="378" t="s">
        <v>679</v>
      </c>
      <c r="BL576" s="379">
        <f>IF((2*G576)/60&lt;0.2,0.2,(2*G576)/60)</f>
        <v>0.23333333333333334</v>
      </c>
      <c r="BM576" s="380">
        <f>MOD((50000+AD576-$B$3+(0/24)),1)</f>
        <v>0.99530384866375243</v>
      </c>
      <c r="BN576" s="381"/>
      <c r="BO576" s="382">
        <v>576</v>
      </c>
    </row>
    <row r="577" spans="1:67" s="24" customFormat="1" ht="15" customHeight="1" x14ac:dyDescent="0.25">
      <c r="A577" s="287" t="s">
        <v>680</v>
      </c>
      <c r="B577" s="241" t="str">
        <f>HYPERLINK(CONCATENATE($AT$3,BK577,$AU$3),$AV$3)</f>
        <v>S</v>
      </c>
      <c r="C577" s="242" t="str">
        <f>HYPERLINK(CONCATENATE($AT$4,BK577,$AU$4,BL577),$AV$4)</f>
        <v>A</v>
      </c>
      <c r="D577" s="243" t="s">
        <v>5187</v>
      </c>
      <c r="E577" s="244" t="s">
        <v>5179</v>
      </c>
      <c r="F577" s="269">
        <v>3</v>
      </c>
      <c r="G577" s="276">
        <v>20</v>
      </c>
      <c r="H577" s="271" t="s">
        <v>6500</v>
      </c>
      <c r="I577" s="244" t="s">
        <v>6500</v>
      </c>
      <c r="J577" s="246">
        <v>1</v>
      </c>
      <c r="K577" s="247" t="s">
        <v>5812</v>
      </c>
      <c r="L577" s="248">
        <v>185333</v>
      </c>
      <c r="M577" s="249">
        <f>15*(LEFT(TEXT($L577,"000000"),2)+(MID(TEXT($L577,"000000"),3,2)/60)+(RIGHT(TEXT($L577,"000000"),2)/3600))</f>
        <v>283.38749999999999</v>
      </c>
      <c r="N577" s="286">
        <v>-71200</v>
      </c>
      <c r="O577" s="251">
        <f>IF($N577&gt;0,(LEFT(TEXT($N577,"000000"),2)+(MID(TEXT($N577,"000000"),3,2)/60)+(RIGHT(TEXT($N577,"000000"),2)/3600)),-(MID(TEXT($N577,"000000"),2,2)+(MID(TEXT($N577,"000000"),4,2)/60)+(RIGHT(TEXT($N577,"000000"),2)/3600)))</f>
        <v>-7.2</v>
      </c>
      <c r="P577" s="252" t="s">
        <v>121</v>
      </c>
      <c r="Q577" s="253"/>
      <c r="R577" s="277" t="s">
        <v>3293</v>
      </c>
      <c r="S577" s="272" t="s">
        <v>3293</v>
      </c>
      <c r="T577" s="273"/>
      <c r="U577" s="274"/>
      <c r="V577" s="256"/>
      <c r="W577" s="244"/>
      <c r="X577" s="244"/>
      <c r="Y577" s="362"/>
      <c r="Z577" s="257">
        <f>altaz(J2000_Bas,$O577,$M577,DecLat,DecLong,1)</f>
        <v>51.718018638113492</v>
      </c>
      <c r="AA577" s="257">
        <f>altaz((J2000_Bas+(2*0.04167)),$O577,$M577,DecLat,DecLong,1)</f>
        <v>40.623002526790195</v>
      </c>
      <c r="AB577" s="257">
        <f>altaz((J2000_Bas+(4*0.04167)),$O577,$M577,DecLat,DecLong,1)</f>
        <v>18.92782554081748</v>
      </c>
      <c r="AC577" s="257">
        <f>altaz((J2000_Bas+(6*0.04167)),$O577,$M577,DecLat,DecLong,1)</f>
        <v>-6.1489152404591554</v>
      </c>
      <c r="AD577" s="258">
        <f>1+ transit((J2000_Bas-1),$O577,$M577,DecLat,DecLong)/360 + (GMTOffset/24) + (IF(DST="Y", 1, 0)/24)</f>
        <v>1.7800873819109582</v>
      </c>
      <c r="AE577" s="259">
        <f>DATE(2001,9,21)+(M577/360)*365 - (360*((DecLong/360)- (GMTOffset/24) ))</f>
        <v>37447.323437500003</v>
      </c>
      <c r="AF577" s="260">
        <f>IF(DecLat&gt;0,IF((90 - (DecLat-O577))&gt;90, (90 - (O577-DecLat)), (90 - (DecLat-O577))),IF((90 + (DecLat-O577))&gt;90, (90 + (O577-DecLat)), (90 + (DecLat-O577))))</f>
        <v>51.8</v>
      </c>
      <c r="AG577" s="257">
        <f>angularseperation(MoonRA,MoonDec,$M577,$O577)</f>
        <v>37.990686701205064</v>
      </c>
      <c r="AH577" s="261">
        <f ca="1">MIN(100,IF($O$5&gt;80,0+30*($AG577/100),IF($O$5&gt;70,0+50*($AG577/100),IF($O$5&gt;60,5+50*($AG577/100),IF($O$5&gt;50,10+60*($AG577/100),IF($O$5&gt;40,15+70*($AG577/100),IF($O$5&gt;30,20+70*($AG577/100),IF($O$5&gt;20,40+55*($AG577/100),(80+(20-$O$5)+30*($AG577/100))))))))))</f>
        <v>94.668266354511942</v>
      </c>
      <c r="AI577" s="263"/>
      <c r="AJ577" s="263"/>
      <c r="AK577" s="263"/>
      <c r="AL577" s="263"/>
      <c r="AM577" s="264"/>
      <c r="AN577" s="263"/>
      <c r="AO577" s="263"/>
      <c r="AP577" s="265"/>
      <c r="AQ577" s="265"/>
      <c r="AR577" s="285"/>
      <c r="AS577" s="263"/>
      <c r="AT577" s="263"/>
      <c r="AU577" s="263"/>
      <c r="AV577" s="264"/>
      <c r="AW577" s="263">
        <v>116</v>
      </c>
      <c r="AX577" s="263"/>
      <c r="AY577" s="263"/>
      <c r="AZ577" s="263"/>
      <c r="BA577" s="263"/>
      <c r="BB577" s="263"/>
      <c r="BC577" s="263"/>
      <c r="BD577" s="264"/>
      <c r="BE577" s="263"/>
      <c r="BF577" s="263"/>
      <c r="BG577" s="263"/>
      <c r="BH577" s="263"/>
      <c r="BI577" s="263"/>
      <c r="BJ577" s="404">
        <f>altaz(J2000_Bas,$O577,$M577,DecLat,DecLong,2)</f>
        <v>184.19012678581791</v>
      </c>
      <c r="BK577" s="378" t="s">
        <v>680</v>
      </c>
      <c r="BL577" s="379">
        <f>IF((2*G577)/60&lt;0.2,0.2,(2*G577)/60)</f>
        <v>0.66666666666666663</v>
      </c>
      <c r="BM577" s="380">
        <f>MOD((50000+AD577-$B$3+(0/24)),1)</f>
        <v>0.99545431161823217</v>
      </c>
      <c r="BN577" s="381"/>
      <c r="BO577" s="382">
        <v>577</v>
      </c>
    </row>
    <row r="578" spans="1:67" s="24" customFormat="1" ht="15" customHeight="1" x14ac:dyDescent="0.25">
      <c r="A578" s="297" t="s">
        <v>681</v>
      </c>
      <c r="B578" s="241" t="str">
        <f>HYPERLINK(CONCATENATE($AT$3,BK578,$AU$3),$AV$3)</f>
        <v>S</v>
      </c>
      <c r="C578" s="242" t="str">
        <f>HYPERLINK(CONCATENATE($AT$4,BK578,$AU$4,BL578),$AV$4)</f>
        <v>A</v>
      </c>
      <c r="D578" s="243" t="s">
        <v>5187</v>
      </c>
      <c r="E578" s="244" t="s">
        <v>5179</v>
      </c>
      <c r="F578" s="269">
        <v>6</v>
      </c>
      <c r="G578" s="273">
        <v>1</v>
      </c>
      <c r="H578" s="271" t="s">
        <v>6500</v>
      </c>
      <c r="I578" s="244" t="s">
        <v>6500</v>
      </c>
      <c r="J578" s="246">
        <v>0</v>
      </c>
      <c r="K578" s="277" t="s">
        <v>5813</v>
      </c>
      <c r="L578" s="248">
        <v>185344</v>
      </c>
      <c r="M578" s="249">
        <f>15*(LEFT(TEXT($L578,"000000"),2)+(MID(TEXT($L578,"000000"),3,2)/60)+(RIGHT(TEXT($L578,"000000"),2)/3600))</f>
        <v>283.43333333333328</v>
      </c>
      <c r="N578" s="286">
        <v>-72600</v>
      </c>
      <c r="O578" s="251">
        <f>IF($N578&gt;0,(LEFT(TEXT($N578,"000000"),2)+(MID(TEXT($N578,"000000"),3,2)/60)+(RIGHT(TEXT($N578,"000000"),2)/3600)),-(MID(TEXT($N578,"000000"),2,2)+(MID(TEXT($N578,"000000"),4,2)/60)+(RIGHT(TEXT($N578,"000000"),2)/3600)))</f>
        <v>-7.4333333333333336</v>
      </c>
      <c r="P578" s="252" t="s">
        <v>121</v>
      </c>
      <c r="Q578" s="253"/>
      <c r="R578" s="277" t="s">
        <v>3293</v>
      </c>
      <c r="S578" s="272" t="s">
        <v>3293</v>
      </c>
      <c r="T578" s="273"/>
      <c r="U578" s="274"/>
      <c r="V578" s="256"/>
      <c r="W578" s="244"/>
      <c r="X578" s="244"/>
      <c r="Y578" s="362"/>
      <c r="Z578" s="257">
        <f>altaz(J2000_Bas,$O578,$M578,DecLat,DecLong,1)</f>
        <v>51.487977776881294</v>
      </c>
      <c r="AA578" s="257">
        <f>altaz((J2000_Bas+(2*0.04167)),$O578,$M578,DecLat,DecLong,1)</f>
        <v>40.465615712275898</v>
      </c>
      <c r="AB578" s="257">
        <f>altaz((J2000_Bas+(4*0.04167)),$O578,$M578,DecLat,DecLong,1)</f>
        <v>18.826147405322828</v>
      </c>
      <c r="AC578" s="257">
        <f>altaz((J2000_Bas+(6*0.04167)),$O578,$M578,DecLat,DecLong,1)</f>
        <v>-6.228391917930745</v>
      </c>
      <c r="AD578" s="258">
        <f>1+ transit((J2000_Bas-1),$O578,$M578,DecLat,DecLong)/360 + (GMTOffset/24) + (IF(DST="Y", 1, 0)/24)</f>
        <v>1.7802146967130412</v>
      </c>
      <c r="AE578" s="259">
        <f>DATE(2001,9,21)+(M578/360)*365 - (360*((DecLong/360)- (GMTOffset/24) ))</f>
        <v>37447.36990740741</v>
      </c>
      <c r="AF578" s="260">
        <f>IF(DecLat&gt;0,IF((90 - (DecLat-O578))&gt;90, (90 - (O578-DecLat)), (90 - (DecLat-O578))),IF((90 + (DecLat-O578))&gt;90, (90 + (O578-DecLat)), (90 + (DecLat-O578))))</f>
        <v>51.566666666666663</v>
      </c>
      <c r="AG578" s="257">
        <f>angularseperation(MoonRA,MoonDec,$M578,$O578)</f>
        <v>37.891884471600854</v>
      </c>
      <c r="AH578" s="261">
        <f ca="1">MIN(100,IF($O$5&gt;80,0+30*($AG578/100),IF($O$5&gt;70,0+50*($AG578/100),IF($O$5&gt;60,5+50*($AG578/100),IF($O$5&gt;50,10+60*($AG578/100),IF($O$5&gt;40,15+70*($AG578/100),IF($O$5&gt;30,20+70*($AG578/100),IF($O$5&gt;20,40+55*($AG578/100),(80+(20-$O$5)+30*($AG578/100))))))))))</f>
        <v>94.638625685630686</v>
      </c>
      <c r="AI578" s="263"/>
      <c r="AJ578" s="263"/>
      <c r="AK578" s="263"/>
      <c r="AL578" s="263"/>
      <c r="AM578" s="264"/>
      <c r="AN578" s="263"/>
      <c r="AO578" s="263"/>
      <c r="AP578" s="265"/>
      <c r="AQ578" s="265"/>
      <c r="AR578" s="285"/>
      <c r="AS578" s="263"/>
      <c r="AT578" s="263"/>
      <c r="AU578" s="263"/>
      <c r="AV578" s="264"/>
      <c r="AW578" s="263">
        <v>117</v>
      </c>
      <c r="AX578" s="263"/>
      <c r="AY578" s="263"/>
      <c r="AZ578" s="263"/>
      <c r="BA578" s="263"/>
      <c r="BB578" s="263"/>
      <c r="BC578" s="263"/>
      <c r="BD578" s="264"/>
      <c r="BE578" s="263"/>
      <c r="BF578" s="263"/>
      <c r="BG578" s="263"/>
      <c r="BH578" s="263"/>
      <c r="BI578" s="263"/>
      <c r="BJ578" s="404">
        <f>altaz(J2000_Bas,$O578,$M578,DecLat,DecLong,2)</f>
        <v>184.09362846101601</v>
      </c>
      <c r="BK578" s="378" t="s">
        <v>681</v>
      </c>
      <c r="BL578" s="379">
        <f>IF((2*G578)/60&lt;0.2,0.2,(2*G578)/60)</f>
        <v>0.2</v>
      </c>
      <c r="BM578" s="380">
        <f>MOD((50000+AD578-$B$3+(0/24)),1)</f>
        <v>0.9955816264191526</v>
      </c>
      <c r="BN578" s="381"/>
      <c r="BO578" s="382">
        <v>578</v>
      </c>
    </row>
    <row r="579" spans="1:67" s="24" customFormat="1" ht="15" customHeight="1" x14ac:dyDescent="0.25">
      <c r="A579" s="287" t="s">
        <v>682</v>
      </c>
      <c r="B579" s="241" t="str">
        <f>HYPERLINK(CONCATENATE($AT$3,BK579,$AU$3),$AV$3)</f>
        <v>S</v>
      </c>
      <c r="C579" s="242" t="str">
        <f>HYPERLINK(CONCATENATE($AT$4,BK579,$AU$4,BL579),$AV$4)</f>
        <v>A</v>
      </c>
      <c r="D579" s="243" t="s">
        <v>5187</v>
      </c>
      <c r="E579" s="244" t="s">
        <v>5179</v>
      </c>
      <c r="F579" s="269">
        <v>0</v>
      </c>
      <c r="G579" s="273">
        <v>7</v>
      </c>
      <c r="H579" s="271" t="s">
        <v>6500</v>
      </c>
      <c r="I579" s="244" t="s">
        <v>6500</v>
      </c>
      <c r="J579" s="246">
        <v>0</v>
      </c>
      <c r="K579" s="247" t="s">
        <v>5814</v>
      </c>
      <c r="L579" s="248">
        <v>185343</v>
      </c>
      <c r="M579" s="249">
        <f>15*(LEFT(TEXT($L579,"000000"),2)+(MID(TEXT($L579,"000000"),3,2)/60)+(RIGHT(TEXT($L579,"000000"),2)/3600))</f>
        <v>283.42916666666667</v>
      </c>
      <c r="N579" s="286">
        <v>-45100</v>
      </c>
      <c r="O579" s="251">
        <f>IF($N579&gt;0,(LEFT(TEXT($N579,"000000"),2)+(MID(TEXT($N579,"000000"),3,2)/60)+(RIGHT(TEXT($N579,"000000"),2)/3600)),-(MID(TEXT($N579,"000000"),2,2)+(MID(TEXT($N579,"000000"),4,2)/60)+(RIGHT(TEXT($N579,"000000"),2)/3600)))</f>
        <v>-4.8499999999999996</v>
      </c>
      <c r="P579" s="252" t="s">
        <v>121</v>
      </c>
      <c r="Q579" s="253"/>
      <c r="R579" s="277" t="s">
        <v>3293</v>
      </c>
      <c r="S579" s="272" t="s">
        <v>3293</v>
      </c>
      <c r="T579" s="273"/>
      <c r="U579" s="274"/>
      <c r="V579" s="256"/>
      <c r="W579" s="244"/>
      <c r="X579" s="244"/>
      <c r="Y579" s="362"/>
      <c r="Z579" s="257">
        <f>altaz(J2000_Bas,$O579,$M579,DecLat,DecLong,1)</f>
        <v>54.06581659851286</v>
      </c>
      <c r="AA579" s="257">
        <f>altaz((J2000_Bas+(2*0.04167)),$O579,$M579,DecLat,DecLong,1)</f>
        <v>42.494986909603504</v>
      </c>
      <c r="AB579" s="257">
        <f>altaz((J2000_Bas+(4*0.04167)),$O579,$M579,DecLat,DecLong,1)</f>
        <v>20.34198929543226</v>
      </c>
      <c r="AC579" s="257">
        <f>altaz((J2000_Bas+(6*0.04167)),$O579,$M579,DecLat,DecLong,1)</f>
        <v>-4.9146113230404422</v>
      </c>
      <c r="AD579" s="258">
        <f>1+ transit((J2000_Bas-1),$O579,$M579,DecLat,DecLong)/360 + (GMTOffset/24) + (IF(DST="Y", 1, 0)/24)</f>
        <v>1.7802031226401247</v>
      </c>
      <c r="AE579" s="259">
        <f>DATE(2001,9,21)+(M579/360)*365 - (360*((DecLong/360)- (GMTOffset/24) ))</f>
        <v>37447.365682870368</v>
      </c>
      <c r="AF579" s="260">
        <f>IF(DecLat&gt;0,IF((90 - (DecLat-O579))&gt;90, (90 - (O579-DecLat)), (90 - (DecLat-O579))),IF((90 + (DecLat-O579))&gt;90, (90 + (O579-DecLat)), (90 + (DecLat-O579))))</f>
        <v>54.15</v>
      </c>
      <c r="AG579" s="257">
        <f>angularseperation(MoonRA,MoonDec,$M579,$O579)</f>
        <v>39.434539558686836</v>
      </c>
      <c r="AH579" s="261">
        <f ca="1">MIN(100,IF($O$5&gt;80,0+30*($AG579/100),IF($O$5&gt;70,0+50*($AG579/100),IF($O$5&gt;60,5+50*($AG579/100),IF($O$5&gt;50,10+60*($AG579/100),IF($O$5&gt;40,15+70*($AG579/100),IF($O$5&gt;30,20+70*($AG579/100),IF($O$5&gt;20,40+55*($AG579/100),(80+(20-$O$5)+30*($AG579/100))))))))))</f>
        <v>95.101422211756471</v>
      </c>
      <c r="AI579" s="263"/>
      <c r="AJ579" s="263"/>
      <c r="AK579" s="263"/>
      <c r="AL579" s="263"/>
      <c r="AM579" s="264"/>
      <c r="AN579" s="263"/>
      <c r="AO579" s="263"/>
      <c r="AP579" s="265"/>
      <c r="AQ579" s="265"/>
      <c r="AR579" s="285"/>
      <c r="AS579" s="263"/>
      <c r="AT579" s="263"/>
      <c r="AU579" s="263"/>
      <c r="AV579" s="264"/>
      <c r="AW579" s="299">
        <v>117.1</v>
      </c>
      <c r="AX579" s="263"/>
      <c r="AY579" s="263"/>
      <c r="AZ579" s="263"/>
      <c r="BA579" s="263"/>
      <c r="BB579" s="263"/>
      <c r="BC579" s="263"/>
      <c r="BD579" s="264"/>
      <c r="BE579" s="263"/>
      <c r="BF579" s="263"/>
      <c r="BG579" s="263"/>
      <c r="BH579" s="263"/>
      <c r="BI579" s="263"/>
      <c r="BJ579" s="404">
        <f>altaz(J2000_Bas,$O579,$M579,DecLat,DecLong,2)</f>
        <v>184.3722402128875</v>
      </c>
      <c r="BK579" s="378" t="s">
        <v>682</v>
      </c>
      <c r="BL579" s="379">
        <f>IF((2*G579)/60&lt;0.2,0.2,(2*G579)/60)</f>
        <v>0.23333333333333334</v>
      </c>
      <c r="BM579" s="380">
        <f>MOD((50000+AD579-$B$3+(0/24)),1)</f>
        <v>0.99557005234237295</v>
      </c>
      <c r="BN579" s="381"/>
      <c r="BO579" s="382">
        <v>579</v>
      </c>
    </row>
    <row r="580" spans="1:67" s="24" customFormat="1" ht="15" customHeight="1" x14ac:dyDescent="0.25">
      <c r="A580" s="287" t="s">
        <v>683</v>
      </c>
      <c r="B580" s="241" t="str">
        <f>HYPERLINK(CONCATENATE($AT$3,BK580,$AU$3),$AV$3)</f>
        <v>S</v>
      </c>
      <c r="C580" s="242" t="str">
        <f>HYPERLINK(CONCATENATE($AT$4,BK580,$AU$4,BL580),$AV$4)</f>
        <v>A</v>
      </c>
      <c r="D580" s="243" t="s">
        <v>5187</v>
      </c>
      <c r="E580" s="244" t="s">
        <v>5179</v>
      </c>
      <c r="F580" s="269">
        <v>6</v>
      </c>
      <c r="G580" s="273">
        <v>2</v>
      </c>
      <c r="H580" s="271" t="s">
        <v>6500</v>
      </c>
      <c r="I580" s="244" t="s">
        <v>6500</v>
      </c>
      <c r="J580" s="246">
        <v>0</v>
      </c>
      <c r="K580" s="247" t="s">
        <v>5815</v>
      </c>
      <c r="L580" s="248">
        <v>185356</v>
      </c>
      <c r="M580" s="249">
        <f>15*(LEFT(TEXT($L580,"000000"),2)+(MID(TEXT($L580,"000000"),3,2)/60)+(RIGHT(TEXT($L580,"000000"),2)/3600))</f>
        <v>283.48333333333329</v>
      </c>
      <c r="N580" s="286">
        <v>-72700</v>
      </c>
      <c r="O580" s="251">
        <f>IF($N580&gt;0,(LEFT(TEXT($N580,"000000"),2)+(MID(TEXT($N580,"000000"),3,2)/60)+(RIGHT(TEXT($N580,"000000"),2)/3600)),-(MID(TEXT($N580,"000000"),2,2)+(MID(TEXT($N580,"000000"),4,2)/60)+(RIGHT(TEXT($N580,"000000"),2)/3600)))</f>
        <v>-7.45</v>
      </c>
      <c r="P580" s="252" t="s">
        <v>121</v>
      </c>
      <c r="Q580" s="253"/>
      <c r="R580" s="277" t="s">
        <v>3293</v>
      </c>
      <c r="S580" s="272" t="s">
        <v>3293</v>
      </c>
      <c r="T580" s="273"/>
      <c r="U580" s="274"/>
      <c r="V580" s="256"/>
      <c r="W580" s="244"/>
      <c r="X580" s="244"/>
      <c r="Y580" s="362"/>
      <c r="Z580" s="257">
        <f>altaz(J2000_Bas,$O580,$M580,DecLat,DecLong,1)</f>
        <v>51.474371501947111</v>
      </c>
      <c r="AA580" s="257">
        <f>altaz((J2000_Bas+(2*0.04167)),$O580,$M580,DecLat,DecLong,1)</f>
        <v>40.482500706752155</v>
      </c>
      <c r="AB580" s="257">
        <f>altaz((J2000_Bas+(4*0.04167)),$O580,$M580,DecLat,DecLong,1)</f>
        <v>18.856164320623414</v>
      </c>
      <c r="AC580" s="257">
        <f>altaz((J2000_Bas+(6*0.04167)),$O580,$M580,DecLat,DecLong,1)</f>
        <v>-6.1941656295768874</v>
      </c>
      <c r="AD580" s="258">
        <f>1+ transit((J2000_Bas-1),$O580,$M580,DecLat,DecLong)/360 + (GMTOffset/24) + (IF(DST="Y", 1, 0)/24)</f>
        <v>1.7803535855880412</v>
      </c>
      <c r="AE580" s="259">
        <f>DATE(2001,9,21)+(M580/360)*365 - (360*((DecLong/360)- (GMTOffset/24) ))</f>
        <v>37447.420601851853</v>
      </c>
      <c r="AF580" s="260">
        <f>IF(DecLat&gt;0,IF((90 - (DecLat-O580))&gt;90, (90 - (O580-DecLat)), (90 - (DecLat-O580))),IF((90 + (DecLat-O580))&gt;90, (90 + (O580-DecLat)), (90 + (DecLat-O580))))</f>
        <v>51.55</v>
      </c>
      <c r="AG580" s="257">
        <f>angularseperation(MoonRA,MoonDec,$M580,$O580)</f>
        <v>37.922625487277671</v>
      </c>
      <c r="AH580" s="261">
        <f ca="1">MIN(100,IF($O$5&gt;80,0+30*($AG580/100),IF($O$5&gt;70,0+50*($AG580/100),IF($O$5&gt;60,5+50*($AG580/100),IF($O$5&gt;50,10+60*($AG580/100),IF($O$5&gt;40,15+70*($AG580/100),IF($O$5&gt;30,20+70*($AG580/100),IF($O$5&gt;20,40+55*($AG580/100),(80+(20-$O$5)+30*($AG580/100))))))))))</f>
        <v>94.64784799033373</v>
      </c>
      <c r="AI580" s="263"/>
      <c r="AJ580" s="263"/>
      <c r="AK580" s="263"/>
      <c r="AL580" s="263"/>
      <c r="AM580" s="264"/>
      <c r="AN580" s="263"/>
      <c r="AO580" s="263"/>
      <c r="AP580" s="265"/>
      <c r="AQ580" s="265"/>
      <c r="AR580" s="285"/>
      <c r="AS580" s="263"/>
      <c r="AT580" s="263"/>
      <c r="AU580" s="263"/>
      <c r="AV580" s="264"/>
      <c r="AW580" s="263">
        <v>118</v>
      </c>
      <c r="AX580" s="263"/>
      <c r="AY580" s="263"/>
      <c r="AZ580" s="263"/>
      <c r="BA580" s="263"/>
      <c r="BB580" s="263"/>
      <c r="BC580" s="263"/>
      <c r="BD580" s="264"/>
      <c r="BE580" s="263"/>
      <c r="BF580" s="263"/>
      <c r="BG580" s="263"/>
      <c r="BH580" s="263"/>
      <c r="BI580" s="263"/>
      <c r="BJ580" s="404">
        <f>altaz(J2000_Bas,$O580,$M580,DecLat,DecLong,2)</f>
        <v>184.01253203351379</v>
      </c>
      <c r="BK580" s="378" t="s">
        <v>683</v>
      </c>
      <c r="BL580" s="379">
        <f>IF((2*G580)/60&lt;0.2,0.2,(2*G580)/60)</f>
        <v>0.2</v>
      </c>
      <c r="BM580" s="380">
        <f>MOD((50000+AD580-$B$3+(0/24)),1)</f>
        <v>0.99572051528957672</v>
      </c>
      <c r="BN580" s="381"/>
      <c r="BO580" s="382">
        <v>580</v>
      </c>
    </row>
    <row r="581" spans="1:67" s="24" customFormat="1" ht="15" customHeight="1" x14ac:dyDescent="0.25">
      <c r="A581" s="287" t="s">
        <v>684</v>
      </c>
      <c r="B581" s="241" t="str">
        <f>HYPERLINK(CONCATENATE($AT$3,BK581,$AU$3),$AV$3)</f>
        <v>S</v>
      </c>
      <c r="C581" s="242" t="str">
        <f>HYPERLINK(CONCATENATE($AT$4,BK581,$AU$4,BL581),$AV$4)</f>
        <v>A</v>
      </c>
      <c r="D581" s="243" t="s">
        <v>5187</v>
      </c>
      <c r="E581" s="244" t="s">
        <v>5179</v>
      </c>
      <c r="F581" s="269">
        <v>2</v>
      </c>
      <c r="G581" s="273">
        <v>2</v>
      </c>
      <c r="H581" s="271" t="s">
        <v>6500</v>
      </c>
      <c r="I581" s="244" t="s">
        <v>6500</v>
      </c>
      <c r="J581" s="246">
        <v>0</v>
      </c>
      <c r="K581" s="247" t="s">
        <v>5816</v>
      </c>
      <c r="L581" s="248">
        <v>185437</v>
      </c>
      <c r="M581" s="249">
        <f>15*(LEFT(TEXT($L581,"000000"),2)+(MID(TEXT($L581,"000000"),3,2)/60)+(RIGHT(TEXT($L581,"000000"),2)/3600))</f>
        <v>283.65416666666664</v>
      </c>
      <c r="N581" s="286">
        <v>-43300</v>
      </c>
      <c r="O581" s="251">
        <f>IF($N581&gt;0,(LEFT(TEXT($N581,"000000"),2)+(MID(TEXT($N581,"000000"),3,2)/60)+(RIGHT(TEXT($N581,"000000"),2)/3600)),-(MID(TEXT($N581,"000000"),2,2)+(MID(TEXT($N581,"000000"),4,2)/60)+(RIGHT(TEXT($N581,"000000"),2)/3600)))</f>
        <v>-4.55</v>
      </c>
      <c r="P581" s="252" t="s">
        <v>121</v>
      </c>
      <c r="Q581" s="253"/>
      <c r="R581" s="277" t="s">
        <v>3293</v>
      </c>
      <c r="S581" s="272" t="s">
        <v>3293</v>
      </c>
      <c r="T581" s="273"/>
      <c r="U581" s="274"/>
      <c r="V581" s="256"/>
      <c r="W581" s="244"/>
      <c r="X581" s="244"/>
      <c r="Y581" s="362"/>
      <c r="Z581" s="257">
        <f>altaz(J2000_Bas,$O581,$M581,DecLat,DecLong,1)</f>
        <v>54.379337597540804</v>
      </c>
      <c r="AA581" s="257">
        <f>altaz((J2000_Bas+(2*0.04167)),$O581,$M581,DecLat,DecLong,1)</f>
        <v>42.869288292409053</v>
      </c>
      <c r="AB581" s="257">
        <f>altaz((J2000_Bas+(4*0.04167)),$O581,$M581,DecLat,DecLong,1)</f>
        <v>20.699019343931553</v>
      </c>
      <c r="AC581" s="257">
        <f>altaz((J2000_Bas+(6*0.04167)),$O581,$M581,DecLat,DecLong,1)</f>
        <v>-4.5684346772497895</v>
      </c>
      <c r="AD581" s="258">
        <f>1+ transit((J2000_Bas-1),$O581,$M581,DecLat,DecLong)/360 + (GMTOffset/24) + (IF(DST="Y", 1, 0)/24)</f>
        <v>1.7808281225776248</v>
      </c>
      <c r="AE581" s="259">
        <f>DATE(2001,9,21)+(M581/360)*365 - (360*((DecLong/360)- (GMTOffset/24) ))</f>
        <v>37447.593807870369</v>
      </c>
      <c r="AF581" s="260">
        <f>IF(DecLat&gt;0,IF((90 - (DecLat-O581))&gt;90, (90 - (O581-DecLat)), (90 - (DecLat-O581))),IF((90 + (DecLat-O581))&gt;90, (90 + (O581-DecLat)), (90 + (DecLat-O581))))</f>
        <v>54.45</v>
      </c>
      <c r="AG581" s="257">
        <f>angularseperation(MoonRA,MoonDec,$M581,$O581)</f>
        <v>39.796126390491921</v>
      </c>
      <c r="AH581" s="261">
        <f ca="1">MIN(100,IF($O$5&gt;80,0+30*($AG581/100),IF($O$5&gt;70,0+50*($AG581/100),IF($O$5&gt;60,5+50*($AG581/100),IF($O$5&gt;50,10+60*($AG581/100),IF($O$5&gt;40,15+70*($AG581/100),IF($O$5&gt;30,20+70*($AG581/100),IF($O$5&gt;20,40+55*($AG581/100),(80+(20-$O$5)+30*($AG581/100))))))))))</f>
        <v>95.209898261298008</v>
      </c>
      <c r="AI581" s="263"/>
      <c r="AJ581" s="263"/>
      <c r="AK581" s="263"/>
      <c r="AL581" s="263"/>
      <c r="AM581" s="264"/>
      <c r="AN581" s="263"/>
      <c r="AO581" s="263"/>
      <c r="AP581" s="265"/>
      <c r="AQ581" s="265"/>
      <c r="AR581" s="285"/>
      <c r="AS581" s="263"/>
      <c r="AT581" s="263"/>
      <c r="AU581" s="263"/>
      <c r="AV581" s="264"/>
      <c r="AW581" s="263">
        <v>119</v>
      </c>
      <c r="AX581" s="263"/>
      <c r="AY581" s="263"/>
      <c r="AZ581" s="263"/>
      <c r="BA581" s="263"/>
      <c r="BB581" s="263"/>
      <c r="BC581" s="263"/>
      <c r="BD581" s="264"/>
      <c r="BE581" s="263"/>
      <c r="BF581" s="263"/>
      <c r="BG581" s="263"/>
      <c r="BH581" s="263"/>
      <c r="BI581" s="263"/>
      <c r="BJ581" s="404">
        <f>altaz(J2000_Bas,$O581,$M581,DecLat,DecLong,2)</f>
        <v>184.02174040573672</v>
      </c>
      <c r="BK581" s="378" t="s">
        <v>684</v>
      </c>
      <c r="BL581" s="379">
        <f>IF((2*G581)/60&lt;0.2,0.2,(2*G581)/60)</f>
        <v>0.2</v>
      </c>
      <c r="BM581" s="380">
        <f>MOD((50000+AD581-$B$3+(0/24)),1)</f>
        <v>0.99619505228474736</v>
      </c>
      <c r="BN581" s="381"/>
      <c r="BO581" s="382">
        <v>581</v>
      </c>
    </row>
    <row r="582" spans="1:67" s="24" customFormat="1" ht="15" customHeight="1" x14ac:dyDescent="0.25">
      <c r="A582" s="287" t="s">
        <v>685</v>
      </c>
      <c r="B582" s="241" t="str">
        <f>HYPERLINK(CONCATENATE($AT$3,BK582,$AU$3),$AV$3)</f>
        <v>S</v>
      </c>
      <c r="C582" s="242" t="str">
        <f>HYPERLINK(CONCATENATE($AT$4,BK582,$AU$4,BL582),$AV$4)</f>
        <v>A</v>
      </c>
      <c r="D582" s="243" t="s">
        <v>5187</v>
      </c>
      <c r="E582" s="244" t="s">
        <v>5179</v>
      </c>
      <c r="F582" s="269">
        <v>3</v>
      </c>
      <c r="G582" s="276">
        <v>30</v>
      </c>
      <c r="H582" s="271" t="s">
        <v>6500</v>
      </c>
      <c r="I582" s="244" t="s">
        <v>6500</v>
      </c>
      <c r="J582" s="246">
        <v>0</v>
      </c>
      <c r="K582" s="247" t="s">
        <v>8372</v>
      </c>
      <c r="L582" s="248">
        <v>185440</v>
      </c>
      <c r="M582" s="249">
        <f>15*(LEFT(TEXT($L582,"000000"),2)+(MID(TEXT($L582,"000000"),3,2)/60)+(RIGHT(TEXT($L582,"000000"),2)/3600))</f>
        <v>283.66666666666669</v>
      </c>
      <c r="N582" s="286">
        <v>-51100</v>
      </c>
      <c r="O582" s="251">
        <f>IF($N582&gt;0,(LEFT(TEXT($N582,"000000"),2)+(MID(TEXT($N582,"000000"),3,2)/60)+(RIGHT(TEXT($N582,"000000"),2)/3600)),-(MID(TEXT($N582,"000000"),2,2)+(MID(TEXT($N582,"000000"),4,2)/60)+(RIGHT(TEXT($N582,"000000"),2)/3600)))</f>
        <v>-5.1833333333333336</v>
      </c>
      <c r="P582" s="252" t="s">
        <v>121</v>
      </c>
      <c r="Q582" s="253"/>
      <c r="R582" s="277" t="s">
        <v>3293</v>
      </c>
      <c r="S582" s="272" t="s">
        <v>3293</v>
      </c>
      <c r="T582" s="273"/>
      <c r="U582" s="274"/>
      <c r="V582" s="256"/>
      <c r="W582" s="244"/>
      <c r="X582" s="244"/>
      <c r="Y582" s="362"/>
      <c r="Z582" s="257">
        <f>altaz(J2000_Bas,$O582,$M582,DecLat,DecLong,1)</f>
        <v>53.747877032152211</v>
      </c>
      <c r="AA582" s="257">
        <f>altaz((J2000_Bas+(2*0.04167)),$O582,$M582,DecLat,DecLong,1)</f>
        <v>42.382514029912514</v>
      </c>
      <c r="AB582" s="257">
        <f>altaz((J2000_Bas+(4*0.04167)),$O582,$M582,DecLat,DecLong,1)</f>
        <v>20.339402095585868</v>
      </c>
      <c r="AC582" s="257">
        <f>altaz((J2000_Bas+(6*0.04167)),$O582,$M582,DecLat,DecLong,1)</f>
        <v>-4.8817623669815644</v>
      </c>
      <c r="AD582" s="258">
        <f>1+ transit((J2000_Bas-1),$O582,$M582,DecLat,DecLong)/360 + (GMTOffset/24) + (IF(DST="Y", 1, 0)/24)</f>
        <v>1.7808628447963748</v>
      </c>
      <c r="AE582" s="259">
        <f>DATE(2001,9,21)+(M582/360)*365 - (360*((DecLong/360)- (GMTOffset/24) ))</f>
        <v>37447.606481481482</v>
      </c>
      <c r="AF582" s="260">
        <f>IF(DecLat&gt;0,IF((90 - (DecLat-O582))&gt;90, (90 - (O582-DecLat)), (90 - (DecLat-O582))),IF((90 + (DecLat-O582))&gt;90, (90 + (O582-DecLat)), (90 + (DecLat-O582))))</f>
        <v>53.816666666666663</v>
      </c>
      <c r="AG582" s="257">
        <f>angularseperation(MoonRA,MoonDec,$M582,$O582)</f>
        <v>39.417179382159517</v>
      </c>
      <c r="AH582" s="261">
        <f ca="1">MIN(100,IF($O$5&gt;80,0+30*($AG582/100),IF($O$5&gt;70,0+50*($AG582/100),IF($O$5&gt;60,5+50*($AG582/100),IF($O$5&gt;50,10+60*($AG582/100),IF($O$5&gt;40,15+70*($AG582/100),IF($O$5&gt;30,20+70*($AG582/100),IF($O$5&gt;20,40+55*($AG582/100),(80+(20-$O$5)+30*($AG582/100))))))))))</f>
        <v>95.09621415879829</v>
      </c>
      <c r="AI582" s="263"/>
      <c r="AJ582" s="263"/>
      <c r="AK582" s="263"/>
      <c r="AL582" s="263"/>
      <c r="AM582" s="264"/>
      <c r="AN582" s="263"/>
      <c r="AO582" s="263"/>
      <c r="AP582" s="265"/>
      <c r="AQ582" s="265"/>
      <c r="AR582" s="285"/>
      <c r="AS582" s="263"/>
      <c r="AT582" s="263"/>
      <c r="AU582" s="263"/>
      <c r="AV582" s="264"/>
      <c r="AW582" s="299">
        <v>119.1</v>
      </c>
      <c r="AX582" s="263"/>
      <c r="AY582" s="263"/>
      <c r="AZ582" s="263"/>
      <c r="BA582" s="263"/>
      <c r="BB582" s="263"/>
      <c r="BC582" s="263"/>
      <c r="BD582" s="264"/>
      <c r="BE582" s="263"/>
      <c r="BF582" s="263"/>
      <c r="BG582" s="263"/>
      <c r="BH582" s="263"/>
      <c r="BI582" s="263"/>
      <c r="BJ582" s="404">
        <f>altaz(J2000_Bas,$O582,$M582,DecLat,DecLong,2)</f>
        <v>183.93613779462751</v>
      </c>
      <c r="BK582" s="378" t="s">
        <v>685</v>
      </c>
      <c r="BL582" s="379">
        <f>IF((2*G582)/60&lt;0.2,0.2,(2*G582)/60)</f>
        <v>1</v>
      </c>
      <c r="BM582" s="380">
        <f>MOD((50000+AD582-$B$3+(0/24)),1)</f>
        <v>0.9962297745005344</v>
      </c>
      <c r="BN582" s="381"/>
      <c r="BO582" s="382">
        <v>582</v>
      </c>
    </row>
    <row r="583" spans="1:67" s="24" customFormat="1" ht="15" customHeight="1" x14ac:dyDescent="0.25">
      <c r="A583" s="287" t="s">
        <v>686</v>
      </c>
      <c r="B583" s="241" t="str">
        <f>HYPERLINK(CONCATENATE($AT$3,BK583,$AU$3),$AV$3)</f>
        <v>S</v>
      </c>
      <c r="C583" s="242" t="str">
        <f>HYPERLINK(CONCATENATE($AT$4,BK583,$AU$4,BL583),$AV$4)</f>
        <v>A</v>
      </c>
      <c r="D583" s="243" t="s">
        <v>5187</v>
      </c>
      <c r="E583" s="244" t="s">
        <v>5179</v>
      </c>
      <c r="F583" s="269">
        <v>2</v>
      </c>
      <c r="G583" s="273">
        <v>2</v>
      </c>
      <c r="H583" s="271" t="s">
        <v>6500</v>
      </c>
      <c r="I583" s="244" t="s">
        <v>6500</v>
      </c>
      <c r="J583" s="246">
        <v>0</v>
      </c>
      <c r="K583" s="247" t="s">
        <v>5817</v>
      </c>
      <c r="L583" s="248">
        <v>185454</v>
      </c>
      <c r="M583" s="249">
        <f>15*(LEFT(TEXT($L583,"000000"),2)+(MID(TEXT($L583,"000000"),3,2)/60)+(RIGHT(TEXT($L583,"000000"),2)/3600))</f>
        <v>283.72499999999997</v>
      </c>
      <c r="N583" s="286">
        <v>-43600</v>
      </c>
      <c r="O583" s="251">
        <f>IF($N583&gt;0,(LEFT(TEXT($N583,"000000"),2)+(MID(TEXT($N583,"000000"),3,2)/60)+(RIGHT(TEXT($N583,"000000"),2)/3600)),-(MID(TEXT($N583,"000000"),2,2)+(MID(TEXT($N583,"000000"),4,2)/60)+(RIGHT(TEXT($N583,"000000"),2)/3600)))</f>
        <v>-4.5999999999999996</v>
      </c>
      <c r="P583" s="252" t="s">
        <v>121</v>
      </c>
      <c r="Q583" s="253"/>
      <c r="R583" s="277" t="s">
        <v>3293</v>
      </c>
      <c r="S583" s="272" t="s">
        <v>3293</v>
      </c>
      <c r="T583" s="273"/>
      <c r="U583" s="274"/>
      <c r="V583" s="256"/>
      <c r="W583" s="244"/>
      <c r="X583" s="244"/>
      <c r="Y583" s="362"/>
      <c r="Z583" s="257">
        <f>altaz(J2000_Bas,$O583,$M583,DecLat,DecLong,1)</f>
        <v>54.333617457091577</v>
      </c>
      <c r="AA583" s="257">
        <f>altaz((J2000_Bas+(2*0.04167)),$O583,$M583,DecLat,DecLong,1)</f>
        <v>42.874570418209643</v>
      </c>
      <c r="AB583" s="257">
        <f>altaz((J2000_Bas+(4*0.04167)),$O583,$M583,DecLat,DecLong,1)</f>
        <v>20.727271621573848</v>
      </c>
      <c r="AC583" s="257">
        <f>altaz((J2000_Bas+(6*0.04167)),$O583,$M583,DecLat,DecLong,1)</f>
        <v>-4.5333790809742744</v>
      </c>
      <c r="AD583" s="258">
        <f>1+ transit((J2000_Bas-1),$O583,$M583,DecLat,DecLong)/360 + (GMTOffset/24) + (IF(DST="Y", 1, 0)/24)</f>
        <v>1.7810248818172079</v>
      </c>
      <c r="AE583" s="259">
        <f>DATE(2001,9,21)+(M583/360)*365 - (360*((DecLong/360)- (GMTOffset/24) ))</f>
        <v>37447.665625000001</v>
      </c>
      <c r="AF583" s="260">
        <f>IF(DecLat&gt;0,IF((90 - (DecLat-O583))&gt;90, (90 - (O583-DecLat)), (90 - (DecLat-O583))),IF((90 + (DecLat-O583))&gt;90, (90 + (O583-DecLat)), (90 + (DecLat-O583))))</f>
        <v>54.4</v>
      </c>
      <c r="AG583" s="257">
        <f>angularseperation(MoonRA,MoonDec,$M583,$O583)</f>
        <v>39.82079822994455</v>
      </c>
      <c r="AH583" s="261">
        <f ca="1">MIN(100,IF($O$5&gt;80,0+30*($AG583/100),IF($O$5&gt;70,0+50*($AG583/100),IF($O$5&gt;60,5+50*($AG583/100),IF($O$5&gt;50,10+60*($AG583/100),IF($O$5&gt;40,15+70*($AG583/100),IF($O$5&gt;30,20+70*($AG583/100),IF($O$5&gt;20,40+55*($AG583/100),(80+(20-$O$5)+30*($AG583/100))))))))))</f>
        <v>95.217299813133792</v>
      </c>
      <c r="AI583" s="263"/>
      <c r="AJ583" s="263"/>
      <c r="AK583" s="263"/>
      <c r="AL583" s="263"/>
      <c r="AM583" s="264"/>
      <c r="AN583" s="263"/>
      <c r="AO583" s="263"/>
      <c r="AP583" s="265"/>
      <c r="AQ583" s="265"/>
      <c r="AR583" s="285"/>
      <c r="AS583" s="263"/>
      <c r="AT583" s="263"/>
      <c r="AU583" s="263"/>
      <c r="AV583" s="264"/>
      <c r="AW583" s="263">
        <v>120</v>
      </c>
      <c r="AX583" s="263"/>
      <c r="AY583" s="263"/>
      <c r="AZ583" s="263"/>
      <c r="BA583" s="263"/>
      <c r="BB583" s="263"/>
      <c r="BC583" s="263"/>
      <c r="BD583" s="264"/>
      <c r="BE583" s="263"/>
      <c r="BF583" s="263"/>
      <c r="BG583" s="263"/>
      <c r="BH583" s="263"/>
      <c r="BI583" s="263"/>
      <c r="BJ583" s="404">
        <f>altaz(J2000_Bas,$O583,$M583,DecLat,DecLong,2)</f>
        <v>183.89569557671021</v>
      </c>
      <c r="BK583" s="378" t="s">
        <v>686</v>
      </c>
      <c r="BL583" s="379">
        <f>IF((2*G583)/60&lt;0.2,0.2,(2*G583)/60)</f>
        <v>0.2</v>
      </c>
      <c r="BM583" s="380">
        <f>MOD((50000+AD583-$B$3+(0/24)),1)</f>
        <v>0.99639181152451783</v>
      </c>
      <c r="BN583" s="381"/>
      <c r="BO583" s="382">
        <v>583</v>
      </c>
    </row>
    <row r="584" spans="1:67" s="24" customFormat="1" ht="15" customHeight="1" x14ac:dyDescent="0.25">
      <c r="A584" s="287" t="s">
        <v>687</v>
      </c>
      <c r="B584" s="241" t="str">
        <f>HYPERLINK(CONCATENATE($AT$3,BK584,$AU$3),$AV$3)</f>
        <v>S</v>
      </c>
      <c r="C584" s="242" t="str">
        <f>HYPERLINK(CONCATENATE($AT$4,BK584,$AU$4,BL584),$AV$4)</f>
        <v>A</v>
      </c>
      <c r="D584" s="243" t="s">
        <v>5187</v>
      </c>
      <c r="E584" s="244" t="s">
        <v>5179</v>
      </c>
      <c r="F584" s="269">
        <v>2</v>
      </c>
      <c r="G584" s="273">
        <v>3</v>
      </c>
      <c r="H584" s="271" t="s">
        <v>6500</v>
      </c>
      <c r="I584" s="244" t="s">
        <v>6500</v>
      </c>
      <c r="J584" s="246">
        <v>0</v>
      </c>
      <c r="K584" s="247" t="s">
        <v>5818</v>
      </c>
      <c r="L584" s="248">
        <v>185526</v>
      </c>
      <c r="M584" s="249">
        <f>15*(LEFT(TEXT($L584,"000000"),2)+(MID(TEXT($L584,"000000"),3,2)/60)+(RIGHT(TEXT($L584,"000000"),2)/3600))</f>
        <v>283.85833333333335</v>
      </c>
      <c r="N584" s="286">
        <v>-43700</v>
      </c>
      <c r="O584" s="251">
        <f>IF($N584&gt;0,(LEFT(TEXT($N584,"000000"),2)+(MID(TEXT($N584,"000000"),3,2)/60)+(RIGHT(TEXT($N584,"000000"),2)/3600)),-(MID(TEXT($N584,"000000"),2,2)+(MID(TEXT($N584,"000000"),4,2)/60)+(RIGHT(TEXT($N584,"000000"),2)/3600)))</f>
        <v>-4.6166666666666671</v>
      </c>
      <c r="P584" s="252" t="s">
        <v>121</v>
      </c>
      <c r="Q584" s="253"/>
      <c r="R584" s="277" t="s">
        <v>3293</v>
      </c>
      <c r="S584" s="272" t="s">
        <v>3293</v>
      </c>
      <c r="T584" s="273"/>
      <c r="U584" s="274"/>
      <c r="V584" s="256"/>
      <c r="W584" s="244"/>
      <c r="X584" s="244"/>
      <c r="Y584" s="362"/>
      <c r="Z584" s="257">
        <f>altaz(J2000_Bas,$O584,$M584,DecLat,DecLong,1)</f>
        <v>54.324514379205894</v>
      </c>
      <c r="AA584" s="257">
        <f>altaz((J2000_Bas+(2*0.04167)),$O584,$M584,DecLat,DecLong,1)</f>
        <v>42.944664793226515</v>
      </c>
      <c r="AB584" s="257">
        <f>altaz((J2000_Bas+(4*0.04167)),$O584,$M584,DecLat,DecLong,1)</f>
        <v>20.82550893221401</v>
      </c>
      <c r="AC584" s="257">
        <f>altaz((J2000_Bas+(6*0.04167)),$O584,$M584,DecLat,DecLong,1)</f>
        <v>-4.4277490124709926</v>
      </c>
      <c r="AD584" s="258">
        <f>1+ transit((J2000_Bas-1),$O584,$M584,DecLat,DecLong)/360 + (GMTOffset/24) + (IF(DST="Y", 1, 0)/24)</f>
        <v>1.7813952521505414</v>
      </c>
      <c r="AE584" s="259">
        <f>DATE(2001,9,21)+(M584/360)*365 - (360*((DecLong/360)- (GMTOffset/24) ))</f>
        <v>37447.800810185188</v>
      </c>
      <c r="AF584" s="260">
        <f>IF(DecLat&gt;0,IF((90 - (DecLat-O584))&gt;90, (90 - (O584-DecLat)), (90 - (DecLat-O584))),IF((90 + (DecLat-O584))&gt;90, (90 + (O584-DecLat)), (90 + (DecLat-O584))))</f>
        <v>54.383333333333333</v>
      </c>
      <c r="AG584" s="257">
        <f>angularseperation(MoonRA,MoonDec,$M584,$O584)</f>
        <v>39.915217306385252</v>
      </c>
      <c r="AH584" s="261">
        <f ca="1">MIN(100,IF($O$5&gt;80,0+30*($AG584/100),IF($O$5&gt;70,0+50*($AG584/100),IF($O$5&gt;60,5+50*($AG584/100),IF($O$5&gt;50,10+60*($AG584/100),IF($O$5&gt;40,15+70*($AG584/100),IF($O$5&gt;30,20+70*($AG584/100),IF($O$5&gt;20,40+55*($AG584/100),(80+(20-$O$5)+30*($AG584/100))))))))))</f>
        <v>95.245625536066001</v>
      </c>
      <c r="AI584" s="263"/>
      <c r="AJ584" s="263"/>
      <c r="AK584" s="263"/>
      <c r="AL584" s="263"/>
      <c r="AM584" s="264"/>
      <c r="AN584" s="263"/>
      <c r="AO584" s="263"/>
      <c r="AP584" s="265"/>
      <c r="AQ584" s="265"/>
      <c r="AR584" s="285"/>
      <c r="AS584" s="263"/>
      <c r="AT584" s="263"/>
      <c r="AU584" s="263"/>
      <c r="AV584" s="264"/>
      <c r="AW584" s="263">
        <v>121</v>
      </c>
      <c r="AX584" s="263"/>
      <c r="AY584" s="263"/>
      <c r="AZ584" s="263"/>
      <c r="BA584" s="263"/>
      <c r="BB584" s="263"/>
      <c r="BC584" s="263"/>
      <c r="BD584" s="264"/>
      <c r="BE584" s="263"/>
      <c r="BF584" s="263"/>
      <c r="BG584" s="263"/>
      <c r="BH584" s="263"/>
      <c r="BI584" s="263"/>
      <c r="BJ584" s="404">
        <f>altaz(J2000_Bas,$O584,$M584,DecLat,DecLong,2)</f>
        <v>183.6665291456643</v>
      </c>
      <c r="BK584" s="378" t="s">
        <v>687</v>
      </c>
      <c r="BL584" s="379">
        <f>IF((2*G584)/60&lt;0.2,0.2,(2*G584)/60)</f>
        <v>0.2</v>
      </c>
      <c r="BM584" s="380">
        <f>MOD((50000+AD584-$B$3+(0/24)),1)</f>
        <v>0.99676218185777543</v>
      </c>
      <c r="BN584" s="381"/>
      <c r="BO584" s="382">
        <v>584</v>
      </c>
    </row>
    <row r="585" spans="1:67" s="24" customFormat="1" ht="15" customHeight="1" x14ac:dyDescent="0.25">
      <c r="A585" s="287" t="s">
        <v>688</v>
      </c>
      <c r="B585" s="241" t="str">
        <f>HYPERLINK(CONCATENATE($AT$3,BK585,$AU$3),$AV$3)</f>
        <v>S</v>
      </c>
      <c r="C585" s="242" t="str">
        <f>HYPERLINK(CONCATENATE($AT$4,BK585,$AU$4,BL585),$AV$4)</f>
        <v>A</v>
      </c>
      <c r="D585" s="243" t="s">
        <v>5187</v>
      </c>
      <c r="E585" s="244" t="s">
        <v>5179</v>
      </c>
      <c r="F585" s="269">
        <v>5</v>
      </c>
      <c r="G585" s="273">
        <v>4</v>
      </c>
      <c r="H585" s="271" t="s">
        <v>6500</v>
      </c>
      <c r="I585" s="244" t="s">
        <v>6500</v>
      </c>
      <c r="J585" s="246">
        <v>0</v>
      </c>
      <c r="K585" s="247" t="s">
        <v>5819</v>
      </c>
      <c r="L585" s="248">
        <v>185649</v>
      </c>
      <c r="M585" s="249">
        <f>15*(LEFT(TEXT($L585,"000000"),2)+(MID(TEXT($L585,"000000"),3,2)/60)+(RIGHT(TEXT($L585,"000000"),2)/3600))</f>
        <v>284.20416666666665</v>
      </c>
      <c r="N585" s="250">
        <v>-44600</v>
      </c>
      <c r="O585" s="251">
        <f>IF($N585&gt;0,(LEFT(TEXT($N585,"000000"),2)+(MID(TEXT($N585,"000000"),3,2)/60)+(RIGHT(TEXT($N585,"000000"),2)/3600)),-(MID(TEXT($N585,"000000"),2,2)+(MID(TEXT($N585,"000000"),4,2)/60)+(RIGHT(TEXT($N585,"000000"),2)/3600)))</f>
        <v>-4.7666666666666666</v>
      </c>
      <c r="P585" s="252" t="s">
        <v>121</v>
      </c>
      <c r="Q585" s="253"/>
      <c r="R585" s="277" t="s">
        <v>3293</v>
      </c>
      <c r="S585" s="272" t="s">
        <v>3293</v>
      </c>
      <c r="T585" s="273"/>
      <c r="U585" s="274"/>
      <c r="V585" s="256"/>
      <c r="W585" s="244"/>
      <c r="X585" s="244"/>
      <c r="Y585" s="362"/>
      <c r="Z585" s="257">
        <f>altaz(J2000_Bas,$O585,$M585,DecLat,DecLong,1)</f>
        <v>54.192106153372698</v>
      </c>
      <c r="AA585" s="257">
        <f>altaz((J2000_Bas+(2*0.04167)),$O585,$M585,DecLat,DecLong,1)</f>
        <v>43.041591315850269</v>
      </c>
      <c r="AB585" s="257">
        <f>altaz((J2000_Bas+(4*0.04167)),$O585,$M585,DecLat,DecLong,1)</f>
        <v>21.017452430600283</v>
      </c>
      <c r="AC585" s="257">
        <f>altaz((J2000_Bas+(6*0.04167)),$O585,$M585,DecLat,DecLong,1)</f>
        <v>-4.2084947252485057</v>
      </c>
      <c r="AD585" s="258">
        <f>1+ transit((J2000_Bas-1),$O585,$M585,DecLat,DecLong)/360 + (GMTOffset/24) + (IF(DST="Y", 1, 0)/24)</f>
        <v>1.7823559002026246</v>
      </c>
      <c r="AE585" s="259">
        <f>DATE(2001,9,21)+(M585/360)*365 - (360*((DecLong/360)- (GMTOffset/24) ))</f>
        <v>37448.151446759257</v>
      </c>
      <c r="AF585" s="260">
        <f>IF(DecLat&gt;0,IF((90 - (DecLat-O585))&gt;90, (90 - (O585-DecLat)), (90 - (DecLat-O585))),IF((90 + (DecLat-O585))&gt;90, (90 + (O585-DecLat)), (90 + (DecLat-O585))))</f>
        <v>54.233333333333334</v>
      </c>
      <c r="AG585" s="257">
        <f>angularseperation(MoonRA,MoonDec,$M585,$O585)</f>
        <v>40.095656163260308</v>
      </c>
      <c r="AH585" s="261">
        <f ca="1">MIN(100,IF($O$5&gt;80,0+30*($AG585/100),IF($O$5&gt;70,0+50*($AG585/100),IF($O$5&gt;60,5+50*($AG585/100),IF($O$5&gt;50,10+60*($AG585/100),IF($O$5&gt;40,15+70*($AG585/100),IF($O$5&gt;30,20+70*($AG585/100),IF($O$5&gt;20,40+55*($AG585/100),(80+(20-$O$5)+30*($AG585/100))))))))))</f>
        <v>95.299757193128514</v>
      </c>
      <c r="AI585" s="263"/>
      <c r="AJ585" s="263"/>
      <c r="AK585" s="263"/>
      <c r="AL585" s="263"/>
      <c r="AM585" s="264"/>
      <c r="AN585" s="263"/>
      <c r="AO585" s="263"/>
      <c r="AP585" s="265"/>
      <c r="AQ585" s="265"/>
      <c r="AR585" s="285"/>
      <c r="AS585" s="263"/>
      <c r="AT585" s="263"/>
      <c r="AU585" s="263"/>
      <c r="AV585" s="264"/>
      <c r="AW585" s="263">
        <v>122</v>
      </c>
      <c r="AX585" s="263"/>
      <c r="AY585" s="263"/>
      <c r="AZ585" s="263"/>
      <c r="BA585" s="263"/>
      <c r="BB585" s="263"/>
      <c r="BC585" s="263"/>
      <c r="BD585" s="264"/>
      <c r="BE585" s="263"/>
      <c r="BF585" s="263"/>
      <c r="BG585" s="263"/>
      <c r="BH585" s="263"/>
      <c r="BI585" s="263"/>
      <c r="BJ585" s="404">
        <f>altaz(J2000_Bas,$O585,$M585,DecLat,DecLong,2)</f>
        <v>183.06425234166409</v>
      </c>
      <c r="BK585" s="378" t="s">
        <v>688</v>
      </c>
      <c r="BL585" s="379">
        <f>IF((2*G585)/60&lt;0.2,0.2,(2*G585)/60)</f>
        <v>0.2</v>
      </c>
      <c r="BM585" s="380">
        <f>MOD((50000+AD585-$B$3+(0/24)),1)</f>
        <v>0.99772282990306849</v>
      </c>
      <c r="BN585" s="381"/>
      <c r="BO585" s="382">
        <v>585</v>
      </c>
    </row>
    <row r="586" spans="1:67" s="24" customFormat="1" ht="15" customHeight="1" x14ac:dyDescent="0.25">
      <c r="A586" s="287" t="s">
        <v>689</v>
      </c>
      <c r="B586" s="241" t="str">
        <f>HYPERLINK(CONCATENATE($AT$3,BK586,$AU$3),$AV$3)</f>
        <v>S</v>
      </c>
      <c r="C586" s="242" t="str">
        <f>HYPERLINK(CONCATENATE($AT$4,BK586,$AU$4,BL586),$AV$4)</f>
        <v>A</v>
      </c>
      <c r="D586" s="243" t="s">
        <v>5187</v>
      </c>
      <c r="E586" s="244" t="s">
        <v>5179</v>
      </c>
      <c r="F586" s="269">
        <v>5</v>
      </c>
      <c r="G586" s="276">
        <v>18</v>
      </c>
      <c r="H586" s="271" t="s">
        <v>6500</v>
      </c>
      <c r="I586" s="244" t="s">
        <v>6500</v>
      </c>
      <c r="J586" s="246">
        <v>0</v>
      </c>
      <c r="K586" s="247" t="s">
        <v>8373</v>
      </c>
      <c r="L586" s="248">
        <v>185740</v>
      </c>
      <c r="M586" s="249">
        <f>15*(LEFT(TEXT($L586,"000000"),2)+(MID(TEXT($L586,"000000"),3,2)/60)+(RIGHT(TEXT($L586,"000000"),2)/3600))</f>
        <v>284.41666666666669</v>
      </c>
      <c r="N586" s="286">
        <v>-44400</v>
      </c>
      <c r="O586" s="251">
        <f>IF($N586&gt;0,(LEFT(TEXT($N586,"000000"),2)+(MID(TEXT($N586,"000000"),3,2)/60)+(RIGHT(TEXT($N586,"000000"),2)/3600)),-(MID(TEXT($N586,"000000"),2,2)+(MID(TEXT($N586,"000000"),4,2)/60)+(RIGHT(TEXT($N586,"000000"),2)/3600)))</f>
        <v>-4.7333333333333334</v>
      </c>
      <c r="P586" s="252" t="s">
        <v>121</v>
      </c>
      <c r="Q586" s="253"/>
      <c r="R586" s="277" t="s">
        <v>3293</v>
      </c>
      <c r="S586" s="272" t="s">
        <v>3293</v>
      </c>
      <c r="T586" s="273"/>
      <c r="U586" s="274"/>
      <c r="V586" s="256"/>
      <c r="W586" s="244"/>
      <c r="X586" s="244"/>
      <c r="Y586" s="362"/>
      <c r="Z586" s="257">
        <f>altaz(J2000_Bas,$O586,$M586,DecLat,DecLong,1)</f>
        <v>54.234574853461545</v>
      </c>
      <c r="AA586" s="257">
        <f>altaz((J2000_Bas+(2*0.04167)),$O586,$M586,DecLat,DecLong,1)</f>
        <v>43.198747934708187</v>
      </c>
      <c r="AB586" s="257">
        <f>altaz((J2000_Bas+(4*0.04167)),$O586,$M586,DecLat,DecLong,1)</f>
        <v>21.20857499416439</v>
      </c>
      <c r="AC586" s="257">
        <f>altaz((J2000_Bas+(6*0.04167)),$O586,$M586,DecLat,DecLong,1)</f>
        <v>-4.0095368923694705</v>
      </c>
      <c r="AD586" s="258">
        <f>1+ transit((J2000_Bas-1),$O586,$M586,DecLat,DecLong)/360 + (GMTOffset/24) + (IF(DST="Y", 1, 0)/24)</f>
        <v>1.7829461779213749</v>
      </c>
      <c r="AE586" s="259">
        <f>DATE(2001,9,21)+(M586/360)*365 - (360*((DecLong/360)- (GMTOffset/24) ))</f>
        <v>37448.366898148146</v>
      </c>
      <c r="AF586" s="260">
        <f>IF(DecLat&gt;0,IF((90 - (DecLat-O586))&gt;90, (90 - (O586-DecLat)), (90 - (DecLat-O586))),IF((90 + (DecLat-O586))&gt;90, (90 + (O586-DecLat)), (90 + (DecLat-O586))))</f>
        <v>54.266666666666666</v>
      </c>
      <c r="AG586" s="257">
        <f>angularseperation(MoonRA,MoonDec,$M586,$O586)</f>
        <v>40.283847578088483</v>
      </c>
      <c r="AH586" s="261">
        <f ca="1">MIN(100,IF($O$5&gt;80,0+30*($AG586/100),IF($O$5&gt;70,0+50*($AG586/100),IF($O$5&gt;60,5+50*($AG586/100),IF($O$5&gt;50,10+60*($AG586/100),IF($O$5&gt;40,15+70*($AG586/100),IF($O$5&gt;30,20+70*($AG586/100),IF($O$5&gt;20,40+55*($AG586/100),(80+(20-$O$5)+30*($AG586/100))))))))))</f>
        <v>95.356214617576967</v>
      </c>
      <c r="AI586" s="263"/>
      <c r="AJ586" s="263"/>
      <c r="AK586" s="263"/>
      <c r="AL586" s="263"/>
      <c r="AM586" s="264"/>
      <c r="AN586" s="263"/>
      <c r="AO586" s="263"/>
      <c r="AP586" s="265"/>
      <c r="AQ586" s="265"/>
      <c r="AR586" s="285"/>
      <c r="AS586" s="263"/>
      <c r="AT586" s="263"/>
      <c r="AU586" s="263"/>
      <c r="AV586" s="264"/>
      <c r="AW586" s="263">
        <v>123</v>
      </c>
      <c r="AX586" s="263"/>
      <c r="AY586" s="263"/>
      <c r="AZ586" s="263"/>
      <c r="BA586" s="263"/>
      <c r="BB586" s="263"/>
      <c r="BC586" s="263"/>
      <c r="BD586" s="264"/>
      <c r="BE586" s="263"/>
      <c r="BF586" s="263"/>
      <c r="BG586" s="263"/>
      <c r="BH586" s="263"/>
      <c r="BI586" s="263"/>
      <c r="BJ586" s="404">
        <f>altaz(J2000_Bas,$O586,$M586,DecLat,DecLong,2)</f>
        <v>182.70491531799533</v>
      </c>
      <c r="BK586" s="378" t="s">
        <v>689</v>
      </c>
      <c r="BL586" s="379">
        <f>IF((2*G586)/60&lt;0.2,0.2,(2*G586)/60)</f>
        <v>0.6</v>
      </c>
      <c r="BM586" s="380">
        <f>MOD((50000+AD586-$B$3+(0/24)),1)</f>
        <v>0.9983131076223799</v>
      </c>
      <c r="BN586" s="381"/>
      <c r="BO586" s="382">
        <v>586</v>
      </c>
    </row>
    <row r="587" spans="1:67" s="24" customFormat="1" ht="15" customHeight="1" x14ac:dyDescent="0.25">
      <c r="A587" s="287" t="s">
        <v>690</v>
      </c>
      <c r="B587" s="241" t="str">
        <f>HYPERLINK(CONCATENATE($AT$3,BK587,$AU$3),$AV$3)</f>
        <v>S</v>
      </c>
      <c r="C587" s="242" t="str">
        <f>HYPERLINK(CONCATENATE($AT$4,BK587,$AU$4,BL587),$AV$4)</f>
        <v>A</v>
      </c>
      <c r="D587" s="243" t="s">
        <v>5187</v>
      </c>
      <c r="E587" s="244" t="s">
        <v>5179</v>
      </c>
      <c r="F587" s="269">
        <v>0</v>
      </c>
      <c r="G587" s="273">
        <v>3</v>
      </c>
      <c r="H587" s="271" t="s">
        <v>6500</v>
      </c>
      <c r="I587" s="244" t="s">
        <v>6500</v>
      </c>
      <c r="J587" s="246">
        <v>0</v>
      </c>
      <c r="K587" s="247" t="s">
        <v>5820</v>
      </c>
      <c r="L587" s="248">
        <v>185742</v>
      </c>
      <c r="M587" s="249">
        <f>15*(LEFT(TEXT($L587,"000000"),2)+(MID(TEXT($L587,"000000"),3,2)/60)+(RIGHT(TEXT($L587,"000000"),2)/3600))</f>
        <v>284.42500000000001</v>
      </c>
      <c r="N587" s="286">
        <v>-42200</v>
      </c>
      <c r="O587" s="251">
        <f>IF($N587&gt;0,(LEFT(TEXT($N587,"000000"),2)+(MID(TEXT($N587,"000000"),3,2)/60)+(RIGHT(TEXT($N587,"000000"),2)/3600)),-(MID(TEXT($N587,"000000"),2,2)+(MID(TEXT($N587,"000000"),4,2)/60)+(RIGHT(TEXT($N587,"000000"),2)/3600)))</f>
        <v>-4.3666666666666663</v>
      </c>
      <c r="P587" s="252" t="s">
        <v>121</v>
      </c>
      <c r="Q587" s="253"/>
      <c r="R587" s="277" t="s">
        <v>3293</v>
      </c>
      <c r="S587" s="272" t="s">
        <v>3293</v>
      </c>
      <c r="T587" s="273"/>
      <c r="U587" s="274"/>
      <c r="V587" s="256"/>
      <c r="W587" s="244"/>
      <c r="X587" s="244"/>
      <c r="Y587" s="362"/>
      <c r="Z587" s="257">
        <f>altaz(J2000_Bas,$O587,$M587,DecLat,DecLong,1)</f>
        <v>54.601276036904487</v>
      </c>
      <c r="AA587" s="257">
        <f>altaz((J2000_Bas+(2*0.04167)),$O587,$M587,DecLat,DecLong,1)</f>
        <v>43.491930062803981</v>
      </c>
      <c r="AB587" s="257">
        <f>altaz((J2000_Bas+(4*0.04167)),$O587,$M587,DecLat,DecLong,1)</f>
        <v>21.43005642206478</v>
      </c>
      <c r="AC587" s="257">
        <f>altaz((J2000_Bas+(6*0.04167)),$O587,$M587,DecLat,DecLong,1)</f>
        <v>-3.8145122712994395</v>
      </c>
      <c r="AD587" s="258">
        <f>1+ transit((J2000_Bas-1),$O587,$M587,DecLat,DecLong)/360 + (GMTOffset/24) + (IF(DST="Y", 1, 0)/24)</f>
        <v>1.7829693260672081</v>
      </c>
      <c r="AE587" s="259">
        <f>DATE(2001,9,21)+(M587/360)*365 - (360*((DecLong/360)- (GMTOffset/24) ))</f>
        <v>37448.375347222223</v>
      </c>
      <c r="AF587" s="260">
        <f>IF(DecLat&gt;0,IF((90 - (DecLat-O587))&gt;90, (90 - (O587-DecLat)), (90 - (DecLat-O587))),IF((90 + (DecLat-O587))&gt;90, (90 + (O587-DecLat)), (90 + (DecLat-O587))))</f>
        <v>54.633333333333333</v>
      </c>
      <c r="AG587" s="257">
        <f>angularseperation(MoonRA,MoonDec,$M587,$O587)</f>
        <v>40.514533699549894</v>
      </c>
      <c r="AH587" s="261">
        <f ca="1">MIN(100,IF($O$5&gt;80,0+30*($AG587/100),IF($O$5&gt;70,0+50*($AG587/100),IF($O$5&gt;60,5+50*($AG587/100),IF($O$5&gt;50,10+60*($AG587/100),IF($O$5&gt;40,15+70*($AG587/100),IF($O$5&gt;30,20+70*($AG587/100),IF($O$5&gt;20,40+55*($AG587/100),(80+(20-$O$5)+30*($AG587/100))))))))))</f>
        <v>95.425420454015395</v>
      </c>
      <c r="AI587" s="263"/>
      <c r="AJ587" s="263"/>
      <c r="AK587" s="263"/>
      <c r="AL587" s="263"/>
      <c r="AM587" s="264"/>
      <c r="AN587" s="263"/>
      <c r="AO587" s="263"/>
      <c r="AP587" s="265"/>
      <c r="AQ587" s="265"/>
      <c r="AR587" s="285"/>
      <c r="AS587" s="263"/>
      <c r="AT587" s="263"/>
      <c r="AU587" s="263"/>
      <c r="AV587" s="264"/>
      <c r="AW587" s="263">
        <v>124</v>
      </c>
      <c r="AX587" s="263"/>
      <c r="AY587" s="263"/>
      <c r="AZ587" s="263"/>
      <c r="BA587" s="263"/>
      <c r="BB587" s="263"/>
      <c r="BC587" s="263"/>
      <c r="BD587" s="264"/>
      <c r="BE587" s="263"/>
      <c r="BF587" s="263"/>
      <c r="BG587" s="263"/>
      <c r="BH587" s="263"/>
      <c r="BI587" s="263"/>
      <c r="BJ587" s="404">
        <f>altaz(J2000_Bas,$O587,$M587,DecLat,DecLong,2)</f>
        <v>182.71627561164865</v>
      </c>
      <c r="BK587" s="378" t="s">
        <v>690</v>
      </c>
      <c r="BL587" s="379">
        <f>IF((2*G587)/60&lt;0.2,0.2,(2*G587)/60)</f>
        <v>0.2</v>
      </c>
      <c r="BM587" s="380">
        <f>MOD((50000+AD587-$B$3+(0/24)),1)</f>
        <v>0.99833625576866325</v>
      </c>
      <c r="BN587" s="381"/>
      <c r="BO587" s="382">
        <v>587</v>
      </c>
    </row>
    <row r="588" spans="1:67" s="24" customFormat="1" ht="15" customHeight="1" x14ac:dyDescent="0.25">
      <c r="A588" s="287" t="s">
        <v>691</v>
      </c>
      <c r="B588" s="241" t="str">
        <f>HYPERLINK(CONCATENATE($AT$3,BK588,$AU$3),$AV$3)</f>
        <v>S</v>
      </c>
      <c r="C588" s="242" t="str">
        <f>HYPERLINK(CONCATENATE($AT$4,BK588,$AU$4,BL588),$AV$4)</f>
        <v>A</v>
      </c>
      <c r="D588" s="243" t="s">
        <v>5187</v>
      </c>
      <c r="E588" s="244" t="s">
        <v>5179</v>
      </c>
      <c r="F588" s="269">
        <v>0</v>
      </c>
      <c r="G588" s="273">
        <v>9</v>
      </c>
      <c r="H588" s="271" t="s">
        <v>6500</v>
      </c>
      <c r="I588" s="244" t="s">
        <v>6500</v>
      </c>
      <c r="J588" s="246">
        <v>0</v>
      </c>
      <c r="K588" s="247" t="s">
        <v>5821</v>
      </c>
      <c r="L588" s="248">
        <v>185822</v>
      </c>
      <c r="M588" s="249">
        <f>15*(LEFT(TEXT($L588,"000000"),2)+(MID(TEXT($L588,"000000"),3,2)/60)+(RIGHT(TEXT($L588,"000000"),2)/3600))</f>
        <v>284.59166666666664</v>
      </c>
      <c r="N588" s="286">
        <v>-42400</v>
      </c>
      <c r="O588" s="251">
        <f>IF($N588&gt;0,(LEFT(TEXT($N588,"000000"),2)+(MID(TEXT($N588,"000000"),3,2)/60)+(RIGHT(TEXT($N588,"000000"),2)/3600)),-(MID(TEXT($N588,"000000"),2,2)+(MID(TEXT($N588,"000000"),4,2)/60)+(RIGHT(TEXT($N588,"000000"),2)/3600)))</f>
        <v>-4.4000000000000004</v>
      </c>
      <c r="P588" s="252" t="s">
        <v>121</v>
      </c>
      <c r="Q588" s="253"/>
      <c r="R588" s="277" t="s">
        <v>3293</v>
      </c>
      <c r="S588" s="272" t="s">
        <v>3293</v>
      </c>
      <c r="T588" s="273"/>
      <c r="U588" s="274"/>
      <c r="V588" s="256"/>
      <c r="W588" s="244"/>
      <c r="X588" s="244"/>
      <c r="Y588" s="362"/>
      <c r="Z588" s="257">
        <f>altaz(J2000_Bas,$O588,$M588,DecLat,DecLong,1)</f>
        <v>54.574378017924417</v>
      </c>
      <c r="AA588" s="257">
        <f>altaz((J2000_Bas+(2*0.04167)),$O588,$M588,DecLat,DecLong,1)</f>
        <v>43.568639814624504</v>
      </c>
      <c r="AB588" s="257">
        <f>altaz((J2000_Bas+(4*0.04167)),$O588,$M588,DecLat,DecLong,1)</f>
        <v>21.545285981906861</v>
      </c>
      <c r="AC588" s="257">
        <f>altaz((J2000_Bas+(6*0.04167)),$O588,$M588,DecLat,DecLong,1)</f>
        <v>-3.6889171862706043</v>
      </c>
      <c r="AD588" s="258">
        <f>1+ transit((J2000_Bas-1),$O588,$M588,DecLat,DecLong)/360 + (GMTOffset/24) + (IF(DST="Y", 1, 0)/24)</f>
        <v>1.7834322889838747</v>
      </c>
      <c r="AE588" s="259">
        <f>DATE(2001,9,21)+(M588/360)*365 - (360*((DecLong/360)- (GMTOffset/24) ))</f>
        <v>37448.544328703705</v>
      </c>
      <c r="AF588" s="260">
        <f>IF(DecLat&gt;0,IF((90 - (DecLat-O588))&gt;90, (90 - (O588-DecLat)), (90 - (DecLat-O588))),IF((90 + (DecLat-O588))&gt;90, (90 + (O588-DecLat)), (90 + (DecLat-O588))))</f>
        <v>54.6</v>
      </c>
      <c r="AG588" s="257">
        <f>angularseperation(MoonRA,MoonDec,$M588,$O588)</f>
        <v>40.625463865070692</v>
      </c>
      <c r="AH588" s="261">
        <f ca="1">MIN(100,IF($O$5&gt;80,0+30*($AG588/100),IF($O$5&gt;70,0+50*($AG588/100),IF($O$5&gt;60,5+50*($AG588/100),IF($O$5&gt;50,10+60*($AG588/100),IF($O$5&gt;40,15+70*($AG588/100),IF($O$5&gt;30,20+70*($AG588/100),IF($O$5&gt;20,40+55*($AG588/100),(80+(20-$O$5)+30*($AG588/100))))))))))</f>
        <v>95.458699503671639</v>
      </c>
      <c r="AI588" s="263"/>
      <c r="AJ588" s="263"/>
      <c r="AK588" s="263"/>
      <c r="AL588" s="263"/>
      <c r="AM588" s="264"/>
      <c r="AN588" s="263"/>
      <c r="AO588" s="263"/>
      <c r="AP588" s="265"/>
      <c r="AQ588" s="265"/>
      <c r="AR588" s="285"/>
      <c r="AS588" s="263"/>
      <c r="AT588" s="263"/>
      <c r="AU588" s="263"/>
      <c r="AV588" s="264"/>
      <c r="AW588" s="263">
        <v>125</v>
      </c>
      <c r="AX588" s="263"/>
      <c r="AY588" s="263"/>
      <c r="AZ588" s="263"/>
      <c r="BA588" s="263"/>
      <c r="BB588" s="263"/>
      <c r="BC588" s="263"/>
      <c r="BD588" s="264"/>
      <c r="BE588" s="263"/>
      <c r="BF588" s="263"/>
      <c r="BG588" s="263"/>
      <c r="BH588" s="263"/>
      <c r="BI588" s="263"/>
      <c r="BJ588" s="404">
        <f>altaz(J2000_Bas,$O588,$M588,DecLat,DecLong,2)</f>
        <v>182.42748414765416</v>
      </c>
      <c r="BK588" s="378" t="s">
        <v>691</v>
      </c>
      <c r="BL588" s="379">
        <f>IF((2*G588)/60&lt;0.2,0.2,(2*G588)/60)</f>
        <v>0.3</v>
      </c>
      <c r="BM588" s="380">
        <f>MOD((50000+AD588-$B$3+(0/24)),1)</f>
        <v>0.99879921868705424</v>
      </c>
      <c r="BN588" s="381"/>
      <c r="BO588" s="382">
        <v>588</v>
      </c>
    </row>
    <row r="589" spans="1:67" s="24" customFormat="1" ht="15" customHeight="1" x14ac:dyDescent="0.25">
      <c r="A589" s="287" t="s">
        <v>692</v>
      </c>
      <c r="B589" s="241" t="str">
        <f>HYPERLINK(CONCATENATE($AT$3,BK589,$AU$3),$AV$3)</f>
        <v>S</v>
      </c>
      <c r="C589" s="242" t="str">
        <f>HYPERLINK(CONCATENATE($AT$4,BK589,$AU$4,BL589),$AV$4)</f>
        <v>A</v>
      </c>
      <c r="D589" s="243" t="s">
        <v>5187</v>
      </c>
      <c r="E589" s="244" t="s">
        <v>5179</v>
      </c>
      <c r="F589" s="269">
        <v>4</v>
      </c>
      <c r="G589" s="273">
        <v>8</v>
      </c>
      <c r="H589" s="271" t="s">
        <v>6500</v>
      </c>
      <c r="I589" s="244" t="s">
        <v>6500</v>
      </c>
      <c r="J589" s="246">
        <v>0</v>
      </c>
      <c r="K589" s="247" t="s">
        <v>5822</v>
      </c>
      <c r="L589" s="248">
        <v>185903</v>
      </c>
      <c r="M589" s="249">
        <f>15*(LEFT(TEXT($L589,"000000"),2)+(MID(TEXT($L589,"000000"),3,2)/60)+(RIGHT(TEXT($L589,"000000"),2)/3600))</f>
        <v>284.76249999999999</v>
      </c>
      <c r="N589" s="286">
        <v>-43300</v>
      </c>
      <c r="O589" s="251">
        <f>IF($N589&gt;0,(LEFT(TEXT($N589,"000000"),2)+(MID(TEXT($N589,"000000"),3,2)/60)+(RIGHT(TEXT($N589,"000000"),2)/3600)),-(MID(TEXT($N589,"000000"),2,2)+(MID(TEXT($N589,"000000"),4,2)/60)+(RIGHT(TEXT($N589,"000000"),2)/3600)))</f>
        <v>-4.55</v>
      </c>
      <c r="P589" s="252" t="s">
        <v>121</v>
      </c>
      <c r="Q589" s="253"/>
      <c r="R589" s="277" t="s">
        <v>3293</v>
      </c>
      <c r="S589" s="272" t="s">
        <v>3293</v>
      </c>
      <c r="T589" s="273"/>
      <c r="U589" s="274"/>
      <c r="V589" s="256"/>
      <c r="W589" s="244"/>
      <c r="X589" s="244"/>
      <c r="Y589" s="362"/>
      <c r="Z589" s="257">
        <f>altaz(J2000_Bas,$O589,$M589,DecLat,DecLong,1)</f>
        <v>54.43028176515417</v>
      </c>
      <c r="AA589" s="257">
        <f>altaz((J2000_Bas+(2*0.04167)),$O589,$M589,DecLat,DecLong,1)</f>
        <v>43.555529791541495</v>
      </c>
      <c r="AB589" s="257">
        <f>altaz((J2000_Bas+(4*0.04167)),$O589,$M589,DecLat,DecLong,1)</f>
        <v>21.595267075750176</v>
      </c>
      <c r="AC589" s="257">
        <f>altaz((J2000_Bas+(6*0.04167)),$O589,$M589,DecLat,DecLong,1)</f>
        <v>-3.6195892178633016</v>
      </c>
      <c r="AD589" s="258">
        <f>1+ transit((J2000_Bas-1),$O589,$M589,DecLat,DecLong)/360 + (GMTOffset/24) + (IF(DST="Y", 1, 0)/24)</f>
        <v>1.7839068259734578</v>
      </c>
      <c r="AE589" s="259">
        <f>DATE(2001,9,21)+(M589/360)*365 - (360*((DecLong/360)- (GMTOffset/24) ))</f>
        <v>37448.717534722222</v>
      </c>
      <c r="AF589" s="260">
        <f>IF(DecLat&gt;0,IF((90 - (DecLat-O589))&gt;90, (90 - (O589-DecLat)), (90 - (DecLat-O589))),IF((90 + (DecLat-O589))&gt;90, (90 + (O589-DecLat)), (90 + (DecLat-O589))))</f>
        <v>54.45</v>
      </c>
      <c r="AG589" s="257">
        <f>angularseperation(MoonRA,MoonDec,$M589,$O589)</f>
        <v>40.668938288712681</v>
      </c>
      <c r="AH589" s="261">
        <f ca="1">MIN(100,IF($O$5&gt;80,0+30*($AG589/100),IF($O$5&gt;70,0+50*($AG589/100),IF($O$5&gt;60,5+50*($AG589/100),IF($O$5&gt;50,10+60*($AG589/100),IF($O$5&gt;40,15+70*($AG589/100),IF($O$5&gt;30,20+70*($AG589/100),IF($O$5&gt;20,40+55*($AG589/100),(80+(20-$O$5)+30*($AG589/100))))))))))</f>
        <v>95.47174183076423</v>
      </c>
      <c r="AI589" s="263"/>
      <c r="AJ589" s="263"/>
      <c r="AK589" s="263"/>
      <c r="AL589" s="263"/>
      <c r="AM589" s="264"/>
      <c r="AN589" s="263"/>
      <c r="AO589" s="263"/>
      <c r="AP589" s="265"/>
      <c r="AQ589" s="265"/>
      <c r="AR589" s="285"/>
      <c r="AS589" s="263"/>
      <c r="AT589" s="263"/>
      <c r="AU589" s="263"/>
      <c r="AV589" s="264"/>
      <c r="AW589" s="263">
        <v>126</v>
      </c>
      <c r="AX589" s="263"/>
      <c r="AY589" s="263"/>
      <c r="AZ589" s="263"/>
      <c r="BA589" s="263"/>
      <c r="BB589" s="263"/>
      <c r="BC589" s="263"/>
      <c r="BD589" s="264"/>
      <c r="BE589" s="263"/>
      <c r="BF589" s="263"/>
      <c r="BG589" s="263"/>
      <c r="BH589" s="263"/>
      <c r="BI589" s="263"/>
      <c r="BJ589" s="404">
        <f>altaz(J2000_Bas,$O589,$M589,DecLat,DecLong,2)</f>
        <v>182.12552912952086</v>
      </c>
      <c r="BK589" s="378" t="s">
        <v>692</v>
      </c>
      <c r="BL589" s="379">
        <f>IF((2*G589)/60&lt;0.2,0.2,(2*G589)/60)</f>
        <v>0.26666666666666666</v>
      </c>
      <c r="BM589" s="380">
        <f>MOD((50000+AD589-$B$3+(0/24)),1)</f>
        <v>0.99927375567494892</v>
      </c>
      <c r="BN589" s="381"/>
      <c r="BO589" s="382">
        <v>589</v>
      </c>
    </row>
    <row r="590" spans="1:67" s="24" customFormat="1" ht="15" customHeight="1" x14ac:dyDescent="0.25">
      <c r="A590" s="287" t="s">
        <v>693</v>
      </c>
      <c r="B590" s="241" t="str">
        <f>HYPERLINK(CONCATENATE($AT$3,BK590,$AU$3),$AV$3)</f>
        <v>S</v>
      </c>
      <c r="C590" s="242" t="str">
        <f>HYPERLINK(CONCATENATE($AT$4,BK590,$AU$4,BL590),$AV$4)</f>
        <v>A</v>
      </c>
      <c r="D590" s="243" t="s">
        <v>5187</v>
      </c>
      <c r="E590" s="244" t="s">
        <v>5179</v>
      </c>
      <c r="F590" s="269">
        <v>5</v>
      </c>
      <c r="G590" s="273">
        <v>5</v>
      </c>
      <c r="H590" s="271" t="s">
        <v>6500</v>
      </c>
      <c r="I590" s="244" t="s">
        <v>6500</v>
      </c>
      <c r="J590" s="246">
        <v>1</v>
      </c>
      <c r="K590" s="247" t="s">
        <v>5823</v>
      </c>
      <c r="L590" s="248">
        <v>190132</v>
      </c>
      <c r="M590" s="249">
        <f>15*(LEFT(TEXT($L590,"000000"),2)+(MID(TEXT($L590,"000000"),3,2)/60)+(RIGHT(TEXT($L590,"000000"),2)/3600))</f>
        <v>285.38333333333333</v>
      </c>
      <c r="N590" s="286">
        <v>-52700</v>
      </c>
      <c r="O590" s="251">
        <f>IF($N590&gt;0,(LEFT(TEXT($N590,"000000"),2)+(MID(TEXT($N590,"000000"),3,2)/60)+(RIGHT(TEXT($N590,"000000"),2)/3600)),-(MID(TEXT($N590,"000000"),2,2)+(MID(TEXT($N590,"000000"),4,2)/60)+(RIGHT(TEXT($N590,"000000"),2)/3600)))</f>
        <v>-5.45</v>
      </c>
      <c r="P590" s="252" t="s">
        <v>121</v>
      </c>
      <c r="Q590" s="253"/>
      <c r="R590" s="277" t="s">
        <v>3293</v>
      </c>
      <c r="S590" s="272" t="s">
        <v>3293</v>
      </c>
      <c r="T590" s="273"/>
      <c r="U590" s="274"/>
      <c r="V590" s="256"/>
      <c r="W590" s="244"/>
      <c r="X590" s="244"/>
      <c r="Y590" s="362"/>
      <c r="Z590" s="257">
        <f>altaz(J2000_Bas,$O590,$M590,DecLat,DecLong,1)</f>
        <v>53.54519343682658</v>
      </c>
      <c r="AA590" s="257">
        <f>altaz((J2000_Bas+(2*0.04167)),$O590,$M590,DecLat,DecLong,1)</f>
        <v>43.216692846011917</v>
      </c>
      <c r="AB590" s="257">
        <f>altaz((J2000_Bas+(4*0.04167)),$O590,$M590,DecLat,DecLong,1)</f>
        <v>21.562823636434665</v>
      </c>
      <c r="AC590" s="257">
        <f>altaz((J2000_Bas+(6*0.04167)),$O590,$M590,DecLat,DecLong,1)</f>
        <v>-3.5498288337885491</v>
      </c>
      <c r="AD590" s="258">
        <f>1+ transit((J2000_Bas-1),$O590,$M590,DecLat,DecLong)/360 + (GMTOffset/24) + (IF(DST="Y", 1, 0)/24)</f>
        <v>1.7856313628380416</v>
      </c>
      <c r="AE590" s="259">
        <f>DATE(2001,9,21)+(M590/360)*365 - (360*((DecLong/360)- (GMTOffset/24) ))</f>
        <v>37449.346990740742</v>
      </c>
      <c r="AF590" s="260">
        <f>IF(DecLat&gt;0,IF((90 - (DecLat-O590))&gt;90, (90 - (O590-DecLat)), (90 - (DecLat-O590))),IF((90 + (DecLat-O590))&gt;90, (90 + (O590-DecLat)), (90 + (DecLat-O590))))</f>
        <v>53.55</v>
      </c>
      <c r="AG590" s="257">
        <f>angularseperation(MoonRA,MoonDec,$M590,$O590)</f>
        <v>40.624037021009904</v>
      </c>
      <c r="AH590" s="261">
        <f ca="1">MIN(100,IF($O$5&gt;80,0+30*($AG590/100),IF($O$5&gt;70,0+50*($AG590/100),IF($O$5&gt;60,5+50*($AG590/100),IF($O$5&gt;50,10+60*($AG590/100),IF($O$5&gt;40,15+70*($AG590/100),IF($O$5&gt;30,20+70*($AG590/100),IF($O$5&gt;20,40+55*($AG590/100),(80+(20-$O$5)+30*($AG590/100))))))))))</f>
        <v>95.458271450453395</v>
      </c>
      <c r="AI590" s="263"/>
      <c r="AJ590" s="263"/>
      <c r="AK590" s="263"/>
      <c r="AL590" s="263"/>
      <c r="AM590" s="264"/>
      <c r="AN590" s="263"/>
      <c r="AO590" s="263"/>
      <c r="AP590" s="265"/>
      <c r="AQ590" s="265"/>
      <c r="AR590" s="285"/>
      <c r="AS590" s="263"/>
      <c r="AT590" s="263"/>
      <c r="AU590" s="263"/>
      <c r="AV590" s="264"/>
      <c r="AW590" s="263">
        <v>127</v>
      </c>
      <c r="AX590" s="263"/>
      <c r="AY590" s="263"/>
      <c r="AZ590" s="263"/>
      <c r="BA590" s="263"/>
      <c r="BB590" s="263"/>
      <c r="BC590" s="263"/>
      <c r="BD590" s="264"/>
      <c r="BE590" s="263"/>
      <c r="BF590" s="263"/>
      <c r="BG590" s="263"/>
      <c r="BH590" s="263"/>
      <c r="BI590" s="263"/>
      <c r="BJ590" s="404">
        <f>altaz(J2000_Bas,$O590,$M590,DecLat,DecLong,2)</f>
        <v>181.03757601755521</v>
      </c>
      <c r="BK590" s="378" t="s">
        <v>693</v>
      </c>
      <c r="BL590" s="379">
        <f>IF((2*G590)/60&lt;0.2,0.2,(2*G590)/60)</f>
        <v>0.2</v>
      </c>
      <c r="BM590" s="380">
        <f>MOD((50000+AD590-$B$3+(0/24)),1)</f>
        <v>9.9829254031646997E-4</v>
      </c>
      <c r="BN590" s="381"/>
      <c r="BO590" s="382">
        <v>590</v>
      </c>
    </row>
    <row r="591" spans="1:67" s="24" customFormat="1" ht="15" customHeight="1" x14ac:dyDescent="0.25">
      <c r="A591" s="287" t="s">
        <v>694</v>
      </c>
      <c r="B591" s="241" t="str">
        <f>HYPERLINK(CONCATENATE($AT$3,BK591,$AU$3),$AV$3)</f>
        <v>S</v>
      </c>
      <c r="C591" s="242" t="str">
        <f>HYPERLINK(CONCATENATE($AT$4,BK591,$AU$4,BL591),$AV$4)</f>
        <v>A</v>
      </c>
      <c r="D591" s="243" t="s">
        <v>5187</v>
      </c>
      <c r="E591" s="244" t="s">
        <v>5179</v>
      </c>
      <c r="F591" s="269">
        <v>4</v>
      </c>
      <c r="G591" s="276">
        <v>10</v>
      </c>
      <c r="H591" s="271" t="s">
        <v>6500</v>
      </c>
      <c r="I591" s="244" t="s">
        <v>6500</v>
      </c>
      <c r="J591" s="246">
        <v>0</v>
      </c>
      <c r="K591" s="247" t="s">
        <v>5824</v>
      </c>
      <c r="L591" s="248">
        <v>190141</v>
      </c>
      <c r="M591" s="249">
        <f>15*(LEFT(TEXT($L591,"000000"),2)+(MID(TEXT($L591,"000000"),3,2)/60)+(RIGHT(TEXT($L591,"000000"),2)/3600))</f>
        <v>285.42083333333329</v>
      </c>
      <c r="N591" s="286">
        <v>-43500</v>
      </c>
      <c r="O591" s="251">
        <f>IF($N591&gt;0,(LEFT(TEXT($N591,"000000"),2)+(MID(TEXT($N591,"000000"),3,2)/60)+(RIGHT(TEXT($N591,"000000"),2)/3600)),-(MID(TEXT($N591,"000000"),2,2)+(MID(TEXT($N591,"000000"),4,2)/60)+(RIGHT(TEXT($N591,"000000"),2)/3600)))</f>
        <v>-4.583333333333333</v>
      </c>
      <c r="P591" s="252" t="s">
        <v>121</v>
      </c>
      <c r="Q591" s="253"/>
      <c r="R591" s="277" t="s">
        <v>3293</v>
      </c>
      <c r="S591" s="272" t="s">
        <v>3293</v>
      </c>
      <c r="T591" s="273"/>
      <c r="U591" s="274"/>
      <c r="V591" s="256"/>
      <c r="W591" s="244"/>
      <c r="X591" s="244"/>
      <c r="Y591" s="362"/>
      <c r="Z591" s="257">
        <f>altaz(J2000_Bas,$O591,$M591,DecLat,DecLong,1)</f>
        <v>54.412329611641447</v>
      </c>
      <c r="AA591" s="257">
        <f>altaz((J2000_Bas+(2*0.04167)),$O591,$M591,DecLat,DecLong,1)</f>
        <v>43.930104629161441</v>
      </c>
      <c r="AB591" s="257">
        <f>altaz((J2000_Bas+(4*0.04167)),$O591,$M591,DecLat,DecLong,1)</f>
        <v>22.10611656947837</v>
      </c>
      <c r="AC591" s="257">
        <f>altaz((J2000_Bas+(6*0.04167)),$O591,$M591,DecLat,DecLong,1)</f>
        <v>-3.0733318353916461</v>
      </c>
      <c r="AD591" s="258">
        <f>1+ transit((J2000_Bas-1),$O591,$M591,DecLat,DecLong)/360 + (GMTOffset/24) + (IF(DST="Y", 1, 0)/24)</f>
        <v>1.7857355294942912</v>
      </c>
      <c r="AE591" s="259">
        <f>DATE(2001,9,21)+(M591/360)*365 - (360*((DecLong/360)- (GMTOffset/24) ))</f>
        <v>37449.385011574072</v>
      </c>
      <c r="AF591" s="260">
        <f>IF(DecLat&gt;0,IF((90 - (DecLat-O591))&gt;90, (90 - (O591-DecLat)), (90 - (DecLat-O591))),IF((90 + (DecLat-O591))&gt;90, (90 + (O591-DecLat)), (90 + (DecLat-O591))))</f>
        <v>54.416666666666664</v>
      </c>
      <c r="AG591" s="257">
        <f>angularseperation(MoonRA,MoonDec,$M591,$O591)</f>
        <v>41.171187548690121</v>
      </c>
      <c r="AH591" s="261">
        <f ca="1">MIN(100,IF($O$5&gt;80,0+30*($AG591/100),IF($O$5&gt;70,0+50*($AG591/100),IF($O$5&gt;60,5+50*($AG591/100),IF($O$5&gt;50,10+60*($AG591/100),IF($O$5&gt;40,15+70*($AG591/100),IF($O$5&gt;30,20+70*($AG591/100),IF($O$5&gt;20,40+55*($AG591/100),(80+(20-$O$5)+30*($AG591/100))))))))))</f>
        <v>95.622416608757462</v>
      </c>
      <c r="AI591" s="263"/>
      <c r="AJ591" s="263"/>
      <c r="AK591" s="263"/>
      <c r="AL591" s="263"/>
      <c r="AM591" s="264"/>
      <c r="AN591" s="263"/>
      <c r="AO591" s="263"/>
      <c r="AP591" s="265"/>
      <c r="AQ591" s="265"/>
      <c r="AR591" s="285"/>
      <c r="AS591" s="263"/>
      <c r="AT591" s="263"/>
      <c r="AU591" s="263"/>
      <c r="AV591" s="264"/>
      <c r="AW591" s="263">
        <v>128</v>
      </c>
      <c r="AX591" s="263"/>
      <c r="AY591" s="263"/>
      <c r="AZ591" s="263"/>
      <c r="BA591" s="263"/>
      <c r="BB591" s="263"/>
      <c r="BC591" s="263"/>
      <c r="BD591" s="264"/>
      <c r="BE591" s="263"/>
      <c r="BF591" s="263"/>
      <c r="BG591" s="263"/>
      <c r="BH591" s="263"/>
      <c r="BI591" s="263"/>
      <c r="BJ591" s="404">
        <f>altaz(J2000_Bas,$O591,$M591,DecLat,DecLong,2)</f>
        <v>180.99657089742931</v>
      </c>
      <c r="BK591" s="378" t="s">
        <v>694</v>
      </c>
      <c r="BL591" s="379">
        <f>IF((2*G591)/60&lt;0.2,0.2,(2*G591)/60)</f>
        <v>0.33333333333333331</v>
      </c>
      <c r="BM591" s="380">
        <f>MOD((50000+AD591-$B$3+(0/24)),1)</f>
        <v>1.1024591949535534E-3</v>
      </c>
      <c r="BN591" s="381"/>
      <c r="BO591" s="382">
        <v>591</v>
      </c>
    </row>
    <row r="592" spans="1:67" s="24" customFormat="1" ht="15" customHeight="1" x14ac:dyDescent="0.25">
      <c r="A592" s="287" t="s">
        <v>695</v>
      </c>
      <c r="B592" s="241" t="str">
        <f>HYPERLINK(CONCATENATE($AT$3,BK592,$AU$3),$AV$3)</f>
        <v>S</v>
      </c>
      <c r="C592" s="242" t="str">
        <f>HYPERLINK(CONCATENATE($AT$4,BK592,$AU$4,BL592),$AV$4)</f>
        <v>A</v>
      </c>
      <c r="D592" s="243" t="s">
        <v>5187</v>
      </c>
      <c r="E592" s="244" t="s">
        <v>5179</v>
      </c>
      <c r="F592" s="269">
        <v>5</v>
      </c>
      <c r="G592" s="273">
        <v>5</v>
      </c>
      <c r="H592" s="271" t="s">
        <v>6500</v>
      </c>
      <c r="I592" s="244" t="s">
        <v>6500</v>
      </c>
      <c r="J592" s="246">
        <v>1</v>
      </c>
      <c r="K592" s="247" t="s">
        <v>5825</v>
      </c>
      <c r="L592" s="248">
        <v>190205</v>
      </c>
      <c r="M592" s="249">
        <f>15*(LEFT(TEXT($L592,"000000"),2)+(MID(TEXT($L592,"000000"),3,2)/60)+(RIGHT(TEXT($L592,"000000"),2)/3600))</f>
        <v>285.52083333333337</v>
      </c>
      <c r="N592" s="286">
        <v>-51900</v>
      </c>
      <c r="O592" s="251">
        <f>IF($N592&gt;0,(LEFT(TEXT($N592,"000000"),2)+(MID(TEXT($N592,"000000"),3,2)/60)+(RIGHT(TEXT($N592,"000000"),2)/3600)),-(MID(TEXT($N592,"000000"),2,2)+(MID(TEXT($N592,"000000"),4,2)/60)+(RIGHT(TEXT($N592,"000000"),2)/3600)))</f>
        <v>-5.3166666666666664</v>
      </c>
      <c r="P592" s="252" t="s">
        <v>121</v>
      </c>
      <c r="Q592" s="253"/>
      <c r="R592" s="277" t="s">
        <v>3293</v>
      </c>
      <c r="S592" s="272" t="s">
        <v>3293</v>
      </c>
      <c r="T592" s="273"/>
      <c r="U592" s="274"/>
      <c r="V592" s="256"/>
      <c r="W592" s="244"/>
      <c r="X592" s="244"/>
      <c r="Y592" s="362"/>
      <c r="Z592" s="257">
        <f>altaz(J2000_Bas,$O592,$M592,DecLat,DecLong,1)</f>
        <v>53.680414282205206</v>
      </c>
      <c r="AA592" s="257">
        <f>altaz((J2000_Bas+(2*0.04167)),$O592,$M592,DecLat,DecLong,1)</f>
        <v>43.405505810520928</v>
      </c>
      <c r="AB592" s="257">
        <f>altaz((J2000_Bas+(4*0.04167)),$O592,$M592,DecLat,DecLong,1)</f>
        <v>21.752150706516229</v>
      </c>
      <c r="AC592" s="257">
        <f>altaz((J2000_Bas+(6*0.04167)),$O592,$M592,DecLat,DecLong,1)</f>
        <v>-3.3639431863907094</v>
      </c>
      <c r="AD592" s="258">
        <f>1+ transit((J2000_Bas-1),$O592,$M592,DecLat,DecLong)/360 + (GMTOffset/24) + (IF(DST="Y", 1, 0)/24)</f>
        <v>1.7860133072442916</v>
      </c>
      <c r="AE592" s="259">
        <f>DATE(2001,9,21)+(M592/360)*365 - (360*((DecLong/360)- (GMTOffset/24) ))</f>
        <v>37449.486400462964</v>
      </c>
      <c r="AF592" s="260">
        <f>IF(DecLat&gt;0,IF((90 - (DecLat-O592))&gt;90, (90 - (O592-DecLat)), (90 - (DecLat-O592))),IF((90 + (DecLat-O592))&gt;90, (90 + (O592-DecLat)), (90 + (DecLat-O592))))</f>
        <v>53.683333333333337</v>
      </c>
      <c r="AG592" s="257">
        <f>angularseperation(MoonRA,MoonDec,$M592,$O592)</f>
        <v>40.813283110072767</v>
      </c>
      <c r="AH592" s="261">
        <f ca="1">MIN(100,IF($O$5&gt;80,0+30*($AG592/100),IF($O$5&gt;70,0+50*($AG592/100),IF($O$5&gt;60,5+50*($AG592/100),IF($O$5&gt;50,10+60*($AG592/100),IF($O$5&gt;40,15+70*($AG592/100),IF($O$5&gt;30,20+70*($AG592/100),IF($O$5&gt;20,40+55*($AG592/100),(80+(20-$O$5)+30*($AG592/100))))))))))</f>
        <v>95.515045277172263</v>
      </c>
      <c r="AI592" s="263"/>
      <c r="AJ592" s="263"/>
      <c r="AK592" s="263"/>
      <c r="AL592" s="263"/>
      <c r="AM592" s="264"/>
      <c r="AN592" s="263"/>
      <c r="AO592" s="263"/>
      <c r="AP592" s="265"/>
      <c r="AQ592" s="265"/>
      <c r="AR592" s="285"/>
      <c r="AS592" s="263"/>
      <c r="AT592" s="263"/>
      <c r="AU592" s="263"/>
      <c r="AV592" s="264"/>
      <c r="AW592" s="263">
        <v>129</v>
      </c>
      <c r="AX592" s="263"/>
      <c r="AY592" s="263"/>
      <c r="AZ592" s="263"/>
      <c r="BA592" s="263"/>
      <c r="BB592" s="263"/>
      <c r="BC592" s="263"/>
      <c r="BD592" s="264"/>
      <c r="BE592" s="263"/>
      <c r="BF592" s="263"/>
      <c r="BG592" s="263"/>
      <c r="BH592" s="263"/>
      <c r="BI592" s="263"/>
      <c r="BJ592" s="404">
        <f>altaz(J2000_Bas,$O592,$M592,DecLat,DecLong,2)</f>
        <v>180.80996180305229</v>
      </c>
      <c r="BK592" s="378" t="s">
        <v>695</v>
      </c>
      <c r="BL592" s="379">
        <f>IF((2*G592)/60&lt;0.2,0.2,(2*G592)/60)</f>
        <v>0.2</v>
      </c>
      <c r="BM592" s="380">
        <f>MOD((50000+AD592-$B$3+(0/24)),1)</f>
        <v>1.3802369503537193E-3</v>
      </c>
      <c r="BN592" s="381"/>
      <c r="BO592" s="382">
        <v>592</v>
      </c>
    </row>
    <row r="593" spans="1:67" s="24" customFormat="1" ht="15" customHeight="1" x14ac:dyDescent="0.25">
      <c r="A593" s="287" t="s">
        <v>696</v>
      </c>
      <c r="B593" s="241" t="str">
        <f>HYPERLINK(CONCATENATE($AT$3,BK593,$AU$3),$AV$3)</f>
        <v>S</v>
      </c>
      <c r="C593" s="242" t="str">
        <f>HYPERLINK(CONCATENATE($AT$4,BK593,$AU$4,BL593),$AV$4)</f>
        <v>A</v>
      </c>
      <c r="D593" s="243" t="s">
        <v>5187</v>
      </c>
      <c r="E593" s="244" t="s">
        <v>5179</v>
      </c>
      <c r="F593" s="269">
        <v>5</v>
      </c>
      <c r="G593" s="273">
        <v>7</v>
      </c>
      <c r="H593" s="271" t="s">
        <v>6500</v>
      </c>
      <c r="I593" s="244" t="s">
        <v>6500</v>
      </c>
      <c r="J593" s="246">
        <v>0</v>
      </c>
      <c r="K593" s="247" t="s">
        <v>5826</v>
      </c>
      <c r="L593" s="248">
        <v>190157</v>
      </c>
      <c r="M593" s="249">
        <f>15*(LEFT(TEXT($L593,"000000"),2)+(MID(TEXT($L593,"000000"),3,2)/60)+(RIGHT(TEXT($L593,"000000"),2)/3600))</f>
        <v>285.48749999999995</v>
      </c>
      <c r="N593" s="286">
        <v>-53500</v>
      </c>
      <c r="O593" s="251">
        <f>IF($N593&gt;0,(LEFT(TEXT($N593,"000000"),2)+(MID(TEXT($N593,"000000"),3,2)/60)+(RIGHT(TEXT($N593,"000000"),2)/3600)),-(MID(TEXT($N593,"000000"),2,2)+(MID(TEXT($N593,"000000"),4,2)/60)+(RIGHT(TEXT($N593,"000000"),2)/3600)))</f>
        <v>-5.583333333333333</v>
      </c>
      <c r="P593" s="252" t="s">
        <v>121</v>
      </c>
      <c r="Q593" s="253"/>
      <c r="R593" s="277" t="s">
        <v>3293</v>
      </c>
      <c r="S593" s="272" t="s">
        <v>3293</v>
      </c>
      <c r="T593" s="273"/>
      <c r="U593" s="274"/>
      <c r="V593" s="256"/>
      <c r="W593" s="244"/>
      <c r="X593" s="244"/>
      <c r="Y593" s="362"/>
      <c r="Z593" s="257">
        <f>altaz(J2000_Bas,$O593,$M593,DecLat,DecLong,1)</f>
        <v>53.413352178763162</v>
      </c>
      <c r="AA593" s="257">
        <f>altaz((J2000_Bas+(2*0.04167)),$O593,$M593,DecLat,DecLong,1)</f>
        <v>43.17211915827977</v>
      </c>
      <c r="AB593" s="257">
        <f>altaz((J2000_Bas+(4*0.04167)),$O593,$M593,DecLat,DecLong,1)</f>
        <v>21.566918081637475</v>
      </c>
      <c r="AC593" s="257">
        <f>altaz((J2000_Bas+(6*0.04167)),$O593,$M593,DecLat,DecLong,1)</f>
        <v>-3.5291200804729836</v>
      </c>
      <c r="AD593" s="258">
        <f>1+ transit((J2000_Bas-1),$O593,$M593,DecLat,DecLong)/360 + (GMTOffset/24) + (IF(DST="Y", 1, 0)/24)</f>
        <v>1.7859207146609579</v>
      </c>
      <c r="AE593" s="259">
        <f>DATE(2001,9,21)+(M593/360)*365 - (360*((DecLong/360)- (GMTOffset/24) ))</f>
        <v>37449.452604166669</v>
      </c>
      <c r="AF593" s="260">
        <f>IF(DecLat&gt;0,IF((90 - (DecLat-O593))&gt;90, (90 - (O593-DecLat)), (90 - (DecLat-O593))),IF((90 + (DecLat-O593))&gt;90, (90 + (O593-DecLat)), (90 + (DecLat-O593))))</f>
        <v>53.416666666666664</v>
      </c>
      <c r="AG593" s="257">
        <f>angularseperation(MoonRA,MoonDec,$M593,$O593)</f>
        <v>40.629101604983191</v>
      </c>
      <c r="AH593" s="261">
        <f ca="1">MIN(100,IF($O$5&gt;80,0+30*($AG593/100),IF($O$5&gt;70,0+50*($AG593/100),IF($O$5&gt;60,5+50*($AG593/100),IF($O$5&gt;50,10+60*($AG593/100),IF($O$5&gt;40,15+70*($AG593/100),IF($O$5&gt;30,20+70*($AG593/100),IF($O$5&gt;20,40+55*($AG593/100),(80+(20-$O$5)+30*($AG593/100))))))))))</f>
        <v>95.459790825645385</v>
      </c>
      <c r="AI593" s="263"/>
      <c r="AJ593" s="263"/>
      <c r="AK593" s="263"/>
      <c r="AL593" s="263"/>
      <c r="AM593" s="264"/>
      <c r="AN593" s="263"/>
      <c r="AO593" s="263"/>
      <c r="AP593" s="265"/>
      <c r="AQ593" s="265"/>
      <c r="AR593" s="285"/>
      <c r="AS593" s="263"/>
      <c r="AT593" s="263"/>
      <c r="AU593" s="263"/>
      <c r="AV593" s="264"/>
      <c r="AW593" s="263">
        <v>130</v>
      </c>
      <c r="AX593" s="263"/>
      <c r="AY593" s="263"/>
      <c r="AZ593" s="263"/>
      <c r="BA593" s="263"/>
      <c r="BB593" s="263"/>
      <c r="BC593" s="263"/>
      <c r="BD593" s="264"/>
      <c r="BE593" s="263"/>
      <c r="BF593" s="263"/>
      <c r="BG593" s="263"/>
      <c r="BH593" s="263"/>
      <c r="BI593" s="263"/>
      <c r="BJ593" s="404">
        <f>altaz(J2000_Bas,$O593,$M593,DecLat,DecLong,2)</f>
        <v>180.86017270116506</v>
      </c>
      <c r="BK593" s="378" t="s">
        <v>696</v>
      </c>
      <c r="BL593" s="379">
        <f>IF((2*G593)/60&lt;0.2,0.2,(2*G593)/60)</f>
        <v>0.23333333333333334</v>
      </c>
      <c r="BM593" s="380">
        <f>MOD((50000+AD593-$B$3+(0/24)),1)</f>
        <v>1.2876443652203307E-3</v>
      </c>
      <c r="BN593" s="381"/>
      <c r="BO593" s="382">
        <v>593</v>
      </c>
    </row>
    <row r="594" spans="1:67" s="24" customFormat="1" ht="15" customHeight="1" x14ac:dyDescent="0.25">
      <c r="A594" s="287" t="s">
        <v>697</v>
      </c>
      <c r="B594" s="241" t="str">
        <f>HYPERLINK(CONCATENATE($AT$3,BK594,$AU$3),$AV$3)</f>
        <v>S</v>
      </c>
      <c r="C594" s="242" t="str">
        <f>HYPERLINK(CONCATENATE($AT$4,BK594,$AU$4,BL594),$AV$4)</f>
        <v>A</v>
      </c>
      <c r="D594" s="243" t="s">
        <v>5187</v>
      </c>
      <c r="E594" s="244" t="s">
        <v>5179</v>
      </c>
      <c r="F594" s="269">
        <v>5</v>
      </c>
      <c r="G594" s="273">
        <v>4</v>
      </c>
      <c r="H594" s="271" t="s">
        <v>6500</v>
      </c>
      <c r="I594" s="244" t="s">
        <v>6500</v>
      </c>
      <c r="J594" s="246">
        <v>0</v>
      </c>
      <c r="K594" s="247" t="s">
        <v>5827</v>
      </c>
      <c r="L594" s="248">
        <v>190216</v>
      </c>
      <c r="M594" s="249">
        <f>15*(LEFT(TEXT($L594,"000000"),2)+(MID(TEXT($L594,"000000"),3,2)/60)+(RIGHT(TEXT($L594,"000000"),2)/3600))</f>
        <v>285.56666666666672</v>
      </c>
      <c r="N594" s="286">
        <v>-42300</v>
      </c>
      <c r="O594" s="251">
        <f>IF($N594&gt;0,(LEFT(TEXT($N594,"000000"),2)+(MID(TEXT($N594,"000000"),3,2)/60)+(RIGHT(TEXT($N594,"000000"),2)/3600)),-(MID(TEXT($N594,"000000"),2,2)+(MID(TEXT($N594,"000000"),4,2)/60)+(RIGHT(TEXT($N594,"000000"),2)/3600)))</f>
        <v>-4.3833333333333337</v>
      </c>
      <c r="P594" s="252" t="s">
        <v>121</v>
      </c>
      <c r="Q594" s="253"/>
      <c r="R594" s="277" t="s">
        <v>3293</v>
      </c>
      <c r="S594" s="272" t="s">
        <v>3293</v>
      </c>
      <c r="T594" s="273"/>
      <c r="U594" s="274"/>
      <c r="V594" s="256"/>
      <c r="W594" s="244"/>
      <c r="X594" s="244"/>
      <c r="Y594" s="362"/>
      <c r="Z594" s="257">
        <f>altaz(J2000_Bas,$O594,$M594,DecLat,DecLong,1)</f>
        <v>54.614218686302927</v>
      </c>
      <c r="AA594" s="257">
        <f>altaz((J2000_Bas+(2*0.04167)),$O594,$M594,DecLat,DecLong,1)</f>
        <v>44.177294866044974</v>
      </c>
      <c r="AB594" s="257">
        <f>altaz((J2000_Bas+(4*0.04167)),$O594,$M594,DecLat,DecLong,1)</f>
        <v>22.3415130311997</v>
      </c>
      <c r="AC594" s="257">
        <f>altaz((J2000_Bas+(6*0.04167)),$O594,$M594,DecLat,DecLong,1)</f>
        <v>-2.8459044933910635</v>
      </c>
      <c r="AD594" s="258">
        <f>1+ transit((J2000_Bas-1),$O594,$M594,DecLat,DecLong)/360 + (GMTOffset/24) + (IF(DST="Y", 1, 0)/24)</f>
        <v>1.7861406220463747</v>
      </c>
      <c r="AE594" s="259">
        <f>DATE(2001,9,21)+(M594/360)*365 - (360*((DecLong/360)- (GMTOffset/24) ))</f>
        <v>37449.532870370371</v>
      </c>
      <c r="AF594" s="260">
        <f>IF(DecLat&gt;0,IF((90 - (DecLat-O594))&gt;90, (90 - (O594-DecLat)), (90 - (DecLat-O594))),IF((90 + (DecLat-O594))&gt;90, (90 + (O594-DecLat)), (90 + (DecLat-O594))))</f>
        <v>54.616666666666667</v>
      </c>
      <c r="AG594" s="257">
        <f>angularseperation(MoonRA,MoonDec,$M594,$O594)</f>
        <v>41.407752556776821</v>
      </c>
      <c r="AH594" s="261">
        <f ca="1">MIN(100,IF($O$5&gt;80,0+30*($AG594/100),IF($O$5&gt;70,0+50*($AG594/100),IF($O$5&gt;60,5+50*($AG594/100),IF($O$5&gt;50,10+60*($AG594/100),IF($O$5&gt;40,15+70*($AG594/100),IF($O$5&gt;30,20+70*($AG594/100),IF($O$5&gt;20,40+55*($AG594/100),(80+(20-$O$5)+30*($AG594/100))))))))))</f>
        <v>95.693386111183472</v>
      </c>
      <c r="AI594" s="263"/>
      <c r="AJ594" s="263"/>
      <c r="AK594" s="263"/>
      <c r="AL594" s="263"/>
      <c r="AM594" s="264"/>
      <c r="AN594" s="263"/>
      <c r="AO594" s="263"/>
      <c r="AP594" s="265"/>
      <c r="AQ594" s="265"/>
      <c r="AR594" s="285"/>
      <c r="AS594" s="263"/>
      <c r="AT594" s="263"/>
      <c r="AU594" s="263"/>
      <c r="AV594" s="264"/>
      <c r="AW594" s="263">
        <v>131</v>
      </c>
      <c r="AX594" s="263"/>
      <c r="AY594" s="263"/>
      <c r="AZ594" s="263"/>
      <c r="BA594" s="263"/>
      <c r="BB594" s="263"/>
      <c r="BC594" s="263"/>
      <c r="BD594" s="264"/>
      <c r="BE594" s="263"/>
      <c r="BF594" s="263"/>
      <c r="BG594" s="263"/>
      <c r="BH594" s="263"/>
      <c r="BI594" s="263"/>
      <c r="BJ594" s="404">
        <f>altaz(J2000_Bas,$O594,$M594,DecLat,DecLong,2)</f>
        <v>180.7506634873904</v>
      </c>
      <c r="BK594" s="378" t="s">
        <v>697</v>
      </c>
      <c r="BL594" s="379">
        <f>IF((2*G594)/60&lt;0.2,0.2,(2*G594)/60)</f>
        <v>0.2</v>
      </c>
      <c r="BM594" s="380">
        <f>MOD((50000+AD594-$B$3+(0/24)),1)</f>
        <v>1.5075517512741499E-3</v>
      </c>
      <c r="BN594" s="381"/>
      <c r="BO594" s="382">
        <v>594</v>
      </c>
    </row>
    <row r="595" spans="1:67" s="24" customFormat="1" ht="15" customHeight="1" x14ac:dyDescent="0.25">
      <c r="A595" s="288" t="s">
        <v>698</v>
      </c>
      <c r="B595" s="241" t="str">
        <f>HYPERLINK(CONCATENATE($AT$3,BK595,$AU$3),$AV$3)</f>
        <v>S</v>
      </c>
      <c r="C595" s="242" t="str">
        <f>HYPERLINK(CONCATENATE($AT$4,BK595,$AU$4,BL595),$AV$4)</f>
        <v>A</v>
      </c>
      <c r="D595" s="243" t="s">
        <v>5187</v>
      </c>
      <c r="E595" s="244" t="s">
        <v>5179</v>
      </c>
      <c r="F595" s="269">
        <v>6</v>
      </c>
      <c r="G595" s="276">
        <v>16</v>
      </c>
      <c r="H595" s="271" t="s">
        <v>6500</v>
      </c>
      <c r="I595" s="244" t="s">
        <v>6500</v>
      </c>
      <c r="J595" s="246">
        <v>2</v>
      </c>
      <c r="K595" s="247" t="s">
        <v>8374</v>
      </c>
      <c r="L595" s="248">
        <v>190428</v>
      </c>
      <c r="M595" s="249">
        <f>15*(LEFT(TEXT($L595,"000000"),2)+(MID(TEXT($L595,"000000"),3,2)/60)+(RIGHT(TEXT($L595,"000000"),2)/3600))</f>
        <v>286.11666666666667</v>
      </c>
      <c r="N595" s="250">
        <v>-42700</v>
      </c>
      <c r="O595" s="251">
        <f>IF($N595&gt;0,(LEFT(TEXT($N595,"000000"),2)+(MID(TEXT($N595,"000000"),3,2)/60)+(RIGHT(TEXT($N595,"000000"),2)/3600)),-(MID(TEXT($N595,"000000"),2,2)+(MID(TEXT($N595,"000000"),4,2)/60)+(RIGHT(TEXT($N595,"000000"),2)/3600)))</f>
        <v>-4.45</v>
      </c>
      <c r="P595" s="252" t="s">
        <v>126</v>
      </c>
      <c r="Q595" s="253"/>
      <c r="R595" s="247" t="s">
        <v>3293</v>
      </c>
      <c r="S595" s="272" t="s">
        <v>3293</v>
      </c>
      <c r="T595" s="273"/>
      <c r="U595" s="274"/>
      <c r="V595" s="256"/>
      <c r="W595" s="244"/>
      <c r="X595" s="244"/>
      <c r="Y595" s="362"/>
      <c r="Z595" s="257">
        <f>altaz(J2000_Bas,$O595,$M595,DecLat,DecLong,1)</f>
        <v>54.549832779046049</v>
      </c>
      <c r="AA595" s="257">
        <f>altaz((J2000_Bas+(2*0.04167)),$O595,$M595,DecLat,DecLong,1)</f>
        <v>44.455041994758197</v>
      </c>
      <c r="AB595" s="257">
        <f>altaz((J2000_Bas+(4*0.04167)),$O595,$M595,DecLat,DecLong,1)</f>
        <v>22.744290459841899</v>
      </c>
      <c r="AC595" s="257">
        <f>altaz((J2000_Bas+(6*0.04167)),$O595,$M595,DecLat,DecLong,1)</f>
        <v>-2.4096189092543239</v>
      </c>
      <c r="AD595" s="258">
        <f>1+ transit((J2000_Bas-1),$O595,$M595,DecLat,DecLong)/360 + (GMTOffset/24) + (IF(DST="Y", 1, 0)/24)</f>
        <v>1.7876683996713747</v>
      </c>
      <c r="AE595" s="259">
        <f>DATE(2001,9,21)+(M595/360)*365 - (360*((DecLong/360)- (GMTOffset/24) ))</f>
        <v>37450.090509259258</v>
      </c>
      <c r="AF595" s="260">
        <f>IF(DecLat&gt;0,IF((90 - (DecLat-O595))&gt;90, (90 - (O595-DecLat)), (90 - (DecLat-O595))),IF((90 + (DecLat-O595))&gt;90, (90 + (O595-DecLat)), (90 + (DecLat-O595))))</f>
        <v>54.55</v>
      </c>
      <c r="AG595" s="257">
        <f>angularseperation(MoonRA,MoonDec,$M595,$O595)</f>
        <v>41.8060868500379</v>
      </c>
      <c r="AH595" s="261">
        <f ca="1">MIN(100,IF($O$5&gt;80,0+30*($AG595/100),IF($O$5&gt;70,0+50*($AG595/100),IF($O$5&gt;60,5+50*($AG595/100),IF($O$5&gt;50,10+60*($AG595/100),IF($O$5&gt;40,15+70*($AG595/100),IF($O$5&gt;30,20+70*($AG595/100),IF($O$5&gt;20,40+55*($AG595/100),(80+(20-$O$5)+30*($AG595/100))))))))))</f>
        <v>95.812886399161798</v>
      </c>
      <c r="AI595" s="262"/>
      <c r="AJ595" s="262"/>
      <c r="AK595" s="262"/>
      <c r="AL595" s="263"/>
      <c r="AM595" s="264"/>
      <c r="AN595" s="263"/>
      <c r="AO595" s="263"/>
      <c r="AP595" s="265"/>
      <c r="AQ595" s="266"/>
      <c r="AR595" s="267"/>
      <c r="AS595" s="263"/>
      <c r="AT595" s="263"/>
      <c r="AU595" s="263"/>
      <c r="AV595" s="264"/>
      <c r="AW595" s="263">
        <v>132</v>
      </c>
      <c r="AX595" s="263"/>
      <c r="AY595" s="263"/>
      <c r="AZ595" s="263"/>
      <c r="BA595" s="263"/>
      <c r="BB595" s="263"/>
      <c r="BC595" s="263"/>
      <c r="BD595" s="264"/>
      <c r="BE595" s="263"/>
      <c r="BF595" s="263"/>
      <c r="BG595" s="263"/>
      <c r="BH595" s="263"/>
      <c r="BI595" s="263"/>
      <c r="BJ595" s="404">
        <f>altaz(J2000_Bas,$O595,$M595,DecLat,DecLong,2)</f>
        <v>179.80397048850455</v>
      </c>
      <c r="BK595" s="378" t="s">
        <v>698</v>
      </c>
      <c r="BL595" s="379">
        <f>IF((2*G595)/60&lt;0.2,0.2,(2*G595)/60)</f>
        <v>0.53333333333333333</v>
      </c>
      <c r="BM595" s="380">
        <f>MOD((50000+AD595-$B$3+(0/24)),1)</f>
        <v>3.0353293768712319E-3</v>
      </c>
      <c r="BN595" s="381"/>
      <c r="BO595" s="382">
        <v>595</v>
      </c>
    </row>
    <row r="596" spans="1:67" s="24" customFormat="1" ht="15" customHeight="1" x14ac:dyDescent="0.25">
      <c r="A596" s="288" t="s">
        <v>699</v>
      </c>
      <c r="B596" s="241" t="str">
        <f>HYPERLINK(CONCATENATE($AT$3,BK596,$AU$3),$AV$3)</f>
        <v>S</v>
      </c>
      <c r="C596" s="242" t="str">
        <f>HYPERLINK(CONCATENATE($AT$4,BK596,$AU$4,BL596),$AV$4)</f>
        <v>A</v>
      </c>
      <c r="D596" s="243" t="s">
        <v>5187</v>
      </c>
      <c r="E596" s="244" t="s">
        <v>5179</v>
      </c>
      <c r="F596" s="269">
        <v>6</v>
      </c>
      <c r="G596" s="276">
        <v>10</v>
      </c>
      <c r="H596" s="271" t="s">
        <v>6500</v>
      </c>
      <c r="I596" s="244" t="s">
        <v>6500</v>
      </c>
      <c r="J596" s="246">
        <v>2</v>
      </c>
      <c r="K596" s="247" t="s">
        <v>5828</v>
      </c>
      <c r="L596" s="248">
        <v>190613</v>
      </c>
      <c r="M596" s="249">
        <f>15*(LEFT(TEXT($L596,"000000"),2)+(MID(TEXT($L596,"000000"),3,2)/60)+(RIGHT(TEXT($L596,"000000"),2)/3600))</f>
        <v>286.55416666666673</v>
      </c>
      <c r="N596" s="250">
        <v>-65400</v>
      </c>
      <c r="O596" s="251">
        <f>IF($N596&gt;0,(LEFT(TEXT($N596,"000000"),2)+(MID(TEXT($N596,"000000"),3,2)/60)+(RIGHT(TEXT($N596,"000000"),2)/3600)),-(MID(TEXT($N596,"000000"),2,2)+(MID(TEXT($N596,"000000"),4,2)/60)+(RIGHT(TEXT($N596,"000000"),2)/3600)))</f>
        <v>-6.9</v>
      </c>
      <c r="P596" s="252" t="s">
        <v>126</v>
      </c>
      <c r="Q596" s="253"/>
      <c r="R596" s="247" t="s">
        <v>3293</v>
      </c>
      <c r="S596" s="272" t="s">
        <v>3293</v>
      </c>
      <c r="T596" s="273"/>
      <c r="U596" s="274"/>
      <c r="V596" s="256"/>
      <c r="W596" s="244"/>
      <c r="X596" s="244"/>
      <c r="Y596" s="362"/>
      <c r="Z596" s="257">
        <f>altaz(J2000_Bas,$O596,$M596,DecLat,DecLong,1)</f>
        <v>52.096322790844255</v>
      </c>
      <c r="AA596" s="257">
        <f>altaz((J2000_Bas+(2*0.04167)),$O596,$M596,DecLat,DecLong,1)</f>
        <v>42.728143993883464</v>
      </c>
      <c r="AB596" s="257">
        <f>altaz((J2000_Bas+(4*0.04167)),$O596,$M596,DecLat,DecLong,1)</f>
        <v>21.624012953657459</v>
      </c>
      <c r="AC596" s="257">
        <f>altaz((J2000_Bas+(6*0.04167)),$O596,$M596,DecLat,DecLong,1)</f>
        <v>-3.2934859100795797</v>
      </c>
      <c r="AD596" s="258">
        <f>1+ transit((J2000_Bas-1),$O596,$M596,DecLat,DecLong)/360 + (GMTOffset/24) + (IF(DST="Y", 1, 0)/24)</f>
        <v>1.7888836773276249</v>
      </c>
      <c r="AE596" s="259">
        <f>DATE(2001,9,21)+(M596/360)*365 - (360*((DecLong/360)- (GMTOffset/24) ))</f>
        <v>37450.534085648149</v>
      </c>
      <c r="AF596" s="260">
        <f>IF(DecLat&gt;0,IF((90 - (DecLat-O596))&gt;90, (90 - (O596-DecLat)), (90 - (DecLat-O596))),IF((90 + (DecLat-O596))&gt;90, (90 + (O596-DecLat)), (90 + (DecLat-O596))))</f>
        <v>52.1</v>
      </c>
      <c r="AG596" s="257">
        <f>angularseperation(MoonRA,MoonDec,$M596,$O596)</f>
        <v>40.738572351514875</v>
      </c>
      <c r="AH596" s="261">
        <f ca="1">MIN(100,IF($O$5&gt;80,0+30*($AG596/100),IF($O$5&gt;70,0+50*($AG596/100),IF($O$5&gt;60,5+50*($AG596/100),IF($O$5&gt;50,10+60*($AG596/100),IF($O$5&gt;40,15+70*($AG596/100),IF($O$5&gt;30,20+70*($AG596/100),IF($O$5&gt;20,40+55*($AG596/100),(80+(20-$O$5)+30*($AG596/100))))))))))</f>
        <v>95.492632049604893</v>
      </c>
      <c r="AI596" s="262"/>
      <c r="AJ596" s="262"/>
      <c r="AK596" s="262"/>
      <c r="AL596" s="263"/>
      <c r="AM596" s="264"/>
      <c r="AN596" s="263"/>
      <c r="AO596" s="263"/>
      <c r="AP596" s="265"/>
      <c r="AQ596" s="266"/>
      <c r="AR596" s="267"/>
      <c r="AS596" s="263"/>
      <c r="AT596" s="263"/>
      <c r="AU596" s="263"/>
      <c r="AV596" s="264"/>
      <c r="AW596" s="263">
        <v>133</v>
      </c>
      <c r="AX596" s="263"/>
      <c r="AY596" s="263"/>
      <c r="AZ596" s="263"/>
      <c r="BA596" s="263"/>
      <c r="BB596" s="263"/>
      <c r="BC596" s="263"/>
      <c r="BD596" s="264"/>
      <c r="BE596" s="263"/>
      <c r="BF596" s="263"/>
      <c r="BG596" s="263"/>
      <c r="BH596" s="263"/>
      <c r="BI596" s="263"/>
      <c r="BJ596" s="404">
        <f>altaz(J2000_Bas,$O596,$M596,DecLat,DecLong,2)</f>
        <v>179.10869807323772</v>
      </c>
      <c r="BK596" s="378" t="s">
        <v>699</v>
      </c>
      <c r="BL596" s="379">
        <f>IF((2*G596)/60&lt;0.2,0.2,(2*G596)/60)</f>
        <v>0.33333333333333331</v>
      </c>
      <c r="BM596" s="380">
        <f>MOD((50000+AD596-$B$3+(0/24)),1)</f>
        <v>4.2506070312811062E-3</v>
      </c>
      <c r="BN596" s="381"/>
      <c r="BO596" s="382">
        <v>596</v>
      </c>
    </row>
    <row r="597" spans="1:67" s="24" customFormat="1" ht="15" customHeight="1" x14ac:dyDescent="0.25">
      <c r="A597" s="287" t="s">
        <v>700</v>
      </c>
      <c r="B597" s="241" t="str">
        <f>HYPERLINK(CONCATENATE($AT$3,BK597,$AU$3),$AV$3)</f>
        <v>S</v>
      </c>
      <c r="C597" s="242" t="str">
        <f>HYPERLINK(CONCATENATE($AT$4,BK597,$AU$4,BL597),$AV$4)</f>
        <v>A</v>
      </c>
      <c r="D597" s="243" t="s">
        <v>5187</v>
      </c>
      <c r="E597" s="244" t="s">
        <v>5179</v>
      </c>
      <c r="F597" s="269">
        <v>6</v>
      </c>
      <c r="G597" s="273">
        <v>6</v>
      </c>
      <c r="H597" s="271" t="s">
        <v>6500</v>
      </c>
      <c r="I597" s="244" t="s">
        <v>6500</v>
      </c>
      <c r="J597" s="246">
        <v>1</v>
      </c>
      <c r="K597" s="247" t="s">
        <v>5984</v>
      </c>
      <c r="L597" s="248">
        <v>190642</v>
      </c>
      <c r="M597" s="249">
        <f>15*(LEFT(TEXT($L597,"000000"),2)+(MID(TEXT($L597,"000000"),3,2)/60)+(RIGHT(TEXT($L597,"000000"),2)/3600))</f>
        <v>286.67500000000001</v>
      </c>
      <c r="N597" s="286">
        <v>-61000</v>
      </c>
      <c r="O597" s="251">
        <f>IF($N597&gt;0,(LEFT(TEXT($N597,"000000"),2)+(MID(TEXT($N597,"000000"),3,2)/60)+(RIGHT(TEXT($N597,"000000"),2)/3600)),-(MID(TEXT($N597,"000000"),2,2)+(MID(TEXT($N597,"000000"),4,2)/60)+(RIGHT(TEXT($N597,"000000"),2)/3600)))</f>
        <v>-6.166666666666667</v>
      </c>
      <c r="P597" s="252" t="s">
        <v>126</v>
      </c>
      <c r="Q597" s="253"/>
      <c r="R597" s="277" t="s">
        <v>3293</v>
      </c>
      <c r="S597" s="272" t="s">
        <v>3293</v>
      </c>
      <c r="T597" s="273"/>
      <c r="U597" s="274"/>
      <c r="V597" s="256"/>
      <c r="W597" s="244"/>
      <c r="X597" s="244"/>
      <c r="Y597" s="362"/>
      <c r="Z597" s="257">
        <f>altaz(J2000_Bas,$O597,$M597,DecLat,DecLong,1)</f>
        <v>52.827768578665307</v>
      </c>
      <c r="AA597" s="257">
        <f>altaz((J2000_Bas+(2*0.04167)),$O597,$M597,DecLat,DecLong,1)</f>
        <v>43.396261165618817</v>
      </c>
      <c r="AB597" s="257">
        <f>altaz((J2000_Bas+(4*0.04167)),$O597,$M597,DecLat,DecLong,1)</f>
        <v>22.163084398539134</v>
      </c>
      <c r="AC597" s="257">
        <f>altaz((J2000_Bas+(6*0.04167)),$O597,$M597,DecLat,DecLong,1)</f>
        <v>-2.8142197961834081</v>
      </c>
      <c r="AD597" s="258">
        <f>1+ transit((J2000_Bas-1),$O597,$M597,DecLat,DecLong)/360 + (GMTOffset/24) + (IF(DST="Y", 1, 0)/24)</f>
        <v>1.7892193254422082</v>
      </c>
      <c r="AE597" s="259">
        <f>DATE(2001,9,21)+(M597/360)*365 - (360*((DecLong/360)- (GMTOffset/24) ))</f>
        <v>37450.656597222223</v>
      </c>
      <c r="AF597" s="260">
        <f>IF(DecLat&gt;0,IF((90 - (DecLat-O597))&gt;90, (90 - (O597-DecLat)), (90 - (DecLat-O597))),IF((90 + (DecLat-O597))&gt;90, (90 + (O597-DecLat)), (90 + (DecLat-O597))))</f>
        <v>52.833333333333336</v>
      </c>
      <c r="AG597" s="257">
        <f>angularseperation(MoonRA,MoonDec,$M597,$O597)</f>
        <v>41.253134020504341</v>
      </c>
      <c r="AH597" s="261">
        <f ca="1">MIN(100,IF($O$5&gt;80,0+30*($AG597/100),IF($O$5&gt;70,0+50*($AG597/100),IF($O$5&gt;60,5+50*($AG597/100),IF($O$5&gt;50,10+60*($AG597/100),IF($O$5&gt;40,15+70*($AG597/100),IF($O$5&gt;30,20+70*($AG597/100),IF($O$5&gt;20,40+55*($AG597/100),(80+(20-$O$5)+30*($AG597/100))))))))))</f>
        <v>95.647000550301726</v>
      </c>
      <c r="AI597" s="263"/>
      <c r="AJ597" s="263"/>
      <c r="AK597" s="263"/>
      <c r="AL597" s="263"/>
      <c r="AM597" s="264"/>
      <c r="AN597" s="263"/>
      <c r="AO597" s="263"/>
      <c r="AP597" s="265"/>
      <c r="AQ597" s="265"/>
      <c r="AR597" s="285"/>
      <c r="AS597" s="263"/>
      <c r="AT597" s="263"/>
      <c r="AU597" s="263"/>
      <c r="AV597" s="264"/>
      <c r="AW597" s="263">
        <v>134</v>
      </c>
      <c r="AX597" s="263"/>
      <c r="AY597" s="263"/>
      <c r="AZ597" s="263"/>
      <c r="BA597" s="263"/>
      <c r="BB597" s="263"/>
      <c r="BC597" s="263"/>
      <c r="BD597" s="264"/>
      <c r="BE597" s="263"/>
      <c r="BF597" s="263"/>
      <c r="BG597" s="263"/>
      <c r="BH597" s="263"/>
      <c r="BI597" s="263"/>
      <c r="BJ597" s="404">
        <f>altaz(J2000_Bas,$O597,$M597,DecLat,DecLong,2)</f>
        <v>178.89358779513</v>
      </c>
      <c r="BK597" s="378" t="s">
        <v>700</v>
      </c>
      <c r="BL597" s="379">
        <f>IF((2*G597)/60&lt;0.2,0.2,(2*G597)/60)</f>
        <v>0.2</v>
      </c>
      <c r="BM597" s="380">
        <f>MOD((50000+AD597-$B$3+(0/24)),1)</f>
        <v>4.5862551487516612E-3</v>
      </c>
      <c r="BN597" s="381"/>
      <c r="BO597" s="382">
        <v>597</v>
      </c>
    </row>
    <row r="598" spans="1:67" s="24" customFormat="1" ht="15" customHeight="1" x14ac:dyDescent="0.25">
      <c r="A598" s="287" t="s">
        <v>701</v>
      </c>
      <c r="B598" s="241" t="str">
        <f>HYPERLINK(CONCATENATE($AT$3,BK598,$AU$3),$AV$3)</f>
        <v>S</v>
      </c>
      <c r="C598" s="242" t="str">
        <f>HYPERLINK(CONCATENATE($AT$4,BK598,$AU$4,BL598),$AV$4)</f>
        <v>A</v>
      </c>
      <c r="D598" s="243" t="s">
        <v>5187</v>
      </c>
      <c r="E598" s="244" t="s">
        <v>5179</v>
      </c>
      <c r="F598" s="269">
        <v>6</v>
      </c>
      <c r="G598" s="276">
        <v>13</v>
      </c>
      <c r="H598" s="271" t="s">
        <v>6500</v>
      </c>
      <c r="I598" s="244" t="s">
        <v>6500</v>
      </c>
      <c r="J598" s="246">
        <v>0</v>
      </c>
      <c r="K598" s="247" t="s">
        <v>5829</v>
      </c>
      <c r="L598" s="248">
        <v>190733</v>
      </c>
      <c r="M598" s="249">
        <f>15*(LEFT(TEXT($L598,"000000"),2)+(MID(TEXT($L598,"000000"),3,2)/60)+(RIGHT(TEXT($L598,"000000"),2)/3600))</f>
        <v>286.88749999999999</v>
      </c>
      <c r="N598" s="286">
        <v>-35600</v>
      </c>
      <c r="O598" s="251">
        <f>IF($N598&gt;0,(LEFT(TEXT($N598,"000000"),2)+(MID(TEXT($N598,"000000"),3,2)/60)+(RIGHT(TEXT($N598,"000000"),2)/3600)),-(MID(TEXT($N598,"000000"),2,2)+(MID(TEXT($N598,"000000"),4,2)/60)+(RIGHT(TEXT($N598,"000000"),2)/3600)))</f>
        <v>-3.9333333333333336</v>
      </c>
      <c r="P598" s="252" t="s">
        <v>126</v>
      </c>
      <c r="Q598" s="253"/>
      <c r="R598" s="277" t="s">
        <v>3293</v>
      </c>
      <c r="S598" s="272" t="s">
        <v>3293</v>
      </c>
      <c r="T598" s="273"/>
      <c r="U598" s="274"/>
      <c r="V598" s="256"/>
      <c r="W598" s="244"/>
      <c r="X598" s="244"/>
      <c r="Y598" s="362"/>
      <c r="Z598" s="257">
        <f>altaz(J2000_Bas,$O598,$M598,DecLat,DecLong,1)</f>
        <v>55.056463898762118</v>
      </c>
      <c r="AA598" s="257">
        <f>altaz((J2000_Bas+(2*0.04167)),$O598,$M598,DecLat,DecLong,1)</f>
        <v>45.328625390724469</v>
      </c>
      <c r="AB598" s="257">
        <f>altaz((J2000_Bas+(4*0.04167)),$O598,$M598,DecLat,DecLong,1)</f>
        <v>23.669673254527329</v>
      </c>
      <c r="AC598" s="257">
        <f>altaz((J2000_Bas+(6*0.04167)),$O598,$M598,DecLat,DecLong,1)</f>
        <v>-1.4845975727663032</v>
      </c>
      <c r="AD598" s="258">
        <f>1+ transit((J2000_Bas-1),$O598,$M598,DecLat,DecLong)/360 + (GMTOffset/24) + (IF(DST="Y", 1, 0)/24)</f>
        <v>1.7898096031609581</v>
      </c>
      <c r="AE598" s="259">
        <f>DATE(2001,9,21)+(M598/360)*365 - (360*((DecLong/360)- (GMTOffset/24) ))</f>
        <v>37450.872048611112</v>
      </c>
      <c r="AF598" s="260">
        <f>IF(DecLat&gt;0,IF((90 - (DecLat-O598))&gt;90, (90 - (O598-DecLat)), (90 - (DecLat-O598))),IF((90 + (DecLat-O598))&gt;90, (90 + (O598-DecLat)), (90 + (DecLat-O598))))</f>
        <v>55.066666666666663</v>
      </c>
      <c r="AG598" s="257">
        <f>angularseperation(MoonRA,MoonDec,$M598,$O598)</f>
        <v>42.731213352384522</v>
      </c>
      <c r="AH598" s="261">
        <f ca="1">MIN(100,IF($O$5&gt;80,0+30*($AG598/100),IF($O$5&gt;70,0+50*($AG598/100),IF($O$5&gt;60,5+50*($AG598/100),IF($O$5&gt;50,10+60*($AG598/100),IF($O$5&gt;40,15+70*($AG598/100),IF($O$5&gt;30,20+70*($AG598/100),IF($O$5&gt;20,40+55*($AG598/100),(80+(20-$O$5)+30*($AG598/100))))))))))</f>
        <v>96.090424349865785</v>
      </c>
      <c r="AI598" s="263"/>
      <c r="AJ598" s="263"/>
      <c r="AK598" s="263"/>
      <c r="AL598" s="263"/>
      <c r="AM598" s="264"/>
      <c r="AN598" s="263"/>
      <c r="AO598" s="263"/>
      <c r="AP598" s="265"/>
      <c r="AQ598" s="265"/>
      <c r="AR598" s="285"/>
      <c r="AS598" s="263"/>
      <c r="AT598" s="263"/>
      <c r="AU598" s="263"/>
      <c r="AV598" s="264"/>
      <c r="AW598" s="263">
        <v>135</v>
      </c>
      <c r="AX598" s="263"/>
      <c r="AY598" s="263"/>
      <c r="AZ598" s="263"/>
      <c r="BA598" s="263"/>
      <c r="BB598" s="263"/>
      <c r="BC598" s="263"/>
      <c r="BD598" s="264"/>
      <c r="BE598" s="263"/>
      <c r="BF598" s="263"/>
      <c r="BG598" s="263"/>
      <c r="BH598" s="263"/>
      <c r="BI598" s="263"/>
      <c r="BJ598" s="404">
        <f>altaz(J2000_Bas,$O598,$M598,DecLat,DecLong,2)</f>
        <v>178.45861017750374</v>
      </c>
      <c r="BK598" s="378" t="s">
        <v>701</v>
      </c>
      <c r="BL598" s="379">
        <f>IF((2*G598)/60&lt;0.2,0.2,(2*G598)/60)</f>
        <v>0.43333333333333335</v>
      </c>
      <c r="BM598" s="380">
        <f>MOD((50000+AD598-$B$3+(0/24)),1)</f>
        <v>5.1765328680630773E-3</v>
      </c>
      <c r="BN598" s="381"/>
      <c r="BO598" s="382">
        <v>598</v>
      </c>
    </row>
    <row r="599" spans="1:67" s="24" customFormat="1" ht="15" customHeight="1" x14ac:dyDescent="0.25">
      <c r="A599" s="287" t="s">
        <v>702</v>
      </c>
      <c r="B599" s="241" t="str">
        <f>HYPERLINK(CONCATENATE($AT$3,BK599,$AU$3),$AV$3)</f>
        <v>S</v>
      </c>
      <c r="C599" s="242" t="str">
        <f>HYPERLINK(CONCATENATE($AT$4,BK599,$AU$4,BL599),$AV$4)</f>
        <v>A</v>
      </c>
      <c r="D599" s="243" t="s">
        <v>5187</v>
      </c>
      <c r="E599" s="244" t="s">
        <v>5179</v>
      </c>
      <c r="F599" s="269">
        <v>6</v>
      </c>
      <c r="G599" s="273">
        <v>8</v>
      </c>
      <c r="H599" s="271" t="s">
        <v>6500</v>
      </c>
      <c r="I599" s="244" t="s">
        <v>6500</v>
      </c>
      <c r="J599" s="246">
        <v>0</v>
      </c>
      <c r="K599" s="247" t="s">
        <v>5830</v>
      </c>
      <c r="L599" s="248">
        <v>190850</v>
      </c>
      <c r="M599" s="249">
        <f>15*(LEFT(TEXT($L599,"000000"),2)+(MID(TEXT($L599,"000000"),3,2)/60)+(RIGHT(TEXT($L599,"000000"),2)/3600))</f>
        <v>287.20833333333331</v>
      </c>
      <c r="N599" s="286">
        <v>-40100</v>
      </c>
      <c r="O599" s="251">
        <f>IF($N599&gt;0,(LEFT(TEXT($N599,"000000"),2)+(MID(TEXT($N599,"000000"),3,2)/60)+(RIGHT(TEXT($N599,"000000"),2)/3600)),-(MID(TEXT($N599,"000000"),2,2)+(MID(TEXT($N599,"000000"),4,2)/60)+(RIGHT(TEXT($N599,"000000"),2)/3600)))</f>
        <v>-4.0166666666666666</v>
      </c>
      <c r="P599" s="252" t="s">
        <v>126</v>
      </c>
      <c r="Q599" s="253"/>
      <c r="R599" s="277" t="s">
        <v>3293</v>
      </c>
      <c r="S599" s="272" t="s">
        <v>3293</v>
      </c>
      <c r="T599" s="273"/>
      <c r="U599" s="274"/>
      <c r="V599" s="256"/>
      <c r="W599" s="244"/>
      <c r="X599" s="244"/>
      <c r="Y599" s="362"/>
      <c r="Z599" s="257">
        <f>altaz(J2000_Bas,$O599,$M599,DecLat,DecLong,1)</f>
        <v>54.964434364197459</v>
      </c>
      <c r="AA599" s="257">
        <f>altaz((J2000_Bas+(2*0.04167)),$O599,$M599,DecLat,DecLong,1)</f>
        <v>45.451118240791573</v>
      </c>
      <c r="AB599" s="257">
        <f>altaz((J2000_Bas+(4*0.04167)),$O599,$M599,DecLat,DecLong,1)</f>
        <v>23.87740783609798</v>
      </c>
      <c r="AC599" s="257">
        <f>altaz((J2000_Bas+(6*0.04167)),$O599,$M599,DecLat,DecLong,1)</f>
        <v>-1.2530966903495044</v>
      </c>
      <c r="AD599" s="258">
        <f>1+ transit((J2000_Bas-1),$O599,$M599,DecLat,DecLong)/360 + (GMTOffset/24) + (IF(DST="Y", 1, 0)/24)</f>
        <v>1.7907008067755414</v>
      </c>
      <c r="AE599" s="259">
        <f>DATE(2001,9,21)+(M599/360)*365 - (360*((DecLong/360)- (GMTOffset/24) ))</f>
        <v>37451.197337962964</v>
      </c>
      <c r="AF599" s="260">
        <f>IF(DecLat&gt;0,IF((90 - (DecLat-O599))&gt;90, (90 - (O599-DecLat)), (90 - (DecLat-O599))),IF((90 + (DecLat-O599))&gt;90, (90 + (O599-DecLat)), (90 + (DecLat-O599))))</f>
        <v>54.983333333333334</v>
      </c>
      <c r="AG599" s="257">
        <f>angularseperation(MoonRA,MoonDec,$M599,$O599)</f>
        <v>42.938443145948696</v>
      </c>
      <c r="AH599" s="261">
        <f ca="1">MIN(100,IF($O$5&gt;80,0+30*($AG599/100),IF($O$5&gt;70,0+50*($AG599/100),IF($O$5&gt;60,5+50*($AG599/100),IF($O$5&gt;50,10+60*($AG599/100),IF($O$5&gt;40,15+70*($AG599/100),IF($O$5&gt;30,20+70*($AG599/100),IF($O$5&gt;20,40+55*($AG599/100),(80+(20-$O$5)+30*($AG599/100))))))))))</f>
        <v>96.152593287935034</v>
      </c>
      <c r="AI599" s="263"/>
      <c r="AJ599" s="263"/>
      <c r="AK599" s="263"/>
      <c r="AL599" s="263"/>
      <c r="AM599" s="264"/>
      <c r="AN599" s="263"/>
      <c r="AO599" s="263"/>
      <c r="AP599" s="265"/>
      <c r="AQ599" s="265"/>
      <c r="AR599" s="285"/>
      <c r="AS599" s="263"/>
      <c r="AT599" s="263"/>
      <c r="AU599" s="263"/>
      <c r="AV599" s="264"/>
      <c r="AW599" s="263">
        <v>136</v>
      </c>
      <c r="AX599" s="263"/>
      <c r="AY599" s="263"/>
      <c r="AZ599" s="263"/>
      <c r="BA599" s="263"/>
      <c r="BB599" s="263"/>
      <c r="BC599" s="263"/>
      <c r="BD599" s="264"/>
      <c r="BE599" s="263"/>
      <c r="BF599" s="263"/>
      <c r="BG599" s="263"/>
      <c r="BH599" s="263"/>
      <c r="BI599" s="263"/>
      <c r="BJ599" s="404">
        <f>altaz(J2000_Bas,$O599,$M599,DecLat,DecLong,2)</f>
        <v>177.90462286279907</v>
      </c>
      <c r="BK599" s="378" t="s">
        <v>702</v>
      </c>
      <c r="BL599" s="379">
        <f>IF((2*G599)/60&lt;0.2,0.2,(2*G599)/60)</f>
        <v>0.26666666666666666</v>
      </c>
      <c r="BM599" s="380">
        <f>MOD((50000+AD599-$B$3+(0/24)),1)</f>
        <v>6.0677364817820489E-3</v>
      </c>
      <c r="BN599" s="381"/>
      <c r="BO599" s="382">
        <v>599</v>
      </c>
    </row>
    <row r="600" spans="1:67" s="24" customFormat="1" ht="15" customHeight="1" x14ac:dyDescent="0.25">
      <c r="A600" s="287" t="s">
        <v>703</v>
      </c>
      <c r="B600" s="241" t="str">
        <f>HYPERLINK(CONCATENATE($AT$3,BK600,$AU$3),$AV$3)</f>
        <v>S</v>
      </c>
      <c r="C600" s="242" t="str">
        <f>HYPERLINK(CONCATENATE($AT$4,BK600,$AU$4,BL600),$AV$4)</f>
        <v>A</v>
      </c>
      <c r="D600" s="243" t="s">
        <v>5187</v>
      </c>
      <c r="E600" s="244" t="s">
        <v>5179</v>
      </c>
      <c r="F600" s="269">
        <v>3</v>
      </c>
      <c r="G600" s="273">
        <v>5</v>
      </c>
      <c r="H600" s="271" t="s">
        <v>6500</v>
      </c>
      <c r="I600" s="244" t="s">
        <v>6500</v>
      </c>
      <c r="J600" s="246">
        <v>1</v>
      </c>
      <c r="K600" s="247" t="s">
        <v>5831</v>
      </c>
      <c r="L600" s="248">
        <v>191601</v>
      </c>
      <c r="M600" s="249">
        <f>15*(LEFT(TEXT($L600,"000000"),2)+(MID(TEXT($L600,"000000"),3,2)/60)+(RIGHT(TEXT($L600,"000000"),2)/3600))</f>
        <v>289.00416666666666</v>
      </c>
      <c r="N600" s="286">
        <v>-12100</v>
      </c>
      <c r="O600" s="251">
        <f>IF($N600&gt;0,(LEFT(TEXT($N600,"000000"),2)+(MID(TEXT($N600,"000000"),3,2)/60)+(RIGHT(TEXT($N600,"000000"),2)/3600)),-(MID(TEXT($N600,"000000"),2,2)+(MID(TEXT($N600,"000000"),4,2)/60)+(RIGHT(TEXT($N600,"000000"),2)/3600)))</f>
        <v>-1.35</v>
      </c>
      <c r="P600" s="252" t="s">
        <v>126</v>
      </c>
      <c r="Q600" s="253"/>
      <c r="R600" s="277" t="s">
        <v>3293</v>
      </c>
      <c r="S600" s="272" t="s">
        <v>3293</v>
      </c>
      <c r="T600" s="273"/>
      <c r="U600" s="274"/>
      <c r="V600" s="256"/>
      <c r="W600" s="244"/>
      <c r="X600" s="244"/>
      <c r="Y600" s="362"/>
      <c r="Z600" s="257">
        <f>altaz(J2000_Bas,$O600,$M600,DecLat,DecLong,1)</f>
        <v>57.524338074729378</v>
      </c>
      <c r="AA600" s="257">
        <f>altaz((J2000_Bas+(2*0.04167)),$O600,$M600,DecLat,DecLong,1)</f>
        <v>48.662420955288447</v>
      </c>
      <c r="AB600" s="257">
        <f>altaz((J2000_Bas+(4*0.04167)),$O600,$M600,DecLat,DecLong,1)</f>
        <v>26.902871690108118</v>
      </c>
      <c r="AC600" s="257">
        <f>altaz((J2000_Bas+(6*0.04167)),$O600,$M600,DecLat,DecLong,1)</f>
        <v>1.6588552745146874</v>
      </c>
      <c r="AD600" s="258">
        <f>1+ transit((J2000_Bas-1),$O600,$M600,DecLat,DecLong)/360 + (GMTOffset/24) + (IF(DST="Y", 1, 0)/24)</f>
        <v>1.7956892322026248</v>
      </c>
      <c r="AE600" s="259">
        <f>DATE(2001,9,21)+(M600/360)*365 - (360*((DecLong/360)- (GMTOffset/24) ))</f>
        <v>37453.018113425926</v>
      </c>
      <c r="AF600" s="260">
        <f>IF(DecLat&gt;0,IF((90 - (DecLat-O600))&gt;90, (90 - (O600-DecLat)), (90 - (DecLat-O600))),IF((90 + (DecLat-O600))&gt;90, (90 + (O600-DecLat)), (90 + (DecLat-O600))))</f>
        <v>57.65</v>
      </c>
      <c r="AG600" s="257">
        <f>angularseperation(MoonRA,MoonDec,$M600,$O600)</f>
        <v>45.977164653126103</v>
      </c>
      <c r="AH600" s="261">
        <f ca="1">MIN(100,IF($O$5&gt;80,0+30*($AG600/100),IF($O$5&gt;70,0+50*($AG600/100),IF($O$5&gt;60,5+50*($AG600/100),IF($O$5&gt;50,10+60*($AG600/100),IF($O$5&gt;40,15+70*($AG600/100),IF($O$5&gt;30,20+70*($AG600/100),IF($O$5&gt;20,40+55*($AG600/100),(80+(20-$O$5)+30*($AG600/100))))))))))</f>
        <v>97.064209740088259</v>
      </c>
      <c r="AI600" s="263"/>
      <c r="AJ600" s="263"/>
      <c r="AK600" s="263"/>
      <c r="AL600" s="263"/>
      <c r="AM600" s="264"/>
      <c r="AN600" s="263"/>
      <c r="AO600" s="263"/>
      <c r="AP600" s="265"/>
      <c r="AQ600" s="265"/>
      <c r="AR600" s="285"/>
      <c r="AS600" s="263"/>
      <c r="AT600" s="263"/>
      <c r="AU600" s="263"/>
      <c r="AV600" s="264"/>
      <c r="AW600" s="263">
        <v>137</v>
      </c>
      <c r="AX600" s="263"/>
      <c r="AY600" s="263"/>
      <c r="AZ600" s="263"/>
      <c r="BA600" s="263"/>
      <c r="BB600" s="263"/>
      <c r="BC600" s="263"/>
      <c r="BD600" s="264"/>
      <c r="BE600" s="263"/>
      <c r="BF600" s="263"/>
      <c r="BG600" s="263"/>
      <c r="BH600" s="263"/>
      <c r="BI600" s="263"/>
      <c r="BJ600" s="404">
        <f>altaz(J2000_Bas,$O600,$M600,DecLat,DecLong,2)</f>
        <v>174.40514988724198</v>
      </c>
      <c r="BK600" s="378" t="s">
        <v>703</v>
      </c>
      <c r="BL600" s="379">
        <f>IF((2*G600)/60&lt;0.2,0.2,(2*G600)/60)</f>
        <v>0.2</v>
      </c>
      <c r="BM600" s="380">
        <f>MOD((50000+AD600-$B$3+(0/24)),1)</f>
        <v>1.1056161907617934E-2</v>
      </c>
      <c r="BN600" s="381"/>
      <c r="BO600" s="382">
        <v>600</v>
      </c>
    </row>
    <row r="601" spans="1:67" s="24" customFormat="1" ht="15" customHeight="1" x14ac:dyDescent="0.25">
      <c r="A601" s="287" t="s">
        <v>704</v>
      </c>
      <c r="B601" s="241" t="str">
        <f>HYPERLINK(CONCATENATE($AT$3,BK601,$AU$3),$AV$3)</f>
        <v>S</v>
      </c>
      <c r="C601" s="242" t="str">
        <f>HYPERLINK(CONCATENATE($AT$4,BK601,$AU$4,BL601),$AV$4)</f>
        <v>A</v>
      </c>
      <c r="D601" s="243" t="s">
        <v>5187</v>
      </c>
      <c r="E601" s="244" t="s">
        <v>5179</v>
      </c>
      <c r="F601" s="269">
        <v>2</v>
      </c>
      <c r="G601" s="276">
        <v>200</v>
      </c>
      <c r="H601" s="271" t="s">
        <v>6500</v>
      </c>
      <c r="I601" s="244" t="s">
        <v>6500</v>
      </c>
      <c r="J601" s="246">
        <v>1</v>
      </c>
      <c r="K601" s="247" t="s">
        <v>5985</v>
      </c>
      <c r="L601" s="248">
        <v>191624</v>
      </c>
      <c r="M601" s="249">
        <f>15*(LEFT(TEXT($L601,"000000"),2)+(MID(TEXT($L601,"000000"),3,2)/60)+(RIGHT(TEXT($L601,"000000"),2)/3600))</f>
        <v>289.10000000000002</v>
      </c>
      <c r="N601" s="286">
        <v>-1300</v>
      </c>
      <c r="O601" s="251">
        <f>IF($N601&gt;0,(LEFT(TEXT($N601,"000000"),2)+(MID(TEXT($N601,"000000"),3,2)/60)+(RIGHT(TEXT($N601,"000000"),2)/3600)),-(MID(TEXT($N601,"000000"),2,2)+(MID(TEXT($N601,"000000"),4,2)/60)+(RIGHT(TEXT($N601,"000000"),2)/3600)))</f>
        <v>-0.21666666666666667</v>
      </c>
      <c r="P601" s="252" t="s">
        <v>126</v>
      </c>
      <c r="Q601" s="253"/>
      <c r="R601" s="277" t="s">
        <v>3293</v>
      </c>
      <c r="S601" s="272" t="s">
        <v>3293</v>
      </c>
      <c r="T601" s="273"/>
      <c r="U601" s="274"/>
      <c r="V601" s="256"/>
      <c r="W601" s="244"/>
      <c r="X601" s="244"/>
      <c r="Y601" s="362"/>
      <c r="Z601" s="257">
        <f>altaz(J2000_Bas,$O601,$M601,DecLat,DecLong,1)</f>
        <v>58.64517805934625</v>
      </c>
      <c r="AA601" s="257">
        <f>altaz((J2000_Bas+(2*0.04167)),$O601,$M601,DecLat,DecLong,1)</f>
        <v>49.629833445536562</v>
      </c>
      <c r="AB601" s="257">
        <f>altaz((J2000_Bas+(4*0.04167)),$O601,$M601,DecLat,DecLong,1)</f>
        <v>27.64524134213951</v>
      </c>
      <c r="AC601" s="257">
        <f>altaz((J2000_Bas+(6*0.04167)),$O601,$M601,DecLat,DecLong,1)</f>
        <v>2.325591323707946</v>
      </c>
      <c r="AD601" s="258">
        <f>1+ transit((J2000_Bas-1),$O601,$M601,DecLat,DecLong)/360 + (GMTOffset/24) + (IF(DST="Y", 1, 0)/24)</f>
        <v>1.7959554358797083</v>
      </c>
      <c r="AE601" s="259">
        <f>DATE(2001,9,21)+(M601/360)*365 - (360*((DecLong/360)- (GMTOffset/24) ))</f>
        <v>37453.115277777775</v>
      </c>
      <c r="AF601" s="260">
        <f>IF(DecLat&gt;0,IF((90 - (DecLat-O601))&gt;90, (90 - (O601-DecLat)), (90 - (DecLat-O601))),IF((90 + (DecLat-O601))&gt;90, (90 + (O601-DecLat)), (90 + (DecLat-O601))))</f>
        <v>58.783333333333331</v>
      </c>
      <c r="AG601" s="257">
        <f>angularseperation(MoonRA,MoonDec,$M601,$O601)</f>
        <v>46.750890860020306</v>
      </c>
      <c r="AH601" s="261">
        <f ca="1">MIN(100,IF($O$5&gt;80,0+30*($AG601/100),IF($O$5&gt;70,0+50*($AG601/100),IF($O$5&gt;60,5+50*($AG601/100),IF($O$5&gt;50,10+60*($AG601/100),IF($O$5&gt;40,15+70*($AG601/100),IF($O$5&gt;30,20+70*($AG601/100),IF($O$5&gt;20,40+55*($AG601/100),(80+(20-$O$5)+30*($AG601/100))))))))))</f>
        <v>97.296327602156524</v>
      </c>
      <c r="AI601" s="263"/>
      <c r="AJ601" s="263"/>
      <c r="AK601" s="263"/>
      <c r="AL601" s="263"/>
      <c r="AM601" s="264"/>
      <c r="AN601" s="263"/>
      <c r="AO601" s="263"/>
      <c r="AP601" s="265"/>
      <c r="AQ601" s="265"/>
      <c r="AR601" s="285"/>
      <c r="AS601" s="263"/>
      <c r="AT601" s="263"/>
      <c r="AU601" s="263"/>
      <c r="AV601" s="264"/>
      <c r="AW601" s="263">
        <v>138</v>
      </c>
      <c r="AX601" s="263"/>
      <c r="AY601" s="263"/>
      <c r="AZ601" s="263"/>
      <c r="BA601" s="263"/>
      <c r="BB601" s="263"/>
      <c r="BC601" s="263"/>
      <c r="BD601" s="264"/>
      <c r="BE601" s="263"/>
      <c r="BF601" s="263"/>
      <c r="BG601" s="263"/>
      <c r="BH601" s="263"/>
      <c r="BI601" s="263"/>
      <c r="BJ601" s="404">
        <f>altaz(J2000_Bas,$O601,$M601,DecLat,DecLong,2)</f>
        <v>174.03956128600544</v>
      </c>
      <c r="BK601" s="378" t="s">
        <v>704</v>
      </c>
      <c r="BL601" s="379">
        <f>IF((2*G601)/60&lt;0.2,0.2,(2*G601)/60)</f>
        <v>6.666666666666667</v>
      </c>
      <c r="BM601" s="380">
        <f>MOD((50000+AD601-$B$3+(0/24)),1)</f>
        <v>1.1322365586238448E-2</v>
      </c>
      <c r="BN601" s="381"/>
      <c r="BO601" s="382">
        <v>601</v>
      </c>
    </row>
    <row r="602" spans="1:67" s="24" customFormat="1" ht="15" customHeight="1" x14ac:dyDescent="0.25">
      <c r="A602" s="288" t="s">
        <v>705</v>
      </c>
      <c r="B602" s="241" t="str">
        <f>HYPERLINK(CONCATENATE($AT$3,BK602,$AU$3),$AV$3)</f>
        <v>S</v>
      </c>
      <c r="C602" s="242" t="str">
        <f>HYPERLINK(CONCATENATE($AT$4,BK602,$AU$4,BL602),$AV$4)</f>
        <v>A</v>
      </c>
      <c r="D602" s="243" t="s">
        <v>5187</v>
      </c>
      <c r="E602" s="244" t="s">
        <v>5179</v>
      </c>
      <c r="F602" s="269">
        <v>5</v>
      </c>
      <c r="G602" s="276">
        <v>30</v>
      </c>
      <c r="H602" s="271" t="s">
        <v>6500</v>
      </c>
      <c r="I602" s="244" t="s">
        <v>6500</v>
      </c>
      <c r="J602" s="246">
        <v>1</v>
      </c>
      <c r="K602" s="247" t="s">
        <v>5986</v>
      </c>
      <c r="L602" s="248">
        <v>191801</v>
      </c>
      <c r="M602" s="249">
        <f>15*(LEFT(TEXT($L602,"000000"),2)+(MID(TEXT($L602,"000000"),3,2)/60)+(RIGHT(TEXT($L602,"000000"),2)/3600))</f>
        <v>289.50416666666672</v>
      </c>
      <c r="N602" s="250">
        <v>-12500</v>
      </c>
      <c r="O602" s="251">
        <f>IF($N602&gt;0,(LEFT(TEXT($N602,"000000"),2)+(MID(TEXT($N602,"000000"),3,2)/60)+(RIGHT(TEXT($N602,"000000"),2)/3600)),-(MID(TEXT($N602,"000000"),2,2)+(MID(TEXT($N602,"000000"),4,2)/60)+(RIGHT(TEXT($N602,"000000"),2)/3600)))</f>
        <v>-1.4166666666666667</v>
      </c>
      <c r="P602" s="252" t="s">
        <v>126</v>
      </c>
      <c r="Q602" s="253"/>
      <c r="R602" s="247" t="s">
        <v>3293</v>
      </c>
      <c r="S602" s="272" t="s">
        <v>3293</v>
      </c>
      <c r="T602" s="273"/>
      <c r="U602" s="274"/>
      <c r="V602" s="256"/>
      <c r="W602" s="244"/>
      <c r="X602" s="244"/>
      <c r="Y602" s="362"/>
      <c r="Z602" s="257">
        <f>altaz(J2000_Bas,$O602,$M602,DecLat,DecLong,1)</f>
        <v>57.41275514171015</v>
      </c>
      <c r="AA602" s="257">
        <f>altaz((J2000_Bas+(2*0.04167)),$O602,$M602,DecLat,DecLong,1)</f>
        <v>48.901971318462792</v>
      </c>
      <c r="AB602" s="257">
        <f>altaz((J2000_Bas+(4*0.04167)),$O602,$M602,DecLat,DecLong,1)</f>
        <v>27.266690328307135</v>
      </c>
      <c r="AC602" s="257">
        <f>altaz((J2000_Bas+(6*0.04167)),$O602,$M602,DecLat,DecLong,1)</f>
        <v>2.0525354427015352</v>
      </c>
      <c r="AD602" s="258">
        <f>1+ transit((J2000_Bas-1),$O602,$M602,DecLat,DecLong)/360 + (GMTOffset/24) + (IF(DST="Y", 1, 0)/24)</f>
        <v>1.797078120952625</v>
      </c>
      <c r="AE602" s="259">
        <f>DATE(2001,9,21)+(M602/360)*365 - (360*((DecLong/360)- (GMTOffset/24) ))</f>
        <v>37453.525057870371</v>
      </c>
      <c r="AF602" s="260">
        <f>IF(DecLat&gt;0,IF((90 - (DecLat-O602))&gt;90, (90 - (O602-DecLat)), (90 - (DecLat-O602))),IF((90 + (DecLat-O602))&gt;90, (90 + (O602-DecLat)), (90 + (DecLat-O602))))</f>
        <v>57.583333333333336</v>
      </c>
      <c r="AG602" s="257">
        <f>angularseperation(MoonRA,MoonDec,$M602,$O602)</f>
        <v>46.333355273255037</v>
      </c>
      <c r="AH602" s="261">
        <f ca="1">MIN(100,IF($O$5&gt;80,0+30*($AG602/100),IF($O$5&gt;70,0+50*($AG602/100),IF($O$5&gt;60,5+50*($AG602/100),IF($O$5&gt;50,10+60*($AG602/100),IF($O$5&gt;40,15+70*($AG602/100),IF($O$5&gt;30,20+70*($AG602/100),IF($O$5&gt;20,40+55*($AG602/100),(80+(20-$O$5)+30*($AG602/100))))))))))</f>
        <v>97.17106692612694</v>
      </c>
      <c r="AI602" s="262"/>
      <c r="AJ602" s="262"/>
      <c r="AK602" s="262"/>
      <c r="AL602" s="263"/>
      <c r="AM602" s="264"/>
      <c r="AN602" s="263"/>
      <c r="AO602" s="263"/>
      <c r="AP602" s="265"/>
      <c r="AQ602" s="266"/>
      <c r="AR602" s="267"/>
      <c r="AS602" s="263"/>
      <c r="AT602" s="263"/>
      <c r="AU602" s="263"/>
      <c r="AV602" s="264"/>
      <c r="AW602" s="263">
        <v>139</v>
      </c>
      <c r="AX602" s="263"/>
      <c r="AY602" s="263"/>
      <c r="AZ602" s="263"/>
      <c r="BA602" s="263"/>
      <c r="BB602" s="263"/>
      <c r="BC602" s="263"/>
      <c r="BD602" s="264"/>
      <c r="BE602" s="263"/>
      <c r="BF602" s="263"/>
      <c r="BG602" s="263"/>
      <c r="BH602" s="263"/>
      <c r="BI602" s="263"/>
      <c r="BJ602" s="404">
        <f>altaz(J2000_Bas,$O602,$M602,DecLat,DecLong,2)</f>
        <v>173.4906481431326</v>
      </c>
      <c r="BK602" s="378" t="s">
        <v>705</v>
      </c>
      <c r="BL602" s="379">
        <f>IF((2*G602)/60&lt;0.2,0.2,(2*G602)/60)</f>
        <v>1</v>
      </c>
      <c r="BM602" s="380">
        <f>MOD((50000+AD602-$B$3+(0/24)),1)</f>
        <v>1.2445050655514933E-2</v>
      </c>
      <c r="BN602" s="381"/>
      <c r="BO602" s="382">
        <v>602</v>
      </c>
    </row>
    <row r="603" spans="1:67" s="24" customFormat="1" ht="15" customHeight="1" x14ac:dyDescent="0.25">
      <c r="A603" s="287" t="s">
        <v>706</v>
      </c>
      <c r="B603" s="241" t="str">
        <f>HYPERLINK(CONCATENATE($AT$3,BK603,$AU$3),$AV$3)</f>
        <v>S</v>
      </c>
      <c r="C603" s="242" t="str">
        <f>HYPERLINK(CONCATENATE($AT$4,BK603,$AU$4,BL603),$AV$4)</f>
        <v>A</v>
      </c>
      <c r="D603" s="243" t="s">
        <v>5187</v>
      </c>
      <c r="E603" s="244" t="s">
        <v>5179</v>
      </c>
      <c r="F603" s="269">
        <v>3</v>
      </c>
      <c r="G603" s="276">
        <v>60</v>
      </c>
      <c r="H603" s="271" t="s">
        <v>6500</v>
      </c>
      <c r="I603" s="244" t="s">
        <v>6500</v>
      </c>
      <c r="J603" s="246">
        <v>0</v>
      </c>
      <c r="K603" s="247" t="s">
        <v>5987</v>
      </c>
      <c r="L603" s="248">
        <v>191949</v>
      </c>
      <c r="M603" s="249">
        <f>15*(LEFT(TEXT($L603,"000000"),2)+(MID(TEXT($L603,"000000"),3,2)/60)+(RIGHT(TEXT($L603,"000000"),2)/3600))</f>
        <v>289.95416666666665</v>
      </c>
      <c r="N603" s="286">
        <v>51300</v>
      </c>
      <c r="O603" s="251">
        <f>IF($N603&gt;0,(LEFT(TEXT($N603,"000000"),2)+(MID(TEXT($N603,"000000"),3,2)/60)+(RIGHT(TEXT($N603,"000000"),2)/3600)),-(MID(TEXT($N603,"000000"),2,2)+(MID(TEXT($N603,"000000"),4,2)/60)+(RIGHT(TEXT($N603,"000000"),2)/3600)))</f>
        <v>5.2166666666666668</v>
      </c>
      <c r="P603" s="252" t="s">
        <v>126</v>
      </c>
      <c r="Q603" s="253"/>
      <c r="R603" s="277" t="s">
        <v>3293</v>
      </c>
      <c r="S603" s="272" t="s">
        <v>3293</v>
      </c>
      <c r="T603" s="273"/>
      <c r="U603" s="274"/>
      <c r="V603" s="256"/>
      <c r="W603" s="244"/>
      <c r="X603" s="244"/>
      <c r="Y603" s="362"/>
      <c r="Z603" s="257">
        <f>altaz(J2000_Bas,$O603,$M603,DecLat,DecLong,1)</f>
        <v>63.950635940416014</v>
      </c>
      <c r="AA603" s="257">
        <f>altaz((J2000_Bas+(2*0.04167)),$O603,$M603,DecLat,DecLong,1)</f>
        <v>54.40814462476196</v>
      </c>
      <c r="AB603" s="257">
        <f>altaz((J2000_Bas+(4*0.04167)),$O603,$M603,DecLat,DecLong,1)</f>
        <v>31.431210083340222</v>
      </c>
      <c r="AC603" s="257">
        <f>altaz((J2000_Bas+(6*0.04167)),$O603,$M603,DecLat,DecLong,1)</f>
        <v>5.8476237665627195</v>
      </c>
      <c r="AD603" s="258">
        <f>1+ transit((J2000_Bas-1),$O603,$M603,DecLat,DecLong)/360 + (GMTOffset/24) + (IF(DST="Y", 1, 0)/24)</f>
        <v>1.7983281208276247</v>
      </c>
      <c r="AE603" s="259">
        <f>DATE(2001,9,21)+(M603/360)*365 - (360*((DecLong/360)- (GMTOffset/24) ))</f>
        <v>37453.981307870374</v>
      </c>
      <c r="AF603" s="260">
        <f>IF(DecLat&gt;0,IF((90 - (DecLat-O603))&gt;90, (90 - (O603-DecLat)), (90 - (DecLat-O603))),IF((90 + (DecLat-O603))&gt;90, (90 + (O603-DecLat)), (90 + (DecLat-O603))))</f>
        <v>64.216666666666669</v>
      </c>
      <c r="AG603" s="257">
        <f>angularseperation(MoonRA,MoonDec,$M603,$O603)</f>
        <v>50.899651442872759</v>
      </c>
      <c r="AH603" s="261">
        <f ca="1">MIN(100,IF($O$5&gt;80,0+30*($AG603/100),IF($O$5&gt;70,0+50*($AG603/100),IF($O$5&gt;60,5+50*($AG603/100),IF($O$5&gt;50,10+60*($AG603/100),IF($O$5&gt;40,15+70*($AG603/100),IF($O$5&gt;30,20+70*($AG603/100),IF($O$5&gt;20,40+55*($AG603/100),(80+(20-$O$5)+30*($AG603/100))))))))))</f>
        <v>98.540955777012257</v>
      </c>
      <c r="AI603" s="263"/>
      <c r="AJ603" s="263"/>
      <c r="AK603" s="263"/>
      <c r="AL603" s="263"/>
      <c r="AM603" s="264"/>
      <c r="AN603" s="263"/>
      <c r="AO603" s="263"/>
      <c r="AP603" s="265"/>
      <c r="AQ603" s="265"/>
      <c r="AR603" s="285"/>
      <c r="AS603" s="263"/>
      <c r="AT603" s="263"/>
      <c r="AU603" s="263"/>
      <c r="AV603" s="264"/>
      <c r="AW603" s="263">
        <v>140</v>
      </c>
      <c r="AX603" s="263"/>
      <c r="AY603" s="263"/>
      <c r="AZ603" s="263"/>
      <c r="BA603" s="263"/>
      <c r="BB603" s="263"/>
      <c r="BC603" s="263"/>
      <c r="BD603" s="264"/>
      <c r="BE603" s="263"/>
      <c r="BF603" s="263"/>
      <c r="BG603" s="263"/>
      <c r="BH603" s="263"/>
      <c r="BI603" s="263"/>
      <c r="BJ603" s="404">
        <f>altaz(J2000_Bas,$O603,$M603,DecLat,DecLong,2)</f>
        <v>171.00927153558737</v>
      </c>
      <c r="BK603" s="378" t="s">
        <v>706</v>
      </c>
      <c r="BL603" s="379">
        <f>IF((2*G603)/60&lt;0.2,0.2,(2*G603)/60)</f>
        <v>2</v>
      </c>
      <c r="BM603" s="380">
        <f>MOD((50000+AD603-$B$3+(0/24)),1)</f>
        <v>1.3695050532987807E-2</v>
      </c>
      <c r="BN603" s="381"/>
      <c r="BO603" s="382">
        <v>603</v>
      </c>
    </row>
    <row r="604" spans="1:67" s="24" customFormat="1" ht="15" customHeight="1" x14ac:dyDescent="0.25">
      <c r="A604" s="287" t="s">
        <v>707</v>
      </c>
      <c r="B604" s="241" t="str">
        <f>HYPERLINK(CONCATENATE($AT$3,BK604,$AU$3),$AV$3)</f>
        <v>S</v>
      </c>
      <c r="C604" s="242" t="str">
        <f>HYPERLINK(CONCATENATE($AT$4,BK604,$AU$4,BL604),$AV$4)</f>
        <v>A</v>
      </c>
      <c r="D604" s="243" t="s">
        <v>5187</v>
      </c>
      <c r="E604" s="244" t="s">
        <v>5179</v>
      </c>
      <c r="F604" s="269">
        <v>1</v>
      </c>
      <c r="G604" s="276">
        <v>20</v>
      </c>
      <c r="H604" s="271" t="s">
        <v>6500</v>
      </c>
      <c r="I604" s="244" t="s">
        <v>6500</v>
      </c>
      <c r="J604" s="246">
        <v>0</v>
      </c>
      <c r="K604" s="247" t="s">
        <v>5988</v>
      </c>
      <c r="L604" s="248">
        <v>192012</v>
      </c>
      <c r="M604" s="249">
        <f>15*(LEFT(TEXT($L604,"000000"),2)+(MID(TEXT($L604,"000000"),3,2)/60)+(RIGHT(TEXT($L604,"000000"),2)/3600))</f>
        <v>290.05</v>
      </c>
      <c r="N604" s="286">
        <v>15300</v>
      </c>
      <c r="O604" s="251">
        <f>IF($N604&gt;0,(LEFT(TEXT($N604,"000000"),2)+(MID(TEXT($N604,"000000"),3,2)/60)+(RIGHT(TEXT($N604,"000000"),2)/3600)),-(MID(TEXT($N604,"000000"),2,2)+(MID(TEXT($N604,"000000"),4,2)/60)+(RIGHT(TEXT($N604,"000000"),2)/3600)))</f>
        <v>1.8833333333333333</v>
      </c>
      <c r="P604" s="252" t="s">
        <v>126</v>
      </c>
      <c r="Q604" s="253"/>
      <c r="R604" s="277" t="s">
        <v>3293</v>
      </c>
      <c r="S604" s="272" t="s">
        <v>3293</v>
      </c>
      <c r="T604" s="273"/>
      <c r="U604" s="274"/>
      <c r="V604" s="256"/>
      <c r="W604" s="244"/>
      <c r="X604" s="244"/>
      <c r="Y604" s="362"/>
      <c r="Z604" s="257">
        <f>altaz(J2000_Bas,$O604,$M604,DecLat,DecLong,1)</f>
        <v>60.632733415659693</v>
      </c>
      <c r="AA604" s="257">
        <f>altaz((J2000_Bas+(2*0.04167)),$O604,$M604,DecLat,DecLong,1)</f>
        <v>51.876635735692339</v>
      </c>
      <c r="AB604" s="257">
        <f>altaz((J2000_Bas+(4*0.04167)),$O604,$M604,DecLat,DecLong,1)</f>
        <v>29.635436138032933</v>
      </c>
      <c r="AC604" s="257">
        <f>altaz((J2000_Bas+(6*0.04167)),$O604,$M604,DecLat,DecLong,1)</f>
        <v>4.2213720111847008</v>
      </c>
      <c r="AD604" s="258">
        <f>1+ transit((J2000_Bas-1),$O604,$M604,DecLat,DecLong)/360 + (GMTOffset/24) + (IF(DST="Y", 1, 0)/24)</f>
        <v>1.7985943245047078</v>
      </c>
      <c r="AE604" s="259">
        <f>DATE(2001,9,21)+(M604/360)*365 - (360*((DecLong/360)- (GMTOffset/24) ))</f>
        <v>37454.078472222223</v>
      </c>
      <c r="AF604" s="260">
        <f>IF(DecLat&gt;0,IF((90 - (DecLat-O604))&gt;90, (90 - (O604-DecLat)), (90 - (DecLat-O604))),IF((90 + (DecLat-O604))&gt;90, (90 + (O604-DecLat)), (90 + (DecLat-O604))))</f>
        <v>60.883333333333333</v>
      </c>
      <c r="AG604" s="257">
        <f>angularseperation(MoonRA,MoonDec,$M604,$O604)</f>
        <v>48.80885718462725</v>
      </c>
      <c r="AH604" s="261">
        <f ca="1">MIN(100,IF($O$5&gt;80,0+30*($AG604/100),IF($O$5&gt;70,0+50*($AG604/100),IF($O$5&gt;60,5+50*($AG604/100),IF($O$5&gt;50,10+60*($AG604/100),IF($O$5&gt;40,15+70*($AG604/100),IF($O$5&gt;30,20+70*($AG604/100),IF($O$5&gt;20,40+55*($AG604/100),(80+(20-$O$5)+30*($AG604/100))))))))))</f>
        <v>97.913717499538606</v>
      </c>
      <c r="AI604" s="263"/>
      <c r="AJ604" s="263"/>
      <c r="AK604" s="263"/>
      <c r="AL604" s="263"/>
      <c r="AM604" s="264"/>
      <c r="AN604" s="263"/>
      <c r="AO604" s="263"/>
      <c r="AP604" s="265"/>
      <c r="AQ604" s="265"/>
      <c r="AR604" s="285"/>
      <c r="AS604" s="263"/>
      <c r="AT604" s="263"/>
      <c r="AU604" s="263"/>
      <c r="AV604" s="264"/>
      <c r="AW604" s="263">
        <v>141</v>
      </c>
      <c r="AX604" s="263"/>
      <c r="AY604" s="263"/>
      <c r="AZ604" s="263"/>
      <c r="BA604" s="263"/>
      <c r="BB604" s="263"/>
      <c r="BC604" s="263"/>
      <c r="BD604" s="264"/>
      <c r="BE604" s="263"/>
      <c r="BF604" s="263"/>
      <c r="BG604" s="263"/>
      <c r="BH604" s="263"/>
      <c r="BI604" s="263"/>
      <c r="BJ604" s="404">
        <f>altaz(J2000_Bas,$O604,$M604,DecLat,DecLong,2)</f>
        <v>171.72951812050147</v>
      </c>
      <c r="BK604" s="378" t="s">
        <v>707</v>
      </c>
      <c r="BL604" s="379">
        <f>IF((2*G604)/60&lt;0.2,0.2,(2*G604)/60)</f>
        <v>0.66666666666666663</v>
      </c>
      <c r="BM604" s="380">
        <f>MOD((50000+AD604-$B$3+(0/24)),1)</f>
        <v>1.396125421160832E-2</v>
      </c>
      <c r="BN604" s="381"/>
      <c r="BO604" s="382">
        <v>604</v>
      </c>
    </row>
    <row r="605" spans="1:67" s="24" customFormat="1" ht="15" customHeight="1" x14ac:dyDescent="0.25">
      <c r="A605" s="288" t="s">
        <v>708</v>
      </c>
      <c r="B605" s="241" t="str">
        <f>HYPERLINK(CONCATENATE($AT$3,BK605,$AU$3),$AV$3)</f>
        <v>S</v>
      </c>
      <c r="C605" s="242" t="str">
        <f>HYPERLINK(CONCATENATE($AT$4,BK605,$AU$4,BL605),$AV$4)</f>
        <v>A</v>
      </c>
      <c r="D605" s="243" t="s">
        <v>5187</v>
      </c>
      <c r="E605" s="244" t="s">
        <v>5179</v>
      </c>
      <c r="F605" s="269">
        <v>6</v>
      </c>
      <c r="G605" s="276">
        <v>40</v>
      </c>
      <c r="H605" s="271" t="s">
        <v>6500</v>
      </c>
      <c r="I605" s="244" t="s">
        <v>6500</v>
      </c>
      <c r="J605" s="246">
        <v>1</v>
      </c>
      <c r="K605" s="247" t="s">
        <v>5832</v>
      </c>
      <c r="L605" s="248">
        <v>193942</v>
      </c>
      <c r="M605" s="249">
        <f>15*(LEFT(TEXT($L605,"000000"),2)+(MID(TEXT($L605,"000000"),3,2)/60)+(RIGHT(TEXT($L605,"000000"),2)/3600))</f>
        <v>294.92499999999995</v>
      </c>
      <c r="N605" s="250">
        <v>103100</v>
      </c>
      <c r="O605" s="251">
        <f>IF($N605&gt;0,(LEFT(TEXT($N605,"000000"),2)+(MID(TEXT($N605,"000000"),3,2)/60)+(RIGHT(TEXT($N605,"000000"),2)/3600)),-(MID(TEXT($N605,"000000"),2,2)+(MID(TEXT($N605,"000000"),4,2)/60)+(RIGHT(TEXT($N605,"000000"),2)/3600)))</f>
        <v>10.516666666666667</v>
      </c>
      <c r="P605" s="252" t="s">
        <v>126</v>
      </c>
      <c r="Q605" s="253"/>
      <c r="R605" s="247" t="s">
        <v>3293</v>
      </c>
      <c r="S605" s="272"/>
      <c r="T605" s="273"/>
      <c r="U605" s="274"/>
      <c r="V605" s="256"/>
      <c r="W605" s="244"/>
      <c r="X605" s="244"/>
      <c r="Y605" s="362"/>
      <c r="Z605" s="257">
        <f>altaz(J2000_Bas,$O605,$M605,DecLat,DecLong,1)</f>
        <v>67.907214814889116</v>
      </c>
      <c r="AA605" s="257">
        <f>altaz((J2000_Bas+(2*0.04167)),$O605,$M605,DecLat,DecLong,1)</f>
        <v>61.635090574675594</v>
      </c>
      <c r="AB605" s="257">
        <f>altaz((J2000_Bas+(4*0.04167)),$O605,$M605,DecLat,DecLong,1)</f>
        <v>38.429543912903611</v>
      </c>
      <c r="AC605" s="257">
        <f>altaz((J2000_Bas+(6*0.04167)),$O605,$M605,DecLat,DecLong,1)</f>
        <v>12.769471180704981</v>
      </c>
      <c r="AD605" s="258">
        <f>1+ transit((J2000_Bas-1),$O605,$M605,DecLat,DecLong)/360 + (GMTOffset/24) + (IF(DST="Y", 1, 0)/24)</f>
        <v>1.812135989817208</v>
      </c>
      <c r="AE605" s="259">
        <f>DATE(2001,9,21)+(M605/360)*365 - (360*((DecLong/360)- (GMTOffset/24) ))</f>
        <v>37459.021180555559</v>
      </c>
      <c r="AF605" s="260">
        <f>IF(DecLat&gt;0,IF((90 - (DecLat-O605))&gt;90, (90 - (O605-DecLat)), (90 - (DecLat-O605))),IF((90 + (DecLat-O605))&gt;90, (90 + (O605-DecLat)), (90 + (DecLat-O605))))</f>
        <v>69.516666666666666</v>
      </c>
      <c r="AG605" s="257">
        <f>angularseperation(MoonRA,MoonDec,$M605,$O605)</f>
        <v>58.098250112437306</v>
      </c>
      <c r="AH605" s="261">
        <f ca="1">MIN(100,IF($O$5&gt;80,0+30*($AG605/100),IF($O$5&gt;70,0+50*($AG605/100),IF($O$5&gt;60,5+50*($AG605/100),IF($O$5&gt;50,10+60*($AG605/100),IF($O$5&gt;40,15+70*($AG605/100),IF($O$5&gt;30,20+70*($AG605/100),IF($O$5&gt;20,40+55*($AG605/100),(80+(20-$O$5)+30*($AG605/100))))))))))</f>
        <v>100</v>
      </c>
      <c r="AI605" s="262"/>
      <c r="AJ605" s="262"/>
      <c r="AK605" s="262"/>
      <c r="AL605" s="263"/>
      <c r="AM605" s="264"/>
      <c r="AN605" s="263"/>
      <c r="AO605" s="263"/>
      <c r="AP605" s="265"/>
      <c r="AQ605" s="266"/>
      <c r="AR605" s="267"/>
      <c r="AS605" s="263"/>
      <c r="AT605" s="263"/>
      <c r="AU605" s="263"/>
      <c r="AV605" s="264"/>
      <c r="AW605" s="263">
        <v>142</v>
      </c>
      <c r="AX605" s="263"/>
      <c r="AY605" s="263"/>
      <c r="AZ605" s="263"/>
      <c r="BA605" s="263"/>
      <c r="BB605" s="263"/>
      <c r="BC605" s="263"/>
      <c r="BD605" s="264"/>
      <c r="BE605" s="263"/>
      <c r="BF605" s="263"/>
      <c r="BG605" s="263"/>
      <c r="BH605" s="263"/>
      <c r="BI605" s="263"/>
      <c r="BJ605" s="404">
        <f>altaz(J2000_Bas,$O605,$M605,DecLat,DecLong,2)</f>
        <v>156.08100270390864</v>
      </c>
      <c r="BK605" s="378" t="s">
        <v>708</v>
      </c>
      <c r="BL605" s="379">
        <f>IF((2*G605)/60&lt;0.2,0.2,(2*G605)/60)</f>
        <v>1.3333333333333333</v>
      </c>
      <c r="BM605" s="380">
        <f>MOD((50000+AD605-$B$3+(0/24)),1)</f>
        <v>2.7502919518155977E-2</v>
      </c>
      <c r="BN605" s="381"/>
      <c r="BO605" s="382">
        <v>605</v>
      </c>
    </row>
    <row r="606" spans="1:67" s="24" customFormat="1" ht="15" customHeight="1" x14ac:dyDescent="0.25">
      <c r="A606" s="288" t="s">
        <v>709</v>
      </c>
      <c r="B606" s="241" t="str">
        <f>HYPERLINK(CONCATENATE($AT$3,BK606,$AU$3),$AV$3)</f>
        <v>S</v>
      </c>
      <c r="C606" s="242" t="str">
        <f>HYPERLINK(CONCATENATE($AT$4,BK606,$AU$4,BL606),$AV$4)</f>
        <v>A</v>
      </c>
      <c r="D606" s="243" t="s">
        <v>5187</v>
      </c>
      <c r="E606" s="244" t="s">
        <v>5179</v>
      </c>
      <c r="F606" s="269">
        <v>6</v>
      </c>
      <c r="G606" s="276">
        <v>40</v>
      </c>
      <c r="H606" s="271" t="s">
        <v>6500</v>
      </c>
      <c r="I606" s="244" t="s">
        <v>6500</v>
      </c>
      <c r="J606" s="246">
        <v>3</v>
      </c>
      <c r="K606" s="247" t="s">
        <v>9376</v>
      </c>
      <c r="L606" s="248">
        <v>194125</v>
      </c>
      <c r="M606" s="249">
        <f>15*(LEFT(TEXT($L606,"000000"),2)+(MID(TEXT($L606,"000000"),3,2)/60)+(RIGHT(TEXT($L606,"000000"),2)/3600))</f>
        <v>295.35416666666663</v>
      </c>
      <c r="N606" s="286">
        <v>110000</v>
      </c>
      <c r="O606" s="251">
        <f>IF($N606&gt;0,(LEFT(TEXT($N606,"000000"),2)+(MID(TEXT($N606,"000000"),3,2)/60)+(RIGHT(TEXT($N606,"000000"),2)/3600)),-(MID(TEXT($N606,"000000"),2,2)+(MID(TEXT($N606,"000000"),4,2)/60)+(RIGHT(TEXT($N606,"000000"),2)/3600)))</f>
        <v>11</v>
      </c>
      <c r="P606" s="252" t="s">
        <v>126</v>
      </c>
      <c r="Q606" s="253"/>
      <c r="R606" s="247" t="s">
        <v>3293</v>
      </c>
      <c r="S606" s="272"/>
      <c r="T606" s="273"/>
      <c r="U606" s="274"/>
      <c r="V606" s="256"/>
      <c r="W606" s="244"/>
      <c r="X606" s="244"/>
      <c r="Y606" s="362"/>
      <c r="Z606" s="257">
        <f>altaz(J2000_Bas,$O606,$M606,DecLat,DecLong,1)</f>
        <v>68.203748723030387</v>
      </c>
      <c r="AA606" s="257">
        <f>altaz((J2000_Bas+(2*0.04167)),$O606,$M606,DecLat,DecLong,1)</f>
        <v>62.27645941714615</v>
      </c>
      <c r="AB606" s="257">
        <f>altaz((J2000_Bas+(4*0.04167)),$O606,$M606,DecLat,DecLong,1)</f>
        <v>39.040934584407573</v>
      </c>
      <c r="AC606" s="257">
        <f>altaz((J2000_Bas+(6*0.04167)),$O606,$M606,DecLat,DecLong,1)</f>
        <v>13.37484071675749</v>
      </c>
      <c r="AD606" s="258">
        <f>1+ transit((J2000_Bas-1),$O606,$M606,DecLat,DecLong)/360 + (GMTOffset/24) + (IF(DST="Y", 1, 0)/24)</f>
        <v>1.8133281193276243</v>
      </c>
      <c r="AE606" s="259">
        <f>DATE(2001,9,21)+(M606/360)*365 - (360*((DecLong/360)- (GMTOffset/24) ))</f>
        <v>37459.456307870372</v>
      </c>
      <c r="AF606" s="260">
        <f>IF(DecLat&gt;0,IF((90 - (DecLat-O606))&gt;90, (90 - (O606-DecLat)), (90 - (DecLat-O606))),IF((90 + (DecLat-O606))&gt;90, (90 + (O606-DecLat)), (90 + (DecLat-O606))))</f>
        <v>70</v>
      </c>
      <c r="AG606" s="257">
        <f>angularseperation(MoonRA,MoonDec,$M606,$O606)</f>
        <v>58.734095158138487</v>
      </c>
      <c r="AH606" s="261">
        <f ca="1">MIN(100,IF($O$5&gt;80,0+30*($AG606/100),IF($O$5&gt;70,0+50*($AG606/100),IF($O$5&gt;60,5+50*($AG606/100),IF($O$5&gt;50,10+60*($AG606/100),IF($O$5&gt;40,15+70*($AG606/100),IF($O$5&gt;30,20+70*($AG606/100),IF($O$5&gt;20,40+55*($AG606/100),(80+(20-$O$5)+30*($AG606/100))))))))))</f>
        <v>100</v>
      </c>
      <c r="AI606" s="262"/>
      <c r="AJ606" s="262"/>
      <c r="AK606" s="262"/>
      <c r="AL606" s="263"/>
      <c r="AM606" s="264"/>
      <c r="AN606" s="263"/>
      <c r="AO606" s="263"/>
      <c r="AP606" s="265"/>
      <c r="AQ606" s="266"/>
      <c r="AR606" s="267"/>
      <c r="AS606" s="263"/>
      <c r="AT606" s="263"/>
      <c r="AU606" s="263"/>
      <c r="AV606" s="264"/>
      <c r="AW606" s="263">
        <v>143</v>
      </c>
      <c r="AX606" s="263"/>
      <c r="AY606" s="263"/>
      <c r="AZ606" s="263"/>
      <c r="BA606" s="263"/>
      <c r="BB606" s="263"/>
      <c r="BC606" s="263"/>
      <c r="BD606" s="264"/>
      <c r="BE606" s="263"/>
      <c r="BF606" s="263"/>
      <c r="BG606" s="263"/>
      <c r="BH606" s="263"/>
      <c r="BI606" s="263">
        <v>87</v>
      </c>
      <c r="BJ606" s="404">
        <f>altaz(J2000_Bas,$O606,$M606,DecLat,DecLong,2)</f>
        <v>154.55910049895104</v>
      </c>
      <c r="BK606" s="378" t="s">
        <v>709</v>
      </c>
      <c r="BL606" s="379">
        <f>IF((2*G606)/60&lt;0.2,0.2,(2*G606)/60)</f>
        <v>1.3333333333333333</v>
      </c>
      <c r="BM606" s="380">
        <f>MOD((50000+AD606-$B$3+(0/24)),1)</f>
        <v>2.8695049033558462E-2</v>
      </c>
      <c r="BN606" s="381"/>
      <c r="BO606" s="382">
        <v>606</v>
      </c>
    </row>
    <row r="607" spans="1:67" s="24" customFormat="1" ht="15" customHeight="1" x14ac:dyDescent="0.25">
      <c r="A607" s="287" t="s">
        <v>710</v>
      </c>
      <c r="B607" s="241" t="str">
        <f>HYPERLINK(CONCATENATE($AT$3,BK607,$AU$3),$AV$3)</f>
        <v>S</v>
      </c>
      <c r="C607" s="242" t="str">
        <f>HYPERLINK(CONCATENATE($AT$4,BK607,$AU$4,BL607),$AV$4)</f>
        <v>A</v>
      </c>
      <c r="D607" s="243" t="s">
        <v>5187</v>
      </c>
      <c r="E607" s="244" t="s">
        <v>5179</v>
      </c>
      <c r="F607" s="269">
        <v>1</v>
      </c>
      <c r="G607" s="276">
        <v>360</v>
      </c>
      <c r="H607" s="271" t="s">
        <v>6500</v>
      </c>
      <c r="I607" s="244" t="s">
        <v>6500</v>
      </c>
      <c r="J607" s="246">
        <v>2</v>
      </c>
      <c r="K607" s="247" t="s">
        <v>5989</v>
      </c>
      <c r="L607" s="248">
        <v>195842</v>
      </c>
      <c r="M607" s="249">
        <f>15*(LEFT(TEXT($L607,"000000"),2)+(MID(TEXT($L607,"000000"),3,2)/60)+(RIGHT(TEXT($L607,"000000"),2)/3600))</f>
        <v>299.67499999999995</v>
      </c>
      <c r="N607" s="286">
        <v>352000</v>
      </c>
      <c r="O607" s="251">
        <f>IF($N607&gt;0,(LEFT(TEXT($N607,"000000"),2)+(MID(TEXT($N607,"000000"),3,2)/60)+(RIGHT(TEXT($N607,"000000"),2)/3600)),-(MID(TEXT($N607,"000000"),2,2)+(MID(TEXT($N607,"000000"),4,2)/60)+(RIGHT(TEXT($N607,"000000"),2)/3600)))</f>
        <v>35.333333333333336</v>
      </c>
      <c r="P607" s="252" t="s">
        <v>60</v>
      </c>
      <c r="Q607" s="253"/>
      <c r="R607" s="277" t="s">
        <v>3293</v>
      </c>
      <c r="S607" s="272" t="s">
        <v>3293</v>
      </c>
      <c r="T607" s="273"/>
      <c r="U607" s="274"/>
      <c r="V607" s="256"/>
      <c r="W607" s="244"/>
      <c r="X607" s="244"/>
      <c r="Y607" s="362"/>
      <c r="Z607" s="257">
        <f>altaz(J2000_Bas,$O607,$M607,DecLat,DecLong,1)</f>
        <v>77.775662680218048</v>
      </c>
      <c r="AA607" s="257">
        <f>altaz((J2000_Bas+(2*0.04167)),$O607,$M607,DecLat,DecLong,1)</f>
        <v>75.615070383721957</v>
      </c>
      <c r="AB607" s="257">
        <f>altaz((J2000_Bas+(4*0.04167)),$O607,$M607,DecLat,DecLong,1)</f>
        <v>51.191370918110337</v>
      </c>
      <c r="AC607" s="257">
        <f>altaz((J2000_Bas+(6*0.04167)),$O607,$M607,DecLat,DecLong,1)</f>
        <v>27.396265826263292</v>
      </c>
      <c r="AD607" s="258">
        <f>1+ transit((J2000_Bas-1),$O607,$M607,DecLat,DecLong)/360 + (GMTOffset/24) + (IF(DST="Y", 1, 0)/24)</f>
        <v>1.8253304329422082</v>
      </c>
      <c r="AE607" s="259">
        <f>DATE(2001,9,21)+(M607/360)*365 - (360*((DecLong/360)- (GMTOffset/24) ))</f>
        <v>37463.837152777778</v>
      </c>
      <c r="AF607" s="260">
        <f>IF(DecLat&gt;0,IF((90 - (DecLat-O607))&gt;90, (90 - (O607-DecLat)), (90 - (DecLat-O607))),IF((90 + (DecLat-O607))&gt;90, (90 + (O607-DecLat)), (90 + (DecLat-O607))))</f>
        <v>85.666666666666657</v>
      </c>
      <c r="AG607" s="257">
        <f>angularseperation(MoonRA,MoonDec,$M607,$O607)</f>
        <v>78.50106106489234</v>
      </c>
      <c r="AH607" s="261">
        <f ca="1">MIN(100,IF($O$5&gt;80,0+30*($AG607/100),IF($O$5&gt;70,0+50*($AG607/100),IF($O$5&gt;60,5+50*($AG607/100),IF($O$5&gt;50,10+60*($AG607/100),IF($O$5&gt;40,15+70*($AG607/100),IF($O$5&gt;30,20+70*($AG607/100),IF($O$5&gt;20,40+55*($AG607/100),(80+(20-$O$5)+30*($AG607/100))))))))))</f>
        <v>100</v>
      </c>
      <c r="AI607" s="263"/>
      <c r="AJ607" s="263"/>
      <c r="AK607" s="263"/>
      <c r="AL607" s="263"/>
      <c r="AM607" s="264"/>
      <c r="AN607" s="263"/>
      <c r="AO607" s="263"/>
      <c r="AP607" s="265"/>
      <c r="AQ607" s="265"/>
      <c r="AR607" s="285"/>
      <c r="AS607" s="263"/>
      <c r="AT607" s="263"/>
      <c r="AU607" s="263"/>
      <c r="AV607" s="264"/>
      <c r="AW607" s="263">
        <v>144</v>
      </c>
      <c r="AX607" s="263"/>
      <c r="AY607" s="263"/>
      <c r="AZ607" s="263"/>
      <c r="BA607" s="263"/>
      <c r="BB607" s="263"/>
      <c r="BC607" s="263"/>
      <c r="BD607" s="264"/>
      <c r="BE607" s="263"/>
      <c r="BF607" s="263"/>
      <c r="BG607" s="263"/>
      <c r="BH607" s="263"/>
      <c r="BI607" s="263"/>
      <c r="BJ607" s="404">
        <f>altaz(J2000_Bas,$O607,$M607,DecLat,DecLong,2)</f>
        <v>65.601671197623645</v>
      </c>
      <c r="BK607" s="378" t="s">
        <v>710</v>
      </c>
      <c r="BL607" s="379">
        <f>IF((2*G607)/60&lt;0.2,0.2,(2*G607)/60)</f>
        <v>12</v>
      </c>
      <c r="BM607" s="380">
        <f>MOD((50000+AD607-$B$3+(0/24)),1)</f>
        <v>4.0697362645005342E-2</v>
      </c>
      <c r="BN607" s="381"/>
      <c r="BO607" s="382">
        <v>607</v>
      </c>
    </row>
    <row r="608" spans="1:67" s="24" customFormat="1" ht="15" customHeight="1" x14ac:dyDescent="0.25">
      <c r="A608" s="287" t="s">
        <v>711</v>
      </c>
      <c r="B608" s="241" t="str">
        <f>HYPERLINK(CONCATENATE($AT$3,BK608,$AU$3),$AV$3)</f>
        <v>S</v>
      </c>
      <c r="C608" s="242" t="str">
        <f>HYPERLINK(CONCATENATE($AT$4,BK608,$AU$4,BL608),$AV$4)</f>
        <v>A</v>
      </c>
      <c r="D608" s="243" t="s">
        <v>5187</v>
      </c>
      <c r="E608" s="244" t="s">
        <v>5179</v>
      </c>
      <c r="F608" s="269">
        <v>4</v>
      </c>
      <c r="G608" s="276">
        <v>45</v>
      </c>
      <c r="H608" s="271" t="s">
        <v>6500</v>
      </c>
      <c r="I608" s="244" t="s">
        <v>6500</v>
      </c>
      <c r="J608" s="246">
        <v>2</v>
      </c>
      <c r="K608" s="247" t="s">
        <v>5833</v>
      </c>
      <c r="L608" s="248">
        <v>200249</v>
      </c>
      <c r="M608" s="249">
        <f>15*(LEFT(TEXT($L608,"000000"),2)+(MID(TEXT($L608,"000000"),3,2)/60)+(RIGHT(TEXT($L608,"000000"),2)/3600))</f>
        <v>300.70416666666671</v>
      </c>
      <c r="N608" s="286">
        <v>374100</v>
      </c>
      <c r="O608" s="251">
        <f>IF($N608&gt;0,(LEFT(TEXT($N608,"000000"),2)+(MID(TEXT($N608,"000000"),3,2)/60)+(RIGHT(TEXT($N608,"000000"),2)/3600)),-(MID(TEXT($N608,"000000"),2,2)+(MID(TEXT($N608,"000000"),4,2)/60)+(RIGHT(TEXT($N608,"000000"),2)/3600)))</f>
        <v>37.68333333333333</v>
      </c>
      <c r="P608" s="252" t="s">
        <v>60</v>
      </c>
      <c r="Q608" s="253"/>
      <c r="R608" s="277" t="s">
        <v>3293</v>
      </c>
      <c r="S608" s="272" t="s">
        <v>3293</v>
      </c>
      <c r="T608" s="273"/>
      <c r="U608" s="274"/>
      <c r="V608" s="256"/>
      <c r="W608" s="244"/>
      <c r="X608" s="244"/>
      <c r="Y608" s="362"/>
      <c r="Z608" s="257">
        <f>altaz(J2000_Bas,$O608,$M608,DecLat,DecLong,1)</f>
        <v>76.16671912640895</v>
      </c>
      <c r="AA608" s="257">
        <f>altaz((J2000_Bas+(2*0.04167)),$O608,$M608,DecLat,DecLong,1)</f>
        <v>75.673546897993546</v>
      </c>
      <c r="AB608" s="257">
        <f>altaz((J2000_Bas+(4*0.04167)),$O608,$M608,DecLat,DecLong,1)</f>
        <v>52.240336881421925</v>
      </c>
      <c r="AC608" s="257">
        <f>altaz((J2000_Bas+(6*0.04167)),$O608,$M608,DecLat,DecLong,1)</f>
        <v>28.953039695753347</v>
      </c>
      <c r="AD608" s="258">
        <f>1+ transit((J2000_Bas-1),$O608,$M608,DecLat,DecLong)/360 + (GMTOffset/24) + (IF(DST="Y", 1, 0)/24)</f>
        <v>1.8281892289526247</v>
      </c>
      <c r="AE608" s="259">
        <f>DATE(2001,9,21)+(M608/360)*365 - (360*((DecLong/360)- (GMTOffset/24) ))</f>
        <v>37464.880613425928</v>
      </c>
      <c r="AF608" s="260">
        <f>IF(DecLat&gt;0,IF((90 - (DecLat-O608))&gt;90, (90 - (O608-DecLat)), (90 - (DecLat-O608))),IF((90 + (DecLat-O608))&gt;90, (90 + (O608-DecLat)), (90 + (DecLat-O608))))</f>
        <v>83.316666666666663</v>
      </c>
      <c r="AG608" s="257">
        <f>angularseperation(MoonRA,MoonDec,$M608,$O608)</f>
        <v>80.753939749803521</v>
      </c>
      <c r="AH608" s="261">
        <f ca="1">MIN(100,IF($O$5&gt;80,0+30*($AG608/100),IF($O$5&gt;70,0+50*($AG608/100),IF($O$5&gt;60,5+50*($AG608/100),IF($O$5&gt;50,10+60*($AG608/100),IF($O$5&gt;40,15+70*($AG608/100),IF($O$5&gt;30,20+70*($AG608/100),IF($O$5&gt;20,40+55*($AG608/100),(80+(20-$O$5)+30*($AG608/100))))))))))</f>
        <v>100</v>
      </c>
      <c r="AI608" s="263"/>
      <c r="AJ608" s="263"/>
      <c r="AK608" s="263"/>
      <c r="AL608" s="263"/>
      <c r="AM608" s="264"/>
      <c r="AN608" s="263"/>
      <c r="AO608" s="263"/>
      <c r="AP608" s="265"/>
      <c r="AQ608" s="265"/>
      <c r="AR608" s="285"/>
      <c r="AS608" s="263"/>
      <c r="AT608" s="263"/>
      <c r="AU608" s="263"/>
      <c r="AV608" s="264"/>
      <c r="AW608" s="263">
        <v>145</v>
      </c>
      <c r="AX608" s="263"/>
      <c r="AY608" s="263"/>
      <c r="AZ608" s="263"/>
      <c r="BA608" s="263"/>
      <c r="BB608" s="263"/>
      <c r="BC608" s="263"/>
      <c r="BD608" s="264"/>
      <c r="BE608" s="263"/>
      <c r="BF608" s="263"/>
      <c r="BG608" s="263"/>
      <c r="BH608" s="263"/>
      <c r="BI608" s="263"/>
      <c r="BJ608" s="404">
        <f>altaz(J2000_Bas,$O608,$M608,DecLat,DecLong,2)</f>
        <v>57.141466952973175</v>
      </c>
      <c r="BK608" s="378" t="s">
        <v>711</v>
      </c>
      <c r="BL608" s="379">
        <f>IF((2*G608)/60&lt;0.2,0.2,(2*G608)/60)</f>
        <v>1.5</v>
      </c>
      <c r="BM608" s="380">
        <f>MOD((50000+AD608-$B$3+(0/24)),1)</f>
        <v>4.3556158656429034E-2</v>
      </c>
      <c r="BN608" s="381"/>
      <c r="BO608" s="382">
        <v>608</v>
      </c>
    </row>
    <row r="609" spans="1:67" s="24" customFormat="1" ht="15" customHeight="1" x14ac:dyDescent="0.25">
      <c r="A609" s="288" t="s">
        <v>712</v>
      </c>
      <c r="B609" s="241" t="str">
        <f>HYPERLINK(CONCATENATE($AT$3,BK609,$AU$3),$AV$3)</f>
        <v>S</v>
      </c>
      <c r="C609" s="242" t="str">
        <f>HYPERLINK(CONCATENATE($AT$4,BK609,$AU$4,BL609),$AV$4)</f>
        <v>A</v>
      </c>
      <c r="D609" s="243" t="s">
        <v>5187</v>
      </c>
      <c r="E609" s="244" t="s">
        <v>5179</v>
      </c>
      <c r="F609" s="269">
        <v>6</v>
      </c>
      <c r="G609" s="273">
        <v>7</v>
      </c>
      <c r="H609" s="271" t="s">
        <v>6500</v>
      </c>
      <c r="I609" s="244" t="s">
        <v>6500</v>
      </c>
      <c r="J609" s="246">
        <v>2</v>
      </c>
      <c r="K609" s="247" t="s">
        <v>8375</v>
      </c>
      <c r="L609" s="248">
        <v>200329</v>
      </c>
      <c r="M609" s="249">
        <f>15*(LEFT(TEXT($L609,"000000"),2)+(MID(TEXT($L609,"000000"),3,2)/60)+(RIGHT(TEXT($L609,"000000"),2)/3600))</f>
        <v>300.87083333333334</v>
      </c>
      <c r="N609" s="250">
        <v>360100</v>
      </c>
      <c r="O609" s="251">
        <f>IF($N609&gt;0,(LEFT(TEXT($N609,"000000"),2)+(MID(TEXT($N609,"000000"),3,2)/60)+(RIGHT(TEXT($N609,"000000"),2)/3600)),-(MID(TEXT($N609,"000000"),2,2)+(MID(TEXT($N609,"000000"),4,2)/60)+(RIGHT(TEXT($N609,"000000"),2)/3600)))</f>
        <v>36.016666666666666</v>
      </c>
      <c r="P609" s="252" t="s">
        <v>60</v>
      </c>
      <c r="Q609" s="253"/>
      <c r="R609" s="277" t="s">
        <v>3293</v>
      </c>
      <c r="S609" s="272" t="s">
        <v>3293</v>
      </c>
      <c r="T609" s="273"/>
      <c r="U609" s="274"/>
      <c r="V609" s="256"/>
      <c r="W609" s="244"/>
      <c r="X609" s="244"/>
      <c r="Y609" s="362"/>
      <c r="Z609" s="257">
        <f>altaz(J2000_Bas,$O609,$M609,DecLat,DecLong,1)</f>
        <v>76.644632789403957</v>
      </c>
      <c r="AA609" s="257">
        <f>altaz((J2000_Bas+(2*0.04167)),$O609,$M609,DecLat,DecLong,1)</f>
        <v>76.376094420554566</v>
      </c>
      <c r="AB609" s="257">
        <f>altaz((J2000_Bas+(4*0.04167)),$O609,$M609,DecLat,DecLong,1)</f>
        <v>52.234172927479698</v>
      </c>
      <c r="AC609" s="257">
        <f>altaz((J2000_Bas+(6*0.04167)),$O609,$M609,DecLat,DecLong,1)</f>
        <v>28.540995875462585</v>
      </c>
      <c r="AD609" s="258">
        <f>1+ transit((J2000_Bas-1),$O609,$M609,DecLat,DecLong)/360 + (GMTOffset/24) + (IF(DST="Y", 1, 0)/24)</f>
        <v>1.8286521918692913</v>
      </c>
      <c r="AE609" s="259">
        <f>DATE(2001,9,21)+(M609/360)*365 - (360*((DecLong/360)- (GMTOffset/24) ))</f>
        <v>37465.04959490741</v>
      </c>
      <c r="AF609" s="260">
        <f>IF(DecLat&gt;0,IF((90 - (DecLat-O609))&gt;90, (90 - (O609-DecLat)), (90 - (DecLat-O609))),IF((90 + (DecLat-O609))&gt;90, (90 + (O609-DecLat)), (90 + (DecLat-O609))))</f>
        <v>84.983333333333334</v>
      </c>
      <c r="AG609" s="257">
        <f>angularseperation(MoonRA,MoonDec,$M609,$O609)</f>
        <v>79.67051326611238</v>
      </c>
      <c r="AH609" s="261">
        <f ca="1">MIN(100,IF($O$5&gt;80,0+30*($AG609/100),IF($O$5&gt;70,0+50*($AG609/100),IF($O$5&gt;60,5+50*($AG609/100),IF($O$5&gt;50,10+60*($AG609/100),IF($O$5&gt;40,15+70*($AG609/100),IF($O$5&gt;30,20+70*($AG609/100),IF($O$5&gt;20,40+55*($AG609/100),(80+(20-$O$5)+30*($AG609/100))))))))))</f>
        <v>100</v>
      </c>
      <c r="AI609" s="263"/>
      <c r="AJ609" s="263"/>
      <c r="AK609" s="263"/>
      <c r="AL609" s="263"/>
      <c r="AM609" s="264"/>
      <c r="AN609" s="263"/>
      <c r="AO609" s="263"/>
      <c r="AP609" s="265"/>
      <c r="AQ609" s="265"/>
      <c r="AR609" s="285"/>
      <c r="AS609" s="263"/>
      <c r="AT609" s="263"/>
      <c r="AU609" s="263"/>
      <c r="AV609" s="264"/>
      <c r="AW609" s="263">
        <v>146</v>
      </c>
      <c r="AX609" s="263"/>
      <c r="AY609" s="263"/>
      <c r="AZ609" s="263"/>
      <c r="BA609" s="263"/>
      <c r="BB609" s="263"/>
      <c r="BC609" s="263"/>
      <c r="BD609" s="264"/>
      <c r="BE609" s="263"/>
      <c r="BF609" s="263"/>
      <c r="BG609" s="263"/>
      <c r="BH609" s="263"/>
      <c r="BI609" s="263"/>
      <c r="BJ609" s="404">
        <f>altaz(J2000_Bas,$O609,$M609,DecLat,DecLong,2)</f>
        <v>63.963002790252709</v>
      </c>
      <c r="BK609" s="378" t="s">
        <v>712</v>
      </c>
      <c r="BL609" s="379">
        <f>IF((2*G609)/60&lt;0.2,0.2,(2*G609)/60)</f>
        <v>0.23333333333333334</v>
      </c>
      <c r="BM609" s="380">
        <f>MOD((50000+AD609-$B$3+(0/24)),1)</f>
        <v>4.4019121574820019E-2</v>
      </c>
      <c r="BN609" s="381"/>
      <c r="BO609" s="382">
        <v>609</v>
      </c>
    </row>
    <row r="610" spans="1:67" s="24" customFormat="1" ht="15" customHeight="1" x14ac:dyDescent="0.25">
      <c r="A610" s="288" t="s">
        <v>713</v>
      </c>
      <c r="B610" s="241" t="str">
        <f>HYPERLINK(CONCATENATE($AT$3,BK610,$AU$3),$AV$3)</f>
        <v>S</v>
      </c>
      <c r="C610" s="242" t="str">
        <f>HYPERLINK(CONCATENATE($AT$4,BK610,$AU$4,BL610),$AV$4)</f>
        <v>A</v>
      </c>
      <c r="D610" s="243" t="s">
        <v>5187</v>
      </c>
      <c r="E610" s="244" t="s">
        <v>5179</v>
      </c>
      <c r="F610" s="269">
        <v>5</v>
      </c>
      <c r="G610" s="276">
        <v>11</v>
      </c>
      <c r="H610" s="271" t="s">
        <v>6500</v>
      </c>
      <c r="I610" s="244" t="s">
        <v>6500</v>
      </c>
      <c r="J610" s="246">
        <v>3</v>
      </c>
      <c r="K610" s="253" t="s">
        <v>9377</v>
      </c>
      <c r="L610" s="248">
        <v>200650</v>
      </c>
      <c r="M610" s="249">
        <f>15*(LEFT(TEXT($L610,"000000"),2)+(MID(TEXT($L610,"000000"),3,2)/60)+(RIGHT(TEXT($L610,"000000"),2)/3600))</f>
        <v>301.70833333333337</v>
      </c>
      <c r="N610" s="250">
        <v>352200</v>
      </c>
      <c r="O610" s="251">
        <f>IF($N610&gt;0,(LEFT(TEXT($N610,"000000"),2)+(MID(TEXT($N610,"000000"),3,2)/60)+(RIGHT(TEXT($N610,"000000"),2)/3600)),-(MID(TEXT($N610,"000000"),2,2)+(MID(TEXT($N610,"000000"),4,2)/60)+(RIGHT(TEXT($N610,"000000"),2)/3600)))</f>
        <v>35.366666666666667</v>
      </c>
      <c r="P610" s="252" t="s">
        <v>60</v>
      </c>
      <c r="Q610" s="253"/>
      <c r="R610" s="247" t="s">
        <v>3293</v>
      </c>
      <c r="S610" s="272" t="s">
        <v>4408</v>
      </c>
      <c r="T610" s="273"/>
      <c r="U610" s="274"/>
      <c r="V610" s="256"/>
      <c r="W610" s="244"/>
      <c r="X610" s="244"/>
      <c r="Y610" s="362"/>
      <c r="Z610" s="257">
        <f>altaz(J2000_Bas,$O610,$M610,DecLat,DecLong,1)</f>
        <v>76.167852864300926</v>
      </c>
      <c r="AA610" s="257">
        <f>altaz((J2000_Bas+(2*0.04167)),$O610,$M610,DecLat,DecLong,1)</f>
        <v>77.213448937822122</v>
      </c>
      <c r="AB610" s="257">
        <f>altaz((J2000_Bas+(4*0.04167)),$O610,$M610,DecLat,DecLong,1)</f>
        <v>52.842224787799935</v>
      </c>
      <c r="AC610" s="257">
        <f>altaz((J2000_Bas+(6*0.04167)),$O610,$M610,DecLat,DecLong,1)</f>
        <v>28.969302485709008</v>
      </c>
      <c r="AD610" s="258">
        <f>1+ transit((J2000_Bas-1),$O610,$M610,DecLat,DecLong)/360 + (GMTOffset/24) + (IF(DST="Y", 1, 0)/24)</f>
        <v>1.8309785805255412</v>
      </c>
      <c r="AE610" s="259">
        <f>DATE(2001,9,21)+(M610/360)*365 - (360*((DecLong/360)- (GMTOffset/24) ))</f>
        <v>37465.898726851854</v>
      </c>
      <c r="AF610" s="260">
        <f>IF(DecLat&gt;0,IF((90 - (DecLat-O610))&gt;90, (90 - (O610-DecLat)), (90 - (DecLat-O610))),IF((90 + (DecLat-O610))&gt;90, (90 + (O610-DecLat)), (90 + (DecLat-O610))))</f>
        <v>85.633333333333326</v>
      </c>
      <c r="AG610" s="257">
        <f>angularseperation(MoonRA,MoonDec,$M610,$O610)</f>
        <v>79.700518321630994</v>
      </c>
      <c r="AH610" s="261">
        <f ca="1">MIN(100,IF($O$5&gt;80,0+30*($AG610/100),IF($O$5&gt;70,0+50*($AG610/100),IF($O$5&gt;60,5+50*($AG610/100),IF($O$5&gt;50,10+60*($AG610/100),IF($O$5&gt;40,15+70*($AG610/100),IF($O$5&gt;30,20+70*($AG610/100),IF($O$5&gt;20,40+55*($AG610/100),(80+(20-$O$5)+30*($AG610/100))))))))))</f>
        <v>100</v>
      </c>
      <c r="AI610" s="262"/>
      <c r="AJ610" s="262"/>
      <c r="AK610" s="262"/>
      <c r="AL610" s="263"/>
      <c r="AM610" s="264"/>
      <c r="AN610" s="263"/>
      <c r="AO610" s="263"/>
      <c r="AP610" s="265"/>
      <c r="AQ610" s="266"/>
      <c r="AR610" s="267"/>
      <c r="AS610" s="263"/>
      <c r="AT610" s="263"/>
      <c r="AU610" s="263"/>
      <c r="AV610" s="264"/>
      <c r="AW610" s="263">
        <v>147</v>
      </c>
      <c r="AX610" s="263"/>
      <c r="AY610" s="263"/>
      <c r="AZ610" s="263"/>
      <c r="BA610" s="263"/>
      <c r="BB610" s="263"/>
      <c r="BC610" s="263"/>
      <c r="BD610" s="264"/>
      <c r="BE610" s="263"/>
      <c r="BF610" s="263"/>
      <c r="BG610" s="263"/>
      <c r="BH610" s="263"/>
      <c r="BI610" s="263">
        <v>89</v>
      </c>
      <c r="BJ610" s="404">
        <f>altaz(J2000_Bas,$O610,$M610,DecLat,DecLong,2)</f>
        <v>67.414822592678391</v>
      </c>
      <c r="BK610" s="378" t="s">
        <v>713</v>
      </c>
      <c r="BL610" s="379">
        <f>IF((2*G610)/60&lt;0.2,0.2,(2*G610)/60)</f>
        <v>0.36666666666666664</v>
      </c>
      <c r="BM610" s="380">
        <f>MOD((50000+AD610-$B$3+(0/24)),1)</f>
        <v>4.6345510229002684E-2</v>
      </c>
      <c r="BN610" s="381"/>
      <c r="BO610" s="382">
        <v>610</v>
      </c>
    </row>
    <row r="611" spans="1:67" s="24" customFormat="1" ht="15" customHeight="1" x14ac:dyDescent="0.25">
      <c r="A611" s="288" t="s">
        <v>714</v>
      </c>
      <c r="B611" s="241" t="str">
        <f>HYPERLINK(CONCATENATE($AT$3,BK611,$AU$3),$AV$3)</f>
        <v>S</v>
      </c>
      <c r="C611" s="242" t="str">
        <f>HYPERLINK(CONCATENATE($AT$4,BK611,$AU$4,BL611),$AV$4)</f>
        <v>A</v>
      </c>
      <c r="D611" s="243" t="s">
        <v>5187</v>
      </c>
      <c r="E611" s="244" t="s">
        <v>5179</v>
      </c>
      <c r="F611" s="269">
        <v>5</v>
      </c>
      <c r="G611" s="273">
        <v>5</v>
      </c>
      <c r="H611" s="271" t="s">
        <v>6500</v>
      </c>
      <c r="I611" s="244" t="s">
        <v>6500</v>
      </c>
      <c r="J611" s="246">
        <v>2</v>
      </c>
      <c r="K611" s="247" t="s">
        <v>8532</v>
      </c>
      <c r="L611" s="248">
        <v>204818</v>
      </c>
      <c r="M611" s="249">
        <f>15*(LEFT(TEXT($L611,"000000"),2)+(MID(TEXT($L611,"000000"),3,2)/60)+(RIGHT(TEXT($L611,"000000"),2)/3600))</f>
        <v>312.07499999999999</v>
      </c>
      <c r="N611" s="286">
        <v>593824</v>
      </c>
      <c r="O611" s="251">
        <f>IF($N611&gt;0,(LEFT(TEXT($N611,"000000"),2)+(MID(TEXT($N611,"000000"),3,2)/60)+(RIGHT(TEXT($N611,"000000"),2)/3600)),-(MID(TEXT($N611,"000000"),2,2)+(MID(TEXT($N611,"000000"),4,2)/60)+(RIGHT(TEXT($N611,"000000"),2)/3600)))</f>
        <v>59.64</v>
      </c>
      <c r="P611" s="252" t="s">
        <v>52</v>
      </c>
      <c r="Q611" s="253"/>
      <c r="R611" s="247" t="s">
        <v>3293</v>
      </c>
      <c r="S611" s="272"/>
      <c r="T611" s="273"/>
      <c r="U611" s="274"/>
      <c r="V611" s="256"/>
      <c r="W611" s="244"/>
      <c r="X611" s="244"/>
      <c r="Y611" s="362"/>
      <c r="Z611" s="257">
        <f>altaz(J2000_Bas,$O611,$M611,DecLat,DecLong,1)</f>
        <v>56.46639554190287</v>
      </c>
      <c r="AA611" s="257">
        <f>altaz((J2000_Bas+(2*0.04167)),$O611,$M611,DecLat,DecLong,1)</f>
        <v>61.233331932042034</v>
      </c>
      <c r="AB611" s="257">
        <f>altaz((J2000_Bas+(4*0.04167)),$O611,$M611,DecLat,DecLong,1)</f>
        <v>53.434031634231545</v>
      </c>
      <c r="AC611" s="257">
        <f>altaz((J2000_Bas+(6*0.04167)),$O611,$M611,DecLat,DecLong,1)</f>
        <v>39.278913759877575</v>
      </c>
      <c r="AD611" s="258">
        <f>1+ transit((J2000_Bas-1),$O611,$M611,DecLat,DecLong)/360 + (GMTOffset/24) + (IF(DST="Y", 1, 0)/24)</f>
        <v>1.859774873942208</v>
      </c>
      <c r="AE611" s="259">
        <f>DATE(2001,9,21)+(M611/360)*365 - (360*((DecLong/360)- (GMTOffset/24) ))</f>
        <v>37476.409375000003</v>
      </c>
      <c r="AF611" s="260">
        <f>IF(DecLat&gt;0,IF((90 - (DecLat-O611))&gt;90, (90 - (O611-DecLat)), (90 - (DecLat-O611))),IF((90 + (DecLat-O611))&gt;90, (90 + (O611-DecLat)), (90 + (DecLat-O611))))</f>
        <v>61.36</v>
      </c>
      <c r="AG611" s="257">
        <f>angularseperation(MoonRA,MoonDec,$M611,$O611)</f>
        <v>100.80084898440424</v>
      </c>
      <c r="AH611" s="261">
        <f ca="1">MIN(100,IF($O$5&gt;80,0+30*($AG611/100),IF($O$5&gt;70,0+50*($AG611/100),IF($O$5&gt;60,5+50*($AG611/100),IF($O$5&gt;50,10+60*($AG611/100),IF($O$5&gt;40,15+70*($AG611/100),IF($O$5&gt;30,20+70*($AG611/100),IF($O$5&gt;20,40+55*($AG611/100),(80+(20-$O$5)+30*($AG611/100))))))))))</f>
        <v>100</v>
      </c>
      <c r="AI611" s="262"/>
      <c r="AJ611" s="262"/>
      <c r="AK611" s="262"/>
      <c r="AL611" s="263"/>
      <c r="AM611" s="264"/>
      <c r="AN611" s="263"/>
      <c r="AO611" s="263"/>
      <c r="AP611" s="265"/>
      <c r="AQ611" s="266"/>
      <c r="AR611" s="267"/>
      <c r="AS611" s="263"/>
      <c r="AT611" s="263"/>
      <c r="AU611" s="263"/>
      <c r="AV611" s="264"/>
      <c r="AW611" s="263">
        <v>148</v>
      </c>
      <c r="AX611" s="263"/>
      <c r="AY611" s="263"/>
      <c r="AZ611" s="263"/>
      <c r="BA611" s="263"/>
      <c r="BB611" s="263"/>
      <c r="BC611" s="263"/>
      <c r="BD611" s="264"/>
      <c r="BE611" s="263"/>
      <c r="BF611" s="263"/>
      <c r="BG611" s="263"/>
      <c r="BH611" s="263"/>
      <c r="BI611" s="263"/>
      <c r="BJ611" s="404">
        <f>altaz(J2000_Bas,$O611,$M611,DecLat,DecLong,2)</f>
        <v>23.710629246844462</v>
      </c>
      <c r="BK611" s="378" t="s">
        <v>714</v>
      </c>
      <c r="BL611" s="379">
        <f>IF((2*G611)/60&lt;0.2,0.2,(2*G611)/60)</f>
        <v>0.2</v>
      </c>
      <c r="BM611" s="380">
        <f>MOD((50000+AD611-$B$3+(0/24)),1)</f>
        <v>7.5141803645237815E-2</v>
      </c>
      <c r="BN611" s="381"/>
      <c r="BO611" s="382">
        <v>611</v>
      </c>
    </row>
    <row r="612" spans="1:67" s="24" customFormat="1" ht="15" customHeight="1" x14ac:dyDescent="0.25">
      <c r="A612" s="288" t="s">
        <v>715</v>
      </c>
      <c r="B612" s="241" t="str">
        <f>HYPERLINK(CONCATENATE($AT$3,BK612,$AU$3),$AV$3)</f>
        <v>S</v>
      </c>
      <c r="C612" s="242" t="str">
        <f>HYPERLINK(CONCATENATE($AT$4,BK612,$AU$4,BL612),$AV$4)</f>
        <v>A</v>
      </c>
      <c r="D612" s="243" t="s">
        <v>5187</v>
      </c>
      <c r="E612" s="244" t="s">
        <v>5179</v>
      </c>
      <c r="F612" s="269">
        <v>5</v>
      </c>
      <c r="G612" s="273">
        <v>2</v>
      </c>
      <c r="H612" s="271" t="s">
        <v>6500</v>
      </c>
      <c r="I612" s="244" t="s">
        <v>6500</v>
      </c>
      <c r="J612" s="246">
        <v>1</v>
      </c>
      <c r="K612" s="247" t="s">
        <v>8533</v>
      </c>
      <c r="L612" s="248">
        <v>204903</v>
      </c>
      <c r="M612" s="249">
        <f>15*(LEFT(TEXT($L612,"000000"),2)+(MID(TEXT($L612,"000000"),3,2)/60)+(RIGHT(TEXT($L612,"000000"),2)/3600))</f>
        <v>312.26249999999999</v>
      </c>
      <c r="N612" s="286">
        <v>593200</v>
      </c>
      <c r="O612" s="251">
        <f>IF($N612&gt;0,(LEFT(TEXT($N612,"000000"),2)+(MID(TEXT($N612,"000000"),3,2)/60)+(RIGHT(TEXT($N612,"000000"),2)/3600)),-(MID(TEXT($N612,"000000"),2,2)+(MID(TEXT($N612,"000000"),4,2)/60)+(RIGHT(TEXT($N612,"000000"),2)/3600)))</f>
        <v>59.533333333333331</v>
      </c>
      <c r="P612" s="252" t="s">
        <v>52</v>
      </c>
      <c r="Q612" s="253"/>
      <c r="R612" s="277" t="s">
        <v>3293</v>
      </c>
      <c r="S612" s="272" t="s">
        <v>3293</v>
      </c>
      <c r="T612" s="273"/>
      <c r="U612" s="274"/>
      <c r="V612" s="256"/>
      <c r="W612" s="244"/>
      <c r="X612" s="244"/>
      <c r="Y612" s="362"/>
      <c r="Z612" s="257">
        <f>altaz(J2000_Bas,$O612,$M612,DecLat,DecLong,1)</f>
        <v>56.479213230773794</v>
      </c>
      <c r="AA612" s="257">
        <f>altaz((J2000_Bas+(2*0.04167)),$O612,$M612,DecLat,DecLong,1)</f>
        <v>61.350776982016718</v>
      </c>
      <c r="AB612" s="257">
        <f>altaz((J2000_Bas+(4*0.04167)),$O612,$M612,DecLat,DecLong,1)</f>
        <v>53.573676058718284</v>
      </c>
      <c r="AC612" s="257">
        <f>altaz((J2000_Bas+(6*0.04167)),$O612,$M612,DecLat,DecLong,1)</f>
        <v>39.382116342389672</v>
      </c>
      <c r="AD612" s="258">
        <f>1+ transit((J2000_Bas-1),$O612,$M612,DecLat,DecLong)/360 + (GMTOffset/24) + (IF(DST="Y", 1, 0)/24)</f>
        <v>1.8602957072234581</v>
      </c>
      <c r="AE612" s="259">
        <f>DATE(2001,9,21)+(M612/360)*365 - (360*((DecLong/360)- (GMTOffset/24) ))</f>
        <v>37476.599479166667</v>
      </c>
      <c r="AF612" s="260">
        <f>IF(DecLat&gt;0,IF((90 - (DecLat-O612))&gt;90, (90 - (O612-DecLat)), (90 - (DecLat-O612))),IF((90 + (DecLat-O612))&gt;90, (90 + (O612-DecLat)), (90 + (DecLat-O612))))</f>
        <v>61.466666666666669</v>
      </c>
      <c r="AG612" s="257">
        <f>angularseperation(MoonRA,MoonDec,$M612,$O612)</f>
        <v>100.81447983739839</v>
      </c>
      <c r="AH612" s="261">
        <f ca="1">MIN(100,IF($O$5&gt;80,0+30*($AG612/100),IF($O$5&gt;70,0+50*($AG612/100),IF($O$5&gt;60,5+50*($AG612/100),IF($O$5&gt;50,10+60*($AG612/100),IF($O$5&gt;40,15+70*($AG612/100),IF($O$5&gt;30,20+70*($AG612/100),IF($O$5&gt;20,40+55*($AG612/100),(80+(20-$O$5)+30*($AG612/100))))))))))</f>
        <v>100</v>
      </c>
      <c r="AI612" s="263"/>
      <c r="AJ612" s="263"/>
      <c r="AK612" s="263"/>
      <c r="AL612" s="263"/>
      <c r="AM612" s="264"/>
      <c r="AN612" s="263"/>
      <c r="AO612" s="263"/>
      <c r="AP612" s="265"/>
      <c r="AQ612" s="265"/>
      <c r="AR612" s="285"/>
      <c r="AS612" s="263"/>
      <c r="AT612" s="263"/>
      <c r="AU612" s="263"/>
      <c r="AV612" s="264"/>
      <c r="AW612" s="263">
        <v>149</v>
      </c>
      <c r="AX612" s="263"/>
      <c r="AY612" s="263"/>
      <c r="AZ612" s="263"/>
      <c r="BA612" s="263"/>
      <c r="BB612" s="263"/>
      <c r="BC612" s="263"/>
      <c r="BD612" s="264"/>
      <c r="BE612" s="263"/>
      <c r="BF612" s="263"/>
      <c r="BG612" s="263"/>
      <c r="BH612" s="263"/>
      <c r="BI612" s="263"/>
      <c r="BJ612" s="404">
        <f>altaz(J2000_Bas,$O612,$M612,DecLat,DecLong,2)</f>
        <v>23.968097061989056</v>
      </c>
      <c r="BK612" s="378" t="s">
        <v>715</v>
      </c>
      <c r="BL612" s="379">
        <f>IF((2*G612)/60&lt;0.2,0.2,(2*G612)/60)</f>
        <v>0.2</v>
      </c>
      <c r="BM612" s="380">
        <f>MOD((50000+AD612-$B$3+(0/24)),1)</f>
        <v>7.5662636925699189E-2</v>
      </c>
      <c r="BN612" s="381"/>
      <c r="BO612" s="382">
        <v>612</v>
      </c>
    </row>
    <row r="613" spans="1:67" s="24" customFormat="1" ht="15" customHeight="1" x14ac:dyDescent="0.25">
      <c r="A613" s="288" t="s">
        <v>716</v>
      </c>
      <c r="B613" s="241" t="str">
        <f>HYPERLINK(CONCATENATE($AT$3,BK613,$AU$3),$AV$3)</f>
        <v>S</v>
      </c>
      <c r="C613" s="242" t="str">
        <f>HYPERLINK(CONCATENATE($AT$4,BK613,$AU$4,BL613),$AV$4)</f>
        <v>A</v>
      </c>
      <c r="D613" s="243" t="s">
        <v>5187</v>
      </c>
      <c r="E613" s="244" t="s">
        <v>5179</v>
      </c>
      <c r="F613" s="269">
        <v>5</v>
      </c>
      <c r="G613" s="276">
        <v>60</v>
      </c>
      <c r="H613" s="271" t="s">
        <v>6500</v>
      </c>
      <c r="I613" s="300" t="s">
        <v>6500</v>
      </c>
      <c r="J613" s="246">
        <v>4</v>
      </c>
      <c r="K613" s="247" t="s">
        <v>9379</v>
      </c>
      <c r="L613" s="248">
        <v>205041</v>
      </c>
      <c r="M613" s="249">
        <f>15*(LEFT(TEXT($L613,"000000"),2)+(MID(TEXT($L613,"000000"),3,2)/60)+(RIGHT(TEXT($L613,"000000"),2)/3600))</f>
        <v>312.67083333333329</v>
      </c>
      <c r="N613" s="250">
        <v>601800</v>
      </c>
      <c r="O613" s="251">
        <f>IF($N613&gt;0,(LEFT(TEXT($N613,"000000"),2)+(MID(TEXT($N613,"000000"),3,2)/60)+(RIGHT(TEXT($N613,"000000"),2)/3600)),-(MID(TEXT($N613,"000000"),2,2)+(MID(TEXT($N613,"000000"),4,2)/60)+(RIGHT(TEXT($N613,"000000"),2)/3600)))</f>
        <v>60.3</v>
      </c>
      <c r="P613" s="252" t="s">
        <v>52</v>
      </c>
      <c r="Q613" s="253" t="s">
        <v>7062</v>
      </c>
      <c r="R613" s="247" t="s">
        <v>5408</v>
      </c>
      <c r="S613" s="272" t="s">
        <v>3293</v>
      </c>
      <c r="T613" s="273"/>
      <c r="U613" s="274"/>
      <c r="V613" s="256"/>
      <c r="W613" s="244"/>
      <c r="X613" s="244"/>
      <c r="Y613" s="362"/>
      <c r="Z613" s="257">
        <f>altaz(J2000_Bas,$O613,$M613,DecLat,DecLong,1)</f>
        <v>55.780669720721839</v>
      </c>
      <c r="AA613" s="257">
        <f>altaz((J2000_Bas+(2*0.04167)),$O613,$M613,DecLat,DecLong,1)</f>
        <v>60.611759186982198</v>
      </c>
      <c r="AB613" s="257">
        <f>altaz((J2000_Bas+(4*0.04167)),$O613,$M613,DecLat,DecLong,1)</f>
        <v>53.275351718789864</v>
      </c>
      <c r="AC613" s="257">
        <f>altaz((J2000_Bas+(6*0.04167)),$O613,$M613,DecLat,DecLong,1)</f>
        <v>39.517034911477083</v>
      </c>
      <c r="AD613" s="258">
        <f>1+ transit((J2000_Bas-1),$O613,$M613,DecLat,DecLong)/360 + (GMTOffset/24) + (IF(DST="Y", 1, 0)/24)</f>
        <v>1.8614299663692913</v>
      </c>
      <c r="AE613" s="259">
        <f>DATE(2001,9,21)+(M613/360)*365 - (360*((DecLong/360)- (GMTOffset/24) ))</f>
        <v>37477.013483796298</v>
      </c>
      <c r="AF613" s="260">
        <f>IF(DecLat&gt;0,IF((90 - (DecLat-O613))&gt;90, (90 - (O613-DecLat)), (90 - (DecLat-O613))),IF((90 + (DecLat-O613))&gt;90, (90 + (O613-DecLat)), (90 + (DecLat-O613))))</f>
        <v>60.7</v>
      </c>
      <c r="AG613" s="257">
        <f>angularseperation(MoonRA,MoonDec,$M613,$O613)</f>
        <v>101.42977791656223</v>
      </c>
      <c r="AH613" s="261">
        <f ca="1">MIN(100,IF($O$5&gt;80,0+30*($AG613/100),IF($O$5&gt;70,0+50*($AG613/100),IF($O$5&gt;60,5+50*($AG613/100),IF($O$5&gt;50,10+60*($AG613/100),IF($O$5&gt;40,15+70*($AG613/100),IF($O$5&gt;30,20+70*($AG613/100),IF($O$5&gt;20,40+55*($AG613/100),(80+(20-$O$5)+30*($AG613/100))))))))))</f>
        <v>100</v>
      </c>
      <c r="AI613" s="262"/>
      <c r="AJ613" s="262"/>
      <c r="AK613" s="262"/>
      <c r="AL613" s="263"/>
      <c r="AM613" s="264"/>
      <c r="AN613" s="263"/>
      <c r="AO613" s="263"/>
      <c r="AP613" s="265"/>
      <c r="AQ613" s="266"/>
      <c r="AR613" s="267"/>
      <c r="AS613" s="263"/>
      <c r="AT613" s="263"/>
      <c r="AU613" s="263"/>
      <c r="AV613" s="264"/>
      <c r="AW613" s="263">
        <v>150</v>
      </c>
      <c r="AX613" s="263"/>
      <c r="AY613" s="263"/>
      <c r="AZ613" s="263"/>
      <c r="BA613" s="263"/>
      <c r="BB613" s="263"/>
      <c r="BC613" s="263"/>
      <c r="BD613" s="264"/>
      <c r="BE613" s="263"/>
      <c r="BF613" s="263"/>
      <c r="BG613" s="263"/>
      <c r="BH613" s="263"/>
      <c r="BI613" s="263">
        <v>93</v>
      </c>
      <c r="BJ613" s="404">
        <f>altaz(J2000_Bas,$O613,$M613,DecLat,DecLong,2)</f>
        <v>23.292615601178717</v>
      </c>
      <c r="BK613" s="378" t="s">
        <v>716</v>
      </c>
      <c r="BL613" s="379">
        <f>IF((2*G613)/60&lt;0.2,0.2,(2*G613)/60)</f>
        <v>2</v>
      </c>
      <c r="BM613" s="380">
        <f>MOD((50000+AD613-$B$3+(0/24)),1)</f>
        <v>7.6796896071755327E-2</v>
      </c>
      <c r="BN613" s="381"/>
      <c r="BO613" s="382">
        <v>613</v>
      </c>
    </row>
    <row r="614" spans="1:67" s="24" customFormat="1" ht="15" customHeight="1" x14ac:dyDescent="0.25">
      <c r="A614" s="297" t="s">
        <v>717</v>
      </c>
      <c r="B614" s="241" t="str">
        <f>HYPERLINK(CONCATENATE($AT$3,BK614,$AU$3),$AV$3)</f>
        <v>S</v>
      </c>
      <c r="C614" s="242" t="str">
        <f>HYPERLINK(CONCATENATE($AT$4,BK614,$AU$4,BL614),$AV$4)</f>
        <v>A</v>
      </c>
      <c r="D614" s="243" t="s">
        <v>5187</v>
      </c>
      <c r="E614" s="244" t="s">
        <v>5179</v>
      </c>
      <c r="F614" s="269">
        <v>5</v>
      </c>
      <c r="G614" s="273">
        <v>1</v>
      </c>
      <c r="H614" s="271" t="s">
        <v>6500</v>
      </c>
      <c r="I614" s="244" t="s">
        <v>6500</v>
      </c>
      <c r="J614" s="246">
        <v>1</v>
      </c>
      <c r="K614" s="277" t="s">
        <v>5990</v>
      </c>
      <c r="L614" s="248">
        <v>210814</v>
      </c>
      <c r="M614" s="249">
        <f>15*(LEFT(TEXT($L614,"000000"),2)+(MID(TEXT($L614,"000000"),3,2)/60)+(RIGHT(TEXT($L614,"000000"),2)/3600))</f>
        <v>317.05833333333328</v>
      </c>
      <c r="N614" s="286">
        <v>561900</v>
      </c>
      <c r="O614" s="251">
        <f>IF($N614&gt;0,(LEFT(TEXT($N614,"000000"),2)+(MID(TEXT($N614,"000000"),3,2)/60)+(RIGHT(TEXT($N614,"000000"),2)/3600)),-(MID(TEXT($N614,"000000"),2,2)+(MID(TEXT($N614,"000000"),4,2)/60)+(RIGHT(TEXT($N614,"000000"),2)/3600)))</f>
        <v>56.31666666666667</v>
      </c>
      <c r="P614" s="252" t="s">
        <v>52</v>
      </c>
      <c r="Q614" s="253"/>
      <c r="R614" s="277" t="s">
        <v>3293</v>
      </c>
      <c r="S614" s="272" t="s">
        <v>3293</v>
      </c>
      <c r="T614" s="273"/>
      <c r="U614" s="274"/>
      <c r="V614" s="256"/>
      <c r="W614" s="244"/>
      <c r="X614" s="244"/>
      <c r="Y614" s="362"/>
      <c r="Z614" s="257">
        <f>altaz(J2000_Bas,$O614,$M614,DecLat,DecLong,1)</f>
        <v>56.701229321651418</v>
      </c>
      <c r="AA614" s="257">
        <f>altaz((J2000_Bas+(2*0.04167)),$O614,$M614,DecLat,DecLong,1)</f>
        <v>64.674185125955944</v>
      </c>
      <c r="AB614" s="257">
        <f>altaz((J2000_Bas+(4*0.04167)),$O614,$M614,DecLat,DecLong,1)</f>
        <v>57.553965555043881</v>
      </c>
      <c r="AC614" s="257">
        <f>altaz((J2000_Bas+(6*0.04167)),$O614,$M614,DecLat,DecLong,1)</f>
        <v>42.221961158046547</v>
      </c>
      <c r="AD614" s="258">
        <f>1+ transit((J2000_Bas-1),$O614,$M614,DecLat,DecLong)/360 + (GMTOffset/24) + (IF(DST="Y", 1, 0)/24)</f>
        <v>1.8736174651505413</v>
      </c>
      <c r="AE614" s="259">
        <f>DATE(2001,9,21)+(M614/360)*365 - (360*((DecLong/360)- (GMTOffset/24) ))</f>
        <v>37481.461921296293</v>
      </c>
      <c r="AF614" s="260">
        <f>IF(DecLat&gt;0,IF((90 - (DecLat-O614))&gt;90, (90 - (O614-DecLat)), (90 - (DecLat-O614))),IF((90 + (DecLat-O614))&gt;90, (90 + (O614-DecLat)), (90 + (DecLat-O614))))</f>
        <v>64.683333333333337</v>
      </c>
      <c r="AG614" s="257">
        <f>angularseperation(MoonRA,MoonDec,$M614,$O614)</f>
        <v>101.09401707200713</v>
      </c>
      <c r="AH614" s="261">
        <f ca="1">MIN(100,IF($O$5&gt;80,0+30*($AG614/100),IF($O$5&gt;70,0+50*($AG614/100),IF($O$5&gt;60,5+50*($AG614/100),IF($O$5&gt;50,10+60*($AG614/100),IF($O$5&gt;40,15+70*($AG614/100),IF($O$5&gt;30,20+70*($AG614/100),IF($O$5&gt;20,40+55*($AG614/100),(80+(20-$O$5)+30*($AG614/100))))))))))</f>
        <v>100</v>
      </c>
      <c r="AI614" s="263"/>
      <c r="AJ614" s="263"/>
      <c r="AK614" s="263"/>
      <c r="AL614" s="263"/>
      <c r="AM614" s="264"/>
      <c r="AN614" s="263"/>
      <c r="AO614" s="263"/>
      <c r="AP614" s="265"/>
      <c r="AQ614" s="265"/>
      <c r="AR614" s="285"/>
      <c r="AS614" s="263"/>
      <c r="AT614" s="263"/>
      <c r="AU614" s="263"/>
      <c r="AV614" s="264"/>
      <c r="AW614" s="263">
        <v>151</v>
      </c>
      <c r="AX614" s="263"/>
      <c r="AY614" s="263"/>
      <c r="AZ614" s="263"/>
      <c r="BA614" s="263"/>
      <c r="BB614" s="263"/>
      <c r="BC614" s="263"/>
      <c r="BD614" s="264"/>
      <c r="BE614" s="263"/>
      <c r="BF614" s="263"/>
      <c r="BG614" s="263"/>
      <c r="BH614" s="263"/>
      <c r="BI614" s="263"/>
      <c r="BJ614" s="404">
        <f>altaz(J2000_Bas,$O614,$M614,DecLat,DecLong,2)</f>
        <v>31.408141413201058</v>
      </c>
      <c r="BK614" s="378" t="s">
        <v>717</v>
      </c>
      <c r="BL614" s="379">
        <f>IF((2*G614)/60&lt;0.2,0.2,(2*G614)/60)</f>
        <v>0.2</v>
      </c>
      <c r="BM614" s="380">
        <f>MOD((50000+AD614-$B$3+(0/24)),1)</f>
        <v>8.8984394853468984E-2</v>
      </c>
      <c r="BN614" s="381"/>
      <c r="BO614" s="382">
        <v>614</v>
      </c>
    </row>
    <row r="615" spans="1:67" s="24" customFormat="1" ht="15" customHeight="1" x14ac:dyDescent="0.25">
      <c r="A615" s="287" t="s">
        <v>718</v>
      </c>
      <c r="B615" s="241" t="str">
        <f>HYPERLINK(CONCATENATE($AT$3,BK615,$AU$3),$AV$3)</f>
        <v>S</v>
      </c>
      <c r="C615" s="242" t="str">
        <f>HYPERLINK(CONCATENATE($AT$4,BK615,$AU$4,BL615),$AV$4)</f>
        <v>A</v>
      </c>
      <c r="D615" s="243" t="s">
        <v>5187</v>
      </c>
      <c r="E615" s="244" t="s">
        <v>5179</v>
      </c>
      <c r="F615" s="269">
        <v>5</v>
      </c>
      <c r="G615" s="276">
        <v>15</v>
      </c>
      <c r="H615" s="271" t="s">
        <v>6500</v>
      </c>
      <c r="I615" s="244" t="s">
        <v>6500</v>
      </c>
      <c r="J615" s="246">
        <v>1</v>
      </c>
      <c r="K615" s="247" t="s">
        <v>5834</v>
      </c>
      <c r="L615" s="248">
        <v>211430</v>
      </c>
      <c r="M615" s="249">
        <f>15*(LEFT(TEXT($L615,"000000"),2)+(MID(TEXT($L615,"000000"),3,2)/60)+(RIGHT(TEXT($L615,"000000"),2)/3600))</f>
        <v>318.625</v>
      </c>
      <c r="N615" s="286">
        <v>614400</v>
      </c>
      <c r="O615" s="251">
        <f>IF($N615&gt;0,(LEFT(TEXT($N615,"000000"),2)+(MID(TEXT($N615,"000000"),3,2)/60)+(RIGHT(TEXT($N615,"000000"),2)/3600)),-(MID(TEXT($N615,"000000"),2,2)+(MID(TEXT($N615,"000000"),4,2)/60)+(RIGHT(TEXT($N615,"000000"),2)/3600)))</f>
        <v>61.733333333333334</v>
      </c>
      <c r="P615" s="252" t="s">
        <v>52</v>
      </c>
      <c r="Q615" s="253"/>
      <c r="R615" s="277" t="s">
        <v>3293</v>
      </c>
      <c r="S615" s="272" t="s">
        <v>3293</v>
      </c>
      <c r="T615" s="273"/>
      <c r="U615" s="274"/>
      <c r="V615" s="256"/>
      <c r="W615" s="244"/>
      <c r="X615" s="244"/>
      <c r="Y615" s="362"/>
      <c r="Z615" s="257">
        <f>altaz(J2000_Bas,$O615,$M615,DecLat,DecLong,1)</f>
        <v>52.70400008136437</v>
      </c>
      <c r="AA615" s="257">
        <f>altaz((J2000_Bas+(2*0.04167)),$O615,$M615,DecLat,DecLong,1)</f>
        <v>59.22205847744074</v>
      </c>
      <c r="AB615" s="257">
        <f>altaz((J2000_Bas+(4*0.04167)),$O615,$M615,DecLat,DecLong,1)</f>
        <v>54.44286524346866</v>
      </c>
      <c r="AC615" s="257">
        <f>altaz((J2000_Bas+(6*0.04167)),$O615,$M615,DecLat,DecLong,1)</f>
        <v>42.140004270985386</v>
      </c>
      <c r="AD615" s="258">
        <f>1+ transit((J2000_Bas-1),$O615,$M615,DecLat,DecLong)/360 + (GMTOffset/24) + (IF(DST="Y", 1, 0)/24)</f>
        <v>1.877969316567208</v>
      </c>
      <c r="AE615" s="259">
        <f>DATE(2001,9,21)+(M615/360)*365 - (360*((DecLong/360)- (GMTOffset/24) ))</f>
        <v>37483.050347222219</v>
      </c>
      <c r="AF615" s="260">
        <f>IF(DecLat&gt;0,IF((90 - (DecLat-O615))&gt;90, (90 - (O615-DecLat)), (90 - (DecLat-O615))),IF((90 + (DecLat-O615))&gt;90, (90 + (O615-DecLat)), (90 + (DecLat-O615))))</f>
        <v>59.266666666666666</v>
      </c>
      <c r="AG615" s="257">
        <f>angularseperation(MoonRA,MoonDec,$M615,$O615)</f>
        <v>104.62767365252522</v>
      </c>
      <c r="AH615" s="261">
        <f ca="1">MIN(100,IF($O$5&gt;80,0+30*($AG615/100),IF($O$5&gt;70,0+50*($AG615/100),IF($O$5&gt;60,5+50*($AG615/100),IF($O$5&gt;50,10+60*($AG615/100),IF($O$5&gt;40,15+70*($AG615/100),IF($O$5&gt;30,20+70*($AG615/100),IF($O$5&gt;20,40+55*($AG615/100),(80+(20-$O$5)+30*($AG615/100))))))))))</f>
        <v>100</v>
      </c>
      <c r="AI615" s="263"/>
      <c r="AJ615" s="263"/>
      <c r="AK615" s="263"/>
      <c r="AL615" s="263"/>
      <c r="AM615" s="264"/>
      <c r="AN615" s="263"/>
      <c r="AO615" s="263"/>
      <c r="AP615" s="265"/>
      <c r="AQ615" s="265"/>
      <c r="AR615" s="285"/>
      <c r="AS615" s="263"/>
      <c r="AT615" s="263"/>
      <c r="AU615" s="263"/>
      <c r="AV615" s="264"/>
      <c r="AW615" s="263">
        <v>152</v>
      </c>
      <c r="AX615" s="263"/>
      <c r="AY615" s="263"/>
      <c r="AZ615" s="263"/>
      <c r="BA615" s="263"/>
      <c r="BB615" s="263"/>
      <c r="BC615" s="263"/>
      <c r="BD615" s="264"/>
      <c r="BE615" s="263"/>
      <c r="BF615" s="263"/>
      <c r="BG615" s="263"/>
      <c r="BH615" s="263"/>
      <c r="BI615" s="263"/>
      <c r="BJ615" s="404">
        <f>altaz(J2000_Bas,$O615,$M615,DecLat,DecLong,2)</f>
        <v>24.919306946167406</v>
      </c>
      <c r="BK615" s="378" t="s">
        <v>718</v>
      </c>
      <c r="BL615" s="379">
        <f>IF((2*G615)/60&lt;0.2,0.2,(2*G615)/60)</f>
        <v>0.5</v>
      </c>
      <c r="BM615" s="380">
        <f>MOD((50000+AD615-$B$3+(0/24)),1)</f>
        <v>9.3336246274702717E-2</v>
      </c>
      <c r="BN615" s="381"/>
      <c r="BO615" s="382">
        <v>615</v>
      </c>
    </row>
    <row r="616" spans="1:67" s="24" customFormat="1" ht="15" customHeight="1" x14ac:dyDescent="0.25">
      <c r="A616" s="297" t="s">
        <v>719</v>
      </c>
      <c r="B616" s="241" t="str">
        <f>HYPERLINK(CONCATENATE($AT$3,BK616,$AU$3),$AV$3)</f>
        <v>S</v>
      </c>
      <c r="C616" s="242" t="str">
        <f>HYPERLINK(CONCATENATE($AT$4,BK616,$AU$4,BL616),$AV$4)</f>
        <v>A</v>
      </c>
      <c r="D616" s="243" t="s">
        <v>5187</v>
      </c>
      <c r="E616" s="244" t="s">
        <v>5179</v>
      </c>
      <c r="F616" s="269">
        <v>0</v>
      </c>
      <c r="G616" s="273">
        <v>8</v>
      </c>
      <c r="H616" s="271" t="s">
        <v>6500</v>
      </c>
      <c r="I616" s="244" t="s">
        <v>6500</v>
      </c>
      <c r="J616" s="246">
        <v>1</v>
      </c>
      <c r="K616" s="247" t="s">
        <v>5835</v>
      </c>
      <c r="L616" s="248">
        <v>212103</v>
      </c>
      <c r="M616" s="249">
        <f>15*(LEFT(TEXT($L616,"000000"),2)+(MID(TEXT($L616,"000000"),3,2)/60)+(RIGHT(TEXT($L616,"000000"),2)/3600))</f>
        <v>320.26249999999999</v>
      </c>
      <c r="N616" s="286">
        <v>562700</v>
      </c>
      <c r="O616" s="251">
        <f>IF($N616&gt;0,(LEFT(TEXT($N616,"000000"),2)+(MID(TEXT($N616,"000000"),3,2)/60)+(RIGHT(TEXT($N616,"000000"),2)/3600)),-(MID(TEXT($N616,"000000"),2,2)+(MID(TEXT($N616,"000000"),4,2)/60)+(RIGHT(TEXT($N616,"000000"),2)/3600)))</f>
        <v>56.45</v>
      </c>
      <c r="P616" s="252" t="s">
        <v>52</v>
      </c>
      <c r="Q616" s="253"/>
      <c r="R616" s="277" t="s">
        <v>3293</v>
      </c>
      <c r="S616" s="272" t="s">
        <v>3293</v>
      </c>
      <c r="T616" s="273"/>
      <c r="U616" s="274"/>
      <c r="V616" s="256"/>
      <c r="W616" s="244"/>
      <c r="X616" s="244"/>
      <c r="Y616" s="362"/>
      <c r="Z616" s="257">
        <f>altaz(J2000_Bas,$O616,$M616,DecLat,DecLong,1)</f>
        <v>55.161522274531769</v>
      </c>
      <c r="AA616" s="257">
        <f>altaz((J2000_Bas+(2*0.04167)),$O616,$M616,DecLat,DecLong,1)</f>
        <v>64.3828730108728</v>
      </c>
      <c r="AB616" s="257">
        <f>altaz((J2000_Bas+(4*0.04167)),$O616,$M616,DecLat,DecLong,1)</f>
        <v>58.797899084375494</v>
      </c>
      <c r="AC616" s="257">
        <f>altaz((J2000_Bas+(6*0.04167)),$O616,$M616,DecLat,DecLong,1)</f>
        <v>43.962042441339825</v>
      </c>
      <c r="AD616" s="258">
        <f>1+ transit((J2000_Bas-1),$O616,$M616,DecLat,DecLong)/360 + (GMTOffset/24) + (IF(DST="Y", 1, 0)/24)</f>
        <v>1.8825179272234578</v>
      </c>
      <c r="AE616" s="259">
        <f>DATE(2001,9,21)+(M616/360)*365 - (360*((DecLong/360)- (GMTOffset/24) ))</f>
        <v>37484.710590277777</v>
      </c>
      <c r="AF616" s="260">
        <f>IF(DecLat&gt;0,IF((90 - (DecLat-O616))&gt;90, (90 - (O616-DecLat)), (90 - (DecLat-O616))),IF((90 + (DecLat-O616))&gt;90, (90 + (O616-DecLat)), (90 + (DecLat-O616))))</f>
        <v>64.55</v>
      </c>
      <c r="AG616" s="257">
        <f>angularseperation(MoonRA,MoonDec,$M616,$O616)</f>
        <v>102.67469764271758</v>
      </c>
      <c r="AH616" s="261">
        <f ca="1">MIN(100,IF($O$5&gt;80,0+30*($AG616/100),IF($O$5&gt;70,0+50*($AG616/100),IF($O$5&gt;60,5+50*($AG616/100),IF($O$5&gt;50,10+60*($AG616/100),IF($O$5&gt;40,15+70*($AG616/100),IF($O$5&gt;30,20+70*($AG616/100),IF($O$5&gt;20,40+55*($AG616/100),(80+(20-$O$5)+30*($AG616/100))))))))))</f>
        <v>100</v>
      </c>
      <c r="AI616" s="263"/>
      <c r="AJ616" s="263"/>
      <c r="AK616" s="263"/>
      <c r="AL616" s="263"/>
      <c r="AM616" s="264"/>
      <c r="AN616" s="263"/>
      <c r="AO616" s="263"/>
      <c r="AP616" s="265"/>
      <c r="AQ616" s="265"/>
      <c r="AR616" s="285"/>
      <c r="AS616" s="263"/>
      <c r="AT616" s="263"/>
      <c r="AU616" s="263"/>
      <c r="AV616" s="264"/>
      <c r="AW616" s="263">
        <v>153</v>
      </c>
      <c r="AX616" s="263"/>
      <c r="AY616" s="263"/>
      <c r="AZ616" s="263"/>
      <c r="BA616" s="263"/>
      <c r="BB616" s="263"/>
      <c r="BC616" s="263"/>
      <c r="BD616" s="264"/>
      <c r="BE616" s="263"/>
      <c r="BF616" s="263"/>
      <c r="BG616" s="263"/>
      <c r="BH616" s="263"/>
      <c r="BI616" s="263"/>
      <c r="BJ616" s="404">
        <f>altaz(J2000_Bas,$O616,$M616,DecLat,DecLong,2)</f>
        <v>32.998546533129272</v>
      </c>
      <c r="BK616" s="378" t="s">
        <v>719</v>
      </c>
      <c r="BL616" s="379">
        <f>IF((2*G616)/60&lt;0.2,0.2,(2*G616)/60)</f>
        <v>0.26666666666666666</v>
      </c>
      <c r="BM616" s="380">
        <f>MOD((50000+AD616-$B$3+(0/24)),1)</f>
        <v>9.7884856928430963E-2</v>
      </c>
      <c r="BN616" s="381"/>
      <c r="BO616" s="382">
        <v>616</v>
      </c>
    </row>
    <row r="617" spans="1:67" s="24" customFormat="1" ht="15" customHeight="1" x14ac:dyDescent="0.25">
      <c r="A617" s="287" t="s">
        <v>720</v>
      </c>
      <c r="B617" s="241" t="str">
        <f>HYPERLINK(CONCATENATE($AT$3,BK617,$AU$3),$AV$3)</f>
        <v>S</v>
      </c>
      <c r="C617" s="242" t="str">
        <f>HYPERLINK(CONCATENATE($AT$4,BK617,$AU$4,BL617),$AV$4)</f>
        <v>A</v>
      </c>
      <c r="D617" s="243" t="s">
        <v>5187</v>
      </c>
      <c r="E617" s="244" t="s">
        <v>5179</v>
      </c>
      <c r="F617" s="269">
        <v>5</v>
      </c>
      <c r="G617" s="273">
        <v>8</v>
      </c>
      <c r="H617" s="271" t="s">
        <v>6500</v>
      </c>
      <c r="I617" s="244" t="s">
        <v>6500</v>
      </c>
      <c r="J617" s="246">
        <v>1</v>
      </c>
      <c r="K617" s="247" t="s">
        <v>5836</v>
      </c>
      <c r="L617" s="248">
        <v>212123</v>
      </c>
      <c r="M617" s="249">
        <f>15*(LEFT(TEXT($L617,"000000"),2)+(MID(TEXT($L617,"000000"),3,2)/60)+(RIGHT(TEXT($L617,"000000"),2)/3600))</f>
        <v>320.34583333333336</v>
      </c>
      <c r="N617" s="286">
        <v>563700</v>
      </c>
      <c r="O617" s="251">
        <f>IF($N617&gt;0,(LEFT(TEXT($N617,"000000"),2)+(MID(TEXT($N617,"000000"),3,2)/60)+(RIGHT(TEXT($N617,"000000"),2)/3600)),-(MID(TEXT($N617,"000000"),2,2)+(MID(TEXT($N617,"000000"),4,2)/60)+(RIGHT(TEXT($N617,"000000"),2)/3600)))</f>
        <v>56.616666666666667</v>
      </c>
      <c r="P617" s="252" t="s">
        <v>52</v>
      </c>
      <c r="Q617" s="253"/>
      <c r="R617" s="277" t="s">
        <v>3293</v>
      </c>
      <c r="S617" s="272" t="s">
        <v>3293</v>
      </c>
      <c r="T617" s="273"/>
      <c r="U617" s="274"/>
      <c r="V617" s="256"/>
      <c r="W617" s="244"/>
      <c r="X617" s="244"/>
      <c r="Y617" s="362"/>
      <c r="Z617" s="257">
        <f>altaz(J2000_Bas,$O617,$M617,DecLat,DecLong,1)</f>
        <v>55.033396857265181</v>
      </c>
      <c r="AA617" s="257">
        <f>altaz((J2000_Bas+(2*0.04167)),$O617,$M617,DecLat,DecLong,1)</f>
        <v>64.211297316957527</v>
      </c>
      <c r="AB617" s="257">
        <f>altaz((J2000_Bas+(4*0.04167)),$O617,$M617,DecLat,DecLong,1)</f>
        <v>58.715549055508042</v>
      </c>
      <c r="AC617" s="257">
        <f>altaz((J2000_Bas+(6*0.04167)),$O617,$M617,DecLat,DecLong,1)</f>
        <v>43.980452332449914</v>
      </c>
      <c r="AD617" s="258">
        <f>1+ transit((J2000_Bas-1),$O617,$M617,DecLat,DecLong)/360 + (GMTOffset/24) + (IF(DST="Y", 1, 0)/24)</f>
        <v>1.8827494086817917</v>
      </c>
      <c r="AE617" s="259">
        <f>DATE(2001,9,21)+(M617/360)*365 - (360*((DecLong/360)- (GMTOffset/24) ))</f>
        <v>37484.795081018521</v>
      </c>
      <c r="AF617" s="260">
        <f>IF(DecLat&gt;0,IF((90 - (DecLat-O617))&gt;90, (90 - (O617-DecLat)), (90 - (DecLat-O617))),IF((90 + (DecLat-O617))&gt;90, (90 + (O617-DecLat)), (90 + (DecLat-O617))))</f>
        <v>64.383333333333326</v>
      </c>
      <c r="AG617" s="257">
        <f>angularseperation(MoonRA,MoonDec,$M617,$O617)</f>
        <v>102.79846320639331</v>
      </c>
      <c r="AH617" s="261">
        <f ca="1">MIN(100,IF($O$5&gt;80,0+30*($AG617/100),IF($O$5&gt;70,0+50*($AG617/100),IF($O$5&gt;60,5+50*($AG617/100),IF($O$5&gt;50,10+60*($AG617/100),IF($O$5&gt;40,15+70*($AG617/100),IF($O$5&gt;30,20+70*($AG617/100),IF($O$5&gt;20,40+55*($AG617/100),(80+(20-$O$5)+30*($AG617/100))))))))))</f>
        <v>100</v>
      </c>
      <c r="AI617" s="263"/>
      <c r="AJ617" s="263"/>
      <c r="AK617" s="263"/>
      <c r="AL617" s="263"/>
      <c r="AM617" s="264"/>
      <c r="AN617" s="263"/>
      <c r="AO617" s="263"/>
      <c r="AP617" s="265"/>
      <c r="AQ617" s="265"/>
      <c r="AR617" s="285"/>
      <c r="AS617" s="263"/>
      <c r="AT617" s="263"/>
      <c r="AU617" s="263"/>
      <c r="AV617" s="264"/>
      <c r="AW617" s="263">
        <v>154</v>
      </c>
      <c r="AX617" s="263"/>
      <c r="AY617" s="263"/>
      <c r="AZ617" s="263"/>
      <c r="BA617" s="263"/>
      <c r="BB617" s="263"/>
      <c r="BC617" s="263"/>
      <c r="BD617" s="264"/>
      <c r="BE617" s="263"/>
      <c r="BF617" s="263"/>
      <c r="BG617" s="263"/>
      <c r="BH617" s="263"/>
      <c r="BI617" s="263"/>
      <c r="BJ617" s="404">
        <f>altaz(J2000_Bas,$O617,$M617,DecLat,DecLong,2)</f>
        <v>32.795682194234068</v>
      </c>
      <c r="BK617" s="378" t="s">
        <v>720</v>
      </c>
      <c r="BL617" s="379">
        <f>IF((2*G617)/60&lt;0.2,0.2,(2*G617)/60)</f>
        <v>0.26666666666666666</v>
      </c>
      <c r="BM617" s="380">
        <f>MOD((50000+AD617-$B$3+(0/24)),1)</f>
        <v>9.8116338383988477E-2</v>
      </c>
      <c r="BN617" s="381"/>
      <c r="BO617" s="382">
        <v>617</v>
      </c>
    </row>
    <row r="618" spans="1:67" s="24" customFormat="1" ht="15" customHeight="1" x14ac:dyDescent="0.25">
      <c r="A618" s="287" t="s">
        <v>721</v>
      </c>
      <c r="B618" s="241" t="str">
        <f>HYPERLINK(CONCATENATE($AT$3,BK618,$AU$3),$AV$3)</f>
        <v>S</v>
      </c>
      <c r="C618" s="242" t="str">
        <f>HYPERLINK(CONCATENATE($AT$4,BK618,$AU$4,BL618),$AV$4)</f>
        <v>A</v>
      </c>
      <c r="D618" s="243" t="s">
        <v>5187</v>
      </c>
      <c r="E618" s="244" t="s">
        <v>5179</v>
      </c>
      <c r="F618" s="269">
        <v>3</v>
      </c>
      <c r="G618" s="276">
        <v>13</v>
      </c>
      <c r="H618" s="271" t="s">
        <v>6500</v>
      </c>
      <c r="I618" s="244" t="s">
        <v>6500</v>
      </c>
      <c r="J618" s="246">
        <v>0</v>
      </c>
      <c r="K618" s="247" t="s">
        <v>5837</v>
      </c>
      <c r="L618" s="248">
        <v>213208</v>
      </c>
      <c r="M618" s="249">
        <f>15*(LEFT(TEXT($L618,"000000"),2)+(MID(TEXT($L618,"000000"),3,2)/60)+(RIGHT(TEXT($L618,"000000"),2)/3600))</f>
        <v>323.03333333333336</v>
      </c>
      <c r="N618" s="286">
        <v>445800</v>
      </c>
      <c r="O618" s="251">
        <f>IF($N618&gt;0,(LEFT(TEXT($N618,"000000"),2)+(MID(TEXT($N618,"000000"),3,2)/60)+(RIGHT(TEXT($N618,"000000"),2)/3600)),-(MID(TEXT($N618,"000000"),2,2)+(MID(TEXT($N618,"000000"),4,2)/60)+(RIGHT(TEXT($N618,"000000"),2)/3600)))</f>
        <v>44.966666666666669</v>
      </c>
      <c r="P618" s="252" t="s">
        <v>60</v>
      </c>
      <c r="Q618" s="253"/>
      <c r="R618" s="277" t="s">
        <v>3293</v>
      </c>
      <c r="S618" s="272" t="s">
        <v>3293</v>
      </c>
      <c r="T618" s="273"/>
      <c r="U618" s="274"/>
      <c r="V618" s="256"/>
      <c r="W618" s="244"/>
      <c r="X618" s="244"/>
      <c r="Y618" s="362"/>
      <c r="Z618" s="257">
        <f>altaz(J2000_Bas,$O618,$M618,DecLat,DecLong,1)</f>
        <v>58.007868165033017</v>
      </c>
      <c r="AA618" s="257">
        <f>altaz((J2000_Bas+(2*0.04167)),$O618,$M618,DecLat,DecLong,1)</f>
        <v>75.01310909317408</v>
      </c>
      <c r="AB618" s="257">
        <f>altaz((J2000_Bas+(4*0.04167)),$O618,$M618,DecLat,DecLong,1)</f>
        <v>67.168746020030639</v>
      </c>
      <c r="AC618" s="257">
        <f>altaz((J2000_Bas+(6*0.04167)),$O618,$M618,DecLat,DecLong,1)</f>
        <v>46.640928124992122</v>
      </c>
      <c r="AD618" s="258">
        <f>1+ transit((J2000_Bas-1),$O618,$M618,DecLat,DecLong)/360 + (GMTOffset/24) + (IF(DST="Y", 1, 0)/24)</f>
        <v>1.8902146857130415</v>
      </c>
      <c r="AE618" s="259">
        <f>DATE(2001,9,21)+(M618/360)*365 - (360*((DecLong/360)- (GMTOffset/24) ))</f>
        <v>37487.519907407404</v>
      </c>
      <c r="AF618" s="260">
        <f>IF(DecLat&gt;0,IF((90 - (DecLat-O618))&gt;90, (90 - (O618-DecLat)), (90 - (DecLat-O618))),IF((90 + (DecLat-O618))&gt;90, (90 + (O618-DecLat)), (90 + (DecLat-O618))))</f>
        <v>76.033333333333331</v>
      </c>
      <c r="AG618" s="257">
        <f>angularseperation(MoonRA,MoonDec,$M618,$O618)</f>
        <v>98.390617434925403</v>
      </c>
      <c r="AH618" s="261">
        <f ca="1">MIN(100,IF($O$5&gt;80,0+30*($AG618/100),IF($O$5&gt;70,0+50*($AG618/100),IF($O$5&gt;60,5+50*($AG618/100),IF($O$5&gt;50,10+60*($AG618/100),IF($O$5&gt;40,15+70*($AG618/100),IF($O$5&gt;30,20+70*($AG618/100),IF($O$5&gt;20,40+55*($AG618/100),(80+(20-$O$5)+30*($AG618/100))))))))))</f>
        <v>100</v>
      </c>
      <c r="AI618" s="263"/>
      <c r="AJ618" s="263"/>
      <c r="AK618" s="263"/>
      <c r="AL618" s="263"/>
      <c r="AM618" s="264"/>
      <c r="AN618" s="263"/>
      <c r="AO618" s="263"/>
      <c r="AP618" s="265"/>
      <c r="AQ618" s="265"/>
      <c r="AR618" s="285"/>
      <c r="AS618" s="263"/>
      <c r="AT618" s="263"/>
      <c r="AU618" s="263"/>
      <c r="AV618" s="264"/>
      <c r="AW618" s="263">
        <v>155</v>
      </c>
      <c r="AX618" s="263"/>
      <c r="AY618" s="263"/>
      <c r="AZ618" s="263"/>
      <c r="BA618" s="263"/>
      <c r="BB618" s="263"/>
      <c r="BC618" s="263"/>
      <c r="BD618" s="264"/>
      <c r="BE618" s="263"/>
      <c r="BF618" s="263"/>
      <c r="BG618" s="263"/>
      <c r="BH618" s="263"/>
      <c r="BI618" s="263"/>
      <c r="BJ618" s="404">
        <f>altaz(J2000_Bas,$O618,$M618,DecLat,DecLong,2)</f>
        <v>53.538585778202055</v>
      </c>
      <c r="BK618" s="378" t="s">
        <v>721</v>
      </c>
      <c r="BL618" s="379">
        <f>IF((2*G618)/60&lt;0.2,0.2,(2*G618)/60)</f>
        <v>0.43333333333333335</v>
      </c>
      <c r="BM618" s="380">
        <f>MOD((50000+AD618-$B$3+(0/24)),1)</f>
        <v>0.10558161541848676</v>
      </c>
      <c r="BN618" s="381"/>
      <c r="BO618" s="382">
        <v>618</v>
      </c>
    </row>
    <row r="619" spans="1:67" s="24" customFormat="1" ht="15" customHeight="1" x14ac:dyDescent="0.25">
      <c r="A619" s="287" t="s">
        <v>722</v>
      </c>
      <c r="B619" s="241" t="str">
        <f>HYPERLINK(CONCATENATE($AT$3,BK619,$AU$3),$AV$3)</f>
        <v>S</v>
      </c>
      <c r="C619" s="242" t="str">
        <f>HYPERLINK(CONCATENATE($AT$4,BK619,$AU$4,BL619),$AV$4)</f>
        <v>A</v>
      </c>
      <c r="D619" s="243" t="s">
        <v>5187</v>
      </c>
      <c r="E619" s="244" t="s">
        <v>5179</v>
      </c>
      <c r="F619" s="269">
        <v>3</v>
      </c>
      <c r="G619" s="273">
        <v>8</v>
      </c>
      <c r="H619" s="271" t="s">
        <v>6500</v>
      </c>
      <c r="I619" s="244" t="s">
        <v>6500</v>
      </c>
      <c r="J619" s="246">
        <v>0</v>
      </c>
      <c r="K619" s="247" t="s">
        <v>5838</v>
      </c>
      <c r="L619" s="248">
        <v>213359</v>
      </c>
      <c r="M619" s="249">
        <f>15*(LEFT(TEXT($L619,"000000"),2)+(MID(TEXT($L619,"000000"),3,2)/60)+(RIGHT(TEXT($L619,"000000"),2)/3600))</f>
        <v>323.49583333333339</v>
      </c>
      <c r="N619" s="286">
        <v>453500</v>
      </c>
      <c r="O619" s="251">
        <f>IF($N619&gt;0,(LEFT(TEXT($N619,"000000"),2)+(MID(TEXT($N619,"000000"),3,2)/60)+(RIGHT(TEXT($N619,"000000"),2)/3600)),-(MID(TEXT($N619,"000000"),2,2)+(MID(TEXT($N619,"000000"),4,2)/60)+(RIGHT(TEXT($N619,"000000"),2)/3600)))</f>
        <v>45.583333333333336</v>
      </c>
      <c r="P619" s="252" t="s">
        <v>60</v>
      </c>
      <c r="Q619" s="253"/>
      <c r="R619" s="277" t="s">
        <v>3293</v>
      </c>
      <c r="S619" s="272" t="s">
        <v>3293</v>
      </c>
      <c r="T619" s="273"/>
      <c r="U619" s="274"/>
      <c r="V619" s="256"/>
      <c r="W619" s="244"/>
      <c r="X619" s="244"/>
      <c r="Y619" s="362"/>
      <c r="Z619" s="257">
        <f>altaz(J2000_Bas,$O619,$M619,DecLat,DecLong,1)</f>
        <v>57.549683751256808</v>
      </c>
      <c r="AA619" s="257">
        <f>altaz((J2000_Bas+(2*0.04167)),$O619,$M619,DecLat,DecLong,1)</f>
        <v>74.317476296266932</v>
      </c>
      <c r="AB619" s="257">
        <f>altaz((J2000_Bas+(4*0.04167)),$O619,$M619,DecLat,DecLong,1)</f>
        <v>67.133084001137746</v>
      </c>
      <c r="AC619" s="257">
        <f>altaz((J2000_Bas+(6*0.04167)),$O619,$M619,DecLat,DecLong,1)</f>
        <v>46.962635751919308</v>
      </c>
      <c r="AD619" s="258">
        <f>1+ transit((J2000_Bas-1),$O619,$M619,DecLat,DecLong)/360 + (GMTOffset/24) + (IF(DST="Y", 1, 0)/24)</f>
        <v>1.8914994078067917</v>
      </c>
      <c r="AE619" s="259">
        <f>DATE(2001,9,21)+(M619/360)*365 - (360*((DecLong/360)- (GMTOffset/24) ))</f>
        <v>37487.98883101852</v>
      </c>
      <c r="AF619" s="260">
        <f>IF(DecLat&gt;0,IF((90 - (DecLat-O619))&gt;90, (90 - (O619-DecLat)), (90 - (DecLat-O619))),IF((90 + (DecLat-O619))&gt;90, (90 + (O619-DecLat)), (90 + (DecLat-O619))))</f>
        <v>75.416666666666657</v>
      </c>
      <c r="AG619" s="257">
        <f>angularseperation(MoonRA,MoonDec,$M619,$O619)</f>
        <v>98.980914095592055</v>
      </c>
      <c r="AH619" s="261">
        <f ca="1">MIN(100,IF($O$5&gt;80,0+30*($AG619/100),IF($O$5&gt;70,0+50*($AG619/100),IF($O$5&gt;60,5+50*($AG619/100),IF($O$5&gt;50,10+60*($AG619/100),IF($O$5&gt;40,15+70*($AG619/100),IF($O$5&gt;30,20+70*($AG619/100),IF($O$5&gt;20,40+55*($AG619/100),(80+(20-$O$5)+30*($AG619/100))))))))))</f>
        <v>100</v>
      </c>
      <c r="AI619" s="263"/>
      <c r="AJ619" s="263"/>
      <c r="AK619" s="263"/>
      <c r="AL619" s="263"/>
      <c r="AM619" s="264"/>
      <c r="AN619" s="263"/>
      <c r="AO619" s="263"/>
      <c r="AP619" s="265"/>
      <c r="AQ619" s="265"/>
      <c r="AR619" s="285"/>
      <c r="AS619" s="263"/>
      <c r="AT619" s="263"/>
      <c r="AU619" s="263"/>
      <c r="AV619" s="264"/>
      <c r="AW619" s="263">
        <v>156</v>
      </c>
      <c r="AX619" s="263"/>
      <c r="AY619" s="263"/>
      <c r="AZ619" s="263"/>
      <c r="BA619" s="263"/>
      <c r="BB619" s="263"/>
      <c r="BC619" s="263"/>
      <c r="BD619" s="264"/>
      <c r="BE619" s="263"/>
      <c r="BF619" s="263"/>
      <c r="BG619" s="263"/>
      <c r="BH619" s="263"/>
      <c r="BI619" s="263"/>
      <c r="BJ619" s="404">
        <f>altaz(J2000_Bas,$O619,$M619,DecLat,DecLong,2)</f>
        <v>52.552768628656843</v>
      </c>
      <c r="BK619" s="378" t="s">
        <v>722</v>
      </c>
      <c r="BL619" s="379">
        <f>IF((2*G619)/60&lt;0.2,0.2,(2*G619)/60)</f>
        <v>0.26666666666666666</v>
      </c>
      <c r="BM619" s="380">
        <f>MOD((50000+AD619-$B$3+(0/24)),1)</f>
        <v>0.10686633751174668</v>
      </c>
      <c r="BN619" s="381"/>
      <c r="BO619" s="382">
        <v>619</v>
      </c>
    </row>
    <row r="620" spans="1:67" s="24" customFormat="1" ht="15" customHeight="1" x14ac:dyDescent="0.25">
      <c r="A620" s="287" t="s">
        <v>723</v>
      </c>
      <c r="B620" s="241" t="str">
        <f>HYPERLINK(CONCATENATE($AT$3,BK620,$AU$3),$AV$3)</f>
        <v>S</v>
      </c>
      <c r="C620" s="242" t="str">
        <f>HYPERLINK(CONCATENATE($AT$4,BK620,$AU$4,BL620),$AV$4)</f>
        <v>A</v>
      </c>
      <c r="D620" s="243" t="s">
        <v>5187</v>
      </c>
      <c r="E620" s="244" t="s">
        <v>5179</v>
      </c>
      <c r="F620" s="269">
        <v>4</v>
      </c>
      <c r="G620" s="273">
        <v>5</v>
      </c>
      <c r="H620" s="271" t="s">
        <v>6500</v>
      </c>
      <c r="I620" s="244" t="s">
        <v>6500</v>
      </c>
      <c r="J620" s="246">
        <v>1</v>
      </c>
      <c r="K620" s="247" t="s">
        <v>8376</v>
      </c>
      <c r="L620" s="248">
        <v>213341</v>
      </c>
      <c r="M620" s="249">
        <f>15*(LEFT(TEXT($L620,"000000"),2)+(MID(TEXT($L620,"000000"),3,2)/60)+(RIGHT(TEXT($L620,"000000"),2)/3600))</f>
        <v>323.42083333333335</v>
      </c>
      <c r="N620" s="286">
        <v>544000</v>
      </c>
      <c r="O620" s="251">
        <f>IF($N620&gt;0,(LEFT(TEXT($N620,"000000"),2)+(MID(TEXT($N620,"000000"),3,2)/60)+(RIGHT(TEXT($N620,"000000"),2)/3600)),-(MID(TEXT($N620,"000000"),2,2)+(MID(TEXT($N620,"000000"),4,2)/60)+(RIGHT(TEXT($N620,"000000"),2)/3600)))</f>
        <v>54.666666666666664</v>
      </c>
      <c r="P620" s="252" t="s">
        <v>52</v>
      </c>
      <c r="Q620" s="253"/>
      <c r="R620" s="277" t="s">
        <v>3293</v>
      </c>
      <c r="S620" s="272" t="s">
        <v>3293</v>
      </c>
      <c r="T620" s="273"/>
      <c r="U620" s="274"/>
      <c r="V620" s="256"/>
      <c r="W620" s="244"/>
      <c r="X620" s="244"/>
      <c r="Y620" s="362"/>
      <c r="Z620" s="257">
        <f>altaz(J2000_Bas,$O620,$M620,DecLat,DecLong,1)</f>
        <v>54.477384864866238</v>
      </c>
      <c r="AA620" s="257">
        <f>altaz((J2000_Bas+(2*0.04167)),$O620,$M620,DecLat,DecLong,1)</f>
        <v>65.761022635070788</v>
      </c>
      <c r="AB620" s="257">
        <f>altaz((J2000_Bas+(4*0.04167)),$O620,$M620,DecLat,DecLong,1)</f>
        <v>61.321488822686128</v>
      </c>
      <c r="AC620" s="257">
        <f>altaz((J2000_Bas+(6*0.04167)),$O620,$M620,DecLat,DecLong,1)</f>
        <v>46.0248460650391</v>
      </c>
      <c r="AD620" s="258">
        <f>1+ transit((J2000_Bas-1),$O620,$M620,DecLat,DecLong)/360 + (GMTOffset/24) + (IF(DST="Y", 1, 0)/24)</f>
        <v>1.8912910744942912</v>
      </c>
      <c r="AE620" s="259">
        <f>DATE(2001,9,21)+(M620/360)*365 - (360*((DecLong/360)- (GMTOffset/24) ))</f>
        <v>37487.912789351853</v>
      </c>
      <c r="AF620" s="260">
        <f>IF(DecLat&gt;0,IF((90 - (DecLat-O620))&gt;90, (90 - (O620-DecLat)), (90 - (DecLat-O620))),IF((90 + (DecLat-O620))&gt;90, (90 + (O620-DecLat)), (90 + (DecLat-O620))))</f>
        <v>66.333333333333343</v>
      </c>
      <c r="AG620" s="257">
        <f>angularseperation(MoonRA,MoonDec,$M620,$O620)</f>
        <v>103.35888856681116</v>
      </c>
      <c r="AH620" s="261">
        <f ca="1">MIN(100,IF($O$5&gt;80,0+30*($AG620/100),IF($O$5&gt;70,0+50*($AG620/100),IF($O$5&gt;60,5+50*($AG620/100),IF($O$5&gt;50,10+60*($AG620/100),IF($O$5&gt;40,15+70*($AG620/100),IF($O$5&gt;30,20+70*($AG620/100),IF($O$5&gt;20,40+55*($AG620/100),(80+(20-$O$5)+30*($AG620/100))))))))))</f>
        <v>100</v>
      </c>
      <c r="AI620" s="263"/>
      <c r="AJ620" s="263"/>
      <c r="AK620" s="263"/>
      <c r="AL620" s="263"/>
      <c r="AM620" s="264"/>
      <c r="AN620" s="263"/>
      <c r="AO620" s="263"/>
      <c r="AP620" s="265"/>
      <c r="AQ620" s="265"/>
      <c r="AR620" s="285"/>
      <c r="AS620" s="263"/>
      <c r="AT620" s="263"/>
      <c r="AU620" s="263"/>
      <c r="AV620" s="264"/>
      <c r="AW620" s="263">
        <v>157</v>
      </c>
      <c r="AX620" s="263"/>
      <c r="AY620" s="263"/>
      <c r="AZ620" s="263"/>
      <c r="BA620" s="263"/>
      <c r="BB620" s="263"/>
      <c r="BC620" s="263"/>
      <c r="BD620" s="264"/>
      <c r="BE620" s="263"/>
      <c r="BF620" s="263"/>
      <c r="BG620" s="263"/>
      <c r="BH620" s="263"/>
      <c r="BI620" s="263"/>
      <c r="BJ620" s="404">
        <f>altaz(J2000_Bas,$O620,$M620,DecLat,DecLong,2)</f>
        <v>37.215391943692445</v>
      </c>
      <c r="BK620" s="378" t="s">
        <v>723</v>
      </c>
      <c r="BL620" s="379">
        <f>IF((2*G620)/60&lt;0.2,0.2,(2*G620)/60)</f>
        <v>0.2</v>
      </c>
      <c r="BM620" s="380">
        <f>MOD((50000+AD620-$B$3+(0/24)),1)</f>
        <v>0.10665800419519655</v>
      </c>
      <c r="BN620" s="381"/>
      <c r="BO620" s="382">
        <v>620</v>
      </c>
    </row>
    <row r="621" spans="1:67" s="24" customFormat="1" ht="15" customHeight="1" x14ac:dyDescent="0.25">
      <c r="A621" s="287" t="s">
        <v>724</v>
      </c>
      <c r="B621" s="241" t="str">
        <f>HYPERLINK(CONCATENATE($AT$3,BK621,$AU$3),$AV$3)</f>
        <v>S</v>
      </c>
      <c r="C621" s="242" t="str">
        <f>HYPERLINK(CONCATENATE($AT$4,BK621,$AU$4,BL621),$AV$4)</f>
        <v>A</v>
      </c>
      <c r="D621" s="243" t="s">
        <v>5187</v>
      </c>
      <c r="E621" s="244" t="s">
        <v>5179</v>
      </c>
      <c r="F621" s="269">
        <v>5</v>
      </c>
      <c r="G621" s="273">
        <v>3</v>
      </c>
      <c r="H621" s="271" t="s">
        <v>6500</v>
      </c>
      <c r="I621" s="244" t="s">
        <v>6500</v>
      </c>
      <c r="J621" s="246">
        <v>1</v>
      </c>
      <c r="K621" s="247" t="s">
        <v>5991</v>
      </c>
      <c r="L621" s="248">
        <v>213713</v>
      </c>
      <c r="M621" s="249">
        <f>15*(LEFT(TEXT($L621,"000000"),2)+(MID(TEXT($L621,"000000"),3,2)/60)+(RIGHT(TEXT($L621,"000000"),2)/3600))</f>
        <v>324.30416666666667</v>
      </c>
      <c r="N621" s="286">
        <v>432400</v>
      </c>
      <c r="O621" s="251">
        <f>IF($N621&gt;0,(LEFT(TEXT($N621,"000000"),2)+(MID(TEXT($N621,"000000"),3,2)/60)+(RIGHT(TEXT($N621,"000000"),2)/3600)),-(MID(TEXT($N621,"000000"),2,2)+(MID(TEXT($N621,"000000"),4,2)/60)+(RIGHT(TEXT($N621,"000000"),2)/3600)))</f>
        <v>43.4</v>
      </c>
      <c r="P621" s="252" t="s">
        <v>60</v>
      </c>
      <c r="Q621" s="253"/>
      <c r="R621" s="277" t="s">
        <v>3293</v>
      </c>
      <c r="S621" s="272" t="s">
        <v>3293</v>
      </c>
      <c r="T621" s="273"/>
      <c r="U621" s="274"/>
      <c r="V621" s="256"/>
      <c r="W621" s="244"/>
      <c r="X621" s="244"/>
      <c r="Y621" s="362"/>
      <c r="Z621" s="257">
        <f>altaz(J2000_Bas,$O621,$M621,DecLat,DecLong,1)</f>
        <v>57.417985515865006</v>
      </c>
      <c r="AA621" s="257">
        <f>altaz((J2000_Bas+(2*0.04167)),$O621,$M621,DecLat,DecLong,1)</f>
        <v>75.995939398463591</v>
      </c>
      <c r="AB621" s="257">
        <f>altaz((J2000_Bas+(4*0.04167)),$O621,$M621,DecLat,DecLong,1)</f>
        <v>68.726709133967049</v>
      </c>
      <c r="AC621" s="257">
        <f>altaz((J2000_Bas+(6*0.04167)),$O621,$M621,DecLat,DecLong,1)</f>
        <v>47.537384369713799</v>
      </c>
      <c r="AD621" s="258">
        <f>1+ transit((J2000_Bas-1),$O621,$M621,DecLat,DecLong)/360 + (GMTOffset/24) + (IF(DST="Y", 1, 0)/24)</f>
        <v>1.8937447779526246</v>
      </c>
      <c r="AE621" s="259">
        <f>DATE(2001,9,21)+(M621/360)*365 - (360*((DecLong/360)- (GMTOffset/24) ))</f>
        <v>37488.808391203704</v>
      </c>
      <c r="AF621" s="260">
        <f>IF(DecLat&gt;0,IF((90 - (DecLat-O621))&gt;90, (90 - (O621-DecLat)), (90 - (DecLat-O621))),IF((90 + (DecLat-O621))&gt;90, (90 + (O621-DecLat)), (90 + (DecLat-O621))))</f>
        <v>77.599999999999994</v>
      </c>
      <c r="AG621" s="257">
        <f>angularseperation(MoonRA,MoonDec,$M621,$O621)</f>
        <v>98.399761841855266</v>
      </c>
      <c r="AH621" s="261">
        <f ca="1">MIN(100,IF($O$5&gt;80,0+30*($AG621/100),IF($O$5&gt;70,0+50*($AG621/100),IF($O$5&gt;60,5+50*($AG621/100),IF($O$5&gt;50,10+60*($AG621/100),IF($O$5&gt;40,15+70*($AG621/100),IF($O$5&gt;30,20+70*($AG621/100),IF($O$5&gt;20,40+55*($AG621/100),(80+(20-$O$5)+30*($AG621/100))))))))))</f>
        <v>100</v>
      </c>
      <c r="AI621" s="263"/>
      <c r="AJ621" s="263"/>
      <c r="AK621" s="263"/>
      <c r="AL621" s="263"/>
      <c r="AM621" s="264"/>
      <c r="AN621" s="263"/>
      <c r="AO621" s="263"/>
      <c r="AP621" s="265"/>
      <c r="AQ621" s="265"/>
      <c r="AR621" s="285"/>
      <c r="AS621" s="263"/>
      <c r="AT621" s="263"/>
      <c r="AU621" s="263"/>
      <c r="AV621" s="264"/>
      <c r="AW621" s="263">
        <v>158</v>
      </c>
      <c r="AX621" s="263"/>
      <c r="AY621" s="263"/>
      <c r="AZ621" s="263"/>
      <c r="BA621" s="263"/>
      <c r="BB621" s="263"/>
      <c r="BC621" s="263"/>
      <c r="BD621" s="264"/>
      <c r="BE621" s="263"/>
      <c r="BF621" s="263"/>
      <c r="BG621" s="263"/>
      <c r="BH621" s="263"/>
      <c r="BI621" s="263"/>
      <c r="BJ621" s="404">
        <f>altaz(J2000_Bas,$O621,$M621,DecLat,DecLong,2)</f>
        <v>56.747225015288727</v>
      </c>
      <c r="BK621" s="378" t="s">
        <v>724</v>
      </c>
      <c r="BL621" s="379">
        <f>IF((2*G621)/60&lt;0.2,0.2,(2*G621)/60)</f>
        <v>0.2</v>
      </c>
      <c r="BM621" s="380">
        <f>MOD((50000+AD621-$B$3+(0/24)),1)</f>
        <v>0.10911170765757561</v>
      </c>
      <c r="BN621" s="381"/>
      <c r="BO621" s="382">
        <v>621</v>
      </c>
    </row>
    <row r="622" spans="1:67" s="24" customFormat="1" ht="15" customHeight="1" x14ac:dyDescent="0.25">
      <c r="A622" s="287" t="s">
        <v>725</v>
      </c>
      <c r="B622" s="241" t="str">
        <f>HYPERLINK(CONCATENATE($AT$3,BK622,$AU$3),$AV$3)</f>
        <v>S</v>
      </c>
      <c r="C622" s="242" t="str">
        <f>HYPERLINK(CONCATENATE($AT$4,BK622,$AU$4,BL622),$AV$4)</f>
        <v>A</v>
      </c>
      <c r="D622" s="243" t="s">
        <v>5187</v>
      </c>
      <c r="E622" s="244" t="s">
        <v>5179</v>
      </c>
      <c r="F622" s="269">
        <v>5</v>
      </c>
      <c r="G622" s="276">
        <v>25</v>
      </c>
      <c r="H622" s="271" t="s">
        <v>6500</v>
      </c>
      <c r="I622" s="244" t="s">
        <v>6500</v>
      </c>
      <c r="J622" s="246">
        <v>1</v>
      </c>
      <c r="K622" s="247" t="s">
        <v>5839</v>
      </c>
      <c r="L622" s="248">
        <v>213822</v>
      </c>
      <c r="M622" s="249">
        <f>15*(LEFT(TEXT($L622,"000000"),2)+(MID(TEXT($L622,"000000"),3,2)/60)+(RIGHT(TEXT($L622,"000000"),2)/3600))</f>
        <v>324.59166666666664</v>
      </c>
      <c r="N622" s="286">
        <v>431400</v>
      </c>
      <c r="O622" s="251">
        <f>IF($N622&gt;0,(LEFT(TEXT($N622,"000000"),2)+(MID(TEXT($N622,"000000"),3,2)/60)+(RIGHT(TEXT($N622,"000000"),2)/3600)),-(MID(TEXT($N622,"000000"),2,2)+(MID(TEXT($N622,"000000"),4,2)/60)+(RIGHT(TEXT($N622,"000000"),2)/3600)))</f>
        <v>43.233333333333334</v>
      </c>
      <c r="P622" s="252" t="s">
        <v>60</v>
      </c>
      <c r="Q622" s="253"/>
      <c r="R622" s="277" t="s">
        <v>3293</v>
      </c>
      <c r="S622" s="272" t="s">
        <v>3293</v>
      </c>
      <c r="T622" s="273"/>
      <c r="U622" s="274"/>
      <c r="V622" s="256"/>
      <c r="W622" s="244"/>
      <c r="X622" s="244"/>
      <c r="Y622" s="362"/>
      <c r="Z622" s="257">
        <f>altaz(J2000_Bas,$O622,$M622,DecLat,DecLong,1)</f>
        <v>57.237969112711426</v>
      </c>
      <c r="AA622" s="257">
        <f>altaz((J2000_Bas+(2*0.04167)),$O622,$M622,DecLat,DecLong,1)</f>
        <v>76.030857036169692</v>
      </c>
      <c r="AB622" s="257">
        <f>altaz((J2000_Bas+(4*0.04167)),$O622,$M622,DecLat,DecLong,1)</f>
        <v>68.989982939636619</v>
      </c>
      <c r="AC622" s="257">
        <f>altaz((J2000_Bas+(6*0.04167)),$O622,$M622,DecLat,DecLong,1)</f>
        <v>47.743775965230121</v>
      </c>
      <c r="AD622" s="258">
        <f>1+ transit((J2000_Bas-1),$O622,$M622,DecLat,DecLong)/360 + (GMTOffset/24) + (IF(DST="Y", 1, 0)/24)</f>
        <v>1.8945433889838748</v>
      </c>
      <c r="AE622" s="259">
        <f>DATE(2001,9,21)+(M622/360)*365 - (360*((DecLong/360)- (GMTOffset/24) ))</f>
        <v>37489.09988425926</v>
      </c>
      <c r="AF622" s="260">
        <f>IF(DecLat&gt;0,IF((90 - (DecLat-O622))&gt;90, (90 - (O622-DecLat)), (90 - (DecLat-O622))),IF((90 + (DecLat-O622))&gt;90, (90 + (O622-DecLat)), (90 + (DecLat-O622))))</f>
        <v>77.766666666666666</v>
      </c>
      <c r="AG622" s="257">
        <f>angularseperation(MoonRA,MoonDec,$M622,$O622)</f>
        <v>98.499707001755311</v>
      </c>
      <c r="AH622" s="261">
        <f ca="1">MIN(100,IF($O$5&gt;80,0+30*($AG622/100),IF($O$5&gt;70,0+50*($AG622/100),IF($O$5&gt;60,5+50*($AG622/100),IF($O$5&gt;50,10+60*($AG622/100),IF($O$5&gt;40,15+70*($AG622/100),IF($O$5&gt;30,20+70*($AG622/100),IF($O$5&gt;20,40+55*($AG622/100),(80+(20-$O$5)+30*($AG622/100))))))))))</f>
        <v>100</v>
      </c>
      <c r="AI622" s="263"/>
      <c r="AJ622" s="263"/>
      <c r="AK622" s="263"/>
      <c r="AL622" s="263"/>
      <c r="AM622" s="264"/>
      <c r="AN622" s="263"/>
      <c r="AO622" s="263"/>
      <c r="AP622" s="265"/>
      <c r="AQ622" s="265"/>
      <c r="AR622" s="285"/>
      <c r="AS622" s="263"/>
      <c r="AT622" s="263"/>
      <c r="AU622" s="263"/>
      <c r="AV622" s="264"/>
      <c r="AW622" s="263">
        <v>159</v>
      </c>
      <c r="AX622" s="263"/>
      <c r="AY622" s="263"/>
      <c r="AZ622" s="263"/>
      <c r="BA622" s="263"/>
      <c r="BB622" s="263"/>
      <c r="BC622" s="263"/>
      <c r="BD622" s="264"/>
      <c r="BE622" s="263"/>
      <c r="BF622" s="263"/>
      <c r="BG622" s="263"/>
      <c r="BH622" s="263"/>
      <c r="BI622" s="263"/>
      <c r="BJ622" s="404">
        <f>altaz(J2000_Bas,$O622,$M622,DecLat,DecLong,2)</f>
        <v>57.113648258184924</v>
      </c>
      <c r="BK622" s="378" t="s">
        <v>725</v>
      </c>
      <c r="BL622" s="379">
        <f>IF((2*G622)/60&lt;0.2,0.2,(2*G622)/60)</f>
        <v>0.83333333333333337</v>
      </c>
      <c r="BM622" s="380">
        <f>MOD((50000+AD622-$B$3+(0/24)),1)</f>
        <v>0.10991031868616119</v>
      </c>
      <c r="BN622" s="381"/>
      <c r="BO622" s="382">
        <v>622</v>
      </c>
    </row>
    <row r="623" spans="1:67" s="24" customFormat="1" ht="15" customHeight="1" x14ac:dyDescent="0.25">
      <c r="A623" s="288" t="s">
        <v>726</v>
      </c>
      <c r="B623" s="241" t="str">
        <f>HYPERLINK(CONCATENATE($AT$3,BK623,$AU$3),$AV$3)</f>
        <v>S</v>
      </c>
      <c r="C623" s="242" t="str">
        <f>HYPERLINK(CONCATENATE($AT$4,BK623,$AU$4,BL623),$AV$4)</f>
        <v>A</v>
      </c>
      <c r="D623" s="243" t="s">
        <v>5187</v>
      </c>
      <c r="E623" s="244" t="s">
        <v>5179</v>
      </c>
      <c r="F623" s="269">
        <v>4</v>
      </c>
      <c r="G623" s="276">
        <v>31</v>
      </c>
      <c r="H623" s="271" t="s">
        <v>6500</v>
      </c>
      <c r="I623" s="244" t="s">
        <v>6500</v>
      </c>
      <c r="J623" s="246">
        <v>2</v>
      </c>
      <c r="K623" s="247" t="s">
        <v>5992</v>
      </c>
      <c r="L623" s="248">
        <v>213759</v>
      </c>
      <c r="M623" s="249">
        <f>15*(LEFT(TEXT($L623,"000000"),2)+(MID(TEXT($L623,"000000"),3,2)/60)+(RIGHT(TEXT($L623,"000000"),2)/3600))</f>
        <v>324.49583333333339</v>
      </c>
      <c r="N623" s="250">
        <v>561400</v>
      </c>
      <c r="O623" s="251">
        <f>IF($N623&gt;0,(LEFT(TEXT($N623,"000000"),2)+(MID(TEXT($N623,"000000"),3,2)/60)+(RIGHT(TEXT($N623,"000000"),2)/3600)),-(MID(TEXT($N623,"000000"),2,2)+(MID(TEXT($N623,"000000"),4,2)/60)+(RIGHT(TEXT($N623,"000000"),2)/3600)))</f>
        <v>56.233333333333334</v>
      </c>
      <c r="P623" s="252" t="s">
        <v>52</v>
      </c>
      <c r="Q623" s="253"/>
      <c r="R623" s="277" t="s">
        <v>3293</v>
      </c>
      <c r="S623" s="272" t="s">
        <v>3293</v>
      </c>
      <c r="T623" s="273"/>
      <c r="U623" s="274"/>
      <c r="V623" s="256"/>
      <c r="W623" s="244"/>
      <c r="X623" s="244"/>
      <c r="Y623" s="362"/>
      <c r="Z623" s="257">
        <f>altaz(J2000_Bas,$O623,$M623,DecLat,DecLong,1)</f>
        <v>53.229882050360388</v>
      </c>
      <c r="AA623" s="257">
        <f>altaz((J2000_Bas+(2*0.04167)),$O623,$M623,DecLat,DecLong,1)</f>
        <v>64.086881640438421</v>
      </c>
      <c r="AB623" s="257">
        <f>altaz((J2000_Bas+(4*0.04167)),$O623,$M623,DecLat,DecLong,1)</f>
        <v>60.562271134100811</v>
      </c>
      <c r="AC623" s="257">
        <f>altaz((J2000_Bas+(6*0.04167)),$O623,$M623,DecLat,DecLong,1)</f>
        <v>46.305905331107432</v>
      </c>
      <c r="AD623" s="258">
        <f>1+ transit((J2000_Bas-1),$O623,$M623,DecLat,DecLong)/360 + (GMTOffset/24) + (IF(DST="Y", 1, 0)/24)</f>
        <v>1.8942771853067917</v>
      </c>
      <c r="AE623" s="259">
        <f>DATE(2001,9,21)+(M623/360)*365 - (360*((DecLong/360)- (GMTOffset/24) ))</f>
        <v>37489.00271990741</v>
      </c>
      <c r="AF623" s="260">
        <f>IF(DecLat&gt;0,IF((90 - (DecLat-O623))&gt;90, (90 - (O623-DecLat)), (90 - (DecLat-O623))),IF((90 + (DecLat-O623))&gt;90, (90 + (O623-DecLat)), (90 + (DecLat-O623))))</f>
        <v>64.766666666666666</v>
      </c>
      <c r="AG623" s="257">
        <f>angularseperation(MoonRA,MoonDec,$M623,$O623)</f>
        <v>104.62743745534557</v>
      </c>
      <c r="AH623" s="261">
        <f ca="1">MIN(100,IF($O$5&gt;80,0+30*($AG623/100),IF($O$5&gt;70,0+50*($AG623/100),IF($O$5&gt;60,5+50*($AG623/100),IF($O$5&gt;50,10+60*($AG623/100),IF($O$5&gt;40,15+70*($AG623/100),IF($O$5&gt;30,20+70*($AG623/100),IF($O$5&gt;20,40+55*($AG623/100),(80+(20-$O$5)+30*($AG623/100))))))))))</f>
        <v>100</v>
      </c>
      <c r="AI623" s="263"/>
      <c r="AJ623" s="263"/>
      <c r="AK623" s="263"/>
      <c r="AL623" s="263"/>
      <c r="AM623" s="264"/>
      <c r="AN623" s="263"/>
      <c r="AO623" s="263"/>
      <c r="AP623" s="265"/>
      <c r="AQ623" s="265"/>
      <c r="AR623" s="285"/>
      <c r="AS623" s="263"/>
      <c r="AT623" s="263"/>
      <c r="AU623" s="263"/>
      <c r="AV623" s="264"/>
      <c r="AW623" s="263">
        <v>160</v>
      </c>
      <c r="AX623" s="263"/>
      <c r="AY623" s="263"/>
      <c r="AZ623" s="263"/>
      <c r="BA623" s="263"/>
      <c r="BB623" s="263"/>
      <c r="BC623" s="263"/>
      <c r="BD623" s="264"/>
      <c r="BE623" s="263"/>
      <c r="BF623" s="263"/>
      <c r="BG623" s="263"/>
      <c r="BH623" s="263"/>
      <c r="BI623" s="263"/>
      <c r="BJ623" s="404">
        <f>altaz(J2000_Bas,$O623,$M623,DecLat,DecLong,2)</f>
        <v>35.304760144064105</v>
      </c>
      <c r="BK623" s="378" t="s">
        <v>726</v>
      </c>
      <c r="BL623" s="379">
        <f>IF((2*G623)/60&lt;0.2,0.2,(2*G623)/60)</f>
        <v>1.0333333333333334</v>
      </c>
      <c r="BM623" s="380">
        <f>MOD((50000+AD623-$B$3+(0/24)),1)</f>
        <v>0.10964411500754068</v>
      </c>
      <c r="BN623" s="381"/>
      <c r="BO623" s="382">
        <v>623</v>
      </c>
    </row>
    <row r="624" spans="1:67" s="24" customFormat="1" ht="15" customHeight="1" x14ac:dyDescent="0.25">
      <c r="A624" s="288" t="s">
        <v>727</v>
      </c>
      <c r="B624" s="241" t="str">
        <f>HYPERLINK(CONCATENATE($AT$3,BK624,$AU$3),$AV$3)</f>
        <v>S</v>
      </c>
      <c r="C624" s="242" t="str">
        <f>HYPERLINK(CONCATENATE($AT$4,BK624,$AU$4,BL624),$AV$4)</f>
        <v>A</v>
      </c>
      <c r="D624" s="243" t="s">
        <v>5187</v>
      </c>
      <c r="E624" s="244" t="s">
        <v>5179</v>
      </c>
      <c r="F624" s="269">
        <v>6</v>
      </c>
      <c r="G624" s="273">
        <v>3</v>
      </c>
      <c r="H624" s="271" t="s">
        <v>6500</v>
      </c>
      <c r="I624" s="244" t="s">
        <v>6500</v>
      </c>
      <c r="J624" s="246">
        <v>2</v>
      </c>
      <c r="K624" s="247" t="s">
        <v>8377</v>
      </c>
      <c r="L624" s="248">
        <v>214022</v>
      </c>
      <c r="M624" s="249">
        <f>15*(LEFT(TEXT($L624,"000000"),2)+(MID(TEXT($L624,"000000"),3,2)/60)+(RIGHT(TEXT($L624,"000000"),2)/3600))</f>
        <v>325.0916666666667</v>
      </c>
      <c r="N624" s="286">
        <v>574900</v>
      </c>
      <c r="O624" s="251">
        <f>IF($N624&gt;0,(LEFT(TEXT($N624,"000000"),2)+(MID(TEXT($N624,"000000"),3,2)/60)+(RIGHT(TEXT($N624,"000000"),2)/3600)),-(MID(TEXT($N624,"000000"),2,2)+(MID(TEXT($N624,"000000"),4,2)/60)+(RIGHT(TEXT($N624,"000000"),2)/3600)))</f>
        <v>57.81666666666667</v>
      </c>
      <c r="P624" s="252" t="s">
        <v>52</v>
      </c>
      <c r="Q624" s="253"/>
      <c r="R624" s="277" t="s">
        <v>3293</v>
      </c>
      <c r="S624" s="272" t="s">
        <v>3293</v>
      </c>
      <c r="T624" s="273"/>
      <c r="U624" s="274"/>
      <c r="V624" s="256"/>
      <c r="W624" s="244"/>
      <c r="X624" s="244"/>
      <c r="Y624" s="362"/>
      <c r="Z624" s="257">
        <f>altaz(J2000_Bas,$O624,$M624,DecLat,DecLong,1)</f>
        <v>52.210095135774729</v>
      </c>
      <c r="AA624" s="257">
        <f>altaz((J2000_Bas+(2*0.04167)),$O624,$M624,DecLat,DecLong,1)</f>
        <v>62.477333508297264</v>
      </c>
      <c r="AB624" s="257">
        <f>altaz((J2000_Bas+(4*0.04167)),$O624,$M624,DecLat,DecLong,1)</f>
        <v>59.530765275998078</v>
      </c>
      <c r="AC624" s="257">
        <f>altaz((J2000_Bas+(6*0.04167)),$O624,$M624,DecLat,DecLong,1)</f>
        <v>46.236355687712923</v>
      </c>
      <c r="AD624" s="258">
        <f>1+ transit((J2000_Bas-1),$O624,$M624,DecLat,DecLong)/360 + (GMTOffset/24) + (IF(DST="Y", 1, 0)/24)</f>
        <v>1.895932277733875</v>
      </c>
      <c r="AE624" s="259">
        <f>DATE(2001,9,21)+(M624/360)*365 - (360*((DecLong/360)- (GMTOffset/24) ))</f>
        <v>37489.606828703705</v>
      </c>
      <c r="AF624" s="260">
        <f>IF(DecLat&gt;0,IF((90 - (DecLat-O624))&gt;90, (90 - (O624-DecLat)), (90 - (DecLat-O624))),IF((90 + (DecLat-O624))&gt;90, (90 + (O624-DecLat)), (90 + (DecLat-O624))))</f>
        <v>63.18333333333333</v>
      </c>
      <c r="AG624" s="257">
        <f>angularseperation(MoonRA,MoonDec,$M624,$O624)</f>
        <v>105.62913932075162</v>
      </c>
      <c r="AH624" s="261">
        <f ca="1">MIN(100,IF($O$5&gt;80,0+30*($AG624/100),IF($O$5&gt;70,0+50*($AG624/100),IF($O$5&gt;60,5+50*($AG624/100),IF($O$5&gt;50,10+60*($AG624/100),IF($O$5&gt;40,15+70*($AG624/100),IF($O$5&gt;30,20+70*($AG624/100),IF($O$5&gt;20,40+55*($AG624/100),(80+(20-$O$5)+30*($AG624/100))))))))))</f>
        <v>100</v>
      </c>
      <c r="AI624" s="263"/>
      <c r="AJ624" s="263"/>
      <c r="AK624" s="263"/>
      <c r="AL624" s="263"/>
      <c r="AM624" s="264"/>
      <c r="AN624" s="263"/>
      <c r="AO624" s="263"/>
      <c r="AP624" s="265"/>
      <c r="AQ624" s="265"/>
      <c r="AR624" s="285"/>
      <c r="AS624" s="263"/>
      <c r="AT624" s="263"/>
      <c r="AU624" s="263"/>
      <c r="AV624" s="264"/>
      <c r="AW624" s="263">
        <v>161</v>
      </c>
      <c r="AX624" s="263"/>
      <c r="AY624" s="263"/>
      <c r="AZ624" s="263"/>
      <c r="BA624" s="263"/>
      <c r="BB624" s="263"/>
      <c r="BC624" s="263"/>
      <c r="BD624" s="264"/>
      <c r="BE624" s="263"/>
      <c r="BF624" s="263"/>
      <c r="BG624" s="263"/>
      <c r="BH624" s="263"/>
      <c r="BI624" s="263"/>
      <c r="BJ624" s="404">
        <f>altaz(J2000_Bas,$O624,$M624,DecLat,DecLong,2)</f>
        <v>33.234504435747496</v>
      </c>
      <c r="BK624" s="378" t="s">
        <v>727</v>
      </c>
      <c r="BL624" s="379">
        <f>IF((2*G624)/60&lt;0.2,0.2,(2*G624)/60)</f>
        <v>0.2</v>
      </c>
      <c r="BM624" s="380">
        <f>MOD((50000+AD624-$B$3+(0/24)),1)</f>
        <v>0.11129920744133415</v>
      </c>
      <c r="BN624" s="381"/>
      <c r="BO624" s="382">
        <v>624</v>
      </c>
    </row>
    <row r="625" spans="1:67" s="24" customFormat="1" ht="15" customHeight="1" x14ac:dyDescent="0.25">
      <c r="A625" s="288" t="s">
        <v>728</v>
      </c>
      <c r="B625" s="241" t="str">
        <f>HYPERLINK(CONCATENATE($AT$3,BK625,$AU$3),$AV$3)</f>
        <v>S</v>
      </c>
      <c r="C625" s="242" t="str">
        <f>HYPERLINK(CONCATENATE($AT$4,BK625,$AU$4,BL625),$AV$4)</f>
        <v>A</v>
      </c>
      <c r="D625" s="243" t="s">
        <v>5187</v>
      </c>
      <c r="E625" s="244" t="s">
        <v>5179</v>
      </c>
      <c r="F625" s="269">
        <v>4</v>
      </c>
      <c r="G625" s="276">
        <v>13</v>
      </c>
      <c r="H625" s="271" t="s">
        <v>6500</v>
      </c>
      <c r="I625" s="244" t="s">
        <v>6500</v>
      </c>
      <c r="J625" s="246">
        <v>2</v>
      </c>
      <c r="K625" s="247" t="s">
        <v>5993</v>
      </c>
      <c r="L625" s="248">
        <v>214109</v>
      </c>
      <c r="M625" s="249">
        <f>15*(LEFT(TEXT($L625,"000000"),2)+(MID(TEXT($L625,"000000"),3,2)/60)+(RIGHT(TEXT($L625,"000000"),2)/3600))</f>
        <v>325.28750000000002</v>
      </c>
      <c r="N625" s="286">
        <v>561900</v>
      </c>
      <c r="O625" s="251">
        <f>IF($N625&gt;0,(LEFT(TEXT($N625,"000000"),2)+(MID(TEXT($N625,"000000"),3,2)/60)+(RIGHT(TEXT($N625,"000000"),2)/3600)),-(MID(TEXT($N625,"000000"),2,2)+(MID(TEXT($N625,"000000"),4,2)/60)+(RIGHT(TEXT($N625,"000000"),2)/3600)))</f>
        <v>56.31666666666667</v>
      </c>
      <c r="P625" s="252" t="s">
        <v>52</v>
      </c>
      <c r="Q625" s="253"/>
      <c r="R625" s="277" t="s">
        <v>3293</v>
      </c>
      <c r="S625" s="272" t="s">
        <v>3293</v>
      </c>
      <c r="T625" s="273"/>
      <c r="U625" s="274"/>
      <c r="V625" s="256"/>
      <c r="W625" s="244"/>
      <c r="X625" s="244"/>
      <c r="Y625" s="362"/>
      <c r="Z625" s="257">
        <f>altaz(J2000_Bas,$O625,$M625,DecLat,DecLong,1)</f>
        <v>52.799462587072277</v>
      </c>
      <c r="AA625" s="257">
        <f>altaz((J2000_Bas+(2*0.04167)),$O625,$M625,DecLat,DecLong,1)</f>
        <v>63.8759079744434</v>
      </c>
      <c r="AB625" s="257">
        <f>altaz((J2000_Bas+(4*0.04167)),$O625,$M625,DecLat,DecLong,1)</f>
        <v>60.777046487730239</v>
      </c>
      <c r="AC625" s="257">
        <f>altaz((J2000_Bas+(6*0.04167)),$O625,$M625,DecLat,DecLong,1)</f>
        <v>46.714251061743326</v>
      </c>
      <c r="AD625" s="258">
        <f>1+ transit((J2000_Bas-1),$O625,$M625,DecLat,DecLong)/360 + (GMTOffset/24) + (IF(DST="Y", 1, 0)/24)</f>
        <v>1.8964762591609581</v>
      </c>
      <c r="AE625" s="259">
        <f>DATE(2001,9,21)+(M625/360)*365 - (360*((DecLong/360)- (GMTOffset/24) ))</f>
        <v>37489.805381944447</v>
      </c>
      <c r="AF625" s="260">
        <f>IF(DecLat&gt;0,IF((90 - (DecLat-O625))&gt;90, (90 - (O625-DecLat)), (90 - (DecLat-O625))),IF((90 + (DecLat-O625))&gt;90, (90 + (O625-DecLat)), (90 + (DecLat-O625))))</f>
        <v>64.683333333333337</v>
      </c>
      <c r="AG625" s="257">
        <f>angularseperation(MoonRA,MoonDec,$M625,$O625)</f>
        <v>105.05726499202208</v>
      </c>
      <c r="AH625" s="261">
        <f ca="1">MIN(100,IF($O$5&gt;80,0+30*($AG625/100),IF($O$5&gt;70,0+50*($AG625/100),IF($O$5&gt;60,5+50*($AG625/100),IF($O$5&gt;50,10+60*($AG625/100),IF($O$5&gt;40,15+70*($AG625/100),IF($O$5&gt;30,20+70*($AG625/100),IF($O$5&gt;20,40+55*($AG625/100),(80+(20-$O$5)+30*($AG625/100))))))))))</f>
        <v>100</v>
      </c>
      <c r="AI625" s="263"/>
      <c r="AJ625" s="263"/>
      <c r="AK625" s="263"/>
      <c r="AL625" s="263"/>
      <c r="AM625" s="264"/>
      <c r="AN625" s="263"/>
      <c r="AO625" s="263"/>
      <c r="AP625" s="265"/>
      <c r="AQ625" s="265"/>
      <c r="AR625" s="285"/>
      <c r="AS625" s="263"/>
      <c r="AT625" s="263"/>
      <c r="AU625" s="263"/>
      <c r="AV625" s="264"/>
      <c r="AW625" s="263">
        <v>162</v>
      </c>
      <c r="AX625" s="263"/>
      <c r="AY625" s="263"/>
      <c r="AZ625" s="263"/>
      <c r="BA625" s="263"/>
      <c r="BB625" s="263"/>
      <c r="BC625" s="263"/>
      <c r="BD625" s="264"/>
      <c r="BE625" s="263"/>
      <c r="BF625" s="263"/>
      <c r="BG625" s="263"/>
      <c r="BH625" s="263"/>
      <c r="BI625" s="263"/>
      <c r="BJ625" s="404">
        <f>altaz(J2000_Bas,$O625,$M625,DecLat,DecLong,2)</f>
        <v>35.507496561530978</v>
      </c>
      <c r="BK625" s="378" t="s">
        <v>728</v>
      </c>
      <c r="BL625" s="379">
        <f>IF((2*G625)/60&lt;0.2,0.2,(2*G625)/60)</f>
        <v>0.43333333333333335</v>
      </c>
      <c r="BM625" s="380">
        <f>MOD((50000+AD625-$B$3+(0/24)),1)</f>
        <v>0.11184318886807887</v>
      </c>
      <c r="BN625" s="381"/>
      <c r="BO625" s="382">
        <v>625</v>
      </c>
    </row>
    <row r="626" spans="1:67" s="24" customFormat="1" ht="15" customHeight="1" x14ac:dyDescent="0.25">
      <c r="A626" s="288" t="s">
        <v>729</v>
      </c>
      <c r="B626" s="241" t="str">
        <f>HYPERLINK(CONCATENATE($AT$3,BK626,$AU$3),$AV$3)</f>
        <v>S</v>
      </c>
      <c r="C626" s="242" t="str">
        <f>HYPERLINK(CONCATENATE($AT$4,BK626,$AU$4,BL626),$AV$4)</f>
        <v>A</v>
      </c>
      <c r="D626" s="243" t="s">
        <v>5187</v>
      </c>
      <c r="E626" s="244" t="s">
        <v>5179</v>
      </c>
      <c r="F626" s="269">
        <v>4</v>
      </c>
      <c r="G626" s="273">
        <v>3</v>
      </c>
      <c r="H626" s="271" t="s">
        <v>6500</v>
      </c>
      <c r="I626" s="244" t="s">
        <v>6500</v>
      </c>
      <c r="J626" s="246">
        <v>2</v>
      </c>
      <c r="K626" s="247" t="s">
        <v>5994</v>
      </c>
      <c r="L626" s="248">
        <v>214210</v>
      </c>
      <c r="M626" s="249">
        <f>15*(LEFT(TEXT($L626,"000000"),2)+(MID(TEXT($L626,"000000"),3,2)/60)+(RIGHT(TEXT($L626,"000000"),2)/3600))</f>
        <v>325.54166666666663</v>
      </c>
      <c r="N626" s="286">
        <v>564200</v>
      </c>
      <c r="O626" s="251">
        <f>IF($N626&gt;0,(LEFT(TEXT($N626,"000000"),2)+(MID(TEXT($N626,"000000"),3,2)/60)+(RIGHT(TEXT($N626,"000000"),2)/3600)),-(MID(TEXT($N626,"000000"),2,2)+(MID(TEXT($N626,"000000"),4,2)/60)+(RIGHT(TEXT($N626,"000000"),2)/3600)))</f>
        <v>56.7</v>
      </c>
      <c r="P626" s="252" t="s">
        <v>52</v>
      </c>
      <c r="Q626" s="253"/>
      <c r="R626" s="277" t="s">
        <v>3293</v>
      </c>
      <c r="S626" s="272" t="s">
        <v>3293</v>
      </c>
      <c r="T626" s="273"/>
      <c r="U626" s="274"/>
      <c r="V626" s="256"/>
      <c r="W626" s="244"/>
      <c r="X626" s="244"/>
      <c r="Y626" s="362"/>
      <c r="Z626" s="257">
        <f>altaz(J2000_Bas,$O626,$M626,DecLat,DecLong,1)</f>
        <v>52.504250293237014</v>
      </c>
      <c r="AA626" s="257">
        <f>altaz((J2000_Bas+(2*0.04167)),$O626,$M626,DecLat,DecLong,1)</f>
        <v>63.467934251285634</v>
      </c>
      <c r="AB626" s="257">
        <f>altaz((J2000_Bas+(4*0.04167)),$O626,$M626,DecLat,DecLong,1)</f>
        <v>60.563331505569614</v>
      </c>
      <c r="AC626" s="257">
        <f>altaz((J2000_Bas+(6*0.04167)),$O626,$M626,DecLat,DecLong,1)</f>
        <v>46.756750220609234</v>
      </c>
      <c r="AD626" s="258">
        <f>1+ transit((J2000_Bas-1),$O626,$M626,DecLat,DecLong)/360 + (GMTOffset/24) + (IF(DST="Y", 1, 0)/24)</f>
        <v>1.8971822776088743</v>
      </c>
      <c r="AE626" s="259">
        <f>DATE(2001,9,21)+(M626/360)*365 - (360*((DecLong/360)- (GMTOffset/24) ))</f>
        <v>37490.063078703701</v>
      </c>
      <c r="AF626" s="260">
        <f>IF(DecLat&gt;0,IF((90 - (DecLat-O626))&gt;90, (90 - (O626-DecLat)), (90 - (DecLat-O626))),IF((90 + (DecLat-O626))&gt;90, (90 + (O626-DecLat)), (90 + (DecLat-O626))))</f>
        <v>64.3</v>
      </c>
      <c r="AG626" s="257">
        <f>angularseperation(MoonRA,MoonDec,$M626,$O626)</f>
        <v>105.35321299555187</v>
      </c>
      <c r="AH626" s="261">
        <f ca="1">MIN(100,IF($O$5&gt;80,0+30*($AG626/100),IF($O$5&gt;70,0+50*($AG626/100),IF($O$5&gt;60,5+50*($AG626/100),IF($O$5&gt;50,10+60*($AG626/100),IF($O$5&gt;40,15+70*($AG626/100),IF($O$5&gt;30,20+70*($AG626/100),IF($O$5&gt;20,40+55*($AG626/100),(80+(20-$O$5)+30*($AG626/100))))))))))</f>
        <v>100</v>
      </c>
      <c r="AI626" s="263"/>
      <c r="AJ626" s="263"/>
      <c r="AK626" s="263"/>
      <c r="AL626" s="263"/>
      <c r="AM626" s="264"/>
      <c r="AN626" s="263"/>
      <c r="AO626" s="263"/>
      <c r="AP626" s="265"/>
      <c r="AQ626" s="265"/>
      <c r="AR626" s="285"/>
      <c r="AS626" s="263"/>
      <c r="AT626" s="263"/>
      <c r="AU626" s="263"/>
      <c r="AV626" s="264"/>
      <c r="AW626" s="263">
        <v>163</v>
      </c>
      <c r="AX626" s="263"/>
      <c r="AY626" s="263"/>
      <c r="AZ626" s="263"/>
      <c r="BA626" s="263"/>
      <c r="BB626" s="263"/>
      <c r="BC626" s="263"/>
      <c r="BD626" s="264"/>
      <c r="BE626" s="263"/>
      <c r="BF626" s="263"/>
      <c r="BG626" s="263"/>
      <c r="BH626" s="263"/>
      <c r="BI626" s="263"/>
      <c r="BJ626" s="404">
        <f>altaz(J2000_Bas,$O626,$M626,DecLat,DecLong,2)</f>
        <v>35.042823656679381</v>
      </c>
      <c r="BK626" s="378" t="s">
        <v>729</v>
      </c>
      <c r="BL626" s="379">
        <f>IF((2*G626)/60&lt;0.2,0.2,(2*G626)/60)</f>
        <v>0.2</v>
      </c>
      <c r="BM626" s="380">
        <f>MOD((50000+AD626-$B$3+(0/24)),1)</f>
        <v>0.11254920731153106</v>
      </c>
      <c r="BN626" s="381"/>
      <c r="BO626" s="382">
        <v>626</v>
      </c>
    </row>
    <row r="627" spans="1:67" s="24" customFormat="1" ht="15" customHeight="1" x14ac:dyDescent="0.25">
      <c r="A627" s="287" t="s">
        <v>730</v>
      </c>
      <c r="B627" s="241" t="str">
        <f>HYPERLINK(CONCATENATE($AT$3,BK627,$AU$3),$AV$3)</f>
        <v>S</v>
      </c>
      <c r="C627" s="242" t="str">
        <f>HYPERLINK(CONCATENATE($AT$4,BK627,$AU$4,BL627),$AV$4)</f>
        <v>A</v>
      </c>
      <c r="D627" s="243" t="s">
        <v>5187</v>
      </c>
      <c r="E627" s="244" t="s">
        <v>5179</v>
      </c>
      <c r="F627" s="269">
        <v>5</v>
      </c>
      <c r="G627" s="276">
        <v>20</v>
      </c>
      <c r="H627" s="271" t="s">
        <v>6500</v>
      </c>
      <c r="I627" s="244" t="s">
        <v>6500</v>
      </c>
      <c r="J627" s="246">
        <v>1</v>
      </c>
      <c r="K627" s="247" t="s">
        <v>5840</v>
      </c>
      <c r="L627" s="248">
        <v>214631</v>
      </c>
      <c r="M627" s="249">
        <f>15*(LEFT(TEXT($L627,"000000"),2)+(MID(TEXT($L627,"000000"),3,2)/60)+(RIGHT(TEXT($L627,"000000"),2)/3600))</f>
        <v>326.62916666666666</v>
      </c>
      <c r="N627" s="286">
        <v>510500</v>
      </c>
      <c r="O627" s="251">
        <f>IF($N627&gt;0,(LEFT(TEXT($N627,"000000"),2)+(MID(TEXT($N627,"000000"),3,2)/60)+(RIGHT(TEXT($N627,"000000"),2)/3600)),-(MID(TEXT($N627,"000000"),2,2)+(MID(TEXT($N627,"000000"),4,2)/60)+(RIGHT(TEXT($N627,"000000"),2)/3600)))</f>
        <v>51.083333333333336</v>
      </c>
      <c r="P627" s="252" t="s">
        <v>52</v>
      </c>
      <c r="Q627" s="253"/>
      <c r="R627" s="277" t="s">
        <v>3293</v>
      </c>
      <c r="S627" s="272" t="s">
        <v>3293</v>
      </c>
      <c r="T627" s="273"/>
      <c r="U627" s="274"/>
      <c r="V627" s="256"/>
      <c r="W627" s="244"/>
      <c r="X627" s="244"/>
      <c r="Y627" s="362"/>
      <c r="Z627" s="257">
        <f>altaz(J2000_Bas,$O627,$M627,DecLat,DecLong,1)</f>
        <v>54.03815349694117</v>
      </c>
      <c r="AA627" s="257">
        <f>altaz((J2000_Bas+(2*0.04167)),$O627,$M627,DecLat,DecLong,1)</f>
        <v>68.451265387611201</v>
      </c>
      <c r="AB627" s="257">
        <f>altaz((J2000_Bas+(4*0.04167)),$O627,$M627,DecLat,DecLong,1)</f>
        <v>65.254369959424665</v>
      </c>
      <c r="AC627" s="257">
        <f>altaz((J2000_Bas+(6*0.04167)),$O627,$M627,DecLat,DecLong,1)</f>
        <v>48.549307814398354</v>
      </c>
      <c r="AD627" s="258">
        <f>1+ transit((J2000_Bas-1),$O627,$M627,DecLat,DecLong)/360 + (GMTOffset/24) + (IF(DST="Y", 1, 0)/24)</f>
        <v>1.9002031106401247</v>
      </c>
      <c r="AE627" s="259">
        <f>DATE(2001,9,21)+(M627/360)*365 - (360*((DecLong/360)- (GMTOffset/24) ))</f>
        <v>37491.165682870371</v>
      </c>
      <c r="AF627" s="260">
        <f>IF(DecLat&gt;0,IF((90 - (DecLat-O627))&gt;90, (90 - (O627-DecLat)), (90 - (DecLat-O627))),IF((90 + (DecLat-O627))&gt;90, (90 + (O627-DecLat)), (90 + (DecLat-O627))))</f>
        <v>69.916666666666657</v>
      </c>
      <c r="AG627" s="257">
        <f>angularseperation(MoonRA,MoonDec,$M627,$O627)</f>
        <v>103.42190920138998</v>
      </c>
      <c r="AH627" s="261">
        <f ca="1">MIN(100,IF($O$5&gt;80,0+30*($AG627/100),IF($O$5&gt;70,0+50*($AG627/100),IF($O$5&gt;60,5+50*($AG627/100),IF($O$5&gt;50,10+60*($AG627/100),IF($O$5&gt;40,15+70*($AG627/100),IF($O$5&gt;30,20+70*($AG627/100),IF($O$5&gt;20,40+55*($AG627/100),(80+(20-$O$5)+30*($AG627/100))))))))))</f>
        <v>100</v>
      </c>
      <c r="AI627" s="263"/>
      <c r="AJ627" s="263"/>
      <c r="AK627" s="263"/>
      <c r="AL627" s="263"/>
      <c r="AM627" s="264"/>
      <c r="AN627" s="263"/>
      <c r="AO627" s="263"/>
      <c r="AP627" s="265"/>
      <c r="AQ627" s="265"/>
      <c r="AR627" s="285"/>
      <c r="AS627" s="263"/>
      <c r="AT627" s="263"/>
      <c r="AU627" s="263"/>
      <c r="AV627" s="264"/>
      <c r="AW627" s="263">
        <v>164</v>
      </c>
      <c r="AX627" s="263"/>
      <c r="AY627" s="263"/>
      <c r="AZ627" s="263"/>
      <c r="BA627" s="263"/>
      <c r="BB627" s="263"/>
      <c r="BC627" s="263"/>
      <c r="BD627" s="264"/>
      <c r="BE627" s="263"/>
      <c r="BF627" s="263"/>
      <c r="BG627" s="263"/>
      <c r="BH627" s="263"/>
      <c r="BI627" s="263"/>
      <c r="BJ627" s="404">
        <f>altaz(J2000_Bas,$O627,$M627,DecLat,DecLong,2)</f>
        <v>44.148670200677827</v>
      </c>
      <c r="BK627" s="378" t="s">
        <v>730</v>
      </c>
      <c r="BL627" s="379">
        <f>IF((2*G627)/60&lt;0.2,0.2,(2*G627)/60)</f>
        <v>0.66666666666666663</v>
      </c>
      <c r="BM627" s="380">
        <f>MOD((50000+AD627-$B$3+(0/24)),1)</f>
        <v>0.11557004034693819</v>
      </c>
      <c r="BN627" s="381"/>
      <c r="BO627" s="382">
        <v>627</v>
      </c>
    </row>
    <row r="628" spans="1:67" s="24" customFormat="1" ht="15" customHeight="1" x14ac:dyDescent="0.25">
      <c r="A628" s="287" t="s">
        <v>731</v>
      </c>
      <c r="B628" s="241" t="str">
        <f>HYPERLINK(CONCATENATE($AT$3,BK628,$AU$3),$AV$3)</f>
        <v>S</v>
      </c>
      <c r="C628" s="242" t="str">
        <f>HYPERLINK(CONCATENATE($AT$4,BK628,$AU$4,BL628),$AV$4)</f>
        <v>A</v>
      </c>
      <c r="D628" s="243" t="s">
        <v>5187</v>
      </c>
      <c r="E628" s="244" t="s">
        <v>5179</v>
      </c>
      <c r="F628" s="269">
        <v>5</v>
      </c>
      <c r="G628" s="276">
        <v>18</v>
      </c>
      <c r="H628" s="271" t="s">
        <v>6500</v>
      </c>
      <c r="I628" s="244" t="s">
        <v>6500</v>
      </c>
      <c r="J628" s="246">
        <v>1</v>
      </c>
      <c r="K628" s="247" t="s">
        <v>5841</v>
      </c>
      <c r="L628" s="248">
        <v>214856</v>
      </c>
      <c r="M628" s="249">
        <f>15*(LEFT(TEXT($L628,"000000"),2)+(MID(TEXT($L628,"000000"),3,2)/60)+(RIGHT(TEXT($L628,"000000"),2)/3600))</f>
        <v>327.23333333333335</v>
      </c>
      <c r="N628" s="286">
        <v>601300</v>
      </c>
      <c r="O628" s="251">
        <f>IF($N628&gt;0,(LEFT(TEXT($N628,"000000"),2)+(MID(TEXT($N628,"000000"),3,2)/60)+(RIGHT(TEXT($N628,"000000"),2)/3600)),-(MID(TEXT($N628,"000000"),2,2)+(MID(TEXT($N628,"000000"),4,2)/60)+(RIGHT(TEXT($N628,"000000"),2)/3600)))</f>
        <v>60.216666666666669</v>
      </c>
      <c r="P628" s="252" t="s">
        <v>52</v>
      </c>
      <c r="Q628" s="253"/>
      <c r="R628" s="277" t="s">
        <v>3293</v>
      </c>
      <c r="S628" s="272" t="s">
        <v>3293</v>
      </c>
      <c r="T628" s="273"/>
      <c r="U628" s="274"/>
      <c r="V628" s="256"/>
      <c r="W628" s="244"/>
      <c r="X628" s="244"/>
      <c r="Y628" s="362"/>
      <c r="Z628" s="257">
        <f>altaz(J2000_Bas,$O628,$M628,DecLat,DecLong,1)</f>
        <v>50.104419095979416</v>
      </c>
      <c r="AA628" s="257">
        <f>altaz((J2000_Bas+(2*0.04167)),$O628,$M628,DecLat,DecLong,1)</f>
        <v>59.854040988760843</v>
      </c>
      <c r="AB628" s="257">
        <f>altaz((J2000_Bas+(4*0.04167)),$O628,$M628,DecLat,DecLong,1)</f>
        <v>58.182556974125582</v>
      </c>
      <c r="AC628" s="257">
        <f>altaz((J2000_Bas+(6*0.04167)),$O628,$M628,DecLat,DecLong,1)</f>
        <v>46.569648989883859</v>
      </c>
      <c r="AD628" s="258">
        <f>1+ transit((J2000_Bas-1),$O628,$M628,DecLat,DecLong)/360 + (GMTOffset/24) + (IF(DST="Y", 1, 0)/24)</f>
        <v>1.9018813512130415</v>
      </c>
      <c r="AE628" s="259">
        <f>DATE(2001,9,21)+(M628/360)*365 - (360*((DecLong/360)- (GMTOffset/24) ))</f>
        <v>37491.778240740743</v>
      </c>
      <c r="AF628" s="260">
        <f>IF(DecLat&gt;0,IF((90 - (DecLat-O628))&gt;90, (90 - (O628-DecLat)), (90 - (DecLat-O628))),IF((90 + (DecLat-O628))&gt;90, (90 + (O628-DecLat)), (90 + (DecLat-O628))))</f>
        <v>60.783333333333331</v>
      </c>
      <c r="AG628" s="257">
        <f>angularseperation(MoonRA,MoonDec,$M628,$O628)</f>
        <v>107.64651334679024</v>
      </c>
      <c r="AH628" s="261">
        <f ca="1">MIN(100,IF($O$5&gt;80,0+30*($AG628/100),IF($O$5&gt;70,0+50*($AG628/100),IF($O$5&gt;60,5+50*($AG628/100),IF($O$5&gt;50,10+60*($AG628/100),IF($O$5&gt;40,15+70*($AG628/100),IF($O$5&gt;30,20+70*($AG628/100),IF($O$5&gt;20,40+55*($AG628/100),(80+(20-$O$5)+30*($AG628/100))))))))))</f>
        <v>100</v>
      </c>
      <c r="AI628" s="263"/>
      <c r="AJ628" s="263"/>
      <c r="AK628" s="263"/>
      <c r="AL628" s="263"/>
      <c r="AM628" s="264"/>
      <c r="AN628" s="263"/>
      <c r="AO628" s="263"/>
      <c r="AP628" s="265"/>
      <c r="AQ628" s="265"/>
      <c r="AR628" s="285"/>
      <c r="AS628" s="263"/>
      <c r="AT628" s="263"/>
      <c r="AU628" s="263"/>
      <c r="AV628" s="264"/>
      <c r="AW628" s="263">
        <v>165</v>
      </c>
      <c r="AX628" s="263"/>
      <c r="AY628" s="263"/>
      <c r="AZ628" s="263"/>
      <c r="BA628" s="263"/>
      <c r="BB628" s="263"/>
      <c r="BC628" s="263"/>
      <c r="BD628" s="264"/>
      <c r="BE628" s="263"/>
      <c r="BF628" s="263"/>
      <c r="BG628" s="263"/>
      <c r="BH628" s="263"/>
      <c r="BI628" s="263"/>
      <c r="BJ628" s="404">
        <f>altaz(J2000_Bas,$O628,$M628,DecLat,DecLong,2)</f>
        <v>30.69253283342821</v>
      </c>
      <c r="BK628" s="378" t="s">
        <v>731</v>
      </c>
      <c r="BL628" s="379">
        <f>IF((2*G628)/60&lt;0.2,0.2,(2*G628)/60)</f>
        <v>0.6</v>
      </c>
      <c r="BM628" s="380">
        <f>MOD((50000+AD628-$B$3+(0/24)),1)</f>
        <v>0.11724828091973905</v>
      </c>
      <c r="BN628" s="381"/>
      <c r="BO628" s="382">
        <v>628</v>
      </c>
    </row>
    <row r="629" spans="1:67" s="24" customFormat="1" ht="15" customHeight="1" x14ac:dyDescent="0.25">
      <c r="A629" s="287" t="s">
        <v>732</v>
      </c>
      <c r="B629" s="241" t="str">
        <f>HYPERLINK(CONCATENATE($AT$3,BK629,$AU$3),$AV$3)</f>
        <v>S</v>
      </c>
      <c r="C629" s="242" t="str">
        <f>HYPERLINK(CONCATENATE($AT$4,BK629,$AU$4,BL629),$AV$4)</f>
        <v>A</v>
      </c>
      <c r="D629" s="243" t="s">
        <v>5187</v>
      </c>
      <c r="E629" s="244" t="s">
        <v>5179</v>
      </c>
      <c r="F629" s="269">
        <v>5</v>
      </c>
      <c r="G629" s="273">
        <v>5</v>
      </c>
      <c r="H629" s="271" t="s">
        <v>6500</v>
      </c>
      <c r="I629" s="244" t="s">
        <v>6500</v>
      </c>
      <c r="J629" s="246">
        <v>1</v>
      </c>
      <c r="K629" s="247" t="s">
        <v>5842</v>
      </c>
      <c r="L629" s="248">
        <v>215105</v>
      </c>
      <c r="M629" s="249">
        <f>15*(LEFT(TEXT($L629,"000000"),2)+(MID(TEXT($L629,"000000"),3,2)/60)+(RIGHT(TEXT($L629,"000000"),2)/3600))</f>
        <v>327.77083333333337</v>
      </c>
      <c r="N629" s="286">
        <v>600500</v>
      </c>
      <c r="O629" s="251">
        <f>IF($N629&gt;0,(LEFT(TEXT($N629,"000000"),2)+(MID(TEXT($N629,"000000"),3,2)/60)+(RIGHT(TEXT($N629,"000000"),2)/3600)),-(MID(TEXT($N629,"000000"),2,2)+(MID(TEXT($N629,"000000"),4,2)/60)+(RIGHT(TEXT($N629,"000000"),2)/3600)))</f>
        <v>60.083333333333336</v>
      </c>
      <c r="P629" s="252" t="s">
        <v>52</v>
      </c>
      <c r="Q629" s="253"/>
      <c r="R629" s="277" t="s">
        <v>3293</v>
      </c>
      <c r="S629" s="272" t="s">
        <v>3293</v>
      </c>
      <c r="T629" s="273"/>
      <c r="U629" s="274"/>
      <c r="V629" s="256"/>
      <c r="W629" s="244"/>
      <c r="X629" s="244"/>
      <c r="Y629" s="362"/>
      <c r="Z629" s="257">
        <f>altaz(J2000_Bas,$O629,$M629,DecLat,DecLong,1)</f>
        <v>49.930289956342101</v>
      </c>
      <c r="AA629" s="257">
        <f>altaz((J2000_Bas+(2*0.04167)),$O629,$M629,DecLat,DecLong,1)</f>
        <v>59.88910447802769</v>
      </c>
      <c r="AB629" s="257">
        <f>altaz((J2000_Bas+(4*0.04167)),$O629,$M629,DecLat,DecLong,1)</f>
        <v>58.43598887018706</v>
      </c>
      <c r="AC629" s="257">
        <f>altaz((J2000_Bas+(6*0.04167)),$O629,$M629,DecLat,DecLong,1)</f>
        <v>46.866610894072132</v>
      </c>
      <c r="AD629" s="258">
        <f>1+ transit((J2000_Bas-1),$O629,$M629,DecLat,DecLong)/360 + (GMTOffset/24) + (IF(DST="Y", 1, 0)/24)</f>
        <v>1.9033744066192912</v>
      </c>
      <c r="AE629" s="259">
        <f>DATE(2001,9,21)+(M629/360)*365 - (360*((DecLong/360)- (GMTOffset/24) ))</f>
        <v>37492.323206018518</v>
      </c>
      <c r="AF629" s="260">
        <f>IF(DecLat&gt;0,IF((90 - (DecLat-O629))&gt;90, (90 - (O629-DecLat)), (90 - (DecLat-O629))),IF((90 + (DecLat-O629))&gt;90, (90 + (O629-DecLat)), (90 + (DecLat-O629))))</f>
        <v>60.916666666666664</v>
      </c>
      <c r="AG629" s="257">
        <f>angularseperation(MoonRA,MoonDec,$M629,$O629)</f>
        <v>107.83764866073513</v>
      </c>
      <c r="AH629" s="261">
        <f ca="1">MIN(100,IF($O$5&gt;80,0+30*($AG629/100),IF($O$5&gt;70,0+50*($AG629/100),IF($O$5&gt;60,5+50*($AG629/100),IF($O$5&gt;50,10+60*($AG629/100),IF($O$5&gt;40,15+70*($AG629/100),IF($O$5&gt;30,20+70*($AG629/100),IF($O$5&gt;20,40+55*($AG629/100),(80+(20-$O$5)+30*($AG629/100))))))))))</f>
        <v>100</v>
      </c>
      <c r="AI629" s="263"/>
      <c r="AJ629" s="263"/>
      <c r="AK629" s="263"/>
      <c r="AL629" s="263"/>
      <c r="AM629" s="264"/>
      <c r="AN629" s="263"/>
      <c r="AO629" s="263"/>
      <c r="AP629" s="265"/>
      <c r="AQ629" s="265"/>
      <c r="AR629" s="285"/>
      <c r="AS629" s="263"/>
      <c r="AT629" s="263"/>
      <c r="AU629" s="263"/>
      <c r="AV629" s="264"/>
      <c r="AW629" s="263">
        <v>166</v>
      </c>
      <c r="AX629" s="263"/>
      <c r="AY629" s="263"/>
      <c r="AZ629" s="263"/>
      <c r="BA629" s="263"/>
      <c r="BB629" s="263"/>
      <c r="BC629" s="263"/>
      <c r="BD629" s="264"/>
      <c r="BE629" s="263"/>
      <c r="BF629" s="263"/>
      <c r="BG629" s="263"/>
      <c r="BH629" s="263"/>
      <c r="BI629" s="263"/>
      <c r="BJ629" s="404">
        <f>altaz(J2000_Bas,$O629,$M629,DecLat,DecLong,2)</f>
        <v>31.07064619417832</v>
      </c>
      <c r="BK629" s="378" t="s">
        <v>732</v>
      </c>
      <c r="BL629" s="379">
        <f>IF((2*G629)/60&lt;0.2,0.2,(2*G629)/60)</f>
        <v>0.2</v>
      </c>
      <c r="BM629" s="380">
        <f>MOD((50000+AD629-$B$3+(0/24)),1)</f>
        <v>0.11874133632227313</v>
      </c>
      <c r="BN629" s="381"/>
      <c r="BO629" s="382">
        <v>629</v>
      </c>
    </row>
    <row r="630" spans="1:67" s="24" customFormat="1" ht="15" customHeight="1" x14ac:dyDescent="0.25">
      <c r="A630" s="287" t="s">
        <v>733</v>
      </c>
      <c r="B630" s="241" t="str">
        <f>HYPERLINK(CONCATENATE($AT$3,BK630,$AU$3),$AV$3)</f>
        <v>S</v>
      </c>
      <c r="C630" s="242" t="str">
        <f>HYPERLINK(CONCATENATE($AT$4,BK630,$AU$4,BL630),$AV$4)</f>
        <v>A</v>
      </c>
      <c r="D630" s="243" t="s">
        <v>5187</v>
      </c>
      <c r="E630" s="244" t="s">
        <v>5179</v>
      </c>
      <c r="F630" s="269">
        <v>5</v>
      </c>
      <c r="G630" s="273">
        <v>5</v>
      </c>
      <c r="H630" s="271" t="s">
        <v>6500</v>
      </c>
      <c r="I630" s="244" t="s">
        <v>6500</v>
      </c>
      <c r="J630" s="246">
        <v>1</v>
      </c>
      <c r="K630" s="247" t="s">
        <v>5843</v>
      </c>
      <c r="L630" s="248">
        <v>215158</v>
      </c>
      <c r="M630" s="249">
        <f>15*(LEFT(TEXT($L630,"000000"),2)+(MID(TEXT($L630,"000000"),3,2)/60)+(RIGHT(TEXT($L630,"000000"),2)/3600))</f>
        <v>327.99166666666667</v>
      </c>
      <c r="N630" s="286">
        <v>600400</v>
      </c>
      <c r="O630" s="251">
        <f>IF($N630&gt;0,(LEFT(TEXT($N630,"000000"),2)+(MID(TEXT($N630,"000000"),3,2)/60)+(RIGHT(TEXT($N630,"000000"),2)/3600)),-(MID(TEXT($N630,"000000"),2,2)+(MID(TEXT($N630,"000000"),4,2)/60)+(RIGHT(TEXT($N630,"000000"),2)/3600)))</f>
        <v>60.06666666666667</v>
      </c>
      <c r="P630" s="252" t="s">
        <v>52</v>
      </c>
      <c r="Q630" s="253"/>
      <c r="R630" s="277" t="s">
        <v>3293</v>
      </c>
      <c r="S630" s="272" t="s">
        <v>3293</v>
      </c>
      <c r="T630" s="273"/>
      <c r="U630" s="274"/>
      <c r="V630" s="256"/>
      <c r="W630" s="244"/>
      <c r="X630" s="244"/>
      <c r="Y630" s="362"/>
      <c r="Z630" s="257">
        <f>altaz(J2000_Bas,$O630,$M630,DecLat,DecLong,1)</f>
        <v>49.840115575393817</v>
      </c>
      <c r="AA630" s="257">
        <f>altaz((J2000_Bas+(2*0.04167)),$O630,$M630,DecLat,DecLong,1)</f>
        <v>59.866262169678784</v>
      </c>
      <c r="AB630" s="257">
        <f>altaz((J2000_Bas+(4*0.04167)),$O630,$M630,DecLat,DecLong,1)</f>
        <v>58.506954038274493</v>
      </c>
      <c r="AC630" s="257">
        <f>altaz((J2000_Bas+(6*0.04167)),$O630,$M630,DecLat,DecLong,1)</f>
        <v>46.975731815620044</v>
      </c>
      <c r="AD630" s="258">
        <f>1+ transit((J2000_Bas-1),$O630,$M630,DecLat,DecLong)/360 + (GMTOffset/24) + (IF(DST="Y", 1, 0)/24)</f>
        <v>1.9039878324838748</v>
      </c>
      <c r="AE630" s="259">
        <f>DATE(2001,9,21)+(M630/360)*365 - (360*((DecLong/360)- (GMTOffset/24) ))</f>
        <v>37492.547106481485</v>
      </c>
      <c r="AF630" s="260">
        <f>IF(DecLat&gt;0,IF((90 - (DecLat-O630))&gt;90, (90 - (O630-DecLat)), (90 - (DecLat-O630))),IF((90 + (DecLat-O630))&gt;90, (90 + (O630-DecLat)), (90 + (DecLat-O630))))</f>
        <v>60.93333333333333</v>
      </c>
      <c r="AG630" s="257">
        <f>angularseperation(MoonRA,MoonDec,$M630,$O630)</f>
        <v>107.93205537138832</v>
      </c>
      <c r="AH630" s="261">
        <f ca="1">MIN(100,IF($O$5&gt;80,0+30*($AG630/100),IF($O$5&gt;70,0+50*($AG630/100),IF($O$5&gt;60,5+50*($AG630/100),IF($O$5&gt;50,10+60*($AG630/100),IF($O$5&gt;40,15+70*($AG630/100),IF($O$5&gt;30,20+70*($AG630/100),IF($O$5&gt;20,40+55*($AG630/100),(80+(20-$O$5)+30*($AG630/100))))))))))</f>
        <v>100</v>
      </c>
      <c r="AI630" s="263"/>
      <c r="AJ630" s="263"/>
      <c r="AK630" s="263"/>
      <c r="AL630" s="263"/>
      <c r="AM630" s="264"/>
      <c r="AN630" s="263"/>
      <c r="AO630" s="263"/>
      <c r="AP630" s="265"/>
      <c r="AQ630" s="265"/>
      <c r="AR630" s="285"/>
      <c r="AS630" s="263"/>
      <c r="AT630" s="263"/>
      <c r="AU630" s="263"/>
      <c r="AV630" s="264"/>
      <c r="AW630" s="263">
        <v>167</v>
      </c>
      <c r="AX630" s="263"/>
      <c r="AY630" s="263"/>
      <c r="AZ630" s="263"/>
      <c r="BA630" s="263"/>
      <c r="BB630" s="263"/>
      <c r="BC630" s="263"/>
      <c r="BD630" s="264"/>
      <c r="BE630" s="263"/>
      <c r="BF630" s="263"/>
      <c r="BG630" s="263"/>
      <c r="BH630" s="263"/>
      <c r="BI630" s="263"/>
      <c r="BJ630" s="404">
        <f>altaz(J2000_Bas,$O630,$M630,DecLat,DecLong,2)</f>
        <v>31.172217051584955</v>
      </c>
      <c r="BK630" s="378" t="s">
        <v>733</v>
      </c>
      <c r="BL630" s="379">
        <f>IF((2*G630)/60&lt;0.2,0.2,(2*G630)/60)</f>
        <v>0.2</v>
      </c>
      <c r="BM630" s="380">
        <f>MOD((50000+AD630-$B$3+(0/24)),1)</f>
        <v>0.11935476218786789</v>
      </c>
      <c r="BN630" s="381"/>
      <c r="BO630" s="382">
        <v>630</v>
      </c>
    </row>
    <row r="631" spans="1:67" s="24" customFormat="1" ht="15" customHeight="1" x14ac:dyDescent="0.25">
      <c r="A631" s="288" t="s">
        <v>734</v>
      </c>
      <c r="B631" s="241" t="str">
        <f>HYPERLINK(CONCATENATE($AT$3,BK631,$AU$3),$AV$3)</f>
        <v>S</v>
      </c>
      <c r="C631" s="242" t="str">
        <f>HYPERLINK(CONCATENATE($AT$4,BK631,$AU$4,BL631),$AV$4)</f>
        <v>A</v>
      </c>
      <c r="D631" s="243" t="s">
        <v>5187</v>
      </c>
      <c r="E631" s="244" t="s">
        <v>5179</v>
      </c>
      <c r="F631" s="269">
        <v>4</v>
      </c>
      <c r="G631" s="276">
        <v>10</v>
      </c>
      <c r="H631" s="271" t="s">
        <v>6500</v>
      </c>
      <c r="I631" s="244" t="s">
        <v>6500</v>
      </c>
      <c r="J631" s="246">
        <v>3</v>
      </c>
      <c r="K631" s="247" t="s">
        <v>8378</v>
      </c>
      <c r="L631" s="248">
        <v>215320</v>
      </c>
      <c r="M631" s="249">
        <f>15*(LEFT(TEXT($L631,"000000"),2)+(MID(TEXT($L631,"000000"),3,2)/60)+(RIGHT(TEXT($L631,"000000"),2)/3600))</f>
        <v>328.33333333333331</v>
      </c>
      <c r="N631" s="250">
        <v>471600</v>
      </c>
      <c r="O631" s="251">
        <f>IF($N631&gt;0,(LEFT(TEXT($N631,"000000"),2)+(MID(TEXT($N631,"000000"),3,2)/60)+(RIGHT(TEXT($N631,"000000"),2)/3600)),-(MID(TEXT($N631,"000000"),2,2)+(MID(TEXT($N631,"000000"),4,2)/60)+(RIGHT(TEXT($N631,"000000"),2)/3600)))</f>
        <v>47.266666666666666</v>
      </c>
      <c r="P631" s="252" t="s">
        <v>60</v>
      </c>
      <c r="Q631" s="253"/>
      <c r="R631" s="247" t="s">
        <v>3293</v>
      </c>
      <c r="S631" s="272" t="s">
        <v>4409</v>
      </c>
      <c r="T631" s="273"/>
      <c r="U631" s="274"/>
      <c r="V631" s="256"/>
      <c r="W631" s="244"/>
      <c r="X631" s="244"/>
      <c r="Y631" s="362"/>
      <c r="Z631" s="257">
        <f>altaz(J2000_Bas,$O631,$M631,DecLat,DecLong,1)</f>
        <v>53.931304443110058</v>
      </c>
      <c r="AA631" s="257">
        <f>altaz((J2000_Bas+(2*0.04167)),$O631,$M631,DecLat,DecLong,1)</f>
        <v>71.214869613737307</v>
      </c>
      <c r="AB631" s="257">
        <f>altaz((J2000_Bas+(4*0.04167)),$O631,$M631,DecLat,DecLong,1)</f>
        <v>68.74948827770497</v>
      </c>
      <c r="AC631" s="257">
        <f>altaz((J2000_Bas+(6*0.04167)),$O631,$M631,DecLat,DecLong,1)</f>
        <v>50.183142961698422</v>
      </c>
      <c r="AD631" s="258">
        <f>1+ transit((J2000_Bas-1),$O631,$M631,DecLat,DecLong)/360 + (GMTOffset/24) + (IF(DST="Y", 1, 0)/24)</f>
        <v>1.9049369064630415</v>
      </c>
      <c r="AE631" s="259">
        <f>DATE(2001,9,21)+(M631/360)*365 - (360*((DecLong/360)- (GMTOffset/24) ))</f>
        <v>37492.893518518518</v>
      </c>
      <c r="AF631" s="260">
        <f>IF(DecLat&gt;0,IF((90 - (DecLat-O631))&gt;90, (90 - (O631-DecLat)), (90 - (DecLat-O631))),IF((90 + (DecLat-O631))&gt;90, (90 + (O631-DecLat)), (90 + (DecLat-O631))))</f>
        <v>73.733333333333334</v>
      </c>
      <c r="AG631" s="257">
        <f>angularseperation(MoonRA,MoonDec,$M631,$O631)</f>
        <v>102.714326619893</v>
      </c>
      <c r="AH631" s="261">
        <f ca="1">MIN(100,IF($O$5&gt;80,0+30*($AG631/100),IF($O$5&gt;70,0+50*($AG631/100),IF($O$5&gt;60,5+50*($AG631/100),IF($O$5&gt;50,10+60*($AG631/100),IF($O$5&gt;40,15+70*($AG631/100),IF($O$5&gt;30,20+70*($AG631/100),IF($O$5&gt;20,40+55*($AG631/100),(80+(20-$O$5)+30*($AG631/100))))))))))</f>
        <v>100</v>
      </c>
      <c r="AI631" s="262"/>
      <c r="AJ631" s="262"/>
      <c r="AK631" s="262"/>
      <c r="AL631" s="263"/>
      <c r="AM631" s="264"/>
      <c r="AN631" s="263"/>
      <c r="AO631" s="263"/>
      <c r="AP631" s="265"/>
      <c r="AQ631" s="266"/>
      <c r="AR631" s="267"/>
      <c r="AS631" s="263"/>
      <c r="AT631" s="263"/>
      <c r="AU631" s="263"/>
      <c r="AV631" s="264"/>
      <c r="AW631" s="263">
        <v>168</v>
      </c>
      <c r="AX631" s="263"/>
      <c r="AY631" s="263"/>
      <c r="AZ631" s="263"/>
      <c r="BA631" s="263"/>
      <c r="BB631" s="263"/>
      <c r="BC631" s="263"/>
      <c r="BD631" s="264"/>
      <c r="BE631" s="263"/>
      <c r="BF631" s="263"/>
      <c r="BG631" s="263"/>
      <c r="BH631" s="263"/>
      <c r="BI631" s="263"/>
      <c r="BJ631" s="404">
        <f>altaz(J2000_Bas,$O631,$M631,DecLat,DecLong,2)</f>
        <v>50.910104975505519</v>
      </c>
      <c r="BK631" s="378" t="s">
        <v>734</v>
      </c>
      <c r="BL631" s="379">
        <f>IF((2*G631)/60&lt;0.2,0.2,(2*G631)/60)</f>
        <v>0.33333333333333331</v>
      </c>
      <c r="BM631" s="380">
        <f>MOD((50000+AD631-$B$3+(0/24)),1)</f>
        <v>0.12030383616365725</v>
      </c>
      <c r="BN631" s="381"/>
      <c r="BO631" s="382">
        <v>631</v>
      </c>
    </row>
    <row r="632" spans="1:67" s="24" customFormat="1" ht="15" customHeight="1" x14ac:dyDescent="0.25">
      <c r="A632" s="288" t="s">
        <v>735</v>
      </c>
      <c r="B632" s="241" t="str">
        <f>HYPERLINK(CONCATENATE($AT$3,BK632,$AU$3),$AV$3)</f>
        <v>S</v>
      </c>
      <c r="C632" s="242" t="str">
        <f>HYPERLINK(CONCATENATE($AT$4,BK632,$AU$4,BL632),$AV$4)</f>
        <v>A</v>
      </c>
      <c r="D632" s="243" t="s">
        <v>5187</v>
      </c>
      <c r="E632" s="244" t="s">
        <v>5179</v>
      </c>
      <c r="F632" s="269">
        <v>3</v>
      </c>
      <c r="G632" s="276">
        <v>60</v>
      </c>
      <c r="H632" s="271" t="s">
        <v>6500</v>
      </c>
      <c r="I632" s="244" t="s">
        <v>6500</v>
      </c>
      <c r="J632" s="246">
        <v>2</v>
      </c>
      <c r="K632" s="247" t="s">
        <v>9382</v>
      </c>
      <c r="L632" s="248">
        <v>215853</v>
      </c>
      <c r="M632" s="249">
        <f>15*(LEFT(TEXT($L632,"000000"),2)+(MID(TEXT($L632,"000000"),3,2)/60)+(RIGHT(TEXT($L632,"000000"),2)/3600))</f>
        <v>329.7208333333333</v>
      </c>
      <c r="N632" s="250">
        <v>584600</v>
      </c>
      <c r="O632" s="251">
        <f>IF($N632&gt;0,(LEFT(TEXT($N632,"000000"),2)+(MID(TEXT($N632,"000000"),3,2)/60)+(RIGHT(TEXT($N632,"000000"),2)/3600)),-(MID(TEXT($N632,"000000"),2,2)+(MID(TEXT($N632,"000000"),4,2)/60)+(RIGHT(TEXT($N632,"000000"),2)/3600)))</f>
        <v>58.766666666666666</v>
      </c>
      <c r="P632" s="252" t="s">
        <v>52</v>
      </c>
      <c r="Q632" s="253"/>
      <c r="R632" s="247" t="s">
        <v>3293</v>
      </c>
      <c r="S632" s="272"/>
      <c r="T632" s="273"/>
      <c r="U632" s="274"/>
      <c r="V632" s="256"/>
      <c r="W632" s="244"/>
      <c r="X632" s="244"/>
      <c r="Y632" s="362"/>
      <c r="Z632" s="257">
        <f>altaz(J2000_Bas,$O632,$M632,DecLat,DecLong,1)</f>
        <v>49.607568083906507</v>
      </c>
      <c r="AA632" s="257">
        <f>altaz((J2000_Bas+(2*0.04167)),$O632,$M632,DecLat,DecLong,1)</f>
        <v>60.730352720910666</v>
      </c>
      <c r="AB632" s="257">
        <f>altaz((J2000_Bas+(4*0.04167)),$O632,$M632,DecLat,DecLong,1)</f>
        <v>60.072471609725561</v>
      </c>
      <c r="AC632" s="257">
        <f>altaz((J2000_Bas+(6*0.04167)),$O632,$M632,DecLat,DecLong,1)</f>
        <v>48.256948524601924</v>
      </c>
      <c r="AD632" s="258">
        <f>1+ transit((J2000_Bas-1),$O632,$M632,DecLat,DecLong)/360 + (GMTOffset/24) + (IF(DST="Y", 1, 0)/24)</f>
        <v>1.9087910727442912</v>
      </c>
      <c r="AE632" s="259">
        <f>DATE(2001,9,21)+(M632/360)*365 - (360*((DecLong/360)- (GMTOffset/24) ))</f>
        <v>37494.30028935185</v>
      </c>
      <c r="AF632" s="260">
        <f>IF(DecLat&gt;0,IF((90 - (DecLat-O632))&gt;90, (90 - (O632-DecLat)), (90 - (DecLat-O632))),IF((90 + (DecLat-O632))&gt;90, (90 + (O632-DecLat)), (90 + (DecLat-O632))))</f>
        <v>62.233333333333334</v>
      </c>
      <c r="AG632" s="257">
        <f>angularseperation(MoonRA,MoonDec,$M632,$O632)</f>
        <v>108.23675710373006</v>
      </c>
      <c r="AH632" s="261">
        <f ca="1">MIN(100,IF($O$5&gt;80,0+30*($AG632/100),IF($O$5&gt;70,0+50*($AG632/100),IF($O$5&gt;60,5+50*($AG632/100),IF($O$5&gt;50,10+60*($AG632/100),IF($O$5&gt;40,15+70*($AG632/100),IF($O$5&gt;30,20+70*($AG632/100),IF($O$5&gt;20,40+55*($AG632/100),(80+(20-$O$5)+30*($AG632/100))))))))))</f>
        <v>100</v>
      </c>
      <c r="AI632" s="262"/>
      <c r="AJ632" s="262"/>
      <c r="AK632" s="262"/>
      <c r="AL632" s="263"/>
      <c r="AM632" s="264"/>
      <c r="AN632" s="263"/>
      <c r="AO632" s="263"/>
      <c r="AP632" s="265"/>
      <c r="AQ632" s="266"/>
      <c r="AR632" s="267"/>
      <c r="AS632" s="263"/>
      <c r="AT632" s="263"/>
      <c r="AU632" s="263"/>
      <c r="AV632" s="264"/>
      <c r="AW632" s="263">
        <v>169</v>
      </c>
      <c r="AX632" s="263"/>
      <c r="AY632" s="263"/>
      <c r="AZ632" s="263"/>
      <c r="BA632" s="263"/>
      <c r="BB632" s="263"/>
      <c r="BC632" s="263"/>
      <c r="BD632" s="264"/>
      <c r="BE632" s="263"/>
      <c r="BF632" s="263"/>
      <c r="BG632" s="263"/>
      <c r="BH632" s="263"/>
      <c r="BI632" s="263">
        <v>97</v>
      </c>
      <c r="BJ632" s="404">
        <f>altaz(J2000_Bas,$O632,$M632,DecLat,DecLong,2)</f>
        <v>33.573485944986295</v>
      </c>
      <c r="BK632" s="378" t="s">
        <v>735</v>
      </c>
      <c r="BL632" s="379">
        <f>IF((2*G632)/60&lt;0.2,0.2,(2*G632)/60)</f>
        <v>2</v>
      </c>
      <c r="BM632" s="380">
        <f>MOD((50000+AD632-$B$3+(0/24)),1)</f>
        <v>0.12415800245071296</v>
      </c>
      <c r="BN632" s="381"/>
      <c r="BO632" s="382">
        <v>632</v>
      </c>
    </row>
    <row r="633" spans="1:67" s="24" customFormat="1" ht="15" customHeight="1" x14ac:dyDescent="0.25">
      <c r="A633" s="288" t="s">
        <v>736</v>
      </c>
      <c r="B633" s="241" t="str">
        <f>HYPERLINK(CONCATENATE($AT$3,BK633,$AU$3),$AV$3)</f>
        <v>S</v>
      </c>
      <c r="C633" s="242" t="str">
        <f>HYPERLINK(CONCATENATE($AT$4,BK633,$AU$4,BL633),$AV$4)</f>
        <v>A</v>
      </c>
      <c r="D633" s="243" t="s">
        <v>5187</v>
      </c>
      <c r="E633" s="244" t="s">
        <v>5179</v>
      </c>
      <c r="F633" s="269">
        <v>4</v>
      </c>
      <c r="G633" s="276">
        <v>30</v>
      </c>
      <c r="H633" s="271" t="s">
        <v>6500</v>
      </c>
      <c r="I633" s="244" t="s">
        <v>6500</v>
      </c>
      <c r="J633" s="246">
        <v>1</v>
      </c>
      <c r="K633" s="247" t="s">
        <v>8379</v>
      </c>
      <c r="L633" s="248">
        <v>215803</v>
      </c>
      <c r="M633" s="249">
        <f>15*(LEFT(TEXT($L633,"000000"),2)+(MID(TEXT($L633,"000000"),3,2)/60)+(RIGHT(TEXT($L633,"000000"),2)/3600))</f>
        <v>329.51249999999999</v>
      </c>
      <c r="N633" s="286">
        <v>585800</v>
      </c>
      <c r="O633" s="251">
        <f>IF($N633&gt;0,(LEFT(TEXT($N633,"000000"),2)+(MID(TEXT($N633,"000000"),3,2)/60)+(RIGHT(TEXT($N633,"000000"),2)/3600)),-(MID(TEXT($N633,"000000"),2,2)+(MID(TEXT($N633,"000000"),4,2)/60)+(RIGHT(TEXT($N633,"000000"),2)/3600)))</f>
        <v>58.966666666666669</v>
      </c>
      <c r="P633" s="252" t="s">
        <v>52</v>
      </c>
      <c r="Q633" s="253"/>
      <c r="R633" s="247" t="s">
        <v>3293</v>
      </c>
      <c r="S633" s="272" t="s">
        <v>3293</v>
      </c>
      <c r="T633" s="273"/>
      <c r="U633" s="274"/>
      <c r="V633" s="256"/>
      <c r="W633" s="244"/>
      <c r="X633" s="244"/>
      <c r="Y633" s="362"/>
      <c r="Z633" s="257">
        <f>altaz(J2000_Bas,$O633,$M633,DecLat,DecLong,1)</f>
        <v>49.624091775118401</v>
      </c>
      <c r="AA633" s="257">
        <f>altaz((J2000_Bas+(2*0.04167)),$O633,$M633,DecLat,DecLong,1)</f>
        <v>60.591956238593191</v>
      </c>
      <c r="AB633" s="257">
        <f>altaz((J2000_Bas+(4*0.04167)),$O633,$M633,DecLat,DecLong,1)</f>
        <v>59.845337737501353</v>
      </c>
      <c r="AC633" s="257">
        <f>altaz((J2000_Bas+(6*0.04167)),$O633,$M633,DecLat,DecLong,1)</f>
        <v>48.085080878176726</v>
      </c>
      <c r="AD633" s="258">
        <f>1+ transit((J2000_Bas-1),$O633,$M633,DecLat,DecLong)/360 + (GMTOffset/24) + (IF(DST="Y", 1, 0)/24)</f>
        <v>1.908212369098458</v>
      </c>
      <c r="AE633" s="259">
        <f>DATE(2001,9,21)+(M633/360)*365 - (360*((DecLong/360)- (GMTOffset/24) ))</f>
        <v>37494.089062500003</v>
      </c>
      <c r="AF633" s="260">
        <f>IF(DecLat&gt;0,IF((90 - (DecLat-O633))&gt;90, (90 - (O633-DecLat)), (90 - (DecLat-O633))),IF((90 + (DecLat-O633))&gt;90, (90 + (O633-DecLat)), (90 + (DecLat-O633))))</f>
        <v>62.033333333333331</v>
      </c>
      <c r="AG633" s="257">
        <f>angularseperation(MoonRA,MoonDec,$M633,$O633)</f>
        <v>108.21360905809209</v>
      </c>
      <c r="AH633" s="261">
        <f ca="1">MIN(100,IF($O$5&gt;80,0+30*($AG633/100),IF($O$5&gt;70,0+50*($AG633/100),IF($O$5&gt;60,5+50*($AG633/100),IF($O$5&gt;50,10+60*($AG633/100),IF($O$5&gt;40,15+70*($AG633/100),IF($O$5&gt;30,20+70*($AG633/100),IF($O$5&gt;20,40+55*($AG633/100),(80+(20-$O$5)+30*($AG633/100))))))))))</f>
        <v>100</v>
      </c>
      <c r="AI633" s="262"/>
      <c r="AJ633" s="262"/>
      <c r="AK633" s="262"/>
      <c r="AL633" s="263"/>
      <c r="AM633" s="264"/>
      <c r="AN633" s="263"/>
      <c r="AO633" s="263"/>
      <c r="AP633" s="265"/>
      <c r="AQ633" s="266"/>
      <c r="AR633" s="267"/>
      <c r="AS633" s="263"/>
      <c r="AT633" s="263"/>
      <c r="AU633" s="263"/>
      <c r="AV633" s="264"/>
      <c r="AW633" s="263">
        <v>170</v>
      </c>
      <c r="AX633" s="263"/>
      <c r="AY633" s="263"/>
      <c r="AZ633" s="263"/>
      <c r="BA633" s="263"/>
      <c r="BB633" s="263"/>
      <c r="BC633" s="263"/>
      <c r="BD633" s="264"/>
      <c r="BE633" s="263"/>
      <c r="BF633" s="263"/>
      <c r="BG633" s="263"/>
      <c r="BH633" s="263"/>
      <c r="BI633" s="263"/>
      <c r="BJ633" s="404">
        <f>altaz(J2000_Bas,$O633,$M633,DecLat,DecLong,2)</f>
        <v>33.22380745048622</v>
      </c>
      <c r="BK633" s="378" t="s">
        <v>736</v>
      </c>
      <c r="BL633" s="379">
        <f>IF((2*G633)/60&lt;0.2,0.2,(2*G633)/60)</f>
        <v>1</v>
      </c>
      <c r="BM633" s="380">
        <f>MOD((50000+AD633-$B$3+(0/24)),1)</f>
        <v>0.12357929880090524</v>
      </c>
      <c r="BN633" s="381"/>
      <c r="BO633" s="382">
        <v>633</v>
      </c>
    </row>
    <row r="634" spans="1:67" s="24" customFormat="1" ht="15" customHeight="1" x14ac:dyDescent="0.25">
      <c r="A634" s="288" t="s">
        <v>737</v>
      </c>
      <c r="B634" s="241" t="str">
        <f>HYPERLINK(CONCATENATE($AT$3,BK634,$AU$3),$AV$3)</f>
        <v>S</v>
      </c>
      <c r="C634" s="242" t="str">
        <f>HYPERLINK(CONCATENATE($AT$4,BK634,$AU$4,BL634),$AV$4)</f>
        <v>A</v>
      </c>
      <c r="D634" s="243" t="s">
        <v>5187</v>
      </c>
      <c r="E634" s="244" t="s">
        <v>5179</v>
      </c>
      <c r="F634" s="269">
        <v>5</v>
      </c>
      <c r="G634" s="276">
        <v>60</v>
      </c>
      <c r="H634" s="271" t="s">
        <v>6500</v>
      </c>
      <c r="I634" s="244" t="s">
        <v>6500</v>
      </c>
      <c r="J634" s="246">
        <v>1</v>
      </c>
      <c r="K634" s="247" t="s">
        <v>5844</v>
      </c>
      <c r="L634" s="248">
        <v>220118</v>
      </c>
      <c r="M634" s="249">
        <f>15*(LEFT(TEXT($L634,"000000"),2)+(MID(TEXT($L634,"000000"),3,2)/60)+(RIGHT(TEXT($L634,"000000"),2)/3600))</f>
        <v>330.32499999999999</v>
      </c>
      <c r="N634" s="286">
        <v>585200</v>
      </c>
      <c r="O634" s="251">
        <f>IF($N634&gt;0,(LEFT(TEXT($N634,"000000"),2)+(MID(TEXT($N634,"000000"),3,2)/60)+(RIGHT(TEXT($N634,"000000"),2)/3600)),-(MID(TEXT($N634,"000000"),2,2)+(MID(TEXT($N634,"000000"),4,2)/60)+(RIGHT(TEXT($N634,"000000"),2)/3600)))</f>
        <v>58.866666666666667</v>
      </c>
      <c r="P634" s="252" t="s">
        <v>52</v>
      </c>
      <c r="Q634" s="253"/>
      <c r="R634" s="247" t="s">
        <v>3293</v>
      </c>
      <c r="S634" s="272" t="s">
        <v>3293</v>
      </c>
      <c r="T634" s="273"/>
      <c r="U634" s="274"/>
      <c r="V634" s="256"/>
      <c r="W634" s="244"/>
      <c r="X634" s="244"/>
      <c r="Y634" s="362"/>
      <c r="Z634" s="257">
        <f>altaz(J2000_Bas,$O634,$M634,DecLat,DecLong,1)</f>
        <v>49.280894009204687</v>
      </c>
      <c r="AA634" s="257">
        <f>altaz((J2000_Bas+(2*0.04167)),$O634,$M634,DecLat,DecLong,1)</f>
        <v>60.508013063179007</v>
      </c>
      <c r="AB634" s="257">
        <f>altaz((J2000_Bas+(4*0.04167)),$O634,$M634,DecLat,DecLong,1)</f>
        <v>60.134282904140719</v>
      </c>
      <c r="AC634" s="257">
        <f>altaz((J2000_Bas+(6*0.04167)),$O634,$M634,DecLat,DecLong,1)</f>
        <v>48.512298509704941</v>
      </c>
      <c r="AD634" s="258">
        <f>1+ transit((J2000_Bas-1),$O634,$M634,DecLat,DecLong)/360 + (GMTOffset/24) + (IF(DST="Y", 1, 0)/24)</f>
        <v>1.9104693133172079</v>
      </c>
      <c r="AE634" s="259">
        <f>DATE(2001,9,21)+(M634/360)*365 - (360*((DecLong/360)- (GMTOffset/24) ))</f>
        <v>37494.912847222222</v>
      </c>
      <c r="AF634" s="260">
        <f>IF(DecLat&gt;0,IF((90 - (DecLat-O634))&gt;90, (90 - (O634-DecLat)), (90 - (DecLat-O634))),IF((90 + (DecLat-O634))&gt;90, (90 + (O634-DecLat)), (90 + (DecLat-O634))))</f>
        <v>62.133333333333333</v>
      </c>
      <c r="AG634" s="257">
        <f>angularseperation(MoonRA,MoonDec,$M634,$O634)</f>
        <v>108.56419639152757</v>
      </c>
      <c r="AH634" s="261">
        <f ca="1">MIN(100,IF($O$5&gt;80,0+30*($AG634/100),IF($O$5&gt;70,0+50*($AG634/100),IF($O$5&gt;60,5+50*($AG634/100),IF($O$5&gt;50,10+60*($AG634/100),IF($O$5&gt;40,15+70*($AG634/100),IF($O$5&gt;30,20+70*($AG634/100),IF($O$5&gt;20,40+55*($AG634/100),(80+(20-$O$5)+30*($AG634/100))))))))))</f>
        <v>100</v>
      </c>
      <c r="AI634" s="262"/>
      <c r="AJ634" s="262"/>
      <c r="AK634" s="262"/>
      <c r="AL634" s="263"/>
      <c r="AM634" s="264"/>
      <c r="AN634" s="263"/>
      <c r="AO634" s="263"/>
      <c r="AP634" s="265"/>
      <c r="AQ634" s="266"/>
      <c r="AR634" s="267"/>
      <c r="AS634" s="263"/>
      <c r="AT634" s="263"/>
      <c r="AU634" s="263"/>
      <c r="AV634" s="264"/>
      <c r="AW634" s="263">
        <v>171</v>
      </c>
      <c r="AX634" s="263"/>
      <c r="AY634" s="263"/>
      <c r="AZ634" s="263"/>
      <c r="BA634" s="263"/>
      <c r="BB634" s="263"/>
      <c r="BC634" s="263"/>
      <c r="BD634" s="264"/>
      <c r="BE634" s="263"/>
      <c r="BF634" s="263"/>
      <c r="BG634" s="263"/>
      <c r="BH634" s="263"/>
      <c r="BI634" s="263"/>
      <c r="BJ634" s="404">
        <f>altaz(J2000_Bas,$O634,$M634,DecLat,DecLong,2)</f>
        <v>33.62546598471441</v>
      </c>
      <c r="BK634" s="378" t="s">
        <v>737</v>
      </c>
      <c r="BL634" s="379">
        <f>IF((2*G634)/60&lt;0.2,0.2,(2*G634)/60)</f>
        <v>2</v>
      </c>
      <c r="BM634" s="380">
        <f>MOD((50000+AD634-$B$3+(0/24)),1)</f>
        <v>0.12583624302351382</v>
      </c>
      <c r="BN634" s="381"/>
      <c r="BO634" s="382">
        <v>634</v>
      </c>
    </row>
    <row r="635" spans="1:67" s="24" customFormat="1" ht="15" customHeight="1" x14ac:dyDescent="0.25">
      <c r="A635" s="288" t="s">
        <v>738</v>
      </c>
      <c r="B635" s="241" t="str">
        <f>HYPERLINK(CONCATENATE($AT$3,BK635,$AU$3),$AV$3)</f>
        <v>S</v>
      </c>
      <c r="C635" s="242" t="str">
        <f>HYPERLINK(CONCATENATE($AT$4,BK635,$AU$4,BL635),$AV$4)</f>
        <v>A</v>
      </c>
      <c r="D635" s="243" t="s">
        <v>5187</v>
      </c>
      <c r="E635" s="244" t="s">
        <v>5179</v>
      </c>
      <c r="F635" s="269">
        <v>6</v>
      </c>
      <c r="G635" s="273">
        <v>4</v>
      </c>
      <c r="H635" s="271" t="s">
        <v>6500</v>
      </c>
      <c r="I635" s="244" t="s">
        <v>6500</v>
      </c>
      <c r="J635" s="246">
        <v>0</v>
      </c>
      <c r="K635" s="247" t="s">
        <v>5845</v>
      </c>
      <c r="L635" s="248">
        <v>220728</v>
      </c>
      <c r="M635" s="249">
        <f>15*(LEFT(TEXT($L635,"000000"),2)+(MID(TEXT($L635,"000000"),3,2)/60)+(RIGHT(TEXT($L635,"000000"),2)/3600))</f>
        <v>331.86666666666667</v>
      </c>
      <c r="N635" s="286">
        <v>594000</v>
      </c>
      <c r="O635" s="251">
        <f>IF($N635&gt;0,(LEFT(TEXT($N635,"000000"),2)+(MID(TEXT($N635,"000000"),3,2)/60)+(RIGHT(TEXT($N635,"000000"),2)/3600)),-(MID(TEXT($N635,"000000"),2,2)+(MID(TEXT($N635,"000000"),4,2)/60)+(RIGHT(TEXT($N635,"000000"),2)/3600)))</f>
        <v>59.666666666666664</v>
      </c>
      <c r="P635" s="252" t="s">
        <v>52</v>
      </c>
      <c r="Q635" s="253"/>
      <c r="R635" s="277" t="s">
        <v>3293</v>
      </c>
      <c r="S635" s="272" t="s">
        <v>3293</v>
      </c>
      <c r="T635" s="273"/>
      <c r="U635" s="274"/>
      <c r="V635" s="256"/>
      <c r="W635" s="244"/>
      <c r="X635" s="244"/>
      <c r="Y635" s="362"/>
      <c r="Z635" s="257">
        <f>altaz(J2000_Bas,$O635,$M635,DecLat,DecLong,1)</f>
        <v>48.2435664404275</v>
      </c>
      <c r="AA635" s="257">
        <f>altaz((J2000_Bas+(2*0.04167)),$O635,$M635,DecLat,DecLong,1)</f>
        <v>59.441658040287372</v>
      </c>
      <c r="AB635" s="257">
        <f>altaz((J2000_Bas+(4*0.04167)),$O635,$M635,DecLat,DecLong,1)</f>
        <v>59.769059554208376</v>
      </c>
      <c r="AC635" s="257">
        <f>altaz((J2000_Bas+(6*0.04167)),$O635,$M635,DecLat,DecLong,1)</f>
        <v>48.927344941504273</v>
      </c>
      <c r="AD635" s="258">
        <f>1+ transit((J2000_Bas-1),$O635,$M635,DecLat,DecLong)/360 + (GMTOffset/24) + (IF(DST="Y", 1, 0)/24)</f>
        <v>1.9147517202963751</v>
      </c>
      <c r="AE635" s="259">
        <f>DATE(2001,9,21)+(M635/360)*365 - (360*((DecLong/360)- (GMTOffset/24) ))</f>
        <v>37496.475925925923</v>
      </c>
      <c r="AF635" s="260">
        <f>IF(DecLat&gt;0,IF((90 - (DecLat-O635))&gt;90, (90 - (O635-DecLat)), (90 - (DecLat-O635))),IF((90 + (DecLat-O635))&gt;90, (90 + (O635-DecLat)), (90 + (DecLat-O635))))</f>
        <v>61.333333333333336</v>
      </c>
      <c r="AG635" s="257">
        <f>angularseperation(MoonRA,MoonDec,$M635,$O635)</f>
        <v>109.58763923851315</v>
      </c>
      <c r="AH635" s="261">
        <f ca="1">MIN(100,IF($O$5&gt;80,0+30*($AG635/100),IF($O$5&gt;70,0+50*($AG635/100),IF($O$5&gt;60,5+50*($AG635/100),IF($O$5&gt;50,10+60*($AG635/100),IF($O$5&gt;40,15+70*($AG635/100),IF($O$5&gt;30,20+70*($AG635/100),IF($O$5&gt;20,40+55*($AG635/100),(80+(20-$O$5)+30*($AG635/100))))))))))</f>
        <v>100</v>
      </c>
      <c r="AI635" s="263"/>
      <c r="AJ635" s="263"/>
      <c r="AK635" s="263"/>
      <c r="AL635" s="263"/>
      <c r="AM635" s="264"/>
      <c r="AN635" s="263"/>
      <c r="AO635" s="263"/>
      <c r="AP635" s="265"/>
      <c r="AQ635" s="265"/>
      <c r="AR635" s="285"/>
      <c r="AS635" s="263"/>
      <c r="AT635" s="263"/>
      <c r="AU635" s="263"/>
      <c r="AV635" s="264"/>
      <c r="AW635" s="263">
        <v>173</v>
      </c>
      <c r="AX635" s="263"/>
      <c r="AY635" s="263"/>
      <c r="AZ635" s="263"/>
      <c r="BA635" s="263"/>
      <c r="BB635" s="263"/>
      <c r="BC635" s="263"/>
      <c r="BD635" s="264"/>
      <c r="BE635" s="263"/>
      <c r="BF635" s="263"/>
      <c r="BG635" s="263"/>
      <c r="BH635" s="263"/>
      <c r="BI635" s="263"/>
      <c r="BJ635" s="404">
        <f>altaz(J2000_Bas,$O635,$M635,DecLat,DecLong,2)</f>
        <v>32.973720288673469</v>
      </c>
      <c r="BK635" s="378" t="s">
        <v>738</v>
      </c>
      <c r="BL635" s="379">
        <f>IF((2*G635)/60&lt;0.2,0.2,(2*G635)/60)</f>
        <v>0.2</v>
      </c>
      <c r="BM635" s="380">
        <f>MOD((50000+AD635-$B$3+(0/24)),1)</f>
        <v>0.13011864999862155</v>
      </c>
      <c r="BN635" s="381"/>
      <c r="BO635" s="382">
        <v>635</v>
      </c>
    </row>
    <row r="636" spans="1:67" s="24" customFormat="1" ht="15" customHeight="1" x14ac:dyDescent="0.25">
      <c r="A636" s="301" t="s">
        <v>739</v>
      </c>
      <c r="B636" s="241" t="str">
        <f>HYPERLINK(CONCATENATE($AT$3,BK636,$AU$3),$AV$3)</f>
        <v>S</v>
      </c>
      <c r="C636" s="242" t="str">
        <f>HYPERLINK(CONCATENATE($AT$4,BK636,$AU$4,BL636),$AV$4)</f>
        <v>A</v>
      </c>
      <c r="D636" s="243" t="s">
        <v>5187</v>
      </c>
      <c r="E636" s="244" t="s">
        <v>5179</v>
      </c>
      <c r="F636" s="269">
        <v>6</v>
      </c>
      <c r="G636" s="276">
        <v>19</v>
      </c>
      <c r="H636" s="271" t="s">
        <v>6500</v>
      </c>
      <c r="I636" s="244" t="s">
        <v>6500</v>
      </c>
      <c r="J636" s="246">
        <v>2</v>
      </c>
      <c r="K636" s="247" t="s">
        <v>5846</v>
      </c>
      <c r="L636" s="248">
        <v>220719</v>
      </c>
      <c r="M636" s="249">
        <f>15*(LEFT(TEXT($L636,"000000"),2)+(MID(TEXT($L636,"000000"),3,2)/60)+(RIGHT(TEXT($L636,"000000"),2)/3600))</f>
        <v>331.82916666666665</v>
      </c>
      <c r="N636" s="286">
        <v>590400</v>
      </c>
      <c r="O636" s="251">
        <f>IF($N636&gt;0,(LEFT(TEXT($N636,"000000"),2)+(MID(TEXT($N636,"000000"),3,2)/60)+(RIGHT(TEXT($N636,"000000"),2)/3600)),-(MID(TEXT($N636,"000000"),2,2)+(MID(TEXT($N636,"000000"),4,2)/60)+(RIGHT(TEXT($N636,"000000"),2)/3600)))</f>
        <v>59.06666666666667</v>
      </c>
      <c r="P636" s="252" t="s">
        <v>52</v>
      </c>
      <c r="Q636" s="253"/>
      <c r="R636" s="247" t="s">
        <v>3293</v>
      </c>
      <c r="S636" s="272" t="s">
        <v>3293</v>
      </c>
      <c r="T636" s="273"/>
      <c r="U636" s="274"/>
      <c r="V636" s="256"/>
      <c r="W636" s="244"/>
      <c r="X636" s="244"/>
      <c r="Y636" s="362"/>
      <c r="Z636" s="257">
        <f>altaz(J2000_Bas,$O636,$M636,DecLat,DecLong,1)</f>
        <v>48.488239987502887</v>
      </c>
      <c r="AA636" s="257">
        <f>altaz((J2000_Bas+(2*0.04167)),$O636,$M636,DecLat,DecLong,1)</f>
        <v>59.982714905066175</v>
      </c>
      <c r="AB636" s="257">
        <f>altaz((J2000_Bas+(4*0.04167)),$O636,$M636,DecLat,DecLong,1)</f>
        <v>60.304168474504699</v>
      </c>
      <c r="AC636" s="257">
        <f>altaz((J2000_Bas+(6*0.04167)),$O636,$M636,DecLat,DecLong,1)</f>
        <v>49.15190425872828</v>
      </c>
      <c r="AD636" s="258">
        <f>1+ transit((J2000_Bas-1),$O636,$M636,DecLat,DecLong)/360 + (GMTOffset/24) + (IF(DST="Y", 1, 0)/24)</f>
        <v>1.9146475536401246</v>
      </c>
      <c r="AE636" s="259">
        <f>DATE(2001,9,21)+(M636/360)*365 - (360*((DecLong/360)- (GMTOffset/24) ))</f>
        <v>37496.437905092593</v>
      </c>
      <c r="AF636" s="260">
        <f>IF(DecLat&gt;0,IF((90 - (DecLat-O636))&gt;90, (90 - (O636-DecLat)), (90 - (DecLat-O636))),IF((90 + (DecLat-O636))&gt;90, (90 + (O636-DecLat)), (90 + (DecLat-O636))))</f>
        <v>61.93333333333333</v>
      </c>
      <c r="AG636" s="257">
        <f>angularseperation(MoonRA,MoonDec,$M636,$O636)</f>
        <v>109.35936123538306</v>
      </c>
      <c r="AH636" s="261">
        <f ca="1">MIN(100,IF($O$5&gt;80,0+30*($AG636/100),IF($O$5&gt;70,0+50*($AG636/100),IF($O$5&gt;60,5+50*($AG636/100),IF($O$5&gt;50,10+60*($AG636/100),IF($O$5&gt;40,15+70*($AG636/100),IF($O$5&gt;30,20+70*($AG636/100),IF($O$5&gt;20,40+55*($AG636/100),(80+(20-$O$5)+30*($AG636/100))))))))))</f>
        <v>100</v>
      </c>
      <c r="AI636" s="262"/>
      <c r="AJ636" s="262"/>
      <c r="AK636" s="262"/>
      <c r="AL636" s="263"/>
      <c r="AM636" s="264"/>
      <c r="AN636" s="263"/>
      <c r="AO636" s="263"/>
      <c r="AP636" s="265"/>
      <c r="AQ636" s="266"/>
      <c r="AR636" s="267"/>
      <c r="AS636" s="263"/>
      <c r="AT636" s="263"/>
      <c r="AU636" s="263"/>
      <c r="AV636" s="264"/>
      <c r="AW636" s="263">
        <v>174</v>
      </c>
      <c r="AX636" s="263"/>
      <c r="AY636" s="263"/>
      <c r="AZ636" s="263">
        <v>1165</v>
      </c>
      <c r="BA636" s="263"/>
      <c r="BB636" s="263"/>
      <c r="BC636" s="263"/>
      <c r="BD636" s="264"/>
      <c r="BE636" s="263"/>
      <c r="BF636" s="263"/>
      <c r="BG636" s="263"/>
      <c r="BH636" s="263"/>
      <c r="BI636" s="263"/>
      <c r="BJ636" s="404">
        <f>altaz(J2000_Bas,$O636,$M636,DecLat,DecLong,2)</f>
        <v>33.798836517878286</v>
      </c>
      <c r="BK636" s="378" t="s">
        <v>739</v>
      </c>
      <c r="BL636" s="379">
        <f>IF((2*G636)/60&lt;0.2,0.2,(2*G636)/60)</f>
        <v>0.6333333333333333</v>
      </c>
      <c r="BM636" s="380">
        <f>MOD((50000+AD636-$B$3+(0/24)),1)</f>
        <v>0.13001448334398447</v>
      </c>
      <c r="BN636" s="381"/>
      <c r="BO636" s="382">
        <v>636</v>
      </c>
    </row>
    <row r="637" spans="1:67" s="24" customFormat="1" ht="15" customHeight="1" x14ac:dyDescent="0.25">
      <c r="A637" s="288" t="s">
        <v>740</v>
      </c>
      <c r="B637" s="241" t="str">
        <f>HYPERLINK(CONCATENATE($AT$3,BK637,$AU$3),$AV$3)</f>
        <v>S</v>
      </c>
      <c r="C637" s="242" t="str">
        <f>HYPERLINK(CONCATENATE($AT$4,BK637,$AU$4,BL637),$AV$4)</f>
        <v>A</v>
      </c>
      <c r="D637" s="243" t="s">
        <v>5187</v>
      </c>
      <c r="E637" s="244" t="s">
        <v>5179</v>
      </c>
      <c r="F637" s="269">
        <v>0</v>
      </c>
      <c r="G637" s="276">
        <v>10</v>
      </c>
      <c r="H637" s="271" t="s">
        <v>6500</v>
      </c>
      <c r="I637" s="244" t="s">
        <v>6500</v>
      </c>
      <c r="J637" s="246">
        <v>1</v>
      </c>
      <c r="K637" s="247" t="s">
        <v>5995</v>
      </c>
      <c r="L637" s="248">
        <v>21255</v>
      </c>
      <c r="M637" s="249">
        <f>15*(LEFT(TEXT($L637,"000000"),2)+(MID(TEXT($L637,"000000"),3,2)/60)+(RIGHT(TEXT($L637,"000000"),2)/3600))</f>
        <v>33.229166666666671</v>
      </c>
      <c r="N637" s="286">
        <v>570600</v>
      </c>
      <c r="O637" s="251">
        <f>IF($N637&gt;0,(LEFT(TEXT($N637,"000000"),2)+(MID(TEXT($N637,"000000"),3,2)/60)+(RIGHT(TEXT($N637,"000000"),2)/3600)),-(MID(TEXT($N637,"000000"),2,2)+(MID(TEXT($N637,"000000"),4,2)/60)+(RIGHT(TEXT($N637,"000000"),2)/3600)))</f>
        <v>57.1</v>
      </c>
      <c r="P637" s="252" t="s">
        <v>49</v>
      </c>
      <c r="Q637" s="253"/>
      <c r="R637" s="277" t="s">
        <v>3293</v>
      </c>
      <c r="S637" s="272" t="s">
        <v>3293</v>
      </c>
      <c r="T637" s="273"/>
      <c r="U637" s="274"/>
      <c r="V637" s="256"/>
      <c r="W637" s="244"/>
      <c r="X637" s="244"/>
      <c r="Y637" s="362"/>
      <c r="Z637" s="257">
        <f>altaz(J2000_Bas,$O637,$M637,DecLat,DecLong,1)</f>
        <v>17.130619867183832</v>
      </c>
      <c r="AA637" s="257">
        <f>altaz((J2000_Bas+(2*0.04167)),$O637,$M637,DecLat,DecLong,1)</f>
        <v>32.414934100321837</v>
      </c>
      <c r="AB637" s="257">
        <f>altaz((J2000_Bas+(4*0.04167)),$O637,$M637,DecLat,DecLong,1)</f>
        <v>48.558091164590607</v>
      </c>
      <c r="AC637" s="257">
        <f>altaz((J2000_Bas+(6*0.04167)),$O637,$M637,DecLat,DecLong,1)</f>
        <v>61.371859545749736</v>
      </c>
      <c r="AD637" s="258">
        <f>1+ transit((J2000_Bas-1),$O637,$M637,DecLat,DecLong)/360 + (GMTOffset/24) + (IF(DST="Y", 1, 0)/24)</f>
        <v>1.0852031921401246</v>
      </c>
      <c r="AE637" s="259">
        <f>DATE(2001,9,21)+(M637/360)*365 - (360*((DecLong/360)- (GMTOffset/24) ))</f>
        <v>37193.690682870372</v>
      </c>
      <c r="AF637" s="260">
        <f>IF(DecLat&gt;0,IF((90 - (DecLat-O637))&gt;90, (90 - (O637-DecLat)), (90 - (DecLat-O637))),IF((90 + (DecLat-O637))&gt;90, (90 + (O637-DecLat)), (90 + (DecLat-O637))))</f>
        <v>63.9</v>
      </c>
      <c r="AG637" s="257">
        <f>angularseperation(MoonRA,MoonDec,$M637,$O637)</f>
        <v>140.66580962360558</v>
      </c>
      <c r="AH637" s="261">
        <f ca="1">MIN(100,IF($O$5&gt;80,0+30*($AG637/100),IF($O$5&gt;70,0+50*($AG637/100),IF($O$5&gt;60,5+50*($AG637/100),IF($O$5&gt;50,10+60*($AG637/100),IF($O$5&gt;40,15+70*($AG637/100),IF($O$5&gt;30,20+70*($AG637/100),IF($O$5&gt;20,40+55*($AG637/100),(80+(20-$O$5)+30*($AG637/100))))))))))</f>
        <v>100</v>
      </c>
      <c r="AI637" s="263"/>
      <c r="AJ637" s="263"/>
      <c r="AK637" s="263"/>
      <c r="AL637" s="263"/>
      <c r="AM637" s="264"/>
      <c r="AN637" s="263"/>
      <c r="AO637" s="263"/>
      <c r="AP637" s="265"/>
      <c r="AQ637" s="265"/>
      <c r="AR637" s="285"/>
      <c r="AS637" s="263"/>
      <c r="AT637" s="263"/>
      <c r="AU637" s="263"/>
      <c r="AV637" s="264"/>
      <c r="AW637" s="263">
        <v>201</v>
      </c>
      <c r="AX637" s="263"/>
      <c r="AY637" s="263"/>
      <c r="AZ637" s="263"/>
      <c r="BA637" s="263"/>
      <c r="BB637" s="263"/>
      <c r="BC637" s="263"/>
      <c r="BD637" s="264"/>
      <c r="BE637" s="263"/>
      <c r="BF637" s="263"/>
      <c r="BG637" s="263"/>
      <c r="BH637" s="263"/>
      <c r="BI637" s="263"/>
      <c r="BJ637" s="404">
        <f>altaz(J2000_Bas,$O637,$M637,DecLat,DecLong,2)</f>
        <v>32.880823739669893</v>
      </c>
      <c r="BK637" s="378" t="s">
        <v>740</v>
      </c>
      <c r="BL637" s="379">
        <f>IF((2*G637)/60&lt;0.2,0.2,(2*G637)/60)</f>
        <v>0.33333333333333331</v>
      </c>
      <c r="BM637" s="380">
        <f>MOD((50000+AD637-$B$3+(0/24)),1)</f>
        <v>0.30057012184261112</v>
      </c>
      <c r="BN637" s="381"/>
      <c r="BO637" s="382">
        <v>637</v>
      </c>
    </row>
    <row r="638" spans="1:67" s="24" customFormat="1" ht="15" customHeight="1" x14ac:dyDescent="0.25">
      <c r="A638" s="288" t="s">
        <v>741</v>
      </c>
      <c r="B638" s="241" t="str">
        <f>HYPERLINK(CONCATENATE($AT$3,BK638,$AU$3),$AV$3)</f>
        <v>S</v>
      </c>
      <c r="C638" s="242" t="str">
        <f>HYPERLINK(CONCATENATE($AT$4,BK638,$AU$4,BL638),$AV$4)</f>
        <v>A</v>
      </c>
      <c r="D638" s="243" t="s">
        <v>5187</v>
      </c>
      <c r="E638" s="244" t="s">
        <v>5179</v>
      </c>
      <c r="F638" s="269">
        <v>4</v>
      </c>
      <c r="G638" s="276">
        <v>33</v>
      </c>
      <c r="H638" s="271" t="s">
        <v>6500</v>
      </c>
      <c r="I638" s="244" t="s">
        <v>6500</v>
      </c>
      <c r="J638" s="246">
        <v>2</v>
      </c>
      <c r="K638" s="247" t="s">
        <v>5847</v>
      </c>
      <c r="L638" s="248">
        <v>32537</v>
      </c>
      <c r="M638" s="249">
        <f>15*(LEFT(TEXT($L638,"000000"),2)+(MID(TEXT($L638,"000000"),3,2)/60)+(RIGHT(TEXT($L638,"000000"),2)/3600))</f>
        <v>51.404166666666661</v>
      </c>
      <c r="N638" s="286">
        <v>301700</v>
      </c>
      <c r="O638" s="251">
        <f>IF($N638&gt;0,(LEFT(TEXT($N638,"000000"),2)+(MID(TEXT($N638,"000000"),3,2)/60)+(RIGHT(TEXT($N638,"000000"),2)/3600)),-(MID(TEXT($N638,"000000"),2,2)+(MID(TEXT($N638,"000000"),4,2)/60)+(RIGHT(TEXT($N638,"000000"),2)/3600)))</f>
        <v>30.283333333333335</v>
      </c>
      <c r="P638" s="252" t="s">
        <v>249</v>
      </c>
      <c r="Q638" s="253"/>
      <c r="R638" s="247" t="s">
        <v>3293</v>
      </c>
      <c r="S638" s="272" t="s">
        <v>3293</v>
      </c>
      <c r="T638" s="273"/>
      <c r="U638" s="274"/>
      <c r="V638" s="256"/>
      <c r="W638" s="244"/>
      <c r="X638" s="244"/>
      <c r="Y638" s="362"/>
      <c r="Z638" s="257">
        <f>altaz(J2000_Bas,$O638,$M638,DecLat,DecLong,1)</f>
        <v>-9.7342559885682114</v>
      </c>
      <c r="AA638" s="257">
        <f>altaz((J2000_Bas+(2*0.04167)),$O638,$M638,DecLat,DecLong,1)</f>
        <v>11.018749805466481</v>
      </c>
      <c r="AB638" s="257">
        <f>altaz((J2000_Bas+(4*0.04167)),$O638,$M638,DecLat,DecLong,1)</f>
        <v>34.737636913673207</v>
      </c>
      <c r="AC638" s="257">
        <f>altaz((J2000_Bas+(6*0.04167)),$O638,$M638,DecLat,DecLong,1)</f>
        <v>59.878145254344609</v>
      </c>
      <c r="AD638" s="258">
        <f>1+ transit((J2000_Bas-1),$O638,$M638,DecLat,DecLong)/360 + (GMTOffset/24) + (IF(DST="Y", 1, 0)/24)</f>
        <v>1.1356892982026248</v>
      </c>
      <c r="AE638" s="259">
        <f>DATE(2001,9,21)+(M638/360)*365 - (360*((DecLong/360)- (GMTOffset/24) ))</f>
        <v>37212.118113425924</v>
      </c>
      <c r="AF638" s="260">
        <f>IF(DecLat&gt;0,IF((90 - (DecLat-O638))&gt;90, (90 - (O638-DecLat)), (90 - (DecLat-O638))),IF((90 + (DecLat-O638))&gt;90, (90 + (O638-DecLat)), (90 + (DecLat-O638))))</f>
        <v>89.283333333333331</v>
      </c>
      <c r="AG638" s="257">
        <f>angularseperation(MoonRA,MoonDec,$M638,$O638)</f>
        <v>164.04573383599023</v>
      </c>
      <c r="AH638" s="261">
        <f ca="1">MIN(100,IF($O$5&gt;80,0+30*($AG638/100),IF($O$5&gt;70,0+50*($AG638/100),IF($O$5&gt;60,5+50*($AG638/100),IF($O$5&gt;50,10+60*($AG638/100),IF($O$5&gt;40,15+70*($AG638/100),IF($O$5&gt;30,20+70*($AG638/100),IF($O$5&gt;20,40+55*($AG638/100),(80+(20-$O$5)+30*($AG638/100))))))))))</f>
        <v>100</v>
      </c>
      <c r="AI638" s="262"/>
      <c r="AJ638" s="262"/>
      <c r="AK638" s="262"/>
      <c r="AL638" s="263"/>
      <c r="AM638" s="264"/>
      <c r="AN638" s="263"/>
      <c r="AO638" s="263"/>
      <c r="AP638" s="265"/>
      <c r="AQ638" s="266"/>
      <c r="AR638" s="267"/>
      <c r="AS638" s="263"/>
      <c r="AT638" s="263"/>
      <c r="AU638" s="263"/>
      <c r="AV638" s="264"/>
      <c r="AW638" s="263">
        <v>202</v>
      </c>
      <c r="AX638" s="263"/>
      <c r="AY638" s="263"/>
      <c r="AZ638" s="263"/>
      <c r="BA638" s="263"/>
      <c r="BB638" s="263"/>
      <c r="BC638" s="263"/>
      <c r="BD638" s="264"/>
      <c r="BE638" s="263"/>
      <c r="BF638" s="263"/>
      <c r="BG638" s="263"/>
      <c r="BH638" s="263"/>
      <c r="BI638" s="263"/>
      <c r="BJ638" s="404">
        <f>altaz(J2000_Bas,$O638,$M638,DecLat,DecLong,2)</f>
        <v>45.574894204247897</v>
      </c>
      <c r="BK638" s="378" t="s">
        <v>741</v>
      </c>
      <c r="BL638" s="379">
        <f>IF((2*G638)/60&lt;0.2,0.2,(2*G638)/60)</f>
        <v>1.1000000000000001</v>
      </c>
      <c r="BM638" s="380">
        <f>MOD((50000+AD638-$B$3+(0/24)),1)</f>
        <v>0.35105622790433699</v>
      </c>
      <c r="BN638" s="381"/>
      <c r="BO638" s="382">
        <v>638</v>
      </c>
    </row>
    <row r="639" spans="1:67" s="24" customFormat="1" ht="15" customHeight="1" x14ac:dyDescent="0.25">
      <c r="A639" s="288" t="s">
        <v>742</v>
      </c>
      <c r="B639" s="241" t="str">
        <f>HYPERLINK(CONCATENATE($AT$3,BK639,$AU$3),$AV$3)</f>
        <v>S</v>
      </c>
      <c r="C639" s="242" t="str">
        <f>HYPERLINK(CONCATENATE($AT$4,BK639,$AU$4,BL639),$AV$4)</f>
        <v>A</v>
      </c>
      <c r="D639" s="243" t="s">
        <v>5187</v>
      </c>
      <c r="E639" s="244" t="s">
        <v>5179</v>
      </c>
      <c r="F639" s="269">
        <v>4</v>
      </c>
      <c r="G639" s="276">
        <v>20</v>
      </c>
      <c r="H639" s="271" t="s">
        <v>6500</v>
      </c>
      <c r="I639" s="244" t="s">
        <v>6500</v>
      </c>
      <c r="J639" s="246">
        <v>2</v>
      </c>
      <c r="K639" s="247" t="s">
        <v>5848</v>
      </c>
      <c r="L639" s="248">
        <v>32549</v>
      </c>
      <c r="M639" s="249">
        <f>15*(LEFT(TEXT($L639,"000000"),2)+(MID(TEXT($L639,"000000"),3,2)/60)+(RIGHT(TEXT($L639,"000000"),2)/3600))</f>
        <v>51.454166666666666</v>
      </c>
      <c r="N639" s="286">
        <v>304700</v>
      </c>
      <c r="O639" s="251">
        <f>IF($N639&gt;0,(LEFT(TEXT($N639,"000000"),2)+(MID(TEXT($N639,"000000"),3,2)/60)+(RIGHT(TEXT($N639,"000000"),2)/3600)),-(MID(TEXT($N639,"000000"),2,2)+(MID(TEXT($N639,"000000"),4,2)/60)+(RIGHT(TEXT($N639,"000000"),2)/3600)))</f>
        <v>30.783333333333335</v>
      </c>
      <c r="P639" s="252" t="s">
        <v>249</v>
      </c>
      <c r="Q639" s="253"/>
      <c r="R639" s="247" t="s">
        <v>3293</v>
      </c>
      <c r="S639" s="272" t="s">
        <v>3293</v>
      </c>
      <c r="T639" s="273"/>
      <c r="U639" s="274"/>
      <c r="V639" s="256"/>
      <c r="W639" s="244"/>
      <c r="X639" s="244"/>
      <c r="Y639" s="362"/>
      <c r="Z639" s="257">
        <f>altaz(J2000_Bas,$O639,$M639,DecLat,DecLong,1)</f>
        <v>-9.4118239253249865</v>
      </c>
      <c r="AA639" s="257">
        <f>altaz((J2000_Bas+(2*0.04167)),$O639,$M639,DecLat,DecLong,1)</f>
        <v>11.228006853300036</v>
      </c>
      <c r="AB639" s="257">
        <f>altaz((J2000_Bas+(4*0.04167)),$O639,$M639,DecLat,DecLong,1)</f>
        <v>34.855943504548378</v>
      </c>
      <c r="AC639" s="257">
        <f>altaz((J2000_Bas+(6*0.04167)),$O639,$M639,DecLat,DecLong,1)</f>
        <v>59.923135405747303</v>
      </c>
      <c r="AD639" s="258">
        <f>1+ transit((J2000_Bas-1),$O639,$M639,DecLat,DecLong)/360 + (GMTOffset/24) + (IF(DST="Y", 1, 0)/24)</f>
        <v>1.1358281870776248</v>
      </c>
      <c r="AE639" s="259">
        <f>DATE(2001,9,21)+(M639/360)*365 - (360*((DecLong/360)- (GMTOffset/24) ))</f>
        <v>37212.168807870374</v>
      </c>
      <c r="AF639" s="260">
        <f>IF(DecLat&gt;0,IF((90 - (DecLat-O639))&gt;90, (90 - (O639-DecLat)), (90 - (DecLat-O639))),IF((90 + (DecLat-O639))&gt;90, (90 + (O639-DecLat)), (90 + (DecLat-O639))))</f>
        <v>89.783333333333331</v>
      </c>
      <c r="AG639" s="257">
        <f>angularseperation(MoonRA,MoonDec,$M639,$O639)</f>
        <v>164.01843283398691</v>
      </c>
      <c r="AH639" s="261">
        <f ca="1">MIN(100,IF($O$5&gt;80,0+30*($AG639/100),IF($O$5&gt;70,0+50*($AG639/100),IF($O$5&gt;60,5+50*($AG639/100),IF($O$5&gt;50,10+60*($AG639/100),IF($O$5&gt;40,15+70*($AG639/100),IF($O$5&gt;30,20+70*($AG639/100),IF($O$5&gt;20,40+55*($AG639/100),(80+(20-$O$5)+30*($AG639/100))))))))))</f>
        <v>100</v>
      </c>
      <c r="AI639" s="262"/>
      <c r="AJ639" s="262"/>
      <c r="AK639" s="262"/>
      <c r="AL639" s="263"/>
      <c r="AM639" s="264"/>
      <c r="AN639" s="263"/>
      <c r="AO639" s="263"/>
      <c r="AP639" s="265"/>
      <c r="AQ639" s="266"/>
      <c r="AR639" s="267"/>
      <c r="AS639" s="263"/>
      <c r="AT639" s="263"/>
      <c r="AU639" s="263"/>
      <c r="AV639" s="264"/>
      <c r="AW639" s="263">
        <v>203</v>
      </c>
      <c r="AX639" s="263"/>
      <c r="AY639" s="263"/>
      <c r="AZ639" s="263"/>
      <c r="BA639" s="263"/>
      <c r="BB639" s="263"/>
      <c r="BC639" s="263"/>
      <c r="BD639" s="264"/>
      <c r="BE639" s="263"/>
      <c r="BF639" s="263"/>
      <c r="BG639" s="263"/>
      <c r="BH639" s="263"/>
      <c r="BI639" s="263"/>
      <c r="BJ639" s="404">
        <f>altaz(J2000_Bas,$O639,$M639,DecLat,DecLong,2)</f>
        <v>45.18489500655474</v>
      </c>
      <c r="BK639" s="378" t="s">
        <v>742</v>
      </c>
      <c r="BL639" s="379">
        <f>IF((2*G639)/60&lt;0.2,0.2,(2*G639)/60)</f>
        <v>0.66666666666666663</v>
      </c>
      <c r="BM639" s="380">
        <f>MOD((50000+AD639-$B$3+(0/24)),1)</f>
        <v>0.35119511678203708</v>
      </c>
      <c r="BN639" s="381"/>
      <c r="BO639" s="382">
        <v>639</v>
      </c>
    </row>
    <row r="640" spans="1:67" s="24" customFormat="1" ht="15" customHeight="1" x14ac:dyDescent="0.25">
      <c r="A640" s="288" t="s">
        <v>743</v>
      </c>
      <c r="B640" s="241" t="str">
        <f>HYPERLINK(CONCATENATE($AT$3,BK640,$AU$3),$AV$3)</f>
        <v>S</v>
      </c>
      <c r="C640" s="242" t="str">
        <f>HYPERLINK(CONCATENATE($AT$4,BK640,$AU$4,BL640),$AV$4)</f>
        <v>A</v>
      </c>
      <c r="D640" s="243" t="s">
        <v>5187</v>
      </c>
      <c r="E640" s="244" t="s">
        <v>5179</v>
      </c>
      <c r="F640" s="269">
        <v>5</v>
      </c>
      <c r="G640" s="276">
        <v>14</v>
      </c>
      <c r="H640" s="271" t="s">
        <v>6500</v>
      </c>
      <c r="I640" s="300" t="s">
        <v>6500</v>
      </c>
      <c r="J640" s="246">
        <v>3</v>
      </c>
      <c r="K640" s="247" t="s">
        <v>8380</v>
      </c>
      <c r="L640" s="248">
        <v>32828</v>
      </c>
      <c r="M640" s="249">
        <f>15*(LEFT(TEXT($L640,"000000"),2)+(MID(TEXT($L640,"000000"),3,2)/60)+(RIGHT(TEXT($L640,"000000"),2)/3600))</f>
        <v>52.116666666666667</v>
      </c>
      <c r="N640" s="286">
        <v>301200</v>
      </c>
      <c r="O640" s="251">
        <f>IF($N640&gt;0,(LEFT(TEXT($N640,"000000"),2)+(MID(TEXT($N640,"000000"),3,2)/60)+(RIGHT(TEXT($N640,"000000"),2)/3600)),-(MID(TEXT($N640,"000000"),2,2)+(MID(TEXT($N640,"000000"),4,2)/60)+(RIGHT(TEXT($N640,"000000"),2)/3600)))</f>
        <v>30.2</v>
      </c>
      <c r="P640" s="252" t="s">
        <v>249</v>
      </c>
      <c r="Q640" s="253"/>
      <c r="R640" s="247" t="s">
        <v>3293</v>
      </c>
      <c r="S640" s="272" t="s">
        <v>6022</v>
      </c>
      <c r="T640" s="273"/>
      <c r="U640" s="274"/>
      <c r="V640" s="256"/>
      <c r="W640" s="244"/>
      <c r="X640" s="244"/>
      <c r="Y640" s="362"/>
      <c r="Z640" s="257">
        <f>altaz(J2000_Bas,$O640,$M640,DecLat,DecLong,1)</f>
        <v>-10.227986455093236</v>
      </c>
      <c r="AA640" s="257">
        <f>altaz((J2000_Bas+(2*0.04167)),$O640,$M640,DecLat,DecLong,1)</f>
        <v>10.443015564138012</v>
      </c>
      <c r="AB640" s="257">
        <f>altaz((J2000_Bas+(4*0.04167)),$O640,$M640,DecLat,DecLong,1)</f>
        <v>34.128197606635624</v>
      </c>
      <c r="AC640" s="257">
        <f>altaz((J2000_Bas+(6*0.04167)),$O640,$M640,DecLat,DecLong,1)</f>
        <v>59.25780630482555</v>
      </c>
      <c r="AD640" s="258">
        <f>1+ transit((J2000_Bas-1),$O640,$M640,DecLat,DecLong)/360 + (GMTOffset/24) + (IF(DST="Y", 1, 0)/24)</f>
        <v>1.1376684646713746</v>
      </c>
      <c r="AE640" s="259">
        <f>DATE(2001,9,21)+(M640/360)*365 - (360*((DecLong/360)- (GMTOffset/24) ))</f>
        <v>37212.840509259258</v>
      </c>
      <c r="AF640" s="260">
        <f>IF(DecLat&gt;0,IF((90 - (DecLat-O640))&gt;90, (90 - (O640-DecLat)), (90 - (DecLat-O640))),IF((90 + (DecLat-O640))&gt;90, (90 + (O640-DecLat)), (90 + (DecLat-O640))))</f>
        <v>89.2</v>
      </c>
      <c r="AG640" s="257">
        <f>angularseperation(MoonRA,MoonDec,$M640,$O640)</f>
        <v>164.66686905511284</v>
      </c>
      <c r="AH640" s="261">
        <f ca="1">MIN(100,IF($O$5&gt;80,0+30*($AG640/100),IF($O$5&gt;70,0+50*($AG640/100),IF($O$5&gt;60,5+50*($AG640/100),IF($O$5&gt;50,10+60*($AG640/100),IF($O$5&gt;40,15+70*($AG640/100),IF($O$5&gt;30,20+70*($AG640/100),IF($O$5&gt;20,40+55*($AG640/100),(80+(20-$O$5)+30*($AG640/100))))))))))</f>
        <v>100</v>
      </c>
      <c r="AI640" s="262"/>
      <c r="AJ640" s="262"/>
      <c r="AK640" s="262"/>
      <c r="AL640" s="263"/>
      <c r="AM640" s="264"/>
      <c r="AN640" s="263"/>
      <c r="AO640" s="263"/>
      <c r="AP640" s="265"/>
      <c r="AQ640" s="266"/>
      <c r="AR640" s="267"/>
      <c r="AS640" s="263"/>
      <c r="AT640" s="263"/>
      <c r="AU640" s="263"/>
      <c r="AV640" s="264"/>
      <c r="AW640" s="263">
        <v>204</v>
      </c>
      <c r="AX640" s="263"/>
      <c r="AY640" s="263"/>
      <c r="AZ640" s="263"/>
      <c r="BA640" s="263"/>
      <c r="BB640" s="263"/>
      <c r="BC640" s="263"/>
      <c r="BD640" s="264"/>
      <c r="BE640" s="263"/>
      <c r="BF640" s="263"/>
      <c r="BG640" s="263"/>
      <c r="BH640" s="263"/>
      <c r="BI640" s="263"/>
      <c r="BJ640" s="404">
        <f>altaz(J2000_Bas,$O640,$M640,DecLat,DecLong,2)</f>
        <v>45.192196745025207</v>
      </c>
      <c r="BK640" s="378" t="s">
        <v>743</v>
      </c>
      <c r="BL640" s="379">
        <f>IF((2*G640)/60&lt;0.2,0.2,(2*G640)/60)</f>
        <v>0.46666666666666667</v>
      </c>
      <c r="BM640" s="380">
        <f>MOD((50000+AD640-$B$3+(0/24)),1)</f>
        <v>0.35303539437882137</v>
      </c>
      <c r="BN640" s="381"/>
      <c r="BO640" s="382">
        <v>640</v>
      </c>
    </row>
    <row r="641" spans="1:67" s="24" customFormat="1" ht="15" customHeight="1" x14ac:dyDescent="0.25">
      <c r="A641" s="288" t="s">
        <v>744</v>
      </c>
      <c r="B641" s="241" t="str">
        <f>HYPERLINK(CONCATENATE($AT$3,BK641,$AU$3),$AV$3)</f>
        <v>S</v>
      </c>
      <c r="C641" s="242" t="str">
        <f>HYPERLINK(CONCATENATE($AT$4,BK641,$AU$4,BL641),$AV$4)</f>
        <v>A</v>
      </c>
      <c r="D641" s="243" t="s">
        <v>5187</v>
      </c>
      <c r="E641" s="244" t="s">
        <v>5179</v>
      </c>
      <c r="F641" s="269">
        <v>5</v>
      </c>
      <c r="G641" s="276">
        <v>20</v>
      </c>
      <c r="H641" s="271" t="s">
        <v>6500</v>
      </c>
      <c r="I641" s="244" t="s">
        <v>6500</v>
      </c>
      <c r="J641" s="246">
        <v>3</v>
      </c>
      <c r="K641" s="247" t="s">
        <v>8381</v>
      </c>
      <c r="L641" s="248">
        <v>32830</v>
      </c>
      <c r="M641" s="249">
        <f>15*(LEFT(TEXT($L641,"000000"),2)+(MID(TEXT($L641,"000000"),3,2)/60)+(RIGHT(TEXT($L641,"000000"),2)/3600))</f>
        <v>52.125</v>
      </c>
      <c r="N641" s="286">
        <v>310700</v>
      </c>
      <c r="O641" s="251">
        <f>IF($N641&gt;0,(LEFT(TEXT($N641,"000000"),2)+(MID(TEXT($N641,"000000"),3,2)/60)+(RIGHT(TEXT($N641,"000000"),2)/3600)),-(MID(TEXT($N641,"000000"),2,2)+(MID(TEXT($N641,"000000"),4,2)/60)+(RIGHT(TEXT($N641,"000000"),2)/3600)))</f>
        <v>31.116666666666667</v>
      </c>
      <c r="P641" s="252" t="s">
        <v>43</v>
      </c>
      <c r="Q641" s="253"/>
      <c r="R641" s="247" t="s">
        <v>3293</v>
      </c>
      <c r="S641" s="272" t="s">
        <v>3293</v>
      </c>
      <c r="T641" s="273"/>
      <c r="U641" s="274"/>
      <c r="V641" s="256"/>
      <c r="W641" s="244"/>
      <c r="X641" s="244"/>
      <c r="Y641" s="362"/>
      <c r="Z641" s="257">
        <f>altaz(J2000_Bas,$O641,$M641,DecLat,DecLong,1)</f>
        <v>-9.5810128961775884</v>
      </c>
      <c r="AA641" s="257">
        <f>altaz((J2000_Bas+(2*0.04167)),$O641,$M641,DecLat,DecLong,1)</f>
        <v>10.892919142397536</v>
      </c>
      <c r="AB641" s="257">
        <f>altaz((J2000_Bas+(4*0.04167)),$O641,$M641,DecLat,DecLong,1)</f>
        <v>34.415264600962651</v>
      </c>
      <c r="AC641" s="257">
        <f>altaz((J2000_Bas+(6*0.04167)),$O641,$M641,DecLat,DecLong,1)</f>
        <v>59.410403375023925</v>
      </c>
      <c r="AD641" s="258">
        <f>1+ transit((J2000_Bas-1),$O641,$M641,DecLat,DecLong)/360 + (GMTOffset/24) + (IF(DST="Y", 1, 0)/24)</f>
        <v>1.1376916128172081</v>
      </c>
      <c r="AE641" s="259">
        <f>DATE(2001,9,21)+(M641/360)*365 - (360*((DecLong/360)- (GMTOffset/24) ))</f>
        <v>37212.848958333336</v>
      </c>
      <c r="AF641" s="260">
        <f>IF(DecLat&gt;0,IF((90 - (DecLat-O641))&gt;90, (90 - (O641-DecLat)), (90 - (DecLat-O641))),IF((90 + (DecLat-O641))&gt;90, (90 + (O641-DecLat)), (90 + (DecLat-O641))))</f>
        <v>89.883333333333326</v>
      </c>
      <c r="AG641" s="257">
        <f>angularseperation(MoonRA,MoonDec,$M641,$O641)</f>
        <v>164.52821983564701</v>
      </c>
      <c r="AH641" s="261">
        <f ca="1">MIN(100,IF($O$5&gt;80,0+30*($AG641/100),IF($O$5&gt;70,0+50*($AG641/100),IF($O$5&gt;60,5+50*($AG641/100),IF($O$5&gt;50,10+60*($AG641/100),IF($O$5&gt;40,15+70*($AG641/100),IF($O$5&gt;30,20+70*($AG641/100),IF($O$5&gt;20,40+55*($AG641/100),(80+(20-$O$5)+30*($AG641/100))))))))))</f>
        <v>100</v>
      </c>
      <c r="AI641" s="262"/>
      <c r="AJ641" s="262"/>
      <c r="AK641" s="262"/>
      <c r="AL641" s="263"/>
      <c r="AM641" s="264"/>
      <c r="AN641" s="263"/>
      <c r="AO641" s="263"/>
      <c r="AP641" s="265"/>
      <c r="AQ641" s="266"/>
      <c r="AR641" s="267"/>
      <c r="AS641" s="263"/>
      <c r="AT641" s="263"/>
      <c r="AU641" s="263"/>
      <c r="AV641" s="264"/>
      <c r="AW641" s="263">
        <v>205</v>
      </c>
      <c r="AX641" s="263"/>
      <c r="AY641" s="263"/>
      <c r="AZ641" s="263"/>
      <c r="BA641" s="263"/>
      <c r="BB641" s="263"/>
      <c r="BC641" s="263"/>
      <c r="BD641" s="264"/>
      <c r="BE641" s="263"/>
      <c r="BF641" s="263"/>
      <c r="BG641" s="263"/>
      <c r="BH641" s="263"/>
      <c r="BI641" s="263"/>
      <c r="BJ641" s="404">
        <f>altaz(J2000_Bas,$O641,$M641,DecLat,DecLong,2)</f>
        <v>44.5329410168194</v>
      </c>
      <c r="BK641" s="378" t="s">
        <v>744</v>
      </c>
      <c r="BL641" s="379">
        <f>IF((2*G641)/60&lt;0.2,0.2,(2*G641)/60)</f>
        <v>0.66666666666666663</v>
      </c>
      <c r="BM641" s="380">
        <f>MOD((50000+AD641-$B$3+(0/24)),1)</f>
        <v>0.35305854251782876</v>
      </c>
      <c r="BN641" s="381"/>
      <c r="BO641" s="382">
        <v>641</v>
      </c>
    </row>
    <row r="642" spans="1:67" s="24" customFormat="1" ht="15" customHeight="1" x14ac:dyDescent="0.25">
      <c r="A642" s="288" t="s">
        <v>745</v>
      </c>
      <c r="B642" s="241" t="str">
        <f>HYPERLINK(CONCATENATE($AT$3,BK642,$AU$3),$AV$3)</f>
        <v>S</v>
      </c>
      <c r="C642" s="242" t="str">
        <f>HYPERLINK(CONCATENATE($AT$4,BK642,$AU$4,BL642),$AV$4)</f>
        <v>A</v>
      </c>
      <c r="D642" s="243" t="s">
        <v>5187</v>
      </c>
      <c r="E642" s="244" t="s">
        <v>5179</v>
      </c>
      <c r="F642" s="269">
        <v>5</v>
      </c>
      <c r="G642" s="273">
        <v>5</v>
      </c>
      <c r="H642" s="271" t="s">
        <v>6500</v>
      </c>
      <c r="I642" s="244" t="s">
        <v>6500</v>
      </c>
      <c r="J642" s="246">
        <v>2</v>
      </c>
      <c r="K642" s="247" t="s">
        <v>5849</v>
      </c>
      <c r="L642" s="248">
        <v>32908</v>
      </c>
      <c r="M642" s="249">
        <f>15*(LEFT(TEXT($L642,"000000"),2)+(MID(TEXT($L642,"000000"),3,2)/60)+(RIGHT(TEXT($L642,"000000"),2)/3600))</f>
        <v>52.283333333333331</v>
      </c>
      <c r="N642" s="286">
        <v>301200</v>
      </c>
      <c r="O642" s="251">
        <f>IF($N642&gt;0,(LEFT(TEXT($N642,"000000"),2)+(MID(TEXT($N642,"000000"),3,2)/60)+(RIGHT(TEXT($N642,"000000"),2)/3600)),-(MID(TEXT($N642,"000000"),2,2)+(MID(TEXT($N642,"000000"),4,2)/60)+(RIGHT(TEXT($N642,"000000"),2)/3600)))</f>
        <v>30.2</v>
      </c>
      <c r="P642" s="252" t="s">
        <v>249</v>
      </c>
      <c r="Q642" s="253"/>
      <c r="R642" s="247" t="s">
        <v>3293</v>
      </c>
      <c r="S642" s="272" t="s">
        <v>3293</v>
      </c>
      <c r="T642" s="273"/>
      <c r="U642" s="274"/>
      <c r="V642" s="256"/>
      <c r="W642" s="244"/>
      <c r="X642" s="244"/>
      <c r="Y642" s="362"/>
      <c r="Z642" s="257">
        <f>altaz(J2000_Bas,$O642,$M642,DecLat,DecLong,1)</f>
        <v>-10.32925138597774</v>
      </c>
      <c r="AA642" s="257">
        <f>altaz((J2000_Bas+(2*0.04167)),$O642,$M642,DecLat,DecLong,1)</f>
        <v>10.318203413949366</v>
      </c>
      <c r="AB642" s="257">
        <f>altaz((J2000_Bas+(4*0.04167)),$O642,$M642,DecLat,DecLong,1)</f>
        <v>33.992013904218645</v>
      </c>
      <c r="AC642" s="257">
        <f>altaz((J2000_Bas+(6*0.04167)),$O642,$M642,DecLat,DecLong,1)</f>
        <v>59.116316059231053</v>
      </c>
      <c r="AD642" s="258">
        <f>1+ transit((J2000_Bas-1),$O642,$M642,DecLat,DecLong)/360 + (GMTOffset/24) + (IF(DST="Y", 1, 0)/24)</f>
        <v>1.1381314275880412</v>
      </c>
      <c r="AE642" s="259">
        <f>DATE(2001,9,21)+(M642/360)*365 - (360*((DecLong/360)- (GMTOffset/24) ))</f>
        <v>37213.00949074074</v>
      </c>
      <c r="AF642" s="260">
        <f>IF(DecLat&gt;0,IF((90 - (DecLat-O642))&gt;90, (90 - (O642-DecLat)), (90 - (DecLat-O642))),IF((90 + (DecLat-O642))&gt;90, (90 + (O642-DecLat)), (90 + (DecLat-O642))))</f>
        <v>89.2</v>
      </c>
      <c r="AG642" s="257">
        <f>angularseperation(MoonRA,MoonDec,$M642,$O642)</f>
        <v>164.80965837186974</v>
      </c>
      <c r="AH642" s="261">
        <f ca="1">MIN(100,IF($O$5&gt;80,0+30*($AG642/100),IF($O$5&gt;70,0+50*($AG642/100),IF($O$5&gt;60,5+50*($AG642/100),IF($O$5&gt;50,10+60*($AG642/100),IF($O$5&gt;40,15+70*($AG642/100),IF($O$5&gt;30,20+70*($AG642/100),IF($O$5&gt;20,40+55*($AG642/100),(80+(20-$O$5)+30*($AG642/100))))))))))</f>
        <v>100</v>
      </c>
      <c r="AI642" s="262"/>
      <c r="AJ642" s="262"/>
      <c r="AK642" s="262"/>
      <c r="AL642" s="263"/>
      <c r="AM642" s="264"/>
      <c r="AN642" s="263"/>
      <c r="AO642" s="263"/>
      <c r="AP642" s="265"/>
      <c r="AQ642" s="266"/>
      <c r="AR642" s="267"/>
      <c r="AS642" s="263"/>
      <c r="AT642" s="263"/>
      <c r="AU642" s="263"/>
      <c r="AV642" s="264"/>
      <c r="AW642" s="263">
        <v>206</v>
      </c>
      <c r="AX642" s="263"/>
      <c r="AY642" s="263"/>
      <c r="AZ642" s="263"/>
      <c r="BA642" s="263"/>
      <c r="BB642" s="263"/>
      <c r="BC642" s="263"/>
      <c r="BD642" s="264"/>
      <c r="BE642" s="263"/>
      <c r="BF642" s="263"/>
      <c r="BG642" s="263"/>
      <c r="BH642" s="263"/>
      <c r="BI642" s="263"/>
      <c r="BJ642" s="404">
        <f>altaz(J2000_Bas,$O642,$M642,DecLat,DecLong,2)</f>
        <v>45.088082707943542</v>
      </c>
      <c r="BK642" s="378" t="s">
        <v>745</v>
      </c>
      <c r="BL642" s="379">
        <f>IF((2*G642)/60&lt;0.2,0.2,(2*G642)/60)</f>
        <v>0.2</v>
      </c>
      <c r="BM642" s="380">
        <f>MOD((50000+AD642-$B$3+(0/24)),1)</f>
        <v>0.35349835728993639</v>
      </c>
      <c r="BN642" s="381"/>
      <c r="BO642" s="382">
        <v>642</v>
      </c>
    </row>
    <row r="643" spans="1:67" s="24" customFormat="1" ht="15" customHeight="1" x14ac:dyDescent="0.25">
      <c r="A643" s="288" t="s">
        <v>746</v>
      </c>
      <c r="B643" s="241" t="str">
        <f>HYPERLINK(CONCATENATE($AT$3,BK643,$AU$3),$AV$3)</f>
        <v>S</v>
      </c>
      <c r="C643" s="242" t="str">
        <f>HYPERLINK(CONCATENATE($AT$4,BK643,$AU$4,BL643),$AV$4)</f>
        <v>A</v>
      </c>
      <c r="D643" s="243" t="s">
        <v>5187</v>
      </c>
      <c r="E643" s="244" t="s">
        <v>5179</v>
      </c>
      <c r="F643" s="269">
        <v>5</v>
      </c>
      <c r="G643" s="276">
        <v>60</v>
      </c>
      <c r="H643" s="271" t="s">
        <v>6500</v>
      </c>
      <c r="I643" s="244" t="s">
        <v>6500</v>
      </c>
      <c r="J643" s="246">
        <v>2</v>
      </c>
      <c r="K643" s="247" t="s">
        <v>9338</v>
      </c>
      <c r="L643" s="248">
        <v>41132</v>
      </c>
      <c r="M643" s="249">
        <f>15*(LEFT(TEXT($L643,"000000"),2)+(MID(TEXT($L643,"000000"),3,2)/60)+(RIGHT(TEXT($L643,"000000"),2)/3600))</f>
        <v>62.883333333333333</v>
      </c>
      <c r="N643" s="250">
        <v>251000</v>
      </c>
      <c r="O643" s="251">
        <f>IF($N643&gt;0,(LEFT(TEXT($N643,"000000"),2)+(MID(TEXT($N643,"000000"),3,2)/60)+(RIGHT(TEXT($N643,"000000"),2)/3600)),-(MID(TEXT($N643,"000000"),2,2)+(MID(TEXT($N643,"000000"),4,2)/60)+(RIGHT(TEXT($N643,"000000"),2)/3600)))</f>
        <v>25.166666666666668</v>
      </c>
      <c r="P643" s="252" t="s">
        <v>56</v>
      </c>
      <c r="Q643" s="253"/>
      <c r="R643" s="247" t="s">
        <v>3293</v>
      </c>
      <c r="S643" s="272" t="s">
        <v>6023</v>
      </c>
      <c r="T643" s="273"/>
      <c r="U643" s="274"/>
      <c r="V643" s="256"/>
      <c r="W643" s="244"/>
      <c r="X643" s="244"/>
      <c r="Y643" s="362"/>
      <c r="Z643" s="257">
        <f>altaz(J2000_Bas,$O643,$M643,DecLat,DecLong,1)</f>
        <v>-20.319830108539151</v>
      </c>
      <c r="AA643" s="257">
        <f>altaz((J2000_Bas+(2*0.04167)),$O643,$M643,DecLat,DecLong,1)</f>
        <v>-0.29563827743964499</v>
      </c>
      <c r="AB643" s="257">
        <f>altaz((J2000_Bas+(4*0.04167)),$O643,$M643,DecLat,DecLong,1)</f>
        <v>23.412053594079655</v>
      </c>
      <c r="AC643" s="257">
        <f>altaz((J2000_Bas+(6*0.04167)),$O643,$M643,DecLat,DecLong,1)</f>
        <v>48.746341516346973</v>
      </c>
      <c r="AD643" s="258">
        <f>1+ transit((J2000_Bas-1),$O643,$M643,DecLat,DecLong)/360 + (GMTOffset/24) + (IF(DST="Y", 1, 0)/24)</f>
        <v>1.1675758690880413</v>
      </c>
      <c r="AE643" s="259">
        <f>DATE(2001,9,21)+(M643/360)*365 - (360*((DecLong/360)- (GMTOffset/24) ))</f>
        <v>37223.756712962961</v>
      </c>
      <c r="AF643" s="260">
        <f>IF(DecLat&gt;0,IF((90 - (DecLat-O643))&gt;90, (90 - (O643-DecLat)), (90 - (DecLat-O643))),IF((90 + (DecLat-O643))&gt;90, (90 + (O643-DecLat)), (90 + (DecLat-O643))))</f>
        <v>84.166666666666671</v>
      </c>
      <c r="AG643" s="257">
        <f>angularseperation(MoonRA,MoonDec,$M643,$O643)</f>
        <v>173.97863931647481</v>
      </c>
      <c r="AH643" s="261">
        <f ca="1">MIN(100,IF($O$5&gt;80,0+30*($AG643/100),IF($O$5&gt;70,0+50*($AG643/100),IF($O$5&gt;60,5+50*($AG643/100),IF($O$5&gt;50,10+60*($AG643/100),IF($O$5&gt;40,15+70*($AG643/100),IF($O$5&gt;30,20+70*($AG643/100),IF($O$5&gt;20,40+55*($AG643/100),(80+(20-$O$5)+30*($AG643/100))))))))))</f>
        <v>100</v>
      </c>
      <c r="AI643" s="262"/>
      <c r="AJ643" s="262"/>
      <c r="AK643" s="262"/>
      <c r="AL643" s="263"/>
      <c r="AM643" s="264"/>
      <c r="AN643" s="263"/>
      <c r="AO643" s="263"/>
      <c r="AP643" s="265"/>
      <c r="AQ643" s="266"/>
      <c r="AR643" s="267"/>
      <c r="AS643" s="263"/>
      <c r="AT643" s="263"/>
      <c r="AU643" s="263"/>
      <c r="AV643" s="264"/>
      <c r="AW643" s="263">
        <v>208</v>
      </c>
      <c r="AX643" s="263"/>
      <c r="AY643" s="263"/>
      <c r="AZ643" s="263"/>
      <c r="BA643" s="263"/>
      <c r="BB643" s="263"/>
      <c r="BC643" s="263"/>
      <c r="BD643" s="264"/>
      <c r="BE643" s="263"/>
      <c r="BF643" s="263"/>
      <c r="BG643" s="263"/>
      <c r="BH643" s="263"/>
      <c r="BI643" s="263">
        <v>23</v>
      </c>
      <c r="BJ643" s="404">
        <f>altaz(J2000_Bas,$O643,$M643,DecLat,DecLong,2)</f>
        <v>41.276197215845045</v>
      </c>
      <c r="BK643" s="378" t="s">
        <v>746</v>
      </c>
      <c r="BL643" s="379">
        <f>IF((2*G643)/60&lt;0.2,0.2,(2*G643)/60)</f>
        <v>2</v>
      </c>
      <c r="BM643" s="380">
        <f>MOD((50000+AD643-$B$3+(0/24)),1)</f>
        <v>0.38294279879482929</v>
      </c>
      <c r="BN643" s="381"/>
      <c r="BO643" s="382">
        <v>643</v>
      </c>
    </row>
    <row r="644" spans="1:67" s="24" customFormat="1" ht="15" customHeight="1" x14ac:dyDescent="0.25">
      <c r="A644" s="288" t="s">
        <v>747</v>
      </c>
      <c r="B644" s="241" t="str">
        <f>HYPERLINK(CONCATENATE($AT$3,BK644,$AU$3),$AV$3)</f>
        <v>S</v>
      </c>
      <c r="C644" s="242" t="str">
        <f>HYPERLINK(CONCATENATE($AT$4,BK644,$AU$4,BL644),$AV$4)</f>
        <v>A</v>
      </c>
      <c r="D644" s="243" t="s">
        <v>5187</v>
      </c>
      <c r="E644" s="244" t="s">
        <v>5179</v>
      </c>
      <c r="F644" s="269">
        <v>5</v>
      </c>
      <c r="G644" s="276">
        <v>10</v>
      </c>
      <c r="H644" s="271" t="s">
        <v>6500</v>
      </c>
      <c r="I644" s="244" t="s">
        <v>6500</v>
      </c>
      <c r="J644" s="246">
        <v>1</v>
      </c>
      <c r="K644" s="247" t="s">
        <v>5850</v>
      </c>
      <c r="L644" s="248">
        <v>41222</v>
      </c>
      <c r="M644" s="249">
        <f>15*(LEFT(TEXT($L644,"000000"),2)+(MID(TEXT($L644,"000000"),3,2)/60)+(RIGHT(TEXT($L644,"000000"),2)/3600))</f>
        <v>63.091666666666669</v>
      </c>
      <c r="N644" s="286">
        <v>282000</v>
      </c>
      <c r="O644" s="251">
        <f>IF($N644&gt;0,(LEFT(TEXT($N644,"000000"),2)+(MID(TEXT($N644,"000000"),3,2)/60)+(RIGHT(TEXT($N644,"000000"),2)/3600)),-(MID(TEXT($N644,"000000"),2,2)+(MID(TEXT($N644,"000000"),4,2)/60)+(RIGHT(TEXT($N644,"000000"),2)/3600)))</f>
        <v>28.333333333333332</v>
      </c>
      <c r="P644" s="252" t="s">
        <v>56</v>
      </c>
      <c r="Q644" s="253"/>
      <c r="R644" s="277" t="s">
        <v>3293</v>
      </c>
      <c r="S644" s="272" t="s">
        <v>3293</v>
      </c>
      <c r="T644" s="273"/>
      <c r="U644" s="274"/>
      <c r="V644" s="256"/>
      <c r="W644" s="244"/>
      <c r="X644" s="244"/>
      <c r="Y644" s="362"/>
      <c r="Z644" s="257">
        <f>altaz(J2000_Bas,$O644,$M644,DecLat,DecLong,1)</f>
        <v>-17.947977346566038</v>
      </c>
      <c r="AA644" s="257">
        <f>altaz((J2000_Bas+(2*0.04167)),$O644,$M644,DecLat,DecLong,1)</f>
        <v>1.3633147618277899</v>
      </c>
      <c r="AB644" s="257">
        <f>altaz((J2000_Bas+(4*0.04167)),$O644,$M644,DecLat,DecLong,1)</f>
        <v>24.53098002611512</v>
      </c>
      <c r="AC644" s="257">
        <f>altaz((J2000_Bas+(6*0.04167)),$O644,$M644,DecLat,DecLong,1)</f>
        <v>49.514850571648083</v>
      </c>
      <c r="AD644" s="258">
        <f>1+ transit((J2000_Bas-1),$O644,$M644,DecLat,DecLong)/360 + (GMTOffset/24) + (IF(DST="Y", 1, 0)/24)</f>
        <v>1.1681545727338747</v>
      </c>
      <c r="AE644" s="259">
        <f>DATE(2001,9,21)+(M644/360)*365 - (360*((DecLong/360)- (GMTOffset/24) ))</f>
        <v>37223.967939814815</v>
      </c>
      <c r="AF644" s="260">
        <f>IF(DecLat&gt;0,IF((90 - (DecLat-O644))&gt;90, (90 - (O644-DecLat)), (90 - (DecLat-O644))),IF((90 + (DecLat-O644))&gt;90, (90 + (O644-DecLat)), (90 + (DecLat-O644))))</f>
        <v>87.333333333333329</v>
      </c>
      <c r="AG644" s="257">
        <f>angularseperation(MoonRA,MoonDec,$M644,$O644)</f>
        <v>174.41432080075944</v>
      </c>
      <c r="AH644" s="261">
        <f ca="1">MIN(100,IF($O$5&gt;80,0+30*($AG644/100),IF($O$5&gt;70,0+50*($AG644/100),IF($O$5&gt;60,5+50*($AG644/100),IF($O$5&gt;50,10+60*($AG644/100),IF($O$5&gt;40,15+70*($AG644/100),IF($O$5&gt;30,20+70*($AG644/100),IF($O$5&gt;20,40+55*($AG644/100),(80+(20-$O$5)+30*($AG644/100))))))))))</f>
        <v>100</v>
      </c>
      <c r="AI644" s="263"/>
      <c r="AJ644" s="263"/>
      <c r="AK644" s="263"/>
      <c r="AL644" s="263"/>
      <c r="AM644" s="264"/>
      <c r="AN644" s="263"/>
      <c r="AO644" s="263"/>
      <c r="AP644" s="265"/>
      <c r="AQ644" s="265"/>
      <c r="AR644" s="285"/>
      <c r="AS644" s="263"/>
      <c r="AT644" s="263"/>
      <c r="AU644" s="263"/>
      <c r="AV644" s="264"/>
      <c r="AW644" s="263">
        <v>209</v>
      </c>
      <c r="AX644" s="263"/>
      <c r="AY644" s="263"/>
      <c r="AZ644" s="263"/>
      <c r="BA644" s="263"/>
      <c r="BB644" s="263"/>
      <c r="BC644" s="263"/>
      <c r="BD644" s="264"/>
      <c r="BE644" s="263"/>
      <c r="BF644" s="263"/>
      <c r="BG644" s="263"/>
      <c r="BH644" s="263"/>
      <c r="BI644" s="263"/>
      <c r="BJ644" s="404">
        <f>altaz(J2000_Bas,$O644,$M644,DecLat,DecLong,2)</f>
        <v>39.046451788327701</v>
      </c>
      <c r="BK644" s="378" t="s">
        <v>747</v>
      </c>
      <c r="BL644" s="379">
        <f>IF((2*G644)/60&lt;0.2,0.2,(2*G644)/60)</f>
        <v>0.33333333333333331</v>
      </c>
      <c r="BM644" s="380">
        <f>MOD((50000+AD644-$B$3+(0/24)),1)</f>
        <v>0.38352150243736105</v>
      </c>
      <c r="BN644" s="381"/>
      <c r="BO644" s="382">
        <v>644</v>
      </c>
    </row>
    <row r="645" spans="1:67" s="24" customFormat="1" ht="15" customHeight="1" x14ac:dyDescent="0.25">
      <c r="A645" s="288" t="s">
        <v>748</v>
      </c>
      <c r="B645" s="241" t="str">
        <f>HYPERLINK(CONCATENATE($AT$3,BK645,$AU$3),$AV$3)</f>
        <v>S</v>
      </c>
      <c r="C645" s="242" t="str">
        <f>HYPERLINK(CONCATENATE($AT$4,BK645,$AU$4,BL645),$AV$4)</f>
        <v>A</v>
      </c>
      <c r="D645" s="243" t="s">
        <v>5187</v>
      </c>
      <c r="E645" s="244" t="s">
        <v>5179</v>
      </c>
      <c r="F645" s="269">
        <v>5</v>
      </c>
      <c r="G645" s="273">
        <v>3</v>
      </c>
      <c r="H645" s="271" t="s">
        <v>6500</v>
      </c>
      <c r="I645" s="244" t="s">
        <v>6500</v>
      </c>
      <c r="J645" s="246">
        <v>1</v>
      </c>
      <c r="K645" s="247" t="s">
        <v>5772</v>
      </c>
      <c r="L645" s="248">
        <v>41532</v>
      </c>
      <c r="M645" s="249">
        <f>15*(LEFT(TEXT($L645,"000000"),2)+(MID(TEXT($L645,"000000"),3,2)/60)+(RIGHT(TEXT($L645,"000000"),2)/3600))</f>
        <v>63.883333333333326</v>
      </c>
      <c r="N645" s="286">
        <v>250500</v>
      </c>
      <c r="O645" s="251">
        <f>IF($N645&gt;0,(LEFT(TEXT($N645,"000000"),2)+(MID(TEXT($N645,"000000"),3,2)/60)+(RIGHT(TEXT($N645,"000000"),2)/3600)),-(MID(TEXT($N645,"000000"),2,2)+(MID(TEXT($N645,"000000"),4,2)/60)+(RIGHT(TEXT($N645,"000000"),2)/3600)))</f>
        <v>25.083333333333332</v>
      </c>
      <c r="P645" s="252" t="s">
        <v>56</v>
      </c>
      <c r="Q645" s="253"/>
      <c r="R645" s="277" t="s">
        <v>3293</v>
      </c>
      <c r="S645" s="272"/>
      <c r="T645" s="273"/>
      <c r="U645" s="274"/>
      <c r="V645" s="256"/>
      <c r="W645" s="244"/>
      <c r="X645" s="244"/>
      <c r="Y645" s="362"/>
      <c r="Z645" s="257">
        <f>altaz(J2000_Bas,$O645,$M645,DecLat,DecLong,1)</f>
        <v>-20.946705615146634</v>
      </c>
      <c r="AA645" s="257">
        <f>altaz((J2000_Bas+(2*0.04167)),$O645,$M645,DecLat,DecLong,1)</f>
        <v>-1.0845399763020005</v>
      </c>
      <c r="AB645" s="257">
        <f>altaz((J2000_Bas+(4*0.04167)),$O645,$M645,DecLat,DecLong,1)</f>
        <v>22.555065524803172</v>
      </c>
      <c r="AC645" s="257">
        <f>altaz((J2000_Bas+(6*0.04167)),$O645,$M645,DecLat,DecLong,1)</f>
        <v>47.863891534810016</v>
      </c>
      <c r="AD645" s="258">
        <f>1+ transit((J2000_Bas-1),$O645,$M645,DecLat,DecLong)/360 + (GMTOffset/24) + (IF(DST="Y", 1, 0)/24)</f>
        <v>1.1703536465880413</v>
      </c>
      <c r="AE645" s="259">
        <f>DATE(2001,9,21)+(M645/360)*365 - (360*((DecLong/360)- (GMTOffset/24) ))</f>
        <v>37224.770601851851</v>
      </c>
      <c r="AF645" s="260">
        <f>IF(DecLat&gt;0,IF((90 - (DecLat-O645))&gt;90, (90 - (O645-DecLat)), (90 - (DecLat-O645))),IF((90 + (DecLat-O645))&gt;90, (90 + (O645-DecLat)), (90 + (DecLat-O645))))</f>
        <v>84.083333333333329</v>
      </c>
      <c r="AG645" s="257">
        <f>angularseperation(MoonRA,MoonDec,$M645,$O645)</f>
        <v>174.7885723579156</v>
      </c>
      <c r="AH645" s="261">
        <f ca="1">MIN(100,IF($O$5&gt;80,0+30*($AG645/100),IF($O$5&gt;70,0+50*($AG645/100),IF($O$5&gt;60,5+50*($AG645/100),IF($O$5&gt;50,10+60*($AG645/100),IF($O$5&gt;40,15+70*($AG645/100),IF($O$5&gt;30,20+70*($AG645/100),IF($O$5&gt;20,40+55*($AG645/100),(80+(20-$O$5)+30*($AG645/100))))))))))</f>
        <v>100</v>
      </c>
      <c r="AI645" s="263"/>
      <c r="AJ645" s="263"/>
      <c r="AK645" s="263"/>
      <c r="AL645" s="263"/>
      <c r="AM645" s="264"/>
      <c r="AN645" s="263"/>
      <c r="AO645" s="263"/>
      <c r="AP645" s="265"/>
      <c r="AQ645" s="265"/>
      <c r="AR645" s="285"/>
      <c r="AS645" s="263"/>
      <c r="AT645" s="263"/>
      <c r="AU645" s="263"/>
      <c r="AV645" s="264"/>
      <c r="AW645" s="263">
        <v>210</v>
      </c>
      <c r="AX645" s="263"/>
      <c r="AY645" s="263"/>
      <c r="AZ645" s="263"/>
      <c r="BA645" s="263"/>
      <c r="BB645" s="263"/>
      <c r="BC645" s="263"/>
      <c r="BD645" s="264"/>
      <c r="BE645" s="263"/>
      <c r="BF645" s="263"/>
      <c r="BG645" s="263"/>
      <c r="BH645" s="263"/>
      <c r="BI645" s="263"/>
      <c r="BJ645" s="404">
        <f>altaz(J2000_Bas,$O645,$M645,DecLat,DecLong,2)</f>
        <v>40.572504508935353</v>
      </c>
      <c r="BK645" s="378" t="s">
        <v>748</v>
      </c>
      <c r="BL645" s="379">
        <f>IF((2*G645)/60&lt;0.2,0.2,(2*G645)/60)</f>
        <v>0.2</v>
      </c>
      <c r="BM645" s="380">
        <f>MOD((50000+AD645-$B$3+(0/24)),1)</f>
        <v>0.38572057629062328</v>
      </c>
      <c r="BN645" s="381"/>
      <c r="BO645" s="382">
        <v>645</v>
      </c>
    </row>
    <row r="646" spans="1:67" s="24" customFormat="1" ht="15" customHeight="1" x14ac:dyDescent="0.25">
      <c r="A646" s="288" t="s">
        <v>749</v>
      </c>
      <c r="B646" s="241" t="str">
        <f>HYPERLINK(CONCATENATE($AT$3,BK646,$AU$3),$AV$3)</f>
        <v>S</v>
      </c>
      <c r="C646" s="242" t="str">
        <f>HYPERLINK(CONCATENATE($AT$4,BK646,$AU$4,BL646),$AV$4)</f>
        <v>A</v>
      </c>
      <c r="D646" s="243" t="s">
        <v>5187</v>
      </c>
      <c r="E646" s="244" t="s">
        <v>5179</v>
      </c>
      <c r="F646" s="269">
        <v>5</v>
      </c>
      <c r="G646" s="276">
        <v>50</v>
      </c>
      <c r="H646" s="271" t="s">
        <v>6500</v>
      </c>
      <c r="I646" s="244" t="s">
        <v>6500</v>
      </c>
      <c r="J646" s="246">
        <v>1</v>
      </c>
      <c r="K646" s="247" t="s">
        <v>5996</v>
      </c>
      <c r="L646" s="248">
        <v>41711</v>
      </c>
      <c r="M646" s="249">
        <f>15*(LEFT(TEXT($L646,"000000"),2)+(MID(TEXT($L646,"000000"),3,2)/60)+(RIGHT(TEXT($L646,"000000"),2)/3600))</f>
        <v>64.29583333333332</v>
      </c>
      <c r="N646" s="286">
        <v>274900</v>
      </c>
      <c r="O646" s="251">
        <f>IF($N646&gt;0,(LEFT(TEXT($N646,"000000"),2)+(MID(TEXT($N646,"000000"),3,2)/60)+(RIGHT(TEXT($N646,"000000"),2)/3600)),-(MID(TEXT($N646,"000000"),2,2)+(MID(TEXT($N646,"000000"),4,2)/60)+(RIGHT(TEXT($N646,"000000"),2)/3600)))</f>
        <v>27.816666666666666</v>
      </c>
      <c r="P646" s="252" t="s">
        <v>56</v>
      </c>
      <c r="Q646" s="253"/>
      <c r="R646" s="247" t="s">
        <v>3293</v>
      </c>
      <c r="S646" s="272"/>
      <c r="T646" s="273"/>
      <c r="U646" s="274"/>
      <c r="V646" s="256"/>
      <c r="W646" s="244"/>
      <c r="X646" s="244"/>
      <c r="Y646" s="362"/>
      <c r="Z646" s="257">
        <f>altaz(J2000_Bas,$O646,$M646,DecLat,DecLong,1)</f>
        <v>-19.004373415173063</v>
      </c>
      <c r="AA646" s="257">
        <f>altaz((J2000_Bas+(2*0.04167)),$O646,$M646,DecLat,DecLong,1)</f>
        <v>0.19732265039119296</v>
      </c>
      <c r="AB646" s="257">
        <f>altaz((J2000_Bas+(4*0.04167)),$O646,$M646,DecLat,DecLong,1)</f>
        <v>23.350454092113861</v>
      </c>
      <c r="AC646" s="257">
        <f>altaz((J2000_Bas+(6*0.04167)),$O646,$M646,DecLat,DecLong,1)</f>
        <v>48.350980962363039</v>
      </c>
      <c r="AD646" s="258">
        <f>1+ transit((J2000_Bas-1),$O646,$M646,DecLat,DecLong)/360 + (GMTOffset/24) + (IF(DST="Y", 1, 0)/24)</f>
        <v>1.1714994798067913</v>
      </c>
      <c r="AE646" s="259">
        <f>DATE(2001,9,21)+(M646/360)*365 - (360*((DecLong/360)- (GMTOffset/24) ))</f>
        <v>37225.188831018517</v>
      </c>
      <c r="AF646" s="260">
        <f>IF(DecLat&gt;0,IF((90 - (DecLat-O646))&gt;90, (90 - (O646-DecLat)), (90 - (DecLat-O646))),IF((90 + (DecLat-O646))&gt;90, (90 + (O646-DecLat)), (90 + (DecLat-O646))))</f>
        <v>86.816666666666663</v>
      </c>
      <c r="AG646" s="257">
        <f>angularseperation(MoonRA,MoonDec,$M646,$O646)</f>
        <v>175.55042271019354</v>
      </c>
      <c r="AH646" s="261">
        <f ca="1">MIN(100,IF($O$5&gt;80,0+30*($AG646/100),IF($O$5&gt;70,0+50*($AG646/100),IF($O$5&gt;60,5+50*($AG646/100),IF($O$5&gt;50,10+60*($AG646/100),IF($O$5&gt;40,15+70*($AG646/100),IF($O$5&gt;30,20+70*($AG646/100),IF($O$5&gt;20,40+55*($AG646/100),(80+(20-$O$5)+30*($AG646/100))))))))))</f>
        <v>100</v>
      </c>
      <c r="AI646" s="262"/>
      <c r="AJ646" s="262"/>
      <c r="AK646" s="262"/>
      <c r="AL646" s="263"/>
      <c r="AM646" s="264"/>
      <c r="AN646" s="263"/>
      <c r="AO646" s="263"/>
      <c r="AP646" s="265"/>
      <c r="AQ646" s="266"/>
      <c r="AR646" s="267"/>
      <c r="AS646" s="263"/>
      <c r="AT646" s="263"/>
      <c r="AU646" s="263"/>
      <c r="AV646" s="264"/>
      <c r="AW646" s="263">
        <v>211</v>
      </c>
      <c r="AX646" s="263"/>
      <c r="AY646" s="263"/>
      <c r="AZ646" s="263"/>
      <c r="BA646" s="263"/>
      <c r="BB646" s="263"/>
      <c r="BC646" s="263"/>
      <c r="BD646" s="264"/>
      <c r="BE646" s="263"/>
      <c r="BF646" s="263"/>
      <c r="BG646" s="263"/>
      <c r="BH646" s="263"/>
      <c r="BI646" s="263"/>
      <c r="BJ646" s="404">
        <f>altaz(J2000_Bas,$O646,$M646,DecLat,DecLong,2)</f>
        <v>38.488731167397205</v>
      </c>
      <c r="BK646" s="378" t="s">
        <v>749</v>
      </c>
      <c r="BL646" s="379">
        <f>IF((2*G646)/60&lt;0.2,0.2,(2*G646)/60)</f>
        <v>1.6666666666666667</v>
      </c>
      <c r="BM646" s="380">
        <f>MOD((50000+AD646-$B$3+(0/24)),1)</f>
        <v>0.38686640951345908</v>
      </c>
      <c r="BN646" s="381"/>
      <c r="BO646" s="382">
        <v>646</v>
      </c>
    </row>
    <row r="647" spans="1:67" s="24" customFormat="1" ht="15" customHeight="1" x14ac:dyDescent="0.25">
      <c r="A647" s="288" t="s">
        <v>750</v>
      </c>
      <c r="B647" s="241" t="str">
        <f>HYPERLINK(CONCATENATE($AT$3,BK647,$AU$3),$AV$3)</f>
        <v>S</v>
      </c>
      <c r="C647" s="242" t="str">
        <f>HYPERLINK(CONCATENATE($AT$4,BK647,$AU$4,BL647),$AV$4)</f>
        <v>A</v>
      </c>
      <c r="D647" s="243" t="s">
        <v>5187</v>
      </c>
      <c r="E647" s="244" t="s">
        <v>5179</v>
      </c>
      <c r="F647" s="269">
        <v>5</v>
      </c>
      <c r="G647" s="273">
        <v>5</v>
      </c>
      <c r="H647" s="271" t="s">
        <v>6500</v>
      </c>
      <c r="I647" s="244" t="s">
        <v>6500</v>
      </c>
      <c r="J647" s="246">
        <v>1</v>
      </c>
      <c r="K647" s="247" t="s">
        <v>5771</v>
      </c>
      <c r="L647" s="248">
        <v>41914</v>
      </c>
      <c r="M647" s="249">
        <f>15*(LEFT(TEXT($L647,"000000"),2)+(MID(TEXT($L647,"000000"),3,2)/60)+(RIGHT(TEXT($L647,"000000"),2)/3600))</f>
        <v>64.808333333333323</v>
      </c>
      <c r="N647" s="286">
        <v>251900</v>
      </c>
      <c r="O647" s="251">
        <f>IF($N647&gt;0,(LEFT(TEXT($N647,"000000"),2)+(MID(TEXT($N647,"000000"),3,2)/60)+(RIGHT(TEXT($N647,"000000"),2)/3600)),-(MID(TEXT($N647,"000000"),2,2)+(MID(TEXT($N647,"000000"),4,2)/60)+(RIGHT(TEXT($N647,"000000"),2)/3600)))</f>
        <v>25.316666666666666</v>
      </c>
      <c r="P647" s="252" t="s">
        <v>56</v>
      </c>
      <c r="Q647" s="253"/>
      <c r="R647" s="277" t="s">
        <v>3293</v>
      </c>
      <c r="S647" s="272"/>
      <c r="T647" s="273"/>
      <c r="U647" s="274"/>
      <c r="V647" s="256"/>
      <c r="W647" s="244"/>
      <c r="X647" s="244"/>
      <c r="Y647" s="362"/>
      <c r="Z647" s="257">
        <f>altaz(J2000_Bas,$O647,$M647,DecLat,DecLong,1)</f>
        <v>-21.273086690035218</v>
      </c>
      <c r="AA647" s="257">
        <f>altaz((J2000_Bas+(2*0.04167)),$O647,$M647,DecLat,DecLong,1)</f>
        <v>-1.6305669145212343</v>
      </c>
      <c r="AB647" s="257">
        <f>altaz((J2000_Bas+(4*0.04167)),$O647,$M647,DecLat,DecLong,1)</f>
        <v>21.895136412803566</v>
      </c>
      <c r="AC647" s="257">
        <f>altaz((J2000_Bas+(6*0.04167)),$O647,$M647,DecLat,DecLong,1)</f>
        <v>47.150292477795126</v>
      </c>
      <c r="AD647" s="258">
        <f>1+ transit((J2000_Bas-1),$O647,$M647,DecLat,DecLong)/360 + (GMTOffset/24) + (IF(DST="Y", 1, 0)/24)</f>
        <v>1.1729230907755415</v>
      </c>
      <c r="AE647" s="259">
        <f>DATE(2001,9,21)+(M647/360)*365 - (360*((DecLong/360)- (GMTOffset/24) ))</f>
        <v>37225.708449074074</v>
      </c>
      <c r="AF647" s="260">
        <f>IF(DecLat&gt;0,IF((90 - (DecLat-O647))&gt;90, (90 - (O647-DecLat)), (90 - (DecLat-O647))),IF((90 + (DecLat-O647))&gt;90, (90 + (O647-DecLat)), (90 + (DecLat-O647))))</f>
        <v>84.316666666666663</v>
      </c>
      <c r="AG647" s="257">
        <f>angularseperation(MoonRA,MoonDec,$M647,$O647)</f>
        <v>175.647415274651</v>
      </c>
      <c r="AH647" s="261">
        <f ca="1">MIN(100,IF($O$5&gt;80,0+30*($AG647/100),IF($O$5&gt;70,0+50*($AG647/100),IF($O$5&gt;60,5+50*($AG647/100),IF($O$5&gt;50,10+60*($AG647/100),IF($O$5&gt;40,15+70*($AG647/100),IF($O$5&gt;30,20+70*($AG647/100),IF($O$5&gt;20,40+55*($AG647/100),(80+(20-$O$5)+30*($AG647/100))))))))))</f>
        <v>100</v>
      </c>
      <c r="AI647" s="263"/>
      <c r="AJ647" s="263"/>
      <c r="AK647" s="263"/>
      <c r="AL647" s="263"/>
      <c r="AM647" s="264"/>
      <c r="AN647" s="263"/>
      <c r="AO647" s="263"/>
      <c r="AP647" s="265"/>
      <c r="AQ647" s="265"/>
      <c r="AR647" s="285"/>
      <c r="AS647" s="263"/>
      <c r="AT647" s="263"/>
      <c r="AU647" s="263"/>
      <c r="AV647" s="264"/>
      <c r="AW647" s="263">
        <v>212</v>
      </c>
      <c r="AX647" s="263"/>
      <c r="AY647" s="263"/>
      <c r="AZ647" s="263"/>
      <c r="BA647" s="263"/>
      <c r="BB647" s="263"/>
      <c r="BC647" s="263"/>
      <c r="BD647" s="264"/>
      <c r="BE647" s="263"/>
      <c r="BF647" s="263"/>
      <c r="BG647" s="263"/>
      <c r="BH647" s="263"/>
      <c r="BI647" s="263"/>
      <c r="BJ647" s="404">
        <f>altaz(J2000_Bas,$O647,$M647,DecLat,DecLong,2)</f>
        <v>39.709326229985734</v>
      </c>
      <c r="BK647" s="378" t="s">
        <v>750</v>
      </c>
      <c r="BL647" s="379">
        <f>IF((2*G647)/60&lt;0.2,0.2,(2*G647)/60)</f>
        <v>0.2</v>
      </c>
      <c r="BM647" s="380">
        <f>MOD((50000+AD647-$B$3+(0/24)),1)</f>
        <v>0.38829002047714312</v>
      </c>
      <c r="BN647" s="381"/>
      <c r="BO647" s="382">
        <v>647</v>
      </c>
    </row>
    <row r="648" spans="1:67" s="24" customFormat="1" ht="15" customHeight="1" x14ac:dyDescent="0.25">
      <c r="A648" s="288" t="s">
        <v>751</v>
      </c>
      <c r="B648" s="241" t="str">
        <f>HYPERLINK(CONCATENATE($AT$3,BK648,$AU$3),$AV$3)</f>
        <v>S</v>
      </c>
      <c r="C648" s="242" t="str">
        <f>HYPERLINK(CONCATENATE($AT$4,BK648,$AU$4,BL648),$AV$4)</f>
        <v>A</v>
      </c>
      <c r="D648" s="243" t="s">
        <v>5187</v>
      </c>
      <c r="E648" s="244" t="s">
        <v>5179</v>
      </c>
      <c r="F648" s="269">
        <v>5</v>
      </c>
      <c r="G648" s="276">
        <v>15</v>
      </c>
      <c r="H648" s="271" t="s">
        <v>6500</v>
      </c>
      <c r="I648" s="244" t="s">
        <v>6500</v>
      </c>
      <c r="J648" s="246">
        <v>2</v>
      </c>
      <c r="K648" s="247" t="s">
        <v>5997</v>
      </c>
      <c r="L648" s="248">
        <v>42110</v>
      </c>
      <c r="M648" s="249">
        <f>15*(LEFT(TEXT($L648,"000000"),2)+(MID(TEXT($L648,"000000"),3,2)/60)+(RIGHT(TEXT($L648,"000000"),2)/3600))</f>
        <v>65.291666666666671</v>
      </c>
      <c r="N648" s="286">
        <v>270400</v>
      </c>
      <c r="O648" s="251">
        <f>IF($N648&gt;0,(LEFT(TEXT($N648,"000000"),2)+(MID(TEXT($N648,"000000"),3,2)/60)+(RIGHT(TEXT($N648,"000000"),2)/3600)),-(MID(TEXT($N648,"000000"),2,2)+(MID(TEXT($N648,"000000"),4,2)/60)+(RIGHT(TEXT($N648,"000000"),2)/3600)))</f>
        <v>27.066666666666666</v>
      </c>
      <c r="P648" s="252" t="s">
        <v>56</v>
      </c>
      <c r="Q648" s="253"/>
      <c r="R648" s="247" t="s">
        <v>3293</v>
      </c>
      <c r="S648" s="272"/>
      <c r="T648" s="273"/>
      <c r="U648" s="274"/>
      <c r="V648" s="256"/>
      <c r="W648" s="244"/>
      <c r="X648" s="244"/>
      <c r="Y648" s="362"/>
      <c r="Z648" s="257">
        <f>altaz(J2000_Bas,$O648,$M648,DecLat,DecLong,1)</f>
        <v>-20.134414076749092</v>
      </c>
      <c r="AA648" s="257">
        <f>altaz((J2000_Bas+(2*0.04167)),$O648,$M648,DecLat,DecLong,1)</f>
        <v>-0.95805580836064685</v>
      </c>
      <c r="AB648" s="257">
        <f>altaz((J2000_Bas+(4*0.04167)),$O648,$M648,DecLat,DecLong,1)</f>
        <v>22.236437898046862</v>
      </c>
      <c r="AC648" s="257">
        <f>altaz((J2000_Bas+(6*0.04167)),$O648,$M648,DecLat,DecLong,1)</f>
        <v>47.287135397456723</v>
      </c>
      <c r="AD648" s="258">
        <f>1+ transit((J2000_Bas-1),$O648,$M648,DecLat,DecLong)/360 + (GMTOffset/24) + (IF(DST="Y", 1, 0)/24)</f>
        <v>1.1742656832338747</v>
      </c>
      <c r="AE648" s="259">
        <f>DATE(2001,9,21)+(M648/360)*365 - (360*((DecLong/360)- (GMTOffset/24) ))</f>
        <v>37226.198495370372</v>
      </c>
      <c r="AF648" s="260">
        <f>IF(DecLat&gt;0,IF((90 - (DecLat-O648))&gt;90, (90 - (O648-DecLat)), (90 - (DecLat-O648))),IF((90 + (DecLat-O648))&gt;90, (90 + (O648-DecLat)), (90 + (DecLat-O648))))</f>
        <v>86.066666666666663</v>
      </c>
      <c r="AG648" s="257">
        <f>angularseperation(MoonRA,MoonDec,$M648,$O648)</f>
        <v>176.48276909280432</v>
      </c>
      <c r="AH648" s="261">
        <f ca="1">MIN(100,IF($O$5&gt;80,0+30*($AG648/100),IF($O$5&gt;70,0+50*($AG648/100),IF($O$5&gt;60,5+50*($AG648/100),IF($O$5&gt;50,10+60*($AG648/100),IF($O$5&gt;40,15+70*($AG648/100),IF($O$5&gt;30,20+70*($AG648/100),IF($O$5&gt;20,40+55*($AG648/100),(80+(20-$O$5)+30*($AG648/100))))))))))</f>
        <v>100</v>
      </c>
      <c r="AI648" s="262"/>
      <c r="AJ648" s="262"/>
      <c r="AK648" s="262"/>
      <c r="AL648" s="263"/>
      <c r="AM648" s="264"/>
      <c r="AN648" s="263"/>
      <c r="AO648" s="263"/>
      <c r="AP648" s="265"/>
      <c r="AQ648" s="266"/>
      <c r="AR648" s="267"/>
      <c r="AS648" s="263"/>
      <c r="AT648" s="263"/>
      <c r="AU648" s="263"/>
      <c r="AV648" s="264"/>
      <c r="AW648" s="263">
        <v>213</v>
      </c>
      <c r="AX648" s="263"/>
      <c r="AY648" s="263"/>
      <c r="AZ648" s="263"/>
      <c r="BA648" s="263"/>
      <c r="BB648" s="263"/>
      <c r="BC648" s="263"/>
      <c r="BD648" s="264"/>
      <c r="BE648" s="263"/>
      <c r="BF648" s="263"/>
      <c r="BG648" s="263"/>
      <c r="BH648" s="263"/>
      <c r="BI648" s="263"/>
      <c r="BJ648" s="404">
        <f>altaz(J2000_Bas,$O648,$M648,DecLat,DecLong,2)</f>
        <v>38.214925854008847</v>
      </c>
      <c r="BK648" s="378" t="s">
        <v>751</v>
      </c>
      <c r="BL648" s="379">
        <f>IF((2*G648)/60&lt;0.2,0.2,(2*G648)/60)</f>
        <v>0.5</v>
      </c>
      <c r="BM648" s="380">
        <f>MOD((50000+AD648-$B$3+(0/24)),1)</f>
        <v>0.38963261293974938</v>
      </c>
      <c r="BN648" s="381"/>
      <c r="BO648" s="382">
        <v>648</v>
      </c>
    </row>
    <row r="649" spans="1:67" s="24" customFormat="1" ht="15" customHeight="1" x14ac:dyDescent="0.25">
      <c r="A649" s="288" t="s">
        <v>752</v>
      </c>
      <c r="B649" s="241" t="str">
        <f>HYPERLINK(CONCATENATE($AT$3,BK649,$AU$3),$AV$3)</f>
        <v>S</v>
      </c>
      <c r="C649" s="242" t="str">
        <f>HYPERLINK(CONCATENATE($AT$4,BK649,$AU$4,BL649),$AV$4)</f>
        <v>A</v>
      </c>
      <c r="D649" s="243" t="s">
        <v>5187</v>
      </c>
      <c r="E649" s="244" t="s">
        <v>5179</v>
      </c>
      <c r="F649" s="269">
        <v>5</v>
      </c>
      <c r="G649" s="276">
        <v>50</v>
      </c>
      <c r="H649" s="271" t="s">
        <v>6500</v>
      </c>
      <c r="I649" s="244" t="s">
        <v>6500</v>
      </c>
      <c r="J649" s="246">
        <v>3</v>
      </c>
      <c r="K649" s="247" t="s">
        <v>6382</v>
      </c>
      <c r="L649" s="248">
        <v>42155</v>
      </c>
      <c r="M649" s="249">
        <f>15*(LEFT(TEXT($L649,"000000"),2)+(MID(TEXT($L649,"000000"),3,2)/60)+(RIGHT(TEXT($L649,"000000"),2)/3600))</f>
        <v>65.479166666666657</v>
      </c>
      <c r="N649" s="286">
        <v>283400</v>
      </c>
      <c r="O649" s="251">
        <f>IF($N649&gt;0,(LEFT(TEXT($N649,"000000"),2)+(MID(TEXT($N649,"000000"),3,2)/60)+(RIGHT(TEXT($N649,"000000"),2)/3600)),-(MID(TEXT($N649,"000000"),2,2)+(MID(TEXT($N649,"000000"),4,2)/60)+(RIGHT(TEXT($N649,"000000"),2)/3600)))</f>
        <v>28.566666666666666</v>
      </c>
      <c r="P649" s="252" t="s">
        <v>56</v>
      </c>
      <c r="Q649" s="253"/>
      <c r="R649" s="247" t="s">
        <v>3293</v>
      </c>
      <c r="S649" s="272" t="s">
        <v>4410</v>
      </c>
      <c r="T649" s="273"/>
      <c r="U649" s="274"/>
      <c r="V649" s="256"/>
      <c r="W649" s="244"/>
      <c r="X649" s="244"/>
      <c r="Y649" s="362"/>
      <c r="Z649" s="257">
        <f>altaz(J2000_Bas,$O649,$M649,DecLat,DecLong,1)</f>
        <v>-19.024037058354178</v>
      </c>
      <c r="AA649" s="257">
        <f>altaz((J2000_Bas+(2*0.04167)),$O649,$M649,DecLat,DecLong,1)</f>
        <v>-0.21061369976473343</v>
      </c>
      <c r="AB649" s="257">
        <f>altaz((J2000_Bas+(4*0.04167)),$O649,$M649,DecLat,DecLong,1)</f>
        <v>22.70323728546601</v>
      </c>
      <c r="AC649" s="257">
        <f>altaz((J2000_Bas+(6*0.04167)),$O649,$M649,DecLat,DecLong,1)</f>
        <v>47.557892633373221</v>
      </c>
      <c r="AD649" s="258">
        <f>1+ transit((J2000_Bas-1),$O649,$M649,DecLat,DecLong)/360 + (GMTOffset/24) + (IF(DST="Y", 1, 0)/24)</f>
        <v>1.1747865165151248</v>
      </c>
      <c r="AE649" s="259">
        <f>DATE(2001,9,21)+(M649/360)*365 - (360*((DecLong/360)- (GMTOffset/24) ))</f>
        <v>37226.388599537036</v>
      </c>
      <c r="AF649" s="260">
        <f>IF(DecLat&gt;0,IF((90 - (DecLat-O649))&gt;90, (90 - (O649-DecLat)), (90 - (DecLat-O649))),IF((90 + (DecLat-O649))&gt;90, (90 + (O649-DecLat)), (90 + (DecLat-O649))))</f>
        <v>87.566666666666663</v>
      </c>
      <c r="AG649" s="257">
        <f>angularseperation(MoonRA,MoonDec,$M649,$O649)</f>
        <v>176.35727481983608</v>
      </c>
      <c r="AH649" s="261">
        <f ca="1">MIN(100,IF($O$5&gt;80,0+30*($AG649/100),IF($O$5&gt;70,0+50*($AG649/100),IF($O$5&gt;60,5+50*($AG649/100),IF($O$5&gt;50,10+60*($AG649/100),IF($O$5&gt;40,15+70*($AG649/100),IF($O$5&gt;30,20+70*($AG649/100),IF($O$5&gt;20,40+55*($AG649/100),(80+(20-$O$5)+30*($AG649/100))))))))))</f>
        <v>100</v>
      </c>
      <c r="AI649" s="262"/>
      <c r="AJ649" s="262"/>
      <c r="AK649" s="262"/>
      <c r="AL649" s="263"/>
      <c r="AM649" s="264"/>
      <c r="AN649" s="263"/>
      <c r="AO649" s="263"/>
      <c r="AP649" s="265"/>
      <c r="AQ649" s="266"/>
      <c r="AR649" s="267"/>
      <c r="AS649" s="263"/>
      <c r="AT649" s="263"/>
      <c r="AU649" s="263"/>
      <c r="AV649" s="264"/>
      <c r="AW649" s="263">
        <v>214</v>
      </c>
      <c r="AX649" s="263"/>
      <c r="AY649" s="263"/>
      <c r="AZ649" s="263"/>
      <c r="BA649" s="263"/>
      <c r="BB649" s="263"/>
      <c r="BC649" s="263"/>
      <c r="BD649" s="264"/>
      <c r="BE649" s="263"/>
      <c r="BF649" s="263"/>
      <c r="BG649" s="263"/>
      <c r="BH649" s="263"/>
      <c r="BI649" s="263"/>
      <c r="BJ649" s="404">
        <f>altaz(J2000_Bas,$O649,$M649,DecLat,DecLong,2)</f>
        <v>37.130141223030371</v>
      </c>
      <c r="BK649" s="378" t="s">
        <v>752</v>
      </c>
      <c r="BL649" s="379">
        <f>IF((2*G649)/60&lt;0.2,0.2,(2*G649)/60)</f>
        <v>1.6666666666666667</v>
      </c>
      <c r="BM649" s="380">
        <f>MOD((50000+AD649-$B$3+(0/24)),1)</f>
        <v>0.39015344622021075</v>
      </c>
      <c r="BN649" s="381"/>
      <c r="BO649" s="382">
        <v>649</v>
      </c>
    </row>
    <row r="650" spans="1:67" s="24" customFormat="1" ht="15" customHeight="1" x14ac:dyDescent="0.25">
      <c r="A650" s="288" t="s">
        <v>753</v>
      </c>
      <c r="B650" s="241" t="str">
        <f>HYPERLINK(CONCATENATE($AT$3,BK650,$AU$3),$AV$3)</f>
        <v>S</v>
      </c>
      <c r="C650" s="242" t="str">
        <f>HYPERLINK(CONCATENATE($AT$4,BK650,$AU$4,BL650),$AV$4)</f>
        <v>A</v>
      </c>
      <c r="D650" s="243" t="s">
        <v>5187</v>
      </c>
      <c r="E650" s="244" t="s">
        <v>5179</v>
      </c>
      <c r="F650" s="269">
        <v>5</v>
      </c>
      <c r="G650" s="273">
        <v>5</v>
      </c>
      <c r="H650" s="271" t="s">
        <v>6500</v>
      </c>
      <c r="I650" s="244" t="s">
        <v>6500</v>
      </c>
      <c r="J650" s="246">
        <v>1</v>
      </c>
      <c r="K650" s="247" t="s">
        <v>5770</v>
      </c>
      <c r="L650" s="248">
        <v>42333</v>
      </c>
      <c r="M650" s="249">
        <f>15*(LEFT(TEXT($L650,"000000"),2)+(MID(TEXT($L650,"000000"),3,2)/60)+(RIGHT(TEXT($L650,"000000"),2)/3600))</f>
        <v>65.887500000000003</v>
      </c>
      <c r="N650" s="286">
        <v>250300</v>
      </c>
      <c r="O650" s="251">
        <f>IF($N650&gt;0,(LEFT(TEXT($N650,"000000"),2)+(MID(TEXT($N650,"000000"),3,2)/60)+(RIGHT(TEXT($N650,"000000"),2)/3600)),-(MID(TEXT($N650,"000000"),2,2)+(MID(TEXT($N650,"000000"),4,2)/60)+(RIGHT(TEXT($N650,"000000"),2)/3600)))</f>
        <v>25.05</v>
      </c>
      <c r="P650" s="252" t="s">
        <v>56</v>
      </c>
      <c r="Q650" s="253"/>
      <c r="R650" s="277" t="s">
        <v>3293</v>
      </c>
      <c r="S650" s="272"/>
      <c r="T650" s="273"/>
      <c r="U650" s="274"/>
      <c r="V650" s="256"/>
      <c r="W650" s="244"/>
      <c r="X650" s="244"/>
      <c r="Y650" s="362"/>
      <c r="Z650" s="257">
        <f>altaz(J2000_Bas,$O650,$M650,DecLat,DecLong,1)</f>
        <v>-22.073084750405911</v>
      </c>
      <c r="AA650" s="257">
        <f>altaz((J2000_Bas+(2*0.04167)),$O650,$M650,DecLat,DecLong,1)</f>
        <v>-2.5778226388499421</v>
      </c>
      <c r="AB650" s="257">
        <f>altaz((J2000_Bas+(4*0.04167)),$O650,$M650,DecLat,DecLong,1)</f>
        <v>20.898191122853483</v>
      </c>
      <c r="AC650" s="257">
        <f>altaz((J2000_Bas+(6*0.04167)),$O650,$M650,DecLat,DecLong,1)</f>
        <v>46.140485432524848</v>
      </c>
      <c r="AD650" s="258">
        <f>1+ transit((J2000_Bas-1),$O650,$M650,DecLat,DecLong)/360 + (GMTOffset/24) + (IF(DST="Y", 1, 0)/24)</f>
        <v>1.175920775660958</v>
      </c>
      <c r="AE650" s="259">
        <f>DATE(2001,9,21)+(M650/360)*365 - (360*((DecLong/360)- (GMTOffset/24) ))</f>
        <v>37226.802604166667</v>
      </c>
      <c r="AF650" s="260">
        <f>IF(DecLat&gt;0,IF((90 - (DecLat-O650))&gt;90, (90 - (O650-DecLat)), (90 - (DecLat-O650))),IF((90 + (DecLat-O650))&gt;90, (90 + (O650-DecLat)), (90 + (DecLat-O650))))</f>
        <v>84.05</v>
      </c>
      <c r="AG650" s="257">
        <f>angularseperation(MoonRA,MoonDec,$M650,$O650)</f>
        <v>176.36478506167359</v>
      </c>
      <c r="AH650" s="261">
        <f ca="1">MIN(100,IF($O$5&gt;80,0+30*($AG650/100),IF($O$5&gt;70,0+50*($AG650/100),IF($O$5&gt;60,5+50*($AG650/100),IF($O$5&gt;50,10+60*($AG650/100),IF($O$5&gt;40,15+70*($AG650/100),IF($O$5&gt;30,20+70*($AG650/100),IF($O$5&gt;20,40+55*($AG650/100),(80+(20-$O$5)+30*($AG650/100))))))))))</f>
        <v>100</v>
      </c>
      <c r="AI650" s="263"/>
      <c r="AJ650" s="263"/>
      <c r="AK650" s="263"/>
      <c r="AL650" s="263"/>
      <c r="AM650" s="264"/>
      <c r="AN650" s="263"/>
      <c r="AO650" s="263"/>
      <c r="AP650" s="265"/>
      <c r="AQ650" s="265"/>
      <c r="AR650" s="285"/>
      <c r="AS650" s="263"/>
      <c r="AT650" s="263"/>
      <c r="AU650" s="263"/>
      <c r="AV650" s="264"/>
      <c r="AW650" s="263">
        <v>215</v>
      </c>
      <c r="AX650" s="263"/>
      <c r="AY650" s="263"/>
      <c r="AZ650" s="263"/>
      <c r="BA650" s="263"/>
      <c r="BB650" s="263"/>
      <c r="BC650" s="263"/>
      <c r="BD650" s="264"/>
      <c r="BE650" s="263"/>
      <c r="BF650" s="263"/>
      <c r="BG650" s="263"/>
      <c r="BH650" s="263"/>
      <c r="BI650" s="263"/>
      <c r="BJ650" s="404">
        <f>altaz(J2000_Bas,$O650,$M650,DecLat,DecLong,2)</f>
        <v>39.041771785084208</v>
      </c>
      <c r="BK650" s="378" t="s">
        <v>753</v>
      </c>
      <c r="BL650" s="379">
        <f>IF((2*G650)/60&lt;0.2,0.2,(2*G650)/60)</f>
        <v>0.2</v>
      </c>
      <c r="BM650" s="380">
        <f>MOD((50000+AD650-$B$3+(0/24)),1)</f>
        <v>0.39128770536626689</v>
      </c>
      <c r="BN650" s="381"/>
      <c r="BO650" s="382">
        <v>650</v>
      </c>
    </row>
    <row r="651" spans="1:67" s="24" customFormat="1" ht="15" customHeight="1" x14ac:dyDescent="0.25">
      <c r="A651" s="288" t="s">
        <v>754</v>
      </c>
      <c r="B651" s="241" t="str">
        <f>HYPERLINK(CONCATENATE($AT$3,BK651,$AU$3),$AV$3)</f>
        <v>S</v>
      </c>
      <c r="C651" s="242" t="str">
        <f>HYPERLINK(CONCATENATE($AT$4,BK651,$AU$4,BL651),$AV$4)</f>
        <v>A</v>
      </c>
      <c r="D651" s="243" t="s">
        <v>5187</v>
      </c>
      <c r="E651" s="244" t="s">
        <v>5179</v>
      </c>
      <c r="F651" s="269">
        <v>5</v>
      </c>
      <c r="G651" s="276">
        <v>20</v>
      </c>
      <c r="H651" s="271" t="s">
        <v>6500</v>
      </c>
      <c r="I651" s="244" t="s">
        <v>6500</v>
      </c>
      <c r="J651" s="246">
        <v>2</v>
      </c>
      <c r="K651" s="247" t="s">
        <v>5998</v>
      </c>
      <c r="L651" s="248">
        <v>42359</v>
      </c>
      <c r="M651" s="249">
        <f>15*(LEFT(TEXT($L651,"000000"),2)+(MID(TEXT($L651,"000000"),3,2)/60)+(RIGHT(TEXT($L651,"000000"),2)/3600))</f>
        <v>65.995833333333337</v>
      </c>
      <c r="N651" s="250">
        <v>263800</v>
      </c>
      <c r="O651" s="251">
        <f>IF($N651&gt;0,(LEFT(TEXT($N651,"000000"),2)+(MID(TEXT($N651,"000000"),3,2)/60)+(RIGHT(TEXT($N651,"000000"),2)/3600)),-(MID(TEXT($N651,"000000"),2,2)+(MID(TEXT($N651,"000000"),4,2)/60)+(RIGHT(TEXT($N651,"000000"),2)/3600)))</f>
        <v>26.633333333333333</v>
      </c>
      <c r="P651" s="252" t="s">
        <v>56</v>
      </c>
      <c r="Q651" s="253"/>
      <c r="R651" s="247" t="s">
        <v>3293</v>
      </c>
      <c r="S651" s="272" t="s">
        <v>3293</v>
      </c>
      <c r="T651" s="273"/>
      <c r="U651" s="274"/>
      <c r="V651" s="256"/>
      <c r="W651" s="244"/>
      <c r="X651" s="244"/>
      <c r="Y651" s="362"/>
      <c r="Z651" s="257">
        <f>altaz(J2000_Bas,$O651,$M651,DecLat,DecLong,1)</f>
        <v>-20.855757279929211</v>
      </c>
      <c r="AA651" s="257">
        <f>altaz((J2000_Bas+(2*0.04167)),$O651,$M651,DecLat,DecLong,1)</f>
        <v>-1.7209908803855876</v>
      </c>
      <c r="AB651" s="257">
        <f>altaz((J2000_Bas+(4*0.04167)),$O651,$M651,DecLat,DecLong,1)</f>
        <v>21.484445883028503</v>
      </c>
      <c r="AC651" s="257">
        <f>altaz((J2000_Bas+(6*0.04167)),$O651,$M651,DecLat,DecLong,1)</f>
        <v>46.556933988953546</v>
      </c>
      <c r="AD651" s="258">
        <f>1+ transit((J2000_Bas-1),$O651,$M651,DecLat,DecLong)/360 + (GMTOffset/24) + (IF(DST="Y", 1, 0)/24)</f>
        <v>1.1762217015567913</v>
      </c>
      <c r="AE651" s="259">
        <f>DATE(2001,9,21)+(M651/360)*365 - (360*((DecLong/360)- (GMTOffset/24) ))</f>
        <v>37226.912442129629</v>
      </c>
      <c r="AF651" s="260">
        <f>IF(DecLat&gt;0,IF((90 - (DecLat-O651))&gt;90, (90 - (O651-DecLat)), (90 - (DecLat-O651))),IF((90 + (DecLat-O651))&gt;90, (90 + (O651-DecLat)), (90 + (DecLat-O651))))</f>
        <v>85.633333333333326</v>
      </c>
      <c r="AG651" s="257">
        <f>angularseperation(MoonRA,MoonDec,$M651,$O651)</f>
        <v>177.06931708991507</v>
      </c>
      <c r="AH651" s="261">
        <f ca="1">MIN(100,IF($O$5&gt;80,0+30*($AG651/100),IF($O$5&gt;70,0+50*($AG651/100),IF($O$5&gt;60,5+50*($AG651/100),IF($O$5&gt;50,10+60*($AG651/100),IF($O$5&gt;40,15+70*($AG651/100),IF($O$5&gt;30,20+70*($AG651/100),IF($O$5&gt;20,40+55*($AG651/100),(80+(20-$O$5)+30*($AG651/100))))))))))</f>
        <v>100</v>
      </c>
      <c r="AI651" s="262"/>
      <c r="AJ651" s="262"/>
      <c r="AK651" s="262"/>
      <c r="AL651" s="263"/>
      <c r="AM651" s="264"/>
      <c r="AN651" s="263"/>
      <c r="AO651" s="263"/>
      <c r="AP651" s="265"/>
      <c r="AQ651" s="266"/>
      <c r="AR651" s="267"/>
      <c r="AS651" s="263"/>
      <c r="AT651" s="263"/>
      <c r="AU651" s="263"/>
      <c r="AV651" s="264"/>
      <c r="AW651" s="263">
        <v>216</v>
      </c>
      <c r="AX651" s="263"/>
      <c r="AY651" s="263"/>
      <c r="AZ651" s="263"/>
      <c r="BA651" s="263"/>
      <c r="BB651" s="263"/>
      <c r="BC651" s="263"/>
      <c r="BD651" s="264"/>
      <c r="BE651" s="263"/>
      <c r="BF651" s="263"/>
      <c r="BG651" s="263"/>
      <c r="BH651" s="263"/>
      <c r="BI651" s="263"/>
      <c r="BJ651" s="404">
        <f>altaz(J2000_Bas,$O651,$M651,DecLat,DecLong,2)</f>
        <v>37.948803937345694</v>
      </c>
      <c r="BK651" s="378" t="s">
        <v>754</v>
      </c>
      <c r="BL651" s="379">
        <f>IF((2*G651)/60&lt;0.2,0.2,(2*G651)/60)</f>
        <v>0.66666666666666663</v>
      </c>
      <c r="BM651" s="380">
        <f>MOD((50000+AD651-$B$3+(0/24)),1)</f>
        <v>0.39158863126067445</v>
      </c>
      <c r="BN651" s="381"/>
      <c r="BO651" s="382">
        <v>651</v>
      </c>
    </row>
    <row r="652" spans="1:67" s="24" customFormat="1" ht="15" customHeight="1" x14ac:dyDescent="0.25">
      <c r="A652" s="288" t="s">
        <v>755</v>
      </c>
      <c r="B652" s="241" t="str">
        <f>HYPERLINK(CONCATENATE($AT$3,BK652,$AU$3),$AV$3)</f>
        <v>S</v>
      </c>
      <c r="C652" s="242" t="str">
        <f>HYPERLINK(CONCATENATE($AT$4,BK652,$AU$4,BL652),$AV$4)</f>
        <v>A</v>
      </c>
      <c r="D652" s="243" t="s">
        <v>5187</v>
      </c>
      <c r="E652" s="244" t="s">
        <v>5179</v>
      </c>
      <c r="F652" s="269">
        <v>5</v>
      </c>
      <c r="G652" s="276">
        <v>20</v>
      </c>
      <c r="H652" s="271" t="s">
        <v>6500</v>
      </c>
      <c r="I652" s="244" t="s">
        <v>6500</v>
      </c>
      <c r="J652" s="246">
        <v>2</v>
      </c>
      <c r="K652" s="247" t="s">
        <v>5851</v>
      </c>
      <c r="L652" s="248">
        <v>42738</v>
      </c>
      <c r="M652" s="249">
        <f>15*(LEFT(TEXT($L652,"000000"),2)+(MID(TEXT($L652,"000000"),3,2)/60)+(RIGHT(TEXT($L652,"000000"),2)/3600))</f>
        <v>66.908333333333331</v>
      </c>
      <c r="N652" s="286">
        <v>260800</v>
      </c>
      <c r="O652" s="251">
        <f>IF($N652&gt;0,(LEFT(TEXT($N652,"000000"),2)+(MID(TEXT($N652,"000000"),3,2)/60)+(RIGHT(TEXT($N652,"000000"),2)/3600)),-(MID(TEXT($N652,"000000"),2,2)+(MID(TEXT($N652,"000000"),4,2)/60)+(RIGHT(TEXT($N652,"000000"),2)/3600)))</f>
        <v>26.133333333333333</v>
      </c>
      <c r="P652" s="252" t="s">
        <v>56</v>
      </c>
      <c r="Q652" s="253"/>
      <c r="R652" s="247" t="s">
        <v>3293</v>
      </c>
      <c r="S652" s="272"/>
      <c r="T652" s="273"/>
      <c r="U652" s="274"/>
      <c r="V652" s="256"/>
      <c r="W652" s="244"/>
      <c r="X652" s="244"/>
      <c r="Y652" s="362"/>
      <c r="Z652" s="257">
        <f>altaz(J2000_Bas,$O652,$M652,DecLat,DecLong,1)</f>
        <v>-21.739850068025447</v>
      </c>
      <c r="AA652" s="257">
        <f>altaz((J2000_Bas+(2*0.04167)),$O652,$M652,DecLat,DecLong,1)</f>
        <v>-2.6755599828504577</v>
      </c>
      <c r="AB652" s="257">
        <f>altaz((J2000_Bas+(4*0.04167)),$O652,$M652,DecLat,DecLong,1)</f>
        <v>20.531955902856549</v>
      </c>
      <c r="AC652" s="257">
        <f>altaz((J2000_Bas+(6*0.04167)),$O652,$M652,DecLat,DecLong,1)</f>
        <v>45.623906163663165</v>
      </c>
      <c r="AD652" s="258">
        <f>1+ transit((J2000_Bas-1),$O652,$M652,DecLat,DecLong)/360 + (GMTOffset/24) + (IF(DST="Y", 1, 0)/24)</f>
        <v>1.1787564235255414</v>
      </c>
      <c r="AE652" s="259">
        <f>DATE(2001,9,21)+(M652/360)*365 - (360*((DecLong/360)- (GMTOffset/24) ))</f>
        <v>37227.83761574074</v>
      </c>
      <c r="AF652" s="260">
        <f>IF(DecLat&gt;0,IF((90 - (DecLat-O652))&gt;90, (90 - (O652-DecLat)), (90 - (DecLat-O652))),IF((90 + (DecLat-O652))&gt;90, (90 + (O652-DecLat)), (90 + (DecLat-O652))))</f>
        <v>85.133333333333326</v>
      </c>
      <c r="AG652" s="257">
        <f>angularseperation(MoonRA,MoonDec,$M652,$O652)</f>
        <v>177.70722895453397</v>
      </c>
      <c r="AH652" s="261">
        <f ca="1">MIN(100,IF($O$5&gt;80,0+30*($AG652/100),IF($O$5&gt;70,0+50*($AG652/100),IF($O$5&gt;60,5+50*($AG652/100),IF($O$5&gt;50,10+60*($AG652/100),IF($O$5&gt;40,15+70*($AG652/100),IF($O$5&gt;30,20+70*($AG652/100),IF($O$5&gt;20,40+55*($AG652/100),(80+(20-$O$5)+30*($AG652/100))))))))))</f>
        <v>100</v>
      </c>
      <c r="AI652" s="262"/>
      <c r="AJ652" s="262"/>
      <c r="AK652" s="262"/>
      <c r="AL652" s="263"/>
      <c r="AM652" s="264"/>
      <c r="AN652" s="263"/>
      <c r="AO652" s="263"/>
      <c r="AP652" s="265"/>
      <c r="AQ652" s="266"/>
      <c r="AR652" s="267"/>
      <c r="AS652" s="263"/>
      <c r="AT652" s="263"/>
      <c r="AU652" s="263"/>
      <c r="AV652" s="264"/>
      <c r="AW652" s="263">
        <v>217</v>
      </c>
      <c r="AX652" s="263"/>
      <c r="AY652" s="263"/>
      <c r="AZ652" s="263"/>
      <c r="BA652" s="263"/>
      <c r="BB652" s="263"/>
      <c r="BC652" s="263"/>
      <c r="BD652" s="264"/>
      <c r="BE652" s="263"/>
      <c r="BF652" s="263"/>
      <c r="BG652" s="263"/>
      <c r="BH652" s="263"/>
      <c r="BI652" s="263"/>
      <c r="BJ652" s="404">
        <f>altaz(J2000_Bas,$O652,$M652,DecLat,DecLong,2)</f>
        <v>37.552108626237079</v>
      </c>
      <c r="BK652" s="378" t="s">
        <v>755</v>
      </c>
      <c r="BL652" s="379">
        <f>IF((2*G652)/60&lt;0.2,0.2,(2*G652)/60)</f>
        <v>0.66666666666666663</v>
      </c>
      <c r="BM652" s="380">
        <f>MOD((50000+AD652-$B$3+(0/24)),1)</f>
        <v>0.39412335323140724</v>
      </c>
      <c r="BN652" s="381"/>
      <c r="BO652" s="382">
        <v>652</v>
      </c>
    </row>
    <row r="653" spans="1:67" s="24" customFormat="1" ht="15" customHeight="1" x14ac:dyDescent="0.25">
      <c r="A653" s="288" t="s">
        <v>756</v>
      </c>
      <c r="B653" s="241" t="str">
        <f>HYPERLINK(CONCATENATE($AT$3,BK653,$AU$3),$AV$3)</f>
        <v>S</v>
      </c>
      <c r="C653" s="242" t="str">
        <f>HYPERLINK(CONCATENATE($AT$4,BK653,$AU$4,BL653),$AV$4)</f>
        <v>A</v>
      </c>
      <c r="D653" s="243" t="s">
        <v>5187</v>
      </c>
      <c r="E653" s="244" t="s">
        <v>5179</v>
      </c>
      <c r="F653" s="269">
        <v>5</v>
      </c>
      <c r="G653" s="276">
        <v>20</v>
      </c>
      <c r="H653" s="271" t="s">
        <v>6500</v>
      </c>
      <c r="I653" s="244" t="s">
        <v>6500</v>
      </c>
      <c r="J653" s="246">
        <v>2</v>
      </c>
      <c r="K653" s="247" t="s">
        <v>5852</v>
      </c>
      <c r="L653" s="248">
        <v>42808</v>
      </c>
      <c r="M653" s="249">
        <f>15*(LEFT(TEXT($L653,"000000"),2)+(MID(TEXT($L653,"000000"),3,2)/60)+(RIGHT(TEXT($L653,"000000"),2)/3600))</f>
        <v>67.033333333333346</v>
      </c>
      <c r="N653" s="286">
        <v>261800</v>
      </c>
      <c r="O653" s="251">
        <f>IF($N653&gt;0,(LEFT(TEXT($N653,"000000"),2)+(MID(TEXT($N653,"000000"),3,2)/60)+(RIGHT(TEXT($N653,"000000"),2)/3600)),-(MID(TEXT($N653,"000000"),2,2)+(MID(TEXT($N653,"000000"),4,2)/60)+(RIGHT(TEXT($N653,"000000"),2)/3600)))</f>
        <v>26.3</v>
      </c>
      <c r="P653" s="252" t="s">
        <v>56</v>
      </c>
      <c r="Q653" s="253"/>
      <c r="R653" s="247" t="s">
        <v>3293</v>
      </c>
      <c r="S653" s="272"/>
      <c r="T653" s="273"/>
      <c r="U653" s="274"/>
      <c r="V653" s="256"/>
      <c r="W653" s="244"/>
      <c r="X653" s="244"/>
      <c r="Y653" s="362"/>
      <c r="Z653" s="257">
        <f>altaz(J2000_Bas,$O653,$M653,DecLat,DecLong,1)</f>
        <v>-21.669352040870947</v>
      </c>
      <c r="AA653" s="257">
        <f>altaz((J2000_Bas+(2*0.04167)),$O653,$M653,DecLat,DecLong,1)</f>
        <v>-2.6658516875623848</v>
      </c>
      <c r="AB653" s="257">
        <f>altaz((J2000_Bas+(4*0.04167)),$O653,$M653,DecLat,DecLong,1)</f>
        <v>20.502092739517874</v>
      </c>
      <c r="AC653" s="257">
        <f>altaz((J2000_Bas+(6*0.04167)),$O653,$M653,DecLat,DecLong,1)</f>
        <v>45.570523712305103</v>
      </c>
      <c r="AD653" s="258">
        <f>1+ transit((J2000_Bas-1),$O653,$M653,DecLat,DecLong)/360 + (GMTOffset/24) + (IF(DST="Y", 1, 0)/24)</f>
        <v>1.1791036457130415</v>
      </c>
      <c r="AE653" s="259">
        <f>DATE(2001,9,21)+(M653/360)*365 - (360*((DecLong/360)- (GMTOffset/24) ))</f>
        <v>37227.96435185185</v>
      </c>
      <c r="AF653" s="260">
        <f>IF(DecLat&gt;0,IF((90 - (DecLat-O653))&gt;90, (90 - (O653-DecLat)), (90 - (DecLat-O653))),IF((90 + (DecLat-O653))&gt;90, (90 + (O653-DecLat)), (90 + (DecLat-O653))))</f>
        <v>85.3</v>
      </c>
      <c r="AG653" s="257">
        <f>angularseperation(MoonRA,MoonDec,$M653,$O653)</f>
        <v>177.87674991956203</v>
      </c>
      <c r="AH653" s="261">
        <f ca="1">MIN(100,IF($O$5&gt;80,0+30*($AG653/100),IF($O$5&gt;70,0+50*($AG653/100),IF($O$5&gt;60,5+50*($AG653/100),IF($O$5&gt;50,10+60*($AG653/100),IF($O$5&gt;40,15+70*($AG653/100),IF($O$5&gt;30,20+70*($AG653/100),IF($O$5&gt;20,40+55*($AG653/100),(80+(20-$O$5)+30*($AG653/100))))))))))</f>
        <v>100</v>
      </c>
      <c r="AI653" s="262"/>
      <c r="AJ653" s="262"/>
      <c r="AK653" s="262"/>
      <c r="AL653" s="263"/>
      <c r="AM653" s="264"/>
      <c r="AN653" s="263"/>
      <c r="AO653" s="263"/>
      <c r="AP653" s="265"/>
      <c r="AQ653" s="266"/>
      <c r="AR653" s="267"/>
      <c r="AS653" s="263"/>
      <c r="AT653" s="263"/>
      <c r="AU653" s="263"/>
      <c r="AV653" s="264"/>
      <c r="AW653" s="263">
        <v>218</v>
      </c>
      <c r="AX653" s="263"/>
      <c r="AY653" s="263"/>
      <c r="AZ653" s="263"/>
      <c r="BA653" s="263"/>
      <c r="BB653" s="263"/>
      <c r="BC653" s="263"/>
      <c r="BD653" s="264"/>
      <c r="BE653" s="263"/>
      <c r="BF653" s="263"/>
      <c r="BG653" s="263"/>
      <c r="BH653" s="263"/>
      <c r="BI653" s="263"/>
      <c r="BJ653" s="404">
        <f>altaz(J2000_Bas,$O653,$M653,DecLat,DecLong,2)</f>
        <v>37.349649976824281</v>
      </c>
      <c r="BK653" s="378" t="s">
        <v>756</v>
      </c>
      <c r="BL653" s="379">
        <f>IF((2*G653)/60&lt;0.2,0.2,(2*G653)/60)</f>
        <v>0.66666666666666663</v>
      </c>
      <c r="BM653" s="380">
        <f>MOD((50000+AD653-$B$3+(0/24)),1)</f>
        <v>0.39447057541838149</v>
      </c>
      <c r="BN653" s="381"/>
      <c r="BO653" s="382">
        <v>653</v>
      </c>
    </row>
    <row r="654" spans="1:67" s="24" customFormat="1" ht="15" customHeight="1" x14ac:dyDescent="0.25">
      <c r="A654" s="287" t="s">
        <v>757</v>
      </c>
      <c r="B654" s="241" t="str">
        <f>HYPERLINK(CONCATENATE($AT$3,BK654,$AU$3),$AV$3)</f>
        <v>S</v>
      </c>
      <c r="C654" s="242" t="str">
        <f>HYPERLINK(CONCATENATE($AT$4,BK654,$AU$4,BL654),$AV$4)</f>
        <v>A</v>
      </c>
      <c r="D654" s="243" t="s">
        <v>5187</v>
      </c>
      <c r="E654" s="244" t="s">
        <v>5179</v>
      </c>
      <c r="F654" s="269">
        <v>5</v>
      </c>
      <c r="G654" s="276">
        <v>55</v>
      </c>
      <c r="H654" s="271" t="s">
        <v>6500</v>
      </c>
      <c r="I654" s="244" t="s">
        <v>6500</v>
      </c>
      <c r="J654" s="246">
        <v>0</v>
      </c>
      <c r="K654" s="247" t="s">
        <v>5853</v>
      </c>
      <c r="L654" s="248">
        <v>43450</v>
      </c>
      <c r="M654" s="249">
        <f>15*(LEFT(TEXT($L654,"000000"),2)+(MID(TEXT($L654,"000000"),3,2)/60)+(RIGHT(TEXT($L654,"000000"),2)/3600))</f>
        <v>68.708333333333343</v>
      </c>
      <c r="N654" s="286">
        <v>293600</v>
      </c>
      <c r="O654" s="251">
        <f>IF($N654&gt;0,(LEFT(TEXT($N654,"000000"),2)+(MID(TEXT($N654,"000000"),3,2)/60)+(RIGHT(TEXT($N654,"000000"),2)/3600)),-(MID(TEXT($N654,"000000"),2,2)+(MID(TEXT($N654,"000000"),4,2)/60)+(RIGHT(TEXT($N654,"000000"),2)/3600)))</f>
        <v>29.6</v>
      </c>
      <c r="P654" s="252" t="s">
        <v>226</v>
      </c>
      <c r="Q654" s="253"/>
      <c r="R654" s="277" t="s">
        <v>3293</v>
      </c>
      <c r="S654" s="272" t="s">
        <v>3293</v>
      </c>
      <c r="T654" s="273"/>
      <c r="U654" s="274"/>
      <c r="V654" s="256"/>
      <c r="W654" s="244"/>
      <c r="X654" s="244"/>
      <c r="Y654" s="362"/>
      <c r="Z654" s="257">
        <f>altaz(J2000_Bas,$O654,$M654,DecLat,DecLong,1)</f>
        <v>-19.786400155065099</v>
      </c>
      <c r="AA654" s="257">
        <f>altaz((J2000_Bas+(2*0.04167)),$O654,$M654,DecLat,DecLong,1)</f>
        <v>-1.849345670449912</v>
      </c>
      <c r="AB654" s="257">
        <f>altaz((J2000_Bas+(4*0.04167)),$O654,$M654,DecLat,DecLong,1)</f>
        <v>20.561225813313321</v>
      </c>
      <c r="AC654" s="257">
        <f>altaz((J2000_Bas+(6*0.04167)),$O654,$M654,DecLat,DecLong,1)</f>
        <v>45.121509712109713</v>
      </c>
      <c r="AD654" s="258">
        <f>1+ transit((J2000_Bas-1),$O654,$M654,DecLat,DecLong)/360 + (GMTOffset/24) + (IF(DST="Y", 1, 0)/24)</f>
        <v>1.1837564230255413</v>
      </c>
      <c r="AE654" s="259">
        <f>DATE(2001,9,21)+(M654/360)*365 - (360*((DecLong/360)- (GMTOffset/24) ))</f>
        <v>37229.662615740737</v>
      </c>
      <c r="AF654" s="260">
        <f>IF(DecLat&gt;0,IF((90 - (DecLat-O654))&gt;90, (90 - (O654-DecLat)), (90 - (DecLat-O654))),IF((90 + (DecLat-O654))&gt;90, (90 + (O654-DecLat)), (90 + (DecLat-O654))))</f>
        <v>88.6</v>
      </c>
      <c r="AG654" s="257">
        <f>angularseperation(MoonRA,MoonDec,$M654,$O654)</f>
        <v>177.44065199989225</v>
      </c>
      <c r="AH654" s="261">
        <f ca="1">MIN(100,IF($O$5&gt;80,0+30*($AG654/100),IF($O$5&gt;70,0+50*($AG654/100),IF($O$5&gt;60,5+50*($AG654/100),IF($O$5&gt;50,10+60*($AG654/100),IF($O$5&gt;40,15+70*($AG654/100),IF($O$5&gt;30,20+70*($AG654/100),IF($O$5&gt;20,40+55*($AG654/100),(80+(20-$O$5)+30*($AG654/100))))))))))</f>
        <v>100</v>
      </c>
      <c r="AI654" s="263"/>
      <c r="AJ654" s="263"/>
      <c r="AK654" s="263"/>
      <c r="AL654" s="263"/>
      <c r="AM654" s="264"/>
      <c r="AN654" s="263"/>
      <c r="AO654" s="263"/>
      <c r="AP654" s="265"/>
      <c r="AQ654" s="265"/>
      <c r="AR654" s="285"/>
      <c r="AS654" s="263"/>
      <c r="AT654" s="263"/>
      <c r="AU654" s="263"/>
      <c r="AV654" s="264"/>
      <c r="AW654" s="263">
        <v>219</v>
      </c>
      <c r="AX654" s="263"/>
      <c r="AY654" s="263"/>
      <c r="AZ654" s="263"/>
      <c r="BA654" s="263"/>
      <c r="BB654" s="263"/>
      <c r="BC654" s="263"/>
      <c r="BD654" s="264"/>
      <c r="BE654" s="263"/>
      <c r="BF654" s="263"/>
      <c r="BG654" s="263"/>
      <c r="BH654" s="263"/>
      <c r="BI654" s="263"/>
      <c r="BJ654" s="404">
        <f>altaz(J2000_Bas,$O654,$M654,DecLat,DecLong,2)</f>
        <v>34.048206788086176</v>
      </c>
      <c r="BK654" s="378" t="s">
        <v>757</v>
      </c>
      <c r="BL654" s="379">
        <f>IF((2*G654)/60&lt;0.2,0.2,(2*G654)/60)</f>
        <v>1.8333333333333333</v>
      </c>
      <c r="BM654" s="380">
        <f>MOD((50000+AD654-$B$3+(0/24)),1)</f>
        <v>0.39912335272674682</v>
      </c>
      <c r="BN654" s="381"/>
      <c r="BO654" s="382">
        <v>654</v>
      </c>
    </row>
    <row r="655" spans="1:67" s="24" customFormat="1" ht="15" customHeight="1" x14ac:dyDescent="0.25">
      <c r="A655" s="288" t="s">
        <v>758</v>
      </c>
      <c r="B655" s="241" t="str">
        <f>HYPERLINK(CONCATENATE($AT$3,BK655,$AU$3),$AV$3)</f>
        <v>S</v>
      </c>
      <c r="C655" s="242" t="str">
        <f>HYPERLINK(CONCATENATE($AT$4,BK655,$AU$4,BL655),$AV$4)</f>
        <v>A</v>
      </c>
      <c r="D655" s="243" t="s">
        <v>5187</v>
      </c>
      <c r="E655" s="244" t="s">
        <v>5179</v>
      </c>
      <c r="F655" s="269">
        <v>4</v>
      </c>
      <c r="G655" s="276">
        <v>120</v>
      </c>
      <c r="H655" s="271" t="s">
        <v>6500</v>
      </c>
      <c r="I655" s="244" t="s">
        <v>6500</v>
      </c>
      <c r="J655" s="246">
        <v>1</v>
      </c>
      <c r="K655" s="247" t="s">
        <v>8382</v>
      </c>
      <c r="L655" s="248">
        <v>44129</v>
      </c>
      <c r="M655" s="249">
        <f>15*(LEFT(TEXT($L655,"000000"),2)+(MID(TEXT($L655,"000000"),3,2)/60)+(RIGHT(TEXT($L655,"000000"),2)/3600))</f>
        <v>70.370833333333337</v>
      </c>
      <c r="N655" s="286">
        <v>260000</v>
      </c>
      <c r="O655" s="251">
        <f>IF($N655&gt;0,(LEFT(TEXT($N655,"000000"),2)+(MID(TEXT($N655,"000000"),3,2)/60)+(RIGHT(TEXT($N655,"000000"),2)/3600)),-(MID(TEXT($N655,"000000"),2,2)+(MID(TEXT($N655,"000000"),4,2)/60)+(RIGHT(TEXT($N655,"000000"),2)/3600)))</f>
        <v>26</v>
      </c>
      <c r="P655" s="252" t="s">
        <v>56</v>
      </c>
      <c r="Q655" s="253"/>
      <c r="R655" s="247" t="s">
        <v>3293</v>
      </c>
      <c r="S655" s="272"/>
      <c r="T655" s="273"/>
      <c r="U655" s="274"/>
      <c r="V655" s="256"/>
      <c r="W655" s="244"/>
      <c r="X655" s="244"/>
      <c r="Y655" s="362"/>
      <c r="Z655" s="257">
        <f>altaz(J2000_Bas,$O655,$M655,DecLat,DecLong,1)</f>
        <v>-23.603171213651926</v>
      </c>
      <c r="AA655" s="257">
        <f>altaz((J2000_Bas+(2*0.04167)),$O655,$M655,DecLat,DecLong,1)</f>
        <v>-5.2245647009536205</v>
      </c>
      <c r="AB655" s="257">
        <f>altaz((J2000_Bas+(4*0.04167)),$O655,$M655,DecLat,DecLong,1)</f>
        <v>17.676668279361099</v>
      </c>
      <c r="AC655" s="257">
        <f>altaz((J2000_Bas+(6*0.04167)),$O655,$M655,DecLat,DecLong,1)</f>
        <v>42.638483030721012</v>
      </c>
      <c r="AD655" s="258">
        <f>1+ transit((J2000_Bas-1),$O655,$M655,DecLat,DecLong)/360 + (GMTOffset/24) + (IF(DST="Y", 1, 0)/24)</f>
        <v>1.1883744781192913</v>
      </c>
      <c r="AE655" s="259">
        <f>DATE(2001,9,21)+(M655/360)*365 - (360*((DecLong/360)- (GMTOffset/24) ))</f>
        <v>37231.34820601852</v>
      </c>
      <c r="AF655" s="260">
        <f>IF(DecLat&gt;0,IF((90 - (DecLat-O655))&gt;90, (90 - (O655-DecLat)), (90 - (DecLat-O655))),IF((90 + (DecLat-O655))&gt;90, (90 + (O655-DecLat)), (90 + (DecLat-O655))))</f>
        <v>85</v>
      </c>
      <c r="AG655" s="257">
        <f>angularseperation(MoonRA,MoonDec,$M655,$O655)</f>
        <v>178.51838684202534</v>
      </c>
      <c r="AH655" s="261">
        <f ca="1">MIN(100,IF($O$5&gt;80,0+30*($AG655/100),IF($O$5&gt;70,0+50*($AG655/100),IF($O$5&gt;60,5+50*($AG655/100),IF($O$5&gt;50,10+60*($AG655/100),IF($O$5&gt;40,15+70*($AG655/100),IF($O$5&gt;30,20+70*($AG655/100),IF($O$5&gt;20,40+55*($AG655/100),(80+(20-$O$5)+30*($AG655/100))))))))))</f>
        <v>100</v>
      </c>
      <c r="AI655" s="262"/>
      <c r="AJ655" s="262"/>
      <c r="AK655" s="262"/>
      <c r="AL655" s="263"/>
      <c r="AM655" s="264"/>
      <c r="AN655" s="263"/>
      <c r="AO655" s="263"/>
      <c r="AP655" s="265"/>
      <c r="AQ655" s="266"/>
      <c r="AR655" s="267"/>
      <c r="AS655" s="263"/>
      <c r="AT655" s="263"/>
      <c r="AU655" s="263"/>
      <c r="AV655" s="264"/>
      <c r="AW655" s="263">
        <v>220</v>
      </c>
      <c r="AX655" s="263"/>
      <c r="AY655" s="263"/>
      <c r="AZ655" s="263"/>
      <c r="BA655" s="263"/>
      <c r="BB655" s="263"/>
      <c r="BC655" s="263"/>
      <c r="BD655" s="264"/>
      <c r="BE655" s="263"/>
      <c r="BF655" s="263"/>
      <c r="BG655" s="263"/>
      <c r="BH655" s="263"/>
      <c r="BI655" s="263"/>
      <c r="BJ655" s="404">
        <f>altaz(J2000_Bas,$O655,$M655,DecLat,DecLong,2)</f>
        <v>34.849213195794448</v>
      </c>
      <c r="BK655" s="378" t="s">
        <v>758</v>
      </c>
      <c r="BL655" s="379">
        <f>IF((2*G655)/60&lt;0.2,0.2,(2*G655)/60)</f>
        <v>4</v>
      </c>
      <c r="BM655" s="380">
        <f>MOD((50000+AD655-$B$3+(0/24)),1)</f>
        <v>0.40374140782660106</v>
      </c>
      <c r="BN655" s="381"/>
      <c r="BO655" s="382">
        <v>655</v>
      </c>
    </row>
    <row r="656" spans="1:67" s="24" customFormat="1" ht="15" customHeight="1" x14ac:dyDescent="0.25">
      <c r="A656" s="287" t="s">
        <v>759</v>
      </c>
      <c r="B656" s="241" t="str">
        <f>HYPERLINK(CONCATENATE($AT$3,BK656,$AU$3),$AV$3)</f>
        <v>S</v>
      </c>
      <c r="C656" s="242" t="str">
        <f>HYPERLINK(CONCATENATE($AT$4,BK656,$AU$4,BL656),$AV$4)</f>
        <v>A</v>
      </c>
      <c r="D656" s="243" t="s">
        <v>5187</v>
      </c>
      <c r="E656" s="244" t="s">
        <v>5179</v>
      </c>
      <c r="F656" s="269">
        <v>0</v>
      </c>
      <c r="G656" s="276">
        <v>45</v>
      </c>
      <c r="H656" s="271" t="s">
        <v>6500</v>
      </c>
      <c r="I656" s="244" t="s">
        <v>6500</v>
      </c>
      <c r="J656" s="246">
        <v>0</v>
      </c>
      <c r="K656" s="247" t="s">
        <v>5999</v>
      </c>
      <c r="L656" s="248">
        <v>44400</v>
      </c>
      <c r="M656" s="249">
        <f>15*(LEFT(TEXT($L656,"000000"),2)+(MID(TEXT($L656,"000000"),3,2)/60)+(RIGHT(TEXT($L656,"000000"),2)/3600))</f>
        <v>71</v>
      </c>
      <c r="N656" s="286">
        <v>314500</v>
      </c>
      <c r="O656" s="251">
        <f>IF($N656&gt;0,(LEFT(TEXT($N656,"000000"),2)+(MID(TEXT($N656,"000000"),3,2)/60)+(RIGHT(TEXT($N656,"000000"),2)/3600)),-(MID(TEXT($N656,"000000"),2,2)+(MID(TEXT($N656,"000000"),4,2)/60)+(RIGHT(TEXT($N656,"000000"),2)/3600)))</f>
        <v>31.75</v>
      </c>
      <c r="P656" s="252" t="s">
        <v>43</v>
      </c>
      <c r="Q656" s="253"/>
      <c r="R656" s="277" t="s">
        <v>3293</v>
      </c>
      <c r="S656" s="272" t="s">
        <v>3293</v>
      </c>
      <c r="T656" s="273"/>
      <c r="U656" s="274"/>
      <c r="V656" s="256"/>
      <c r="W656" s="244"/>
      <c r="X656" s="244"/>
      <c r="Y656" s="362"/>
      <c r="Z656" s="257">
        <f>altaz(J2000_Bas,$O656,$M656,DecLat,DecLong,1)</f>
        <v>-19.028336442047252</v>
      </c>
      <c r="AA656" s="257">
        <f>altaz((J2000_Bas+(2*0.04167)),$O656,$M656,DecLat,DecLong,1)</f>
        <v>-2.0641460281834934</v>
      </c>
      <c r="AB656" s="257">
        <f>altaz((J2000_Bas+(4*0.04167)),$O656,$M656,DecLat,DecLong,1)</f>
        <v>19.677371087581136</v>
      </c>
      <c r="AC656" s="257">
        <f>altaz((J2000_Bas+(6*0.04167)),$O656,$M656,DecLat,DecLong,1)</f>
        <v>43.769824915287181</v>
      </c>
      <c r="AD656" s="258">
        <f>1+ transit((J2000_Bas-1),$O656,$M656,DecLat,DecLong)/360 + (GMTOffset/24) + (IF(DST="Y", 1, 0)/24)</f>
        <v>1.1901221631297081</v>
      </c>
      <c r="AE656" s="259">
        <f>DATE(2001,9,21)+(M656/360)*365 - (360*((DecLong/360)- (GMTOffset/24) ))</f>
        <v>37231.986111111109</v>
      </c>
      <c r="AF656" s="260">
        <f>IF(DecLat&gt;0,IF((90 - (DecLat-O656))&gt;90, (90 - (O656-DecLat)), (90 - (DecLat-O656))),IF((90 + (DecLat-O656))&gt;90, (90 + (O656-DecLat)), (90 + (DecLat-O656))))</f>
        <v>89.25</v>
      </c>
      <c r="AG656" s="257">
        <f>angularseperation(MoonRA,MoonDec,$M656,$O656)</f>
        <v>175.08946675106421</v>
      </c>
      <c r="AH656" s="261">
        <f ca="1">MIN(100,IF($O$5&gt;80,0+30*($AG656/100),IF($O$5&gt;70,0+50*($AG656/100),IF($O$5&gt;60,5+50*($AG656/100),IF($O$5&gt;50,10+60*($AG656/100),IF($O$5&gt;40,15+70*($AG656/100),IF($O$5&gt;30,20+70*($AG656/100),IF($O$5&gt;20,40+55*($AG656/100),(80+(20-$O$5)+30*($AG656/100))))))))))</f>
        <v>100</v>
      </c>
      <c r="AI656" s="263"/>
      <c r="AJ656" s="263"/>
      <c r="AK656" s="263"/>
      <c r="AL656" s="263"/>
      <c r="AM656" s="264"/>
      <c r="AN656" s="263"/>
      <c r="AO656" s="263"/>
      <c r="AP656" s="265"/>
      <c r="AQ656" s="265"/>
      <c r="AR656" s="285"/>
      <c r="AS656" s="263"/>
      <c r="AT656" s="263"/>
      <c r="AU656" s="263"/>
      <c r="AV656" s="264"/>
      <c r="AW656" s="263">
        <v>221</v>
      </c>
      <c r="AX656" s="263"/>
      <c r="AY656" s="263"/>
      <c r="AZ656" s="263"/>
      <c r="BA656" s="263"/>
      <c r="BB656" s="263"/>
      <c r="BC656" s="263"/>
      <c r="BD656" s="264"/>
      <c r="BE656" s="263"/>
      <c r="BF656" s="263"/>
      <c r="BG656" s="263"/>
      <c r="BH656" s="263"/>
      <c r="BI656" s="263"/>
      <c r="BJ656" s="404">
        <f>altaz(J2000_Bas,$O656,$M656,DecLat,DecLong,2)</f>
        <v>31.062161374609442</v>
      </c>
      <c r="BK656" s="378" t="s">
        <v>759</v>
      </c>
      <c r="BL656" s="379">
        <f>IF((2*G656)/60&lt;0.2,0.2,(2*G656)/60)</f>
        <v>1.5</v>
      </c>
      <c r="BM656" s="380">
        <f>MOD((50000+AD656-$B$3+(0/24)),1)</f>
        <v>0.40548909283097601</v>
      </c>
      <c r="BN656" s="381"/>
      <c r="BO656" s="382">
        <v>656</v>
      </c>
    </row>
    <row r="657" spans="1:67" s="24" customFormat="1" ht="15" customHeight="1" x14ac:dyDescent="0.25">
      <c r="A657" s="288" t="s">
        <v>760</v>
      </c>
      <c r="B657" s="241" t="str">
        <f>HYPERLINK(CONCATENATE($AT$3,BK657,$AU$3),$AV$3)</f>
        <v>S</v>
      </c>
      <c r="C657" s="242" t="str">
        <f>HYPERLINK(CONCATENATE($AT$4,BK657,$AU$4,BL657),$AV$4)</f>
        <v>A</v>
      </c>
      <c r="D657" s="243" t="s">
        <v>5187</v>
      </c>
      <c r="E657" s="244" t="s">
        <v>5179</v>
      </c>
      <c r="F657" s="269">
        <v>0</v>
      </c>
      <c r="G657" s="276">
        <v>10</v>
      </c>
      <c r="H657" s="271" t="s">
        <v>6500</v>
      </c>
      <c r="I657" s="244" t="s">
        <v>6500</v>
      </c>
      <c r="J657" s="246">
        <v>0</v>
      </c>
      <c r="K657" s="247" t="s">
        <v>6000</v>
      </c>
      <c r="L657" s="248">
        <v>50823</v>
      </c>
      <c r="M657" s="249">
        <f>15*(LEFT(TEXT($L657,"000000"),2)+(MID(TEXT($L657,"000000"),3,2)/60)+(RIGHT(TEXT($L657,"000000"),2)/3600))</f>
        <v>77.095833333333346</v>
      </c>
      <c r="N657" s="286">
        <v>321100</v>
      </c>
      <c r="O657" s="251">
        <f>IF($N657&gt;0,(LEFT(TEXT($N657,"000000"),2)+(MID(TEXT($N657,"000000"),3,2)/60)+(RIGHT(TEXT($N657,"000000"),2)/3600)),-(MID(TEXT($N657,"000000"),2,2)+(MID(TEXT($N657,"000000"),4,2)/60)+(RIGHT(TEXT($N657,"000000"),2)/3600)))</f>
        <v>32.18333333333333</v>
      </c>
      <c r="P657" s="252" t="s">
        <v>62</v>
      </c>
      <c r="Q657" s="253"/>
      <c r="R657" s="277" t="s">
        <v>3293</v>
      </c>
      <c r="S657" s="272" t="s">
        <v>3293</v>
      </c>
      <c r="T657" s="273"/>
      <c r="U657" s="274"/>
      <c r="V657" s="256"/>
      <c r="W657" s="244"/>
      <c r="X657" s="244"/>
      <c r="Y657" s="362"/>
      <c r="Z657" s="257">
        <f>altaz(J2000_Bas,$O657,$M657,DecLat,DecLong,1)</f>
        <v>-21.146253493604931</v>
      </c>
      <c r="AA657" s="257">
        <f>altaz((J2000_Bas+(2*0.04167)),$O657,$M657,DecLat,DecLong,1)</f>
        <v>-5.7051824446204646</v>
      </c>
      <c r="AB657" s="257">
        <f>altaz((J2000_Bas+(4*0.04167)),$O657,$M657,DecLat,DecLong,1)</f>
        <v>15.225840653904536</v>
      </c>
      <c r="AC657" s="257">
        <f>altaz((J2000_Bas+(6*0.04167)),$O657,$M657,DecLat,DecLong,1)</f>
        <v>38.888799575303054</v>
      </c>
      <c r="AD657" s="258">
        <f>1+ transit((J2000_Bas-1),$O657,$M657,DecLat,DecLong)/360 + (GMTOffset/24) + (IF(DST="Y", 1, 0)/24)</f>
        <v>1.2070550318067914</v>
      </c>
      <c r="AE657" s="259">
        <f>DATE(2001,9,21)+(M657/360)*365 - (360*((DecLong/360)- (GMTOffset/24) ))</f>
        <v>37238.166608796295</v>
      </c>
      <c r="AF657" s="260">
        <f>IF(DecLat&gt;0,IF((90 - (DecLat-O657))&gt;90, (90 - (O657-DecLat)), (90 - (DecLat-O657))),IF((90 + (DecLat-O657))&gt;90, (90 + (O657-DecLat)), (90 + (DecLat-O657))))</f>
        <v>88.816666666666663</v>
      </c>
      <c r="AG657" s="257">
        <f>angularseperation(MoonRA,MoonDec,$M657,$O657)</f>
        <v>171.48372046842692</v>
      </c>
      <c r="AH657" s="261">
        <f ca="1">MIN(100,IF($O$5&gt;80,0+30*($AG657/100),IF($O$5&gt;70,0+50*($AG657/100),IF($O$5&gt;60,5+50*($AG657/100),IF($O$5&gt;50,10+60*($AG657/100),IF($O$5&gt;40,15+70*($AG657/100),IF($O$5&gt;30,20+70*($AG657/100),IF($O$5&gt;20,40+55*($AG657/100),(80+(20-$O$5)+30*($AG657/100))))))))))</f>
        <v>100</v>
      </c>
      <c r="AI657" s="263"/>
      <c r="AJ657" s="263"/>
      <c r="AK657" s="263"/>
      <c r="AL657" s="263"/>
      <c r="AM657" s="264"/>
      <c r="AN657" s="263"/>
      <c r="AO657" s="263"/>
      <c r="AP657" s="265"/>
      <c r="AQ657" s="265"/>
      <c r="AR657" s="285"/>
      <c r="AS657" s="263"/>
      <c r="AT657" s="263"/>
      <c r="AU657" s="263"/>
      <c r="AV657" s="264"/>
      <c r="AW657" s="263">
        <v>222</v>
      </c>
      <c r="AX657" s="263"/>
      <c r="AY657" s="263"/>
      <c r="AZ657" s="263"/>
      <c r="BA657" s="263"/>
      <c r="BB657" s="263"/>
      <c r="BC657" s="263"/>
      <c r="BD657" s="264"/>
      <c r="BE657" s="263"/>
      <c r="BF657" s="263"/>
      <c r="BG657" s="263"/>
      <c r="BH657" s="263"/>
      <c r="BI657" s="263"/>
      <c r="BJ657" s="404">
        <f>altaz(J2000_Bas,$O657,$M657,DecLat,DecLong,2)</f>
        <v>26.017814531832553</v>
      </c>
      <c r="BK657" s="378" t="s">
        <v>760</v>
      </c>
      <c r="BL657" s="379">
        <f>IF((2*G657)/60&lt;0.2,0.2,(2*G657)/60)</f>
        <v>0.33333333333333331</v>
      </c>
      <c r="BM657" s="380">
        <f>MOD((50000+AD657-$B$3+(0/24)),1)</f>
        <v>0.42242196151346434</v>
      </c>
      <c r="BN657" s="381"/>
      <c r="BO657" s="382">
        <v>657</v>
      </c>
    </row>
    <row r="658" spans="1:67" s="24" customFormat="1" ht="15" customHeight="1" x14ac:dyDescent="0.25">
      <c r="A658" s="288" t="s">
        <v>761</v>
      </c>
      <c r="B658" s="241" t="str">
        <f>HYPERLINK(CONCATENATE($AT$3,BK658,$AU$3),$AV$3)</f>
        <v>S</v>
      </c>
      <c r="C658" s="242" t="str">
        <f>HYPERLINK(CONCATENATE($AT$4,BK658,$AU$4,BL658),$AV$4)</f>
        <v>A</v>
      </c>
      <c r="D658" s="243" t="s">
        <v>5187</v>
      </c>
      <c r="E658" s="244" t="s">
        <v>5179</v>
      </c>
      <c r="F658" s="269">
        <v>3</v>
      </c>
      <c r="G658" s="273">
        <v>8</v>
      </c>
      <c r="H658" s="271" t="s">
        <v>6500</v>
      </c>
      <c r="I658" s="244" t="s">
        <v>6500</v>
      </c>
      <c r="J658" s="246">
        <v>1</v>
      </c>
      <c r="K658" s="247" t="s">
        <v>6001</v>
      </c>
      <c r="L658" s="248">
        <v>52128</v>
      </c>
      <c r="M658" s="249">
        <f>15*(LEFT(TEXT($L658,"000000"),2)+(MID(TEXT($L658,"000000"),3,2)/60)+(RIGHT(TEXT($L658,"000000"),2)/3600))</f>
        <v>80.36666666666666</v>
      </c>
      <c r="N658" s="286">
        <v>82000</v>
      </c>
      <c r="O658" s="251">
        <f>IF($N658&gt;0,(LEFT(TEXT($N658,"000000"),2)+(MID(TEXT($N658,"000000"),3,2)/60)+(RIGHT(TEXT($N658,"000000"),2)/3600)),-(MID(TEXT($N658,"000000"),2,2)+(MID(TEXT($N658,"000000"),4,2)/60)+(RIGHT(TEXT($N658,"000000"),2)/3600)))</f>
        <v>8.3333333333333339</v>
      </c>
      <c r="P658" s="252" t="s">
        <v>41</v>
      </c>
      <c r="Q658" s="253"/>
      <c r="R658" s="277" t="s">
        <v>3293</v>
      </c>
      <c r="S658" s="272" t="s">
        <v>3293</v>
      </c>
      <c r="T658" s="273"/>
      <c r="U658" s="274"/>
      <c r="V658" s="256"/>
      <c r="W658" s="244"/>
      <c r="X658" s="244"/>
      <c r="Y658" s="362"/>
      <c r="Z658" s="257">
        <f>altaz(J2000_Bas,$O658,$M658,DecLat,DecLong,1)</f>
        <v>-43.628837425213256</v>
      </c>
      <c r="AA658" s="257">
        <f>altaz((J2000_Bas+(2*0.04167)),$O658,$M658,DecLat,DecLong,1)</f>
        <v>-23.768351992935898</v>
      </c>
      <c r="AB658" s="257">
        <f>altaz((J2000_Bas+(4*0.04167)),$O658,$M658,DecLat,DecLong,1)</f>
        <v>0.72225458323359815</v>
      </c>
      <c r="AC658" s="257">
        <f>altaz((J2000_Bas+(6*0.04167)),$O658,$M658,DecLat,DecLong,1)</f>
        <v>26.421154450751665</v>
      </c>
      <c r="AD658" s="258">
        <f>1+ transit((J2000_Bas-1),$O658,$M658,DecLat,DecLong)/360 + (GMTOffset/24) + (IF(DST="Y", 1, 0)/24)</f>
        <v>1.2161406790463747</v>
      </c>
      <c r="AE658" s="259">
        <f>DATE(2001,9,21)+(M658/360)*365 - (360*((DecLong/360)- (GMTOffset/24) ))</f>
        <v>37241.482870370368</v>
      </c>
      <c r="AF658" s="260">
        <f>IF(DecLat&gt;0,IF((90 - (DecLat-O658))&gt;90, (90 - (O658-DecLat)), (90 - (DecLat-O658))),IF((90 + (DecLat-O658))&gt;90, (90 + (O658-DecLat)), (90 + (DecLat-O658))))</f>
        <v>67.333333333333343</v>
      </c>
      <c r="AG658" s="257">
        <f>angularseperation(MoonRA,MoonDec,$M658,$O658)</f>
        <v>158.49295470290053</v>
      </c>
      <c r="AH658" s="261">
        <f ca="1">MIN(100,IF($O$5&gt;80,0+30*($AG658/100),IF($O$5&gt;70,0+50*($AG658/100),IF($O$5&gt;60,5+50*($AG658/100),IF($O$5&gt;50,10+60*($AG658/100),IF($O$5&gt;40,15+70*($AG658/100),IF($O$5&gt;30,20+70*($AG658/100),IF($O$5&gt;20,40+55*($AG658/100),(80+(20-$O$5)+30*($AG658/100))))))))))</f>
        <v>100</v>
      </c>
      <c r="AI658" s="263"/>
      <c r="AJ658" s="263"/>
      <c r="AK658" s="263"/>
      <c r="AL658" s="263"/>
      <c r="AM658" s="264"/>
      <c r="AN658" s="263"/>
      <c r="AO658" s="263"/>
      <c r="AP658" s="265"/>
      <c r="AQ658" s="265"/>
      <c r="AR658" s="285"/>
      <c r="AS658" s="263"/>
      <c r="AT658" s="263"/>
      <c r="AU658" s="263"/>
      <c r="AV658" s="264"/>
      <c r="AW658" s="263">
        <v>223</v>
      </c>
      <c r="AX658" s="263"/>
      <c r="AY658" s="263"/>
      <c r="AZ658" s="263"/>
      <c r="BA658" s="263"/>
      <c r="BB658" s="263"/>
      <c r="BC658" s="263"/>
      <c r="BD658" s="264"/>
      <c r="BE658" s="263"/>
      <c r="BF658" s="263"/>
      <c r="BG658" s="263"/>
      <c r="BH658" s="263"/>
      <c r="BI658" s="263"/>
      <c r="BJ658" s="404">
        <f>altaz(J2000_Bas,$O658,$M658,DecLat,DecLong,2)</f>
        <v>36.257761325401454</v>
      </c>
      <c r="BK658" s="378" t="s">
        <v>761</v>
      </c>
      <c r="BL658" s="379">
        <f>IF((2*G658)/60&lt;0.2,0.2,(2*G658)/60)</f>
        <v>0.26666666666666666</v>
      </c>
      <c r="BM658" s="380">
        <f>MOD((50000+AD658-$B$3+(0/24)),1)</f>
        <v>0.43150760875141714</v>
      </c>
      <c r="BN658" s="381"/>
      <c r="BO658" s="382">
        <v>658</v>
      </c>
    </row>
    <row r="659" spans="1:67" s="24" customFormat="1" ht="15" customHeight="1" x14ac:dyDescent="0.25">
      <c r="A659" s="287" t="s">
        <v>762</v>
      </c>
      <c r="B659" s="241" t="str">
        <f>HYPERLINK(CONCATENATE($AT$3,BK659,$AU$3),$AV$3)</f>
        <v>S</v>
      </c>
      <c r="C659" s="242" t="str">
        <f>HYPERLINK(CONCATENATE($AT$4,BK659,$AU$4,BL659),$AV$4)</f>
        <v>A</v>
      </c>
      <c r="D659" s="243" t="s">
        <v>5187</v>
      </c>
      <c r="E659" s="244" t="s">
        <v>5179</v>
      </c>
      <c r="F659" s="269">
        <v>0</v>
      </c>
      <c r="G659" s="276">
        <v>20</v>
      </c>
      <c r="H659" s="271" t="s">
        <v>6500</v>
      </c>
      <c r="I659" s="244" t="s">
        <v>6500</v>
      </c>
      <c r="J659" s="246">
        <v>0</v>
      </c>
      <c r="K659" s="247" t="s">
        <v>5854</v>
      </c>
      <c r="L659" s="248">
        <v>52355</v>
      </c>
      <c r="M659" s="249">
        <f>15*(LEFT(TEXT($L659,"000000"),2)+(MID(TEXT($L659,"000000"),3,2)/60)+(RIGHT(TEXT($L659,"000000"),2)/3600))</f>
        <v>80.979166666666671</v>
      </c>
      <c r="N659" s="286">
        <v>103800</v>
      </c>
      <c r="O659" s="251">
        <f>IF($N659&gt;0,(LEFT(TEXT($N659,"000000"),2)+(MID(TEXT($N659,"000000"),3,2)/60)+(RIGHT(TEXT($N659,"000000"),2)/3600)),-(MID(TEXT($N659,"000000"),2,2)+(MID(TEXT($N659,"000000"),4,2)/60)+(RIGHT(TEXT($N659,"000000"),2)/3600)))</f>
        <v>10.633333333333333</v>
      </c>
      <c r="P659" s="252" t="s">
        <v>41</v>
      </c>
      <c r="Q659" s="253"/>
      <c r="R659" s="277" t="s">
        <v>3293</v>
      </c>
      <c r="S659" s="272" t="s">
        <v>3293</v>
      </c>
      <c r="T659" s="273"/>
      <c r="U659" s="274"/>
      <c r="V659" s="256"/>
      <c r="W659" s="244"/>
      <c r="X659" s="244"/>
      <c r="Y659" s="362"/>
      <c r="Z659" s="257">
        <f>altaz(J2000_Bas,$O659,$M659,DecLat,DecLong,1)</f>
        <v>-41.938691247311105</v>
      </c>
      <c r="AA659" s="257">
        <f>altaz((J2000_Bas+(2*0.04167)),$O659,$M659,DecLat,DecLong,1)</f>
        <v>-22.759897233423224</v>
      </c>
      <c r="AB659" s="257">
        <f>altaz((J2000_Bas+(4*0.04167)),$O659,$M659,DecLat,DecLong,1)</f>
        <v>1.4000486007394199</v>
      </c>
      <c r="AC659" s="257">
        <f>altaz((J2000_Bas+(6*0.04167)),$O659,$M659,DecLat,DecLong,1)</f>
        <v>27.049413121723113</v>
      </c>
      <c r="AD659" s="258">
        <f>1+ transit((J2000_Bas-1),$O659,$M659,DecLat,DecLong)/360 + (GMTOffset/24) + (IF(DST="Y", 1, 0)/24)</f>
        <v>1.2178420677651247</v>
      </c>
      <c r="AE659" s="259">
        <f>DATE(2001,9,21)+(M659/360)*365 - (360*((DecLong/360)- (GMTOffset/24) ))</f>
        <v>37242.103877314818</v>
      </c>
      <c r="AF659" s="260">
        <f>IF(DecLat&gt;0,IF((90 - (DecLat-O659))&gt;90, (90 - (O659-DecLat)), (90 - (DecLat-O659))),IF((90 + (DecLat-O659))&gt;90, (90 + (O659-DecLat)), (90 + (DecLat-O659))))</f>
        <v>69.633333333333326</v>
      </c>
      <c r="AG659" s="257">
        <f>angularseperation(MoonRA,MoonDec,$M659,$O659)</f>
        <v>160.18073416926836</v>
      </c>
      <c r="AH659" s="261">
        <f ca="1">MIN(100,IF($O$5&gt;80,0+30*($AG659/100),IF($O$5&gt;70,0+50*($AG659/100),IF($O$5&gt;60,5+50*($AG659/100),IF($O$5&gt;50,10+60*($AG659/100),IF($O$5&gt;40,15+70*($AG659/100),IF($O$5&gt;30,20+70*($AG659/100),IF($O$5&gt;20,40+55*($AG659/100),(80+(20-$O$5)+30*($AG659/100))))))))))</f>
        <v>100</v>
      </c>
      <c r="AI659" s="263"/>
      <c r="AJ659" s="263"/>
      <c r="AK659" s="263"/>
      <c r="AL659" s="263"/>
      <c r="AM659" s="264"/>
      <c r="AN659" s="263"/>
      <c r="AO659" s="263"/>
      <c r="AP659" s="265"/>
      <c r="AQ659" s="265"/>
      <c r="AR659" s="285"/>
      <c r="AS659" s="263"/>
      <c r="AT659" s="263"/>
      <c r="AU659" s="263"/>
      <c r="AV659" s="264"/>
      <c r="AW659" s="263">
        <v>224</v>
      </c>
      <c r="AX659" s="263"/>
      <c r="AY659" s="263"/>
      <c r="AZ659" s="263"/>
      <c r="BA659" s="263"/>
      <c r="BB659" s="263"/>
      <c r="BC659" s="263"/>
      <c r="BD659" s="264"/>
      <c r="BE659" s="263"/>
      <c r="BF659" s="263"/>
      <c r="BG659" s="263"/>
      <c r="BH659" s="263"/>
      <c r="BI659" s="263"/>
      <c r="BJ659" s="404">
        <f>altaz(J2000_Bas,$O659,$M659,DecLat,DecLong,2)</f>
        <v>33.978110217859331</v>
      </c>
      <c r="BK659" s="378" t="s">
        <v>762</v>
      </c>
      <c r="BL659" s="379">
        <f>IF((2*G659)/60&lt;0.2,0.2,(2*G659)/60)</f>
        <v>0.66666666666666663</v>
      </c>
      <c r="BM659" s="380">
        <f>MOD((50000+AD659-$B$3+(0/24)),1)</f>
        <v>0.43320899747050134</v>
      </c>
      <c r="BN659" s="381"/>
      <c r="BO659" s="382">
        <v>659</v>
      </c>
    </row>
    <row r="660" spans="1:67" s="24" customFormat="1" ht="15" customHeight="1" x14ac:dyDescent="0.25">
      <c r="A660" s="288" t="s">
        <v>763</v>
      </c>
      <c r="B660" s="241" t="str">
        <f>HYPERLINK(CONCATENATE($AT$3,BK660,$AU$3),$AV$3)</f>
        <v>S</v>
      </c>
      <c r="C660" s="242" t="str">
        <f>HYPERLINK(CONCATENATE($AT$4,BK660,$AU$4,BL660),$AV$4)</f>
        <v>A</v>
      </c>
      <c r="D660" s="243" t="s">
        <v>5187</v>
      </c>
      <c r="E660" s="244" t="s">
        <v>5179</v>
      </c>
      <c r="F660" s="269">
        <v>5</v>
      </c>
      <c r="G660" s="276">
        <v>35</v>
      </c>
      <c r="H660" s="271" t="s">
        <v>6500</v>
      </c>
      <c r="I660" s="244" t="s">
        <v>6500</v>
      </c>
      <c r="J660" s="246">
        <v>1</v>
      </c>
      <c r="K660" s="247" t="s">
        <v>5855</v>
      </c>
      <c r="L660" s="248">
        <v>52858</v>
      </c>
      <c r="M660" s="249">
        <f>15*(LEFT(TEXT($L660,"000000"),2)+(MID(TEXT($L660,"000000"),3,2)/60)+(RIGHT(TEXT($L660,"000000"),2)/3600))</f>
        <v>82.24166666666666</v>
      </c>
      <c r="N660" s="286">
        <v>113700</v>
      </c>
      <c r="O660" s="251">
        <f>IF($N660&gt;0,(LEFT(TEXT($N660,"000000"),2)+(MID(TEXT($N660,"000000"),3,2)/60)+(RIGHT(TEXT($N660,"000000"),2)/3600)),-(MID(TEXT($N660,"000000"),2,2)+(MID(TEXT($N660,"000000"),4,2)/60)+(RIGHT(TEXT($N660,"000000"),2)/3600)))</f>
        <v>11.616666666666667</v>
      </c>
      <c r="P660" s="252" t="s">
        <v>41</v>
      </c>
      <c r="Q660" s="253"/>
      <c r="R660" s="277" t="s">
        <v>3293</v>
      </c>
      <c r="S660" s="272" t="s">
        <v>3293</v>
      </c>
      <c r="T660" s="273"/>
      <c r="U660" s="274"/>
      <c r="V660" s="256"/>
      <c r="W660" s="244"/>
      <c r="X660" s="244"/>
      <c r="Y660" s="362"/>
      <c r="Z660" s="257">
        <f>altaz(J2000_Bas,$O660,$M660,DecLat,DecLong,1)</f>
        <v>-41.661627123095634</v>
      </c>
      <c r="AA660" s="257">
        <f>altaz((J2000_Bas+(2*0.04167)),$O660,$M660,DecLat,DecLong,1)</f>
        <v>-23.055989361506324</v>
      </c>
      <c r="AB660" s="257">
        <f>altaz((J2000_Bas+(4*0.04167)),$O660,$M660,DecLat,DecLong,1)</f>
        <v>0.85528790191566506</v>
      </c>
      <c r="AC660" s="257">
        <f>altaz((J2000_Bas+(6*0.04167)),$O660,$M660,DecLat,DecLong,1)</f>
        <v>26.449247142990338</v>
      </c>
      <c r="AD660" s="258">
        <f>1+ transit((J2000_Bas-1),$O660,$M660,DecLat,DecLong)/360 + (GMTOffset/24) + (IF(DST="Y", 1, 0)/24)</f>
        <v>1.2213490118588746</v>
      </c>
      <c r="AE660" s="259">
        <f>DATE(2001,9,21)+(M660/360)*365 - (360*((DecLong/360)- (GMTOffset/24) ))</f>
        <v>37243.383912037039</v>
      </c>
      <c r="AF660" s="260">
        <f>IF(DecLat&gt;0,IF((90 - (DecLat-O660))&gt;90, (90 - (O660-DecLat)), (90 - (DecLat-O660))),IF((90 + (DecLat-O660))&gt;90, (90 + (O660-DecLat)), (90 + (DecLat-O660))))</f>
        <v>70.616666666666674</v>
      </c>
      <c r="AG660" s="257">
        <f>angularseperation(MoonRA,MoonDec,$M660,$O660)</f>
        <v>160.29330441948878</v>
      </c>
      <c r="AH660" s="261">
        <f ca="1">MIN(100,IF($O$5&gt;80,0+30*($AG660/100),IF($O$5&gt;70,0+50*($AG660/100),IF($O$5&gt;60,5+50*($AG660/100),IF($O$5&gt;50,10+60*($AG660/100),IF($O$5&gt;40,15+70*($AG660/100),IF($O$5&gt;30,20+70*($AG660/100),IF($O$5&gt;20,40+55*($AG660/100),(80+(20-$O$5)+30*($AG660/100))))))))))</f>
        <v>100</v>
      </c>
      <c r="AI660" s="263"/>
      <c r="AJ660" s="263"/>
      <c r="AK660" s="263"/>
      <c r="AL660" s="263"/>
      <c r="AM660" s="264"/>
      <c r="AN660" s="263"/>
      <c r="AO660" s="263"/>
      <c r="AP660" s="265"/>
      <c r="AQ660" s="265"/>
      <c r="AR660" s="285"/>
      <c r="AS660" s="263"/>
      <c r="AT660" s="263"/>
      <c r="AU660" s="263"/>
      <c r="AV660" s="264"/>
      <c r="AW660" s="263">
        <v>225</v>
      </c>
      <c r="AX660" s="263"/>
      <c r="AY660" s="263"/>
      <c r="AZ660" s="263"/>
      <c r="BA660" s="263"/>
      <c r="BB660" s="263"/>
      <c r="BC660" s="263"/>
      <c r="BD660" s="264"/>
      <c r="BE660" s="263"/>
      <c r="BF660" s="263"/>
      <c r="BG660" s="263"/>
      <c r="BH660" s="263"/>
      <c r="BI660" s="263"/>
      <c r="BJ660" s="404">
        <f>altaz(J2000_Bas,$O660,$M660,DecLat,DecLong,2)</f>
        <v>31.889253550236546</v>
      </c>
      <c r="BK660" s="378" t="s">
        <v>763</v>
      </c>
      <c r="BL660" s="379">
        <f>IF((2*G660)/60&lt;0.2,0.2,(2*G660)/60)</f>
        <v>1.1666666666666667</v>
      </c>
      <c r="BM660" s="380">
        <f>MOD((50000+AD660-$B$3+(0/24)),1)</f>
        <v>0.43671594156330684</v>
      </c>
      <c r="BN660" s="381"/>
      <c r="BO660" s="382">
        <v>660</v>
      </c>
    </row>
    <row r="661" spans="1:67" s="24" customFormat="1" ht="15" customHeight="1" x14ac:dyDescent="0.25">
      <c r="A661" s="288" t="s">
        <v>764</v>
      </c>
      <c r="B661" s="241" t="str">
        <f>HYPERLINK(CONCATENATE($AT$3,BK661,$AU$3),$AV$3)</f>
        <v>S</v>
      </c>
      <c r="C661" s="242" t="str">
        <f>HYPERLINK(CONCATENATE($AT$4,BK661,$AU$4,BL661),$AV$4)</f>
        <v>A</v>
      </c>
      <c r="D661" s="243" t="s">
        <v>5187</v>
      </c>
      <c r="E661" s="244" t="s">
        <v>5179</v>
      </c>
      <c r="F661" s="269">
        <v>0</v>
      </c>
      <c r="G661" s="276">
        <v>17</v>
      </c>
      <c r="H661" s="271" t="s">
        <v>6500</v>
      </c>
      <c r="I661" s="244" t="s">
        <v>6500</v>
      </c>
      <c r="J661" s="246">
        <v>1</v>
      </c>
      <c r="K661" s="247" t="s">
        <v>5856</v>
      </c>
      <c r="L661" s="248">
        <v>53634</v>
      </c>
      <c r="M661" s="249">
        <f>15*(LEFT(TEXT($L661,"000000"),2)+(MID(TEXT($L661,"000000"),3,2)/60)+(RIGHT(TEXT($L661,"000000"),2)/3600))</f>
        <v>84.141666666666652</v>
      </c>
      <c r="N661" s="286">
        <v>334300</v>
      </c>
      <c r="O661" s="251">
        <f>IF($N661&gt;0,(LEFT(TEXT($N661,"000000"),2)+(MID(TEXT($N661,"000000"),3,2)/60)+(RIGHT(TEXT($N661,"000000"),2)/3600)),-(MID(TEXT($N661,"000000"),2,2)+(MID(TEXT($N661,"000000"),4,2)/60)+(RIGHT(TEXT($N661,"000000"),2)/3600)))</f>
        <v>33.716666666666669</v>
      </c>
      <c r="P661" s="252" t="s">
        <v>62</v>
      </c>
      <c r="Q661" s="253"/>
      <c r="R661" s="277" t="s">
        <v>3293</v>
      </c>
      <c r="S661" s="272" t="s">
        <v>3293</v>
      </c>
      <c r="T661" s="273"/>
      <c r="U661" s="274"/>
      <c r="V661" s="256"/>
      <c r="W661" s="244"/>
      <c r="X661" s="244"/>
      <c r="Y661" s="362"/>
      <c r="Z661" s="257">
        <f>altaz(J2000_Bas,$O661,$M661,DecLat,DecLong,1)</f>
        <v>-22.07526265058878</v>
      </c>
      <c r="AA661" s="257">
        <f>altaz((J2000_Bas+(2*0.04167)),$O661,$M661,DecLat,DecLong,1)</f>
        <v>-8.835682410425246</v>
      </c>
      <c r="AB661" s="257">
        <f>altaz((J2000_Bas+(4*0.04167)),$O661,$M661,DecLat,DecLong,1)</f>
        <v>10.77965610095994</v>
      </c>
      <c r="AC661" s="257">
        <f>altaz((J2000_Bas+(6*0.04167)),$O661,$M661,DecLat,DecLong,1)</f>
        <v>33.662604124226327</v>
      </c>
      <c r="AD661" s="258">
        <f>1+ transit((J2000_Bas-1),$O661,$M661,DecLat,DecLong)/360 + (GMTOffset/24) + (IF(DST="Y", 1, 0)/24)</f>
        <v>1.2266267891088747</v>
      </c>
      <c r="AE661" s="259">
        <f>DATE(2001,9,21)+(M661/360)*365 - (360*((DecLong/360)- (GMTOffset/24) ))</f>
        <v>37245.310300925928</v>
      </c>
      <c r="AF661" s="260">
        <f>IF(DecLat&gt;0,IF((90 - (DecLat-O661))&gt;90, (90 - (O661-DecLat)), (90 - (DecLat-O661))),IF((90 + (DecLat-O661))&gt;90, (90 + (O661-DecLat)), (90 + (DecLat-O661))))</f>
        <v>87.283333333333331</v>
      </c>
      <c r="AG661" s="257">
        <f>angularseperation(MoonRA,MoonDec,$M661,$O661)</f>
        <v>165.55945913829299</v>
      </c>
      <c r="AH661" s="261">
        <f ca="1">MIN(100,IF($O$5&gt;80,0+30*($AG661/100),IF($O$5&gt;70,0+50*($AG661/100),IF($O$5&gt;60,5+50*($AG661/100),IF($O$5&gt;50,10+60*($AG661/100),IF($O$5&gt;40,15+70*($AG661/100),IF($O$5&gt;30,20+70*($AG661/100),IF($O$5&gt;20,40+55*($AG661/100),(80+(20-$O$5)+30*($AG661/100))))))))))</f>
        <v>100</v>
      </c>
      <c r="AI661" s="263"/>
      <c r="AJ661" s="263"/>
      <c r="AK661" s="263"/>
      <c r="AL661" s="263"/>
      <c r="AM661" s="264"/>
      <c r="AN661" s="263"/>
      <c r="AO661" s="263"/>
      <c r="AP661" s="265"/>
      <c r="AQ661" s="265"/>
      <c r="AR661" s="285"/>
      <c r="AS661" s="263"/>
      <c r="AT661" s="263"/>
      <c r="AU661" s="263"/>
      <c r="AV661" s="264"/>
      <c r="AW661" s="263">
        <v>226</v>
      </c>
      <c r="AX661" s="263"/>
      <c r="AY661" s="263"/>
      <c r="AZ661" s="263"/>
      <c r="BA661" s="263"/>
      <c r="BB661" s="263"/>
      <c r="BC661" s="263"/>
      <c r="BD661" s="264"/>
      <c r="BE661" s="263"/>
      <c r="BF661" s="263"/>
      <c r="BG661" s="263"/>
      <c r="BH661" s="263"/>
      <c r="BI661" s="263"/>
      <c r="BJ661" s="404">
        <f>altaz(J2000_Bas,$O661,$M661,DecLat,DecLong,2)</f>
        <v>19.525370665050929</v>
      </c>
      <c r="BK661" s="378" t="s">
        <v>764</v>
      </c>
      <c r="BL661" s="379">
        <f>IF((2*G661)/60&lt;0.2,0.2,(2*G661)/60)</f>
        <v>0.56666666666666665</v>
      </c>
      <c r="BM661" s="380">
        <f>MOD((50000+AD661-$B$3+(0/24)),1)</f>
        <v>0.44199371881404659</v>
      </c>
      <c r="BN661" s="381"/>
      <c r="BO661" s="382">
        <v>661</v>
      </c>
    </row>
    <row r="662" spans="1:67" s="24" customFormat="1" ht="15" customHeight="1" x14ac:dyDescent="0.25">
      <c r="A662" s="287" t="s">
        <v>765</v>
      </c>
      <c r="B662" s="241" t="str">
        <f>HYPERLINK(CONCATENATE($AT$3,BK662,$AU$3),$AV$3)</f>
        <v>S</v>
      </c>
      <c r="C662" s="242" t="str">
        <f>HYPERLINK(CONCATENATE($AT$4,BK662,$AU$4,BL662),$AV$4)</f>
        <v>A</v>
      </c>
      <c r="D662" s="243" t="s">
        <v>5187</v>
      </c>
      <c r="E662" s="244" t="s">
        <v>5179</v>
      </c>
      <c r="F662" s="269">
        <v>4</v>
      </c>
      <c r="G662" s="276">
        <v>12</v>
      </c>
      <c r="H662" s="271" t="s">
        <v>6500</v>
      </c>
      <c r="I662" s="244" t="s">
        <v>6500</v>
      </c>
      <c r="J662" s="246">
        <v>1</v>
      </c>
      <c r="K662" s="247" t="s">
        <v>5857</v>
      </c>
      <c r="L662" s="248">
        <v>60724</v>
      </c>
      <c r="M662" s="249">
        <f>15*(LEFT(TEXT($L662,"000000"),2)+(MID(TEXT($L662,"000000"),3,2)/60)+(RIGHT(TEXT($L662,"000000"),2)/3600))</f>
        <v>91.85</v>
      </c>
      <c r="N662" s="286">
        <v>194000</v>
      </c>
      <c r="O662" s="251">
        <f>IF($N662&gt;0,(LEFT(TEXT($N662,"000000"),2)+(MID(TEXT($N662,"000000"),3,2)/60)+(RIGHT(TEXT($N662,"000000"),2)/3600)),-(MID(TEXT($N662,"000000"),2,2)+(MID(TEXT($N662,"000000"),4,2)/60)+(RIGHT(TEXT($N662,"000000"),2)/3600)))</f>
        <v>19.666666666666668</v>
      </c>
      <c r="P662" s="252" t="s">
        <v>41</v>
      </c>
      <c r="Q662" s="253"/>
      <c r="R662" s="277" t="s">
        <v>3293</v>
      </c>
      <c r="S662" s="272" t="s">
        <v>3293</v>
      </c>
      <c r="T662" s="273"/>
      <c r="U662" s="274"/>
      <c r="V662" s="256"/>
      <c r="W662" s="244"/>
      <c r="X662" s="244"/>
      <c r="Y662" s="362"/>
      <c r="Z662" s="257">
        <f>altaz(J2000_Bas,$O662,$M662,DecLat,DecLong,1)</f>
        <v>-37.541199516077867</v>
      </c>
      <c r="AA662" s="257">
        <f>altaz((J2000_Bas+(2*0.04167)),$O662,$M662,DecLat,DecLong,1)</f>
        <v>-23.888978859508381</v>
      </c>
      <c r="AB662" s="257">
        <f>altaz((J2000_Bas+(4*0.04167)),$O662,$M662,DecLat,DecLong,1)</f>
        <v>-2.5671442698372697</v>
      </c>
      <c r="AC662" s="257">
        <f>altaz((J2000_Bas+(6*0.04167)),$O662,$M662,DecLat,DecLong,1)</f>
        <v>21.972041681999603</v>
      </c>
      <c r="AD662" s="258">
        <f>1+ transit((J2000_Bas-1),$O662,$M662,DecLat,DecLong)/360 + (GMTOffset/24) + (IF(DST="Y", 1, 0)/24)</f>
        <v>1.248038824004708</v>
      </c>
      <c r="AE662" s="259">
        <f>DATE(2001,9,21)+(M662/360)*365 - (360*((DecLong/360)- (GMTOffset/24) ))</f>
        <v>37253.125694444447</v>
      </c>
      <c r="AF662" s="260">
        <f>IF(DecLat&gt;0,IF((90 - (DecLat-O662))&gt;90, (90 - (O662-DecLat)), (90 - (DecLat-O662))),IF((90 + (DecLat-O662))&gt;90, (90 + (O662-DecLat)), (90 + (DecLat-O662))))</f>
        <v>78.666666666666671</v>
      </c>
      <c r="AG662" s="257">
        <f>angularseperation(MoonRA,MoonDec,$M662,$O662)</f>
        <v>158.00334133966714</v>
      </c>
      <c r="AH662" s="261">
        <f ca="1">MIN(100,IF($O$5&gt;80,0+30*($AG662/100),IF($O$5&gt;70,0+50*($AG662/100),IF($O$5&gt;60,5+50*($AG662/100),IF($O$5&gt;50,10+60*($AG662/100),IF($O$5&gt;40,15+70*($AG662/100),IF($O$5&gt;30,20+70*($AG662/100),IF($O$5&gt;20,40+55*($AG662/100),(80+(20-$O$5)+30*($AG662/100))))))))))</f>
        <v>100</v>
      </c>
      <c r="AI662" s="263"/>
      <c r="AJ662" s="263"/>
      <c r="AK662" s="263"/>
      <c r="AL662" s="263"/>
      <c r="AM662" s="264"/>
      <c r="AN662" s="263"/>
      <c r="AO662" s="263"/>
      <c r="AP662" s="265"/>
      <c r="AQ662" s="265"/>
      <c r="AR662" s="285"/>
      <c r="AS662" s="263"/>
      <c r="AT662" s="263"/>
      <c r="AU662" s="263"/>
      <c r="AV662" s="264"/>
      <c r="AW662" s="263">
        <v>227</v>
      </c>
      <c r="AX662" s="263"/>
      <c r="AY662" s="263"/>
      <c r="AZ662" s="263"/>
      <c r="BA662" s="263"/>
      <c r="BB662" s="263"/>
      <c r="BC662" s="263"/>
      <c r="BD662" s="264"/>
      <c r="BE662" s="263"/>
      <c r="BF662" s="263"/>
      <c r="BG662" s="263"/>
      <c r="BH662" s="263"/>
      <c r="BI662" s="263"/>
      <c r="BJ662" s="404">
        <f>altaz(J2000_Bas,$O662,$M662,DecLat,DecLong,2)</f>
        <v>16.880413012238499</v>
      </c>
      <c r="BK662" s="378" t="s">
        <v>765</v>
      </c>
      <c r="BL662" s="379">
        <f>IF((2*G662)/60&lt;0.2,0.2,(2*G662)/60)</f>
        <v>0.4</v>
      </c>
      <c r="BM662" s="380">
        <f>MOD((50000+AD662-$B$3+(0/24)),1)</f>
        <v>0.46340575371141313</v>
      </c>
      <c r="BN662" s="381"/>
      <c r="BO662" s="382">
        <v>662</v>
      </c>
    </row>
    <row r="663" spans="1:67" s="24" customFormat="1" ht="15" customHeight="1" x14ac:dyDescent="0.25">
      <c r="A663" s="288" t="s">
        <v>766</v>
      </c>
      <c r="B663" s="241" t="str">
        <f>HYPERLINK(CONCATENATE($AT$3,BK663,$AU$3),$AV$3)</f>
        <v>S</v>
      </c>
      <c r="C663" s="242" t="str">
        <f>HYPERLINK(CONCATENATE($AT$4,BK663,$AU$4,BL663),$AV$4)</f>
        <v>A</v>
      </c>
      <c r="D663" s="243" t="s">
        <v>5187</v>
      </c>
      <c r="E663" s="244" t="s">
        <v>5179</v>
      </c>
      <c r="F663" s="269">
        <v>6</v>
      </c>
      <c r="G663" s="276">
        <v>240</v>
      </c>
      <c r="H663" s="271" t="s">
        <v>6500</v>
      </c>
      <c r="I663" s="300" t="s">
        <v>6500</v>
      </c>
      <c r="J663" s="246">
        <v>4</v>
      </c>
      <c r="K663" s="247" t="s">
        <v>9363</v>
      </c>
      <c r="L663" s="248">
        <v>154456</v>
      </c>
      <c r="M663" s="249">
        <f>15*(LEFT(TEXT($L663,"000000"),2)+(MID(TEXT($L663,"000000"),3,2)/60)+(RIGHT(TEXT($L663,"000000"),2)/3600))</f>
        <v>236.23333333333332</v>
      </c>
      <c r="N663" s="250">
        <v>-343100</v>
      </c>
      <c r="O663" s="251">
        <f>IF($N663&gt;0,(LEFT(TEXT($N663,"000000"),2)+(MID(TEXT($N663,"000000"),3,2)/60)+(RIGHT(TEXT($N663,"000000"),2)/3600)),-(MID(TEXT($N663,"000000"),2,2)+(MID(TEXT($N663,"000000"),4,2)/60)+(RIGHT(TEXT($N663,"000000"),2)/3600)))</f>
        <v>-34.516666666666666</v>
      </c>
      <c r="P663" s="252" t="s">
        <v>767</v>
      </c>
      <c r="Q663" s="253" t="s">
        <v>6966</v>
      </c>
      <c r="R663" s="247" t="s">
        <v>3293</v>
      </c>
      <c r="S663" s="272" t="s">
        <v>3293</v>
      </c>
      <c r="T663" s="273"/>
      <c r="U663" s="274"/>
      <c r="V663" s="256"/>
      <c r="W663" s="244"/>
      <c r="X663" s="244"/>
      <c r="Y663" s="362"/>
      <c r="Z663" s="257">
        <f>altaz(J2000_Bas,$O663,$M663,DecLat,DecLong,1)</f>
        <v>9.4573850358783389</v>
      </c>
      <c r="AA663" s="257">
        <f>altaz((J2000_Bas+(2*0.04167)),$O663,$M663,DecLat,DecLong,1)</f>
        <v>-9.6382713105607927</v>
      </c>
      <c r="AB663" s="257">
        <f>altaz((J2000_Bas+(4*0.04167)),$O663,$M663,DecLat,DecLong,1)</f>
        <v>-32.187378225923034</v>
      </c>
      <c r="AC663" s="257">
        <f>altaz((J2000_Bas+(6*0.04167)),$O663,$M663,DecLat,DecLong,1)</f>
        <v>-56.414593471938474</v>
      </c>
      <c r="AD663" s="258">
        <f>1+ transit((J2000_Bas-1),$O663,$M663,DecLat,DecLong)/360 + (GMTOffset/24) + (IF(DST="Y", 1, 0)/24)</f>
        <v>1.6491035987130414</v>
      </c>
      <c r="AE663" s="259">
        <f>DATE(2001,9,21)+(M663/360)*365 - (360*((DecLong/360)- (GMTOffset/24) ))</f>
        <v>37399.514351851853</v>
      </c>
      <c r="AF663" s="260">
        <f>IF(DecLat&gt;0,IF((90 - (DecLat-O663))&gt;90, (90 - (O663-DecLat)), (90 - (DecLat-O663))),IF((90 + (DecLat-O663))&gt;90, (90 + (O663-DecLat)), (90 + (DecLat-O663))))</f>
        <v>24.483333333333334</v>
      </c>
      <c r="AG663" s="257">
        <f>angularseperation(MoonRA,MoonDec,$M663,$O663)</f>
        <v>13.401253048038697</v>
      </c>
      <c r="AH663" s="261">
        <f ca="1">MIN(100,IF($O$5&gt;80,0+30*($AG663/100),IF($O$5&gt;70,0+50*($AG663/100),IF($O$5&gt;60,5+50*($AG663/100),IF($O$5&gt;50,10+60*($AG663/100),IF($O$5&gt;40,15+70*($AG663/100),IF($O$5&gt;30,20+70*($AG663/100),IF($O$5&gt;20,40+55*($AG663/100),(80+(20-$O$5)+30*($AG663/100))))))))))</f>
        <v>87.291436258562044</v>
      </c>
      <c r="AI663" s="262"/>
      <c r="AJ663" s="262"/>
      <c r="AK663" s="262"/>
      <c r="AL663" s="263"/>
      <c r="AM663" s="264"/>
      <c r="AN663" s="263"/>
      <c r="AO663" s="263"/>
      <c r="AP663" s="265"/>
      <c r="AQ663" s="266"/>
      <c r="AR663" s="267"/>
      <c r="AS663" s="263"/>
      <c r="AT663" s="263"/>
      <c r="AU663" s="263"/>
      <c r="AV663" s="264"/>
      <c r="AW663" s="263">
        <v>228</v>
      </c>
      <c r="AX663" s="263"/>
      <c r="AY663" s="263"/>
      <c r="AZ663" s="263"/>
      <c r="BA663" s="263"/>
      <c r="BB663" s="263"/>
      <c r="BC663" s="263"/>
      <c r="BD663" s="264"/>
      <c r="BE663" s="263"/>
      <c r="BF663" s="263"/>
      <c r="BG663" s="263"/>
      <c r="BH663" s="263"/>
      <c r="BI663" s="263">
        <v>67</v>
      </c>
      <c r="BJ663" s="404">
        <f>altaz(J2000_Bas,$O663,$M663,DecLat,DecLong,2)</f>
        <v>219.62210252998344</v>
      </c>
      <c r="BK663" s="378" t="s">
        <v>766</v>
      </c>
      <c r="BL663" s="379">
        <f>IF((2*G663)/60&lt;0.2,0.2,(2*G663)/60)</f>
        <v>8</v>
      </c>
      <c r="BM663" s="380">
        <f>MOD((50000+AD663-$B$3+(0/24)),1)</f>
        <v>0.86447052841685945</v>
      </c>
      <c r="BN663" s="381"/>
      <c r="BO663" s="382">
        <v>663</v>
      </c>
    </row>
    <row r="664" spans="1:67" s="24" customFormat="1" ht="15" customHeight="1" x14ac:dyDescent="0.25">
      <c r="A664" s="287" t="s">
        <v>768</v>
      </c>
      <c r="B664" s="241" t="str">
        <f>HYPERLINK(CONCATENATE($AT$3,BK664,$AU$3),$AV$3)</f>
        <v>S</v>
      </c>
      <c r="C664" s="242" t="str">
        <f>HYPERLINK(CONCATENATE($AT$4,BK664,$AU$4,BL664),$AV$4)</f>
        <v>A</v>
      </c>
      <c r="D664" s="243" t="s">
        <v>5187</v>
      </c>
      <c r="E664" s="244" t="s">
        <v>5179</v>
      </c>
      <c r="F664" s="269">
        <v>4</v>
      </c>
      <c r="G664" s="276">
        <v>45</v>
      </c>
      <c r="H664" s="271" t="s">
        <v>6500</v>
      </c>
      <c r="I664" s="244" t="s">
        <v>6500</v>
      </c>
      <c r="J664" s="246">
        <v>0</v>
      </c>
      <c r="K664" s="247" t="s">
        <v>5858</v>
      </c>
      <c r="L664" s="248">
        <v>161740</v>
      </c>
      <c r="M664" s="249">
        <f>15*(LEFT(TEXT($L664,"000000"),2)+(MID(TEXT($L664,"000000"),3,2)/60)+(RIGHT(TEXT($L664,"000000"),2)/3600))</f>
        <v>244.41666666666671</v>
      </c>
      <c r="N664" s="286">
        <v>-271900</v>
      </c>
      <c r="O664" s="251">
        <f>IF($N664&gt;0,(LEFT(TEXT($N664,"000000"),2)+(MID(TEXT($N664,"000000"),3,2)/60)+(RIGHT(TEXT($N664,"000000"),2)/3600)),-(MID(TEXT($N664,"000000"),2,2)+(MID(TEXT($N664,"000000"),4,2)/60)+(RIGHT(TEXT($N664,"000000"),2)/3600)))</f>
        <v>-27.316666666666666</v>
      </c>
      <c r="P664" s="252" t="s">
        <v>109</v>
      </c>
      <c r="Q664" s="253"/>
      <c r="R664" s="277" t="s">
        <v>3293</v>
      </c>
      <c r="S664" s="272" t="s">
        <v>3293</v>
      </c>
      <c r="T664" s="273"/>
      <c r="U664" s="274"/>
      <c r="V664" s="256"/>
      <c r="W664" s="244"/>
      <c r="X664" s="244"/>
      <c r="Y664" s="362"/>
      <c r="Z664" s="257">
        <f>altaz(J2000_Bas,$O664,$M664,DecLat,DecLong,1)</f>
        <v>19.467753539389275</v>
      </c>
      <c r="AA664" s="257">
        <f>altaz((J2000_Bas+(2*0.04167)),$O664,$M664,DecLat,DecLong,1)</f>
        <v>0.18032345321064197</v>
      </c>
      <c r="AB664" s="257">
        <f>altaz((J2000_Bas+(4*0.04167)),$O664,$M664,DecLat,DecLong,1)</f>
        <v>-23.048496612459651</v>
      </c>
      <c r="AC664" s="257">
        <f>altaz((J2000_Bas+(6*0.04167)),$O664,$M664,DecLat,DecLong,1)</f>
        <v>-48.104551019931002</v>
      </c>
      <c r="AD664" s="258">
        <f>1+ transit((J2000_Bas-1),$O664,$M664,DecLat,DecLong)/360 + (GMTOffset/24) + (IF(DST="Y", 1, 0)/24)</f>
        <v>1.6718350779213746</v>
      </c>
      <c r="AE664" s="259">
        <f>DATE(2001,9,21)+(M664/360)*365 - (360*((DecLong/360)- (GMTOffset/24) ))</f>
        <v>37407.811342592591</v>
      </c>
      <c r="AF664" s="260">
        <f>IF(DecLat&gt;0,IF((90 - (DecLat-O664))&gt;90, (90 - (O664-DecLat)), (90 - (DecLat-O664))),IF((90 + (DecLat-O664))&gt;90, (90 + (O664-DecLat)), (90 + (DecLat-O664))))</f>
        <v>31.683333333333337</v>
      </c>
      <c r="AG664" s="257">
        <f>angularseperation(MoonRA,MoonDec,$M664,$O664)</f>
        <v>4.2976650104457574</v>
      </c>
      <c r="AH664" s="261">
        <f ca="1">MIN(100,IF($O$5&gt;80,0+30*($AG664/100),IF($O$5&gt;70,0+50*($AG664/100),IF($O$5&gt;60,5+50*($AG664/100),IF($O$5&gt;50,10+60*($AG664/100),IF($O$5&gt;40,15+70*($AG664/100),IF($O$5&gt;30,20+70*($AG664/100),IF($O$5&gt;20,40+55*($AG664/100),(80+(20-$O$5)+30*($AG664/100))))))))))</f>
        <v>84.560359847284161</v>
      </c>
      <c r="AI664" s="263"/>
      <c r="AJ664" s="263"/>
      <c r="AK664" s="263"/>
      <c r="AL664" s="263"/>
      <c r="AM664" s="264"/>
      <c r="AN664" s="263"/>
      <c r="AO664" s="263"/>
      <c r="AP664" s="265"/>
      <c r="AQ664" s="265"/>
      <c r="AR664" s="285"/>
      <c r="AS664" s="263"/>
      <c r="AT664" s="263"/>
      <c r="AU664" s="263"/>
      <c r="AV664" s="264"/>
      <c r="AW664" s="263">
        <v>229</v>
      </c>
      <c r="AX664" s="263"/>
      <c r="AY664" s="263"/>
      <c r="AZ664" s="263"/>
      <c r="BA664" s="263"/>
      <c r="BB664" s="263"/>
      <c r="BC664" s="263"/>
      <c r="BD664" s="264"/>
      <c r="BE664" s="263"/>
      <c r="BF664" s="263"/>
      <c r="BG664" s="263"/>
      <c r="BH664" s="263"/>
      <c r="BI664" s="263"/>
      <c r="BJ664" s="404">
        <f>altaz(J2000_Bas,$O664,$M664,DecLat,DecLong,2)</f>
        <v>218.7177409478135</v>
      </c>
      <c r="BK664" s="378" t="s">
        <v>768</v>
      </c>
      <c r="BL664" s="379">
        <f>IF((2*G664)/60&lt;0.2,0.2,(2*G664)/60)</f>
        <v>1.5</v>
      </c>
      <c r="BM664" s="380">
        <f>MOD((50000+AD664-$B$3+(0/24)),1)</f>
        <v>0.88720200762327295</v>
      </c>
      <c r="BN664" s="381"/>
      <c r="BO664" s="382">
        <v>664</v>
      </c>
    </row>
    <row r="665" spans="1:67" s="24" customFormat="1" ht="15" customHeight="1" x14ac:dyDescent="0.25">
      <c r="A665" s="287" t="s">
        <v>769</v>
      </c>
      <c r="B665" s="241" t="str">
        <f>HYPERLINK(CONCATENATE($AT$3,BK665,$AU$3),$AV$3)</f>
        <v>S</v>
      </c>
      <c r="C665" s="242" t="str">
        <f>HYPERLINK(CONCATENATE($AT$4,BK665,$AU$4,BL665),$AV$4)</f>
        <v>A</v>
      </c>
      <c r="D665" s="243" t="s">
        <v>5187</v>
      </c>
      <c r="E665" s="244" t="s">
        <v>5179</v>
      </c>
      <c r="F665" s="269">
        <v>0</v>
      </c>
      <c r="G665" s="276">
        <v>60</v>
      </c>
      <c r="H665" s="271" t="s">
        <v>6500</v>
      </c>
      <c r="I665" s="244" t="s">
        <v>6500</v>
      </c>
      <c r="J665" s="246">
        <v>0</v>
      </c>
      <c r="K665" s="247" t="s">
        <v>5859</v>
      </c>
      <c r="L665" s="248">
        <v>162709</v>
      </c>
      <c r="M665" s="249">
        <f>15*(LEFT(TEXT($L665,"000000"),2)+(MID(TEXT($L665,"000000"),3,2)/60)+(RIGHT(TEXT($L665,"000000"),2)/3600))</f>
        <v>246.78750000000002</v>
      </c>
      <c r="N665" s="286">
        <v>-164800</v>
      </c>
      <c r="O665" s="251">
        <f>IF($N665&gt;0,(LEFT(TEXT($N665,"000000"),2)+(MID(TEXT($N665,"000000"),3,2)/60)+(RIGHT(TEXT($N665,"000000"),2)/3600)),-(MID(TEXT($N665,"000000"),2,2)+(MID(TEXT($N665,"000000"),4,2)/60)+(RIGHT(TEXT($N665,"000000"),2)/3600)))</f>
        <v>-16.8</v>
      </c>
      <c r="P665" s="252" t="s">
        <v>113</v>
      </c>
      <c r="Q665" s="253"/>
      <c r="R665" s="277" t="s">
        <v>3293</v>
      </c>
      <c r="S665" s="272" t="s">
        <v>3293</v>
      </c>
      <c r="T665" s="273"/>
      <c r="U665" s="274"/>
      <c r="V665" s="256"/>
      <c r="W665" s="244"/>
      <c r="X665" s="244"/>
      <c r="Y665" s="362"/>
      <c r="Z665" s="257">
        <f>altaz(J2000_Bas,$O665,$M665,DecLat,DecLong,1)</f>
        <v>29.137484366530895</v>
      </c>
      <c r="AA665" s="257">
        <f>altaz((J2000_Bas+(2*0.04167)),$O665,$M665,DecLat,DecLong,1)</f>
        <v>8.1171444143074094</v>
      </c>
      <c r="AB665" s="257">
        <f>altaz((J2000_Bas+(4*0.04167)),$O665,$M665,DecLat,DecLong,1)</f>
        <v>-16.419135983190841</v>
      </c>
      <c r="AC665" s="257">
        <f>altaz((J2000_Bas+(6*0.04167)),$O665,$M665,DecLat,DecLong,1)</f>
        <v>-42.103504795721811</v>
      </c>
      <c r="AD665" s="258">
        <f>1+ transit((J2000_Bas-1),$O665,$M665,DecLat,DecLong)/360 + (GMTOffset/24) + (IF(DST="Y", 1, 0)/24)</f>
        <v>1.6784207254109582</v>
      </c>
      <c r="AE665" s="259">
        <f>DATE(2001,9,21)+(M665/360)*365 - (360*((DecLong/360)- (GMTOffset/24) ))</f>
        <v>37410.215104166666</v>
      </c>
      <c r="AF665" s="260">
        <f>IF(DecLat&gt;0,IF((90 - (DecLat-O665))&gt;90, (90 - (O665-DecLat)), (90 - (DecLat-O665))),IF((90 + (DecLat-O665))&gt;90, (90 + (O665-DecLat)), (90 + (DecLat-O665))))</f>
        <v>42.2</v>
      </c>
      <c r="AG665" s="257">
        <f>angularseperation(MoonRA,MoonDec,$M665,$O665)</f>
        <v>10.532081642555477</v>
      </c>
      <c r="AH665" s="261">
        <f ca="1">MIN(100,IF($O$5&gt;80,0+30*($AG665/100),IF($O$5&gt;70,0+50*($AG665/100),IF($O$5&gt;60,5+50*($AG665/100),IF($O$5&gt;50,10+60*($AG665/100),IF($O$5&gt;40,15+70*($AG665/100),IF($O$5&gt;30,20+70*($AG665/100),IF($O$5&gt;20,40+55*($AG665/100),(80+(20-$O$5)+30*($AG665/100))))))))))</f>
        <v>86.430684836917067</v>
      </c>
      <c r="AI665" s="263"/>
      <c r="AJ665" s="263"/>
      <c r="AK665" s="263"/>
      <c r="AL665" s="263"/>
      <c r="AM665" s="264"/>
      <c r="AN665" s="263"/>
      <c r="AO665" s="263"/>
      <c r="AP665" s="265"/>
      <c r="AQ665" s="265"/>
      <c r="AR665" s="285"/>
      <c r="AS665" s="263"/>
      <c r="AT665" s="263"/>
      <c r="AU665" s="263"/>
      <c r="AV665" s="264"/>
      <c r="AW665" s="263">
        <v>230</v>
      </c>
      <c r="AX665" s="263"/>
      <c r="AY665" s="263"/>
      <c r="AZ665" s="263"/>
      <c r="BA665" s="263"/>
      <c r="BB665" s="263"/>
      <c r="BC665" s="263"/>
      <c r="BD665" s="264"/>
      <c r="BE665" s="263"/>
      <c r="BF665" s="263"/>
      <c r="BG665" s="263"/>
      <c r="BH665" s="263"/>
      <c r="BI665" s="263"/>
      <c r="BJ665" s="404">
        <f>altaz(J2000_Bas,$O665,$M665,DecLat,DecLong,2)</f>
        <v>223.86316987873383</v>
      </c>
      <c r="BK665" s="378" t="s">
        <v>769</v>
      </c>
      <c r="BL665" s="379">
        <f>IF((2*G665)/60&lt;0.2,0.2,(2*G665)/60)</f>
        <v>2</v>
      </c>
      <c r="BM665" s="380">
        <f>MOD((50000+AD665-$B$3+(0/24)),1)</f>
        <v>0.89378765511355596</v>
      </c>
      <c r="BN665" s="381"/>
      <c r="BO665" s="382">
        <v>665</v>
      </c>
    </row>
    <row r="666" spans="1:67" s="24" customFormat="1" ht="15" customHeight="1" x14ac:dyDescent="0.25">
      <c r="A666" s="287" t="s">
        <v>770</v>
      </c>
      <c r="B666" s="241" t="str">
        <f>HYPERLINK(CONCATENATE($AT$3,BK666,$AU$3),$AV$3)</f>
        <v>S</v>
      </c>
      <c r="C666" s="242" t="str">
        <f>HYPERLINK(CONCATENATE($AT$4,BK666,$AU$4,BL666),$AV$4)</f>
        <v>A</v>
      </c>
      <c r="D666" s="243" t="s">
        <v>5187</v>
      </c>
      <c r="E666" s="244" t="s">
        <v>5179</v>
      </c>
      <c r="F666" s="269">
        <v>6</v>
      </c>
      <c r="G666" s="276">
        <v>30</v>
      </c>
      <c r="H666" s="271" t="s">
        <v>6500</v>
      </c>
      <c r="I666" s="244" t="s">
        <v>6500</v>
      </c>
      <c r="J666" s="246">
        <v>2</v>
      </c>
      <c r="K666" s="247" t="s">
        <v>5860</v>
      </c>
      <c r="L666" s="248">
        <v>163823</v>
      </c>
      <c r="M666" s="249">
        <f>15*(LEFT(TEXT($L666,"000000"),2)+(MID(TEXT($L666,"000000"),3,2)/60)+(RIGHT(TEXT($L666,"000000"),2)/3600))</f>
        <v>249.59583333333333</v>
      </c>
      <c r="N666" s="286">
        <v>-352600</v>
      </c>
      <c r="O666" s="251">
        <f>IF($N666&gt;0,(LEFT(TEXT($N666,"000000"),2)+(MID(TEXT($N666,"000000"),3,2)/60)+(RIGHT(TEXT($N666,"000000"),2)/3600)),-(MID(TEXT($N666,"000000"),2,2)+(MID(TEXT($N666,"000000"),4,2)/60)+(RIGHT(TEXT($N666,"000000"),2)/3600)))</f>
        <v>-35.43333333333333</v>
      </c>
      <c r="P666" s="252" t="s">
        <v>109</v>
      </c>
      <c r="Q666" s="253"/>
      <c r="R666" s="277" t="s">
        <v>3293</v>
      </c>
      <c r="S666" s="272" t="s">
        <v>3293</v>
      </c>
      <c r="T666" s="273"/>
      <c r="U666" s="274"/>
      <c r="V666" s="256"/>
      <c r="W666" s="244"/>
      <c r="X666" s="244"/>
      <c r="Y666" s="362"/>
      <c r="Z666" s="257">
        <f>altaz(J2000_Bas,$O666,$M666,DecLat,DecLong,1)</f>
        <v>15.27797269604126</v>
      </c>
      <c r="AA666" s="257">
        <f>altaz((J2000_Bas+(2*0.04167)),$O666,$M666,DecLat,DecLong,1)</f>
        <v>-1.1464576799307684</v>
      </c>
      <c r="AB666" s="257">
        <f>altaz((J2000_Bas+(4*0.04167)),$O666,$M666,DecLat,DecLong,1)</f>
        <v>-22.245595673439681</v>
      </c>
      <c r="AC666" s="257">
        <f>altaz((J2000_Bas+(6*0.04167)),$O666,$M666,DecLat,DecLong,1)</f>
        <v>-45.69220334161669</v>
      </c>
      <c r="AD666" s="258">
        <f>1+ transit((J2000_Bas-1),$O666,$M666,DecLat,DecLong)/360 + (GMTOffset/24) + (IF(DST="Y", 1, 0)/24)</f>
        <v>1.6862216505567915</v>
      </c>
      <c r="AE666" s="259">
        <f>DATE(2001,9,21)+(M666/360)*365 - (360*((DecLong/360)- (GMTOffset/24) ))</f>
        <v>37413.062442129631</v>
      </c>
      <c r="AF666" s="260">
        <f>IF(DecLat&gt;0,IF((90 - (DecLat-O666))&gt;90, (90 - (O666-DecLat)), (90 - (DecLat-O666))),IF((90 + (DecLat-O666))&gt;90, (90 + (O666-DecLat)), (90 + (DecLat-O666))))</f>
        <v>23.566666666666663</v>
      </c>
      <c r="AG666" s="257">
        <f>angularseperation(MoonRA,MoonDec,$M666,$O666)</f>
        <v>8.3546994766906622</v>
      </c>
      <c r="AH666" s="261">
        <f ca="1">MIN(100,IF($O$5&gt;80,0+30*($AG666/100),IF($O$5&gt;70,0+50*($AG666/100),IF($O$5&gt;60,5+50*($AG666/100),IF($O$5&gt;50,10+60*($AG666/100),IF($O$5&gt;40,15+70*($AG666/100),IF($O$5&gt;30,20+70*($AG666/100),IF($O$5&gt;20,40+55*($AG666/100),(80+(20-$O$5)+30*($AG666/100))))))))))</f>
        <v>85.777470187157633</v>
      </c>
      <c r="AI666" s="263"/>
      <c r="AJ666" s="263"/>
      <c r="AK666" s="263"/>
      <c r="AL666" s="263"/>
      <c r="AM666" s="264"/>
      <c r="AN666" s="263"/>
      <c r="AO666" s="263"/>
      <c r="AP666" s="265"/>
      <c r="AQ666" s="265"/>
      <c r="AR666" s="285"/>
      <c r="AS666" s="263"/>
      <c r="AT666" s="263"/>
      <c r="AU666" s="263"/>
      <c r="AV666" s="264"/>
      <c r="AW666" s="263">
        <v>231</v>
      </c>
      <c r="AX666" s="263"/>
      <c r="AY666" s="263"/>
      <c r="AZ666" s="263"/>
      <c r="BA666" s="263"/>
      <c r="BB666" s="263"/>
      <c r="BC666" s="263"/>
      <c r="BD666" s="264"/>
      <c r="BE666" s="263"/>
      <c r="BF666" s="263"/>
      <c r="BG666" s="263"/>
      <c r="BH666" s="263"/>
      <c r="BI666" s="263"/>
      <c r="BJ666" s="404">
        <f>altaz(J2000_Bas,$O666,$M666,DecLat,DecLong,2)</f>
        <v>210.08648827099077</v>
      </c>
      <c r="BK666" s="378" t="s">
        <v>770</v>
      </c>
      <c r="BL666" s="379">
        <f>IF((2*G666)/60&lt;0.2,0.2,(2*G666)/60)</f>
        <v>1</v>
      </c>
      <c r="BM666" s="380">
        <f>MOD((50000+AD666-$B$3+(0/24)),1)</f>
        <v>0.90158858025824884</v>
      </c>
      <c r="BN666" s="381"/>
      <c r="BO666" s="382">
        <v>666</v>
      </c>
    </row>
    <row r="667" spans="1:67" s="24" customFormat="1" ht="15" customHeight="1" x14ac:dyDescent="0.25">
      <c r="A667" s="287" t="s">
        <v>771</v>
      </c>
      <c r="B667" s="241" t="str">
        <f>HYPERLINK(CONCATENATE($AT$3,BK667,$AU$3),$AV$3)</f>
        <v>S</v>
      </c>
      <c r="C667" s="242" t="str">
        <f>HYPERLINK(CONCATENATE($AT$4,BK667,$AU$4,BL667),$AV$4)</f>
        <v>A</v>
      </c>
      <c r="D667" s="243" t="s">
        <v>5187</v>
      </c>
      <c r="E667" s="244" t="s">
        <v>5179</v>
      </c>
      <c r="F667" s="269">
        <v>0</v>
      </c>
      <c r="G667" s="276">
        <v>10</v>
      </c>
      <c r="H667" s="271" t="s">
        <v>6500</v>
      </c>
      <c r="I667" s="244" t="s">
        <v>6500</v>
      </c>
      <c r="J667" s="246">
        <v>1</v>
      </c>
      <c r="K667" s="247" t="s">
        <v>5861</v>
      </c>
      <c r="L667" s="248">
        <v>164343</v>
      </c>
      <c r="M667" s="249">
        <f>15*(LEFT(TEXT($L667,"000000"),2)+(MID(TEXT($L667,"000000"),3,2)/60)+(RIGHT(TEXT($L667,"000000"),2)/3600))</f>
        <v>250.92916666666665</v>
      </c>
      <c r="N667" s="286">
        <v>-395000</v>
      </c>
      <c r="O667" s="251">
        <f>IF($N667&gt;0,(LEFT(TEXT($N667,"000000"),2)+(MID(TEXT($N667,"000000"),3,2)/60)+(RIGHT(TEXT($N667,"000000"),2)/3600)),-(MID(TEXT($N667,"000000"),2,2)+(MID(TEXT($N667,"000000"),4,2)/60)+(RIGHT(TEXT($N667,"000000"),2)/3600)))</f>
        <v>-39.833333333333336</v>
      </c>
      <c r="P667" s="252" t="s">
        <v>109</v>
      </c>
      <c r="Q667" s="253"/>
      <c r="R667" s="277" t="s">
        <v>3293</v>
      </c>
      <c r="S667" s="272" t="s">
        <v>3293</v>
      </c>
      <c r="T667" s="273"/>
      <c r="U667" s="274"/>
      <c r="V667" s="256"/>
      <c r="W667" s="244"/>
      <c r="X667" s="244"/>
      <c r="Y667" s="362"/>
      <c r="Z667" s="257">
        <f>altaz(J2000_Bas,$O667,$M667,DecLat,DecLong,1)</f>
        <v>12.051654743841057</v>
      </c>
      <c r="AA667" s="257">
        <f>altaz((J2000_Bas+(2*0.04167)),$O667,$M667,DecLat,DecLong,1)</f>
        <v>-3.0597848717251512</v>
      </c>
      <c r="AB667" s="257">
        <f>altaz((J2000_Bas+(4*0.04167)),$O667,$M667,DecLat,DecLong,1)</f>
        <v>-22.957903722898159</v>
      </c>
      <c r="AC667" s="257">
        <f>altaz((J2000_Bas+(6*0.04167)),$O667,$M667,DecLat,DecLong,1)</f>
        <v>-45.277823369266983</v>
      </c>
      <c r="AD667" s="258">
        <f>1+ transit((J2000_Bas-1),$O667,$M667,DecLat,DecLong)/360 + (GMTOffset/24) + (IF(DST="Y", 1, 0)/24)</f>
        <v>1.6899253538901247</v>
      </c>
      <c r="AE667" s="259">
        <f>DATE(2001,9,21)+(M667/360)*365 - (360*((DecLong/360)- (GMTOffset/24) ))</f>
        <v>37414.414293981485</v>
      </c>
      <c r="AF667" s="260">
        <f>IF(DecLat&gt;0,IF((90 - (DecLat-O667))&gt;90, (90 - (O667-DecLat)), (90 - (DecLat-O667))),IF((90 + (DecLat-O667))&gt;90, (90 + (O667-DecLat)), (90 + (DecLat-O667))))</f>
        <v>19.166666666666657</v>
      </c>
      <c r="AG667" s="257">
        <f>angularseperation(MoonRA,MoonDec,$M667,$O667)</f>
        <v>12.825974326123996</v>
      </c>
      <c r="AH667" s="261">
        <f ca="1">MIN(100,IF($O$5&gt;80,0+30*($AG667/100),IF($O$5&gt;70,0+50*($AG667/100),IF($O$5&gt;60,5+50*($AG667/100),IF($O$5&gt;50,10+60*($AG667/100),IF($O$5&gt;40,15+70*($AG667/100),IF($O$5&gt;30,20+70*($AG667/100),IF($O$5&gt;20,40+55*($AG667/100),(80+(20-$O$5)+30*($AG667/100))))))))))</f>
        <v>87.11885264198763</v>
      </c>
      <c r="AI667" s="263"/>
      <c r="AJ667" s="263"/>
      <c r="AK667" s="263"/>
      <c r="AL667" s="263"/>
      <c r="AM667" s="264"/>
      <c r="AN667" s="263"/>
      <c r="AO667" s="263"/>
      <c r="AP667" s="265"/>
      <c r="AQ667" s="265"/>
      <c r="AR667" s="285"/>
      <c r="AS667" s="263"/>
      <c r="AT667" s="263"/>
      <c r="AU667" s="263"/>
      <c r="AV667" s="264"/>
      <c r="AW667" s="263">
        <v>232</v>
      </c>
      <c r="AX667" s="263"/>
      <c r="AY667" s="263"/>
      <c r="AZ667" s="263"/>
      <c r="BA667" s="263"/>
      <c r="BB667" s="263"/>
      <c r="BC667" s="263"/>
      <c r="BD667" s="264"/>
      <c r="BE667" s="263"/>
      <c r="BF667" s="263"/>
      <c r="BG667" s="263"/>
      <c r="BH667" s="263"/>
      <c r="BI667" s="263"/>
      <c r="BJ667" s="404">
        <f>altaz(J2000_Bas,$O667,$M667,DecLat,DecLong,2)</f>
        <v>206.82111742319151</v>
      </c>
      <c r="BK667" s="378" t="s">
        <v>771</v>
      </c>
      <c r="BL667" s="379">
        <f>IF((2*G667)/60&lt;0.2,0.2,(2*G667)/60)</f>
        <v>0.33333333333333331</v>
      </c>
      <c r="BM667" s="380">
        <f>MOD((50000+AD667-$B$3+(0/24)),1)</f>
        <v>0.90529228359082481</v>
      </c>
      <c r="BN667" s="381"/>
      <c r="BO667" s="382">
        <v>667</v>
      </c>
    </row>
    <row r="668" spans="1:67" s="24" customFormat="1" ht="15" customHeight="1" x14ac:dyDescent="0.25">
      <c r="A668" s="287" t="s">
        <v>772</v>
      </c>
      <c r="B668" s="241" t="str">
        <f>HYPERLINK(CONCATENATE($AT$3,BK668,$AU$3),$AV$3)</f>
        <v>S</v>
      </c>
      <c r="C668" s="242" t="str">
        <f>HYPERLINK(CONCATENATE($AT$4,BK668,$AU$4,BL668),$AV$4)</f>
        <v>A</v>
      </c>
      <c r="D668" s="243" t="s">
        <v>5187</v>
      </c>
      <c r="E668" s="244" t="s">
        <v>5179</v>
      </c>
      <c r="F668" s="269">
        <v>5</v>
      </c>
      <c r="G668" s="276">
        <v>55</v>
      </c>
      <c r="H668" s="271" t="s">
        <v>6500</v>
      </c>
      <c r="I668" s="244" t="s">
        <v>6500</v>
      </c>
      <c r="J668" s="246">
        <v>1</v>
      </c>
      <c r="K668" s="247" t="s">
        <v>5862</v>
      </c>
      <c r="L668" s="248">
        <v>164444</v>
      </c>
      <c r="M668" s="249">
        <f>15*(LEFT(TEXT($L668,"000000"),2)+(MID(TEXT($L668,"000000"),3,2)/60)+(RIGHT(TEXT($L668,"000000"),2)/3600))</f>
        <v>251.18333333333334</v>
      </c>
      <c r="N668" s="286">
        <v>-352500</v>
      </c>
      <c r="O668" s="251">
        <f>IF($N668&gt;0,(LEFT(TEXT($N668,"000000"),2)+(MID(TEXT($N668,"000000"),3,2)/60)+(RIGHT(TEXT($N668,"000000"),2)/3600)),-(MID(TEXT($N668,"000000"),2,2)+(MID(TEXT($N668,"000000"),4,2)/60)+(RIGHT(TEXT($N668,"000000"),2)/3600)))</f>
        <v>-35.416666666666664</v>
      </c>
      <c r="P668" s="252" t="s">
        <v>109</v>
      </c>
      <c r="Q668" s="253"/>
      <c r="R668" s="277" t="s">
        <v>3293</v>
      </c>
      <c r="S668" s="272" t="s">
        <v>3293</v>
      </c>
      <c r="T668" s="273"/>
      <c r="U668" s="274"/>
      <c r="V668" s="256"/>
      <c r="W668" s="244"/>
      <c r="X668" s="244"/>
      <c r="Y668" s="362"/>
      <c r="Z668" s="257">
        <f>altaz(J2000_Bas,$O668,$M668,DecLat,DecLong,1)</f>
        <v>15.962658127979688</v>
      </c>
      <c r="AA668" s="257">
        <f>altaz((J2000_Bas+(2*0.04167)),$O668,$M668,DecLat,DecLong,1)</f>
        <v>-0.12542661822695755</v>
      </c>
      <c r="AB668" s="257">
        <f>altaz((J2000_Bas+(4*0.04167)),$O668,$M668,DecLat,DecLong,1)</f>
        <v>-21.052059040513999</v>
      </c>
      <c r="AC668" s="257">
        <f>altaz((J2000_Bas+(6*0.04167)),$O668,$M668,DecLat,DecLong,1)</f>
        <v>-44.417173930665648</v>
      </c>
      <c r="AD668" s="258">
        <f>1+ transit((J2000_Bas-1),$O668,$M668,DecLat,DecLong)/360 + (GMTOffset/24) + (IF(DST="Y", 1, 0)/24)</f>
        <v>1.6906313723380413</v>
      </c>
      <c r="AE668" s="259">
        <f>DATE(2001,9,21)+(M668/360)*365 - (360*((DecLong/360)- (GMTOffset/24) ))</f>
        <v>37414.671990740739</v>
      </c>
      <c r="AF668" s="260">
        <f>IF(DecLat&gt;0,IF((90 - (DecLat-O668))&gt;90, (90 - (O668-DecLat)), (90 - (DecLat-O668))),IF((90 + (DecLat-O668))&gt;90, (90 + (O668-DecLat)), (90 + (DecLat-O668))))</f>
        <v>23.583333333333343</v>
      </c>
      <c r="AG668" s="257">
        <f>angularseperation(MoonRA,MoonDec,$M668,$O668)</f>
        <v>8.4956582236849219</v>
      </c>
      <c r="AH668" s="261">
        <f ca="1">MIN(100,IF($O$5&gt;80,0+30*($AG668/100),IF($O$5&gt;70,0+50*($AG668/100),IF($O$5&gt;60,5+50*($AG668/100),IF($O$5&gt;50,10+60*($AG668/100),IF($O$5&gt;40,15+70*($AG668/100),IF($O$5&gt;30,20+70*($AG668/100),IF($O$5&gt;20,40+55*($AG668/100),(80+(20-$O$5)+30*($AG668/100))))))))))</f>
        <v>85.819757811255897</v>
      </c>
      <c r="AI668" s="263"/>
      <c r="AJ668" s="263"/>
      <c r="AK668" s="263"/>
      <c r="AL668" s="263"/>
      <c r="AM668" s="264"/>
      <c r="AN668" s="263"/>
      <c r="AO668" s="263"/>
      <c r="AP668" s="265"/>
      <c r="AQ668" s="265"/>
      <c r="AR668" s="285"/>
      <c r="AS668" s="263"/>
      <c r="AT668" s="263"/>
      <c r="AU668" s="263"/>
      <c r="AV668" s="264"/>
      <c r="AW668" s="263">
        <v>233</v>
      </c>
      <c r="AX668" s="263"/>
      <c r="AY668" s="263"/>
      <c r="AZ668" s="263"/>
      <c r="BA668" s="263"/>
      <c r="BB668" s="263"/>
      <c r="BC668" s="263"/>
      <c r="BD668" s="264"/>
      <c r="BE668" s="263"/>
      <c r="BF668" s="263"/>
      <c r="BG668" s="263"/>
      <c r="BH668" s="263"/>
      <c r="BI668" s="263"/>
      <c r="BJ668" s="404">
        <f>altaz(J2000_Bas,$O668,$M668,DecLat,DecLong,2)</f>
        <v>208.94671123516565</v>
      </c>
      <c r="BK668" s="378" t="s">
        <v>772</v>
      </c>
      <c r="BL668" s="379">
        <f>IF((2*G668)/60&lt;0.2,0.2,(2*G668)/60)</f>
        <v>1.8333333333333333</v>
      </c>
      <c r="BM668" s="380">
        <f>MOD((50000+AD668-$B$3+(0/24)),1)</f>
        <v>0.90599830204155296</v>
      </c>
      <c r="BN668" s="381"/>
      <c r="BO668" s="382">
        <v>668</v>
      </c>
    </row>
    <row r="669" spans="1:67" s="24" customFormat="1" ht="15" customHeight="1" x14ac:dyDescent="0.25">
      <c r="A669" s="287" t="s">
        <v>773</v>
      </c>
      <c r="B669" s="241" t="str">
        <f>HYPERLINK(CONCATENATE($AT$3,BK669,$AU$3),$AV$3)</f>
        <v>S</v>
      </c>
      <c r="C669" s="242" t="str">
        <f>HYPERLINK(CONCATENATE($AT$4,BK669,$AU$4,BL669),$AV$4)</f>
        <v>A</v>
      </c>
      <c r="D669" s="243" t="s">
        <v>5187</v>
      </c>
      <c r="E669" s="244" t="s">
        <v>5179</v>
      </c>
      <c r="F669" s="269">
        <v>1</v>
      </c>
      <c r="G669" s="276">
        <v>30</v>
      </c>
      <c r="H669" s="271" t="s">
        <v>6500</v>
      </c>
      <c r="I669" s="244" t="s">
        <v>6500</v>
      </c>
      <c r="J669" s="246">
        <v>0</v>
      </c>
      <c r="K669" s="247" t="s">
        <v>5863</v>
      </c>
      <c r="L669" s="248">
        <v>164626</v>
      </c>
      <c r="M669" s="249">
        <f>15*(LEFT(TEXT($L669,"000000"),2)+(MID(TEXT($L669,"000000"),3,2)/60)+(RIGHT(TEXT($L669,"000000"),2)/3600))</f>
        <v>251.60833333333332</v>
      </c>
      <c r="N669" s="286">
        <v>-303000</v>
      </c>
      <c r="O669" s="251">
        <f>IF($N669&gt;0,(LEFT(TEXT($N669,"000000"),2)+(MID(TEXT($N669,"000000"),3,2)/60)+(RIGHT(TEXT($N669,"000000"),2)/3600)),-(MID(TEXT($N669,"000000"),2,2)+(MID(TEXT($N669,"000000"),4,2)/60)+(RIGHT(TEXT($N669,"000000"),2)/3600)))</f>
        <v>-30.5</v>
      </c>
      <c r="P669" s="252" t="s">
        <v>109</v>
      </c>
      <c r="Q669" s="253"/>
      <c r="R669" s="277" t="s">
        <v>3293</v>
      </c>
      <c r="S669" s="272" t="s">
        <v>3293</v>
      </c>
      <c r="T669" s="273"/>
      <c r="U669" s="274"/>
      <c r="V669" s="256"/>
      <c r="W669" s="244"/>
      <c r="X669" s="244"/>
      <c r="Y669" s="362"/>
      <c r="Z669" s="257">
        <f>altaz(J2000_Bas,$O669,$M669,DecLat,DecLong,1)</f>
        <v>20.367239952079988</v>
      </c>
      <c r="AA669" s="257">
        <f>altaz((J2000_Bas+(2*0.04167)),$O669,$M669,DecLat,DecLong,1)</f>
        <v>3.2563270340181725</v>
      </c>
      <c r="AB669" s="257">
        <f>altaz((J2000_Bas+(4*0.04167)),$O669,$M669,DecLat,DecLong,1)</f>
        <v>-18.672771152573048</v>
      </c>
      <c r="AC669" s="257">
        <f>altaz((J2000_Bas+(6*0.04167)),$O669,$M669,DecLat,DecLong,1)</f>
        <v>-42.945063989758978</v>
      </c>
      <c r="AD669" s="258">
        <f>1+ transit((J2000_Bas-1),$O669,$M669,DecLat,DecLong)/360 + (GMTOffset/24) + (IF(DST="Y", 1, 0)/24)</f>
        <v>1.6918119277755412</v>
      </c>
      <c r="AE669" s="259">
        <f>DATE(2001,9,21)+(M669/360)*365 - (360*((DecLong/360)- (GMTOffset/24) ))</f>
        <v>37415.102893518517</v>
      </c>
      <c r="AF669" s="260">
        <f>IF(DecLat&gt;0,IF((90 - (DecLat-O669))&gt;90, (90 - (O669-DecLat)), (90 - (DecLat-O669))),IF((90 + (DecLat-O669))&gt;90, (90 + (O669-DecLat)), (90 + (DecLat-O669))))</f>
        <v>28.5</v>
      </c>
      <c r="AG669" s="257">
        <f>angularseperation(MoonRA,MoonDec,$M669,$O669)</f>
        <v>3.9958454953278686</v>
      </c>
      <c r="AH669" s="261">
        <f ca="1">MIN(100,IF($O$5&gt;80,0+30*($AG669/100),IF($O$5&gt;70,0+50*($AG669/100),IF($O$5&gt;60,5+50*($AG669/100),IF($O$5&gt;50,10+60*($AG669/100),IF($O$5&gt;40,15+70*($AG669/100),IF($O$5&gt;30,20+70*($AG669/100),IF($O$5&gt;20,40+55*($AG669/100),(80+(20-$O$5)+30*($AG669/100))))))))))</f>
        <v>84.469813992748783</v>
      </c>
      <c r="AI669" s="263"/>
      <c r="AJ669" s="263"/>
      <c r="AK669" s="263"/>
      <c r="AL669" s="263"/>
      <c r="AM669" s="264"/>
      <c r="AN669" s="263"/>
      <c r="AO669" s="263"/>
      <c r="AP669" s="265"/>
      <c r="AQ669" s="265"/>
      <c r="AR669" s="285"/>
      <c r="AS669" s="263"/>
      <c r="AT669" s="263"/>
      <c r="AU669" s="263"/>
      <c r="AV669" s="264"/>
      <c r="AW669" s="263">
        <v>234</v>
      </c>
      <c r="AX669" s="263"/>
      <c r="AY669" s="263"/>
      <c r="AZ669" s="263"/>
      <c r="BA669" s="263"/>
      <c r="BB669" s="263"/>
      <c r="BC669" s="263"/>
      <c r="BD669" s="264"/>
      <c r="BE669" s="263"/>
      <c r="BF669" s="263"/>
      <c r="BG669" s="263"/>
      <c r="BH669" s="263"/>
      <c r="BI669" s="263"/>
      <c r="BJ669" s="404">
        <f>altaz(J2000_Bas,$O669,$M669,DecLat,DecLong,2)</f>
        <v>211.27724771407898</v>
      </c>
      <c r="BK669" s="378" t="s">
        <v>773</v>
      </c>
      <c r="BL669" s="379">
        <f>IF((2*G669)/60&lt;0.2,0.2,(2*G669)/60)</f>
        <v>1</v>
      </c>
      <c r="BM669" s="380">
        <f>MOD((50000+AD669-$B$3+(0/24)),1)</f>
        <v>0.90717885748017579</v>
      </c>
      <c r="BN669" s="381"/>
      <c r="BO669" s="382">
        <v>669</v>
      </c>
    </row>
    <row r="670" spans="1:67" s="24" customFormat="1" ht="15" customHeight="1" x14ac:dyDescent="0.25">
      <c r="A670" s="287" t="s">
        <v>774</v>
      </c>
      <c r="B670" s="241" t="str">
        <f>HYPERLINK(CONCATENATE($AT$3,BK670,$AU$3),$AV$3)</f>
        <v>S</v>
      </c>
      <c r="C670" s="242" t="str">
        <f>HYPERLINK(CONCATENATE($AT$4,BK670,$AU$4,BL670),$AV$4)</f>
        <v>A</v>
      </c>
      <c r="D670" s="243" t="s">
        <v>5187</v>
      </c>
      <c r="E670" s="244" t="s">
        <v>5179</v>
      </c>
      <c r="F670" s="269">
        <v>6</v>
      </c>
      <c r="G670" s="273">
        <v>7</v>
      </c>
      <c r="H670" s="271" t="s">
        <v>6500</v>
      </c>
      <c r="I670" s="244" t="s">
        <v>6500</v>
      </c>
      <c r="J670" s="246">
        <v>2</v>
      </c>
      <c r="K670" s="247" t="s">
        <v>5864</v>
      </c>
      <c r="L670" s="248">
        <v>164705</v>
      </c>
      <c r="M670" s="249">
        <f>15*(LEFT(TEXT($L670,"000000"),2)+(MID(TEXT($L670,"000000"),3,2)/60)+(RIGHT(TEXT($L670,"000000"),2)/3600))</f>
        <v>251.77083333333337</v>
      </c>
      <c r="N670" s="286">
        <v>-443000</v>
      </c>
      <c r="O670" s="251">
        <f>IF($N670&gt;0,(LEFT(TEXT($N670,"000000"),2)+(MID(TEXT($N670,"000000"),3,2)/60)+(RIGHT(TEXT($N670,"000000"),2)/3600)),-(MID(TEXT($N670,"000000"),2,2)+(MID(TEXT($N670,"000000"),4,2)/60)+(RIGHT(TEXT($N670,"000000"),2)/3600)))</f>
        <v>-44.5</v>
      </c>
      <c r="P670" s="252" t="s">
        <v>109</v>
      </c>
      <c r="Q670" s="253"/>
      <c r="R670" s="277" t="s">
        <v>3293</v>
      </c>
      <c r="S670" s="272" t="s">
        <v>3293</v>
      </c>
      <c r="T670" s="273"/>
      <c r="U670" s="274"/>
      <c r="V670" s="256"/>
      <c r="W670" s="244"/>
      <c r="X670" s="244"/>
      <c r="Y670" s="362"/>
      <c r="Z670" s="257">
        <f>altaz(J2000_Bas,$O670,$M670,DecLat,DecLong,1)</f>
        <v>8.3066257391368357</v>
      </c>
      <c r="AA670" s="257">
        <f>altaz((J2000_Bas+(2*0.04167)),$O670,$M670,DecLat,DecLong,1)</f>
        <v>-5.5102455605298157</v>
      </c>
      <c r="AB670" s="257">
        <f>altaz((J2000_Bas+(4*0.04167)),$O670,$M670,DecLat,DecLong,1)</f>
        <v>-24.073513046864182</v>
      </c>
      <c r="AC670" s="257">
        <f>altaz((J2000_Bas+(6*0.04167)),$O670,$M670,DecLat,DecLong,1)</f>
        <v>-45.003775146554887</v>
      </c>
      <c r="AD670" s="258">
        <f>1+ transit((J2000_Bas-1),$O670,$M670,DecLat,DecLong)/360 + (GMTOffset/24) + (IF(DST="Y", 1, 0)/24)</f>
        <v>1.6922633166192915</v>
      </c>
      <c r="AE670" s="259">
        <f>DATE(2001,9,21)+(M670/360)*365 - (360*((DecLong/360)- (GMTOffset/24) ))</f>
        <v>37415.267650462964</v>
      </c>
      <c r="AF670" s="260">
        <f>IF(DecLat&gt;0,IF((90 - (DecLat-O670))&gt;90, (90 - (O670-DecLat)), (90 - (DecLat-O670))),IF((90 + (DecLat-O670))&gt;90, (90 + (O670-DecLat)), (90 + (DecLat-O670))))</f>
        <v>14.5</v>
      </c>
      <c r="AG670" s="257">
        <f>angularseperation(MoonRA,MoonDec,$M670,$O670)</f>
        <v>17.533913649233241</v>
      </c>
      <c r="AH670" s="261">
        <f ca="1">MIN(100,IF($O$5&gt;80,0+30*($AG670/100),IF($O$5&gt;70,0+50*($AG670/100),IF($O$5&gt;60,5+50*($AG670/100),IF($O$5&gt;50,10+60*($AG670/100),IF($O$5&gt;40,15+70*($AG670/100),IF($O$5&gt;30,20+70*($AG670/100),IF($O$5&gt;20,40+55*($AG670/100),(80+(20-$O$5)+30*($AG670/100))))))))))</f>
        <v>88.531234438920393</v>
      </c>
      <c r="AI670" s="263"/>
      <c r="AJ670" s="263"/>
      <c r="AK670" s="263"/>
      <c r="AL670" s="263"/>
      <c r="AM670" s="264"/>
      <c r="AN670" s="263"/>
      <c r="AO670" s="263"/>
      <c r="AP670" s="265"/>
      <c r="AQ670" s="265"/>
      <c r="AR670" s="285"/>
      <c r="AS670" s="263"/>
      <c r="AT670" s="263"/>
      <c r="AU670" s="263"/>
      <c r="AV670" s="264"/>
      <c r="AW670" s="263">
        <v>235</v>
      </c>
      <c r="AX670" s="263"/>
      <c r="AY670" s="263"/>
      <c r="AZ670" s="263"/>
      <c r="BA670" s="263"/>
      <c r="BB670" s="263"/>
      <c r="BC670" s="263"/>
      <c r="BD670" s="264"/>
      <c r="BE670" s="263"/>
      <c r="BF670" s="263"/>
      <c r="BG670" s="263"/>
      <c r="BH670" s="263"/>
      <c r="BI670" s="263"/>
      <c r="BJ670" s="404">
        <f>altaz(J2000_Bas,$O670,$M670,DecLat,DecLong,2)</f>
        <v>203.92167617131651</v>
      </c>
      <c r="BK670" s="378" t="s">
        <v>774</v>
      </c>
      <c r="BL670" s="379">
        <f>IF((2*G670)/60&lt;0.2,0.2,(2*G670)/60)</f>
        <v>0.23333333333333334</v>
      </c>
      <c r="BM670" s="380">
        <f>MOD((50000+AD670-$B$3+(0/24)),1)</f>
        <v>0.90763024632178713</v>
      </c>
      <c r="BN670" s="381"/>
      <c r="BO670" s="382">
        <v>670</v>
      </c>
    </row>
    <row r="671" spans="1:67" s="24" customFormat="1" ht="15" customHeight="1" x14ac:dyDescent="0.25">
      <c r="A671" s="287" t="s">
        <v>775</v>
      </c>
      <c r="B671" s="241" t="str">
        <f>HYPERLINK(CONCATENATE($AT$3,BK671,$AU$3),$AV$3)</f>
        <v>S</v>
      </c>
      <c r="C671" s="242" t="str">
        <f>HYPERLINK(CONCATENATE($AT$4,BK671,$AU$4,BL671),$AV$4)</f>
        <v>A</v>
      </c>
      <c r="D671" s="243" t="s">
        <v>5187</v>
      </c>
      <c r="E671" s="244" t="s">
        <v>5179</v>
      </c>
      <c r="F671" s="269">
        <v>1</v>
      </c>
      <c r="G671" s="276">
        <v>10</v>
      </c>
      <c r="H671" s="271" t="s">
        <v>6500</v>
      </c>
      <c r="I671" s="244" t="s">
        <v>6500</v>
      </c>
      <c r="J671" s="246">
        <v>0</v>
      </c>
      <c r="K671" s="247" t="s">
        <v>6002</v>
      </c>
      <c r="L671" s="248">
        <v>164853</v>
      </c>
      <c r="M671" s="249">
        <f>15*(LEFT(TEXT($L671,"000000"),2)+(MID(TEXT($L671,"000000"),3,2)/60)+(RIGHT(TEXT($L671,"000000"),2)/3600))</f>
        <v>252.22083333333333</v>
      </c>
      <c r="N671" s="286">
        <v>-294900</v>
      </c>
      <c r="O671" s="251">
        <f>IF($N671&gt;0,(LEFT(TEXT($N671,"000000"),2)+(MID(TEXT($N671,"000000"),3,2)/60)+(RIGHT(TEXT($N671,"000000"),2)/3600)),-(MID(TEXT($N671,"000000"),2,2)+(MID(TEXT($N671,"000000"),4,2)/60)+(RIGHT(TEXT($N671,"000000"),2)/3600)))</f>
        <v>-29.816666666666666</v>
      </c>
      <c r="P671" s="252" t="s">
        <v>109</v>
      </c>
      <c r="Q671" s="253"/>
      <c r="R671" s="277" t="s">
        <v>3293</v>
      </c>
      <c r="S671" s="272" t="s">
        <v>3293</v>
      </c>
      <c r="T671" s="273"/>
      <c r="U671" s="274"/>
      <c r="V671" s="256"/>
      <c r="W671" s="244"/>
      <c r="X671" s="244"/>
      <c r="Y671" s="362"/>
      <c r="Z671" s="257">
        <f>altaz(J2000_Bas,$O671,$M671,DecLat,DecLong,1)</f>
        <v>21.225589844480368</v>
      </c>
      <c r="AA671" s="257">
        <f>altaz((J2000_Bas+(2*0.04167)),$O671,$M671,DecLat,DecLong,1)</f>
        <v>4.0991654868293184</v>
      </c>
      <c r="AB671" s="257">
        <f>altaz((J2000_Bas+(4*0.04167)),$O671,$M671,DecLat,DecLong,1)</f>
        <v>-17.898524453296403</v>
      </c>
      <c r="AC671" s="257">
        <f>altaz((J2000_Bas+(6*0.04167)),$O671,$M671,DecLat,DecLong,1)</f>
        <v>-42.24802455511572</v>
      </c>
      <c r="AD671" s="258">
        <f>1+ transit((J2000_Bas-1),$O671,$M671,DecLat,DecLong)/360 + (GMTOffset/24) + (IF(DST="Y", 1, 0)/24)</f>
        <v>1.6935133164942913</v>
      </c>
      <c r="AE671" s="259">
        <f>DATE(2001,9,21)+(M671/360)*365 - (360*((DecLong/360)- (GMTOffset/24) ))</f>
        <v>37415.723900462966</v>
      </c>
      <c r="AF671" s="260">
        <f>IF(DecLat&gt;0,IF((90 - (DecLat-O671))&gt;90, (90 - (O671-DecLat)), (90 - (DecLat-O671))),IF((90 + (DecLat-O671))&gt;90, (90 + (O671-DecLat)), (90 + (DecLat-O671))))</f>
        <v>29.183333333333337</v>
      </c>
      <c r="AG671" s="257">
        <f>angularseperation(MoonRA,MoonDec,$M671,$O671)</f>
        <v>3.7847250981164851</v>
      </c>
      <c r="AH671" s="261">
        <f ca="1">MIN(100,IF($O$5&gt;80,0+30*($AG671/100),IF($O$5&gt;70,0+50*($AG671/100),IF($O$5&gt;60,5+50*($AG671/100),IF($O$5&gt;50,10+60*($AG671/100),IF($O$5&gt;40,15+70*($AG671/100),IF($O$5&gt;30,20+70*($AG671/100),IF($O$5&gt;20,40+55*($AG671/100),(80+(20-$O$5)+30*($AG671/100))))))))))</f>
        <v>84.406477873585374</v>
      </c>
      <c r="AI671" s="263"/>
      <c r="AJ671" s="263"/>
      <c r="AK671" s="263"/>
      <c r="AL671" s="263"/>
      <c r="AM671" s="264"/>
      <c r="AN671" s="263"/>
      <c r="AO671" s="263"/>
      <c r="AP671" s="265"/>
      <c r="AQ671" s="265"/>
      <c r="AR671" s="285"/>
      <c r="AS671" s="263"/>
      <c r="AT671" s="263"/>
      <c r="AU671" s="263"/>
      <c r="AV671" s="264"/>
      <c r="AW671" s="263">
        <v>236</v>
      </c>
      <c r="AX671" s="263"/>
      <c r="AY671" s="263"/>
      <c r="AZ671" s="263"/>
      <c r="BA671" s="263"/>
      <c r="BB671" s="263"/>
      <c r="BC671" s="263"/>
      <c r="BD671" s="264"/>
      <c r="BE671" s="263"/>
      <c r="BF671" s="263"/>
      <c r="BG671" s="263"/>
      <c r="BH671" s="263"/>
      <c r="BI671" s="263"/>
      <c r="BJ671" s="404">
        <f>altaz(J2000_Bas,$O671,$M671,DecLat,DecLong,2)</f>
        <v>211.16690456975175</v>
      </c>
      <c r="BK671" s="378" t="s">
        <v>775</v>
      </c>
      <c r="BL671" s="379">
        <f>IF((2*G671)/60&lt;0.2,0.2,(2*G671)/60)</f>
        <v>0.33333333333333331</v>
      </c>
      <c r="BM671" s="380">
        <f>MOD((50000+AD671-$B$3+(0/24)),1)</f>
        <v>0.90888024619926</v>
      </c>
      <c r="BN671" s="381"/>
      <c r="BO671" s="382">
        <v>671</v>
      </c>
    </row>
    <row r="672" spans="1:67" s="24" customFormat="1" ht="15" customHeight="1" x14ac:dyDescent="0.25">
      <c r="A672" s="287" t="s">
        <v>776</v>
      </c>
      <c r="B672" s="241" t="str">
        <f>HYPERLINK(CONCATENATE($AT$3,BK672,$AU$3),$AV$3)</f>
        <v>S</v>
      </c>
      <c r="C672" s="242" t="str">
        <f>HYPERLINK(CONCATENATE($AT$4,BK672,$AU$4,BL672),$AV$4)</f>
        <v>A</v>
      </c>
      <c r="D672" s="243" t="s">
        <v>5187</v>
      </c>
      <c r="E672" s="244" t="s">
        <v>5179</v>
      </c>
      <c r="F672" s="269">
        <v>1</v>
      </c>
      <c r="G672" s="276">
        <v>15</v>
      </c>
      <c r="H672" s="271" t="s">
        <v>6500</v>
      </c>
      <c r="I672" s="244" t="s">
        <v>6500</v>
      </c>
      <c r="J672" s="246">
        <v>0</v>
      </c>
      <c r="K672" s="247" t="s">
        <v>8383</v>
      </c>
      <c r="L672" s="248">
        <v>164854</v>
      </c>
      <c r="M672" s="249">
        <f>15*(LEFT(TEXT($L672,"000000"),2)+(MID(TEXT($L672,"000000"),3,2)/60)+(RIGHT(TEXT($L672,"000000"),2)/3600))</f>
        <v>252.22500000000002</v>
      </c>
      <c r="N672" s="286">
        <v>-295900</v>
      </c>
      <c r="O672" s="251">
        <f>IF($N672&gt;0,(LEFT(TEXT($N672,"000000"),2)+(MID(TEXT($N672,"000000"),3,2)/60)+(RIGHT(TEXT($N672,"000000"),2)/3600)),-(MID(TEXT($N672,"000000"),2,2)+(MID(TEXT($N672,"000000"),4,2)/60)+(RIGHT(TEXT($N672,"000000"),2)/3600)))</f>
        <v>-29.983333333333334</v>
      </c>
      <c r="P672" s="252" t="s">
        <v>109</v>
      </c>
      <c r="Q672" s="253"/>
      <c r="R672" s="277" t="s">
        <v>3293</v>
      </c>
      <c r="S672" s="272" t="s">
        <v>3293</v>
      </c>
      <c r="T672" s="273"/>
      <c r="U672" s="274"/>
      <c r="V672" s="256"/>
      <c r="W672" s="244"/>
      <c r="X672" s="244"/>
      <c r="Y672" s="362"/>
      <c r="Z672" s="257">
        <f>altaz(J2000_Bas,$O672,$M672,DecLat,DecLong,1)</f>
        <v>21.084174749815038</v>
      </c>
      <c r="AA672" s="257">
        <f>altaz((J2000_Bas+(2*0.04167)),$O672,$M672,DecLat,DecLong,1)</f>
        <v>3.9959034223720717</v>
      </c>
      <c r="AB672" s="257">
        <f>altaz((J2000_Bas+(4*0.04167)),$O672,$M672,DecLat,DecLong,1)</f>
        <v>-17.968337459071531</v>
      </c>
      <c r="AC672" s="257">
        <f>altaz((J2000_Bas+(6*0.04167)),$O672,$M672,DecLat,DecLong,1)</f>
        <v>-42.291256746649353</v>
      </c>
      <c r="AD672" s="258">
        <f>1+ transit((J2000_Bas-1),$O672,$M672,DecLat,DecLong)/360 + (GMTOffset/24) + (IF(DST="Y", 1, 0)/24)</f>
        <v>1.693524890567208</v>
      </c>
      <c r="AE672" s="259">
        <f>DATE(2001,9,21)+(M672/360)*365 - (360*((DecLong/360)- (GMTOffset/24) ))</f>
        <v>37415.728125000001</v>
      </c>
      <c r="AF672" s="260">
        <f>IF(DecLat&gt;0,IF((90 - (DecLat-O672))&gt;90, (90 - (O672-DecLat)), (90 - (DecLat-O672))),IF((90 + (DecLat-O672))&gt;90, (90 + (O672-DecLat)), (90 + (DecLat-O672))))</f>
        <v>29.016666666666666</v>
      </c>
      <c r="AG672" s="257">
        <f>angularseperation(MoonRA,MoonDec,$M672,$O672)</f>
        <v>3.9077880617778891</v>
      </c>
      <c r="AH672" s="261">
        <f ca="1">MIN(100,IF($O$5&gt;80,0+30*($AG672/100),IF($O$5&gt;70,0+50*($AG672/100),IF($O$5&gt;60,5+50*($AG672/100),IF($O$5&gt;50,10+60*($AG672/100),IF($O$5&gt;40,15+70*($AG672/100),IF($O$5&gt;30,20+70*($AG672/100),IF($O$5&gt;20,40+55*($AG672/100),(80+(20-$O$5)+30*($AG672/100))))))))))</f>
        <v>84.44339676268379</v>
      </c>
      <c r="AI672" s="263"/>
      <c r="AJ672" s="263"/>
      <c r="AK672" s="263"/>
      <c r="AL672" s="263"/>
      <c r="AM672" s="264"/>
      <c r="AN672" s="263"/>
      <c r="AO672" s="263"/>
      <c r="AP672" s="265"/>
      <c r="AQ672" s="265"/>
      <c r="AR672" s="285"/>
      <c r="AS672" s="263"/>
      <c r="AT672" s="263"/>
      <c r="AU672" s="263"/>
      <c r="AV672" s="264"/>
      <c r="AW672" s="263">
        <v>237</v>
      </c>
      <c r="AX672" s="263"/>
      <c r="AY672" s="263"/>
      <c r="AZ672" s="263"/>
      <c r="BA672" s="263"/>
      <c r="BB672" s="263"/>
      <c r="BC672" s="263"/>
      <c r="BD672" s="264"/>
      <c r="BE672" s="263"/>
      <c r="BF672" s="263"/>
      <c r="BG672" s="263"/>
      <c r="BH672" s="263"/>
      <c r="BI672" s="263"/>
      <c r="BJ672" s="404">
        <f>altaz(J2000_Bas,$O672,$M672,DecLat,DecLong,2)</f>
        <v>211.07224991469022</v>
      </c>
      <c r="BK672" s="378" t="s">
        <v>776</v>
      </c>
      <c r="BL672" s="379">
        <f>IF((2*G672)/60&lt;0.2,0.2,(2*G672)/60)</f>
        <v>0.5</v>
      </c>
      <c r="BM672" s="380">
        <f>MOD((50000+AD672-$B$3+(0/24)),1)</f>
        <v>0.90889182026876369</v>
      </c>
      <c r="BN672" s="381"/>
      <c r="BO672" s="382">
        <v>672</v>
      </c>
    </row>
    <row r="673" spans="1:67" s="24" customFormat="1" ht="15" customHeight="1" x14ac:dyDescent="0.25">
      <c r="A673" s="287" t="s">
        <v>777</v>
      </c>
      <c r="B673" s="241" t="str">
        <f>HYPERLINK(CONCATENATE($AT$3,BK673,$AU$3),$AV$3)</f>
        <v>S</v>
      </c>
      <c r="C673" s="242" t="str">
        <f>HYPERLINK(CONCATENATE($AT$4,BK673,$AU$4,BL673),$AV$4)</f>
        <v>A</v>
      </c>
      <c r="D673" s="243" t="s">
        <v>5187</v>
      </c>
      <c r="E673" s="244" t="s">
        <v>5179</v>
      </c>
      <c r="F673" s="269">
        <v>6</v>
      </c>
      <c r="G673" s="276">
        <v>13</v>
      </c>
      <c r="H673" s="271" t="s">
        <v>6500</v>
      </c>
      <c r="I673" s="244" t="s">
        <v>6500</v>
      </c>
      <c r="J673" s="246">
        <v>1</v>
      </c>
      <c r="K673" s="247" t="s">
        <v>5865</v>
      </c>
      <c r="L673" s="248">
        <v>165221</v>
      </c>
      <c r="M673" s="249">
        <f>15*(LEFT(TEXT($L673,"000000"),2)+(MID(TEXT($L673,"000000"),3,2)/60)+(RIGHT(TEXT($L673,"000000"),2)/3600))</f>
        <v>253.08749999999998</v>
      </c>
      <c r="N673" s="286">
        <v>-230800</v>
      </c>
      <c r="O673" s="251">
        <f>IF($N673&gt;0,(LEFT(TEXT($N673,"000000"),2)+(MID(TEXT($N673,"000000"),3,2)/60)+(RIGHT(TEXT($N673,"000000"),2)/3600)),-(MID(TEXT($N673,"000000"),2,2)+(MID(TEXT($N673,"000000"),4,2)/60)+(RIGHT(TEXT($N673,"000000"),2)/3600)))</f>
        <v>-23.133333333333333</v>
      </c>
      <c r="P673" s="252" t="s">
        <v>109</v>
      </c>
      <c r="Q673" s="253"/>
      <c r="R673" s="277" t="s">
        <v>3293</v>
      </c>
      <c r="S673" s="272" t="s">
        <v>3293</v>
      </c>
      <c r="T673" s="273"/>
      <c r="U673" s="274"/>
      <c r="V673" s="256"/>
      <c r="W673" s="244"/>
      <c r="X673" s="244"/>
      <c r="Y673" s="362"/>
      <c r="Z673" s="257">
        <f>altaz(J2000_Bas,$O673,$M673,DecLat,DecLong,1)</f>
        <v>27.346402356027905</v>
      </c>
      <c r="AA673" s="257">
        <f>altaz((J2000_Bas+(2*0.04167)),$O673,$M673,DecLat,DecLong,1)</f>
        <v>8.946706507440517</v>
      </c>
      <c r="AB673" s="257">
        <f>altaz((J2000_Bas+(4*0.04167)),$O673,$M673,DecLat,DecLong,1)</f>
        <v>-14.167334315161925</v>
      </c>
      <c r="AC673" s="257">
        <f>altaz((J2000_Bas+(6*0.04167)),$O673,$M673,DecLat,DecLong,1)</f>
        <v>-39.316112579093989</v>
      </c>
      <c r="AD673" s="258">
        <f>1+ transit((J2000_Bas-1),$O673,$M673,DecLat,DecLong)/360 + (GMTOffset/24) + (IF(DST="Y", 1, 0)/24)</f>
        <v>1.6959207236609579</v>
      </c>
      <c r="AE673" s="259">
        <f>DATE(2001,9,21)+(M673/360)*365 - (360*((DecLong/360)- (GMTOffset/24) ))</f>
        <v>37416.60260416667</v>
      </c>
      <c r="AF673" s="260">
        <f>IF(DecLat&gt;0,IF((90 - (DecLat-O673))&gt;90, (90 - (O673-DecLat)), (90 - (DecLat-O673))),IF((90 + (DecLat-O673))&gt;90, (90 + (O673-DecLat)), (90 + (DecLat-O673))))</f>
        <v>35.866666666666667</v>
      </c>
      <c r="AG673" s="257">
        <f>angularseperation(MoonRA,MoonDec,$M673,$O673)</f>
        <v>5.2654915186417002</v>
      </c>
      <c r="AH673" s="261">
        <f ca="1">MIN(100,IF($O$5&gt;80,0+30*($AG673/100),IF($O$5&gt;70,0+50*($AG673/100),IF($O$5&gt;60,5+50*($AG673/100),IF($O$5&gt;50,10+60*($AG673/100),IF($O$5&gt;40,15+70*($AG673/100),IF($O$5&gt;30,20+70*($AG673/100),IF($O$5&gt;20,40+55*($AG673/100),(80+(20-$O$5)+30*($AG673/100))))))))))</f>
        <v>84.850707799742935</v>
      </c>
      <c r="AI673" s="263"/>
      <c r="AJ673" s="263"/>
      <c r="AK673" s="263"/>
      <c r="AL673" s="263"/>
      <c r="AM673" s="264"/>
      <c r="AN673" s="263"/>
      <c r="AO673" s="263"/>
      <c r="AP673" s="265"/>
      <c r="AQ673" s="265"/>
      <c r="AR673" s="285"/>
      <c r="AS673" s="263"/>
      <c r="AT673" s="263"/>
      <c r="AU673" s="263"/>
      <c r="AV673" s="264"/>
      <c r="AW673" s="263">
        <v>238</v>
      </c>
      <c r="AX673" s="263"/>
      <c r="AY673" s="263"/>
      <c r="AZ673" s="263"/>
      <c r="BA673" s="263"/>
      <c r="BB673" s="263"/>
      <c r="BC673" s="263"/>
      <c r="BD673" s="264"/>
      <c r="BE673" s="263"/>
      <c r="BF673" s="263"/>
      <c r="BG673" s="263"/>
      <c r="BH673" s="263"/>
      <c r="BI673" s="263"/>
      <c r="BJ673" s="404">
        <f>altaz(J2000_Bas,$O673,$M673,DecLat,DecLong,2)</f>
        <v>214.23395411582536</v>
      </c>
      <c r="BK673" s="378" t="s">
        <v>777</v>
      </c>
      <c r="BL673" s="379">
        <f>IF((2*G673)/60&lt;0.2,0.2,(2*G673)/60)</f>
        <v>0.43333333333333335</v>
      </c>
      <c r="BM673" s="380">
        <f>MOD((50000+AD673-$B$3+(0/24)),1)</f>
        <v>0.9112876533617964</v>
      </c>
      <c r="BN673" s="381"/>
      <c r="BO673" s="382">
        <v>673</v>
      </c>
    </row>
    <row r="674" spans="1:67" s="24" customFormat="1" ht="15" customHeight="1" x14ac:dyDescent="0.25">
      <c r="A674" s="287" t="s">
        <v>778</v>
      </c>
      <c r="B674" s="241" t="str">
        <f>HYPERLINK(CONCATENATE($AT$3,BK674,$AU$3),$AV$3)</f>
        <v>S</v>
      </c>
      <c r="C674" s="242" t="str">
        <f>HYPERLINK(CONCATENATE($AT$4,BK674,$AU$4,BL674),$AV$4)</f>
        <v>A</v>
      </c>
      <c r="D674" s="243" t="s">
        <v>5187</v>
      </c>
      <c r="E674" s="244" t="s">
        <v>5179</v>
      </c>
      <c r="F674" s="269">
        <v>1</v>
      </c>
      <c r="G674" s="276">
        <v>15</v>
      </c>
      <c r="H674" s="271" t="s">
        <v>6500</v>
      </c>
      <c r="I674" s="244" t="s">
        <v>6500</v>
      </c>
      <c r="J674" s="246">
        <v>0</v>
      </c>
      <c r="K674" s="247" t="s">
        <v>5866</v>
      </c>
      <c r="L674" s="248">
        <v>165459</v>
      </c>
      <c r="M674" s="249">
        <f>15*(LEFT(TEXT($L674,"000000"),2)+(MID(TEXT($L674,"000000"),3,2)/60)+(RIGHT(TEXT($L674,"000000"),2)/3600))</f>
        <v>253.74583333333334</v>
      </c>
      <c r="N674" s="286">
        <v>-310800</v>
      </c>
      <c r="O674" s="251">
        <f>IF($N674&gt;0,(LEFT(TEXT($N674,"000000"),2)+(MID(TEXT($N674,"000000"),3,2)/60)+(RIGHT(TEXT($N674,"000000"),2)/3600)),-(MID(TEXT($N674,"000000"),2,2)+(MID(TEXT($N674,"000000"),4,2)/60)+(RIGHT(TEXT($N674,"000000"),2)/3600)))</f>
        <v>-31.133333333333333</v>
      </c>
      <c r="P674" s="252" t="s">
        <v>109</v>
      </c>
      <c r="Q674" s="253"/>
      <c r="R674" s="277" t="s">
        <v>3293</v>
      </c>
      <c r="S674" s="272" t="s">
        <v>3293</v>
      </c>
      <c r="T674" s="273"/>
      <c r="U674" s="274"/>
      <c r="V674" s="256"/>
      <c r="W674" s="244"/>
      <c r="X674" s="244"/>
      <c r="Y674" s="362"/>
      <c r="Z674" s="257">
        <f>altaz(J2000_Bas,$O674,$M674,DecLat,DecLong,1)</f>
        <v>20.743114993733105</v>
      </c>
      <c r="AA674" s="257">
        <f>altaz((J2000_Bas+(2*0.04167)),$O674,$M674,DecLat,DecLong,1)</f>
        <v>4.2608865617664948</v>
      </c>
      <c r="AB674" s="257">
        <f>altaz((J2000_Bas+(4*0.04167)),$O674,$M674,DecLat,DecLong,1)</f>
        <v>-17.298292714989692</v>
      </c>
      <c r="AC674" s="257">
        <f>altaz((J2000_Bas+(6*0.04167)),$O674,$M674,DecLat,DecLong,1)</f>
        <v>-41.347451217824613</v>
      </c>
      <c r="AD674" s="258">
        <f>1+ transit((J2000_Bas-1),$O674,$M674,DecLat,DecLong)/360 + (GMTOffset/24) + (IF(DST="Y", 1, 0)/24)</f>
        <v>1.6977494271817914</v>
      </c>
      <c r="AE674" s="259">
        <f>DATE(2001,9,21)+(M674/360)*365 - (360*((DecLong/360)- (GMTOffset/24) ))</f>
        <v>37417.27008101852</v>
      </c>
      <c r="AF674" s="260">
        <f>IF(DecLat&gt;0,IF((90 - (DecLat-O674))&gt;90, (90 - (O674-DecLat)), (90 - (DecLat-O674))),IF((90 + (DecLat-O674))&gt;90, (90 + (O674-DecLat)), (90 + (DecLat-O674))))</f>
        <v>27.866666666666667</v>
      </c>
      <c r="AG674" s="257">
        <f>angularseperation(MoonRA,MoonDec,$M674,$O674)</f>
        <v>5.6450664278388487</v>
      </c>
      <c r="AH674" s="261">
        <f ca="1">MIN(100,IF($O$5&gt;80,0+30*($AG674/100),IF($O$5&gt;70,0+50*($AG674/100),IF($O$5&gt;60,5+50*($AG674/100),IF($O$5&gt;50,10+60*($AG674/100),IF($O$5&gt;40,15+70*($AG674/100),IF($O$5&gt;30,20+70*($AG674/100),IF($O$5&gt;20,40+55*($AG674/100),(80+(20-$O$5)+30*($AG674/100))))))))))</f>
        <v>84.964580272502076</v>
      </c>
      <c r="AI674" s="263"/>
      <c r="AJ674" s="263"/>
      <c r="AK674" s="263"/>
      <c r="AL674" s="263"/>
      <c r="AM674" s="264"/>
      <c r="AN674" s="263"/>
      <c r="AO674" s="263"/>
      <c r="AP674" s="265"/>
      <c r="AQ674" s="265"/>
      <c r="AR674" s="285"/>
      <c r="AS674" s="263"/>
      <c r="AT674" s="263"/>
      <c r="AU674" s="263"/>
      <c r="AV674" s="264"/>
      <c r="AW674" s="263">
        <v>239</v>
      </c>
      <c r="AX674" s="263"/>
      <c r="AY674" s="263"/>
      <c r="AZ674" s="263"/>
      <c r="BA674" s="263"/>
      <c r="BB674" s="263"/>
      <c r="BC674" s="263"/>
      <c r="BD674" s="264"/>
      <c r="BE674" s="263"/>
      <c r="BF674" s="263"/>
      <c r="BG674" s="263"/>
      <c r="BH674" s="263"/>
      <c r="BI674" s="263"/>
      <c r="BJ674" s="404">
        <f>altaz(J2000_Bas,$O674,$M674,DecLat,DecLong,2)</f>
        <v>209.2425722996216</v>
      </c>
      <c r="BK674" s="378" t="s">
        <v>778</v>
      </c>
      <c r="BL674" s="379">
        <f>IF((2*G674)/60&lt;0.2,0.2,(2*G674)/60)</f>
        <v>0.5</v>
      </c>
      <c r="BM674" s="380">
        <f>MOD((50000+AD674-$B$3+(0/24)),1)</f>
        <v>0.913116356889077</v>
      </c>
      <c r="BN674" s="381"/>
      <c r="BO674" s="382">
        <v>674</v>
      </c>
    </row>
    <row r="675" spans="1:67" s="24" customFormat="1" ht="15" customHeight="1" x14ac:dyDescent="0.25">
      <c r="A675" s="287" t="s">
        <v>779</v>
      </c>
      <c r="B675" s="241" t="str">
        <f>HYPERLINK(CONCATENATE($AT$3,BK675,$AU$3),$AV$3)</f>
        <v>S</v>
      </c>
      <c r="C675" s="242" t="str">
        <f>HYPERLINK(CONCATENATE($AT$4,BK675,$AU$4,BL675),$AV$4)</f>
        <v>A</v>
      </c>
      <c r="D675" s="243" t="s">
        <v>5187</v>
      </c>
      <c r="E675" s="244" t="s">
        <v>5179</v>
      </c>
      <c r="F675" s="269">
        <v>0</v>
      </c>
      <c r="G675" s="276">
        <v>20</v>
      </c>
      <c r="H675" s="271" t="s">
        <v>6500</v>
      </c>
      <c r="I675" s="244" t="s">
        <v>6500</v>
      </c>
      <c r="J675" s="246">
        <v>2</v>
      </c>
      <c r="K675" s="247" t="s">
        <v>5867</v>
      </c>
      <c r="L675" s="248">
        <v>165917</v>
      </c>
      <c r="M675" s="249">
        <f>15*(LEFT(TEXT($L675,"000000"),2)+(MID(TEXT($L675,"000000"),3,2)/60)+(RIGHT(TEXT($L675,"000000"),2)/3600))</f>
        <v>254.82083333333338</v>
      </c>
      <c r="N675" s="286">
        <v>-352200</v>
      </c>
      <c r="O675" s="251">
        <f>IF($N675&gt;0,(LEFT(TEXT($N675,"000000"),2)+(MID(TEXT($N675,"000000"),3,2)/60)+(RIGHT(TEXT($N675,"000000"),2)/3600)),-(MID(TEXT($N675,"000000"),2,2)+(MID(TEXT($N675,"000000"),4,2)/60)+(RIGHT(TEXT($N675,"000000"),2)/3600)))</f>
        <v>-35.366666666666667</v>
      </c>
      <c r="P675" s="252" t="s">
        <v>113</v>
      </c>
      <c r="Q675" s="253"/>
      <c r="R675" s="277" t="s">
        <v>3293</v>
      </c>
      <c r="S675" s="272" t="s">
        <v>3293</v>
      </c>
      <c r="T675" s="273"/>
      <c r="U675" s="274"/>
      <c r="V675" s="256"/>
      <c r="W675" s="244"/>
      <c r="X675" s="244"/>
      <c r="Y675" s="362"/>
      <c r="Z675" s="257">
        <f>altaz(J2000_Bas,$O675,$M675,DecLat,DecLong,1)</f>
        <v>17.451490538608041</v>
      </c>
      <c r="AA675" s="257">
        <f>altaz((J2000_Bas+(2*0.04167)),$O675,$M675,DecLat,DecLong,1)</f>
        <v>2.1733976484096487</v>
      </c>
      <c r="AB675" s="257">
        <f>altaz((J2000_Bas+(4*0.04167)),$O675,$M675,DecLat,DecLong,1)</f>
        <v>-18.335843792746118</v>
      </c>
      <c r="AC675" s="257">
        <f>altaz((J2000_Bas+(6*0.04167)),$O675,$M675,DecLat,DecLong,1)</f>
        <v>-41.502805580361787</v>
      </c>
      <c r="AD675" s="258">
        <f>1+ transit((J2000_Bas-1),$O675,$M675,DecLat,DecLong)/360 + (GMTOffset/24) + (IF(DST="Y", 1, 0)/24)</f>
        <v>1.7007355379942914</v>
      </c>
      <c r="AE675" s="259">
        <f>DATE(2001,9,21)+(M675/360)*365 - (360*((DecLong/360)- (GMTOffset/24) ))</f>
        <v>37418.360011574077</v>
      </c>
      <c r="AF675" s="260">
        <f>IF(DecLat&gt;0,IF((90 - (DecLat-O675))&gt;90, (90 - (O675-DecLat)), (90 - (DecLat-O675))),IF((90 + (DecLat-O675))&gt;90, (90 + (O675-DecLat)), (90 + (DecLat-O675))))</f>
        <v>23.633333333333326</v>
      </c>
      <c r="AG675" s="257">
        <f>angularseperation(MoonRA,MoonDec,$M675,$O675)</f>
        <v>9.5536699645478027</v>
      </c>
      <c r="AH675" s="261">
        <f ca="1">MIN(100,IF($O$5&gt;80,0+30*($AG675/100),IF($O$5&gt;70,0+50*($AG675/100),IF($O$5&gt;60,5+50*($AG675/100),IF($O$5&gt;50,10+60*($AG675/100),IF($O$5&gt;40,15+70*($AG675/100),IF($O$5&gt;30,20+70*($AG675/100),IF($O$5&gt;20,40+55*($AG675/100),(80+(20-$O$5)+30*($AG675/100))))))))))</f>
        <v>86.137161333514769</v>
      </c>
      <c r="AI675" s="263"/>
      <c r="AJ675" s="263"/>
      <c r="AK675" s="263"/>
      <c r="AL675" s="263"/>
      <c r="AM675" s="264"/>
      <c r="AN675" s="263"/>
      <c r="AO675" s="263"/>
      <c r="AP675" s="265"/>
      <c r="AQ675" s="265"/>
      <c r="AR675" s="285"/>
      <c r="AS675" s="263"/>
      <c r="AT675" s="263"/>
      <c r="AU675" s="263"/>
      <c r="AV675" s="264"/>
      <c r="AW675" s="263">
        <v>240</v>
      </c>
      <c r="AX675" s="263"/>
      <c r="AY675" s="263"/>
      <c r="AZ675" s="263"/>
      <c r="BA675" s="263"/>
      <c r="BB675" s="263"/>
      <c r="BC675" s="263"/>
      <c r="BD675" s="264"/>
      <c r="BE675" s="263"/>
      <c r="BF675" s="263"/>
      <c r="BG675" s="263"/>
      <c r="BH675" s="263"/>
      <c r="BI675" s="263"/>
      <c r="BJ675" s="404">
        <f>altaz(J2000_Bas,$O675,$M675,DecLat,DecLong,2)</f>
        <v>206.26877788471086</v>
      </c>
      <c r="BK675" s="378" t="s">
        <v>779</v>
      </c>
      <c r="BL675" s="379">
        <f>IF((2*G675)/60&lt;0.2,0.2,(2*G675)/60)</f>
        <v>0.66666666666666663</v>
      </c>
      <c r="BM675" s="380">
        <f>MOD((50000+AD675-$B$3+(0/24)),1)</f>
        <v>0.91610246770142112</v>
      </c>
      <c r="BN675" s="381"/>
      <c r="BO675" s="382">
        <v>675</v>
      </c>
    </row>
    <row r="676" spans="1:67" s="24" customFormat="1" ht="15" customHeight="1" x14ac:dyDescent="0.25">
      <c r="A676" s="288" t="s">
        <v>780</v>
      </c>
      <c r="B676" s="241" t="str">
        <f>HYPERLINK(CONCATENATE($AT$3,BK676,$AU$3),$AV$3)</f>
        <v>S</v>
      </c>
      <c r="C676" s="242" t="str">
        <f>HYPERLINK(CONCATENATE($AT$4,BK676,$AU$4,BL676),$AV$4)</f>
        <v>A</v>
      </c>
      <c r="D676" s="243" t="s">
        <v>5187</v>
      </c>
      <c r="E676" s="244" t="s">
        <v>5179</v>
      </c>
      <c r="F676" s="269">
        <v>2</v>
      </c>
      <c r="G676" s="276">
        <v>18</v>
      </c>
      <c r="H676" s="271" t="s">
        <v>6500</v>
      </c>
      <c r="I676" s="244" t="s">
        <v>6500</v>
      </c>
      <c r="J676" s="246">
        <v>0</v>
      </c>
      <c r="K676" s="247" t="s">
        <v>5868</v>
      </c>
      <c r="L676" s="248">
        <v>165926</v>
      </c>
      <c r="M676" s="249">
        <f>15*(LEFT(TEXT($L676,"000000"),2)+(MID(TEXT($L676,"000000"),3,2)/60)+(RIGHT(TEXT($L676,"000000"),2)/3600))</f>
        <v>254.85833333333335</v>
      </c>
      <c r="N676" s="286">
        <v>-301200</v>
      </c>
      <c r="O676" s="251">
        <f>IF($N676&gt;0,(LEFT(TEXT($N676,"000000"),2)+(MID(TEXT($N676,"000000"),3,2)/60)+(RIGHT(TEXT($N676,"000000"),2)/3600)),-(MID(TEXT($N676,"000000"),2,2)+(MID(TEXT($N676,"000000"),4,2)/60)+(RIGHT(TEXT($N676,"000000"),2)/3600)))</f>
        <v>-30.2</v>
      </c>
      <c r="P676" s="252" t="s">
        <v>113</v>
      </c>
      <c r="Q676" s="253"/>
      <c r="R676" s="277" t="s">
        <v>3293</v>
      </c>
      <c r="S676" s="272" t="s">
        <v>3293</v>
      </c>
      <c r="T676" s="273"/>
      <c r="U676" s="274"/>
      <c r="V676" s="256"/>
      <c r="W676" s="244"/>
      <c r="X676" s="244"/>
      <c r="Y676" s="362"/>
      <c r="Z676" s="257">
        <f>altaz(J2000_Bas,$O676,$M676,DecLat,DecLong,1)</f>
        <v>22.022846643377061</v>
      </c>
      <c r="AA676" s="257">
        <f>altaz((J2000_Bas+(2*0.04167)),$O676,$M676,DecLat,DecLong,1)</f>
        <v>5.5949651455941911</v>
      </c>
      <c r="AB676" s="257">
        <f>altaz((J2000_Bas+(4*0.04167)),$O676,$M676,DecLat,DecLong,1)</f>
        <v>-16.024884007174297</v>
      </c>
      <c r="AC676" s="257">
        <f>altaz((J2000_Bas+(6*0.04167)),$O676,$M676,DecLat,DecLong,1)</f>
        <v>-40.167932415278003</v>
      </c>
      <c r="AD676" s="258">
        <f>1+ transit((J2000_Bas-1),$O676,$M676,DecLat,DecLong)/360 + (GMTOffset/24) + (IF(DST="Y", 1, 0)/24)</f>
        <v>1.7008397046505415</v>
      </c>
      <c r="AE676" s="259">
        <f>DATE(2001,9,21)+(M676/360)*365 - (360*((DecLong/360)- (GMTOffset/24) ))</f>
        <v>37418.398032407407</v>
      </c>
      <c r="AF676" s="260">
        <f>IF(DecLat&gt;0,IF((90 - (DecLat-O676))&gt;90, (90 - (O676-DecLat)), (90 - (DecLat-O676))),IF((90 + (DecLat-O676))&gt;90, (90 + (O676-DecLat)), (90 + (DecLat-O676))))</f>
        <v>28.799999999999997</v>
      </c>
      <c r="AG676" s="257">
        <f>angularseperation(MoonRA,MoonDec,$M676,$O676)</f>
        <v>5.8300557537052464</v>
      </c>
      <c r="AH676" s="261">
        <f ca="1">MIN(100,IF($O$5&gt;80,0+30*($AG676/100),IF($O$5&gt;70,0+50*($AG676/100),IF($O$5&gt;60,5+50*($AG676/100),IF($O$5&gt;50,10+60*($AG676/100),IF($O$5&gt;40,15+70*($AG676/100),IF($O$5&gt;30,20+70*($AG676/100),IF($O$5&gt;20,40+55*($AG676/100),(80+(20-$O$5)+30*($AG676/100))))))))))</f>
        <v>85.020077070262005</v>
      </c>
      <c r="AI676" s="263"/>
      <c r="AJ676" s="263"/>
      <c r="AK676" s="263"/>
      <c r="AL676" s="263"/>
      <c r="AM676" s="264"/>
      <c r="AN676" s="263"/>
      <c r="AO676" s="263"/>
      <c r="AP676" s="265"/>
      <c r="AQ676" s="265"/>
      <c r="AR676" s="285"/>
      <c r="AS676" s="263"/>
      <c r="AT676" s="263"/>
      <c r="AU676" s="263"/>
      <c r="AV676" s="264"/>
      <c r="AW676" s="263">
        <v>241</v>
      </c>
      <c r="AX676" s="263"/>
      <c r="AY676" s="263"/>
      <c r="AZ676" s="263"/>
      <c r="BA676" s="263"/>
      <c r="BB676" s="263"/>
      <c r="BC676" s="263"/>
      <c r="BD676" s="264"/>
      <c r="BE676" s="263"/>
      <c r="BF676" s="263"/>
      <c r="BG676" s="263"/>
      <c r="BH676" s="263"/>
      <c r="BI676" s="263"/>
      <c r="BJ676" s="404">
        <f>altaz(J2000_Bas,$O676,$M676,DecLat,DecLong,2)</f>
        <v>208.82796768953273</v>
      </c>
      <c r="BK676" s="378" t="s">
        <v>780</v>
      </c>
      <c r="BL676" s="379">
        <f>IF((2*G676)/60&lt;0.2,0.2,(2*G676)/60)</f>
        <v>0.6</v>
      </c>
      <c r="BM676" s="380">
        <f>MOD((50000+AD676-$B$3+(0/24)),1)</f>
        <v>0.9162066343560582</v>
      </c>
      <c r="BN676" s="381"/>
      <c r="BO676" s="382">
        <v>676</v>
      </c>
    </row>
    <row r="677" spans="1:67" s="24" customFormat="1" ht="15" customHeight="1" x14ac:dyDescent="0.25">
      <c r="A677" s="287" t="s">
        <v>781</v>
      </c>
      <c r="B677" s="241" t="str">
        <f>HYPERLINK(CONCATENATE($AT$3,BK677,$AU$3),$AV$3)</f>
        <v>S</v>
      </c>
      <c r="C677" s="242" t="str">
        <f>HYPERLINK(CONCATENATE($AT$4,BK677,$AU$4,BL677),$AV$4)</f>
        <v>A</v>
      </c>
      <c r="D677" s="243" t="s">
        <v>5187</v>
      </c>
      <c r="E677" s="244" t="s">
        <v>5179</v>
      </c>
      <c r="F677" s="269">
        <v>0</v>
      </c>
      <c r="G677" s="276">
        <v>30</v>
      </c>
      <c r="H677" s="271" t="s">
        <v>6500</v>
      </c>
      <c r="I677" s="244" t="s">
        <v>6500</v>
      </c>
      <c r="J677" s="246">
        <v>1</v>
      </c>
      <c r="K677" s="247" t="s">
        <v>5869</v>
      </c>
      <c r="L677" s="248">
        <v>170506</v>
      </c>
      <c r="M677" s="249">
        <f>15*(LEFT(TEXT($L677,"000000"),2)+(MID(TEXT($L677,"000000"),3,2)/60)+(RIGHT(TEXT($L677,"000000"),2)/3600))</f>
        <v>256.27499999999998</v>
      </c>
      <c r="N677" s="286">
        <v>-322600</v>
      </c>
      <c r="O677" s="251">
        <f>IF($N677&gt;0,(LEFT(TEXT($N677,"000000"),2)+(MID(TEXT($N677,"000000"),3,2)/60)+(RIGHT(TEXT($N677,"000000"),2)/3600)),-(MID(TEXT($N677,"000000"),2,2)+(MID(TEXT($N677,"000000"),4,2)/60)+(RIGHT(TEXT($N677,"000000"),2)/3600)))</f>
        <v>-32.43333333333333</v>
      </c>
      <c r="P677" s="252" t="s">
        <v>109</v>
      </c>
      <c r="Q677" s="253"/>
      <c r="R677" s="277" t="s">
        <v>3293</v>
      </c>
      <c r="S677" s="272" t="s">
        <v>3293</v>
      </c>
      <c r="T677" s="273"/>
      <c r="U677" s="274"/>
      <c r="V677" s="256"/>
      <c r="W677" s="244"/>
      <c r="X677" s="244"/>
      <c r="Y677" s="362"/>
      <c r="Z677" s="257">
        <f>altaz(J2000_Bas,$O677,$M677,DecLat,DecLong,1)</f>
        <v>20.611264400184226</v>
      </c>
      <c r="AA677" s="257">
        <f>altaz((J2000_Bas+(2*0.04167)),$O677,$M677,DecLat,DecLong,1)</f>
        <v>5.0232122923579485</v>
      </c>
      <c r="AB677" s="257">
        <f>altaz((J2000_Bas+(4*0.04167)),$O677,$M677,DecLat,DecLong,1)</f>
        <v>-15.957245700133342</v>
      </c>
      <c r="AC677" s="257">
        <f>altaz((J2000_Bas+(6*0.04167)),$O677,$M677,DecLat,DecLong,1)</f>
        <v>-39.624296105001548</v>
      </c>
      <c r="AD677" s="258">
        <f>1+ transit((J2000_Bas-1),$O677,$M677,DecLat,DecLong)/360 + (GMTOffset/24) + (IF(DST="Y", 1, 0)/24)</f>
        <v>1.7047748894422081</v>
      </c>
      <c r="AE677" s="259">
        <f>DATE(2001,9,21)+(M677/360)*365 - (360*((DecLong/360)- (GMTOffset/24) ))</f>
        <v>37419.834374999999</v>
      </c>
      <c r="AF677" s="260">
        <f>IF(DecLat&gt;0,IF((90 - (DecLat-O677))&gt;90, (90 - (O677-DecLat)), (90 - (DecLat-O677))),IF((90 + (DecLat-O677))&gt;90, (90 + (O677-DecLat)), (90 + (DecLat-O677))))</f>
        <v>26.56666666666667</v>
      </c>
      <c r="AG677" s="257">
        <f>angularseperation(MoonRA,MoonDec,$M677,$O677)</f>
        <v>8.1134060957574263</v>
      </c>
      <c r="AH677" s="261">
        <f ca="1">MIN(100,IF($O$5&gt;80,0+30*($AG677/100),IF($O$5&gt;70,0+50*($AG677/100),IF($O$5&gt;60,5+50*($AG677/100),IF($O$5&gt;50,10+60*($AG677/100),IF($O$5&gt;40,15+70*($AG677/100),IF($O$5&gt;30,20+70*($AG677/100),IF($O$5&gt;20,40+55*($AG677/100),(80+(20-$O$5)+30*($AG677/100))))))))))</f>
        <v>85.705082172877653</v>
      </c>
      <c r="AI677" s="263"/>
      <c r="AJ677" s="263"/>
      <c r="AK677" s="263"/>
      <c r="AL677" s="263"/>
      <c r="AM677" s="264"/>
      <c r="AN677" s="263"/>
      <c r="AO677" s="263"/>
      <c r="AP677" s="265"/>
      <c r="AQ677" s="265"/>
      <c r="AR677" s="285"/>
      <c r="AS677" s="263"/>
      <c r="AT677" s="263"/>
      <c r="AU677" s="263"/>
      <c r="AV677" s="264"/>
      <c r="AW677" s="263">
        <v>242</v>
      </c>
      <c r="AX677" s="263"/>
      <c r="AY677" s="263"/>
      <c r="AZ677" s="263"/>
      <c r="BA677" s="263"/>
      <c r="BB677" s="263"/>
      <c r="BC677" s="263"/>
      <c r="BD677" s="264"/>
      <c r="BE677" s="263"/>
      <c r="BF677" s="263"/>
      <c r="BG677" s="263"/>
      <c r="BH677" s="263"/>
      <c r="BI677" s="263"/>
      <c r="BJ677" s="404">
        <f>altaz(J2000_Bas,$O677,$M677,DecLat,DecLong,2)</f>
        <v>206.56100775105094</v>
      </c>
      <c r="BK677" s="378" t="s">
        <v>781</v>
      </c>
      <c r="BL677" s="379">
        <f>IF((2*G677)/60&lt;0.2,0.2,(2*G677)/60)</f>
        <v>1</v>
      </c>
      <c r="BM677" s="380">
        <f>MOD((50000+AD677-$B$3+(0/24)),1)</f>
        <v>0.92014181914419169</v>
      </c>
      <c r="BN677" s="381"/>
      <c r="BO677" s="382">
        <v>677</v>
      </c>
    </row>
    <row r="678" spans="1:67" s="24" customFormat="1" ht="15" customHeight="1" x14ac:dyDescent="0.25">
      <c r="A678" s="287" t="s">
        <v>782</v>
      </c>
      <c r="B678" s="241" t="str">
        <f>HYPERLINK(CONCATENATE($AT$3,BK678,$AU$3),$AV$3)</f>
        <v>S</v>
      </c>
      <c r="C678" s="242" t="str">
        <f>HYPERLINK(CONCATENATE($AT$4,BK678,$AU$4,BL678),$AV$4)</f>
        <v>A</v>
      </c>
      <c r="D678" s="243" t="s">
        <v>5187</v>
      </c>
      <c r="E678" s="244" t="s">
        <v>5179</v>
      </c>
      <c r="F678" s="269">
        <v>3</v>
      </c>
      <c r="G678" s="276">
        <v>25</v>
      </c>
      <c r="H678" s="271" t="s">
        <v>6500</v>
      </c>
      <c r="I678" s="244" t="s">
        <v>6500</v>
      </c>
      <c r="J678" s="246">
        <v>1</v>
      </c>
      <c r="K678" s="247" t="s">
        <v>6003</v>
      </c>
      <c r="L678" s="248">
        <v>170945</v>
      </c>
      <c r="M678" s="249">
        <f>15*(LEFT(TEXT($L678,"000000"),2)+(MID(TEXT($L678,"000000"),3,2)/60)+(RIGHT(TEXT($L678,"000000"),2)/3600))</f>
        <v>257.43749999999994</v>
      </c>
      <c r="N678" s="286">
        <v>-293500</v>
      </c>
      <c r="O678" s="251">
        <f>IF($N678&gt;0,(LEFT(TEXT($N678,"000000"),2)+(MID(TEXT($N678,"000000"),3,2)/60)+(RIGHT(TEXT($N678,"000000"),2)/3600)),-(MID(TEXT($N678,"000000"),2,2)+(MID(TEXT($N678,"000000"),4,2)/60)+(RIGHT(TEXT($N678,"000000"),2)/3600)))</f>
        <v>-29.583333333333332</v>
      </c>
      <c r="P678" s="252" t="s">
        <v>113</v>
      </c>
      <c r="Q678" s="253"/>
      <c r="R678" s="277" t="s">
        <v>3293</v>
      </c>
      <c r="S678" s="272" t="s">
        <v>3293</v>
      </c>
      <c r="T678" s="273"/>
      <c r="U678" s="274"/>
      <c r="V678" s="256"/>
      <c r="W678" s="244"/>
      <c r="X678" s="244"/>
      <c r="Y678" s="362"/>
      <c r="Z678" s="257">
        <f>altaz(J2000_Bas,$O678,$M678,DecLat,DecLong,1)</f>
        <v>23.604411650418438</v>
      </c>
      <c r="AA678" s="257">
        <f>altaz((J2000_Bas+(2*0.04167)),$O678,$M678,DecLat,DecLong,1)</f>
        <v>7.6749941579702075</v>
      </c>
      <c r="AB678" s="257">
        <f>altaz((J2000_Bas+(4*0.04167)),$O678,$M678,DecLat,DecLong,1)</f>
        <v>-13.756842601068286</v>
      </c>
      <c r="AC678" s="257">
        <f>altaz((J2000_Bas+(6*0.04167)),$O678,$M678,DecLat,DecLong,1)</f>
        <v>-37.849830795495713</v>
      </c>
      <c r="AD678" s="258">
        <f>1+ transit((J2000_Bas-1),$O678,$M678,DecLat,DecLong)/360 + (GMTOffset/24) + (IF(DST="Y", 1, 0)/24)</f>
        <v>1.7080040557859577</v>
      </c>
      <c r="AE678" s="259">
        <f>DATE(2001,9,21)+(M678/360)*365 - (360*((DecLong/360)- (GMTOffset/24) ))</f>
        <v>37421.013020833336</v>
      </c>
      <c r="AF678" s="260">
        <f>IF(DecLat&gt;0,IF((90 - (DecLat-O678))&gt;90, (90 - (O678-DecLat)), (90 - (DecLat-O678))),IF((90 + (DecLat-O678))&gt;90, (90 + (O678-DecLat)), (90 + (DecLat-O678))))</f>
        <v>29.416666666666671</v>
      </c>
      <c r="AG678" s="257">
        <f>angularseperation(MoonRA,MoonDec,$M678,$O678)</f>
        <v>7.6320904769317952</v>
      </c>
      <c r="AH678" s="261">
        <f ca="1">MIN(100,IF($O$5&gt;80,0+30*($AG678/100),IF($O$5&gt;70,0+50*($AG678/100),IF($O$5&gt;60,5+50*($AG678/100),IF($O$5&gt;50,10+60*($AG678/100),IF($O$5&gt;40,15+70*($AG678/100),IF($O$5&gt;30,20+70*($AG678/100),IF($O$5&gt;20,40+55*($AG678/100),(80+(20-$O$5)+30*($AG678/100))))))))))</f>
        <v>85.56068748722997</v>
      </c>
      <c r="AI678" s="263"/>
      <c r="AJ678" s="263"/>
      <c r="AK678" s="263"/>
      <c r="AL678" s="263"/>
      <c r="AM678" s="264"/>
      <c r="AN678" s="263"/>
      <c r="AO678" s="263"/>
      <c r="AP678" s="265"/>
      <c r="AQ678" s="265"/>
      <c r="AR678" s="285"/>
      <c r="AS678" s="263"/>
      <c r="AT678" s="263"/>
      <c r="AU678" s="263"/>
      <c r="AV678" s="264"/>
      <c r="AW678" s="263">
        <v>243</v>
      </c>
      <c r="AX678" s="263"/>
      <c r="AY678" s="263"/>
      <c r="AZ678" s="263"/>
      <c r="BA678" s="263"/>
      <c r="BB678" s="263"/>
      <c r="BC678" s="263"/>
      <c r="BD678" s="264"/>
      <c r="BE678" s="263"/>
      <c r="BF678" s="263"/>
      <c r="BG678" s="263"/>
      <c r="BH678" s="263"/>
      <c r="BI678" s="263"/>
      <c r="BJ678" s="404">
        <f>altaz(J2000_Bas,$O678,$M678,DecLat,DecLong,2)</f>
        <v>206.98723777737223</v>
      </c>
      <c r="BK678" s="378" t="s">
        <v>782</v>
      </c>
      <c r="BL678" s="379">
        <f>IF((2*G678)/60&lt;0.2,0.2,(2*G678)/60)</f>
        <v>0.83333333333333337</v>
      </c>
      <c r="BM678" s="380">
        <f>MOD((50000+AD678-$B$3+(0/24)),1)</f>
        <v>0.92337098548887298</v>
      </c>
      <c r="BN678" s="381"/>
      <c r="BO678" s="382">
        <v>678</v>
      </c>
    </row>
    <row r="679" spans="1:67" s="24" customFormat="1" ht="15" customHeight="1" x14ac:dyDescent="0.25">
      <c r="A679" s="288" t="s">
        <v>783</v>
      </c>
      <c r="B679" s="241" t="str">
        <f>HYPERLINK(CONCATENATE($AT$3,BK679,$AU$3),$AV$3)</f>
        <v>S</v>
      </c>
      <c r="C679" s="242" t="str">
        <f>HYPERLINK(CONCATENATE($AT$4,BK679,$AU$4,BL679),$AV$4)</f>
        <v>A</v>
      </c>
      <c r="D679" s="243" t="s">
        <v>5187</v>
      </c>
      <c r="E679" s="244" t="s">
        <v>5179</v>
      </c>
      <c r="F679" s="269">
        <v>5</v>
      </c>
      <c r="G679" s="276">
        <v>30</v>
      </c>
      <c r="H679" s="271" t="s">
        <v>6500</v>
      </c>
      <c r="I679" s="244" t="s">
        <v>6500</v>
      </c>
      <c r="J679" s="246">
        <v>1</v>
      </c>
      <c r="K679" s="247" t="s">
        <v>8384</v>
      </c>
      <c r="L679" s="248">
        <v>171051</v>
      </c>
      <c r="M679" s="249">
        <f>15*(LEFT(TEXT($L679,"000000"),2)+(MID(TEXT($L679,"000000"),3,2)/60)+(RIGHT(TEXT($L679,"000000"),2)/3600))</f>
        <v>257.71250000000003</v>
      </c>
      <c r="N679" s="286">
        <v>-282500</v>
      </c>
      <c r="O679" s="251">
        <f>IF($N679&gt;0,(LEFT(TEXT($N679,"000000"),2)+(MID(TEXT($N679,"000000"),3,2)/60)+(RIGHT(TEXT($N679,"000000"),2)/3600)),-(MID(TEXT($N679,"000000"),2,2)+(MID(TEXT($N679,"000000"),4,2)/60)+(RIGHT(TEXT($N679,"000000"),2)/3600)))</f>
        <v>-28.416666666666668</v>
      </c>
      <c r="P679" s="252" t="s">
        <v>113</v>
      </c>
      <c r="Q679" s="253"/>
      <c r="R679" s="277" t="s">
        <v>3293</v>
      </c>
      <c r="S679" s="272" t="s">
        <v>3293</v>
      </c>
      <c r="T679" s="273"/>
      <c r="U679" s="274"/>
      <c r="V679" s="256"/>
      <c r="W679" s="244"/>
      <c r="X679" s="244"/>
      <c r="Y679" s="362"/>
      <c r="Z679" s="257">
        <f>altaz(J2000_Bas,$O679,$M679,DecLat,DecLong,1)</f>
        <v>24.755441181474822</v>
      </c>
      <c r="AA679" s="257">
        <f>altaz((J2000_Bas+(2*0.04167)),$O679,$M679,DecLat,DecLong,1)</f>
        <v>8.6393181636418941</v>
      </c>
      <c r="AB679" s="257">
        <f>altaz((J2000_Bas+(4*0.04167)),$O679,$M679,DecLat,DecLong,1)</f>
        <v>-12.992612834445444</v>
      </c>
      <c r="AC679" s="257">
        <f>altaz((J2000_Bas+(6*0.04167)),$O679,$M679,DecLat,DecLong,1)</f>
        <v>-37.252319001451447</v>
      </c>
      <c r="AD679" s="258">
        <f>1+ transit((J2000_Bas-1),$O679,$M679,DecLat,DecLong)/360 + (GMTOffset/24) + (IF(DST="Y", 1, 0)/24)</f>
        <v>1.708767944598458</v>
      </c>
      <c r="AE679" s="259">
        <f>DATE(2001,9,21)+(M679/360)*365 - (360*((DecLong/360)- (GMTOffset/24) ))</f>
        <v>37421.29184027778</v>
      </c>
      <c r="AF679" s="260">
        <f>IF(DecLat&gt;0,IF((90 - (DecLat-O679))&gt;90, (90 - (O679-DecLat)), (90 - (DecLat-O679))),IF((90 + (DecLat-O679))&gt;90, (90 + (O679-DecLat)), (90 + (DecLat-O679))))</f>
        <v>30.583333333333329</v>
      </c>
      <c r="AG679" s="257">
        <f>angularseperation(MoonRA,MoonDec,$M679,$O679)</f>
        <v>7.6120950710976958</v>
      </c>
      <c r="AH679" s="261">
        <f ca="1">MIN(100,IF($O$5&gt;80,0+30*($AG679/100),IF($O$5&gt;70,0+50*($AG679/100),IF($O$5&gt;60,5+50*($AG679/100),IF($O$5&gt;50,10+60*($AG679/100),IF($O$5&gt;40,15+70*($AG679/100),IF($O$5&gt;30,20+70*($AG679/100),IF($O$5&gt;20,40+55*($AG679/100),(80+(20-$O$5)+30*($AG679/100))))))))))</f>
        <v>85.554688865479733</v>
      </c>
      <c r="AI679" s="263"/>
      <c r="AJ679" s="263"/>
      <c r="AK679" s="263"/>
      <c r="AL679" s="263"/>
      <c r="AM679" s="264"/>
      <c r="AN679" s="263"/>
      <c r="AO679" s="263"/>
      <c r="AP679" s="265"/>
      <c r="AQ679" s="265"/>
      <c r="AR679" s="285"/>
      <c r="AS679" s="263"/>
      <c r="AT679" s="263"/>
      <c r="AU679" s="263"/>
      <c r="AV679" s="264"/>
      <c r="AW679" s="263">
        <v>244</v>
      </c>
      <c r="AX679" s="263"/>
      <c r="AY679" s="263"/>
      <c r="AZ679" s="263"/>
      <c r="BA679" s="263"/>
      <c r="BB679" s="263"/>
      <c r="BC679" s="263"/>
      <c r="BD679" s="264"/>
      <c r="BE679" s="263"/>
      <c r="BF679" s="263"/>
      <c r="BG679" s="263"/>
      <c r="BH679" s="263"/>
      <c r="BI679" s="263"/>
      <c r="BJ679" s="404">
        <f>altaz(J2000_Bas,$O679,$M679,DecLat,DecLong,2)</f>
        <v>207.32348548502452</v>
      </c>
      <c r="BK679" s="378" t="s">
        <v>783</v>
      </c>
      <c r="BL679" s="379">
        <f>IF((2*G679)/60&lt;0.2,0.2,(2*G679)/60)</f>
        <v>1</v>
      </c>
      <c r="BM679" s="380">
        <f>MOD((50000+AD679-$B$3+(0/24)),1)</f>
        <v>0.92413487430167152</v>
      </c>
      <c r="BN679" s="381"/>
      <c r="BO679" s="382">
        <v>679</v>
      </c>
    </row>
    <row r="680" spans="1:67" s="24" customFormat="1" ht="15" customHeight="1" x14ac:dyDescent="0.25">
      <c r="A680" s="287" t="s">
        <v>784</v>
      </c>
      <c r="B680" s="241" t="str">
        <f>HYPERLINK(CONCATENATE($AT$3,BK680,$AU$3),$AV$3)</f>
        <v>S</v>
      </c>
      <c r="C680" s="242" t="str">
        <f>HYPERLINK(CONCATENATE($AT$4,BK680,$AU$4,BL680),$AV$4)</f>
        <v>A</v>
      </c>
      <c r="D680" s="243" t="s">
        <v>5187</v>
      </c>
      <c r="E680" s="244" t="s">
        <v>5179</v>
      </c>
      <c r="F680" s="269">
        <v>3</v>
      </c>
      <c r="G680" s="273">
        <v>8</v>
      </c>
      <c r="H680" s="271" t="s">
        <v>6500</v>
      </c>
      <c r="I680" s="244" t="s">
        <v>6500</v>
      </c>
      <c r="J680" s="246">
        <v>0</v>
      </c>
      <c r="K680" s="247" t="s">
        <v>5870</v>
      </c>
      <c r="L680" s="248">
        <v>171155</v>
      </c>
      <c r="M680" s="249">
        <f>15*(LEFT(TEXT($L680,"000000"),2)+(MID(TEXT($L680,"000000"),3,2)/60)+(RIGHT(TEXT($L680,"000000"),2)/3600))</f>
        <v>257.97916666666669</v>
      </c>
      <c r="N680" s="286">
        <v>-292500</v>
      </c>
      <c r="O680" s="251">
        <f>IF($N680&gt;0,(LEFT(TEXT($N680,"000000"),2)+(MID(TEXT($N680,"000000"),3,2)/60)+(RIGHT(TEXT($N680,"000000"),2)/3600)),-(MID(TEXT($N680,"000000"),2,2)+(MID(TEXT($N680,"000000"),4,2)/60)+(RIGHT(TEXT($N680,"000000"),2)/3600)))</f>
        <v>-29.416666666666668</v>
      </c>
      <c r="P680" s="252" t="s">
        <v>113</v>
      </c>
      <c r="Q680" s="253"/>
      <c r="R680" s="277" t="s">
        <v>3293</v>
      </c>
      <c r="S680" s="272" t="s">
        <v>3293</v>
      </c>
      <c r="T680" s="273"/>
      <c r="U680" s="274"/>
      <c r="V680" s="256"/>
      <c r="W680" s="244"/>
      <c r="X680" s="244"/>
      <c r="Y680" s="362"/>
      <c r="Z680" s="257">
        <f>altaz(J2000_Bas,$O680,$M680,DecLat,DecLong,1)</f>
        <v>23.963070422044705</v>
      </c>
      <c r="AA680" s="257">
        <f>altaz((J2000_Bas+(2*0.04167)),$O680,$M680,DecLat,DecLong,1)</f>
        <v>8.1350689435045567</v>
      </c>
      <c r="AB680" s="257">
        <f>altaz((J2000_Bas+(4*0.04167)),$O680,$M680,DecLat,DecLong,1)</f>
        <v>-13.26261040249801</v>
      </c>
      <c r="AC680" s="257">
        <f>altaz((J2000_Bas+(6*0.04167)),$O680,$M680,DecLat,DecLong,1)</f>
        <v>-37.349932102135028</v>
      </c>
      <c r="AD680" s="258">
        <f>1+ transit((J2000_Bas-1),$O680,$M680,DecLat,DecLong)/360 + (GMTOffset/24) + (IF(DST="Y", 1, 0)/24)</f>
        <v>1.7095086852651247</v>
      </c>
      <c r="AE680" s="259">
        <f>DATE(2001,9,21)+(M680/360)*365 - (360*((DecLong/360)- (GMTOffset/24) ))</f>
        <v>37421.562210648146</v>
      </c>
      <c r="AF680" s="260">
        <f>IF(DecLat&gt;0,IF((90 - (DecLat-O680))&gt;90, (90 - (O680-DecLat)), (90 - (DecLat-O680))),IF((90 + (DecLat-O680))&gt;90, (90 + (O680-DecLat)), (90 + (DecLat-O680))))</f>
        <v>29.583333333333329</v>
      </c>
      <c r="AG680" s="257">
        <f>angularseperation(MoonRA,MoonDec,$M680,$O680)</f>
        <v>8.0396876420676087</v>
      </c>
      <c r="AH680" s="261">
        <f ca="1">MIN(100,IF($O$5&gt;80,0+30*($AG680/100),IF($O$5&gt;70,0+50*($AG680/100),IF($O$5&gt;60,5+50*($AG680/100),IF($O$5&gt;50,10+60*($AG680/100),IF($O$5&gt;40,15+70*($AG680/100),IF($O$5&gt;30,20+70*($AG680/100),IF($O$5&gt;20,40+55*($AG680/100),(80+(20-$O$5)+30*($AG680/100))))))))))</f>
        <v>85.682966636770715</v>
      </c>
      <c r="AI680" s="263"/>
      <c r="AJ680" s="263"/>
      <c r="AK680" s="263"/>
      <c r="AL680" s="263"/>
      <c r="AM680" s="264"/>
      <c r="AN680" s="263"/>
      <c r="AO680" s="263"/>
      <c r="AP680" s="265"/>
      <c r="AQ680" s="265"/>
      <c r="AR680" s="285"/>
      <c r="AS680" s="263"/>
      <c r="AT680" s="263"/>
      <c r="AU680" s="263"/>
      <c r="AV680" s="264"/>
      <c r="AW680" s="263">
        <v>245</v>
      </c>
      <c r="AX680" s="263"/>
      <c r="AY680" s="263"/>
      <c r="AZ680" s="263"/>
      <c r="BA680" s="263"/>
      <c r="BB680" s="263"/>
      <c r="BC680" s="263"/>
      <c r="BD680" s="264"/>
      <c r="BE680" s="263"/>
      <c r="BF680" s="263"/>
      <c r="BG680" s="263"/>
      <c r="BH680" s="263"/>
      <c r="BI680" s="263"/>
      <c r="BJ680" s="404">
        <f>altaz(J2000_Bas,$O680,$M680,DecLat,DecLong,2)</f>
        <v>206.60647649560042</v>
      </c>
      <c r="BK680" s="378" t="s">
        <v>784</v>
      </c>
      <c r="BL680" s="379">
        <f>IF((2*G680)/60&lt;0.2,0.2,(2*G680)/60)</f>
        <v>0.26666666666666666</v>
      </c>
      <c r="BM680" s="380">
        <f>MOD((50000+AD680-$B$3+(0/24)),1)</f>
        <v>0.92487561496818671</v>
      </c>
      <c r="BN680" s="381"/>
      <c r="BO680" s="382">
        <v>680</v>
      </c>
    </row>
    <row r="681" spans="1:67" s="24" customFormat="1" ht="15" customHeight="1" x14ac:dyDescent="0.25">
      <c r="A681" s="287" t="s">
        <v>785</v>
      </c>
      <c r="B681" s="241" t="str">
        <f>HYPERLINK(CONCATENATE($AT$3,BK681,$AU$3),$AV$3)</f>
        <v>S</v>
      </c>
      <c r="C681" s="242" t="str">
        <f>HYPERLINK(CONCATENATE($AT$4,BK681,$AU$4,BL681),$AV$4)</f>
        <v>A</v>
      </c>
      <c r="D681" s="243" t="s">
        <v>5187</v>
      </c>
      <c r="E681" s="244" t="s">
        <v>5179</v>
      </c>
      <c r="F681" s="269">
        <v>3</v>
      </c>
      <c r="G681" s="276">
        <v>15</v>
      </c>
      <c r="H681" s="271" t="s">
        <v>6500</v>
      </c>
      <c r="I681" s="244" t="s">
        <v>6500</v>
      </c>
      <c r="J681" s="246">
        <v>1</v>
      </c>
      <c r="K681" s="247" t="s">
        <v>5871</v>
      </c>
      <c r="L681" s="248">
        <v>171201</v>
      </c>
      <c r="M681" s="249">
        <f>15*(LEFT(TEXT($L681,"000000"),2)+(MID(TEXT($L681,"000000"),3,2)/60)+(RIGHT(TEXT($L681,"000000"),2)/3600))</f>
        <v>258.00416666666666</v>
      </c>
      <c r="N681" s="286">
        <v>-224000</v>
      </c>
      <c r="O681" s="251">
        <f>IF($N681&gt;0,(LEFT(TEXT($N681,"000000"),2)+(MID(TEXT($N681,"000000"),3,2)/60)+(RIGHT(TEXT($N681,"000000"),2)/3600)),-(MID(TEXT($N681,"000000"),2,2)+(MID(TEXT($N681,"000000"),4,2)/60)+(RIGHT(TEXT($N681,"000000"),2)/3600)))</f>
        <v>-22.666666666666668</v>
      </c>
      <c r="P681" s="252" t="s">
        <v>113</v>
      </c>
      <c r="Q681" s="253"/>
      <c r="R681" s="277" t="s">
        <v>3293</v>
      </c>
      <c r="S681" s="272" t="s">
        <v>3293</v>
      </c>
      <c r="T681" s="273"/>
      <c r="U681" s="274"/>
      <c r="V681" s="256"/>
      <c r="W681" s="244"/>
      <c r="X681" s="244"/>
      <c r="Y681" s="362"/>
      <c r="Z681" s="257">
        <f>altaz(J2000_Bas,$O681,$M681,DecLat,DecLong,1)</f>
        <v>29.993909899196826</v>
      </c>
      <c r="AA681" s="257">
        <f>altaz((J2000_Bas+(2*0.04167)),$O681,$M681,DecLat,DecLong,1)</f>
        <v>12.69105258501871</v>
      </c>
      <c r="AB681" s="257">
        <f>altaz((J2000_Bas+(4*0.04167)),$O681,$M681,DecLat,DecLong,1)</f>
        <v>-9.9731910919735789</v>
      </c>
      <c r="AC681" s="257">
        <f>altaz((J2000_Bas+(6*0.04167)),$O681,$M681,DecLat,DecLong,1)</f>
        <v>-34.951515693652475</v>
      </c>
      <c r="AD681" s="258">
        <f>1+ transit((J2000_Bas-1),$O681,$M681,DecLat,DecLong)/360 + (GMTOffset/24) + (IF(DST="Y", 1, 0)/24)</f>
        <v>1.7095781297026247</v>
      </c>
      <c r="AE681" s="259">
        <f>DATE(2001,9,21)+(M681/360)*365 - (360*((DecLong/360)- (GMTOffset/24) ))</f>
        <v>37421.587557870371</v>
      </c>
      <c r="AF681" s="260">
        <f>IF(DecLat&gt;0,IF((90 - (DecLat-O681))&gt;90, (90 - (O681-DecLat)), (90 - (DecLat-O681))),IF((90 + (DecLat-O681))&gt;90, (90 + (O681-DecLat)), (90 + (DecLat-O681))))</f>
        <v>36.333333333333329</v>
      </c>
      <c r="AG681" s="257">
        <f>angularseperation(MoonRA,MoonDec,$M681,$O681)</f>
        <v>9.0902267928718441</v>
      </c>
      <c r="AH681" s="261">
        <f ca="1">MIN(100,IF($O$5&gt;80,0+30*($AG681/100),IF($O$5&gt;70,0+50*($AG681/100),IF($O$5&gt;60,5+50*($AG681/100),IF($O$5&gt;50,10+60*($AG681/100),IF($O$5&gt;40,15+70*($AG681/100),IF($O$5&gt;30,20+70*($AG681/100),IF($O$5&gt;20,40+55*($AG681/100),(80+(20-$O$5)+30*($AG681/100))))))))))</f>
        <v>85.998128382011984</v>
      </c>
      <c r="AI681" s="263"/>
      <c r="AJ681" s="263"/>
      <c r="AK681" s="263"/>
      <c r="AL681" s="263"/>
      <c r="AM681" s="264"/>
      <c r="AN681" s="263"/>
      <c r="AO681" s="263"/>
      <c r="AP681" s="265"/>
      <c r="AQ681" s="265"/>
      <c r="AR681" s="285"/>
      <c r="AS681" s="263"/>
      <c r="AT681" s="263"/>
      <c r="AU681" s="263"/>
      <c r="AV681" s="264"/>
      <c r="AW681" s="263">
        <v>246</v>
      </c>
      <c r="AX681" s="263"/>
      <c r="AY681" s="263"/>
      <c r="AZ681" s="263"/>
      <c r="BA681" s="263"/>
      <c r="BB681" s="263"/>
      <c r="BC681" s="263"/>
      <c r="BD681" s="264"/>
      <c r="BE681" s="263"/>
      <c r="BF681" s="263"/>
      <c r="BG681" s="263"/>
      <c r="BH681" s="263"/>
      <c r="BI681" s="263"/>
      <c r="BJ681" s="404">
        <f>altaz(J2000_Bas,$O681,$M681,DecLat,DecLong,2)</f>
        <v>210.01142545429829</v>
      </c>
      <c r="BK681" s="378" t="s">
        <v>785</v>
      </c>
      <c r="BL681" s="379">
        <f>IF((2*G681)/60&lt;0.2,0.2,(2*G681)/60)</f>
        <v>0.5</v>
      </c>
      <c r="BM681" s="380">
        <f>MOD((50000+AD681-$B$3+(0/24)),1)</f>
        <v>0.92494505940703675</v>
      </c>
      <c r="BN681" s="381"/>
      <c r="BO681" s="382">
        <v>681</v>
      </c>
    </row>
    <row r="682" spans="1:67" s="24" customFormat="1" ht="15" customHeight="1" x14ac:dyDescent="0.25">
      <c r="A682" s="287" t="s">
        <v>786</v>
      </c>
      <c r="B682" s="241" t="str">
        <f>HYPERLINK(CONCATENATE($AT$3,BK682,$AU$3),$AV$3)</f>
        <v>S</v>
      </c>
      <c r="C682" s="242" t="str">
        <f>HYPERLINK(CONCATENATE($AT$4,BK682,$AU$4,BL682),$AV$4)</f>
        <v>A</v>
      </c>
      <c r="D682" s="243" t="s">
        <v>5187</v>
      </c>
      <c r="E682" s="244" t="s">
        <v>5179</v>
      </c>
      <c r="F682" s="269">
        <v>3</v>
      </c>
      <c r="G682" s="273">
        <v>4</v>
      </c>
      <c r="H682" s="271" t="s">
        <v>6500</v>
      </c>
      <c r="I682" s="244" t="s">
        <v>6500</v>
      </c>
      <c r="J682" s="246">
        <v>1</v>
      </c>
      <c r="K682" s="247" t="s">
        <v>5872</v>
      </c>
      <c r="L682" s="248">
        <v>171306</v>
      </c>
      <c r="M682" s="249">
        <f>15*(LEFT(TEXT($L682,"000000"),2)+(MID(TEXT($L682,"000000"),3,2)/60)+(RIGHT(TEXT($L682,"000000"),2)/3600))</f>
        <v>258.27499999999998</v>
      </c>
      <c r="N682" s="286">
        <v>-301600</v>
      </c>
      <c r="O682" s="251">
        <f>IF($N682&gt;0,(LEFT(TEXT($N682,"000000"),2)+(MID(TEXT($N682,"000000"),3,2)/60)+(RIGHT(TEXT($N682,"000000"),2)/3600)),-(MID(TEXT($N682,"000000"),2,2)+(MID(TEXT($N682,"000000"),4,2)/60)+(RIGHT(TEXT($N682,"000000"),2)/3600)))</f>
        <v>-30.266666666666666</v>
      </c>
      <c r="P682" s="252" t="s">
        <v>113</v>
      </c>
      <c r="Q682" s="253"/>
      <c r="R682" s="277" t="s">
        <v>3293</v>
      </c>
      <c r="S682" s="272" t="s">
        <v>3293</v>
      </c>
      <c r="T682" s="273"/>
      <c r="U682" s="274"/>
      <c r="V682" s="256"/>
      <c r="W682" s="244"/>
      <c r="X682" s="244"/>
      <c r="Y682" s="362"/>
      <c r="Z682" s="257">
        <f>altaz(J2000_Bas,$O682,$M682,DecLat,DecLong,1)</f>
        <v>23.310988484254842</v>
      </c>
      <c r="AA682" s="257">
        <f>altaz((J2000_Bas+(2*0.04167)),$O682,$M682,DecLat,DecLong,1)</f>
        <v>7.7457160164240166</v>
      </c>
      <c r="AB682" s="257">
        <f>altaz((J2000_Bas+(4*0.04167)),$O682,$M682,DecLat,DecLong,1)</f>
        <v>-13.439676338694083</v>
      </c>
      <c r="AC682" s="257">
        <f>altaz((J2000_Bas+(6*0.04167)),$O682,$M682,DecLat,DecLong,1)</f>
        <v>-37.368594957463053</v>
      </c>
      <c r="AD682" s="258">
        <f>1+ transit((J2000_Bas-1),$O682,$M682,DecLat,DecLong)/360 + (GMTOffset/24) + (IF(DST="Y", 1, 0)/24)</f>
        <v>1.7103304444422081</v>
      </c>
      <c r="AE682" s="259">
        <f>DATE(2001,9,21)+(M682/360)*365 - (360*((DecLong/360)- (GMTOffset/24) ))</f>
        <v>37421.86215277778</v>
      </c>
      <c r="AF682" s="260">
        <f>IF(DecLat&gt;0,IF((90 - (DecLat-O682))&gt;90, (90 - (O682-DecLat)), (90 - (DecLat-O682))),IF((90 + (DecLat-O682))&gt;90, (90 + (O682-DecLat)), (90 + (DecLat-O682))))</f>
        <v>28.733333333333334</v>
      </c>
      <c r="AG682" s="257">
        <f>angularseperation(MoonRA,MoonDec,$M682,$O682)</f>
        <v>8.5367984372432915</v>
      </c>
      <c r="AH682" s="261">
        <f ca="1">MIN(100,IF($O$5&gt;80,0+30*($AG682/100),IF($O$5&gt;70,0+50*($AG682/100),IF($O$5&gt;60,5+50*($AG682/100),IF($O$5&gt;50,10+60*($AG682/100),IF($O$5&gt;40,15+70*($AG682/100),IF($O$5&gt;30,20+70*($AG682/100),IF($O$5&gt;20,40+55*($AG682/100),(80+(20-$O$5)+30*($AG682/100))))))))))</f>
        <v>85.832099875323422</v>
      </c>
      <c r="AI682" s="263"/>
      <c r="AJ682" s="263"/>
      <c r="AK682" s="263"/>
      <c r="AL682" s="263"/>
      <c r="AM682" s="264"/>
      <c r="AN682" s="263"/>
      <c r="AO682" s="263"/>
      <c r="AP682" s="265"/>
      <c r="AQ682" s="265"/>
      <c r="AR682" s="285"/>
      <c r="AS682" s="263"/>
      <c r="AT682" s="263"/>
      <c r="AU682" s="263"/>
      <c r="AV682" s="264"/>
      <c r="AW682" s="263">
        <v>247</v>
      </c>
      <c r="AX682" s="263"/>
      <c r="AY682" s="263"/>
      <c r="AZ682" s="263"/>
      <c r="BA682" s="263"/>
      <c r="BB682" s="263"/>
      <c r="BC682" s="263"/>
      <c r="BD682" s="264"/>
      <c r="BE682" s="263"/>
      <c r="BF682" s="263"/>
      <c r="BG682" s="263"/>
      <c r="BH682" s="263"/>
      <c r="BI682" s="263"/>
      <c r="BJ682" s="404">
        <f>altaz(J2000_Bas,$O682,$M682,DecLat,DecLong,2)</f>
        <v>205.94867818570555</v>
      </c>
      <c r="BK682" s="378" t="s">
        <v>786</v>
      </c>
      <c r="BL682" s="379">
        <f>IF((2*G682)/60&lt;0.2,0.2,(2*G682)/60)</f>
        <v>0.2</v>
      </c>
      <c r="BM682" s="380">
        <f>MOD((50000+AD682-$B$3+(0/24)),1)</f>
        <v>0.92569737414305564</v>
      </c>
      <c r="BN682" s="381"/>
      <c r="BO682" s="382">
        <v>682</v>
      </c>
    </row>
    <row r="683" spans="1:67" s="24" customFormat="1" ht="15" customHeight="1" x14ac:dyDescent="0.25">
      <c r="A683" s="287" t="s">
        <v>787</v>
      </c>
      <c r="B683" s="241" t="str">
        <f>HYPERLINK(CONCATENATE($AT$3,BK683,$AU$3),$AV$3)</f>
        <v>S</v>
      </c>
      <c r="C683" s="242" t="str">
        <f>HYPERLINK(CONCATENATE($AT$4,BK683,$AU$4,BL683),$AV$4)</f>
        <v>A</v>
      </c>
      <c r="D683" s="243" t="s">
        <v>5187</v>
      </c>
      <c r="E683" s="244" t="s">
        <v>5179</v>
      </c>
      <c r="F683" s="269">
        <v>5</v>
      </c>
      <c r="G683" s="276">
        <v>10</v>
      </c>
      <c r="H683" s="271" t="s">
        <v>6500</v>
      </c>
      <c r="I683" s="244" t="s">
        <v>6500</v>
      </c>
      <c r="J683" s="246">
        <v>0</v>
      </c>
      <c r="K683" s="247" t="s">
        <v>5873</v>
      </c>
      <c r="L683" s="248">
        <v>171304</v>
      </c>
      <c r="M683" s="249">
        <f>15*(LEFT(TEXT($L683,"000000"),2)+(MID(TEXT($L683,"000000"),3,2)/60)+(RIGHT(TEXT($L683,"000000"),2)/3600))</f>
        <v>258.26666666666665</v>
      </c>
      <c r="N683" s="286">
        <v>-290000</v>
      </c>
      <c r="O683" s="251">
        <f>IF($N683&gt;0,(LEFT(TEXT($N683,"000000"),2)+(MID(TEXT($N683,"000000"),3,2)/60)+(RIGHT(TEXT($N683,"000000"),2)/3600)),-(MID(TEXT($N683,"000000"),2,2)+(MID(TEXT($N683,"000000"),4,2)/60)+(RIGHT(TEXT($N683,"000000"),2)/3600)))</f>
        <v>-29</v>
      </c>
      <c r="P683" s="252" t="s">
        <v>113</v>
      </c>
      <c r="Q683" s="253"/>
      <c r="R683" s="277" t="s">
        <v>3293</v>
      </c>
      <c r="S683" s="272" t="s">
        <v>3293</v>
      </c>
      <c r="T683" s="273"/>
      <c r="U683" s="274"/>
      <c r="V683" s="256"/>
      <c r="W683" s="244"/>
      <c r="X683" s="244"/>
      <c r="Y683" s="362"/>
      <c r="Z683" s="257">
        <f>altaz(J2000_Bas,$O683,$M683,DecLat,DecLong,1)</f>
        <v>24.447625992991266</v>
      </c>
      <c r="AA683" s="257">
        <f>altaz((J2000_Bas+(2*0.04167)),$O683,$M683,DecLat,DecLong,1)</f>
        <v>8.6021494308801465</v>
      </c>
      <c r="AB683" s="257">
        <f>altaz((J2000_Bas+(4*0.04167)),$O683,$M683,DecLat,DecLong,1)</f>
        <v>-12.843559669022174</v>
      </c>
      <c r="AC683" s="257">
        <f>altaz((J2000_Bas+(6*0.04167)),$O683,$M683,DecLat,DecLong,1)</f>
        <v>-36.979973389419008</v>
      </c>
      <c r="AD683" s="258">
        <f>1+ transit((J2000_Bas-1),$O683,$M683,DecLat,DecLong)/360 + (GMTOffset/24) + (IF(DST="Y", 1, 0)/24)</f>
        <v>1.7103072962963746</v>
      </c>
      <c r="AE683" s="259">
        <f>DATE(2001,9,21)+(M683/360)*365 - (360*((DecLong/360)- (GMTOffset/24) ))</f>
        <v>37421.853703703702</v>
      </c>
      <c r="AF683" s="260">
        <f>IF(DecLat&gt;0,IF((90 - (DecLat-O683))&gt;90, (90 - (O683-DecLat)), (90 - (DecLat-O683))),IF((90 + (DecLat-O683))&gt;90, (90 + (O683-DecLat)), (90 + (DecLat-O683))))</f>
        <v>30</v>
      </c>
      <c r="AG683" s="257">
        <f>angularseperation(MoonRA,MoonDec,$M683,$O683)</f>
        <v>8.1900119051048232</v>
      </c>
      <c r="AH683" s="261">
        <f ca="1">MIN(100,IF($O$5&gt;80,0+30*($AG683/100),IF($O$5&gt;70,0+50*($AG683/100),IF($O$5&gt;60,5+50*($AG683/100),IF($O$5&gt;50,10+60*($AG683/100),IF($O$5&gt;40,15+70*($AG683/100),IF($O$5&gt;30,20+70*($AG683/100),IF($O$5&gt;20,40+55*($AG683/100),(80+(20-$O$5)+30*($AG683/100))))))))))</f>
        <v>85.728063915681872</v>
      </c>
      <c r="AI683" s="263"/>
      <c r="AJ683" s="263"/>
      <c r="AK683" s="263"/>
      <c r="AL683" s="263"/>
      <c r="AM683" s="264"/>
      <c r="AN683" s="263"/>
      <c r="AO683" s="263"/>
      <c r="AP683" s="265"/>
      <c r="AQ683" s="265"/>
      <c r="AR683" s="285"/>
      <c r="AS683" s="263"/>
      <c r="AT683" s="263"/>
      <c r="AU683" s="263"/>
      <c r="AV683" s="264"/>
      <c r="AW683" s="263">
        <v>248</v>
      </c>
      <c r="AX683" s="263"/>
      <c r="AY683" s="263"/>
      <c r="AZ683" s="263"/>
      <c r="BA683" s="263"/>
      <c r="BB683" s="263"/>
      <c r="BC683" s="263"/>
      <c r="BD683" s="264"/>
      <c r="BE683" s="263"/>
      <c r="BF683" s="263"/>
      <c r="BG683" s="263"/>
      <c r="BH683" s="263"/>
      <c r="BI683" s="263"/>
      <c r="BJ683" s="404">
        <f>altaz(J2000_Bas,$O683,$M683,DecLat,DecLong,2)</f>
        <v>206.56009379862402</v>
      </c>
      <c r="BK683" s="378" t="s">
        <v>787</v>
      </c>
      <c r="BL683" s="379">
        <f>IF((2*G683)/60&lt;0.2,0.2,(2*G683)/60)</f>
        <v>0.33333333333333331</v>
      </c>
      <c r="BM683" s="380">
        <f>MOD((50000+AD683-$B$3+(0/24)),1)</f>
        <v>0.92567422599677229</v>
      </c>
      <c r="BN683" s="381"/>
      <c r="BO683" s="382">
        <v>683</v>
      </c>
    </row>
    <row r="684" spans="1:67" s="24" customFormat="1" ht="15" customHeight="1" x14ac:dyDescent="0.25">
      <c r="A684" s="287" t="s">
        <v>788</v>
      </c>
      <c r="B684" s="241" t="str">
        <f>HYPERLINK(CONCATENATE($AT$3,BK684,$AU$3),$AV$3)</f>
        <v>S</v>
      </c>
      <c r="C684" s="242" t="str">
        <f>HYPERLINK(CONCATENATE($AT$4,BK684,$AU$4,BL684),$AV$4)</f>
        <v>A</v>
      </c>
      <c r="D684" s="243" t="s">
        <v>5187</v>
      </c>
      <c r="E684" s="244" t="s">
        <v>5179</v>
      </c>
      <c r="F684" s="269">
        <v>5</v>
      </c>
      <c r="G684" s="273">
        <v>5</v>
      </c>
      <c r="H684" s="271" t="s">
        <v>6500</v>
      </c>
      <c r="I684" s="244" t="s">
        <v>6500</v>
      </c>
      <c r="J684" s="246">
        <v>0</v>
      </c>
      <c r="K684" s="247" t="s">
        <v>6004</v>
      </c>
      <c r="L684" s="248">
        <v>171304</v>
      </c>
      <c r="M684" s="249">
        <f>15*(LEFT(TEXT($L684,"000000"),2)+(MID(TEXT($L684,"000000"),3,2)/60)+(RIGHT(TEXT($L684,"000000"),2)/3600))</f>
        <v>258.26666666666665</v>
      </c>
      <c r="N684" s="286">
        <v>-291000</v>
      </c>
      <c r="O684" s="251">
        <f>IF($N684&gt;0,(LEFT(TEXT($N684,"000000"),2)+(MID(TEXT($N684,"000000"),3,2)/60)+(RIGHT(TEXT($N684,"000000"),2)/3600)),-(MID(TEXT($N684,"000000"),2,2)+(MID(TEXT($N684,"000000"),4,2)/60)+(RIGHT(TEXT($N684,"000000"),2)/3600)))</f>
        <v>-29.166666666666668</v>
      </c>
      <c r="P684" s="252" t="s">
        <v>113</v>
      </c>
      <c r="Q684" s="253"/>
      <c r="R684" s="277" t="s">
        <v>3293</v>
      </c>
      <c r="S684" s="272" t="s">
        <v>3293</v>
      </c>
      <c r="T684" s="273"/>
      <c r="U684" s="274"/>
      <c r="V684" s="256"/>
      <c r="W684" s="244"/>
      <c r="X684" s="244"/>
      <c r="Y684" s="362"/>
      <c r="Z684" s="257">
        <f>altaz(J2000_Bas,$O684,$M684,DecLat,DecLong,1)</f>
        <v>24.297793110756935</v>
      </c>
      <c r="AA684" s="257">
        <f>altaz((J2000_Bas+(2*0.04167)),$O684,$M684,DecLat,DecLong,1)</f>
        <v>8.48889257673539</v>
      </c>
      <c r="AB684" s="257">
        <f>altaz((J2000_Bas+(4*0.04167)),$O684,$M684,DecLat,DecLong,1)</f>
        <v>-12.923117400034821</v>
      </c>
      <c r="AC684" s="257">
        <f>altaz((J2000_Bas+(6*0.04167)),$O684,$M684,DecLat,DecLong,1)</f>
        <v>-37.033101663930402</v>
      </c>
      <c r="AD684" s="258">
        <f>1+ transit((J2000_Bas-1),$O684,$M684,DecLat,DecLong)/360 + (GMTOffset/24) + (IF(DST="Y", 1, 0)/24)</f>
        <v>1.7103072962963746</v>
      </c>
      <c r="AE684" s="259">
        <f>DATE(2001,9,21)+(M684/360)*365 - (360*((DecLong/360)- (GMTOffset/24) ))</f>
        <v>37421.853703703702</v>
      </c>
      <c r="AF684" s="260">
        <f>IF(DecLat&gt;0,IF((90 - (DecLat-O684))&gt;90, (90 - (O684-DecLat)), (90 - (DecLat-O684))),IF((90 + (DecLat-O684))&gt;90, (90 + (O684-DecLat)), (90 + (DecLat-O684))))</f>
        <v>29.833333333333329</v>
      </c>
      <c r="AG684" s="257">
        <f>angularseperation(MoonRA,MoonDec,$M684,$O684)</f>
        <v>8.2244869520196922</v>
      </c>
      <c r="AH684" s="261">
        <f ca="1">MIN(100,IF($O$5&gt;80,0+30*($AG684/100),IF($O$5&gt;70,0+50*($AG684/100),IF($O$5&gt;60,5+50*($AG684/100),IF($O$5&gt;50,10+60*($AG684/100),IF($O$5&gt;40,15+70*($AG684/100),IF($O$5&gt;30,20+70*($AG684/100),IF($O$5&gt;20,40+55*($AG684/100),(80+(20-$O$5)+30*($AG684/100))))))))))</f>
        <v>85.738406429756338</v>
      </c>
      <c r="AI684" s="263"/>
      <c r="AJ684" s="263"/>
      <c r="AK684" s="263"/>
      <c r="AL684" s="263"/>
      <c r="AM684" s="264"/>
      <c r="AN684" s="263"/>
      <c r="AO684" s="263"/>
      <c r="AP684" s="265"/>
      <c r="AQ684" s="265"/>
      <c r="AR684" s="285"/>
      <c r="AS684" s="263"/>
      <c r="AT684" s="263"/>
      <c r="AU684" s="263"/>
      <c r="AV684" s="264"/>
      <c r="AW684" s="263">
        <v>249</v>
      </c>
      <c r="AX684" s="263"/>
      <c r="AY684" s="263"/>
      <c r="AZ684" s="263"/>
      <c r="BA684" s="263"/>
      <c r="BB684" s="263"/>
      <c r="BC684" s="263"/>
      <c r="BD684" s="264"/>
      <c r="BE684" s="263"/>
      <c r="BF684" s="263"/>
      <c r="BG684" s="263"/>
      <c r="BH684" s="263"/>
      <c r="BI684" s="263"/>
      <c r="BJ684" s="404">
        <f>altaz(J2000_Bas,$O684,$M684,DecLat,DecLong,2)</f>
        <v>206.47995989227448</v>
      </c>
      <c r="BK684" s="378" t="s">
        <v>788</v>
      </c>
      <c r="BL684" s="379">
        <f>IF((2*G684)/60&lt;0.2,0.2,(2*G684)/60)</f>
        <v>0.2</v>
      </c>
      <c r="BM684" s="380">
        <f>MOD((50000+AD684-$B$3+(0/24)),1)</f>
        <v>0.92567422599677229</v>
      </c>
      <c r="BN684" s="381"/>
      <c r="BO684" s="382">
        <v>684</v>
      </c>
    </row>
    <row r="685" spans="1:67" s="24" customFormat="1" ht="15" customHeight="1" x14ac:dyDescent="0.25">
      <c r="A685" s="288" t="s">
        <v>789</v>
      </c>
      <c r="B685" s="241" t="str">
        <f>HYPERLINK(CONCATENATE($AT$3,BK685,$AU$3),$AV$3)</f>
        <v>S</v>
      </c>
      <c r="C685" s="242" t="str">
        <f>HYPERLINK(CONCATENATE($AT$4,BK685,$AU$4,BL685),$AV$4)</f>
        <v>A</v>
      </c>
      <c r="D685" s="243" t="s">
        <v>5187</v>
      </c>
      <c r="E685" s="244" t="s">
        <v>5179</v>
      </c>
      <c r="F685" s="269">
        <v>4</v>
      </c>
      <c r="G685" s="276">
        <v>15</v>
      </c>
      <c r="H685" s="271" t="s">
        <v>6500</v>
      </c>
      <c r="I685" s="244" t="s">
        <v>6500</v>
      </c>
      <c r="J685" s="246">
        <v>0</v>
      </c>
      <c r="K685" s="247" t="s">
        <v>5874</v>
      </c>
      <c r="L685" s="248">
        <v>171301</v>
      </c>
      <c r="M685" s="249">
        <f>15*(LEFT(TEXT($L685,"000000"),2)+(MID(TEXT($L685,"000000"),3,2)/60)+(RIGHT(TEXT($L685,"000000"),2)/3600))</f>
        <v>258.25416666666666</v>
      </c>
      <c r="N685" s="286">
        <v>-282500</v>
      </c>
      <c r="O685" s="251">
        <f>IF($N685&gt;0,(LEFT(TEXT($N685,"000000"),2)+(MID(TEXT($N685,"000000"),3,2)/60)+(RIGHT(TEXT($N685,"000000"),2)/3600)),-(MID(TEXT($N685,"000000"),2,2)+(MID(TEXT($N685,"000000"),4,2)/60)+(RIGHT(TEXT($N685,"000000"),2)/3600)))</f>
        <v>-28.416666666666668</v>
      </c>
      <c r="P685" s="252" t="s">
        <v>113</v>
      </c>
      <c r="Q685" s="253"/>
      <c r="R685" s="277" t="s">
        <v>3293</v>
      </c>
      <c r="S685" s="272" t="s">
        <v>3293</v>
      </c>
      <c r="T685" s="273"/>
      <c r="U685" s="274"/>
      <c r="V685" s="256"/>
      <c r="W685" s="244"/>
      <c r="X685" s="244"/>
      <c r="Y685" s="362"/>
      <c r="Z685" s="257">
        <f>altaz(J2000_Bas,$O685,$M685,DecLat,DecLong,1)</f>
        <v>24.966866264523397</v>
      </c>
      <c r="AA685" s="257">
        <f>altaz((J2000_Bas+(2*0.04167)),$O685,$M685,DecLat,DecLong,1)</f>
        <v>8.9901580294619166</v>
      </c>
      <c r="AB685" s="257">
        <f>altaz((J2000_Bas+(4*0.04167)),$O685,$M685,DecLat,DecLong,1)</f>
        <v>-12.574088217343823</v>
      </c>
      <c r="AC685" s="257">
        <f>altaz((J2000_Bas+(6*0.04167)),$O685,$M685,DecLat,DecLong,1)</f>
        <v>-36.801841768980388</v>
      </c>
      <c r="AD685" s="258">
        <f>1+ transit((J2000_Bas-1),$O685,$M685,DecLat,DecLong)/360 + (GMTOffset/24) + (IF(DST="Y", 1, 0)/24)</f>
        <v>1.7102725740776246</v>
      </c>
      <c r="AE685" s="259">
        <f>DATE(2001,9,21)+(M685/360)*365 - (360*((DecLong/360)- (GMTOffset/24) ))</f>
        <v>37421.84103009259</v>
      </c>
      <c r="AF685" s="260">
        <f>IF(DecLat&gt;0,IF((90 - (DecLat-O685))&gt;90, (90 - (O685-DecLat)), (90 - (DecLat-O685))),IF((90 + (DecLat-O685))&gt;90, (90 + (O685-DecLat)), (90 + (DecLat-O685))))</f>
        <v>30.583333333333329</v>
      </c>
      <c r="AG685" s="257">
        <f>angularseperation(MoonRA,MoonDec,$M685,$O685)</f>
        <v>8.0841759917739289</v>
      </c>
      <c r="AH685" s="261">
        <f ca="1">MIN(100,IF($O$5&gt;80,0+30*($AG685/100),IF($O$5&gt;70,0+50*($AG685/100),IF($O$5&gt;60,5+50*($AG685/100),IF($O$5&gt;50,10+60*($AG685/100),IF($O$5&gt;40,15+70*($AG685/100),IF($O$5&gt;30,20+70*($AG685/100),IF($O$5&gt;20,40+55*($AG685/100),(80+(20-$O$5)+30*($AG685/100))))))))))</f>
        <v>85.696313141682609</v>
      </c>
      <c r="AI685" s="263"/>
      <c r="AJ685" s="263"/>
      <c r="AK685" s="263"/>
      <c r="AL685" s="263"/>
      <c r="AM685" s="264"/>
      <c r="AN685" s="263"/>
      <c r="AO685" s="263"/>
      <c r="AP685" s="265"/>
      <c r="AQ685" s="265"/>
      <c r="AR685" s="285"/>
      <c r="AS685" s="263"/>
      <c r="AT685" s="263"/>
      <c r="AU685" s="263"/>
      <c r="AV685" s="264"/>
      <c r="AW685" s="263">
        <v>250</v>
      </c>
      <c r="AX685" s="263"/>
      <c r="AY685" s="263"/>
      <c r="AZ685" s="263"/>
      <c r="BA685" s="263"/>
      <c r="BB685" s="263"/>
      <c r="BC685" s="263"/>
      <c r="BD685" s="264"/>
      <c r="BE685" s="263"/>
      <c r="BF685" s="263"/>
      <c r="BG685" s="263"/>
      <c r="BH685" s="263"/>
      <c r="BI685" s="263"/>
      <c r="BJ685" s="404">
        <f>altaz(J2000_Bas,$O685,$M685,DecLat,DecLong,2)</f>
        <v>206.85296540377169</v>
      </c>
      <c r="BK685" s="378" t="s">
        <v>789</v>
      </c>
      <c r="BL685" s="379">
        <f>IF((2*G685)/60&lt;0.2,0.2,(2*G685)/60)</f>
        <v>0.5</v>
      </c>
      <c r="BM685" s="380">
        <f>MOD((50000+AD685-$B$3+(0/24)),1)</f>
        <v>0.92563950378098525</v>
      </c>
      <c r="BN685" s="381"/>
      <c r="BO685" s="382">
        <v>685</v>
      </c>
    </row>
    <row r="686" spans="1:67" s="24" customFormat="1" ht="15" customHeight="1" x14ac:dyDescent="0.25">
      <c r="A686" s="287" t="s">
        <v>790</v>
      </c>
      <c r="B686" s="241" t="str">
        <f>HYPERLINK(CONCATENATE($AT$3,BK686,$AU$3),$AV$3)</f>
        <v>S</v>
      </c>
      <c r="C686" s="242" t="str">
        <f>HYPERLINK(CONCATENATE($AT$4,BK686,$AU$4,BL686),$AV$4)</f>
        <v>A</v>
      </c>
      <c r="D686" s="243" t="s">
        <v>5187</v>
      </c>
      <c r="E686" s="244" t="s">
        <v>5179</v>
      </c>
      <c r="F686" s="269">
        <v>3</v>
      </c>
      <c r="G686" s="276">
        <v>20</v>
      </c>
      <c r="H686" s="271" t="s">
        <v>6500</v>
      </c>
      <c r="I686" s="244" t="s">
        <v>6500</v>
      </c>
      <c r="J686" s="246">
        <v>0</v>
      </c>
      <c r="K686" s="247" t="s">
        <v>5875</v>
      </c>
      <c r="L686" s="248">
        <v>171348</v>
      </c>
      <c r="M686" s="249">
        <f>15*(LEFT(TEXT($L686,"000000"),2)+(MID(TEXT($L686,"000000"),3,2)/60)+(RIGHT(TEXT($L686,"000000"),2)/3600))</f>
        <v>258.44999999999993</v>
      </c>
      <c r="N686" s="286">
        <v>-201000</v>
      </c>
      <c r="O686" s="251">
        <f>IF($N686&gt;0,(LEFT(TEXT($N686,"000000"),2)+(MID(TEXT($N686,"000000"),3,2)/60)+(RIGHT(TEXT($N686,"000000"),2)/3600)),-(MID(TEXT($N686,"000000"),2,2)+(MID(TEXT($N686,"000000"),4,2)/60)+(RIGHT(TEXT($N686,"000000"),2)/3600)))</f>
        <v>-20.166666666666668</v>
      </c>
      <c r="P686" s="252" t="s">
        <v>113</v>
      </c>
      <c r="Q686" s="253"/>
      <c r="R686" s="277" t="s">
        <v>3293</v>
      </c>
      <c r="S686" s="272" t="s">
        <v>3293</v>
      </c>
      <c r="T686" s="273"/>
      <c r="U686" s="274"/>
      <c r="V686" s="256"/>
      <c r="W686" s="244"/>
      <c r="X686" s="244"/>
      <c r="Y686" s="362"/>
      <c r="Z686" s="257">
        <f>altaz(J2000_Bas,$O686,$M686,DecLat,DecLong,1)</f>
        <v>32.398349836913262</v>
      </c>
      <c r="AA686" s="257">
        <f>altaz((J2000_Bas+(2*0.04167)),$O686,$M686,DecLat,DecLong,1)</f>
        <v>14.663064868808894</v>
      </c>
      <c r="AB686" s="257">
        <f>altaz((J2000_Bas+(4*0.04167)),$O686,$M686,DecLat,DecLong,1)</f>
        <v>-8.3705449627574353</v>
      </c>
      <c r="AC686" s="257">
        <f>altaz((J2000_Bas+(6*0.04167)),$O686,$M686,DecLat,DecLong,1)</f>
        <v>-33.566270440826635</v>
      </c>
      <c r="AD686" s="258">
        <f>1+ transit((J2000_Bas-1),$O686,$M686,DecLat,DecLong)/360 + (GMTOffset/24) + (IF(DST="Y", 1, 0)/24)</f>
        <v>1.7108165555047079</v>
      </c>
      <c r="AE686" s="259">
        <f>DATE(2001,9,21)+(M686/360)*365 - (360*((DecLong/360)- (GMTOffset/24) ))</f>
        <v>37422.039583333331</v>
      </c>
      <c r="AF686" s="260">
        <f>IF(DecLat&gt;0,IF((90 - (DecLat-O686))&gt;90, (90 - (O686-DecLat)), (90 - (DecLat-O686))),IF((90 + (DecLat-O686))&gt;90, (90 + (O686-DecLat)), (90 + (DecLat-O686))))</f>
        <v>38.833333333333329</v>
      </c>
      <c r="AG686" s="257">
        <f>angularseperation(MoonRA,MoonDec,$M686,$O686)</f>
        <v>10.902353520062581</v>
      </c>
      <c r="AH686" s="261">
        <f ca="1">MIN(100,IF($O$5&gt;80,0+30*($AG686/100),IF($O$5&gt;70,0+50*($AG686/100),IF($O$5&gt;60,5+50*($AG686/100),IF($O$5&gt;50,10+60*($AG686/100),IF($O$5&gt;40,15+70*($AG686/100),IF($O$5&gt;30,20+70*($AG686/100),IF($O$5&gt;20,40+55*($AG686/100),(80+(20-$O$5)+30*($AG686/100))))))))))</f>
        <v>86.541766400169195</v>
      </c>
      <c r="AI686" s="263"/>
      <c r="AJ686" s="263"/>
      <c r="AK686" s="263"/>
      <c r="AL686" s="263"/>
      <c r="AM686" s="264"/>
      <c r="AN686" s="263"/>
      <c r="AO686" s="263"/>
      <c r="AP686" s="265"/>
      <c r="AQ686" s="265"/>
      <c r="AR686" s="285"/>
      <c r="AS686" s="263"/>
      <c r="AT686" s="263"/>
      <c r="AU686" s="263"/>
      <c r="AV686" s="264"/>
      <c r="AW686" s="263">
        <v>251</v>
      </c>
      <c r="AX686" s="263"/>
      <c r="AY686" s="263"/>
      <c r="AZ686" s="263"/>
      <c r="BA686" s="263"/>
      <c r="BB686" s="263"/>
      <c r="BC686" s="263"/>
      <c r="BD686" s="264"/>
      <c r="BE686" s="263"/>
      <c r="BF686" s="263"/>
      <c r="BG686" s="263"/>
      <c r="BH686" s="263"/>
      <c r="BI686" s="263"/>
      <c r="BJ686" s="404">
        <f>altaz(J2000_Bas,$O686,$M686,DecLat,DecLong,2)</f>
        <v>210.94746105230209</v>
      </c>
      <c r="BK686" s="378" t="s">
        <v>790</v>
      </c>
      <c r="BL686" s="379">
        <f>IF((2*G686)/60&lt;0.2,0.2,(2*G686)/60)</f>
        <v>0.66666666666666663</v>
      </c>
      <c r="BM686" s="380">
        <f>MOD((50000+AD686-$B$3+(0/24)),1)</f>
        <v>0.92618348520772997</v>
      </c>
      <c r="BN686" s="381"/>
      <c r="BO686" s="382">
        <v>686</v>
      </c>
    </row>
    <row r="687" spans="1:67" s="24" customFormat="1" ht="15" customHeight="1" x14ac:dyDescent="0.25">
      <c r="A687" s="288" t="s">
        <v>791</v>
      </c>
      <c r="B687" s="241" t="str">
        <f>HYPERLINK(CONCATENATE($AT$3,BK687,$AU$3),$AV$3)</f>
        <v>S</v>
      </c>
      <c r="C687" s="242" t="str">
        <f>HYPERLINK(CONCATENATE($AT$4,BK687,$AU$4,BL687),$AV$4)</f>
        <v>A</v>
      </c>
      <c r="D687" s="243" t="s">
        <v>5187</v>
      </c>
      <c r="E687" s="244" t="s">
        <v>5179</v>
      </c>
      <c r="F687" s="269">
        <v>5</v>
      </c>
      <c r="G687" s="276">
        <v>20</v>
      </c>
      <c r="H687" s="271" t="s">
        <v>6500</v>
      </c>
      <c r="I687" s="244" t="s">
        <v>6500</v>
      </c>
      <c r="J687" s="246">
        <v>4</v>
      </c>
      <c r="K687" s="247" t="s">
        <v>6005</v>
      </c>
      <c r="L687" s="248">
        <v>171518</v>
      </c>
      <c r="M687" s="249">
        <f>15*(LEFT(TEXT($L687,"000000"),2)+(MID(TEXT($L687,"000000"),3,2)/60)+(RIGHT(TEXT($L687,"000000"),2)/3600))</f>
        <v>258.82499999999999</v>
      </c>
      <c r="N687" s="250">
        <v>-321000</v>
      </c>
      <c r="O687" s="251">
        <f>IF($N687&gt;0,(LEFT(TEXT($N687,"000000"),2)+(MID(TEXT($N687,"000000"),3,2)/60)+(RIGHT(TEXT($N687,"000000"),2)/3600)),-(MID(TEXT($N687,"000000"),2,2)+(MID(TEXT($N687,"000000"),4,2)/60)+(RIGHT(TEXT($N687,"000000"),2)/3600)))</f>
        <v>-32.166666666666664</v>
      </c>
      <c r="P687" s="252" t="s">
        <v>109</v>
      </c>
      <c r="Q687" s="253" t="s">
        <v>6970</v>
      </c>
      <c r="R687" s="247" t="s">
        <v>3293</v>
      </c>
      <c r="S687" s="272" t="s">
        <v>3293</v>
      </c>
      <c r="T687" s="273"/>
      <c r="U687" s="274"/>
      <c r="V687" s="256"/>
      <c r="W687" s="244"/>
      <c r="X687" s="244"/>
      <c r="Y687" s="362"/>
      <c r="Z687" s="257">
        <f>altaz(J2000_Bas,$O687,$M687,DecLat,DecLong,1)</f>
        <v>21.795031266482418</v>
      </c>
      <c r="AA687" s="257">
        <f>altaz((J2000_Bas+(2*0.04167)),$O687,$M687,DecLat,DecLong,1)</f>
        <v>6.7882659495147832</v>
      </c>
      <c r="AB687" s="257">
        <f>altaz((J2000_Bas+(4*0.04167)),$O687,$M687,DecLat,DecLong,1)</f>
        <v>-13.922470988730341</v>
      </c>
      <c r="AC687" s="257">
        <f>altaz((J2000_Bas+(6*0.04167)),$O687,$M687,DecLat,DecLong,1)</f>
        <v>-37.478805096544789</v>
      </c>
      <c r="AD687" s="258">
        <f>1+ transit((J2000_Bas-1),$O687,$M687,DecLat,DecLong)/360 + (GMTOffset/24) + (IF(DST="Y", 1, 0)/24)</f>
        <v>1.7118582220672081</v>
      </c>
      <c r="AE687" s="259">
        <f>DATE(2001,9,21)+(M687/360)*365 - (360*((DecLong/360)- (GMTOffset/24) ))</f>
        <v>37422.419791666667</v>
      </c>
      <c r="AF687" s="260">
        <f>IF(DecLat&gt;0,IF((90 - (DecLat-O687))&gt;90, (90 - (O687-DecLat)), (90 - (DecLat-O687))),IF((90 + (DecLat-O687))&gt;90, (90 + (O687-DecLat)), (90 + (DecLat-O687))))</f>
        <v>26.833333333333336</v>
      </c>
      <c r="AG687" s="257">
        <f>angularseperation(MoonRA,MoonDec,$M687,$O687)</f>
        <v>9.7518165420528433</v>
      </c>
      <c r="AH687" s="261">
        <f ca="1">MIN(100,IF($O$5&gt;80,0+30*($AG687/100),IF($O$5&gt;70,0+50*($AG687/100),IF($O$5&gt;60,5+50*($AG687/100),IF($O$5&gt;50,10+60*($AG687/100),IF($O$5&gt;40,15+70*($AG687/100),IF($O$5&gt;30,20+70*($AG687/100),IF($O$5&gt;20,40+55*($AG687/100),(80+(20-$O$5)+30*($AG687/100))))))))))</f>
        <v>86.196605306766287</v>
      </c>
      <c r="AI687" s="262"/>
      <c r="AJ687" s="262"/>
      <c r="AK687" s="262"/>
      <c r="AL687" s="263"/>
      <c r="AM687" s="264"/>
      <c r="AN687" s="263"/>
      <c r="AO687" s="263"/>
      <c r="AP687" s="265"/>
      <c r="AQ687" s="266"/>
      <c r="AR687" s="267"/>
      <c r="AS687" s="263"/>
      <c r="AT687" s="263"/>
      <c r="AU687" s="263"/>
      <c r="AV687" s="264"/>
      <c r="AW687" s="263">
        <v>252</v>
      </c>
      <c r="AX687" s="263"/>
      <c r="AY687" s="263"/>
      <c r="AZ687" s="263"/>
      <c r="BA687" s="263"/>
      <c r="BB687" s="263"/>
      <c r="BC687" s="263"/>
      <c r="BD687" s="264"/>
      <c r="BE687" s="263"/>
      <c r="BF687" s="263"/>
      <c r="BG687" s="263">
        <v>73</v>
      </c>
      <c r="BH687" s="263"/>
      <c r="BI687" s="263"/>
      <c r="BJ687" s="404">
        <f>altaz(J2000_Bas,$O687,$M687,DecLat,DecLong,2)</f>
        <v>204.60790950923962</v>
      </c>
      <c r="BK687" s="378" t="s">
        <v>791</v>
      </c>
      <c r="BL687" s="379">
        <f>IF((2*G687)/60&lt;0.2,0.2,(2*G687)/60)</f>
        <v>0.66666666666666663</v>
      </c>
      <c r="BM687" s="380">
        <f>MOD((50000+AD687-$B$3+(0/24)),1)</f>
        <v>0.92722515176865272</v>
      </c>
      <c r="BN687" s="381"/>
      <c r="BO687" s="382">
        <v>687</v>
      </c>
    </row>
    <row r="688" spans="1:67" s="24" customFormat="1" ht="15" customHeight="1" x14ac:dyDescent="0.25">
      <c r="A688" s="287" t="s">
        <v>792</v>
      </c>
      <c r="B688" s="241" t="str">
        <f>HYPERLINK(CONCATENATE($AT$3,BK688,$AU$3),$AV$3)</f>
        <v>S</v>
      </c>
      <c r="C688" s="242" t="str">
        <f>HYPERLINK(CONCATENATE($AT$4,BK688,$AU$4,BL688),$AV$4)</f>
        <v>A</v>
      </c>
      <c r="D688" s="243" t="s">
        <v>5187</v>
      </c>
      <c r="E688" s="244" t="s">
        <v>5179</v>
      </c>
      <c r="F688" s="269">
        <v>3</v>
      </c>
      <c r="G688" s="276">
        <v>60</v>
      </c>
      <c r="H688" s="271" t="s">
        <v>6500</v>
      </c>
      <c r="I688" s="244" t="s">
        <v>6500</v>
      </c>
      <c r="J688" s="246">
        <v>1</v>
      </c>
      <c r="K688" s="247" t="s">
        <v>5876</v>
      </c>
      <c r="L688" s="248">
        <v>171531</v>
      </c>
      <c r="M688" s="249">
        <f>15*(LEFT(TEXT($L688,"000000"),2)+(MID(TEXT($L688,"000000"),3,2)/60)+(RIGHT(TEXT($L688,"000000"),2)/3600))</f>
        <v>258.87916666666666</v>
      </c>
      <c r="N688" s="286">
        <v>-223400</v>
      </c>
      <c r="O688" s="251">
        <f>IF($N688&gt;0,(LEFT(TEXT($N688,"000000"),2)+(MID(TEXT($N688,"000000"),3,2)/60)+(RIGHT(TEXT($N688,"000000"),2)/3600)),-(MID(TEXT($N688,"000000"),2,2)+(MID(TEXT($N688,"000000"),4,2)/60)+(RIGHT(TEXT($N688,"000000"),2)/3600)))</f>
        <v>-22.566666666666666</v>
      </c>
      <c r="P688" s="252" t="s">
        <v>113</v>
      </c>
      <c r="Q688" s="253"/>
      <c r="R688" s="277" t="s">
        <v>3293</v>
      </c>
      <c r="S688" s="272" t="s">
        <v>3293</v>
      </c>
      <c r="T688" s="273"/>
      <c r="U688" s="274"/>
      <c r="V688" s="256"/>
      <c r="W688" s="244"/>
      <c r="X688" s="244"/>
      <c r="Y688" s="362"/>
      <c r="Z688" s="257">
        <f>altaz(J2000_Bas,$O688,$M688,DecLat,DecLong,1)</f>
        <v>30.453486414826589</v>
      </c>
      <c r="AA688" s="257">
        <f>altaz((J2000_Bas+(2*0.04167)),$O688,$M688,DecLat,DecLong,1)</f>
        <v>13.358258062949373</v>
      </c>
      <c r="AB688" s="257">
        <f>altaz((J2000_Bas+(4*0.04167)),$O688,$M688,DecLat,DecLong,1)</f>
        <v>-9.2220298552007982</v>
      </c>
      <c r="AC688" s="257">
        <f>altaz((J2000_Bas+(6*0.04167)),$O688,$M688,DecLat,DecLong,1)</f>
        <v>-34.168894069964821</v>
      </c>
      <c r="AD688" s="258">
        <f>1+ transit((J2000_Bas-1),$O688,$M688,DecLat,DecLong)/360 + (GMTOffset/24) + (IF(DST="Y", 1, 0)/24)</f>
        <v>1.7120086850151248</v>
      </c>
      <c r="AE688" s="259">
        <f>DATE(2001,9,21)+(M688/360)*365 - (360*((DecLong/360)- (GMTOffset/24) ))</f>
        <v>37422.474710648152</v>
      </c>
      <c r="AF688" s="260">
        <f>IF(DecLat&gt;0,IF((90 - (DecLat-O688))&gt;90, (90 - (O688-DecLat)), (90 - (DecLat-O688))),IF((90 + (DecLat-O688))&gt;90, (90 + (O688-DecLat)), (90 + (DecLat-O688))))</f>
        <v>36.433333333333337</v>
      </c>
      <c r="AG688" s="257">
        <f>angularseperation(MoonRA,MoonDec,$M688,$O688)</f>
        <v>9.8394487032095093</v>
      </c>
      <c r="AH688" s="261">
        <f ca="1">MIN(100,IF($O$5&gt;80,0+30*($AG688/100),IF($O$5&gt;70,0+50*($AG688/100),IF($O$5&gt;60,5+50*($AG688/100),IF($O$5&gt;50,10+60*($AG688/100),IF($O$5&gt;40,15+70*($AG688/100),IF($O$5&gt;30,20+70*($AG688/100),IF($O$5&gt;20,40+55*($AG688/100),(80+(20-$O$5)+30*($AG688/100))))))))))</f>
        <v>86.222894955113276</v>
      </c>
      <c r="AI688" s="263"/>
      <c r="AJ688" s="263"/>
      <c r="AK688" s="263"/>
      <c r="AL688" s="263"/>
      <c r="AM688" s="264"/>
      <c r="AN688" s="263"/>
      <c r="AO688" s="263"/>
      <c r="AP688" s="265"/>
      <c r="AQ688" s="265"/>
      <c r="AR688" s="285"/>
      <c r="AS688" s="263"/>
      <c r="AT688" s="263"/>
      <c r="AU688" s="263"/>
      <c r="AV688" s="264"/>
      <c r="AW688" s="263">
        <v>253</v>
      </c>
      <c r="AX688" s="263"/>
      <c r="AY688" s="263"/>
      <c r="AZ688" s="263"/>
      <c r="BA688" s="263"/>
      <c r="BB688" s="263"/>
      <c r="BC688" s="263"/>
      <c r="BD688" s="264"/>
      <c r="BE688" s="263"/>
      <c r="BF688" s="263"/>
      <c r="BG688" s="263"/>
      <c r="BH688" s="263"/>
      <c r="BI688" s="263"/>
      <c r="BJ688" s="404">
        <f>altaz(J2000_Bas,$O688,$M688,DecLat,DecLong,2)</f>
        <v>209.23404605389032</v>
      </c>
      <c r="BK688" s="378" t="s">
        <v>792</v>
      </c>
      <c r="BL688" s="379">
        <f>IF((2*G688)/60&lt;0.2,0.2,(2*G688)/60)</f>
        <v>2</v>
      </c>
      <c r="BM688" s="380">
        <f>MOD((50000+AD688-$B$3+(0/24)),1)</f>
        <v>0.9273756147158565</v>
      </c>
      <c r="BN688" s="381"/>
      <c r="BO688" s="382">
        <v>688</v>
      </c>
    </row>
    <row r="689" spans="1:67" s="24" customFormat="1" ht="15" customHeight="1" x14ac:dyDescent="0.25">
      <c r="A689" s="287" t="s">
        <v>793</v>
      </c>
      <c r="B689" s="241" t="str">
        <f>HYPERLINK(CONCATENATE($AT$3,BK689,$AU$3),$AV$3)</f>
        <v>S</v>
      </c>
      <c r="C689" s="242" t="str">
        <f>HYPERLINK(CONCATENATE($AT$4,BK689,$AU$4,BL689),$AV$4)</f>
        <v>A</v>
      </c>
      <c r="D689" s="243" t="s">
        <v>5187</v>
      </c>
      <c r="E689" s="244" t="s">
        <v>5179</v>
      </c>
      <c r="F689" s="269">
        <v>5</v>
      </c>
      <c r="G689" s="276">
        <v>60</v>
      </c>
      <c r="H689" s="271" t="s">
        <v>6500</v>
      </c>
      <c r="I689" s="244" t="s">
        <v>6500</v>
      </c>
      <c r="J689" s="246">
        <v>2</v>
      </c>
      <c r="K689" s="247" t="s">
        <v>5877</v>
      </c>
      <c r="L689" s="248">
        <v>172029</v>
      </c>
      <c r="M689" s="249">
        <f>15*(LEFT(TEXT($L689,"000000"),2)+(MID(TEXT($L689,"000000"),3,2)/60)+(RIGHT(TEXT($L689,"000000"),2)/3600))</f>
        <v>260.12083333333328</v>
      </c>
      <c r="N689" s="286">
        <v>-300900</v>
      </c>
      <c r="O689" s="251">
        <f>IF($N689&gt;0,(LEFT(TEXT($N689,"000000"),2)+(MID(TEXT($N689,"000000"),3,2)/60)+(RIGHT(TEXT($N689,"000000"),2)/3600)),-(MID(TEXT($N689,"000000"),2,2)+(MID(TEXT($N689,"000000"),4,2)/60)+(RIGHT(TEXT($N689,"000000"),2)/3600)))</f>
        <v>-30.15</v>
      </c>
      <c r="P689" s="252" t="s">
        <v>113</v>
      </c>
      <c r="Q689" s="253"/>
      <c r="R689" s="277" t="s">
        <v>3293</v>
      </c>
      <c r="S689" s="272" t="s">
        <v>3293</v>
      </c>
      <c r="T689" s="273"/>
      <c r="U689" s="274"/>
      <c r="V689" s="256"/>
      <c r="W689" s="244"/>
      <c r="X689" s="244"/>
      <c r="Y689" s="362"/>
      <c r="Z689" s="257">
        <f>altaz(J2000_Bas,$O689,$M689,DecLat,DecLong,1)</f>
        <v>24.090109061475982</v>
      </c>
      <c r="AA689" s="257">
        <f>altaz((J2000_Bas+(2*0.04167)),$O689,$M689,DecLat,DecLong,1)</f>
        <v>8.9835649169883709</v>
      </c>
      <c r="AB689" s="257">
        <f>altaz((J2000_Bas+(4*0.04167)),$O689,$M689,DecLat,DecLong,1)</f>
        <v>-11.984011618894279</v>
      </c>
      <c r="AC689" s="257">
        <f>altaz((J2000_Bas+(6*0.04167)),$O689,$M689,DecLat,DecLong,1)</f>
        <v>-35.815853161700048</v>
      </c>
      <c r="AD689" s="258">
        <f>1+ transit((J2000_Bas-1),$O689,$M689,DecLat,DecLong)/360 + (GMTOffset/24) + (IF(DST="Y", 1, 0)/24)</f>
        <v>1.7154577587442914</v>
      </c>
      <c r="AE689" s="259">
        <f>DATE(2001,9,21)+(M689/360)*365 - (360*((DecLong/360)- (GMTOffset/24) ))</f>
        <v>37423.733622685184</v>
      </c>
      <c r="AF689" s="260">
        <f>IF(DecLat&gt;0,IF((90 - (DecLat-O689))&gt;90, (90 - (O689-DecLat)), (90 - (DecLat-O689))),IF((90 + (DecLat-O689))&gt;90, (90 + (O689-DecLat)), (90 + (DecLat-O689))))</f>
        <v>28.85</v>
      </c>
      <c r="AG689" s="257">
        <f>angularseperation(MoonRA,MoonDec,$M689,$O689)</f>
        <v>10.024831015431163</v>
      </c>
      <c r="AH689" s="261">
        <f ca="1">MIN(100,IF($O$5&gt;80,0+30*($AG689/100),IF($O$5&gt;70,0+50*($AG689/100),IF($O$5&gt;60,5+50*($AG689/100),IF($O$5&gt;50,10+60*($AG689/100),IF($O$5&gt;40,15+70*($AG689/100),IF($O$5&gt;30,20+70*($AG689/100),IF($O$5&gt;20,40+55*($AG689/100),(80+(20-$O$5)+30*($AG689/100))))))))))</f>
        <v>86.278509648779774</v>
      </c>
      <c r="AI689" s="263"/>
      <c r="AJ689" s="263"/>
      <c r="AK689" s="263"/>
      <c r="AL689" s="263"/>
      <c r="AM689" s="264"/>
      <c r="AN689" s="263"/>
      <c r="AO689" s="263"/>
      <c r="AP689" s="265"/>
      <c r="AQ689" s="265"/>
      <c r="AR689" s="285"/>
      <c r="AS689" s="263"/>
      <c r="AT689" s="263"/>
      <c r="AU689" s="263"/>
      <c r="AV689" s="264"/>
      <c r="AW689" s="263">
        <v>254</v>
      </c>
      <c r="AX689" s="263"/>
      <c r="AY689" s="263"/>
      <c r="AZ689" s="263"/>
      <c r="BA689" s="263"/>
      <c r="BB689" s="263"/>
      <c r="BC689" s="263"/>
      <c r="BD689" s="264"/>
      <c r="BE689" s="263"/>
      <c r="BF689" s="263"/>
      <c r="BG689" s="263"/>
      <c r="BH689" s="263"/>
      <c r="BI689" s="263"/>
      <c r="BJ689" s="404">
        <f>altaz(J2000_Bas,$O689,$M689,DecLat,DecLong,2)</f>
        <v>204.42317414409285</v>
      </c>
      <c r="BK689" s="378" t="s">
        <v>793</v>
      </c>
      <c r="BL689" s="379">
        <f>IF((2*G689)/60&lt;0.2,0.2,(2*G689)/60)</f>
        <v>2</v>
      </c>
      <c r="BM689" s="380">
        <f>MOD((50000+AD689-$B$3+(0/24)),1)</f>
        <v>0.93082468844659161</v>
      </c>
      <c r="BN689" s="381"/>
      <c r="BO689" s="382">
        <v>689</v>
      </c>
    </row>
    <row r="690" spans="1:67" s="24" customFormat="1" ht="15" customHeight="1" x14ac:dyDescent="0.25">
      <c r="A690" s="288" t="s">
        <v>794</v>
      </c>
      <c r="B690" s="241" t="str">
        <f>HYPERLINK(CONCATENATE($AT$3,BK690,$AU$3),$AV$3)</f>
        <v>S</v>
      </c>
      <c r="C690" s="242" t="str">
        <f>HYPERLINK(CONCATENATE($AT$4,BK690,$AU$4,BL690),$AV$4)</f>
        <v>A</v>
      </c>
      <c r="D690" s="243" t="s">
        <v>5187</v>
      </c>
      <c r="E690" s="244" t="s">
        <v>5179</v>
      </c>
      <c r="F690" s="269">
        <v>5</v>
      </c>
      <c r="G690" s="273">
        <v>5</v>
      </c>
      <c r="H690" s="271" t="s">
        <v>6500</v>
      </c>
      <c r="I690" s="244" t="s">
        <v>6500</v>
      </c>
      <c r="J690" s="246">
        <v>1</v>
      </c>
      <c r="K690" s="247" t="s">
        <v>5878</v>
      </c>
      <c r="L690" s="248">
        <v>172035</v>
      </c>
      <c r="M690" s="249">
        <f>15*(LEFT(TEXT($L690,"000000"),2)+(MID(TEXT($L690,"000000"),3,2)/60)+(RIGHT(TEXT($L690,"000000"),2)/3600))</f>
        <v>260.14583333333331</v>
      </c>
      <c r="N690" s="286">
        <v>-232900</v>
      </c>
      <c r="O690" s="251">
        <f>IF($N690&gt;0,(LEFT(TEXT($N690,"000000"),2)+(MID(TEXT($N690,"000000"),3,2)/60)+(RIGHT(TEXT($N690,"000000"),2)/3600)),-(MID(TEXT($N690,"000000"),2,2)+(MID(TEXT($N690,"000000"),4,2)/60)+(RIGHT(TEXT($N690,"000000"),2)/3600)))</f>
        <v>-23.483333333333334</v>
      </c>
      <c r="P690" s="252" t="s">
        <v>113</v>
      </c>
      <c r="Q690" s="253"/>
      <c r="R690" s="277" t="s">
        <v>3293</v>
      </c>
      <c r="S690" s="272" t="s">
        <v>3293</v>
      </c>
      <c r="T690" s="273"/>
      <c r="U690" s="274"/>
      <c r="V690" s="256"/>
      <c r="W690" s="244"/>
      <c r="X690" s="244"/>
      <c r="Y690" s="362"/>
      <c r="Z690" s="257">
        <f>altaz(J2000_Bas,$O690,$M690,DecLat,DecLong,1)</f>
        <v>30.14787827062802</v>
      </c>
      <c r="AA690" s="257">
        <f>altaz((J2000_Bas+(2*0.04167)),$O690,$M690,DecLat,DecLong,1)</f>
        <v>13.594927476535785</v>
      </c>
      <c r="AB690" s="257">
        <f>altaz((J2000_Bas+(4*0.04167)),$O690,$M690,DecLat,DecLong,1)</f>
        <v>-8.6702269339683742</v>
      </c>
      <c r="AC690" s="257">
        <f>altaz((J2000_Bas+(6*0.04167)),$O690,$M690,DecLat,DecLong,1)</f>
        <v>-33.451466954262997</v>
      </c>
      <c r="AD690" s="258">
        <f>1+ transit((J2000_Bas-1),$O690,$M690,DecLat,DecLong)/360 + (GMTOffset/24) + (IF(DST="Y", 1, 0)/24)</f>
        <v>1.7155272031817914</v>
      </c>
      <c r="AE690" s="259">
        <f>DATE(2001,9,21)+(M690/360)*365 - (360*((DecLong/360)- (GMTOffset/24) ))</f>
        <v>37423.758969907409</v>
      </c>
      <c r="AF690" s="260">
        <f>IF(DecLat&gt;0,IF((90 - (DecLat-O690))&gt;90, (90 - (O690-DecLat)), (90 - (DecLat-O690))),IF((90 + (DecLat-O690))&gt;90, (90 + (O690-DecLat)), (90 + (DecLat-O690))))</f>
        <v>35.516666666666666</v>
      </c>
      <c r="AG690" s="257">
        <f>angularseperation(MoonRA,MoonDec,$M690,$O690)</f>
        <v>10.491210912698046</v>
      </c>
      <c r="AH690" s="261">
        <f ca="1">MIN(100,IF($O$5&gt;80,0+30*($AG690/100),IF($O$5&gt;70,0+50*($AG690/100),IF($O$5&gt;60,5+50*($AG690/100),IF($O$5&gt;50,10+60*($AG690/100),IF($O$5&gt;40,15+70*($AG690/100),IF($O$5&gt;30,20+70*($AG690/100),IF($O$5&gt;20,40+55*($AG690/100),(80+(20-$O$5)+30*($AG690/100))))))))))</f>
        <v>86.418423617959846</v>
      </c>
      <c r="AI690" s="263"/>
      <c r="AJ690" s="263"/>
      <c r="AK690" s="263"/>
      <c r="AL690" s="263"/>
      <c r="AM690" s="264"/>
      <c r="AN690" s="263"/>
      <c r="AO690" s="263"/>
      <c r="AP690" s="265"/>
      <c r="AQ690" s="265"/>
      <c r="AR690" s="285"/>
      <c r="AS690" s="263"/>
      <c r="AT690" s="263"/>
      <c r="AU690" s="263"/>
      <c r="AV690" s="264"/>
      <c r="AW690" s="263">
        <v>255</v>
      </c>
      <c r="AX690" s="263"/>
      <c r="AY690" s="263"/>
      <c r="AZ690" s="263"/>
      <c r="BA690" s="263"/>
      <c r="BB690" s="263"/>
      <c r="BC690" s="263"/>
      <c r="BD690" s="264"/>
      <c r="BE690" s="263"/>
      <c r="BF690" s="263"/>
      <c r="BG690" s="263"/>
      <c r="BH690" s="263"/>
      <c r="BI690" s="263"/>
      <c r="BJ690" s="404">
        <f>altaz(J2000_Bas,$O690,$M690,DecLat,DecLong,2)</f>
        <v>207.55327506025566</v>
      </c>
      <c r="BK690" s="378" t="s">
        <v>794</v>
      </c>
      <c r="BL690" s="379">
        <f>IF((2*G690)/60&lt;0.2,0.2,(2*G690)/60)</f>
        <v>0.2</v>
      </c>
      <c r="BM690" s="380">
        <f>MOD((50000+AD690-$B$3+(0/24)),1)</f>
        <v>0.93089413288544165</v>
      </c>
      <c r="BN690" s="381"/>
      <c r="BO690" s="382">
        <v>690</v>
      </c>
    </row>
    <row r="691" spans="1:67" s="24" customFormat="1" ht="15" customHeight="1" x14ac:dyDescent="0.25">
      <c r="A691" s="287" t="s">
        <v>795</v>
      </c>
      <c r="B691" s="241" t="str">
        <f>HYPERLINK(CONCATENATE($AT$3,BK691,$AU$3),$AV$3)</f>
        <v>S</v>
      </c>
      <c r="C691" s="242" t="str">
        <f>HYPERLINK(CONCATENATE($AT$4,BK691,$AU$4,BL691),$AV$4)</f>
        <v>A</v>
      </c>
      <c r="D691" s="243" t="s">
        <v>5187</v>
      </c>
      <c r="E691" s="244" t="s">
        <v>5179</v>
      </c>
      <c r="F691" s="269">
        <v>5</v>
      </c>
      <c r="G691" s="276">
        <v>50</v>
      </c>
      <c r="H691" s="271" t="s">
        <v>6500</v>
      </c>
      <c r="I691" s="244" t="s">
        <v>6500</v>
      </c>
      <c r="J691" s="246">
        <v>2</v>
      </c>
      <c r="K691" s="247" t="s">
        <v>6006</v>
      </c>
      <c r="L691" s="248">
        <v>172212</v>
      </c>
      <c r="M691" s="249">
        <f>15*(LEFT(TEXT($L691,"000000"),2)+(MID(TEXT($L691,"000000"),3,2)/60)+(RIGHT(TEXT($L691,"000000"),2)/3600))</f>
        <v>260.55</v>
      </c>
      <c r="N691" s="250">
        <v>-285000</v>
      </c>
      <c r="O691" s="251">
        <f>IF($N691&gt;0,(LEFT(TEXT($N691,"000000"),2)+(MID(TEXT($N691,"000000"),3,2)/60)+(RIGHT(TEXT($N691,"000000"),2)/3600)),-(MID(TEXT($N691,"000000"),2,2)+(MID(TEXT($N691,"000000"),4,2)/60)+(RIGHT(TEXT($N691,"000000"),2)/3600)))</f>
        <v>-28.833333333333332</v>
      </c>
      <c r="P691" s="252" t="s">
        <v>113</v>
      </c>
      <c r="Q691" s="253"/>
      <c r="R691" s="277" t="s">
        <v>3293</v>
      </c>
      <c r="S691" s="272" t="s">
        <v>3293</v>
      </c>
      <c r="T691" s="273"/>
      <c r="U691" s="274"/>
      <c r="V691" s="256"/>
      <c r="W691" s="244"/>
      <c r="X691" s="244"/>
      <c r="Y691" s="362"/>
      <c r="Z691" s="257">
        <f>altaz(J2000_Bas,$O691,$M691,DecLat,DecLong,1)</f>
        <v>25.444416782491516</v>
      </c>
      <c r="AA691" s="257">
        <f>altaz((J2000_Bas+(2*0.04167)),$O691,$M691,DecLat,DecLong,1)</f>
        <v>10.167675928663268</v>
      </c>
      <c r="AB691" s="257">
        <f>altaz((J2000_Bas+(4*0.04167)),$O691,$M691,DecLat,DecLong,1)</f>
        <v>-11.014614163335533</v>
      </c>
      <c r="AC691" s="257">
        <f>altaz((J2000_Bas+(6*0.04167)),$O691,$M691,DecLat,DecLong,1)</f>
        <v>-35.036138521816305</v>
      </c>
      <c r="AD691" s="258">
        <f>1+ transit((J2000_Bas-1),$O691,$M691,DecLat,DecLong)/360 + (GMTOffset/24) + (IF(DST="Y", 1, 0)/24)</f>
        <v>1.7166498882547081</v>
      </c>
      <c r="AE691" s="259">
        <f>DATE(2001,9,21)+(M691/360)*365 - (360*((DecLong/360)- (GMTOffset/24) ))</f>
        <v>37424.168749999997</v>
      </c>
      <c r="AF691" s="260">
        <f>IF(DecLat&gt;0,IF((90 - (DecLat-O691))&gt;90, (90 - (O691-DecLat)), (90 - (DecLat-O691))),IF((90 + (DecLat-O691))&gt;90, (90 + (O691-DecLat)), (90 + (DecLat-O691))))</f>
        <v>30.166666666666671</v>
      </c>
      <c r="AG691" s="257">
        <f>angularseperation(MoonRA,MoonDec,$M691,$O691)</f>
        <v>10.136060639395376</v>
      </c>
      <c r="AH691" s="261">
        <f ca="1">MIN(100,IF($O$5&gt;80,0+30*($AG691/100),IF($O$5&gt;70,0+50*($AG691/100),IF($O$5&gt;60,5+50*($AG691/100),IF($O$5&gt;50,10+60*($AG691/100),IF($O$5&gt;40,15+70*($AG691/100),IF($O$5&gt;30,20+70*($AG691/100),IF($O$5&gt;20,40+55*($AG691/100),(80+(20-$O$5)+30*($AG691/100))))))))))</f>
        <v>86.311878535969043</v>
      </c>
      <c r="AI691" s="263"/>
      <c r="AJ691" s="263"/>
      <c r="AK691" s="263"/>
      <c r="AL691" s="263"/>
      <c r="AM691" s="264"/>
      <c r="AN691" s="263"/>
      <c r="AO691" s="263"/>
      <c r="AP691" s="265"/>
      <c r="AQ691" s="265"/>
      <c r="AR691" s="285"/>
      <c r="AS691" s="263"/>
      <c r="AT691" s="263"/>
      <c r="AU691" s="263"/>
      <c r="AV691" s="264"/>
      <c r="AW691" s="263">
        <v>256</v>
      </c>
      <c r="AX691" s="263"/>
      <c r="AY691" s="263"/>
      <c r="AZ691" s="263"/>
      <c r="BA691" s="263"/>
      <c r="BB691" s="263"/>
      <c r="BC691" s="263"/>
      <c r="BD691" s="264"/>
      <c r="BE691" s="263"/>
      <c r="BF691" s="263"/>
      <c r="BG691" s="263"/>
      <c r="BH691" s="263"/>
      <c r="BI691" s="263"/>
      <c r="BJ691" s="404">
        <f>altaz(J2000_Bas,$O691,$M691,DecLat,DecLong,2)</f>
        <v>204.64065910537721</v>
      </c>
      <c r="BK691" s="378" t="s">
        <v>795</v>
      </c>
      <c r="BL691" s="379">
        <f>IF((2*G691)/60&lt;0.2,0.2,(2*G691)/60)</f>
        <v>1.6666666666666667</v>
      </c>
      <c r="BM691" s="380">
        <f>MOD((50000+AD691-$B$3+(0/24)),1)</f>
        <v>0.93201681796199409</v>
      </c>
      <c r="BN691" s="381"/>
      <c r="BO691" s="382">
        <v>691</v>
      </c>
    </row>
    <row r="692" spans="1:67" s="24" customFormat="1" ht="15" customHeight="1" x14ac:dyDescent="0.25">
      <c r="A692" s="288" t="s">
        <v>796</v>
      </c>
      <c r="B692" s="241" t="str">
        <f>HYPERLINK(CONCATENATE($AT$3,BK692,$AU$3),$AV$3)</f>
        <v>S</v>
      </c>
      <c r="C692" s="242" t="str">
        <f>HYPERLINK(CONCATENATE($AT$4,BK692,$AU$4,BL692),$AV$4)</f>
        <v>A</v>
      </c>
      <c r="D692" s="243" t="s">
        <v>5187</v>
      </c>
      <c r="E692" s="244" t="s">
        <v>5179</v>
      </c>
      <c r="F692" s="269">
        <v>5</v>
      </c>
      <c r="G692" s="276">
        <v>15</v>
      </c>
      <c r="H692" s="271" t="s">
        <v>6500</v>
      </c>
      <c r="I692" s="244" t="s">
        <v>6500</v>
      </c>
      <c r="J692" s="246">
        <v>2</v>
      </c>
      <c r="K692" s="247" t="s">
        <v>5879</v>
      </c>
      <c r="L692" s="248">
        <v>172246</v>
      </c>
      <c r="M692" s="249">
        <f>15*(LEFT(TEXT($L692,"000000"),2)+(MID(TEXT($L692,"000000"),3,2)/60)+(RIGHT(TEXT($L692,"000000"),2)/3600))</f>
        <v>260.69166666666666</v>
      </c>
      <c r="N692" s="250">
        <v>-353800</v>
      </c>
      <c r="O692" s="251">
        <f>IF($N692&gt;0,(LEFT(TEXT($N692,"000000"),2)+(MID(TEXT($N692,"000000"),3,2)/60)+(RIGHT(TEXT($N692,"000000"),2)/3600)),-(MID(TEXT($N692,"000000"),2,2)+(MID(TEXT($N692,"000000"),4,2)/60)+(RIGHT(TEXT($N692,"000000"),2)/3600)))</f>
        <v>-35.633333333333333</v>
      </c>
      <c r="P692" s="252" t="s">
        <v>109</v>
      </c>
      <c r="Q692" s="253"/>
      <c r="R692" s="277" t="s">
        <v>3293</v>
      </c>
      <c r="S692" s="272" t="s">
        <v>3293</v>
      </c>
      <c r="T692" s="273"/>
      <c r="U692" s="274"/>
      <c r="V692" s="256"/>
      <c r="W692" s="244"/>
      <c r="X692" s="244"/>
      <c r="Y692" s="362"/>
      <c r="Z692" s="257">
        <f>altaz(J2000_Bas,$O692,$M692,DecLat,DecLong,1)</f>
        <v>19.252621166915581</v>
      </c>
      <c r="AA692" s="257">
        <f>altaz((J2000_Bas+(2*0.04167)),$O692,$M692,DecLat,DecLong,1)</f>
        <v>5.4851239584270939</v>
      </c>
      <c r="AB692" s="257">
        <f>altaz((J2000_Bas+(4*0.04167)),$O692,$M692,DecLat,DecLong,1)</f>
        <v>-14.191106026178677</v>
      </c>
      <c r="AC692" s="257">
        <f>altaz((J2000_Bas+(6*0.04167)),$O692,$M692,DecLat,DecLong,1)</f>
        <v>-36.919561507996583</v>
      </c>
      <c r="AD692" s="258">
        <f>1+ transit((J2000_Bas-1),$O692,$M692,DecLat,DecLong)/360 + (GMTOffset/24) + (IF(DST="Y", 1, 0)/24)</f>
        <v>1.7170434067338747</v>
      </c>
      <c r="AE692" s="259">
        <f>DATE(2001,9,21)+(M692/360)*365 - (360*((DecLong/360)- (GMTOffset/24) ))</f>
        <v>37424.312384259261</v>
      </c>
      <c r="AF692" s="260">
        <f>IF(DecLat&gt;0,IF((90 - (DecLat-O692))&gt;90, (90 - (O692-DecLat)), (90 - (DecLat-O692))),IF((90 + (DecLat-O692))&gt;90, (90 + (O692-DecLat)), (90 + (DecLat-O692))))</f>
        <v>23.366666666666674</v>
      </c>
      <c r="AG692" s="257">
        <f>angularseperation(MoonRA,MoonDec,$M692,$O692)</f>
        <v>12.970041934617786</v>
      </c>
      <c r="AH692" s="261">
        <f ca="1">MIN(100,IF($O$5&gt;80,0+30*($AG692/100),IF($O$5&gt;70,0+50*($AG692/100),IF($O$5&gt;60,5+50*($AG692/100),IF($O$5&gt;50,10+60*($AG692/100),IF($O$5&gt;40,15+70*($AG692/100),IF($O$5&gt;30,20+70*($AG692/100),IF($O$5&gt;20,40+55*($AG692/100),(80+(20-$O$5)+30*($AG692/100))))))))))</f>
        <v>87.162072924535764</v>
      </c>
      <c r="AI692" s="263"/>
      <c r="AJ692" s="263"/>
      <c r="AK692" s="263"/>
      <c r="AL692" s="263"/>
      <c r="AM692" s="264"/>
      <c r="AN692" s="263"/>
      <c r="AO692" s="263"/>
      <c r="AP692" s="265"/>
      <c r="AQ692" s="265"/>
      <c r="AR692" s="285"/>
      <c r="AS692" s="263"/>
      <c r="AT692" s="263"/>
      <c r="AU692" s="263"/>
      <c r="AV692" s="264"/>
      <c r="AW692" s="263">
        <v>257</v>
      </c>
      <c r="AX692" s="263"/>
      <c r="AY692" s="263"/>
      <c r="AZ692" s="263"/>
      <c r="BA692" s="263"/>
      <c r="BB692" s="263"/>
      <c r="BC692" s="263"/>
      <c r="BD692" s="264"/>
      <c r="BE692" s="263"/>
      <c r="BF692" s="263"/>
      <c r="BG692" s="263"/>
      <c r="BH692" s="263"/>
      <c r="BI692" s="263"/>
      <c r="BJ692" s="404">
        <f>altaz(J2000_Bas,$O692,$M692,DecLat,DecLong,2)</f>
        <v>201.59634307782812</v>
      </c>
      <c r="BK692" s="378" t="s">
        <v>796</v>
      </c>
      <c r="BL692" s="379">
        <f>IF((2*G692)/60&lt;0.2,0.2,(2*G692)/60)</f>
        <v>0.5</v>
      </c>
      <c r="BM692" s="380">
        <f>MOD((50000+AD692-$B$3+(0/24)),1)</f>
        <v>0.93241033644153504</v>
      </c>
      <c r="BN692" s="381"/>
      <c r="BO692" s="382">
        <v>692</v>
      </c>
    </row>
    <row r="693" spans="1:67" s="24" customFormat="1" ht="15" customHeight="1" x14ac:dyDescent="0.25">
      <c r="A693" s="288" t="s">
        <v>797</v>
      </c>
      <c r="B693" s="241" t="str">
        <f>HYPERLINK(CONCATENATE($AT$3,BK693,$AU$3),$AV$3)</f>
        <v>S</v>
      </c>
      <c r="C693" s="242" t="str">
        <f>HYPERLINK(CONCATENATE($AT$4,BK693,$AU$4,BL693),$AV$4)</f>
        <v>A</v>
      </c>
      <c r="D693" s="243" t="s">
        <v>5187</v>
      </c>
      <c r="E693" s="244" t="s">
        <v>5179</v>
      </c>
      <c r="F693" s="269">
        <v>2</v>
      </c>
      <c r="G693" s="276">
        <v>40</v>
      </c>
      <c r="H693" s="271" t="s">
        <v>6500</v>
      </c>
      <c r="I693" s="244" t="s">
        <v>6500</v>
      </c>
      <c r="J693" s="246">
        <v>1</v>
      </c>
      <c r="K693" s="247" t="s">
        <v>5880</v>
      </c>
      <c r="L693" s="248">
        <v>172257</v>
      </c>
      <c r="M693" s="249">
        <f>15*(LEFT(TEXT($L693,"000000"),2)+(MID(TEXT($L693,"000000"),3,2)/60)+(RIGHT(TEXT($L693,"000000"),2)/3600))</f>
        <v>260.73750000000001</v>
      </c>
      <c r="N693" s="286">
        <v>-344400</v>
      </c>
      <c r="O693" s="251">
        <f>IF($N693&gt;0,(LEFT(TEXT($N693,"000000"),2)+(MID(TEXT($N693,"000000"),3,2)/60)+(RIGHT(TEXT($N693,"000000"),2)/3600)),-(MID(TEXT($N693,"000000"),2,2)+(MID(TEXT($N693,"000000"),4,2)/60)+(RIGHT(TEXT($N693,"000000"),2)/3600)))</f>
        <v>-34.733333333333334</v>
      </c>
      <c r="P693" s="252" t="s">
        <v>113</v>
      </c>
      <c r="Q693" s="253"/>
      <c r="R693" s="277" t="s">
        <v>3293</v>
      </c>
      <c r="S693" s="272" t="s">
        <v>3293</v>
      </c>
      <c r="T693" s="273"/>
      <c r="U693" s="274"/>
      <c r="V693" s="256"/>
      <c r="W693" s="244"/>
      <c r="X693" s="244"/>
      <c r="Y693" s="362"/>
      <c r="Z693" s="257">
        <f>altaz(J2000_Bas,$O693,$M693,DecLat,DecLong,1)</f>
        <v>20.096354600561597</v>
      </c>
      <c r="AA693" s="257">
        <f>altaz((J2000_Bas+(2*0.04167)),$O693,$M693,DecLat,DecLong,1)</f>
        <v>6.1463828772193638</v>
      </c>
      <c r="AB693" s="257">
        <f>altaz((J2000_Bas+(4*0.04167)),$O693,$M693,DecLat,DecLong,1)</f>
        <v>-13.731463597969627</v>
      </c>
      <c r="AC693" s="257">
        <f>altaz((J2000_Bas+(6*0.04167)),$O693,$M693,DecLat,DecLong,1)</f>
        <v>-36.649656301337316</v>
      </c>
      <c r="AD693" s="258">
        <f>1+ transit((J2000_Bas-1),$O693,$M693,DecLat,DecLong)/360 + (GMTOffset/24) + (IF(DST="Y", 1, 0)/24)</f>
        <v>1.7171707215359582</v>
      </c>
      <c r="AE693" s="259">
        <f>DATE(2001,9,21)+(M693/360)*365 - (360*((DecLong/360)- (GMTOffset/24) ))</f>
        <v>37424.358854166669</v>
      </c>
      <c r="AF693" s="260">
        <f>IF(DecLat&gt;0,IF((90 - (DecLat-O693))&gt;90, (90 - (O693-DecLat)), (90 - (DecLat-O693))),IF((90 + (DecLat-O693))&gt;90, (90 + (O693-DecLat)), (90 + (DecLat-O693))))</f>
        <v>24.266666666666666</v>
      </c>
      <c r="AG693" s="257">
        <f>angularseperation(MoonRA,MoonDec,$M693,$O693)</f>
        <v>12.466123181905981</v>
      </c>
      <c r="AH693" s="261">
        <f ca="1">MIN(100,IF($O$5&gt;80,0+30*($AG693/100),IF($O$5&gt;70,0+50*($AG693/100),IF($O$5&gt;60,5+50*($AG693/100),IF($O$5&gt;50,10+60*($AG693/100),IF($O$5&gt;40,15+70*($AG693/100),IF($O$5&gt;30,20+70*($AG693/100),IF($O$5&gt;20,40+55*($AG693/100),(80+(20-$O$5)+30*($AG693/100))))))))))</f>
        <v>87.010897298722227</v>
      </c>
      <c r="AI693" s="263"/>
      <c r="AJ693" s="263"/>
      <c r="AK693" s="263"/>
      <c r="AL693" s="263"/>
      <c r="AM693" s="264"/>
      <c r="AN693" s="263"/>
      <c r="AO693" s="263"/>
      <c r="AP693" s="265"/>
      <c r="AQ693" s="265"/>
      <c r="AR693" s="285"/>
      <c r="AS693" s="263"/>
      <c r="AT693" s="263"/>
      <c r="AU693" s="263"/>
      <c r="AV693" s="264"/>
      <c r="AW693" s="263">
        <v>258</v>
      </c>
      <c r="AX693" s="263"/>
      <c r="AY693" s="263"/>
      <c r="AZ693" s="263"/>
      <c r="BA693" s="263"/>
      <c r="BB693" s="263"/>
      <c r="BC693" s="263"/>
      <c r="BD693" s="264"/>
      <c r="BE693" s="263"/>
      <c r="BF693" s="263"/>
      <c r="BG693" s="263"/>
      <c r="BH693" s="263"/>
      <c r="BI693" s="263"/>
      <c r="BJ693" s="404">
        <f>altaz(J2000_Bas,$O693,$M693,DecLat,DecLong,2)</f>
        <v>201.93136898620415</v>
      </c>
      <c r="BK693" s="378" t="s">
        <v>797</v>
      </c>
      <c r="BL693" s="379">
        <f>IF((2*G693)/60&lt;0.2,0.2,(2*G693)/60)</f>
        <v>1.3333333333333333</v>
      </c>
      <c r="BM693" s="380">
        <f>MOD((50000+AD693-$B$3+(0/24)),1)</f>
        <v>0.93253765124245547</v>
      </c>
      <c r="BN693" s="381"/>
      <c r="BO693" s="382">
        <v>693</v>
      </c>
    </row>
    <row r="694" spans="1:67" s="24" customFormat="1" ht="15" customHeight="1" x14ac:dyDescent="0.25">
      <c r="A694" s="287" t="s">
        <v>798</v>
      </c>
      <c r="B694" s="241" t="str">
        <f>HYPERLINK(CONCATENATE($AT$3,BK694,$AU$3),$AV$3)</f>
        <v>S</v>
      </c>
      <c r="C694" s="242" t="str">
        <f>HYPERLINK(CONCATENATE($AT$4,BK694,$AU$4,BL694),$AV$4)</f>
        <v>A</v>
      </c>
      <c r="D694" s="243" t="s">
        <v>5187</v>
      </c>
      <c r="E694" s="244" t="s">
        <v>5179</v>
      </c>
      <c r="F694" s="269">
        <v>4</v>
      </c>
      <c r="G694" s="276">
        <v>30</v>
      </c>
      <c r="H694" s="271" t="s">
        <v>6500</v>
      </c>
      <c r="I694" s="244" t="s">
        <v>6500</v>
      </c>
      <c r="J694" s="246">
        <v>1</v>
      </c>
      <c r="K694" s="247" t="s">
        <v>8385</v>
      </c>
      <c r="L694" s="248">
        <v>172201</v>
      </c>
      <c r="M694" s="249">
        <f>15*(LEFT(TEXT($L694,"000000"),2)+(MID(TEXT($L694,"000000"),3,2)/60)+(RIGHT(TEXT($L694,"000000"),2)/3600))</f>
        <v>260.50416666666666</v>
      </c>
      <c r="N694" s="250">
        <v>-191800</v>
      </c>
      <c r="O694" s="251">
        <f>IF($N694&gt;0,(LEFT(TEXT($N694,"000000"),2)+(MID(TEXT($N694,"000000"),3,2)/60)+(RIGHT(TEXT($N694,"000000"),2)/3600)),-(MID(TEXT($N694,"000000"),2,2)+(MID(TEXT($N694,"000000"),4,2)/60)+(RIGHT(TEXT($N694,"000000"),2)/3600)))</f>
        <v>-19.3</v>
      </c>
      <c r="P694" s="252" t="s">
        <v>113</v>
      </c>
      <c r="Q694" s="253"/>
      <c r="R694" s="277" t="s">
        <v>3293</v>
      </c>
      <c r="S694" s="272" t="s">
        <v>3293</v>
      </c>
      <c r="T694" s="273"/>
      <c r="U694" s="274"/>
      <c r="V694" s="256"/>
      <c r="W694" s="244"/>
      <c r="X694" s="244"/>
      <c r="Y694" s="362"/>
      <c r="Z694" s="257">
        <f>altaz(J2000_Bas,$O694,$M694,DecLat,DecLong,1)</f>
        <v>34.053662772777514</v>
      </c>
      <c r="AA694" s="257">
        <f>altaz((J2000_Bas+(2*0.04167)),$O694,$M694,DecLat,DecLong,1)</f>
        <v>16.679999357342847</v>
      </c>
      <c r="AB694" s="257">
        <f>altaz((J2000_Bas+(4*0.04167)),$O694,$M694,DecLat,DecLong,1)</f>
        <v>-6.2641949244362971</v>
      </c>
      <c r="AC694" s="257">
        <f>altaz((J2000_Bas+(6*0.04167)),$O694,$M694,DecLat,DecLong,1)</f>
        <v>-31.447580849379751</v>
      </c>
      <c r="AD694" s="258">
        <f>1+ transit((J2000_Bas-1),$O694,$M694,DecLat,DecLong)/360 + (GMTOffset/24) + (IF(DST="Y", 1, 0)/24)</f>
        <v>1.7165225734526246</v>
      </c>
      <c r="AE694" s="259">
        <f>DATE(2001,9,21)+(M694/360)*365 - (360*((DecLong/360)- (GMTOffset/24) ))</f>
        <v>37424.12228009259</v>
      </c>
      <c r="AF694" s="260">
        <f>IF(DecLat&gt;0,IF((90 - (DecLat-O694))&gt;90, (90 - (O694-DecLat)), (90 - (DecLat-O694))),IF((90 + (DecLat-O694))&gt;90, (90 + (O694-DecLat)), (90 + (DecLat-O694))))</f>
        <v>39.700000000000003</v>
      </c>
      <c r="AG694" s="257">
        <f>angularseperation(MoonRA,MoonDec,$M694,$O694)</f>
        <v>12.940226747121576</v>
      </c>
      <c r="AH694" s="261">
        <f ca="1">MIN(100,IF($O$5&gt;80,0+30*($AG694/100),IF($O$5&gt;70,0+50*($AG694/100),IF($O$5&gt;60,5+50*($AG694/100),IF($O$5&gt;50,10+60*($AG694/100),IF($O$5&gt;40,15+70*($AG694/100),IF($O$5&gt;30,20+70*($AG694/100),IF($O$5&gt;20,40+55*($AG694/100),(80+(20-$O$5)+30*($AG694/100))))))))))</f>
        <v>87.1531283682869</v>
      </c>
      <c r="AI694" s="263"/>
      <c r="AJ694" s="263"/>
      <c r="AK694" s="263"/>
      <c r="AL694" s="263"/>
      <c r="AM694" s="264"/>
      <c r="AN694" s="263"/>
      <c r="AO694" s="263"/>
      <c r="AP694" s="265"/>
      <c r="AQ694" s="265"/>
      <c r="AR694" s="285"/>
      <c r="AS694" s="263"/>
      <c r="AT694" s="263"/>
      <c r="AU694" s="263"/>
      <c r="AV694" s="264"/>
      <c r="AW694" s="263">
        <v>259</v>
      </c>
      <c r="AX694" s="263"/>
      <c r="AY694" s="263"/>
      <c r="AZ694" s="263"/>
      <c r="BA694" s="263"/>
      <c r="BB694" s="263"/>
      <c r="BC694" s="263"/>
      <c r="BD694" s="264"/>
      <c r="BE694" s="263"/>
      <c r="BF694" s="263"/>
      <c r="BG694" s="263"/>
      <c r="BH694" s="263"/>
      <c r="BI694" s="263"/>
      <c r="BJ694" s="404">
        <f>altaz(J2000_Bas,$O694,$M694,DecLat,DecLong,2)</f>
        <v>209.36615238376996</v>
      </c>
      <c r="BK694" s="378" t="s">
        <v>798</v>
      </c>
      <c r="BL694" s="379">
        <f>IF((2*G694)/60&lt;0.2,0.2,(2*G694)/60)</f>
        <v>1</v>
      </c>
      <c r="BM694" s="380">
        <f>MOD((50000+AD694-$B$3+(0/24)),1)</f>
        <v>0.9318895031537977</v>
      </c>
      <c r="BN694" s="381"/>
      <c r="BO694" s="382">
        <v>694</v>
      </c>
    </row>
    <row r="695" spans="1:67" s="24" customFormat="1" ht="15" customHeight="1" x14ac:dyDescent="0.25">
      <c r="A695" s="287" t="s">
        <v>799</v>
      </c>
      <c r="B695" s="241" t="str">
        <f>HYPERLINK(CONCATENATE($AT$3,BK695,$AU$3),$AV$3)</f>
        <v>S</v>
      </c>
      <c r="C695" s="242" t="str">
        <f>HYPERLINK(CONCATENATE($AT$4,BK695,$AU$4,BL695),$AV$4)</f>
        <v>A</v>
      </c>
      <c r="D695" s="243" t="s">
        <v>5187</v>
      </c>
      <c r="E695" s="244" t="s">
        <v>5179</v>
      </c>
      <c r="F695" s="269">
        <v>4</v>
      </c>
      <c r="G695" s="276">
        <v>12</v>
      </c>
      <c r="H695" s="271" t="s">
        <v>6500</v>
      </c>
      <c r="I695" s="244" t="s">
        <v>6500</v>
      </c>
      <c r="J695" s="246">
        <v>1</v>
      </c>
      <c r="K695" s="247" t="s">
        <v>5881</v>
      </c>
      <c r="L695" s="248">
        <v>172449</v>
      </c>
      <c r="M695" s="249">
        <f>15*(LEFT(TEXT($L695,"000000"),2)+(MID(TEXT($L695,"000000"),3,2)/60)+(RIGHT(TEXT($L695,"000000"),2)/3600))</f>
        <v>261.20416666666665</v>
      </c>
      <c r="N695" s="286">
        <v>-253800</v>
      </c>
      <c r="O695" s="251">
        <f>IF($N695&gt;0,(LEFT(TEXT($N695,"000000"),2)+(MID(TEXT($N695,"000000"),3,2)/60)+(RIGHT(TEXT($N695,"000000"),2)/3600)),-(MID(TEXT($N695,"000000"),2,2)+(MID(TEXT($N695,"000000"),4,2)/60)+(RIGHT(TEXT($N695,"000000"),2)/3600)))</f>
        <v>-25.633333333333333</v>
      </c>
      <c r="P695" s="252" t="s">
        <v>113</v>
      </c>
      <c r="Q695" s="253"/>
      <c r="R695" s="277" t="s">
        <v>3293</v>
      </c>
      <c r="S695" s="272" t="s">
        <v>3293</v>
      </c>
      <c r="T695" s="273"/>
      <c r="U695" s="274"/>
      <c r="V695" s="256"/>
      <c r="W695" s="244"/>
      <c r="X695" s="244"/>
      <c r="Y695" s="362"/>
      <c r="Z695" s="257">
        <f>altaz(J2000_Bas,$O695,$M695,DecLat,DecLong,1)</f>
        <v>28.602721974491512</v>
      </c>
      <c r="AA695" s="257">
        <f>altaz((J2000_Bas+(2*0.04167)),$O695,$M695,DecLat,DecLong,1)</f>
        <v>12.811493102865279</v>
      </c>
      <c r="AB695" s="257">
        <f>altaz((J2000_Bas+(4*0.04167)),$O695,$M695,DecLat,DecLong,1)</f>
        <v>-8.9179736823576548</v>
      </c>
      <c r="AC695" s="257">
        <f>altaz((J2000_Bas+(6*0.04167)),$O695,$M695,DecLat,DecLong,1)</f>
        <v>-33.370393151422675</v>
      </c>
      <c r="AD695" s="258">
        <f>1+ transit((J2000_Bas-1),$O695,$M695,DecLat,DecLong)/360 + (GMTOffset/24) + (IF(DST="Y", 1, 0)/24)</f>
        <v>1.7184670177026244</v>
      </c>
      <c r="AE695" s="259">
        <f>DATE(2001,9,21)+(M695/360)*365 - (360*((DecLong/360)- (GMTOffset/24) ))</f>
        <v>37424.832002314812</v>
      </c>
      <c r="AF695" s="260">
        <f>IF(DecLat&gt;0,IF((90 - (DecLat-O695))&gt;90, (90 - (O695-DecLat)), (90 - (DecLat-O695))),IF((90 + (DecLat-O695))&gt;90, (90 + (O695-DecLat)), (90 + (DecLat-O695))))</f>
        <v>33.366666666666667</v>
      </c>
      <c r="AG695" s="257">
        <f>angularseperation(MoonRA,MoonDec,$M695,$O695)</f>
        <v>10.811987470124777</v>
      </c>
      <c r="AH695" s="261">
        <f ca="1">MIN(100,IF($O$5&gt;80,0+30*($AG695/100),IF($O$5&gt;70,0+50*($AG695/100),IF($O$5&gt;60,5+50*($AG695/100),IF($O$5&gt;50,10+60*($AG695/100),IF($O$5&gt;40,15+70*($AG695/100),IF($O$5&gt;30,20+70*($AG695/100),IF($O$5&gt;20,40+55*($AG695/100),(80+(20-$O$5)+30*($AG695/100))))))))))</f>
        <v>86.514656585187865</v>
      </c>
      <c r="AI695" s="263"/>
      <c r="AJ695" s="263"/>
      <c r="AK695" s="263"/>
      <c r="AL695" s="263"/>
      <c r="AM695" s="264"/>
      <c r="AN695" s="263"/>
      <c r="AO695" s="263"/>
      <c r="AP695" s="265"/>
      <c r="AQ695" s="265"/>
      <c r="AR695" s="285"/>
      <c r="AS695" s="263"/>
      <c r="AT695" s="263"/>
      <c r="AU695" s="263"/>
      <c r="AV695" s="264"/>
      <c r="AW695" s="263">
        <v>260</v>
      </c>
      <c r="AX695" s="263"/>
      <c r="AY695" s="263"/>
      <c r="AZ695" s="263"/>
      <c r="BA695" s="263"/>
      <c r="BB695" s="263"/>
      <c r="BC695" s="263"/>
      <c r="BD695" s="264"/>
      <c r="BE695" s="263"/>
      <c r="BF695" s="263"/>
      <c r="BG695" s="263"/>
      <c r="BH695" s="263"/>
      <c r="BI695" s="263"/>
      <c r="BJ695" s="404">
        <f>altaz(J2000_Bas,$O695,$M695,DecLat,DecLong,2)</f>
        <v>205.51275572451817</v>
      </c>
      <c r="BK695" s="378" t="s">
        <v>799</v>
      </c>
      <c r="BL695" s="379">
        <f>IF((2*G695)/60&lt;0.2,0.2,(2*G695)/60)</f>
        <v>0.4</v>
      </c>
      <c r="BM695" s="380">
        <f>MOD((50000+AD695-$B$3+(0/24)),1)</f>
        <v>0.93383394740521908</v>
      </c>
      <c r="BN695" s="381"/>
      <c r="BO695" s="382">
        <v>695</v>
      </c>
    </row>
    <row r="696" spans="1:67" s="24" customFormat="1" ht="15" customHeight="1" x14ac:dyDescent="0.25">
      <c r="A696" s="288" t="s">
        <v>800</v>
      </c>
      <c r="B696" s="241" t="str">
        <f>HYPERLINK(CONCATENATE($AT$3,BK696,$AU$3),$AV$3)</f>
        <v>S</v>
      </c>
      <c r="C696" s="242" t="str">
        <f>HYPERLINK(CONCATENATE($AT$4,BK696,$AU$4,BL696),$AV$4)</f>
        <v>A</v>
      </c>
      <c r="D696" s="243" t="s">
        <v>5187</v>
      </c>
      <c r="E696" s="244" t="s">
        <v>5179</v>
      </c>
      <c r="F696" s="269">
        <v>4</v>
      </c>
      <c r="G696" s="276">
        <v>60</v>
      </c>
      <c r="H696" s="271" t="s">
        <v>6500</v>
      </c>
      <c r="I696" s="244" t="s">
        <v>6500</v>
      </c>
      <c r="J696" s="246">
        <v>1</v>
      </c>
      <c r="K696" s="247" t="s">
        <v>8387</v>
      </c>
      <c r="L696" s="248">
        <v>172504</v>
      </c>
      <c r="M696" s="249">
        <f>15*(LEFT(TEXT($L696,"000000"),2)+(MID(TEXT($L696,"000000"),3,2)/60)+(RIGHT(TEXT($L696,"000000"),2)/3600))</f>
        <v>261.26666666666671</v>
      </c>
      <c r="N696" s="286">
        <v>-230300</v>
      </c>
      <c r="O696" s="251">
        <f>IF($N696&gt;0,(LEFT(TEXT($N696,"000000"),2)+(MID(TEXT($N696,"000000"),3,2)/60)+(RIGHT(TEXT($N696,"000000"),2)/3600)),-(MID(TEXT($N696,"000000"),2,2)+(MID(TEXT($N696,"000000"),4,2)/60)+(RIGHT(TEXT($N696,"000000"),2)/3600)))</f>
        <v>-23.05</v>
      </c>
      <c r="P696" s="252" t="s">
        <v>113</v>
      </c>
      <c r="Q696" s="253"/>
      <c r="R696" s="247" t="s">
        <v>3293</v>
      </c>
      <c r="S696" s="272"/>
      <c r="T696" s="273"/>
      <c r="U696" s="274"/>
      <c r="V696" s="256"/>
      <c r="W696" s="244"/>
      <c r="X696" s="244"/>
      <c r="Y696" s="362"/>
      <c r="Z696" s="257">
        <f>altaz(J2000_Bas,$O696,$M696,DecLat,DecLong,1)</f>
        <v>30.97802693626204</v>
      </c>
      <c r="AA696" s="257">
        <f>altaz((J2000_Bas+(2*0.04167)),$O696,$M696,DecLat,DecLong,1)</f>
        <v>14.641255224277476</v>
      </c>
      <c r="AB696" s="257">
        <f>altaz((J2000_Bas+(4*0.04167)),$O696,$M696,DecLat,DecLong,1)</f>
        <v>-7.5626559751676048</v>
      </c>
      <c r="AC696" s="257">
        <f>altaz((J2000_Bas+(6*0.04167)),$O696,$M696,DecLat,DecLong,1)</f>
        <v>-32.334324264601726</v>
      </c>
      <c r="AD696" s="258">
        <f>1+ transit((J2000_Bas-1),$O696,$M696,DecLat,DecLong)/360 + (GMTOffset/24) + (IF(DST="Y", 1, 0)/24)</f>
        <v>1.7186406287963749</v>
      </c>
      <c r="AE696" s="259">
        <f>DATE(2001,9,21)+(M696/360)*365 - (360*((DecLong/360)- (GMTOffset/24) ))</f>
        <v>37424.895370370374</v>
      </c>
      <c r="AF696" s="260">
        <f>IF(DecLat&gt;0,IF((90 - (DecLat-O696))&gt;90, (90 - (O696-DecLat)), (90 - (DecLat-O696))),IF((90 + (DecLat-O696))&gt;90, (90 + (O696-DecLat)), (90 + (DecLat-O696))))</f>
        <v>35.950000000000003</v>
      </c>
      <c r="AG696" s="257">
        <f>angularseperation(MoonRA,MoonDec,$M696,$O696)</f>
        <v>11.608344871975111</v>
      </c>
      <c r="AH696" s="261">
        <f ca="1">MIN(100,IF($O$5&gt;80,0+30*($AG696/100),IF($O$5&gt;70,0+50*($AG696/100),IF($O$5&gt;60,5+50*($AG696/100),IF($O$5&gt;50,10+60*($AG696/100),IF($O$5&gt;40,15+70*($AG696/100),IF($O$5&gt;30,20+70*($AG696/100),IF($O$5&gt;20,40+55*($AG696/100),(80+(20-$O$5)+30*($AG696/100))))))))))</f>
        <v>86.753563805742957</v>
      </c>
      <c r="AI696" s="262"/>
      <c r="AJ696" s="262"/>
      <c r="AK696" s="262"/>
      <c r="AL696" s="263"/>
      <c r="AM696" s="264"/>
      <c r="AN696" s="263"/>
      <c r="AO696" s="263"/>
      <c r="AP696" s="265"/>
      <c r="AQ696" s="266"/>
      <c r="AR696" s="267"/>
      <c r="AS696" s="263"/>
      <c r="AT696" s="263"/>
      <c r="AU696" s="263"/>
      <c r="AV696" s="264"/>
      <c r="AW696" s="263">
        <v>261</v>
      </c>
      <c r="AX696" s="263"/>
      <c r="AY696" s="263"/>
      <c r="AZ696" s="263"/>
      <c r="BA696" s="263"/>
      <c r="BB696" s="263"/>
      <c r="BC696" s="263"/>
      <c r="BD696" s="264"/>
      <c r="BE696" s="263"/>
      <c r="BF696" s="263"/>
      <c r="BG696" s="263"/>
      <c r="BH696" s="263"/>
      <c r="BI696" s="263"/>
      <c r="BJ696" s="404">
        <f>altaz(J2000_Bas,$O696,$M696,DecLat,DecLong,2)</f>
        <v>206.68506788957808</v>
      </c>
      <c r="BK696" s="378" t="s">
        <v>800</v>
      </c>
      <c r="BL696" s="379">
        <f>IF((2*G696)/60&lt;0.2,0.2,(2*G696)/60)</f>
        <v>2</v>
      </c>
      <c r="BM696" s="380">
        <f>MOD((50000+AD696-$B$3+(0/24)),1)</f>
        <v>0.9340075584987062</v>
      </c>
      <c r="BN696" s="381"/>
      <c r="BO696" s="382">
        <v>696</v>
      </c>
    </row>
    <row r="697" spans="1:67" s="24" customFormat="1" ht="15" customHeight="1" x14ac:dyDescent="0.25">
      <c r="A697" s="288" t="s">
        <v>801</v>
      </c>
      <c r="B697" s="241" t="str">
        <f>HYPERLINK(CONCATENATE($AT$3,BK697,$AU$3),$AV$3)</f>
        <v>S</v>
      </c>
      <c r="C697" s="242" t="str">
        <f>HYPERLINK(CONCATENATE($AT$4,BK697,$AU$4,BL697),$AV$4)</f>
        <v>A</v>
      </c>
      <c r="D697" s="243" t="s">
        <v>5187</v>
      </c>
      <c r="E697" s="244" t="s">
        <v>5179</v>
      </c>
      <c r="F697" s="269">
        <v>4</v>
      </c>
      <c r="G697" s="276">
        <v>60</v>
      </c>
      <c r="H697" s="271" t="s">
        <v>6500</v>
      </c>
      <c r="I697" s="244" t="s">
        <v>6500</v>
      </c>
      <c r="J697" s="246">
        <v>3</v>
      </c>
      <c r="K697" s="247" t="s">
        <v>8386</v>
      </c>
      <c r="L697" s="248">
        <v>172532</v>
      </c>
      <c r="M697" s="249">
        <f>15*(LEFT(TEXT($L697,"000000"),2)+(MID(TEXT($L697,"000000"),3,2)/60)+(RIGHT(TEXT($L697,"000000"),2)/3600))</f>
        <v>261.38333333333338</v>
      </c>
      <c r="N697" s="286">
        <v>-223800</v>
      </c>
      <c r="O697" s="251">
        <f>IF($N697&gt;0,(LEFT(TEXT($N697,"000000"),2)+(MID(TEXT($N697,"000000"),3,2)/60)+(RIGHT(TEXT($N697,"000000"),2)/3600)),-(MID(TEXT($N697,"000000"),2,2)+(MID(TEXT($N697,"000000"),4,2)/60)+(RIGHT(TEXT($N697,"000000"),2)/3600)))</f>
        <v>-22.633333333333333</v>
      </c>
      <c r="P697" s="252" t="s">
        <v>113</v>
      </c>
      <c r="Q697" s="253"/>
      <c r="R697" s="247" t="s">
        <v>3293</v>
      </c>
      <c r="S697" s="272" t="s">
        <v>3293</v>
      </c>
      <c r="T697" s="273"/>
      <c r="U697" s="274"/>
      <c r="V697" s="256"/>
      <c r="W697" s="244"/>
      <c r="X697" s="244"/>
      <c r="Y697" s="362"/>
      <c r="Z697" s="257">
        <f>altaz(J2000_Bas,$O697,$M697,DecLat,DecLong,1)</f>
        <v>31.401459546712179</v>
      </c>
      <c r="AA697" s="257">
        <f>altaz((J2000_Bas+(2*0.04167)),$O697,$M697,DecLat,DecLong,1)</f>
        <v>15.006445835179679</v>
      </c>
      <c r="AB697" s="257">
        <f>altaz((J2000_Bas+(4*0.04167)),$O697,$M697,DecLat,DecLong,1)</f>
        <v>-7.2581013460462982</v>
      </c>
      <c r="AC697" s="257">
        <f>altaz((J2000_Bas+(6*0.04167)),$O697,$M697,DecLat,DecLong,1)</f>
        <v>-32.070900684066814</v>
      </c>
      <c r="AD697" s="258">
        <f>1+ transit((J2000_Bas-1),$O697,$M697,DecLat,DecLong)/360 + (GMTOffset/24) + (IF(DST="Y", 1, 0)/24)</f>
        <v>1.7189647028380415</v>
      </c>
      <c r="AE697" s="259">
        <f>DATE(2001,9,21)+(M697/360)*365 - (360*((DecLong/360)- (GMTOffset/24) ))</f>
        <v>37425.013657407406</v>
      </c>
      <c r="AF697" s="260">
        <f>IF(DecLat&gt;0,IF((90 - (DecLat-O697))&gt;90, (90 - (O697-DecLat)), (90 - (DecLat-O697))),IF((90 + (DecLat-O697))&gt;90, (90 + (O697-DecLat)), (90 + (DecLat-O697))))</f>
        <v>36.366666666666667</v>
      </c>
      <c r="AG697" s="257">
        <f>angularseperation(MoonRA,MoonDec,$M697,$O697)</f>
        <v>11.873971715918429</v>
      </c>
      <c r="AH697" s="261">
        <f ca="1">MIN(100,IF($O$5&gt;80,0+30*($AG697/100),IF($O$5&gt;70,0+50*($AG697/100),IF($O$5&gt;60,5+50*($AG697/100),IF($O$5&gt;50,10+60*($AG697/100),IF($O$5&gt;40,15+70*($AG697/100),IF($O$5&gt;30,20+70*($AG697/100),IF($O$5&gt;20,40+55*($AG697/100),(80+(20-$O$5)+30*($AG697/100))))))))))</f>
        <v>86.833251858925962</v>
      </c>
      <c r="AI697" s="262"/>
      <c r="AJ697" s="262"/>
      <c r="AK697" s="262"/>
      <c r="AL697" s="263"/>
      <c r="AM697" s="264"/>
      <c r="AN697" s="263"/>
      <c r="AO697" s="263"/>
      <c r="AP697" s="265"/>
      <c r="AQ697" s="266"/>
      <c r="AR697" s="267"/>
      <c r="AS697" s="263"/>
      <c r="AT697" s="263"/>
      <c r="AU697" s="263"/>
      <c r="AV697" s="264"/>
      <c r="AW697" s="263">
        <v>262</v>
      </c>
      <c r="AX697" s="263"/>
      <c r="AY697" s="263"/>
      <c r="AZ697" s="263"/>
      <c r="BA697" s="263"/>
      <c r="BB697" s="263"/>
      <c r="BC697" s="263"/>
      <c r="BD697" s="264"/>
      <c r="BE697" s="263"/>
      <c r="BF697" s="263"/>
      <c r="BG697" s="263"/>
      <c r="BH697" s="263"/>
      <c r="BI697" s="263"/>
      <c r="BJ697" s="404">
        <f>altaz(J2000_Bas,$O697,$M697,DecLat,DecLong,2)</f>
        <v>206.77467497094989</v>
      </c>
      <c r="BK697" s="378" t="s">
        <v>801</v>
      </c>
      <c r="BL697" s="379">
        <f>IF((2*G697)/60&lt;0.2,0.2,(2*G697)/60)</f>
        <v>2</v>
      </c>
      <c r="BM697" s="380">
        <f>MOD((50000+AD697-$B$3+(0/24)),1)</f>
        <v>0.93433163253939711</v>
      </c>
      <c r="BN697" s="381"/>
      <c r="BO697" s="382">
        <v>697</v>
      </c>
    </row>
    <row r="698" spans="1:67" s="24" customFormat="1" ht="15" customHeight="1" x14ac:dyDescent="0.25">
      <c r="A698" s="287" t="s">
        <v>802</v>
      </c>
      <c r="B698" s="241" t="str">
        <f>HYPERLINK(CONCATENATE($AT$3,BK698,$AU$3),$AV$3)</f>
        <v>S</v>
      </c>
      <c r="C698" s="242" t="str">
        <f>HYPERLINK(CONCATENATE($AT$4,BK698,$AU$4,BL698),$AV$4)</f>
        <v>A</v>
      </c>
      <c r="D698" s="243" t="s">
        <v>5187</v>
      </c>
      <c r="E698" s="244" t="s">
        <v>5179</v>
      </c>
      <c r="F698" s="269">
        <v>5</v>
      </c>
      <c r="G698" s="276">
        <v>30</v>
      </c>
      <c r="H698" s="271" t="s">
        <v>6500</v>
      </c>
      <c r="I698" s="244" t="s">
        <v>6500</v>
      </c>
      <c r="J698" s="246">
        <v>2</v>
      </c>
      <c r="K698" s="247" t="s">
        <v>5882</v>
      </c>
      <c r="L698" s="248">
        <v>172656</v>
      </c>
      <c r="M698" s="249">
        <f>15*(LEFT(TEXT($L698,"000000"),2)+(MID(TEXT($L698,"000000"),3,2)/60)+(RIGHT(TEXT($L698,"000000"),2)/3600))</f>
        <v>261.73333333333335</v>
      </c>
      <c r="N698" s="286">
        <v>-424800</v>
      </c>
      <c r="O698" s="251">
        <f>IF($N698&gt;0,(LEFT(TEXT($N698,"000000"),2)+(MID(TEXT($N698,"000000"),3,2)/60)+(RIGHT(TEXT($N698,"000000"),2)/3600)),-(MID(TEXT($N698,"000000"),2,2)+(MID(TEXT($N698,"000000"),4,2)/60)+(RIGHT(TEXT($N698,"000000"),2)/3600)))</f>
        <v>-42.8</v>
      </c>
      <c r="P698" s="252" t="s">
        <v>109</v>
      </c>
      <c r="Q698" s="253"/>
      <c r="R698" s="277" t="s">
        <v>3293</v>
      </c>
      <c r="S698" s="272" t="s">
        <v>3293</v>
      </c>
      <c r="T698" s="273"/>
      <c r="U698" s="274"/>
      <c r="V698" s="256"/>
      <c r="W698" s="244"/>
      <c r="X698" s="244"/>
      <c r="Y698" s="362"/>
      <c r="Z698" s="257">
        <f>altaz(J2000_Bas,$O698,$M698,DecLat,DecLong,1)</f>
        <v>12.909319180504918</v>
      </c>
      <c r="AA698" s="257">
        <f>altaz((J2000_Bas+(2*0.04167)),$O698,$M698,DecLat,DecLong,1)</f>
        <v>0.950461185704498</v>
      </c>
      <c r="AB698" s="257">
        <f>altaz((J2000_Bas+(4*0.04167)),$O698,$M698,DecLat,DecLong,1)</f>
        <v>-16.797181987527168</v>
      </c>
      <c r="AC698" s="257">
        <f>altaz((J2000_Bas+(6*0.04167)),$O698,$M698,DecLat,DecLong,1)</f>
        <v>-37.660383998512721</v>
      </c>
      <c r="AD698" s="258">
        <f>1+ transit((J2000_Bas-1),$O698,$M698,DecLat,DecLong)/360 + (GMTOffset/24) + (IF(DST="Y", 1, 0)/24)</f>
        <v>1.7199369249630416</v>
      </c>
      <c r="AE698" s="259">
        <f>DATE(2001,9,21)+(M698/360)*365 - (360*((DecLong/360)- (GMTOffset/24) ))</f>
        <v>37425.368518518517</v>
      </c>
      <c r="AF698" s="260">
        <f>IF(DecLat&gt;0,IF((90 - (DecLat-O698))&gt;90, (90 - (O698-DecLat)), (90 - (DecLat-O698))),IF((90 + (DecLat-O698))&gt;90, (90 + (O698-DecLat)), (90 + (DecLat-O698))))</f>
        <v>16.200000000000003</v>
      </c>
      <c r="AG698" s="257">
        <f>angularseperation(MoonRA,MoonDec,$M698,$O698)</f>
        <v>18.710291242970605</v>
      </c>
      <c r="AH698" s="261">
        <f ca="1">MIN(100,IF($O$5&gt;80,0+30*($AG698/100),IF($O$5&gt;70,0+50*($AG698/100),IF($O$5&gt;60,5+50*($AG698/100),IF($O$5&gt;50,10+60*($AG698/100),IF($O$5&gt;40,15+70*($AG698/100),IF($O$5&gt;30,20+70*($AG698/100),IF($O$5&gt;20,40+55*($AG698/100),(80+(20-$O$5)+30*($AG698/100))))))))))</f>
        <v>88.884147717041614</v>
      </c>
      <c r="AI698" s="263"/>
      <c r="AJ698" s="263"/>
      <c r="AK698" s="263"/>
      <c r="AL698" s="263"/>
      <c r="AM698" s="264"/>
      <c r="AN698" s="263"/>
      <c r="AO698" s="263"/>
      <c r="AP698" s="265"/>
      <c r="AQ698" s="265"/>
      <c r="AR698" s="285"/>
      <c r="AS698" s="263"/>
      <c r="AT698" s="263"/>
      <c r="AU698" s="263"/>
      <c r="AV698" s="264"/>
      <c r="AW698" s="263">
        <v>263</v>
      </c>
      <c r="AX698" s="263"/>
      <c r="AY698" s="263"/>
      <c r="AZ698" s="263"/>
      <c r="BA698" s="263"/>
      <c r="BB698" s="263"/>
      <c r="BC698" s="263"/>
      <c r="BD698" s="264"/>
      <c r="BE698" s="263"/>
      <c r="BF698" s="263"/>
      <c r="BG698" s="263"/>
      <c r="BH698" s="263"/>
      <c r="BI698" s="263"/>
      <c r="BJ698" s="404">
        <f>altaz(J2000_Bas,$O698,$M698,DecLat,DecLong,2)</f>
        <v>198.02320334464386</v>
      </c>
      <c r="BK698" s="378" t="s">
        <v>802</v>
      </c>
      <c r="BL698" s="379">
        <f>IF((2*G698)/60&lt;0.2,0.2,(2*G698)/60)</f>
        <v>1</v>
      </c>
      <c r="BM698" s="380">
        <f>MOD((50000+AD698-$B$3+(0/24)),1)</f>
        <v>0.93530385466874577</v>
      </c>
      <c r="BN698" s="381"/>
      <c r="BO698" s="382">
        <v>698</v>
      </c>
    </row>
    <row r="699" spans="1:67" s="24" customFormat="1" ht="15" customHeight="1" x14ac:dyDescent="0.25">
      <c r="A699" s="288" t="s">
        <v>803</v>
      </c>
      <c r="B699" s="241" t="str">
        <f>HYPERLINK(CONCATENATE($AT$3,BK699,$AU$3),$AV$3)</f>
        <v>S</v>
      </c>
      <c r="C699" s="242" t="str">
        <f>HYPERLINK(CONCATENATE($AT$4,BK699,$AU$4,BL699),$AV$4)</f>
        <v>A</v>
      </c>
      <c r="D699" s="243" t="s">
        <v>5187</v>
      </c>
      <c r="E699" s="244" t="s">
        <v>5179</v>
      </c>
      <c r="F699" s="269">
        <v>4</v>
      </c>
      <c r="G699" s="276">
        <v>10</v>
      </c>
      <c r="H699" s="271" t="s">
        <v>6500</v>
      </c>
      <c r="I699" s="244" t="s">
        <v>6500</v>
      </c>
      <c r="J699" s="246">
        <v>1</v>
      </c>
      <c r="K699" s="247" t="s">
        <v>5883</v>
      </c>
      <c r="L699" s="248">
        <v>172712</v>
      </c>
      <c r="M699" s="249">
        <f>15*(LEFT(TEXT($L699,"000000"),2)+(MID(TEXT($L699,"000000"),3,2)/60)+(RIGHT(TEXT($L699,"000000"),2)/3600))</f>
        <v>261.8</v>
      </c>
      <c r="N699" s="286">
        <v>-253200</v>
      </c>
      <c r="O699" s="251">
        <f>IF($N699&gt;0,(LEFT(TEXT($N699,"000000"),2)+(MID(TEXT($N699,"000000"),3,2)/60)+(RIGHT(TEXT($N699,"000000"),2)/3600)),-(MID(TEXT($N699,"000000"),2,2)+(MID(TEXT($N699,"000000"),4,2)/60)+(RIGHT(TEXT($N699,"000000"),2)/3600)))</f>
        <v>-25.533333333333335</v>
      </c>
      <c r="P699" s="252" t="s">
        <v>113</v>
      </c>
      <c r="Q699" s="253"/>
      <c r="R699" s="277" t="s">
        <v>3293</v>
      </c>
      <c r="S699" s="272" t="s">
        <v>3293</v>
      </c>
      <c r="T699" s="273"/>
      <c r="U699" s="274"/>
      <c r="V699" s="256"/>
      <c r="W699" s="244"/>
      <c r="X699" s="244"/>
      <c r="Y699" s="362"/>
      <c r="Z699" s="257">
        <f>altaz(J2000_Bas,$O699,$M699,DecLat,DecLong,1)</f>
        <v>28.912041747571283</v>
      </c>
      <c r="AA699" s="257">
        <f>altaz((J2000_Bas+(2*0.04167)),$O699,$M699,DecLat,DecLong,1)</f>
        <v>13.266553140635962</v>
      </c>
      <c r="AB699" s="257">
        <f>altaz((J2000_Bas+(4*0.04167)),$O699,$M699,DecLat,DecLong,1)</f>
        <v>-8.4035515715747806</v>
      </c>
      <c r="AC699" s="257">
        <f>altaz((J2000_Bas+(6*0.04167)),$O699,$M699,DecLat,DecLong,1)</f>
        <v>-32.834062591031852</v>
      </c>
      <c r="AD699" s="258">
        <f>1+ transit((J2000_Bas-1),$O699,$M699,DecLat,DecLong)/360 + (GMTOffset/24) + (IF(DST="Y", 1, 0)/24)</f>
        <v>1.7201221101297082</v>
      </c>
      <c r="AE699" s="259">
        <f>DATE(2001,9,21)+(M699/360)*365 - (360*((DecLong/360)- (GMTOffset/24) ))</f>
        <v>37425.436111111114</v>
      </c>
      <c r="AF699" s="260">
        <f>IF(DecLat&gt;0,IF((90 - (DecLat-O699))&gt;90, (90 - (O699-DecLat)), (90 - (DecLat-O699))),IF((90 + (DecLat-O699))&gt;90, (90 + (O699-DecLat)), (90 + (DecLat-O699))))</f>
        <v>33.466666666666669</v>
      </c>
      <c r="AG699" s="257">
        <f>angularseperation(MoonRA,MoonDec,$M699,$O699)</f>
        <v>11.358627888806799</v>
      </c>
      <c r="AH699" s="261">
        <f ca="1">MIN(100,IF($O$5&gt;80,0+30*($AG699/100),IF($O$5&gt;70,0+50*($AG699/100),IF($O$5&gt;60,5+50*($AG699/100),IF($O$5&gt;50,10+60*($AG699/100),IF($O$5&gt;40,15+70*($AG699/100),IF($O$5&gt;30,20+70*($AG699/100),IF($O$5&gt;20,40+55*($AG699/100),(80+(20-$O$5)+30*($AG699/100))))))))))</f>
        <v>86.678648710792473</v>
      </c>
      <c r="AI699" s="263"/>
      <c r="AJ699" s="263"/>
      <c r="AK699" s="263"/>
      <c r="AL699" s="263"/>
      <c r="AM699" s="264"/>
      <c r="AN699" s="263"/>
      <c r="AO699" s="263"/>
      <c r="AP699" s="265"/>
      <c r="AQ699" s="265"/>
      <c r="AR699" s="285"/>
      <c r="AS699" s="263"/>
      <c r="AT699" s="263"/>
      <c r="AU699" s="263"/>
      <c r="AV699" s="264"/>
      <c r="AW699" s="263">
        <v>264</v>
      </c>
      <c r="AX699" s="263"/>
      <c r="AY699" s="263"/>
      <c r="AZ699" s="263"/>
      <c r="BA699" s="263"/>
      <c r="BB699" s="263"/>
      <c r="BC699" s="263"/>
      <c r="BD699" s="264"/>
      <c r="BE699" s="263"/>
      <c r="BF699" s="263"/>
      <c r="BG699" s="263"/>
      <c r="BH699" s="263"/>
      <c r="BI699" s="263"/>
      <c r="BJ699" s="404">
        <f>altaz(J2000_Bas,$O699,$M699,DecLat,DecLong,2)</f>
        <v>204.99863778507262</v>
      </c>
      <c r="BK699" s="378" t="s">
        <v>803</v>
      </c>
      <c r="BL699" s="379">
        <f>IF((2*G699)/60&lt;0.2,0.2,(2*G699)/60)</f>
        <v>0.33333333333333331</v>
      </c>
      <c r="BM699" s="380">
        <f>MOD((50000+AD699-$B$3+(0/24)),1)</f>
        <v>0.93548903983173659</v>
      </c>
      <c r="BN699" s="381"/>
      <c r="BO699" s="382">
        <v>699</v>
      </c>
    </row>
    <row r="700" spans="1:67" s="24" customFormat="1" ht="15" customHeight="1" x14ac:dyDescent="0.25">
      <c r="A700" s="288" t="s">
        <v>804</v>
      </c>
      <c r="B700" s="241" t="str">
        <f>HYPERLINK(CONCATENATE($AT$3,BK700,$AU$3),$AV$3)</f>
        <v>S</v>
      </c>
      <c r="C700" s="242" t="str">
        <f>HYPERLINK(CONCATENATE($AT$4,BK700,$AU$4,BL700),$AV$4)</f>
        <v>A</v>
      </c>
      <c r="D700" s="243" t="s">
        <v>5187</v>
      </c>
      <c r="E700" s="244" t="s">
        <v>5179</v>
      </c>
      <c r="F700" s="269">
        <v>4</v>
      </c>
      <c r="G700" s="276">
        <v>18</v>
      </c>
      <c r="H700" s="271" t="s">
        <v>6500</v>
      </c>
      <c r="I700" s="244" t="s">
        <v>6500</v>
      </c>
      <c r="J700" s="246">
        <v>1</v>
      </c>
      <c r="K700" s="247" t="s">
        <v>5884</v>
      </c>
      <c r="L700" s="248">
        <v>172736</v>
      </c>
      <c r="M700" s="249">
        <f>15*(LEFT(TEXT($L700,"000000"),2)+(MID(TEXT($L700,"000000"),3,2)/60)+(RIGHT(TEXT($L700,"000000"),2)/3600))</f>
        <v>261.90000000000003</v>
      </c>
      <c r="N700" s="286">
        <v>-251200</v>
      </c>
      <c r="O700" s="251">
        <f>IF($N700&gt;0,(LEFT(TEXT($N700,"000000"),2)+(MID(TEXT($N700,"000000"),3,2)/60)+(RIGHT(TEXT($N700,"000000"),2)/3600)),-(MID(TEXT($N700,"000000"),2,2)+(MID(TEXT($N700,"000000"),4,2)/60)+(RIGHT(TEXT($N700,"000000"),2)/3600)))</f>
        <v>-25.2</v>
      </c>
      <c r="P700" s="252" t="s">
        <v>113</v>
      </c>
      <c r="Q700" s="253"/>
      <c r="R700" s="277" t="s">
        <v>3293</v>
      </c>
      <c r="S700" s="272" t="s">
        <v>3293</v>
      </c>
      <c r="T700" s="273"/>
      <c r="U700" s="274"/>
      <c r="V700" s="256"/>
      <c r="W700" s="244"/>
      <c r="X700" s="244"/>
      <c r="Y700" s="362"/>
      <c r="Z700" s="257">
        <f>altaz(J2000_Bas,$O700,$M700,DecLat,DecLong,1)</f>
        <v>29.253616624737287</v>
      </c>
      <c r="AA700" s="257">
        <f>altaz((J2000_Bas+(2*0.04167)),$O700,$M700,DecLat,DecLong,1)</f>
        <v>13.564187211658728</v>
      </c>
      <c r="AB700" s="257">
        <f>altaz((J2000_Bas+(4*0.04167)),$O700,$M700,DecLat,DecLong,1)</f>
        <v>-8.1566680994301599</v>
      </c>
      <c r="AC700" s="257">
        <f>altaz((J2000_Bas+(6*0.04167)),$O700,$M700,DecLat,DecLong,1)</f>
        <v>-32.625939596263379</v>
      </c>
      <c r="AD700" s="258">
        <f>1+ transit((J2000_Bas-1),$O700,$M700,DecLat,DecLong)/360 + (GMTOffset/24) + (IF(DST="Y", 1, 0)/24)</f>
        <v>1.7203998878797082</v>
      </c>
      <c r="AE700" s="259">
        <f>DATE(2001,9,21)+(M700/360)*365 - (360*((DecLong/360)- (GMTOffset/24) ))</f>
        <v>37425.537499999999</v>
      </c>
      <c r="AF700" s="260">
        <f>IF(DecLat&gt;0,IF((90 - (DecLat-O700))&gt;90, (90 - (O700-DecLat)), (90 - (DecLat-O700))),IF((90 + (DecLat-O700))&gt;90, (90 + (O700-DecLat)), (90 + (DecLat-O700))))</f>
        <v>33.799999999999997</v>
      </c>
      <c r="AG700" s="257">
        <f>angularseperation(MoonRA,MoonDec,$M700,$O700)</f>
        <v>11.513046390975424</v>
      </c>
      <c r="AH700" s="261">
        <f ca="1">MIN(100,IF($O$5&gt;80,0+30*($AG700/100),IF($O$5&gt;70,0+50*($AG700/100),IF($O$5&gt;60,5+50*($AG700/100),IF($O$5&gt;50,10+60*($AG700/100),IF($O$5&gt;40,15+70*($AG700/100),IF($O$5&gt;30,20+70*($AG700/100),IF($O$5&gt;20,40+55*($AG700/100),(80+(20-$O$5)+30*($AG700/100))))))))))</f>
        <v>86.724974261443052</v>
      </c>
      <c r="AI700" s="263"/>
      <c r="AJ700" s="263"/>
      <c r="AK700" s="263"/>
      <c r="AL700" s="263"/>
      <c r="AM700" s="264"/>
      <c r="AN700" s="263"/>
      <c r="AO700" s="263"/>
      <c r="AP700" s="265"/>
      <c r="AQ700" s="265"/>
      <c r="AR700" s="285"/>
      <c r="AS700" s="263"/>
      <c r="AT700" s="263"/>
      <c r="AU700" s="263"/>
      <c r="AV700" s="264"/>
      <c r="AW700" s="263">
        <v>265</v>
      </c>
      <c r="AX700" s="263"/>
      <c r="AY700" s="263"/>
      <c r="AZ700" s="263"/>
      <c r="BA700" s="263"/>
      <c r="BB700" s="263"/>
      <c r="BC700" s="263"/>
      <c r="BD700" s="264"/>
      <c r="BE700" s="263"/>
      <c r="BF700" s="263"/>
      <c r="BG700" s="263"/>
      <c r="BH700" s="263"/>
      <c r="BI700" s="263"/>
      <c r="BJ700" s="404">
        <f>altaz(J2000_Bas,$O700,$M700,DecLat,DecLong,2)</f>
        <v>205.05701073402562</v>
      </c>
      <c r="BK700" s="378" t="s">
        <v>804</v>
      </c>
      <c r="BL700" s="379">
        <f>IF((2*G700)/60&lt;0.2,0.2,(2*G700)/60)</f>
        <v>0.6</v>
      </c>
      <c r="BM700" s="380">
        <f>MOD((50000+AD700-$B$3+(0/24)),1)</f>
        <v>0.93576681758713676</v>
      </c>
      <c r="BN700" s="381"/>
      <c r="BO700" s="382">
        <v>700</v>
      </c>
    </row>
    <row r="701" spans="1:67" s="24" customFormat="1" ht="15" customHeight="1" x14ac:dyDescent="0.25">
      <c r="A701" s="288" t="s">
        <v>805</v>
      </c>
      <c r="B701" s="241" t="str">
        <f>HYPERLINK(CONCATENATE($AT$3,BK701,$AU$3),$AV$3)</f>
        <v>S</v>
      </c>
      <c r="C701" s="242" t="str">
        <f>HYPERLINK(CONCATENATE($AT$4,BK701,$AU$4,BL701),$AV$4)</f>
        <v>A</v>
      </c>
      <c r="D701" s="243" t="s">
        <v>5187</v>
      </c>
      <c r="E701" s="244" t="s">
        <v>5179</v>
      </c>
      <c r="F701" s="269">
        <v>3</v>
      </c>
      <c r="G701" s="276">
        <v>30</v>
      </c>
      <c r="H701" s="271" t="s">
        <v>6500</v>
      </c>
      <c r="I701" s="244" t="s">
        <v>6500</v>
      </c>
      <c r="J701" s="246">
        <v>1</v>
      </c>
      <c r="K701" s="247" t="s">
        <v>5885</v>
      </c>
      <c r="L701" s="248">
        <v>172807</v>
      </c>
      <c r="M701" s="249">
        <f>15*(LEFT(TEXT($L701,"000000"),2)+(MID(TEXT($L701,"000000"),3,2)/60)+(RIGHT(TEXT($L701,"000000"),2)/3600))</f>
        <v>262.02916666666664</v>
      </c>
      <c r="N701" s="286">
        <v>-205700</v>
      </c>
      <c r="O701" s="251">
        <f>IF($N701&gt;0,(LEFT(TEXT($N701,"000000"),2)+(MID(TEXT($N701,"000000"),3,2)/60)+(RIGHT(TEXT($N701,"000000"),2)/3600)),-(MID(TEXT($N701,"000000"),2,2)+(MID(TEXT($N701,"000000"),4,2)/60)+(RIGHT(TEXT($N701,"000000"),2)/3600)))</f>
        <v>-20.95</v>
      </c>
      <c r="P701" s="252" t="s">
        <v>113</v>
      </c>
      <c r="Q701" s="253"/>
      <c r="R701" s="277" t="s">
        <v>3293</v>
      </c>
      <c r="S701" s="272" t="s">
        <v>3293</v>
      </c>
      <c r="T701" s="273"/>
      <c r="U701" s="274"/>
      <c r="V701" s="256"/>
      <c r="W701" s="244"/>
      <c r="X701" s="244"/>
      <c r="Y701" s="362"/>
      <c r="Z701" s="257">
        <f>altaz(J2000_Bas,$O701,$M701,DecLat,DecLong,1)</f>
        <v>33.181470292800022</v>
      </c>
      <c r="AA701" s="257">
        <f>altaz((J2000_Bas+(2*0.04167)),$O701,$M701,DecLat,DecLong,1)</f>
        <v>16.601541922623515</v>
      </c>
      <c r="AB701" s="257">
        <f>altaz((J2000_Bas+(4*0.04167)),$O701,$M701,DecLat,DecLong,1)</f>
        <v>-5.8807954983354156</v>
      </c>
      <c r="AC701" s="257">
        <f>altaz((J2000_Bas+(6*0.04167)),$O701,$M701,DecLat,DecLong,1)</f>
        <v>-30.840042170324669</v>
      </c>
      <c r="AD701" s="258">
        <f>1+ transit((J2000_Bas-1),$O701,$M701,DecLat,DecLong)/360 + (GMTOffset/24) + (IF(DST="Y", 1, 0)/24)</f>
        <v>1.7207586841401248</v>
      </c>
      <c r="AE701" s="259">
        <f>DATE(2001,9,21)+(M701/360)*365 - (360*((DecLong/360)- (GMTOffset/24) ))</f>
        <v>37425.66846064815</v>
      </c>
      <c r="AF701" s="260">
        <f>IF(DecLat&gt;0,IF((90 - (DecLat-O701))&gt;90, (90 - (O701-DecLat)), (90 - (DecLat-O701))),IF((90 + (DecLat-O701))&gt;90, (90 + (O701-DecLat)), (90 + (DecLat-O701))))</f>
        <v>38.049999999999997</v>
      </c>
      <c r="AG701" s="257">
        <f>angularseperation(MoonRA,MoonDec,$M701,$O701)</f>
        <v>13.181484337309419</v>
      </c>
      <c r="AH701" s="261">
        <f ca="1">MIN(100,IF($O$5&gt;80,0+30*($AG701/100),IF($O$5&gt;70,0+50*($AG701/100),IF($O$5&gt;60,5+50*($AG701/100),IF($O$5&gt;50,10+60*($AG701/100),IF($O$5&gt;40,15+70*($AG701/100),IF($O$5&gt;30,20+70*($AG701/100),IF($O$5&gt;20,40+55*($AG701/100),(80+(20-$O$5)+30*($AG701/100))))))))))</f>
        <v>87.225505645343247</v>
      </c>
      <c r="AI701" s="263"/>
      <c r="AJ701" s="263"/>
      <c r="AK701" s="263"/>
      <c r="AL701" s="263"/>
      <c r="AM701" s="264"/>
      <c r="AN701" s="263"/>
      <c r="AO701" s="263"/>
      <c r="AP701" s="265"/>
      <c r="AQ701" s="265"/>
      <c r="AR701" s="285"/>
      <c r="AS701" s="263"/>
      <c r="AT701" s="263"/>
      <c r="AU701" s="263"/>
      <c r="AV701" s="264"/>
      <c r="AW701" s="263">
        <v>266</v>
      </c>
      <c r="AX701" s="263"/>
      <c r="AY701" s="263"/>
      <c r="AZ701" s="263"/>
      <c r="BA701" s="263"/>
      <c r="BB701" s="263"/>
      <c r="BC701" s="263"/>
      <c r="BD701" s="264"/>
      <c r="BE701" s="263"/>
      <c r="BF701" s="263"/>
      <c r="BG701" s="263"/>
      <c r="BH701" s="263"/>
      <c r="BI701" s="263"/>
      <c r="BJ701" s="404">
        <f>altaz(J2000_Bas,$O701,$M701,DecLat,DecLong,2)</f>
        <v>206.96080483854297</v>
      </c>
      <c r="BK701" s="378" t="s">
        <v>805</v>
      </c>
      <c r="BL701" s="379">
        <f>IF((2*G701)/60&lt;0.2,0.2,(2*G701)/60)</f>
        <v>1</v>
      </c>
      <c r="BM701" s="380">
        <f>MOD((50000+AD701-$B$3+(0/24)),1)</f>
        <v>0.9361256138436147</v>
      </c>
      <c r="BN701" s="381"/>
      <c r="BO701" s="382">
        <v>701</v>
      </c>
    </row>
    <row r="702" spans="1:67" s="24" customFormat="1" ht="15" customHeight="1" x14ac:dyDescent="0.25">
      <c r="A702" s="288" t="s">
        <v>806</v>
      </c>
      <c r="B702" s="241" t="str">
        <f>HYPERLINK(CONCATENATE($AT$3,BK702,$AU$3),$AV$3)</f>
        <v>S</v>
      </c>
      <c r="C702" s="242" t="str">
        <f>HYPERLINK(CONCATENATE($AT$4,BK702,$AU$4,BL702),$AV$4)</f>
        <v>A</v>
      </c>
      <c r="D702" s="243" t="s">
        <v>5187</v>
      </c>
      <c r="E702" s="244" t="s">
        <v>5179</v>
      </c>
      <c r="F702" s="269">
        <v>5</v>
      </c>
      <c r="G702" s="273">
        <v>5</v>
      </c>
      <c r="H702" s="271" t="s">
        <v>6500</v>
      </c>
      <c r="I702" s="244" t="s">
        <v>6500</v>
      </c>
      <c r="J702" s="246">
        <v>2</v>
      </c>
      <c r="K702" s="247" t="s">
        <v>5886</v>
      </c>
      <c r="L702" s="248">
        <v>172831</v>
      </c>
      <c r="M702" s="249">
        <f>15*(LEFT(TEXT($L702,"000000"),2)+(MID(TEXT($L702,"000000"),3,2)/60)+(RIGHT(TEXT($L702,"000000"),2)/3600))</f>
        <v>262.12916666666666</v>
      </c>
      <c r="N702" s="286">
        <v>-251400</v>
      </c>
      <c r="O702" s="251">
        <f>IF($N702&gt;0,(LEFT(TEXT($N702,"000000"),2)+(MID(TEXT($N702,"000000"),3,2)/60)+(RIGHT(TEXT($N702,"000000"),2)/3600)),-(MID(TEXT($N702,"000000"),2,2)+(MID(TEXT($N702,"000000"),4,2)/60)+(RIGHT(TEXT($N702,"000000"),2)/3600)))</f>
        <v>-25.233333333333334</v>
      </c>
      <c r="P702" s="252" t="s">
        <v>113</v>
      </c>
      <c r="Q702" s="253"/>
      <c r="R702" s="277" t="s">
        <v>3293</v>
      </c>
      <c r="S702" s="272" t="s">
        <v>3293</v>
      </c>
      <c r="T702" s="273"/>
      <c r="U702" s="274"/>
      <c r="V702" s="256"/>
      <c r="W702" s="244"/>
      <c r="X702" s="244"/>
      <c r="Y702" s="362"/>
      <c r="Z702" s="257">
        <f>altaz(J2000_Bas,$O702,$M702,DecLat,DecLong,1)</f>
        <v>29.305890688111827</v>
      </c>
      <c r="AA702" s="257">
        <f>altaz((J2000_Bas+(2*0.04167)),$O702,$M702,DecLat,DecLong,1)</f>
        <v>13.688930288671614</v>
      </c>
      <c r="AB702" s="257">
        <f>altaz((J2000_Bas+(4*0.04167)),$O702,$M702,DecLat,DecLong,1)</f>
        <v>-7.9950450905659656</v>
      </c>
      <c r="AC702" s="257">
        <f>altaz((J2000_Bas+(6*0.04167)),$O702,$M702,DecLat,DecLong,1)</f>
        <v>-32.446223521730587</v>
      </c>
      <c r="AD702" s="258">
        <f>1+ transit((J2000_Bas-1),$O702,$M702,DecLat,DecLong)/360 + (GMTOffset/24) + (IF(DST="Y", 1, 0)/24)</f>
        <v>1.7210364618901248</v>
      </c>
      <c r="AE702" s="259">
        <f>DATE(2001,9,21)+(M702/360)*365 - (360*((DecLong/360)- (GMTOffset/24) ))</f>
        <v>37425.769849537035</v>
      </c>
      <c r="AF702" s="260">
        <f>IF(DecLat&gt;0,IF((90 - (DecLat-O702))&gt;90, (90 - (O702-DecLat)), (90 - (DecLat-O702))),IF((90 + (DecLat-O702))&gt;90, (90 + (O702-DecLat)), (90 + (DecLat-O702))))</f>
        <v>33.766666666666666</v>
      </c>
      <c r="AG702" s="257">
        <f>angularseperation(MoonRA,MoonDec,$M702,$O702)</f>
        <v>11.708863095446475</v>
      </c>
      <c r="AH702" s="261">
        <f ca="1">MIN(100,IF($O$5&gt;80,0+30*($AG702/100),IF($O$5&gt;70,0+50*($AG702/100),IF($O$5&gt;60,5+50*($AG702/100),IF($O$5&gt;50,10+60*($AG702/100),IF($O$5&gt;40,15+70*($AG702/100),IF($O$5&gt;30,20+70*($AG702/100),IF($O$5&gt;20,40+55*($AG702/100),(80+(20-$O$5)+30*($AG702/100))))))))))</f>
        <v>86.783719272784367</v>
      </c>
      <c r="AI702" s="263"/>
      <c r="AJ702" s="263"/>
      <c r="AK702" s="263"/>
      <c r="AL702" s="263"/>
      <c r="AM702" s="264"/>
      <c r="AN702" s="263"/>
      <c r="AO702" s="263"/>
      <c r="AP702" s="265"/>
      <c r="AQ702" s="265"/>
      <c r="AR702" s="285"/>
      <c r="AS702" s="263"/>
      <c r="AT702" s="263"/>
      <c r="AU702" s="263"/>
      <c r="AV702" s="264"/>
      <c r="AW702" s="263">
        <v>267</v>
      </c>
      <c r="AX702" s="263"/>
      <c r="AY702" s="263"/>
      <c r="AZ702" s="263"/>
      <c r="BA702" s="263"/>
      <c r="BB702" s="263"/>
      <c r="BC702" s="263"/>
      <c r="BD702" s="264"/>
      <c r="BE702" s="263"/>
      <c r="BF702" s="263"/>
      <c r="BG702" s="263"/>
      <c r="BH702" s="263"/>
      <c r="BI702" s="263"/>
      <c r="BJ702" s="404">
        <f>altaz(J2000_Bas,$O702,$M702,DecLat,DecLong,2)</f>
        <v>204.82384172021909</v>
      </c>
      <c r="BK702" s="378" t="s">
        <v>806</v>
      </c>
      <c r="BL702" s="379">
        <f>IF((2*G702)/60&lt;0.2,0.2,(2*G702)/60)</f>
        <v>0.2</v>
      </c>
      <c r="BM702" s="380">
        <f>MOD((50000+AD702-$B$3+(0/24)),1)</f>
        <v>0.93640339159173891</v>
      </c>
      <c r="BN702" s="381"/>
      <c r="BO702" s="382">
        <v>702</v>
      </c>
    </row>
    <row r="703" spans="1:67" s="24" customFormat="1" ht="15" customHeight="1" x14ac:dyDescent="0.25">
      <c r="A703" s="288" t="s">
        <v>807</v>
      </c>
      <c r="B703" s="241" t="str">
        <f>HYPERLINK(CONCATENATE($AT$3,BK703,$AU$3),$AV$3)</f>
        <v>S</v>
      </c>
      <c r="C703" s="242" t="str">
        <f>HYPERLINK(CONCATENATE($AT$4,BK703,$AU$4,BL703),$AV$4)</f>
        <v>A</v>
      </c>
      <c r="D703" s="243" t="s">
        <v>5187</v>
      </c>
      <c r="E703" s="244" t="s">
        <v>5179</v>
      </c>
      <c r="F703" s="269">
        <v>4</v>
      </c>
      <c r="G703" s="276">
        <v>100</v>
      </c>
      <c r="H703" s="271" t="s">
        <v>6500</v>
      </c>
      <c r="I703" s="244" t="s">
        <v>6500</v>
      </c>
      <c r="J703" s="246">
        <v>3</v>
      </c>
      <c r="K703" s="277" t="s">
        <v>9369</v>
      </c>
      <c r="L703" s="248">
        <v>173126</v>
      </c>
      <c r="M703" s="249">
        <f>15*(LEFT(TEXT($L703,"000000"),2)+(MID(TEXT($L703,"000000"),3,2)/60)+(RIGHT(TEXT($L703,"000000"),2)/3600))</f>
        <v>262.85833333333329</v>
      </c>
      <c r="N703" s="286">
        <v>-203200</v>
      </c>
      <c r="O703" s="251">
        <f>IF($N703&gt;0,(LEFT(TEXT($N703,"000000"),2)+(MID(TEXT($N703,"000000"),3,2)/60)+(RIGHT(TEXT($N703,"000000"),2)/3600)),-(MID(TEXT($N703,"000000"),2,2)+(MID(TEXT($N703,"000000"),4,2)/60)+(RIGHT(TEXT($N703,"000000"),2)/3600)))</f>
        <v>-20.533333333333335</v>
      </c>
      <c r="P703" s="252" t="s">
        <v>113</v>
      </c>
      <c r="Q703" s="253"/>
      <c r="R703" s="277" t="s">
        <v>4412</v>
      </c>
      <c r="S703" s="272" t="s">
        <v>3293</v>
      </c>
      <c r="T703" s="273"/>
      <c r="U703" s="274"/>
      <c r="V703" s="256"/>
      <c r="W703" s="244"/>
      <c r="X703" s="244"/>
      <c r="Y703" s="362"/>
      <c r="Z703" s="257">
        <f>altaz(J2000_Bas,$O703,$M703,DecLat,DecLong,1)</f>
        <v>33.880007668195063</v>
      </c>
      <c r="AA703" s="257">
        <f>altaz((J2000_Bas+(2*0.04167)),$O703,$M703,DecLat,DecLong,1)</f>
        <v>17.449668938559107</v>
      </c>
      <c r="AB703" s="257">
        <f>altaz((J2000_Bas+(4*0.04167)),$O703,$M703,DecLat,DecLong,1)</f>
        <v>-5.0016363423373233</v>
      </c>
      <c r="AC703" s="257">
        <f>altaz((J2000_Bas+(6*0.04167)),$O703,$M703,DecLat,DecLong,1)</f>
        <v>-29.961546984847779</v>
      </c>
      <c r="AD703" s="258">
        <f>1+ transit((J2000_Bas-1),$O703,$M703,DecLat,DecLong)/360 + (GMTOffset/24) + (IF(DST="Y", 1, 0)/24)</f>
        <v>1.7230619246505412</v>
      </c>
      <c r="AE703" s="259">
        <f>DATE(2001,9,21)+(M703/360)*365 - (360*((DecLong/360)- (GMTOffset/24) ))</f>
        <v>37426.509143518517</v>
      </c>
      <c r="AF703" s="260">
        <f>IF(DecLat&gt;0,IF((90 - (DecLat-O703))&gt;90, (90 - (O703-DecLat)), (90 - (DecLat-O703))),IF((90 + (DecLat-O703))&gt;90, (90 + (O703-DecLat)), (90 + (DecLat-O703))))</f>
        <v>38.466666666666669</v>
      </c>
      <c r="AG703" s="257">
        <f>angularseperation(MoonRA,MoonDec,$M703,$O703)</f>
        <v>14.061203469216872</v>
      </c>
      <c r="AH703" s="261">
        <f ca="1">MIN(100,IF($O$5&gt;80,0+30*($AG703/100),IF($O$5&gt;70,0+50*($AG703/100),IF($O$5&gt;60,5+50*($AG703/100),IF($O$5&gt;50,10+60*($AG703/100),IF($O$5&gt;40,15+70*($AG703/100),IF($O$5&gt;30,20+70*($AG703/100),IF($O$5&gt;20,40+55*($AG703/100),(80+(20-$O$5)+30*($AG703/100))))))))))</f>
        <v>87.489421384915488</v>
      </c>
      <c r="AI703" s="263"/>
      <c r="AJ703" s="263"/>
      <c r="AK703" s="263"/>
      <c r="AL703" s="263"/>
      <c r="AM703" s="264"/>
      <c r="AN703" s="263"/>
      <c r="AO703" s="263"/>
      <c r="AP703" s="265"/>
      <c r="AQ703" s="265"/>
      <c r="AR703" s="285"/>
      <c r="AS703" s="263"/>
      <c r="AT703" s="263"/>
      <c r="AU703" s="263"/>
      <c r="AV703" s="264"/>
      <c r="AW703" s="263">
        <v>268</v>
      </c>
      <c r="AX703" s="263"/>
      <c r="AY703" s="263"/>
      <c r="AZ703" s="263"/>
      <c r="BA703" s="263"/>
      <c r="BB703" s="263"/>
      <c r="BC703" s="263"/>
      <c r="BD703" s="264"/>
      <c r="BE703" s="263"/>
      <c r="BF703" s="263"/>
      <c r="BG703" s="263"/>
      <c r="BH703" s="263"/>
      <c r="BI703" s="263">
        <v>74</v>
      </c>
      <c r="BJ703" s="404">
        <f>altaz(J2000_Bas,$O703,$M703,DecLat,DecLong,2)</f>
        <v>206.31819474486883</v>
      </c>
      <c r="BK703" s="378" t="s">
        <v>807</v>
      </c>
      <c r="BL703" s="379">
        <f>IF((2*G703)/60&lt;0.2,0.2,(2*G703)/60)</f>
        <v>3.3333333333333335</v>
      </c>
      <c r="BM703" s="380">
        <f>MOD((50000+AD703-$B$3+(0/24)),1)</f>
        <v>0.93842885435151402</v>
      </c>
      <c r="BN703" s="381"/>
      <c r="BO703" s="382">
        <v>703</v>
      </c>
    </row>
    <row r="704" spans="1:67" s="24" customFormat="1" ht="15" customHeight="1" x14ac:dyDescent="0.25">
      <c r="A704" s="288" t="s">
        <v>808</v>
      </c>
      <c r="B704" s="241" t="str">
        <f>HYPERLINK(CONCATENATE($AT$3,BK704,$AU$3),$AV$3)</f>
        <v>S</v>
      </c>
      <c r="C704" s="242" t="str">
        <f>HYPERLINK(CONCATENATE($AT$4,BK704,$AU$4,BL704),$AV$4)</f>
        <v>A</v>
      </c>
      <c r="D704" s="243" t="s">
        <v>5187</v>
      </c>
      <c r="E704" s="244" t="s">
        <v>5179</v>
      </c>
      <c r="F704" s="269">
        <v>3</v>
      </c>
      <c r="G704" s="276">
        <v>60</v>
      </c>
      <c r="H704" s="271" t="s">
        <v>6500</v>
      </c>
      <c r="I704" s="244" t="s">
        <v>6500</v>
      </c>
      <c r="J704" s="246">
        <v>1</v>
      </c>
      <c r="K704" s="247" t="s">
        <v>5887</v>
      </c>
      <c r="L704" s="248">
        <v>173213</v>
      </c>
      <c r="M704" s="249">
        <f>15*(LEFT(TEXT($L704,"000000"),2)+(MID(TEXT($L704,"000000"),3,2)/60)+(RIGHT(TEXT($L704,"000000"),2)/3600))</f>
        <v>263.05416666666673</v>
      </c>
      <c r="N704" s="286">
        <v>-224600</v>
      </c>
      <c r="O704" s="251">
        <f>IF($N704&gt;0,(LEFT(TEXT($N704,"000000"),2)+(MID(TEXT($N704,"000000"),3,2)/60)+(RIGHT(TEXT($N704,"000000"),2)/3600)),-(MID(TEXT($N704,"000000"),2,2)+(MID(TEXT($N704,"000000"),4,2)/60)+(RIGHT(TEXT($N704,"000000"),2)/3600)))</f>
        <v>-22.766666666666666</v>
      </c>
      <c r="P704" s="252" t="s">
        <v>113</v>
      </c>
      <c r="Q704" s="253"/>
      <c r="R704" s="277" t="s">
        <v>3293</v>
      </c>
      <c r="S704" s="272" t="s">
        <v>3293</v>
      </c>
      <c r="T704" s="273"/>
      <c r="U704" s="274"/>
      <c r="V704" s="256"/>
      <c r="W704" s="244"/>
      <c r="X704" s="244"/>
      <c r="Y704" s="362"/>
      <c r="Z704" s="257">
        <f>altaz(J2000_Bas,$O704,$M704,DecLat,DecLong,1)</f>
        <v>31.905568928140688</v>
      </c>
      <c r="AA704" s="257">
        <f>altaz((J2000_Bas+(2*0.04167)),$O704,$M704,DecLat,DecLong,1)</f>
        <v>16.021157042616107</v>
      </c>
      <c r="AB704" s="257">
        <f>altaz((J2000_Bas+(4*0.04167)),$O704,$M704,DecLat,DecLong,1)</f>
        <v>-6.0038392409899775</v>
      </c>
      <c r="AC704" s="257">
        <f>altaz((J2000_Bas+(6*0.04167)),$O704,$M704,DecLat,DecLong,1)</f>
        <v>-30.71053116336736</v>
      </c>
      <c r="AD704" s="258">
        <f>1+ transit((J2000_Bas-1),$O704,$M704,DecLat,DecLong)/360 + (GMTOffset/24) + (IF(DST="Y", 1, 0)/24)</f>
        <v>1.7236059060776248</v>
      </c>
      <c r="AE704" s="259">
        <f>DATE(2001,9,21)+(M704/360)*365 - (360*((DecLong/360)- (GMTOffset/24) ))</f>
        <v>37426.707696759258</v>
      </c>
      <c r="AF704" s="260">
        <f>IF(DecLat&gt;0,IF((90 - (DecLat-O704))&gt;90, (90 - (O704-DecLat)), (90 - (DecLat-O704))),IF((90 + (DecLat-O704))&gt;90, (90 + (O704-DecLat)), (90 + (DecLat-O704))))</f>
        <v>36.233333333333334</v>
      </c>
      <c r="AG704" s="257">
        <f>angularseperation(MoonRA,MoonDec,$M704,$O704)</f>
        <v>13.239199526114886</v>
      </c>
      <c r="AH704" s="261">
        <f ca="1">MIN(100,IF($O$5&gt;80,0+30*($AG704/100),IF($O$5&gt;70,0+50*($AG704/100),IF($O$5&gt;60,5+50*($AG704/100),IF($O$5&gt;50,10+60*($AG704/100),IF($O$5&gt;40,15+70*($AG704/100),IF($O$5&gt;30,20+70*($AG704/100),IF($O$5&gt;20,40+55*($AG704/100),(80+(20-$O$5)+30*($AG704/100))))))))))</f>
        <v>87.242820201984898</v>
      </c>
      <c r="AI704" s="263"/>
      <c r="AJ704" s="263"/>
      <c r="AK704" s="263"/>
      <c r="AL704" s="263"/>
      <c r="AM704" s="264"/>
      <c r="AN704" s="263"/>
      <c r="AO704" s="263"/>
      <c r="AP704" s="265"/>
      <c r="AQ704" s="265"/>
      <c r="AR704" s="285"/>
      <c r="AS704" s="263"/>
      <c r="AT704" s="263"/>
      <c r="AU704" s="263"/>
      <c r="AV704" s="264"/>
      <c r="AW704" s="263">
        <v>269</v>
      </c>
      <c r="AX704" s="263"/>
      <c r="AY704" s="263"/>
      <c r="AZ704" s="263"/>
      <c r="BA704" s="263"/>
      <c r="BB704" s="263"/>
      <c r="BC704" s="263"/>
      <c r="BD704" s="264"/>
      <c r="BE704" s="263"/>
      <c r="BF704" s="263"/>
      <c r="BG704" s="263"/>
      <c r="BH704" s="263"/>
      <c r="BI704" s="263"/>
      <c r="BJ704" s="404">
        <f>altaz(J2000_Bas,$O704,$M704,DecLat,DecLong,2)</f>
        <v>205.05629461855492</v>
      </c>
      <c r="BK704" s="378" t="s">
        <v>808</v>
      </c>
      <c r="BL704" s="379">
        <f>IF((2*G704)/60&lt;0.2,0.2,(2*G704)/60)</f>
        <v>2</v>
      </c>
      <c r="BM704" s="380">
        <f>MOD((50000+AD704-$B$3+(0/24)),1)</f>
        <v>0.93897283577825874</v>
      </c>
      <c r="BN704" s="381"/>
      <c r="BO704" s="382">
        <v>704</v>
      </c>
    </row>
    <row r="705" spans="1:67" s="24" customFormat="1" ht="15" customHeight="1" x14ac:dyDescent="0.25">
      <c r="A705" s="288" t="s">
        <v>809</v>
      </c>
      <c r="B705" s="241" t="str">
        <f>HYPERLINK(CONCATENATE($AT$3,BK705,$AU$3),$AV$3)</f>
        <v>S</v>
      </c>
      <c r="C705" s="242" t="str">
        <f>HYPERLINK(CONCATENATE($AT$4,BK705,$AU$4,BL705),$AV$4)</f>
        <v>A</v>
      </c>
      <c r="D705" s="243" t="s">
        <v>5187</v>
      </c>
      <c r="E705" s="244" t="s">
        <v>5179</v>
      </c>
      <c r="F705" s="269">
        <v>5</v>
      </c>
      <c r="G705" s="276">
        <v>11</v>
      </c>
      <c r="H705" s="271" t="s">
        <v>6500</v>
      </c>
      <c r="I705" s="244" t="s">
        <v>6500</v>
      </c>
      <c r="J705" s="246">
        <v>1</v>
      </c>
      <c r="K705" s="247" t="s">
        <v>5888</v>
      </c>
      <c r="L705" s="248">
        <v>173243</v>
      </c>
      <c r="M705" s="249">
        <f>15*(LEFT(TEXT($L705,"000000"),2)+(MID(TEXT($L705,"000000"),3,2)/60)+(RIGHT(TEXT($L705,"000000"),2)/3600))</f>
        <v>263.17916666666673</v>
      </c>
      <c r="N705" s="286">
        <v>-193600</v>
      </c>
      <c r="O705" s="251">
        <f>IF($N705&gt;0,(LEFT(TEXT($N705,"000000"),2)+(MID(TEXT($N705,"000000"),3,2)/60)+(RIGHT(TEXT($N705,"000000"),2)/3600)),-(MID(TEXT($N705,"000000"),2,2)+(MID(TEXT($N705,"000000"),4,2)/60)+(RIGHT(TEXT($N705,"000000"),2)/3600)))</f>
        <v>-19.600000000000001</v>
      </c>
      <c r="P705" s="252" t="s">
        <v>113</v>
      </c>
      <c r="Q705" s="253"/>
      <c r="R705" s="277" t="s">
        <v>3293</v>
      </c>
      <c r="S705" s="272" t="s">
        <v>3293</v>
      </c>
      <c r="T705" s="273"/>
      <c r="U705" s="274"/>
      <c r="V705" s="256"/>
      <c r="W705" s="244"/>
      <c r="X705" s="244"/>
      <c r="Y705" s="362"/>
      <c r="Z705" s="257">
        <f>altaz(J2000_Bas,$O705,$M705,DecLat,DecLong,1)</f>
        <v>34.855363130385371</v>
      </c>
      <c r="AA705" s="257">
        <f>altaz((J2000_Bas+(2*0.04167)),$O705,$M705,DecLat,DecLong,1)</f>
        <v>18.314375139886621</v>
      </c>
      <c r="AB705" s="257">
        <f>altaz((J2000_Bas+(4*0.04167)),$O705,$M705,DecLat,DecLong,1)</f>
        <v>-4.2585032852385707</v>
      </c>
      <c r="AC705" s="257">
        <f>altaz((J2000_Bas+(6*0.04167)),$O705,$M705,DecLat,DecLong,1)</f>
        <v>-29.293655817157511</v>
      </c>
      <c r="AD705" s="258">
        <f>1+ transit((J2000_Bas-1),$O705,$M705,DecLat,DecLong)/360 + (GMTOffset/24) + (IF(DST="Y", 1, 0)/24)</f>
        <v>1.7239531282651248</v>
      </c>
      <c r="AE705" s="259">
        <f>DATE(2001,9,21)+(M705/360)*365 - (360*((DecLong/360)- (GMTOffset/24) ))</f>
        <v>37426.834432870368</v>
      </c>
      <c r="AF705" s="260">
        <f>IF(DecLat&gt;0,IF((90 - (DecLat-O705))&gt;90, (90 - (O705-DecLat)), (90 - (DecLat-O705))),IF((90 + (DecLat-O705))&gt;90, (90 + (O705-DecLat)), (90 + (DecLat-O705))))</f>
        <v>39.4</v>
      </c>
      <c r="AG705" s="257">
        <f>angularseperation(MoonRA,MoonDec,$M705,$O705)</f>
        <v>14.807867235506922</v>
      </c>
      <c r="AH705" s="261">
        <f ca="1">MIN(100,IF($O$5&gt;80,0+30*($AG705/100),IF($O$5&gt;70,0+50*($AG705/100),IF($O$5&gt;60,5+50*($AG705/100),IF($O$5&gt;50,10+60*($AG705/100),IF($O$5&gt;40,15+70*($AG705/100),IF($O$5&gt;30,20+70*($AG705/100),IF($O$5&gt;20,40+55*($AG705/100),(80+(20-$O$5)+30*($AG705/100))))))))))</f>
        <v>87.713420514802507</v>
      </c>
      <c r="AI705" s="263"/>
      <c r="AJ705" s="263"/>
      <c r="AK705" s="263"/>
      <c r="AL705" s="263"/>
      <c r="AM705" s="264"/>
      <c r="AN705" s="263"/>
      <c r="AO705" s="263"/>
      <c r="AP705" s="265"/>
      <c r="AQ705" s="265"/>
      <c r="AR705" s="285"/>
      <c r="AS705" s="263"/>
      <c r="AT705" s="263"/>
      <c r="AU705" s="263"/>
      <c r="AV705" s="264"/>
      <c r="AW705" s="263">
        <v>270</v>
      </c>
      <c r="AX705" s="263"/>
      <c r="AY705" s="263"/>
      <c r="AZ705" s="263"/>
      <c r="BA705" s="263"/>
      <c r="BB705" s="263"/>
      <c r="BC705" s="263"/>
      <c r="BD705" s="264"/>
      <c r="BE705" s="263"/>
      <c r="BF705" s="263"/>
      <c r="BG705" s="263"/>
      <c r="BH705" s="263"/>
      <c r="BI705" s="263"/>
      <c r="BJ705" s="404">
        <f>altaz(J2000_Bas,$O705,$M705,DecLat,DecLong,2)</f>
        <v>206.4429634863354</v>
      </c>
      <c r="BK705" s="378" t="s">
        <v>809</v>
      </c>
      <c r="BL705" s="379">
        <f>IF((2*G705)/60&lt;0.2,0.2,(2*G705)/60)</f>
        <v>0.36666666666666664</v>
      </c>
      <c r="BM705" s="380">
        <f>MOD((50000+AD705-$B$3+(0/24)),1)</f>
        <v>0.93932005797250895</v>
      </c>
      <c r="BN705" s="381"/>
      <c r="BO705" s="382">
        <v>705</v>
      </c>
    </row>
    <row r="706" spans="1:67" s="24" customFormat="1" ht="15" customHeight="1" x14ac:dyDescent="0.25">
      <c r="A706" s="287" t="s">
        <v>810</v>
      </c>
      <c r="B706" s="241" t="str">
        <f>HYPERLINK(CONCATENATE($AT$3,BK706,$AU$3),$AV$3)</f>
        <v>S</v>
      </c>
      <c r="C706" s="242" t="str">
        <f>HYPERLINK(CONCATENATE($AT$4,BK706,$AU$4,BL706),$AV$4)</f>
        <v>A</v>
      </c>
      <c r="D706" s="243" t="s">
        <v>5187</v>
      </c>
      <c r="E706" s="244" t="s">
        <v>5179</v>
      </c>
      <c r="F706" s="269">
        <v>0</v>
      </c>
      <c r="G706" s="276">
        <v>120</v>
      </c>
      <c r="H706" s="271" t="s">
        <v>6500</v>
      </c>
      <c r="I706" s="244" t="s">
        <v>6500</v>
      </c>
      <c r="J706" s="246">
        <v>1</v>
      </c>
      <c r="K706" s="247" t="s">
        <v>6007</v>
      </c>
      <c r="L706" s="248">
        <v>173416</v>
      </c>
      <c r="M706" s="249">
        <f>15*(LEFT(TEXT($L706,"000000"),2)+(MID(TEXT($L706,"000000"),3,2)/60)+(RIGHT(TEXT($L706,"000000"),2)/3600))</f>
        <v>263.56666666666666</v>
      </c>
      <c r="N706" s="286">
        <v>-341600</v>
      </c>
      <c r="O706" s="251">
        <f>IF($N706&gt;0,(LEFT(TEXT($N706,"000000"),2)+(MID(TEXT($N706,"000000"),3,2)/60)+(RIGHT(TEXT($N706,"000000"),2)/3600)),-(MID(TEXT($N706,"000000"),2,2)+(MID(TEXT($N706,"000000"),4,2)/60)+(RIGHT(TEXT($N706,"000000"),2)/3600)))</f>
        <v>-34.266666666666666</v>
      </c>
      <c r="P706" s="252" t="s">
        <v>109</v>
      </c>
      <c r="Q706" s="253"/>
      <c r="R706" s="277" t="s">
        <v>3293</v>
      </c>
      <c r="S706" s="272" t="s">
        <v>3293</v>
      </c>
      <c r="T706" s="273"/>
      <c r="U706" s="274"/>
      <c r="V706" s="256"/>
      <c r="W706" s="244"/>
      <c r="X706" s="244"/>
      <c r="Y706" s="362"/>
      <c r="Z706" s="257">
        <f>altaz(J2000_Bas,$O706,$M706,DecLat,DecLong,1)</f>
        <v>21.393768143093599</v>
      </c>
      <c r="AA706" s="257">
        <f>altaz((J2000_Bas+(2*0.04167)),$O706,$M706,DecLat,DecLong,1)</f>
        <v>8.1084207624759106</v>
      </c>
      <c r="AB706" s="257">
        <f>altaz((J2000_Bas+(4*0.04167)),$O706,$M706,DecLat,DecLong,1)</f>
        <v>-11.467658679694757</v>
      </c>
      <c r="AC706" s="257">
        <f>altaz((J2000_Bas+(6*0.04167)),$O706,$M706,DecLat,DecLong,1)</f>
        <v>-34.280250055314781</v>
      </c>
      <c r="AD706" s="258">
        <f>1+ transit((J2000_Bas-1),$O706,$M706,DecLat,DecLong)/360 + (GMTOffset/24) + (IF(DST="Y", 1, 0)/24)</f>
        <v>1.7250295170463745</v>
      </c>
      <c r="AE706" s="259">
        <f>DATE(2001,9,21)+(M706/360)*365 - (360*((DecLong/360)- (GMTOffset/24) ))</f>
        <v>37427.227314814816</v>
      </c>
      <c r="AF706" s="260">
        <f>IF(DecLat&gt;0,IF((90 - (DecLat-O706))&gt;90, (90 - (O706-DecLat)), (90 - (DecLat-O706))),IF((90 + (DecLat-O706))&gt;90, (90 + (O706-DecLat)), (90 + (DecLat-O706))))</f>
        <v>24.733333333333334</v>
      </c>
      <c r="AG706" s="257">
        <f>angularseperation(MoonRA,MoonDec,$M706,$O706)</f>
        <v>14.239505740157428</v>
      </c>
      <c r="AH706" s="261">
        <f ca="1">MIN(100,IF($O$5&gt;80,0+30*($AG706/100),IF($O$5&gt;70,0+50*($AG706/100),IF($O$5&gt;60,5+50*($AG706/100),IF($O$5&gt;50,10+60*($AG706/100),IF($O$5&gt;40,15+70*($AG706/100),IF($O$5&gt;30,20+70*($AG706/100),IF($O$5&gt;20,40+55*($AG706/100),(80+(20-$O$5)+30*($AG706/100))))))))))</f>
        <v>87.542912066197658</v>
      </c>
      <c r="AI706" s="263"/>
      <c r="AJ706" s="263"/>
      <c r="AK706" s="263"/>
      <c r="AL706" s="263"/>
      <c r="AM706" s="264"/>
      <c r="AN706" s="263"/>
      <c r="AO706" s="263"/>
      <c r="AP706" s="265"/>
      <c r="AQ706" s="265"/>
      <c r="AR706" s="285"/>
      <c r="AS706" s="263"/>
      <c r="AT706" s="263"/>
      <c r="AU706" s="263"/>
      <c r="AV706" s="264"/>
      <c r="AW706" s="263">
        <v>271</v>
      </c>
      <c r="AX706" s="263"/>
      <c r="AY706" s="263"/>
      <c r="AZ706" s="263"/>
      <c r="BA706" s="263"/>
      <c r="BB706" s="263"/>
      <c r="BC706" s="263"/>
      <c r="BD706" s="264"/>
      <c r="BE706" s="263"/>
      <c r="BF706" s="263"/>
      <c r="BG706" s="263"/>
      <c r="BH706" s="263"/>
      <c r="BI706" s="263"/>
      <c r="BJ706" s="404">
        <f>altaz(J2000_Bas,$O706,$M706,DecLat,DecLong,2)</f>
        <v>199.80056260276467</v>
      </c>
      <c r="BK706" s="378" t="s">
        <v>810</v>
      </c>
      <c r="BL706" s="379">
        <f>IF((2*G706)/60&lt;0.2,0.2,(2*G706)/60)</f>
        <v>4</v>
      </c>
      <c r="BM706" s="380">
        <f>MOD((50000+AD706-$B$3+(0/24)),1)</f>
        <v>0.94039644674921874</v>
      </c>
      <c r="BN706" s="381"/>
      <c r="BO706" s="382">
        <v>706</v>
      </c>
    </row>
    <row r="707" spans="1:67" s="24" customFormat="1" ht="15" customHeight="1" x14ac:dyDescent="0.25">
      <c r="A707" s="288" t="s">
        <v>811</v>
      </c>
      <c r="B707" s="241" t="str">
        <f>HYPERLINK(CONCATENATE($AT$3,BK707,$AU$3),$AV$3)</f>
        <v>S</v>
      </c>
      <c r="C707" s="242" t="str">
        <f>HYPERLINK(CONCATENATE($AT$4,BK707,$AU$4,BL707),$AV$4)</f>
        <v>A</v>
      </c>
      <c r="D707" s="243" t="s">
        <v>5187</v>
      </c>
      <c r="E707" s="244" t="s">
        <v>5179</v>
      </c>
      <c r="F707" s="269">
        <v>3</v>
      </c>
      <c r="G707" s="276">
        <v>45</v>
      </c>
      <c r="H707" s="271" t="s">
        <v>6500</v>
      </c>
      <c r="I707" s="244" t="s">
        <v>6500</v>
      </c>
      <c r="J707" s="246">
        <v>2</v>
      </c>
      <c r="K707" s="247" t="s">
        <v>8388</v>
      </c>
      <c r="L707" s="248">
        <v>173736</v>
      </c>
      <c r="M707" s="249">
        <f>15*(LEFT(TEXT($L707,"000000"),2)+(MID(TEXT($L707,"000000"),3,2)/60)+(RIGHT(TEXT($L707,"000000"),2)/3600))</f>
        <v>264.40000000000003</v>
      </c>
      <c r="N707" s="286">
        <v>-232500</v>
      </c>
      <c r="O707" s="251">
        <f>IF($N707&gt;0,(LEFT(TEXT($N707,"000000"),2)+(MID(TEXT($N707,"000000"),3,2)/60)+(RIGHT(TEXT($N707,"000000"),2)/3600)),-(MID(TEXT($N707,"000000"),2,2)+(MID(TEXT($N707,"000000"),4,2)/60)+(RIGHT(TEXT($N707,"000000"),2)/3600)))</f>
        <v>-23.416666666666668</v>
      </c>
      <c r="P707" s="252" t="s">
        <v>113</v>
      </c>
      <c r="Q707" s="253"/>
      <c r="R707" s="277" t="s">
        <v>3293</v>
      </c>
      <c r="S707" s="272" t="s">
        <v>3293</v>
      </c>
      <c r="T707" s="273"/>
      <c r="U707" s="274"/>
      <c r="V707" s="256"/>
      <c r="W707" s="244"/>
      <c r="X707" s="244"/>
      <c r="Y707" s="362"/>
      <c r="Z707" s="257">
        <f>altaz(J2000_Bas,$O707,$M707,DecLat,DecLong,1)</f>
        <v>31.778539386410227</v>
      </c>
      <c r="AA707" s="257">
        <f>altaz((J2000_Bas+(2*0.04167)),$O707,$M707,DecLat,DecLong,1)</f>
        <v>16.436596811381747</v>
      </c>
      <c r="AB707" s="257">
        <f>altaz((J2000_Bas+(4*0.04167)),$O707,$M707,DecLat,DecLong,1)</f>
        <v>-5.2851079547103561</v>
      </c>
      <c r="AC707" s="257">
        <f>altaz((J2000_Bas+(6*0.04167)),$O707,$M707,DecLat,DecLong,1)</f>
        <v>-29.835240786957957</v>
      </c>
      <c r="AD707" s="258">
        <f>1+ transit((J2000_Bas-1),$O707,$M707,DecLat,DecLong)/360 + (GMTOffset/24) + (IF(DST="Y", 1, 0)/24)</f>
        <v>1.7273443316297081</v>
      </c>
      <c r="AE707" s="259">
        <f>DATE(2001,9,21)+(M707/360)*365 - (360*((DecLong/360)- (GMTOffset/24) ))</f>
        <v>37428.072222222225</v>
      </c>
      <c r="AF707" s="260">
        <f>IF(DecLat&gt;0,IF((90 - (DecLat-O707))&gt;90, (90 - (O707-DecLat)), (90 - (DecLat-O707))),IF((90 + (DecLat-O707))&gt;90, (90 + (O707-DecLat)), (90 + (DecLat-O707))))</f>
        <v>35.583333333333329</v>
      </c>
      <c r="AG707" s="257">
        <f>angularseperation(MoonRA,MoonDec,$M707,$O707)</f>
        <v>14.18097406827034</v>
      </c>
      <c r="AH707" s="261">
        <f ca="1">MIN(100,IF($O$5&gt;80,0+30*($AG707/100),IF($O$5&gt;70,0+50*($AG707/100),IF($O$5&gt;60,5+50*($AG707/100),IF($O$5&gt;50,10+60*($AG707/100),IF($O$5&gt;40,15+70*($AG707/100),IF($O$5&gt;30,20+70*($AG707/100),IF($O$5&gt;20,40+55*($AG707/100),(80+(20-$O$5)+30*($AG707/100))))))))))</f>
        <v>87.525352564631532</v>
      </c>
      <c r="AI707" s="263"/>
      <c r="AJ707" s="263"/>
      <c r="AK707" s="263"/>
      <c r="AL707" s="263"/>
      <c r="AM707" s="264"/>
      <c r="AN707" s="263"/>
      <c r="AO707" s="263"/>
      <c r="AP707" s="265"/>
      <c r="AQ707" s="265"/>
      <c r="AR707" s="285"/>
      <c r="AS707" s="263"/>
      <c r="AT707" s="263"/>
      <c r="AU707" s="263"/>
      <c r="AV707" s="264"/>
      <c r="AW707" s="263">
        <v>272</v>
      </c>
      <c r="AX707" s="263"/>
      <c r="AY707" s="263"/>
      <c r="AZ707" s="263"/>
      <c r="BA707" s="263"/>
      <c r="BB707" s="263"/>
      <c r="BC707" s="263"/>
      <c r="BD707" s="264"/>
      <c r="BE707" s="263"/>
      <c r="BF707" s="263"/>
      <c r="BG707" s="263"/>
      <c r="BH707" s="263"/>
      <c r="BI707" s="263"/>
      <c r="BJ707" s="404">
        <f>altaz(J2000_Bas,$O707,$M707,DecLat,DecLong,2)</f>
        <v>203.4171223399008</v>
      </c>
      <c r="BK707" s="378" t="s">
        <v>811</v>
      </c>
      <c r="BL707" s="379">
        <f>IF((2*G707)/60&lt;0.2,0.2,(2*G707)/60)</f>
        <v>1.5</v>
      </c>
      <c r="BM707" s="380">
        <f>MOD((50000+AD707-$B$3+(0/24)),1)</f>
        <v>0.94271126133389771</v>
      </c>
      <c r="BN707" s="381"/>
      <c r="BO707" s="382">
        <v>707</v>
      </c>
    </row>
    <row r="708" spans="1:67" s="24" customFormat="1" ht="15" customHeight="1" x14ac:dyDescent="0.25">
      <c r="A708" s="287" t="s">
        <v>812</v>
      </c>
      <c r="B708" s="241" t="str">
        <f>HYPERLINK(CONCATENATE($AT$3,BK708,$AU$3),$AV$3)</f>
        <v>S</v>
      </c>
      <c r="C708" s="242" t="str">
        <f>HYPERLINK(CONCATENATE($AT$4,BK708,$AU$4,BL708),$AV$4)</f>
        <v>A</v>
      </c>
      <c r="D708" s="243" t="s">
        <v>5187</v>
      </c>
      <c r="E708" s="244" t="s">
        <v>5179</v>
      </c>
      <c r="F708" s="269">
        <v>0</v>
      </c>
      <c r="G708" s="276">
        <v>15</v>
      </c>
      <c r="H708" s="271" t="s">
        <v>6500</v>
      </c>
      <c r="I708" s="244" t="s">
        <v>6500</v>
      </c>
      <c r="J708" s="246">
        <v>1</v>
      </c>
      <c r="K708" s="247" t="s">
        <v>5889</v>
      </c>
      <c r="L708" s="248">
        <v>173829</v>
      </c>
      <c r="M708" s="249">
        <f>15*(LEFT(TEXT($L708,"000000"),2)+(MID(TEXT($L708,"000000"),3,2)/60)+(RIGHT(TEXT($L708,"000000"),2)/3600))</f>
        <v>264.62083333333328</v>
      </c>
      <c r="N708" s="286">
        <v>-332100</v>
      </c>
      <c r="O708" s="251">
        <f>IF($N708&gt;0,(LEFT(TEXT($N708,"000000"),2)+(MID(TEXT($N708,"000000"),3,2)/60)+(RIGHT(TEXT($N708,"000000"),2)/3600)),-(MID(TEXT($N708,"000000"),2,2)+(MID(TEXT($N708,"000000"),4,2)/60)+(RIGHT(TEXT($N708,"000000"),2)/3600)))</f>
        <v>-33.35</v>
      </c>
      <c r="P708" s="252" t="s">
        <v>109</v>
      </c>
      <c r="Q708" s="253"/>
      <c r="R708" s="277" t="s">
        <v>3293</v>
      </c>
      <c r="S708" s="272" t="s">
        <v>3293</v>
      </c>
      <c r="T708" s="273"/>
      <c r="U708" s="274"/>
      <c r="V708" s="256"/>
      <c r="W708" s="244"/>
      <c r="X708" s="244"/>
      <c r="Y708" s="362"/>
      <c r="Z708" s="257">
        <f>altaz(J2000_Bas,$O708,$M708,DecLat,DecLong,1)</f>
        <v>22.556260960328295</v>
      </c>
      <c r="AA708" s="257">
        <f>altaz((J2000_Bas+(2*0.04167)),$O708,$M708,DecLat,DecLong,1)</f>
        <v>9.3762064440554731</v>
      </c>
      <c r="AB708" s="257">
        <f>altaz((J2000_Bas+(4*0.04167)),$O708,$M708,DecLat,DecLong,1)</f>
        <v>-10.249691480716219</v>
      </c>
      <c r="AC708" s="257">
        <f>altaz((J2000_Bas+(6*0.04167)),$O708,$M708,DecLat,DecLong,1)</f>
        <v>-33.17087215913071</v>
      </c>
      <c r="AD708" s="258">
        <f>1+ transit((J2000_Bas-1),$O708,$M708,DecLat,DecLong)/360 + (GMTOffset/24) + (IF(DST="Y", 1, 0)/24)</f>
        <v>1.7279577574942913</v>
      </c>
      <c r="AE708" s="259">
        <f>DATE(2001,9,21)+(M708/360)*365 - (360*((DecLong/360)- (GMTOffset/24) ))</f>
        <v>37428.296122685184</v>
      </c>
      <c r="AF708" s="260">
        <f>IF(DecLat&gt;0,IF((90 - (DecLat-O708))&gt;90, (90 - (O708-DecLat)), (90 - (DecLat-O708))),IF((90 + (DecLat-O708))&gt;90, (90 + (O708-DecLat)), (90 + (DecLat-O708))))</f>
        <v>25.650000000000006</v>
      </c>
      <c r="AG708" s="257">
        <f>angularseperation(MoonRA,MoonDec,$M708,$O708)</f>
        <v>14.671120910891458</v>
      </c>
      <c r="AH708" s="261">
        <f ca="1">MIN(100,IF($O$5&gt;80,0+30*($AG708/100),IF($O$5&gt;70,0+50*($AG708/100),IF($O$5&gt;60,5+50*($AG708/100),IF($O$5&gt;50,10+60*($AG708/100),IF($O$5&gt;40,15+70*($AG708/100),IF($O$5&gt;30,20+70*($AG708/100),IF($O$5&gt;20,40+55*($AG708/100),(80+(20-$O$5)+30*($AG708/100))))))))))</f>
        <v>87.67239661741786</v>
      </c>
      <c r="AI708" s="263"/>
      <c r="AJ708" s="263"/>
      <c r="AK708" s="263"/>
      <c r="AL708" s="263"/>
      <c r="AM708" s="264"/>
      <c r="AN708" s="263"/>
      <c r="AO708" s="263"/>
      <c r="AP708" s="265"/>
      <c r="AQ708" s="265"/>
      <c r="AR708" s="285"/>
      <c r="AS708" s="263"/>
      <c r="AT708" s="263"/>
      <c r="AU708" s="263"/>
      <c r="AV708" s="264"/>
      <c r="AW708" s="263">
        <v>273</v>
      </c>
      <c r="AX708" s="263"/>
      <c r="AY708" s="263"/>
      <c r="AZ708" s="263"/>
      <c r="BA708" s="263"/>
      <c r="BB708" s="263"/>
      <c r="BC708" s="263"/>
      <c r="BD708" s="264"/>
      <c r="BE708" s="263"/>
      <c r="BF708" s="263"/>
      <c r="BG708" s="263"/>
      <c r="BH708" s="263"/>
      <c r="BI708" s="263"/>
      <c r="BJ708" s="404">
        <f>altaz(J2000_Bas,$O708,$M708,DecLat,DecLong,2)</f>
        <v>199.25487720013581</v>
      </c>
      <c r="BK708" s="378" t="s">
        <v>812</v>
      </c>
      <c r="BL708" s="379">
        <f>IF((2*G708)/60&lt;0.2,0.2,(2*G708)/60)</f>
        <v>0.5</v>
      </c>
      <c r="BM708" s="380">
        <f>MOD((50000+AD708-$B$3+(0/24)),1)</f>
        <v>0.94332468719949247</v>
      </c>
      <c r="BN708" s="381"/>
      <c r="BO708" s="382">
        <v>708</v>
      </c>
    </row>
    <row r="709" spans="1:67" s="24" customFormat="1" ht="15" customHeight="1" x14ac:dyDescent="0.25">
      <c r="A709" s="288" t="s">
        <v>813</v>
      </c>
      <c r="B709" s="241" t="str">
        <f>HYPERLINK(CONCATENATE($AT$3,BK709,$AU$3),$AV$3)</f>
        <v>S</v>
      </c>
      <c r="C709" s="242" t="str">
        <f>HYPERLINK(CONCATENATE($AT$4,BK709,$AU$4,BL709),$AV$4)</f>
        <v>A</v>
      </c>
      <c r="D709" s="243" t="s">
        <v>5187</v>
      </c>
      <c r="E709" s="244" t="s">
        <v>5179</v>
      </c>
      <c r="F709" s="269">
        <v>4</v>
      </c>
      <c r="G709" s="276">
        <v>18</v>
      </c>
      <c r="H709" s="271" t="s">
        <v>6500</v>
      </c>
      <c r="I709" s="244" t="s">
        <v>6500</v>
      </c>
      <c r="J709" s="246">
        <v>2</v>
      </c>
      <c r="K709" s="247" t="s">
        <v>5890</v>
      </c>
      <c r="L709" s="248">
        <v>173803</v>
      </c>
      <c r="M709" s="249">
        <f>15*(LEFT(TEXT($L709,"000000"),2)+(MID(TEXT($L709,"000000"),3,2)/60)+(RIGHT(TEXT($L709,"000000"),2)/3600))</f>
        <v>264.51249999999999</v>
      </c>
      <c r="N709" s="286">
        <v>-224400</v>
      </c>
      <c r="O709" s="251">
        <f>IF($N709&gt;0,(LEFT(TEXT($N709,"000000"),2)+(MID(TEXT($N709,"000000"),3,2)/60)+(RIGHT(TEXT($N709,"000000"),2)/3600)),-(MID(TEXT($N709,"000000"),2,2)+(MID(TEXT($N709,"000000"),4,2)/60)+(RIGHT(TEXT($N709,"000000"),2)/3600)))</f>
        <v>-22.733333333333334</v>
      </c>
      <c r="P709" s="252" t="s">
        <v>113</v>
      </c>
      <c r="Q709" s="253"/>
      <c r="R709" s="277" t="s">
        <v>3293</v>
      </c>
      <c r="S709" s="272" t="s">
        <v>3293</v>
      </c>
      <c r="T709" s="273"/>
      <c r="U709" s="274"/>
      <c r="V709" s="256"/>
      <c r="W709" s="244"/>
      <c r="X709" s="244"/>
      <c r="Y709" s="362"/>
      <c r="Z709" s="257">
        <f>altaz(J2000_Bas,$O709,$M709,DecLat,DecLong,1)</f>
        <v>32.451388932644903</v>
      </c>
      <c r="AA709" s="257">
        <f>altaz((J2000_Bas+(2*0.04167)),$O709,$M709,DecLat,DecLong,1)</f>
        <v>16.996077968034491</v>
      </c>
      <c r="AB709" s="257">
        <f>altaz((J2000_Bas+(4*0.04167)),$O709,$M709,DecLat,DecLong,1)</f>
        <v>-4.8387162117762301</v>
      </c>
      <c r="AC709" s="257">
        <f>altaz((J2000_Bas+(6*0.04167)),$O709,$M709,DecLat,DecLong,1)</f>
        <v>-29.465991112871734</v>
      </c>
      <c r="AD709" s="258">
        <f>1+ transit((J2000_Bas-1),$O709,$M709,DecLat,DecLong)/360 + (GMTOffset/24) + (IF(DST="Y", 1, 0)/24)</f>
        <v>1.727656831598458</v>
      </c>
      <c r="AE709" s="259">
        <f>DATE(2001,9,21)+(M709/360)*365 - (360*((DecLong/360)- (GMTOffset/24) ))</f>
        <v>37428.186284722222</v>
      </c>
      <c r="AF709" s="260">
        <f>IF(DecLat&gt;0,IF((90 - (DecLat-O709))&gt;90, (90 - (O709-DecLat)), (90 - (DecLat-O709))),IF((90 + (DecLat-O709))&gt;90, (90 + (O709-DecLat)), (90 + (DecLat-O709))))</f>
        <v>36.266666666666666</v>
      </c>
      <c r="AG709" s="257">
        <f>angularseperation(MoonRA,MoonDec,$M709,$O709)</f>
        <v>14.505180943964199</v>
      </c>
      <c r="AH709" s="261">
        <f ca="1">MIN(100,IF($O$5&gt;80,0+30*($AG709/100),IF($O$5&gt;70,0+50*($AG709/100),IF($O$5&gt;60,5+50*($AG709/100),IF($O$5&gt;50,10+60*($AG709/100),IF($O$5&gt;40,15+70*($AG709/100),IF($O$5&gt;30,20+70*($AG709/100),IF($O$5&gt;20,40+55*($AG709/100),(80+(20-$O$5)+30*($AG709/100))))))))))</f>
        <v>87.622614627339686</v>
      </c>
      <c r="AI709" s="263"/>
      <c r="AJ709" s="263"/>
      <c r="AK709" s="263"/>
      <c r="AL709" s="263"/>
      <c r="AM709" s="264"/>
      <c r="AN709" s="263"/>
      <c r="AO709" s="263"/>
      <c r="AP709" s="265"/>
      <c r="AQ709" s="265"/>
      <c r="AR709" s="285"/>
      <c r="AS709" s="263"/>
      <c r="AT709" s="263"/>
      <c r="AU709" s="263"/>
      <c r="AV709" s="264"/>
      <c r="AW709" s="263">
        <v>274</v>
      </c>
      <c r="AX709" s="263"/>
      <c r="AY709" s="263"/>
      <c r="AZ709" s="263"/>
      <c r="BA709" s="263"/>
      <c r="BB709" s="263"/>
      <c r="BC709" s="263"/>
      <c r="BD709" s="264"/>
      <c r="BE709" s="263"/>
      <c r="BF709" s="263"/>
      <c r="BG709" s="263"/>
      <c r="BH709" s="263"/>
      <c r="BI709" s="263"/>
      <c r="BJ709" s="404">
        <f>altaz(J2000_Bas,$O709,$M709,DecLat,DecLong,2)</f>
        <v>203.60354137996768</v>
      </c>
      <c r="BK709" s="378" t="s">
        <v>813</v>
      </c>
      <c r="BL709" s="379">
        <f>IF((2*G709)/60&lt;0.2,0.2,(2*G709)/60)</f>
        <v>0.6</v>
      </c>
      <c r="BM709" s="380">
        <f>MOD((50000+AD709-$B$3+(0/24)),1)</f>
        <v>0.94302376130508492</v>
      </c>
      <c r="BN709" s="381"/>
      <c r="BO709" s="382">
        <v>709</v>
      </c>
    </row>
    <row r="710" spans="1:67" s="24" customFormat="1" ht="15" customHeight="1" x14ac:dyDescent="0.25">
      <c r="A710" s="287" t="s">
        <v>814</v>
      </c>
      <c r="B710" s="241" t="str">
        <f>HYPERLINK(CONCATENATE($AT$3,BK710,$AU$3),$AV$3)</f>
        <v>S</v>
      </c>
      <c r="C710" s="242" t="str">
        <f>HYPERLINK(CONCATENATE($AT$4,BK710,$AU$4,BL710),$AV$4)</f>
        <v>A</v>
      </c>
      <c r="D710" s="243" t="s">
        <v>5187</v>
      </c>
      <c r="E710" s="244" t="s">
        <v>5179</v>
      </c>
      <c r="F710" s="269">
        <v>4</v>
      </c>
      <c r="G710" s="276">
        <v>13</v>
      </c>
      <c r="H710" s="271" t="s">
        <v>6500</v>
      </c>
      <c r="I710" s="244" t="s">
        <v>6500</v>
      </c>
      <c r="J710" s="246">
        <v>1</v>
      </c>
      <c r="K710" s="247" t="s">
        <v>5891</v>
      </c>
      <c r="L710" s="248">
        <v>173859</v>
      </c>
      <c r="M710" s="249">
        <f>15*(LEFT(TEXT($L710,"000000"),2)+(MID(TEXT($L710,"000000"),3,2)/60)+(RIGHT(TEXT($L710,"000000"),2)/3600))</f>
        <v>264.74583333333334</v>
      </c>
      <c r="N710" s="286">
        <v>-322000</v>
      </c>
      <c r="O710" s="251">
        <f>IF($N710&gt;0,(LEFT(TEXT($N710,"000000"),2)+(MID(TEXT($N710,"000000"),3,2)/60)+(RIGHT(TEXT($N710,"000000"),2)/3600)),-(MID(TEXT($N710,"000000"),2,2)+(MID(TEXT($N710,"000000"),4,2)/60)+(RIGHT(TEXT($N710,"000000"),2)/3600)))</f>
        <v>-32.333333333333336</v>
      </c>
      <c r="P710" s="252" t="s">
        <v>109</v>
      </c>
      <c r="Q710" s="253"/>
      <c r="R710" s="277" t="s">
        <v>3293</v>
      </c>
      <c r="S710" s="272" t="s">
        <v>3293</v>
      </c>
      <c r="T710" s="273"/>
      <c r="U710" s="274"/>
      <c r="V710" s="256"/>
      <c r="W710" s="244"/>
      <c r="X710" s="244"/>
      <c r="Y710" s="362"/>
      <c r="Z710" s="257">
        <f>altaz(J2000_Bas,$O710,$M710,DecLat,DecLong,1)</f>
        <v>23.548411264230964</v>
      </c>
      <c r="AA710" s="257">
        <f>altaz((J2000_Bas+(2*0.04167)),$O710,$M710,DecLat,DecLong,1)</f>
        <v>10.193199607535744</v>
      </c>
      <c r="AB710" s="257">
        <f>altaz((J2000_Bas+(4*0.04167)),$O710,$M710,DecLat,DecLong,1)</f>
        <v>-9.6416484809810683</v>
      </c>
      <c r="AC710" s="257">
        <f>altaz((J2000_Bas+(6*0.04167)),$O710,$M710,DecLat,DecLong,1)</f>
        <v>-32.753875666260086</v>
      </c>
      <c r="AD710" s="258">
        <f>1+ transit((J2000_Bas-1),$O710,$M710,DecLat,DecLong)/360 + (GMTOffset/24) + (IF(DST="Y", 1, 0)/24)</f>
        <v>1.7283049796817913</v>
      </c>
      <c r="AE710" s="259">
        <f>DATE(2001,9,21)+(M710/360)*365 - (360*((DecLong/360)- (GMTOffset/24) ))</f>
        <v>37428.422858796293</v>
      </c>
      <c r="AF710" s="260">
        <f>IF(DecLat&gt;0,IF((90 - (DecLat-O710))&gt;90, (90 - (O710-DecLat)), (90 - (DecLat-O710))),IF((90 + (DecLat-O710))&gt;90, (90 + (O710-DecLat)), (90 + (DecLat-O710))))</f>
        <v>26.666666666666664</v>
      </c>
      <c r="AG710" s="257">
        <f>angularseperation(MoonRA,MoonDec,$M710,$O710)</f>
        <v>14.434824029774678</v>
      </c>
      <c r="AH710" s="261">
        <f ca="1">MIN(100,IF($O$5&gt;80,0+30*($AG710/100),IF($O$5&gt;70,0+50*($AG710/100),IF($O$5&gt;60,5+50*($AG710/100),IF($O$5&gt;50,10+60*($AG710/100),IF($O$5&gt;40,15+70*($AG710/100),IF($O$5&gt;30,20+70*($AG710/100),IF($O$5&gt;20,40+55*($AG710/100),(80+(20-$O$5)+30*($AG710/100))))))))))</f>
        <v>87.601507553082826</v>
      </c>
      <c r="AI710" s="263"/>
      <c r="AJ710" s="263"/>
      <c r="AK710" s="263"/>
      <c r="AL710" s="263"/>
      <c r="AM710" s="264"/>
      <c r="AN710" s="263"/>
      <c r="AO710" s="263"/>
      <c r="AP710" s="265"/>
      <c r="AQ710" s="265"/>
      <c r="AR710" s="285"/>
      <c r="AS710" s="263"/>
      <c r="AT710" s="263"/>
      <c r="AU710" s="263"/>
      <c r="AV710" s="264"/>
      <c r="AW710" s="263">
        <v>275</v>
      </c>
      <c r="AX710" s="263"/>
      <c r="AY710" s="263"/>
      <c r="AZ710" s="263"/>
      <c r="BA710" s="263"/>
      <c r="BB710" s="263"/>
      <c r="BC710" s="263"/>
      <c r="BD710" s="264"/>
      <c r="BE710" s="263"/>
      <c r="BF710" s="263"/>
      <c r="BG710" s="263"/>
      <c r="BH710" s="263"/>
      <c r="BI710" s="263"/>
      <c r="BJ710" s="404">
        <f>altaz(J2000_Bas,$O710,$M710,DecLat,DecLong,2)</f>
        <v>199.52170403721374</v>
      </c>
      <c r="BK710" s="378" t="s">
        <v>814</v>
      </c>
      <c r="BL710" s="379">
        <f>IF((2*G710)/60&lt;0.2,0.2,(2*G710)/60)</f>
        <v>0.43333333333333335</v>
      </c>
      <c r="BM710" s="380">
        <f>MOD((50000+AD710-$B$3+(0/24)),1)</f>
        <v>0.94367190938646672</v>
      </c>
      <c r="BN710" s="381"/>
      <c r="BO710" s="382">
        <v>710</v>
      </c>
    </row>
    <row r="711" spans="1:67" s="24" customFormat="1" ht="15" customHeight="1" x14ac:dyDescent="0.25">
      <c r="A711" s="287" t="s">
        <v>815</v>
      </c>
      <c r="B711" s="241" t="str">
        <f>HYPERLINK(CONCATENATE($AT$3,BK711,$AU$3),$AV$3)</f>
        <v>S</v>
      </c>
      <c r="C711" s="242" t="str">
        <f>HYPERLINK(CONCATENATE($AT$4,BK711,$AU$4,BL711),$AV$4)</f>
        <v>A</v>
      </c>
      <c r="D711" s="243" t="s">
        <v>5187</v>
      </c>
      <c r="E711" s="244" t="s">
        <v>5179</v>
      </c>
      <c r="F711" s="269">
        <v>6</v>
      </c>
      <c r="G711" s="276">
        <v>45</v>
      </c>
      <c r="H711" s="271" t="s">
        <v>6500</v>
      </c>
      <c r="I711" s="244" t="s">
        <v>6500</v>
      </c>
      <c r="J711" s="246">
        <v>3</v>
      </c>
      <c r="K711" s="247" t="s">
        <v>8389</v>
      </c>
      <c r="L711" s="248">
        <v>173939</v>
      </c>
      <c r="M711" s="249">
        <f>15*(LEFT(TEXT($L711,"000000"),2)+(MID(TEXT($L711,"000000"),3,2)/60)+(RIGHT(TEXT($L711,"000000"),2)/3600))</f>
        <v>264.91249999999997</v>
      </c>
      <c r="N711" s="286">
        <v>-195000</v>
      </c>
      <c r="O711" s="251">
        <f>IF($N711&gt;0,(LEFT(TEXT($N711,"000000"),2)+(MID(TEXT($N711,"000000"),3,2)/60)+(RIGHT(TEXT($N711,"000000"),2)/3600)),-(MID(TEXT($N711,"000000"),2,2)+(MID(TEXT($N711,"000000"),4,2)/60)+(RIGHT(TEXT($N711,"000000"),2)/3600)))</f>
        <v>-19.833333333333332</v>
      </c>
      <c r="P711" s="252" t="s">
        <v>113</v>
      </c>
      <c r="Q711" s="253"/>
      <c r="R711" s="277" t="s">
        <v>3293</v>
      </c>
      <c r="S711" s="272" t="s">
        <v>3293</v>
      </c>
      <c r="T711" s="273"/>
      <c r="U711" s="274"/>
      <c r="V711" s="256"/>
      <c r="W711" s="244"/>
      <c r="X711" s="244"/>
      <c r="Y711" s="362"/>
      <c r="Z711" s="257">
        <f>altaz(J2000_Bas,$O711,$M711,DecLat,DecLong,1)</f>
        <v>35.279616603954167</v>
      </c>
      <c r="AA711" s="257">
        <f>altaz((J2000_Bas+(2*0.04167)),$O711,$M711,DecLat,DecLong,1)</f>
        <v>19.316010031671489</v>
      </c>
      <c r="AB711" s="257">
        <f>altaz((J2000_Bas+(4*0.04167)),$O711,$M711,DecLat,DecLong,1)</f>
        <v>-2.99290983225678</v>
      </c>
      <c r="AC711" s="257">
        <f>altaz((J2000_Bas+(6*0.04167)),$O711,$M711,DecLat,DecLong,1)</f>
        <v>-27.918579143256675</v>
      </c>
      <c r="AD711" s="258">
        <f>1+ transit((J2000_Bas-1),$O711,$M711,DecLat,DecLong)/360 + (GMTOffset/24) + (IF(DST="Y", 1, 0)/24)</f>
        <v>1.7287679425984579</v>
      </c>
      <c r="AE711" s="259">
        <f>DATE(2001,9,21)+(M711/360)*365 - (360*((DecLong/360)- (GMTOffset/24) ))</f>
        <v>37428.591840277775</v>
      </c>
      <c r="AF711" s="260">
        <f>IF(DecLat&gt;0,IF((90 - (DecLat-O711))&gt;90, (90 - (O711-DecLat)), (90 - (DecLat-O711))),IF((90 + (DecLat-O711))&gt;90, (90 + (O711-DecLat)), (90 + (DecLat-O711))))</f>
        <v>39.166666666666671</v>
      </c>
      <c r="AG711" s="257">
        <f>angularseperation(MoonRA,MoonDec,$M711,$O711)</f>
        <v>16.080635648514466</v>
      </c>
      <c r="AH711" s="261">
        <f ca="1">MIN(100,IF($O$5&gt;80,0+30*($AG711/100),IF($O$5&gt;70,0+50*($AG711/100),IF($O$5&gt;60,5+50*($AG711/100),IF($O$5&gt;50,10+60*($AG711/100),IF($O$5&gt;40,15+70*($AG711/100),IF($O$5&gt;30,20+70*($AG711/100),IF($O$5&gt;20,40+55*($AG711/100),(80+(20-$O$5)+30*($AG711/100))))))))))</f>
        <v>88.095251038704774</v>
      </c>
      <c r="AI711" s="263"/>
      <c r="AJ711" s="263"/>
      <c r="AK711" s="263"/>
      <c r="AL711" s="263"/>
      <c r="AM711" s="264"/>
      <c r="AN711" s="263"/>
      <c r="AO711" s="263"/>
      <c r="AP711" s="265"/>
      <c r="AQ711" s="265"/>
      <c r="AR711" s="285"/>
      <c r="AS711" s="263"/>
      <c r="AT711" s="263"/>
      <c r="AU711" s="263"/>
      <c r="AV711" s="264"/>
      <c r="AW711" s="263">
        <v>276</v>
      </c>
      <c r="AX711" s="263"/>
      <c r="AY711" s="263"/>
      <c r="AZ711" s="263"/>
      <c r="BA711" s="263"/>
      <c r="BB711" s="263"/>
      <c r="BC711" s="263"/>
      <c r="BD711" s="264"/>
      <c r="BE711" s="263"/>
      <c r="BF711" s="263"/>
      <c r="BG711" s="263"/>
      <c r="BH711" s="263"/>
      <c r="BI711" s="263"/>
      <c r="BJ711" s="404">
        <f>altaz(J2000_Bas,$O711,$M711,DecLat,DecLong,2)</f>
        <v>204.49690442111356</v>
      </c>
      <c r="BK711" s="378" t="s">
        <v>815</v>
      </c>
      <c r="BL711" s="379">
        <f>IF((2*G711)/60&lt;0.2,0.2,(2*G711)/60)</f>
        <v>1.5</v>
      </c>
      <c r="BM711" s="380">
        <f>MOD((50000+AD711-$B$3+(0/24)),1)</f>
        <v>0.94413487230485771</v>
      </c>
      <c r="BN711" s="381"/>
      <c r="BO711" s="382">
        <v>711</v>
      </c>
    </row>
    <row r="712" spans="1:67" s="24" customFormat="1" ht="15" customHeight="1" x14ac:dyDescent="0.25">
      <c r="A712" s="288" t="s">
        <v>816</v>
      </c>
      <c r="B712" s="241" t="str">
        <f>HYPERLINK(CONCATENATE($AT$3,BK712,$AU$3),$AV$3)</f>
        <v>S</v>
      </c>
      <c r="C712" s="242" t="str">
        <f>HYPERLINK(CONCATENATE($AT$4,BK712,$AU$4,BL712),$AV$4)</f>
        <v>A</v>
      </c>
      <c r="D712" s="243" t="s">
        <v>5187</v>
      </c>
      <c r="E712" s="244" t="s">
        <v>5179</v>
      </c>
      <c r="F712" s="269">
        <v>4</v>
      </c>
      <c r="G712" s="276">
        <v>18</v>
      </c>
      <c r="H712" s="271" t="s">
        <v>6500</v>
      </c>
      <c r="I712" s="244" t="s">
        <v>6500</v>
      </c>
      <c r="J712" s="246">
        <v>1</v>
      </c>
      <c r="K712" s="247" t="s">
        <v>8390</v>
      </c>
      <c r="L712" s="248">
        <v>174045</v>
      </c>
      <c r="M712" s="249">
        <f>15*(LEFT(TEXT($L712,"000000"),2)+(MID(TEXT($L712,"000000"),3,2)/60)+(RIGHT(TEXT($L712,"000000"),2)/3600))</f>
        <v>265.1875</v>
      </c>
      <c r="N712" s="286">
        <v>-230500</v>
      </c>
      <c r="O712" s="251">
        <f>IF($N712&gt;0,(LEFT(TEXT($N712,"000000"),2)+(MID(TEXT($N712,"000000"),3,2)/60)+(RIGHT(TEXT($N712,"000000"),2)/3600)),-(MID(TEXT($N712,"000000"),2,2)+(MID(TEXT($N712,"000000"),4,2)/60)+(RIGHT(TEXT($N712,"000000"),2)/3600)))</f>
        <v>-23.083333333333332</v>
      </c>
      <c r="P712" s="252" t="s">
        <v>113</v>
      </c>
      <c r="Q712" s="253"/>
      <c r="R712" s="277" t="s">
        <v>3293</v>
      </c>
      <c r="S712" s="272" t="s">
        <v>3293</v>
      </c>
      <c r="T712" s="273"/>
      <c r="U712" s="274"/>
      <c r="V712" s="256"/>
      <c r="W712" s="244"/>
      <c r="X712" s="244"/>
      <c r="Y712" s="362"/>
      <c r="Z712" s="257">
        <f>altaz(J2000_Bas,$O712,$M712,DecLat,DecLong,1)</f>
        <v>32.353510332006763</v>
      </c>
      <c r="AA712" s="257">
        <f>altaz((J2000_Bas+(2*0.04167)),$O712,$M712,DecLat,DecLong,1)</f>
        <v>17.180628680878709</v>
      </c>
      <c r="AB712" s="257">
        <f>altaz((J2000_Bas+(4*0.04167)),$O712,$M712,DecLat,DecLong,1)</f>
        <v>-4.4943932405551061</v>
      </c>
      <c r="AC712" s="257">
        <f>altaz((J2000_Bas+(6*0.04167)),$O712,$M712,DecLat,DecLong,1)</f>
        <v>-29.03874658071938</v>
      </c>
      <c r="AD712" s="258">
        <f>1+ transit((J2000_Bas-1),$O712,$M712,DecLat,DecLong)/360 + (GMTOffset/24) + (IF(DST="Y", 1, 0)/24)</f>
        <v>1.729531831410958</v>
      </c>
      <c r="AE712" s="259">
        <f>DATE(2001,9,21)+(M712/360)*365 - (360*((DecLong/360)- (GMTOffset/24) ))</f>
        <v>37428.870659722219</v>
      </c>
      <c r="AF712" s="260">
        <f>IF(DecLat&gt;0,IF((90 - (DecLat-O712))&gt;90, (90 - (O712-DecLat)), (90 - (DecLat-O712))),IF((90 + (DecLat-O712))&gt;90, (90 + (O712-DecLat)), (90 + (DecLat-O712))))</f>
        <v>35.916666666666671</v>
      </c>
      <c r="AG712" s="257">
        <f>angularseperation(MoonRA,MoonDec,$M712,$O712)</f>
        <v>14.972846177737079</v>
      </c>
      <c r="AH712" s="261">
        <f ca="1">MIN(100,IF($O$5&gt;80,0+30*($AG712/100),IF($O$5&gt;70,0+50*($AG712/100),IF($O$5&gt;60,5+50*($AG712/100),IF($O$5&gt;50,10+60*($AG712/100),IF($O$5&gt;40,15+70*($AG712/100),IF($O$5&gt;30,20+70*($AG712/100),IF($O$5&gt;20,40+55*($AG712/100),(80+(20-$O$5)+30*($AG712/100))))))))))</f>
        <v>87.762914197471545</v>
      </c>
      <c r="AI712" s="263"/>
      <c r="AJ712" s="263"/>
      <c r="AK712" s="263"/>
      <c r="AL712" s="263"/>
      <c r="AM712" s="264"/>
      <c r="AN712" s="263"/>
      <c r="AO712" s="263"/>
      <c r="AP712" s="265"/>
      <c r="AQ712" s="265"/>
      <c r="AR712" s="285"/>
      <c r="AS712" s="263"/>
      <c r="AT712" s="263"/>
      <c r="AU712" s="263"/>
      <c r="AV712" s="264"/>
      <c r="AW712" s="263">
        <v>277</v>
      </c>
      <c r="AX712" s="263"/>
      <c r="AY712" s="263"/>
      <c r="AZ712" s="263"/>
      <c r="BA712" s="263"/>
      <c r="BB712" s="263"/>
      <c r="BC712" s="263"/>
      <c r="BD712" s="264"/>
      <c r="BE712" s="263"/>
      <c r="BF712" s="263"/>
      <c r="BG712" s="263"/>
      <c r="BH712" s="263"/>
      <c r="BI712" s="263"/>
      <c r="BJ712" s="404">
        <f>altaz(J2000_Bas,$O712,$M712,DecLat,DecLong,2)</f>
        <v>202.76645196858058</v>
      </c>
      <c r="BK712" s="378" t="s">
        <v>816</v>
      </c>
      <c r="BL712" s="379">
        <f>IF((2*G712)/60&lt;0.2,0.2,(2*G712)/60)</f>
        <v>0.6</v>
      </c>
      <c r="BM712" s="380">
        <f>MOD((50000+AD712-$B$3+(0/24)),1)</f>
        <v>0.94489876111765625</v>
      </c>
      <c r="BN712" s="381"/>
      <c r="BO712" s="382">
        <v>712</v>
      </c>
    </row>
    <row r="713" spans="1:67" s="24" customFormat="1" ht="15" customHeight="1" x14ac:dyDescent="0.25">
      <c r="A713" s="287" t="s">
        <v>817</v>
      </c>
      <c r="B713" s="241" t="str">
        <f>HYPERLINK(CONCATENATE($AT$3,BK713,$AU$3),$AV$3)</f>
        <v>S</v>
      </c>
      <c r="C713" s="242" t="str">
        <f>HYPERLINK(CONCATENATE($AT$4,BK713,$AU$4,BL713),$AV$4)</f>
        <v>A</v>
      </c>
      <c r="D713" s="243" t="s">
        <v>5187</v>
      </c>
      <c r="E713" s="244" t="s">
        <v>5179</v>
      </c>
      <c r="F713" s="269">
        <v>4</v>
      </c>
      <c r="G713" s="276">
        <v>15</v>
      </c>
      <c r="H713" s="271" t="s">
        <v>6500</v>
      </c>
      <c r="I713" s="244" t="s">
        <v>6500</v>
      </c>
      <c r="J713" s="246">
        <v>1</v>
      </c>
      <c r="K713" s="247" t="s">
        <v>5892</v>
      </c>
      <c r="L713" s="248">
        <v>174239</v>
      </c>
      <c r="M713" s="249">
        <f>15*(LEFT(TEXT($L713,"000000"),2)+(MID(TEXT($L713,"000000"),3,2)/60)+(RIGHT(TEXT($L713,"000000"),2)/3600))</f>
        <v>265.66250000000002</v>
      </c>
      <c r="N713" s="286">
        <v>-322000</v>
      </c>
      <c r="O713" s="251">
        <f>IF($N713&gt;0,(LEFT(TEXT($N713,"000000"),2)+(MID(TEXT($N713,"000000"),3,2)/60)+(RIGHT(TEXT($N713,"000000"),2)/3600)),-(MID(TEXT($N713,"000000"),2,2)+(MID(TEXT($N713,"000000"),4,2)/60)+(RIGHT(TEXT($N713,"000000"),2)/3600)))</f>
        <v>-32.333333333333336</v>
      </c>
      <c r="P713" s="252" t="s">
        <v>109</v>
      </c>
      <c r="Q713" s="253"/>
      <c r="R713" s="277" t="s">
        <v>3293</v>
      </c>
      <c r="S713" s="272" t="s">
        <v>3293</v>
      </c>
      <c r="T713" s="273"/>
      <c r="U713" s="274"/>
      <c r="V713" s="256"/>
      <c r="W713" s="244"/>
      <c r="X713" s="244"/>
      <c r="Y713" s="362"/>
      <c r="Z713" s="257">
        <f>altaz(J2000_Bas,$O713,$M713,DecLat,DecLong,1)</f>
        <v>23.805818696822548</v>
      </c>
      <c r="AA713" s="257">
        <f>altaz((J2000_Bas+(2*0.04167)),$O713,$M713,DecLat,DecLong,1)</f>
        <v>10.716992068354113</v>
      </c>
      <c r="AB713" s="257">
        <f>altaz((J2000_Bas+(4*0.04167)),$O713,$M713,DecLat,DecLong,1)</f>
        <v>-8.9772246210129563</v>
      </c>
      <c r="AC713" s="257">
        <f>altaz((J2000_Bas+(6*0.04167)),$O713,$M713,DecLat,DecLong,1)</f>
        <v>-32.020150939646271</v>
      </c>
      <c r="AD713" s="258">
        <f>1+ transit((J2000_Bas-1),$O713,$M713,DecLat,DecLong)/360 + (GMTOffset/24) + (IF(DST="Y", 1, 0)/24)</f>
        <v>1.730851275723458</v>
      </c>
      <c r="AE713" s="259">
        <f>DATE(2001,9,21)+(M713/360)*365 - (360*((DecLong/360)- (GMTOffset/24) ))</f>
        <v>37429.352256944447</v>
      </c>
      <c r="AF713" s="260">
        <f>IF(DecLat&gt;0,IF((90 - (DecLat-O713))&gt;90, (90 - (O713-DecLat)), (90 - (DecLat-O713))),IF((90 + (DecLat-O713))&gt;90, (90 + (O713-DecLat)), (90 + (DecLat-O713))))</f>
        <v>26.666666666666664</v>
      </c>
      <c r="AG713" s="257">
        <f>angularseperation(MoonRA,MoonDec,$M713,$O713)</f>
        <v>15.176934436476087</v>
      </c>
      <c r="AH713" s="261">
        <f ca="1">MIN(100,IF($O$5&gt;80,0+30*($AG713/100),IF($O$5&gt;70,0+50*($AG713/100),IF($O$5&gt;60,5+50*($AG713/100),IF($O$5&gt;50,10+60*($AG713/100),IF($O$5&gt;40,15+70*($AG713/100),IF($O$5&gt;30,20+70*($AG713/100),IF($O$5&gt;20,40+55*($AG713/100),(80+(20-$O$5)+30*($AG713/100))))))))))</f>
        <v>87.824140675093247</v>
      </c>
      <c r="AI713" s="263"/>
      <c r="AJ713" s="263"/>
      <c r="AK713" s="263"/>
      <c r="AL713" s="263"/>
      <c r="AM713" s="264"/>
      <c r="AN713" s="263"/>
      <c r="AO713" s="263"/>
      <c r="AP713" s="265"/>
      <c r="AQ713" s="265"/>
      <c r="AR713" s="285"/>
      <c r="AS713" s="263"/>
      <c r="AT713" s="263"/>
      <c r="AU713" s="263"/>
      <c r="AV713" s="264"/>
      <c r="AW713" s="263">
        <v>278</v>
      </c>
      <c r="AX713" s="263"/>
      <c r="AY713" s="263"/>
      <c r="AZ713" s="263"/>
      <c r="BA713" s="263"/>
      <c r="BB713" s="263"/>
      <c r="BC713" s="263"/>
      <c r="BD713" s="264"/>
      <c r="BE713" s="263"/>
      <c r="BF713" s="263"/>
      <c r="BG713" s="263"/>
      <c r="BH713" s="263"/>
      <c r="BI713" s="263"/>
      <c r="BJ713" s="404">
        <f>altaz(J2000_Bas,$O713,$M713,DecLat,DecLong,2)</f>
        <v>198.72404607879193</v>
      </c>
      <c r="BK713" s="378" t="s">
        <v>817</v>
      </c>
      <c r="BL713" s="379">
        <f>IF((2*G713)/60&lt;0.2,0.2,(2*G713)/60)</f>
        <v>0.5</v>
      </c>
      <c r="BM713" s="380">
        <f>MOD((50000+AD713-$B$3+(0/24)),1)</f>
        <v>0.94621820542670321</v>
      </c>
      <c r="BN713" s="381"/>
      <c r="BO713" s="382">
        <v>713</v>
      </c>
    </row>
    <row r="714" spans="1:67" s="24" customFormat="1" ht="15" customHeight="1" x14ac:dyDescent="0.25">
      <c r="A714" s="287" t="s">
        <v>818</v>
      </c>
      <c r="B714" s="241" t="str">
        <f>HYPERLINK(CONCATENATE($AT$3,BK714,$AU$3),$AV$3)</f>
        <v>S</v>
      </c>
      <c r="C714" s="242" t="str">
        <f>HYPERLINK(CONCATENATE($AT$4,BK714,$AU$4,BL714),$AV$4)</f>
        <v>A</v>
      </c>
      <c r="D714" s="243" t="s">
        <v>5187</v>
      </c>
      <c r="E714" s="244" t="s">
        <v>5179</v>
      </c>
      <c r="F714" s="269">
        <v>3</v>
      </c>
      <c r="G714" s="276">
        <v>60</v>
      </c>
      <c r="H714" s="271" t="s">
        <v>6500</v>
      </c>
      <c r="I714" s="244" t="s">
        <v>6500</v>
      </c>
      <c r="J714" s="246">
        <v>2</v>
      </c>
      <c r="K714" s="247" t="s">
        <v>8391</v>
      </c>
      <c r="L714" s="248">
        <v>174433</v>
      </c>
      <c r="M714" s="249">
        <f>15*(LEFT(TEXT($L714,"000000"),2)+(MID(TEXT($L714,"000000"),3,2)/60)+(RIGHT(TEXT($L714,"000000"),2)/3600))</f>
        <v>266.13749999999999</v>
      </c>
      <c r="N714" s="286">
        <v>-223400</v>
      </c>
      <c r="O714" s="251">
        <f>IF($N714&gt;0,(LEFT(TEXT($N714,"000000"),2)+(MID(TEXT($N714,"000000"),3,2)/60)+(RIGHT(TEXT($N714,"000000"),2)/3600)),-(MID(TEXT($N714,"000000"),2,2)+(MID(TEXT($N714,"000000"),4,2)/60)+(RIGHT(TEXT($N714,"000000"),2)/3600)))</f>
        <v>-22.566666666666666</v>
      </c>
      <c r="P714" s="252" t="s">
        <v>119</v>
      </c>
      <c r="Q714" s="253"/>
      <c r="R714" s="277" t="s">
        <v>3293</v>
      </c>
      <c r="S714" s="272" t="s">
        <v>3293</v>
      </c>
      <c r="T714" s="273"/>
      <c r="U714" s="274"/>
      <c r="V714" s="256"/>
      <c r="W714" s="244"/>
      <c r="X714" s="244"/>
      <c r="Y714" s="362"/>
      <c r="Z714" s="257">
        <f>altaz(J2000_Bas,$O714,$M714,DecLat,DecLong,1)</f>
        <v>33.146847745555988</v>
      </c>
      <c r="AA714" s="257">
        <f>altaz((J2000_Bas+(2*0.04167)),$O714,$M714,DecLat,DecLong,1)</f>
        <v>18.160059220138923</v>
      </c>
      <c r="AB714" s="257">
        <f>altaz((J2000_Bas+(4*0.04167)),$O714,$M714,DecLat,DecLong,1)</f>
        <v>-3.4780758774591987</v>
      </c>
      <c r="AC714" s="257">
        <f>altaz((J2000_Bas+(6*0.04167)),$O714,$M714,DecLat,DecLong,1)</f>
        <v>-28.028637302005265</v>
      </c>
      <c r="AD714" s="258">
        <f>1+ transit((J2000_Bas-1),$O714,$M714,DecLat,DecLong)/360 + (GMTOffset/24) + (IF(DST="Y", 1, 0)/24)</f>
        <v>1.7321707200359582</v>
      </c>
      <c r="AE714" s="259">
        <f>DATE(2001,9,21)+(M714/360)*365 - (360*((DecLong/360)- (GMTOffset/24) ))</f>
        <v>37429.833854166667</v>
      </c>
      <c r="AF714" s="260">
        <f>IF(DecLat&gt;0,IF((90 - (DecLat-O714))&gt;90, (90 - (O714-DecLat)), (90 - (DecLat-O714))),IF((90 + (DecLat-O714))&gt;90, (90 + (O714-DecLat)), (90 + (DecLat-O714))))</f>
        <v>36.433333333333337</v>
      </c>
      <c r="AG714" s="257">
        <f>angularseperation(MoonRA,MoonDec,$M714,$O714)</f>
        <v>15.970125186626518</v>
      </c>
      <c r="AH714" s="261">
        <f ca="1">MIN(100,IF($O$5&gt;80,0+30*($AG714/100),IF($O$5&gt;70,0+50*($AG714/100),IF($O$5&gt;60,5+50*($AG714/100),IF($O$5&gt;50,10+60*($AG714/100),IF($O$5&gt;40,15+70*($AG714/100),IF($O$5&gt;30,20+70*($AG714/100),IF($O$5&gt;20,40+55*($AG714/100),(80+(20-$O$5)+30*($AG714/100))))))))))</f>
        <v>88.062097900138383</v>
      </c>
      <c r="AI714" s="263"/>
      <c r="AJ714" s="263"/>
      <c r="AK714" s="263"/>
      <c r="AL714" s="263"/>
      <c r="AM714" s="264"/>
      <c r="AN714" s="263"/>
      <c r="AO714" s="263"/>
      <c r="AP714" s="265"/>
      <c r="AQ714" s="265"/>
      <c r="AR714" s="285"/>
      <c r="AS714" s="263"/>
      <c r="AT714" s="263"/>
      <c r="AU714" s="263"/>
      <c r="AV714" s="264"/>
      <c r="AW714" s="263">
        <v>279</v>
      </c>
      <c r="AX714" s="263"/>
      <c r="AY714" s="263"/>
      <c r="AZ714" s="263"/>
      <c r="BA714" s="263"/>
      <c r="BB714" s="263"/>
      <c r="BC714" s="263"/>
      <c r="BD714" s="264"/>
      <c r="BE714" s="263"/>
      <c r="BF714" s="263"/>
      <c r="BG714" s="263"/>
      <c r="BH714" s="263"/>
      <c r="BI714" s="263"/>
      <c r="BJ714" s="404">
        <f>altaz(J2000_Bas,$O714,$M714,DecLat,DecLong,2)</f>
        <v>202.01046602950359</v>
      </c>
      <c r="BK714" s="378" t="s">
        <v>818</v>
      </c>
      <c r="BL714" s="379">
        <f>IF((2*G714)/60&lt;0.2,0.2,(2*G714)/60)</f>
        <v>2</v>
      </c>
      <c r="BM714" s="380">
        <f>MOD((50000+AD714-$B$3+(0/24)),1)</f>
        <v>0.94753764974302612</v>
      </c>
      <c r="BN714" s="381"/>
      <c r="BO714" s="382">
        <v>714</v>
      </c>
    </row>
    <row r="715" spans="1:67" s="24" customFormat="1" ht="15" customHeight="1" x14ac:dyDescent="0.25">
      <c r="A715" s="287" t="s">
        <v>819</v>
      </c>
      <c r="B715" s="241" t="str">
        <f>HYPERLINK(CONCATENATE($AT$3,BK715,$AU$3),$AV$3)</f>
        <v>S</v>
      </c>
      <c r="C715" s="242" t="str">
        <f>HYPERLINK(CONCATENATE($AT$4,BK715,$AU$4,BL715),$AV$4)</f>
        <v>A</v>
      </c>
      <c r="D715" s="243" t="s">
        <v>5187</v>
      </c>
      <c r="E715" s="244" t="s">
        <v>5179</v>
      </c>
      <c r="F715" s="269">
        <v>3</v>
      </c>
      <c r="G715" s="276">
        <v>60</v>
      </c>
      <c r="H715" s="271" t="s">
        <v>6500</v>
      </c>
      <c r="I715" s="244" t="s">
        <v>6500</v>
      </c>
      <c r="J715" s="246">
        <v>2</v>
      </c>
      <c r="K715" s="247" t="s">
        <v>5893</v>
      </c>
      <c r="L715" s="248">
        <v>174457</v>
      </c>
      <c r="M715" s="249">
        <f>15*(LEFT(TEXT($L715,"000000"),2)+(MID(TEXT($L715,"000000"),3,2)/60)+(RIGHT(TEXT($L715,"000000"),2)/3600))</f>
        <v>266.23750000000001</v>
      </c>
      <c r="N715" s="286">
        <v>-204400</v>
      </c>
      <c r="O715" s="251">
        <f>IF($N715&gt;0,(LEFT(TEXT($N715,"000000"),2)+(MID(TEXT($N715,"000000"),3,2)/60)+(RIGHT(TEXT($N715,"000000"),2)/3600)),-(MID(TEXT($N715,"000000"),2,2)+(MID(TEXT($N715,"000000"),4,2)/60)+(RIGHT(TEXT($N715,"000000"),2)/3600)))</f>
        <v>-20.733333333333334</v>
      </c>
      <c r="P715" s="252" t="s">
        <v>119</v>
      </c>
      <c r="Q715" s="253"/>
      <c r="R715" s="277" t="s">
        <v>3293</v>
      </c>
      <c r="S715" s="272" t="s">
        <v>3293</v>
      </c>
      <c r="T715" s="273"/>
      <c r="U715" s="274"/>
      <c r="V715" s="256"/>
      <c r="W715" s="244"/>
      <c r="X715" s="244"/>
      <c r="Y715" s="362"/>
      <c r="Z715" s="257">
        <f>altaz(J2000_Bas,$O715,$M715,DecLat,DecLong,1)</f>
        <v>34.896392825208892</v>
      </c>
      <c r="AA715" s="257">
        <f>altaz((J2000_Bas+(2*0.04167)),$O715,$M715,DecLat,DecLong,1)</f>
        <v>19.546423134848414</v>
      </c>
      <c r="AB715" s="257">
        <f>altaz((J2000_Bas+(4*0.04167)),$O715,$M715,DecLat,DecLong,1)</f>
        <v>-2.4197966505637241</v>
      </c>
      <c r="AC715" s="257">
        <f>altaz((J2000_Bas+(6*0.04167)),$O715,$M715,DecLat,DecLong,1)</f>
        <v>-27.178378339082862</v>
      </c>
      <c r="AD715" s="258">
        <f>1+ transit((J2000_Bas-1),$O715,$M715,DecLat,DecLong)/360 + (GMTOffset/24) + (IF(DST="Y", 1, 0)/24)</f>
        <v>1.7324484977859582</v>
      </c>
      <c r="AE715" s="259">
        <f>DATE(2001,9,21)+(M715/360)*365 - (360*((DecLong/360)- (GMTOffset/24) ))</f>
        <v>37429.935243055559</v>
      </c>
      <c r="AF715" s="260">
        <f>IF(DecLat&gt;0,IF((90 - (DecLat-O715))&gt;90, (90 - (O715-DecLat)), (90 - (DecLat-O715))),IF((90 + (DecLat-O715))&gt;90, (90 + (O715-DecLat)), (90 + (DecLat-O715))))</f>
        <v>38.266666666666666</v>
      </c>
      <c r="AG715" s="257">
        <f>angularseperation(MoonRA,MoonDec,$M715,$O715)</f>
        <v>16.764584636399199</v>
      </c>
      <c r="AH715" s="261">
        <f ca="1">MIN(100,IF($O$5&gt;80,0+30*($AG715/100),IF($O$5&gt;70,0+50*($AG715/100),IF($O$5&gt;60,5+50*($AG715/100),IF($O$5&gt;50,10+60*($AG715/100),IF($O$5&gt;40,15+70*($AG715/100),IF($O$5&gt;30,20+70*($AG715/100),IF($O$5&gt;20,40+55*($AG715/100),(80+(20-$O$5)+30*($AG715/100))))))))))</f>
        <v>88.300435735070181</v>
      </c>
      <c r="AI715" s="263"/>
      <c r="AJ715" s="263"/>
      <c r="AK715" s="263"/>
      <c r="AL715" s="263"/>
      <c r="AM715" s="264"/>
      <c r="AN715" s="263"/>
      <c r="AO715" s="263"/>
      <c r="AP715" s="265"/>
      <c r="AQ715" s="265"/>
      <c r="AR715" s="285"/>
      <c r="AS715" s="263"/>
      <c r="AT715" s="263"/>
      <c r="AU715" s="263"/>
      <c r="AV715" s="264"/>
      <c r="AW715" s="263">
        <v>280</v>
      </c>
      <c r="AX715" s="263"/>
      <c r="AY715" s="263"/>
      <c r="AZ715" s="263"/>
      <c r="BA715" s="263"/>
      <c r="BB715" s="263"/>
      <c r="BC715" s="263"/>
      <c r="BD715" s="264"/>
      <c r="BE715" s="263"/>
      <c r="BF715" s="263"/>
      <c r="BG715" s="263"/>
      <c r="BH715" s="263"/>
      <c r="BI715" s="263"/>
      <c r="BJ715" s="404">
        <f>altaz(J2000_Bas,$O715,$M715,DecLat,DecLong,2)</f>
        <v>202.68103661160316</v>
      </c>
      <c r="BK715" s="378" t="s">
        <v>819</v>
      </c>
      <c r="BL715" s="379">
        <f>IF((2*G715)/60&lt;0.2,0.2,(2*G715)/60)</f>
        <v>2</v>
      </c>
      <c r="BM715" s="380">
        <f>MOD((50000+AD715-$B$3+(0/24)),1)</f>
        <v>0.94781542749115033</v>
      </c>
      <c r="BN715" s="381"/>
      <c r="BO715" s="382">
        <v>715</v>
      </c>
    </row>
    <row r="716" spans="1:67" s="24" customFormat="1" ht="15" customHeight="1" x14ac:dyDescent="0.25">
      <c r="A716" s="287" t="s">
        <v>820</v>
      </c>
      <c r="B716" s="241" t="str">
        <f>HYPERLINK(CONCATENATE($AT$3,BK716,$AU$3),$AV$3)</f>
        <v>S</v>
      </c>
      <c r="C716" s="242" t="str">
        <f>HYPERLINK(CONCATENATE($AT$4,BK716,$AU$4,BL716),$AV$4)</f>
        <v>A</v>
      </c>
      <c r="D716" s="243" t="s">
        <v>5187</v>
      </c>
      <c r="E716" s="244" t="s">
        <v>5179</v>
      </c>
      <c r="F716" s="269">
        <v>2</v>
      </c>
      <c r="G716" s="276">
        <v>30</v>
      </c>
      <c r="H716" s="271" t="s">
        <v>6500</v>
      </c>
      <c r="I716" s="244" t="s">
        <v>6500</v>
      </c>
      <c r="J716" s="246">
        <v>1</v>
      </c>
      <c r="K716" s="247" t="s">
        <v>5894</v>
      </c>
      <c r="L716" s="248">
        <v>174647</v>
      </c>
      <c r="M716" s="249">
        <f>15*(LEFT(TEXT($L716,"000000"),2)+(MID(TEXT($L716,"000000"),3,2)/60)+(RIGHT(TEXT($L716,"000000"),2)/3600))</f>
        <v>266.69583333333333</v>
      </c>
      <c r="N716" s="286">
        <v>-234400</v>
      </c>
      <c r="O716" s="251">
        <f>IF($N716&gt;0,(LEFT(TEXT($N716,"000000"),2)+(MID(TEXT($N716,"000000"),3,2)/60)+(RIGHT(TEXT($N716,"000000"),2)/3600)),-(MID(TEXT($N716,"000000"),2,2)+(MID(TEXT($N716,"000000"),4,2)/60)+(RIGHT(TEXT($N716,"000000"),2)/3600)))</f>
        <v>-23.733333333333334</v>
      </c>
      <c r="P716" s="252" t="s">
        <v>119</v>
      </c>
      <c r="Q716" s="253"/>
      <c r="R716" s="277" t="s">
        <v>3293</v>
      </c>
      <c r="S716" s="272" t="s">
        <v>3293</v>
      </c>
      <c r="T716" s="273"/>
      <c r="U716" s="274"/>
      <c r="V716" s="256"/>
      <c r="W716" s="244"/>
      <c r="X716" s="244"/>
      <c r="Y716" s="362"/>
      <c r="Z716" s="257">
        <f>altaz(J2000_Bas,$O716,$M716,DecLat,DecLong,1)</f>
        <v>32.225575695786624</v>
      </c>
      <c r="AA716" s="257">
        <f>altaz((J2000_Bas+(2*0.04167)),$O716,$M716,DecLat,DecLong,1)</f>
        <v>17.66456884904423</v>
      </c>
      <c r="AB716" s="257">
        <f>altaz((J2000_Bas+(4*0.04167)),$O716,$M716,DecLat,DecLong,1)</f>
        <v>-3.6678434683661987</v>
      </c>
      <c r="AC716" s="257">
        <f>altaz((J2000_Bas+(6*0.04167)),$O716,$M716,DecLat,DecLong,1)</f>
        <v>-28.034472559746874</v>
      </c>
      <c r="AD716" s="258">
        <f>1+ transit((J2000_Bas-1),$O716,$M716,DecLat,DecLong)/360 + (GMTOffset/24) + (IF(DST="Y", 1, 0)/24)</f>
        <v>1.7337216458067914</v>
      </c>
      <c r="AE716" s="259">
        <f>DATE(2001,9,21)+(M716/360)*365 - (360*((DecLong/360)- (GMTOffset/24) ))</f>
        <v>37430.399942129632</v>
      </c>
      <c r="AF716" s="260">
        <f>IF(DecLat&gt;0,IF((90 - (DecLat-O716))&gt;90, (90 - (O716-DecLat)), (90 - (DecLat-O716))),IF((90 + (DecLat-O716))&gt;90, (90 + (O716-DecLat)), (90 + (DecLat-O716))))</f>
        <v>35.266666666666666</v>
      </c>
      <c r="AG716" s="257">
        <f>angularseperation(MoonRA,MoonDec,$M716,$O716)</f>
        <v>16.102995661445018</v>
      </c>
      <c r="AH716" s="261">
        <f ca="1">MIN(100,IF($O$5&gt;80,0+30*($AG716/100),IF($O$5&gt;70,0+50*($AG716/100),IF($O$5&gt;60,5+50*($AG716/100),IF($O$5&gt;50,10+60*($AG716/100),IF($O$5&gt;40,15+70*($AG716/100),IF($O$5&gt;30,20+70*($AG716/100),IF($O$5&gt;20,40+55*($AG716/100),(80+(20-$O$5)+30*($AG716/100))))))))))</f>
        <v>88.101959042583928</v>
      </c>
      <c r="AI716" s="263"/>
      <c r="AJ716" s="263"/>
      <c r="AK716" s="263"/>
      <c r="AL716" s="263"/>
      <c r="AM716" s="264"/>
      <c r="AN716" s="263"/>
      <c r="AO716" s="263"/>
      <c r="AP716" s="265"/>
      <c r="AQ716" s="265"/>
      <c r="AR716" s="285"/>
      <c r="AS716" s="263"/>
      <c r="AT716" s="263"/>
      <c r="AU716" s="263"/>
      <c r="AV716" s="264"/>
      <c r="AW716" s="263">
        <v>281</v>
      </c>
      <c r="AX716" s="263"/>
      <c r="AY716" s="263"/>
      <c r="AZ716" s="263"/>
      <c r="BA716" s="263"/>
      <c r="BB716" s="263"/>
      <c r="BC716" s="263"/>
      <c r="BD716" s="264"/>
      <c r="BE716" s="263"/>
      <c r="BF716" s="263"/>
      <c r="BG716" s="263"/>
      <c r="BH716" s="263"/>
      <c r="BI716" s="263"/>
      <c r="BJ716" s="404">
        <f>altaz(J2000_Bas,$O716,$M716,DecLat,DecLong,2)</f>
        <v>200.96384160738245</v>
      </c>
      <c r="BK716" s="378" t="s">
        <v>820</v>
      </c>
      <c r="BL716" s="379">
        <f>IF((2*G716)/60&lt;0.2,0.2,(2*G716)/60)</f>
        <v>1</v>
      </c>
      <c r="BM716" s="380">
        <f>MOD((50000+AD716-$B$3+(0/24)),1)</f>
        <v>0.94908857550763059</v>
      </c>
      <c r="BN716" s="381"/>
      <c r="BO716" s="382">
        <v>716</v>
      </c>
    </row>
    <row r="717" spans="1:67" s="24" customFormat="1" ht="15" customHeight="1" x14ac:dyDescent="0.25">
      <c r="A717" s="287" t="s">
        <v>821</v>
      </c>
      <c r="B717" s="241" t="str">
        <f>HYPERLINK(CONCATENATE($AT$3,BK717,$AU$3),$AV$3)</f>
        <v>S</v>
      </c>
      <c r="C717" s="242" t="str">
        <f>HYPERLINK(CONCATENATE($AT$4,BK717,$AU$4,BL717),$AV$4)</f>
        <v>A</v>
      </c>
      <c r="D717" s="243" t="s">
        <v>5187</v>
      </c>
      <c r="E717" s="244" t="s">
        <v>5179</v>
      </c>
      <c r="F717" s="269">
        <v>3</v>
      </c>
      <c r="G717" s="276">
        <v>18</v>
      </c>
      <c r="H717" s="271" t="s">
        <v>6500</v>
      </c>
      <c r="I717" s="244" t="s">
        <v>6500</v>
      </c>
      <c r="J717" s="246">
        <v>2</v>
      </c>
      <c r="K717" s="247" t="s">
        <v>8392</v>
      </c>
      <c r="L717" s="248">
        <v>174836</v>
      </c>
      <c r="M717" s="249">
        <f>15*(LEFT(TEXT($L717,"000000"),2)+(MID(TEXT($L717,"000000"),3,2)/60)+(RIGHT(TEXT($L717,"000000"),2)/3600))</f>
        <v>267.15000000000003</v>
      </c>
      <c r="N717" s="286">
        <v>-232800</v>
      </c>
      <c r="O717" s="251">
        <f>IF($N717&gt;0,(LEFT(TEXT($N717,"000000"),2)+(MID(TEXT($N717,"000000"),3,2)/60)+(RIGHT(TEXT($N717,"000000"),2)/3600)),-(MID(TEXT($N717,"000000"),2,2)+(MID(TEXT($N717,"000000"),4,2)/60)+(RIGHT(TEXT($N717,"000000"),2)/3600)))</f>
        <v>-23.466666666666665</v>
      </c>
      <c r="P717" s="252" t="s">
        <v>119</v>
      </c>
      <c r="Q717" s="253"/>
      <c r="R717" s="277" t="s">
        <v>3293</v>
      </c>
      <c r="S717" s="272" t="s">
        <v>3293</v>
      </c>
      <c r="T717" s="273"/>
      <c r="U717" s="274"/>
      <c r="V717" s="256"/>
      <c r="W717" s="244"/>
      <c r="X717" s="244"/>
      <c r="Y717" s="362"/>
      <c r="Z717" s="257">
        <f>altaz(J2000_Bas,$O717,$M717,DecLat,DecLong,1)</f>
        <v>32.615264564853518</v>
      </c>
      <c r="AA717" s="257">
        <f>altaz((J2000_Bas+(2*0.04167)),$O717,$M717,DecLat,DecLong,1)</f>
        <v>18.143351577258613</v>
      </c>
      <c r="AB717" s="257">
        <f>altaz((J2000_Bas+(4*0.04167)),$O717,$M717,DecLat,DecLong,1)</f>
        <v>-3.1735609871500081</v>
      </c>
      <c r="AC717" s="257">
        <f>altaz((J2000_Bas+(6*0.04167)),$O717,$M717,DecLat,DecLong,1)</f>
        <v>-27.545945903054186</v>
      </c>
      <c r="AD717" s="258">
        <f>1+ transit((J2000_Bas-1),$O717,$M717,DecLat,DecLong)/360 + (GMTOffset/24) + (IF(DST="Y", 1, 0)/24)</f>
        <v>1.7349832197547082</v>
      </c>
      <c r="AE717" s="259">
        <f>DATE(2001,9,21)+(M717/360)*365 - (360*((DecLong/360)- (GMTOffset/24) ))</f>
        <v>37430.86041666667</v>
      </c>
      <c r="AF717" s="260">
        <f>IF(DecLat&gt;0,IF((90 - (DecLat-O717))&gt;90, (90 - (O717-DecLat)), (90 - (DecLat-O717))),IF((90 + (DecLat-O717))&gt;90, (90 + (O717-DecLat)), (90 + (DecLat-O717))))</f>
        <v>35.533333333333331</v>
      </c>
      <c r="AG717" s="257">
        <f>angularseperation(MoonRA,MoonDec,$M717,$O717)</f>
        <v>16.576585068160853</v>
      </c>
      <c r="AH717" s="261">
        <f ca="1">MIN(100,IF($O$5&gt;80,0+30*($AG717/100),IF($O$5&gt;70,0+50*($AG717/100),IF($O$5&gt;60,5+50*($AG717/100),IF($O$5&gt;50,10+60*($AG717/100),IF($O$5&gt;40,15+70*($AG717/100),IF($O$5&gt;30,20+70*($AG717/100),IF($O$5&gt;20,40+55*($AG717/100),(80+(20-$O$5)+30*($AG717/100))))))))))</f>
        <v>88.244035864598686</v>
      </c>
      <c r="AI717" s="263"/>
      <c r="AJ717" s="263"/>
      <c r="AK717" s="263"/>
      <c r="AL717" s="263"/>
      <c r="AM717" s="264"/>
      <c r="AN717" s="263"/>
      <c r="AO717" s="263"/>
      <c r="AP717" s="265"/>
      <c r="AQ717" s="265"/>
      <c r="AR717" s="285"/>
      <c r="AS717" s="263"/>
      <c r="AT717" s="263"/>
      <c r="AU717" s="263"/>
      <c r="AV717" s="264"/>
      <c r="AW717" s="263">
        <v>282</v>
      </c>
      <c r="AX717" s="263"/>
      <c r="AY717" s="263"/>
      <c r="AZ717" s="263"/>
      <c r="BA717" s="263"/>
      <c r="BB717" s="263"/>
      <c r="BC717" s="263"/>
      <c r="BD717" s="264"/>
      <c r="BE717" s="263"/>
      <c r="BF717" s="263"/>
      <c r="BG717" s="263"/>
      <c r="BH717" s="263"/>
      <c r="BI717" s="263"/>
      <c r="BJ717" s="404">
        <f>altaz(J2000_Bas,$O717,$M717,DecLat,DecLong,2)</f>
        <v>200.60362298123158</v>
      </c>
      <c r="BK717" s="378" t="s">
        <v>821</v>
      </c>
      <c r="BL717" s="379">
        <f>IF((2*G717)/60&lt;0.2,0.2,(2*G717)/60)</f>
        <v>0.6</v>
      </c>
      <c r="BM717" s="380">
        <f>MOD((50000+AD717-$B$3+(0/24)),1)</f>
        <v>0.95035014946188312</v>
      </c>
      <c r="BN717" s="381"/>
      <c r="BO717" s="382">
        <v>717</v>
      </c>
    </row>
    <row r="718" spans="1:67" s="24" customFormat="1" ht="15" customHeight="1" x14ac:dyDescent="0.25">
      <c r="A718" s="287" t="s">
        <v>822</v>
      </c>
      <c r="B718" s="241" t="str">
        <f>HYPERLINK(CONCATENATE($AT$3,BK718,$AU$3),$AV$3)</f>
        <v>S</v>
      </c>
      <c r="C718" s="242" t="str">
        <f>HYPERLINK(CONCATENATE($AT$4,BK718,$AU$4,BL718),$AV$4)</f>
        <v>A</v>
      </c>
      <c r="D718" s="243" t="s">
        <v>5187</v>
      </c>
      <c r="E718" s="244" t="s">
        <v>5179</v>
      </c>
      <c r="F718" s="269">
        <v>5</v>
      </c>
      <c r="G718" s="276">
        <v>90</v>
      </c>
      <c r="H718" s="271" t="s">
        <v>6500</v>
      </c>
      <c r="I718" s="244" t="s">
        <v>6500</v>
      </c>
      <c r="J718" s="246">
        <v>2</v>
      </c>
      <c r="K718" s="247" t="s">
        <v>8393</v>
      </c>
      <c r="L718" s="248">
        <v>175116</v>
      </c>
      <c r="M718" s="249">
        <f>15*(LEFT(TEXT($L718,"000000"),2)+(MID(TEXT($L718,"000000"),3,2)/60)+(RIGHT(TEXT($L718,"000000"),2)/3600))</f>
        <v>267.81666666666672</v>
      </c>
      <c r="N718" s="286">
        <v>-335300</v>
      </c>
      <c r="O718" s="251">
        <f>IF($N718&gt;0,(LEFT(TEXT($N718,"000000"),2)+(MID(TEXT($N718,"000000"),3,2)/60)+(RIGHT(TEXT($N718,"000000"),2)/3600)),-(MID(TEXT($N718,"000000"),2,2)+(MID(TEXT($N718,"000000"),4,2)/60)+(RIGHT(TEXT($N718,"000000"),2)/3600)))</f>
        <v>-33.883333333333333</v>
      </c>
      <c r="P718" s="252" t="s">
        <v>109</v>
      </c>
      <c r="Q718" s="253"/>
      <c r="R718" s="277" t="s">
        <v>3293</v>
      </c>
      <c r="S718" s="272" t="s">
        <v>3293</v>
      </c>
      <c r="T718" s="273"/>
      <c r="U718" s="274"/>
      <c r="V718" s="256"/>
      <c r="W718" s="244"/>
      <c r="X718" s="244"/>
      <c r="Y718" s="362"/>
      <c r="Z718" s="257">
        <f>altaz(J2000_Bas,$O718,$M718,DecLat,DecLong,1)</f>
        <v>22.887157107388251</v>
      </c>
      <c r="AA718" s="257">
        <f>altaz((J2000_Bas+(2*0.04167)),$O718,$M718,DecLat,DecLong,1)</f>
        <v>10.749456958736625</v>
      </c>
      <c r="AB718" s="257">
        <f>altaz((J2000_Bas+(4*0.04167)),$O718,$M718,DecLat,DecLong,1)</f>
        <v>-8.2505444673791022</v>
      </c>
      <c r="AC718" s="257">
        <f>altaz((J2000_Bas+(6*0.04167)),$O718,$M718,DecLat,DecLong,1)</f>
        <v>-30.811648863047743</v>
      </c>
      <c r="AD718" s="258">
        <f>1+ transit((J2000_Bas-1),$O718,$M718,DecLat,DecLong)/360 + (GMTOffset/24) + (IF(DST="Y", 1, 0)/24)</f>
        <v>1.7368350714213749</v>
      </c>
      <c r="AE718" s="259">
        <f>DATE(2001,9,21)+(M718/360)*365 - (360*((DecLong/360)- (GMTOffset/24) ))</f>
        <v>37431.53634259259</v>
      </c>
      <c r="AF718" s="260">
        <f>IF(DecLat&gt;0,IF((90 - (DecLat-O718))&gt;90, (90 - (O718-DecLat)), (90 - (DecLat-O718))),IF((90 + (DecLat-O718))&gt;90, (90 + (O718-DecLat)), (90 + (DecLat-O718))))</f>
        <v>25.116666666666674</v>
      </c>
      <c r="AG718" s="257">
        <f>angularseperation(MoonRA,MoonDec,$M718,$O718)</f>
        <v>17.356980083639964</v>
      </c>
      <c r="AH718" s="261">
        <f ca="1">MIN(100,IF($O$5&gt;80,0+30*($AG718/100),IF($O$5&gt;70,0+50*($AG718/100),IF($O$5&gt;60,5+50*($AG718/100),IF($O$5&gt;50,10+60*($AG718/100),IF($O$5&gt;40,15+70*($AG718/100),IF($O$5&gt;30,20+70*($AG718/100),IF($O$5&gt;20,40+55*($AG718/100),(80+(20-$O$5)+30*($AG718/100))))))))))</f>
        <v>88.478154369242418</v>
      </c>
      <c r="AI718" s="263"/>
      <c r="AJ718" s="263"/>
      <c r="AK718" s="263"/>
      <c r="AL718" s="263"/>
      <c r="AM718" s="264"/>
      <c r="AN718" s="263"/>
      <c r="AO718" s="263"/>
      <c r="AP718" s="265"/>
      <c r="AQ718" s="265"/>
      <c r="AR718" s="285"/>
      <c r="AS718" s="263"/>
      <c r="AT718" s="263"/>
      <c r="AU718" s="263"/>
      <c r="AV718" s="264"/>
      <c r="AW718" s="263">
        <v>283</v>
      </c>
      <c r="AX718" s="263"/>
      <c r="AY718" s="263"/>
      <c r="AZ718" s="263"/>
      <c r="BA718" s="263"/>
      <c r="BB718" s="263"/>
      <c r="BC718" s="263"/>
      <c r="BD718" s="264"/>
      <c r="BE718" s="263"/>
      <c r="BF718" s="263"/>
      <c r="BG718" s="263"/>
      <c r="BH718" s="263"/>
      <c r="BI718" s="263"/>
      <c r="BJ718" s="404">
        <f>altaz(J2000_Bas,$O718,$M718,DecLat,DecLong,2)</f>
        <v>196.33425934029128</v>
      </c>
      <c r="BK718" s="378" t="s">
        <v>822</v>
      </c>
      <c r="BL718" s="379">
        <f>IF((2*G718)/60&lt;0.2,0.2,(2*G718)/60)</f>
        <v>3</v>
      </c>
      <c r="BM718" s="380">
        <f>MOD((50000+AD718-$B$3+(0/24)),1)</f>
        <v>0.9522020011281711</v>
      </c>
      <c r="BN718" s="381"/>
      <c r="BO718" s="382">
        <v>718</v>
      </c>
    </row>
    <row r="719" spans="1:67" s="24" customFormat="1" ht="15" customHeight="1" x14ac:dyDescent="0.25">
      <c r="A719" s="287" t="s">
        <v>823</v>
      </c>
      <c r="B719" s="241" t="str">
        <f>HYPERLINK(CONCATENATE($AT$3,BK719,$AU$3),$AV$3)</f>
        <v>S</v>
      </c>
      <c r="C719" s="242" t="str">
        <f>HYPERLINK(CONCATENATE($AT$4,BK719,$AU$4,BL719),$AV$4)</f>
        <v>A</v>
      </c>
      <c r="D719" s="243" t="s">
        <v>5187</v>
      </c>
      <c r="E719" s="244" t="s">
        <v>5179</v>
      </c>
      <c r="F719" s="269">
        <v>6</v>
      </c>
      <c r="G719" s="276">
        <v>35</v>
      </c>
      <c r="H719" s="271" t="s">
        <v>6500</v>
      </c>
      <c r="I719" s="244" t="s">
        <v>6500</v>
      </c>
      <c r="J719" s="246">
        <v>2</v>
      </c>
      <c r="K719" s="247" t="s">
        <v>8394</v>
      </c>
      <c r="L719" s="248">
        <v>175007</v>
      </c>
      <c r="M719" s="249">
        <f>15*(LEFT(TEXT($L719,"000000"),2)+(MID(TEXT($L719,"000000"),3,2)/60)+(RIGHT(TEXT($L719,"000000"),2)/3600))</f>
        <v>267.52916666666664</v>
      </c>
      <c r="N719" s="286">
        <v>-142300</v>
      </c>
      <c r="O719" s="251">
        <f>IF($N719&gt;0,(LEFT(TEXT($N719,"000000"),2)+(MID(TEXT($N719,"000000"),3,2)/60)+(RIGHT(TEXT($N719,"000000"),2)/3600)),-(MID(TEXT($N719,"000000"),2,2)+(MID(TEXT($N719,"000000"),4,2)/60)+(RIGHT(TEXT($N719,"000000"),2)/3600)))</f>
        <v>-14.383333333333333</v>
      </c>
      <c r="P719" s="252" t="s">
        <v>115</v>
      </c>
      <c r="Q719" s="253"/>
      <c r="R719" s="277" t="s">
        <v>3293</v>
      </c>
      <c r="S719" s="272" t="s">
        <v>3293</v>
      </c>
      <c r="T719" s="273"/>
      <c r="U719" s="274"/>
      <c r="V719" s="256"/>
      <c r="W719" s="244"/>
      <c r="X719" s="244"/>
      <c r="Y719" s="362"/>
      <c r="Z719" s="257">
        <f>altaz(J2000_Bas,$O719,$M719,DecLat,DecLong,1)</f>
        <v>41.267485905283266</v>
      </c>
      <c r="AA719" s="257">
        <f>altaz((J2000_Bas+(2*0.04167)),$O719,$M719,DecLat,DecLong,1)</f>
        <v>24.935884405946961</v>
      </c>
      <c r="AB719" s="257">
        <f>altaz((J2000_Bas+(4*0.04167)),$O719,$M719,DecLat,DecLong,1)</f>
        <v>2.0384833263611366</v>
      </c>
      <c r="AC719" s="257">
        <f>altaz((J2000_Bas+(6*0.04167)),$O719,$M719,DecLat,DecLong,1)</f>
        <v>-23.235815770933616</v>
      </c>
      <c r="AD719" s="258">
        <f>1+ transit((J2000_Bas-1),$O719,$M719,DecLat,DecLong)/360 + (GMTOffset/24) + (IF(DST="Y", 1, 0)/24)</f>
        <v>1.7360364603901248</v>
      </c>
      <c r="AE719" s="259">
        <f>DATE(2001,9,21)+(M719/360)*365 - (360*((DecLong/360)- (GMTOffset/24) ))</f>
        <v>37431.244849537034</v>
      </c>
      <c r="AF719" s="260">
        <f>IF(DecLat&gt;0,IF((90 - (DecLat-O719))&gt;90, (90 - (O719-DecLat)), (90 - (DecLat-O719))),IF((90 + (DecLat-O719))&gt;90, (90 + (O719-DecLat)), (90 + (DecLat-O719))))</f>
        <v>44.616666666666667</v>
      </c>
      <c r="AG719" s="257">
        <f>angularseperation(MoonRA,MoonDec,$M719,$O719)</f>
        <v>21.255232984682955</v>
      </c>
      <c r="AH719" s="261">
        <f ca="1">MIN(100,IF($O$5&gt;80,0+30*($AG719/100),IF($O$5&gt;70,0+50*($AG719/100),IF($O$5&gt;60,5+50*($AG719/100),IF($O$5&gt;50,10+60*($AG719/100),IF($O$5&gt;40,15+70*($AG719/100),IF($O$5&gt;30,20+70*($AG719/100),IF($O$5&gt;20,40+55*($AG719/100),(80+(20-$O$5)+30*($AG719/100))))))))))</f>
        <v>89.647630239555312</v>
      </c>
      <c r="AI719" s="263"/>
      <c r="AJ719" s="263"/>
      <c r="AK719" s="263"/>
      <c r="AL719" s="263"/>
      <c r="AM719" s="264"/>
      <c r="AN719" s="263"/>
      <c r="AO719" s="263"/>
      <c r="AP719" s="265"/>
      <c r="AQ719" s="265"/>
      <c r="AR719" s="285"/>
      <c r="AS719" s="263"/>
      <c r="AT719" s="263"/>
      <c r="AU719" s="263"/>
      <c r="AV719" s="264"/>
      <c r="AW719" s="263">
        <v>284</v>
      </c>
      <c r="AX719" s="263"/>
      <c r="AY719" s="263"/>
      <c r="AZ719" s="263"/>
      <c r="BA719" s="263"/>
      <c r="BB719" s="263"/>
      <c r="BC719" s="263"/>
      <c r="BD719" s="264"/>
      <c r="BE719" s="263"/>
      <c r="BF719" s="263"/>
      <c r="BG719" s="263"/>
      <c r="BH719" s="263"/>
      <c r="BI719" s="263"/>
      <c r="BJ719" s="404">
        <f>altaz(J2000_Bas,$O719,$M719,DecLat,DecLong,2)</f>
        <v>204.10137292173249</v>
      </c>
      <c r="BK719" s="378" t="s">
        <v>823</v>
      </c>
      <c r="BL719" s="379">
        <f>IF((2*G719)/60&lt;0.2,0.2,(2*G719)/60)</f>
        <v>1.1666666666666667</v>
      </c>
      <c r="BM719" s="380">
        <f>MOD((50000+AD719-$B$3+(0/24)),1)</f>
        <v>0.95140339009230956</v>
      </c>
      <c r="BN719" s="381"/>
      <c r="BO719" s="382">
        <v>719</v>
      </c>
    </row>
    <row r="720" spans="1:67" s="24" customFormat="1" ht="15" customHeight="1" x14ac:dyDescent="0.25">
      <c r="A720" s="287" t="s">
        <v>824</v>
      </c>
      <c r="B720" s="241" t="str">
        <f>HYPERLINK(CONCATENATE($AT$3,BK720,$AU$3),$AV$3)</f>
        <v>S</v>
      </c>
      <c r="C720" s="242" t="str">
        <f>HYPERLINK(CONCATENATE($AT$4,BK720,$AU$4,BL720),$AV$4)</f>
        <v>A</v>
      </c>
      <c r="D720" s="243" t="s">
        <v>5187</v>
      </c>
      <c r="E720" s="244" t="s">
        <v>5179</v>
      </c>
      <c r="F720" s="269">
        <v>0</v>
      </c>
      <c r="G720" s="276">
        <v>15</v>
      </c>
      <c r="H720" s="271" t="s">
        <v>6500</v>
      </c>
      <c r="I720" s="244" t="s">
        <v>6500</v>
      </c>
      <c r="J720" s="246">
        <v>1</v>
      </c>
      <c r="K720" s="247" t="s">
        <v>5895</v>
      </c>
      <c r="L720" s="248">
        <v>175032</v>
      </c>
      <c r="M720" s="249">
        <f>15*(LEFT(TEXT($L720,"000000"),2)+(MID(TEXT($L720,"000000"),3,2)/60)+(RIGHT(TEXT($L720,"000000"),2)/3600))</f>
        <v>267.63333333333333</v>
      </c>
      <c r="N720" s="286">
        <v>-125300</v>
      </c>
      <c r="O720" s="251">
        <f>IF($N720&gt;0,(LEFT(TEXT($N720,"000000"),2)+(MID(TEXT($N720,"000000"),3,2)/60)+(RIGHT(TEXT($N720,"000000"),2)/3600)),-(MID(TEXT($N720,"000000"),2,2)+(MID(TEXT($N720,"000000"),4,2)/60)+(RIGHT(TEXT($N720,"000000"),2)/3600)))</f>
        <v>-12.883333333333333</v>
      </c>
      <c r="P720" s="252" t="s">
        <v>115</v>
      </c>
      <c r="Q720" s="253"/>
      <c r="R720" s="277" t="s">
        <v>3293</v>
      </c>
      <c r="S720" s="272" t="s">
        <v>3293</v>
      </c>
      <c r="T720" s="273"/>
      <c r="U720" s="274"/>
      <c r="V720" s="256"/>
      <c r="W720" s="244"/>
      <c r="X720" s="244"/>
      <c r="Y720" s="362"/>
      <c r="Z720" s="257">
        <f>altaz(J2000_Bas,$O720,$M720,DecLat,DecLong,1)</f>
        <v>42.701224592371531</v>
      </c>
      <c r="AA720" s="257">
        <f>altaz((J2000_Bas+(2*0.04167)),$O720,$M720,DecLat,DecLong,1)</f>
        <v>26.062149646890351</v>
      </c>
      <c r="AB720" s="257">
        <f>altaz((J2000_Bas+(4*0.04167)),$O720,$M720,DecLat,DecLong,1)</f>
        <v>2.9351053686854063</v>
      </c>
      <c r="AC720" s="257">
        <f>altaz((J2000_Bas+(6*0.04167)),$O720,$M720,DecLat,DecLong,1)</f>
        <v>-22.437290324938147</v>
      </c>
      <c r="AD720" s="258">
        <f>1+ transit((J2000_Bas-1),$O720,$M720,DecLat,DecLong)/360 + (GMTOffset/24) + (IF(DST="Y", 1, 0)/24)</f>
        <v>1.7363258122130414</v>
      </c>
      <c r="AE720" s="259">
        <f>DATE(2001,9,21)+(M720/360)*365 - (360*((DecLong/360)- (GMTOffset/24) ))</f>
        <v>37431.350462962961</v>
      </c>
      <c r="AF720" s="260">
        <f>IF(DecLat&gt;0,IF((90 - (DecLat-O720))&gt;90, (90 - (O720-DecLat)), (90 - (DecLat-O720))),IF((90 + (DecLat-O720))&gt;90, (90 + (O720-DecLat)), (90 + (DecLat-O720))))</f>
        <v>46.116666666666667</v>
      </c>
      <c r="AG720" s="257">
        <f>angularseperation(MoonRA,MoonDec,$M720,$O720)</f>
        <v>22.314860024432775</v>
      </c>
      <c r="AH720" s="261">
        <f ca="1">MIN(100,IF($O$5&gt;80,0+30*($AG720/100),IF($O$5&gt;70,0+50*($AG720/100),IF($O$5&gt;60,5+50*($AG720/100),IF($O$5&gt;50,10+60*($AG720/100),IF($O$5&gt;40,15+70*($AG720/100),IF($O$5&gt;30,20+70*($AG720/100),IF($O$5&gt;20,40+55*($AG720/100),(80+(20-$O$5)+30*($AG720/100))))))))))</f>
        <v>89.965518351480256</v>
      </c>
      <c r="AI720" s="263"/>
      <c r="AJ720" s="263"/>
      <c r="AK720" s="263"/>
      <c r="AL720" s="263"/>
      <c r="AM720" s="264"/>
      <c r="AN720" s="263"/>
      <c r="AO720" s="263"/>
      <c r="AP720" s="265"/>
      <c r="AQ720" s="265"/>
      <c r="AR720" s="285"/>
      <c r="AS720" s="263"/>
      <c r="AT720" s="263"/>
      <c r="AU720" s="263"/>
      <c r="AV720" s="264"/>
      <c r="AW720" s="263">
        <v>285</v>
      </c>
      <c r="AX720" s="263"/>
      <c r="AY720" s="263"/>
      <c r="AZ720" s="263"/>
      <c r="BA720" s="263"/>
      <c r="BB720" s="263"/>
      <c r="BC720" s="263"/>
      <c r="BD720" s="264"/>
      <c r="BE720" s="263"/>
      <c r="BF720" s="263"/>
      <c r="BG720" s="263"/>
      <c r="BH720" s="263"/>
      <c r="BI720" s="263"/>
      <c r="BJ720" s="404">
        <f>altaz(J2000_Bas,$O720,$M720,DecLat,DecLong,2)</f>
        <v>204.7100058029053</v>
      </c>
      <c r="BK720" s="378" t="s">
        <v>824</v>
      </c>
      <c r="BL720" s="379">
        <f>IF((2*G720)/60&lt;0.2,0.2,(2*G720)/60)</f>
        <v>0.5</v>
      </c>
      <c r="BM720" s="380">
        <f>MOD((50000+AD720-$B$3+(0/24)),1)</f>
        <v>0.95169274191721343</v>
      </c>
      <c r="BN720" s="381"/>
      <c r="BO720" s="382">
        <v>720</v>
      </c>
    </row>
    <row r="721" spans="1:67" s="24" customFormat="1" ht="15" customHeight="1" x14ac:dyDescent="0.25">
      <c r="A721" s="287" t="s">
        <v>825</v>
      </c>
      <c r="B721" s="241" t="str">
        <f>HYPERLINK(CONCATENATE($AT$3,BK721,$AU$3),$AV$3)</f>
        <v>S</v>
      </c>
      <c r="C721" s="242" t="str">
        <f>HYPERLINK(CONCATENATE($AT$4,BK721,$AU$4,BL721),$AV$4)</f>
        <v>A</v>
      </c>
      <c r="D721" s="243" t="s">
        <v>5187</v>
      </c>
      <c r="E721" s="244" t="s">
        <v>5179</v>
      </c>
      <c r="F721" s="269">
        <v>0</v>
      </c>
      <c r="G721" s="276">
        <v>15</v>
      </c>
      <c r="H721" s="271" t="s">
        <v>6500</v>
      </c>
      <c r="I721" s="244" t="s">
        <v>6500</v>
      </c>
      <c r="J721" s="246">
        <v>1</v>
      </c>
      <c r="K721" s="247" t="s">
        <v>6008</v>
      </c>
      <c r="L721" s="248">
        <v>175303</v>
      </c>
      <c r="M721" s="249">
        <f>15*(LEFT(TEXT($L721,"000000"),2)+(MID(TEXT($L721,"000000"),3,2)/60)+(RIGHT(TEXT($L721,"000000"),2)/3600))</f>
        <v>268.26249999999999</v>
      </c>
      <c r="N721" s="250">
        <v>-353800</v>
      </c>
      <c r="O721" s="251">
        <f>IF($N721&gt;0,(LEFT(TEXT($N721,"000000"),2)+(MID(TEXT($N721,"000000"),3,2)/60)+(RIGHT(TEXT($N721,"000000"),2)/3600)),-(MID(TEXT($N721,"000000"),2,2)+(MID(TEXT($N721,"000000"),4,2)/60)+(RIGHT(TEXT($N721,"000000"),2)/3600)))</f>
        <v>-35.633333333333333</v>
      </c>
      <c r="P721" s="252" t="s">
        <v>109</v>
      </c>
      <c r="Q721" s="253"/>
      <c r="R721" s="277" t="s">
        <v>3293</v>
      </c>
      <c r="S721" s="272" t="s">
        <v>3293</v>
      </c>
      <c r="T721" s="273"/>
      <c r="U721" s="274"/>
      <c r="V721" s="256"/>
      <c r="W721" s="244"/>
      <c r="X721" s="244"/>
      <c r="Y721" s="362"/>
      <c r="Z721" s="257">
        <f>altaz(J2000_Bas,$O721,$M721,DecLat,DecLong,1)</f>
        <v>21.314433566674669</v>
      </c>
      <c r="AA721" s="257">
        <f>altaz((J2000_Bas+(2*0.04167)),$O721,$M721,DecLat,DecLong,1)</f>
        <v>9.653435182973686</v>
      </c>
      <c r="AB721" s="257">
        <f>altaz((J2000_Bas+(4*0.04167)),$O721,$M721,DecLat,DecLong,1)</f>
        <v>-8.8665192728396143</v>
      </c>
      <c r="AC721" s="257">
        <f>altaz((J2000_Bas+(6*0.04167)),$O721,$M721,DecLat,DecLong,1)</f>
        <v>-31.015549870253889</v>
      </c>
      <c r="AD721" s="258">
        <f>1+ transit((J2000_Bas-1),$O721,$M721,DecLat,DecLong)/360 + (GMTOffset/24) + (IF(DST="Y", 1, 0)/24)</f>
        <v>1.7380734972234579</v>
      </c>
      <c r="AE721" s="259">
        <f>DATE(2001,9,21)+(M721/360)*365 - (360*((DecLong/360)- (GMTOffset/24) ))</f>
        <v>37431.988368055558</v>
      </c>
      <c r="AF721" s="260">
        <f>IF(DecLat&gt;0,IF((90 - (DecLat-O721))&gt;90, (90 - (O721-DecLat)), (90 - (DecLat-O721))),IF((90 + (DecLat-O721))&gt;90, (90 + (O721-DecLat)), (90 + (DecLat-O721))))</f>
        <v>23.366666666666674</v>
      </c>
      <c r="AG721" s="257">
        <f>angularseperation(MoonRA,MoonDec,$M721,$O721)</f>
        <v>18.308448407508145</v>
      </c>
      <c r="AH721" s="261">
        <f ca="1">MIN(100,IF($O$5&gt;80,0+30*($AG721/100),IF($O$5&gt;70,0+50*($AG721/100),IF($O$5&gt;60,5+50*($AG721/100),IF($O$5&gt;50,10+60*($AG721/100),IF($O$5&gt;40,15+70*($AG721/100),IF($O$5&gt;30,20+70*($AG721/100),IF($O$5&gt;20,40+55*($AG721/100),(80+(20-$O$5)+30*($AG721/100))))))))))</f>
        <v>88.763594866402869</v>
      </c>
      <c r="AI721" s="263"/>
      <c r="AJ721" s="263"/>
      <c r="AK721" s="263"/>
      <c r="AL721" s="263"/>
      <c r="AM721" s="264"/>
      <c r="AN721" s="263"/>
      <c r="AO721" s="263"/>
      <c r="AP721" s="265"/>
      <c r="AQ721" s="265"/>
      <c r="AR721" s="285"/>
      <c r="AS721" s="263"/>
      <c r="AT721" s="263"/>
      <c r="AU721" s="263"/>
      <c r="AV721" s="264"/>
      <c r="AW721" s="263">
        <v>286</v>
      </c>
      <c r="AX721" s="263"/>
      <c r="AY721" s="263"/>
      <c r="AZ721" s="263"/>
      <c r="BA721" s="263"/>
      <c r="BB721" s="263"/>
      <c r="BC721" s="263"/>
      <c r="BD721" s="264"/>
      <c r="BE721" s="263"/>
      <c r="BF721" s="263"/>
      <c r="BG721" s="263"/>
      <c r="BH721" s="263"/>
      <c r="BI721" s="263"/>
      <c r="BJ721" s="404">
        <f>altaz(J2000_Bas,$O721,$M721,DecLat,DecLong,2)</f>
        <v>195.41637749952233</v>
      </c>
      <c r="BK721" s="378" t="s">
        <v>825</v>
      </c>
      <c r="BL721" s="379">
        <f>IF((2*G721)/60&lt;0.2,0.2,(2*G721)/60)</f>
        <v>0.5</v>
      </c>
      <c r="BM721" s="380">
        <f>MOD((50000+AD721-$B$3+(0/24)),1)</f>
        <v>0.95344042692886433</v>
      </c>
      <c r="BN721" s="381"/>
      <c r="BO721" s="382">
        <v>721</v>
      </c>
    </row>
    <row r="722" spans="1:67" s="24" customFormat="1" ht="15" customHeight="1" x14ac:dyDescent="0.25">
      <c r="A722" s="288" t="s">
        <v>826</v>
      </c>
      <c r="B722" s="241" t="str">
        <f>HYPERLINK(CONCATENATE($AT$3,BK722,$AU$3),$AV$3)</f>
        <v>S</v>
      </c>
      <c r="C722" s="242" t="str">
        <f>HYPERLINK(CONCATENATE($AT$4,BK722,$AU$4,BL722),$AV$4)</f>
        <v>A</v>
      </c>
      <c r="D722" s="243" t="s">
        <v>5187</v>
      </c>
      <c r="E722" s="244" t="s">
        <v>5179</v>
      </c>
      <c r="F722" s="269">
        <v>5</v>
      </c>
      <c r="G722" s="276">
        <v>30</v>
      </c>
      <c r="H722" s="271" t="s">
        <v>6500</v>
      </c>
      <c r="I722" s="244" t="s">
        <v>6500</v>
      </c>
      <c r="J722" s="246">
        <v>3</v>
      </c>
      <c r="K722" s="247" t="s">
        <v>8395</v>
      </c>
      <c r="L722" s="248">
        <v>175427</v>
      </c>
      <c r="M722" s="249">
        <f>15*(LEFT(TEXT($L722,"000000"),2)+(MID(TEXT($L722,"000000"),3,2)/60)+(RIGHT(TEXT($L722,"000000"),2)/3600))</f>
        <v>268.61249999999995</v>
      </c>
      <c r="N722" s="250">
        <v>-351300</v>
      </c>
      <c r="O722" s="251">
        <f>IF($N722&gt;0,(LEFT(TEXT($N722,"000000"),2)+(MID(TEXT($N722,"000000"),3,2)/60)+(RIGHT(TEXT($N722,"000000"),2)/3600)),-(MID(TEXT($N722,"000000"),2,2)+(MID(TEXT($N722,"000000"),4,2)/60)+(RIGHT(TEXT($N722,"000000"),2)/3600)))</f>
        <v>-35.216666666666669</v>
      </c>
      <c r="P722" s="252" t="s">
        <v>109</v>
      </c>
      <c r="Q722" s="253"/>
      <c r="R722" s="247" t="s">
        <v>3293</v>
      </c>
      <c r="S722" s="272" t="s">
        <v>4413</v>
      </c>
      <c r="T722" s="273"/>
      <c r="U722" s="274"/>
      <c r="V722" s="256"/>
      <c r="W722" s="244"/>
      <c r="X722" s="244"/>
      <c r="Y722" s="362"/>
      <c r="Z722" s="257">
        <f>altaz(J2000_Bas,$O722,$M722,DecLat,DecLong,1)</f>
        <v>21.79398383669599</v>
      </c>
      <c r="AA722" s="257">
        <f>altaz((J2000_Bas+(2*0.04167)),$O722,$M722,DecLat,DecLong,1)</f>
        <v>10.155928457667809</v>
      </c>
      <c r="AB722" s="257">
        <f>altaz((J2000_Bas+(4*0.04167)),$O722,$M722,DecLat,DecLong,1)</f>
        <v>-8.4035316753458442</v>
      </c>
      <c r="AC722" s="257">
        <f>altaz((J2000_Bas+(6*0.04167)),$O722,$M722,DecLat,DecLong,1)</f>
        <v>-30.614696055606068</v>
      </c>
      <c r="AD722" s="258">
        <f>1+ transit((J2000_Bas-1),$O722,$M722,DecLat,DecLong)/360 + (GMTOffset/24) + (IF(DST="Y", 1, 0)/24)</f>
        <v>1.7390457193484579</v>
      </c>
      <c r="AE722" s="259">
        <f>DATE(2001,9,21)+(M722/360)*365 - (360*((DecLong/360)- (GMTOffset/24) ))</f>
        <v>37432.343229166669</v>
      </c>
      <c r="AF722" s="260">
        <f>IF(DecLat&gt;0,IF((90 - (DecLat-O722))&gt;90, (90 - (O722-DecLat)), (90 - (DecLat-O722))),IF((90 + (DecLat-O722))&gt;90, (90 + (O722-DecLat)), (90 + (DecLat-O722))))</f>
        <v>23.783333333333331</v>
      </c>
      <c r="AG722" s="257">
        <f>angularseperation(MoonRA,MoonDec,$M722,$O722)</f>
        <v>18.419552597578914</v>
      </c>
      <c r="AH722" s="261">
        <f ca="1">MIN(100,IF($O$5&gt;80,0+30*($AG722/100),IF($O$5&gt;70,0+50*($AG722/100),IF($O$5&gt;60,5+50*($AG722/100),IF($O$5&gt;50,10+60*($AG722/100),IF($O$5&gt;40,15+70*($AG722/100),IF($O$5&gt;30,20+70*($AG722/100),IF($O$5&gt;20,40+55*($AG722/100),(80+(20-$O$5)+30*($AG722/100))))))))))</f>
        <v>88.7969261234241</v>
      </c>
      <c r="AI722" s="262"/>
      <c r="AJ722" s="262"/>
      <c r="AK722" s="262"/>
      <c r="AL722" s="263"/>
      <c r="AM722" s="264"/>
      <c r="AN722" s="263"/>
      <c r="AO722" s="263"/>
      <c r="AP722" s="265"/>
      <c r="AQ722" s="266"/>
      <c r="AR722" s="267"/>
      <c r="AS722" s="263"/>
      <c r="AT722" s="263"/>
      <c r="AU722" s="263"/>
      <c r="AV722" s="264"/>
      <c r="AW722" s="263">
        <v>287</v>
      </c>
      <c r="AX722" s="263"/>
      <c r="AY722" s="263"/>
      <c r="AZ722" s="263"/>
      <c r="BA722" s="263"/>
      <c r="BB722" s="263"/>
      <c r="BC722" s="263"/>
      <c r="BD722" s="264"/>
      <c r="BE722" s="263"/>
      <c r="BF722" s="263"/>
      <c r="BG722" s="263"/>
      <c r="BH722" s="263"/>
      <c r="BI722" s="263"/>
      <c r="BJ722" s="404">
        <f>altaz(J2000_Bas,$O722,$M722,DecLat,DecLong,2)</f>
        <v>195.24642823228373</v>
      </c>
      <c r="BK722" s="378" t="s">
        <v>826</v>
      </c>
      <c r="BL722" s="379">
        <f>IF((2*G722)/60&lt;0.2,0.2,(2*G722)/60)</f>
        <v>1</v>
      </c>
      <c r="BM722" s="380">
        <f>MOD((50000+AD722-$B$3+(0/24)),1)</f>
        <v>0.95441264905093703</v>
      </c>
      <c r="BN722" s="381"/>
      <c r="BO722" s="382">
        <v>722</v>
      </c>
    </row>
    <row r="723" spans="1:67" s="24" customFormat="1" ht="15" customHeight="1" x14ac:dyDescent="0.25">
      <c r="A723" s="287" t="s">
        <v>827</v>
      </c>
      <c r="B723" s="241" t="str">
        <f>HYPERLINK(CONCATENATE($AT$3,BK723,$AU$3),$AV$3)</f>
        <v>S</v>
      </c>
      <c r="C723" s="242" t="str">
        <f>HYPERLINK(CONCATENATE($AT$4,BK723,$AU$4,BL723),$AV$4)</f>
        <v>A</v>
      </c>
      <c r="D723" s="243" t="s">
        <v>5187</v>
      </c>
      <c r="E723" s="244" t="s">
        <v>5179</v>
      </c>
      <c r="F723" s="269">
        <v>3</v>
      </c>
      <c r="G723" s="273">
        <v>2</v>
      </c>
      <c r="H723" s="271" t="s">
        <v>6500</v>
      </c>
      <c r="I723" s="244" t="s">
        <v>6500</v>
      </c>
      <c r="J723" s="246">
        <v>1</v>
      </c>
      <c r="K723" s="247" t="s">
        <v>5896</v>
      </c>
      <c r="L723" s="248">
        <v>175706</v>
      </c>
      <c r="M723" s="249">
        <f>15*(LEFT(TEXT($L723,"000000"),2)+(MID(TEXT($L723,"000000"),3,2)/60)+(RIGHT(TEXT($L723,"000000"),2)/3600))</f>
        <v>269.27499999999998</v>
      </c>
      <c r="N723" s="286">
        <v>-370600</v>
      </c>
      <c r="O723" s="251">
        <f>IF($N723&gt;0,(LEFT(TEXT($N723,"000000"),2)+(MID(TEXT($N723,"000000"),3,2)/60)+(RIGHT(TEXT($N723,"000000"),2)/3600)),-(MID(TEXT($N723,"000000"),2,2)+(MID(TEXT($N723,"000000"),4,2)/60)+(RIGHT(TEXT($N723,"000000"),2)/3600)))</f>
        <v>-37.1</v>
      </c>
      <c r="P723" s="252" t="s">
        <v>109</v>
      </c>
      <c r="Q723" s="253"/>
      <c r="R723" s="277" t="s">
        <v>3293</v>
      </c>
      <c r="S723" s="272" t="s">
        <v>3293</v>
      </c>
      <c r="T723" s="273"/>
      <c r="U723" s="274"/>
      <c r="V723" s="256"/>
      <c r="W723" s="244"/>
      <c r="X723" s="244"/>
      <c r="Y723" s="362"/>
      <c r="Z723" s="257">
        <f>altaz(J2000_Bas,$O723,$M723,DecLat,DecLong,1)</f>
        <v>20.124290030096297</v>
      </c>
      <c r="AA723" s="257">
        <f>altaz((J2000_Bas+(2*0.04167)),$O723,$M723,DecLat,DecLong,1)</f>
        <v>9.0454835161427578</v>
      </c>
      <c r="AB723" s="257">
        <f>altaz((J2000_Bas+(4*0.04167)),$O723,$M723,DecLat,DecLong,1)</f>
        <v>-8.9564576104027278</v>
      </c>
      <c r="AC723" s="257">
        <f>altaz((J2000_Bas+(6*0.04167)),$O723,$M723,DecLat,DecLong,1)</f>
        <v>-30.686805541932326</v>
      </c>
      <c r="AD723" s="258">
        <f>1+ transit((J2000_Bas-1),$O723,$M723,DecLat,DecLong)/360 + (GMTOffset/24) + (IF(DST="Y", 1, 0)/24)</f>
        <v>1.7408859969422079</v>
      </c>
      <c r="AE723" s="259">
        <f>DATE(2001,9,21)+(M723/360)*365 - (360*((DecLong/360)- (GMTOffset/24) ))</f>
        <v>37433.014930555553</v>
      </c>
      <c r="AF723" s="260">
        <f>IF(DecLat&gt;0,IF((90 - (DecLat-O723))&gt;90, (90 - (O723-DecLat)), (90 - (DecLat-O723))),IF((90 + (DecLat-O723))&gt;90, (90 + (O723-DecLat)), (90 + (DecLat-O723))))</f>
        <v>21.900000000000006</v>
      </c>
      <c r="AG723" s="257">
        <f>angularseperation(MoonRA,MoonDec,$M723,$O723)</f>
        <v>19.645009466208137</v>
      </c>
      <c r="AH723" s="261">
        <f ca="1">MIN(100,IF($O$5&gt;80,0+30*($AG723/100),IF($O$5&gt;70,0+50*($AG723/100),IF($O$5&gt;60,5+50*($AG723/100),IF($O$5&gt;50,10+60*($AG723/100),IF($O$5&gt;40,15+70*($AG723/100),IF($O$5&gt;30,20+70*($AG723/100),IF($O$5&gt;20,40+55*($AG723/100),(80+(20-$O$5)+30*($AG723/100))))))))))</f>
        <v>89.164563184012863</v>
      </c>
      <c r="AI723" s="263"/>
      <c r="AJ723" s="263"/>
      <c r="AK723" s="263"/>
      <c r="AL723" s="263"/>
      <c r="AM723" s="264"/>
      <c r="AN723" s="263"/>
      <c r="AO723" s="263"/>
      <c r="AP723" s="265"/>
      <c r="AQ723" s="265"/>
      <c r="AR723" s="285"/>
      <c r="AS723" s="263"/>
      <c r="AT723" s="263"/>
      <c r="AU723" s="263"/>
      <c r="AV723" s="264"/>
      <c r="AW723" s="263">
        <v>288</v>
      </c>
      <c r="AX723" s="263"/>
      <c r="AY723" s="263"/>
      <c r="AZ723" s="263"/>
      <c r="BA723" s="263"/>
      <c r="BB723" s="263"/>
      <c r="BC723" s="263"/>
      <c r="BD723" s="264"/>
      <c r="BE723" s="263"/>
      <c r="BF723" s="263"/>
      <c r="BG723" s="263"/>
      <c r="BH723" s="263"/>
      <c r="BI723" s="263"/>
      <c r="BJ723" s="404">
        <f>altaz(J2000_Bas,$O723,$M723,DecLat,DecLong,2)</f>
        <v>194.15163039504202</v>
      </c>
      <c r="BK723" s="378" t="s">
        <v>827</v>
      </c>
      <c r="BL723" s="379">
        <f>IF((2*G723)/60&lt;0.2,0.2,(2*G723)/60)</f>
        <v>0.2</v>
      </c>
      <c r="BM723" s="380">
        <f>MOD((50000+AD723-$B$3+(0/24)),1)</f>
        <v>0.95625292664772132</v>
      </c>
      <c r="BN723" s="381"/>
      <c r="BO723" s="382">
        <v>723</v>
      </c>
    </row>
    <row r="724" spans="1:67" s="24" customFormat="1" ht="15" customHeight="1" x14ac:dyDescent="0.25">
      <c r="A724" s="287" t="s">
        <v>828</v>
      </c>
      <c r="B724" s="241" t="str">
        <f>HYPERLINK(CONCATENATE($AT$3,BK724,$AU$3),$AV$3)</f>
        <v>S</v>
      </c>
      <c r="C724" s="242" t="str">
        <f>HYPERLINK(CONCATENATE($AT$4,BK724,$AU$4,BL724),$AV$4)</f>
        <v>A</v>
      </c>
      <c r="D724" s="243" t="s">
        <v>5187</v>
      </c>
      <c r="E724" s="244" t="s">
        <v>5179</v>
      </c>
      <c r="F724" s="269">
        <v>4</v>
      </c>
      <c r="G724" s="276">
        <v>35</v>
      </c>
      <c r="H724" s="271" t="s">
        <v>6500</v>
      </c>
      <c r="I724" s="244" t="s">
        <v>6500</v>
      </c>
      <c r="J724" s="246">
        <v>2</v>
      </c>
      <c r="K724" s="247" t="s">
        <v>7258</v>
      </c>
      <c r="L724" s="248">
        <v>175637</v>
      </c>
      <c r="M724" s="249">
        <f>15*(LEFT(TEXT($L724,"000000"),2)+(MID(TEXT($L724,"000000"),3,2)/60)+(RIGHT(TEXT($L724,"000000"),2)/3600))</f>
        <v>269.15416666666664</v>
      </c>
      <c r="N724" s="286">
        <v>-290200</v>
      </c>
      <c r="O724" s="251">
        <f>IF($N724&gt;0,(LEFT(TEXT($N724,"000000"),2)+(MID(TEXT($N724,"000000"),3,2)/60)+(RIGHT(TEXT($N724,"000000"),2)/3600)),-(MID(TEXT($N724,"000000"),2,2)+(MID(TEXT($N724,"000000"),4,2)/60)+(RIGHT(TEXT($N724,"000000"),2)/3600)))</f>
        <v>-29.033333333333335</v>
      </c>
      <c r="P724" s="252" t="s">
        <v>109</v>
      </c>
      <c r="Q724" s="253"/>
      <c r="R724" s="277" t="s">
        <v>3293</v>
      </c>
      <c r="S724" s="272" t="s">
        <v>3293</v>
      </c>
      <c r="T724" s="273"/>
      <c r="U724" s="274"/>
      <c r="V724" s="256"/>
      <c r="W724" s="244"/>
      <c r="X724" s="244"/>
      <c r="Y724" s="362"/>
      <c r="Z724" s="257">
        <f>altaz(J2000_Bas,$O724,$M724,DecLat,DecLong,1)</f>
        <v>27.860832478264033</v>
      </c>
      <c r="AA724" s="257">
        <f>altaz((J2000_Bas+(2*0.04167)),$O724,$M724,DecLat,DecLong,1)</f>
        <v>15.177440450962747</v>
      </c>
      <c r="AB724" s="257">
        <f>altaz((J2000_Bas+(4*0.04167)),$O724,$M724,DecLat,DecLong,1)</f>
        <v>-4.6800073865583167</v>
      </c>
      <c r="AC724" s="257">
        <f>altaz((J2000_Bas+(6*0.04167)),$O724,$M724,DecLat,DecLong,1)</f>
        <v>-28.057222677080222</v>
      </c>
      <c r="AD724" s="258">
        <f>1+ transit((J2000_Bas-1),$O724,$M724,DecLat,DecLong)/360 + (GMTOffset/24) + (IF(DST="Y", 1, 0)/24)</f>
        <v>1.7405503488276246</v>
      </c>
      <c r="AE724" s="259">
        <f>DATE(2001,9,21)+(M724/360)*365 - (360*((DecLong/360)- (GMTOffset/24) ))</f>
        <v>37432.892418981479</v>
      </c>
      <c r="AF724" s="260">
        <f>IF(DecLat&gt;0,IF((90 - (DecLat-O724))&gt;90, (90 - (O724-DecLat)), (90 - (DecLat-O724))),IF((90 + (DecLat-O724))&gt;90, (90 + (O724-DecLat)), (90 + (DecLat-O724))))</f>
        <v>29.966666666666669</v>
      </c>
      <c r="AG724" s="257">
        <f>angularseperation(MoonRA,MoonDec,$M724,$O724)</f>
        <v>17.658482375331957</v>
      </c>
      <c r="AH724" s="261">
        <f ca="1">MIN(100,IF($O$5&gt;80,0+30*($AG724/100),IF($O$5&gt;70,0+50*($AG724/100),IF($O$5&gt;60,5+50*($AG724/100),IF($O$5&gt;50,10+60*($AG724/100),IF($O$5&gt;40,15+70*($AG724/100),IF($O$5&gt;30,20+70*($AG724/100),IF($O$5&gt;20,40+55*($AG724/100),(80+(20-$O$5)+30*($AG724/100))))))))))</f>
        <v>88.568605056750016</v>
      </c>
      <c r="AI724" s="263"/>
      <c r="AJ724" s="263"/>
      <c r="AK724" s="263"/>
      <c r="AL724" s="263"/>
      <c r="AM724" s="264"/>
      <c r="AN724" s="263"/>
      <c r="AO724" s="263"/>
      <c r="AP724" s="265"/>
      <c r="AQ724" s="265"/>
      <c r="AR724" s="285"/>
      <c r="AS724" s="263"/>
      <c r="AT724" s="263"/>
      <c r="AU724" s="263"/>
      <c r="AV724" s="264"/>
      <c r="AW724" s="263">
        <v>289</v>
      </c>
      <c r="AX724" s="263"/>
      <c r="AY724" s="263"/>
      <c r="AZ724" s="263"/>
      <c r="BA724" s="263"/>
      <c r="BB724" s="263"/>
      <c r="BC724" s="263"/>
      <c r="BD724" s="264"/>
      <c r="BE724" s="263"/>
      <c r="BF724" s="263"/>
      <c r="BG724" s="263"/>
      <c r="BH724" s="263"/>
      <c r="BI724" s="263"/>
      <c r="BJ724" s="404">
        <f>altaz(J2000_Bas,$O724,$M724,DecLat,DecLong,2)</f>
        <v>196.65724143712612</v>
      </c>
      <c r="BK724" s="378" t="s">
        <v>828</v>
      </c>
      <c r="BL724" s="379">
        <f>IF((2*G724)/60&lt;0.2,0.2,(2*G724)/60)</f>
        <v>1.1666666666666667</v>
      </c>
      <c r="BM724" s="380">
        <f>MOD((50000+AD724-$B$3+(0/24)),1)</f>
        <v>0.95591727853025077</v>
      </c>
      <c r="BN724" s="381"/>
      <c r="BO724" s="382">
        <v>724</v>
      </c>
    </row>
    <row r="725" spans="1:67" s="24" customFormat="1" ht="15" customHeight="1" x14ac:dyDescent="0.25">
      <c r="A725" s="287" t="s">
        <v>829</v>
      </c>
      <c r="B725" s="241" t="str">
        <f>HYPERLINK(CONCATENATE($AT$3,BK725,$AU$3),$AV$3)</f>
        <v>S</v>
      </c>
      <c r="C725" s="242" t="str">
        <f>HYPERLINK(CONCATENATE($AT$4,BK725,$AU$4,BL725),$AV$4)</f>
        <v>A</v>
      </c>
      <c r="D725" s="243" t="s">
        <v>5187</v>
      </c>
      <c r="E725" s="244" t="s">
        <v>5179</v>
      </c>
      <c r="F725" s="269">
        <v>0</v>
      </c>
      <c r="G725" s="273">
        <v>3</v>
      </c>
      <c r="H725" s="271" t="s">
        <v>6500</v>
      </c>
      <c r="I725" s="244" t="s">
        <v>6500</v>
      </c>
      <c r="J725" s="246">
        <v>1</v>
      </c>
      <c r="K725" s="247" t="s">
        <v>6009</v>
      </c>
      <c r="L725" s="248">
        <v>175921</v>
      </c>
      <c r="M725" s="249">
        <f>15*(LEFT(TEXT($L725,"000000"),2)+(MID(TEXT($L725,"000000"),3,2)/60)+(RIGHT(TEXT($L725,"000000"),2)/3600))</f>
        <v>269.83749999999998</v>
      </c>
      <c r="N725" s="286">
        <v>-371000</v>
      </c>
      <c r="O725" s="251">
        <f>IF($N725&gt;0,(LEFT(TEXT($N725,"000000"),2)+(MID(TEXT($N725,"000000"),3,2)/60)+(RIGHT(TEXT($N725,"000000"),2)/3600)),-(MID(TEXT($N725,"000000"),2,2)+(MID(TEXT($N725,"000000"),4,2)/60)+(RIGHT(TEXT($N725,"000000"),2)/3600)))</f>
        <v>-37.166666666666664</v>
      </c>
      <c r="P725" s="252" t="s">
        <v>109</v>
      </c>
      <c r="Q725" s="253"/>
      <c r="R725" s="277" t="s">
        <v>3293</v>
      </c>
      <c r="S725" s="272" t="s">
        <v>3293</v>
      </c>
      <c r="T725" s="273"/>
      <c r="U725" s="274"/>
      <c r="V725" s="256"/>
      <c r="W725" s="244"/>
      <c r="X725" s="244"/>
      <c r="Y725" s="362"/>
      <c r="Z725" s="257">
        <f>altaz(J2000_Bas,$O725,$M725,DecLat,DecLong,1)</f>
        <v>20.175812689122875</v>
      </c>
      <c r="AA725" s="257">
        <f>altaz((J2000_Bas+(2*0.04167)),$O725,$M725,DecLat,DecLong,1)</f>
        <v>9.2762908835120665</v>
      </c>
      <c r="AB725" s="257">
        <f>altaz((J2000_Bas+(4*0.04167)),$O725,$M725,DecLat,DecLong,1)</f>
        <v>-8.613847783699752</v>
      </c>
      <c r="AC725" s="257">
        <f>altaz((J2000_Bas+(6*0.04167)),$O725,$M725,DecLat,DecLong,1)</f>
        <v>-30.279836214751022</v>
      </c>
      <c r="AD725" s="258">
        <f>1+ transit((J2000_Bas-1),$O725,$M725,DecLat,DecLong)/360 + (GMTOffset/24) + (IF(DST="Y", 1, 0)/24)</f>
        <v>1.7424484967859579</v>
      </c>
      <c r="AE725" s="259">
        <f>DATE(2001,9,21)+(M725/360)*365 - (360*((DecLong/360)- (GMTOffset/24) ))</f>
        <v>37433.585243055553</v>
      </c>
      <c r="AF725" s="260">
        <f>IF(DecLat&gt;0,IF((90 - (DecLat-O725))&gt;90, (90 - (O725-DecLat)), (90 - (DecLat-O725))),IF((90 + (DecLat-O725))&gt;90, (90 + (O725-DecLat)), (90 + (DecLat-O725))))</f>
        <v>21.833333333333343</v>
      </c>
      <c r="AG725" s="257">
        <f>angularseperation(MoonRA,MoonDec,$M725,$O725)</f>
        <v>20.080649814809206</v>
      </c>
      <c r="AH725" s="261">
        <f ca="1">MIN(100,IF($O$5&gt;80,0+30*($AG725/100),IF($O$5&gt;70,0+50*($AG725/100),IF($O$5&gt;60,5+50*($AG725/100),IF($O$5&gt;50,10+60*($AG725/100),IF($O$5&gt;40,15+70*($AG725/100),IF($O$5&gt;30,20+70*($AG725/100),IF($O$5&gt;20,40+55*($AG725/100),(80+(20-$O$5)+30*($AG725/100))))))))))</f>
        <v>89.295255288593182</v>
      </c>
      <c r="AI725" s="263"/>
      <c r="AJ725" s="263"/>
      <c r="AK725" s="263"/>
      <c r="AL725" s="263"/>
      <c r="AM725" s="264"/>
      <c r="AN725" s="263"/>
      <c r="AO725" s="263"/>
      <c r="AP725" s="265"/>
      <c r="AQ725" s="265"/>
      <c r="AR725" s="285"/>
      <c r="AS725" s="263"/>
      <c r="AT725" s="263"/>
      <c r="AU725" s="263"/>
      <c r="AV725" s="264"/>
      <c r="AW725" s="263">
        <v>290</v>
      </c>
      <c r="AX725" s="263"/>
      <c r="AY725" s="263"/>
      <c r="AZ725" s="263"/>
      <c r="BA725" s="263"/>
      <c r="BB725" s="263"/>
      <c r="BC725" s="263"/>
      <c r="BD725" s="264"/>
      <c r="BE725" s="263"/>
      <c r="BF725" s="263"/>
      <c r="BG725" s="263"/>
      <c r="BH725" s="263"/>
      <c r="BI725" s="263"/>
      <c r="BJ725" s="404">
        <f>altaz(J2000_Bas,$O725,$M725,DecLat,DecLong,2)</f>
        <v>193.67182938837286</v>
      </c>
      <c r="BK725" s="378" t="s">
        <v>829</v>
      </c>
      <c r="BL725" s="379">
        <f>IF((2*G725)/60&lt;0.2,0.2,(2*G725)/60)</f>
        <v>0.2</v>
      </c>
      <c r="BM725" s="380">
        <f>MOD((50000+AD725-$B$3+(0/24)),1)</f>
        <v>0.95781542648910545</v>
      </c>
      <c r="BN725" s="381"/>
      <c r="BO725" s="382">
        <v>725</v>
      </c>
    </row>
    <row r="726" spans="1:67" s="24" customFormat="1" ht="15" customHeight="1" x14ac:dyDescent="0.25">
      <c r="A726" s="287" t="s">
        <v>830</v>
      </c>
      <c r="B726" s="241" t="str">
        <f>HYPERLINK(CONCATENATE($AT$3,BK726,$AU$3),$AV$3)</f>
        <v>S</v>
      </c>
      <c r="C726" s="242" t="str">
        <f>HYPERLINK(CONCATENATE($AT$4,BK726,$AU$4,BL726),$AV$4)</f>
        <v>A</v>
      </c>
      <c r="D726" s="243" t="s">
        <v>5187</v>
      </c>
      <c r="E726" s="244" t="s">
        <v>5179</v>
      </c>
      <c r="F726" s="269">
        <v>4</v>
      </c>
      <c r="G726" s="273">
        <v>5</v>
      </c>
      <c r="H726" s="271" t="s">
        <v>6500</v>
      </c>
      <c r="I726" s="244" t="s">
        <v>6500</v>
      </c>
      <c r="J726" s="246">
        <v>1</v>
      </c>
      <c r="K726" s="247" t="s">
        <v>8396</v>
      </c>
      <c r="L726" s="248">
        <v>175943</v>
      </c>
      <c r="M726" s="249">
        <f>15*(LEFT(TEXT($L726,"000000"),2)+(MID(TEXT($L726,"000000"),3,2)/60)+(RIGHT(TEXT($L726,"000000"),2)/3600))</f>
        <v>269.92916666666667</v>
      </c>
      <c r="N726" s="286">
        <v>-335500</v>
      </c>
      <c r="O726" s="251">
        <f>IF($N726&gt;0,(LEFT(TEXT($N726,"000000"),2)+(MID(TEXT($N726,"000000"),3,2)/60)+(RIGHT(TEXT($N726,"000000"),2)/3600)),-(MID(TEXT($N726,"000000"),2,2)+(MID(TEXT($N726,"000000"),4,2)/60)+(RIGHT(TEXT($N726,"000000"),2)/3600)))</f>
        <v>-33.916666666666664</v>
      </c>
      <c r="P726" s="252" t="s">
        <v>119</v>
      </c>
      <c r="Q726" s="253"/>
      <c r="R726" s="277" t="s">
        <v>3293</v>
      </c>
      <c r="S726" s="272" t="s">
        <v>3293</v>
      </c>
      <c r="T726" s="273"/>
      <c r="U726" s="274"/>
      <c r="V726" s="256"/>
      <c r="W726" s="244"/>
      <c r="X726" s="244"/>
      <c r="Y726" s="362"/>
      <c r="Z726" s="257">
        <f>altaz(J2000_Bas,$O726,$M726,DecLat,DecLong,1)</f>
        <v>23.336386820507737</v>
      </c>
      <c r="AA726" s="257">
        <f>altaz((J2000_Bas+(2*0.04167)),$O726,$M726,DecLat,DecLong,1)</f>
        <v>11.848662620260679</v>
      </c>
      <c r="AB726" s="257">
        <f>altaz((J2000_Bas+(4*0.04167)),$O726,$M726,DecLat,DecLong,1)</f>
        <v>-6.7895951554911766</v>
      </c>
      <c r="AC726" s="257">
        <f>altaz((J2000_Bas+(6*0.04167)),$O726,$M726,DecLat,DecLong,1)</f>
        <v>-29.166620802914935</v>
      </c>
      <c r="AD726" s="258">
        <f>1+ transit((J2000_Bas-1),$O726,$M726,DecLat,DecLong)/360 + (GMTOffset/24) + (IF(DST="Y", 1, 0)/24)</f>
        <v>1.7427031263901247</v>
      </c>
      <c r="AE726" s="259">
        <f>DATE(2001,9,21)+(M726/360)*365 - (360*((DecLong/360)- (GMTOffset/24) ))</f>
        <v>37433.678182870368</v>
      </c>
      <c r="AF726" s="260">
        <f>IF(DecLat&gt;0,IF((90 - (DecLat-O726))&gt;90, (90 - (O726-DecLat)), (90 - (DecLat-O726))),IF((90 + (DecLat-O726))&gt;90, (90 + (O726-DecLat)), (90 + (DecLat-O726))))</f>
        <v>25.083333333333343</v>
      </c>
      <c r="AG726" s="257">
        <f>angularseperation(MoonRA,MoonDec,$M726,$O726)</f>
        <v>19.045618269547255</v>
      </c>
      <c r="AH726" s="261">
        <f ca="1">MIN(100,IF($O$5&gt;80,0+30*($AG726/100),IF($O$5&gt;70,0+50*($AG726/100),IF($O$5&gt;60,5+50*($AG726/100),IF($O$5&gt;50,10+60*($AG726/100),IF($O$5&gt;40,15+70*($AG726/100),IF($O$5&gt;30,20+70*($AG726/100),IF($O$5&gt;20,40+55*($AG726/100),(80+(20-$O$5)+30*($AG726/100))))))))))</f>
        <v>88.984745825014599</v>
      </c>
      <c r="AI726" s="263"/>
      <c r="AJ726" s="263"/>
      <c r="AK726" s="263"/>
      <c r="AL726" s="263"/>
      <c r="AM726" s="264"/>
      <c r="AN726" s="263"/>
      <c r="AO726" s="263"/>
      <c r="AP726" s="265"/>
      <c r="AQ726" s="265"/>
      <c r="AR726" s="285"/>
      <c r="AS726" s="263"/>
      <c r="AT726" s="263"/>
      <c r="AU726" s="263"/>
      <c r="AV726" s="264"/>
      <c r="AW726" s="263">
        <v>291</v>
      </c>
      <c r="AX726" s="263"/>
      <c r="AY726" s="263"/>
      <c r="AZ726" s="263"/>
      <c r="BA726" s="263"/>
      <c r="BB726" s="263"/>
      <c r="BC726" s="263"/>
      <c r="BD726" s="264"/>
      <c r="BE726" s="263"/>
      <c r="BF726" s="263"/>
      <c r="BG726" s="263"/>
      <c r="BH726" s="263"/>
      <c r="BI726" s="263"/>
      <c r="BJ726" s="404">
        <f>altaz(J2000_Bas,$O726,$M726,DecLat,DecLong,2)</f>
        <v>194.49114175303711</v>
      </c>
      <c r="BK726" s="378" t="s">
        <v>830</v>
      </c>
      <c r="BL726" s="379">
        <f>IF((2*G726)/60&lt;0.2,0.2,(2*G726)/60)</f>
        <v>0.2</v>
      </c>
      <c r="BM726" s="380">
        <f>MOD((50000+AD726-$B$3+(0/24)),1)</f>
        <v>0.95807005609094631</v>
      </c>
      <c r="BN726" s="381"/>
      <c r="BO726" s="382">
        <v>726</v>
      </c>
    </row>
    <row r="727" spans="1:67" s="24" customFormat="1" ht="15" customHeight="1" x14ac:dyDescent="0.25">
      <c r="A727" s="287" t="s">
        <v>831</v>
      </c>
      <c r="B727" s="241" t="str">
        <f>HYPERLINK(CONCATENATE($AT$3,BK727,$AU$3),$AV$3)</f>
        <v>S</v>
      </c>
      <c r="C727" s="242" t="str">
        <f>HYPERLINK(CONCATENATE($AT$4,BK727,$AU$4,BL727),$AV$4)</f>
        <v>A</v>
      </c>
      <c r="D727" s="243" t="s">
        <v>5187</v>
      </c>
      <c r="E727" s="244" t="s">
        <v>5179</v>
      </c>
      <c r="F727" s="269">
        <v>0</v>
      </c>
      <c r="G727" s="276">
        <v>60</v>
      </c>
      <c r="H727" s="271" t="s">
        <v>6500</v>
      </c>
      <c r="I727" s="244" t="s">
        <v>6500</v>
      </c>
      <c r="J727" s="246">
        <v>2</v>
      </c>
      <c r="K727" s="247" t="s">
        <v>6010</v>
      </c>
      <c r="L727" s="248">
        <v>180034</v>
      </c>
      <c r="M727" s="249">
        <f>15*(LEFT(TEXT($L727,"000000"),2)+(MID(TEXT($L727,"000000"),3,2)/60)+(RIGHT(TEXT($L727,"000000"),2)/3600))</f>
        <v>270.14166666666665</v>
      </c>
      <c r="N727" s="286">
        <v>-332100</v>
      </c>
      <c r="O727" s="251">
        <f>IF($N727&gt;0,(LEFT(TEXT($N727,"000000"),2)+(MID(TEXT($N727,"000000"),3,2)/60)+(RIGHT(TEXT($N727,"000000"),2)/3600)),-(MID(TEXT($N727,"000000"),2,2)+(MID(TEXT($N727,"000000"),4,2)/60)+(RIGHT(TEXT($N727,"000000"),2)/3600)))</f>
        <v>-33.35</v>
      </c>
      <c r="P727" s="252" t="s">
        <v>119</v>
      </c>
      <c r="Q727" s="253"/>
      <c r="R727" s="277" t="s">
        <v>3293</v>
      </c>
      <c r="S727" s="272" t="s">
        <v>3293</v>
      </c>
      <c r="T727" s="273"/>
      <c r="U727" s="274"/>
      <c r="V727" s="256"/>
      <c r="W727" s="244"/>
      <c r="X727" s="244"/>
      <c r="Y727" s="362"/>
      <c r="Z727" s="257">
        <f>altaz(J2000_Bas,$O727,$M727,DecLat,DecLong,1)</f>
        <v>23.929499722386392</v>
      </c>
      <c r="AA727" s="257">
        <f>altaz((J2000_Bas+(2*0.04167)),$O727,$M727,DecLat,DecLong,1)</f>
        <v>12.399852801644311</v>
      </c>
      <c r="AB727" s="257">
        <f>altaz((J2000_Bas+(4*0.04167)),$O727,$M727,DecLat,DecLong,1)</f>
        <v>-6.3318995373249747</v>
      </c>
      <c r="AC727" s="257">
        <f>altaz((J2000_Bas+(6*0.04167)),$O727,$M727,DecLat,DecLong,1)</f>
        <v>-28.808264441298611</v>
      </c>
      <c r="AD727" s="258">
        <f>1+ transit((J2000_Bas-1),$O727,$M727,DecLat,DecLong)/360 + (GMTOffset/24) + (IF(DST="Y", 1, 0)/24)</f>
        <v>1.7432934041088746</v>
      </c>
      <c r="AE727" s="259">
        <f>DATE(2001,9,21)+(M727/360)*365 - (360*((DecLong/360)- (GMTOffset/24) ))</f>
        <v>37433.893634259257</v>
      </c>
      <c r="AF727" s="260">
        <f>IF(DecLat&gt;0,IF((90 - (DecLat-O727))&gt;90, (90 - (O727-DecLat)), (90 - (DecLat-O727))),IF((90 + (DecLat-O727))&gt;90, (90 + (O727-DecLat)), (90 + (DecLat-O727))))</f>
        <v>25.650000000000006</v>
      </c>
      <c r="AG727" s="257">
        <f>angularseperation(MoonRA,MoonDec,$M727,$O727)</f>
        <v>19.074680587828688</v>
      </c>
      <c r="AH727" s="261">
        <f ca="1">MIN(100,IF($O$5&gt;80,0+30*($AG727/100),IF($O$5&gt;70,0+50*($AG727/100),IF($O$5&gt;60,5+50*($AG727/100),IF($O$5&gt;50,10+60*($AG727/100),IF($O$5&gt;40,15+70*($AG727/100),IF($O$5&gt;30,20+70*($AG727/100),IF($O$5&gt;20,40+55*($AG727/100),(80+(20-$O$5)+30*($AG727/100))))))))))</f>
        <v>88.993464520499032</v>
      </c>
      <c r="AI727" s="263"/>
      <c r="AJ727" s="263"/>
      <c r="AK727" s="263"/>
      <c r="AL727" s="263"/>
      <c r="AM727" s="264"/>
      <c r="AN727" s="263"/>
      <c r="AO727" s="263"/>
      <c r="AP727" s="265"/>
      <c r="AQ727" s="265"/>
      <c r="AR727" s="285"/>
      <c r="AS727" s="263"/>
      <c r="AT727" s="263"/>
      <c r="AU727" s="263"/>
      <c r="AV727" s="264"/>
      <c r="AW727" s="263">
        <v>292</v>
      </c>
      <c r="AX727" s="263"/>
      <c r="AY727" s="263"/>
      <c r="AZ727" s="263"/>
      <c r="BA727" s="263"/>
      <c r="BB727" s="263"/>
      <c r="BC727" s="263"/>
      <c r="BD727" s="264"/>
      <c r="BE727" s="263"/>
      <c r="BF727" s="263"/>
      <c r="BG727" s="263"/>
      <c r="BH727" s="263"/>
      <c r="BI727" s="263"/>
      <c r="BJ727" s="404">
        <f>altaz(J2000_Bas,$O727,$M727,DecLat,DecLong,2)</f>
        <v>194.46372512095124</v>
      </c>
      <c r="BK727" s="378" t="s">
        <v>831</v>
      </c>
      <c r="BL727" s="379">
        <f>IF((2*G727)/60&lt;0.2,0.2,(2*G727)/60)</f>
        <v>2</v>
      </c>
      <c r="BM727" s="380">
        <f>MOD((50000+AD727-$B$3+(0/24)),1)</f>
        <v>0.95866033381025773</v>
      </c>
      <c r="BN727" s="381"/>
      <c r="BO727" s="382">
        <v>727</v>
      </c>
    </row>
    <row r="728" spans="1:67" s="24" customFormat="1" ht="15" customHeight="1" x14ac:dyDescent="0.25">
      <c r="A728" s="287" t="s">
        <v>832</v>
      </c>
      <c r="B728" s="241" t="str">
        <f>HYPERLINK(CONCATENATE($AT$3,BK728,$AU$3),$AV$3)</f>
        <v>S</v>
      </c>
      <c r="C728" s="242" t="str">
        <f>HYPERLINK(CONCATENATE($AT$4,BK728,$AU$4,BL728),$AV$4)</f>
        <v>A</v>
      </c>
      <c r="D728" s="243" t="s">
        <v>5187</v>
      </c>
      <c r="E728" s="244" t="s">
        <v>5179</v>
      </c>
      <c r="F728" s="269">
        <v>0</v>
      </c>
      <c r="G728" s="276">
        <v>18</v>
      </c>
      <c r="H728" s="271" t="s">
        <v>6500</v>
      </c>
      <c r="I728" s="244" t="s">
        <v>6500</v>
      </c>
      <c r="J728" s="246">
        <v>1</v>
      </c>
      <c r="K728" s="247" t="s">
        <v>5897</v>
      </c>
      <c r="L728" s="248">
        <v>180113</v>
      </c>
      <c r="M728" s="249">
        <f>15*(LEFT(TEXT($L728,"000000"),2)+(MID(TEXT($L728,"000000"),3,2)/60)+(RIGHT(TEXT($L728,"000000"),2)/3600))</f>
        <v>270.30416666666667</v>
      </c>
      <c r="N728" s="286">
        <v>-352100</v>
      </c>
      <c r="O728" s="251">
        <f>IF($N728&gt;0,(LEFT(TEXT($N728,"000000"),2)+(MID(TEXT($N728,"000000"),3,2)/60)+(RIGHT(TEXT($N728,"000000"),2)/3600)),-(MID(TEXT($N728,"000000"),2,2)+(MID(TEXT($N728,"000000"),4,2)/60)+(RIGHT(TEXT($N728,"000000"),2)/3600)))</f>
        <v>-35.35</v>
      </c>
      <c r="P728" s="252" t="s">
        <v>109</v>
      </c>
      <c r="Q728" s="253"/>
      <c r="R728" s="277" t="s">
        <v>3293</v>
      </c>
      <c r="S728" s="272" t="s">
        <v>3293</v>
      </c>
      <c r="T728" s="273"/>
      <c r="U728" s="274"/>
      <c r="V728" s="256"/>
      <c r="W728" s="244"/>
      <c r="X728" s="244"/>
      <c r="Y728" s="362"/>
      <c r="Z728" s="257">
        <f>altaz(J2000_Bas,$O728,$M728,DecLat,DecLong,1)</f>
        <v>22.028650131998699</v>
      </c>
      <c r="AA728" s="257">
        <f>altaz((J2000_Bas+(2*0.04167)),$O728,$M728,DecLat,DecLong,1)</f>
        <v>10.927986160286144</v>
      </c>
      <c r="AB728" s="257">
        <f>altaz((J2000_Bas+(4*0.04167)),$O728,$M728,DecLat,DecLong,1)</f>
        <v>-7.3125478492572178</v>
      </c>
      <c r="AC728" s="257">
        <f>altaz((J2000_Bas+(6*0.04167)),$O728,$M728,DecLat,DecLong,1)</f>
        <v>-29.349179525855671</v>
      </c>
      <c r="AD728" s="258">
        <f>1+ transit((J2000_Bas-1),$O728,$M728,DecLat,DecLong)/360 + (GMTOffset/24) + (IF(DST="Y", 1, 0)/24)</f>
        <v>1.7437447929526246</v>
      </c>
      <c r="AE728" s="259">
        <f>DATE(2001,9,21)+(M728/360)*365 - (360*((DecLong/360)- (GMTOffset/24) ))</f>
        <v>37434.058391203704</v>
      </c>
      <c r="AF728" s="260">
        <f>IF(DecLat&gt;0,IF((90 - (DecLat-O728))&gt;90, (90 - (O728-DecLat)), (90 - (DecLat-O728))),IF((90 + (DecLat-O728))&gt;90, (90 + (O728-DecLat)), (90 + (DecLat-O728))))</f>
        <v>23.650000000000006</v>
      </c>
      <c r="AG728" s="257">
        <f>angularseperation(MoonRA,MoonDec,$M728,$O728)</f>
        <v>19.763713318889369</v>
      </c>
      <c r="AH728" s="261">
        <f ca="1">MIN(100,IF($O$5&gt;80,0+30*($AG728/100),IF($O$5&gt;70,0+50*($AG728/100),IF($O$5&gt;60,5+50*($AG728/100),IF($O$5&gt;50,10+60*($AG728/100),IF($O$5&gt;40,15+70*($AG728/100),IF($O$5&gt;30,20+70*($AG728/100),IF($O$5&gt;20,40+55*($AG728/100),(80+(20-$O$5)+30*($AG728/100))))))))))</f>
        <v>89.200174339817238</v>
      </c>
      <c r="AI728" s="263"/>
      <c r="AJ728" s="263"/>
      <c r="AK728" s="263"/>
      <c r="AL728" s="263"/>
      <c r="AM728" s="264"/>
      <c r="AN728" s="263"/>
      <c r="AO728" s="263"/>
      <c r="AP728" s="265"/>
      <c r="AQ728" s="265"/>
      <c r="AR728" s="285"/>
      <c r="AS728" s="263"/>
      <c r="AT728" s="263"/>
      <c r="AU728" s="263"/>
      <c r="AV728" s="264"/>
      <c r="AW728" s="263">
        <v>293</v>
      </c>
      <c r="AX728" s="263"/>
      <c r="AY728" s="263"/>
      <c r="AZ728" s="263"/>
      <c r="BA728" s="263"/>
      <c r="BB728" s="263"/>
      <c r="BC728" s="263"/>
      <c r="BD728" s="264"/>
      <c r="BE728" s="263"/>
      <c r="BF728" s="263"/>
      <c r="BG728" s="263"/>
      <c r="BH728" s="263"/>
      <c r="BI728" s="263"/>
      <c r="BJ728" s="404">
        <f>altaz(J2000_Bas,$O728,$M728,DecLat,DecLong,2)</f>
        <v>193.77262733838725</v>
      </c>
      <c r="BK728" s="378" t="s">
        <v>832</v>
      </c>
      <c r="BL728" s="379">
        <f>IF((2*G728)/60&lt;0.2,0.2,(2*G728)/60)</f>
        <v>0.6</v>
      </c>
      <c r="BM728" s="380">
        <f>MOD((50000+AD728-$B$3+(0/24)),1)</f>
        <v>0.95911172265914502</v>
      </c>
      <c r="BN728" s="381"/>
      <c r="BO728" s="382">
        <v>728</v>
      </c>
    </row>
    <row r="729" spans="1:67" s="24" customFormat="1" ht="15" customHeight="1" x14ac:dyDescent="0.25">
      <c r="A729" s="287" t="s">
        <v>833</v>
      </c>
      <c r="B729" s="241" t="str">
        <f>HYPERLINK(CONCATENATE($AT$3,BK729,$AU$3),$AV$3)</f>
        <v>S</v>
      </c>
      <c r="C729" s="242" t="str">
        <f>HYPERLINK(CONCATENATE($AT$4,BK729,$AU$4,BL729),$AV$4)</f>
        <v>A</v>
      </c>
      <c r="D729" s="243" t="s">
        <v>5187</v>
      </c>
      <c r="E729" s="244" t="s">
        <v>5179</v>
      </c>
      <c r="F729" s="269">
        <v>3</v>
      </c>
      <c r="G729" s="273">
        <v>3</v>
      </c>
      <c r="H729" s="271" t="s">
        <v>6500</v>
      </c>
      <c r="I729" s="244" t="s">
        <v>6500</v>
      </c>
      <c r="J729" s="246">
        <v>1</v>
      </c>
      <c r="K729" s="247" t="s">
        <v>8534</v>
      </c>
      <c r="L729" s="248">
        <v>180130</v>
      </c>
      <c r="M729" s="249">
        <f>15*(LEFT(TEXT($L729,"000000"),2)+(MID(TEXT($L729,"000000"),3,2)/60)+(RIGHT(TEXT($L729,"000000"),2)/3600))</f>
        <v>270.375</v>
      </c>
      <c r="N729" s="286">
        <v>-283700</v>
      </c>
      <c r="O729" s="251">
        <f>IF($N729&gt;0,(LEFT(TEXT($N729,"000000"),2)+(MID(TEXT($N729,"000000"),3,2)/60)+(RIGHT(TEXT($N729,"000000"),2)/3600)),-(MID(TEXT($N729,"000000"),2,2)+(MID(TEXT($N729,"000000"),4,2)/60)+(RIGHT(TEXT($N729,"000000"),2)/3600)))</f>
        <v>-28.616666666666667</v>
      </c>
      <c r="P729" s="252" t="s">
        <v>119</v>
      </c>
      <c r="Q729" s="253"/>
      <c r="R729" s="277" t="s">
        <v>3293</v>
      </c>
      <c r="S729" s="272" t="s">
        <v>3293</v>
      </c>
      <c r="T729" s="273"/>
      <c r="U729" s="274"/>
      <c r="V729" s="256"/>
      <c r="W729" s="244"/>
      <c r="X729" s="244"/>
      <c r="Y729" s="362"/>
      <c r="Z729" s="257">
        <f>altaz(J2000_Bas,$O729,$M729,DecLat,DecLong,1)</f>
        <v>28.552677463042084</v>
      </c>
      <c r="AA729" s="257">
        <f>altaz((J2000_Bas+(2*0.04167)),$O729,$M729,DecLat,DecLong,1)</f>
        <v>16.184919083503935</v>
      </c>
      <c r="AB729" s="257">
        <f>altaz((J2000_Bas+(4*0.04167)),$O729,$M729,DecLat,DecLong,1)</f>
        <v>-3.5575174786651416</v>
      </c>
      <c r="AC729" s="257">
        <f>altaz((J2000_Bas+(6*0.04167)),$O729,$M729,DecLat,DecLong,1)</f>
        <v>-26.909488587614131</v>
      </c>
      <c r="AD729" s="258">
        <f>1+ transit((J2000_Bas-1),$O729,$M729,DecLat,DecLong)/360 + (GMTOffset/24) + (IF(DST="Y", 1, 0)/24)</f>
        <v>1.7439415521922081</v>
      </c>
      <c r="AE729" s="259">
        <f>DATE(2001,9,21)+(M729/360)*365 - (360*((DecLong/360)- (GMTOffset/24) ))</f>
        <v>37434.130208333336</v>
      </c>
      <c r="AF729" s="260">
        <f>IF(DecLat&gt;0,IF((90 - (DecLat-O729))&gt;90, (90 - (O729-DecLat)), (90 - (DecLat-O729))),IF((90 + (DecLat-O729))&gt;90, (90 + (O729-DecLat)), (90 + (DecLat-O729))))</f>
        <v>30.383333333333333</v>
      </c>
      <c r="AG729" s="257">
        <f>angularseperation(MoonRA,MoonDec,$M729,$O729)</f>
        <v>18.723698534842843</v>
      </c>
      <c r="AH729" s="261">
        <f ca="1">MIN(100,IF($O$5&gt;80,0+30*($AG729/100),IF($O$5&gt;70,0+50*($AG729/100),IF($O$5&gt;60,5+50*($AG729/100),IF($O$5&gt;50,10+60*($AG729/100),IF($O$5&gt;40,15+70*($AG729/100),IF($O$5&gt;30,20+70*($AG729/100),IF($O$5&gt;20,40+55*($AG729/100),(80+(20-$O$5)+30*($AG729/100))))))))))</f>
        <v>88.888169904603274</v>
      </c>
      <c r="AI729" s="263"/>
      <c r="AJ729" s="263"/>
      <c r="AK729" s="263"/>
      <c r="AL729" s="263"/>
      <c r="AM729" s="264"/>
      <c r="AN729" s="263"/>
      <c r="AO729" s="263"/>
      <c r="AP729" s="265"/>
      <c r="AQ729" s="265"/>
      <c r="AR729" s="285"/>
      <c r="AS729" s="263"/>
      <c r="AT729" s="263"/>
      <c r="AU729" s="263"/>
      <c r="AV729" s="264"/>
      <c r="AW729" s="263">
        <v>294</v>
      </c>
      <c r="AX729" s="263"/>
      <c r="AY729" s="263"/>
      <c r="AZ729" s="263"/>
      <c r="BA729" s="263"/>
      <c r="BB729" s="263"/>
      <c r="BC729" s="263"/>
      <c r="BD729" s="264"/>
      <c r="BE729" s="263"/>
      <c r="BF729" s="263"/>
      <c r="BG729" s="263"/>
      <c r="BH729" s="263"/>
      <c r="BI729" s="263"/>
      <c r="BJ729" s="404">
        <f>altaz(J2000_Bas,$O729,$M729,DecLat,DecLong,2)</f>
        <v>195.61787731629704</v>
      </c>
      <c r="BK729" s="378" t="s">
        <v>833</v>
      </c>
      <c r="BL729" s="379">
        <f>IF((2*G729)/60&lt;0.2,0.2,(2*G729)/60)</f>
        <v>0.2</v>
      </c>
      <c r="BM729" s="380">
        <f>MOD((50000+AD729-$B$3+(0/24)),1)</f>
        <v>0.95930848189891549</v>
      </c>
      <c r="BN729" s="381"/>
      <c r="BO729" s="382">
        <v>729</v>
      </c>
    </row>
    <row r="730" spans="1:67" s="24" customFormat="1" ht="15" customHeight="1" x14ac:dyDescent="0.25">
      <c r="A730" s="287" t="s">
        <v>834</v>
      </c>
      <c r="B730" s="241" t="str">
        <f>HYPERLINK(CONCATENATE($AT$3,BK730,$AU$3),$AV$3)</f>
        <v>S</v>
      </c>
      <c r="C730" s="242" t="str">
        <f>HYPERLINK(CONCATENATE($AT$4,BK730,$AU$4,BL730),$AV$4)</f>
        <v>A</v>
      </c>
      <c r="D730" s="243" t="s">
        <v>5187</v>
      </c>
      <c r="E730" s="244" t="s">
        <v>5179</v>
      </c>
      <c r="F730" s="269">
        <v>4</v>
      </c>
      <c r="G730" s="276">
        <v>50</v>
      </c>
      <c r="H730" s="271" t="s">
        <v>6500</v>
      </c>
      <c r="I730" s="244" t="s">
        <v>6500</v>
      </c>
      <c r="J730" s="246">
        <v>2</v>
      </c>
      <c r="K730" s="247" t="s">
        <v>6011</v>
      </c>
      <c r="L730" s="248">
        <v>180405</v>
      </c>
      <c r="M730" s="249">
        <f>15*(LEFT(TEXT($L730,"000000"),2)+(MID(TEXT($L730,"000000"),3,2)/60)+(RIGHT(TEXT($L730,"000000"),2)/3600))</f>
        <v>271.02083333333337</v>
      </c>
      <c r="N730" s="286">
        <v>-311100</v>
      </c>
      <c r="O730" s="251">
        <f>IF($N730&gt;0,(LEFT(TEXT($N730,"000000"),2)+(MID(TEXT($N730,"000000"),3,2)/60)+(RIGHT(TEXT($N730,"000000"),2)/3600)),-(MID(TEXT($N730,"000000"),2,2)+(MID(TEXT($N730,"000000"),4,2)/60)+(RIGHT(TEXT($N730,"000000"),2)/3600)))</f>
        <v>-31.183333333333334</v>
      </c>
      <c r="P730" s="252" t="s">
        <v>119</v>
      </c>
      <c r="Q730" s="253"/>
      <c r="R730" s="277" t="s">
        <v>3293</v>
      </c>
      <c r="S730" s="272" t="s">
        <v>3293</v>
      </c>
      <c r="T730" s="273"/>
      <c r="U730" s="274"/>
      <c r="V730" s="256"/>
      <c r="W730" s="244"/>
      <c r="X730" s="244"/>
      <c r="Y730" s="362"/>
      <c r="Z730" s="257">
        <f>altaz(J2000_Bas,$O730,$M730,DecLat,DecLong,1)</f>
        <v>26.213481108669491</v>
      </c>
      <c r="AA730" s="257">
        <f>altaz((J2000_Bas+(2*0.04167)),$O730,$M730,DecLat,DecLong,1)</f>
        <v>14.552022377579853</v>
      </c>
      <c r="AB730" s="257">
        <f>altaz((J2000_Bas+(4*0.04167)),$O730,$M730,DecLat,DecLong,1)</f>
        <v>-4.5163977480393118</v>
      </c>
      <c r="AC730" s="257">
        <f>altaz((J2000_Bas+(6*0.04167)),$O730,$M730,DecLat,DecLong,1)</f>
        <v>-27.347196869643881</v>
      </c>
      <c r="AD730" s="258">
        <f>1+ transit((J2000_Bas-1),$O730,$M730,DecLat,DecLong)/360 + (GMTOffset/24) + (IF(DST="Y", 1, 0)/24)</f>
        <v>1.7457355334942914</v>
      </c>
      <c r="AE730" s="259">
        <f>DATE(2001,9,21)+(M730/360)*365 - (360*((DecLong/360)- (GMTOffset/24) ))</f>
        <v>37434.785011574073</v>
      </c>
      <c r="AF730" s="260">
        <f>IF(DecLat&gt;0,IF((90 - (DecLat-O730))&gt;90, (90 - (O730-DecLat)), (90 - (DecLat-O730))),IF((90 + (DecLat-O730))&gt;90, (90 + (O730-DecLat)), (90 + (DecLat-O730))))</f>
        <v>27.816666666666663</v>
      </c>
      <c r="AG730" s="257">
        <f>angularseperation(MoonRA,MoonDec,$M730,$O730)</f>
        <v>19.425710417557035</v>
      </c>
      <c r="AH730" s="261">
        <f ca="1">MIN(100,IF($O$5&gt;80,0+30*($AG730/100),IF($O$5&gt;70,0+50*($AG730/100),IF($O$5&gt;60,5+50*($AG730/100),IF($O$5&gt;50,10+60*($AG730/100),IF($O$5&gt;40,15+70*($AG730/100),IF($O$5&gt;30,20+70*($AG730/100),IF($O$5&gt;20,40+55*($AG730/100),(80+(20-$O$5)+30*($AG730/100))))))))))</f>
        <v>89.098773469417537</v>
      </c>
      <c r="AI730" s="263"/>
      <c r="AJ730" s="263"/>
      <c r="AK730" s="263"/>
      <c r="AL730" s="263"/>
      <c r="AM730" s="264"/>
      <c r="AN730" s="263"/>
      <c r="AO730" s="263"/>
      <c r="AP730" s="265"/>
      <c r="AQ730" s="265"/>
      <c r="AR730" s="285"/>
      <c r="AS730" s="263"/>
      <c r="AT730" s="263"/>
      <c r="AU730" s="263"/>
      <c r="AV730" s="264"/>
      <c r="AW730" s="263">
        <v>295</v>
      </c>
      <c r="AX730" s="263"/>
      <c r="AY730" s="263"/>
      <c r="AZ730" s="263"/>
      <c r="BA730" s="263"/>
      <c r="BB730" s="263"/>
      <c r="BC730" s="263"/>
      <c r="BD730" s="264"/>
      <c r="BE730" s="263"/>
      <c r="BF730" s="263"/>
      <c r="BG730" s="263"/>
      <c r="BH730" s="263"/>
      <c r="BI730" s="263"/>
      <c r="BJ730" s="404">
        <f>altaz(J2000_Bas,$O730,$M730,DecLat,DecLong,2)</f>
        <v>194.27131220922936</v>
      </c>
      <c r="BK730" s="378" t="s">
        <v>834</v>
      </c>
      <c r="BL730" s="379">
        <f>IF((2*G730)/60&lt;0.2,0.2,(2*G730)/60)</f>
        <v>1.6666666666666667</v>
      </c>
      <c r="BM730" s="380">
        <f>MOD((50000+AD730-$B$3+(0/24)),1)</f>
        <v>0.96110246319585713</v>
      </c>
      <c r="BN730" s="381"/>
      <c r="BO730" s="382">
        <v>730</v>
      </c>
    </row>
    <row r="731" spans="1:67" s="24" customFormat="1" ht="15" customHeight="1" x14ac:dyDescent="0.25">
      <c r="A731" s="288" t="s">
        <v>835</v>
      </c>
      <c r="B731" s="241" t="str">
        <f>HYPERLINK(CONCATENATE($AT$3,BK731,$AU$3),$AV$3)</f>
        <v>S</v>
      </c>
      <c r="C731" s="242" t="str">
        <f>HYPERLINK(CONCATENATE($AT$4,BK731,$AU$4,BL731),$AV$4)</f>
        <v>A</v>
      </c>
      <c r="D731" s="243" t="s">
        <v>5187</v>
      </c>
      <c r="E731" s="244" t="s">
        <v>5179</v>
      </c>
      <c r="F731" s="269">
        <v>5</v>
      </c>
      <c r="G731" s="273">
        <v>6</v>
      </c>
      <c r="H731" s="271" t="s">
        <v>6500</v>
      </c>
      <c r="I731" s="244" t="s">
        <v>6500</v>
      </c>
      <c r="J731" s="246">
        <v>2</v>
      </c>
      <c r="K731" s="247" t="s">
        <v>6012</v>
      </c>
      <c r="L731" s="248">
        <v>180404</v>
      </c>
      <c r="M731" s="249">
        <f>15*(LEFT(TEXT($L731,"000000"),2)+(MID(TEXT($L731,"000000"),3,2)/60)+(RIGHT(TEXT($L731,"000000"),2)/3600))</f>
        <v>271.01666666666665</v>
      </c>
      <c r="N731" s="286">
        <v>-243300</v>
      </c>
      <c r="O731" s="251">
        <f>IF($N731&gt;0,(LEFT(TEXT($N731,"000000"),2)+(MID(TEXT($N731,"000000"),3,2)/60)+(RIGHT(TEXT($N731,"000000"),2)/3600)),-(MID(TEXT($N731,"000000"),2,2)+(MID(TEXT($N731,"000000"),4,2)/60)+(RIGHT(TEXT($N731,"000000"),2)/3600)))</f>
        <v>-24.55</v>
      </c>
      <c r="P731" s="252" t="s">
        <v>119</v>
      </c>
      <c r="Q731" s="253"/>
      <c r="R731" s="277" t="s">
        <v>3293</v>
      </c>
      <c r="S731" s="272" t="s">
        <v>3293</v>
      </c>
      <c r="T731" s="273"/>
      <c r="U731" s="274"/>
      <c r="V731" s="256"/>
      <c r="W731" s="244"/>
      <c r="X731" s="244"/>
      <c r="Y731" s="362"/>
      <c r="Z731" s="257">
        <f>altaz(J2000_Bas,$O731,$M731,DecLat,DecLong,1)</f>
        <v>32.627111360356068</v>
      </c>
      <c r="AA731" s="257">
        <f>altaz((J2000_Bas+(2*0.04167)),$O731,$M731,DecLat,DecLong,1)</f>
        <v>19.672627853464327</v>
      </c>
      <c r="AB731" s="257">
        <f>altaz((J2000_Bas+(4*0.04167)),$O731,$M731,DecLat,DecLong,1)</f>
        <v>-0.81562079253733</v>
      </c>
      <c r="AC731" s="257">
        <f>altaz((J2000_Bas+(6*0.04167)),$O731,$M731,DecLat,DecLong,1)</f>
        <v>-24.767359090441186</v>
      </c>
      <c r="AD731" s="258">
        <f>1+ transit((J2000_Bas-1),$O731,$M731,DecLat,DecLong)/360 + (GMTOffset/24) + (IF(DST="Y", 1, 0)/24)</f>
        <v>1.7457239594213747</v>
      </c>
      <c r="AE731" s="259">
        <f>DATE(2001,9,21)+(M731/360)*365 - (360*((DecLong/360)- (GMTOffset/24) ))</f>
        <v>37434.780787037038</v>
      </c>
      <c r="AF731" s="260">
        <f>IF(DecLat&gt;0,IF((90 - (DecLat-O731))&gt;90, (90 - (O731-DecLat)), (90 - (DecLat-O731))),IF((90 + (DecLat-O731))&gt;90, (90 + (O731-DecLat)), (90 + (DecLat-O731))))</f>
        <v>34.450000000000003</v>
      </c>
      <c r="AG731" s="257">
        <f>angularseperation(MoonRA,MoonDec,$M731,$O731)</f>
        <v>19.739375800794416</v>
      </c>
      <c r="AH731" s="261">
        <f ca="1">MIN(100,IF($O$5&gt;80,0+30*($AG731/100),IF($O$5&gt;70,0+50*($AG731/100),IF($O$5&gt;60,5+50*($AG731/100),IF($O$5&gt;50,10+60*($AG731/100),IF($O$5&gt;40,15+70*($AG731/100),IF($O$5&gt;30,20+70*($AG731/100),IF($O$5&gt;20,40+55*($AG731/100),(80+(20-$O$5)+30*($AG731/100))))))))))</f>
        <v>89.192873084388751</v>
      </c>
      <c r="AI731" s="263"/>
      <c r="AJ731" s="263"/>
      <c r="AK731" s="263"/>
      <c r="AL731" s="263"/>
      <c r="AM731" s="264"/>
      <c r="AN731" s="263"/>
      <c r="AO731" s="263"/>
      <c r="AP731" s="265"/>
      <c r="AQ731" s="265"/>
      <c r="AR731" s="285"/>
      <c r="AS731" s="263"/>
      <c r="AT731" s="263"/>
      <c r="AU731" s="263"/>
      <c r="AV731" s="264"/>
      <c r="AW731" s="263">
        <v>296</v>
      </c>
      <c r="AX731" s="263"/>
      <c r="AY731" s="263"/>
      <c r="AZ731" s="263"/>
      <c r="BA731" s="263"/>
      <c r="BB731" s="263"/>
      <c r="BC731" s="263"/>
      <c r="BD731" s="264"/>
      <c r="BE731" s="263"/>
      <c r="BF731" s="263"/>
      <c r="BG731" s="263"/>
      <c r="BH731" s="263"/>
      <c r="BI731" s="263"/>
      <c r="BJ731" s="404">
        <f>altaz(J2000_Bas,$O731,$M731,DecLat,DecLong,2)</f>
        <v>196.2170515161099</v>
      </c>
      <c r="BK731" s="378" t="s">
        <v>835</v>
      </c>
      <c r="BL731" s="379">
        <f>IF((2*G731)/60&lt;0.2,0.2,(2*G731)/60)</f>
        <v>0.2</v>
      </c>
      <c r="BM731" s="380">
        <f>MOD((50000+AD731-$B$3+(0/24)),1)</f>
        <v>0.96109088912635343</v>
      </c>
      <c r="BN731" s="381"/>
      <c r="BO731" s="382">
        <v>731</v>
      </c>
    </row>
    <row r="732" spans="1:67" s="24" customFormat="1" ht="15" customHeight="1" x14ac:dyDescent="0.25">
      <c r="A732" s="287" t="s">
        <v>836</v>
      </c>
      <c r="B732" s="241" t="str">
        <f>HYPERLINK(CONCATENATE($AT$3,BK732,$AU$3),$AV$3)</f>
        <v>S</v>
      </c>
      <c r="C732" s="242" t="str">
        <f>HYPERLINK(CONCATENATE($AT$4,BK732,$AU$4,BL732),$AV$4)</f>
        <v>A</v>
      </c>
      <c r="D732" s="243" t="s">
        <v>5187</v>
      </c>
      <c r="E732" s="244" t="s">
        <v>5179</v>
      </c>
      <c r="F732" s="269">
        <v>3</v>
      </c>
      <c r="G732" s="276">
        <v>90</v>
      </c>
      <c r="H732" s="271" t="s">
        <v>6500</v>
      </c>
      <c r="I732" s="244" t="s">
        <v>6500</v>
      </c>
      <c r="J732" s="246">
        <v>1</v>
      </c>
      <c r="K732" s="247" t="s">
        <v>8397</v>
      </c>
      <c r="L732" s="248">
        <v>180421</v>
      </c>
      <c r="M732" s="249">
        <f>15*(LEFT(TEXT($L732,"000000"),2)+(MID(TEXT($L732,"000000"),3,2)/60)+(RIGHT(TEXT($L732,"000000"),2)/3600))</f>
        <v>271.08749999999998</v>
      </c>
      <c r="N732" s="286">
        <v>-184600</v>
      </c>
      <c r="O732" s="251">
        <f>IF($N732&gt;0,(LEFT(TEXT($N732,"000000"),2)+(MID(TEXT($N732,"000000"),3,2)/60)+(RIGHT(TEXT($N732,"000000"),2)/3600)),-(MID(TEXT($N732,"000000"),2,2)+(MID(TEXT($N732,"000000"),4,2)/60)+(RIGHT(TEXT($N732,"000000"),2)/3600)))</f>
        <v>-18.766666666666666</v>
      </c>
      <c r="P732" s="252" t="s">
        <v>119</v>
      </c>
      <c r="Q732" s="253"/>
      <c r="R732" s="277" t="s">
        <v>3293</v>
      </c>
      <c r="S732" s="272" t="s">
        <v>3293</v>
      </c>
      <c r="T732" s="273"/>
      <c r="U732" s="274"/>
      <c r="V732" s="256"/>
      <c r="W732" s="244"/>
      <c r="X732" s="244"/>
      <c r="Y732" s="362"/>
      <c r="Z732" s="257">
        <f>altaz(J2000_Bas,$O732,$M732,DecLat,DecLong,1)</f>
        <v>38.21088841887488</v>
      </c>
      <c r="AA732" s="257">
        <f>altaz((J2000_Bas+(2*0.04167)),$O732,$M732,DecLat,DecLong,1)</f>
        <v>24.091426975991908</v>
      </c>
      <c r="AB732" s="257">
        <f>altaz((J2000_Bas+(4*0.04167)),$O732,$M732,DecLat,DecLong,1)</f>
        <v>2.4764612520157057</v>
      </c>
      <c r="AC732" s="257">
        <f>altaz((J2000_Bas+(6*0.04167)),$O732,$M732,DecLat,DecLong,1)</f>
        <v>-22.213589920863196</v>
      </c>
      <c r="AD732" s="258">
        <f>1+ transit((J2000_Bas-1),$O732,$M732,DecLat,DecLong)/360 + (GMTOffset/24) + (IF(DST="Y", 1, 0)/24)</f>
        <v>1.745920718660958</v>
      </c>
      <c r="AE732" s="259">
        <f>DATE(2001,9,21)+(M732/360)*365 - (360*((DecLong/360)- (GMTOffset/24) ))</f>
        <v>37434.85260416667</v>
      </c>
      <c r="AF732" s="260">
        <f>IF(DecLat&gt;0,IF((90 - (DecLat-O732))&gt;90, (90 - (O732-DecLat)), (90 - (DecLat-O732))),IF((90 + (DecLat-O732))&gt;90, (90 + (O732-DecLat)), (90 + (DecLat-O732))))</f>
        <v>40.233333333333334</v>
      </c>
      <c r="AG732" s="257">
        <f>angularseperation(MoonRA,MoonDec,$M732,$O732)</f>
        <v>21.728948905881058</v>
      </c>
      <c r="AH732" s="261">
        <f ca="1">MIN(100,IF($O$5&gt;80,0+30*($AG732/100),IF($O$5&gt;70,0+50*($AG732/100),IF($O$5&gt;60,5+50*($AG732/100),IF($O$5&gt;50,10+60*($AG732/100),IF($O$5&gt;40,15+70*($AG732/100),IF($O$5&gt;30,20+70*($AG732/100),IF($O$5&gt;20,40+55*($AG732/100),(80+(20-$O$5)+30*($AG732/100))))))))))</f>
        <v>89.789745015914747</v>
      </c>
      <c r="AI732" s="263"/>
      <c r="AJ732" s="263"/>
      <c r="AK732" s="263"/>
      <c r="AL732" s="263"/>
      <c r="AM732" s="264"/>
      <c r="AN732" s="263"/>
      <c r="AO732" s="263"/>
      <c r="AP732" s="265"/>
      <c r="AQ732" s="265"/>
      <c r="AR732" s="285"/>
      <c r="AS732" s="263"/>
      <c r="AT732" s="263"/>
      <c r="AU732" s="263"/>
      <c r="AV732" s="264"/>
      <c r="AW732" s="263">
        <v>297</v>
      </c>
      <c r="AX732" s="263"/>
      <c r="AY732" s="263"/>
      <c r="AZ732" s="263"/>
      <c r="BA732" s="263"/>
      <c r="BB732" s="263"/>
      <c r="BC732" s="263"/>
      <c r="BD732" s="264"/>
      <c r="BE732" s="263"/>
      <c r="BF732" s="263"/>
      <c r="BG732" s="263"/>
      <c r="BH732" s="263"/>
      <c r="BI732" s="263"/>
      <c r="BJ732" s="404">
        <f>altaz(J2000_Bas,$O732,$M732,DecLat,DecLong,2)</f>
        <v>198.06882573934493</v>
      </c>
      <c r="BK732" s="378" t="s">
        <v>836</v>
      </c>
      <c r="BL732" s="379">
        <f>IF((2*G732)/60&lt;0.2,0.2,(2*G732)/60)</f>
        <v>3</v>
      </c>
      <c r="BM732" s="380">
        <f>MOD((50000+AD732-$B$3+(0/24)),1)</f>
        <v>0.9612876483661239</v>
      </c>
      <c r="BN732" s="381"/>
      <c r="BO732" s="382">
        <v>732</v>
      </c>
    </row>
    <row r="733" spans="1:67" s="24" customFormat="1" ht="15" customHeight="1" x14ac:dyDescent="0.25">
      <c r="A733" s="288" t="s">
        <v>837</v>
      </c>
      <c r="B733" s="241" t="str">
        <f>HYPERLINK(CONCATENATE($AT$3,BK733,$AU$3),$AV$3)</f>
        <v>S</v>
      </c>
      <c r="C733" s="242" t="str">
        <f>HYPERLINK(CONCATENATE($AT$4,BK733,$AU$4,BL733),$AV$4)</f>
        <v>A</v>
      </c>
      <c r="D733" s="243" t="s">
        <v>5187</v>
      </c>
      <c r="E733" s="244" t="s">
        <v>5179</v>
      </c>
      <c r="F733" s="269">
        <v>0</v>
      </c>
      <c r="G733" s="276">
        <v>20</v>
      </c>
      <c r="H733" s="271" t="s">
        <v>6500</v>
      </c>
      <c r="I733" s="244" t="s">
        <v>6500</v>
      </c>
      <c r="J733" s="246">
        <v>1</v>
      </c>
      <c r="K733" s="247" t="s">
        <v>5898</v>
      </c>
      <c r="L733" s="248">
        <v>180511</v>
      </c>
      <c r="M733" s="249">
        <f>15*(LEFT(TEXT($L733,"000000"),2)+(MID(TEXT($L733,"000000"),3,2)/60)+(RIGHT(TEXT($L733,"000000"),2)/3600))</f>
        <v>271.29583333333329</v>
      </c>
      <c r="N733" s="286">
        <v>-300700</v>
      </c>
      <c r="O733" s="251">
        <f>IF($N733&gt;0,(LEFT(TEXT($N733,"000000"),2)+(MID(TEXT($N733,"000000"),3,2)/60)+(RIGHT(TEXT($N733,"000000"),2)/3600)),-(MID(TEXT($N733,"000000"),2,2)+(MID(TEXT($N733,"000000"),4,2)/60)+(RIGHT(TEXT($N733,"000000"),2)/3600)))</f>
        <v>-30.116666666666667</v>
      </c>
      <c r="P733" s="252" t="s">
        <v>119</v>
      </c>
      <c r="Q733" s="253"/>
      <c r="R733" s="247" t="s">
        <v>3293</v>
      </c>
      <c r="S733" s="272" t="s">
        <v>4414</v>
      </c>
      <c r="T733" s="273"/>
      <c r="U733" s="274"/>
      <c r="V733" s="256"/>
      <c r="W733" s="244"/>
      <c r="X733" s="244"/>
      <c r="Y733" s="362"/>
      <c r="Z733" s="257">
        <f>altaz(J2000_Bas,$O733,$M733,DecLat,DecLong,1)</f>
        <v>27.305568549047067</v>
      </c>
      <c r="AA733" s="257">
        <f>altaz((J2000_Bas+(2*0.04167)),$O733,$M733,DecLat,DecLong,1)</f>
        <v>15.531410854610716</v>
      </c>
      <c r="AB733" s="257">
        <f>altaz((J2000_Bas+(4*0.04167)),$O733,$M733,DecLat,DecLong,1)</f>
        <v>-3.725313543021457</v>
      </c>
      <c r="AC733" s="257">
        <f>altaz((J2000_Bas+(6*0.04167)),$O733,$M733,DecLat,DecLong,1)</f>
        <v>-26.733068126539248</v>
      </c>
      <c r="AD733" s="258">
        <f>1+ transit((J2000_Bas-1),$O733,$M733,DecLat,DecLong)/360 + (GMTOffset/24) + (IF(DST="Y", 1, 0)/24)</f>
        <v>1.7464994223067913</v>
      </c>
      <c r="AE733" s="259">
        <f>DATE(2001,9,21)+(M733/360)*365 - (360*((DecLong/360)- (GMTOffset/24) ))</f>
        <v>37435.063831018517</v>
      </c>
      <c r="AF733" s="260">
        <f>IF(DecLat&gt;0,IF((90 - (DecLat-O733))&gt;90, (90 - (O733-DecLat)), (90 - (DecLat-O733))),IF((90 + (DecLat-O733))&gt;90, (90 + (O733-DecLat)), (90 + (DecLat-O733))))</f>
        <v>28.883333333333333</v>
      </c>
      <c r="AG733" s="257">
        <f>angularseperation(MoonRA,MoonDec,$M733,$O733)</f>
        <v>19.567332396182785</v>
      </c>
      <c r="AH733" s="261">
        <f ca="1">MIN(100,IF($O$5&gt;80,0+30*($AG733/100),IF($O$5&gt;70,0+50*($AG733/100),IF($O$5&gt;60,5+50*($AG733/100),IF($O$5&gt;50,10+60*($AG733/100),IF($O$5&gt;40,15+70*($AG733/100),IF($O$5&gt;30,20+70*($AG733/100),IF($O$5&gt;20,40+55*($AG733/100),(80+(20-$O$5)+30*($AG733/100))))))))))</f>
        <v>89.141260063005262</v>
      </c>
      <c r="AI733" s="262"/>
      <c r="AJ733" s="262"/>
      <c r="AK733" s="262"/>
      <c r="AL733" s="263"/>
      <c r="AM733" s="264"/>
      <c r="AN733" s="263"/>
      <c r="AO733" s="263"/>
      <c r="AP733" s="265"/>
      <c r="AQ733" s="266"/>
      <c r="AR733" s="267"/>
      <c r="AS733" s="263"/>
      <c r="AT733" s="263"/>
      <c r="AU733" s="263"/>
      <c r="AV733" s="264"/>
      <c r="AW733" s="263">
        <v>298</v>
      </c>
      <c r="AX733" s="263"/>
      <c r="AY733" s="263"/>
      <c r="AZ733" s="263"/>
      <c r="BA733" s="263"/>
      <c r="BB733" s="263"/>
      <c r="BC733" s="263"/>
      <c r="BD733" s="264"/>
      <c r="BE733" s="263"/>
      <c r="BF733" s="263"/>
      <c r="BG733" s="263"/>
      <c r="BH733" s="263"/>
      <c r="BI733" s="263"/>
      <c r="BJ733" s="404">
        <f>altaz(J2000_Bas,$O733,$M733,DecLat,DecLong,2)</f>
        <v>194.30829506599665</v>
      </c>
      <c r="BK733" s="378" t="s">
        <v>837</v>
      </c>
      <c r="BL733" s="379">
        <f>IF((2*G733)/60&lt;0.2,0.2,(2*G733)/60)</f>
        <v>0.66666666666666663</v>
      </c>
      <c r="BM733" s="380">
        <f>MOD((50000+AD733-$B$3+(0/24)),1)</f>
        <v>0.96186635200865567</v>
      </c>
      <c r="BN733" s="381"/>
      <c r="BO733" s="382">
        <v>733</v>
      </c>
    </row>
    <row r="734" spans="1:67" s="24" customFormat="1" ht="15" customHeight="1" x14ac:dyDescent="0.25">
      <c r="A734" s="287" t="s">
        <v>838</v>
      </c>
      <c r="B734" s="241" t="str">
        <f>HYPERLINK(CONCATENATE($AT$3,BK734,$AU$3),$AV$3)</f>
        <v>S</v>
      </c>
      <c r="C734" s="242" t="str">
        <f>HYPERLINK(CONCATENATE($AT$4,BK734,$AU$4,BL734),$AV$4)</f>
        <v>A</v>
      </c>
      <c r="D734" s="243" t="s">
        <v>5187</v>
      </c>
      <c r="E734" s="244" t="s">
        <v>5179</v>
      </c>
      <c r="F734" s="269">
        <v>3</v>
      </c>
      <c r="G734" s="273">
        <v>3</v>
      </c>
      <c r="H734" s="271" t="s">
        <v>6500</v>
      </c>
      <c r="I734" s="244" t="s">
        <v>6500</v>
      </c>
      <c r="J734" s="246">
        <v>1</v>
      </c>
      <c r="K734" s="247" t="s">
        <v>5899</v>
      </c>
      <c r="L734" s="248">
        <v>180620</v>
      </c>
      <c r="M734" s="249">
        <f>15*(LEFT(TEXT($L734,"000000"),2)+(MID(TEXT($L734,"000000"),3,2)/60)+(RIGHT(TEXT($L734,"000000"),2)/3600))</f>
        <v>271.58333333333337</v>
      </c>
      <c r="N734" s="286">
        <v>-271800</v>
      </c>
      <c r="O734" s="251">
        <f>IF($N734&gt;0,(LEFT(TEXT($N734,"000000"),2)+(MID(TEXT($N734,"000000"),3,2)/60)+(RIGHT(TEXT($N734,"000000"),2)/3600)),-(MID(TEXT($N734,"000000"),2,2)+(MID(TEXT($N734,"000000"),4,2)/60)+(RIGHT(TEXT($N734,"000000"),2)/3600)))</f>
        <v>-27.3</v>
      </c>
      <c r="P734" s="252" t="s">
        <v>119</v>
      </c>
      <c r="Q734" s="253"/>
      <c r="R734" s="277" t="s">
        <v>3293</v>
      </c>
      <c r="S734" s="272" t="s">
        <v>3293</v>
      </c>
      <c r="T734" s="273"/>
      <c r="U734" s="274"/>
      <c r="V734" s="256"/>
      <c r="W734" s="244"/>
      <c r="X734" s="244"/>
      <c r="Y734" s="362"/>
      <c r="Z734" s="257">
        <f>altaz(J2000_Bas,$O734,$M734,DecLat,DecLong,1)</f>
        <v>30.097819804904862</v>
      </c>
      <c r="AA734" s="257">
        <f>altaz((J2000_Bas+(2*0.04167)),$O734,$M734,DecLat,DecLong,1)</f>
        <v>17.879768510706693</v>
      </c>
      <c r="AB734" s="257">
        <f>altaz((J2000_Bas+(4*0.04167)),$O734,$M734,DecLat,DecLong,1)</f>
        <v>-1.9370046847393132</v>
      </c>
      <c r="AC734" s="257">
        <f>altaz((J2000_Bas+(6*0.04167)),$O734,$M734,DecLat,DecLong,1)</f>
        <v>-25.414239357155619</v>
      </c>
      <c r="AD734" s="258">
        <f>1+ transit((J2000_Bas-1),$O734,$M734,DecLat,DecLong)/360 + (GMTOffset/24) + (IF(DST="Y", 1, 0)/24)</f>
        <v>1.7472980333380415</v>
      </c>
      <c r="AE734" s="259">
        <f>DATE(2001,9,21)+(M734/360)*365 - (360*((DecLong/360)- (GMTOffset/24) ))</f>
        <v>37435.355324074073</v>
      </c>
      <c r="AF734" s="260">
        <f>IF(DecLat&gt;0,IF((90 - (DecLat-O734))&gt;90, (90 - (O734-DecLat)), (90 - (DecLat-O734))),IF((90 + (DecLat-O734))&gt;90, (90 + (O734-DecLat)), (90 + (DecLat-O734))))</f>
        <v>31.700000000000003</v>
      </c>
      <c r="AG734" s="257">
        <f>angularseperation(MoonRA,MoonDec,$M734,$O734)</f>
        <v>19.846797014747583</v>
      </c>
      <c r="AH734" s="261">
        <f ca="1">MIN(100,IF($O$5&gt;80,0+30*($AG734/100),IF($O$5&gt;70,0+50*($AG734/100),IF($O$5&gt;60,5+50*($AG734/100),IF($O$5&gt;50,10+60*($AG734/100),IF($O$5&gt;40,15+70*($AG734/100),IF($O$5&gt;30,20+70*($AG734/100),IF($O$5&gt;20,40+55*($AG734/100),(80+(20-$O$5)+30*($AG734/100))))))))))</f>
        <v>89.225099448574696</v>
      </c>
      <c r="AI734" s="263"/>
      <c r="AJ734" s="263"/>
      <c r="AK734" s="263"/>
      <c r="AL734" s="263"/>
      <c r="AM734" s="264"/>
      <c r="AN734" s="263"/>
      <c r="AO734" s="263"/>
      <c r="AP734" s="265"/>
      <c r="AQ734" s="265"/>
      <c r="AR734" s="285"/>
      <c r="AS734" s="263"/>
      <c r="AT734" s="263"/>
      <c r="AU734" s="263"/>
      <c r="AV734" s="264"/>
      <c r="AW734" s="263">
        <v>299</v>
      </c>
      <c r="AX734" s="263"/>
      <c r="AY734" s="263"/>
      <c r="AZ734" s="263"/>
      <c r="BA734" s="263"/>
      <c r="BB734" s="263"/>
      <c r="BC734" s="263"/>
      <c r="BD734" s="264"/>
      <c r="BE734" s="263"/>
      <c r="BF734" s="263"/>
      <c r="BG734" s="263"/>
      <c r="BH734" s="263"/>
      <c r="BI734" s="263"/>
      <c r="BJ734" s="404">
        <f>altaz(J2000_Bas,$O734,$M734,DecLat,DecLong,2)</f>
        <v>194.81889250036065</v>
      </c>
      <c r="BK734" s="378" t="s">
        <v>838</v>
      </c>
      <c r="BL734" s="379">
        <f>IF((2*G734)/60&lt;0.2,0.2,(2*G734)/60)</f>
        <v>0.2</v>
      </c>
      <c r="BM734" s="380">
        <f>MOD((50000+AD734-$B$3+(0/24)),1)</f>
        <v>0.96266496304451721</v>
      </c>
      <c r="BN734" s="381"/>
      <c r="BO734" s="382">
        <v>734</v>
      </c>
    </row>
    <row r="735" spans="1:67" s="24" customFormat="1" ht="15" customHeight="1" x14ac:dyDescent="0.25">
      <c r="A735" s="287" t="s">
        <v>839</v>
      </c>
      <c r="B735" s="241" t="str">
        <f>HYPERLINK(CONCATENATE($AT$3,BK735,$AU$3),$AV$3)</f>
        <v>S</v>
      </c>
      <c r="C735" s="242" t="str">
        <f>HYPERLINK(CONCATENATE($AT$4,BK735,$AU$4,BL735),$AV$4)</f>
        <v>A</v>
      </c>
      <c r="D735" s="243" t="s">
        <v>5187</v>
      </c>
      <c r="E735" s="244" t="s">
        <v>5179</v>
      </c>
      <c r="F735" s="269">
        <v>4</v>
      </c>
      <c r="G735" s="276">
        <v>20</v>
      </c>
      <c r="H735" s="271" t="s">
        <v>6500</v>
      </c>
      <c r="I735" s="244" t="s">
        <v>6500</v>
      </c>
      <c r="J735" s="246">
        <v>1</v>
      </c>
      <c r="K735" s="247" t="s">
        <v>5900</v>
      </c>
      <c r="L735" s="248">
        <v>180701</v>
      </c>
      <c r="M735" s="249">
        <f>15*(LEFT(TEXT($L735,"000000"),2)+(MID(TEXT($L735,"000000"),3,2)/60)+(RIGHT(TEXT($L735,"000000"),2)/3600))</f>
        <v>271.75416666666666</v>
      </c>
      <c r="N735" s="286">
        <v>-324000</v>
      </c>
      <c r="O735" s="251">
        <f>IF($N735&gt;0,(LEFT(TEXT($N735,"000000"),2)+(MID(TEXT($N735,"000000"),3,2)/60)+(RIGHT(TEXT($N735,"000000"),2)/3600)),-(MID(TEXT($N735,"000000"),2,2)+(MID(TEXT($N735,"000000"),4,2)/60)+(RIGHT(TEXT($N735,"000000"),2)/3600)))</f>
        <v>-32.666666666666664</v>
      </c>
      <c r="P735" s="252" t="s">
        <v>119</v>
      </c>
      <c r="Q735" s="253"/>
      <c r="R735" s="277" t="s">
        <v>3293</v>
      </c>
      <c r="S735" s="272" t="s">
        <v>3293</v>
      </c>
      <c r="T735" s="273"/>
      <c r="U735" s="274"/>
      <c r="V735" s="256"/>
      <c r="W735" s="244"/>
      <c r="X735" s="244"/>
      <c r="Y735" s="362"/>
      <c r="Z735" s="257">
        <f>altaz(J2000_Bas,$O735,$M735,DecLat,DecLong,1)</f>
        <v>24.922686945763949</v>
      </c>
      <c r="AA735" s="257">
        <f>altaz((J2000_Bas+(2*0.04167)),$O735,$M735,DecLat,DecLong,1)</f>
        <v>13.777405869073277</v>
      </c>
      <c r="AB735" s="257">
        <f>altaz((J2000_Bas+(4*0.04167)),$O735,$M735,DecLat,DecLong,1)</f>
        <v>-4.8275249672816134</v>
      </c>
      <c r="AC735" s="257">
        <f>altaz((J2000_Bas+(6*0.04167)),$O735,$M735,DecLat,DecLong,1)</f>
        <v>-27.302482320238354</v>
      </c>
      <c r="AD735" s="258">
        <f>1+ transit((J2000_Bas-1),$O735,$M735,DecLat,DecLong)/360 + (GMTOffset/24) + (IF(DST="Y", 1, 0)/24)</f>
        <v>1.7477725703276248</v>
      </c>
      <c r="AE735" s="259">
        <f>DATE(2001,9,21)+(M735/360)*365 - (360*((DecLong/360)- (GMTOffset/24) ))</f>
        <v>37435.52853009259</v>
      </c>
      <c r="AF735" s="260">
        <f>IF(DecLat&gt;0,IF((90 - (DecLat-O735))&gt;90, (90 - (O735-DecLat)), (90 - (DecLat-O735))),IF((90 + (DecLat-O735))&gt;90, (90 + (O735-DecLat)), (90 + (DecLat-O735))))</f>
        <v>26.333333333333336</v>
      </c>
      <c r="AG735" s="257">
        <f>angularseperation(MoonRA,MoonDec,$M735,$O735)</f>
        <v>20.25806000562563</v>
      </c>
      <c r="AH735" s="261">
        <f ca="1">MIN(100,IF($O$5&gt;80,0+30*($AG735/100),IF($O$5&gt;70,0+50*($AG735/100),IF($O$5&gt;60,5+50*($AG735/100),IF($O$5&gt;50,10+60*($AG735/100),IF($O$5&gt;40,15+70*($AG735/100),IF($O$5&gt;30,20+70*($AG735/100),IF($O$5&gt;20,40+55*($AG735/100),(80+(20-$O$5)+30*($AG735/100))))))))))</f>
        <v>89.348478345838117</v>
      </c>
      <c r="AI735" s="263"/>
      <c r="AJ735" s="263"/>
      <c r="AK735" s="263"/>
      <c r="AL735" s="263"/>
      <c r="AM735" s="264"/>
      <c r="AN735" s="263"/>
      <c r="AO735" s="263"/>
      <c r="AP735" s="265"/>
      <c r="AQ735" s="265"/>
      <c r="AR735" s="285"/>
      <c r="AS735" s="263"/>
      <c r="AT735" s="263"/>
      <c r="AU735" s="263"/>
      <c r="AV735" s="264"/>
      <c r="AW735" s="263">
        <v>300</v>
      </c>
      <c r="AX735" s="263"/>
      <c r="AY735" s="263"/>
      <c r="AZ735" s="263"/>
      <c r="BA735" s="263"/>
      <c r="BB735" s="263"/>
      <c r="BC735" s="263"/>
      <c r="BD735" s="264"/>
      <c r="BE735" s="263"/>
      <c r="BF735" s="263"/>
      <c r="BG735" s="263"/>
      <c r="BH735" s="263"/>
      <c r="BI735" s="263"/>
      <c r="BJ735" s="404">
        <f>altaz(J2000_Bas,$O735,$M735,DecLat,DecLong,2)</f>
        <v>193.20712869385468</v>
      </c>
      <c r="BK735" s="378" t="s">
        <v>839</v>
      </c>
      <c r="BL735" s="379">
        <f>IF((2*G735)/60&lt;0.2,0.2,(2*G735)/60)</f>
        <v>0.66666666666666663</v>
      </c>
      <c r="BM735" s="380">
        <f>MOD((50000+AD735-$B$3+(0/24)),1)</f>
        <v>0.96313950003241189</v>
      </c>
      <c r="BN735" s="381"/>
      <c r="BO735" s="382">
        <v>735</v>
      </c>
    </row>
    <row r="736" spans="1:67" s="24" customFormat="1" ht="15" customHeight="1" x14ac:dyDescent="0.25">
      <c r="A736" s="287" t="s">
        <v>840</v>
      </c>
      <c r="B736" s="241" t="str">
        <f>HYPERLINK(CONCATENATE($AT$3,BK736,$AU$3),$AV$3)</f>
        <v>S</v>
      </c>
      <c r="C736" s="242" t="str">
        <f>HYPERLINK(CONCATENATE($AT$4,BK736,$AU$4,BL736),$AV$4)</f>
        <v>A</v>
      </c>
      <c r="D736" s="243" t="s">
        <v>5187</v>
      </c>
      <c r="E736" s="244" t="s">
        <v>5179</v>
      </c>
      <c r="F736" s="269">
        <v>3</v>
      </c>
      <c r="G736" s="276">
        <v>45</v>
      </c>
      <c r="H736" s="271" t="s">
        <v>6500</v>
      </c>
      <c r="I736" s="244" t="s">
        <v>6500</v>
      </c>
      <c r="J736" s="246">
        <v>0</v>
      </c>
      <c r="K736" s="247" t="s">
        <v>6013</v>
      </c>
      <c r="L736" s="248">
        <v>180851</v>
      </c>
      <c r="M736" s="249">
        <f>15*(LEFT(TEXT($L736,"000000"),2)+(MID(TEXT($L736,"000000"),3,2)/60)+(RIGHT(TEXT($L736,"000000"),2)/3600))</f>
        <v>272.21250000000003</v>
      </c>
      <c r="N736" s="286">
        <v>-184300</v>
      </c>
      <c r="O736" s="251">
        <f>IF($N736&gt;0,(LEFT(TEXT($N736,"000000"),2)+(MID(TEXT($N736,"000000"),3,2)/60)+(RIGHT(TEXT($N736,"000000"),2)/3600)),-(MID(TEXT($N736,"000000"),2,2)+(MID(TEXT($N736,"000000"),4,2)/60)+(RIGHT(TEXT($N736,"000000"),2)/3600)))</f>
        <v>-18.716666666666665</v>
      </c>
      <c r="P736" s="252" t="s">
        <v>119</v>
      </c>
      <c r="Q736" s="253"/>
      <c r="R736" s="277" t="s">
        <v>3293</v>
      </c>
      <c r="S736" s="272" t="s">
        <v>3293</v>
      </c>
      <c r="T736" s="273"/>
      <c r="U736" s="274"/>
      <c r="V736" s="256"/>
      <c r="W736" s="244"/>
      <c r="X736" s="244"/>
      <c r="Y736" s="362"/>
      <c r="Z736" s="257">
        <f>altaz(J2000_Bas,$O736,$M736,DecLat,DecLong,1)</f>
        <v>38.547774671773006</v>
      </c>
      <c r="AA736" s="257">
        <f>altaz((J2000_Bas+(2*0.04167)),$O736,$M736,DecLat,DecLong,1)</f>
        <v>24.83140300526799</v>
      </c>
      <c r="AB736" s="257">
        <f>altaz((J2000_Bas+(4*0.04167)),$O736,$M736,DecLat,DecLong,1)</f>
        <v>3.3857701339351891</v>
      </c>
      <c r="AC736" s="257">
        <f>altaz((J2000_Bas+(6*0.04167)),$O736,$M736,DecLat,DecLong,1)</f>
        <v>-21.239833977500531</v>
      </c>
      <c r="AD736" s="258">
        <f>1+ transit((J2000_Bas-1),$O736,$M736,DecLat,DecLong)/360 + (GMTOffset/24) + (IF(DST="Y", 1, 0)/24)</f>
        <v>1.7490457183484582</v>
      </c>
      <c r="AE736" s="259">
        <f>DATE(2001,9,21)+(M736/360)*365 - (360*((DecLong/360)- (GMTOffset/24) ))</f>
        <v>37435.99322916667</v>
      </c>
      <c r="AF736" s="260">
        <f>IF(DecLat&gt;0,IF((90 - (DecLat-O736))&gt;90, (90 - (O736-DecLat)), (90 - (DecLat-O736))),IF((90 + (DecLat-O736))&gt;90, (90 + (O736-DecLat)), (90 + (DecLat-O736))))</f>
        <v>40.283333333333331</v>
      </c>
      <c r="AG736" s="257">
        <f>angularseperation(MoonRA,MoonDec,$M736,$O736)</f>
        <v>22.70720596620064</v>
      </c>
      <c r="AH736" s="261">
        <f ca="1">MIN(100,IF($O$5&gt;80,0+30*($AG736/100),IF($O$5&gt;70,0+50*($AG736/100),IF($O$5&gt;60,5+50*($AG736/100),IF($O$5&gt;50,10+60*($AG736/100),IF($O$5&gt;40,15+70*($AG736/100),IF($O$5&gt;30,20+70*($AG736/100),IF($O$5&gt;20,40+55*($AG736/100),(80+(20-$O$5)+30*($AG736/100))))))))))</f>
        <v>90.083222134010612</v>
      </c>
      <c r="AI736" s="263"/>
      <c r="AJ736" s="263"/>
      <c r="AK736" s="263"/>
      <c r="AL736" s="263"/>
      <c r="AM736" s="264"/>
      <c r="AN736" s="263"/>
      <c r="AO736" s="263"/>
      <c r="AP736" s="265"/>
      <c r="AQ736" s="265"/>
      <c r="AR736" s="285"/>
      <c r="AS736" s="263"/>
      <c r="AT736" s="263"/>
      <c r="AU736" s="263"/>
      <c r="AV736" s="264"/>
      <c r="AW736" s="263">
        <v>301</v>
      </c>
      <c r="AX736" s="263"/>
      <c r="AY736" s="263"/>
      <c r="AZ736" s="263"/>
      <c r="BA736" s="263"/>
      <c r="BB736" s="263"/>
      <c r="BC736" s="263"/>
      <c r="BD736" s="264"/>
      <c r="BE736" s="263"/>
      <c r="BF736" s="263"/>
      <c r="BG736" s="263"/>
      <c r="BH736" s="263"/>
      <c r="BI736" s="263"/>
      <c r="BJ736" s="404">
        <f>altaz(J2000_Bas,$O736,$M736,DecLat,DecLong,2)</f>
        <v>196.77796589951129</v>
      </c>
      <c r="BK736" s="378" t="s">
        <v>840</v>
      </c>
      <c r="BL736" s="379">
        <f>IF((2*G736)/60&lt;0.2,0.2,(2*G736)/60)</f>
        <v>1.5</v>
      </c>
      <c r="BM736" s="380">
        <f>MOD((50000+AD736-$B$3+(0/24)),1)</f>
        <v>0.96441264804889215</v>
      </c>
      <c r="BN736" s="381"/>
      <c r="BO736" s="382">
        <v>736</v>
      </c>
    </row>
    <row r="737" spans="1:67" s="24" customFormat="1" ht="15" customHeight="1" x14ac:dyDescent="0.25">
      <c r="A737" s="288" t="s">
        <v>841</v>
      </c>
      <c r="B737" s="241" t="str">
        <f>HYPERLINK(CONCATENATE($AT$3,BK737,$AU$3),$AV$3)</f>
        <v>S</v>
      </c>
      <c r="C737" s="242" t="str">
        <f>HYPERLINK(CONCATENATE($AT$4,BK737,$AU$4,BL737),$AV$4)</f>
        <v>A</v>
      </c>
      <c r="D737" s="243" t="s">
        <v>5187</v>
      </c>
      <c r="E737" s="244" t="s">
        <v>5179</v>
      </c>
      <c r="F737" s="269">
        <v>5</v>
      </c>
      <c r="G737" s="273">
        <v>6</v>
      </c>
      <c r="H737" s="271" t="s">
        <v>6500</v>
      </c>
      <c r="I737" s="244" t="s">
        <v>6500</v>
      </c>
      <c r="J737" s="246">
        <v>2</v>
      </c>
      <c r="K737" s="277" t="s">
        <v>5901</v>
      </c>
      <c r="L737" s="248">
        <v>180914</v>
      </c>
      <c r="M737" s="249">
        <f>15*(LEFT(TEXT($L737,"000000"),2)+(MID(TEXT($L737,"000000"),3,2)/60)+(RIGHT(TEXT($L737,"000000"),2)/3600))</f>
        <v>272.30833333333328</v>
      </c>
      <c r="N737" s="286">
        <v>-235900</v>
      </c>
      <c r="O737" s="251">
        <f>IF($N737&gt;0,(LEFT(TEXT($N737,"000000"),2)+(MID(TEXT($N737,"000000"),3,2)/60)+(RIGHT(TEXT($N737,"000000"),2)/3600)),-(MID(TEXT($N737,"000000"),2,2)+(MID(TEXT($N737,"000000"),4,2)/60)+(RIGHT(TEXT($N737,"000000"),2)/3600)))</f>
        <v>-23.983333333333334</v>
      </c>
      <c r="P737" s="252" t="s">
        <v>119</v>
      </c>
      <c r="Q737" s="253"/>
      <c r="R737" s="277" t="s">
        <v>3293</v>
      </c>
      <c r="S737" s="272"/>
      <c r="T737" s="273"/>
      <c r="U737" s="274"/>
      <c r="V737" s="256"/>
      <c r="W737" s="244"/>
      <c r="X737" s="244"/>
      <c r="Y737" s="362"/>
      <c r="Z737" s="257">
        <f>altaz(J2000_Bas,$O737,$M737,DecLat,DecLong,1)</f>
        <v>33.473517303867943</v>
      </c>
      <c r="AA737" s="257">
        <f>altaz((J2000_Bas+(2*0.04167)),$O737,$M737,DecLat,DecLong,1)</f>
        <v>20.861358080093886</v>
      </c>
      <c r="AB737" s="257">
        <f>altaz((J2000_Bas+(4*0.04167)),$O737,$M737,DecLat,DecLong,1)</f>
        <v>0.47644050740356964</v>
      </c>
      <c r="AC737" s="257">
        <f>altaz((J2000_Bas+(6*0.04167)),$O737,$M737,DecLat,DecLong,1)</f>
        <v>-23.460793584515446</v>
      </c>
      <c r="AD737" s="258">
        <f>1+ transit((J2000_Bas-1),$O737,$M737,DecLat,DecLong)/360 + (GMTOffset/24) + (IF(DST="Y", 1, 0)/24)</f>
        <v>1.7493119220255413</v>
      </c>
      <c r="AE737" s="259">
        <f>DATE(2001,9,21)+(M737/360)*365 - (360*((DecLong/360)- (GMTOffset/24) ))</f>
        <v>37436.09039351852</v>
      </c>
      <c r="AF737" s="260">
        <f>IF(DecLat&gt;0,IF((90 - (DecLat-O737))&gt;90, (90 - (O737-DecLat)), (90 - (DecLat-O737))),IF((90 + (DecLat-O737))&gt;90, (90 + (O737-DecLat)), (90 + (DecLat-O737))))</f>
        <v>35.016666666666666</v>
      </c>
      <c r="AG737" s="257">
        <f>angularseperation(MoonRA,MoonDec,$M737,$O737)</f>
        <v>21.012853450276449</v>
      </c>
      <c r="AH737" s="261">
        <f ca="1">MIN(100,IF($O$5&gt;80,0+30*($AG737/100),IF($O$5&gt;70,0+50*($AG737/100),IF($O$5&gt;60,5+50*($AG737/100),IF($O$5&gt;50,10+60*($AG737/100),IF($O$5&gt;40,15+70*($AG737/100),IF($O$5&gt;30,20+70*($AG737/100),IF($O$5&gt;20,40+55*($AG737/100),(80+(20-$O$5)+30*($AG737/100))))))))))</f>
        <v>89.574916379233358</v>
      </c>
      <c r="AI737" s="263"/>
      <c r="AJ737" s="263"/>
      <c r="AK737" s="263"/>
      <c r="AL737" s="263"/>
      <c r="AM737" s="264"/>
      <c r="AN737" s="263"/>
      <c r="AO737" s="263"/>
      <c r="AP737" s="265"/>
      <c r="AQ737" s="265"/>
      <c r="AR737" s="285"/>
      <c r="AS737" s="263"/>
      <c r="AT737" s="263"/>
      <c r="AU737" s="263"/>
      <c r="AV737" s="264"/>
      <c r="AW737" s="263">
        <v>302</v>
      </c>
      <c r="AX737" s="263"/>
      <c r="AY737" s="263"/>
      <c r="AZ737" s="263"/>
      <c r="BA737" s="263"/>
      <c r="BB737" s="263"/>
      <c r="BC737" s="263"/>
      <c r="BD737" s="264"/>
      <c r="BE737" s="263"/>
      <c r="BF737" s="263"/>
      <c r="BG737" s="263"/>
      <c r="BH737" s="263"/>
      <c r="BI737" s="263"/>
      <c r="BJ737" s="404">
        <f>altaz(J2000_Bas,$O737,$M737,DecLat,DecLong,2)</f>
        <v>195.0291917955573</v>
      </c>
      <c r="BK737" s="378" t="s">
        <v>841</v>
      </c>
      <c r="BL737" s="379">
        <f>IF((2*G737)/60&lt;0.2,0.2,(2*G737)/60)</f>
        <v>0.2</v>
      </c>
      <c r="BM737" s="380">
        <f>MOD((50000+AD737-$B$3+(0/24)),1)</f>
        <v>0.96467885172751267</v>
      </c>
      <c r="BN737" s="381"/>
      <c r="BO737" s="382">
        <v>737</v>
      </c>
    </row>
    <row r="738" spans="1:67" s="24" customFormat="1" ht="15" customHeight="1" x14ac:dyDescent="0.25">
      <c r="A738" s="288" t="s">
        <v>842</v>
      </c>
      <c r="B738" s="241" t="str">
        <f>HYPERLINK(CONCATENATE($AT$3,BK738,$AU$3),$AV$3)</f>
        <v>S</v>
      </c>
      <c r="C738" s="242" t="str">
        <f>HYPERLINK(CONCATENATE($AT$4,BK738,$AU$4,BL738),$AV$4)</f>
        <v>A</v>
      </c>
      <c r="D738" s="243" t="s">
        <v>5187</v>
      </c>
      <c r="E738" s="244" t="s">
        <v>5179</v>
      </c>
      <c r="F738" s="269">
        <v>5</v>
      </c>
      <c r="G738" s="273">
        <v>7</v>
      </c>
      <c r="H738" s="271" t="s">
        <v>6500</v>
      </c>
      <c r="I738" s="244" t="s">
        <v>6500</v>
      </c>
      <c r="J738" s="246">
        <v>2</v>
      </c>
      <c r="K738" s="277" t="s">
        <v>8398</v>
      </c>
      <c r="L738" s="248">
        <v>180929</v>
      </c>
      <c r="M738" s="249">
        <f>15*(LEFT(TEXT($L738,"000000"),2)+(MID(TEXT($L738,"000000"),3,2)/60)+(RIGHT(TEXT($L738,"000000"),2)/3600))</f>
        <v>272.37083333333328</v>
      </c>
      <c r="N738" s="286">
        <v>-240100</v>
      </c>
      <c r="O738" s="251">
        <f>IF($N738&gt;0,(LEFT(TEXT($N738,"000000"),2)+(MID(TEXT($N738,"000000"),3,2)/60)+(RIGHT(TEXT($N738,"000000"),2)/3600)),-(MID(TEXT($N738,"000000"),2,2)+(MID(TEXT($N738,"000000"),4,2)/60)+(RIGHT(TEXT($N738,"000000"),2)/3600)))</f>
        <v>-24.016666666666666</v>
      </c>
      <c r="P738" s="252" t="s">
        <v>119</v>
      </c>
      <c r="Q738" s="253"/>
      <c r="R738" s="277" t="s">
        <v>3293</v>
      </c>
      <c r="S738" s="272" t="s">
        <v>4415</v>
      </c>
      <c r="T738" s="273"/>
      <c r="U738" s="274"/>
      <c r="V738" s="256"/>
      <c r="W738" s="244"/>
      <c r="X738" s="244"/>
      <c r="Y738" s="362"/>
      <c r="Z738" s="257">
        <f>altaz(J2000_Bas,$O738,$M738,DecLat,DecLong,1)</f>
        <v>33.455038342721387</v>
      </c>
      <c r="AA738" s="257">
        <f>altaz((J2000_Bas+(2*0.04167)),$O738,$M738,DecLat,DecLong,1)</f>
        <v>20.871806556836855</v>
      </c>
      <c r="AB738" s="257">
        <f>altaz((J2000_Bas+(4*0.04167)),$O738,$M738,DecLat,DecLong,1)</f>
        <v>0.50452754209840789</v>
      </c>
      <c r="AC738" s="257">
        <f>altaz((J2000_Bas+(6*0.04167)),$O738,$M738,DecLat,DecLong,1)</f>
        <v>-23.423063371193749</v>
      </c>
      <c r="AD738" s="258">
        <f>1+ transit((J2000_Bas-1),$O738,$M738,DecLat,DecLong)/360 + (GMTOffset/24) + (IF(DST="Y", 1, 0)/24)</f>
        <v>1.7494855331192913</v>
      </c>
      <c r="AE738" s="259">
        <f>DATE(2001,9,21)+(M738/360)*365 - (360*((DecLong/360)- (GMTOffset/24) ))</f>
        <v>37436.153761574074</v>
      </c>
      <c r="AF738" s="260">
        <f>IF(DecLat&gt;0,IF((90 - (DecLat-O738))&gt;90, (90 - (O738-DecLat)), (90 - (DecLat-O738))),IF((90 + (DecLat-O738))&gt;90, (90 + (O738-DecLat)), (90 + (DecLat-O738))))</f>
        <v>34.983333333333334</v>
      </c>
      <c r="AG738" s="257">
        <f>angularseperation(MoonRA,MoonDec,$M738,$O738)</f>
        <v>21.060717556981142</v>
      </c>
      <c r="AH738" s="261">
        <f ca="1">MIN(100,IF($O$5&gt;80,0+30*($AG738/100),IF($O$5&gt;70,0+50*($AG738/100),IF($O$5&gt;60,5+50*($AG738/100),IF($O$5&gt;50,10+60*($AG738/100),IF($O$5&gt;40,15+70*($AG738/100),IF($O$5&gt;30,20+70*($AG738/100),IF($O$5&gt;20,40+55*($AG738/100),(80+(20-$O$5)+30*($AG738/100))))))))))</f>
        <v>89.589275611244773</v>
      </c>
      <c r="AI738" s="263"/>
      <c r="AJ738" s="263"/>
      <c r="AK738" s="263"/>
      <c r="AL738" s="263"/>
      <c r="AM738" s="264"/>
      <c r="AN738" s="263"/>
      <c r="AO738" s="263"/>
      <c r="AP738" s="265"/>
      <c r="AQ738" s="265"/>
      <c r="AR738" s="285"/>
      <c r="AS738" s="263"/>
      <c r="AT738" s="263"/>
      <c r="AU738" s="263"/>
      <c r="AV738" s="264"/>
      <c r="AW738" s="263">
        <v>303</v>
      </c>
      <c r="AX738" s="263"/>
      <c r="AY738" s="263"/>
      <c r="AZ738" s="263"/>
      <c r="BA738" s="263"/>
      <c r="BB738" s="263"/>
      <c r="BC738" s="263"/>
      <c r="BD738" s="264"/>
      <c r="BE738" s="263"/>
      <c r="BF738" s="263"/>
      <c r="BG738" s="263"/>
      <c r="BH738" s="263"/>
      <c r="BI738" s="263"/>
      <c r="BJ738" s="404">
        <f>altaz(J2000_Bas,$O738,$M738,DecLat,DecLong,2)</f>
        <v>194.95309812936387</v>
      </c>
      <c r="BK738" s="378" t="s">
        <v>842</v>
      </c>
      <c r="BL738" s="379">
        <f>IF((2*G738)/60&lt;0.2,0.2,(2*G738)/60)</f>
        <v>0.23333333333333334</v>
      </c>
      <c r="BM738" s="380">
        <f>MOD((50000+AD738-$B$3+(0/24)),1)</f>
        <v>0.96485246282099979</v>
      </c>
      <c r="BN738" s="381"/>
      <c r="BO738" s="382">
        <v>738</v>
      </c>
    </row>
    <row r="739" spans="1:67" s="24" customFormat="1" ht="15" customHeight="1" x14ac:dyDescent="0.25">
      <c r="A739" s="288" t="s">
        <v>843</v>
      </c>
      <c r="B739" s="241" t="str">
        <f>HYPERLINK(CONCATENATE($AT$3,BK739,$AU$3),$AV$3)</f>
        <v>S</v>
      </c>
      <c r="C739" s="242" t="str">
        <f>HYPERLINK(CONCATENATE($AT$4,BK739,$AU$4,BL739),$AV$4)</f>
        <v>A</v>
      </c>
      <c r="D739" s="243" t="s">
        <v>5187</v>
      </c>
      <c r="E739" s="244" t="s">
        <v>5179</v>
      </c>
      <c r="F739" s="269">
        <v>3</v>
      </c>
      <c r="G739" s="276">
        <v>90</v>
      </c>
      <c r="H739" s="271" t="s">
        <v>6500</v>
      </c>
      <c r="I739" s="244" t="s">
        <v>6500</v>
      </c>
      <c r="J739" s="246">
        <v>0</v>
      </c>
      <c r="K739" s="247" t="s">
        <v>5902</v>
      </c>
      <c r="L739" s="248">
        <v>181321</v>
      </c>
      <c r="M739" s="249">
        <f>15*(LEFT(TEXT($L739,"000000"),2)+(MID(TEXT($L739,"000000"),3,2)/60)+(RIGHT(TEXT($L739,"000000"),2)/3600))</f>
        <v>273.33749999999998</v>
      </c>
      <c r="N739" s="286">
        <v>-184400</v>
      </c>
      <c r="O739" s="251">
        <f>IF($N739&gt;0,(LEFT(TEXT($N739,"000000"),2)+(MID(TEXT($N739,"000000"),3,2)/60)+(RIGHT(TEXT($N739,"000000"),2)/3600)),-(MID(TEXT($N739,"000000"),2,2)+(MID(TEXT($N739,"000000"),4,2)/60)+(RIGHT(TEXT($N739,"000000"),2)/3600)))</f>
        <v>-18.733333333333334</v>
      </c>
      <c r="P739" s="252" t="s">
        <v>119</v>
      </c>
      <c r="Q739" s="253"/>
      <c r="R739" s="277" t="s">
        <v>3293</v>
      </c>
      <c r="S739" s="272" t="s">
        <v>3293</v>
      </c>
      <c r="T739" s="273"/>
      <c r="U739" s="274"/>
      <c r="V739" s="256"/>
      <c r="W739" s="244"/>
      <c r="X739" s="244"/>
      <c r="Y739" s="362"/>
      <c r="Z739" s="257">
        <f>altaz(J2000_Bas,$O739,$M739,DecLat,DecLong,1)</f>
        <v>38.799309590102574</v>
      </c>
      <c r="AA739" s="257">
        <f>altaz((J2000_Bas+(2*0.04167)),$O739,$M739,DecLat,DecLong,1)</f>
        <v>25.510938009888402</v>
      </c>
      <c r="AB739" s="257">
        <f>altaz((J2000_Bas+(4*0.04167)),$O739,$M739,DecLat,DecLong,1)</f>
        <v>4.2534462363571333</v>
      </c>
      <c r="AC739" s="257">
        <f>altaz((J2000_Bas+(6*0.04167)),$O739,$M739,DecLat,DecLong,1)</f>
        <v>-20.297561209150011</v>
      </c>
      <c r="AD739" s="258">
        <f>1+ transit((J2000_Bas-1),$O739,$M739,DecLat,DecLong)/360 + (GMTOffset/24) + (IF(DST="Y", 1, 0)/24)</f>
        <v>1.752170718035958</v>
      </c>
      <c r="AE739" s="259">
        <f>DATE(2001,9,21)+(M739/360)*365 - (360*((DecLong/360)- (GMTOffset/24) ))</f>
        <v>37437.13385416667</v>
      </c>
      <c r="AF739" s="260">
        <f>IF(DecLat&gt;0,IF((90 - (DecLat-O739))&gt;90, (90 - (O739-DecLat)), (90 - (DecLat-O739))),IF((90 + (DecLat-O739))&gt;90, (90 + (O739-DecLat)), (90 + (DecLat-O739))))</f>
        <v>40.266666666666666</v>
      </c>
      <c r="AG739" s="257">
        <f>angularseperation(MoonRA,MoonDec,$M739,$O739)</f>
        <v>23.662107797224699</v>
      </c>
      <c r="AH739" s="261">
        <f ca="1">MIN(100,IF($O$5&gt;80,0+30*($AG739/100),IF($O$5&gt;70,0+50*($AG739/100),IF($O$5&gt;60,5+50*($AG739/100),IF($O$5&gt;50,10+60*($AG739/100),IF($O$5&gt;40,15+70*($AG739/100),IF($O$5&gt;30,20+70*($AG739/100),IF($O$5&gt;20,40+55*($AG739/100),(80+(20-$O$5)+30*($AG739/100))))))))))</f>
        <v>90.369692683317837</v>
      </c>
      <c r="AI739" s="263"/>
      <c r="AJ739" s="263"/>
      <c r="AK739" s="263"/>
      <c r="AL739" s="263"/>
      <c r="AM739" s="264"/>
      <c r="AN739" s="263"/>
      <c r="AO739" s="263"/>
      <c r="AP739" s="265"/>
      <c r="AQ739" s="265"/>
      <c r="AR739" s="285"/>
      <c r="AS739" s="263"/>
      <c r="AT739" s="263"/>
      <c r="AU739" s="263"/>
      <c r="AV739" s="264"/>
      <c r="AW739" s="263">
        <v>304</v>
      </c>
      <c r="AX739" s="263"/>
      <c r="AY739" s="263"/>
      <c r="AZ739" s="263"/>
      <c r="BA739" s="263"/>
      <c r="BB739" s="263"/>
      <c r="BC739" s="263"/>
      <c r="BD739" s="264"/>
      <c r="BE739" s="263"/>
      <c r="BF739" s="263"/>
      <c r="BG739" s="263"/>
      <c r="BH739" s="263"/>
      <c r="BI739" s="263"/>
      <c r="BJ739" s="404">
        <f>altaz(J2000_Bas,$O739,$M739,DecLat,DecLong,2)</f>
        <v>195.45164918788873</v>
      </c>
      <c r="BK739" s="378" t="s">
        <v>843</v>
      </c>
      <c r="BL739" s="379">
        <f>IF((2*G739)/60&lt;0.2,0.2,(2*G739)/60)</f>
        <v>3</v>
      </c>
      <c r="BM739" s="380">
        <f>MOD((50000+AD739-$B$3+(0/24)),1)</f>
        <v>0.96753764773893636</v>
      </c>
      <c r="BN739" s="381"/>
      <c r="BO739" s="382">
        <v>739</v>
      </c>
    </row>
    <row r="740" spans="1:67" s="24" customFormat="1" ht="15" customHeight="1" x14ac:dyDescent="0.25">
      <c r="A740" s="287" t="s">
        <v>844</v>
      </c>
      <c r="B740" s="241" t="str">
        <f>HYPERLINK(CONCATENATE($AT$3,BK740,$AU$3),$AV$3)</f>
        <v>S</v>
      </c>
      <c r="C740" s="242" t="str">
        <f>HYPERLINK(CONCATENATE($AT$4,BK740,$AU$4,BL740),$AV$4)</f>
        <v>A</v>
      </c>
      <c r="D740" s="243" t="s">
        <v>5187</v>
      </c>
      <c r="E740" s="244" t="s">
        <v>5179</v>
      </c>
      <c r="F740" s="269">
        <v>0</v>
      </c>
      <c r="G740" s="276">
        <v>13</v>
      </c>
      <c r="H740" s="271" t="s">
        <v>6500</v>
      </c>
      <c r="I740" s="244" t="s">
        <v>6500</v>
      </c>
      <c r="J740" s="246">
        <v>2</v>
      </c>
      <c r="K740" s="247" t="s">
        <v>8399</v>
      </c>
      <c r="L740" s="248">
        <v>181438</v>
      </c>
      <c r="M740" s="249">
        <f>15*(LEFT(TEXT($L740,"000000"),2)+(MID(TEXT($L740,"000000"),3,2)/60)+(RIGHT(TEXT($L740,"000000"),2)/3600))</f>
        <v>273.65833333333336</v>
      </c>
      <c r="N740" s="286">
        <v>-314900</v>
      </c>
      <c r="O740" s="251">
        <f>IF($N740&gt;0,(LEFT(TEXT($N740,"000000"),2)+(MID(TEXT($N740,"000000"),3,2)/60)+(RIGHT(TEXT($N740,"000000"),2)/3600)),-(MID(TEXT($N740,"000000"),2,2)+(MID(TEXT($N740,"000000"),4,2)/60)+(RIGHT(TEXT($N740,"000000"),2)/3600)))</f>
        <v>-31.816666666666666</v>
      </c>
      <c r="P740" s="252" t="s">
        <v>119</v>
      </c>
      <c r="Q740" s="253"/>
      <c r="R740" s="277" t="s">
        <v>3293</v>
      </c>
      <c r="S740" s="272" t="s">
        <v>3293</v>
      </c>
      <c r="T740" s="273"/>
      <c r="U740" s="274"/>
      <c r="V740" s="256"/>
      <c r="W740" s="244"/>
      <c r="X740" s="244"/>
      <c r="Y740" s="362"/>
      <c r="Z740" s="257">
        <f>altaz(J2000_Bas,$O740,$M740,DecLat,DecLong,1)</f>
        <v>26.103864149453621</v>
      </c>
      <c r="AA740" s="257">
        <f>altaz((J2000_Bas+(2*0.04167)),$O740,$M740,DecLat,DecLong,1)</f>
        <v>15.431787456245061</v>
      </c>
      <c r="AB740" s="257">
        <f>altaz((J2000_Bas+(4*0.04167)),$O740,$M740,DecLat,DecLong,1)</f>
        <v>-3.0190013687997301</v>
      </c>
      <c r="AC740" s="257">
        <f>altaz((J2000_Bas+(6*0.04167)),$O740,$M740,DecLat,DecLong,1)</f>
        <v>-25.492478581443187</v>
      </c>
      <c r="AD740" s="258">
        <f>1+ transit((J2000_Bas-1),$O740,$M740,DecLat,DecLong)/360 + (GMTOffset/24) + (IF(DST="Y", 1, 0)/24)</f>
        <v>1.7530619216505416</v>
      </c>
      <c r="AE740" s="259">
        <f>DATE(2001,9,21)+(M740/360)*365 - (360*((DecLong/360)- (GMTOffset/24) ))</f>
        <v>37437.459143518521</v>
      </c>
      <c r="AF740" s="260">
        <f>IF(DecLat&gt;0,IF((90 - (DecLat-O740))&gt;90, (90 - (O740-DecLat)), (90 - (DecLat-O740))),IF((90 + (DecLat-O740))&gt;90, (90 + (O740-DecLat)), (90 + (DecLat-O740))))</f>
        <v>27.183333333333337</v>
      </c>
      <c r="AG740" s="257">
        <f>angularseperation(MoonRA,MoonDec,$M740,$O740)</f>
        <v>21.731647250157369</v>
      </c>
      <c r="AH740" s="261">
        <f ca="1">MIN(100,IF($O$5&gt;80,0+30*($AG740/100),IF($O$5&gt;70,0+50*($AG740/100),IF($O$5&gt;60,5+50*($AG740/100),IF($O$5&gt;50,10+60*($AG740/100),IF($O$5&gt;40,15+70*($AG740/100),IF($O$5&gt;30,20+70*($AG740/100),IF($O$5&gt;20,40+55*($AG740/100),(80+(20-$O$5)+30*($AG740/100))))))))))</f>
        <v>89.790554519197642</v>
      </c>
      <c r="AI740" s="263"/>
      <c r="AJ740" s="263"/>
      <c r="AK740" s="263"/>
      <c r="AL740" s="263"/>
      <c r="AM740" s="264"/>
      <c r="AN740" s="263"/>
      <c r="AO740" s="263"/>
      <c r="AP740" s="265"/>
      <c r="AQ740" s="265"/>
      <c r="AR740" s="285"/>
      <c r="AS740" s="263"/>
      <c r="AT740" s="263"/>
      <c r="AU740" s="263"/>
      <c r="AV740" s="264"/>
      <c r="AW740" s="263">
        <v>305</v>
      </c>
      <c r="AX740" s="263"/>
      <c r="AY740" s="263"/>
      <c r="AZ740" s="263"/>
      <c r="BA740" s="263"/>
      <c r="BB740" s="263"/>
      <c r="BC740" s="263"/>
      <c r="BD740" s="264"/>
      <c r="BE740" s="263"/>
      <c r="BF740" s="263"/>
      <c r="BG740" s="263"/>
      <c r="BH740" s="263"/>
      <c r="BI740" s="263"/>
      <c r="BJ740" s="404">
        <f>altaz(J2000_Bas,$O740,$M740,DecLat,DecLong,2)</f>
        <v>191.6713005073791</v>
      </c>
      <c r="BK740" s="378" t="s">
        <v>844</v>
      </c>
      <c r="BL740" s="379">
        <f>IF((2*G740)/60&lt;0.2,0.2,(2*G740)/60)</f>
        <v>0.43333333333333335</v>
      </c>
      <c r="BM740" s="380">
        <f>MOD((50000+AD740-$B$3+(0/24)),1)</f>
        <v>0.96842885135265533</v>
      </c>
      <c r="BN740" s="381"/>
      <c r="BO740" s="382">
        <v>740</v>
      </c>
    </row>
    <row r="741" spans="1:67" s="24" customFormat="1" ht="15" customHeight="1" x14ac:dyDescent="0.25">
      <c r="A741" s="287" t="s">
        <v>845</v>
      </c>
      <c r="B741" s="241" t="str">
        <f>HYPERLINK(CONCATENATE($AT$3,BK741,$AU$3),$AV$3)</f>
        <v>S</v>
      </c>
      <c r="C741" s="242" t="str">
        <f>HYPERLINK(CONCATENATE($AT$4,BK741,$AU$4,BL741),$AV$4)</f>
        <v>A</v>
      </c>
      <c r="D741" s="243" t="s">
        <v>5187</v>
      </c>
      <c r="E741" s="244" t="s">
        <v>5179</v>
      </c>
      <c r="F741" s="269">
        <v>3</v>
      </c>
      <c r="G741" s="273">
        <v>4</v>
      </c>
      <c r="H741" s="271" t="s">
        <v>6500</v>
      </c>
      <c r="I741" s="244" t="s">
        <v>6500</v>
      </c>
      <c r="J741" s="246">
        <v>1</v>
      </c>
      <c r="K741" s="247" t="s">
        <v>8400</v>
      </c>
      <c r="L741" s="248">
        <v>181545</v>
      </c>
      <c r="M741" s="249">
        <f>15*(LEFT(TEXT($L741,"000000"),2)+(MID(TEXT($L741,"000000"),3,2)/60)+(RIGHT(TEXT($L741,"000000"),2)/3600))</f>
        <v>273.9375</v>
      </c>
      <c r="N741" s="286">
        <v>-254400</v>
      </c>
      <c r="O741" s="251">
        <f>IF($N741&gt;0,(LEFT(TEXT($N741,"000000"),2)+(MID(TEXT($N741,"000000"),3,2)/60)+(RIGHT(TEXT($N741,"000000"),2)/3600)),-(MID(TEXT($N741,"000000"),2,2)+(MID(TEXT($N741,"000000"),4,2)/60)+(RIGHT(TEXT($N741,"000000"),2)/3600)))</f>
        <v>-25.733333333333334</v>
      </c>
      <c r="P741" s="252" t="s">
        <v>119</v>
      </c>
      <c r="Q741" s="253"/>
      <c r="R741" s="277" t="s">
        <v>3293</v>
      </c>
      <c r="S741" s="272" t="s">
        <v>3293</v>
      </c>
      <c r="T741" s="273"/>
      <c r="U741" s="274"/>
      <c r="V741" s="256"/>
      <c r="W741" s="244"/>
      <c r="X741" s="244"/>
      <c r="Y741" s="362"/>
      <c r="Z741" s="257">
        <f>altaz(J2000_Bas,$O741,$M741,DecLat,DecLong,1)</f>
        <v>32.10550777242598</v>
      </c>
      <c r="AA741" s="257">
        <f>altaz((J2000_Bas+(2*0.04167)),$O741,$M741,DecLat,DecLong,1)</f>
        <v>20.417127732949123</v>
      </c>
      <c r="AB741" s="257">
        <f>altaz((J2000_Bas+(4*0.04167)),$O741,$M741,DecLat,DecLong,1)</f>
        <v>0.68670150042066225</v>
      </c>
      <c r="AC741" s="257">
        <f>altaz((J2000_Bas+(6*0.04167)),$O741,$M741,DecLat,DecLong,1)</f>
        <v>-22.852546460046842</v>
      </c>
      <c r="AD741" s="258">
        <f>1+ transit((J2000_Bas-1),$O741,$M741,DecLat,DecLong)/360 + (GMTOffset/24) + (IF(DST="Y", 1, 0)/24)</f>
        <v>1.7538373845359578</v>
      </c>
      <c r="AE741" s="259">
        <f>DATE(2001,9,21)+(M741/360)*365 - (360*((DecLong/360)- (GMTOffset/24) ))</f>
        <v>37437.7421875</v>
      </c>
      <c r="AF741" s="260">
        <f>IF(DecLat&gt;0,IF((90 - (DecLat-O741))&gt;90, (90 - (O741-DecLat)), (90 - (DecLat-O741))),IF((90 + (DecLat-O741))&gt;90, (90 + (O741-DecLat)), (90 + (DecLat-O741))))</f>
        <v>33.266666666666666</v>
      </c>
      <c r="AG741" s="257">
        <f>angularseperation(MoonRA,MoonDec,$M741,$O741)</f>
        <v>22.124469388585975</v>
      </c>
      <c r="AH741" s="261">
        <f ca="1">MIN(100,IF($O$5&gt;80,0+30*($AG741/100),IF($O$5&gt;70,0+50*($AG741/100),IF($O$5&gt;60,5+50*($AG741/100),IF($O$5&gt;50,10+60*($AG741/100),IF($O$5&gt;40,15+70*($AG741/100),IF($O$5&gt;30,20+70*($AG741/100),IF($O$5&gt;20,40+55*($AG741/100),(80+(20-$O$5)+30*($AG741/100))))))))))</f>
        <v>89.908401160726214</v>
      </c>
      <c r="AI741" s="263"/>
      <c r="AJ741" s="263"/>
      <c r="AK741" s="263"/>
      <c r="AL741" s="263"/>
      <c r="AM741" s="264"/>
      <c r="AN741" s="263"/>
      <c r="AO741" s="263"/>
      <c r="AP741" s="265"/>
      <c r="AQ741" s="265"/>
      <c r="AR741" s="285"/>
      <c r="AS741" s="263"/>
      <c r="AT741" s="263"/>
      <c r="AU741" s="263"/>
      <c r="AV741" s="264"/>
      <c r="AW741" s="263">
        <v>306</v>
      </c>
      <c r="AX741" s="263"/>
      <c r="AY741" s="263"/>
      <c r="AZ741" s="263"/>
      <c r="BA741" s="263"/>
      <c r="BB741" s="263"/>
      <c r="BC741" s="263"/>
      <c r="BD741" s="264"/>
      <c r="BE741" s="263"/>
      <c r="BF741" s="263"/>
      <c r="BG741" s="263"/>
      <c r="BH741" s="263"/>
      <c r="BI741" s="263"/>
      <c r="BJ741" s="404">
        <f>altaz(J2000_Bas,$O741,$M741,DecLat,DecLong,2)</f>
        <v>192.84343523521969</v>
      </c>
      <c r="BK741" s="378" t="s">
        <v>845</v>
      </c>
      <c r="BL741" s="379">
        <f>IF((2*G741)/60&lt;0.2,0.2,(2*G741)/60)</f>
        <v>0.2</v>
      </c>
      <c r="BM741" s="380">
        <f>MOD((50000+AD741-$B$3+(0/24)),1)</f>
        <v>0.96920431424223352</v>
      </c>
      <c r="BN741" s="381"/>
      <c r="BO741" s="382">
        <v>741</v>
      </c>
    </row>
    <row r="742" spans="1:67" s="24" customFormat="1" ht="15" customHeight="1" x14ac:dyDescent="0.25">
      <c r="A742" s="288" t="s">
        <v>846</v>
      </c>
      <c r="B742" s="241" t="str">
        <f>HYPERLINK(CONCATENATE($AT$3,BK742,$AU$3),$AV$3)</f>
        <v>S</v>
      </c>
      <c r="C742" s="242" t="str">
        <f>HYPERLINK(CONCATENATE($AT$4,BK742,$AU$4,BL742),$AV$4)</f>
        <v>A</v>
      </c>
      <c r="D742" s="243" t="s">
        <v>5187</v>
      </c>
      <c r="E742" s="244" t="s">
        <v>5179</v>
      </c>
      <c r="F742" s="269">
        <v>3</v>
      </c>
      <c r="G742" s="273">
        <v>6</v>
      </c>
      <c r="H742" s="271" t="s">
        <v>6500</v>
      </c>
      <c r="I742" s="244" t="s">
        <v>6500</v>
      </c>
      <c r="J742" s="246">
        <v>0</v>
      </c>
      <c r="K742" s="247" t="s">
        <v>5903</v>
      </c>
      <c r="L742" s="248">
        <v>181838</v>
      </c>
      <c r="M742" s="249">
        <f>15*(LEFT(TEXT($L742,"000000"),2)+(MID(TEXT($L742,"000000"),3,2)/60)+(RIGHT(TEXT($L742,"000000"),2)/3600))</f>
        <v>274.65833333333336</v>
      </c>
      <c r="N742" s="286">
        <v>-175800</v>
      </c>
      <c r="O742" s="251">
        <f>IF($N742&gt;0,(LEFT(TEXT($N742,"000000"),2)+(MID(TEXT($N742,"000000"),3,2)/60)+(RIGHT(TEXT($N742,"000000"),2)/3600)),-(MID(TEXT($N742,"000000"),2,2)+(MID(TEXT($N742,"000000"),4,2)/60)+(RIGHT(TEXT($N742,"000000"),2)/3600)))</f>
        <v>-17.966666666666665</v>
      </c>
      <c r="P742" s="252" t="s">
        <v>119</v>
      </c>
      <c r="Q742" s="253"/>
      <c r="R742" s="277" t="s">
        <v>3293</v>
      </c>
      <c r="S742" s="272" t="s">
        <v>3293</v>
      </c>
      <c r="T742" s="273"/>
      <c r="U742" s="274"/>
      <c r="V742" s="256"/>
      <c r="W742" s="244"/>
      <c r="X742" s="244"/>
      <c r="Y742" s="362"/>
      <c r="Z742" s="257">
        <f>altaz(J2000_Bas,$O742,$M742,DecLat,DecLong,1)</f>
        <v>39.834190031778938</v>
      </c>
      <c r="AA742" s="257">
        <f>altaz((J2000_Bas+(2*0.04167)),$O742,$M742,DecLat,DecLong,1)</f>
        <v>26.902585867282287</v>
      </c>
      <c r="AB742" s="257">
        <f>altaz((J2000_Bas+(4*0.04167)),$O742,$M742,DecLat,DecLong,1)</f>
        <v>5.7201167484330631</v>
      </c>
      <c r="AC742" s="257">
        <f>altaz((J2000_Bas+(6*0.04167)),$O742,$M742,DecLat,DecLong,1)</f>
        <v>-18.831990738322617</v>
      </c>
      <c r="AD742" s="258">
        <f>1+ transit((J2000_Bas-1),$O742,$M742,DecLat,DecLong)/360 + (GMTOffset/24) + (IF(DST="Y", 1, 0)/24)</f>
        <v>1.7558396991505414</v>
      </c>
      <c r="AE742" s="259">
        <f>DATE(2001,9,21)+(M742/360)*365 - (360*((DecLong/360)- (GMTOffset/24) ))</f>
        <v>37438.473032407404</v>
      </c>
      <c r="AF742" s="260">
        <f>IF(DecLat&gt;0,IF((90 - (DecLat-O742))&gt;90, (90 - (O742-DecLat)), (90 - (DecLat-O742))),IF((90 + (DecLat-O742))&gt;90, (90 + (O742-DecLat)), (90 + (DecLat-O742))))</f>
        <v>41.033333333333331</v>
      </c>
      <c r="AG742" s="257">
        <f>angularseperation(MoonRA,MoonDec,$M742,$O742)</f>
        <v>25.12360468773571</v>
      </c>
      <c r="AH742" s="261">
        <f ca="1">MIN(100,IF($O$5&gt;80,0+30*($AG742/100),IF($O$5&gt;70,0+50*($AG742/100),IF($O$5&gt;60,5+50*($AG742/100),IF($O$5&gt;50,10+60*($AG742/100),IF($O$5&gt;40,15+70*($AG742/100),IF($O$5&gt;30,20+70*($AG742/100),IF($O$5&gt;20,40+55*($AG742/100),(80+(20-$O$5)+30*($AG742/100))))))))))</f>
        <v>90.808141750471137</v>
      </c>
      <c r="AI742" s="263"/>
      <c r="AJ742" s="263"/>
      <c r="AK742" s="263"/>
      <c r="AL742" s="263"/>
      <c r="AM742" s="264"/>
      <c r="AN742" s="263"/>
      <c r="AO742" s="263"/>
      <c r="AP742" s="265"/>
      <c r="AQ742" s="265"/>
      <c r="AR742" s="285"/>
      <c r="AS742" s="263"/>
      <c r="AT742" s="263"/>
      <c r="AU742" s="263"/>
      <c r="AV742" s="264"/>
      <c r="AW742" s="263">
        <v>307</v>
      </c>
      <c r="AX742" s="263"/>
      <c r="AY742" s="263"/>
      <c r="AZ742" s="263"/>
      <c r="BA742" s="263"/>
      <c r="BB742" s="263"/>
      <c r="BC742" s="263"/>
      <c r="BD742" s="264"/>
      <c r="BE742" s="263"/>
      <c r="BF742" s="263"/>
      <c r="BG742" s="263"/>
      <c r="BH742" s="263"/>
      <c r="BI742" s="263"/>
      <c r="BJ742" s="404">
        <f>altaz(J2000_Bas,$O742,$M742,DecLat,DecLong,2)</f>
        <v>194.10306196503166</v>
      </c>
      <c r="BK742" s="378" t="s">
        <v>846</v>
      </c>
      <c r="BL742" s="379">
        <f>IF((2*G742)/60&lt;0.2,0.2,(2*G742)/60)</f>
        <v>0.2</v>
      </c>
      <c r="BM742" s="380">
        <f>MOD((50000+AD742-$B$3+(0/24)),1)</f>
        <v>0.97120662885572528</v>
      </c>
      <c r="BN742" s="381"/>
      <c r="BO742" s="382">
        <v>742</v>
      </c>
    </row>
    <row r="743" spans="1:67" s="24" customFormat="1" ht="15" customHeight="1" x14ac:dyDescent="0.25">
      <c r="A743" s="287" t="s">
        <v>847</v>
      </c>
      <c r="B743" s="241" t="str">
        <f>HYPERLINK(CONCATENATE($AT$3,BK743,$AU$3),$AV$3)</f>
        <v>S</v>
      </c>
      <c r="C743" s="242" t="str">
        <f>HYPERLINK(CONCATENATE($AT$4,BK743,$AU$4,BL743),$AV$4)</f>
        <v>A</v>
      </c>
      <c r="D743" s="243" t="s">
        <v>5187</v>
      </c>
      <c r="E743" s="244" t="s">
        <v>5179</v>
      </c>
      <c r="F743" s="269">
        <v>3</v>
      </c>
      <c r="G743" s="273">
        <v>7</v>
      </c>
      <c r="H743" s="271" t="s">
        <v>6500</v>
      </c>
      <c r="I743" s="244" t="s">
        <v>6500</v>
      </c>
      <c r="J743" s="246">
        <v>1</v>
      </c>
      <c r="K743" s="247" t="s">
        <v>5904</v>
      </c>
      <c r="L743" s="248">
        <v>181909</v>
      </c>
      <c r="M743" s="249">
        <f>15*(LEFT(TEXT($L743,"000000"),2)+(MID(TEXT($L743,"000000"),3,2)/60)+(RIGHT(TEXT($L743,"000000"),2)/3600))</f>
        <v>274.78750000000002</v>
      </c>
      <c r="N743" s="286">
        <v>-221500</v>
      </c>
      <c r="O743" s="251">
        <f>IF($N743&gt;0,(LEFT(TEXT($N743,"000000"),2)+(MID(TEXT($N743,"000000"),3,2)/60)+(RIGHT(TEXT($N743,"000000"),2)/3600)),-(MID(TEXT($N743,"000000"),2,2)+(MID(TEXT($N743,"000000"),4,2)/60)+(RIGHT(TEXT($N743,"000000"),2)/3600)))</f>
        <v>-22.25</v>
      </c>
      <c r="P743" s="252" t="s">
        <v>119</v>
      </c>
      <c r="Q743" s="253"/>
      <c r="R743" s="277" t="s">
        <v>3293</v>
      </c>
      <c r="S743" s="272" t="s">
        <v>3293</v>
      </c>
      <c r="T743" s="273"/>
      <c r="U743" s="274"/>
      <c r="V743" s="256"/>
      <c r="W743" s="244"/>
      <c r="X743" s="244"/>
      <c r="Y743" s="362"/>
      <c r="Z743" s="257">
        <f>altaz(J2000_Bas,$O743,$M743,DecLat,DecLong,1)</f>
        <v>35.674152025078612</v>
      </c>
      <c r="AA743" s="257">
        <f>altaz((J2000_Bas+(2*0.04167)),$O743,$M743,DecLat,DecLong,1)</f>
        <v>23.64037900257004</v>
      </c>
      <c r="AB743" s="257">
        <f>altaz((J2000_Bas+(4*0.04167)),$O743,$M743,DecLat,DecLong,1)</f>
        <v>3.3383847274110416</v>
      </c>
      <c r="AC743" s="257">
        <f>altaz((J2000_Bas+(6*0.04167)),$O743,$M743,DecLat,DecLong,1)</f>
        <v>-20.656326257783856</v>
      </c>
      <c r="AD743" s="258">
        <f>1+ transit((J2000_Bas-1),$O743,$M743,DecLat,DecLong)/360 + (GMTOffset/24) + (IF(DST="Y", 1, 0)/24)</f>
        <v>1.7561984954109582</v>
      </c>
      <c r="AE743" s="259">
        <f>DATE(2001,9,21)+(M743/360)*365 - (360*((DecLong/360)- (GMTOffset/24) ))</f>
        <v>37438.603993055556</v>
      </c>
      <c r="AF743" s="260">
        <f>IF(DecLat&gt;0,IF((90 - (DecLat-O743))&gt;90, (90 - (O743-DecLat)), (90 - (DecLat-O743))),IF((90 + (DecLat-O743))&gt;90, (90 + (O743-DecLat)), (90 + (DecLat-O743))))</f>
        <v>36.75</v>
      </c>
      <c r="AG743" s="257">
        <f>angularseperation(MoonRA,MoonDec,$M743,$O743)</f>
        <v>23.668094808207751</v>
      </c>
      <c r="AH743" s="261">
        <f ca="1">MIN(100,IF($O$5&gt;80,0+30*($AG743/100),IF($O$5&gt;70,0+50*($AG743/100),IF($O$5&gt;60,5+50*($AG743/100),IF($O$5&gt;50,10+60*($AG743/100),IF($O$5&gt;40,15+70*($AG743/100),IF($O$5&gt;30,20+70*($AG743/100),IF($O$5&gt;20,40+55*($AG743/100),(80+(20-$O$5)+30*($AG743/100))))))))))</f>
        <v>90.371488786612758</v>
      </c>
      <c r="AI743" s="263"/>
      <c r="AJ743" s="263"/>
      <c r="AK743" s="263"/>
      <c r="AL743" s="263"/>
      <c r="AM743" s="264"/>
      <c r="AN743" s="263"/>
      <c r="AO743" s="263"/>
      <c r="AP743" s="265"/>
      <c r="AQ743" s="265"/>
      <c r="AR743" s="285"/>
      <c r="AS743" s="263"/>
      <c r="AT743" s="263"/>
      <c r="AU743" s="263"/>
      <c r="AV743" s="264"/>
      <c r="AW743" s="263">
        <v>308</v>
      </c>
      <c r="AX743" s="263"/>
      <c r="AY743" s="263"/>
      <c r="AZ743" s="263"/>
      <c r="BA743" s="263"/>
      <c r="BB743" s="263"/>
      <c r="BC743" s="263"/>
      <c r="BD743" s="264"/>
      <c r="BE743" s="263"/>
      <c r="BF743" s="263"/>
      <c r="BG743" s="263"/>
      <c r="BH743" s="263"/>
      <c r="BI743" s="263"/>
      <c r="BJ743" s="404">
        <f>altaz(J2000_Bas,$O743,$M743,DecLat,DecLong,2)</f>
        <v>192.80269538009509</v>
      </c>
      <c r="BK743" s="378" t="s">
        <v>847</v>
      </c>
      <c r="BL743" s="379">
        <f>IF((2*G743)/60&lt;0.2,0.2,(2*G743)/60)</f>
        <v>0.23333333333333334</v>
      </c>
      <c r="BM743" s="380">
        <f>MOD((50000+AD743-$B$3+(0/24)),1)</f>
        <v>0.97156542511220323</v>
      </c>
      <c r="BN743" s="381"/>
      <c r="BO743" s="382">
        <v>743</v>
      </c>
    </row>
    <row r="744" spans="1:67" s="24" customFormat="1" ht="15" customHeight="1" x14ac:dyDescent="0.25">
      <c r="A744" s="287" t="s">
        <v>848</v>
      </c>
      <c r="B744" s="241" t="str">
        <f>HYPERLINK(CONCATENATE($AT$3,BK744,$AU$3),$AV$3)</f>
        <v>S</v>
      </c>
      <c r="C744" s="242" t="str">
        <f>HYPERLINK(CONCATENATE($AT$4,BK744,$AU$4,BL744),$AV$4)</f>
        <v>A</v>
      </c>
      <c r="D744" s="243" t="s">
        <v>5187</v>
      </c>
      <c r="E744" s="244" t="s">
        <v>5179</v>
      </c>
      <c r="F744" s="269">
        <v>3</v>
      </c>
      <c r="G744" s="273">
        <v>5</v>
      </c>
      <c r="H744" s="271" t="s">
        <v>6500</v>
      </c>
      <c r="I744" s="244" t="s">
        <v>6500</v>
      </c>
      <c r="J744" s="246">
        <v>1</v>
      </c>
      <c r="K744" s="247" t="s">
        <v>5905</v>
      </c>
      <c r="L744" s="248">
        <v>182309</v>
      </c>
      <c r="M744" s="249">
        <f>15*(LEFT(TEXT($L744,"000000"),2)+(MID(TEXT($L744,"000000"),3,2)/60)+(RIGHT(TEXT($L744,"000000"),2)/3600))</f>
        <v>275.78750000000002</v>
      </c>
      <c r="N744" s="286">
        <v>-240200</v>
      </c>
      <c r="O744" s="251">
        <f>IF($N744&gt;0,(LEFT(TEXT($N744,"000000"),2)+(MID(TEXT($N744,"000000"),3,2)/60)+(RIGHT(TEXT($N744,"000000"),2)/3600)),-(MID(TEXT($N744,"000000"),2,2)+(MID(TEXT($N744,"000000"),4,2)/60)+(RIGHT(TEXT($N744,"000000"),2)/3600)))</f>
        <v>-24.033333333333335</v>
      </c>
      <c r="P744" s="252" t="s">
        <v>119</v>
      </c>
      <c r="Q744" s="253"/>
      <c r="R744" s="277" t="s">
        <v>3293</v>
      </c>
      <c r="S744" s="272" t="s">
        <v>3293</v>
      </c>
      <c r="T744" s="273"/>
      <c r="U744" s="274"/>
      <c r="V744" s="256"/>
      <c r="W744" s="244"/>
      <c r="X744" s="244"/>
      <c r="Y744" s="362"/>
      <c r="Z744" s="257">
        <f>altaz(J2000_Bas,$O744,$M744,DecLat,DecLong,1)</f>
        <v>34.103567208383858</v>
      </c>
      <c r="AA744" s="257">
        <f>altaz((J2000_Bas+(2*0.04167)),$O744,$M744,DecLat,DecLong,1)</f>
        <v>22.786950135877031</v>
      </c>
      <c r="AB744" s="257">
        <f>altaz((J2000_Bas+(4*0.04167)),$O744,$M744,DecLat,DecLong,1)</f>
        <v>3.0412943141889071</v>
      </c>
      <c r="AC744" s="257">
        <f>altaz((J2000_Bas+(6*0.04167)),$O744,$M744,DecLat,DecLong,1)</f>
        <v>-20.609901890873505</v>
      </c>
      <c r="AD744" s="258">
        <f>1+ transit((J2000_Bas-1),$O744,$M744,DecLat,DecLong)/360 + (GMTOffset/24) + (IF(DST="Y", 1, 0)/24)</f>
        <v>1.7589762729109581</v>
      </c>
      <c r="AE744" s="259">
        <f>DATE(2001,9,21)+(M744/360)*365 - (360*((DecLong/360)- (GMTOffset/24) ))</f>
        <v>37439.617881944447</v>
      </c>
      <c r="AF744" s="260">
        <f>IF(DecLat&gt;0,IF((90 - (DecLat-O744))&gt;90, (90 - (O744-DecLat)), (90 - (DecLat-O744))),IF((90 + (DecLat-O744))&gt;90, (90 + (O744-DecLat)), (90 + (DecLat-O744))))</f>
        <v>34.966666666666669</v>
      </c>
      <c r="AG744" s="257">
        <f>angularseperation(MoonRA,MoonDec,$M744,$O744)</f>
        <v>24.096480424347728</v>
      </c>
      <c r="AH744" s="261">
        <f ca="1">MIN(100,IF($O$5&gt;80,0+30*($AG744/100),IF($O$5&gt;70,0+50*($AG744/100),IF($O$5&gt;60,5+50*($AG744/100),IF($O$5&gt;50,10+60*($AG744/100),IF($O$5&gt;40,15+70*($AG744/100),IF($O$5&gt;30,20+70*($AG744/100),IF($O$5&gt;20,40+55*($AG744/100),(80+(20-$O$5)+30*($AG744/100))))))))))</f>
        <v>90.500004471454744</v>
      </c>
      <c r="AI744" s="263"/>
      <c r="AJ744" s="263"/>
      <c r="AK744" s="263"/>
      <c r="AL744" s="263"/>
      <c r="AM744" s="264"/>
      <c r="AN744" s="263"/>
      <c r="AO744" s="263"/>
      <c r="AP744" s="265"/>
      <c r="AQ744" s="265"/>
      <c r="AR744" s="285"/>
      <c r="AS744" s="263"/>
      <c r="AT744" s="263"/>
      <c r="AU744" s="263"/>
      <c r="AV744" s="264"/>
      <c r="AW744" s="263">
        <v>309</v>
      </c>
      <c r="AX744" s="263"/>
      <c r="AY744" s="263"/>
      <c r="AZ744" s="263"/>
      <c r="BA744" s="263"/>
      <c r="BB744" s="263"/>
      <c r="BC744" s="263"/>
      <c r="BD744" s="264"/>
      <c r="BE744" s="263"/>
      <c r="BF744" s="263"/>
      <c r="BG744" s="263"/>
      <c r="BH744" s="263"/>
      <c r="BI744" s="263"/>
      <c r="BJ744" s="404">
        <f>altaz(J2000_Bas,$O744,$M744,DecLat,DecLong,2)</f>
        <v>191.28038048590432</v>
      </c>
      <c r="BK744" s="378" t="s">
        <v>848</v>
      </c>
      <c r="BL744" s="379">
        <f>IF((2*G744)/60&lt;0.2,0.2,(2*G744)/60)</f>
        <v>0.2</v>
      </c>
      <c r="BM744" s="380">
        <f>MOD((50000+AD744-$B$3+(0/24)),1)</f>
        <v>0.97434320261527319</v>
      </c>
      <c r="BN744" s="381"/>
      <c r="BO744" s="382">
        <v>744</v>
      </c>
    </row>
    <row r="745" spans="1:67" s="24" customFormat="1" ht="15" customHeight="1" x14ac:dyDescent="0.25">
      <c r="A745" s="287" t="s">
        <v>849</v>
      </c>
      <c r="B745" s="241" t="str">
        <f>HYPERLINK(CONCATENATE($AT$3,BK745,$AU$3),$AV$3)</f>
        <v>S</v>
      </c>
      <c r="C745" s="242" t="str">
        <f>HYPERLINK(CONCATENATE($AT$4,BK745,$AU$4,BL745),$AV$4)</f>
        <v>A</v>
      </c>
      <c r="D745" s="243" t="s">
        <v>5187</v>
      </c>
      <c r="E745" s="244" t="s">
        <v>5179</v>
      </c>
      <c r="F745" s="269">
        <v>3</v>
      </c>
      <c r="G745" s="273">
        <v>2</v>
      </c>
      <c r="H745" s="271" t="s">
        <v>6500</v>
      </c>
      <c r="I745" s="244" t="s">
        <v>6500</v>
      </c>
      <c r="J745" s="246">
        <v>0</v>
      </c>
      <c r="K745" s="247" t="s">
        <v>5906</v>
      </c>
      <c r="L745" s="248">
        <v>183013</v>
      </c>
      <c r="M745" s="249">
        <f>15*(LEFT(TEXT($L745,"000000"),2)+(MID(TEXT($L745,"000000"),3,2)/60)+(RIGHT(TEXT($L745,"000000"),2)/3600))</f>
        <v>277.55416666666667</v>
      </c>
      <c r="N745" s="286">
        <v>-183600</v>
      </c>
      <c r="O745" s="251">
        <f>IF($N745&gt;0,(LEFT(TEXT($N745,"000000"),2)+(MID(TEXT($N745,"000000"),3,2)/60)+(RIGHT(TEXT($N745,"000000"),2)/3600)),-(MID(TEXT($N745,"000000"),2,2)+(MID(TEXT($N745,"000000"),4,2)/60)+(RIGHT(TEXT($N745,"000000"),2)/3600)))</f>
        <v>-18.600000000000001</v>
      </c>
      <c r="P745" s="252" t="s">
        <v>119</v>
      </c>
      <c r="Q745" s="253"/>
      <c r="R745" s="277" t="s">
        <v>3293</v>
      </c>
      <c r="S745" s="272" t="s">
        <v>3293</v>
      </c>
      <c r="T745" s="273"/>
      <c r="U745" s="274"/>
      <c r="V745" s="256"/>
      <c r="W745" s="244"/>
      <c r="X745" s="244"/>
      <c r="Y745" s="362"/>
      <c r="Z745" s="257">
        <f>altaz(J2000_Bas,$O745,$M745,DecLat,DecLong,1)</f>
        <v>39.739949225940883</v>
      </c>
      <c r="AA745" s="257">
        <f>altaz((J2000_Bas+(2*0.04167)),$O745,$M745,DecLat,DecLong,1)</f>
        <v>28.113531351195899</v>
      </c>
      <c r="AB745" s="257">
        <f>altaz((J2000_Bas+(4*0.04167)),$O745,$M745,DecLat,DecLong,1)</f>
        <v>7.5803600374404354</v>
      </c>
      <c r="AC745" s="257">
        <f>altaz((J2000_Bas+(6*0.04167)),$O745,$M745,DecLat,DecLong,1)</f>
        <v>-16.689752517971243</v>
      </c>
      <c r="AD745" s="258">
        <f>1+ transit((J2000_Bas-1),$O745,$M745,DecLat,DecLong)/360 + (GMTOffset/24) + (IF(DST="Y", 1, 0)/24)</f>
        <v>1.7638836798276247</v>
      </c>
      <c r="AE745" s="259">
        <f>DATE(2001,9,21)+(M745/360)*365 - (360*((DecLong/360)- (GMTOffset/24) ))</f>
        <v>37441.409085648149</v>
      </c>
      <c r="AF745" s="260">
        <f>IF(DecLat&gt;0,IF((90 - (DecLat-O745))&gt;90, (90 - (O745-DecLat)), (90 - (DecLat-O745))),IF((90 + (DecLat-O745))&gt;90, (90 + (O745-DecLat)), (90 + (DecLat-O745))))</f>
        <v>40.4</v>
      </c>
      <c r="AG745" s="257">
        <f>angularseperation(MoonRA,MoonDec,$M745,$O745)</f>
        <v>27.362818511045905</v>
      </c>
      <c r="AH745" s="261">
        <f ca="1">MIN(100,IF($O$5&gt;80,0+30*($AG745/100),IF($O$5&gt;70,0+50*($AG745/100),IF($O$5&gt;60,5+50*($AG745/100),IF($O$5&gt;50,10+60*($AG745/100),IF($O$5&gt;40,15+70*($AG745/100),IF($O$5&gt;30,20+70*($AG745/100),IF($O$5&gt;20,40+55*($AG745/100),(80+(20-$O$5)+30*($AG745/100))))))))))</f>
        <v>91.479905897464192</v>
      </c>
      <c r="AI745" s="263"/>
      <c r="AJ745" s="263"/>
      <c r="AK745" s="263"/>
      <c r="AL745" s="263"/>
      <c r="AM745" s="264"/>
      <c r="AN745" s="263"/>
      <c r="AO745" s="263"/>
      <c r="AP745" s="265"/>
      <c r="AQ745" s="265"/>
      <c r="AR745" s="285"/>
      <c r="AS745" s="263"/>
      <c r="AT745" s="263"/>
      <c r="AU745" s="263"/>
      <c r="AV745" s="264"/>
      <c r="AW745" s="263">
        <v>310</v>
      </c>
      <c r="AX745" s="263"/>
      <c r="AY745" s="263"/>
      <c r="AZ745" s="263"/>
      <c r="BA745" s="263"/>
      <c r="BB745" s="263"/>
      <c r="BC745" s="263"/>
      <c r="BD745" s="264"/>
      <c r="BE745" s="263"/>
      <c r="BF745" s="263"/>
      <c r="BG745" s="263"/>
      <c r="BH745" s="263"/>
      <c r="BI745" s="263"/>
      <c r="BJ745" s="404">
        <f>altaz(J2000_Bas,$O745,$M745,DecLat,DecLong,2)</f>
        <v>190.43295011531876</v>
      </c>
      <c r="BK745" s="378" t="s">
        <v>849</v>
      </c>
      <c r="BL745" s="379">
        <f>IF((2*G745)/60&lt;0.2,0.2,(2*G745)/60)</f>
        <v>0.2</v>
      </c>
      <c r="BM745" s="380">
        <f>MOD((50000+AD745-$B$3+(0/24)),1)</f>
        <v>0.97925060953275533</v>
      </c>
      <c r="BN745" s="381"/>
      <c r="BO745" s="382">
        <v>745</v>
      </c>
    </row>
    <row r="746" spans="1:67" s="24" customFormat="1" ht="15" customHeight="1" x14ac:dyDescent="0.25">
      <c r="A746" s="287" t="s">
        <v>850</v>
      </c>
      <c r="B746" s="241" t="str">
        <f>HYPERLINK(CONCATENATE($AT$3,BK746,$AU$3),$AV$3)</f>
        <v>S</v>
      </c>
      <c r="C746" s="242" t="str">
        <f>HYPERLINK(CONCATENATE($AT$4,BK746,$AU$4,BL746),$AV$4)</f>
        <v>A</v>
      </c>
      <c r="D746" s="243" t="s">
        <v>5187</v>
      </c>
      <c r="E746" s="244" t="s">
        <v>5179</v>
      </c>
      <c r="F746" s="269">
        <v>4</v>
      </c>
      <c r="G746" s="273">
        <v>6</v>
      </c>
      <c r="H746" s="271" t="s">
        <v>6500</v>
      </c>
      <c r="I746" s="244" t="s">
        <v>6500</v>
      </c>
      <c r="J746" s="246">
        <v>0</v>
      </c>
      <c r="K746" s="247" t="s">
        <v>5907</v>
      </c>
      <c r="L746" s="248">
        <v>183027</v>
      </c>
      <c r="M746" s="249">
        <f>15*(LEFT(TEXT($L746,"000000"),2)+(MID(TEXT($L746,"000000"),3,2)/60)+(RIGHT(TEXT($L746,"000000"),2)/3600))</f>
        <v>277.61250000000001</v>
      </c>
      <c r="N746" s="286">
        <v>-174100</v>
      </c>
      <c r="O746" s="251">
        <f>IF($N746&gt;0,(LEFT(TEXT($N746,"000000"),2)+(MID(TEXT($N746,"000000"),3,2)/60)+(RIGHT(TEXT($N746,"000000"),2)/3600)),-(MID(TEXT($N746,"000000"),2,2)+(MID(TEXT($N746,"000000"),4,2)/60)+(RIGHT(TEXT($N746,"000000"),2)/3600)))</f>
        <v>-17.683333333333334</v>
      </c>
      <c r="P746" s="252" t="s">
        <v>119</v>
      </c>
      <c r="Q746" s="253"/>
      <c r="R746" s="277" t="s">
        <v>3293</v>
      </c>
      <c r="S746" s="272" t="s">
        <v>3293</v>
      </c>
      <c r="T746" s="273"/>
      <c r="U746" s="274"/>
      <c r="V746" s="256"/>
      <c r="W746" s="244"/>
      <c r="X746" s="244"/>
      <c r="Y746" s="362"/>
      <c r="Z746" s="257">
        <f>altaz(J2000_Bas,$O746,$M746,DecLat,DecLong,1)</f>
        <v>40.65326544484757</v>
      </c>
      <c r="AA746" s="257">
        <f>altaz((J2000_Bas+(2*0.04167)),$O746,$M746,DecLat,DecLong,1)</f>
        <v>28.875521979576117</v>
      </c>
      <c r="AB746" s="257">
        <f>altaz((J2000_Bas+(4*0.04167)),$O746,$M746,DecLat,DecLong,1)</f>
        <v>8.1680968513885084</v>
      </c>
      <c r="AC746" s="257">
        <f>altaz((J2000_Bas+(6*0.04167)),$O746,$M746,DecLat,DecLong,1)</f>
        <v>-16.211447915167597</v>
      </c>
      <c r="AD746" s="258">
        <f>1+ transit((J2000_Bas-1),$O746,$M746,DecLat,DecLong)/360 + (GMTOffset/24) + (IF(DST="Y", 1, 0)/24)</f>
        <v>1.764045716848458</v>
      </c>
      <c r="AE746" s="259">
        <f>DATE(2001,9,21)+(M746/360)*365 - (360*((DecLong/360)- (GMTOffset/24) ))</f>
        <v>37441.468229166669</v>
      </c>
      <c r="AF746" s="260">
        <f>IF(DecLat&gt;0,IF((90 - (DecLat-O746))&gt;90, (90 - (O746-DecLat)), (90 - (DecLat-O746))),IF((90 + (DecLat-O746))&gt;90, (90 + (O746-DecLat)), (90 + (DecLat-O746))))</f>
        <v>41.316666666666663</v>
      </c>
      <c r="AG746" s="257">
        <f>angularseperation(MoonRA,MoonDec,$M746,$O746)</f>
        <v>27.787041968632938</v>
      </c>
      <c r="AH746" s="261">
        <f ca="1">MIN(100,IF($O$5&gt;80,0+30*($AG746/100),IF($O$5&gt;70,0+50*($AG746/100),IF($O$5&gt;60,5+50*($AG746/100),IF($O$5&gt;50,10+60*($AG746/100),IF($O$5&gt;40,15+70*($AG746/100),IF($O$5&gt;30,20+70*($AG746/100),IF($O$5&gt;20,40+55*($AG746/100),(80+(20-$O$5)+30*($AG746/100))))))))))</f>
        <v>91.607172934740305</v>
      </c>
      <c r="AI746" s="263"/>
      <c r="AJ746" s="263"/>
      <c r="AK746" s="263"/>
      <c r="AL746" s="263"/>
      <c r="AM746" s="264"/>
      <c r="AN746" s="263"/>
      <c r="AO746" s="263"/>
      <c r="AP746" s="265"/>
      <c r="AQ746" s="265"/>
      <c r="AR746" s="285"/>
      <c r="AS746" s="263"/>
      <c r="AT746" s="263"/>
      <c r="AU746" s="263"/>
      <c r="AV746" s="264"/>
      <c r="AW746" s="263">
        <v>311</v>
      </c>
      <c r="AX746" s="263"/>
      <c r="AY746" s="263"/>
      <c r="AZ746" s="263"/>
      <c r="BA746" s="263"/>
      <c r="BB746" s="263"/>
      <c r="BC746" s="263"/>
      <c r="BD746" s="264"/>
      <c r="BE746" s="263"/>
      <c r="BF746" s="263"/>
      <c r="BG746" s="263"/>
      <c r="BH746" s="263"/>
      <c r="BI746" s="263"/>
      <c r="BJ746" s="404">
        <f>altaz(J2000_Bas,$O746,$M746,DecLat,DecLong,2)</f>
        <v>190.55855454356711</v>
      </c>
      <c r="BK746" s="378" t="s">
        <v>850</v>
      </c>
      <c r="BL746" s="379">
        <f>IF((2*G746)/60&lt;0.2,0.2,(2*G746)/60)</f>
        <v>0.2</v>
      </c>
      <c r="BM746" s="380">
        <f>MOD((50000+AD746-$B$3+(0/24)),1)</f>
        <v>0.97941264654946281</v>
      </c>
      <c r="BN746" s="381"/>
      <c r="BO746" s="382">
        <v>746</v>
      </c>
    </row>
    <row r="747" spans="1:67" s="24" customFormat="1" ht="15" customHeight="1" x14ac:dyDescent="0.25">
      <c r="A747" s="288" t="s">
        <v>851</v>
      </c>
      <c r="B747" s="241" t="str">
        <f>HYPERLINK(CONCATENATE($AT$3,BK747,$AU$3),$AV$3)</f>
        <v>S</v>
      </c>
      <c r="C747" s="242" t="str">
        <f>HYPERLINK(CONCATENATE($AT$4,BK747,$AU$4,BL747),$AV$4)</f>
        <v>A</v>
      </c>
      <c r="D747" s="243" t="s">
        <v>5187</v>
      </c>
      <c r="E747" s="244" t="s">
        <v>5179</v>
      </c>
      <c r="F747" s="269">
        <v>4</v>
      </c>
      <c r="G747" s="276">
        <v>150</v>
      </c>
      <c r="H747" s="271" t="s">
        <v>6500</v>
      </c>
      <c r="I747" s="244" t="s">
        <v>6500</v>
      </c>
      <c r="J747" s="246">
        <v>2</v>
      </c>
      <c r="K747" s="247" t="s">
        <v>8401</v>
      </c>
      <c r="L747" s="248">
        <v>183211</v>
      </c>
      <c r="M747" s="249">
        <f>15*(LEFT(TEXT($L747,"000000"),2)+(MID(TEXT($L747,"000000"),3,2)/60)+(RIGHT(TEXT($L747,"000000"),2)/3600))</f>
        <v>278.04583333333335</v>
      </c>
      <c r="N747" s="250">
        <v>-153500</v>
      </c>
      <c r="O747" s="251">
        <f>IF($N747&gt;0,(LEFT(TEXT($N747,"000000"),2)+(MID(TEXT($N747,"000000"),3,2)/60)+(RIGHT(TEXT($N747,"000000"),2)/3600)),-(MID(TEXT($N747,"000000"),2,2)+(MID(TEXT($N747,"000000"),4,2)/60)+(RIGHT(TEXT($N747,"000000"),2)/3600)))</f>
        <v>-15.583333333333334</v>
      </c>
      <c r="P747" s="252" t="s">
        <v>121</v>
      </c>
      <c r="Q747" s="253"/>
      <c r="R747" s="247" t="s">
        <v>3293</v>
      </c>
      <c r="S747" s="272" t="s">
        <v>3293</v>
      </c>
      <c r="T747" s="273"/>
      <c r="U747" s="274"/>
      <c r="V747" s="256"/>
      <c r="W747" s="244"/>
      <c r="X747" s="244"/>
      <c r="Y747" s="362"/>
      <c r="Z747" s="257">
        <f>altaz(J2000_Bas,$O747,$M747,DecLat,DecLong,1)</f>
        <v>42.792870779964929</v>
      </c>
      <c r="AA747" s="257">
        <f>altaz((J2000_Bas+(2*0.04167)),$O747,$M747,DecLat,DecLong,1)</f>
        <v>30.790551023196254</v>
      </c>
      <c r="AB747" s="257">
        <f>altaz((J2000_Bas+(4*0.04167)),$O747,$M747,DecLat,DecLong,1)</f>
        <v>9.7444945959089999</v>
      </c>
      <c r="AC747" s="257">
        <f>altaz((J2000_Bas+(6*0.04167)),$O747,$M747,DecLat,DecLong,1)</f>
        <v>-14.848918214564197</v>
      </c>
      <c r="AD747" s="258">
        <f>1+ transit((J2000_Bas-1),$O747,$M747,DecLat,DecLong)/360 + (GMTOffset/24) + (IF(DST="Y", 1, 0)/24)</f>
        <v>1.7652494204317914</v>
      </c>
      <c r="AE747" s="259">
        <f>DATE(2001,9,21)+(M747/360)*365 - (360*((DecLong/360)- (GMTOffset/24) ))</f>
        <v>37441.907581018517</v>
      </c>
      <c r="AF747" s="260">
        <f>IF(DecLat&gt;0,IF((90 - (DecLat-O747))&gt;90, (90 - (O747-DecLat)), (90 - (DecLat-O747))),IF((90 + (DecLat-O747))&gt;90, (90 + (O747-DecLat)), (90 + (DecLat-O747))))</f>
        <v>43.416666666666664</v>
      </c>
      <c r="AG747" s="257">
        <f>angularseperation(MoonRA,MoonDec,$M747,$O747)</f>
        <v>29.095192416273385</v>
      </c>
      <c r="AH747" s="261">
        <f ca="1">MIN(100,IF($O$5&gt;80,0+30*($AG747/100),IF($O$5&gt;70,0+50*($AG747/100),IF($O$5&gt;60,5+50*($AG747/100),IF($O$5&gt;50,10+60*($AG747/100),IF($O$5&gt;40,15+70*($AG747/100),IF($O$5&gt;30,20+70*($AG747/100),IF($O$5&gt;20,40+55*($AG747/100),(80+(20-$O$5)+30*($AG747/100))))))))))</f>
        <v>91.999618069032437</v>
      </c>
      <c r="AI747" s="262"/>
      <c r="AJ747" s="262"/>
      <c r="AK747" s="262"/>
      <c r="AL747" s="263"/>
      <c r="AM747" s="264"/>
      <c r="AN747" s="263"/>
      <c r="AO747" s="263"/>
      <c r="AP747" s="265"/>
      <c r="AQ747" s="266"/>
      <c r="AR747" s="267"/>
      <c r="AS747" s="263"/>
      <c r="AT747" s="263"/>
      <c r="AU747" s="263"/>
      <c r="AV747" s="264"/>
      <c r="AW747" s="263">
        <v>312</v>
      </c>
      <c r="AX747" s="263"/>
      <c r="AY747" s="263"/>
      <c r="AZ747" s="263">
        <v>379</v>
      </c>
      <c r="BA747" s="263"/>
      <c r="BB747" s="263"/>
      <c r="BC747" s="263"/>
      <c r="BD747" s="264"/>
      <c r="BE747" s="263"/>
      <c r="BF747" s="263"/>
      <c r="BG747" s="263"/>
      <c r="BH747" s="263"/>
      <c r="BI747" s="263"/>
      <c r="BJ747" s="404">
        <f>altaz(J2000_Bas,$O747,$M747,DecLat,DecLong,2)</f>
        <v>190.46909606940997</v>
      </c>
      <c r="BK747" s="378" t="s">
        <v>851</v>
      </c>
      <c r="BL747" s="379">
        <f>IF((2*G747)/60&lt;0.2,0.2,(2*G747)/60)</f>
        <v>5</v>
      </c>
      <c r="BM747" s="380">
        <f>MOD((50000+AD747-$B$3+(0/24)),1)</f>
        <v>0.98061635013436899</v>
      </c>
      <c r="BN747" s="381"/>
      <c r="BO747" s="382">
        <v>747</v>
      </c>
    </row>
    <row r="748" spans="1:67" s="24" customFormat="1" ht="15" customHeight="1" x14ac:dyDescent="0.25">
      <c r="A748" s="287" t="s">
        <v>852</v>
      </c>
      <c r="B748" s="241" t="str">
        <f>HYPERLINK(CONCATENATE($AT$3,BK748,$AU$3),$AV$3)</f>
        <v>S</v>
      </c>
      <c r="C748" s="242" t="str">
        <f>HYPERLINK(CONCATENATE($AT$4,BK748,$AU$4,BL748),$AV$4)</f>
        <v>A</v>
      </c>
      <c r="D748" s="243" t="s">
        <v>5187</v>
      </c>
      <c r="E748" s="244" t="s">
        <v>5179</v>
      </c>
      <c r="F748" s="269">
        <v>0</v>
      </c>
      <c r="G748" s="276">
        <v>15</v>
      </c>
      <c r="H748" s="271" t="s">
        <v>6500</v>
      </c>
      <c r="I748" s="244" t="s">
        <v>6500</v>
      </c>
      <c r="J748" s="246">
        <v>0</v>
      </c>
      <c r="K748" s="247" t="s">
        <v>5908</v>
      </c>
      <c r="L748" s="248">
        <v>183557</v>
      </c>
      <c r="M748" s="249">
        <f>15*(LEFT(TEXT($L748,"000000"),2)+(MID(TEXT($L748,"000000"),3,2)/60)+(RIGHT(TEXT($L748,"000000"),2)/3600))</f>
        <v>278.98749999999995</v>
      </c>
      <c r="N748" s="286">
        <v>-154200</v>
      </c>
      <c r="O748" s="251">
        <f>IF($N748&gt;0,(LEFT(TEXT($N748,"000000"),2)+(MID(TEXT($N748,"000000"),3,2)/60)+(RIGHT(TEXT($N748,"000000"),2)/3600)),-(MID(TEXT($N748,"000000"),2,2)+(MID(TEXT($N748,"000000"),4,2)/60)+(RIGHT(TEXT($N748,"000000"),2)/3600)))</f>
        <v>-15.7</v>
      </c>
      <c r="P748" s="252" t="s">
        <v>121</v>
      </c>
      <c r="Q748" s="253"/>
      <c r="R748" s="277" t="s">
        <v>3293</v>
      </c>
      <c r="S748" s="272" t="s">
        <v>3293</v>
      </c>
      <c r="T748" s="273"/>
      <c r="U748" s="274"/>
      <c r="V748" s="256"/>
      <c r="W748" s="244"/>
      <c r="X748" s="244"/>
      <c r="Y748" s="362"/>
      <c r="Z748" s="257">
        <f>altaz(J2000_Bas,$O748,$M748,DecLat,DecLong,1)</f>
        <v>42.815591844316636</v>
      </c>
      <c r="AA748" s="257">
        <f>altaz((J2000_Bas+(2*0.04167)),$O748,$M748,DecLat,DecLong,1)</f>
        <v>31.251116872052297</v>
      </c>
      <c r="AB748" s="257">
        <f>altaz((J2000_Bas+(4*0.04167)),$O748,$M748,DecLat,DecLong,1)</f>
        <v>10.405479165317088</v>
      </c>
      <c r="AC748" s="257">
        <f>altaz((J2000_Bas+(6*0.04167)),$O748,$M748,DecLat,DecLong,1)</f>
        <v>-14.109474784583231</v>
      </c>
      <c r="AD748" s="258">
        <f>1+ transit((J2000_Bas-1),$O748,$M748,DecLat,DecLong)/360 + (GMTOffset/24) + (IF(DST="Y", 1, 0)/24)</f>
        <v>1.7678651609109581</v>
      </c>
      <c r="AE748" s="259">
        <f>DATE(2001,9,21)+(M748/360)*365 - (360*((DecLong/360)- (GMTOffset/24) ))</f>
        <v>37442.862326388888</v>
      </c>
      <c r="AF748" s="260">
        <f>IF(DecLat&gt;0,IF((90 - (DecLat-O748))&gt;90, (90 - (O748-DecLat)), (90 - (DecLat-O748))),IF((90 + (DecLat-O748))&gt;90, (90 + (O748-DecLat)), (90 + (DecLat-O748))))</f>
        <v>43.3</v>
      </c>
      <c r="AG748" s="257">
        <f>angularseperation(MoonRA,MoonDec,$M748,$O748)</f>
        <v>29.843368296521295</v>
      </c>
      <c r="AH748" s="261">
        <f ca="1">MIN(100,IF($O$5&gt;80,0+30*($AG748/100),IF($O$5&gt;70,0+50*($AG748/100),IF($O$5&gt;60,5+50*($AG748/100),IF($O$5&gt;50,10+60*($AG748/100),IF($O$5&gt;40,15+70*($AG748/100),IF($O$5&gt;30,20+70*($AG748/100),IF($O$5&gt;20,40+55*($AG748/100),(80+(20-$O$5)+30*($AG748/100))))))))))</f>
        <v>92.224070833106822</v>
      </c>
      <c r="AI748" s="263"/>
      <c r="AJ748" s="263"/>
      <c r="AK748" s="263"/>
      <c r="AL748" s="263"/>
      <c r="AM748" s="264"/>
      <c r="AN748" s="263"/>
      <c r="AO748" s="263"/>
      <c r="AP748" s="265"/>
      <c r="AQ748" s="265"/>
      <c r="AR748" s="285"/>
      <c r="AS748" s="263"/>
      <c r="AT748" s="263"/>
      <c r="AU748" s="263"/>
      <c r="AV748" s="264"/>
      <c r="AW748" s="263">
        <v>313</v>
      </c>
      <c r="AX748" s="263"/>
      <c r="AY748" s="263"/>
      <c r="AZ748" s="263"/>
      <c r="BA748" s="263"/>
      <c r="BB748" s="263"/>
      <c r="BC748" s="263"/>
      <c r="BD748" s="264"/>
      <c r="BE748" s="263"/>
      <c r="BF748" s="263"/>
      <c r="BG748" s="263"/>
      <c r="BH748" s="263"/>
      <c r="BI748" s="263"/>
      <c r="BJ748" s="404">
        <f>altaz(J2000_Bas,$O748,$M748,DecLat,DecLong,2)</f>
        <v>189.22333035872538</v>
      </c>
      <c r="BK748" s="378" t="s">
        <v>852</v>
      </c>
      <c r="BL748" s="379">
        <f>IF((2*G748)/60&lt;0.2,0.2,(2*G748)/60)</f>
        <v>0.5</v>
      </c>
      <c r="BM748" s="380">
        <f>MOD((50000+AD748-$B$3+(0/24)),1)</f>
        <v>0.98323209061345551</v>
      </c>
      <c r="BN748" s="381"/>
      <c r="BO748" s="382">
        <v>748</v>
      </c>
    </row>
    <row r="749" spans="1:67" s="24" customFormat="1" ht="15" customHeight="1" x14ac:dyDescent="0.25">
      <c r="A749" s="287" t="s">
        <v>853</v>
      </c>
      <c r="B749" s="241" t="str">
        <f>HYPERLINK(CONCATENATE($AT$3,BK749,$AU$3),$AV$3)</f>
        <v>S</v>
      </c>
      <c r="C749" s="242" t="str">
        <f>HYPERLINK(CONCATENATE($AT$4,BK749,$AU$4,BL749),$AV$4)</f>
        <v>A</v>
      </c>
      <c r="D749" s="243" t="s">
        <v>5187</v>
      </c>
      <c r="E749" s="244" t="s">
        <v>5179</v>
      </c>
      <c r="F749" s="269">
        <v>5</v>
      </c>
      <c r="G749" s="276">
        <v>35</v>
      </c>
      <c r="H749" s="271" t="s">
        <v>6500</v>
      </c>
      <c r="I749" s="244" t="s">
        <v>6500</v>
      </c>
      <c r="J749" s="246">
        <v>2</v>
      </c>
      <c r="K749" s="247" t="s">
        <v>5909</v>
      </c>
      <c r="L749" s="248">
        <v>183705</v>
      </c>
      <c r="M749" s="249">
        <f>15*(LEFT(TEXT($L749,"000000"),2)+(MID(TEXT($L749,"000000"),3,2)/60)+(RIGHT(TEXT($L749,"000000"),2)/3600))</f>
        <v>279.27083333333337</v>
      </c>
      <c r="N749" s="286">
        <v>-94400</v>
      </c>
      <c r="O749" s="251">
        <f>IF($N749&gt;0,(LEFT(TEXT($N749,"000000"),2)+(MID(TEXT($N749,"000000"),3,2)/60)+(RIGHT(TEXT($N749,"000000"),2)/3600)),-(MID(TEXT($N749,"000000"),2,2)+(MID(TEXT($N749,"000000"),4,2)/60)+(RIGHT(TEXT($N749,"000000"),2)/3600)))</f>
        <v>-9.7333333333333325</v>
      </c>
      <c r="P749" s="252" t="s">
        <v>121</v>
      </c>
      <c r="Q749" s="253"/>
      <c r="R749" s="277" t="s">
        <v>3293</v>
      </c>
      <c r="S749" s="272" t="s">
        <v>3293</v>
      </c>
      <c r="T749" s="273"/>
      <c r="U749" s="274"/>
      <c r="V749" s="256"/>
      <c r="W749" s="244"/>
      <c r="X749" s="244"/>
      <c r="Y749" s="362"/>
      <c r="Z749" s="257">
        <f>altaz(J2000_Bas,$O749,$M749,DecLat,DecLong,1)</f>
        <v>48.75787096421351</v>
      </c>
      <c r="AA749" s="257">
        <f>altaz((J2000_Bas+(2*0.04167)),$O749,$M749,DecLat,DecLong,1)</f>
        <v>36.104701891988917</v>
      </c>
      <c r="AB749" s="257">
        <f>altaz((J2000_Bas+(4*0.04167)),$O749,$M749,DecLat,DecLong,1)</f>
        <v>14.144717185451578</v>
      </c>
      <c r="AC749" s="257">
        <f>altaz((J2000_Bas+(6*0.04167)),$O749,$M749,DecLat,DecLong,1)</f>
        <v>-10.942232252387051</v>
      </c>
      <c r="AD749" s="258">
        <f>1+ transit((J2000_Bas-1),$O749,$M749,DecLat,DecLong)/360 + (GMTOffset/24) + (IF(DST="Y", 1, 0)/24)</f>
        <v>1.7686521978692913</v>
      </c>
      <c r="AE749" s="259">
        <f>DATE(2001,9,21)+(M749/360)*365 - (360*((DecLong/360)- (GMTOffset/24) ))</f>
        <v>37443.149594907409</v>
      </c>
      <c r="AF749" s="260">
        <f>IF(DecLat&gt;0,IF((90 - (DecLat-O749))&gt;90, (90 - (O749-DecLat)), (90 - (DecLat-O749))),IF((90 + (DecLat-O749))&gt;90, (90 + (O749-DecLat)), (90 + (DecLat-O749))))</f>
        <v>49.266666666666666</v>
      </c>
      <c r="AG749" s="257">
        <f>angularseperation(MoonRA,MoonDec,$M749,$O749)</f>
        <v>33.205724016741364</v>
      </c>
      <c r="AH749" s="261">
        <f ca="1">MIN(100,IF($O$5&gt;80,0+30*($AG749/100),IF($O$5&gt;70,0+50*($AG749/100),IF($O$5&gt;60,5+50*($AG749/100),IF($O$5&gt;50,10+60*($AG749/100),IF($O$5&gt;40,15+70*($AG749/100),IF($O$5&gt;30,20+70*($AG749/100),IF($O$5&gt;20,40+55*($AG749/100),(80+(20-$O$5)+30*($AG749/100))))))))))</f>
        <v>93.232777549172837</v>
      </c>
      <c r="AI749" s="263"/>
      <c r="AJ749" s="263"/>
      <c r="AK749" s="263"/>
      <c r="AL749" s="263"/>
      <c r="AM749" s="264"/>
      <c r="AN749" s="263"/>
      <c r="AO749" s="263"/>
      <c r="AP749" s="265"/>
      <c r="AQ749" s="265"/>
      <c r="AR749" s="285"/>
      <c r="AS749" s="263"/>
      <c r="AT749" s="263"/>
      <c r="AU749" s="263"/>
      <c r="AV749" s="264"/>
      <c r="AW749" s="263">
        <v>314</v>
      </c>
      <c r="AX749" s="263"/>
      <c r="AY749" s="263"/>
      <c r="AZ749" s="263"/>
      <c r="BA749" s="263"/>
      <c r="BB749" s="263"/>
      <c r="BC749" s="263"/>
      <c r="BD749" s="264"/>
      <c r="BE749" s="263"/>
      <c r="BF749" s="263"/>
      <c r="BG749" s="263"/>
      <c r="BH749" s="263"/>
      <c r="BI749" s="263"/>
      <c r="BJ749" s="404">
        <f>altaz(J2000_Bas,$O749,$M749,DecLat,DecLong,2)</f>
        <v>190.09340152312896</v>
      </c>
      <c r="BK749" s="378" t="s">
        <v>853</v>
      </c>
      <c r="BL749" s="379">
        <f>IF((2*G749)/60&lt;0.2,0.2,(2*G749)/60)</f>
        <v>1.1666666666666667</v>
      </c>
      <c r="BM749" s="380">
        <f>MOD((50000+AD749-$B$3+(0/24)),1)</f>
        <v>0.9840191275725374</v>
      </c>
      <c r="BN749" s="381"/>
      <c r="BO749" s="382">
        <v>749</v>
      </c>
    </row>
    <row r="750" spans="1:67" s="24" customFormat="1" ht="15" customHeight="1" x14ac:dyDescent="0.25">
      <c r="A750" s="287" t="s">
        <v>854</v>
      </c>
      <c r="B750" s="241" t="str">
        <f>HYPERLINK(CONCATENATE($AT$3,BK750,$AU$3),$AV$3)</f>
        <v>S</v>
      </c>
      <c r="C750" s="242" t="str">
        <f>HYPERLINK(CONCATENATE($AT$4,BK750,$AU$4,BL750),$AV$4)</f>
        <v>A</v>
      </c>
      <c r="D750" s="243" t="s">
        <v>5187</v>
      </c>
      <c r="E750" s="244" t="s">
        <v>5179</v>
      </c>
      <c r="F750" s="269">
        <v>3</v>
      </c>
      <c r="G750" s="273">
        <v>5</v>
      </c>
      <c r="H750" s="271" t="s">
        <v>6500</v>
      </c>
      <c r="I750" s="244" t="s">
        <v>6500</v>
      </c>
      <c r="J750" s="246">
        <v>0</v>
      </c>
      <c r="K750" s="247" t="s">
        <v>5910</v>
      </c>
      <c r="L750" s="248">
        <v>184219</v>
      </c>
      <c r="M750" s="249">
        <f>15*(LEFT(TEXT($L750,"000000"),2)+(MID(TEXT($L750,"000000"),3,2)/60)+(RIGHT(TEXT($L750,"000000"),2)/3600))</f>
        <v>280.57916666666665</v>
      </c>
      <c r="N750" s="286">
        <v>-200300</v>
      </c>
      <c r="O750" s="251">
        <f>IF($N750&gt;0,(LEFT(TEXT($N750,"000000"),2)+(MID(TEXT($N750,"000000"),3,2)/60)+(RIGHT(TEXT($N750,"000000"),2)/3600)),-(MID(TEXT($N750,"000000"),2,2)+(MID(TEXT($N750,"000000"),4,2)/60)+(RIGHT(TEXT($N750,"000000"),2)/3600)))</f>
        <v>-20.05</v>
      </c>
      <c r="P750" s="252" t="s">
        <v>119</v>
      </c>
      <c r="Q750" s="253"/>
      <c r="R750" s="277" t="s">
        <v>3293</v>
      </c>
      <c r="S750" s="272" t="s">
        <v>3293</v>
      </c>
      <c r="T750" s="273"/>
      <c r="U750" s="274"/>
      <c r="V750" s="256"/>
      <c r="W750" s="244"/>
      <c r="X750" s="244"/>
      <c r="Y750" s="362"/>
      <c r="Z750" s="257">
        <f>altaz(J2000_Bas,$O750,$M750,DecLat,DecLong,1)</f>
        <v>38.684924069654407</v>
      </c>
      <c r="AA750" s="257">
        <f>altaz((J2000_Bas+(2*0.04167)),$O750,$M750,DecLat,DecLong,1)</f>
        <v>28.61352980241718</v>
      </c>
      <c r="AB750" s="257">
        <f>altaz((J2000_Bas+(4*0.04167)),$O750,$M750,DecLat,DecLong,1)</f>
        <v>8.98400134702519</v>
      </c>
      <c r="AC750" s="257">
        <f>altaz((J2000_Bas+(6*0.04167)),$O750,$M750,DecLat,DecLong,1)</f>
        <v>-14.846441239166595</v>
      </c>
      <c r="AD750" s="258">
        <f>1+ transit((J2000_Bas-1),$O750,$M750,DecLat,DecLong)/360 + (GMTOffset/24) + (IF(DST="Y", 1, 0)/24)</f>
        <v>1.7722864567651246</v>
      </c>
      <c r="AE750" s="259">
        <f>DATE(2001,9,21)+(M750/360)*365 - (360*((DecLong/360)- (GMTOffset/24) ))</f>
        <v>37444.476099537038</v>
      </c>
      <c r="AF750" s="260">
        <f>IF(DecLat&gt;0,IF((90 - (DecLat-O750))&gt;90, (90 - (O750-DecLat)), (90 - (DecLat-O750))),IF((90 + (DecLat-O750))&gt;90, (90 + (O750-DecLat)), (90 + (DecLat-O750))))</f>
        <v>38.950000000000003</v>
      </c>
      <c r="AG750" s="257">
        <f>angularseperation(MoonRA,MoonDec,$M750,$O750)</f>
        <v>29.487491312659671</v>
      </c>
      <c r="AH750" s="261">
        <f ca="1">MIN(100,IF($O$5&gt;80,0+30*($AG750/100),IF($O$5&gt;70,0+50*($AG750/100),IF($O$5&gt;60,5+50*($AG750/100),IF($O$5&gt;50,10+60*($AG750/100),IF($O$5&gt;40,15+70*($AG750/100),IF($O$5&gt;30,20+70*($AG750/100),IF($O$5&gt;20,40+55*($AG750/100),(80+(20-$O$5)+30*($AG750/100))))))))))</f>
        <v>92.117307737948323</v>
      </c>
      <c r="AI750" s="263"/>
      <c r="AJ750" s="263"/>
      <c r="AK750" s="263"/>
      <c r="AL750" s="263"/>
      <c r="AM750" s="264"/>
      <c r="AN750" s="263"/>
      <c r="AO750" s="263"/>
      <c r="AP750" s="265"/>
      <c r="AQ750" s="265"/>
      <c r="AR750" s="285"/>
      <c r="AS750" s="263"/>
      <c r="AT750" s="263"/>
      <c r="AU750" s="263"/>
      <c r="AV750" s="264"/>
      <c r="AW750" s="263">
        <v>315</v>
      </c>
      <c r="AX750" s="263"/>
      <c r="AY750" s="263"/>
      <c r="AZ750" s="263"/>
      <c r="BA750" s="263"/>
      <c r="BB750" s="263"/>
      <c r="BC750" s="263"/>
      <c r="BD750" s="264"/>
      <c r="BE750" s="263"/>
      <c r="BF750" s="263"/>
      <c r="BG750" s="263"/>
      <c r="BH750" s="263"/>
      <c r="BI750" s="263"/>
      <c r="BJ750" s="404">
        <f>altaz(J2000_Bas,$O750,$M750,DecLat,DecLong,2)</f>
        <v>186.53116467656415</v>
      </c>
      <c r="BK750" s="378" t="s">
        <v>854</v>
      </c>
      <c r="BL750" s="379">
        <f>IF((2*G750)/60&lt;0.2,0.2,(2*G750)/60)</f>
        <v>0.2</v>
      </c>
      <c r="BM750" s="380">
        <f>MOD((50000+AD750-$B$3+(0/24)),1)</f>
        <v>0.98765338646626333</v>
      </c>
      <c r="BN750" s="381"/>
      <c r="BO750" s="382">
        <v>750</v>
      </c>
    </row>
    <row r="751" spans="1:67" s="24" customFormat="1" ht="15" customHeight="1" x14ac:dyDescent="0.25">
      <c r="A751" s="288" t="s">
        <v>855</v>
      </c>
      <c r="B751" s="241" t="str">
        <f>HYPERLINK(CONCATENATE($AT$3,BK751,$AU$3),$AV$3)</f>
        <v>S</v>
      </c>
      <c r="C751" s="242" t="str">
        <f>HYPERLINK(CONCATENATE($AT$4,BK751,$AU$4,BL751),$AV$4)</f>
        <v>A</v>
      </c>
      <c r="D751" s="243" t="s">
        <v>5187</v>
      </c>
      <c r="E751" s="244" t="s">
        <v>5179</v>
      </c>
      <c r="F751" s="269">
        <v>4</v>
      </c>
      <c r="G751" s="273">
        <v>6</v>
      </c>
      <c r="H751" s="271" t="s">
        <v>6500</v>
      </c>
      <c r="I751" s="244" t="s">
        <v>6500</v>
      </c>
      <c r="J751" s="246">
        <v>1</v>
      </c>
      <c r="K751" s="247" t="s">
        <v>5911</v>
      </c>
      <c r="L751" s="248">
        <v>184151</v>
      </c>
      <c r="M751" s="249">
        <f>15*(LEFT(TEXT($L751,"000000"),2)+(MID(TEXT($L751,"000000"),3,2)/60)+(RIGHT(TEXT($L751,"000000"),2)/3600))</f>
        <v>280.46250000000003</v>
      </c>
      <c r="N751" s="286">
        <v>-20900</v>
      </c>
      <c r="O751" s="251">
        <f>IF($N751&gt;0,(LEFT(TEXT($N751,"000000"),2)+(MID(TEXT($N751,"000000"),3,2)/60)+(RIGHT(TEXT($N751,"000000"),2)/3600)),-(MID(TEXT($N751,"000000"),2,2)+(MID(TEXT($N751,"000000"),4,2)/60)+(RIGHT(TEXT($N751,"000000"),2)/3600)))</f>
        <v>-2.15</v>
      </c>
      <c r="P751" s="252" t="s">
        <v>126</v>
      </c>
      <c r="Q751" s="253"/>
      <c r="R751" s="277" t="s">
        <v>3293</v>
      </c>
      <c r="S751" s="272" t="s">
        <v>3293</v>
      </c>
      <c r="T751" s="273"/>
      <c r="U751" s="274"/>
      <c r="V751" s="256"/>
      <c r="W751" s="244"/>
      <c r="X751" s="244"/>
      <c r="Y751" s="362"/>
      <c r="Z751" s="257">
        <f>altaz(J2000_Bas,$O751,$M751,DecLat,DecLong,1)</f>
        <v>56.433087479983634</v>
      </c>
      <c r="AA751" s="257">
        <f>altaz((J2000_Bas+(2*0.04167)),$O751,$M751,DecLat,DecLong,1)</f>
        <v>42.604667271189044</v>
      </c>
      <c r="AB751" s="257">
        <f>altaz((J2000_Bas+(4*0.04167)),$O751,$M751,DecLat,DecLong,1)</f>
        <v>19.453439630867752</v>
      </c>
      <c r="AC751" s="257">
        <f>altaz((J2000_Bas+(6*0.04167)),$O751,$M751,DecLat,DecLong,1)</f>
        <v>-6.0727064419359786</v>
      </c>
      <c r="AD751" s="258">
        <f>1+ transit((J2000_Bas-1),$O751,$M751,DecLat,DecLong)/360 + (GMTOffset/24) + (IF(DST="Y", 1, 0)/24)</f>
        <v>1.7719623827234581</v>
      </c>
      <c r="AE751" s="259">
        <f>DATE(2001,9,21)+(M751/360)*365 - (360*((DecLong/360)- (GMTOffset/24) ))</f>
        <v>37444.357812499999</v>
      </c>
      <c r="AF751" s="260">
        <f>IF(DecLat&gt;0,IF((90 - (DecLat-O751))&gt;90, (90 - (O751-DecLat)), (90 - (DecLat-O751))),IF((90 + (DecLat-O751))&gt;90, (90 + (O751-DecLat)), (90 + (DecLat-O751))))</f>
        <v>56.85</v>
      </c>
      <c r="AG751" s="257">
        <f>angularseperation(MoonRA,MoonDec,$M751,$O751)</f>
        <v>38.927337527404198</v>
      </c>
      <c r="AH751" s="261">
        <f ca="1">MIN(100,IF($O$5&gt;80,0+30*($AG751/100),IF($O$5&gt;70,0+50*($AG751/100),IF($O$5&gt;60,5+50*($AG751/100),IF($O$5&gt;50,10+60*($AG751/100),IF($O$5&gt;40,15+70*($AG751/100),IF($O$5&gt;30,20+70*($AG751/100),IF($O$5&gt;20,40+55*($AG751/100),(80+(20-$O$5)+30*($AG751/100))))))))))</f>
        <v>94.949261602371692</v>
      </c>
      <c r="AI751" s="263"/>
      <c r="AJ751" s="263"/>
      <c r="AK751" s="263"/>
      <c r="AL751" s="263"/>
      <c r="AM751" s="264"/>
      <c r="AN751" s="263"/>
      <c r="AO751" s="263"/>
      <c r="AP751" s="265"/>
      <c r="AQ751" s="265"/>
      <c r="AR751" s="285"/>
      <c r="AS751" s="263"/>
      <c r="AT751" s="263"/>
      <c r="AU751" s="263"/>
      <c r="AV751" s="264"/>
      <c r="AW751" s="263">
        <v>316</v>
      </c>
      <c r="AX751" s="263"/>
      <c r="AY751" s="263"/>
      <c r="AZ751" s="263"/>
      <c r="BA751" s="263"/>
      <c r="BB751" s="263"/>
      <c r="BC751" s="263"/>
      <c r="BD751" s="264"/>
      <c r="BE751" s="263"/>
      <c r="BF751" s="263"/>
      <c r="BG751" s="263"/>
      <c r="BH751" s="263"/>
      <c r="BI751" s="263"/>
      <c r="BJ751" s="404">
        <f>altaz(J2000_Bas,$O751,$M751,DecLat,DecLong,2)</f>
        <v>190.04872215421858</v>
      </c>
      <c r="BK751" s="378" t="s">
        <v>855</v>
      </c>
      <c r="BL751" s="379">
        <f>IF((2*G751)/60&lt;0.2,0.2,(2*G751)/60)</f>
        <v>0.2</v>
      </c>
      <c r="BM751" s="380">
        <f>MOD((50000+AD751-$B$3+(0/24)),1)</f>
        <v>0.98732931242557243</v>
      </c>
      <c r="BN751" s="381"/>
      <c r="BO751" s="382">
        <v>751</v>
      </c>
    </row>
    <row r="752" spans="1:67" s="24" customFormat="1" ht="15" customHeight="1" x14ac:dyDescent="0.25">
      <c r="A752" s="287" t="s">
        <v>856</v>
      </c>
      <c r="B752" s="241" t="str">
        <f>HYPERLINK(CONCATENATE($AT$3,BK752,$AU$3),$AV$3)</f>
        <v>S</v>
      </c>
      <c r="C752" s="242" t="str">
        <f>HYPERLINK(CONCATENATE($AT$4,BK752,$AU$4,BL752),$AV$4)</f>
        <v>A</v>
      </c>
      <c r="D752" s="243" t="s">
        <v>5187</v>
      </c>
      <c r="E752" s="244" t="s">
        <v>5179</v>
      </c>
      <c r="F752" s="269">
        <v>4</v>
      </c>
      <c r="G752" s="276">
        <v>30</v>
      </c>
      <c r="H752" s="271" t="s">
        <v>6500</v>
      </c>
      <c r="I752" s="244" t="s">
        <v>6500</v>
      </c>
      <c r="J752" s="246">
        <v>1</v>
      </c>
      <c r="K752" s="247" t="s">
        <v>5912</v>
      </c>
      <c r="L752" s="248">
        <v>184546</v>
      </c>
      <c r="M752" s="249">
        <f>15*(LEFT(TEXT($L752,"000000"),2)+(MID(TEXT($L752,"000000"),3,2)/60)+(RIGHT(TEXT($L752,"000000"),2)/3600))</f>
        <v>281.44166666666666</v>
      </c>
      <c r="N752" s="286">
        <v>-141300</v>
      </c>
      <c r="O752" s="251">
        <f>IF($N752&gt;0,(LEFT(TEXT($N752,"000000"),2)+(MID(TEXT($N752,"000000"),3,2)/60)+(RIGHT(TEXT($N752,"000000"),2)/3600)),-(MID(TEXT($N752,"000000"),2,2)+(MID(TEXT($N752,"000000"),4,2)/60)+(RIGHT(TEXT($N752,"000000"),2)/3600)))</f>
        <v>-14.216666666666667</v>
      </c>
      <c r="P752" s="252" t="s">
        <v>121</v>
      </c>
      <c r="Q752" s="253"/>
      <c r="R752" s="277" t="s">
        <v>3293</v>
      </c>
      <c r="S752" s="272" t="s">
        <v>3293</v>
      </c>
      <c r="T752" s="273"/>
      <c r="U752" s="274"/>
      <c r="V752" s="256"/>
      <c r="W752" s="244"/>
      <c r="X752" s="244"/>
      <c r="Y752" s="362"/>
      <c r="Z752" s="257">
        <f>altaz(J2000_Bas,$O752,$M752,DecLat,DecLong,1)</f>
        <v>44.571316334931275</v>
      </c>
      <c r="AA752" s="257">
        <f>altaz((J2000_Bas+(2*0.04167)),$O752,$M752,DecLat,DecLong,1)</f>
        <v>33.855070761285191</v>
      </c>
      <c r="AB752" s="257">
        <f>altaz((J2000_Bas+(4*0.04167)),$O752,$M752,DecLat,DecLong,1)</f>
        <v>13.192089120611804</v>
      </c>
      <c r="AC752" s="257">
        <f>altaz((J2000_Bas+(6*0.04167)),$O752,$M752,DecLat,DecLong,1)</f>
        <v>-11.31646763123412</v>
      </c>
      <c r="AD752" s="258">
        <f>1+ transit((J2000_Bas-1),$O752,$M752,DecLat,DecLong)/360 + (GMTOffset/24) + (IF(DST="Y", 1, 0)/24)</f>
        <v>1.7746822898588748</v>
      </c>
      <c r="AE752" s="259">
        <f>DATE(2001,9,21)+(M752/360)*365 - (360*((DecLong/360)- (GMTOffset/24) ))</f>
        <v>37445.350578703707</v>
      </c>
      <c r="AF752" s="260">
        <f>IF(DecLat&gt;0,IF((90 - (DecLat-O752))&gt;90, (90 - (O752-DecLat)), (90 - (DecLat-O752))),IF((90 + (DecLat-O752))&gt;90, (90 + (O752-DecLat)), (90 + (DecLat-O752))))</f>
        <v>44.783333333333331</v>
      </c>
      <c r="AG752" s="257">
        <f>angularseperation(MoonRA,MoonDec,$M752,$O752)</f>
        <v>32.632823549254134</v>
      </c>
      <c r="AH752" s="261">
        <f ca="1">MIN(100,IF($O$5&gt;80,0+30*($AG752/100),IF($O$5&gt;70,0+50*($AG752/100),IF($O$5&gt;60,5+50*($AG752/100),IF($O$5&gt;50,10+60*($AG752/100),IF($O$5&gt;40,15+70*($AG752/100),IF($O$5&gt;30,20+70*($AG752/100),IF($O$5&gt;20,40+55*($AG752/100),(80+(20-$O$5)+30*($AG752/100))))))))))</f>
        <v>93.060907408926667</v>
      </c>
      <c r="AI752" s="263"/>
      <c r="AJ752" s="263"/>
      <c r="AK752" s="263"/>
      <c r="AL752" s="263"/>
      <c r="AM752" s="264"/>
      <c r="AN752" s="263"/>
      <c r="AO752" s="263"/>
      <c r="AP752" s="265"/>
      <c r="AQ752" s="265"/>
      <c r="AR752" s="285"/>
      <c r="AS752" s="263"/>
      <c r="AT752" s="263"/>
      <c r="AU752" s="263"/>
      <c r="AV752" s="264"/>
      <c r="AW752" s="263">
        <v>317</v>
      </c>
      <c r="AX752" s="263"/>
      <c r="AY752" s="263"/>
      <c r="AZ752" s="263"/>
      <c r="BA752" s="263"/>
      <c r="BB752" s="263"/>
      <c r="BC752" s="263"/>
      <c r="BD752" s="264"/>
      <c r="BE752" s="263"/>
      <c r="BF752" s="263"/>
      <c r="BG752" s="263"/>
      <c r="BH752" s="263"/>
      <c r="BI752" s="263"/>
      <c r="BJ752" s="404">
        <f>altaz(J2000_Bas,$O752,$M752,DecLat,DecLong,2)</f>
        <v>186.21197738821132</v>
      </c>
      <c r="BK752" s="378" t="s">
        <v>856</v>
      </c>
      <c r="BL752" s="379">
        <f>IF((2*G752)/60&lt;0.2,0.2,(2*G752)/60)</f>
        <v>1</v>
      </c>
      <c r="BM752" s="380">
        <f>MOD((50000+AD752-$B$3+(0/24)),1)</f>
        <v>0.99004921955929603</v>
      </c>
      <c r="BN752" s="381"/>
      <c r="BO752" s="382">
        <v>752</v>
      </c>
    </row>
    <row r="753" spans="1:67" s="24" customFormat="1" ht="15" customHeight="1" x14ac:dyDescent="0.25">
      <c r="A753" s="287" t="s">
        <v>857</v>
      </c>
      <c r="B753" s="241" t="str">
        <f>HYPERLINK(CONCATENATE($AT$3,BK753,$AU$3),$AV$3)</f>
        <v>S</v>
      </c>
      <c r="C753" s="242" t="str">
        <f>HYPERLINK(CONCATENATE($AT$4,BK753,$AU$4,BL753),$AV$4)</f>
        <v>A</v>
      </c>
      <c r="D753" s="243" t="s">
        <v>5187</v>
      </c>
      <c r="E753" s="244" t="s">
        <v>5179</v>
      </c>
      <c r="F753" s="269">
        <v>2</v>
      </c>
      <c r="G753" s="276">
        <v>90</v>
      </c>
      <c r="H753" s="271" t="s">
        <v>6500</v>
      </c>
      <c r="I753" s="244" t="s">
        <v>6500</v>
      </c>
      <c r="J753" s="246">
        <v>1</v>
      </c>
      <c r="K753" s="247" t="s">
        <v>8459</v>
      </c>
      <c r="L753" s="248">
        <v>184943</v>
      </c>
      <c r="M753" s="249">
        <f>15*(LEFT(TEXT($L753,"000000"),2)+(MID(TEXT($L753,"000000"),3,2)/60)+(RIGHT(TEXT($L753,"000000"),2)/3600))</f>
        <v>282.42916666666667</v>
      </c>
      <c r="N753" s="286">
        <v>-62400</v>
      </c>
      <c r="O753" s="251">
        <f>IF($N753&gt;0,(LEFT(TEXT($N753,"000000"),2)+(MID(TEXT($N753,"000000"),3,2)/60)+(RIGHT(TEXT($N753,"000000"),2)/3600)),-(MID(TEXT($N753,"000000"),2,2)+(MID(TEXT($N753,"000000"),4,2)/60)+(RIGHT(TEXT($N753,"000000"),2)/3600)))</f>
        <v>-6.4</v>
      </c>
      <c r="P753" s="252" t="s">
        <v>121</v>
      </c>
      <c r="Q753" s="253"/>
      <c r="R753" s="277" t="s">
        <v>3293</v>
      </c>
      <c r="S753" s="272" t="s">
        <v>3293</v>
      </c>
      <c r="T753" s="273"/>
      <c r="U753" s="274"/>
      <c r="V753" s="256"/>
      <c r="W753" s="244"/>
      <c r="X753" s="244"/>
      <c r="Y753" s="362"/>
      <c r="Z753" s="257">
        <f>altaz(J2000_Bas,$O753,$M753,DecLat,DecLong,1)</f>
        <v>52.444042701128488</v>
      </c>
      <c r="AA753" s="257">
        <f>altaz((J2000_Bas+(2*0.04167)),$O753,$M753,DecLat,DecLong,1)</f>
        <v>40.663485292789161</v>
      </c>
      <c r="AB753" s="257">
        <f>altaz((J2000_Bas+(4*0.04167)),$O753,$M753,DecLat,DecLong,1)</f>
        <v>18.629142991610546</v>
      </c>
      <c r="AC753" s="257">
        <f>altaz((J2000_Bas+(6*0.04167)),$O753,$M753,DecLat,DecLong,1)</f>
        <v>-6.5613151323348538</v>
      </c>
      <c r="AD753" s="258">
        <f>1+ transit((J2000_Bas-1),$O753,$M753,DecLat,DecLong)/360 + (GMTOffset/24) + (IF(DST="Y", 1, 0)/24)</f>
        <v>1.7774253451401247</v>
      </c>
      <c r="AE753" s="259">
        <f>DATE(2001,9,21)+(M753/360)*365 - (360*((DecLong/360)- (GMTOffset/24) ))</f>
        <v>37446.351793981485</v>
      </c>
      <c r="AF753" s="260">
        <f>IF(DecLat&gt;0,IF((90 - (DecLat-O753))&gt;90, (90 - (O753-DecLat)), (90 - (DecLat-O753))),IF((90 + (DecLat-O753))&gt;90, (90 + (O753-DecLat)), (90 + (DecLat-O753))))</f>
        <v>52.6</v>
      </c>
      <c r="AG753" s="257">
        <f>angularseperation(MoonRA,MoonDec,$M753,$O753)</f>
        <v>37.700285361736519</v>
      </c>
      <c r="AH753" s="261">
        <f ca="1">MIN(100,IF($O$5&gt;80,0+30*($AG753/100),IF($O$5&gt;70,0+50*($AG753/100),IF($O$5&gt;60,5+50*($AG753/100),IF($O$5&gt;50,10+60*($AG753/100),IF($O$5&gt;40,15+70*($AG753/100),IF($O$5&gt;30,20+70*($AG753/100),IF($O$5&gt;20,40+55*($AG753/100),(80+(20-$O$5)+30*($AG753/100))))))))))</f>
        <v>94.581145952671378</v>
      </c>
      <c r="AI753" s="263"/>
      <c r="AJ753" s="263"/>
      <c r="AK753" s="263"/>
      <c r="AL753" s="263"/>
      <c r="AM753" s="264"/>
      <c r="AN753" s="263"/>
      <c r="AO753" s="263"/>
      <c r="AP753" s="265"/>
      <c r="AQ753" s="265"/>
      <c r="AR753" s="285"/>
      <c r="AS753" s="263"/>
      <c r="AT753" s="263"/>
      <c r="AU753" s="263"/>
      <c r="AV753" s="264"/>
      <c r="AW753" s="263">
        <v>318</v>
      </c>
      <c r="AX753" s="263"/>
      <c r="AY753" s="263"/>
      <c r="AZ753" s="263"/>
      <c r="BA753" s="263"/>
      <c r="BB753" s="263"/>
      <c r="BC753" s="263"/>
      <c r="BD753" s="264"/>
      <c r="BE753" s="263"/>
      <c r="BF753" s="263"/>
      <c r="BG753" s="263"/>
      <c r="BH753" s="263"/>
      <c r="BI753" s="263"/>
      <c r="BJ753" s="404">
        <f>altaz(J2000_Bas,$O753,$M753,DecLat,DecLong,2)</f>
        <v>185.83234614826014</v>
      </c>
      <c r="BK753" s="378" t="s">
        <v>857</v>
      </c>
      <c r="BL753" s="379">
        <f>IF((2*G753)/60&lt;0.2,0.2,(2*G753)/60)</f>
        <v>3</v>
      </c>
      <c r="BM753" s="380">
        <f>MOD((50000+AD753-$B$3+(0/24)),1)</f>
        <v>0.99279227484657895</v>
      </c>
      <c r="BN753" s="381"/>
      <c r="BO753" s="382">
        <v>753</v>
      </c>
    </row>
    <row r="754" spans="1:67" s="24" customFormat="1" ht="15" customHeight="1" x14ac:dyDescent="0.25">
      <c r="A754" s="287" t="s">
        <v>858</v>
      </c>
      <c r="B754" s="241" t="str">
        <f>HYPERLINK(CONCATENATE($AT$3,BK754,$AU$3),$AV$3)</f>
        <v>S</v>
      </c>
      <c r="C754" s="242" t="str">
        <f>HYPERLINK(CONCATENATE($AT$4,BK754,$AU$4,BL754),$AV$4)</f>
        <v>A</v>
      </c>
      <c r="D754" s="243" t="s">
        <v>5187</v>
      </c>
      <c r="E754" s="244" t="s">
        <v>5179</v>
      </c>
      <c r="F754" s="269">
        <v>0</v>
      </c>
      <c r="G754" s="273">
        <v>7</v>
      </c>
      <c r="H754" s="271" t="s">
        <v>6500</v>
      </c>
      <c r="I754" s="244" t="s">
        <v>6500</v>
      </c>
      <c r="J754" s="246">
        <v>1</v>
      </c>
      <c r="K754" s="247" t="s">
        <v>5913</v>
      </c>
      <c r="L754" s="248">
        <v>185158</v>
      </c>
      <c r="M754" s="249">
        <f>15*(LEFT(TEXT($L754,"000000"),2)+(MID(TEXT($L754,"000000"),3,2)/60)+(RIGHT(TEXT($L754,"000000"),2)/3600))</f>
        <v>282.99166666666667</v>
      </c>
      <c r="N754" s="286">
        <v>-11700</v>
      </c>
      <c r="O754" s="251">
        <f>IF($N754&gt;0,(LEFT(TEXT($N754,"000000"),2)+(MID(TEXT($N754,"000000"),3,2)/60)+(RIGHT(TEXT($N754,"000000"),2)/3600)),-(MID(TEXT($N754,"000000"),2,2)+(MID(TEXT($N754,"000000"),4,2)/60)+(RIGHT(TEXT($N754,"000000"),2)/3600)))</f>
        <v>-1.2833333333333332</v>
      </c>
      <c r="P754" s="252" t="s">
        <v>126</v>
      </c>
      <c r="Q754" s="253"/>
      <c r="R754" s="277" t="s">
        <v>3293</v>
      </c>
      <c r="S754" s="272" t="s">
        <v>3293</v>
      </c>
      <c r="T754" s="273"/>
      <c r="U754" s="274"/>
      <c r="V754" s="256"/>
      <c r="W754" s="244"/>
      <c r="X754" s="244"/>
      <c r="Y754" s="362"/>
      <c r="Z754" s="257">
        <f>altaz(J2000_Bas,$O754,$M754,DecLat,DecLong,1)</f>
        <v>57.589981040920534</v>
      </c>
      <c r="AA754" s="257">
        <f>altaz((J2000_Bas+(2*0.04167)),$O754,$M754,DecLat,DecLong,1)</f>
        <v>44.941677361038842</v>
      </c>
      <c r="AB754" s="257">
        <f>altaz((J2000_Bas+(4*0.04167)),$O754,$M754,DecLat,DecLong,1)</f>
        <v>22.031224180030712</v>
      </c>
      <c r="AC754" s="257">
        <f>altaz((J2000_Bas+(6*0.04167)),$O754,$M754,DecLat,DecLong,1)</f>
        <v>-3.4590971977957721</v>
      </c>
      <c r="AD754" s="258">
        <f>1+ transit((J2000_Bas-1),$O754,$M754,DecLat,DecLong)/360 + (GMTOffset/24) + (IF(DST="Y", 1, 0)/24)</f>
        <v>1.7789878449838747</v>
      </c>
      <c r="AE754" s="259">
        <f>DATE(2001,9,21)+(M754/360)*365 - (360*((DecLong/360)- (GMTOffset/24) ))</f>
        <v>37446.922106481485</v>
      </c>
      <c r="AF754" s="260">
        <f>IF(DecLat&gt;0,IF((90 - (DecLat-O754))&gt;90, (90 - (O754-DecLat)), (90 - (DecLat-O754))),IF((90 + (DecLat-O754))&gt;90, (90 + (O754-DecLat)), (90 + (DecLat-O754))))</f>
        <v>57.716666666666669</v>
      </c>
      <c r="AG754" s="257">
        <f>angularseperation(MoonRA,MoonDec,$M754,$O754)</f>
        <v>41.38332175519443</v>
      </c>
      <c r="AH754" s="261">
        <f ca="1">MIN(100,IF($O$5&gt;80,0+30*($AG754/100),IF($O$5&gt;70,0+50*($AG754/100),IF($O$5&gt;60,5+50*($AG754/100),IF($O$5&gt;50,10+60*($AG754/100),IF($O$5&gt;40,15+70*($AG754/100),IF($O$5&gt;30,20+70*($AG754/100),IF($O$5&gt;20,40+55*($AG754/100),(80+(20-$O$5)+30*($AG754/100))))))))))</f>
        <v>95.686056870708754</v>
      </c>
      <c r="AI754" s="263"/>
      <c r="AJ754" s="263"/>
      <c r="AK754" s="263"/>
      <c r="AL754" s="263"/>
      <c r="AM754" s="264"/>
      <c r="AN754" s="263"/>
      <c r="AO754" s="263"/>
      <c r="AP754" s="265"/>
      <c r="AQ754" s="265"/>
      <c r="AR754" s="285"/>
      <c r="AS754" s="263"/>
      <c r="AT754" s="263"/>
      <c r="AU754" s="263"/>
      <c r="AV754" s="264"/>
      <c r="AW754" s="263">
        <v>319</v>
      </c>
      <c r="AX754" s="263"/>
      <c r="AY754" s="263"/>
      <c r="AZ754" s="263"/>
      <c r="BA754" s="263"/>
      <c r="BB754" s="263"/>
      <c r="BC754" s="263"/>
      <c r="BD754" s="264"/>
      <c r="BE754" s="263"/>
      <c r="BF754" s="263"/>
      <c r="BG754" s="263"/>
      <c r="BH754" s="263"/>
      <c r="BI754" s="263"/>
      <c r="BJ754" s="404">
        <f>altaz(J2000_Bas,$O754,$M754,DecLat,DecLong,2)</f>
        <v>185.62275820087081</v>
      </c>
      <c r="BK754" s="378" t="s">
        <v>858</v>
      </c>
      <c r="BL754" s="379">
        <f>IF((2*G754)/60&lt;0.2,0.2,(2*G754)/60)</f>
        <v>0.23333333333333334</v>
      </c>
      <c r="BM754" s="380">
        <f>MOD((50000+AD754-$B$3+(0/24)),1)</f>
        <v>0.99435477468796307</v>
      </c>
      <c r="BN754" s="381"/>
      <c r="BO754" s="382">
        <v>754</v>
      </c>
    </row>
    <row r="755" spans="1:67" s="24" customFormat="1" ht="15" customHeight="1" x14ac:dyDescent="0.25">
      <c r="A755" s="415" t="s">
        <v>859</v>
      </c>
      <c r="B755" s="241" t="str">
        <f>HYPERLINK(CONCATENATE($AT$3,BK755,$AU$3),$AV$3)</f>
        <v>S</v>
      </c>
      <c r="C755" s="242" t="str">
        <f>HYPERLINK(CONCATENATE($AT$4,BK755,$AU$4,BL755),$AV$4)</f>
        <v>A</v>
      </c>
      <c r="D755" s="243" t="s">
        <v>5187</v>
      </c>
      <c r="E755" s="244" t="s">
        <v>5179</v>
      </c>
      <c r="F755" s="269">
        <v>4</v>
      </c>
      <c r="G755" s="276">
        <v>15</v>
      </c>
      <c r="H755" s="271" t="s">
        <v>6500</v>
      </c>
      <c r="I755" s="244" t="s">
        <v>6500</v>
      </c>
      <c r="J755" s="246">
        <v>1</v>
      </c>
      <c r="K755" s="247" t="s">
        <v>8402</v>
      </c>
      <c r="L755" s="248">
        <v>185247</v>
      </c>
      <c r="M755" s="249">
        <f>15*(LEFT(TEXT($L755,"000000"),2)+(MID(TEXT($L755,"000000"),3,2)/60)+(RIGHT(TEXT($L755,"000000"),2)/3600))</f>
        <v>283.19583333333338</v>
      </c>
      <c r="N755" s="286">
        <v>-55200</v>
      </c>
      <c r="O755" s="251">
        <f>IF($N755&gt;0,(LEFT(TEXT($N755,"000000"),2)+(MID(TEXT($N755,"000000"),3,2)/60)+(RIGHT(TEXT($N755,"000000"),2)/3600)),-(MID(TEXT($N755,"000000"),2,2)+(MID(TEXT($N755,"000000"),4,2)/60)+(RIGHT(TEXT($N755,"000000"),2)/3600)))</f>
        <v>-5.8666666666666671</v>
      </c>
      <c r="P755" s="252" t="s">
        <v>121</v>
      </c>
      <c r="Q755" s="253"/>
      <c r="R755" s="277" t="s">
        <v>3293</v>
      </c>
      <c r="S755" s="272" t="s">
        <v>3293</v>
      </c>
      <c r="T755" s="273"/>
      <c r="U755" s="274"/>
      <c r="V755" s="256"/>
      <c r="W755" s="244"/>
      <c r="X755" s="244"/>
      <c r="Y755" s="362"/>
      <c r="Z755" s="257">
        <f>altaz(J2000_Bas,$O755,$M755,DecLat,DecLong,1)</f>
        <v>53.035754592653809</v>
      </c>
      <c r="AA755" s="257">
        <f>altaz((J2000_Bas+(2*0.04167)),$O755,$M755,DecLat,DecLong,1)</f>
        <v>41.555962604791617</v>
      </c>
      <c r="AB755" s="257">
        <f>altaz((J2000_Bas+(4*0.04167)),$O755,$M755,DecLat,DecLong,1)</f>
        <v>19.559367665455888</v>
      </c>
      <c r="AC755" s="257">
        <f>altaz((J2000_Bas+(6*0.04167)),$O755,$M755,DecLat,DecLong,1)</f>
        <v>-5.6336690620631273</v>
      </c>
      <c r="AD755" s="258">
        <f>1+ transit((J2000_Bas-1),$O755,$M755,DecLat,DecLong)/360 + (GMTOffset/24) + (IF(DST="Y", 1, 0)/24)</f>
        <v>1.7795549745567916</v>
      </c>
      <c r="AE755" s="259">
        <f>DATE(2001,9,21)+(M755/360)*365 - (360*((DecLong/360)- (GMTOffset/24) ))</f>
        <v>37447.129108796296</v>
      </c>
      <c r="AF755" s="260">
        <f>IF(DecLat&gt;0,IF((90 - (DecLat-O755))&gt;90, (90 - (O755-DecLat)), (90 - (DecLat-O755))),IF((90 + (DecLat-O755))&gt;90, (90 + (O755-DecLat)), (90 + (DecLat-O755))))</f>
        <v>53.133333333333333</v>
      </c>
      <c r="AG755" s="257">
        <f>angularseperation(MoonRA,MoonDec,$M755,$O755)</f>
        <v>38.629925772838924</v>
      </c>
      <c r="AH755" s="261">
        <f ca="1">MIN(100,IF($O$5&gt;80,0+30*($AG755/100),IF($O$5&gt;70,0+50*($AG755/100),IF($O$5&gt;60,5+50*($AG755/100),IF($O$5&gt;50,10+60*($AG755/100),IF($O$5&gt;40,15+70*($AG755/100),IF($O$5&gt;30,20+70*($AG755/100),IF($O$5&gt;20,40+55*($AG755/100),(80+(20-$O$5)+30*($AG755/100))))))))))</f>
        <v>94.860038076002098</v>
      </c>
      <c r="AI755" s="263"/>
      <c r="AJ755" s="263"/>
      <c r="AK755" s="263"/>
      <c r="AL755" s="263"/>
      <c r="AM755" s="264"/>
      <c r="AN755" s="263"/>
      <c r="AO755" s="263"/>
      <c r="AP755" s="265"/>
      <c r="AQ755" s="265"/>
      <c r="AR755" s="285"/>
      <c r="AS755" s="263"/>
      <c r="AT755" s="263"/>
      <c r="AU755" s="263"/>
      <c r="AV755" s="264"/>
      <c r="AW755" s="263">
        <v>320</v>
      </c>
      <c r="AX755" s="263"/>
      <c r="AY755" s="263"/>
      <c r="AZ755" s="263"/>
      <c r="BA755" s="263"/>
      <c r="BB755" s="263"/>
      <c r="BC755" s="263"/>
      <c r="BD755" s="264"/>
      <c r="BE755" s="263"/>
      <c r="BF755" s="263"/>
      <c r="BG755" s="263"/>
      <c r="BH755" s="263"/>
      <c r="BI755" s="263"/>
      <c r="BJ755" s="404">
        <f>altaz(J2000_Bas,$O755,$M755,DecLat,DecLong,2)</f>
        <v>184.64653436527186</v>
      </c>
      <c r="BK755" s="378" t="s">
        <v>859</v>
      </c>
      <c r="BL755" s="379">
        <f>IF((2*G755)/60&lt;0.2,0.2,(2*G755)/60)</f>
        <v>0.5</v>
      </c>
      <c r="BM755" s="380">
        <f>MOD((50000+AD755-$B$3+(0/24)),1)</f>
        <v>0.99492190426099114</v>
      </c>
      <c r="BN755" s="381"/>
      <c r="BO755" s="382">
        <v>755</v>
      </c>
    </row>
    <row r="756" spans="1:67" s="24" customFormat="1" ht="15" customHeight="1" x14ac:dyDescent="0.25">
      <c r="A756" s="287" t="s">
        <v>860</v>
      </c>
      <c r="B756" s="241" t="str">
        <f>HYPERLINK(CONCATENATE($AT$3,BK756,$AU$3),$AV$3)</f>
        <v>S</v>
      </c>
      <c r="C756" s="242" t="str">
        <f>HYPERLINK(CONCATENATE($AT$4,BK756,$AU$4,BL756),$AV$4)</f>
        <v>A</v>
      </c>
      <c r="D756" s="243" t="s">
        <v>5187</v>
      </c>
      <c r="E756" s="244" t="s">
        <v>5179</v>
      </c>
      <c r="F756" s="269">
        <v>3</v>
      </c>
      <c r="G756" s="276">
        <v>15</v>
      </c>
      <c r="H756" s="271" t="s">
        <v>6500</v>
      </c>
      <c r="I756" s="244" t="s">
        <v>6500</v>
      </c>
      <c r="J756" s="246">
        <v>1</v>
      </c>
      <c r="K756" s="247" t="s">
        <v>5914</v>
      </c>
      <c r="L756" s="248">
        <v>185402</v>
      </c>
      <c r="M756" s="249">
        <f>15*(LEFT(TEXT($L756,"000000"),2)+(MID(TEXT($L756,"000000"),3,2)/60)+(RIGHT(TEXT($L756,"000000"),2)/3600))</f>
        <v>283.50833333333327</v>
      </c>
      <c r="N756" s="286">
        <v>-111800</v>
      </c>
      <c r="O756" s="251">
        <f>IF($N756&gt;0,(LEFT(TEXT($N756,"000000"),2)+(MID(TEXT($N756,"000000"),3,2)/60)+(RIGHT(TEXT($N756,"000000"),2)/3600)),-(MID(TEXT($N756,"000000"),2,2)+(MID(TEXT($N756,"000000"),4,2)/60)+(RIGHT(TEXT($N756,"000000"),2)/3600)))</f>
        <v>-11.3</v>
      </c>
      <c r="P756" s="252" t="s">
        <v>121</v>
      </c>
      <c r="Q756" s="253"/>
      <c r="R756" s="277" t="s">
        <v>3293</v>
      </c>
      <c r="S756" s="272" t="s">
        <v>3293</v>
      </c>
      <c r="T756" s="273"/>
      <c r="U756" s="274"/>
      <c r="V756" s="256"/>
      <c r="W756" s="244"/>
      <c r="X756" s="244"/>
      <c r="Y756" s="362"/>
      <c r="Z756" s="257">
        <f>altaz(J2000_Bas,$O756,$M756,DecLat,DecLong,1)</f>
        <v>47.632246339020504</v>
      </c>
      <c r="AA756" s="257">
        <f>altaz((J2000_Bas+(2*0.04167)),$O756,$M756,DecLat,DecLong,1)</f>
        <v>37.399690450657992</v>
      </c>
      <c r="AB756" s="257">
        <f>altaz((J2000_Bas+(4*0.04167)),$O756,$M756,DecLat,DecLong,1)</f>
        <v>16.56338131516107</v>
      </c>
      <c r="AC756" s="257">
        <f>altaz((J2000_Bas+(6*0.04167)),$O756,$M756,DecLat,DecLong,1)</f>
        <v>-8.1182967168119973</v>
      </c>
      <c r="AD756" s="258">
        <f>1+ transit((J2000_Bas-1),$O756,$M756,DecLat,DecLong)/360 + (GMTOffset/24) + (IF(DST="Y", 1, 0)/24)</f>
        <v>1.7804230300255413</v>
      </c>
      <c r="AE756" s="259">
        <f>DATE(2001,9,21)+(M756/360)*365 - (360*((DecLong/360)- (GMTOffset/24) ))</f>
        <v>37447.445949074077</v>
      </c>
      <c r="AF756" s="260">
        <f>IF(DecLat&gt;0,IF((90 - (DecLat-O756))&gt;90, (90 - (O756-DecLat)), (90 - (DecLat-O756))),IF((90 + (DecLat-O756))&gt;90, (90 + (O756-DecLat)), (90 + (DecLat-O756))))</f>
        <v>47.7</v>
      </c>
      <c r="AG756" s="257">
        <f>angularseperation(MoonRA,MoonDec,$M756,$O756)</f>
        <v>35.83055846790834</v>
      </c>
      <c r="AH756" s="261">
        <f ca="1">MIN(100,IF($O$5&gt;80,0+30*($AG756/100),IF($O$5&gt;70,0+50*($AG756/100),IF($O$5&gt;60,5+50*($AG756/100),IF($O$5&gt;50,10+60*($AG756/100),IF($O$5&gt;40,15+70*($AG756/100),IF($O$5&gt;30,20+70*($AG756/100),IF($O$5&gt;20,40+55*($AG756/100),(80+(20-$O$5)+30*($AG756/100))))))))))</f>
        <v>94.020227884522924</v>
      </c>
      <c r="AI756" s="263"/>
      <c r="AJ756" s="263"/>
      <c r="AK756" s="263"/>
      <c r="AL756" s="263"/>
      <c r="AM756" s="264"/>
      <c r="AN756" s="263"/>
      <c r="AO756" s="263"/>
      <c r="AP756" s="265"/>
      <c r="AQ756" s="265"/>
      <c r="AR756" s="285"/>
      <c r="AS756" s="263"/>
      <c r="AT756" s="263"/>
      <c r="AU756" s="263"/>
      <c r="AV756" s="264"/>
      <c r="AW756" s="263">
        <v>321</v>
      </c>
      <c r="AX756" s="263"/>
      <c r="AY756" s="263"/>
      <c r="AZ756" s="263"/>
      <c r="BA756" s="263"/>
      <c r="BB756" s="263"/>
      <c r="BC756" s="263"/>
      <c r="BD756" s="264"/>
      <c r="BE756" s="263"/>
      <c r="BF756" s="263"/>
      <c r="BG756" s="263"/>
      <c r="BH756" s="263"/>
      <c r="BI756" s="263"/>
      <c r="BJ756" s="404">
        <f>altaz(J2000_Bas,$O756,$M756,DecLat,DecLong,2)</f>
        <v>183.63088606140312</v>
      </c>
      <c r="BK756" s="378" t="s">
        <v>860</v>
      </c>
      <c r="BL756" s="379">
        <f>IF((2*G756)/60&lt;0.2,0.2,(2*G756)/60)</f>
        <v>0.5</v>
      </c>
      <c r="BM756" s="380">
        <f>MOD((50000+AD756-$B$3+(0/24)),1)</f>
        <v>0.99578995972842677</v>
      </c>
      <c r="BN756" s="381"/>
      <c r="BO756" s="382">
        <v>756</v>
      </c>
    </row>
    <row r="757" spans="1:67" s="24" customFormat="1" ht="15" customHeight="1" x14ac:dyDescent="0.25">
      <c r="A757" s="287" t="s">
        <v>861</v>
      </c>
      <c r="B757" s="241" t="str">
        <f>HYPERLINK(CONCATENATE($AT$3,BK757,$AU$3),$AV$3)</f>
        <v>S</v>
      </c>
      <c r="C757" s="242" t="str">
        <f>HYPERLINK(CONCATENATE($AT$4,BK757,$AU$4,BL757),$AV$4)</f>
        <v>A</v>
      </c>
      <c r="D757" s="243" t="s">
        <v>5187</v>
      </c>
      <c r="E757" s="244" t="s">
        <v>5179</v>
      </c>
      <c r="F757" s="269">
        <v>0</v>
      </c>
      <c r="G757" s="273">
        <v>2</v>
      </c>
      <c r="H757" s="271" t="s">
        <v>6500</v>
      </c>
      <c r="I757" s="244" t="s">
        <v>6500</v>
      </c>
      <c r="J757" s="246">
        <v>1</v>
      </c>
      <c r="K757" s="247" t="s">
        <v>5915</v>
      </c>
      <c r="L757" s="248">
        <v>185547</v>
      </c>
      <c r="M757" s="249">
        <f>15*(LEFT(TEXT($L757,"000000"),2)+(MID(TEXT($L757,"000000"),3,2)/60)+(RIGHT(TEXT($L757,"000000"),2)/3600))</f>
        <v>283.94583333333338</v>
      </c>
      <c r="N757" s="286">
        <v>-42800</v>
      </c>
      <c r="O757" s="251">
        <f>IF($N757&gt;0,(LEFT(TEXT($N757,"000000"),2)+(MID(TEXT($N757,"000000"),3,2)/60)+(RIGHT(TEXT($N757,"000000"),2)/3600)),-(MID(TEXT($N757,"000000"),2,2)+(MID(TEXT($N757,"000000"),4,2)/60)+(RIGHT(TEXT($N757,"000000"),2)/3600)))</f>
        <v>-4.4666666666666668</v>
      </c>
      <c r="P757" s="252" t="s">
        <v>121</v>
      </c>
      <c r="Q757" s="253"/>
      <c r="R757" s="277" t="s">
        <v>3293</v>
      </c>
      <c r="S757" s="272" t="s">
        <v>3293</v>
      </c>
      <c r="T757" s="273"/>
      <c r="U757" s="274"/>
      <c r="V757" s="256"/>
      <c r="W757" s="244"/>
      <c r="X757" s="244"/>
      <c r="Y757" s="362"/>
      <c r="Z757" s="257">
        <f>altaz(J2000_Bas,$O757,$M757,DecLat,DecLong,1)</f>
        <v>54.47900351411991</v>
      </c>
      <c r="AA757" s="257">
        <f>altaz((J2000_Bas+(2*0.04167)),$O757,$M757,DecLat,DecLong,1)</f>
        <v>43.116287457290738</v>
      </c>
      <c r="AB757" s="257">
        <f>altaz((J2000_Bas+(4*0.04167)),$O757,$M757,DecLat,DecLong,1)</f>
        <v>20.983862442743686</v>
      </c>
      <c r="AC757" s="257">
        <f>altaz((J2000_Bas+(6*0.04167)),$O757,$M757,DecLat,DecLong,1)</f>
        <v>-4.2760131259900209</v>
      </c>
      <c r="AD757" s="258">
        <f>1+ transit((J2000_Bas-1),$O757,$M757,DecLat,DecLong)/360 + (GMTOffset/24) + (IF(DST="Y", 1, 0)/24)</f>
        <v>1.7816383076817914</v>
      </c>
      <c r="AE757" s="259">
        <f>DATE(2001,9,21)+(M757/360)*365 - (360*((DecLong/360)- (GMTOffset/24) ))</f>
        <v>37447.889525462961</v>
      </c>
      <c r="AF757" s="260">
        <f>IF(DecLat&gt;0,IF((90 - (DecLat-O757))&gt;90, (90 - (O757-DecLat)), (90 - (DecLat-O757))),IF((90 + (DecLat-O757))&gt;90, (90 + (O757-DecLat)), (90 + (DecLat-O757))))</f>
        <v>54.533333333333331</v>
      </c>
      <c r="AG757" s="257">
        <f>angularseperation(MoonRA,MoonDec,$M757,$O757)</f>
        <v>40.076323020881517</v>
      </c>
      <c r="AH757" s="261">
        <f ca="1">MIN(100,IF($O$5&gt;80,0+30*($AG757/100),IF($O$5&gt;70,0+50*($AG757/100),IF($O$5&gt;60,5+50*($AG757/100),IF($O$5&gt;50,10+60*($AG757/100),IF($O$5&gt;40,15+70*($AG757/100),IF($O$5&gt;30,20+70*($AG757/100),IF($O$5&gt;20,40+55*($AG757/100),(80+(20-$O$5)+30*($AG757/100))))))))))</f>
        <v>95.293957250414877</v>
      </c>
      <c r="AI757" s="263"/>
      <c r="AJ757" s="263"/>
      <c r="AK757" s="263"/>
      <c r="AL757" s="263"/>
      <c r="AM757" s="264"/>
      <c r="AN757" s="263"/>
      <c r="AO757" s="263"/>
      <c r="AP757" s="265"/>
      <c r="AQ757" s="265"/>
      <c r="AR757" s="285"/>
      <c r="AS757" s="263"/>
      <c r="AT757" s="263"/>
      <c r="AU757" s="263"/>
      <c r="AV757" s="264"/>
      <c r="AW757" s="263">
        <v>322</v>
      </c>
      <c r="AX757" s="263"/>
      <c r="AY757" s="263"/>
      <c r="AZ757" s="263"/>
      <c r="BA757" s="263"/>
      <c r="BB757" s="263"/>
      <c r="BC757" s="263"/>
      <c r="BD757" s="264"/>
      <c r="BE757" s="263"/>
      <c r="BF757" s="263"/>
      <c r="BG757" s="263"/>
      <c r="BH757" s="263"/>
      <c r="BI757" s="263"/>
      <c r="BJ757" s="404">
        <f>altaz(J2000_Bas,$O757,$M757,DecLat,DecLong,2)</f>
        <v>183.53080909075152</v>
      </c>
      <c r="BK757" s="378" t="s">
        <v>861</v>
      </c>
      <c r="BL757" s="379">
        <f>IF((2*G757)/60&lt;0.2,0.2,(2*G757)/60)</f>
        <v>0.2</v>
      </c>
      <c r="BM757" s="380">
        <f>MOD((50000+AD757-$B$3+(0/24)),1)</f>
        <v>0.99700523738283664</v>
      </c>
      <c r="BN757" s="381"/>
      <c r="BO757" s="382">
        <v>757</v>
      </c>
    </row>
    <row r="758" spans="1:67" s="24" customFormat="1" ht="15" customHeight="1" x14ac:dyDescent="0.25">
      <c r="A758" s="287" t="s">
        <v>862</v>
      </c>
      <c r="B758" s="241" t="str">
        <f>HYPERLINK(CONCATENATE($AT$3,BK758,$AU$3),$AV$3)</f>
        <v>S</v>
      </c>
      <c r="C758" s="242" t="str">
        <f>HYPERLINK(CONCATENATE($AT$4,BK758,$AU$4,BL758),$AV$4)</f>
        <v>A</v>
      </c>
      <c r="D758" s="243" t="s">
        <v>5187</v>
      </c>
      <c r="E758" s="244" t="s">
        <v>5179</v>
      </c>
      <c r="F758" s="269">
        <v>3</v>
      </c>
      <c r="G758" s="276">
        <v>17</v>
      </c>
      <c r="H758" s="271" t="s">
        <v>6500</v>
      </c>
      <c r="I758" s="244" t="s">
        <v>6500</v>
      </c>
      <c r="J758" s="246">
        <v>1</v>
      </c>
      <c r="K758" s="247" t="s">
        <v>5916</v>
      </c>
      <c r="L758" s="248">
        <v>185734</v>
      </c>
      <c r="M758" s="249">
        <f>15*(LEFT(TEXT($L758,"000000"),2)+(MID(TEXT($L758,"000000"),3,2)/60)+(RIGHT(TEXT($L758,"000000"),2)/3600))</f>
        <v>284.39166666666665</v>
      </c>
      <c r="N758" s="286">
        <v>-32600</v>
      </c>
      <c r="O758" s="251">
        <f>IF($N758&gt;0,(LEFT(TEXT($N758,"000000"),2)+(MID(TEXT($N758,"000000"),3,2)/60)+(RIGHT(TEXT($N758,"000000"),2)/3600)),-(MID(TEXT($N758,"000000"),2,2)+(MID(TEXT($N758,"000000"),4,2)/60)+(RIGHT(TEXT($N758,"000000"),2)/3600)))</f>
        <v>-3.4333333333333336</v>
      </c>
      <c r="P758" s="252" t="s">
        <v>121</v>
      </c>
      <c r="Q758" s="253"/>
      <c r="R758" s="277" t="s">
        <v>3293</v>
      </c>
      <c r="S758" s="272" t="s">
        <v>3293</v>
      </c>
      <c r="T758" s="273"/>
      <c r="U758" s="274"/>
      <c r="V758" s="256"/>
      <c r="W758" s="244"/>
      <c r="X758" s="244"/>
      <c r="Y758" s="362"/>
      <c r="Z758" s="257">
        <f>altaz(J2000_Bas,$O758,$M758,DecLat,DecLong,1)</f>
        <v>55.532414133602941</v>
      </c>
      <c r="AA758" s="257">
        <f>altaz((J2000_Bas+(2*0.04167)),$O758,$M758,DecLat,DecLong,1)</f>
        <v>44.200362397770867</v>
      </c>
      <c r="AB758" s="257">
        <f>altaz((J2000_Bas+(4*0.04167)),$O758,$M758,DecLat,DecLong,1)</f>
        <v>21.946858287828128</v>
      </c>
      <c r="AC758" s="257">
        <f>altaz((J2000_Bas+(6*0.04167)),$O758,$M758,DecLat,DecLong,1)</f>
        <v>-3.3642891542297062</v>
      </c>
      <c r="AD758" s="258">
        <f>1+ transit((J2000_Bas-1),$O758,$M758,DecLat,DecLong)/360 + (GMTOffset/24) + (IF(DST="Y", 1, 0)/24)</f>
        <v>1.7828767334838747</v>
      </c>
      <c r="AE758" s="259">
        <f>DATE(2001,9,21)+(M758/360)*365 - (360*((DecLong/360)- (GMTOffset/24) ))</f>
        <v>37448.341550925928</v>
      </c>
      <c r="AF758" s="260">
        <f>IF(DecLat&gt;0,IF((90 - (DecLat-O758))&gt;90, (90 - (O758-DecLat)), (90 - (DecLat-O758))),IF((90 + (DecLat-O758))&gt;90, (90 + (O758-DecLat)), (90 + (DecLat-O758))))</f>
        <v>55.566666666666663</v>
      </c>
      <c r="AG758" s="257">
        <f>angularseperation(MoonRA,MoonDec,$M758,$O758)</f>
        <v>41.066658296752756</v>
      </c>
      <c r="AH758" s="261">
        <f ca="1">MIN(100,IF($O$5&gt;80,0+30*($AG758/100),IF($O$5&gt;70,0+50*($AG758/100),IF($O$5&gt;60,5+50*($AG758/100),IF($O$5&gt;50,10+60*($AG758/100),IF($O$5&gt;40,15+70*($AG758/100),IF($O$5&gt;30,20+70*($AG758/100),IF($O$5&gt;20,40+55*($AG758/100),(80+(20-$O$5)+30*($AG758/100))))))))))</f>
        <v>95.591057833176251</v>
      </c>
      <c r="AI758" s="263"/>
      <c r="AJ758" s="263"/>
      <c r="AK758" s="263"/>
      <c r="AL758" s="263"/>
      <c r="AM758" s="264"/>
      <c r="AN758" s="263"/>
      <c r="AO758" s="263"/>
      <c r="AP758" s="265"/>
      <c r="AQ758" s="265"/>
      <c r="AR758" s="285"/>
      <c r="AS758" s="263"/>
      <c r="AT758" s="263"/>
      <c r="AU758" s="263"/>
      <c r="AV758" s="264"/>
      <c r="AW758" s="263">
        <v>323</v>
      </c>
      <c r="AX758" s="263"/>
      <c r="AY758" s="263"/>
      <c r="AZ758" s="263"/>
      <c r="BA758" s="263"/>
      <c r="BB758" s="263"/>
      <c r="BC758" s="263"/>
      <c r="BD758" s="264"/>
      <c r="BE758" s="263"/>
      <c r="BF758" s="263"/>
      <c r="BG758" s="263"/>
      <c r="BH758" s="263"/>
      <c r="BI758" s="263"/>
      <c r="BJ758" s="404">
        <f>altaz(J2000_Bas,$O758,$M758,DecLat,DecLong,2)</f>
        <v>182.84220388893834</v>
      </c>
      <c r="BK758" s="378" t="s">
        <v>862</v>
      </c>
      <c r="BL758" s="379">
        <f>IF((2*G758)/60&lt;0.2,0.2,(2*G758)/60)</f>
        <v>0.56666666666666665</v>
      </c>
      <c r="BM758" s="380">
        <f>MOD((50000+AD758-$B$3+(0/24)),1)</f>
        <v>0.99824366319080582</v>
      </c>
      <c r="BN758" s="381"/>
      <c r="BO758" s="382">
        <v>758</v>
      </c>
    </row>
    <row r="759" spans="1:67" s="24" customFormat="1" ht="15" customHeight="1" x14ac:dyDescent="0.25">
      <c r="A759" s="287" t="s">
        <v>863</v>
      </c>
      <c r="B759" s="241" t="str">
        <f>HYPERLINK(CONCATENATE($AT$3,BK759,$AU$3),$AV$3)</f>
        <v>S</v>
      </c>
      <c r="C759" s="242" t="str">
        <f>HYPERLINK(CONCATENATE($AT$4,BK759,$AU$4,BL759),$AV$4)</f>
        <v>A</v>
      </c>
      <c r="D759" s="243" t="s">
        <v>5187</v>
      </c>
      <c r="E759" s="244" t="s">
        <v>5179</v>
      </c>
      <c r="F759" s="269">
        <v>3</v>
      </c>
      <c r="G759" s="276">
        <v>35</v>
      </c>
      <c r="H759" s="271" t="s">
        <v>6500</v>
      </c>
      <c r="I759" s="244" t="s">
        <v>6500</v>
      </c>
      <c r="J759" s="246">
        <v>1</v>
      </c>
      <c r="K759" s="247" t="s">
        <v>8403</v>
      </c>
      <c r="L759" s="248">
        <v>185923</v>
      </c>
      <c r="M759" s="249">
        <f>15*(LEFT(TEXT($L759,"000000"),2)+(MID(TEXT($L759,"000000"),3,2)/60)+(RIGHT(TEXT($L759,"000000"),2)/3600))</f>
        <v>284.84583333333336</v>
      </c>
      <c r="N759" s="286">
        <v>-30000</v>
      </c>
      <c r="O759" s="251">
        <f>IF($N759&gt;0,(LEFT(TEXT($N759,"000000"),2)+(MID(TEXT($N759,"000000"),3,2)/60)+(RIGHT(TEXT($N759,"000000"),2)/3600)),-(MID(TEXT($N759,"000000"),2,2)+(MID(TEXT($N759,"000000"),4,2)/60)+(RIGHT(TEXT($N759,"000000"),2)/3600)))</f>
        <v>-3</v>
      </c>
      <c r="P759" s="252" t="s">
        <v>121</v>
      </c>
      <c r="Q759" s="253"/>
      <c r="R759" s="277" t="s">
        <v>3293</v>
      </c>
      <c r="S759" s="272" t="s">
        <v>3293</v>
      </c>
      <c r="T759" s="273"/>
      <c r="U759" s="274"/>
      <c r="V759" s="256"/>
      <c r="W759" s="244"/>
      <c r="X759" s="244"/>
      <c r="Y759" s="362"/>
      <c r="Z759" s="257">
        <f>altaz(J2000_Bas,$O759,$M759,DecLat,DecLong,1)</f>
        <v>55.982128856209414</v>
      </c>
      <c r="AA759" s="257">
        <f>altaz((J2000_Bas+(2*0.04167)),$O759,$M759,DecLat,DecLong,1)</f>
        <v>44.822300991852735</v>
      </c>
      <c r="AB759" s="257">
        <f>altaz((J2000_Bas+(4*0.04167)),$O759,$M759,DecLat,DecLong,1)</f>
        <v>22.567621130701735</v>
      </c>
      <c r="AC759" s="257">
        <f>altaz((J2000_Bas+(6*0.04167)),$O759,$M759,DecLat,DecLong,1)</f>
        <v>-2.7526586760937128</v>
      </c>
      <c r="AD759" s="258">
        <f>1+ transit((J2000_Bas-1),$O759,$M759,DecLat,DecLong)/360 + (GMTOffset/24) + (IF(DST="Y", 1, 0)/24)</f>
        <v>1.7841383074317914</v>
      </c>
      <c r="AE759" s="259">
        <f>DATE(2001,9,21)+(M759/360)*365 - (360*((DecLong/360)- (GMTOffset/24) ))</f>
        <v>37448.802025462966</v>
      </c>
      <c r="AF759" s="260">
        <f>IF(DecLat&gt;0,IF((90 - (DecLat-O759))&gt;90, (90 - (O759-DecLat)), (90 - (DecLat-O759))),IF((90 + (DecLat-O759))&gt;90, (90 + (O759-DecLat)), (90 + (DecLat-O759))))</f>
        <v>56</v>
      </c>
      <c r="AG759" s="257">
        <f>angularseperation(MoonRA,MoonDec,$M759,$O759)</f>
        <v>41.6915392606236</v>
      </c>
      <c r="AH759" s="261">
        <f ca="1">MIN(100,IF($O$5&gt;80,0+30*($AG759/100),IF($O$5&gt;70,0+50*($AG759/100),IF($O$5&gt;60,5+50*($AG759/100),IF($O$5&gt;50,10+60*($AG759/100),IF($O$5&gt;40,15+70*($AG759/100),IF($O$5&gt;30,20+70*($AG759/100),IF($O$5&gt;20,40+55*($AG759/100),(80+(20-$O$5)+30*($AG759/100))))))))))</f>
        <v>95.778522122337506</v>
      </c>
      <c r="AI759" s="263"/>
      <c r="AJ759" s="263"/>
      <c r="AK759" s="263"/>
      <c r="AL759" s="263"/>
      <c r="AM759" s="264"/>
      <c r="AN759" s="263"/>
      <c r="AO759" s="263"/>
      <c r="AP759" s="265"/>
      <c r="AQ759" s="265"/>
      <c r="AR759" s="285"/>
      <c r="AS759" s="263"/>
      <c r="AT759" s="263"/>
      <c r="AU759" s="263"/>
      <c r="AV759" s="264"/>
      <c r="AW759" s="263">
        <v>324</v>
      </c>
      <c r="AX759" s="263"/>
      <c r="AY759" s="263"/>
      <c r="AZ759" s="263"/>
      <c r="BA759" s="263"/>
      <c r="BB759" s="263"/>
      <c r="BC759" s="263"/>
      <c r="BD759" s="264"/>
      <c r="BE759" s="263"/>
      <c r="BF759" s="263"/>
      <c r="BG759" s="263"/>
      <c r="BH759" s="263"/>
      <c r="BI759" s="263"/>
      <c r="BJ759" s="404">
        <f>altaz(J2000_Bas,$O759,$M759,DecLat,DecLong,2)</f>
        <v>182.06520144231385</v>
      </c>
      <c r="BK759" s="378" t="s">
        <v>863</v>
      </c>
      <c r="BL759" s="379">
        <f>IF((2*G759)/60&lt;0.2,0.2,(2*G759)/60)</f>
        <v>1.1666666666666667</v>
      </c>
      <c r="BM759" s="380">
        <f>MOD((50000+AD759-$B$3+(0/24)),1)</f>
        <v>0.99950523713778239</v>
      </c>
      <c r="BN759" s="381"/>
      <c r="BO759" s="382">
        <v>759</v>
      </c>
    </row>
    <row r="760" spans="1:67" s="24" customFormat="1" ht="15" customHeight="1" x14ac:dyDescent="0.25">
      <c r="A760" s="287" t="s">
        <v>864</v>
      </c>
      <c r="B760" s="241" t="str">
        <f>HYPERLINK(CONCATENATE($AT$3,BK760,$AU$3),$AV$3)</f>
        <v>S</v>
      </c>
      <c r="C760" s="242" t="str">
        <f>HYPERLINK(CONCATENATE($AT$4,BK760,$AU$4,BL760),$AV$4)</f>
        <v>A</v>
      </c>
      <c r="D760" s="243" t="s">
        <v>5187</v>
      </c>
      <c r="E760" s="244" t="s">
        <v>5179</v>
      </c>
      <c r="F760" s="269">
        <v>0</v>
      </c>
      <c r="G760" s="276">
        <v>15</v>
      </c>
      <c r="H760" s="271" t="s">
        <v>6500</v>
      </c>
      <c r="I760" s="244" t="s">
        <v>6500</v>
      </c>
      <c r="J760" s="246">
        <v>0</v>
      </c>
      <c r="K760" s="247" t="s">
        <v>5917</v>
      </c>
      <c r="L760" s="248">
        <v>185954</v>
      </c>
      <c r="M760" s="249">
        <f>15*(LEFT(TEXT($L760,"000000"),2)+(MID(TEXT($L760,"000000"),3,2)/60)+(RIGHT(TEXT($L760,"000000"),2)/3600))</f>
        <v>284.97500000000002</v>
      </c>
      <c r="N760" s="286">
        <v>-40400</v>
      </c>
      <c r="O760" s="251">
        <f>IF($N760&gt;0,(LEFT(TEXT($N760,"000000"),2)+(MID(TEXT($N760,"000000"),3,2)/60)+(RIGHT(TEXT($N760,"000000"),2)/3600)),-(MID(TEXT($N760,"000000"),2,2)+(MID(TEXT($N760,"000000"),4,2)/60)+(RIGHT(TEXT($N760,"000000"),2)/3600)))</f>
        <v>-4.0666666666666664</v>
      </c>
      <c r="P760" s="252" t="s">
        <v>121</v>
      </c>
      <c r="Q760" s="253"/>
      <c r="R760" s="277" t="s">
        <v>3293</v>
      </c>
      <c r="S760" s="272" t="s">
        <v>3293</v>
      </c>
      <c r="T760" s="273"/>
      <c r="U760" s="274"/>
      <c r="V760" s="256"/>
      <c r="W760" s="244"/>
      <c r="X760" s="244"/>
      <c r="Y760" s="362"/>
      <c r="Z760" s="257">
        <f>altaz(J2000_Bas,$O760,$M760,DecLat,DecLong,1)</f>
        <v>54.919621631673515</v>
      </c>
      <c r="AA760" s="257">
        <f>altaz((J2000_Bas+(2*0.04167)),$O760,$M760,DecLat,DecLong,1)</f>
        <v>44.066860273591331</v>
      </c>
      <c r="AB760" s="257">
        <f>altaz((J2000_Bas+(4*0.04167)),$O760,$M760,DecLat,DecLong,1)</f>
        <v>22.050380276406649</v>
      </c>
      <c r="AC760" s="257">
        <f>altaz((J2000_Bas+(6*0.04167)),$O760,$M760,DecLat,DecLong,1)</f>
        <v>-3.189773946366949</v>
      </c>
      <c r="AD760" s="258">
        <f>1+ transit((J2000_Bas-1),$O760,$M760,DecLat,DecLong)/360 + (GMTOffset/24) + (IF(DST="Y", 1, 0)/24)</f>
        <v>1.7844971036922079</v>
      </c>
      <c r="AE760" s="259">
        <f>DATE(2001,9,21)+(M760/360)*365 - (360*((DecLong/360)- (GMTOffset/24) ))</f>
        <v>37448.932986111111</v>
      </c>
      <c r="AF760" s="260">
        <f>IF(DecLat&gt;0,IF((90 - (DecLat-O760))&gt;90, (90 - (O760-DecLat)), (90 - (DecLat-O760))),IF((90 + (DecLat-O760))&gt;90, (90 + (O760-DecLat)), (90 + (DecLat-O760))))</f>
        <v>54.933333333333337</v>
      </c>
      <c r="AG760" s="257">
        <f>angularseperation(MoonRA,MoonDec,$M760,$O760)</f>
        <v>41.131801102368463</v>
      </c>
      <c r="AH760" s="261">
        <f ca="1">MIN(100,IF($O$5&gt;80,0+30*($AG760/100),IF($O$5&gt;70,0+50*($AG760/100),IF($O$5&gt;60,5+50*($AG760/100),IF($O$5&gt;50,10+60*($AG760/100),IF($O$5&gt;40,15+70*($AG760/100),IF($O$5&gt;30,20+70*($AG760/100),IF($O$5&gt;20,40+55*($AG760/100),(80+(20-$O$5)+30*($AG760/100))))))))))</f>
        <v>95.610600674860962</v>
      </c>
      <c r="AI760" s="263"/>
      <c r="AJ760" s="263"/>
      <c r="AK760" s="263"/>
      <c r="AL760" s="263"/>
      <c r="AM760" s="264"/>
      <c r="AN760" s="263"/>
      <c r="AO760" s="263"/>
      <c r="AP760" s="265"/>
      <c r="AQ760" s="265"/>
      <c r="AR760" s="285"/>
      <c r="AS760" s="263"/>
      <c r="AT760" s="263"/>
      <c r="AU760" s="263"/>
      <c r="AV760" s="264"/>
      <c r="AW760" s="263">
        <v>325</v>
      </c>
      <c r="AX760" s="263"/>
      <c r="AY760" s="263"/>
      <c r="AZ760" s="263"/>
      <c r="BA760" s="263"/>
      <c r="BB760" s="263"/>
      <c r="BC760" s="263"/>
      <c r="BD760" s="264"/>
      <c r="BE760" s="263"/>
      <c r="BF760" s="263"/>
      <c r="BG760" s="263"/>
      <c r="BH760" s="263"/>
      <c r="BI760" s="263"/>
      <c r="BJ760" s="404">
        <f>altaz(J2000_Bas,$O760,$M760,DecLat,DecLong,2)</f>
        <v>181.78372297123641</v>
      </c>
      <c r="BK760" s="378" t="s">
        <v>864</v>
      </c>
      <c r="BL760" s="379">
        <f>IF((2*G760)/60&lt;0.2,0.2,(2*G760)/60)</f>
        <v>0.5</v>
      </c>
      <c r="BM760" s="380">
        <f>MOD((50000+AD760-$B$3+(0/24)),1)</f>
        <v>0.99986403339426033</v>
      </c>
      <c r="BN760" s="381"/>
      <c r="BO760" s="382">
        <v>760</v>
      </c>
    </row>
    <row r="761" spans="1:67" s="24" customFormat="1" ht="15" customHeight="1" x14ac:dyDescent="0.25">
      <c r="A761" s="287" t="s">
        <v>865</v>
      </c>
      <c r="B761" s="241" t="str">
        <f>HYPERLINK(CONCATENATE($AT$3,BK761,$AU$3),$AV$3)</f>
        <v>S</v>
      </c>
      <c r="C761" s="242" t="str">
        <f>HYPERLINK(CONCATENATE($AT$4,BK761,$AU$4,BL761),$AV$4)</f>
        <v>A</v>
      </c>
      <c r="D761" s="243" t="s">
        <v>5187</v>
      </c>
      <c r="E761" s="244" t="s">
        <v>5179</v>
      </c>
      <c r="F761" s="269">
        <v>2</v>
      </c>
      <c r="G761" s="276">
        <v>25</v>
      </c>
      <c r="H761" s="271" t="s">
        <v>6500</v>
      </c>
      <c r="I761" s="244" t="s">
        <v>6500</v>
      </c>
      <c r="J761" s="246">
        <v>1</v>
      </c>
      <c r="K761" s="247" t="s">
        <v>5918</v>
      </c>
      <c r="L761" s="248">
        <v>190326</v>
      </c>
      <c r="M761" s="249">
        <f>15*(LEFT(TEXT($L761,"000000"),2)+(MID(TEXT($L761,"000000"),3,2)/60)+(RIGHT(TEXT($L761,"000000"),2)/3600))</f>
        <v>285.85833333333335</v>
      </c>
      <c r="N761" s="286">
        <v>-2400</v>
      </c>
      <c r="O761" s="251">
        <f>IF($N761&gt;0,(LEFT(TEXT($N761,"000000"),2)+(MID(TEXT($N761,"000000"),3,2)/60)+(RIGHT(TEXT($N761,"000000"),2)/3600)),-(MID(TEXT($N761,"000000"),2,2)+(MID(TEXT($N761,"000000"),4,2)/60)+(RIGHT(TEXT($N761,"000000"),2)/3600)))</f>
        <v>-0.4</v>
      </c>
      <c r="P761" s="252" t="s">
        <v>126</v>
      </c>
      <c r="Q761" s="253"/>
      <c r="R761" s="277" t="s">
        <v>3293</v>
      </c>
      <c r="S761" s="272" t="s">
        <v>3293</v>
      </c>
      <c r="T761" s="273"/>
      <c r="U761" s="274"/>
      <c r="V761" s="256"/>
      <c r="W761" s="244"/>
      <c r="X761" s="244"/>
      <c r="Y761" s="362"/>
      <c r="Z761" s="257">
        <f>altaz(J2000_Bas,$O761,$M761,DecLat,DecLong,1)</f>
        <v>58.599701084212334</v>
      </c>
      <c r="AA761" s="257">
        <f>altaz((J2000_Bas+(2*0.04167)),$O761,$M761,DecLat,DecLong,1)</f>
        <v>47.476258358871533</v>
      </c>
      <c r="AB761" s="257">
        <f>altaz((J2000_Bas+(4*0.04167)),$O761,$M761,DecLat,DecLong,1)</f>
        <v>24.892122818592995</v>
      </c>
      <c r="AC761" s="257">
        <f>altaz((J2000_Bas+(6*0.04167)),$O761,$M761,DecLat,DecLong,1)</f>
        <v>-0.54709927223368726</v>
      </c>
      <c r="AD761" s="258">
        <f>1+ transit((J2000_Bas-1),$O761,$M761,DecLat,DecLong)/360 + (GMTOffset/24) + (IF(DST="Y", 1, 0)/24)</f>
        <v>1.7869508071505413</v>
      </c>
      <c r="AE761" s="259">
        <f>DATE(2001,9,21)+(M761/360)*365 - (360*((DecLong/360)- (GMTOffset/24) ))</f>
        <v>37449.828587962962</v>
      </c>
      <c r="AF761" s="260">
        <f>IF(DecLat&gt;0,IF((90 - (DecLat-O761))&gt;90, (90 - (O761-DecLat)), (90 - (DecLat-O761))),IF((90 + (DecLat-O761))&gt;90, (90 + (O761-DecLat)), (90 + (DecLat-O761))))</f>
        <v>58.6</v>
      </c>
      <c r="AG761" s="257">
        <f>angularseperation(MoonRA,MoonDec,$M761,$O761)</f>
        <v>44.127774122071308</v>
      </c>
      <c r="AH761" s="261">
        <f ca="1">MIN(100,IF($O$5&gt;80,0+30*($AG761/100),IF($O$5&gt;70,0+50*($AG761/100),IF($O$5&gt;60,5+50*($AG761/100),IF($O$5&gt;50,10+60*($AG761/100),IF($O$5&gt;40,15+70*($AG761/100),IF($O$5&gt;30,20+70*($AG761/100),IF($O$5&gt;20,40+55*($AG761/100),(80+(20-$O$5)+30*($AG761/100))))))))))</f>
        <v>96.509392580771816</v>
      </c>
      <c r="AI761" s="263"/>
      <c r="AJ761" s="263"/>
      <c r="AK761" s="263"/>
      <c r="AL761" s="263"/>
      <c r="AM761" s="264"/>
      <c r="AN761" s="263"/>
      <c r="AO761" s="263"/>
      <c r="AP761" s="265"/>
      <c r="AQ761" s="265"/>
      <c r="AR761" s="285"/>
      <c r="AS761" s="263"/>
      <c r="AT761" s="263"/>
      <c r="AU761" s="263"/>
      <c r="AV761" s="264"/>
      <c r="AW761" s="263">
        <v>326</v>
      </c>
      <c r="AX761" s="263"/>
      <c r="AY761" s="263"/>
      <c r="AZ761" s="263"/>
      <c r="BA761" s="263"/>
      <c r="BB761" s="263"/>
      <c r="BC761" s="263"/>
      <c r="BD761" s="264"/>
      <c r="BE761" s="263"/>
      <c r="BF761" s="263"/>
      <c r="BG761" s="263"/>
      <c r="BH761" s="263"/>
      <c r="BI761" s="263"/>
      <c r="BJ761" s="404">
        <f>altaz(J2000_Bas,$O761,$M761,DecLat,DecLong,2)</f>
        <v>180.27694169008788</v>
      </c>
      <c r="BK761" s="378" t="s">
        <v>865</v>
      </c>
      <c r="BL761" s="379">
        <f>IF((2*G761)/60&lt;0.2,0.2,(2*G761)/60)</f>
        <v>0.83333333333333337</v>
      </c>
      <c r="BM761" s="380">
        <f>MOD((50000+AD761-$B$3+(0/24)),1)</f>
        <v>2.3177368566393852E-3</v>
      </c>
      <c r="BN761" s="381"/>
      <c r="BO761" s="382">
        <v>761</v>
      </c>
    </row>
    <row r="762" spans="1:67" s="24" customFormat="1" ht="15" customHeight="1" x14ac:dyDescent="0.25">
      <c r="A762" s="287" t="s">
        <v>866</v>
      </c>
      <c r="B762" s="241" t="str">
        <f>HYPERLINK(CONCATENATE($AT$3,BK762,$AU$3),$AV$3)</f>
        <v>S</v>
      </c>
      <c r="C762" s="242" t="str">
        <f>HYPERLINK(CONCATENATE($AT$4,BK762,$AU$4,BL762),$AV$4)</f>
        <v>A</v>
      </c>
      <c r="D762" s="243" t="s">
        <v>5187</v>
      </c>
      <c r="E762" s="244" t="s">
        <v>5179</v>
      </c>
      <c r="F762" s="269">
        <v>3</v>
      </c>
      <c r="G762" s="276">
        <v>30</v>
      </c>
      <c r="H762" s="271" t="s">
        <v>6500</v>
      </c>
      <c r="I762" s="244" t="s">
        <v>6500</v>
      </c>
      <c r="J762" s="246">
        <v>0</v>
      </c>
      <c r="K762" s="247" t="s">
        <v>5919</v>
      </c>
      <c r="L762" s="248">
        <v>190427</v>
      </c>
      <c r="M762" s="249">
        <f>15*(LEFT(TEXT($L762,"000000"),2)+(MID(TEXT($L762,"000000"),3,2)/60)+(RIGHT(TEXT($L762,"000000"),2)/3600))</f>
        <v>286.11250000000001</v>
      </c>
      <c r="N762" s="286">
        <v>-50900</v>
      </c>
      <c r="O762" s="251">
        <f>IF($N762&gt;0,(LEFT(TEXT($N762,"000000"),2)+(MID(TEXT($N762,"000000"),3,2)/60)+(RIGHT(TEXT($N762,"000000"),2)/3600)),-(MID(TEXT($N762,"000000"),2,2)+(MID(TEXT($N762,"000000"),4,2)/60)+(RIGHT(TEXT($N762,"000000"),2)/3600)))</f>
        <v>-5.15</v>
      </c>
      <c r="P762" s="252" t="s">
        <v>126</v>
      </c>
      <c r="Q762" s="253"/>
      <c r="R762" s="277" t="s">
        <v>3293</v>
      </c>
      <c r="S762" s="272" t="s">
        <v>3293</v>
      </c>
      <c r="T762" s="273"/>
      <c r="U762" s="274"/>
      <c r="V762" s="256"/>
      <c r="W762" s="244"/>
      <c r="X762" s="244"/>
      <c r="Y762" s="362"/>
      <c r="Z762" s="257">
        <f>altaz(J2000_Bas,$O762,$M762,DecLat,DecLong,1)</f>
        <v>53.849847539177354</v>
      </c>
      <c r="AA762" s="257">
        <f>altaz((J2000_Bas+(2*0.04167)),$O762,$M762,DecLat,DecLong,1)</f>
        <v>43.891027640576823</v>
      </c>
      <c r="AB762" s="257">
        <f>altaz((J2000_Bas+(4*0.04167)),$O762,$M762,DecLat,DecLong,1)</f>
        <v>22.324861053187476</v>
      </c>
      <c r="AC762" s="257">
        <f>altaz((J2000_Bas+(6*0.04167)),$O762,$M762,DecLat,DecLong,1)</f>
        <v>-2.7726855077733386</v>
      </c>
      <c r="AD762" s="258">
        <f>1+ transit((J2000_Bas-1),$O762,$M762,DecLat,DecLong)/360 + (GMTOffset/24) + (IF(DST="Y", 1, 0)/24)</f>
        <v>1.787656825598458</v>
      </c>
      <c r="AE762" s="259">
        <f>DATE(2001,9,21)+(M762/360)*365 - (360*((DecLong/360)- (GMTOffset/24) ))</f>
        <v>37450.086284722223</v>
      </c>
      <c r="AF762" s="260">
        <f>IF(DecLat&gt;0,IF((90 - (DecLat-O762))&gt;90, (90 - (O762-DecLat)), (90 - (DecLat-O762))),IF((90 + (DecLat-O762))&gt;90, (90 + (O762-DecLat)), (90 + (DecLat-O762))))</f>
        <v>53.85</v>
      </c>
      <c r="AG762" s="257">
        <f>angularseperation(MoonRA,MoonDec,$M762,$O762)</f>
        <v>41.387205016294573</v>
      </c>
      <c r="AH762" s="261">
        <f ca="1">MIN(100,IF($O$5&gt;80,0+30*($AG762/100),IF($O$5&gt;70,0+50*($AG762/100),IF($O$5&gt;60,5+50*($AG762/100),IF($O$5&gt;50,10+60*($AG762/100),IF($O$5&gt;40,15+70*($AG762/100),IF($O$5&gt;30,20+70*($AG762/100),IF($O$5&gt;20,40+55*($AG762/100),(80+(20-$O$5)+30*($AG762/100))))))))))</f>
        <v>95.687221849038792</v>
      </c>
      <c r="AI762" s="263"/>
      <c r="AJ762" s="263"/>
      <c r="AK762" s="263"/>
      <c r="AL762" s="263"/>
      <c r="AM762" s="264"/>
      <c r="AN762" s="263"/>
      <c r="AO762" s="263"/>
      <c r="AP762" s="265"/>
      <c r="AQ762" s="265"/>
      <c r="AR762" s="285"/>
      <c r="AS762" s="263"/>
      <c r="AT762" s="263"/>
      <c r="AU762" s="263"/>
      <c r="AV762" s="264"/>
      <c r="AW762" s="263">
        <v>327</v>
      </c>
      <c r="AX762" s="263"/>
      <c r="AY762" s="263"/>
      <c r="AZ762" s="263"/>
      <c r="BA762" s="263"/>
      <c r="BB762" s="263"/>
      <c r="BC762" s="263"/>
      <c r="BD762" s="264"/>
      <c r="BE762" s="263"/>
      <c r="BF762" s="263"/>
      <c r="BG762" s="263"/>
      <c r="BH762" s="263"/>
      <c r="BI762" s="263"/>
      <c r="BJ762" s="404">
        <f>altaz(J2000_Bas,$O762,$M762,DecLat,DecLong,2)</f>
        <v>179.81449569545757</v>
      </c>
      <c r="BK762" s="378" t="s">
        <v>866</v>
      </c>
      <c r="BL762" s="379">
        <f>IF((2*G762)/60&lt;0.2,0.2,(2*G762)/60)</f>
        <v>1</v>
      </c>
      <c r="BM762" s="380">
        <f>MOD((50000+AD762-$B$3+(0/24)),1)</f>
        <v>3.0237553000915796E-3</v>
      </c>
      <c r="BN762" s="381"/>
      <c r="BO762" s="382">
        <v>762</v>
      </c>
    </row>
    <row r="763" spans="1:67" s="24" customFormat="1" ht="15" customHeight="1" x14ac:dyDescent="0.25">
      <c r="A763" s="288" t="s">
        <v>867</v>
      </c>
      <c r="B763" s="241" t="str">
        <f>HYPERLINK(CONCATENATE($AT$3,BK763,$AU$3),$AV$3)</f>
        <v>S</v>
      </c>
      <c r="C763" s="242" t="str">
        <f>HYPERLINK(CONCATENATE($AT$4,BK763,$AU$4,BL763),$AV$4)</f>
        <v>A</v>
      </c>
      <c r="D763" s="243" t="s">
        <v>5187</v>
      </c>
      <c r="E763" s="244" t="s">
        <v>5179</v>
      </c>
      <c r="F763" s="269">
        <v>6</v>
      </c>
      <c r="G763" s="273">
        <v>4</v>
      </c>
      <c r="H763" s="271" t="s">
        <v>6500</v>
      </c>
      <c r="I763" s="244" t="s">
        <v>6500</v>
      </c>
      <c r="J763" s="246">
        <v>1</v>
      </c>
      <c r="K763" s="247" t="s">
        <v>5920</v>
      </c>
      <c r="L763" s="248">
        <v>190450</v>
      </c>
      <c r="M763" s="249">
        <f>15*(LEFT(TEXT($L763,"000000"),2)+(MID(TEXT($L763,"000000"),3,2)/60)+(RIGHT(TEXT($L763,"000000"),2)/3600))</f>
        <v>286.20833333333331</v>
      </c>
      <c r="N763" s="286">
        <v>-41600</v>
      </c>
      <c r="O763" s="251">
        <f>IF($N763&gt;0,(LEFT(TEXT($N763,"000000"),2)+(MID(TEXT($N763,"000000"),3,2)/60)+(RIGHT(TEXT($N763,"000000"),2)/3600)),-(MID(TEXT($N763,"000000"),2,2)+(MID(TEXT($N763,"000000"),4,2)/60)+(RIGHT(TEXT($N763,"000000"),2)/3600)))</f>
        <v>-4.2666666666666666</v>
      </c>
      <c r="P763" s="252" t="s">
        <v>126</v>
      </c>
      <c r="Q763" s="253"/>
      <c r="R763" s="277" t="s">
        <v>3293</v>
      </c>
      <c r="S763" s="272" t="s">
        <v>3293</v>
      </c>
      <c r="T763" s="273"/>
      <c r="U763" s="274"/>
      <c r="V763" s="256"/>
      <c r="W763" s="244"/>
      <c r="X763" s="244"/>
      <c r="Y763" s="362"/>
      <c r="Z763" s="257">
        <f>altaz(J2000_Bas,$O763,$M763,DecLat,DecLong,1)</f>
        <v>54.732786649792786</v>
      </c>
      <c r="AA763" s="257">
        <f>altaz((J2000_Bas+(2*0.04167)),$O763,$M763,DecLat,DecLong,1)</f>
        <v>44.656545254032373</v>
      </c>
      <c r="AB763" s="257">
        <f>altaz((J2000_Bas+(4*0.04167)),$O763,$M763,DecLat,DecLong,1)</f>
        <v>22.92655179377833</v>
      </c>
      <c r="AC763" s="257">
        <f>altaz((J2000_Bas+(6*0.04167)),$O763,$M763,DecLat,DecLong,1)</f>
        <v>-2.2369996879337126</v>
      </c>
      <c r="AD763" s="258">
        <f>1+ transit((J2000_Bas-1),$O763,$M763,DecLat,DecLong)/360 + (GMTOffset/24) + (IF(DST="Y", 1, 0)/24)</f>
        <v>1.7879230292755413</v>
      </c>
      <c r="AE763" s="259">
        <f>DATE(2001,9,21)+(M763/360)*365 - (360*((DecLong/360)- (GMTOffset/24) ))</f>
        <v>37450.183449074073</v>
      </c>
      <c r="AF763" s="260">
        <f>IF(DecLat&gt;0,IF((90 - (DecLat-O763))&gt;90, (90 - (O763-DecLat)), (90 - (DecLat-O763))),IF((90 + (DecLat-O763))&gt;90, (90 + (O763-DecLat)), (90 + (DecLat-O763))))</f>
        <v>54.733333333333334</v>
      </c>
      <c r="AG763" s="257">
        <f>angularseperation(MoonRA,MoonDec,$M763,$O763)</f>
        <v>41.989071769563303</v>
      </c>
      <c r="AH763" s="261">
        <f ca="1">MIN(100,IF($O$5&gt;80,0+30*($AG763/100),IF($O$5&gt;70,0+50*($AG763/100),IF($O$5&gt;60,5+50*($AG763/100),IF($O$5&gt;50,10+60*($AG763/100),IF($O$5&gt;40,15+70*($AG763/100),IF($O$5&gt;30,20+70*($AG763/100),IF($O$5&gt;20,40+55*($AG763/100),(80+(20-$O$5)+30*($AG763/100))))))))))</f>
        <v>95.867781875019418</v>
      </c>
      <c r="AI763" s="263"/>
      <c r="AJ763" s="263"/>
      <c r="AK763" s="263"/>
      <c r="AL763" s="263"/>
      <c r="AM763" s="264"/>
      <c r="AN763" s="263"/>
      <c r="AO763" s="263"/>
      <c r="AP763" s="265"/>
      <c r="AQ763" s="265"/>
      <c r="AR763" s="285"/>
      <c r="AS763" s="263"/>
      <c r="AT763" s="263"/>
      <c r="AU763" s="263"/>
      <c r="AV763" s="264"/>
      <c r="AW763" s="263">
        <v>328</v>
      </c>
      <c r="AX763" s="263"/>
      <c r="AY763" s="263"/>
      <c r="AZ763" s="263"/>
      <c r="BA763" s="263"/>
      <c r="BB763" s="263"/>
      <c r="BC763" s="263"/>
      <c r="BD763" s="264"/>
      <c r="BE763" s="263"/>
      <c r="BF763" s="263"/>
      <c r="BG763" s="263"/>
      <c r="BH763" s="263"/>
      <c r="BI763" s="263"/>
      <c r="BJ763" s="404">
        <f>altaz(J2000_Bas,$O763,$M763,DecLat,DecLong,2)</f>
        <v>179.6447167982729</v>
      </c>
      <c r="BK763" s="378" t="s">
        <v>867</v>
      </c>
      <c r="BL763" s="379">
        <f>IF((2*G763)/60&lt;0.2,0.2,(2*G763)/60)</f>
        <v>0.2</v>
      </c>
      <c r="BM763" s="380">
        <f>MOD((50000+AD763-$B$3+(0/24)),1)</f>
        <v>3.2899589787120931E-3</v>
      </c>
      <c r="BN763" s="381"/>
      <c r="BO763" s="382">
        <v>763</v>
      </c>
    </row>
    <row r="764" spans="1:67" s="24" customFormat="1" ht="15" customHeight="1" x14ac:dyDescent="0.25">
      <c r="A764" s="287" t="s">
        <v>868</v>
      </c>
      <c r="B764" s="241" t="str">
        <f>HYPERLINK(CONCATENATE($AT$3,BK764,$AU$3),$AV$3)</f>
        <v>S</v>
      </c>
      <c r="C764" s="242" t="str">
        <f>HYPERLINK(CONCATENATE($AT$4,BK764,$AU$4,BL764),$AV$4)</f>
        <v>A</v>
      </c>
      <c r="D764" s="243" t="s">
        <v>5187</v>
      </c>
      <c r="E764" s="244" t="s">
        <v>5179</v>
      </c>
      <c r="F764" s="269">
        <v>2</v>
      </c>
      <c r="G764" s="273">
        <v>6</v>
      </c>
      <c r="H764" s="271" t="s">
        <v>6500</v>
      </c>
      <c r="I764" s="244" t="s">
        <v>6500</v>
      </c>
      <c r="J764" s="246">
        <v>1</v>
      </c>
      <c r="K764" s="247" t="s">
        <v>5921</v>
      </c>
      <c r="L764" s="248">
        <v>190700</v>
      </c>
      <c r="M764" s="249">
        <f>15*(LEFT(TEXT($L764,"000000"),2)+(MID(TEXT($L764,"000000"),3,2)/60)+(RIGHT(TEXT($L764,"000000"),2)/3600))</f>
        <v>286.75</v>
      </c>
      <c r="N764" s="286">
        <v>31100</v>
      </c>
      <c r="O764" s="251">
        <f>IF($N764&gt;0,(LEFT(TEXT($N764,"000000"),2)+(MID(TEXT($N764,"000000"),3,2)/60)+(RIGHT(TEXT($N764,"000000"),2)/3600)),-(MID(TEXT($N764,"000000"),2,2)+(MID(TEXT($N764,"000000"),4,2)/60)+(RIGHT(TEXT($N764,"000000"),2)/3600)))</f>
        <v>3.1833333333333331</v>
      </c>
      <c r="P764" s="252" t="s">
        <v>126</v>
      </c>
      <c r="Q764" s="253"/>
      <c r="R764" s="277" t="s">
        <v>3293</v>
      </c>
      <c r="S764" s="272" t="s">
        <v>3293</v>
      </c>
      <c r="T764" s="273"/>
      <c r="U764" s="274"/>
      <c r="V764" s="256"/>
      <c r="W764" s="244"/>
      <c r="X764" s="244"/>
      <c r="Y764" s="362"/>
      <c r="Z764" s="257">
        <f>altaz(J2000_Bas,$O764,$M764,DecLat,DecLong,1)</f>
        <v>62.174394904522259</v>
      </c>
      <c r="AA764" s="257">
        <f>altaz((J2000_Bas+(2*0.04167)),$O764,$M764,DecLat,DecLong,1)</f>
        <v>50.776442805875426</v>
      </c>
      <c r="AB764" s="257">
        <f>altaz((J2000_Bas+(4*0.04167)),$O764,$M764,DecLat,DecLong,1)</f>
        <v>27.644343829581175</v>
      </c>
      <c r="AC764" s="257">
        <f>altaz((J2000_Bas+(6*0.04167)),$O764,$M764,DecLat,DecLong,1)</f>
        <v>2.0617001631031946</v>
      </c>
      <c r="AD764" s="258">
        <f>1+ transit((J2000_Bas-1),$O764,$M764,DecLat,DecLong)/360 + (GMTOffset/24) + (IF(DST="Y", 1, 0)/24)</f>
        <v>1.789427658754708</v>
      </c>
      <c r="AE764" s="259">
        <f>DATE(2001,9,21)+(M764/360)*365 - (360*((DecLong/360)- (GMTOffset/24) ))</f>
        <v>37450.732638888891</v>
      </c>
      <c r="AF764" s="260">
        <f>IF(DecLat&gt;0,IF((90 - (DecLat-O764))&gt;90, (90 - (O764-DecLat)), (90 - (DecLat-O764))),IF((90 + (DecLat-O764))&gt;90, (90 + (O764-DecLat)), (90 + (DecLat-O764))))</f>
        <v>62.183333333333337</v>
      </c>
      <c r="AG764" s="257">
        <f>angularseperation(MoonRA,MoonDec,$M764,$O764)</f>
        <v>47.163849467425948</v>
      </c>
      <c r="AH764" s="261">
        <f ca="1">MIN(100,IF($O$5&gt;80,0+30*($AG764/100),IF($O$5&gt;70,0+50*($AG764/100),IF($O$5&gt;60,5+50*($AG764/100),IF($O$5&gt;50,10+60*($AG764/100),IF($O$5&gt;40,15+70*($AG764/100),IF($O$5&gt;30,20+70*($AG764/100),IF($O$5&gt;20,40+55*($AG764/100),(80+(20-$O$5)+30*($AG764/100))))))))))</f>
        <v>97.420215184378208</v>
      </c>
      <c r="AI764" s="263"/>
      <c r="AJ764" s="263"/>
      <c r="AK764" s="263"/>
      <c r="AL764" s="263"/>
      <c r="AM764" s="264"/>
      <c r="AN764" s="263"/>
      <c r="AO764" s="263"/>
      <c r="AP764" s="265"/>
      <c r="AQ764" s="265"/>
      <c r="AR764" s="285"/>
      <c r="AS764" s="263"/>
      <c r="AT764" s="263"/>
      <c r="AU764" s="263"/>
      <c r="AV764" s="264"/>
      <c r="AW764" s="263">
        <v>329</v>
      </c>
      <c r="AX764" s="263"/>
      <c r="AY764" s="263"/>
      <c r="AZ764" s="263"/>
      <c r="BA764" s="263"/>
      <c r="BB764" s="263"/>
      <c r="BC764" s="263"/>
      <c r="BD764" s="264"/>
      <c r="BE764" s="263"/>
      <c r="BF764" s="263"/>
      <c r="BG764" s="263"/>
      <c r="BH764" s="263"/>
      <c r="BI764" s="263"/>
      <c r="BJ764" s="404">
        <f>altaz(J2000_Bas,$O764,$M764,DecLat,DecLong,2)</f>
        <v>178.40119017596405</v>
      </c>
      <c r="BK764" s="378" t="s">
        <v>868</v>
      </c>
      <c r="BL764" s="379">
        <f>IF((2*G764)/60&lt;0.2,0.2,(2*G764)/60)</f>
        <v>0.2</v>
      </c>
      <c r="BM764" s="380">
        <f>MOD((50000+AD764-$B$3+(0/24)),1)</f>
        <v>4.794588458025828E-3</v>
      </c>
      <c r="BN764" s="381"/>
      <c r="BO764" s="382">
        <v>764</v>
      </c>
    </row>
    <row r="765" spans="1:67" s="24" customFormat="1" ht="15" customHeight="1" x14ac:dyDescent="0.25">
      <c r="A765" s="287" t="s">
        <v>869</v>
      </c>
      <c r="B765" s="241" t="str">
        <f>HYPERLINK(CONCATENATE($AT$3,BK765,$AU$3),$AV$3)</f>
        <v>S</v>
      </c>
      <c r="C765" s="242" t="str">
        <f>HYPERLINK(CONCATENATE($AT$4,BK765,$AU$4,BL765),$AV$4)</f>
        <v>A</v>
      </c>
      <c r="D765" s="243" t="s">
        <v>5187</v>
      </c>
      <c r="E765" s="244" t="s">
        <v>5179</v>
      </c>
      <c r="F765" s="269">
        <v>4</v>
      </c>
      <c r="G765" s="276">
        <v>30</v>
      </c>
      <c r="H765" s="271" t="s">
        <v>6500</v>
      </c>
      <c r="I765" s="244" t="s">
        <v>6500</v>
      </c>
      <c r="J765" s="246">
        <v>1</v>
      </c>
      <c r="K765" s="247" t="s">
        <v>5922</v>
      </c>
      <c r="L765" s="248">
        <v>191934</v>
      </c>
      <c r="M765" s="249">
        <f>15*(LEFT(TEXT($L765,"000000"),2)+(MID(TEXT($L765,"000000"),3,2)/60)+(RIGHT(TEXT($L765,"000000"),2)/3600))</f>
        <v>289.89166666666665</v>
      </c>
      <c r="N765" s="286">
        <v>73300</v>
      </c>
      <c r="O765" s="251">
        <f>IF($N765&gt;0,(LEFT(TEXT($N765,"000000"),2)+(MID(TEXT($N765,"000000"),3,2)/60)+(RIGHT(TEXT($N765,"000000"),2)/3600)),-(MID(TEXT($N765,"000000"),2,2)+(MID(TEXT($N765,"000000"),4,2)/60)+(RIGHT(TEXT($N765,"000000"),2)/3600)))</f>
        <v>7.55</v>
      </c>
      <c r="P765" s="252" t="s">
        <v>126</v>
      </c>
      <c r="Q765" s="253"/>
      <c r="R765" s="277" t="s">
        <v>3293</v>
      </c>
      <c r="S765" s="272" t="s">
        <v>3293</v>
      </c>
      <c r="T765" s="273"/>
      <c r="U765" s="274"/>
      <c r="V765" s="256"/>
      <c r="W765" s="244"/>
      <c r="X765" s="244"/>
      <c r="Y765" s="362"/>
      <c r="Z765" s="257">
        <f>altaz(J2000_Bas,$O765,$M765,DecLat,DecLong,1)</f>
        <v>66.269854660588933</v>
      </c>
      <c r="AA765" s="257">
        <f>altaz((J2000_Bas+(2*0.04167)),$O765,$M765,DecLat,DecLong,1)</f>
        <v>56.112490821329338</v>
      </c>
      <c r="AB765" s="257">
        <f>altaz((J2000_Bas+(4*0.04167)),$O765,$M765,DecLat,DecLong,1)</f>
        <v>32.642059374872218</v>
      </c>
      <c r="AC765" s="257">
        <f>altaz((J2000_Bas+(6*0.04167)),$O765,$M765,DecLat,DecLong,1)</f>
        <v>6.9816236006341237</v>
      </c>
      <c r="AD765" s="258">
        <f>1+ transit((J2000_Bas-1),$O765,$M765,DecLat,DecLong)/360 + (GMTOffset/24) + (IF(DST="Y", 1, 0)/24)</f>
        <v>1.7981545097338747</v>
      </c>
      <c r="AE765" s="259">
        <f>DATE(2001,9,21)+(M765/360)*365 - (360*((DecLong/360)- (GMTOffset/24) ))</f>
        <v>37453.917939814812</v>
      </c>
      <c r="AF765" s="260">
        <f>IF(DecLat&gt;0,IF((90 - (DecLat-O765))&gt;90, (90 - (O765-DecLat)), (90 - (DecLat-O765))),IF((90 + (DecLat-O765))&gt;90, (90 + (O765-DecLat)), (90 + (DecLat-O765))))</f>
        <v>66.55</v>
      </c>
      <c r="AG765" s="257">
        <f>angularseperation(MoonRA,MoonDec,$M765,$O765)</f>
        <v>52.422989510774876</v>
      </c>
      <c r="AH765" s="261">
        <f ca="1">MIN(100,IF($O$5&gt;80,0+30*($AG765/100),IF($O$5&gt;70,0+50*($AG765/100),IF($O$5&gt;60,5+50*($AG765/100),IF($O$5&gt;50,10+60*($AG765/100),IF($O$5&gt;40,15+70*($AG765/100),IF($O$5&gt;30,20+70*($AG765/100),IF($O$5&gt;20,40+55*($AG765/100),(80+(20-$O$5)+30*($AG765/100))))))))))</f>
        <v>98.997957197382888</v>
      </c>
      <c r="AI765" s="263"/>
      <c r="AJ765" s="263"/>
      <c r="AK765" s="263"/>
      <c r="AL765" s="263"/>
      <c r="AM765" s="264"/>
      <c r="AN765" s="263"/>
      <c r="AO765" s="263"/>
      <c r="AP765" s="265"/>
      <c r="AQ765" s="265"/>
      <c r="AR765" s="285"/>
      <c r="AS765" s="263"/>
      <c r="AT765" s="263"/>
      <c r="AU765" s="263"/>
      <c r="AV765" s="264"/>
      <c r="AW765" s="263">
        <v>330</v>
      </c>
      <c r="AX765" s="263"/>
      <c r="AY765" s="263"/>
      <c r="AZ765" s="263"/>
      <c r="BA765" s="263"/>
      <c r="BB765" s="263"/>
      <c r="BC765" s="263"/>
      <c r="BD765" s="264"/>
      <c r="BE765" s="263"/>
      <c r="BF765" s="263"/>
      <c r="BG765" s="263"/>
      <c r="BH765" s="263"/>
      <c r="BI765" s="263"/>
      <c r="BJ765" s="404">
        <f>altaz(J2000_Bas,$O765,$M765,DecLat,DecLong,2)</f>
        <v>170.38212610317709</v>
      </c>
      <c r="BK765" s="378" t="s">
        <v>869</v>
      </c>
      <c r="BL765" s="379">
        <f>IF((2*G765)/60&lt;0.2,0.2,(2*G765)/60)</f>
        <v>1</v>
      </c>
      <c r="BM765" s="380">
        <f>MOD((50000+AD765-$B$3+(0/24)),1)</f>
        <v>1.3521439439500682E-2</v>
      </c>
      <c r="BN765" s="381"/>
      <c r="BO765" s="382">
        <v>765</v>
      </c>
    </row>
    <row r="766" spans="1:67" s="24" customFormat="1" ht="15" customHeight="1" x14ac:dyDescent="0.25">
      <c r="A766" s="287" t="s">
        <v>870</v>
      </c>
      <c r="B766" s="241" t="str">
        <f>HYPERLINK(CONCATENATE($AT$3,BK766,$AU$3),$AV$3)</f>
        <v>S</v>
      </c>
      <c r="C766" s="242" t="str">
        <f>HYPERLINK(CONCATENATE($AT$4,BK766,$AU$4,BL766),$AV$4)</f>
        <v>A</v>
      </c>
      <c r="D766" s="243" t="s">
        <v>5187</v>
      </c>
      <c r="E766" s="244" t="s">
        <v>5179</v>
      </c>
      <c r="F766" s="269">
        <v>1</v>
      </c>
      <c r="G766" s="276">
        <v>60</v>
      </c>
      <c r="H766" s="271" t="s">
        <v>6500</v>
      </c>
      <c r="I766" s="244" t="s">
        <v>6500</v>
      </c>
      <c r="J766" s="246">
        <v>0</v>
      </c>
      <c r="K766" s="247" t="s">
        <v>5923</v>
      </c>
      <c r="L766" s="248">
        <v>192604</v>
      </c>
      <c r="M766" s="249">
        <f>15*(LEFT(TEXT($L766,"000000"),2)+(MID(TEXT($L766,"000000"),3,2)/60)+(RIGHT(TEXT($L766,"000000"),2)/3600))</f>
        <v>291.51666666666665</v>
      </c>
      <c r="N766" s="286">
        <v>73400</v>
      </c>
      <c r="O766" s="251">
        <f>IF($N766&gt;0,(LEFT(TEXT($N766,"000000"),2)+(MID(TEXT($N766,"000000"),3,2)/60)+(RIGHT(TEXT($N766,"000000"),2)/3600)),-(MID(TEXT($N766,"000000"),2,2)+(MID(TEXT($N766,"000000"),4,2)/60)+(RIGHT(TEXT($N766,"000000"),2)/3600)))</f>
        <v>7.5666666666666664</v>
      </c>
      <c r="P766" s="252" t="s">
        <v>126</v>
      </c>
      <c r="Q766" s="253"/>
      <c r="R766" s="277" t="s">
        <v>3293</v>
      </c>
      <c r="S766" s="272" t="s">
        <v>3293</v>
      </c>
      <c r="T766" s="273"/>
      <c r="U766" s="274"/>
      <c r="V766" s="256"/>
      <c r="W766" s="244"/>
      <c r="X766" s="244"/>
      <c r="Y766" s="362"/>
      <c r="Z766" s="257">
        <f>altaz(J2000_Bas,$O766,$M766,DecLat,DecLong,1)</f>
        <v>66.006496806646069</v>
      </c>
      <c r="AA766" s="257">
        <f>altaz((J2000_Bas+(2*0.04167)),$O766,$M766,DecLat,DecLong,1)</f>
        <v>57.201737050520066</v>
      </c>
      <c r="AB766" s="257">
        <f>altaz((J2000_Bas+(4*0.04167)),$O766,$M766,DecLat,DecLong,1)</f>
        <v>34.012347123182877</v>
      </c>
      <c r="AC766" s="257">
        <f>altaz((J2000_Bas+(6*0.04167)),$O766,$M766,DecLat,DecLong,1)</f>
        <v>8.3791486521956635</v>
      </c>
      <c r="AD766" s="258">
        <f>1+ transit((J2000_Bas-1),$O766,$M766,DecLat,DecLong)/360 + (GMTOffset/24) + (IF(DST="Y", 1, 0)/24)</f>
        <v>1.8026683981713745</v>
      </c>
      <c r="AE766" s="259">
        <f>DATE(2001,9,21)+(M766/360)*365 - (360*((DecLong/360)- (GMTOffset/24) ))</f>
        <v>37455.565509259257</v>
      </c>
      <c r="AF766" s="260">
        <f>IF(DecLat&gt;0,IF((90 - (DecLat-O766))&gt;90, (90 - (O766-DecLat)), (90 - (DecLat-O766))),IF((90 + (DecLat-O766))&gt;90, (90 + (O766-DecLat)), (90 + (DecLat-O766))))</f>
        <v>66.566666666666663</v>
      </c>
      <c r="AG766" s="257">
        <f>angularseperation(MoonRA,MoonDec,$M766,$O766)</f>
        <v>53.622940380047453</v>
      </c>
      <c r="AH766" s="261">
        <f ca="1">MIN(100,IF($O$5&gt;80,0+30*($AG766/100),IF($O$5&gt;70,0+50*($AG766/100),IF($O$5&gt;60,5+50*($AG766/100),IF($O$5&gt;50,10+60*($AG766/100),IF($O$5&gt;40,15+70*($AG766/100),IF($O$5&gt;30,20+70*($AG766/100),IF($O$5&gt;20,40+55*($AG766/100),(80+(20-$O$5)+30*($AG766/100))))))))))</f>
        <v>99.357942458164672</v>
      </c>
      <c r="AI766" s="263"/>
      <c r="AJ766" s="263"/>
      <c r="AK766" s="263"/>
      <c r="AL766" s="263"/>
      <c r="AM766" s="264"/>
      <c r="AN766" s="263"/>
      <c r="AO766" s="263"/>
      <c r="AP766" s="265"/>
      <c r="AQ766" s="265"/>
      <c r="AR766" s="285"/>
      <c r="AS766" s="263"/>
      <c r="AT766" s="263"/>
      <c r="AU766" s="263"/>
      <c r="AV766" s="264"/>
      <c r="AW766" s="263">
        <v>331</v>
      </c>
      <c r="AX766" s="263"/>
      <c r="AY766" s="263"/>
      <c r="AZ766" s="263"/>
      <c r="BA766" s="263"/>
      <c r="BB766" s="263"/>
      <c r="BC766" s="263"/>
      <c r="BD766" s="264"/>
      <c r="BE766" s="263"/>
      <c r="BF766" s="263"/>
      <c r="BG766" s="263"/>
      <c r="BH766" s="263"/>
      <c r="BI766" s="263"/>
      <c r="BJ766" s="404">
        <f>altaz(J2000_Bas,$O766,$M766,DecLat,DecLong,2)</f>
        <v>166.45270628140241</v>
      </c>
      <c r="BK766" s="378" t="s">
        <v>870</v>
      </c>
      <c r="BL766" s="379">
        <f>IF((2*G766)/60&lt;0.2,0.2,(2*G766)/60)</f>
        <v>2</v>
      </c>
      <c r="BM766" s="380">
        <f>MOD((50000+AD766-$B$3+(0/24)),1)</f>
        <v>1.8035327877441887E-2</v>
      </c>
      <c r="BN766" s="381"/>
      <c r="BO766" s="382">
        <v>766</v>
      </c>
    </row>
    <row r="767" spans="1:67" s="24" customFormat="1" ht="15" customHeight="1" x14ac:dyDescent="0.25">
      <c r="A767" s="287" t="s">
        <v>871</v>
      </c>
      <c r="B767" s="241" t="str">
        <f>HYPERLINK(CONCATENATE($AT$3,BK767,$AU$3),$AV$3)</f>
        <v>S</v>
      </c>
      <c r="C767" s="242" t="str">
        <f>HYPERLINK(CONCATENATE($AT$4,BK767,$AU$4,BL767),$AV$4)</f>
        <v>A</v>
      </c>
      <c r="D767" s="243" t="s">
        <v>5187</v>
      </c>
      <c r="E767" s="244" t="s">
        <v>5179</v>
      </c>
      <c r="F767" s="269">
        <v>1</v>
      </c>
      <c r="G767" s="276">
        <v>20</v>
      </c>
      <c r="H767" s="271" t="s">
        <v>6500</v>
      </c>
      <c r="I767" s="244" t="s">
        <v>6500</v>
      </c>
      <c r="J767" s="246">
        <v>0</v>
      </c>
      <c r="K767" s="247" t="s">
        <v>8404</v>
      </c>
      <c r="L767" s="248">
        <v>192801</v>
      </c>
      <c r="M767" s="249">
        <f>15*(LEFT(TEXT($L767,"000000"),2)+(MID(TEXT($L767,"000000"),3,2)/60)+(RIGHT(TEXT($L767,"000000"),2)/3600))</f>
        <v>292.00416666666666</v>
      </c>
      <c r="N767" s="286">
        <v>84500</v>
      </c>
      <c r="O767" s="251">
        <f>IF($N767&gt;0,(LEFT(TEXT($N767,"000000"),2)+(MID(TEXT($N767,"000000"),3,2)/60)+(RIGHT(TEXT($N767,"000000"),2)/3600)),-(MID(TEXT($N767,"000000"),2,2)+(MID(TEXT($N767,"000000"),4,2)/60)+(RIGHT(TEXT($N767,"000000"),2)/3600)))</f>
        <v>8.75</v>
      </c>
      <c r="P767" s="252" t="s">
        <v>126</v>
      </c>
      <c r="Q767" s="253"/>
      <c r="R767" s="277" t="s">
        <v>3293</v>
      </c>
      <c r="S767" s="272" t="s">
        <v>3293</v>
      </c>
      <c r="T767" s="273"/>
      <c r="U767" s="274"/>
      <c r="V767" s="256"/>
      <c r="W767" s="244"/>
      <c r="X767" s="244"/>
      <c r="Y767" s="362"/>
      <c r="Z767" s="257">
        <f>altaz(J2000_Bas,$O767,$M767,DecLat,DecLong,1)</f>
        <v>67.057589431306425</v>
      </c>
      <c r="AA767" s="257">
        <f>altaz((J2000_Bas+(2*0.04167)),$O767,$M767,DecLat,DecLong,1)</f>
        <v>58.407659021627353</v>
      </c>
      <c r="AB767" s="257">
        <f>altaz((J2000_Bas+(4*0.04167)),$O767,$M767,DecLat,DecLong,1)</f>
        <v>35.051284556532828</v>
      </c>
      <c r="AC767" s="257">
        <f>altaz((J2000_Bas+(6*0.04167)),$O767,$M767,DecLat,DecLong,1)</f>
        <v>9.3925106248733918</v>
      </c>
      <c r="AD767" s="258">
        <f>1+ transit((J2000_Bas-1),$O767,$M767,DecLat,DecLong)/360 + (GMTOffset/24) + (IF(DST="Y", 1, 0)/24)</f>
        <v>1.8040225647026247</v>
      </c>
      <c r="AE767" s="259">
        <f>DATE(2001,9,21)+(M767/360)*365 - (360*((DecLong/360)- (GMTOffset/24) ))</f>
        <v>37456.05978009259</v>
      </c>
      <c r="AF767" s="260">
        <f>IF(DecLat&gt;0,IF((90 - (DecLat-O767))&gt;90, (90 - (O767-DecLat)), (90 - (DecLat-O767))),IF((90 + (DecLat-O767))&gt;90, (90 + (O767-DecLat)), (90 + (DecLat-O767))))</f>
        <v>67.75</v>
      </c>
      <c r="AG767" s="257">
        <f>angularseperation(MoonRA,MoonDec,$M767,$O767)</f>
        <v>54.774373428565561</v>
      </c>
      <c r="AH767" s="261">
        <f ca="1">MIN(100,IF($O$5&gt;80,0+30*($AG767/100),IF($O$5&gt;70,0+50*($AG767/100),IF($O$5&gt;60,5+50*($AG767/100),IF($O$5&gt;50,10+60*($AG767/100),IF($O$5&gt;40,15+70*($AG767/100),IF($O$5&gt;30,20+70*($AG767/100),IF($O$5&gt;20,40+55*($AG767/100),(80+(20-$O$5)+30*($AG767/100))))))))))</f>
        <v>99.703372372720096</v>
      </c>
      <c r="AI767" s="263"/>
      <c r="AJ767" s="263"/>
      <c r="AK767" s="263"/>
      <c r="AL767" s="263"/>
      <c r="AM767" s="264"/>
      <c r="AN767" s="263"/>
      <c r="AO767" s="263"/>
      <c r="AP767" s="265"/>
      <c r="AQ767" s="265"/>
      <c r="AR767" s="285"/>
      <c r="AS767" s="263"/>
      <c r="AT767" s="263"/>
      <c r="AU767" s="263"/>
      <c r="AV767" s="264"/>
      <c r="AW767" s="263">
        <v>332</v>
      </c>
      <c r="AX767" s="263"/>
      <c r="AY767" s="263"/>
      <c r="AZ767" s="263"/>
      <c r="BA767" s="263"/>
      <c r="BB767" s="263"/>
      <c r="BC767" s="263"/>
      <c r="BD767" s="264"/>
      <c r="BE767" s="263"/>
      <c r="BF767" s="263"/>
      <c r="BG767" s="263"/>
      <c r="BH767" s="263"/>
      <c r="BI767" s="263"/>
      <c r="BJ767" s="404">
        <f>altaz(J2000_Bas,$O767,$M767,DecLat,DecLong,2)</f>
        <v>164.62697840987417</v>
      </c>
      <c r="BK767" s="378" t="s">
        <v>871</v>
      </c>
      <c r="BL767" s="379">
        <f>IF((2*G767)/60&lt;0.2,0.2,(2*G767)/60)</f>
        <v>0.66666666666666663</v>
      </c>
      <c r="BM767" s="380">
        <f>MOD((50000+AD767-$B$3+(0/24)),1)</f>
        <v>1.9389494409551844E-2</v>
      </c>
      <c r="BN767" s="381"/>
      <c r="BO767" s="382">
        <v>767</v>
      </c>
    </row>
    <row r="768" spans="1:67" s="24" customFormat="1" ht="15" customHeight="1" x14ac:dyDescent="0.25">
      <c r="A768" s="287" t="s">
        <v>872</v>
      </c>
      <c r="B768" s="241" t="str">
        <f>HYPERLINK(CONCATENATE($AT$3,BK768,$AU$3),$AV$3)</f>
        <v>S</v>
      </c>
      <c r="C768" s="242" t="str">
        <f>HYPERLINK(CONCATENATE($AT$4,BK768,$AU$4,BL768),$AV$4)</f>
        <v>A</v>
      </c>
      <c r="D768" s="243" t="s">
        <v>5187</v>
      </c>
      <c r="E768" s="244" t="s">
        <v>5179</v>
      </c>
      <c r="F768" s="269">
        <v>3</v>
      </c>
      <c r="G768" s="276">
        <v>60</v>
      </c>
      <c r="H768" s="271" t="s">
        <v>6500</v>
      </c>
      <c r="I768" s="244" t="s">
        <v>6500</v>
      </c>
      <c r="J768" s="246">
        <v>0</v>
      </c>
      <c r="K768" s="247" t="s">
        <v>8405</v>
      </c>
      <c r="L768" s="248">
        <v>192856</v>
      </c>
      <c r="M768" s="249">
        <f>15*(LEFT(TEXT($L768,"000000"),2)+(MID(TEXT($L768,"000000"),3,2)/60)+(RIGHT(TEXT($L768,"000000"),2)/3600))</f>
        <v>292.23333333333329</v>
      </c>
      <c r="N768" s="286">
        <v>104000</v>
      </c>
      <c r="O768" s="251">
        <f>IF($N768&gt;0,(LEFT(TEXT($N768,"000000"),2)+(MID(TEXT($N768,"000000"),3,2)/60)+(RIGHT(TEXT($N768,"000000"),2)/3600)),-(MID(TEXT($N768,"000000"),2,2)+(MID(TEXT($N768,"000000"),4,2)/60)+(RIGHT(TEXT($N768,"000000"),2)/3600)))</f>
        <v>10.666666666666666</v>
      </c>
      <c r="P768" s="252" t="s">
        <v>126</v>
      </c>
      <c r="Q768" s="253"/>
      <c r="R768" s="277" t="s">
        <v>3293</v>
      </c>
      <c r="S768" s="272" t="s">
        <v>3293</v>
      </c>
      <c r="T768" s="273"/>
      <c r="U768" s="274"/>
      <c r="V768" s="256"/>
      <c r="W768" s="244"/>
      <c r="X768" s="244"/>
      <c r="Y768" s="362"/>
      <c r="Z768" s="257">
        <f>altaz(J2000_Bas,$O768,$M768,DecLat,DecLong,1)</f>
        <v>68.861447079851871</v>
      </c>
      <c r="AA768" s="257">
        <f>altaz((J2000_Bas+(2*0.04167)),$O768,$M768,DecLat,DecLong,1)</f>
        <v>59.966504360115259</v>
      </c>
      <c r="AB768" s="257">
        <f>altaz((J2000_Bas+(4*0.04167)),$O768,$M768,DecLat,DecLong,1)</f>
        <v>36.241356246928973</v>
      </c>
      <c r="AC768" s="257">
        <f>altaz((J2000_Bas+(6*0.04167)),$O768,$M768,DecLat,DecLong,1)</f>
        <v>10.547225813109456</v>
      </c>
      <c r="AD768" s="258">
        <f>1+ transit((J2000_Bas-1),$O768,$M768,DecLat,DecLong)/360 + (GMTOffset/24) + (IF(DST="Y", 1, 0)/24)</f>
        <v>1.8046591387130413</v>
      </c>
      <c r="AE768" s="259">
        <f>DATE(2001,9,21)+(M768/360)*365 - (360*((DecLong/360)- (GMTOffset/24) ))</f>
        <v>37456.292129629626</v>
      </c>
      <c r="AF768" s="260">
        <f>IF(DecLat&gt;0,IF((90 - (DecLat-O768))&gt;90, (90 - (O768-DecLat)), (90 - (DecLat-O768))),IF((90 + (DecLat-O768))&gt;90, (90 + (O768-DecLat)), (90 + (DecLat-O768))))</f>
        <v>69.666666666666657</v>
      </c>
      <c r="AG768" s="257">
        <f>angularseperation(MoonRA,MoonDec,$M768,$O768)</f>
        <v>56.239855606317278</v>
      </c>
      <c r="AH768" s="261">
        <f ca="1">MIN(100,IF($O$5&gt;80,0+30*($AG768/100),IF($O$5&gt;70,0+50*($AG768/100),IF($O$5&gt;60,5+50*($AG768/100),IF($O$5&gt;50,10+60*($AG768/100),IF($O$5&gt;40,15+70*($AG768/100),IF($O$5&gt;30,20+70*($AG768/100),IF($O$5&gt;20,40+55*($AG768/100),(80+(20-$O$5)+30*($AG768/100))))))))))</f>
        <v>100</v>
      </c>
      <c r="AI768" s="263"/>
      <c r="AJ768" s="263"/>
      <c r="AK768" s="263"/>
      <c r="AL768" s="263"/>
      <c r="AM768" s="264"/>
      <c r="AN768" s="263"/>
      <c r="AO768" s="263"/>
      <c r="AP768" s="265"/>
      <c r="AQ768" s="265"/>
      <c r="AR768" s="285"/>
      <c r="AS768" s="263"/>
      <c r="AT768" s="263"/>
      <c r="AU768" s="263"/>
      <c r="AV768" s="264"/>
      <c r="AW768" s="263">
        <v>333</v>
      </c>
      <c r="AX768" s="263"/>
      <c r="AY768" s="263"/>
      <c r="AZ768" s="263"/>
      <c r="BA768" s="263"/>
      <c r="BB768" s="263"/>
      <c r="BC768" s="263"/>
      <c r="BD768" s="264"/>
      <c r="BE768" s="263"/>
      <c r="BF768" s="263"/>
      <c r="BG768" s="263"/>
      <c r="BH768" s="263"/>
      <c r="BI768" s="263"/>
      <c r="BJ768" s="404">
        <f>altaz(J2000_Bas,$O768,$M768,DecLat,DecLong,2)</f>
        <v>162.79713872539855</v>
      </c>
      <c r="BK768" s="378" t="s">
        <v>872</v>
      </c>
      <c r="BL768" s="379">
        <f>IF((2*G768)/60&lt;0.2,0.2,(2*G768)/60)</f>
        <v>2</v>
      </c>
      <c r="BM768" s="380">
        <f>MOD((50000+AD768-$B$3+(0/24)),1)</f>
        <v>2.0026068414153997E-2</v>
      </c>
      <c r="BN768" s="381"/>
      <c r="BO768" s="382">
        <v>768</v>
      </c>
    </row>
    <row r="769" spans="1:67" s="24" customFormat="1" ht="15" customHeight="1" x14ac:dyDescent="0.25">
      <c r="A769" s="287" t="s">
        <v>873</v>
      </c>
      <c r="B769" s="241" t="str">
        <f>HYPERLINK(CONCATENATE($AT$3,BK769,$AU$3),$AV$3)</f>
        <v>S</v>
      </c>
      <c r="C769" s="242" t="str">
        <f>HYPERLINK(CONCATENATE($AT$4,BK769,$AU$4,BL769),$AV$4)</f>
        <v>A</v>
      </c>
      <c r="D769" s="243" t="s">
        <v>5187</v>
      </c>
      <c r="E769" s="244" t="s">
        <v>5179</v>
      </c>
      <c r="F769" s="269">
        <v>4</v>
      </c>
      <c r="G769" s="273">
        <v>3</v>
      </c>
      <c r="H769" s="271" t="s">
        <v>6500</v>
      </c>
      <c r="I769" s="244" t="s">
        <v>6500</v>
      </c>
      <c r="J769" s="246">
        <v>1</v>
      </c>
      <c r="K769" s="247" t="s">
        <v>6014</v>
      </c>
      <c r="L769" s="248">
        <v>193506</v>
      </c>
      <c r="M769" s="249">
        <f>15*(LEFT(TEXT($L769,"000000"),2)+(MID(TEXT($L769,"000000"),3,2)/60)+(RIGHT(TEXT($L769,"000000"),2)/3600))</f>
        <v>293.77499999999998</v>
      </c>
      <c r="N769" s="286">
        <v>121900</v>
      </c>
      <c r="O769" s="251">
        <f>IF($N769&gt;0,(LEFT(TEXT($N769,"000000"),2)+(MID(TEXT($N769,"000000"),3,2)/60)+(RIGHT(TEXT($N769,"000000"),2)/3600)),-(MID(TEXT($N769,"000000"),2,2)+(MID(TEXT($N769,"000000"),4,2)/60)+(RIGHT(TEXT($N769,"000000"),2)/3600)))</f>
        <v>12.316666666666666</v>
      </c>
      <c r="P769" s="252" t="s">
        <v>126</v>
      </c>
      <c r="Q769" s="253"/>
      <c r="R769" s="277" t="s">
        <v>3293</v>
      </c>
      <c r="S769" s="272" t="s">
        <v>3293</v>
      </c>
      <c r="T769" s="273"/>
      <c r="U769" s="274"/>
      <c r="V769" s="256"/>
      <c r="W769" s="244"/>
      <c r="X769" s="244"/>
      <c r="Y769" s="362"/>
      <c r="Z769" s="257">
        <f>altaz(J2000_Bas,$O769,$M769,DecLat,DecLong,1)</f>
        <v>69.986179217361581</v>
      </c>
      <c r="AA769" s="257">
        <f>altaz((J2000_Bas+(2*0.04167)),$O769,$M769,DecLat,DecLong,1)</f>
        <v>62.202795608164799</v>
      </c>
      <c r="AB769" s="257">
        <f>altaz((J2000_Bas+(4*0.04167)),$O769,$M769,DecLat,DecLong,1)</f>
        <v>38.379120411946019</v>
      </c>
      <c r="AC769" s="257">
        <f>altaz((J2000_Bas+(6*0.04167)),$O769,$M769,DecLat,DecLong,1)</f>
        <v>12.676399290038713</v>
      </c>
      <c r="AD769" s="258">
        <f>1+ transit((J2000_Bas-1),$O769,$M769,DecLat,DecLong)/360 + (GMTOffset/24) + (IF(DST="Y", 1, 0)/24)</f>
        <v>1.808941545692208</v>
      </c>
      <c r="AE769" s="259">
        <f>DATE(2001,9,21)+(M769/360)*365 - (360*((DecLong/360)- (GMTOffset/24) ))</f>
        <v>37457.855208333334</v>
      </c>
      <c r="AF769" s="260">
        <f>IF(DecLat&gt;0,IF((90 - (DecLat-O769))&gt;90, (90 - (O769-DecLat)), (90 - (DecLat-O769))),IF((90 + (DecLat-O769))&gt;90, (90 + (O769-DecLat)), (90 + (DecLat-O769))))</f>
        <v>71.316666666666663</v>
      </c>
      <c r="AG769" s="257">
        <f>angularseperation(MoonRA,MoonDec,$M769,$O769)</f>
        <v>58.470010000478908</v>
      </c>
      <c r="AH769" s="261">
        <f ca="1">MIN(100,IF($O$5&gt;80,0+30*($AG769/100),IF($O$5&gt;70,0+50*($AG769/100),IF($O$5&gt;60,5+50*($AG769/100),IF($O$5&gt;50,10+60*($AG769/100),IF($O$5&gt;40,15+70*($AG769/100),IF($O$5&gt;30,20+70*($AG769/100),IF($O$5&gt;20,40+55*($AG769/100),(80+(20-$O$5)+30*($AG769/100))))))))))</f>
        <v>100</v>
      </c>
      <c r="AI769" s="263"/>
      <c r="AJ769" s="263"/>
      <c r="AK769" s="263"/>
      <c r="AL769" s="263"/>
      <c r="AM769" s="264"/>
      <c r="AN769" s="263"/>
      <c r="AO769" s="263"/>
      <c r="AP769" s="265"/>
      <c r="AQ769" s="265"/>
      <c r="AR769" s="285"/>
      <c r="AS769" s="263"/>
      <c r="AT769" s="263"/>
      <c r="AU769" s="263"/>
      <c r="AV769" s="264"/>
      <c r="AW769" s="263">
        <v>334</v>
      </c>
      <c r="AX769" s="263"/>
      <c r="AY769" s="263"/>
      <c r="AZ769" s="263"/>
      <c r="BA769" s="263"/>
      <c r="BB769" s="263"/>
      <c r="BC769" s="263"/>
      <c r="BD769" s="264"/>
      <c r="BE769" s="263"/>
      <c r="BF769" s="263"/>
      <c r="BG769" s="263"/>
      <c r="BH769" s="263"/>
      <c r="BI769" s="263"/>
      <c r="BJ769" s="404">
        <f>altaz(J2000_Bas,$O769,$M769,DecLat,DecLong,2)</f>
        <v>157.29092018066333</v>
      </c>
      <c r="BK769" s="378" t="s">
        <v>873</v>
      </c>
      <c r="BL769" s="379">
        <f>IF((2*G769)/60&lt;0.2,0.2,(2*G769)/60)</f>
        <v>0.2</v>
      </c>
      <c r="BM769" s="380">
        <f>MOD((50000+AD769-$B$3+(0/24)),1)</f>
        <v>2.4308475396537688E-2</v>
      </c>
      <c r="BN769" s="381"/>
      <c r="BO769" s="382">
        <v>769</v>
      </c>
    </row>
    <row r="770" spans="1:67" s="24" customFormat="1" ht="15" customHeight="1" x14ac:dyDescent="0.25">
      <c r="A770" s="287" t="s">
        <v>874</v>
      </c>
      <c r="B770" s="241" t="str">
        <f>HYPERLINK(CONCATENATE($AT$3,BK770,$AU$3),$AV$3)</f>
        <v>S</v>
      </c>
      <c r="C770" s="242" t="str">
        <f>HYPERLINK(CONCATENATE($AT$4,BK770,$AU$4,BL770),$AV$4)</f>
        <v>A</v>
      </c>
      <c r="D770" s="243" t="s">
        <v>5187</v>
      </c>
      <c r="E770" s="244" t="s">
        <v>5179</v>
      </c>
      <c r="F770" s="269">
        <v>6</v>
      </c>
      <c r="G770" s="273">
        <v>6</v>
      </c>
      <c r="H770" s="271" t="s">
        <v>6500</v>
      </c>
      <c r="I770" s="244" t="s">
        <v>6500</v>
      </c>
      <c r="J770" s="246">
        <v>1</v>
      </c>
      <c r="K770" s="247" t="s">
        <v>6015</v>
      </c>
      <c r="L770" s="248">
        <v>193654</v>
      </c>
      <c r="M770" s="249">
        <f>15*(LEFT(TEXT($L770,"000000"),2)+(MID(TEXT($L770,"000000"),3,2)/60)+(RIGHT(TEXT($L770,"000000"),2)/3600))</f>
        <v>294.22500000000002</v>
      </c>
      <c r="N770" s="286">
        <v>73600</v>
      </c>
      <c r="O770" s="251">
        <f>IF($N770&gt;0,(LEFT(TEXT($N770,"000000"),2)+(MID(TEXT($N770,"000000"),3,2)/60)+(RIGHT(TEXT($N770,"000000"),2)/3600)),-(MID(TEXT($N770,"000000"),2,2)+(MID(TEXT($N770,"000000"),4,2)/60)+(RIGHT(TEXT($N770,"000000"),2)/3600)))</f>
        <v>7.6</v>
      </c>
      <c r="P770" s="252" t="s">
        <v>126</v>
      </c>
      <c r="Q770" s="253"/>
      <c r="R770" s="277" t="s">
        <v>3293</v>
      </c>
      <c r="S770" s="272" t="s">
        <v>3293</v>
      </c>
      <c r="T770" s="273"/>
      <c r="U770" s="274"/>
      <c r="V770" s="256"/>
      <c r="W770" s="244"/>
      <c r="X770" s="244"/>
      <c r="Y770" s="362"/>
      <c r="Z770" s="257">
        <f>altaz(J2000_Bas,$O770,$M770,DecLat,DecLong,1)</f>
        <v>65.370374397785923</v>
      </c>
      <c r="AA770" s="257">
        <f>altaz((J2000_Bas+(2*0.04167)),$O770,$M770,DecLat,DecLong,1)</f>
        <v>58.942573785167475</v>
      </c>
      <c r="AB770" s="257">
        <f>altaz((J2000_Bas+(4*0.04167)),$O770,$M770,DecLat,DecLong,1)</f>
        <v>36.286880082367404</v>
      </c>
      <c r="AC770" s="257">
        <f>altaz((J2000_Bas+(6*0.04167)),$O770,$M770,DecLat,DecLong,1)</f>
        <v>10.71388473800428</v>
      </c>
      <c r="AD770" s="258">
        <f>1+ transit((J2000_Bas-1),$O770,$M770,DecLat,DecLong)/360 + (GMTOffset/24) + (IF(DST="Y", 1, 0)/24)</f>
        <v>1.8101915455672082</v>
      </c>
      <c r="AE770" s="259">
        <f>DATE(2001,9,21)+(M770/360)*365 - (360*((DecLong/360)- (GMTOffset/24) ))</f>
        <v>37458.31145833333</v>
      </c>
      <c r="AF770" s="260">
        <f>IF(DecLat&gt;0,IF((90 - (DecLat-O770))&gt;90, (90 - (O770-DecLat)), (90 - (DecLat-O770))),IF((90 + (DecLat-O770))&gt;90, (90 + (O770-DecLat)), (90 + (DecLat-O770))))</f>
        <v>66.599999999999994</v>
      </c>
      <c r="AG770" s="257">
        <f>angularseperation(MoonRA,MoonDec,$M770,$O770)</f>
        <v>55.666936845914918</v>
      </c>
      <c r="AH770" s="261">
        <f ca="1">MIN(100,IF($O$5&gt;80,0+30*($AG770/100),IF($O$5&gt;70,0+50*($AG770/100),IF($O$5&gt;60,5+50*($AG770/100),IF($O$5&gt;50,10+60*($AG770/100),IF($O$5&gt;40,15+70*($AG770/100),IF($O$5&gt;30,20+70*($AG770/100),IF($O$5&gt;20,40+55*($AG770/100),(80+(20-$O$5)+30*($AG770/100))))))))))</f>
        <v>99.971141397924896</v>
      </c>
      <c r="AI770" s="263"/>
      <c r="AJ770" s="263"/>
      <c r="AK770" s="263"/>
      <c r="AL770" s="263"/>
      <c r="AM770" s="264"/>
      <c r="AN770" s="263"/>
      <c r="AO770" s="263"/>
      <c r="AP770" s="265"/>
      <c r="AQ770" s="265"/>
      <c r="AR770" s="285"/>
      <c r="AS770" s="263"/>
      <c r="AT770" s="263"/>
      <c r="AU770" s="263"/>
      <c r="AV770" s="264"/>
      <c r="AW770" s="263">
        <v>335</v>
      </c>
      <c r="AX770" s="263"/>
      <c r="AY770" s="263"/>
      <c r="AZ770" s="263"/>
      <c r="BA770" s="263"/>
      <c r="BB770" s="263"/>
      <c r="BC770" s="263"/>
      <c r="BD770" s="264"/>
      <c r="BE770" s="263"/>
      <c r="BF770" s="263"/>
      <c r="BG770" s="263"/>
      <c r="BH770" s="263"/>
      <c r="BI770" s="263"/>
      <c r="BJ770" s="404">
        <f>altaz(J2000_Bas,$O770,$M770,DecLat,DecLong,2)</f>
        <v>160.11379794279557</v>
      </c>
      <c r="BK770" s="378" t="s">
        <v>874</v>
      </c>
      <c r="BL770" s="379">
        <f>IF((2*G770)/60&lt;0.2,0.2,(2*G770)/60)</f>
        <v>0.2</v>
      </c>
      <c r="BM770" s="380">
        <f>MOD((50000+AD770-$B$3+(0/24)),1)</f>
        <v>2.5558475274010561E-2</v>
      </c>
      <c r="BN770" s="381"/>
      <c r="BO770" s="382">
        <v>770</v>
      </c>
    </row>
    <row r="771" spans="1:67" s="24" customFormat="1" ht="15" customHeight="1" x14ac:dyDescent="0.25">
      <c r="A771" s="287" t="s">
        <v>875</v>
      </c>
      <c r="B771" s="241" t="str">
        <f>HYPERLINK(CONCATENATE($AT$3,BK771,$AU$3),$AV$3)</f>
        <v>S</v>
      </c>
      <c r="C771" s="242" t="str">
        <f>HYPERLINK(CONCATENATE($AT$4,BK771,$AU$4,BL771),$AV$4)</f>
        <v>A</v>
      </c>
      <c r="D771" s="243" t="s">
        <v>5187</v>
      </c>
      <c r="E771" s="244" t="s">
        <v>5179</v>
      </c>
      <c r="F771" s="269">
        <v>5</v>
      </c>
      <c r="G771" s="273">
        <v>2</v>
      </c>
      <c r="H771" s="271" t="s">
        <v>6500</v>
      </c>
      <c r="I771" s="244" t="s">
        <v>6500</v>
      </c>
      <c r="J771" s="246">
        <v>0</v>
      </c>
      <c r="K771" s="247" t="s">
        <v>5924</v>
      </c>
      <c r="L771" s="248">
        <v>193641</v>
      </c>
      <c r="M771" s="249">
        <f>15*(LEFT(TEXT($L771,"000000"),2)+(MID(TEXT($L771,"000000"),3,2)/60)+(RIGHT(TEXT($L771,"000000"),2)/3600))</f>
        <v>294.17083333333335</v>
      </c>
      <c r="N771" s="286">
        <v>122000</v>
      </c>
      <c r="O771" s="251">
        <f>IF($N771&gt;0,(LEFT(TEXT($N771,"000000"),2)+(MID(TEXT($N771,"000000"),3,2)/60)+(RIGHT(TEXT($N771,"000000"),2)/3600)),-(MID(TEXT($N771,"000000"),2,2)+(MID(TEXT($N771,"000000"),4,2)/60)+(RIGHT(TEXT($N771,"000000"),2)/3600)))</f>
        <v>12.333333333333334</v>
      </c>
      <c r="P771" s="252" t="s">
        <v>126</v>
      </c>
      <c r="Q771" s="253"/>
      <c r="R771" s="277" t="s">
        <v>3293</v>
      </c>
      <c r="S771" s="272" t="s">
        <v>3293</v>
      </c>
      <c r="T771" s="273"/>
      <c r="U771" s="274"/>
      <c r="V771" s="256"/>
      <c r="W771" s="244"/>
      <c r="X771" s="244"/>
      <c r="Y771" s="362"/>
      <c r="Z771" s="257">
        <f>altaz(J2000_Bas,$O771,$M771,DecLat,DecLong,1)</f>
        <v>69.867898089543999</v>
      </c>
      <c r="AA771" s="257">
        <f>altaz((J2000_Bas+(2*0.04167)),$O771,$M771,DecLat,DecLong,1)</f>
        <v>62.483609120165404</v>
      </c>
      <c r="AB771" s="257">
        <f>altaz((J2000_Bas+(4*0.04167)),$O771,$M771,DecLat,DecLong,1)</f>
        <v>38.722356042267933</v>
      </c>
      <c r="AC771" s="257">
        <f>altaz((J2000_Bas+(6*0.04167)),$O771,$M771,DecLat,DecLong,1)</f>
        <v>13.021490701292635</v>
      </c>
      <c r="AD771" s="258">
        <f>1+ transit((J2000_Bas-1),$O771,$M771,DecLat,DecLong)/360 + (GMTOffset/24) + (IF(DST="Y", 1, 0)/24)</f>
        <v>1.8100410826192916</v>
      </c>
      <c r="AE771" s="259">
        <f>DATE(2001,9,21)+(M771/360)*365 - (360*((DecLong/360)- (GMTOffset/24) ))</f>
        <v>37458.256539351853</v>
      </c>
      <c r="AF771" s="260">
        <f>IF(DecLat&gt;0,IF((90 - (DecLat-O771))&gt;90, (90 - (O771-DecLat)), (90 - (DecLat-O771))),IF((90 + (DecLat-O771))&gt;90, (90 + (O771-DecLat)), (90 + (DecLat-O771))))</f>
        <v>71.333333333333343</v>
      </c>
      <c r="AG771" s="257">
        <f>angularseperation(MoonRA,MoonDec,$M771,$O771)</f>
        <v>58.76516505338045</v>
      </c>
      <c r="AH771" s="261">
        <f ca="1">MIN(100,IF($O$5&gt;80,0+30*($AG771/100),IF($O$5&gt;70,0+50*($AG771/100),IF($O$5&gt;60,5+50*($AG771/100),IF($O$5&gt;50,10+60*($AG771/100),IF($O$5&gt;40,15+70*($AG771/100),IF($O$5&gt;30,20+70*($AG771/100),IF($O$5&gt;20,40+55*($AG771/100),(80+(20-$O$5)+30*($AG771/100))))))))))</f>
        <v>100</v>
      </c>
      <c r="AI771" s="263"/>
      <c r="AJ771" s="263"/>
      <c r="AK771" s="263"/>
      <c r="AL771" s="263"/>
      <c r="AM771" s="264"/>
      <c r="AN771" s="263"/>
      <c r="AO771" s="263"/>
      <c r="AP771" s="265"/>
      <c r="AQ771" s="265"/>
      <c r="AR771" s="285"/>
      <c r="AS771" s="263"/>
      <c r="AT771" s="263"/>
      <c r="AU771" s="263"/>
      <c r="AV771" s="264"/>
      <c r="AW771" s="263">
        <v>336</v>
      </c>
      <c r="AX771" s="263"/>
      <c r="AY771" s="263"/>
      <c r="AZ771" s="263"/>
      <c r="BA771" s="263"/>
      <c r="BB771" s="263"/>
      <c r="BC771" s="263"/>
      <c r="BD771" s="264"/>
      <c r="BE771" s="263"/>
      <c r="BF771" s="263"/>
      <c r="BG771" s="263"/>
      <c r="BH771" s="263"/>
      <c r="BI771" s="263"/>
      <c r="BJ771" s="404">
        <f>altaz(J2000_Bas,$O771,$M771,DecLat,DecLong,2)</f>
        <v>156.21707738355161</v>
      </c>
      <c r="BK771" s="378" t="s">
        <v>875</v>
      </c>
      <c r="BL771" s="379">
        <f>IF((2*G771)/60&lt;0.2,0.2,(2*G771)/60)</f>
        <v>0.2</v>
      </c>
      <c r="BM771" s="380">
        <f>MOD((50000+AD771-$B$3+(0/24)),1)</f>
        <v>2.5408012326806784E-2</v>
      </c>
      <c r="BN771" s="381"/>
      <c r="BO771" s="382">
        <v>771</v>
      </c>
    </row>
    <row r="772" spans="1:67" s="24" customFormat="1" ht="15" customHeight="1" x14ac:dyDescent="0.25">
      <c r="A772" s="287" t="s">
        <v>876</v>
      </c>
      <c r="B772" s="241" t="str">
        <f>HYPERLINK(CONCATENATE($AT$3,BK772,$AU$3),$AV$3)</f>
        <v>S</v>
      </c>
      <c r="C772" s="242" t="str">
        <f>HYPERLINK(CONCATENATE($AT$4,BK772,$AU$4,BL772),$AV$4)</f>
        <v>A</v>
      </c>
      <c r="D772" s="243" t="s">
        <v>5187</v>
      </c>
      <c r="E772" s="244" t="s">
        <v>5179</v>
      </c>
      <c r="F772" s="269">
        <v>4</v>
      </c>
      <c r="G772" s="273">
        <v>3</v>
      </c>
      <c r="H772" s="271" t="s">
        <v>6500</v>
      </c>
      <c r="I772" s="244" t="s">
        <v>6500</v>
      </c>
      <c r="J772" s="246">
        <v>1</v>
      </c>
      <c r="K772" s="247" t="s">
        <v>8460</v>
      </c>
      <c r="L772" s="248">
        <v>193701</v>
      </c>
      <c r="M772" s="249">
        <f>15*(LEFT(TEXT($L772,"000000"),2)+(MID(TEXT($L772,"000000"),3,2)/60)+(RIGHT(TEXT($L772,"000000"),2)/3600))</f>
        <v>294.25416666666666</v>
      </c>
      <c r="N772" s="286">
        <v>122300</v>
      </c>
      <c r="O772" s="251">
        <f>IF($N772&gt;0,(LEFT(TEXT($N772,"000000"),2)+(MID(TEXT($N772,"000000"),3,2)/60)+(RIGHT(TEXT($N772,"000000"),2)/3600)),-(MID(TEXT($N772,"000000"),2,2)+(MID(TEXT($N772,"000000"),4,2)/60)+(RIGHT(TEXT($N772,"000000"),2)/3600)))</f>
        <v>12.383333333333333</v>
      </c>
      <c r="P772" s="252" t="s">
        <v>126</v>
      </c>
      <c r="Q772" s="253"/>
      <c r="R772" s="277" t="s">
        <v>3293</v>
      </c>
      <c r="S772" s="272" t="s">
        <v>3293</v>
      </c>
      <c r="T772" s="273"/>
      <c r="U772" s="274"/>
      <c r="V772" s="256"/>
      <c r="W772" s="244"/>
      <c r="X772" s="244"/>
      <c r="Y772" s="362"/>
      <c r="Z772" s="257">
        <f>altaz(J2000_Bas,$O772,$M772,DecLat,DecLong,1)</f>
        <v>69.885665014489618</v>
      </c>
      <c r="AA772" s="257">
        <f>altaz((J2000_Bas+(2*0.04167)),$O772,$M772,DecLat,DecLong,1)</f>
        <v>62.57604535650438</v>
      </c>
      <c r="AB772" s="257">
        <f>altaz((J2000_Bas+(4*0.04167)),$O772,$M772,DecLat,DecLong,1)</f>
        <v>38.817853390916625</v>
      </c>
      <c r="AC772" s="257">
        <f>altaz((J2000_Bas+(6*0.04167)),$O772,$M772,DecLat,DecLong,1)</f>
        <v>13.116952694649797</v>
      </c>
      <c r="AD772" s="258">
        <f>1+ transit((J2000_Bas-1),$O772,$M772,DecLat,DecLong)/360 + (GMTOffset/24) + (IF(DST="Y", 1, 0)/24)</f>
        <v>1.8102725640776247</v>
      </c>
      <c r="AE772" s="259">
        <f>DATE(2001,9,21)+(M772/360)*365 - (360*((DecLong/360)- (GMTOffset/24) ))</f>
        <v>37458.34103009259</v>
      </c>
      <c r="AF772" s="260">
        <f>IF(DecLat&gt;0,IF((90 - (DecLat-O772))&gt;90, (90 - (O772-DecLat)), (90 - (DecLat-O772))),IF((90 + (DecLat-O772))&gt;90, (90 + (O772-DecLat)), (90 + (DecLat-O772))))</f>
        <v>71.383333333333326</v>
      </c>
      <c r="AG772" s="257">
        <f>angularseperation(MoonRA,MoonDec,$M772,$O772)</f>
        <v>58.858914019072287</v>
      </c>
      <c r="AH772" s="261">
        <f ca="1">MIN(100,IF($O$5&gt;80,0+30*($AG772/100),IF($O$5&gt;70,0+50*($AG772/100),IF($O$5&gt;60,5+50*($AG772/100),IF($O$5&gt;50,10+60*($AG772/100),IF($O$5&gt;40,15+70*($AG772/100),IF($O$5&gt;30,20+70*($AG772/100),IF($O$5&gt;20,40+55*($AG772/100),(80+(20-$O$5)+30*($AG772/100))))))))))</f>
        <v>100</v>
      </c>
      <c r="AI772" s="263"/>
      <c r="AJ772" s="263"/>
      <c r="AK772" s="263"/>
      <c r="AL772" s="263"/>
      <c r="AM772" s="264"/>
      <c r="AN772" s="263"/>
      <c r="AO772" s="263"/>
      <c r="AP772" s="265"/>
      <c r="AQ772" s="265"/>
      <c r="AR772" s="285"/>
      <c r="AS772" s="263"/>
      <c r="AT772" s="263"/>
      <c r="AU772" s="263"/>
      <c r="AV772" s="264"/>
      <c r="AW772" s="263">
        <v>337</v>
      </c>
      <c r="AX772" s="263"/>
      <c r="AY772" s="263"/>
      <c r="AZ772" s="263"/>
      <c r="BA772" s="263"/>
      <c r="BB772" s="263"/>
      <c r="BC772" s="263"/>
      <c r="BD772" s="264"/>
      <c r="BE772" s="263"/>
      <c r="BF772" s="263"/>
      <c r="BG772" s="263"/>
      <c r="BH772" s="263"/>
      <c r="BI772" s="263"/>
      <c r="BJ772" s="404">
        <f>altaz(J2000_Bas,$O772,$M772,DecLat,DecLong,2)</f>
        <v>155.94424504215496</v>
      </c>
      <c r="BK772" s="378" t="s">
        <v>876</v>
      </c>
      <c r="BL772" s="379">
        <f>IF((2*G772)/60&lt;0.2,0.2,(2*G772)/60)</f>
        <v>0.2</v>
      </c>
      <c r="BM772" s="380">
        <f>MOD((50000+AD772-$B$3+(0/24)),1)</f>
        <v>2.5639493782364298E-2</v>
      </c>
      <c r="BN772" s="381"/>
      <c r="BO772" s="382">
        <v>772</v>
      </c>
    </row>
    <row r="773" spans="1:67" s="24" customFormat="1" ht="15" customHeight="1" x14ac:dyDescent="0.25">
      <c r="A773" s="287" t="s">
        <v>877</v>
      </c>
      <c r="B773" s="241" t="str">
        <f>HYPERLINK(CONCATENATE($AT$3,BK773,$AU$3),$AV$3)</f>
        <v>S</v>
      </c>
      <c r="C773" s="242" t="str">
        <f>HYPERLINK(CONCATENATE($AT$4,BK773,$AU$4,BL773),$AV$4)</f>
        <v>A</v>
      </c>
      <c r="D773" s="243" t="s">
        <v>5187</v>
      </c>
      <c r="E773" s="244" t="s">
        <v>5179</v>
      </c>
      <c r="F773" s="269">
        <v>3</v>
      </c>
      <c r="G773" s="273">
        <v>8</v>
      </c>
      <c r="H773" s="271" t="s">
        <v>6500</v>
      </c>
      <c r="I773" s="244" t="s">
        <v>6500</v>
      </c>
      <c r="J773" s="246">
        <v>1</v>
      </c>
      <c r="K773" s="247" t="s">
        <v>5925</v>
      </c>
      <c r="L773" s="248">
        <v>194303</v>
      </c>
      <c r="M773" s="249">
        <f>15*(LEFT(TEXT($L773,"000000"),2)+(MID(TEXT($L773,"000000"),3,2)/60)+(RIGHT(TEXT($L773,"000000"),2)/3600))</f>
        <v>295.76249999999999</v>
      </c>
      <c r="N773" s="286">
        <v>72700</v>
      </c>
      <c r="O773" s="251">
        <f>IF($N773&gt;0,(LEFT(TEXT($N773,"000000"),2)+(MID(TEXT($N773,"000000"),3,2)/60)+(RIGHT(TEXT($N773,"000000"),2)/3600)),-(MID(TEXT($N773,"000000"),2,2)+(MID(TEXT($N773,"000000"),4,2)/60)+(RIGHT(TEXT($N773,"000000"),2)/3600)))</f>
        <v>7.45</v>
      </c>
      <c r="P773" s="252" t="s">
        <v>126</v>
      </c>
      <c r="Q773" s="253"/>
      <c r="R773" s="277" t="s">
        <v>3293</v>
      </c>
      <c r="S773" s="272" t="s">
        <v>3293</v>
      </c>
      <c r="T773" s="273"/>
      <c r="U773" s="274"/>
      <c r="V773" s="256"/>
      <c r="W773" s="244"/>
      <c r="X773" s="244"/>
      <c r="Y773" s="362"/>
      <c r="Z773" s="257">
        <f>altaz(J2000_Bas,$O773,$M773,DecLat,DecLong,1)</f>
        <v>64.744014286835935</v>
      </c>
      <c r="AA773" s="257">
        <f>altaz((J2000_Bas+(2*0.04167)),$O773,$M773,DecLat,DecLong,1)</f>
        <v>59.745343818884777</v>
      </c>
      <c r="AB773" s="257">
        <f>altaz((J2000_Bas+(4*0.04167)),$O773,$M773,DecLat,DecLong,1)</f>
        <v>37.47691104109888</v>
      </c>
      <c r="AC773" s="257">
        <f>altaz((J2000_Bas+(6*0.04167)),$O773,$M773,DecLat,DecLong,1)</f>
        <v>11.955433094710687</v>
      </c>
      <c r="AD773" s="258">
        <f>1+ transit((J2000_Bas-1),$O773,$M773,DecLat,DecLong)/360 + (GMTOffset/24) + (IF(DST="Y", 1, 0)/24)</f>
        <v>1.8144623784734579</v>
      </c>
      <c r="AE773" s="259">
        <f>DATE(2001,9,21)+(M773/360)*365 - (360*((DecLong/360)- (GMTOffset/24) ))</f>
        <v>37459.870312500003</v>
      </c>
      <c r="AF773" s="260">
        <f>IF(DecLat&gt;0,IF((90 - (DecLat-O773))&gt;90, (90 - (O773-DecLat)), (90 - (DecLat-O773))),IF((90 + (DecLat-O773))&gt;90, (90 + (O773-DecLat)), (90 + (DecLat-O773))))</f>
        <v>66.45</v>
      </c>
      <c r="AG773" s="257">
        <f>angularseperation(MoonRA,MoonDec,$M773,$O773)</f>
        <v>56.740559713506158</v>
      </c>
      <c r="AH773" s="261">
        <f ca="1">MIN(100,IF($O$5&gt;80,0+30*($AG773/100),IF($O$5&gt;70,0+50*($AG773/100),IF($O$5&gt;60,5+50*($AG773/100),IF($O$5&gt;50,10+60*($AG773/100),IF($O$5&gt;40,15+70*($AG773/100),IF($O$5&gt;30,20+70*($AG773/100),IF($O$5&gt;20,40+55*($AG773/100),(80+(20-$O$5)+30*($AG773/100))))))))))</f>
        <v>100</v>
      </c>
      <c r="AI773" s="263"/>
      <c r="AJ773" s="263"/>
      <c r="AK773" s="263"/>
      <c r="AL773" s="263"/>
      <c r="AM773" s="264"/>
      <c r="AN773" s="263"/>
      <c r="AO773" s="263"/>
      <c r="AP773" s="265"/>
      <c r="AQ773" s="265"/>
      <c r="AR773" s="285"/>
      <c r="AS773" s="263"/>
      <c r="AT773" s="263"/>
      <c r="AU773" s="263"/>
      <c r="AV773" s="264"/>
      <c r="AW773" s="263">
        <v>338</v>
      </c>
      <c r="AX773" s="263"/>
      <c r="AY773" s="263"/>
      <c r="AZ773" s="263"/>
      <c r="BA773" s="263"/>
      <c r="BB773" s="263"/>
      <c r="BC773" s="263"/>
      <c r="BD773" s="264"/>
      <c r="BE773" s="263"/>
      <c r="BF773" s="263"/>
      <c r="BG773" s="263"/>
      <c r="BH773" s="263"/>
      <c r="BI773" s="263"/>
      <c r="BJ773" s="404">
        <f>altaz(J2000_Bas,$O773,$M773,DecLat,DecLong,2)</f>
        <v>156.79886227729997</v>
      </c>
      <c r="BK773" s="378" t="s">
        <v>877</v>
      </c>
      <c r="BL773" s="379">
        <f>IF((2*G773)/60&lt;0.2,0.2,(2*G773)/60)</f>
        <v>0.26666666666666666</v>
      </c>
      <c r="BM773" s="380">
        <f>MOD((50000+AD773-$B$3+(0/24)),1)</f>
        <v>2.98293081796146E-2</v>
      </c>
      <c r="BN773" s="381"/>
      <c r="BO773" s="382">
        <v>773</v>
      </c>
    </row>
    <row r="774" spans="1:67" s="24" customFormat="1" ht="15" customHeight="1" x14ac:dyDescent="0.25">
      <c r="A774" s="287" t="s">
        <v>878</v>
      </c>
      <c r="B774" s="241" t="str">
        <f>HYPERLINK(CONCATENATE($AT$3,BK774,$AU$3),$AV$3)</f>
        <v>S</v>
      </c>
      <c r="C774" s="242" t="str">
        <f>HYPERLINK(CONCATENATE($AT$4,BK774,$AU$4,BL774),$AV$4)</f>
        <v>A</v>
      </c>
      <c r="D774" s="243" t="s">
        <v>5187</v>
      </c>
      <c r="E774" s="244" t="s">
        <v>5179</v>
      </c>
      <c r="F774" s="269">
        <v>2</v>
      </c>
      <c r="G774" s="276">
        <v>60</v>
      </c>
      <c r="H774" s="271" t="s">
        <v>6500</v>
      </c>
      <c r="I774" s="244" t="s">
        <v>6500</v>
      </c>
      <c r="J774" s="246">
        <v>0</v>
      </c>
      <c r="K774" s="247" t="s">
        <v>5926</v>
      </c>
      <c r="L774" s="248">
        <v>194403</v>
      </c>
      <c r="M774" s="249">
        <f>15*(LEFT(TEXT($L774,"000000"),2)+(MID(TEXT($L774,"000000"),3,2)/60)+(RIGHT(TEXT($L774,"000000"),2)/3600))</f>
        <v>296.01249999999999</v>
      </c>
      <c r="N774" s="286">
        <v>81700</v>
      </c>
      <c r="O774" s="251">
        <f>IF($N774&gt;0,(LEFT(TEXT($N774,"000000"),2)+(MID(TEXT($N774,"000000"),3,2)/60)+(RIGHT(TEXT($N774,"000000"),2)/3600)),-(MID(TEXT($N774,"000000"),2,2)+(MID(TEXT($N774,"000000"),4,2)/60)+(RIGHT(TEXT($N774,"000000"),2)/3600)))</f>
        <v>8.2833333333333332</v>
      </c>
      <c r="P774" s="252" t="s">
        <v>126</v>
      </c>
      <c r="Q774" s="253"/>
      <c r="R774" s="277" t="s">
        <v>3293</v>
      </c>
      <c r="S774" s="272" t="s">
        <v>3293</v>
      </c>
      <c r="T774" s="273"/>
      <c r="U774" s="274"/>
      <c r="V774" s="256"/>
      <c r="W774" s="244"/>
      <c r="X774" s="244"/>
      <c r="Y774" s="362"/>
      <c r="Z774" s="257">
        <f>altaz(J2000_Bas,$O774,$M774,DecLat,DecLong,1)</f>
        <v>65.438270050963126</v>
      </c>
      <c r="AA774" s="257">
        <f>altaz((J2000_Bas+(2*0.04167)),$O774,$M774,DecLat,DecLong,1)</f>
        <v>60.562554759247419</v>
      </c>
      <c r="AB774" s="257">
        <f>altaz((J2000_Bas+(4*0.04167)),$O774,$M774,DecLat,DecLong,1)</f>
        <v>38.14265526783452</v>
      </c>
      <c r="AC774" s="257">
        <f>altaz((J2000_Bas+(6*0.04167)),$O774,$M774,DecLat,DecLong,1)</f>
        <v>12.587965532501578</v>
      </c>
      <c r="AD774" s="258">
        <f>1+ transit((J2000_Bas-1),$O774,$M774,DecLat,DecLong)/360 + (GMTOffset/24) + (IF(DST="Y", 1, 0)/24)</f>
        <v>1.815156822848458</v>
      </c>
      <c r="AE774" s="259">
        <f>DATE(2001,9,21)+(M774/360)*365 - (360*((DecLong/360)- (GMTOffset/24) ))</f>
        <v>37460.123784722222</v>
      </c>
      <c r="AF774" s="260">
        <f>IF(DecLat&gt;0,IF((90 - (DecLat-O774))&gt;90, (90 - (O774-DecLat)), (90 - (DecLat-O774))),IF((90 + (DecLat-O774))&gt;90, (90 + (O774-DecLat)), (90 + (DecLat-O774))))</f>
        <v>67.283333333333331</v>
      </c>
      <c r="AG774" s="257">
        <f>angularseperation(MoonRA,MoonDec,$M774,$O774)</f>
        <v>57.462157732383346</v>
      </c>
      <c r="AH774" s="261">
        <f ca="1">MIN(100,IF($O$5&gt;80,0+30*($AG774/100),IF($O$5&gt;70,0+50*($AG774/100),IF($O$5&gt;60,5+50*($AG774/100),IF($O$5&gt;50,10+60*($AG774/100),IF($O$5&gt;40,15+70*($AG774/100),IF($O$5&gt;30,20+70*($AG774/100),IF($O$5&gt;20,40+55*($AG774/100),(80+(20-$O$5)+30*($AG774/100))))))))))</f>
        <v>100</v>
      </c>
      <c r="AI774" s="263"/>
      <c r="AJ774" s="263"/>
      <c r="AK774" s="263"/>
      <c r="AL774" s="263"/>
      <c r="AM774" s="264"/>
      <c r="AN774" s="263"/>
      <c r="AO774" s="263"/>
      <c r="AP774" s="265"/>
      <c r="AQ774" s="265"/>
      <c r="AR774" s="285"/>
      <c r="AS774" s="263"/>
      <c r="AT774" s="263"/>
      <c r="AU774" s="263"/>
      <c r="AV774" s="264"/>
      <c r="AW774" s="263">
        <v>339</v>
      </c>
      <c r="AX774" s="263"/>
      <c r="AY774" s="263"/>
      <c r="AZ774" s="263"/>
      <c r="BA774" s="263"/>
      <c r="BB774" s="263"/>
      <c r="BC774" s="263"/>
      <c r="BD774" s="264"/>
      <c r="BE774" s="263"/>
      <c r="BF774" s="263"/>
      <c r="BG774" s="263"/>
      <c r="BH774" s="263"/>
      <c r="BI774" s="263"/>
      <c r="BJ774" s="404">
        <f>altaz(J2000_Bas,$O774,$M774,DecLat,DecLong,2)</f>
        <v>155.55639499591749</v>
      </c>
      <c r="BK774" s="378" t="s">
        <v>878</v>
      </c>
      <c r="BL774" s="379">
        <f>IF((2*G774)/60&lt;0.2,0.2,(2*G774)/60)</f>
        <v>2</v>
      </c>
      <c r="BM774" s="380">
        <f>MOD((50000+AD774-$B$3+(0/24)),1)</f>
        <v>3.0523752553563099E-2</v>
      </c>
      <c r="BN774" s="381"/>
      <c r="BO774" s="382">
        <v>774</v>
      </c>
    </row>
    <row r="775" spans="1:67" s="24" customFormat="1" ht="15" customHeight="1" x14ac:dyDescent="0.25">
      <c r="A775" s="287" t="s">
        <v>879</v>
      </c>
      <c r="B775" s="241" t="str">
        <f>HYPERLINK(CONCATENATE($AT$3,BK775,$AU$3),$AV$3)</f>
        <v>S</v>
      </c>
      <c r="C775" s="242" t="str">
        <f>HYPERLINK(CONCATENATE($AT$4,BK775,$AU$4,BL775),$AV$4)</f>
        <v>A</v>
      </c>
      <c r="D775" s="243" t="s">
        <v>5187</v>
      </c>
      <c r="E775" s="244" t="s">
        <v>5179</v>
      </c>
      <c r="F775" s="269">
        <v>5</v>
      </c>
      <c r="G775" s="273">
        <v>7</v>
      </c>
      <c r="H775" s="271" t="s">
        <v>6500</v>
      </c>
      <c r="I775" s="244" t="s">
        <v>6500</v>
      </c>
      <c r="J775" s="246">
        <v>2</v>
      </c>
      <c r="K775" s="247" t="s">
        <v>5927</v>
      </c>
      <c r="L775" s="248">
        <v>194845</v>
      </c>
      <c r="M775" s="249">
        <f>15*(LEFT(TEXT($L775,"000000"),2)+(MID(TEXT($L775,"000000"),3,2)/60)+(RIGHT(TEXT($L775,"000000"),2)/3600))</f>
        <v>297.1875</v>
      </c>
      <c r="N775" s="286">
        <v>112400</v>
      </c>
      <c r="O775" s="251">
        <f>IF($N775&gt;0,(LEFT(TEXT($N775,"000000"),2)+(MID(TEXT($N775,"000000"),3,2)/60)+(RIGHT(TEXT($N775,"000000"),2)/3600)),-(MID(TEXT($N775,"000000"),2,2)+(MID(TEXT($N775,"000000"),4,2)/60)+(RIGHT(TEXT($N775,"000000"),2)/3600)))</f>
        <v>11.4</v>
      </c>
      <c r="P775" s="252" t="s">
        <v>126</v>
      </c>
      <c r="Q775" s="253"/>
      <c r="R775" s="277" t="s">
        <v>3293</v>
      </c>
      <c r="S775" s="272" t="s">
        <v>3293</v>
      </c>
      <c r="T775" s="273"/>
      <c r="U775" s="274"/>
      <c r="V775" s="256"/>
      <c r="W775" s="244"/>
      <c r="X775" s="244"/>
      <c r="Y775" s="362"/>
      <c r="Z775" s="257">
        <f>altaz(J2000_Bas,$O775,$M775,DecLat,DecLong,1)</f>
        <v>67.834504723100906</v>
      </c>
      <c r="AA775" s="257">
        <f>altaz((J2000_Bas+(2*0.04167)),$O775,$M775,DecLat,DecLong,1)</f>
        <v>63.73499669932977</v>
      </c>
      <c r="AB775" s="257">
        <f>altaz((J2000_Bas+(4*0.04167)),$O775,$M775,DecLat,DecLong,1)</f>
        <v>40.785843148163011</v>
      </c>
      <c r="AC775" s="257">
        <f>altaz((J2000_Bas+(6*0.04167)),$O775,$M775,DecLat,DecLong,1)</f>
        <v>15.137691885787085</v>
      </c>
      <c r="AD775" s="258">
        <f>1+ transit((J2000_Bas-1),$O775,$M775,DecLat,DecLong)/360 + (GMTOffset/24) + (IF(DST="Y", 1, 0)/24)</f>
        <v>1.8184207114109581</v>
      </c>
      <c r="AE775" s="259">
        <f>DATE(2001,9,21)+(M775/360)*365 - (360*((DecLong/360)- (GMTOffset/24) ))</f>
        <v>37461.315104166664</v>
      </c>
      <c r="AF775" s="260">
        <f>IF(DecLat&gt;0,IF((90 - (DecLat-O775))&gt;90, (90 - (O775-DecLat)), (90 - (DecLat-O775))),IF((90 + (DecLat-O775))&gt;90, (90 + (O775-DecLat)), (90 + (DecLat-O775))))</f>
        <v>70.400000000000006</v>
      </c>
      <c r="AG775" s="257">
        <f>angularseperation(MoonRA,MoonDec,$M775,$O775)</f>
        <v>60.355140897378703</v>
      </c>
      <c r="AH775" s="261">
        <f ca="1">MIN(100,IF($O$5&gt;80,0+30*($AG775/100),IF($O$5&gt;70,0+50*($AG775/100),IF($O$5&gt;60,5+50*($AG775/100),IF($O$5&gt;50,10+60*($AG775/100),IF($O$5&gt;40,15+70*($AG775/100),IF($O$5&gt;30,20+70*($AG775/100),IF($O$5&gt;20,40+55*($AG775/100),(80+(20-$O$5)+30*($AG775/100))))))))))</f>
        <v>100</v>
      </c>
      <c r="AI775" s="263"/>
      <c r="AJ775" s="263"/>
      <c r="AK775" s="263"/>
      <c r="AL775" s="263"/>
      <c r="AM775" s="264"/>
      <c r="AN775" s="263"/>
      <c r="AO775" s="263"/>
      <c r="AP775" s="265"/>
      <c r="AQ775" s="265"/>
      <c r="AR775" s="285"/>
      <c r="AS775" s="263"/>
      <c r="AT775" s="263"/>
      <c r="AU775" s="263"/>
      <c r="AV775" s="264"/>
      <c r="AW775" s="263">
        <v>340</v>
      </c>
      <c r="AX775" s="263"/>
      <c r="AY775" s="263"/>
      <c r="AZ775" s="263"/>
      <c r="BA775" s="263"/>
      <c r="BB775" s="263"/>
      <c r="BC775" s="263"/>
      <c r="BD775" s="264"/>
      <c r="BE775" s="263"/>
      <c r="BF775" s="263"/>
      <c r="BG775" s="263"/>
      <c r="BH775" s="263"/>
      <c r="BI775" s="263"/>
      <c r="BJ775" s="404">
        <f>altaz(J2000_Bas,$O775,$M775,DecLat,DecLong,2)</f>
        <v>149.73540318160369</v>
      </c>
      <c r="BK775" s="378" t="s">
        <v>879</v>
      </c>
      <c r="BL775" s="379">
        <f>IF((2*G775)/60&lt;0.2,0.2,(2*G775)/60)</f>
        <v>0.23333333333333334</v>
      </c>
      <c r="BM775" s="380">
        <f>MOD((50000+AD775-$B$3+(0/24)),1)</f>
        <v>3.378764111403143E-2</v>
      </c>
      <c r="BN775" s="381"/>
      <c r="BO775" s="382">
        <v>775</v>
      </c>
    </row>
    <row r="776" spans="1:67" s="24" customFormat="1" ht="15" customHeight="1" x14ac:dyDescent="0.25">
      <c r="A776" s="287" t="s">
        <v>880</v>
      </c>
      <c r="B776" s="241" t="str">
        <f>HYPERLINK(CONCATENATE($AT$3,BK776,$AU$3),$AV$3)</f>
        <v>S</v>
      </c>
      <c r="C776" s="242" t="str">
        <f>HYPERLINK(CONCATENATE($AT$4,BK776,$AU$4,BL776),$AV$4)</f>
        <v>A</v>
      </c>
      <c r="D776" s="243" t="s">
        <v>5187</v>
      </c>
      <c r="E776" s="244" t="s">
        <v>5179</v>
      </c>
      <c r="F776" s="269">
        <v>3</v>
      </c>
      <c r="G776" s="276">
        <v>30</v>
      </c>
      <c r="H776" s="271" t="s">
        <v>6500</v>
      </c>
      <c r="I776" s="244" t="s">
        <v>6500</v>
      </c>
      <c r="J776" s="246">
        <v>0</v>
      </c>
      <c r="K776" s="247" t="s">
        <v>8406</v>
      </c>
      <c r="L776" s="248">
        <v>195001</v>
      </c>
      <c r="M776" s="249">
        <f>15*(LEFT(TEXT($L776,"000000"),2)+(MID(TEXT($L776,"000000"),3,2)/60)+(RIGHT(TEXT($L776,"000000"),2)/3600))</f>
        <v>297.50416666666666</v>
      </c>
      <c r="N776" s="286">
        <v>341700</v>
      </c>
      <c r="O776" s="251">
        <f>IF($N776&gt;0,(LEFT(TEXT($N776,"000000"),2)+(MID(TEXT($N776,"000000"),3,2)/60)+(RIGHT(TEXT($N776,"000000"),2)/3600)),-(MID(TEXT($N776,"000000"),2,2)+(MID(TEXT($N776,"000000"),4,2)/60)+(RIGHT(TEXT($N776,"000000"),2)/3600)))</f>
        <v>34.283333333333331</v>
      </c>
      <c r="P776" s="252" t="s">
        <v>60</v>
      </c>
      <c r="Q776" s="253"/>
      <c r="R776" s="277" t="s">
        <v>3293</v>
      </c>
      <c r="S776" s="272" t="s">
        <v>3293</v>
      </c>
      <c r="T776" s="273"/>
      <c r="U776" s="274"/>
      <c r="V776" s="256"/>
      <c r="W776" s="244"/>
      <c r="X776" s="244"/>
      <c r="Y776" s="362"/>
      <c r="Z776" s="257">
        <f>altaz(J2000_Bas,$O776,$M776,DecLat,DecLong,1)</f>
        <v>79.780892757640316</v>
      </c>
      <c r="AA776" s="257">
        <f>altaz((J2000_Bas+(2*0.04167)),$O776,$M776,DecLat,DecLong,1)</f>
        <v>74.035593086981095</v>
      </c>
      <c r="AB776" s="257">
        <f>altaz((J2000_Bas+(4*0.04167)),$O776,$M776,DecLat,DecLong,1)</f>
        <v>49.275701245615629</v>
      </c>
      <c r="AC776" s="257">
        <f>altaz((J2000_Bas+(6*0.04167)),$O776,$M776,DecLat,DecLong,1)</f>
        <v>25.357183655532495</v>
      </c>
      <c r="AD776" s="258">
        <f>1+ transit((J2000_Bas-1),$O776,$M776,DecLat,DecLong)/360 + (GMTOffset/24) + (IF(DST="Y", 1, 0)/24)</f>
        <v>1.8193003409526247</v>
      </c>
      <c r="AE776" s="259">
        <f>DATE(2001,9,21)+(M776/360)*365 - (360*((DecLong/360)- (GMTOffset/24) ))</f>
        <v>37461.63616898148</v>
      </c>
      <c r="AF776" s="260">
        <f>IF(DecLat&gt;0,IF((90 - (DecLat-O776))&gt;90, (90 - (O776-DecLat)), (90 - (DecLat-O776))),IF((90 + (DecLat-O776))&gt;90, (90 + (O776-DecLat)), (90 + (DecLat-O776))))</f>
        <v>86.716666666666669</v>
      </c>
      <c r="AG776" s="257">
        <f>angularseperation(MoonRA,MoonDec,$M776,$O776)</f>
        <v>76.509852068829687</v>
      </c>
      <c r="AH776" s="261">
        <f ca="1">MIN(100,IF($O$5&gt;80,0+30*($AG776/100),IF($O$5&gt;70,0+50*($AG776/100),IF($O$5&gt;60,5+50*($AG776/100),IF($O$5&gt;50,10+60*($AG776/100),IF($O$5&gt;40,15+70*($AG776/100),IF($O$5&gt;30,20+70*($AG776/100),IF($O$5&gt;20,40+55*($AG776/100),(80+(20-$O$5)+30*($AG776/100))))))))))</f>
        <v>100</v>
      </c>
      <c r="AI776" s="263"/>
      <c r="AJ776" s="263"/>
      <c r="AK776" s="263"/>
      <c r="AL776" s="263"/>
      <c r="AM776" s="264"/>
      <c r="AN776" s="263"/>
      <c r="AO776" s="263"/>
      <c r="AP776" s="265"/>
      <c r="AQ776" s="265"/>
      <c r="AR776" s="285"/>
      <c r="AS776" s="263"/>
      <c r="AT776" s="263"/>
      <c r="AU776" s="263"/>
      <c r="AV776" s="264"/>
      <c r="AW776" s="263">
        <v>341</v>
      </c>
      <c r="AX776" s="263"/>
      <c r="AY776" s="263"/>
      <c r="AZ776" s="263"/>
      <c r="BA776" s="263"/>
      <c r="BB776" s="263"/>
      <c r="BC776" s="263"/>
      <c r="BD776" s="264"/>
      <c r="BE776" s="263"/>
      <c r="BF776" s="263"/>
      <c r="BG776" s="263"/>
      <c r="BH776" s="263"/>
      <c r="BI776" s="263"/>
      <c r="BJ776" s="404">
        <f>altaz(J2000_Bas,$O776,$M776,DecLat,DecLong,2)</f>
        <v>68.223090380856604</v>
      </c>
      <c r="BK776" s="378" t="s">
        <v>880</v>
      </c>
      <c r="BL776" s="379">
        <f>IF((2*G776)/60&lt;0.2,0.2,(2*G776)/60)</f>
        <v>1</v>
      </c>
      <c r="BM776" s="380">
        <f>MOD((50000+AD776-$B$3+(0/24)),1)</f>
        <v>3.4667270658246707E-2</v>
      </c>
      <c r="BN776" s="381"/>
      <c r="BO776" s="382">
        <v>776</v>
      </c>
    </row>
    <row r="777" spans="1:67" s="24" customFormat="1" ht="15" customHeight="1" x14ac:dyDescent="0.25">
      <c r="A777" s="287" t="s">
        <v>881</v>
      </c>
      <c r="B777" s="241" t="str">
        <f>HYPERLINK(CONCATENATE($AT$3,BK777,$AU$3),$AV$3)</f>
        <v>S</v>
      </c>
      <c r="C777" s="242" t="str">
        <f>HYPERLINK(CONCATENATE($AT$4,BK777,$AU$4,BL777),$AV$4)</f>
        <v>A</v>
      </c>
      <c r="D777" s="243" t="s">
        <v>5187</v>
      </c>
      <c r="E777" s="244" t="s">
        <v>5179</v>
      </c>
      <c r="F777" s="269">
        <v>4</v>
      </c>
      <c r="G777" s="273">
        <v>4</v>
      </c>
      <c r="H777" s="271" t="s">
        <v>6500</v>
      </c>
      <c r="I777" s="244" t="s">
        <v>6500</v>
      </c>
      <c r="J777" s="246">
        <v>1</v>
      </c>
      <c r="K777" s="247" t="s">
        <v>6016</v>
      </c>
      <c r="L777" s="248">
        <v>200931</v>
      </c>
      <c r="M777" s="249">
        <f>15*(LEFT(TEXT($L777,"000000"),2)+(MID(TEXT($L777,"000000"),3,2)/60)+(RIGHT(TEXT($L777,"000000"),2)/3600))</f>
        <v>302.37916666666666</v>
      </c>
      <c r="N777" s="286">
        <v>411200</v>
      </c>
      <c r="O777" s="251">
        <f>IF($N777&gt;0,(LEFT(TEXT($N777,"000000"),2)+(MID(TEXT($N777,"000000"),3,2)/60)+(RIGHT(TEXT($N777,"000000"),2)/3600)),-(MID(TEXT($N777,"000000"),2,2)+(MID(TEXT($N777,"000000"),4,2)/60)+(RIGHT(TEXT($N777,"000000"),2)/3600)))</f>
        <v>41.2</v>
      </c>
      <c r="P777" s="252" t="s">
        <v>60</v>
      </c>
      <c r="Q777" s="253"/>
      <c r="R777" s="277" t="s">
        <v>3293</v>
      </c>
      <c r="S777" s="272" t="s">
        <v>3293</v>
      </c>
      <c r="T777" s="273"/>
      <c r="U777" s="274"/>
      <c r="V777" s="256"/>
      <c r="W777" s="244"/>
      <c r="X777" s="244"/>
      <c r="Y777" s="362"/>
      <c r="Z777" s="257">
        <f>altaz(J2000_Bas,$O777,$M777,DecLat,DecLong,1)</f>
        <v>73.341393497225638</v>
      </c>
      <c r="AA777" s="257">
        <f>altaz((J2000_Bas+(2*0.04167)),$O777,$M777,DecLat,DecLong,1)</f>
        <v>74.977695320698373</v>
      </c>
      <c r="AB777" s="257">
        <f>altaz((J2000_Bas+(4*0.04167)),$O777,$M777,DecLat,DecLong,1)</f>
        <v>53.591348758102086</v>
      </c>
      <c r="AC777" s="257">
        <f>altaz((J2000_Bas+(6*0.04167)),$O777,$M777,DecLat,DecLong,1)</f>
        <v>31.221685473048364</v>
      </c>
      <c r="AD777" s="258">
        <f>1+ transit((J2000_Bas-1),$O777,$M777,DecLat,DecLong)/360 + (GMTOffset/24) + (IF(DST="Y", 1, 0)/24)</f>
        <v>1.8328420062651245</v>
      </c>
      <c r="AE777" s="259">
        <f>DATE(2001,9,21)+(M777/360)*365 - (360*((DecLong/360)- (GMTOffset/24) ))</f>
        <v>37466.578877314816</v>
      </c>
      <c r="AF777" s="260">
        <f>IF(DecLat&gt;0,IF((90 - (DecLat-O777))&gt;90, (90 - (O777-DecLat)), (90 - (DecLat-O777))),IF((90 + (DecLat-O777))&gt;90, (90 + (O777-DecLat)), (90 + (DecLat-O777))))</f>
        <v>79.8</v>
      </c>
      <c r="AG777" s="257">
        <f>angularseperation(MoonRA,MoonDec,$M777,$O777)</f>
        <v>84.147032005845787</v>
      </c>
      <c r="AH777" s="261">
        <f ca="1">MIN(100,IF($O$5&gt;80,0+30*($AG777/100),IF($O$5&gt;70,0+50*($AG777/100),IF($O$5&gt;60,5+50*($AG777/100),IF($O$5&gt;50,10+60*($AG777/100),IF($O$5&gt;40,15+70*($AG777/100),IF($O$5&gt;30,20+70*($AG777/100),IF($O$5&gt;20,40+55*($AG777/100),(80+(20-$O$5)+30*($AG777/100))))))))))</f>
        <v>100</v>
      </c>
      <c r="AI777" s="263"/>
      <c r="AJ777" s="263"/>
      <c r="AK777" s="263"/>
      <c r="AL777" s="263"/>
      <c r="AM777" s="264"/>
      <c r="AN777" s="263"/>
      <c r="AO777" s="263"/>
      <c r="AP777" s="265"/>
      <c r="AQ777" s="265"/>
      <c r="AR777" s="285"/>
      <c r="AS777" s="263"/>
      <c r="AT777" s="263"/>
      <c r="AU777" s="263"/>
      <c r="AV777" s="264"/>
      <c r="AW777" s="263">
        <v>342</v>
      </c>
      <c r="AX777" s="263"/>
      <c r="AY777" s="263"/>
      <c r="AZ777" s="263"/>
      <c r="BA777" s="263"/>
      <c r="BB777" s="263"/>
      <c r="BC777" s="263"/>
      <c r="BD777" s="264"/>
      <c r="BE777" s="263"/>
      <c r="BF777" s="263"/>
      <c r="BG777" s="263"/>
      <c r="BH777" s="263"/>
      <c r="BI777" s="263"/>
      <c r="BJ777" s="404">
        <f>altaz(J2000_Bas,$O777,$M777,DecLat,DecLong,2)</f>
        <v>47.733701381647137</v>
      </c>
      <c r="BK777" s="378" t="s">
        <v>881</v>
      </c>
      <c r="BL777" s="379">
        <f>IF((2*G777)/60&lt;0.2,0.2,(2*G777)/60)</f>
        <v>0.2</v>
      </c>
      <c r="BM777" s="380">
        <f>MOD((50000+AD777-$B$3+(0/24)),1)</f>
        <v>4.8208935972070321E-2</v>
      </c>
      <c r="BN777" s="381"/>
      <c r="BO777" s="382">
        <v>777</v>
      </c>
    </row>
    <row r="778" spans="1:67" s="24" customFormat="1" ht="15" customHeight="1" x14ac:dyDescent="0.25">
      <c r="A778" s="288" t="s">
        <v>882</v>
      </c>
      <c r="B778" s="241" t="str">
        <f>HYPERLINK(CONCATENATE($AT$3,BK778,$AU$3),$AV$3)</f>
        <v>S</v>
      </c>
      <c r="C778" s="242" t="str">
        <f>HYPERLINK(CONCATENATE($AT$4,BK778,$AU$4,BL778),$AV$4)</f>
        <v>A</v>
      </c>
      <c r="D778" s="243" t="s">
        <v>5187</v>
      </c>
      <c r="E778" s="244" t="s">
        <v>5179</v>
      </c>
      <c r="F778" s="269">
        <v>5</v>
      </c>
      <c r="G778" s="276">
        <v>13</v>
      </c>
      <c r="H778" s="271" t="s">
        <v>6500</v>
      </c>
      <c r="I778" s="300" t="s">
        <v>6500</v>
      </c>
      <c r="J778" s="246">
        <v>3</v>
      </c>
      <c r="K778" s="247" t="s">
        <v>8407</v>
      </c>
      <c r="L778" s="248">
        <v>201326</v>
      </c>
      <c r="M778" s="249">
        <f>15*(LEFT(TEXT($L778,"000000"),2)+(MID(TEXT($L778,"000000"),3,2)/60)+(RIGHT(TEXT($L778,"000000"),2)/3600))</f>
        <v>303.35833333333329</v>
      </c>
      <c r="N778" s="250">
        <v>401600</v>
      </c>
      <c r="O778" s="251">
        <f>IF($N778&gt;0,(LEFT(TEXT($N778,"000000"),2)+(MID(TEXT($N778,"000000"),3,2)/60)+(RIGHT(TEXT($N778,"000000"),2)/3600)),-(MID(TEXT($N778,"000000"),2,2)+(MID(TEXT($N778,"000000"),4,2)/60)+(RIGHT(TEXT($N778,"000000"),2)/3600)))</f>
        <v>40.266666666666666</v>
      </c>
      <c r="P778" s="252" t="s">
        <v>60</v>
      </c>
      <c r="Q778" s="253"/>
      <c r="R778" s="247" t="s">
        <v>3293</v>
      </c>
      <c r="S778" s="272" t="s">
        <v>3293</v>
      </c>
      <c r="T778" s="273"/>
      <c r="U778" s="274"/>
      <c r="V778" s="256"/>
      <c r="W778" s="244"/>
      <c r="X778" s="244"/>
      <c r="Y778" s="362"/>
      <c r="Z778" s="257">
        <f>altaz(J2000_Bas,$O778,$M778,DecLat,DecLong,1)</f>
        <v>73.170619689719544</v>
      </c>
      <c r="AA778" s="257">
        <f>altaz((J2000_Bas+(2*0.04167)),$O778,$M778,DecLat,DecLong,1)</f>
        <v>76.137933821989307</v>
      </c>
      <c r="AB778" s="257">
        <f>altaz((J2000_Bas+(4*0.04167)),$O778,$M778,DecLat,DecLong,1)</f>
        <v>54.359588339175559</v>
      </c>
      <c r="AC778" s="257">
        <f>altaz((J2000_Bas+(6*0.04167)),$O778,$M778,DecLat,DecLong,1)</f>
        <v>31.684030352460923</v>
      </c>
      <c r="AD778" s="258">
        <f>1+ transit((J2000_Bas-1),$O778,$M778,DecLat,DecLong)/360 + (GMTOffset/24) + (IF(DST="Y", 1, 0)/24)</f>
        <v>1.835561913400541</v>
      </c>
      <c r="AE778" s="259">
        <f>DATE(2001,9,21)+(M778/360)*365 - (360*((DecLong/360)- (GMTOffset/24) ))</f>
        <v>37467.571643518517</v>
      </c>
      <c r="AF778" s="260">
        <f>IF(DecLat&gt;0,IF((90 - (DecLat-O778))&gt;90, (90 - (O778-DecLat)), (90 - (DecLat-O778))),IF((90 + (DecLat-O778))&gt;90, (90 + (O778-DecLat)), (90 + (DecLat-O778))))</f>
        <v>80.733333333333334</v>
      </c>
      <c r="AG778" s="257">
        <f>angularseperation(MoonRA,MoonDec,$M778,$O778)</f>
        <v>84.034749009073394</v>
      </c>
      <c r="AH778" s="261">
        <f ca="1">MIN(100,IF($O$5&gt;80,0+30*($AG778/100),IF($O$5&gt;70,0+50*($AG778/100),IF($O$5&gt;60,5+50*($AG778/100),IF($O$5&gt;50,10+60*($AG778/100),IF($O$5&gt;40,15+70*($AG778/100),IF($O$5&gt;30,20+70*($AG778/100),IF($O$5&gt;20,40+55*($AG778/100),(80+(20-$O$5)+30*($AG778/100))))))))))</f>
        <v>100</v>
      </c>
      <c r="AI778" s="262"/>
      <c r="AJ778" s="262"/>
      <c r="AK778" s="262"/>
      <c r="AL778" s="263"/>
      <c r="AM778" s="264"/>
      <c r="AN778" s="263"/>
      <c r="AO778" s="263"/>
      <c r="AP778" s="265"/>
      <c r="AQ778" s="266"/>
      <c r="AR778" s="267"/>
      <c r="AS778" s="263"/>
      <c r="AT778" s="263"/>
      <c r="AU778" s="263"/>
      <c r="AV778" s="264"/>
      <c r="AW778" s="263">
        <v>343</v>
      </c>
      <c r="AX778" s="263"/>
      <c r="AY778" s="263"/>
      <c r="AZ778" s="263"/>
      <c r="BA778" s="263"/>
      <c r="BB778" s="263"/>
      <c r="BC778" s="263"/>
      <c r="BD778" s="264"/>
      <c r="BE778" s="263"/>
      <c r="BF778" s="263"/>
      <c r="BG778" s="263"/>
      <c r="BH778" s="263"/>
      <c r="BI778" s="263"/>
      <c r="BJ778" s="404">
        <f>altaz(J2000_Bas,$O778,$M778,DecLat,DecLong,2)</f>
        <v>51.830440535765568</v>
      </c>
      <c r="BK778" s="378" t="s">
        <v>882</v>
      </c>
      <c r="BL778" s="379">
        <f>IF((2*G778)/60&lt;0.2,0.2,(2*G778)/60)</f>
        <v>0.43333333333333335</v>
      </c>
      <c r="BM778" s="380">
        <f>MOD((50000+AD778-$B$3+(0/24)),1)</f>
        <v>5.0928843105793931E-2</v>
      </c>
      <c r="BN778" s="381"/>
      <c r="BO778" s="382">
        <v>778</v>
      </c>
    </row>
    <row r="779" spans="1:67" s="24" customFormat="1" ht="15" customHeight="1" x14ac:dyDescent="0.25">
      <c r="A779" s="287" t="s">
        <v>883</v>
      </c>
      <c r="B779" s="241" t="str">
        <f>HYPERLINK(CONCATENATE($AT$3,BK779,$AU$3),$AV$3)</f>
        <v>S</v>
      </c>
      <c r="C779" s="242" t="str">
        <f>HYPERLINK(CONCATENATE($AT$4,BK779,$AU$4,BL779),$AV$4)</f>
        <v>A</v>
      </c>
      <c r="D779" s="243" t="s">
        <v>5187</v>
      </c>
      <c r="E779" s="244" t="s">
        <v>5179</v>
      </c>
      <c r="F779" s="269">
        <v>3</v>
      </c>
      <c r="G779" s="276">
        <v>60</v>
      </c>
      <c r="H779" s="271" t="s">
        <v>6500</v>
      </c>
      <c r="I779" s="244" t="s">
        <v>6500</v>
      </c>
      <c r="J779" s="246">
        <v>1</v>
      </c>
      <c r="K779" s="247" t="s">
        <v>8535</v>
      </c>
      <c r="L779" s="248">
        <v>201616</v>
      </c>
      <c r="M779" s="249">
        <f>15*(LEFT(TEXT($L779,"000000"),2)+(MID(TEXT($L779,"000000"),3,2)/60)+(RIGHT(TEXT($L779,"000000"),2)/3600))</f>
        <v>304.06666666666666</v>
      </c>
      <c r="N779" s="250">
        <v>401300</v>
      </c>
      <c r="O779" s="251">
        <f>IF($N779&gt;0,(LEFT(TEXT($N779,"000000"),2)+(MID(TEXT($N779,"000000"),3,2)/60)+(RIGHT(TEXT($N779,"000000"),2)/3600)),-(MID(TEXT($N779,"000000"),2,2)+(MID(TEXT($N779,"000000"),4,2)/60)+(RIGHT(TEXT($N779,"000000"),2)/3600)))</f>
        <v>40.216666666666669</v>
      </c>
      <c r="P779" s="252" t="s">
        <v>60</v>
      </c>
      <c r="Q779" s="253"/>
      <c r="R779" s="277" t="s">
        <v>3293</v>
      </c>
      <c r="S779" s="272" t="s">
        <v>3293</v>
      </c>
      <c r="T779" s="273"/>
      <c r="U779" s="274"/>
      <c r="V779" s="256"/>
      <c r="W779" s="244"/>
      <c r="X779" s="244"/>
      <c r="Y779" s="362"/>
      <c r="Z779" s="257">
        <f>altaz(J2000_Bas,$O779,$M779,DecLat,DecLong,1)</f>
        <v>72.712911325766143</v>
      </c>
      <c r="AA779" s="257">
        <f>altaz((J2000_Bas+(2*0.04167)),$O779,$M779,DecLat,DecLong,1)</f>
        <v>76.590565439853364</v>
      </c>
      <c r="AB779" s="257">
        <f>altaz((J2000_Bas+(4*0.04167)),$O779,$M779,DecLat,DecLong,1)</f>
        <v>54.901414746883049</v>
      </c>
      <c r="AC779" s="257">
        <f>altaz((J2000_Bas+(6*0.04167)),$O779,$M779,DecLat,DecLong,1)</f>
        <v>32.191634201143451</v>
      </c>
      <c r="AD779" s="258">
        <f>1+ transit((J2000_Bas-1),$O779,$M779,DecLat,DecLong)/360 + (GMTOffset/24) + (IF(DST="Y", 1, 0)/24)</f>
        <v>1.8375295057963748</v>
      </c>
      <c r="AE779" s="259">
        <f>DATE(2001,9,21)+(M779/360)*365 - (360*((DecLong/360)- (GMTOffset/24) ))</f>
        <v>37468.289814814816</v>
      </c>
      <c r="AF779" s="260">
        <f>IF(DecLat&gt;0,IF((90 - (DecLat-O779))&gt;90, (90 - (O779-DecLat)), (90 - (DecLat-O779))),IF((90 + (DecLat-O779))&gt;90, (90 + (O779-DecLat)), (90 + (DecLat-O779))))</f>
        <v>80.783333333333331</v>
      </c>
      <c r="AG779" s="257">
        <f>angularseperation(MoonRA,MoonDec,$M779,$O779)</f>
        <v>84.394258731516061</v>
      </c>
      <c r="AH779" s="261">
        <f ca="1">MIN(100,IF($O$5&gt;80,0+30*($AG779/100),IF($O$5&gt;70,0+50*($AG779/100),IF($O$5&gt;60,5+50*($AG779/100),IF($O$5&gt;50,10+60*($AG779/100),IF($O$5&gt;40,15+70*($AG779/100),IF($O$5&gt;30,20+70*($AG779/100),IF($O$5&gt;20,40+55*($AG779/100),(80+(20-$O$5)+30*($AG779/100))))))))))</f>
        <v>100</v>
      </c>
      <c r="AI779" s="263"/>
      <c r="AJ779" s="263"/>
      <c r="AK779" s="263"/>
      <c r="AL779" s="263"/>
      <c r="AM779" s="264"/>
      <c r="AN779" s="263"/>
      <c r="AO779" s="263"/>
      <c r="AP779" s="265"/>
      <c r="AQ779" s="265"/>
      <c r="AR779" s="285"/>
      <c r="AS779" s="263"/>
      <c r="AT779" s="263"/>
      <c r="AU779" s="263"/>
      <c r="AV779" s="264"/>
      <c r="AW779" s="263">
        <v>344</v>
      </c>
      <c r="AX779" s="263"/>
      <c r="AY779" s="263"/>
      <c r="AZ779" s="263"/>
      <c r="BA779" s="263"/>
      <c r="BB779" s="263"/>
      <c r="BC779" s="263"/>
      <c r="BD779" s="264"/>
      <c r="BE779" s="263"/>
      <c r="BF779" s="263"/>
      <c r="BG779" s="263"/>
      <c r="BH779" s="263"/>
      <c r="BI779" s="263"/>
      <c r="BJ779" s="404">
        <f>altaz(J2000_Bas,$O779,$M779,DecLat,DecLong,2)</f>
        <v>52.826441272524718</v>
      </c>
      <c r="BK779" s="378" t="s">
        <v>883</v>
      </c>
      <c r="BL779" s="379">
        <f>IF((2*G779)/60&lt;0.2,0.2,(2*G779)/60)</f>
        <v>2</v>
      </c>
      <c r="BM779" s="380">
        <f>MOD((50000+AD779-$B$3+(0/24)),1)</f>
        <v>5.2896435503498651E-2</v>
      </c>
      <c r="BN779" s="381"/>
      <c r="BO779" s="382">
        <v>779</v>
      </c>
    </row>
    <row r="780" spans="1:67" s="24" customFormat="1" ht="15" customHeight="1" x14ac:dyDescent="0.25">
      <c r="A780" s="288" t="s">
        <v>884</v>
      </c>
      <c r="B780" s="241" t="str">
        <f>HYPERLINK(CONCATENATE($AT$3,BK780,$AU$3),$AV$3)</f>
        <v>S</v>
      </c>
      <c r="C780" s="242" t="str">
        <f>HYPERLINK(CONCATENATE($AT$4,BK780,$AU$4,BL780),$AV$4)</f>
        <v>A</v>
      </c>
      <c r="D780" s="243" t="s">
        <v>5187</v>
      </c>
      <c r="E780" s="244" t="s">
        <v>5179</v>
      </c>
      <c r="F780" s="269">
        <v>0</v>
      </c>
      <c r="G780" s="276">
        <v>15</v>
      </c>
      <c r="H780" s="271" t="s">
        <v>6500</v>
      </c>
      <c r="I780" s="244" t="s">
        <v>6500</v>
      </c>
      <c r="J780" s="246">
        <v>1</v>
      </c>
      <c r="K780" s="247" t="s">
        <v>8536</v>
      </c>
      <c r="L780" s="248">
        <v>202101</v>
      </c>
      <c r="M780" s="249">
        <f>15*(LEFT(TEXT($L780,"000000"),2)+(MID(TEXT($L780,"000000"),3,2)/60)+(RIGHT(TEXT($L780,"000000"),2)/3600))</f>
        <v>305.25416666666672</v>
      </c>
      <c r="N780" s="286">
        <v>463300</v>
      </c>
      <c r="O780" s="251">
        <f>IF($N780&gt;0,(LEFT(TEXT($N780,"000000"),2)+(MID(TEXT($N780,"000000"),3,2)/60)+(RIGHT(TEXT($N780,"000000"),2)/3600)),-(MID(TEXT($N780,"000000"),2,2)+(MID(TEXT($N780,"000000"),4,2)/60)+(RIGHT(TEXT($N780,"000000"),2)/3600)))</f>
        <v>46.55</v>
      </c>
      <c r="P780" s="252" t="s">
        <v>60</v>
      </c>
      <c r="Q780" s="253"/>
      <c r="R780" s="277" t="s">
        <v>3293</v>
      </c>
      <c r="S780" s="272" t="s">
        <v>3293</v>
      </c>
      <c r="T780" s="273"/>
      <c r="U780" s="274"/>
      <c r="V780" s="256"/>
      <c r="W780" s="244"/>
      <c r="X780" s="244"/>
      <c r="Y780" s="362"/>
      <c r="Z780" s="257">
        <f>altaz(J2000_Bas,$O780,$M780,DecLat,DecLong,1)</f>
        <v>68.502344895359087</v>
      </c>
      <c r="AA780" s="257">
        <f>altaz((J2000_Bas+(2*0.04167)),$O780,$M780,DecLat,DecLong,1)</f>
        <v>72.343422659932131</v>
      </c>
      <c r="AB780" s="257">
        <f>altaz((J2000_Bas+(4*0.04167)),$O780,$M780,DecLat,DecLong,1)</f>
        <v>55.020395463608402</v>
      </c>
      <c r="AC780" s="257">
        <f>altaz((J2000_Bas+(6*0.04167)),$O780,$M780,DecLat,DecLong,1)</f>
        <v>34.458155376931657</v>
      </c>
      <c r="AD780" s="258">
        <f>1+ transit((J2000_Bas-1),$O780,$M780,DecLat,DecLong)/360 + (GMTOffset/24) + (IF(DST="Y", 1, 0)/24)</f>
        <v>1.8408281165776248</v>
      </c>
      <c r="AE780" s="259">
        <f>DATE(2001,9,21)+(M780/360)*365 - (360*((DecLong/360)- (GMTOffset/24) ))</f>
        <v>37469.493807870371</v>
      </c>
      <c r="AF780" s="260">
        <f>IF(DecLat&gt;0,IF((90 - (DecLat-O780))&gt;90, (90 - (O780-DecLat)), (90 - (DecLat-O780))),IF((90 + (DecLat-O780))&gt;90, (90 + (O780-DecLat)), (90 + (DecLat-O780))))</f>
        <v>74.45</v>
      </c>
      <c r="AG780" s="257">
        <f>angularseperation(MoonRA,MoonDec,$M780,$O780)</f>
        <v>89.326558842158221</v>
      </c>
      <c r="AH780" s="261">
        <f ca="1">MIN(100,IF($O$5&gt;80,0+30*($AG780/100),IF($O$5&gt;70,0+50*($AG780/100),IF($O$5&gt;60,5+50*($AG780/100),IF($O$5&gt;50,10+60*($AG780/100),IF($O$5&gt;40,15+70*($AG780/100),IF($O$5&gt;30,20+70*($AG780/100),IF($O$5&gt;20,40+55*($AG780/100),(80+(20-$O$5)+30*($AG780/100))))))))))</f>
        <v>100</v>
      </c>
      <c r="AI780" s="263"/>
      <c r="AJ780" s="263"/>
      <c r="AK780" s="263"/>
      <c r="AL780" s="263"/>
      <c r="AM780" s="264"/>
      <c r="AN780" s="263"/>
      <c r="AO780" s="263"/>
      <c r="AP780" s="265"/>
      <c r="AQ780" s="265"/>
      <c r="AR780" s="285"/>
      <c r="AS780" s="263"/>
      <c r="AT780" s="263"/>
      <c r="AU780" s="263"/>
      <c r="AV780" s="264"/>
      <c r="AW780" s="263">
        <v>345</v>
      </c>
      <c r="AX780" s="263"/>
      <c r="AY780" s="263"/>
      <c r="AZ780" s="263"/>
      <c r="BA780" s="263"/>
      <c r="BB780" s="263"/>
      <c r="BC780" s="263"/>
      <c r="BD780" s="264"/>
      <c r="BE780" s="263"/>
      <c r="BF780" s="263"/>
      <c r="BG780" s="263"/>
      <c r="BH780" s="263"/>
      <c r="BI780" s="263"/>
      <c r="BJ780" s="404">
        <f>altaz(J2000_Bas,$O780,$M780,DecLat,DecLong,2)</f>
        <v>38.225637766998616</v>
      </c>
      <c r="BK780" s="378" t="s">
        <v>884</v>
      </c>
      <c r="BL780" s="379">
        <f>IF((2*G780)/60&lt;0.2,0.2,(2*G780)/60)</f>
        <v>0.5</v>
      </c>
      <c r="BM780" s="380">
        <f>MOD((50000+AD780-$B$3+(0/24)),1)</f>
        <v>5.6195046279754024E-2</v>
      </c>
      <c r="BN780" s="381"/>
      <c r="BO780" s="382">
        <v>780</v>
      </c>
    </row>
    <row r="781" spans="1:67" s="24" customFormat="1" ht="15" customHeight="1" x14ac:dyDescent="0.25">
      <c r="A781" s="288" t="s">
        <v>885</v>
      </c>
      <c r="B781" s="241" t="str">
        <f>HYPERLINK(CONCATENATE($AT$3,BK781,$AU$3),$AV$3)</f>
        <v>S</v>
      </c>
      <c r="C781" s="242" t="str">
        <f>HYPERLINK(CONCATENATE($AT$4,BK781,$AU$4,BL781),$AV$4)</f>
        <v>A</v>
      </c>
      <c r="D781" s="243" t="s">
        <v>5187</v>
      </c>
      <c r="E781" s="244" t="s">
        <v>5179</v>
      </c>
      <c r="F781" s="269">
        <v>3</v>
      </c>
      <c r="G781" s="276">
        <v>10</v>
      </c>
      <c r="H781" s="271" t="s">
        <v>6500</v>
      </c>
      <c r="I781" s="244" t="s">
        <v>6500</v>
      </c>
      <c r="J781" s="246">
        <v>2</v>
      </c>
      <c r="K781" s="247" t="s">
        <v>8537</v>
      </c>
      <c r="L781" s="248">
        <v>202646</v>
      </c>
      <c r="M781" s="249">
        <f>15*(LEFT(TEXT($L781,"000000"),2)+(MID(TEXT($L781,"000000"),3,2)/60)+(RIGHT(TEXT($L781,"000000"),2)/3600))</f>
        <v>306.69166666666666</v>
      </c>
      <c r="N781" s="250">
        <v>434400</v>
      </c>
      <c r="O781" s="251">
        <f>IF($N781&gt;0,(LEFT(TEXT($N781,"000000"),2)+(MID(TEXT($N781,"000000"),3,2)/60)+(RIGHT(TEXT($N781,"000000"),2)/3600)),-(MID(TEXT($N781,"000000"),2,2)+(MID(TEXT($N781,"000000"),4,2)/60)+(RIGHT(TEXT($N781,"000000"),2)/3600)))</f>
        <v>43.733333333333334</v>
      </c>
      <c r="P781" s="252" t="s">
        <v>60</v>
      </c>
      <c r="Q781" s="253"/>
      <c r="R781" s="277" t="s">
        <v>3293</v>
      </c>
      <c r="S781" s="272" t="s">
        <v>3293</v>
      </c>
      <c r="T781" s="273"/>
      <c r="U781" s="274"/>
      <c r="V781" s="256"/>
      <c r="W781" s="244"/>
      <c r="X781" s="244"/>
      <c r="Y781" s="362"/>
      <c r="Z781" s="257">
        <f>altaz(J2000_Bas,$O781,$M781,DecLat,DecLong,1)</f>
        <v>69.30340170362571</v>
      </c>
      <c r="AA781" s="257">
        <f>altaz((J2000_Bas+(2*0.04167)),$O781,$M781,DecLat,DecLong,1)</f>
        <v>75.261666013680966</v>
      </c>
      <c r="AB781" s="257">
        <f>altaz((J2000_Bas+(4*0.04167)),$O781,$M781,DecLat,DecLong,1)</f>
        <v>56.521952295269394</v>
      </c>
      <c r="AC781" s="257">
        <f>altaz((J2000_Bas+(6*0.04167)),$O781,$M781,DecLat,DecLong,1)</f>
        <v>34.910580450950896</v>
      </c>
      <c r="AD781" s="258">
        <f>1+ transit((J2000_Bas-1),$O781,$M781,DecLat,DecLong)/360 + (GMTOffset/24) + (IF(DST="Y", 1, 0)/24)</f>
        <v>1.8448211717338745</v>
      </c>
      <c r="AE781" s="259">
        <f>DATE(2001,9,21)+(M781/360)*365 - (360*((DecLong/360)- (GMTOffset/24) ))</f>
        <v>37470.951273148152</v>
      </c>
      <c r="AF781" s="260">
        <f>IF(DecLat&gt;0,IF((90 - (DecLat-O781))&gt;90, (90 - (O781-DecLat)), (90 - (DecLat-O781))),IF((90 + (DecLat-O781))&gt;90, (90 + (O781-DecLat)), (90 + (DecLat-O781))))</f>
        <v>77.266666666666666</v>
      </c>
      <c r="AG781" s="257">
        <f>angularseperation(MoonRA,MoonDec,$M781,$O781)</f>
        <v>88.201365359272032</v>
      </c>
      <c r="AH781" s="261">
        <f ca="1">MIN(100,IF($O$5&gt;80,0+30*($AG781/100),IF($O$5&gt;70,0+50*($AG781/100),IF($O$5&gt;60,5+50*($AG781/100),IF($O$5&gt;50,10+60*($AG781/100),IF($O$5&gt;40,15+70*($AG781/100),IF($O$5&gt;30,20+70*($AG781/100),IF($O$5&gt;20,40+55*($AG781/100),(80+(20-$O$5)+30*($AG781/100))))))))))</f>
        <v>100</v>
      </c>
      <c r="AI781" s="263"/>
      <c r="AJ781" s="263"/>
      <c r="AK781" s="263"/>
      <c r="AL781" s="263"/>
      <c r="AM781" s="264"/>
      <c r="AN781" s="263"/>
      <c r="AO781" s="263"/>
      <c r="AP781" s="265"/>
      <c r="AQ781" s="265"/>
      <c r="AR781" s="285"/>
      <c r="AS781" s="263"/>
      <c r="AT781" s="263"/>
      <c r="AU781" s="263"/>
      <c r="AV781" s="264"/>
      <c r="AW781" s="263">
        <v>346</v>
      </c>
      <c r="AX781" s="263"/>
      <c r="AY781" s="263"/>
      <c r="AZ781" s="263"/>
      <c r="BA781" s="263"/>
      <c r="BB781" s="263"/>
      <c r="BC781" s="263"/>
      <c r="BD781" s="264"/>
      <c r="BE781" s="263"/>
      <c r="BF781" s="263"/>
      <c r="BG781" s="263"/>
      <c r="BH781" s="263"/>
      <c r="BI781" s="263"/>
      <c r="BJ781" s="404">
        <f>altaz(J2000_Bas,$O781,$M781,DecLat,DecLong,2)</f>
        <v>46.245758557834392</v>
      </c>
      <c r="BK781" s="378" t="s">
        <v>885</v>
      </c>
      <c r="BL781" s="379">
        <f>IF((2*G781)/60&lt;0.2,0.2,(2*G781)/60)</f>
        <v>0.33333333333333331</v>
      </c>
      <c r="BM781" s="380">
        <f>MOD((50000+AD781-$B$3+(0/24)),1)</f>
        <v>6.0188101437233854E-2</v>
      </c>
      <c r="BN781" s="381"/>
      <c r="BO781" s="382">
        <v>781</v>
      </c>
    </row>
    <row r="782" spans="1:67" s="24" customFormat="1" ht="15" customHeight="1" x14ac:dyDescent="0.25">
      <c r="A782" s="288" t="s">
        <v>886</v>
      </c>
      <c r="B782" s="241" t="str">
        <f>HYPERLINK(CONCATENATE($AT$3,BK782,$AU$3),$AV$3)</f>
        <v>S</v>
      </c>
      <c r="C782" s="242" t="str">
        <f>HYPERLINK(CONCATENATE($AT$4,BK782,$AU$4,BL782),$AV$4)</f>
        <v>A</v>
      </c>
      <c r="D782" s="243" t="s">
        <v>5187</v>
      </c>
      <c r="E782" s="244" t="s">
        <v>5179</v>
      </c>
      <c r="F782" s="269">
        <v>4</v>
      </c>
      <c r="G782" s="276">
        <v>15</v>
      </c>
      <c r="H782" s="271" t="s">
        <v>6500</v>
      </c>
      <c r="I782" s="244" t="s">
        <v>6500</v>
      </c>
      <c r="J782" s="246">
        <v>3</v>
      </c>
      <c r="K782" s="247" t="s">
        <v>6017</v>
      </c>
      <c r="L782" s="248">
        <v>202828</v>
      </c>
      <c r="M782" s="249">
        <f>15*(LEFT(TEXT($L782,"000000"),2)+(MID(TEXT($L782,"000000"),3,2)/60)+(RIGHT(TEXT($L782,"000000"),2)/3600))</f>
        <v>307.11666666666667</v>
      </c>
      <c r="N782" s="250">
        <v>395500</v>
      </c>
      <c r="O782" s="251">
        <f>IF($N782&gt;0,(LEFT(TEXT($N782,"000000"),2)+(MID(TEXT($N782,"000000"),3,2)/60)+(RIGHT(TEXT($N782,"000000"),2)/3600)),-(MID(TEXT($N782,"000000"),2,2)+(MID(TEXT($N782,"000000"),4,2)/60)+(RIGHT(TEXT($N782,"000000"),2)/3600)))</f>
        <v>39.916666666666664</v>
      </c>
      <c r="P782" s="252" t="s">
        <v>60</v>
      </c>
      <c r="Q782" s="253"/>
      <c r="R782" s="247" t="s">
        <v>3293</v>
      </c>
      <c r="S782" s="272" t="s">
        <v>4416</v>
      </c>
      <c r="T782" s="273"/>
      <c r="U782" s="274"/>
      <c r="V782" s="256"/>
      <c r="W782" s="244"/>
      <c r="X782" s="244"/>
      <c r="Y782" s="362"/>
      <c r="Z782" s="257">
        <f>altaz(J2000_Bas,$O782,$M782,DecLat,DecLong,1)</f>
        <v>70.696112353469985</v>
      </c>
      <c r="AA782" s="257">
        <f>altaz((J2000_Bas+(2*0.04167)),$O782,$M782,DecLat,DecLong,1)</f>
        <v>78.485333322918663</v>
      </c>
      <c r="AB782" s="257">
        <f>altaz((J2000_Bas+(4*0.04167)),$O782,$M782,DecLat,DecLong,1)</f>
        <v>57.246545387550007</v>
      </c>
      <c r="AC782" s="257">
        <f>altaz((J2000_Bas+(6*0.04167)),$O782,$M782,DecLat,DecLong,1)</f>
        <v>34.373917102103817</v>
      </c>
      <c r="AD782" s="258">
        <f>1+ transit((J2000_Bas-1),$O782,$M782,DecLat,DecLong)/360 + (GMTOffset/24) + (IF(DST="Y", 1, 0)/24)</f>
        <v>1.8460017271713747</v>
      </c>
      <c r="AE782" s="259">
        <f>DATE(2001,9,21)+(M782/360)*365 - (360*((DecLong/360)- (GMTOffset/24) ))</f>
        <v>37471.382175925923</v>
      </c>
      <c r="AF782" s="260">
        <f>IF(DecLat&gt;0,IF((90 - (DecLat-O782))&gt;90, (90 - (O782-DecLat)), (90 - (DecLat-O782))),IF((90 + (DecLat-O782))&gt;90, (90 + (O782-DecLat)), (90 + (DecLat-O782))))</f>
        <v>81.083333333333343</v>
      </c>
      <c r="AG782" s="257">
        <f>angularseperation(MoonRA,MoonDec,$M782,$O782)</f>
        <v>85.929756527857009</v>
      </c>
      <c r="AH782" s="261">
        <f ca="1">MIN(100,IF($O$5&gt;80,0+30*($AG782/100),IF($O$5&gt;70,0+50*($AG782/100),IF($O$5&gt;60,5+50*($AG782/100),IF($O$5&gt;50,10+60*($AG782/100),IF($O$5&gt;40,15+70*($AG782/100),IF($O$5&gt;30,20+70*($AG782/100),IF($O$5&gt;20,40+55*($AG782/100),(80+(20-$O$5)+30*($AG782/100))))))))))</f>
        <v>100</v>
      </c>
      <c r="AI782" s="262"/>
      <c r="AJ782" s="262"/>
      <c r="AK782" s="262"/>
      <c r="AL782" s="263"/>
      <c r="AM782" s="264"/>
      <c r="AN782" s="263"/>
      <c r="AO782" s="263"/>
      <c r="AP782" s="265"/>
      <c r="AQ782" s="266"/>
      <c r="AR782" s="267"/>
      <c r="AS782" s="263"/>
      <c r="AT782" s="263"/>
      <c r="AU782" s="263"/>
      <c r="AV782" s="264"/>
      <c r="AW782" s="263">
        <v>347</v>
      </c>
      <c r="AX782" s="263"/>
      <c r="AY782" s="263"/>
      <c r="AZ782" s="263"/>
      <c r="BA782" s="263"/>
      <c r="BB782" s="263"/>
      <c r="BC782" s="263"/>
      <c r="BD782" s="264"/>
      <c r="BE782" s="263"/>
      <c r="BF782" s="263"/>
      <c r="BG782" s="263"/>
      <c r="BH782" s="263"/>
      <c r="BI782" s="263"/>
      <c r="BJ782" s="404">
        <f>altaz(J2000_Bas,$O782,$M782,DecLat,DecLong,2)</f>
        <v>56.695349274376227</v>
      </c>
      <c r="BK782" s="378" t="s">
        <v>886</v>
      </c>
      <c r="BL782" s="379">
        <f>IF((2*G782)/60&lt;0.2,0.2,(2*G782)/60)</f>
        <v>0.5</v>
      </c>
      <c r="BM782" s="380">
        <f>MOD((50000+AD782-$B$3+(0/24)),1)</f>
        <v>6.1368656875856686E-2</v>
      </c>
      <c r="BN782" s="381"/>
      <c r="BO782" s="382">
        <v>782</v>
      </c>
    </row>
    <row r="783" spans="1:67" s="24" customFormat="1" ht="15" customHeight="1" x14ac:dyDescent="0.25">
      <c r="A783" s="287" t="s">
        <v>887</v>
      </c>
      <c r="B783" s="241" t="str">
        <f>HYPERLINK(CONCATENATE($AT$3,BK783,$AU$3),$AV$3)</f>
        <v>S</v>
      </c>
      <c r="C783" s="242" t="str">
        <f>HYPERLINK(CONCATENATE($AT$4,BK783,$AU$4,BL783),$AV$4)</f>
        <v>A</v>
      </c>
      <c r="D783" s="243" t="s">
        <v>5187</v>
      </c>
      <c r="E783" s="244" t="s">
        <v>5179</v>
      </c>
      <c r="F783" s="269">
        <v>3</v>
      </c>
      <c r="G783" s="276">
        <v>60</v>
      </c>
      <c r="H783" s="271" t="s">
        <v>6500</v>
      </c>
      <c r="I783" s="244" t="s">
        <v>6500</v>
      </c>
      <c r="J783" s="246">
        <v>0</v>
      </c>
      <c r="K783" s="247" t="s">
        <v>8408</v>
      </c>
      <c r="L783" s="248">
        <v>203426</v>
      </c>
      <c r="M783" s="249">
        <f>15*(LEFT(TEXT($L783,"000000"),2)+(MID(TEXT($L783,"000000"),3,2)/60)+(RIGHT(TEXT($L783,"000000"),2)/3600))</f>
        <v>308.60833333333335</v>
      </c>
      <c r="N783" s="286">
        <v>420500</v>
      </c>
      <c r="O783" s="251">
        <f>IF($N783&gt;0,(LEFT(TEXT($N783,"000000"),2)+(MID(TEXT($N783,"000000"),3,2)/60)+(RIGHT(TEXT($N783,"000000"),2)/3600)),-(MID(TEXT($N783,"000000"),2,2)+(MID(TEXT($N783,"000000"),4,2)/60)+(RIGHT(TEXT($N783,"000000"),2)/3600)))</f>
        <v>42.083333333333336</v>
      </c>
      <c r="P783" s="252" t="s">
        <v>60</v>
      </c>
      <c r="Q783" s="253"/>
      <c r="R783" s="277" t="s">
        <v>3293</v>
      </c>
      <c r="S783" s="272" t="s">
        <v>3293</v>
      </c>
      <c r="T783" s="273"/>
      <c r="U783" s="274"/>
      <c r="V783" s="256"/>
      <c r="W783" s="244"/>
      <c r="X783" s="244"/>
      <c r="Y783" s="362"/>
      <c r="Z783" s="257">
        <f>altaz(J2000_Bas,$O783,$M783,DecLat,DecLong,1)</f>
        <v>68.823704696152006</v>
      </c>
      <c r="AA783" s="257">
        <f>altaz((J2000_Bas+(2*0.04167)),$O783,$M783,DecLat,DecLong,1)</f>
        <v>77.405257719241916</v>
      </c>
      <c r="AB783" s="257">
        <f>altaz((J2000_Bas+(4*0.04167)),$O783,$M783,DecLat,DecLong,1)</f>
        <v>58.1528354928098</v>
      </c>
      <c r="AC783" s="257">
        <f>altaz((J2000_Bas+(6*0.04167)),$O783,$M783,DecLat,DecLong,1)</f>
        <v>35.952579568682438</v>
      </c>
      <c r="AD783" s="258">
        <f>1+ transit((J2000_Bas-1),$O783,$M783,DecLat,DecLong)/360 + (GMTOffset/24) + (IF(DST="Y", 1, 0)/24)</f>
        <v>1.8501452452755414</v>
      </c>
      <c r="AE783" s="259">
        <f>DATE(2001,9,21)+(M783/360)*365 - (360*((DecLong/360)- (GMTOffset/24) ))</f>
        <v>37472.894560185188</v>
      </c>
      <c r="AF783" s="260">
        <f>IF(DecLat&gt;0,IF((90 - (DecLat-O783))&gt;90, (90 - (O783-DecLat)), (90 - (DecLat-O783))),IF((90 + (DecLat-O783))&gt;90, (90 + (O783-DecLat)), (90 + (DecLat-O783))))</f>
        <v>78.916666666666657</v>
      </c>
      <c r="AG783" s="257">
        <f>angularseperation(MoonRA,MoonDec,$M783,$O783)</f>
        <v>88.191779852382211</v>
      </c>
      <c r="AH783" s="261">
        <f ca="1">MIN(100,IF($O$5&gt;80,0+30*($AG783/100),IF($O$5&gt;70,0+50*($AG783/100),IF($O$5&gt;60,5+50*($AG783/100),IF($O$5&gt;50,10+60*($AG783/100),IF($O$5&gt;40,15+70*($AG783/100),IF($O$5&gt;30,20+70*($AG783/100),IF($O$5&gt;20,40+55*($AG783/100),(80+(20-$O$5)+30*($AG783/100))))))))))</f>
        <v>100</v>
      </c>
      <c r="AI783" s="263"/>
      <c r="AJ783" s="263"/>
      <c r="AK783" s="263"/>
      <c r="AL783" s="263"/>
      <c r="AM783" s="264"/>
      <c r="AN783" s="263"/>
      <c r="AO783" s="263"/>
      <c r="AP783" s="265"/>
      <c r="AQ783" s="265"/>
      <c r="AR783" s="285"/>
      <c r="AS783" s="263"/>
      <c r="AT783" s="263"/>
      <c r="AU783" s="263"/>
      <c r="AV783" s="264"/>
      <c r="AW783" s="263">
        <v>348</v>
      </c>
      <c r="AX783" s="263"/>
      <c r="AY783" s="263"/>
      <c r="AZ783" s="263"/>
      <c r="BA783" s="263"/>
      <c r="BB783" s="263"/>
      <c r="BC783" s="263"/>
      <c r="BD783" s="264"/>
      <c r="BE783" s="263"/>
      <c r="BF783" s="263"/>
      <c r="BG783" s="263"/>
      <c r="BH783" s="263"/>
      <c r="BI783" s="263"/>
      <c r="BJ783" s="404">
        <f>altaz(J2000_Bas,$O783,$M783,DecLat,DecLong,2)</f>
        <v>52.16025802814687</v>
      </c>
      <c r="BK783" s="378" t="s">
        <v>887</v>
      </c>
      <c r="BL783" s="379">
        <f>IF((2*G783)/60&lt;0.2,0.2,(2*G783)/60)</f>
        <v>2</v>
      </c>
      <c r="BM783" s="380">
        <f>MOD((50000+AD783-$B$3+(0/24)),1)</f>
        <v>6.5512174980540294E-2</v>
      </c>
      <c r="BN783" s="381"/>
      <c r="BO783" s="382">
        <v>783</v>
      </c>
    </row>
    <row r="784" spans="1:67" s="24" customFormat="1" ht="15" customHeight="1" x14ac:dyDescent="0.25">
      <c r="A784" s="287" t="s">
        <v>888</v>
      </c>
      <c r="B784" s="241" t="str">
        <f>HYPERLINK(CONCATENATE($AT$3,BK784,$AU$3),$AV$3)</f>
        <v>S</v>
      </c>
      <c r="C784" s="242" t="str">
        <f>HYPERLINK(CONCATENATE($AT$4,BK784,$AU$4,BL784),$AV$4)</f>
        <v>A</v>
      </c>
      <c r="D784" s="243" t="s">
        <v>5187</v>
      </c>
      <c r="E784" s="244" t="s">
        <v>5179</v>
      </c>
      <c r="F784" s="269">
        <v>3</v>
      </c>
      <c r="G784" s="273">
        <v>6</v>
      </c>
      <c r="H784" s="271" t="s">
        <v>6500</v>
      </c>
      <c r="I784" s="244" t="s">
        <v>6500</v>
      </c>
      <c r="J784" s="246">
        <v>2</v>
      </c>
      <c r="K784" s="247" t="s">
        <v>8409</v>
      </c>
      <c r="L784" s="248">
        <v>204724</v>
      </c>
      <c r="M784" s="249">
        <f>15*(LEFT(TEXT($L784,"000000"),2)+(MID(TEXT($L784,"000000"),3,2)/60)+(RIGHT(TEXT($L784,"000000"),2)/3600))</f>
        <v>311.85000000000002</v>
      </c>
      <c r="N784" s="286">
        <v>435700</v>
      </c>
      <c r="O784" s="251">
        <f>IF($N784&gt;0,(LEFT(TEXT($N784,"000000"),2)+(MID(TEXT($N784,"000000"),3,2)/60)+(RIGHT(TEXT($N784,"000000"),2)/3600)),-(MID(TEXT($N784,"000000"),2,2)+(MID(TEXT($N784,"000000"),4,2)/60)+(RIGHT(TEXT($N784,"000000"),2)/3600)))</f>
        <v>43.95</v>
      </c>
      <c r="P784" s="252" t="s">
        <v>60</v>
      </c>
      <c r="Q784" s="253"/>
      <c r="R784" s="277" t="s">
        <v>3293</v>
      </c>
      <c r="S784" s="272" t="s">
        <v>3293</v>
      </c>
      <c r="T784" s="273"/>
      <c r="U784" s="274"/>
      <c r="V784" s="256"/>
      <c r="W784" s="244"/>
      <c r="X784" s="244"/>
      <c r="Y784" s="362"/>
      <c r="Z784" s="257">
        <f>altaz(J2000_Bas,$O784,$M784,DecLat,DecLong,1)</f>
        <v>65.899282410530645</v>
      </c>
      <c r="AA784" s="257">
        <f>altaz((J2000_Bas+(2*0.04167)),$O784,$M784,DecLat,DecLong,1)</f>
        <v>76.625587420545003</v>
      </c>
      <c r="AB784" s="257">
        <f>altaz((J2000_Bas+(4*0.04167)),$O784,$M784,DecLat,DecLong,1)</f>
        <v>60.125325135073723</v>
      </c>
      <c r="AC784" s="257">
        <f>altaz((J2000_Bas+(6*0.04167)),$O784,$M784,DecLat,DecLong,1)</f>
        <v>38.611570569792455</v>
      </c>
      <c r="AD784" s="258">
        <f>1+ transit((J2000_Bas-1),$O784,$M784,DecLat,DecLong)/360 + (GMTOffset/24) + (IF(DST="Y", 1, 0)/24)</f>
        <v>1.8591498740047079</v>
      </c>
      <c r="AE784" s="259">
        <f>DATE(2001,9,21)+(M784/360)*365 - (360*((DecLong/360)- (GMTOffset/24) ))</f>
        <v>37476.181250000001</v>
      </c>
      <c r="AF784" s="260">
        <f>IF(DecLat&gt;0,IF((90 - (DecLat-O784))&gt;90, (90 - (O784-DecLat)), (90 - (DecLat-O784))),IF((90 + (DecLat-O784))&gt;90, (90 + (O784-DecLat)), (90 + (DecLat-O784))))</f>
        <v>77.05</v>
      </c>
      <c r="AG784" s="257">
        <f>angularseperation(MoonRA,MoonDec,$M784,$O784)</f>
        <v>91.208148097369104</v>
      </c>
      <c r="AH784" s="261">
        <f ca="1">MIN(100,IF($O$5&gt;80,0+30*($AG784/100),IF($O$5&gt;70,0+50*($AG784/100),IF($O$5&gt;60,5+50*($AG784/100),IF($O$5&gt;50,10+60*($AG784/100),IF($O$5&gt;40,15+70*($AG784/100),IF($O$5&gt;30,20+70*($AG784/100),IF($O$5&gt;20,40+55*($AG784/100),(80+(20-$O$5)+30*($AG784/100))))))))))</f>
        <v>100</v>
      </c>
      <c r="AI784" s="263"/>
      <c r="AJ784" s="263"/>
      <c r="AK784" s="263"/>
      <c r="AL784" s="263"/>
      <c r="AM784" s="264"/>
      <c r="AN784" s="263"/>
      <c r="AO784" s="263"/>
      <c r="AP784" s="265"/>
      <c r="AQ784" s="265"/>
      <c r="AR784" s="285"/>
      <c r="AS784" s="263"/>
      <c r="AT784" s="263"/>
      <c r="AU784" s="263"/>
      <c r="AV784" s="264"/>
      <c r="AW784" s="263">
        <v>349</v>
      </c>
      <c r="AX784" s="263"/>
      <c r="AY784" s="263"/>
      <c r="AZ784" s="263"/>
      <c r="BA784" s="263"/>
      <c r="BB784" s="263"/>
      <c r="BC784" s="263"/>
      <c r="BD784" s="264"/>
      <c r="BE784" s="263"/>
      <c r="BF784" s="263"/>
      <c r="BG784" s="263"/>
      <c r="BH784" s="263"/>
      <c r="BI784" s="263"/>
      <c r="BJ784" s="404">
        <f>altaz(J2000_Bas,$O784,$M784,DecLat,DecLong,2)</f>
        <v>50.234260818423508</v>
      </c>
      <c r="BK784" s="378" t="s">
        <v>888</v>
      </c>
      <c r="BL784" s="379">
        <f>IF((2*G784)/60&lt;0.2,0.2,(2*G784)/60)</f>
        <v>0.2</v>
      </c>
      <c r="BM784" s="380">
        <f>MOD((50000+AD784-$B$3+(0/24)),1)</f>
        <v>7.4516803710139357E-2</v>
      </c>
      <c r="BN784" s="381"/>
      <c r="BO784" s="382">
        <v>784</v>
      </c>
    </row>
    <row r="785" spans="1:67" s="24" customFormat="1" ht="15" customHeight="1" x14ac:dyDescent="0.25">
      <c r="A785" s="287" t="s">
        <v>889</v>
      </c>
      <c r="B785" s="241" t="str">
        <f>HYPERLINK(CONCATENATE($AT$3,BK785,$AU$3),$AV$3)</f>
        <v>S</v>
      </c>
      <c r="C785" s="242" t="str">
        <f>HYPERLINK(CONCATENATE($AT$4,BK785,$AU$4,BL785),$AV$4)</f>
        <v>A</v>
      </c>
      <c r="D785" s="243" t="s">
        <v>5187</v>
      </c>
      <c r="E785" s="244" t="s">
        <v>5179</v>
      </c>
      <c r="F785" s="269">
        <v>6</v>
      </c>
      <c r="G785" s="273">
        <v>3</v>
      </c>
      <c r="H785" s="271" t="s">
        <v>6500</v>
      </c>
      <c r="I785" s="244" t="s">
        <v>6500</v>
      </c>
      <c r="J785" s="246">
        <v>0</v>
      </c>
      <c r="K785" s="247" t="s">
        <v>5928</v>
      </c>
      <c r="L785" s="248">
        <v>204907</v>
      </c>
      <c r="M785" s="249">
        <f>15*(LEFT(TEXT($L785,"000000"),2)+(MID(TEXT($L785,"000000"),3,2)/60)+(RIGHT(TEXT($L785,"000000"),2)/3600))</f>
        <v>312.27916666666664</v>
      </c>
      <c r="N785" s="286">
        <v>455300</v>
      </c>
      <c r="O785" s="251">
        <f>IF($N785&gt;0,(LEFT(TEXT($N785,"000000"),2)+(MID(TEXT($N785,"000000"),3,2)/60)+(RIGHT(TEXT($N785,"000000"),2)/3600)),-(MID(TEXT($N785,"000000"),2,2)+(MID(TEXT($N785,"000000"),4,2)/60)+(RIGHT(TEXT($N785,"000000"),2)/3600)))</f>
        <v>45.883333333333333</v>
      </c>
      <c r="P785" s="252" t="s">
        <v>60</v>
      </c>
      <c r="Q785" s="253"/>
      <c r="R785" s="277" t="s">
        <v>3293</v>
      </c>
      <c r="S785" s="272" t="s">
        <v>3293</v>
      </c>
      <c r="T785" s="273"/>
      <c r="U785" s="274"/>
      <c r="V785" s="256"/>
      <c r="W785" s="244"/>
      <c r="X785" s="244"/>
      <c r="Y785" s="362"/>
      <c r="Z785" s="257">
        <f>altaz(J2000_Bas,$O785,$M785,DecLat,DecLong,1)</f>
        <v>64.795451461000354</v>
      </c>
      <c r="AA785" s="257">
        <f>altaz((J2000_Bas+(2*0.04167)),$O785,$M785,DecLat,DecLong,1)</f>
        <v>74.825580704068187</v>
      </c>
      <c r="AB785" s="257">
        <f>altaz((J2000_Bas+(4*0.04167)),$O785,$M785,DecLat,DecLong,1)</f>
        <v>59.889977830131542</v>
      </c>
      <c r="AC785" s="257">
        <f>altaz((J2000_Bas+(6*0.04167)),$O785,$M785,DecLat,DecLong,1)</f>
        <v>39.16423083091307</v>
      </c>
      <c r="AD785" s="258">
        <f>1+ transit((J2000_Bas-1),$O785,$M785,DecLat,DecLong)/360 + (GMTOffset/24) + (IF(DST="Y", 1, 0)/24)</f>
        <v>1.8603420035151246</v>
      </c>
      <c r="AE785" s="259">
        <f>DATE(2001,9,21)+(M785/360)*365 - (360*((DecLong/360)- (GMTOffset/24) ))</f>
        <v>37476.616377314815</v>
      </c>
      <c r="AF785" s="260">
        <f>IF(DecLat&gt;0,IF((90 - (DecLat-O785))&gt;90, (90 - (O785-DecLat)), (90 - (DecLat-O785))),IF((90 + (DecLat-O785))&gt;90, (90 + (O785-DecLat)), (90 + (DecLat-O785))))</f>
        <v>75.116666666666674</v>
      </c>
      <c r="AG785" s="257">
        <f>angularseperation(MoonRA,MoonDec,$M785,$O785)</f>
        <v>92.628046576900886</v>
      </c>
      <c r="AH785" s="261">
        <f ca="1">MIN(100,IF($O$5&gt;80,0+30*($AG785/100),IF($O$5&gt;70,0+50*($AG785/100),IF($O$5&gt;60,5+50*($AG785/100),IF($O$5&gt;50,10+60*($AG785/100),IF($O$5&gt;40,15+70*($AG785/100),IF($O$5&gt;30,20+70*($AG785/100),IF($O$5&gt;20,40+55*($AG785/100),(80+(20-$O$5)+30*($AG785/100))))))))))</f>
        <v>100</v>
      </c>
      <c r="AI785" s="263"/>
      <c r="AJ785" s="263"/>
      <c r="AK785" s="263"/>
      <c r="AL785" s="263"/>
      <c r="AM785" s="264"/>
      <c r="AN785" s="263"/>
      <c r="AO785" s="263"/>
      <c r="AP785" s="265"/>
      <c r="AQ785" s="265"/>
      <c r="AR785" s="285"/>
      <c r="AS785" s="263"/>
      <c r="AT785" s="263"/>
      <c r="AU785" s="263"/>
      <c r="AV785" s="264"/>
      <c r="AW785" s="263">
        <v>350</v>
      </c>
      <c r="AX785" s="263"/>
      <c r="AY785" s="263"/>
      <c r="AZ785" s="263"/>
      <c r="BA785" s="263"/>
      <c r="BB785" s="263"/>
      <c r="BC785" s="263"/>
      <c r="BD785" s="264"/>
      <c r="BE785" s="263"/>
      <c r="BF785" s="263"/>
      <c r="BG785" s="263"/>
      <c r="BH785" s="263"/>
      <c r="BI785" s="263"/>
      <c r="BJ785" s="404">
        <f>altaz(J2000_Bas,$O785,$M785,DecLat,DecLong,2)</f>
        <v>46.358362129108521</v>
      </c>
      <c r="BK785" s="378" t="s">
        <v>889</v>
      </c>
      <c r="BL785" s="379">
        <f>IF((2*G785)/60&lt;0.2,0.2,(2*G785)/60)</f>
        <v>0.2</v>
      </c>
      <c r="BM785" s="380">
        <f>MOD((50000+AD785-$B$3+(0/24)),1)</f>
        <v>7.5708933218265884E-2</v>
      </c>
      <c r="BN785" s="381"/>
      <c r="BO785" s="382">
        <v>785</v>
      </c>
    </row>
    <row r="786" spans="1:67" s="24" customFormat="1" ht="15" customHeight="1" x14ac:dyDescent="0.25">
      <c r="A786" s="287" t="s">
        <v>890</v>
      </c>
      <c r="B786" s="241" t="str">
        <f>HYPERLINK(CONCATENATE($AT$3,BK786,$AU$3),$AV$3)</f>
        <v>S</v>
      </c>
      <c r="C786" s="242" t="str">
        <f>HYPERLINK(CONCATENATE($AT$4,BK786,$AU$4,BL786),$AV$4)</f>
        <v>A</v>
      </c>
      <c r="D786" s="243" t="s">
        <v>5187</v>
      </c>
      <c r="E786" s="244" t="s">
        <v>5179</v>
      </c>
      <c r="F786" s="269">
        <v>0</v>
      </c>
      <c r="G786" s="276">
        <v>25</v>
      </c>
      <c r="H786" s="271" t="s">
        <v>6500</v>
      </c>
      <c r="I786" s="244" t="s">
        <v>6500</v>
      </c>
      <c r="J786" s="246">
        <v>1</v>
      </c>
      <c r="K786" s="247" t="s">
        <v>5929</v>
      </c>
      <c r="L786" s="248">
        <v>205228</v>
      </c>
      <c r="M786" s="249">
        <f>15*(LEFT(TEXT($L786,"000000"),2)+(MID(TEXT($L786,"000000"),3,2)/60)+(RIGHT(TEXT($L786,"000000"),2)/3600))</f>
        <v>313.11666666666667</v>
      </c>
      <c r="N786" s="286">
        <v>472400</v>
      </c>
      <c r="O786" s="251">
        <f>IF($N786&gt;0,(LEFT(TEXT($N786,"000000"),2)+(MID(TEXT($N786,"000000"),3,2)/60)+(RIGHT(TEXT($N786,"000000"),2)/3600)),-(MID(TEXT($N786,"000000"),2,2)+(MID(TEXT($N786,"000000"),4,2)/60)+(RIGHT(TEXT($N786,"000000"),2)/3600)))</f>
        <v>47.4</v>
      </c>
      <c r="P786" s="252" t="s">
        <v>60</v>
      </c>
      <c r="Q786" s="253"/>
      <c r="R786" s="277" t="s">
        <v>3293</v>
      </c>
      <c r="S786" s="272" t="s">
        <v>3293</v>
      </c>
      <c r="T786" s="273"/>
      <c r="U786" s="274"/>
      <c r="V786" s="256"/>
      <c r="W786" s="244"/>
      <c r="X786" s="244"/>
      <c r="Y786" s="362"/>
      <c r="Z786" s="257">
        <f>altaz(J2000_Bas,$O786,$M786,DecLat,DecLong,1)</f>
        <v>63.579305849734425</v>
      </c>
      <c r="AA786" s="257">
        <f>altaz((J2000_Bas+(2*0.04167)),$O786,$M786,DecLat,DecLong,1)</f>
        <v>73.442533559134802</v>
      </c>
      <c r="AB786" s="257">
        <f>altaz((J2000_Bas+(4*0.04167)),$O786,$M786,DecLat,DecLong,1)</f>
        <v>59.929265251052222</v>
      </c>
      <c r="AC786" s="257">
        <f>altaz((J2000_Bas+(6*0.04167)),$O786,$M786,DecLat,DecLong,1)</f>
        <v>39.885929128341786</v>
      </c>
      <c r="AD786" s="258">
        <f>1+ transit((J2000_Bas-1),$O786,$M786,DecLat,DecLong)/360 + (GMTOffset/24) + (IF(DST="Y", 1, 0)/24)</f>
        <v>1.8626683921713745</v>
      </c>
      <c r="AE786" s="259">
        <f>DATE(2001,9,21)+(M786/360)*365 - (360*((DecLong/360)- (GMTOffset/24) ))</f>
        <v>37477.465509259258</v>
      </c>
      <c r="AF786" s="260">
        <f>IF(DecLat&gt;0,IF((90 - (DecLat-O786))&gt;90, (90 - (O786-DecLat)), (90 - (DecLat-O786))),IF((90 + (DecLat-O786))&gt;90, (90 + (O786-DecLat)), (90 + (DecLat-O786))))</f>
        <v>73.599999999999994</v>
      </c>
      <c r="AG786" s="257">
        <f>angularseperation(MoonRA,MoonDec,$M786,$O786)</f>
        <v>94.001115823626336</v>
      </c>
      <c r="AH786" s="261">
        <f ca="1">MIN(100,IF($O$5&gt;80,0+30*($AG786/100),IF($O$5&gt;70,0+50*($AG786/100),IF($O$5&gt;60,5+50*($AG786/100),IF($O$5&gt;50,10+60*($AG786/100),IF($O$5&gt;40,15+70*($AG786/100),IF($O$5&gt;30,20+70*($AG786/100),IF($O$5&gt;20,40+55*($AG786/100),(80+(20-$O$5)+30*($AG786/100))))))))))</f>
        <v>100</v>
      </c>
      <c r="AI786" s="263"/>
      <c r="AJ786" s="263"/>
      <c r="AK786" s="263"/>
      <c r="AL786" s="263"/>
      <c r="AM786" s="264"/>
      <c r="AN786" s="263"/>
      <c r="AO786" s="263"/>
      <c r="AP786" s="265"/>
      <c r="AQ786" s="265"/>
      <c r="AR786" s="285"/>
      <c r="AS786" s="263"/>
      <c r="AT786" s="263"/>
      <c r="AU786" s="263"/>
      <c r="AV786" s="264"/>
      <c r="AW786" s="263">
        <v>351</v>
      </c>
      <c r="AX786" s="263"/>
      <c r="AY786" s="263"/>
      <c r="AZ786" s="263"/>
      <c r="BA786" s="263"/>
      <c r="BB786" s="263"/>
      <c r="BC786" s="263"/>
      <c r="BD786" s="264"/>
      <c r="BE786" s="263"/>
      <c r="BF786" s="263"/>
      <c r="BG786" s="263"/>
      <c r="BH786" s="263"/>
      <c r="BI786" s="263"/>
      <c r="BJ786" s="404">
        <f>altaz(J2000_Bas,$O786,$M786,DecLat,DecLong,2)</f>
        <v>43.89283288407065</v>
      </c>
      <c r="BK786" s="378" t="s">
        <v>890</v>
      </c>
      <c r="BL786" s="379">
        <f>IF((2*G786)/60&lt;0.2,0.2,(2*G786)/60)</f>
        <v>0.83333333333333337</v>
      </c>
      <c r="BM786" s="380">
        <f>MOD((50000+AD786-$B$3+(0/24)),1)</f>
        <v>7.8035321872448549E-2</v>
      </c>
      <c r="BN786" s="381"/>
      <c r="BO786" s="382">
        <v>786</v>
      </c>
    </row>
    <row r="787" spans="1:67" s="24" customFormat="1" ht="15" customHeight="1" x14ac:dyDescent="0.25">
      <c r="A787" s="288" t="s">
        <v>891</v>
      </c>
      <c r="B787" s="241" t="str">
        <f>HYPERLINK(CONCATENATE($AT$3,BK787,$AU$3),$AV$3)</f>
        <v>S</v>
      </c>
      <c r="C787" s="242" t="str">
        <f>HYPERLINK(CONCATENATE($AT$4,BK787,$AU$4,BL787),$AV$4)</f>
        <v>A</v>
      </c>
      <c r="D787" s="243" t="s">
        <v>5187</v>
      </c>
      <c r="E787" s="244" t="s">
        <v>5179</v>
      </c>
      <c r="F787" s="269">
        <v>5</v>
      </c>
      <c r="G787" s="276">
        <v>22</v>
      </c>
      <c r="H787" s="271" t="s">
        <v>6500</v>
      </c>
      <c r="I787" s="244" t="s">
        <v>6500</v>
      </c>
      <c r="J787" s="246">
        <v>2</v>
      </c>
      <c r="K787" s="247" t="s">
        <v>8410</v>
      </c>
      <c r="L787" s="248">
        <v>205711</v>
      </c>
      <c r="M787" s="249">
        <f>15*(LEFT(TEXT($L787,"000000"),2)+(MID(TEXT($L787,"000000"),3,2)/60)+(RIGHT(TEXT($L787,"000000"),2)/3600))</f>
        <v>314.29583333333329</v>
      </c>
      <c r="N787" s="250">
        <v>455400</v>
      </c>
      <c r="O787" s="251">
        <f>IF($N787&gt;0,(LEFT(TEXT($N787,"000000"),2)+(MID(TEXT($N787,"000000"),3,2)/60)+(RIGHT(TEXT($N787,"000000"),2)/3600)),-(MID(TEXT($N787,"000000"),2,2)+(MID(TEXT($N787,"000000"),4,2)/60)+(RIGHT(TEXT($N787,"000000"),2)/3600)))</f>
        <v>45.9</v>
      </c>
      <c r="P787" s="252" t="s">
        <v>60</v>
      </c>
      <c r="Q787" s="253"/>
      <c r="R787" s="247" t="s">
        <v>3293</v>
      </c>
      <c r="S787" s="272" t="s">
        <v>3293</v>
      </c>
      <c r="T787" s="273"/>
      <c r="U787" s="274"/>
      <c r="V787" s="256"/>
      <c r="W787" s="244"/>
      <c r="X787" s="244"/>
      <c r="Y787" s="362"/>
      <c r="Z787" s="257">
        <f>altaz(J2000_Bas,$O787,$M787,DecLat,DecLong,1)</f>
        <v>63.522911005067314</v>
      </c>
      <c r="AA787" s="257">
        <f>altaz((J2000_Bas+(2*0.04167)),$O787,$M787,DecLat,DecLong,1)</f>
        <v>75.035180216665509</v>
      </c>
      <c r="AB787" s="257">
        <f>altaz((J2000_Bas+(4*0.04167)),$O787,$M787,DecLat,DecLong,1)</f>
        <v>61.213274407612069</v>
      </c>
      <c r="AC787" s="257">
        <f>altaz((J2000_Bas+(6*0.04167)),$O787,$M787,DecLat,DecLong,1)</f>
        <v>40.562137209981536</v>
      </c>
      <c r="AD787" s="258">
        <f>1+ transit((J2000_Bas-1),$O787,$M787,DecLat,DecLong)/360 + (GMTOffset/24) + (IF(DST="Y", 1, 0)/24)</f>
        <v>1.865943854806791</v>
      </c>
      <c r="AE787" s="259">
        <f>DATE(2001,9,21)+(M787/360)*365 - (360*((DecLong/360)- (GMTOffset/24) ))</f>
        <v>37478.661053240743</v>
      </c>
      <c r="AF787" s="260">
        <f>IF(DecLat&gt;0,IF((90 - (DecLat-O787))&gt;90, (90 - (O787-DecLat)), (90 - (DecLat-O787))),IF((90 + (DecLat-O787))&gt;90, (90 + (O787-DecLat)), (90 + (DecLat-O787))))</f>
        <v>75.099999999999994</v>
      </c>
      <c r="AG787" s="257">
        <f>angularseperation(MoonRA,MoonDec,$M787,$O787)</f>
        <v>93.763385054947477</v>
      </c>
      <c r="AH787" s="261">
        <f ca="1">MIN(100,IF($O$5&gt;80,0+30*($AG787/100),IF($O$5&gt;70,0+50*($AG787/100),IF($O$5&gt;60,5+50*($AG787/100),IF($O$5&gt;50,10+60*($AG787/100),IF($O$5&gt;40,15+70*($AG787/100),IF($O$5&gt;30,20+70*($AG787/100),IF($O$5&gt;20,40+55*($AG787/100),(80+(20-$O$5)+30*($AG787/100))))))))))</f>
        <v>100</v>
      </c>
      <c r="AI787" s="262"/>
      <c r="AJ787" s="262"/>
      <c r="AK787" s="262"/>
      <c r="AL787" s="263"/>
      <c r="AM787" s="264"/>
      <c r="AN787" s="263"/>
      <c r="AO787" s="263"/>
      <c r="AP787" s="265"/>
      <c r="AQ787" s="266"/>
      <c r="AR787" s="267"/>
      <c r="AS787" s="263"/>
      <c r="AT787" s="263"/>
      <c r="AU787" s="263"/>
      <c r="AV787" s="264"/>
      <c r="AW787" s="263">
        <v>352</v>
      </c>
      <c r="AX787" s="263"/>
      <c r="AY787" s="263"/>
      <c r="AZ787" s="263"/>
      <c r="BA787" s="263"/>
      <c r="BB787" s="263"/>
      <c r="BC787" s="263"/>
      <c r="BD787" s="264"/>
      <c r="BE787" s="263"/>
      <c r="BF787" s="263"/>
      <c r="BG787" s="263"/>
      <c r="BH787" s="263"/>
      <c r="BI787" s="263"/>
      <c r="BJ787" s="404">
        <f>altaz(J2000_Bas,$O787,$M787,DecLat,DecLong,2)</f>
        <v>47.718015404550883</v>
      </c>
      <c r="BK787" s="378" t="s">
        <v>891</v>
      </c>
      <c r="BL787" s="379">
        <f>IF((2*G787)/60&lt;0.2,0.2,(2*G787)/60)</f>
        <v>0.73333333333333328</v>
      </c>
      <c r="BM787" s="380">
        <f>MOD((50000+AD787-$B$3+(0/24)),1)</f>
        <v>8.1310784509696532E-2</v>
      </c>
      <c r="BN787" s="381"/>
      <c r="BO787" s="382">
        <v>787</v>
      </c>
    </row>
    <row r="788" spans="1:67" s="24" customFormat="1" ht="15" customHeight="1" x14ac:dyDescent="0.25">
      <c r="A788" s="288" t="s">
        <v>892</v>
      </c>
      <c r="B788" s="241" t="str">
        <f>HYPERLINK(CONCATENATE($AT$3,BK788,$AU$3),$AV$3)</f>
        <v>S</v>
      </c>
      <c r="C788" s="242" t="str">
        <f>HYPERLINK(CONCATENATE($AT$4,BK788,$AU$4,BL788),$AV$4)</f>
        <v>A</v>
      </c>
      <c r="D788" s="243" t="s">
        <v>5187</v>
      </c>
      <c r="E788" s="244" t="s">
        <v>5179</v>
      </c>
      <c r="F788" s="269">
        <v>0</v>
      </c>
      <c r="G788" s="276">
        <v>23</v>
      </c>
      <c r="H788" s="271" t="s">
        <v>6500</v>
      </c>
      <c r="I788" s="244" t="s">
        <v>6500</v>
      </c>
      <c r="J788" s="246">
        <v>2</v>
      </c>
      <c r="K788" s="247" t="s">
        <v>5930</v>
      </c>
      <c r="L788" s="248">
        <v>205723</v>
      </c>
      <c r="M788" s="249">
        <f>15*(LEFT(TEXT($L788,"000000"),2)+(MID(TEXT($L788,"000000"),3,2)/60)+(RIGHT(TEXT($L788,"000000"),2)/3600))</f>
        <v>314.3458333333333</v>
      </c>
      <c r="N788" s="250">
        <v>452900</v>
      </c>
      <c r="O788" s="251">
        <f>IF($N788&gt;0,(LEFT(TEXT($N788,"000000"),2)+(MID(TEXT($N788,"000000"),3,2)/60)+(RIGHT(TEXT($N788,"000000"),2)/3600)),-(MID(TEXT($N788,"000000"),2,2)+(MID(TEXT($N788,"000000"),4,2)/60)+(RIGHT(TEXT($N788,"000000"),2)/3600)))</f>
        <v>45.483333333333334</v>
      </c>
      <c r="P788" s="252" t="s">
        <v>60</v>
      </c>
      <c r="Q788" s="253" t="s">
        <v>6941</v>
      </c>
      <c r="R788" s="247" t="s">
        <v>3293</v>
      </c>
      <c r="S788" s="272" t="s">
        <v>4417</v>
      </c>
      <c r="T788" s="273"/>
      <c r="U788" s="274"/>
      <c r="V788" s="256"/>
      <c r="W788" s="244"/>
      <c r="X788" s="244"/>
      <c r="Y788" s="362"/>
      <c r="Z788" s="257">
        <f>altaz(J2000_Bas,$O788,$M788,DecLat,DecLong,1)</f>
        <v>63.659806076049065</v>
      </c>
      <c r="AA788" s="257">
        <f>altaz((J2000_Bas+(2*0.04167)),$O788,$M788,DecLat,DecLong,1)</f>
        <v>75.453222002684512</v>
      </c>
      <c r="AB788" s="257">
        <f>altaz((J2000_Bas+(4*0.04167)),$O788,$M788,DecLat,DecLong,1)</f>
        <v>61.386084774620819</v>
      </c>
      <c r="AC788" s="257">
        <f>altaz((J2000_Bas+(6*0.04167)),$O788,$M788,DecLat,DecLong,1)</f>
        <v>40.557866173933832</v>
      </c>
      <c r="AD788" s="258">
        <f>1+ transit((J2000_Bas-1),$O788,$M788,DecLat,DecLong)/360 + (GMTOffset/24) + (IF(DST="Y", 1, 0)/24)</f>
        <v>1.8660827436817911</v>
      </c>
      <c r="AE788" s="259">
        <f>DATE(2001,9,21)+(M788/360)*365 - (360*((DecLong/360)- (GMTOffset/24) ))</f>
        <v>37478.711747685185</v>
      </c>
      <c r="AF788" s="260">
        <f>IF(DecLat&gt;0,IF((90 - (DecLat-O788))&gt;90, (90 - (O788-DecLat)), (90 - (DecLat-O788))),IF((90 + (DecLat-O788))&gt;90, (90 + (O788-DecLat)), (90 + (DecLat-O788))))</f>
        <v>75.516666666666666</v>
      </c>
      <c r="AG788" s="257">
        <f>angularseperation(MoonRA,MoonDec,$M788,$O788)</f>
        <v>93.54677161845629</v>
      </c>
      <c r="AH788" s="261">
        <f ca="1">MIN(100,IF($O$5&gt;80,0+30*($AG788/100),IF($O$5&gt;70,0+50*($AG788/100),IF($O$5&gt;60,5+50*($AG788/100),IF($O$5&gt;50,10+60*($AG788/100),IF($O$5&gt;40,15+70*($AG788/100),IF($O$5&gt;30,20+70*($AG788/100),IF($O$5&gt;20,40+55*($AG788/100),(80+(20-$O$5)+30*($AG788/100))))))))))</f>
        <v>100</v>
      </c>
      <c r="AI788" s="262"/>
      <c r="AJ788" s="262"/>
      <c r="AK788" s="262"/>
      <c r="AL788" s="263"/>
      <c r="AM788" s="264"/>
      <c r="AN788" s="263"/>
      <c r="AO788" s="263"/>
      <c r="AP788" s="265"/>
      <c r="AQ788" s="266"/>
      <c r="AR788" s="267"/>
      <c r="AS788" s="263"/>
      <c r="AT788" s="263"/>
      <c r="AU788" s="263"/>
      <c r="AV788" s="264"/>
      <c r="AW788" s="263">
        <v>353</v>
      </c>
      <c r="AX788" s="263"/>
      <c r="AY788" s="263"/>
      <c r="AZ788" s="263"/>
      <c r="BA788" s="263"/>
      <c r="BB788" s="263"/>
      <c r="BC788" s="263"/>
      <c r="BD788" s="264"/>
      <c r="BE788" s="263"/>
      <c r="BF788" s="263"/>
      <c r="BG788" s="263"/>
      <c r="BH788" s="263"/>
      <c r="BI788" s="263"/>
      <c r="BJ788" s="404">
        <f>altaz(J2000_Bas,$O788,$M788,DecLat,DecLong,2)</f>
        <v>48.606311082342636</v>
      </c>
      <c r="BK788" s="378" t="s">
        <v>892</v>
      </c>
      <c r="BL788" s="379">
        <f>IF((2*G788)/60&lt;0.2,0.2,(2*G788)/60)</f>
        <v>0.76666666666666672</v>
      </c>
      <c r="BM788" s="380">
        <f>MOD((50000+AD788-$B$3+(0/24)),1)</f>
        <v>8.1449673387396615E-2</v>
      </c>
      <c r="BN788" s="381"/>
      <c r="BO788" s="382">
        <v>788</v>
      </c>
    </row>
    <row r="789" spans="1:67" s="24" customFormat="1" ht="15" customHeight="1" x14ac:dyDescent="0.25">
      <c r="A789" s="287" t="s">
        <v>893</v>
      </c>
      <c r="B789" s="241" t="str">
        <f>HYPERLINK(CONCATENATE($AT$3,BK789,$AU$3),$AV$3)</f>
        <v>S</v>
      </c>
      <c r="C789" s="242" t="str">
        <f>HYPERLINK(CONCATENATE($AT$4,BK789,$AU$4,BL789),$AV$4)</f>
        <v>A</v>
      </c>
      <c r="D789" s="243" t="s">
        <v>5187</v>
      </c>
      <c r="E789" s="244" t="s">
        <v>5179</v>
      </c>
      <c r="F789" s="269">
        <v>2</v>
      </c>
      <c r="G789" s="276">
        <v>60</v>
      </c>
      <c r="H789" s="271" t="s">
        <v>6500</v>
      </c>
      <c r="I789" s="244" t="s">
        <v>6500</v>
      </c>
      <c r="J789" s="246">
        <v>0</v>
      </c>
      <c r="K789" s="247" t="s">
        <v>5931</v>
      </c>
      <c r="L789" s="248">
        <v>205814</v>
      </c>
      <c r="M789" s="249">
        <f>15*(LEFT(TEXT($L789,"000000"),2)+(MID(TEXT($L789,"000000"),3,2)/60)+(RIGHT(TEXT($L789,"000000"),2)/3600))</f>
        <v>314.55833333333328</v>
      </c>
      <c r="N789" s="286">
        <v>580900</v>
      </c>
      <c r="O789" s="251">
        <f>IF($N789&gt;0,(LEFT(TEXT($N789,"000000"),2)+(MID(TEXT($N789,"000000"),3,2)/60)+(RIGHT(TEXT($N789,"000000"),2)/3600)),-(MID(TEXT($N789,"000000"),2,2)+(MID(TEXT($N789,"000000"),4,2)/60)+(RIGHT(TEXT($N789,"000000"),2)/3600)))</f>
        <v>58.15</v>
      </c>
      <c r="P789" s="252" t="s">
        <v>52</v>
      </c>
      <c r="Q789" s="253"/>
      <c r="R789" s="277" t="s">
        <v>3293</v>
      </c>
      <c r="S789" s="272" t="s">
        <v>3293</v>
      </c>
      <c r="T789" s="273"/>
      <c r="U789" s="274"/>
      <c r="V789" s="256"/>
      <c r="W789" s="244"/>
      <c r="X789" s="244"/>
      <c r="Y789" s="362"/>
      <c r="Z789" s="257">
        <f>altaz(J2000_Bas,$O789,$M789,DecLat,DecLong,1)</f>
        <v>56.594068023311529</v>
      </c>
      <c r="AA789" s="257">
        <f>altaz((J2000_Bas+(2*0.04167)),$O789,$M789,DecLat,DecLong,1)</f>
        <v>62.829789626399318</v>
      </c>
      <c r="AB789" s="257">
        <f>altaz((J2000_Bas+(4*0.04167)),$O789,$M789,DecLat,DecLong,1)</f>
        <v>55.355185579508039</v>
      </c>
      <c r="AC789" s="257">
        <f>altaz((J2000_Bas+(6*0.04167)),$O789,$M789,DecLat,DecLong,1)</f>
        <v>40.688512011295991</v>
      </c>
      <c r="AD789" s="258">
        <f>1+ transit((J2000_Bas-1),$O789,$M789,DecLat,DecLong)/360 + (GMTOffset/24) + (IF(DST="Y", 1, 0)/24)</f>
        <v>1.8666730214005411</v>
      </c>
      <c r="AE789" s="259">
        <f>DATE(2001,9,21)+(M789/360)*365 - (360*((DecLong/360)- (GMTOffset/24) ))</f>
        <v>37478.927199074074</v>
      </c>
      <c r="AF789" s="260">
        <f>IF(DecLat&gt;0,IF((90 - (DecLat-O789))&gt;90, (90 - (O789-DecLat)), (90 - (DecLat-O789))),IF((90 + (DecLat-O789))&gt;90, (90 + (O789-DecLat)), (90 + (DecLat-O789))))</f>
        <v>62.85</v>
      </c>
      <c r="AG789" s="257">
        <f>angularseperation(MoonRA,MoonDec,$M789,$O789)</f>
        <v>100.98434251600122</v>
      </c>
      <c r="AH789" s="261">
        <f ca="1">MIN(100,IF($O$5&gt;80,0+30*($AG789/100),IF($O$5&gt;70,0+50*($AG789/100),IF($O$5&gt;60,5+50*($AG789/100),IF($O$5&gt;50,10+60*($AG789/100),IF($O$5&gt;40,15+70*($AG789/100),IF($O$5&gt;30,20+70*($AG789/100),IF($O$5&gt;20,40+55*($AG789/100),(80+(20-$O$5)+30*($AG789/100))))))))))</f>
        <v>100</v>
      </c>
      <c r="AI789" s="263"/>
      <c r="AJ789" s="263"/>
      <c r="AK789" s="263"/>
      <c r="AL789" s="263"/>
      <c r="AM789" s="264"/>
      <c r="AN789" s="263"/>
      <c r="AO789" s="263"/>
      <c r="AP789" s="265"/>
      <c r="AQ789" s="265"/>
      <c r="AR789" s="285"/>
      <c r="AS789" s="263"/>
      <c r="AT789" s="263"/>
      <c r="AU789" s="263"/>
      <c r="AV789" s="264"/>
      <c r="AW789" s="263">
        <v>354</v>
      </c>
      <c r="AX789" s="263"/>
      <c r="AY789" s="263"/>
      <c r="AZ789" s="263"/>
      <c r="BA789" s="263"/>
      <c r="BB789" s="263"/>
      <c r="BC789" s="263"/>
      <c r="BD789" s="264"/>
      <c r="BE789" s="263"/>
      <c r="BF789" s="263"/>
      <c r="BG789" s="263"/>
      <c r="BH789" s="263"/>
      <c r="BI789" s="263"/>
      <c r="BJ789" s="404">
        <f>altaz(J2000_Bas,$O789,$M789,DecLat,DecLong,2)</f>
        <v>27.268238338235022</v>
      </c>
      <c r="BK789" s="378" t="s">
        <v>893</v>
      </c>
      <c r="BL789" s="379">
        <f>IF((2*G789)/60&lt;0.2,0.2,(2*G789)/60)</f>
        <v>2</v>
      </c>
      <c r="BM789" s="380">
        <f>MOD((50000+AD789-$B$3+(0/24)),1)</f>
        <v>8.2039951106708031E-2</v>
      </c>
      <c r="BN789" s="381"/>
      <c r="BO789" s="382">
        <v>789</v>
      </c>
    </row>
    <row r="790" spans="1:67" s="24" customFormat="1" ht="15" customHeight="1" x14ac:dyDescent="0.25">
      <c r="A790" s="288" t="s">
        <v>894</v>
      </c>
      <c r="B790" s="241" t="str">
        <f>HYPERLINK(CONCATENATE($AT$3,BK790,$AU$3),$AV$3)</f>
        <v>S</v>
      </c>
      <c r="C790" s="242" t="str">
        <f>HYPERLINK(CONCATENATE($AT$4,BK790,$AU$4,BL790),$AV$4)</f>
        <v>A</v>
      </c>
      <c r="D790" s="243" t="s">
        <v>5187</v>
      </c>
      <c r="E790" s="244" t="s">
        <v>5179</v>
      </c>
      <c r="F790" s="269">
        <v>0</v>
      </c>
      <c r="G790" s="273">
        <v>5</v>
      </c>
      <c r="H790" s="271" t="s">
        <v>6500</v>
      </c>
      <c r="I790" s="244" t="s">
        <v>6500</v>
      </c>
      <c r="J790" s="246">
        <v>2</v>
      </c>
      <c r="K790" s="247" t="s">
        <v>6018</v>
      </c>
      <c r="L790" s="248">
        <v>205938</v>
      </c>
      <c r="M790" s="249">
        <f>15*(LEFT(TEXT($L790,"000000"),2)+(MID(TEXT($L790,"000000"),3,2)/60)+(RIGHT(TEXT($L790,"000000"),2)/3600))</f>
        <v>314.90833333333336</v>
      </c>
      <c r="N790" s="286">
        <v>431100</v>
      </c>
      <c r="O790" s="251">
        <f>IF($N790&gt;0,(LEFT(TEXT($N790,"000000"),2)+(MID(TEXT($N790,"000000"),3,2)/60)+(RIGHT(TEXT($N790,"000000"),2)/3600)),-(MID(TEXT($N790,"000000"),2,2)+(MID(TEXT($N790,"000000"),4,2)/60)+(RIGHT(TEXT($N790,"000000"),2)/3600)))</f>
        <v>43.18333333333333</v>
      </c>
      <c r="P790" s="252" t="s">
        <v>60</v>
      </c>
      <c r="Q790" s="253"/>
      <c r="R790" s="277" t="s">
        <v>3293</v>
      </c>
      <c r="S790" s="272" t="s">
        <v>3293</v>
      </c>
      <c r="T790" s="273"/>
      <c r="U790" s="274"/>
      <c r="V790" s="256"/>
      <c r="W790" s="244"/>
      <c r="X790" s="244"/>
      <c r="Y790" s="362"/>
      <c r="Z790" s="257">
        <f>altaz(J2000_Bas,$O790,$M790,DecLat,DecLong,1)</f>
        <v>64.106881613200031</v>
      </c>
      <c r="AA790" s="257">
        <f>altaz((J2000_Bas+(2*0.04167)),$O790,$M790,DecLat,DecLong,1)</f>
        <v>77.780804363861876</v>
      </c>
      <c r="AB790" s="257">
        <f>altaz((J2000_Bas+(4*0.04167)),$O790,$M790,DecLat,DecLong,1)</f>
        <v>62.46378345553439</v>
      </c>
      <c r="AC790" s="257">
        <f>altaz((J2000_Bas+(6*0.04167)),$O790,$M790,DecLat,DecLong,1)</f>
        <v>40.703793690240396</v>
      </c>
      <c r="AD790" s="258">
        <f>1+ transit((J2000_Bas-1),$O790,$M790,DecLat,DecLong)/360 + (GMTOffset/24) + (IF(DST="Y", 1, 0)/24)</f>
        <v>1.8676452435255413</v>
      </c>
      <c r="AE790" s="259">
        <f>DATE(2001,9,21)+(M790/360)*365 - (360*((DecLong/360)- (GMTOffset/24) ))</f>
        <v>37479.282060185185</v>
      </c>
      <c r="AF790" s="260">
        <f>IF(DecLat&gt;0,IF((90 - (DecLat-O790))&gt;90, (90 - (O790-DecLat)), (90 - (DecLat-O790))),IF((90 + (DecLat-O790))&gt;90, (90 + (O790-DecLat)), (90 + (DecLat-O790))))</f>
        <v>77.816666666666663</v>
      </c>
      <c r="AG790" s="257">
        <f>angularseperation(MoonRA,MoonDec,$M790,$O790)</f>
        <v>92.525935904863957</v>
      </c>
      <c r="AH790" s="261">
        <f ca="1">MIN(100,IF($O$5&gt;80,0+30*($AG790/100),IF($O$5&gt;70,0+50*($AG790/100),IF($O$5&gt;60,5+50*($AG790/100),IF($O$5&gt;50,10+60*($AG790/100),IF($O$5&gt;40,15+70*($AG790/100),IF($O$5&gt;30,20+70*($AG790/100),IF($O$5&gt;20,40+55*($AG790/100),(80+(20-$O$5)+30*($AG790/100))))))))))</f>
        <v>100</v>
      </c>
      <c r="AI790" s="263"/>
      <c r="AJ790" s="263"/>
      <c r="AK790" s="263"/>
      <c r="AL790" s="263"/>
      <c r="AM790" s="264"/>
      <c r="AN790" s="263"/>
      <c r="AO790" s="263"/>
      <c r="AP790" s="265"/>
      <c r="AQ790" s="265"/>
      <c r="AR790" s="285"/>
      <c r="AS790" s="263"/>
      <c r="AT790" s="263"/>
      <c r="AU790" s="263"/>
      <c r="AV790" s="264"/>
      <c r="AW790" s="263">
        <v>355</v>
      </c>
      <c r="AX790" s="263"/>
      <c r="AY790" s="263"/>
      <c r="AZ790" s="263"/>
      <c r="BA790" s="263"/>
      <c r="BB790" s="263"/>
      <c r="BC790" s="263"/>
      <c r="BD790" s="264"/>
      <c r="BE790" s="263"/>
      <c r="BF790" s="263"/>
      <c r="BG790" s="263"/>
      <c r="BH790" s="263"/>
      <c r="BI790" s="263"/>
      <c r="BJ790" s="404">
        <f>altaz(J2000_Bas,$O790,$M790,DecLat,DecLong,2)</f>
        <v>53.813991690597121</v>
      </c>
      <c r="BK790" s="378" t="s">
        <v>894</v>
      </c>
      <c r="BL790" s="379">
        <f>IF((2*G790)/60&lt;0.2,0.2,(2*G790)/60)</f>
        <v>0.2</v>
      </c>
      <c r="BM790" s="380">
        <f>MOD((50000+AD790-$B$3+(0/24)),1)</f>
        <v>8.3012173228780739E-2</v>
      </c>
      <c r="BN790" s="381"/>
      <c r="BO790" s="382">
        <v>790</v>
      </c>
    </row>
    <row r="791" spans="1:67" s="24" customFormat="1" ht="15" customHeight="1" x14ac:dyDescent="0.25">
      <c r="A791" s="287" t="s">
        <v>895</v>
      </c>
      <c r="B791" s="241" t="str">
        <f>HYPERLINK(CONCATENATE($AT$3,BK791,$AU$3),$AV$3)</f>
        <v>S</v>
      </c>
      <c r="C791" s="242" t="str">
        <f>HYPERLINK(CONCATENATE($AT$4,BK791,$AU$4,BL791),$AV$4)</f>
        <v>A</v>
      </c>
      <c r="D791" s="243" t="s">
        <v>5187</v>
      </c>
      <c r="E791" s="244" t="s">
        <v>5179</v>
      </c>
      <c r="F791" s="269">
        <v>5</v>
      </c>
      <c r="G791" s="276">
        <v>24</v>
      </c>
      <c r="H791" s="271" t="s">
        <v>6500</v>
      </c>
      <c r="I791" s="244" t="s">
        <v>6500</v>
      </c>
      <c r="J791" s="246">
        <v>1</v>
      </c>
      <c r="K791" s="247" t="s">
        <v>8411</v>
      </c>
      <c r="L791" s="248">
        <v>205959</v>
      </c>
      <c r="M791" s="249">
        <f>15*(LEFT(TEXT($L791,"000000"),2)+(MID(TEXT($L791,"000000"),3,2)/60)+(RIGHT(TEXT($L791,"000000"),2)/3600))</f>
        <v>314.99583333333339</v>
      </c>
      <c r="N791" s="286">
        <v>464100</v>
      </c>
      <c r="O791" s="251">
        <f>IF($N791&gt;0,(LEFT(TEXT($N791,"000000"),2)+(MID(TEXT($N791,"000000"),3,2)/60)+(RIGHT(TEXT($N791,"000000"),2)/3600)),-(MID(TEXT($N791,"000000"),2,2)+(MID(TEXT($N791,"000000"),4,2)/60)+(RIGHT(TEXT($N791,"000000"),2)/3600)))</f>
        <v>46.68333333333333</v>
      </c>
      <c r="P791" s="252" t="s">
        <v>60</v>
      </c>
      <c r="Q791" s="253"/>
      <c r="R791" s="277" t="s">
        <v>3293</v>
      </c>
      <c r="S791" s="272" t="s">
        <v>3293</v>
      </c>
      <c r="T791" s="273"/>
      <c r="U791" s="274"/>
      <c r="V791" s="256"/>
      <c r="W791" s="244"/>
      <c r="X791" s="244"/>
      <c r="Y791" s="362"/>
      <c r="Z791" s="257">
        <f>altaz(J2000_Bas,$O791,$M791,DecLat,DecLong,1)</f>
        <v>62.757275833030469</v>
      </c>
      <c r="AA791" s="257">
        <f>altaz((J2000_Bas+(2*0.04167)),$O791,$M791,DecLat,DecLong,1)</f>
        <v>74.294073483018934</v>
      </c>
      <c r="AB791" s="257">
        <f>altaz((J2000_Bas+(4*0.04167)),$O791,$M791,DecLat,DecLong,1)</f>
        <v>61.38368637354268</v>
      </c>
      <c r="AC791" s="257">
        <f>altaz((J2000_Bas+(6*0.04167)),$O791,$M791,DecLat,DecLong,1)</f>
        <v>41.107656898390907</v>
      </c>
      <c r="AD791" s="258">
        <f>1+ transit((J2000_Bas-1),$O791,$M791,DecLat,DecLong)/360 + (GMTOffset/24) + (IF(DST="Y", 1, 0)/24)</f>
        <v>1.8678882990567913</v>
      </c>
      <c r="AE791" s="259">
        <f>DATE(2001,9,21)+(M791/360)*365 - (360*((DecLong/360)- (GMTOffset/24) ))</f>
        <v>37479.370775462965</v>
      </c>
      <c r="AF791" s="260">
        <f>IF(DecLat&gt;0,IF((90 - (DecLat-O791))&gt;90, (90 - (O791-DecLat)), (90 - (DecLat-O791))),IF((90 + (DecLat-O791))&gt;90, (90 + (O791-DecLat)), (90 + (DecLat-O791))))</f>
        <v>74.316666666666663</v>
      </c>
      <c r="AG791" s="257">
        <f>angularseperation(MoonRA,MoonDec,$M791,$O791)</f>
        <v>94.613495914461737</v>
      </c>
      <c r="AH791" s="261">
        <f ca="1">MIN(100,IF($O$5&gt;80,0+30*($AG791/100),IF($O$5&gt;70,0+50*($AG791/100),IF($O$5&gt;60,5+50*($AG791/100),IF($O$5&gt;50,10+60*($AG791/100),IF($O$5&gt;40,15+70*($AG791/100),IF($O$5&gt;30,20+70*($AG791/100),IF($O$5&gt;20,40+55*($AG791/100),(80+(20-$O$5)+30*($AG791/100))))))))))</f>
        <v>100</v>
      </c>
      <c r="AI791" s="263"/>
      <c r="AJ791" s="263"/>
      <c r="AK791" s="263"/>
      <c r="AL791" s="263"/>
      <c r="AM791" s="264"/>
      <c r="AN791" s="263"/>
      <c r="AO791" s="263"/>
      <c r="AP791" s="265"/>
      <c r="AQ791" s="265"/>
      <c r="AR791" s="285"/>
      <c r="AS791" s="263"/>
      <c r="AT791" s="263"/>
      <c r="AU791" s="263"/>
      <c r="AV791" s="264"/>
      <c r="AW791" s="263">
        <v>356</v>
      </c>
      <c r="AX791" s="263"/>
      <c r="AY791" s="263"/>
      <c r="AZ791" s="263"/>
      <c r="BA791" s="263"/>
      <c r="BB791" s="263"/>
      <c r="BC791" s="263"/>
      <c r="BD791" s="264"/>
      <c r="BE791" s="263"/>
      <c r="BF791" s="263"/>
      <c r="BG791" s="263"/>
      <c r="BH791" s="263"/>
      <c r="BI791" s="263"/>
      <c r="BJ791" s="404">
        <f>altaz(J2000_Bas,$O791,$M791,DecLat,DecLong,2)</f>
        <v>46.586384299942829</v>
      </c>
      <c r="BK791" s="378" t="s">
        <v>895</v>
      </c>
      <c r="BL791" s="379">
        <f>IF((2*G791)/60&lt;0.2,0.2,(2*G791)/60)</f>
        <v>0.8</v>
      </c>
      <c r="BM791" s="380">
        <f>MOD((50000+AD791-$B$3+(0/24)),1)</f>
        <v>8.3255228761117905E-2</v>
      </c>
      <c r="BN791" s="381"/>
      <c r="BO791" s="382">
        <v>791</v>
      </c>
    </row>
    <row r="792" spans="1:67" s="24" customFormat="1" ht="15" customHeight="1" x14ac:dyDescent="0.25">
      <c r="A792" s="287" t="s">
        <v>896</v>
      </c>
      <c r="B792" s="241" t="str">
        <f>HYPERLINK(CONCATENATE($AT$3,BK792,$AU$3),$AV$3)</f>
        <v>S</v>
      </c>
      <c r="C792" s="242" t="str">
        <f>HYPERLINK(CONCATENATE($AT$4,BK792,$AU$4,BL792),$AV$4)</f>
        <v>A</v>
      </c>
      <c r="D792" s="243" t="s">
        <v>5187</v>
      </c>
      <c r="E792" s="244" t="s">
        <v>5179</v>
      </c>
      <c r="F792" s="269">
        <v>5</v>
      </c>
      <c r="G792" s="276">
        <v>30</v>
      </c>
      <c r="H792" s="271" t="s">
        <v>6500</v>
      </c>
      <c r="I792" s="244" t="s">
        <v>6500</v>
      </c>
      <c r="J792" s="246">
        <v>1</v>
      </c>
      <c r="K792" s="247" t="s">
        <v>5932</v>
      </c>
      <c r="L792" s="248">
        <v>205952</v>
      </c>
      <c r="M792" s="249">
        <f>15*(LEFT(TEXT($L792,"000000"),2)+(MID(TEXT($L792,"000000"),3,2)/60)+(RIGHT(TEXT($L792,"000000"),2)/3600))</f>
        <v>314.96666666666664</v>
      </c>
      <c r="N792" s="286">
        <v>553400</v>
      </c>
      <c r="O792" s="251">
        <f>IF($N792&gt;0,(LEFT(TEXT($N792,"000000"),2)+(MID(TEXT($N792,"000000"),3,2)/60)+(RIGHT(TEXT($N792,"000000"),2)/3600)),-(MID(TEXT($N792,"000000"),2,2)+(MID(TEXT($N792,"000000"),4,2)/60)+(RIGHT(TEXT($N792,"000000"),2)/3600)))</f>
        <v>55.56666666666667</v>
      </c>
      <c r="P792" s="252" t="s">
        <v>52</v>
      </c>
      <c r="Q792" s="253"/>
      <c r="R792" s="277" t="s">
        <v>3293</v>
      </c>
      <c r="S792" s="272" t="s">
        <v>3293</v>
      </c>
      <c r="T792" s="273"/>
      <c r="U792" s="274"/>
      <c r="V792" s="256"/>
      <c r="W792" s="244"/>
      <c r="X792" s="244"/>
      <c r="Y792" s="362"/>
      <c r="Z792" s="257">
        <f>altaz(J2000_Bas,$O792,$M792,DecLat,DecLong,1)</f>
        <v>58.087446127382684</v>
      </c>
      <c r="AA792" s="257">
        <f>altaz((J2000_Bas+(2*0.04167)),$O792,$M792,DecLat,DecLong,1)</f>
        <v>65.420563713107668</v>
      </c>
      <c r="AB792" s="257">
        <f>altaz((J2000_Bas+(4*0.04167)),$O792,$M792,DecLat,DecLong,1)</f>
        <v>57.071922563962673</v>
      </c>
      <c r="AC792" s="257">
        <f>altaz((J2000_Bas+(6*0.04167)),$O792,$M792,DecLat,DecLong,1)</f>
        <v>41.119275423702511</v>
      </c>
      <c r="AD792" s="258">
        <f>1+ transit((J2000_Bas-1),$O792,$M792,DecLat,DecLong)/360 + (GMTOffset/24) + (IF(DST="Y", 1, 0)/24)</f>
        <v>1.8678072805463743</v>
      </c>
      <c r="AE792" s="259">
        <f>DATE(2001,9,21)+(M792/360)*365 - (360*((DecLong/360)- (GMTOffset/24) ))</f>
        <v>37479.341203703705</v>
      </c>
      <c r="AF792" s="260">
        <f>IF(DecLat&gt;0,IF((90 - (DecLat-O792))&gt;90, (90 - (O792-DecLat)), (90 - (DecLat-O792))),IF((90 + (DecLat-O792))&gt;90, (90 + (O792-DecLat)), (90 + (DecLat-O792))))</f>
        <v>65.433333333333337</v>
      </c>
      <c r="AG792" s="257">
        <f>angularseperation(MoonRA,MoonDec,$M792,$O792)</f>
        <v>99.703421020562658</v>
      </c>
      <c r="AH792" s="261">
        <f ca="1">MIN(100,IF($O$5&gt;80,0+30*($AG792/100),IF($O$5&gt;70,0+50*($AG792/100),IF($O$5&gt;60,5+50*($AG792/100),IF($O$5&gt;50,10+60*($AG792/100),IF($O$5&gt;40,15+70*($AG792/100),IF($O$5&gt;30,20+70*($AG792/100),IF($O$5&gt;20,40+55*($AG792/100),(80+(20-$O$5)+30*($AG792/100))))))))))</f>
        <v>100</v>
      </c>
      <c r="AI792" s="263"/>
      <c r="AJ792" s="263"/>
      <c r="AK792" s="263"/>
      <c r="AL792" s="263"/>
      <c r="AM792" s="264"/>
      <c r="AN792" s="263"/>
      <c r="AO792" s="263"/>
      <c r="AP792" s="265"/>
      <c r="AQ792" s="265"/>
      <c r="AR792" s="285"/>
      <c r="AS792" s="263"/>
      <c r="AT792" s="263"/>
      <c r="AU792" s="263"/>
      <c r="AV792" s="264"/>
      <c r="AW792" s="263">
        <v>357</v>
      </c>
      <c r="AX792" s="263"/>
      <c r="AY792" s="263"/>
      <c r="AZ792" s="263"/>
      <c r="BA792" s="263"/>
      <c r="BB792" s="263"/>
      <c r="BC792" s="263"/>
      <c r="BD792" s="264"/>
      <c r="BE792" s="263"/>
      <c r="BF792" s="263"/>
      <c r="BG792" s="263"/>
      <c r="BH792" s="263"/>
      <c r="BI792" s="263"/>
      <c r="BJ792" s="404">
        <f>altaz(J2000_Bas,$O792,$M792,DecLat,DecLong,2)</f>
        <v>31.197717229888699</v>
      </c>
      <c r="BK792" s="378" t="s">
        <v>896</v>
      </c>
      <c r="BL792" s="379">
        <f>IF((2*G792)/60&lt;0.2,0.2,(2*G792)/60)</f>
        <v>1</v>
      </c>
      <c r="BM792" s="380">
        <f>MOD((50000+AD792-$B$3+(0/24)),1)</f>
        <v>8.3174210252764169E-2</v>
      </c>
      <c r="BN792" s="381"/>
      <c r="BO792" s="382">
        <v>792</v>
      </c>
    </row>
    <row r="793" spans="1:67" s="24" customFormat="1" ht="15" customHeight="1" x14ac:dyDescent="0.25">
      <c r="A793" s="287" t="s">
        <v>897</v>
      </c>
      <c r="B793" s="241" t="str">
        <f>HYPERLINK(CONCATENATE($AT$3,BK793,$AU$3),$AV$3)</f>
        <v>S</v>
      </c>
      <c r="C793" s="242" t="str">
        <f>HYPERLINK(CONCATENATE($AT$4,BK793,$AU$4,BL793),$AV$4)</f>
        <v>A</v>
      </c>
      <c r="D793" s="243" t="s">
        <v>5187</v>
      </c>
      <c r="E793" s="244" t="s">
        <v>5179</v>
      </c>
      <c r="F793" s="269">
        <v>0</v>
      </c>
      <c r="G793" s="276">
        <v>20</v>
      </c>
      <c r="H793" s="271" t="s">
        <v>6500</v>
      </c>
      <c r="I793" s="244" t="s">
        <v>6500</v>
      </c>
      <c r="J793" s="246">
        <v>1</v>
      </c>
      <c r="K793" s="247" t="s">
        <v>8461</v>
      </c>
      <c r="L793" s="248">
        <v>210541</v>
      </c>
      <c r="M793" s="249">
        <f>15*(LEFT(TEXT($L793,"000000"),2)+(MID(TEXT($L793,"000000"),3,2)/60)+(RIGHT(TEXT($L793,"000000"),2)/3600))</f>
        <v>316.42083333333329</v>
      </c>
      <c r="N793" s="286">
        <v>431700</v>
      </c>
      <c r="O793" s="251">
        <f>IF($N793&gt;0,(LEFT(TEXT($N793,"000000"),2)+(MID(TEXT($N793,"000000"),3,2)/60)+(RIGHT(TEXT($N793,"000000"),2)/3600)),-(MID(TEXT($N793,"000000"),2,2)+(MID(TEXT($N793,"000000"),4,2)/60)+(RIGHT(TEXT($N793,"000000"),2)/3600)))</f>
        <v>43.283333333333331</v>
      </c>
      <c r="P793" s="252" t="s">
        <v>60</v>
      </c>
      <c r="Q793" s="253"/>
      <c r="R793" s="277" t="s">
        <v>3293</v>
      </c>
      <c r="S793" s="272" t="s">
        <v>3293</v>
      </c>
      <c r="T793" s="273"/>
      <c r="U793" s="274"/>
      <c r="V793" s="256"/>
      <c r="W793" s="244"/>
      <c r="X793" s="244"/>
      <c r="Y793" s="362"/>
      <c r="Z793" s="257">
        <f>altaz(J2000_Bas,$O793,$M793,DecLat,DecLong,1)</f>
        <v>63.026511177062758</v>
      </c>
      <c r="AA793" s="257">
        <f>altaz((J2000_Bas+(2*0.04167)),$O793,$M793,DecLat,DecLong,1)</f>
        <v>77.713817419897836</v>
      </c>
      <c r="AB793" s="257">
        <f>altaz((J2000_Bas+(4*0.04167)),$O793,$M793,DecLat,DecLong,1)</f>
        <v>63.490400417099927</v>
      </c>
      <c r="AC793" s="257">
        <f>altaz((J2000_Bas+(6*0.04167)),$O793,$M793,DecLat,DecLong,1)</f>
        <v>41.809912640933867</v>
      </c>
      <c r="AD793" s="258">
        <f>1+ transit((J2000_Bas-1),$O793,$M793,DecLat,DecLong)/360 + (GMTOffset/24) + (IF(DST="Y", 1, 0)/24)</f>
        <v>1.871846631994291</v>
      </c>
      <c r="AE793" s="259">
        <f>DATE(2001,9,21)+(M793/360)*365 - (360*((DecLong/360)- (GMTOffset/24) ))</f>
        <v>37480.815567129626</v>
      </c>
      <c r="AF793" s="260">
        <f>IF(DecLat&gt;0,IF((90 - (DecLat-O793))&gt;90, (90 - (O793-DecLat)), (90 - (DecLat-O793))),IF((90 + (DecLat-O793))&gt;90, (90 + (O793-DecLat)), (90 + (DecLat-O793))))</f>
        <v>77.716666666666669</v>
      </c>
      <c r="AG793" s="257">
        <f>angularseperation(MoonRA,MoonDec,$M793,$O793)</f>
        <v>93.484018496461033</v>
      </c>
      <c r="AH793" s="261">
        <f ca="1">MIN(100,IF($O$5&gt;80,0+30*($AG793/100),IF($O$5&gt;70,0+50*($AG793/100),IF($O$5&gt;60,5+50*($AG793/100),IF($O$5&gt;50,10+60*($AG793/100),IF($O$5&gt;40,15+70*($AG793/100),IF($O$5&gt;30,20+70*($AG793/100),IF($O$5&gt;20,40+55*($AG793/100),(80+(20-$O$5)+30*($AG793/100))))))))))</f>
        <v>100</v>
      </c>
      <c r="AI793" s="263"/>
      <c r="AJ793" s="263"/>
      <c r="AK793" s="263"/>
      <c r="AL793" s="263"/>
      <c r="AM793" s="264"/>
      <c r="AN793" s="263"/>
      <c r="AO793" s="263"/>
      <c r="AP793" s="265"/>
      <c r="AQ793" s="265"/>
      <c r="AR793" s="285"/>
      <c r="AS793" s="263"/>
      <c r="AT793" s="263"/>
      <c r="AU793" s="263"/>
      <c r="AV793" s="264"/>
      <c r="AW793" s="263">
        <v>358</v>
      </c>
      <c r="AX793" s="263"/>
      <c r="AY793" s="263"/>
      <c r="AZ793" s="263"/>
      <c r="BA793" s="263"/>
      <c r="BB793" s="263"/>
      <c r="BC793" s="263"/>
      <c r="BD793" s="264"/>
      <c r="BE793" s="263"/>
      <c r="BF793" s="263"/>
      <c r="BG793" s="263"/>
      <c r="BH793" s="263"/>
      <c r="BI793" s="263"/>
      <c r="BJ793" s="404">
        <f>altaz(J2000_Bas,$O793,$M793,DecLat,DecLong,2)</f>
        <v>54.350828095027026</v>
      </c>
      <c r="BK793" s="378" t="s">
        <v>897</v>
      </c>
      <c r="BL793" s="379">
        <f>IF((2*G793)/60&lt;0.2,0.2,(2*G793)/60)</f>
        <v>0.66666666666666663</v>
      </c>
      <c r="BM793" s="380">
        <f>MOD((50000+AD793-$B$3+(0/24)),1)</f>
        <v>8.7213561695534736E-2</v>
      </c>
      <c r="BN793" s="381"/>
      <c r="BO793" s="382">
        <v>793</v>
      </c>
    </row>
    <row r="794" spans="1:67" s="24" customFormat="1" ht="15" customHeight="1" x14ac:dyDescent="0.25">
      <c r="A794" s="287" t="s">
        <v>898</v>
      </c>
      <c r="B794" s="241" t="str">
        <f>HYPERLINK(CONCATENATE($AT$3,BK794,$AU$3),$AV$3)</f>
        <v>S</v>
      </c>
      <c r="C794" s="242" t="str">
        <f>HYPERLINK(CONCATENATE($AT$4,BK794,$AU$4,BL794),$AV$4)</f>
        <v>A</v>
      </c>
      <c r="D794" s="243" t="s">
        <v>5187</v>
      </c>
      <c r="E794" s="244" t="s">
        <v>5179</v>
      </c>
      <c r="F794" s="269">
        <v>5</v>
      </c>
      <c r="G794" s="276">
        <v>20</v>
      </c>
      <c r="H794" s="271" t="s">
        <v>6500</v>
      </c>
      <c r="I794" s="244" t="s">
        <v>6500</v>
      </c>
      <c r="J794" s="246">
        <v>0</v>
      </c>
      <c r="K794" s="247" t="s">
        <v>5933</v>
      </c>
      <c r="L794" s="248">
        <v>210647</v>
      </c>
      <c r="M794" s="249">
        <f>15*(LEFT(TEXT($L794,"000000"),2)+(MID(TEXT($L794,"000000"),3,2)/60)+(RIGHT(TEXT($L794,"000000"),2)/3600))</f>
        <v>316.69583333333338</v>
      </c>
      <c r="N794" s="286">
        <v>571000</v>
      </c>
      <c r="O794" s="251">
        <f>IF($N794&gt;0,(LEFT(TEXT($N794,"000000"),2)+(MID(TEXT($N794,"000000"),3,2)/60)+(RIGHT(TEXT($N794,"000000"),2)/3600)),-(MID(TEXT($N794,"000000"),2,2)+(MID(TEXT($N794,"000000"),4,2)/60)+(RIGHT(TEXT($N794,"000000"),2)/3600)))</f>
        <v>57.166666666666664</v>
      </c>
      <c r="P794" s="252" t="s">
        <v>52</v>
      </c>
      <c r="Q794" s="253"/>
      <c r="R794" s="277" t="s">
        <v>3293</v>
      </c>
      <c r="S794" s="272" t="s">
        <v>3293</v>
      </c>
      <c r="T794" s="273"/>
      <c r="U794" s="274"/>
      <c r="V794" s="256"/>
      <c r="W794" s="244"/>
      <c r="X794" s="244"/>
      <c r="Y794" s="362"/>
      <c r="Z794" s="257">
        <f>altaz(J2000_Bas,$O794,$M794,DecLat,DecLong,1)</f>
        <v>56.347005538963082</v>
      </c>
      <c r="AA794" s="257">
        <f>altaz((J2000_Bas+(2*0.04167)),$O794,$M794,DecLat,DecLong,1)</f>
        <v>63.829926347432483</v>
      </c>
      <c r="AB794" s="257">
        <f>altaz((J2000_Bas+(4*0.04167)),$O794,$M794,DecLat,DecLong,1)</f>
        <v>56.86224818344656</v>
      </c>
      <c r="AC794" s="257">
        <f>altaz((J2000_Bas+(6*0.04167)),$O794,$M794,DecLat,DecLong,1)</f>
        <v>41.929776275123309</v>
      </c>
      <c r="AD794" s="258">
        <f>1+ transit((J2000_Bas-1),$O794,$M794,DecLat,DecLong)/360 + (GMTOffset/24) + (IF(DST="Y", 1, 0)/24)</f>
        <v>1.8726105208067916</v>
      </c>
      <c r="AE794" s="259">
        <f>DATE(2001,9,21)+(M794/360)*365 - (360*((DecLong/360)- (GMTOffset/24) ))</f>
        <v>37481.094386574077</v>
      </c>
      <c r="AF794" s="260">
        <f>IF(DecLat&gt;0,IF((90 - (DecLat-O794))&gt;90, (90 - (O794-DecLat)), (90 - (DecLat-O794))),IF((90 + (DecLat-O794))&gt;90, (90 + (O794-DecLat)), (90 + (DecLat-O794))))</f>
        <v>63.833333333333336</v>
      </c>
      <c r="AG794" s="257">
        <f>angularseperation(MoonRA,MoonDec,$M794,$O794)</f>
        <v>101.38902322222262</v>
      </c>
      <c r="AH794" s="261">
        <f ca="1">MIN(100,IF($O$5&gt;80,0+30*($AG794/100),IF($O$5&gt;70,0+50*($AG794/100),IF($O$5&gt;60,5+50*($AG794/100),IF($O$5&gt;50,10+60*($AG794/100),IF($O$5&gt;40,15+70*($AG794/100),IF($O$5&gt;30,20+70*($AG794/100),IF($O$5&gt;20,40+55*($AG794/100),(80+(20-$O$5)+30*($AG794/100))))))))))</f>
        <v>100</v>
      </c>
      <c r="AI794" s="263"/>
      <c r="AJ794" s="263"/>
      <c r="AK794" s="263"/>
      <c r="AL794" s="263"/>
      <c r="AM794" s="264"/>
      <c r="AN794" s="263"/>
      <c r="AO794" s="263"/>
      <c r="AP794" s="265"/>
      <c r="AQ794" s="265"/>
      <c r="AR794" s="285"/>
      <c r="AS794" s="263"/>
      <c r="AT794" s="263"/>
      <c r="AU794" s="263"/>
      <c r="AV794" s="264"/>
      <c r="AW794" s="263">
        <v>359</v>
      </c>
      <c r="AX794" s="263"/>
      <c r="AY794" s="263"/>
      <c r="AZ794" s="263"/>
      <c r="BA794" s="263"/>
      <c r="BB794" s="263"/>
      <c r="BC794" s="263"/>
      <c r="BD794" s="264"/>
      <c r="BE794" s="263"/>
      <c r="BF794" s="263"/>
      <c r="BG794" s="263"/>
      <c r="BH794" s="263"/>
      <c r="BI794" s="263"/>
      <c r="BJ794" s="404">
        <f>altaz(J2000_Bas,$O794,$M794,DecLat,DecLong,2)</f>
        <v>29.96165768680639</v>
      </c>
      <c r="BK794" s="378" t="s">
        <v>898</v>
      </c>
      <c r="BL794" s="379">
        <f>IF((2*G794)/60&lt;0.2,0.2,(2*G794)/60)</f>
        <v>0.66666666666666663</v>
      </c>
      <c r="BM794" s="380">
        <f>MOD((50000+AD794-$B$3+(0/24)),1)</f>
        <v>8.7977450508333277E-2</v>
      </c>
      <c r="BN794" s="381"/>
      <c r="BO794" s="382">
        <v>794</v>
      </c>
    </row>
    <row r="795" spans="1:67" s="24" customFormat="1" ht="15" customHeight="1" x14ac:dyDescent="0.25">
      <c r="A795" s="287" t="s">
        <v>899</v>
      </c>
      <c r="B795" s="241" t="str">
        <f>HYPERLINK(CONCATENATE($AT$3,BK795,$AU$3),$AV$3)</f>
        <v>S</v>
      </c>
      <c r="C795" s="242" t="str">
        <f>HYPERLINK(CONCATENATE($AT$4,BK795,$AU$4,BL795),$AV$4)</f>
        <v>A</v>
      </c>
      <c r="D795" s="243" t="s">
        <v>5187</v>
      </c>
      <c r="E795" s="244" t="s">
        <v>5179</v>
      </c>
      <c r="F795" s="269">
        <v>5</v>
      </c>
      <c r="G795" s="276">
        <v>54</v>
      </c>
      <c r="H795" s="271" t="s">
        <v>6500</v>
      </c>
      <c r="I795" s="244" t="s">
        <v>6500</v>
      </c>
      <c r="J795" s="246">
        <v>0</v>
      </c>
      <c r="K795" s="247" t="s">
        <v>8538</v>
      </c>
      <c r="L795" s="248">
        <v>210753</v>
      </c>
      <c r="M795" s="249">
        <f>15*(LEFT(TEXT($L795,"000000"),2)+(MID(TEXT($L795,"000000"),3,2)/60)+(RIGHT(TEXT($L795,"000000"),2)/3600))</f>
        <v>316.97083333333336</v>
      </c>
      <c r="N795" s="286">
        <v>563000</v>
      </c>
      <c r="O795" s="251">
        <f>IF($N795&gt;0,(LEFT(TEXT($N795,"000000"),2)+(MID(TEXT($N795,"000000"),3,2)/60)+(RIGHT(TEXT($N795,"000000"),2)/3600)),-(MID(TEXT($N795,"000000"),2,2)+(MID(TEXT($N795,"000000"),4,2)/60)+(RIGHT(TEXT($N795,"000000"),2)/3600)))</f>
        <v>56.5</v>
      </c>
      <c r="P795" s="252" t="s">
        <v>52</v>
      </c>
      <c r="Q795" s="253"/>
      <c r="R795" s="277" t="s">
        <v>3293</v>
      </c>
      <c r="S795" s="272" t="s">
        <v>3293</v>
      </c>
      <c r="T795" s="273"/>
      <c r="U795" s="274"/>
      <c r="V795" s="256"/>
      <c r="W795" s="244"/>
      <c r="X795" s="244"/>
      <c r="Y795" s="362"/>
      <c r="Z795" s="257">
        <f>altaz(J2000_Bas,$O795,$M795,DecLat,DecLong,1)</f>
        <v>56.631038479370069</v>
      </c>
      <c r="AA795" s="257">
        <f>altaz((J2000_Bas+(2*0.04167)),$O795,$M795,DecLat,DecLong,1)</f>
        <v>64.492512740441896</v>
      </c>
      <c r="AB795" s="257">
        <f>altaz((J2000_Bas+(4*0.04167)),$O795,$M795,DecLat,DecLong,1)</f>
        <v>57.400901277167755</v>
      </c>
      <c r="AC795" s="257">
        <f>altaz((J2000_Bas+(6*0.04167)),$O795,$M795,DecLat,DecLong,1)</f>
        <v>42.153988526695748</v>
      </c>
      <c r="AD795" s="258">
        <f>1+ transit((J2000_Bas-1),$O795,$M795,DecLat,DecLong)/360 + (GMTOffset/24) + (IF(DST="Y", 1, 0)/24)</f>
        <v>1.8733744096192912</v>
      </c>
      <c r="AE795" s="259">
        <f>DATE(2001,9,21)+(M795/360)*365 - (360*((DecLong/360)- (GMTOffset/24) ))</f>
        <v>37481.373206018521</v>
      </c>
      <c r="AF795" s="260">
        <f>IF(DecLat&gt;0,IF((90 - (DecLat-O795))&gt;90, (90 - (O795-DecLat)), (90 - (DecLat-O795))),IF((90 + (DecLat-O795))&gt;90, (90 + (O795-DecLat)), (90 + (DecLat-O795))))</f>
        <v>64.5</v>
      </c>
      <c r="AG795" s="257">
        <f>angularseperation(MoonRA,MoonDec,$M795,$O795)</f>
        <v>101.15283989315958</v>
      </c>
      <c r="AH795" s="261">
        <f ca="1">MIN(100,IF($O$5&gt;80,0+30*($AG795/100),IF($O$5&gt;70,0+50*($AG795/100),IF($O$5&gt;60,5+50*($AG795/100),IF($O$5&gt;50,10+60*($AG795/100),IF($O$5&gt;40,15+70*($AG795/100),IF($O$5&gt;30,20+70*($AG795/100),IF($O$5&gt;20,40+55*($AG795/100),(80+(20-$O$5)+30*($AG795/100))))))))))</f>
        <v>100</v>
      </c>
      <c r="AI795" s="263"/>
      <c r="AJ795" s="263"/>
      <c r="AK795" s="263"/>
      <c r="AL795" s="263"/>
      <c r="AM795" s="264"/>
      <c r="AN795" s="263"/>
      <c r="AO795" s="263"/>
      <c r="AP795" s="265"/>
      <c r="AQ795" s="265"/>
      <c r="AR795" s="285"/>
      <c r="AS795" s="263"/>
      <c r="AT795" s="263"/>
      <c r="AU795" s="263"/>
      <c r="AV795" s="264"/>
      <c r="AW795" s="263">
        <v>360</v>
      </c>
      <c r="AX795" s="263"/>
      <c r="AY795" s="263"/>
      <c r="AZ795" s="263"/>
      <c r="BA795" s="263"/>
      <c r="BB795" s="263"/>
      <c r="BC795" s="263"/>
      <c r="BD795" s="264"/>
      <c r="BE795" s="263"/>
      <c r="BF795" s="263"/>
      <c r="BG795" s="263"/>
      <c r="BH795" s="263"/>
      <c r="BI795" s="263"/>
      <c r="BJ795" s="404">
        <f>altaz(J2000_Bas,$O795,$M795,DecLat,DecLong,2)</f>
        <v>31.087590927841731</v>
      </c>
      <c r="BK795" s="378" t="s">
        <v>899</v>
      </c>
      <c r="BL795" s="379">
        <f>IF((2*G795)/60&lt;0.2,0.2,(2*G795)/60)</f>
        <v>1.8</v>
      </c>
      <c r="BM795" s="380">
        <f>MOD((50000+AD795-$B$3+(0/24)),1)</f>
        <v>8.8741339321131818E-2</v>
      </c>
      <c r="BN795" s="381"/>
      <c r="BO795" s="382">
        <v>795</v>
      </c>
    </row>
    <row r="796" spans="1:67" s="24" customFormat="1" ht="15" customHeight="1" x14ac:dyDescent="0.25">
      <c r="A796" s="287" t="s">
        <v>900</v>
      </c>
      <c r="B796" s="241" t="str">
        <f>HYPERLINK(CONCATENATE($AT$3,BK796,$AU$3),$AV$3)</f>
        <v>S</v>
      </c>
      <c r="C796" s="242" t="str">
        <f>HYPERLINK(CONCATENATE($AT$4,BK796,$AU$4,BL796),$AV$4)</f>
        <v>A</v>
      </c>
      <c r="D796" s="243" t="s">
        <v>5187</v>
      </c>
      <c r="E796" s="244" t="s">
        <v>5179</v>
      </c>
      <c r="F796" s="269">
        <v>4</v>
      </c>
      <c r="G796" s="276">
        <v>20</v>
      </c>
      <c r="H796" s="271" t="s">
        <v>6500</v>
      </c>
      <c r="I796" s="244" t="s">
        <v>6500</v>
      </c>
      <c r="J796" s="246">
        <v>2</v>
      </c>
      <c r="K796" s="247" t="s">
        <v>6386</v>
      </c>
      <c r="L796" s="248">
        <v>211246</v>
      </c>
      <c r="M796" s="249">
        <f>15*(LEFT(TEXT($L796,"000000"),2)+(MID(TEXT($L796,"000000"),3,2)/60)+(RIGHT(TEXT($L796,"000000"),2)/3600))</f>
        <v>318.19166666666666</v>
      </c>
      <c r="N796" s="286">
        <v>472600</v>
      </c>
      <c r="O796" s="251">
        <f>IF($N796&gt;0,(LEFT(TEXT($N796,"000000"),2)+(MID(TEXT($N796,"000000"),3,2)/60)+(RIGHT(TEXT($N796,"000000"),2)/3600)),-(MID(TEXT($N796,"000000"),2,2)+(MID(TEXT($N796,"000000"),4,2)/60)+(RIGHT(TEXT($N796,"000000"),2)/3600)))</f>
        <v>47.43333333333333</v>
      </c>
      <c r="P796" s="252" t="s">
        <v>60</v>
      </c>
      <c r="Q796" s="253"/>
      <c r="R796" s="277" t="s">
        <v>3293</v>
      </c>
      <c r="S796" s="272" t="s">
        <v>3293</v>
      </c>
      <c r="T796" s="273"/>
      <c r="U796" s="274"/>
      <c r="V796" s="256"/>
      <c r="W796" s="244"/>
      <c r="X796" s="244"/>
      <c r="Y796" s="362"/>
      <c r="Z796" s="257">
        <f>altaz(J2000_Bas,$O796,$M796,DecLat,DecLong,1)</f>
        <v>60.461779673926848</v>
      </c>
      <c r="AA796" s="257">
        <f>altaz((J2000_Bas+(2*0.04167)),$O796,$M796,DecLat,DecLong,1)</f>
        <v>73.487644636460018</v>
      </c>
      <c r="AB796" s="257">
        <f>altaz((J2000_Bas+(4*0.04167)),$O796,$M796,DecLat,DecLong,1)</f>
        <v>63.046409082418997</v>
      </c>
      <c r="AC796" s="257">
        <f>altaz((J2000_Bas+(6*0.04167)),$O796,$M796,DecLat,DecLong,1)</f>
        <v>43.316560980618824</v>
      </c>
      <c r="AD796" s="258">
        <f>1+ transit((J2000_Bas-1),$O796,$M796,DecLat,DecLong)/360 + (GMTOffset/24) + (IF(DST="Y", 1, 0)/24)</f>
        <v>1.8767656129838748</v>
      </c>
      <c r="AE796" s="259">
        <f>DATE(2001,9,21)+(M796/360)*365 - (360*((DecLong/360)- (GMTOffset/24) ))</f>
        <v>37482.610995370371</v>
      </c>
      <c r="AF796" s="260">
        <f>IF(DecLat&gt;0,IF((90 - (DecLat-O796))&gt;90, (90 - (O796-DecLat)), (90 - (DecLat-O796))),IF((90 + (DecLat-O796))&gt;90, (90 + (O796-DecLat)), (90 + (DecLat-O796))))</f>
        <v>73.566666666666663</v>
      </c>
      <c r="AG796" s="257">
        <f>angularseperation(MoonRA,MoonDec,$M796,$O796)</f>
        <v>96.834167339786759</v>
      </c>
      <c r="AH796" s="261">
        <f ca="1">MIN(100,IF($O$5&gt;80,0+30*($AG796/100),IF($O$5&gt;70,0+50*($AG796/100),IF($O$5&gt;60,5+50*($AG796/100),IF($O$5&gt;50,10+60*($AG796/100),IF($O$5&gt;40,15+70*($AG796/100),IF($O$5&gt;30,20+70*($AG796/100),IF($O$5&gt;20,40+55*($AG796/100),(80+(20-$O$5)+30*($AG796/100))))))))))</f>
        <v>100</v>
      </c>
      <c r="AI796" s="263"/>
      <c r="AJ796" s="263"/>
      <c r="AK796" s="263"/>
      <c r="AL796" s="263"/>
      <c r="AM796" s="264"/>
      <c r="AN796" s="263"/>
      <c r="AO796" s="263"/>
      <c r="AP796" s="265"/>
      <c r="AQ796" s="265"/>
      <c r="AR796" s="285"/>
      <c r="AS796" s="263"/>
      <c r="AT796" s="263"/>
      <c r="AU796" s="263"/>
      <c r="AV796" s="264"/>
      <c r="AW796" s="263">
        <v>361</v>
      </c>
      <c r="AX796" s="263"/>
      <c r="AY796" s="263"/>
      <c r="AZ796" s="263"/>
      <c r="BA796" s="263"/>
      <c r="BB796" s="263"/>
      <c r="BC796" s="263"/>
      <c r="BD796" s="264"/>
      <c r="BE796" s="263"/>
      <c r="BF796" s="263"/>
      <c r="BG796" s="263"/>
      <c r="BH796" s="263"/>
      <c r="BI796" s="263"/>
      <c r="BJ796" s="404">
        <f>altaz(J2000_Bas,$O796,$M796,DecLat,DecLong,2)</f>
        <v>46.964745996398726</v>
      </c>
      <c r="BK796" s="378" t="s">
        <v>900</v>
      </c>
      <c r="BL796" s="379">
        <f>IF((2*G796)/60&lt;0.2,0.2,(2*G796)/60)</f>
        <v>0.66666666666666663</v>
      </c>
      <c r="BM796" s="380">
        <f>MOD((50000+AD796-$B$3+(0/24)),1)</f>
        <v>9.2132542689796537E-2</v>
      </c>
      <c r="BN796" s="381"/>
      <c r="BO796" s="382">
        <v>796</v>
      </c>
    </row>
    <row r="797" spans="1:67" s="24" customFormat="1" ht="15" customHeight="1" x14ac:dyDescent="0.25">
      <c r="A797" s="287" t="s">
        <v>901</v>
      </c>
      <c r="B797" s="241" t="str">
        <f>HYPERLINK(CONCATENATE($AT$3,BK797,$AU$3),$AV$3)</f>
        <v>S</v>
      </c>
      <c r="C797" s="242" t="str">
        <f>HYPERLINK(CONCATENATE($AT$4,BK797,$AU$4,BL797),$AV$4)</f>
        <v>A</v>
      </c>
      <c r="D797" s="243" t="s">
        <v>5187</v>
      </c>
      <c r="E797" s="244" t="s">
        <v>5179</v>
      </c>
      <c r="F797" s="269">
        <v>5</v>
      </c>
      <c r="G797" s="276">
        <v>15</v>
      </c>
      <c r="H797" s="271" t="s">
        <v>6500</v>
      </c>
      <c r="I797" s="244" t="s">
        <v>6500</v>
      </c>
      <c r="J797" s="246">
        <v>1</v>
      </c>
      <c r="K797" s="247" t="s">
        <v>5934</v>
      </c>
      <c r="L797" s="248">
        <v>212358</v>
      </c>
      <c r="M797" s="249">
        <f>15*(LEFT(TEXT($L797,"000000"),2)+(MID(TEXT($L797,"000000"),3,2)/60)+(RIGHT(TEXT($L797,"000000"),2)/3600))</f>
        <v>320.99166666666667</v>
      </c>
      <c r="N797" s="286">
        <v>501200</v>
      </c>
      <c r="O797" s="251">
        <f>IF($N797&gt;0,(LEFT(TEXT($N797,"000000"),2)+(MID(TEXT($N797,"000000"),3,2)/60)+(RIGHT(TEXT($N797,"000000"),2)/3600)),-(MID(TEXT($N797,"000000"),2,2)+(MID(TEXT($N797,"000000"),4,2)/60)+(RIGHT(TEXT($N797,"000000"),2)/3600)))</f>
        <v>50.2</v>
      </c>
      <c r="P797" s="252" t="s">
        <v>52</v>
      </c>
      <c r="Q797" s="253"/>
      <c r="R797" s="277" t="s">
        <v>3293</v>
      </c>
      <c r="S797" s="272" t="s">
        <v>3293</v>
      </c>
      <c r="T797" s="273"/>
      <c r="U797" s="274"/>
      <c r="V797" s="256"/>
      <c r="W797" s="244"/>
      <c r="X797" s="244"/>
      <c r="Y797" s="362"/>
      <c r="Z797" s="257">
        <f>altaz(J2000_Bas,$O797,$M797,DecLat,DecLong,1)</f>
        <v>57.69430412710237</v>
      </c>
      <c r="AA797" s="257">
        <f>altaz((J2000_Bas+(2*0.04167)),$O797,$M797,DecLat,DecLong,1)</f>
        <v>70.453012588444636</v>
      </c>
      <c r="AB797" s="257">
        <f>altaz((J2000_Bas+(4*0.04167)),$O797,$M797,DecLat,DecLong,1)</f>
        <v>63.155846231797113</v>
      </c>
      <c r="AC797" s="257">
        <f>altaz((J2000_Bas+(6*0.04167)),$O797,$M797,DecLat,DecLong,1)</f>
        <v>45.098949516947179</v>
      </c>
      <c r="AD797" s="258">
        <f>1+ transit((J2000_Bas-1),$O797,$M797,DecLat,DecLong)/360 + (GMTOffset/24) + (IF(DST="Y", 1, 0)/24)</f>
        <v>1.8845433899838746</v>
      </c>
      <c r="AE797" s="259">
        <f>DATE(2001,9,21)+(M797/360)*365 - (360*((DecLong/360)- (GMTOffset/24) ))</f>
        <v>37485.449884259258</v>
      </c>
      <c r="AF797" s="260">
        <f>IF(DecLat&gt;0,IF((90 - (DecLat-O797))&gt;90, (90 - (O797-DecLat)), (90 - (DecLat-O797))),IF((90 + (DecLat-O797))&gt;90, (90 + (O797-DecLat)), (90 + (DecLat-O797))))</f>
        <v>70.8</v>
      </c>
      <c r="AG797" s="257">
        <f>angularseperation(MoonRA,MoonDec,$M797,$O797)</f>
        <v>99.86450282689124</v>
      </c>
      <c r="AH797" s="261">
        <f ca="1">MIN(100,IF($O$5&gt;80,0+30*($AG797/100),IF($O$5&gt;70,0+50*($AG797/100),IF($O$5&gt;60,5+50*($AG797/100),IF($O$5&gt;50,10+60*($AG797/100),IF($O$5&gt;40,15+70*($AG797/100),IF($O$5&gt;30,20+70*($AG797/100),IF($O$5&gt;20,40+55*($AG797/100),(80+(20-$O$5)+30*($AG797/100))))))))))</f>
        <v>100</v>
      </c>
      <c r="AI797" s="263"/>
      <c r="AJ797" s="263"/>
      <c r="AK797" s="263"/>
      <c r="AL797" s="263"/>
      <c r="AM797" s="264"/>
      <c r="AN797" s="263"/>
      <c r="AO797" s="263"/>
      <c r="AP797" s="265"/>
      <c r="AQ797" s="265"/>
      <c r="AR797" s="285"/>
      <c r="AS797" s="263"/>
      <c r="AT797" s="263"/>
      <c r="AU797" s="263"/>
      <c r="AV797" s="264"/>
      <c r="AW797" s="263">
        <v>362</v>
      </c>
      <c r="AX797" s="263"/>
      <c r="AY797" s="263"/>
      <c r="AZ797" s="263"/>
      <c r="BA797" s="263"/>
      <c r="BB797" s="263"/>
      <c r="BC797" s="263"/>
      <c r="BD797" s="264"/>
      <c r="BE797" s="263"/>
      <c r="BF797" s="263"/>
      <c r="BG797" s="263"/>
      <c r="BH797" s="263"/>
      <c r="BI797" s="263"/>
      <c r="BJ797" s="404">
        <f>altaz(J2000_Bas,$O797,$M797,DecLat,DecLong,2)</f>
        <v>43.377424325076845</v>
      </c>
      <c r="BK797" s="378" t="s">
        <v>901</v>
      </c>
      <c r="BL797" s="379">
        <f>IF((2*G797)/60&lt;0.2,0.2,(2*G797)/60)</f>
        <v>0.5</v>
      </c>
      <c r="BM797" s="380">
        <f>MOD((50000+AD797-$B$3+(0/24)),1)</f>
        <v>9.9910319688206073E-2</v>
      </c>
      <c r="BN797" s="381"/>
      <c r="BO797" s="382">
        <v>797</v>
      </c>
    </row>
    <row r="798" spans="1:67" s="24" customFormat="1" ht="15" customHeight="1" x14ac:dyDescent="0.25">
      <c r="A798" s="288" t="s">
        <v>902</v>
      </c>
      <c r="B798" s="241" t="str">
        <f>HYPERLINK(CONCATENATE($AT$3,BK798,$AU$3),$AV$3)</f>
        <v>S</v>
      </c>
      <c r="C798" s="242" t="str">
        <f>HYPERLINK(CONCATENATE($AT$4,BK798,$AU$4,BL798),$AV$4)</f>
        <v>A</v>
      </c>
      <c r="D798" s="243" t="s">
        <v>5187</v>
      </c>
      <c r="E798" s="244" t="s">
        <v>5179</v>
      </c>
      <c r="F798" s="269">
        <v>3</v>
      </c>
      <c r="G798" s="276">
        <v>40</v>
      </c>
      <c r="H798" s="271" t="s">
        <v>6500</v>
      </c>
      <c r="I798" s="244" t="s">
        <v>6500</v>
      </c>
      <c r="J798" s="246">
        <v>1</v>
      </c>
      <c r="K798" s="247" t="s">
        <v>5935</v>
      </c>
      <c r="L798" s="248">
        <v>212454</v>
      </c>
      <c r="M798" s="249">
        <f>15*(LEFT(TEXT($L798,"000000"),2)+(MID(TEXT($L798,"000000"),3,2)/60)+(RIGHT(TEXT($L798,"000000"),2)/3600))</f>
        <v>321.22499999999997</v>
      </c>
      <c r="N798" s="286">
        <v>485600</v>
      </c>
      <c r="O798" s="251">
        <f>IF($N798&gt;0,(LEFT(TEXT($N798,"000000"),2)+(MID(TEXT($N798,"000000"),3,2)/60)+(RIGHT(TEXT($N798,"000000"),2)/3600)),-(MID(TEXT($N798,"000000"),2,2)+(MID(TEXT($N798,"000000"),4,2)/60)+(RIGHT(TEXT($N798,"000000"),2)/3600)))</f>
        <v>48.93333333333333</v>
      </c>
      <c r="P798" s="252" t="s">
        <v>52</v>
      </c>
      <c r="Q798" s="253"/>
      <c r="R798" s="277" t="s">
        <v>3293</v>
      </c>
      <c r="S798" s="272" t="s">
        <v>3293</v>
      </c>
      <c r="T798" s="273"/>
      <c r="U798" s="274"/>
      <c r="V798" s="256"/>
      <c r="W798" s="244"/>
      <c r="X798" s="244"/>
      <c r="Y798" s="362"/>
      <c r="Z798" s="257">
        <f>altaz(J2000_Bas,$O798,$M798,DecLat,DecLong,1)</f>
        <v>58.029636226271954</v>
      </c>
      <c r="AA798" s="257">
        <f>altaz((J2000_Bas+(2*0.04167)),$O798,$M798,DecLat,DecLong,1)</f>
        <v>71.65033804387366</v>
      </c>
      <c r="AB798" s="257">
        <f>altaz((J2000_Bas+(4*0.04167)),$O798,$M798,DecLat,DecLong,1)</f>
        <v>64.010975860390573</v>
      </c>
      <c r="AC798" s="257">
        <f>altaz((J2000_Bas+(6*0.04167)),$O798,$M798,DecLat,DecLong,1)</f>
        <v>45.319809596713554</v>
      </c>
      <c r="AD798" s="258">
        <f>1+ transit((J2000_Bas-1),$O798,$M798,DecLat,DecLong)/360 + (GMTOffset/24) + (IF(DST="Y", 1, 0)/24)</f>
        <v>1.8851915380672082</v>
      </c>
      <c r="AE798" s="259">
        <f>DATE(2001,9,21)+(M798/360)*365 - (360*((DecLong/360)- (GMTOffset/24) ))</f>
        <v>37485.68645833333</v>
      </c>
      <c r="AF798" s="260">
        <f>IF(DecLat&gt;0,IF((90 - (DecLat-O798))&gt;90, (90 - (O798-DecLat)), (90 - (DecLat-O798))),IF((90 + (DecLat-O798))&gt;90, (90 + (O798-DecLat)), (90 + (DecLat-O798))))</f>
        <v>72.066666666666663</v>
      </c>
      <c r="AG798" s="257">
        <f>angularseperation(MoonRA,MoonDec,$M798,$O798)</f>
        <v>99.344057643726913</v>
      </c>
      <c r="AH798" s="261">
        <f ca="1">MIN(100,IF($O$5&gt;80,0+30*($AG798/100),IF($O$5&gt;70,0+50*($AG798/100),IF($O$5&gt;60,5+50*($AG798/100),IF($O$5&gt;50,10+60*($AG798/100),IF($O$5&gt;40,15+70*($AG798/100),IF($O$5&gt;30,20+70*($AG798/100),IF($O$5&gt;20,40+55*($AG798/100),(80+(20-$O$5)+30*($AG798/100))))))))))</f>
        <v>100</v>
      </c>
      <c r="AI798" s="263"/>
      <c r="AJ798" s="263"/>
      <c r="AK798" s="263"/>
      <c r="AL798" s="263"/>
      <c r="AM798" s="264"/>
      <c r="AN798" s="263"/>
      <c r="AO798" s="263"/>
      <c r="AP798" s="265"/>
      <c r="AQ798" s="265"/>
      <c r="AR798" s="285"/>
      <c r="AS798" s="263"/>
      <c r="AT798" s="263"/>
      <c r="AU798" s="263"/>
      <c r="AV798" s="264"/>
      <c r="AW798" s="263">
        <v>363</v>
      </c>
      <c r="AX798" s="263"/>
      <c r="AY798" s="263"/>
      <c r="AZ798" s="263"/>
      <c r="BA798" s="263"/>
      <c r="BB798" s="263"/>
      <c r="BC798" s="263"/>
      <c r="BD798" s="264"/>
      <c r="BE798" s="263"/>
      <c r="BF798" s="263"/>
      <c r="BG798" s="263"/>
      <c r="BH798" s="263"/>
      <c r="BI798" s="263"/>
      <c r="BJ798" s="404">
        <f>altaz(J2000_Bas,$O798,$M798,DecLat,DecLong,2)</f>
        <v>45.691288823495562</v>
      </c>
      <c r="BK798" s="378" t="s">
        <v>902</v>
      </c>
      <c r="BL798" s="379">
        <f>IF((2*G798)/60&lt;0.2,0.2,(2*G798)/60)</f>
        <v>1.3333333333333333</v>
      </c>
      <c r="BM798" s="380">
        <f>MOD((50000+AD798-$B$3+(0/24)),1)</f>
        <v>0.10055846776958788</v>
      </c>
      <c r="BN798" s="381"/>
      <c r="BO798" s="382">
        <v>798</v>
      </c>
    </row>
    <row r="799" spans="1:67" s="24" customFormat="1" ht="15" customHeight="1" x14ac:dyDescent="0.25">
      <c r="A799" s="287" t="s">
        <v>903</v>
      </c>
      <c r="B799" s="241" t="str">
        <f>HYPERLINK(CONCATENATE($AT$3,BK799,$AU$3),$AV$3)</f>
        <v>S</v>
      </c>
      <c r="C799" s="242" t="str">
        <f>HYPERLINK(CONCATENATE($AT$4,BK799,$AU$4,BL799),$AV$4)</f>
        <v>A</v>
      </c>
      <c r="D799" s="243" t="s">
        <v>5187</v>
      </c>
      <c r="E799" s="244" t="s">
        <v>5179</v>
      </c>
      <c r="F799" s="269">
        <v>5</v>
      </c>
      <c r="G799" s="276">
        <v>75</v>
      </c>
      <c r="H799" s="271" t="s">
        <v>6500</v>
      </c>
      <c r="I799" s="244" t="s">
        <v>6500</v>
      </c>
      <c r="J799" s="246">
        <v>1</v>
      </c>
      <c r="K799" s="247" t="s">
        <v>5936</v>
      </c>
      <c r="L799" s="248">
        <v>213404</v>
      </c>
      <c r="M799" s="249">
        <f>15*(LEFT(TEXT($L799,"000000"),2)+(MID(TEXT($L799,"000000"),3,2)/60)+(RIGHT(TEXT($L799,"000000"),2)/3600))</f>
        <v>323.51666666666665</v>
      </c>
      <c r="N799" s="286">
        <v>543300</v>
      </c>
      <c r="O799" s="251">
        <f>IF($N799&gt;0,(LEFT(TEXT($N799,"000000"),2)+(MID(TEXT($N799,"000000"),3,2)/60)+(RIGHT(TEXT($N799,"000000"),2)/3600)),-(MID(TEXT($N799,"000000"),2,2)+(MID(TEXT($N799,"000000"),4,2)/60)+(RIGHT(TEXT($N799,"000000"),2)/3600)))</f>
        <v>54.55</v>
      </c>
      <c r="P799" s="252" t="s">
        <v>52</v>
      </c>
      <c r="Q799" s="253"/>
      <c r="R799" s="277" t="s">
        <v>3293</v>
      </c>
      <c r="S799" s="272" t="s">
        <v>3293</v>
      </c>
      <c r="T799" s="273"/>
      <c r="U799" s="274"/>
      <c r="V799" s="256"/>
      <c r="W799" s="244"/>
      <c r="X799" s="244"/>
      <c r="Y799" s="362"/>
      <c r="Z799" s="257">
        <f>altaz(J2000_Bas,$O799,$M799,DecLat,DecLong,1)</f>
        <v>54.47904735920195</v>
      </c>
      <c r="AA799" s="257">
        <f>altaz((J2000_Bas+(2*0.04167)),$O799,$M799,DecLat,DecLong,1)</f>
        <v>65.858480140433642</v>
      </c>
      <c r="AB799" s="257">
        <f>altaz((J2000_Bas+(4*0.04167)),$O799,$M799,DecLat,DecLong,1)</f>
        <v>61.444189799876142</v>
      </c>
      <c r="AC799" s="257">
        <f>altaz((J2000_Bas+(6*0.04167)),$O799,$M799,DecLat,DecLong,1)</f>
        <v>46.100352143876457</v>
      </c>
      <c r="AD799" s="258">
        <f>1+ transit((J2000_Bas-1),$O799,$M799,DecLat,DecLong)/360 + (GMTOffset/24) + (IF(DST="Y", 1, 0)/24)</f>
        <v>1.8915572781713748</v>
      </c>
      <c r="AE799" s="259">
        <f>DATE(2001,9,21)+(M799/360)*365 - (360*((DecLong/360)- (GMTOffset/24) ))</f>
        <v>37488.009953703702</v>
      </c>
      <c r="AF799" s="260">
        <f>IF(DecLat&gt;0,IF((90 - (DecLat-O799))&gt;90, (90 - (O799-DecLat)), (90 - (DecLat-O799))),IF((90 + (DecLat-O799))&gt;90, (90 + (O799-DecLat)), (90 + (DecLat-O799))))</f>
        <v>66.45</v>
      </c>
      <c r="AG799" s="257">
        <f>angularseperation(MoonRA,MoonDec,$M799,$O799)</f>
        <v>103.3524891941356</v>
      </c>
      <c r="AH799" s="261">
        <f ca="1">MIN(100,IF($O$5&gt;80,0+30*($AG799/100),IF($O$5&gt;70,0+50*($AG799/100),IF($O$5&gt;60,5+50*($AG799/100),IF($O$5&gt;50,10+60*($AG799/100),IF($O$5&gt;40,15+70*($AG799/100),IF($O$5&gt;30,20+70*($AG799/100),IF($O$5&gt;20,40+55*($AG799/100),(80+(20-$O$5)+30*($AG799/100))))))))))</f>
        <v>100</v>
      </c>
      <c r="AI799" s="263"/>
      <c r="AJ799" s="263"/>
      <c r="AK799" s="263"/>
      <c r="AL799" s="263"/>
      <c r="AM799" s="264"/>
      <c r="AN799" s="263"/>
      <c r="AO799" s="263"/>
      <c r="AP799" s="265"/>
      <c r="AQ799" s="265"/>
      <c r="AR799" s="285"/>
      <c r="AS799" s="263"/>
      <c r="AT799" s="263"/>
      <c r="AU799" s="263"/>
      <c r="AV799" s="264"/>
      <c r="AW799" s="263">
        <v>364</v>
      </c>
      <c r="AX799" s="263"/>
      <c r="AY799" s="263"/>
      <c r="AZ799" s="263"/>
      <c r="BA799" s="263"/>
      <c r="BB799" s="263"/>
      <c r="BC799" s="263"/>
      <c r="BD799" s="264"/>
      <c r="BE799" s="263"/>
      <c r="BF799" s="263"/>
      <c r="BG799" s="263"/>
      <c r="BH799" s="263"/>
      <c r="BI799" s="263"/>
      <c r="BJ799" s="404">
        <f>altaz(J2000_Bas,$O799,$M799,DecLat,DecLong,2)</f>
        <v>37.437737787913299</v>
      </c>
      <c r="BK799" s="378" t="s">
        <v>903</v>
      </c>
      <c r="BL799" s="379">
        <f>IF((2*G799)/60&lt;0.2,0.2,(2*G799)/60)</f>
        <v>2.5</v>
      </c>
      <c r="BM799" s="380">
        <f>MOD((50000+AD799-$B$3+(0/24)),1)</f>
        <v>0.10692420787381707</v>
      </c>
      <c r="BN799" s="381"/>
      <c r="BO799" s="382">
        <v>799</v>
      </c>
    </row>
    <row r="800" spans="1:67" s="24" customFormat="1" ht="15" customHeight="1" x14ac:dyDescent="0.25">
      <c r="A800" s="288" t="s">
        <v>904</v>
      </c>
      <c r="B800" s="241" t="str">
        <f>HYPERLINK(CONCATENATE($AT$3,BK800,$AU$3),$AV$3)</f>
        <v>S</v>
      </c>
      <c r="C800" s="242" t="str">
        <f>HYPERLINK(CONCATENATE($AT$4,BK800,$AU$4,BL800),$AV$4)</f>
        <v>A</v>
      </c>
      <c r="D800" s="243" t="s">
        <v>5187</v>
      </c>
      <c r="E800" s="244" t="s">
        <v>5179</v>
      </c>
      <c r="F800" s="269">
        <v>4</v>
      </c>
      <c r="G800" s="276">
        <v>22</v>
      </c>
      <c r="H800" s="271" t="s">
        <v>6500</v>
      </c>
      <c r="I800" s="244" t="s">
        <v>6500</v>
      </c>
      <c r="J800" s="246">
        <v>2</v>
      </c>
      <c r="K800" s="247" t="s">
        <v>8462</v>
      </c>
      <c r="L800" s="248">
        <v>213453</v>
      </c>
      <c r="M800" s="249">
        <f>15*(LEFT(TEXT($L800,"000000"),2)+(MID(TEXT($L800,"000000"),3,2)/60)+(RIGHT(TEXT($L800,"000000"),2)/3600))</f>
        <v>323.7208333333333</v>
      </c>
      <c r="N800" s="250">
        <v>564300</v>
      </c>
      <c r="O800" s="251">
        <f>IF($N800&gt;0,(LEFT(TEXT($N800,"000000"),2)+(MID(TEXT($N800,"000000"),3,2)/60)+(RIGHT(TEXT($N800,"000000"),2)/3600)),-(MID(TEXT($N800,"000000"),2,2)+(MID(TEXT($N800,"000000"),4,2)/60)+(RIGHT(TEXT($N800,"000000"),2)/3600)))</f>
        <v>56.716666666666669</v>
      </c>
      <c r="P800" s="252" t="s">
        <v>52</v>
      </c>
      <c r="Q800" s="253"/>
      <c r="R800" s="247" t="s">
        <v>3293</v>
      </c>
      <c r="S800" s="272" t="s">
        <v>1176</v>
      </c>
      <c r="T800" s="273"/>
      <c r="U800" s="274"/>
      <c r="V800" s="256"/>
      <c r="W800" s="244"/>
      <c r="X800" s="244"/>
      <c r="Y800" s="362"/>
      <c r="Z800" s="257">
        <f>altaz(J2000_Bas,$O800,$M800,DecLat,DecLong,1)</f>
        <v>53.384081865592876</v>
      </c>
      <c r="AA800" s="257">
        <f>altaz((J2000_Bas+(2*0.04167)),$O800,$M800,DecLat,DecLong,1)</f>
        <v>63.738251370828429</v>
      </c>
      <c r="AB800" s="257">
        <f>altaz((J2000_Bas+(4*0.04167)),$O800,$M800,DecLat,DecLong,1)</f>
        <v>59.916777426287439</v>
      </c>
      <c r="AC800" s="257">
        <f>altaz((J2000_Bas+(6*0.04167)),$O800,$M800,DecLat,DecLong,1)</f>
        <v>45.781296631087507</v>
      </c>
      <c r="AD800" s="258">
        <f>1+ transit((J2000_Bas-1),$O800,$M800,DecLat,DecLong)/360 + (GMTOffset/24) + (IF(DST="Y", 1, 0)/24)</f>
        <v>1.8921244077442914</v>
      </c>
      <c r="AE800" s="259">
        <f>DATE(2001,9,21)+(M800/360)*365 - (360*((DecLong/360)- (GMTOffset/24) ))</f>
        <v>37488.216956018521</v>
      </c>
      <c r="AF800" s="260">
        <f>IF(DecLat&gt;0,IF((90 - (DecLat-O800))&gt;90, (90 - (O800-DecLat)), (90 - (DecLat-O800))),IF((90 + (DecLat-O800))&gt;90, (90 + (O800-DecLat)), (90 + (DecLat-O800))))</f>
        <v>64.283333333333331</v>
      </c>
      <c r="AG800" s="257">
        <f>angularseperation(MoonRA,MoonDec,$M800,$O800)</f>
        <v>104.46970142828285</v>
      </c>
      <c r="AH800" s="261">
        <f ca="1">MIN(100,IF($O$5&gt;80,0+30*($AG800/100),IF($O$5&gt;70,0+50*($AG800/100),IF($O$5&gt;60,5+50*($AG800/100),IF($O$5&gt;50,10+60*($AG800/100),IF($O$5&gt;40,15+70*($AG800/100),IF($O$5&gt;30,20+70*($AG800/100),IF($O$5&gt;20,40+55*($AG800/100),(80+(20-$O$5)+30*($AG800/100))))))))))</f>
        <v>100</v>
      </c>
      <c r="AI800" s="262"/>
      <c r="AJ800" s="262"/>
      <c r="AK800" s="262"/>
      <c r="AL800" s="263"/>
      <c r="AM800" s="264"/>
      <c r="AN800" s="263"/>
      <c r="AO800" s="263"/>
      <c r="AP800" s="265"/>
      <c r="AQ800" s="266"/>
      <c r="AR800" s="267"/>
      <c r="AS800" s="263"/>
      <c r="AT800" s="263"/>
      <c r="AU800" s="263"/>
      <c r="AV800" s="264"/>
      <c r="AW800" s="263">
        <v>365</v>
      </c>
      <c r="AX800" s="263"/>
      <c r="AY800" s="263"/>
      <c r="AZ800" s="263"/>
      <c r="BA800" s="263"/>
      <c r="BB800" s="263"/>
      <c r="BC800" s="263"/>
      <c r="BD800" s="264"/>
      <c r="BE800" s="263"/>
      <c r="BF800" s="263"/>
      <c r="BG800" s="263"/>
      <c r="BH800" s="263"/>
      <c r="BI800" s="263"/>
      <c r="BJ800" s="404">
        <f>altaz(J2000_Bas,$O800,$M800,DecLat,DecLong,2)</f>
        <v>34.255549398528544</v>
      </c>
      <c r="BK800" s="378" t="s">
        <v>904</v>
      </c>
      <c r="BL800" s="379">
        <f>IF((2*G800)/60&lt;0.2,0.2,(2*G800)/60)</f>
        <v>0.73333333333333328</v>
      </c>
      <c r="BM800" s="380">
        <f>MOD((50000+AD800-$B$3+(0/24)),1)</f>
        <v>0.10749133744684514</v>
      </c>
      <c r="BN800" s="381"/>
      <c r="BO800" s="382">
        <v>800</v>
      </c>
    </row>
    <row r="801" spans="1:67" s="24" customFormat="1" ht="15" customHeight="1" x14ac:dyDescent="0.25">
      <c r="A801" s="287" t="s">
        <v>905</v>
      </c>
      <c r="B801" s="241" t="str">
        <f>HYPERLINK(CONCATENATE($AT$3,BK801,$AU$3),$AV$3)</f>
        <v>S</v>
      </c>
      <c r="C801" s="242" t="str">
        <f>HYPERLINK(CONCATENATE($AT$4,BK801,$AU$4,BL801),$AV$4)</f>
        <v>A</v>
      </c>
      <c r="D801" s="243" t="s">
        <v>5187</v>
      </c>
      <c r="E801" s="244" t="s">
        <v>5179</v>
      </c>
      <c r="F801" s="269">
        <v>3</v>
      </c>
      <c r="G801" s="276">
        <v>10</v>
      </c>
      <c r="H801" s="271" t="s">
        <v>6500</v>
      </c>
      <c r="I801" s="244" t="s">
        <v>6500</v>
      </c>
      <c r="J801" s="246">
        <v>1</v>
      </c>
      <c r="K801" s="247" t="s">
        <v>5937</v>
      </c>
      <c r="L801" s="248">
        <v>214022</v>
      </c>
      <c r="M801" s="249">
        <f>15*(LEFT(TEXT($L801,"000000"),2)+(MID(TEXT($L801,"000000"),3,2)/60)+(RIGHT(TEXT($L801,"000000"),2)/3600))</f>
        <v>325.0916666666667</v>
      </c>
      <c r="N801" s="286">
        <v>593400</v>
      </c>
      <c r="O801" s="251">
        <f>IF($N801&gt;0,(LEFT(TEXT($N801,"000000"),2)+(MID(TEXT($N801,"000000"),3,2)/60)+(RIGHT(TEXT($N801,"000000"),2)/3600)),-(MID(TEXT($N801,"000000"),2,2)+(MID(TEXT($N801,"000000"),4,2)/60)+(RIGHT(TEXT($N801,"000000"),2)/3600)))</f>
        <v>59.56666666666667</v>
      </c>
      <c r="P801" s="252" t="s">
        <v>52</v>
      </c>
      <c r="Q801" s="253"/>
      <c r="R801" s="277" t="s">
        <v>3293</v>
      </c>
      <c r="S801" s="272" t="s">
        <v>3293</v>
      </c>
      <c r="T801" s="273"/>
      <c r="U801" s="274"/>
      <c r="V801" s="256"/>
      <c r="W801" s="244"/>
      <c r="X801" s="244"/>
      <c r="Y801" s="362"/>
      <c r="Z801" s="257">
        <f>altaz(J2000_Bas,$O801,$M801,DecLat,DecLong,1)</f>
        <v>51.35922265155984</v>
      </c>
      <c r="AA801" s="257">
        <f>altaz((J2000_Bas+(2*0.04167)),$O801,$M801,DecLat,DecLong,1)</f>
        <v>60.798633521331524</v>
      </c>
      <c r="AB801" s="257">
        <f>altaz((J2000_Bas+(4*0.04167)),$O801,$M801,DecLat,DecLong,1)</f>
        <v>58.125317899295418</v>
      </c>
      <c r="AC801" s="257">
        <f>altaz((J2000_Bas+(6*0.04167)),$O801,$M801,DecLat,DecLong,1)</f>
        <v>45.753709310781034</v>
      </c>
      <c r="AD801" s="258">
        <f>1+ transit((J2000_Bas-1),$O801,$M801,DecLat,DecLong)/360 + (GMTOffset/24) + (IF(DST="Y", 1, 0)/24)</f>
        <v>1.895932277733875</v>
      </c>
      <c r="AE801" s="259">
        <f>DATE(2001,9,21)+(M801/360)*365 - (360*((DecLong/360)- (GMTOffset/24) ))</f>
        <v>37489.606828703705</v>
      </c>
      <c r="AF801" s="260">
        <f>IF(DecLat&gt;0,IF((90 - (DecLat-O801))&gt;90, (90 - (O801-DecLat)), (90 - (DecLat-O801))),IF((90 + (DecLat-O801))&gt;90, (90 + (O801-DecLat)), (90 + (DecLat-O801))))</f>
        <v>61.43333333333333</v>
      </c>
      <c r="AG801" s="257">
        <f>angularseperation(MoonRA,MoonDec,$M801,$O801)</f>
        <v>106.39844003803309</v>
      </c>
      <c r="AH801" s="261">
        <f ca="1">MIN(100,IF($O$5&gt;80,0+30*($AG801/100),IF($O$5&gt;70,0+50*($AG801/100),IF($O$5&gt;60,5+50*($AG801/100),IF($O$5&gt;50,10+60*($AG801/100),IF($O$5&gt;40,15+70*($AG801/100),IF($O$5&gt;30,20+70*($AG801/100),IF($O$5&gt;20,40+55*($AG801/100),(80+(20-$O$5)+30*($AG801/100))))))))))</f>
        <v>100</v>
      </c>
      <c r="AI801" s="263"/>
      <c r="AJ801" s="263"/>
      <c r="AK801" s="263"/>
      <c r="AL801" s="263"/>
      <c r="AM801" s="264"/>
      <c r="AN801" s="263"/>
      <c r="AO801" s="263"/>
      <c r="AP801" s="265"/>
      <c r="AQ801" s="265"/>
      <c r="AR801" s="285"/>
      <c r="AS801" s="263"/>
      <c r="AT801" s="263"/>
      <c r="AU801" s="263"/>
      <c r="AV801" s="264"/>
      <c r="AW801" s="263">
        <v>366</v>
      </c>
      <c r="AX801" s="263"/>
      <c r="AY801" s="263"/>
      <c r="AZ801" s="263"/>
      <c r="BA801" s="263"/>
      <c r="BB801" s="263"/>
      <c r="BC801" s="263"/>
      <c r="BD801" s="264"/>
      <c r="BE801" s="263"/>
      <c r="BF801" s="263"/>
      <c r="BG801" s="263"/>
      <c r="BH801" s="263"/>
      <c r="BI801" s="263"/>
      <c r="BJ801" s="404">
        <f>altaz(J2000_Bas,$O801,$M801,DecLat,DecLong,2)</f>
        <v>30.762261336173733</v>
      </c>
      <c r="BK801" s="378" t="s">
        <v>905</v>
      </c>
      <c r="BL801" s="379">
        <f>IF((2*G801)/60&lt;0.2,0.2,(2*G801)/60)</f>
        <v>0.33333333333333331</v>
      </c>
      <c r="BM801" s="380">
        <f>MOD((50000+AD801-$B$3+(0/24)),1)</f>
        <v>0.11129920744133415</v>
      </c>
      <c r="BN801" s="381"/>
      <c r="BO801" s="382">
        <v>801</v>
      </c>
    </row>
    <row r="802" spans="1:67" s="24" customFormat="1" ht="15" customHeight="1" x14ac:dyDescent="0.25">
      <c r="A802" s="288" t="s">
        <v>906</v>
      </c>
      <c r="B802" s="241" t="str">
        <f>HYPERLINK(CONCATENATE($AT$3,BK802,$AU$3),$AV$3)</f>
        <v>S</v>
      </c>
      <c r="C802" s="242" t="str">
        <f>HYPERLINK(CONCATENATE($AT$4,BK802,$AU$4,BL802),$AV$4)</f>
        <v>A</v>
      </c>
      <c r="D802" s="243" t="s">
        <v>5187</v>
      </c>
      <c r="E802" s="244" t="s">
        <v>5179</v>
      </c>
      <c r="F802" s="269">
        <v>5</v>
      </c>
      <c r="G802" s="273">
        <v>5</v>
      </c>
      <c r="H802" s="271" t="s">
        <v>6500</v>
      </c>
      <c r="I802" s="244" t="s">
        <v>6500</v>
      </c>
      <c r="J802" s="246">
        <v>2</v>
      </c>
      <c r="K802" s="247" t="s">
        <v>5938</v>
      </c>
      <c r="L802" s="248">
        <v>214424</v>
      </c>
      <c r="M802" s="249">
        <f>15*(LEFT(TEXT($L802,"000000"),2)+(MID(TEXT($L802,"000000"),3,2)/60)+(RIGHT(TEXT($L802,"000000"),2)/3600))</f>
        <v>326.10000000000002</v>
      </c>
      <c r="N802" s="286">
        <v>571000</v>
      </c>
      <c r="O802" s="251">
        <f>IF($N802&gt;0,(LEFT(TEXT($N802,"000000"),2)+(MID(TEXT($N802,"000000"),3,2)/60)+(RIGHT(TEXT($N802,"000000"),2)/3600)),-(MID(TEXT($N802,"000000"),2,2)+(MID(TEXT($N802,"000000"),4,2)/60)+(RIGHT(TEXT($N802,"000000"),2)/3600)))</f>
        <v>57.166666666666664</v>
      </c>
      <c r="P802" s="252" t="s">
        <v>52</v>
      </c>
      <c r="Q802" s="253"/>
      <c r="R802" s="277" t="s">
        <v>3293</v>
      </c>
      <c r="S802" s="272" t="s">
        <v>3293</v>
      </c>
      <c r="T802" s="273"/>
      <c r="U802" s="274"/>
      <c r="V802" s="256"/>
      <c r="W802" s="244"/>
      <c r="X802" s="244"/>
      <c r="Y802" s="362"/>
      <c r="Z802" s="257">
        <f>altaz(J2000_Bas,$O802,$M802,DecLat,DecLong,1)</f>
        <v>52.0246135479222</v>
      </c>
      <c r="AA802" s="257">
        <f>altaz((J2000_Bas+(2*0.04167)),$O802,$M802,DecLat,DecLong,1)</f>
        <v>62.92812861905049</v>
      </c>
      <c r="AB802" s="257">
        <f>altaz((J2000_Bas+(4*0.04167)),$O802,$M802,DecLat,DecLong,1)</f>
        <v>60.375970982635685</v>
      </c>
      <c r="AC802" s="257">
        <f>altaz((J2000_Bas+(6*0.04167)),$O802,$M802,DecLat,DecLong,1)</f>
        <v>46.930613339516228</v>
      </c>
      <c r="AD802" s="258">
        <f>1+ transit((J2000_Bas-1),$O802,$M802,DecLat,DecLong)/360 + (GMTOffset/24) + (IF(DST="Y", 1, 0)/24)</f>
        <v>1.8987332033797084</v>
      </c>
      <c r="AE802" s="259">
        <f>DATE(2001,9,21)+(M802/360)*365 - (360*((DecLong/360)- (GMTOffset/24) ))</f>
        <v>37490.629166666666</v>
      </c>
      <c r="AF802" s="260">
        <f>IF(DecLat&gt;0,IF((90 - (DecLat-O802))&gt;90, (90 - (O802-DecLat)), (90 - (DecLat-O802))),IF((90 + (DecLat-O802))&gt;90, (90 + (O802-DecLat)), (90 + (DecLat-O802))))</f>
        <v>63.833333333333336</v>
      </c>
      <c r="AG802" s="257">
        <f>angularseperation(MoonRA,MoonDec,$M802,$O802)</f>
        <v>105.83137423735448</v>
      </c>
      <c r="AH802" s="261">
        <f ca="1">MIN(100,IF($O$5&gt;80,0+30*($AG802/100),IF($O$5&gt;70,0+50*($AG802/100),IF($O$5&gt;60,5+50*($AG802/100),IF($O$5&gt;50,10+60*($AG802/100),IF($O$5&gt;40,15+70*($AG802/100),IF($O$5&gt;30,20+70*($AG802/100),IF($O$5&gt;20,40+55*($AG802/100),(80+(20-$O$5)+30*($AG802/100))))))))))</f>
        <v>100</v>
      </c>
      <c r="AI802" s="263"/>
      <c r="AJ802" s="263"/>
      <c r="AK802" s="263"/>
      <c r="AL802" s="263"/>
      <c r="AM802" s="264"/>
      <c r="AN802" s="263"/>
      <c r="AO802" s="263"/>
      <c r="AP802" s="265"/>
      <c r="AQ802" s="265"/>
      <c r="AR802" s="285"/>
      <c r="AS802" s="263"/>
      <c r="AT802" s="263"/>
      <c r="AU802" s="263"/>
      <c r="AV802" s="264"/>
      <c r="AW802" s="263">
        <v>367</v>
      </c>
      <c r="AX802" s="263"/>
      <c r="AY802" s="263"/>
      <c r="AZ802" s="263"/>
      <c r="BA802" s="263"/>
      <c r="BB802" s="263"/>
      <c r="BC802" s="263"/>
      <c r="BD802" s="264"/>
      <c r="BE802" s="263"/>
      <c r="BF802" s="263"/>
      <c r="BG802" s="263"/>
      <c r="BH802" s="263"/>
      <c r="BI802" s="263"/>
      <c r="BJ802" s="404">
        <f>altaz(J2000_Bas,$O802,$M802,DecLat,DecLong,2)</f>
        <v>34.579155893275178</v>
      </c>
      <c r="BK802" s="378" t="s">
        <v>906</v>
      </c>
      <c r="BL802" s="379">
        <f>IF((2*G802)/60&lt;0.2,0.2,(2*G802)/60)</f>
        <v>0.2</v>
      </c>
      <c r="BM802" s="380">
        <f>MOD((50000+AD802-$B$3+(0/24)),1)</f>
        <v>0.11410013308341149</v>
      </c>
      <c r="BN802" s="381"/>
      <c r="BO802" s="382">
        <v>802</v>
      </c>
    </row>
    <row r="803" spans="1:67" s="24" customFormat="1" ht="15" customHeight="1" x14ac:dyDescent="0.25">
      <c r="A803" s="288" t="s">
        <v>907</v>
      </c>
      <c r="B803" s="241" t="str">
        <f>HYPERLINK(CONCATENATE($AT$3,BK803,$AU$3),$AV$3)</f>
        <v>S</v>
      </c>
      <c r="C803" s="242" t="str">
        <f>HYPERLINK(CONCATENATE($AT$4,BK803,$AU$4,BL803),$AV$4)</f>
        <v>A</v>
      </c>
      <c r="D803" s="243" t="s">
        <v>5187</v>
      </c>
      <c r="E803" s="244" t="s">
        <v>5179</v>
      </c>
      <c r="F803" s="269">
        <v>5</v>
      </c>
      <c r="G803" s="276">
        <v>14</v>
      </c>
      <c r="H803" s="271" t="s">
        <v>6500</v>
      </c>
      <c r="I803" s="244" t="s">
        <v>6500</v>
      </c>
      <c r="J803" s="246">
        <v>1</v>
      </c>
      <c r="K803" s="247" t="s">
        <v>5939</v>
      </c>
      <c r="L803" s="248">
        <v>215055</v>
      </c>
      <c r="M803" s="249">
        <f>15*(LEFT(TEXT($L803,"000000"),2)+(MID(TEXT($L803,"000000"),3,2)/60)+(RIGHT(TEXT($L803,"000000"),2)/3600))</f>
        <v>327.72916666666669</v>
      </c>
      <c r="N803" s="286">
        <v>585900</v>
      </c>
      <c r="O803" s="251">
        <f>IF($N803&gt;0,(LEFT(TEXT($N803,"000000"),2)+(MID(TEXT($N803,"000000"),3,2)/60)+(RIGHT(TEXT($N803,"000000"),2)/3600)),-(MID(TEXT($N803,"000000"),2,2)+(MID(TEXT($N803,"000000"),4,2)/60)+(RIGHT(TEXT($N803,"000000"),2)/3600)))</f>
        <v>58.983333333333334</v>
      </c>
      <c r="P803" s="252" t="s">
        <v>52</v>
      </c>
      <c r="Q803" s="253"/>
      <c r="R803" s="277" t="s">
        <v>3293</v>
      </c>
      <c r="S803" s="272" t="s">
        <v>3293</v>
      </c>
      <c r="T803" s="273"/>
      <c r="U803" s="274"/>
      <c r="V803" s="256"/>
      <c r="W803" s="244"/>
      <c r="X803" s="244"/>
      <c r="Y803" s="362"/>
      <c r="Z803" s="257">
        <f>altaz(J2000_Bas,$O803,$M803,DecLat,DecLong,1)</f>
        <v>50.447483070762473</v>
      </c>
      <c r="AA803" s="257">
        <f>altaz((J2000_Bas+(2*0.04167)),$O803,$M803,DecLat,DecLong,1)</f>
        <v>60.926556952668975</v>
      </c>
      <c r="AB803" s="257">
        <f>altaz((J2000_Bas+(4*0.04167)),$O803,$M803,DecLat,DecLong,1)</f>
        <v>59.361484609484961</v>
      </c>
      <c r="AC803" s="257">
        <f>altaz((J2000_Bas+(6*0.04167)),$O803,$M803,DecLat,DecLong,1)</f>
        <v>47.215290418612561</v>
      </c>
      <c r="AD803" s="258">
        <f>1+ transit((J2000_Bas-1),$O803,$M803,DecLat,DecLong)/360 + (GMTOffset/24) + (IF(DST="Y", 1, 0)/24)</f>
        <v>1.9032586658901247</v>
      </c>
      <c r="AE803" s="259">
        <f>DATE(2001,9,21)+(M803/360)*365 - (360*((DecLong/360)- (GMTOffset/24) ))</f>
        <v>37492.280960648146</v>
      </c>
      <c r="AF803" s="260">
        <f>IF(DecLat&gt;0,IF((90 - (DecLat-O803))&gt;90, (90 - (O803-DecLat)), (90 - (DecLat-O803))),IF((90 + (DecLat-O803))&gt;90, (90 + (O803-DecLat)), (90 + (DecLat-O803))))</f>
        <v>62.016666666666666</v>
      </c>
      <c r="AG803" s="257">
        <f>angularseperation(MoonRA,MoonDec,$M803,$O803)</f>
        <v>107.37545424514961</v>
      </c>
      <c r="AH803" s="261">
        <f ca="1">MIN(100,IF($O$5&gt;80,0+30*($AG803/100),IF($O$5&gt;70,0+50*($AG803/100),IF($O$5&gt;60,5+50*($AG803/100),IF($O$5&gt;50,10+60*($AG803/100),IF($O$5&gt;40,15+70*($AG803/100),IF($O$5&gt;30,20+70*($AG803/100),IF($O$5&gt;20,40+55*($AG803/100),(80+(20-$O$5)+30*($AG803/100))))))))))</f>
        <v>100</v>
      </c>
      <c r="AI803" s="263"/>
      <c r="AJ803" s="263"/>
      <c r="AK803" s="263"/>
      <c r="AL803" s="263"/>
      <c r="AM803" s="264"/>
      <c r="AN803" s="263"/>
      <c r="AO803" s="263"/>
      <c r="AP803" s="265"/>
      <c r="AQ803" s="265"/>
      <c r="AR803" s="285"/>
      <c r="AS803" s="263"/>
      <c r="AT803" s="263"/>
      <c r="AU803" s="263"/>
      <c r="AV803" s="264"/>
      <c r="AW803" s="263">
        <v>368</v>
      </c>
      <c r="AX803" s="263"/>
      <c r="AY803" s="263"/>
      <c r="AZ803" s="263"/>
      <c r="BA803" s="263"/>
      <c r="BB803" s="263"/>
      <c r="BC803" s="263"/>
      <c r="BD803" s="264"/>
      <c r="BE803" s="263"/>
      <c r="BF803" s="263"/>
      <c r="BG803" s="263"/>
      <c r="BH803" s="263"/>
      <c r="BI803" s="263"/>
      <c r="BJ803" s="404">
        <f>altaz(J2000_Bas,$O803,$M803,DecLat,DecLong,2)</f>
        <v>32.587367840975453</v>
      </c>
      <c r="BK803" s="378" t="s">
        <v>907</v>
      </c>
      <c r="BL803" s="379">
        <f>IF((2*G803)/60&lt;0.2,0.2,(2*G803)/60)</f>
        <v>0.46666666666666667</v>
      </c>
      <c r="BM803" s="380">
        <f>MOD((50000+AD803-$B$3+(0/24)),1)</f>
        <v>0.11862559559085639</v>
      </c>
      <c r="BN803" s="381"/>
      <c r="BO803" s="382">
        <v>803</v>
      </c>
    </row>
    <row r="804" spans="1:67" s="24" customFormat="1" ht="15" customHeight="1" x14ac:dyDescent="0.25">
      <c r="A804" s="288" t="s">
        <v>908</v>
      </c>
      <c r="B804" s="241" t="str">
        <f>HYPERLINK(CONCATENATE($AT$3,BK804,$AU$3),$AV$3)</f>
        <v>S</v>
      </c>
      <c r="C804" s="242" t="str">
        <f>HYPERLINK(CONCATENATE($AT$4,BK804,$AU$4,BL804),$AV$4)</f>
        <v>A</v>
      </c>
      <c r="D804" s="243" t="s">
        <v>5187</v>
      </c>
      <c r="E804" s="244" t="s">
        <v>5179</v>
      </c>
      <c r="F804" s="269">
        <v>3</v>
      </c>
      <c r="G804" s="273">
        <v>5</v>
      </c>
      <c r="H804" s="271" t="s">
        <v>6500</v>
      </c>
      <c r="I804" s="244" t="s">
        <v>6500</v>
      </c>
      <c r="J804" s="246">
        <v>1</v>
      </c>
      <c r="K804" s="247" t="s">
        <v>5940</v>
      </c>
      <c r="L804" s="248">
        <v>221554</v>
      </c>
      <c r="M804" s="249">
        <f>15*(LEFT(TEXT($L804,"000000"),2)+(MID(TEXT($L804,"000000"),3,2)/60)+(RIGHT(TEXT($L804,"000000"),2)/3600))</f>
        <v>333.97500000000002</v>
      </c>
      <c r="N804" s="286">
        <v>560100</v>
      </c>
      <c r="O804" s="251">
        <f>IF($N804&gt;0,(LEFT(TEXT($N804,"000000"),2)+(MID(TEXT($N804,"000000"),3,2)/60)+(RIGHT(TEXT($N804,"000000"),2)/3600)),-(MID(TEXT($N804,"000000"),2,2)+(MID(TEXT($N804,"000000"),4,2)/60)+(RIGHT(TEXT($N804,"000000"),2)/3600)))</f>
        <v>56.016666666666666</v>
      </c>
      <c r="P804" s="252" t="s">
        <v>52</v>
      </c>
      <c r="Q804" s="253"/>
      <c r="R804" s="277" t="s">
        <v>3293</v>
      </c>
      <c r="S804" s="272" t="s">
        <v>3293</v>
      </c>
      <c r="T804" s="273"/>
      <c r="U804" s="274"/>
      <c r="V804" s="256"/>
      <c r="W804" s="244"/>
      <c r="X804" s="244"/>
      <c r="Y804" s="362"/>
      <c r="Z804" s="257">
        <f>altaz(J2000_Bas,$O804,$M804,DecLat,DecLong,1)</f>
        <v>48.402919755866051</v>
      </c>
      <c r="AA804" s="257">
        <f>altaz((J2000_Bas+(2*0.04167)),$O804,$M804,DecLat,DecLong,1)</f>
        <v>62.009354561584068</v>
      </c>
      <c r="AB804" s="257">
        <f>altaz((J2000_Bas+(4*0.04167)),$O804,$M804,DecLat,DecLong,1)</f>
        <v>63.55602458125626</v>
      </c>
      <c r="AC804" s="257">
        <f>altaz((J2000_Bas+(6*0.04167)),$O804,$M804,DecLat,DecLong,1)</f>
        <v>51.40212262470471</v>
      </c>
      <c r="AD804" s="258">
        <f>1+ transit((J2000_Bas-1),$O804,$M804,DecLat,DecLong)/360 + (GMTOffset/24) + (IF(DST="Y", 1, 0)/24)</f>
        <v>1.9206082011922081</v>
      </c>
      <c r="AE804" s="259">
        <f>DATE(2001,9,21)+(M804/360)*365 - (360*((DecLong/360)- (GMTOffset/24) ))</f>
        <v>37498.613541666666</v>
      </c>
      <c r="AF804" s="260">
        <f>IF(DecLat&gt;0,IF((90 - (DecLat-O804))&gt;90, (90 - (O804-DecLat)), (90 - (DecLat-O804))),IF((90 + (DecLat-O804))&gt;90, (90 + (O804-DecLat)), (90 + (DecLat-O804))))</f>
        <v>64.983333333333334</v>
      </c>
      <c r="AG804" s="257">
        <f>angularseperation(MoonRA,MoonDec,$M804,$O804)</f>
        <v>109.38112044152122</v>
      </c>
      <c r="AH804" s="261">
        <f ca="1">MIN(100,IF($O$5&gt;80,0+30*($AG804/100),IF($O$5&gt;70,0+50*($AG804/100),IF($O$5&gt;60,5+50*($AG804/100),IF($O$5&gt;50,10+60*($AG804/100),IF($O$5&gt;40,15+70*($AG804/100),IF($O$5&gt;30,20+70*($AG804/100),IF($O$5&gt;20,40+55*($AG804/100),(80+(20-$O$5)+30*($AG804/100))))))))))</f>
        <v>100</v>
      </c>
      <c r="AI804" s="263"/>
      <c r="AJ804" s="263"/>
      <c r="AK804" s="263"/>
      <c r="AL804" s="263"/>
      <c r="AM804" s="264"/>
      <c r="AN804" s="263"/>
      <c r="AO804" s="263"/>
      <c r="AP804" s="265"/>
      <c r="AQ804" s="265"/>
      <c r="AR804" s="285"/>
      <c r="AS804" s="263"/>
      <c r="AT804" s="263"/>
      <c r="AU804" s="263"/>
      <c r="AV804" s="264"/>
      <c r="AW804" s="263">
        <v>369</v>
      </c>
      <c r="AX804" s="263"/>
      <c r="AY804" s="263"/>
      <c r="AZ804" s="263"/>
      <c r="BA804" s="263"/>
      <c r="BB804" s="263"/>
      <c r="BC804" s="263"/>
      <c r="BD804" s="264"/>
      <c r="BE804" s="263"/>
      <c r="BF804" s="263"/>
      <c r="BG804" s="263"/>
      <c r="BH804" s="263"/>
      <c r="BI804" s="263"/>
      <c r="BJ804" s="404">
        <f>altaz(J2000_Bas,$O804,$M804,DecLat,DecLong,2)</f>
        <v>38.712223772088947</v>
      </c>
      <c r="BK804" s="378" t="s">
        <v>908</v>
      </c>
      <c r="BL804" s="379">
        <f>IF((2*G804)/60&lt;0.2,0.2,(2*G804)/60)</f>
        <v>0.2</v>
      </c>
      <c r="BM804" s="380">
        <f>MOD((50000+AD804-$B$3+(0/24)),1)</f>
        <v>0.13597513089916902</v>
      </c>
      <c r="BN804" s="381"/>
      <c r="BO804" s="382">
        <v>804</v>
      </c>
    </row>
    <row r="805" spans="1:67" s="24" customFormat="1" ht="15" customHeight="1" x14ac:dyDescent="0.25">
      <c r="A805" s="287" t="s">
        <v>909</v>
      </c>
      <c r="B805" s="241" t="str">
        <f>HYPERLINK(CONCATENATE($AT$3,BK805,$AU$3),$AV$3)</f>
        <v>S</v>
      </c>
      <c r="C805" s="242" t="str">
        <f>HYPERLINK(CONCATENATE($AT$4,BK805,$AU$4,BL805),$AV$4)</f>
        <v>A</v>
      </c>
      <c r="D805" s="243" t="s">
        <v>5187</v>
      </c>
      <c r="E805" s="244" t="s">
        <v>5179</v>
      </c>
      <c r="F805" s="269">
        <v>0</v>
      </c>
      <c r="G805" s="276">
        <v>45</v>
      </c>
      <c r="H805" s="271" t="s">
        <v>6500</v>
      </c>
      <c r="I805" s="244" t="s">
        <v>6500</v>
      </c>
      <c r="J805" s="246">
        <v>0</v>
      </c>
      <c r="K805" s="247" t="s">
        <v>6019</v>
      </c>
      <c r="L805" s="248">
        <v>223450</v>
      </c>
      <c r="M805" s="249">
        <f>15*(LEFT(TEXT($L805,"000000"),2)+(MID(TEXT($L805,"000000"),3,2)/60)+(RIGHT(TEXT($L805,"000000"),2)/3600))</f>
        <v>338.70833333333331</v>
      </c>
      <c r="N805" s="286">
        <v>563900</v>
      </c>
      <c r="O805" s="251">
        <f>IF($N805&gt;0,(LEFT(TEXT($N805,"000000"),2)+(MID(TEXT($N805,"000000"),3,2)/60)+(RIGHT(TEXT($N805,"000000"),2)/3600)),-(MID(TEXT($N805,"000000"),2,2)+(MID(TEXT($N805,"000000"),4,2)/60)+(RIGHT(TEXT($N805,"000000"),2)/3600)))</f>
        <v>56.65</v>
      </c>
      <c r="P805" s="252" t="s">
        <v>52</v>
      </c>
      <c r="Q805" s="253"/>
      <c r="R805" s="277" t="s">
        <v>3293</v>
      </c>
      <c r="S805" s="272" t="s">
        <v>3293</v>
      </c>
      <c r="T805" s="273"/>
      <c r="U805" s="274"/>
      <c r="V805" s="256"/>
      <c r="W805" s="244"/>
      <c r="X805" s="244"/>
      <c r="Y805" s="362"/>
      <c r="Z805" s="257">
        <f>altaz(J2000_Bas,$O805,$M805,DecLat,DecLong,1)</f>
        <v>45.70452763419766</v>
      </c>
      <c r="AA805" s="257">
        <f>altaz((J2000_Bas+(2*0.04167)),$O805,$M805,DecLat,DecLong,1)</f>
        <v>59.905846995455974</v>
      </c>
      <c r="AB805" s="257">
        <f>altaz((J2000_Bas+(4*0.04167)),$O805,$M805,DecLat,DecLong,1)</f>
        <v>63.826555033576099</v>
      </c>
      <c r="AC805" s="257">
        <f>altaz((J2000_Bas+(6*0.04167)),$O805,$M805,DecLat,DecLong,1)</f>
        <v>53.498091721343087</v>
      </c>
      <c r="AD805" s="258">
        <f>1+ transit((J2000_Bas-1),$O805,$M805,DecLat,DecLong)/360 + (GMTOffset/24) + (IF(DST="Y", 1, 0)/24)</f>
        <v>1.9337563480255413</v>
      </c>
      <c r="AE805" s="259">
        <f>DATE(2001,9,21)+(M805/360)*365 - (360*((DecLong/360)- (GMTOffset/24) ))</f>
        <v>37503.412615740737</v>
      </c>
      <c r="AF805" s="260">
        <f>IF(DecLat&gt;0,IF((90 - (DecLat-O805))&gt;90, (90 - (O805-DecLat)), (90 - (DecLat-O805))),IF((90 + (DecLat-O805))&gt;90, (90 + (O805-DecLat)), (90 + (DecLat-O805))))</f>
        <v>64.349999999999994</v>
      </c>
      <c r="AG805" s="257">
        <f>angularseperation(MoonRA,MoonDec,$M805,$O805)</f>
        <v>112.07158595937271</v>
      </c>
      <c r="AH805" s="261">
        <f ca="1">MIN(100,IF($O$5&gt;80,0+30*($AG805/100),IF($O$5&gt;70,0+50*($AG805/100),IF($O$5&gt;60,5+50*($AG805/100),IF($O$5&gt;50,10+60*($AG805/100),IF($O$5&gt;40,15+70*($AG805/100),IF($O$5&gt;30,20+70*($AG805/100),IF($O$5&gt;20,40+55*($AG805/100),(80+(20-$O$5)+30*($AG805/100))))))))))</f>
        <v>100</v>
      </c>
      <c r="AI805" s="263"/>
      <c r="AJ805" s="263"/>
      <c r="AK805" s="263"/>
      <c r="AL805" s="263"/>
      <c r="AM805" s="264"/>
      <c r="AN805" s="263"/>
      <c r="AO805" s="263"/>
      <c r="AP805" s="265"/>
      <c r="AQ805" s="265"/>
      <c r="AR805" s="285"/>
      <c r="AS805" s="263"/>
      <c r="AT805" s="263"/>
      <c r="AU805" s="263"/>
      <c r="AV805" s="264"/>
      <c r="AW805" s="263">
        <v>370</v>
      </c>
      <c r="AX805" s="263"/>
      <c r="AY805" s="263"/>
      <c r="AZ805" s="263"/>
      <c r="BA805" s="263"/>
      <c r="BB805" s="263"/>
      <c r="BC805" s="263"/>
      <c r="BD805" s="264"/>
      <c r="BE805" s="263"/>
      <c r="BF805" s="263"/>
      <c r="BG805" s="263"/>
      <c r="BH805" s="263"/>
      <c r="BI805" s="263"/>
      <c r="BJ805" s="404">
        <f>altaz(J2000_Bas,$O805,$M805,DecLat,DecLong,2)</f>
        <v>38.773903795468648</v>
      </c>
      <c r="BK805" s="378" t="s">
        <v>909</v>
      </c>
      <c r="BL805" s="379">
        <f>IF((2*G805)/60&lt;0.2,0.2,(2*G805)/60)</f>
        <v>1.5</v>
      </c>
      <c r="BM805" s="380">
        <f>MOD((50000+AD805-$B$3+(0/24)),1)</f>
        <v>0.14912327772617573</v>
      </c>
      <c r="BN805" s="381"/>
      <c r="BO805" s="382">
        <v>805</v>
      </c>
    </row>
    <row r="806" spans="1:67" s="24" customFormat="1" ht="15" customHeight="1" x14ac:dyDescent="0.25">
      <c r="A806" s="288" t="s">
        <v>5277</v>
      </c>
      <c r="B806" s="241" t="str">
        <f>HYPERLINK(CONCATENATE($AT$3,BK806,$AU$3),$AV$3)</f>
        <v>S</v>
      </c>
      <c r="C806" s="242" t="str">
        <f>HYPERLINK(CONCATENATE($AT$4,BK806,$AU$4,BL806),$AV$4)</f>
        <v>A</v>
      </c>
      <c r="D806" s="243" t="s">
        <v>5187</v>
      </c>
      <c r="E806" s="244" t="s">
        <v>5183</v>
      </c>
      <c r="F806" s="269" t="s">
        <v>5180</v>
      </c>
      <c r="G806" s="276">
        <v>1080</v>
      </c>
      <c r="H806" s="283">
        <v>1600</v>
      </c>
      <c r="I806" s="246">
        <v>500</v>
      </c>
      <c r="J806" s="246">
        <v>3</v>
      </c>
      <c r="K806" s="247" t="s">
        <v>9394</v>
      </c>
      <c r="L806" s="248">
        <v>53622</v>
      </c>
      <c r="M806" s="249">
        <f>15*(LEFT(TEXT($L806,"000000"),2)+(MID(TEXT($L806,"000000"),3,2)/60)+(RIGHT(TEXT($L806,"000000"),2)/3600))</f>
        <v>84.091666666666669</v>
      </c>
      <c r="N806" s="250">
        <v>-936</v>
      </c>
      <c r="O806" s="251">
        <f>IF($N806&gt;0,(LEFT(TEXT($N806,"000000"),2)+(MID(TEXT($N806,"000000"),3,2)/60)+(RIGHT(TEXT($N806,"000000"),2)/3600)),-(MID(TEXT($N806,"000000"),2,2)+(MID(TEXT($N806,"000000"),4,2)/60)+(RIGHT(TEXT($N806,"000000"),2)/3600)))</f>
        <v>-0.16</v>
      </c>
      <c r="P806" s="252" t="s">
        <v>41</v>
      </c>
      <c r="Q806" s="253" t="s">
        <v>5277</v>
      </c>
      <c r="R806" s="253" t="s">
        <v>2687</v>
      </c>
      <c r="S806" s="272" t="s">
        <v>3293</v>
      </c>
      <c r="T806" s="273"/>
      <c r="U806" s="274"/>
      <c r="V806" s="256"/>
      <c r="W806" s="244"/>
      <c r="X806" s="244"/>
      <c r="Y806" s="362"/>
      <c r="Z806" s="257">
        <f>altaz(J2000_Bas,$O806,$M806,DecLat,DecLong,1)</f>
        <v>-52.814687578210254</v>
      </c>
      <c r="AA806" s="257">
        <f>altaz((J2000_Bas+(2*0.04167)),$O806,$M806,DecLat,DecLong,1)</f>
        <v>-31.952368923672623</v>
      </c>
      <c r="AB806" s="257">
        <f>altaz((J2000_Bas+(4*0.04167)),$O806,$M806,DecLat,DecLong,1)</f>
        <v>-6.8659256632529608</v>
      </c>
      <c r="AC806" s="257">
        <f>altaz((J2000_Bas+(6*0.04167)),$O806,$M806,DecLat,DecLong,1)</f>
        <v>18.780454138452683</v>
      </c>
      <c r="AD806" s="258">
        <f>1+ transit((J2000_Bas-1),$O806,$M806,DecLat,DecLong)/360 + (GMTOffset/24) + (IF(DST="Y", 1, 0)/24)</f>
        <v>1.2264879002338747</v>
      </c>
      <c r="AE806" s="259">
        <f>DATE(2001,9,21)+(M806/360)*365 - (360*((DecLong/360)- (GMTOffset/24) ))</f>
        <v>37245.259606481479</v>
      </c>
      <c r="AF806" s="260">
        <f>IF(DecLat&gt;0,IF((90 - (DecLat-O806))&gt;90, (90 - (O806-DecLat)), (90 - (DecLat-O806))),IF((90 + (DecLat-O806))&gt;90, (90 + (O806-DecLat)), (90 + (DecLat-O806))))</f>
        <v>58.84</v>
      </c>
      <c r="AG806" s="257">
        <f>angularseperation(MoonRA,MoonDec,$M806,$O806)</f>
        <v>149.24123617577681</v>
      </c>
      <c r="AH806" s="261">
        <f ca="1">MIN(100,IF($O$5&gt;80,0+30*($AG806/100),IF($O$5&gt;70,0+50*($AG806/100),IF($O$5&gt;60,5+50*($AG806/100),IF($O$5&gt;50,10+60*($AG806/100),IF($O$5&gt;40,15+70*($AG806/100),IF($O$5&gt;30,20+70*($AG806/100),IF($O$5&gt;20,40+55*($AG806/100),(80+(20-$O$5)+30*($AG806/100))))))))))</f>
        <v>100</v>
      </c>
      <c r="AI806" s="263"/>
      <c r="AJ806" s="263"/>
      <c r="AK806" s="263"/>
      <c r="AL806" s="263"/>
      <c r="AM806" s="264"/>
      <c r="AN806" s="263"/>
      <c r="AO806" s="263"/>
      <c r="AP806" s="265"/>
      <c r="AQ806" s="265"/>
      <c r="AR806" s="285"/>
      <c r="AS806" s="263"/>
      <c r="AT806" s="263"/>
      <c r="AU806" s="263"/>
      <c r="AV806" s="264"/>
      <c r="AW806" s="263"/>
      <c r="AX806" s="263"/>
      <c r="AY806" s="263"/>
      <c r="AZ806" s="263"/>
      <c r="BA806" s="263"/>
      <c r="BB806" s="263">
        <v>276</v>
      </c>
      <c r="BC806" s="263"/>
      <c r="BD806" s="264"/>
      <c r="BE806" s="263"/>
      <c r="BF806" s="263">
        <v>26</v>
      </c>
      <c r="BG806" s="263"/>
      <c r="BH806" s="263"/>
      <c r="BI806" s="263"/>
      <c r="BJ806" s="404">
        <f>altaz(J2000_Bas,$O806,$M806,DecLat,DecLong,2)</f>
        <v>38.127768858815287</v>
      </c>
      <c r="BK806" s="268" t="s">
        <v>5622</v>
      </c>
      <c r="BL806" s="408">
        <f>IF((2*G806)/60&lt;0.2,0.2,(2*G806)/60)</f>
        <v>36</v>
      </c>
      <c r="BM806" s="409">
        <f>MOD((50000+AD806-$B$3+(0/24)),1)</f>
        <v>0.4418548299363465</v>
      </c>
      <c r="BN806" s="381"/>
      <c r="BO806" s="382">
        <v>806</v>
      </c>
    </row>
    <row r="807" spans="1:67" s="24" customFormat="1" ht="15" customHeight="1" x14ac:dyDescent="0.25">
      <c r="A807" s="298" t="s">
        <v>910</v>
      </c>
      <c r="B807" s="241" t="str">
        <f>HYPERLINK(CONCATENATE($AT$3,BK807,$AU$3),$AV$3)</f>
        <v>S</v>
      </c>
      <c r="C807" s="242" t="str">
        <f>HYPERLINK(CONCATENATE($AT$4,BK807,$AU$4,BL807),$AV$4)</f>
        <v>A</v>
      </c>
      <c r="D807" s="243" t="s">
        <v>5335</v>
      </c>
      <c r="E807" s="244" t="s">
        <v>8328</v>
      </c>
      <c r="F807" s="269"/>
      <c r="G807" s="270">
        <v>0.05</v>
      </c>
      <c r="H807" s="405">
        <v>6</v>
      </c>
      <c r="I807" s="244" t="s">
        <v>6500</v>
      </c>
      <c r="J807" s="246">
        <v>1</v>
      </c>
      <c r="K807" s="247" t="s">
        <v>4600</v>
      </c>
      <c r="L807" s="248">
        <v>175748</v>
      </c>
      <c r="M807" s="249">
        <f>15*(LEFT(TEXT($L807,"000000"),2)+(MID(TEXT($L807,"000000"),3,2)/60)+(RIGHT(TEXT($L807,"000000"),2)/3600))</f>
        <v>269.45</v>
      </c>
      <c r="N807" s="286">
        <v>44000</v>
      </c>
      <c r="O807" s="251">
        <f>IF($N807&gt;0,(LEFT(TEXT($N807,"000000"),2)+(MID(TEXT($N807,"000000"),3,2)/60)+(RIGHT(TEXT($N807,"000000"),2)/3600)),-(MID(TEXT($N807,"000000"),2,2)+(MID(TEXT($N807,"000000"),4,2)/60)+(RIGHT(TEXT($N807,"000000"),2)/3600)))</f>
        <v>4.666666666666667</v>
      </c>
      <c r="P807" s="252" t="s">
        <v>113</v>
      </c>
      <c r="Q807" s="253" t="s">
        <v>910</v>
      </c>
      <c r="R807" s="247" t="s">
        <v>3293</v>
      </c>
      <c r="S807" s="272" t="s">
        <v>3293</v>
      </c>
      <c r="T807" s="273">
        <v>9.5</v>
      </c>
      <c r="U807" s="274"/>
      <c r="V807" s="256"/>
      <c r="W807" s="244"/>
      <c r="X807" s="244"/>
      <c r="Y807" s="362"/>
      <c r="Z807" s="257">
        <f>altaz(J2000_Bas,$O807,$M807,DecLat,DecLong,1)</f>
        <v>59.409220679818631</v>
      </c>
      <c r="AA807" s="257">
        <f>altaz((J2000_Bas+(2*0.04167)),$O807,$M807,DecLat,DecLong,1)</f>
        <v>38.939284345797383</v>
      </c>
      <c r="AB807" s="257">
        <f>altaz((J2000_Bas+(4*0.04167)),$O807,$M807,DecLat,DecLong,1)</f>
        <v>13.775908861369199</v>
      </c>
      <c r="AC807" s="257">
        <f>altaz((J2000_Bas+(6*0.04167)),$O807,$M807,DecLat,DecLong,1)</f>
        <v>-11.836161500884943</v>
      </c>
      <c r="AD807" s="258">
        <f>1+ transit((J2000_Bas-1),$O807,$M807,DecLat,DecLong)/360 + (GMTOffset/24) + (IF(DST="Y", 1, 0)/24)</f>
        <v>1.741372108004708</v>
      </c>
      <c r="AE807" s="259">
        <f>DATE(2001,9,21)+(M807/360)*365 - (360*((DecLong/360)- (GMTOffset/24) ))</f>
        <v>37433.192361111112</v>
      </c>
      <c r="AF807" s="260">
        <f>IF(DecLat&gt;0,IF((90 - (DecLat-O807))&gt;90, (90 - (O807-DecLat)), (90 - (DecLat-O807))),IF((90 + (DecLat-O807))&gt;90, (90 + (O807-DecLat)), (90 + (DecLat-O807))))</f>
        <v>63.666666666666671</v>
      </c>
      <c r="AG807" s="257">
        <f>angularseperation(MoonRA,MoonDec,$M807,$O807)</f>
        <v>37.27654810548318</v>
      </c>
      <c r="AH807" s="261">
        <f ca="1">MIN(100,IF($O$5&gt;80,0+30*($AG807/100),IF($O$5&gt;70,0+50*($AG807/100),IF($O$5&gt;60,5+50*($AG807/100),IF($O$5&gt;50,10+60*($AG807/100),IF($O$5&gt;40,15+70*($AG807/100),IF($O$5&gt;30,20+70*($AG807/100),IF($O$5&gt;20,40+55*($AG807/100),(80+(20-$O$5)+30*($AG807/100))))))))))</f>
        <v>94.454024775795375</v>
      </c>
      <c r="AI807" s="262"/>
      <c r="AJ807" s="262"/>
      <c r="AK807" s="262"/>
      <c r="AL807" s="263"/>
      <c r="AM807" s="264"/>
      <c r="AN807" s="263"/>
      <c r="AO807" s="263"/>
      <c r="AP807" s="265"/>
      <c r="AQ807" s="266"/>
      <c r="AR807" s="267"/>
      <c r="AS807" s="263"/>
      <c r="AT807" s="263"/>
      <c r="AU807" s="263"/>
      <c r="AV807" s="264"/>
      <c r="AW807" s="263"/>
      <c r="AX807" s="263"/>
      <c r="AY807" s="263"/>
      <c r="AZ807" s="263"/>
      <c r="BA807" s="263"/>
      <c r="BB807" s="263"/>
      <c r="BC807" s="263"/>
      <c r="BD807" s="264"/>
      <c r="BE807" s="263">
        <v>87</v>
      </c>
      <c r="BF807" s="263"/>
      <c r="BG807" s="263"/>
      <c r="BH807" s="263"/>
      <c r="BI807" s="263"/>
      <c r="BJ807" s="404">
        <f>altaz(J2000_Bas,$O807,$M807,DecLat,DecLong,2)</f>
        <v>213.91537737921442</v>
      </c>
      <c r="BK807" s="378" t="s">
        <v>910</v>
      </c>
      <c r="BL807" s="379">
        <f>IF((2*G807)/60&lt;0.2,0.2,(2*G807)/60)</f>
        <v>0.2</v>
      </c>
      <c r="BM807" s="380">
        <f>MOD((50000+AD807-$B$3+(0/24)),1)</f>
        <v>0.9567390377051197</v>
      </c>
      <c r="BN807" s="381"/>
      <c r="BO807" s="382">
        <v>807</v>
      </c>
    </row>
    <row r="808" spans="1:67" s="24" customFormat="1" ht="15" customHeight="1" x14ac:dyDescent="0.25">
      <c r="A808" s="288" t="s">
        <v>9317</v>
      </c>
      <c r="B808" s="241" t="str">
        <f>HYPERLINK(CONCATENATE($AT$3,BK808,$AU$3),$AV$3)</f>
        <v>S</v>
      </c>
      <c r="C808" s="242" t="str">
        <f>HYPERLINK(CONCATENATE($AT$4,BK808,$AU$4,BL808),$AV$4)</f>
        <v>A</v>
      </c>
      <c r="D808" s="243" t="s">
        <v>5187</v>
      </c>
      <c r="E808" s="244" t="s">
        <v>5183</v>
      </c>
      <c r="F808" s="269" t="s">
        <v>5180</v>
      </c>
      <c r="G808" s="270">
        <v>120</v>
      </c>
      <c r="H808" s="283" t="s">
        <v>6500</v>
      </c>
      <c r="I808" s="279" t="s">
        <v>6500</v>
      </c>
      <c r="J808" s="246">
        <v>2</v>
      </c>
      <c r="K808" s="247" t="s">
        <v>9390</v>
      </c>
      <c r="L808" s="248">
        <v>74300</v>
      </c>
      <c r="M808" s="249">
        <f>15*(LEFT(TEXT($L808,"000000"),2)+(MID(TEXT($L808,"000000"),3,2)/60)+(RIGHT(TEXT($L808,"000000"),2)/3600))</f>
        <v>115.75</v>
      </c>
      <c r="N808" s="250">
        <v>-422000</v>
      </c>
      <c r="O808" s="251">
        <f>IF($N808&gt;0,(LEFT(TEXT($N808,"000000"),2)+(MID(TEXT($N808,"000000"),3,2)/60)+(RIGHT(TEXT($N808,"000000"),2)/3600)),-(MID(TEXT($N808,"000000"),2,2)+(MID(TEXT($N808,"000000"),4,2)/60)+(RIGHT(TEXT($N808,"000000"),2)/3600)))</f>
        <v>-42.333333333333336</v>
      </c>
      <c r="P808" s="252" t="s">
        <v>91</v>
      </c>
      <c r="Q808" s="253"/>
      <c r="R808" s="277" t="s">
        <v>3293</v>
      </c>
      <c r="S808" s="272" t="s">
        <v>9320</v>
      </c>
      <c r="T808" s="273"/>
      <c r="U808" s="274"/>
      <c r="V808" s="280"/>
      <c r="W808" s="244"/>
      <c r="X808" s="244"/>
      <c r="Y808" s="362"/>
      <c r="Z808" s="257">
        <f>altaz(J2000_Bas,$O808,$M808,DecLat,DecLong,1)</f>
        <v>-76.252631426439592</v>
      </c>
      <c r="AA808" s="257">
        <f>altaz((J2000_Bas+(2*0.04167)),$O808,$M808,DecLat,DecLong,1)</f>
        <v>-70.220339518877807</v>
      </c>
      <c r="AB808" s="257">
        <f>altaz((J2000_Bas+(4*0.04167)),$O808,$M808,DecLat,DecLong,1)</f>
        <v>-48.63964399280357</v>
      </c>
      <c r="AC808" s="257">
        <f>altaz((J2000_Bas+(6*0.04167)),$O808,$M808,DecLat,DecLong,1)</f>
        <v>-26.831171970091628</v>
      </c>
      <c r="AD808" s="258">
        <f>1+ transit((J2000_Bas-1),$O808,$M808,DecLat,DecLong)/360 + (GMTOffset/24) + (IF(DST="Y", 1, 0)/24)</f>
        <v>1.3144277062547081</v>
      </c>
      <c r="AE808" s="259">
        <f>DATE(2001,9,21)+(M808/360)*365 - (360*((DecLong/360)- (GMTOffset/24) ))</f>
        <v>37277.357638888891</v>
      </c>
      <c r="AF808" s="260">
        <f>IF(DecLat&gt;0,IF((90 - (DecLat-O808))&gt;90, (90 - (O808-DecLat)), (90 - (DecLat-O808))),IF((90 + (DecLat-O808))&gt;90, (90 + (O808-DecLat)), (90 + (DecLat-O808))))</f>
        <v>16.666666666666657</v>
      </c>
      <c r="AG808" s="257">
        <f>angularseperation(MoonRA,MoonDec,$M808,$O808)</f>
        <v>98.416774916217221</v>
      </c>
      <c r="AH808" s="261">
        <f ca="1">MIN(100,IF($O$5&gt;80,0+30*($AG808/100),IF($O$5&gt;70,0+50*($AG808/100),IF($O$5&gt;60,5+50*($AG808/100),IF($O$5&gt;50,10+60*($AG808/100),IF($O$5&gt;40,15+70*($AG808/100),IF($O$5&gt;30,20+70*($AG808/100),IF($O$5&gt;20,40+55*($AG808/100),(80+(20-$O$5)+30*($AG808/100))))))))))</f>
        <v>100</v>
      </c>
      <c r="AI808" s="263"/>
      <c r="AJ808" s="263"/>
      <c r="AK808" s="263"/>
      <c r="AL808" s="263"/>
      <c r="AM808" s="264"/>
      <c r="AN808" s="263"/>
      <c r="AO808" s="263"/>
      <c r="AP808" s="265"/>
      <c r="AQ808" s="265"/>
      <c r="AR808" s="285"/>
      <c r="AS808" s="263"/>
      <c r="AT808" s="263"/>
      <c r="AU808" s="263">
        <v>326</v>
      </c>
      <c r="AV808" s="264"/>
      <c r="AW808" s="263"/>
      <c r="AX808" s="263"/>
      <c r="AY808" s="263"/>
      <c r="AZ808" s="263"/>
      <c r="BA808" s="263"/>
      <c r="BB808" s="263"/>
      <c r="BC808" s="263"/>
      <c r="BD808" s="264"/>
      <c r="BE808" s="263"/>
      <c r="BF808" s="263"/>
      <c r="BG808" s="263"/>
      <c r="BH808" s="263"/>
      <c r="BI808" s="263">
        <v>55</v>
      </c>
      <c r="BJ808" s="404">
        <f>altaz(J2000_Bas,$O808,$M808,DecLat,DecLong,2)</f>
        <v>211.78013729431603</v>
      </c>
      <c r="BK808" s="378" t="s">
        <v>9321</v>
      </c>
      <c r="BL808" s="379">
        <f>IF((2*G808)/60&lt;0.2,0.2,(2*G808)/60)</f>
        <v>4</v>
      </c>
      <c r="BM808" s="380">
        <f>MOD((50000+AD808-$B$3+(0/24)),1)</f>
        <v>0.52979463595693232</v>
      </c>
      <c r="BN808" s="381"/>
      <c r="BO808" s="382">
        <v>3145</v>
      </c>
    </row>
    <row r="809" spans="1:67" s="24" customFormat="1" ht="15" customHeight="1" x14ac:dyDescent="0.25">
      <c r="A809" s="288" t="s">
        <v>911</v>
      </c>
      <c r="B809" s="241" t="str">
        <f>HYPERLINK(CONCATENATE($AT$3,BK809,$AU$3),$AV$3)</f>
        <v>S</v>
      </c>
      <c r="C809" s="242" t="str">
        <f>HYPERLINK(CONCATENATE($AT$4,BK809,$AU$4,BL809),$AV$4)</f>
        <v>A</v>
      </c>
      <c r="D809" s="243" t="s">
        <v>5335</v>
      </c>
      <c r="E809" s="244" t="s">
        <v>5185</v>
      </c>
      <c r="F809" s="269" t="s">
        <v>4418</v>
      </c>
      <c r="G809" s="273">
        <v>2</v>
      </c>
      <c r="H809" s="271">
        <v>40000</v>
      </c>
      <c r="I809" s="281">
        <v>25</v>
      </c>
      <c r="J809" s="246">
        <v>2</v>
      </c>
      <c r="K809" s="247" t="s">
        <v>4668</v>
      </c>
      <c r="L809" s="248">
        <v>65306</v>
      </c>
      <c r="M809" s="249">
        <f>15*(LEFT(TEXT($L809,"000000"),2)+(MID(TEXT($L809,"000000"),3,2)/60)+(RIGHT(TEXT($L809,"000000"),2)/3600))</f>
        <v>103.27499999999999</v>
      </c>
      <c r="N809" s="250">
        <v>165600</v>
      </c>
      <c r="O809" s="251">
        <f>IF($N809&gt;0,(LEFT(TEXT($N809,"000000"),2)+(MID(TEXT($N809,"000000"),3,2)/60)+(RIGHT(TEXT($N809,"000000"),2)/3600)),-(MID(TEXT($N809,"000000"),2,2)+(MID(TEXT($N809,"000000"),4,2)/60)+(RIGHT(TEXT($N809,"000000"),2)/3600)))</f>
        <v>16.933333333333334</v>
      </c>
      <c r="P809" s="252" t="s">
        <v>85</v>
      </c>
      <c r="Q809" s="253"/>
      <c r="R809" s="247" t="s">
        <v>3293</v>
      </c>
      <c r="S809" s="272" t="s">
        <v>3293</v>
      </c>
      <c r="T809" s="273">
        <v>13.5</v>
      </c>
      <c r="U809" s="274"/>
      <c r="V809" s="256"/>
      <c r="W809" s="244"/>
      <c r="X809" s="244"/>
      <c r="Y809" s="362"/>
      <c r="Z809" s="257">
        <f>altaz(J2000_Bas,$O809,$M809,DecLat,DecLong,1)</f>
        <v>-41.995004733959078</v>
      </c>
      <c r="AA809" s="257">
        <f>altaz((J2000_Bas+(2*0.04167)),$O809,$M809,DecLat,DecLong,1)</f>
        <v>-32.626774814302699</v>
      </c>
      <c r="AB809" s="257">
        <f>altaz((J2000_Bas+(4*0.04167)),$O809,$M809,DecLat,DecLong,1)</f>
        <v>-12.919463343882127</v>
      </c>
      <c r="AC809" s="257">
        <f>altaz((J2000_Bas+(6*0.04167)),$O809,$M809,DecLat,DecLong,1)</f>
        <v>11.107897034117604</v>
      </c>
      <c r="AD809" s="258">
        <f>1+ transit((J2000_Bas-1),$O809,$M809,DecLat,DecLong)/360 + (GMTOffset/24) + (IF(DST="Y", 1, 0)/24)</f>
        <v>1.279774931942208</v>
      </c>
      <c r="AE809" s="259">
        <f>DATE(2001,9,21)+(M809/360)*365 - (360*((DecLong/360)- (GMTOffset/24) ))</f>
        <v>37264.709374999999</v>
      </c>
      <c r="AF809" s="260">
        <f>IF(DecLat&gt;0,IF((90 - (DecLat-O809))&gt;90, (90 - (O809-DecLat)), (90 - (DecLat-O809))),IF((90 + (DecLat-O809))&gt;90, (90 + (O809-DecLat)), (90 + (DecLat-O809))))</f>
        <v>75.933333333333337</v>
      </c>
      <c r="AG809" s="257">
        <f>angularseperation(MoonRA,MoonDec,$M809,$O809)</f>
        <v>146.97754737627852</v>
      </c>
      <c r="AH809" s="261">
        <f ca="1">MIN(100,IF($O$5&gt;80,0+30*($AG809/100),IF($O$5&gt;70,0+50*($AG809/100),IF($O$5&gt;60,5+50*($AG809/100),IF($O$5&gt;50,10+60*($AG809/100),IF($O$5&gt;40,15+70*($AG809/100),IF($O$5&gt;30,20+70*($AG809/100),IF($O$5&gt;20,40+55*($AG809/100),(80+(20-$O$5)+30*($AG809/100))))))))))</f>
        <v>100</v>
      </c>
      <c r="AI809" s="262"/>
      <c r="AJ809" s="262"/>
      <c r="AK809" s="262"/>
      <c r="AL809" s="263"/>
      <c r="AM809" s="264"/>
      <c r="AN809" s="263"/>
      <c r="AO809" s="263"/>
      <c r="AP809" s="265"/>
      <c r="AQ809" s="266"/>
      <c r="AR809" s="267"/>
      <c r="AS809" s="263"/>
      <c r="AT809" s="263"/>
      <c r="AU809" s="263"/>
      <c r="AV809" s="264"/>
      <c r="AW809" s="263"/>
      <c r="AX809" s="263"/>
      <c r="AY809" s="263"/>
      <c r="AZ809" s="263"/>
      <c r="BA809" s="263"/>
      <c r="BB809" s="263"/>
      <c r="BC809" s="263"/>
      <c r="BD809" s="264"/>
      <c r="BE809" s="263"/>
      <c r="BF809" s="263"/>
      <c r="BG809" s="263"/>
      <c r="BH809" s="263"/>
      <c r="BI809" s="263"/>
      <c r="BJ809" s="404">
        <f>altaz(J2000_Bas,$O809,$M809,DecLat,DecLong,2)</f>
        <v>3.51184892321284</v>
      </c>
      <c r="BK809" s="378" t="s">
        <v>911</v>
      </c>
      <c r="BL809" s="379">
        <f>IF((2*G809)/60&lt;0.2,0.2,(2*G809)/60)</f>
        <v>0.2</v>
      </c>
      <c r="BM809" s="380">
        <f>MOD((50000+AD809-$B$3+(0/24)),1)</f>
        <v>0.49514186164742569</v>
      </c>
      <c r="BN809" s="381" t="s">
        <v>8646</v>
      </c>
      <c r="BO809" s="382">
        <v>808</v>
      </c>
    </row>
    <row r="810" spans="1:67" s="24" customFormat="1" ht="15" customHeight="1" x14ac:dyDescent="0.25">
      <c r="A810" s="302" t="s">
        <v>912</v>
      </c>
      <c r="B810" s="241" t="str">
        <f>HYPERLINK(CONCATENATE($AT$3,BK810,$AU$3),$AV$3)</f>
        <v>S</v>
      </c>
      <c r="C810" s="242" t="str">
        <f>HYPERLINK(CONCATENATE($AT$4,BK810,$AU$4,BL810),$AV$4)</f>
        <v>A</v>
      </c>
      <c r="D810" s="243" t="s">
        <v>5335</v>
      </c>
      <c r="E810" s="244" t="s">
        <v>5185</v>
      </c>
      <c r="F810" s="269" t="s">
        <v>4419</v>
      </c>
      <c r="G810" s="276">
        <v>12</v>
      </c>
      <c r="H810" s="271">
        <v>5500</v>
      </c>
      <c r="I810" s="281">
        <v>20</v>
      </c>
      <c r="J810" s="246">
        <v>2</v>
      </c>
      <c r="K810" s="247" t="s">
        <v>4420</v>
      </c>
      <c r="L810" s="248">
        <v>44413</v>
      </c>
      <c r="M810" s="249">
        <f>15*(LEFT(TEXT($L810,"000000"),2)+(MID(TEXT($L810,"000000"),3,2)/60)+(RIGHT(TEXT($L810,"000000"),2)/3600))</f>
        <v>71.05416666666666</v>
      </c>
      <c r="N810" s="286">
        <v>420802</v>
      </c>
      <c r="O810" s="251">
        <f>IF($N810&gt;0,(LEFT(TEXT($N810,"000000"),2)+(MID(TEXT($N810,"000000"),3,2)/60)+(RIGHT(TEXT($N810,"000000"),2)/3600)),-(MID(TEXT($N810,"000000"),2,2)+(MID(TEXT($N810,"000000"),4,2)/60)+(RIGHT(TEXT($N810,"000000"),2)/3600)))</f>
        <v>42.13388888888889</v>
      </c>
      <c r="P810" s="252" t="s">
        <v>43</v>
      </c>
      <c r="Q810" s="253"/>
      <c r="R810" s="247" t="s">
        <v>3293</v>
      </c>
      <c r="S810" s="272" t="s">
        <v>3293</v>
      </c>
      <c r="T810" s="273">
        <v>9.8000000000000007</v>
      </c>
      <c r="U810" s="274"/>
      <c r="V810" s="256"/>
      <c r="W810" s="244"/>
      <c r="X810" s="244"/>
      <c r="Y810" s="362"/>
      <c r="Z810" s="257">
        <f>altaz(J2000_Bas,$O810,$M810,DecLat,DecLong,1)</f>
        <v>-10.108142079019469</v>
      </c>
      <c r="AA810" s="257">
        <f>altaz((J2000_Bas+(2*0.04167)),$O810,$M810,DecLat,DecLong,1)</f>
        <v>4.428367604617919</v>
      </c>
      <c r="AB810" s="257">
        <f>altaz((J2000_Bas+(4*0.04167)),$O810,$M810,DecLat,DecLong,1)</f>
        <v>23.717124590931721</v>
      </c>
      <c r="AC810" s="257">
        <f>altaz((J2000_Bas+(6*0.04167)),$O810,$M810,DecLat,DecLong,1)</f>
        <v>45.394092353573221</v>
      </c>
      <c r="AD810" s="258">
        <f>1+ transit((J2000_Bas-1),$O810,$M810,DecLat,DecLong)/360 + (GMTOffset/24) + (IF(DST="Y", 1, 0)/24)</f>
        <v>1.1902726260776246</v>
      </c>
      <c r="AE810" s="259">
        <f>DATE(2001,9,21)+(M810/360)*365 - (360*((DecLong/360)- (GMTOffset/24) ))</f>
        <v>37232.041030092594</v>
      </c>
      <c r="AF810" s="260">
        <f>IF(DecLat&gt;0,IF((90 - (DecLat-O810))&gt;90, (90 - (O810-DecLat)), (90 - (DecLat-O810))),IF((90 + (DecLat-O810))&gt;90, (90 + (O810-DecLat)), (90 + (DecLat-O810))))</f>
        <v>78.86611111111111</v>
      </c>
      <c r="AG810" s="257">
        <f>angularseperation(MoonRA,MoonDec,$M810,$O810)</f>
        <v>164.87750383824846</v>
      </c>
      <c r="AH810" s="261">
        <f ca="1">MIN(100,IF($O$5&gt;80,0+30*($AG810/100),IF($O$5&gt;70,0+50*($AG810/100),IF($O$5&gt;60,5+50*($AG810/100),IF($O$5&gt;50,10+60*($AG810/100),IF($O$5&gt;40,15+70*($AG810/100),IF($O$5&gt;30,20+70*($AG810/100),IF($O$5&gt;20,40+55*($AG810/100),(80+(20-$O$5)+30*($AG810/100))))))))))</f>
        <v>100</v>
      </c>
      <c r="AI810" s="303"/>
      <c r="AJ810" s="303"/>
      <c r="AK810" s="303"/>
      <c r="AL810" s="263"/>
      <c r="AM810" s="264"/>
      <c r="AN810" s="263"/>
      <c r="AO810" s="263"/>
      <c r="AP810" s="265"/>
      <c r="AQ810" s="304"/>
      <c r="AR810" s="305"/>
      <c r="AS810" s="263"/>
      <c r="AT810" s="263"/>
      <c r="AU810" s="263"/>
      <c r="AV810" s="264"/>
      <c r="AW810" s="263"/>
      <c r="AX810" s="263"/>
      <c r="AY810" s="263"/>
      <c r="AZ810" s="263"/>
      <c r="BA810" s="263"/>
      <c r="BB810" s="263"/>
      <c r="BC810" s="263"/>
      <c r="BD810" s="264"/>
      <c r="BE810" s="263"/>
      <c r="BF810" s="263"/>
      <c r="BG810" s="263"/>
      <c r="BH810" s="263"/>
      <c r="BI810" s="263"/>
      <c r="BJ810" s="404">
        <f>altaz(J2000_Bas,$O810,$M810,DecLat,DecLong,2)</f>
        <v>25.563008637316141</v>
      </c>
      <c r="BK810" s="378" t="s">
        <v>912</v>
      </c>
      <c r="BL810" s="379">
        <f>IF((2*G810)/60&lt;0.2,0.2,(2*G810)/60)</f>
        <v>0.4</v>
      </c>
      <c r="BM810" s="380">
        <f>MOD((50000+AD810-$B$3+(0/24)),1)</f>
        <v>0.40563955577817978</v>
      </c>
      <c r="BN810" s="381"/>
      <c r="BO810" s="382">
        <v>809</v>
      </c>
    </row>
    <row r="811" spans="1:67" s="24" customFormat="1" ht="15" customHeight="1" x14ac:dyDescent="0.25">
      <c r="A811" s="287" t="s">
        <v>5481</v>
      </c>
      <c r="B811" s="241" t="str">
        <f>HYPERLINK(CONCATENATE($AT$3,BK811,$AU$3),$AV$3)</f>
        <v>S</v>
      </c>
      <c r="C811" s="242" t="str">
        <f>HYPERLINK(CONCATENATE($AT$4,BK811,$AU$4,BL811),$AV$4)</f>
        <v>A</v>
      </c>
      <c r="D811" s="243" t="s">
        <v>5187</v>
      </c>
      <c r="E811" s="244" t="s">
        <v>5179</v>
      </c>
      <c r="F811" s="269"/>
      <c r="G811" s="276">
        <v>12</v>
      </c>
      <c r="H811" s="271" t="s">
        <v>6500</v>
      </c>
      <c r="I811" s="244" t="s">
        <v>6500</v>
      </c>
      <c r="J811" s="246">
        <v>4</v>
      </c>
      <c r="K811" s="247" t="s">
        <v>5483</v>
      </c>
      <c r="L811" s="248">
        <v>144829</v>
      </c>
      <c r="M811" s="249">
        <f>15*(LEFT(TEXT($L811,"000000"),2)+(MID(TEXT($L811,"000000"),3,2)/60)+(RIGHT(TEXT($L811,"000000"),2)/3600))</f>
        <v>222.12083333333334</v>
      </c>
      <c r="N811" s="250">
        <v>-651554</v>
      </c>
      <c r="O811" s="251">
        <f>IF($N811&gt;0,(LEFT(TEXT($N811,"000000"),2)+(MID(TEXT($N811,"000000"),3,2)/60)+(RIGHT(TEXT($N811,"000000"),2)/3600)),-(MID(TEXT($N811,"000000"),2,2)+(MID(TEXT($N811,"000000"),4,2)/60)+(RIGHT(TEXT($N811,"000000"),2)/3600)))</f>
        <v>-65.265000000000001</v>
      </c>
      <c r="P811" s="252" t="s">
        <v>2119</v>
      </c>
      <c r="Q811" s="253"/>
      <c r="R811" s="277" t="s">
        <v>3293</v>
      </c>
      <c r="S811" s="272" t="s">
        <v>3293</v>
      </c>
      <c r="T811" s="273"/>
      <c r="U811" s="274"/>
      <c r="V811" s="280"/>
      <c r="W811" s="244"/>
      <c r="X811" s="244"/>
      <c r="Y811" s="362"/>
      <c r="Z811" s="257">
        <f>altaz(J2000_Bas,$O811,$M811,DecLat,DecLong,1)</f>
        <v>-18.052894848125014</v>
      </c>
      <c r="AA811" s="257">
        <f>altaz((J2000_Bas+(2*0.04167)),$O811,$M811,DecLat,DecLong,1)</f>
        <v>-29.511169915328615</v>
      </c>
      <c r="AB811" s="257">
        <f>altaz((J2000_Bas+(4*0.04167)),$O811,$M811,DecLat,DecLong,1)</f>
        <v>-41.959683495337408</v>
      </c>
      <c r="AC811" s="257">
        <f>altaz((J2000_Bas+(6*0.04167)),$O811,$M811,DecLat,DecLong,1)</f>
        <v>-52.233647350376316</v>
      </c>
      <c r="AD811" s="258">
        <f>1+ transit((J2000_Bas-1),$O811,$M811,DecLat,DecLong)/360 + (GMTOffset/24) + (IF(DST="Y", 1, 0)/24)</f>
        <v>1.6099022137442913</v>
      </c>
      <c r="AE811" s="259">
        <f>DATE(2001,9,21)+(M811/360)*365 - (360*((DecLong/360)- (GMTOffset/24) ))</f>
        <v>37385.20584490741</v>
      </c>
      <c r="AF811" s="260">
        <f>IF(DecLat&gt;0,IF((90 - (DecLat-O811))&gt;90, (90 - (O811-DecLat)), (90 - (DecLat-O811))),IF((90 + (DecLat-O811))&gt;90, (90 + (O811-DecLat)), (90 + (DecLat-O811))))</f>
        <v>-6.2650000000000006</v>
      </c>
      <c r="AG811" s="257">
        <f>angularseperation(MoonRA,MoonDec,$M811,$O811)</f>
        <v>41.832257697502975</v>
      </c>
      <c r="AH811" s="261">
        <f ca="1">MIN(100,IF($O$5&gt;80,0+30*($AG811/100),IF($O$5&gt;70,0+50*($AG811/100),IF($O$5&gt;60,5+50*($AG811/100),IF($O$5&gt;50,10+60*($AG811/100),IF($O$5&gt;40,15+70*($AG811/100),IF($O$5&gt;30,20+70*($AG811/100),IF($O$5&gt;20,40+55*($AG811/100),(80+(20-$O$5)+30*($AG811/100))))))))))</f>
        <v>95.820737653401324</v>
      </c>
      <c r="AI811" s="263"/>
      <c r="AJ811" s="263"/>
      <c r="AK811" s="263"/>
      <c r="AL811" s="263"/>
      <c r="AM811" s="264"/>
      <c r="AN811" s="263"/>
      <c r="AO811" s="263"/>
      <c r="AP811" s="265"/>
      <c r="AQ811" s="265"/>
      <c r="AR811" s="285"/>
      <c r="AS811" s="263"/>
      <c r="AT811" s="263"/>
      <c r="AU811" s="263"/>
      <c r="AV811" s="264"/>
      <c r="AW811" s="263"/>
      <c r="AX811" s="263"/>
      <c r="AY811" s="263"/>
      <c r="AZ811" s="263"/>
      <c r="BA811" s="263"/>
      <c r="BB811" s="263"/>
      <c r="BC811" s="263"/>
      <c r="BD811" s="264"/>
      <c r="BE811" s="263"/>
      <c r="BF811" s="263"/>
      <c r="BG811" s="263"/>
      <c r="BH811" s="263"/>
      <c r="BI811" s="263"/>
      <c r="BJ811" s="404">
        <f>altaz(J2000_Bas,$O811,$M811,DecLat,DecLong,2)</f>
        <v>203.27525492250814</v>
      </c>
      <c r="BK811" s="378" t="s">
        <v>5482</v>
      </c>
      <c r="BL811" s="379">
        <f>IF((2*G811)/60&lt;0.2,0.2,(2*G811)/60)</f>
        <v>0.4</v>
      </c>
      <c r="BM811" s="380">
        <f>MOD((50000+AD811-$B$3+(0/24)),1)</f>
        <v>0.82526914344634861</v>
      </c>
      <c r="BN811" s="381"/>
      <c r="BO811" s="382">
        <v>810</v>
      </c>
    </row>
    <row r="812" spans="1:67" s="24" customFormat="1" ht="15" customHeight="1" x14ac:dyDescent="0.25">
      <c r="A812" s="288" t="s">
        <v>913</v>
      </c>
      <c r="B812" s="241" t="str">
        <f>HYPERLINK(CONCATENATE($AT$3,BK812,$AU$3),$AV$3)</f>
        <v>S</v>
      </c>
      <c r="C812" s="242" t="str">
        <f>HYPERLINK(CONCATENATE($AT$4,BK812,$AU$4,BL812),$AV$4)</f>
        <v>A</v>
      </c>
      <c r="D812" s="243" t="s">
        <v>5187</v>
      </c>
      <c r="E812" s="244" t="s">
        <v>5179</v>
      </c>
      <c r="F812" s="269">
        <v>6</v>
      </c>
      <c r="G812" s="276">
        <v>50</v>
      </c>
      <c r="H812" s="271">
        <v>500</v>
      </c>
      <c r="I812" s="245">
        <v>8</v>
      </c>
      <c r="J812" s="246">
        <v>4</v>
      </c>
      <c r="K812" s="247" t="s">
        <v>4421</v>
      </c>
      <c r="L812" s="248">
        <v>160936</v>
      </c>
      <c r="M812" s="249">
        <f>15*(LEFT(TEXT($L812,"000000"),2)+(MID(TEXT($L812,"000000"),3,2)/60)+(RIGHT(TEXT($L812,"000000"),2)/3600))</f>
        <v>242.4</v>
      </c>
      <c r="N812" s="250">
        <v>-390300</v>
      </c>
      <c r="O812" s="251">
        <f>IF($N812&gt;0,(LEFT(TEXT($N812,"000000"),2)+(MID(TEXT($N812,"000000"),3,2)/60)+(RIGHT(TEXT($N812,"000000"),2)/3600)),-(MID(TEXT($N812,"000000"),2,2)+(MID(TEXT($N812,"000000"),4,2)/60)+(RIGHT(TEXT($N812,"000000"),2)/3600)))</f>
        <v>-39.049999999999997</v>
      </c>
      <c r="P812" s="252" t="s">
        <v>109</v>
      </c>
      <c r="Q812" s="253" t="s">
        <v>7026</v>
      </c>
      <c r="R812" s="247" t="s">
        <v>3293</v>
      </c>
      <c r="S812" s="272" t="s">
        <v>3293</v>
      </c>
      <c r="T812" s="273"/>
      <c r="U812" s="274"/>
      <c r="V812" s="256"/>
      <c r="W812" s="244"/>
      <c r="X812" s="244"/>
      <c r="Y812" s="362"/>
      <c r="Z812" s="257">
        <f>altaz(J2000_Bas,$O812,$M812,DecLat,DecLong,1)</f>
        <v>9.0657364666148226</v>
      </c>
      <c r="AA812" s="257">
        <f>altaz((J2000_Bas+(2*0.04167)),$O812,$M812,DecLat,DecLong,1)</f>
        <v>-7.9030801902697698</v>
      </c>
      <c r="AB812" s="257">
        <f>altaz((J2000_Bas+(4*0.04167)),$O812,$M812,DecLat,DecLong,1)</f>
        <v>-28.87754779167382</v>
      </c>
      <c r="AC812" s="257">
        <f>altaz((J2000_Bas+(6*0.04167)),$O812,$M812,DecLat,DecLong,1)</f>
        <v>-51.784147788860579</v>
      </c>
      <c r="AD812" s="258">
        <f>1+ transit((J2000_Bas-1),$O812,$M812,DecLat,DecLong)/360 + (GMTOffset/24) + (IF(DST="Y", 1, 0)/24)</f>
        <v>1.6662332266297082</v>
      </c>
      <c r="AE812" s="259">
        <f>DATE(2001,9,21)+(M812/360)*365 - (360*((DecLong/360)- (GMTOffset/24) ))</f>
        <v>37405.76666666667</v>
      </c>
      <c r="AF812" s="260">
        <f>IF(DecLat&gt;0,IF((90 - (DecLat-O812))&gt;90, (90 - (O812-DecLat)), (90 - (DecLat-O812))),IF((90 + (DecLat-O812))&gt;90, (90 + (O812-DecLat)), (90 + (DecLat-O812))))</f>
        <v>19.950000000000003</v>
      </c>
      <c r="AG812" s="257">
        <f>angularseperation(MoonRA,MoonDec,$M812,$O812)</f>
        <v>13.258016010758903</v>
      </c>
      <c r="AH812" s="261">
        <f ca="1">MIN(100,IF($O$5&gt;80,0+30*($AG812/100),IF($O$5&gt;70,0+50*($AG812/100),IF($O$5&gt;60,5+50*($AG812/100),IF($O$5&gt;50,10+60*($AG812/100),IF($O$5&gt;40,15+70*($AG812/100),IF($O$5&gt;30,20+70*($AG812/100),IF($O$5&gt;20,40+55*($AG812/100),(80+(20-$O$5)+30*($AG812/100))))))))))</f>
        <v>87.248465147378099</v>
      </c>
      <c r="AI812" s="262"/>
      <c r="AJ812" s="262"/>
      <c r="AK812" s="262"/>
      <c r="AL812" s="263"/>
      <c r="AM812" s="264"/>
      <c r="AN812" s="263"/>
      <c r="AO812" s="263"/>
      <c r="AP812" s="265"/>
      <c r="AQ812" s="266"/>
      <c r="AR812" s="267"/>
      <c r="AS812" s="263"/>
      <c r="AT812" s="263"/>
      <c r="AU812" s="263"/>
      <c r="AV812" s="264"/>
      <c r="AW812" s="263"/>
      <c r="AX812" s="263"/>
      <c r="AY812" s="263"/>
      <c r="AZ812" s="263"/>
      <c r="BA812" s="263"/>
      <c r="BB812" s="263"/>
      <c r="BC812" s="263"/>
      <c r="BD812" s="264"/>
      <c r="BE812" s="263"/>
      <c r="BF812" s="263"/>
      <c r="BG812" s="263">
        <v>67</v>
      </c>
      <c r="BH812" s="263"/>
      <c r="BI812" s="263"/>
      <c r="BJ812" s="404">
        <f>altaz(J2000_Bas,$O812,$M812,DecLat,DecLong,2)</f>
        <v>212.84422802622254</v>
      </c>
      <c r="BK812" s="378" t="s">
        <v>914</v>
      </c>
      <c r="BL812" s="379">
        <f>IF((2*G812)/60&lt;0.2,0.2,(2*G812)/60)</f>
        <v>1.6666666666666667</v>
      </c>
      <c r="BM812" s="380">
        <f>MOD((50000+AD812-$B$3+(0/24)),1)</f>
        <v>0.8816001563318423</v>
      </c>
      <c r="BN812" s="381"/>
      <c r="BO812" s="382">
        <v>811</v>
      </c>
    </row>
    <row r="813" spans="1:67" s="24" customFormat="1" ht="15" customHeight="1" x14ac:dyDescent="0.25">
      <c r="A813" s="288" t="s">
        <v>915</v>
      </c>
      <c r="B813" s="241" t="str">
        <f>HYPERLINK(CONCATENATE($AT$3,BK813,$AU$3),$AV$3)</f>
        <v>S</v>
      </c>
      <c r="C813" s="242" t="str">
        <f>HYPERLINK(CONCATENATE($AT$4,BK813,$AU$4,BL813),$AV$4)</f>
        <v>A</v>
      </c>
      <c r="D813" s="243" t="s">
        <v>5187</v>
      </c>
      <c r="E813" s="244" t="s">
        <v>5183</v>
      </c>
      <c r="F813" s="269" t="s">
        <v>5180</v>
      </c>
      <c r="G813" s="276">
        <v>12</v>
      </c>
      <c r="H813" s="271" t="s">
        <v>6500</v>
      </c>
      <c r="I813" s="244" t="s">
        <v>6500</v>
      </c>
      <c r="J813" s="246">
        <v>2</v>
      </c>
      <c r="K813" s="247" t="s">
        <v>4422</v>
      </c>
      <c r="L813" s="248">
        <v>65700</v>
      </c>
      <c r="M813" s="249">
        <f>15*(LEFT(TEXT($L813,"000000"),2)+(MID(TEXT($L813,"000000"),3,2)/60)+(RIGHT(TEXT($L813,"000000"),2)/3600))</f>
        <v>104.25</v>
      </c>
      <c r="N813" s="250">
        <v>-81200</v>
      </c>
      <c r="O813" s="251">
        <f>IF($N813&gt;0,(LEFT(TEXT($N813,"000000"),2)+(MID(TEXT($N813,"000000"),3,2)/60)+(RIGHT(TEXT($N813,"000000"),2)/3600)),-(MID(TEXT($N813,"000000"),2,2)+(MID(TEXT($N813,"000000"),4,2)/60)+(RIGHT(TEXT($N813,"000000"),2)/3600)))</f>
        <v>-8.1999999999999993</v>
      </c>
      <c r="P813" s="252" t="s">
        <v>47</v>
      </c>
      <c r="Q813" s="253"/>
      <c r="R813" s="247" t="s">
        <v>3293</v>
      </c>
      <c r="S813" s="272" t="s">
        <v>4423</v>
      </c>
      <c r="T813" s="273"/>
      <c r="U813" s="274"/>
      <c r="V813" s="256"/>
      <c r="W813" s="244"/>
      <c r="X813" s="244"/>
      <c r="Y813" s="362"/>
      <c r="Z813" s="257">
        <f>altaz(J2000_Bas,$O813,$M813,DecLat,DecLong,1)</f>
        <v>-67.141389167185636</v>
      </c>
      <c r="AA813" s="257">
        <f>altaz((J2000_Bas+(2*0.04167)),$O813,$M813,DecLat,DecLong,1)</f>
        <v>-52.581771778733874</v>
      </c>
      <c r="AB813" s="257">
        <f>altaz((J2000_Bas+(4*0.04167)),$O813,$M813,DecLat,DecLong,1)</f>
        <v>-28.215160661249477</v>
      </c>
      <c r="AC813" s="257">
        <f>altaz((J2000_Bas+(6*0.04167)),$O813,$M813,DecLat,DecLong,1)</f>
        <v>-2.5079408564929309</v>
      </c>
      <c r="AD813" s="258">
        <f>1+ transit((J2000_Bas-1),$O813,$M813,DecLat,DecLong)/360 + (GMTOffset/24) + (IF(DST="Y", 1, 0)/24)</f>
        <v>1.282483265004708</v>
      </c>
      <c r="AE813" s="259">
        <f>DATE(2001,9,21)+(M813/360)*365 - (360*((DecLong/360)- (GMTOffset/24) ))</f>
        <v>37265.697916666664</v>
      </c>
      <c r="AF813" s="260">
        <f>IF(DecLat&gt;0,IF((90 - (DecLat-O813))&gt;90, (90 - (O813-DecLat)), (90 - (DecLat-O813))),IF((90 + (DecLat-O813))&gt;90, (90 + (O813-DecLat)), (90 + (DecLat-O813))))</f>
        <v>50.8</v>
      </c>
      <c r="AG813" s="257">
        <f>angularseperation(MoonRA,MoonDec,$M813,$O813)</f>
        <v>131.06059204050979</v>
      </c>
      <c r="AH813" s="261">
        <f ca="1">MIN(100,IF($O$5&gt;80,0+30*($AG813/100),IF($O$5&gt;70,0+50*($AG813/100),IF($O$5&gt;60,5+50*($AG813/100),IF($O$5&gt;50,10+60*($AG813/100),IF($O$5&gt;40,15+70*($AG813/100),IF($O$5&gt;30,20+70*($AG813/100),IF($O$5&gt;20,40+55*($AG813/100),(80+(20-$O$5)+30*($AG813/100))))))))))</f>
        <v>100</v>
      </c>
      <c r="AI813" s="262"/>
      <c r="AJ813" s="262"/>
      <c r="AK813" s="262"/>
      <c r="AL813" s="263"/>
      <c r="AM813" s="264"/>
      <c r="AN813" s="263"/>
      <c r="AO813" s="263"/>
      <c r="AP813" s="265"/>
      <c r="AQ813" s="266"/>
      <c r="AR813" s="267"/>
      <c r="AS813" s="263"/>
      <c r="AT813" s="263"/>
      <c r="AU813" s="263"/>
      <c r="AV813" s="264"/>
      <c r="AW813" s="263"/>
      <c r="AX813" s="263"/>
      <c r="AY813" s="263">
        <v>1022</v>
      </c>
      <c r="AZ813" s="263"/>
      <c r="BA813" s="263"/>
      <c r="BB813" s="263"/>
      <c r="BC813" s="263"/>
      <c r="BD813" s="264"/>
      <c r="BE813" s="263"/>
      <c r="BF813" s="263"/>
      <c r="BG813" s="263"/>
      <c r="BH813" s="263"/>
      <c r="BI813" s="263"/>
      <c r="BJ813" s="404">
        <f>altaz(J2000_Bas,$O813,$M813,DecLat,DecLong,2)</f>
        <v>4.4694573348072497</v>
      </c>
      <c r="BK813" s="378" t="s">
        <v>915</v>
      </c>
      <c r="BL813" s="379">
        <f>IF((2*G813)/60&lt;0.2,0.2,(2*G813)/60)</f>
        <v>0.4</v>
      </c>
      <c r="BM813" s="380">
        <f>MOD((50000+AD813-$B$3+(0/24)),1)</f>
        <v>0.4978501947116456</v>
      </c>
      <c r="BN813" s="381"/>
      <c r="BO813" s="382">
        <v>812</v>
      </c>
    </row>
    <row r="814" spans="1:67" s="24" customFormat="1" ht="15" customHeight="1" x14ac:dyDescent="0.25">
      <c r="A814" s="288" t="s">
        <v>6435</v>
      </c>
      <c r="B814" s="306"/>
      <c r="C814" s="242" t="str">
        <f>HYPERLINK(CONCATENATE($AT$4,BK814,$AU$4,BL814),$AV$4)</f>
        <v>A</v>
      </c>
      <c r="D814" s="243" t="s">
        <v>5187</v>
      </c>
      <c r="E814" s="244" t="s">
        <v>5186</v>
      </c>
      <c r="F814" s="269"/>
      <c r="G814" s="276">
        <v>300</v>
      </c>
      <c r="H814" s="283">
        <v>400</v>
      </c>
      <c r="I814" s="246">
        <v>36</v>
      </c>
      <c r="J814" s="246">
        <v>4</v>
      </c>
      <c r="K814" s="247" t="s">
        <v>4689</v>
      </c>
      <c r="L814" s="248">
        <v>161639</v>
      </c>
      <c r="M814" s="249">
        <f>15*(LEFT(TEXT($L814,"000000"),2)+(MID(TEXT($L814,"000000"),3,2)/60)+(RIGHT(TEXT($L814,"000000"),2)/3600))</f>
        <v>244.16249999999999</v>
      </c>
      <c r="N814" s="250">
        <v>-191647</v>
      </c>
      <c r="O814" s="251">
        <f>IF($N814&gt;0,(LEFT(TEXT($N814,"000000"),2)+(MID(TEXT($N814,"000000"),3,2)/60)+(RIGHT(TEXT($N814,"000000"),2)/3600)),-(MID(TEXT($N814,"000000"),2,2)+(MID(TEXT($N814,"000000"),4,2)/60)+(RIGHT(TEXT($N814,"000000"),2)/3600)))</f>
        <v>-19.279722222222222</v>
      </c>
      <c r="P814" s="252" t="s">
        <v>109</v>
      </c>
      <c r="Q814" s="253" t="s">
        <v>6944</v>
      </c>
      <c r="R814" s="247" t="s">
        <v>3293</v>
      </c>
      <c r="S814" s="272" t="s">
        <v>7168</v>
      </c>
      <c r="T814" s="273"/>
      <c r="U814" s="274"/>
      <c r="V814" s="280"/>
      <c r="W814" s="244"/>
      <c r="X814" s="244"/>
      <c r="Y814" s="362"/>
      <c r="Z814" s="257">
        <f>altaz(J2000_Bas,$O814,$M814,DecLat,DecLong,1)</f>
        <v>25.640811547938963</v>
      </c>
      <c r="AA814" s="257">
        <f>altaz((J2000_Bas+(2*0.04167)),$O814,$M814,DecLat,DecLong,1)</f>
        <v>4.6449150514747224</v>
      </c>
      <c r="AB814" s="257">
        <f>altaz((J2000_Bas+(4*0.04167)),$O814,$M814,DecLat,DecLong,1)</f>
        <v>-19.779615066701695</v>
      </c>
      <c r="AC814" s="257">
        <f>altaz((J2000_Bas+(6*0.04167)),$O814,$M814,DecLat,DecLong,1)</f>
        <v>-45.432909541134855</v>
      </c>
      <c r="AD814" s="258">
        <f>1+ transit((J2000_Bas-1),$O814,$M814,DecLat,DecLong)/360 + (GMTOffset/24) + (IF(DST="Y", 1, 0)/24)</f>
        <v>1.671129059473458</v>
      </c>
      <c r="AE814" s="259">
        <f>DATE(2001,9,21)+(M814/360)*365 - (360*((DecLong/360)- (GMTOffset/24) ))</f>
        <v>37407.55364583333</v>
      </c>
      <c r="AF814" s="260">
        <f>IF(DecLat&gt;0,IF((90 - (DecLat-O814))&gt;90, (90 - (O814-DecLat)), (90 - (DecLat-O814))),IF((90 + (DecLat-O814))&gt;90, (90 + (O814-DecLat)), (90 + (DecLat-O814))))</f>
        <v>39.720277777777781</v>
      </c>
      <c r="AG814" s="257">
        <f>angularseperation(MoonRA,MoonDec,$M814,$O814)</f>
        <v>9.0915367902732438</v>
      </c>
      <c r="AH814" s="261">
        <f ca="1">MIN(100,IF($O$5&gt;80,0+30*($AG814/100),IF($O$5&gt;70,0+50*($AG814/100),IF($O$5&gt;60,5+50*($AG814/100),IF($O$5&gt;50,10+60*($AG814/100),IF($O$5&gt;40,15+70*($AG814/100),IF($O$5&gt;30,20+70*($AG814/100),IF($O$5&gt;20,40+55*($AG814/100),(80+(20-$O$5)+30*($AG814/100))))))))))</f>
        <v>85.998521381232408</v>
      </c>
      <c r="AI814" s="262"/>
      <c r="AJ814" s="263"/>
      <c r="AK814" s="263"/>
      <c r="AL814" s="263"/>
      <c r="AM814" s="264"/>
      <c r="AN814" s="263"/>
      <c r="AO814" s="263"/>
      <c r="AP814" s="265"/>
      <c r="AQ814" s="266"/>
      <c r="AR814" s="267"/>
      <c r="AS814" s="263"/>
      <c r="AT814" s="263"/>
      <c r="AU814" s="263"/>
      <c r="AV814" s="264"/>
      <c r="AW814" s="263"/>
      <c r="AX814" s="263"/>
      <c r="AY814" s="263"/>
      <c r="AZ814" s="263"/>
      <c r="BA814" s="263"/>
      <c r="BB814" s="263"/>
      <c r="BC814" s="263"/>
      <c r="BD814" s="264"/>
      <c r="BE814" s="263"/>
      <c r="BF814" s="263"/>
      <c r="BG814" s="263">
        <v>68</v>
      </c>
      <c r="BH814" s="263"/>
      <c r="BI814" s="263"/>
      <c r="BJ814" s="404">
        <f>altaz(J2000_Bas,$O814,$M814,DecLat,DecLong,2)</f>
        <v>224.3005378435202</v>
      </c>
      <c r="BK814" s="378" t="s">
        <v>7169</v>
      </c>
      <c r="BL814" s="379">
        <f>IF((2*G814)/60&lt;0.2,0.2,(2*G814)/60)</f>
        <v>10</v>
      </c>
      <c r="BM814" s="380">
        <f>MOD((50000+AD814-$B$3+(0/24)),1)</f>
        <v>0.88649598917982075</v>
      </c>
      <c r="BN814" s="381"/>
      <c r="BO814" s="382">
        <v>813</v>
      </c>
    </row>
    <row r="815" spans="1:67" s="24" customFormat="1" ht="15" customHeight="1" x14ac:dyDescent="0.25">
      <c r="A815" s="288" t="s">
        <v>916</v>
      </c>
      <c r="B815" s="241" t="str">
        <f>HYPERLINK(CONCATENATE($AT$3,BK815,$AU$3),$AV$3)</f>
        <v>S</v>
      </c>
      <c r="C815" s="242" t="str">
        <f>HYPERLINK(CONCATENATE($AT$4,BK815,$AU$4,BL815),$AV$4)</f>
        <v>A</v>
      </c>
      <c r="D815" s="243" t="s">
        <v>5187</v>
      </c>
      <c r="E815" s="244" t="s">
        <v>5181</v>
      </c>
      <c r="F815" s="269" t="s">
        <v>4801</v>
      </c>
      <c r="G815" s="270">
        <v>0.05</v>
      </c>
      <c r="H815" s="271">
        <v>65000</v>
      </c>
      <c r="I815" s="245">
        <v>1</v>
      </c>
      <c r="J815" s="246">
        <v>0</v>
      </c>
      <c r="K815" s="247" t="s">
        <v>4424</v>
      </c>
      <c r="L815" s="248">
        <v>3718</v>
      </c>
      <c r="M815" s="249">
        <f>15*(LEFT(TEXT($L815,"000000"),2)+(MID(TEXT($L815,"000000"),3,2)/60)+(RIGHT(TEXT($L815,"000000"),2)/3600))</f>
        <v>9.3250000000000011</v>
      </c>
      <c r="N815" s="250">
        <v>-134300</v>
      </c>
      <c r="O815" s="251">
        <f>IF($N815&gt;0,(LEFT(TEXT($N815,"000000"),2)+(MID(TEXT($N815,"000000"),3,2)/60)+(RIGHT(TEXT($N815,"000000"),2)/3600)),-(MID(TEXT($N815,"000000"),2,2)+(MID(TEXT($N815,"000000"),4,2)/60)+(RIGHT(TEXT($N815,"000000"),2)/3600)))</f>
        <v>-13.716666666666667</v>
      </c>
      <c r="P815" s="252" t="s">
        <v>75</v>
      </c>
      <c r="Q815" s="253"/>
      <c r="R815" s="247" t="s">
        <v>3293</v>
      </c>
      <c r="S815" s="272" t="s">
        <v>3293</v>
      </c>
      <c r="T815" s="273">
        <v>16.399999999999999</v>
      </c>
      <c r="U815" s="274"/>
      <c r="V815" s="256"/>
      <c r="W815" s="244"/>
      <c r="X815" s="244"/>
      <c r="Y815" s="362"/>
      <c r="Z815" s="257">
        <f>altaz(J2000_Bas,$O815,$M815,DecLat,DecLong,1)</f>
        <v>-1.4494505083597773</v>
      </c>
      <c r="AA815" s="257">
        <f>altaz((J2000_Bas+(2*0.04167)),$O815,$M815,DecLat,DecLong,1)</f>
        <v>22.10177678084133</v>
      </c>
      <c r="AB815" s="257">
        <f>altaz((J2000_Bas+(4*0.04167)),$O815,$M815,DecLat,DecLong,1)</f>
        <v>40.055125303107694</v>
      </c>
      <c r="AC815" s="257">
        <f>altaz((J2000_Bas+(6*0.04167)),$O815,$M815,DecLat,DecLong,1)</f>
        <v>44.789892097890387</v>
      </c>
      <c r="AD815" s="258">
        <f>1+ transit((J2000_Bas-1),$O815,$M815,DecLat,DecLong)/360 + (GMTOffset/24) + (IF(DST="Y", 1, 0)/24)</f>
        <v>1.018802735817208</v>
      </c>
      <c r="AE815" s="259">
        <f>DATE(2001,9,21)+(M815/360)*365 - (360*((DecLong/360)- (GMTOffset/24) ))</f>
        <v>37169.454513888886</v>
      </c>
      <c r="AF815" s="260">
        <f>IF(DecLat&gt;0,IF((90 - (DecLat-O815))&gt;90, (90 - (O815-DecLat)), (90 - (DecLat-O815))),IF((90 + (DecLat-O815))&gt;90, (90 + (O815-DecLat)), (90 + (DecLat-O815))))</f>
        <v>45.283333333333331</v>
      </c>
      <c r="AG815" s="257">
        <f>angularseperation(MoonRA,MoonDec,$M815,$O815)</f>
        <v>109.00185287858591</v>
      </c>
      <c r="AH815" s="261">
        <f ca="1">MIN(100,IF($O$5&gt;80,0+30*($AG815/100),IF($O$5&gt;70,0+50*($AG815/100),IF($O$5&gt;60,5+50*($AG815/100),IF($O$5&gt;50,10+60*($AG815/100),IF($O$5&gt;40,15+70*($AG815/100),IF($O$5&gt;30,20+70*($AG815/100),IF($O$5&gt;20,40+55*($AG815/100),(80+(20-$O$5)+30*($AG815/100))))))))))</f>
        <v>100</v>
      </c>
      <c r="AI815" s="262"/>
      <c r="AJ815" s="262"/>
      <c r="AK815" s="262"/>
      <c r="AL815" s="263"/>
      <c r="AM815" s="264"/>
      <c r="AN815" s="263"/>
      <c r="AO815" s="263"/>
      <c r="AP815" s="265"/>
      <c r="AQ815" s="266"/>
      <c r="AR815" s="267"/>
      <c r="AS815" s="263"/>
      <c r="AT815" s="263"/>
      <c r="AU815" s="263"/>
      <c r="AV815" s="264"/>
      <c r="AW815" s="263"/>
      <c r="AX815" s="263"/>
      <c r="AY815" s="263"/>
      <c r="AZ815" s="263"/>
      <c r="BA815" s="263"/>
      <c r="BB815" s="263"/>
      <c r="BC815" s="263"/>
      <c r="BD815" s="264"/>
      <c r="BE815" s="263"/>
      <c r="BF815" s="263"/>
      <c r="BG815" s="263"/>
      <c r="BH815" s="263"/>
      <c r="BI815" s="263"/>
      <c r="BJ815" s="404">
        <f>altaz(J2000_Bas,$O815,$M815,DecLat,DecLong,2)</f>
        <v>105.16014810259941</v>
      </c>
      <c r="BK815" s="378" t="s">
        <v>4099</v>
      </c>
      <c r="BL815" s="379">
        <f>IF((2*G815)/60&lt;0.2,0.2,(2*G815)/60)</f>
        <v>0.2</v>
      </c>
      <c r="BM815" s="380">
        <f>MOD((50000+AD815-$B$3+(0/24)),1)</f>
        <v>0.23416966552031226</v>
      </c>
      <c r="BN815" s="381" t="s">
        <v>8646</v>
      </c>
      <c r="BO815" s="382">
        <v>814</v>
      </c>
    </row>
    <row r="816" spans="1:67" s="24" customFormat="1" ht="15" customHeight="1" x14ac:dyDescent="0.25">
      <c r="A816" s="288" t="s">
        <v>917</v>
      </c>
      <c r="B816" s="241" t="str">
        <f>HYPERLINK(CONCATENATE($AT$3,BK816,$AU$3),$AV$3)</f>
        <v>S</v>
      </c>
      <c r="C816" s="242" t="str">
        <f>HYPERLINK(CONCATENATE($AT$4,BK816,$AU$4,BL816),$AV$4)</f>
        <v>A</v>
      </c>
      <c r="D816" s="243" t="s">
        <v>5187</v>
      </c>
      <c r="E816" s="244" t="s">
        <v>5181</v>
      </c>
      <c r="F816" s="269" t="s">
        <v>5734</v>
      </c>
      <c r="G816" s="273">
        <v>1.5</v>
      </c>
      <c r="H816" s="271">
        <v>7200</v>
      </c>
      <c r="I816" s="245">
        <v>3</v>
      </c>
      <c r="J816" s="246">
        <v>2</v>
      </c>
      <c r="K816" s="247" t="s">
        <v>4427</v>
      </c>
      <c r="L816" s="248">
        <v>1959</v>
      </c>
      <c r="M816" s="249">
        <f>15*(LEFT(TEXT($L816,"000000"),2)+(MID(TEXT($L816,"000000"),3,2)/60)+(RIGHT(TEXT($L816,"000000"),2)/3600))</f>
        <v>4.9958333333333336</v>
      </c>
      <c r="N816" s="250">
        <v>625906</v>
      </c>
      <c r="O816" s="251">
        <f>IF($N816&gt;0,(LEFT(TEXT($N816,"000000"),2)+(MID(TEXT($N816,"000000"),3,2)/60)+(RIGHT(TEXT($N816,"000000"),2)/3600)),-(MID(TEXT($N816,"000000"),2,2)+(MID(TEXT($N816,"000000"),4,2)/60)+(RIGHT(TEXT($N816,"000000"),2)/3600)))</f>
        <v>62.984999999999999</v>
      </c>
      <c r="P816" s="252" t="s">
        <v>49</v>
      </c>
      <c r="Q816" s="253"/>
      <c r="R816" s="247" t="s">
        <v>3293</v>
      </c>
      <c r="S816" s="272" t="s">
        <v>3293</v>
      </c>
      <c r="T816" s="273"/>
      <c r="U816" s="274"/>
      <c r="V816" s="256"/>
      <c r="W816" s="244"/>
      <c r="X816" s="244"/>
      <c r="Y816" s="362"/>
      <c r="Z816" s="257">
        <f>altaz(J2000_Bas,$O816,$M816,DecLat,DecLong,1)</f>
        <v>32.220367127961602</v>
      </c>
      <c r="AA816" s="257">
        <f>altaz((J2000_Bas+(2*0.04167)),$O816,$M816,DecLat,DecLong,1)</f>
        <v>45.62213678168694</v>
      </c>
      <c r="AB816" s="257">
        <f>altaz((J2000_Bas+(4*0.04167)),$O816,$M816,DecLat,DecLong,1)</f>
        <v>55.828704307374601</v>
      </c>
      <c r="AC816" s="257">
        <f>altaz((J2000_Bas+(6*0.04167)),$O816,$M816,DecLat,DecLong,1)</f>
        <v>57.213244589461716</v>
      </c>
      <c r="AD816" s="258">
        <f>1+ transit((J2000_Bas-1),$O816,$M816,DecLat,DecLong)/360 + (GMTOffset/24) + (IF(DST="Y", 1, 0)/24)</f>
        <v>1.0067772740567913</v>
      </c>
      <c r="AE816" s="259">
        <f>DATE(2001,9,21)+(M816/360)*365 - (360*((DecLong/360)- (GMTOffset/24) ))</f>
        <v>37165.06521990741</v>
      </c>
      <c r="AF816" s="260">
        <f>IF(DecLat&gt;0,IF((90 - (DecLat-O816))&gt;90, (90 - (O816-DecLat)), (90 - (DecLat-O816))),IF((90 + (DecLat-O816))&gt;90, (90 + (O816-DecLat)), (90 + (DecLat-O816))))</f>
        <v>58.015000000000001</v>
      </c>
      <c r="AG816" s="257">
        <f>angularseperation(MoonRA,MoonDec,$M816,$O816)</f>
        <v>125.54480888209591</v>
      </c>
      <c r="AH816" s="261">
        <f ca="1">MIN(100,IF($O$5&gt;80,0+30*($AG816/100),IF($O$5&gt;70,0+50*($AG816/100),IF($O$5&gt;60,5+50*($AG816/100),IF($O$5&gt;50,10+60*($AG816/100),IF($O$5&gt;40,15+70*($AG816/100),IF($O$5&gt;30,20+70*($AG816/100),IF($O$5&gt;20,40+55*($AG816/100),(80+(20-$O$5)+30*($AG816/100))))))))))</f>
        <v>100</v>
      </c>
      <c r="AI816" s="262"/>
      <c r="AJ816" s="262"/>
      <c r="AK816" s="262"/>
      <c r="AL816" s="263"/>
      <c r="AM816" s="264"/>
      <c r="AN816" s="263"/>
      <c r="AO816" s="263"/>
      <c r="AP816" s="265"/>
      <c r="AQ816" s="266"/>
      <c r="AR816" s="267"/>
      <c r="AS816" s="263"/>
      <c r="AT816" s="263"/>
      <c r="AU816" s="263"/>
      <c r="AV816" s="264"/>
      <c r="AW816" s="263"/>
      <c r="AX816" s="263"/>
      <c r="AY816" s="263"/>
      <c r="AZ816" s="263"/>
      <c r="BA816" s="263"/>
      <c r="BB816" s="263"/>
      <c r="BC816" s="263"/>
      <c r="BD816" s="264"/>
      <c r="BE816" s="263"/>
      <c r="BF816" s="263"/>
      <c r="BG816" s="263"/>
      <c r="BH816" s="263"/>
      <c r="BI816" s="263"/>
      <c r="BJ816" s="404">
        <f>altaz(J2000_Bas,$O816,$M816,DecLat,DecLong,2)</f>
        <v>31.804905069729514</v>
      </c>
      <c r="BK816" s="378" t="s">
        <v>4425</v>
      </c>
      <c r="BL816" s="379">
        <f>IF((2*G816)/60&lt;0.2,0.2,(2*G816)/60)</f>
        <v>0.2</v>
      </c>
      <c r="BM816" s="380">
        <f>MOD((50000+AD816-$B$3+(0/24)),1)</f>
        <v>0.22214420376258204</v>
      </c>
      <c r="BN816" s="381"/>
      <c r="BO816" s="382">
        <v>815</v>
      </c>
    </row>
    <row r="817" spans="1:67" s="24" customFormat="1" ht="15" customHeight="1" x14ac:dyDescent="0.25">
      <c r="A817" s="288" t="s">
        <v>918</v>
      </c>
      <c r="B817" s="241" t="str">
        <f>HYPERLINK(CONCATENATE($AT$3,BK817,$AU$3),$AV$3)</f>
        <v>S</v>
      </c>
      <c r="C817" s="242" t="str">
        <f>HYPERLINK(CONCATENATE($AT$4,BK817,$AU$4,BL817),$AV$4)</f>
        <v>A</v>
      </c>
      <c r="D817" s="243" t="s">
        <v>5187</v>
      </c>
      <c r="E817" s="244" t="s">
        <v>5181</v>
      </c>
      <c r="F817" s="269" t="s">
        <v>5208</v>
      </c>
      <c r="G817" s="270">
        <v>0.5</v>
      </c>
      <c r="H817" s="271">
        <v>23000</v>
      </c>
      <c r="I817" s="279">
        <v>3.5</v>
      </c>
      <c r="J817" s="246">
        <v>2</v>
      </c>
      <c r="K817" s="247" t="s">
        <v>4664</v>
      </c>
      <c r="L817" s="248">
        <v>15303</v>
      </c>
      <c r="M817" s="249">
        <f>15*(LEFT(TEXT($L817,"000000"),2)+(MID(TEXT($L817,"000000"),3,2)/60)+(RIGHT(TEXT($L817,"000000"),2)/3600))</f>
        <v>28.262499999999999</v>
      </c>
      <c r="N817" s="250">
        <v>562400</v>
      </c>
      <c r="O817" s="251">
        <f>IF($N817&gt;0,(LEFT(TEXT($N817,"000000"),2)+(MID(TEXT($N817,"000000"),3,2)/60)+(RIGHT(TEXT($N817,"000000"),2)/3600)),-(MID(TEXT($N817,"000000"),2,2)+(MID(TEXT($N817,"000000"),4,2)/60)+(RIGHT(TEXT($N817,"000000"),2)/3600)))</f>
        <v>56.4</v>
      </c>
      <c r="P817" s="252" t="s">
        <v>43</v>
      </c>
      <c r="Q817" s="253"/>
      <c r="R817" s="247" t="s">
        <v>3293</v>
      </c>
      <c r="S817" s="272" t="s">
        <v>3293</v>
      </c>
      <c r="T817" s="273">
        <v>15</v>
      </c>
      <c r="U817" s="274"/>
      <c r="V817" s="256"/>
      <c r="W817" s="244"/>
      <c r="X817" s="244"/>
      <c r="Y817" s="362"/>
      <c r="Z817" s="257">
        <f>altaz(J2000_Bas,$O817,$M817,DecLat,DecLong,1)</f>
        <v>19.163197349837201</v>
      </c>
      <c r="AA817" s="257">
        <f>altaz((J2000_Bas+(2*0.04167)),$O817,$M817,DecLat,DecLong,1)</f>
        <v>35.042711229578991</v>
      </c>
      <c r="AB817" s="257">
        <f>altaz((J2000_Bas+(4*0.04167)),$O817,$M817,DecLat,DecLong,1)</f>
        <v>51.351574095140023</v>
      </c>
      <c r="AC817" s="257">
        <f>altaz((J2000_Bas+(6*0.04167)),$O817,$M817,DecLat,DecLong,1)</f>
        <v>63.247446104854049</v>
      </c>
      <c r="AD817" s="258">
        <f>1+ transit((J2000_Bas-1),$O817,$M817,DecLat,DecLong)/360 + (GMTOffset/24) + (IF(DST="Y", 1, 0)/24)</f>
        <v>1.0714068972234581</v>
      </c>
      <c r="AE817" s="259">
        <f>DATE(2001,9,21)+(M817/360)*365 - (360*((DecLong/360)- (GMTOffset/24) ))</f>
        <v>37188.655034722222</v>
      </c>
      <c r="AF817" s="260">
        <f>IF(DecLat&gt;0,IF((90 - (DecLat-O817))&gt;90, (90 - (O817-DecLat)), (90 - (DecLat-O817))),IF((90 + (DecLat-O817))&gt;90, (90 + (O817-DecLat)), (90 + (DecLat-O817))))</f>
        <v>64.599999999999994</v>
      </c>
      <c r="AG817" s="257">
        <f>angularseperation(MoonRA,MoonDec,$M817,$O817)</f>
        <v>138.69385853836837</v>
      </c>
      <c r="AH817" s="261">
        <f ca="1">MIN(100,IF($O$5&gt;80,0+30*($AG817/100),IF($O$5&gt;70,0+50*($AG817/100),IF($O$5&gt;60,5+50*($AG817/100),IF($O$5&gt;50,10+60*($AG817/100),IF($O$5&gt;40,15+70*($AG817/100),IF($O$5&gt;30,20+70*($AG817/100),IF($O$5&gt;20,40+55*($AG817/100),(80+(20-$O$5)+30*($AG817/100))))))))))</f>
        <v>100</v>
      </c>
      <c r="AI817" s="262"/>
      <c r="AJ817" s="262"/>
      <c r="AK817" s="262"/>
      <c r="AL817" s="263"/>
      <c r="AM817" s="264"/>
      <c r="AN817" s="263"/>
      <c r="AO817" s="263"/>
      <c r="AP817" s="265"/>
      <c r="AQ817" s="266"/>
      <c r="AR817" s="267"/>
      <c r="AS817" s="263"/>
      <c r="AT817" s="263"/>
      <c r="AU817" s="263"/>
      <c r="AV817" s="264"/>
      <c r="AW817" s="263"/>
      <c r="AX817" s="263"/>
      <c r="AY817" s="263"/>
      <c r="AZ817" s="263"/>
      <c r="BA817" s="263"/>
      <c r="BB817" s="263"/>
      <c r="BC817" s="263"/>
      <c r="BD817" s="264"/>
      <c r="BE817" s="263"/>
      <c r="BF817" s="263"/>
      <c r="BG817" s="263"/>
      <c r="BH817" s="263"/>
      <c r="BI817" s="263"/>
      <c r="BJ817" s="404">
        <f>altaz(J2000_Bas,$O817,$M817,DecLat,DecLong,2)</f>
        <v>34.924365665375809</v>
      </c>
      <c r="BK817" s="378" t="s">
        <v>4426</v>
      </c>
      <c r="BL817" s="379">
        <f>IF((2*G817)/60&lt;0.2,0.2,(2*G817)/60)</f>
        <v>0.2</v>
      </c>
      <c r="BM817" s="380">
        <f>MOD((50000+AD817-$B$3+(0/24)),1)</f>
        <v>0.28677382692694664</v>
      </c>
      <c r="BN817" s="381" t="s">
        <v>8665</v>
      </c>
      <c r="BO817" s="382">
        <v>816</v>
      </c>
    </row>
    <row r="818" spans="1:67" s="24" customFormat="1" ht="15" customHeight="1" x14ac:dyDescent="0.25">
      <c r="A818" s="288" t="s">
        <v>9409</v>
      </c>
      <c r="B818" s="241" t="str">
        <f>HYPERLINK(CONCATENATE($AT$3,BK818,$AU$3),$AV$3)</f>
        <v>S</v>
      </c>
      <c r="C818" s="242" t="str">
        <f>HYPERLINK(CONCATENATE($AT$4,BK818,$AU$4,BL818),$AV$4)</f>
        <v>A</v>
      </c>
      <c r="D818" s="243" t="s">
        <v>5187</v>
      </c>
      <c r="E818" s="244" t="s">
        <v>5183</v>
      </c>
      <c r="F818" s="269" t="s">
        <v>5180</v>
      </c>
      <c r="G818" s="276">
        <v>120</v>
      </c>
      <c r="H818" s="271">
        <v>4500</v>
      </c>
      <c r="I818" s="281">
        <v>160</v>
      </c>
      <c r="J818" s="246">
        <v>2</v>
      </c>
      <c r="K818" s="277" t="s">
        <v>9411</v>
      </c>
      <c r="L818" s="248">
        <v>72344</v>
      </c>
      <c r="M818" s="249">
        <f>15*(LEFT(TEXT($L818,"000000"),2)+(MID(TEXT($L818,"000000"),3,2)/60)+(RIGHT(TEXT($L818,"000000"),2)/3600))</f>
        <v>110.93333333333334</v>
      </c>
      <c r="N818" s="250">
        <v>-252744</v>
      </c>
      <c r="O818" s="251">
        <f>IF($N818&gt;0,(LEFT(TEXT($N818,"000000"),2)+(MID(TEXT($N818,"000000"),3,2)/60)+(RIGHT(TEXT($N818,"000000"),2)/3600)),-(MID(TEXT($N818,"000000"),2,2)+(MID(TEXT($N818,"000000"),4,2)/60)+(RIGHT(TEXT($N818,"000000"),2)/3600)))</f>
        <v>-25.46222222222222</v>
      </c>
      <c r="P818" s="252" t="s">
        <v>80</v>
      </c>
      <c r="Q818" s="253"/>
      <c r="R818" s="277" t="s">
        <v>2714</v>
      </c>
      <c r="S818" s="272" t="s">
        <v>3293</v>
      </c>
      <c r="T818" s="273"/>
      <c r="U818" s="274"/>
      <c r="V818" s="256"/>
      <c r="W818" s="244"/>
      <c r="X818" s="244"/>
      <c r="Y818" s="362"/>
      <c r="Z818" s="257">
        <f>altaz(J2000_Bas,$O818,$M818,DecLat,DecLong,1)</f>
        <v>-82.963744808142451</v>
      </c>
      <c r="AA818" s="257">
        <f>altaz((J2000_Bas+(2*0.04167)),$O818,$M818,DecLat,DecLong,1)</f>
        <v>-67.211775455895634</v>
      </c>
      <c r="AB818" s="257">
        <f>altaz((J2000_Bas+(4*0.04167)),$O818,$M818,DecLat,DecLong,1)</f>
        <v>-41.504435957913586</v>
      </c>
      <c r="AC818" s="257">
        <f>altaz((J2000_Bas+(6*0.04167)),$O818,$M818,DecLat,DecLong,1)</f>
        <v>-16.530603463557</v>
      </c>
      <c r="AD818" s="258">
        <f>1+ transit((J2000_Bas-1),$O818,$M818,DecLat,DecLong)/360 + (GMTOffset/24) + (IF(DST="Y", 1, 0)/24)</f>
        <v>1.3010480779630413</v>
      </c>
      <c r="AE818" s="259">
        <f>DATE(2001,9,21)+(M818/360)*365 - (360*((DecLong/360)- (GMTOffset/24) ))</f>
        <v>37272.474074074074</v>
      </c>
      <c r="AF818" s="260">
        <f>IF(DecLat&gt;0,IF((90 - (DecLat-O818))&gt;90, (90 - (O818-DecLat)), (90 - (DecLat-O818))),IF((90 + (DecLat-O818))&gt;90, (90 + (O818-DecLat)), (90 + (DecLat-O818))))</f>
        <v>33.537777777777777</v>
      </c>
      <c r="AG818" s="257">
        <f>angularseperation(MoonRA,MoonDec,$M818,$O818)</f>
        <v>113.86184317899981</v>
      </c>
      <c r="AH818" s="261">
        <f ca="1">MIN(100,IF($O$5&gt;80,0+30*($AG818/100),IF($O$5&gt;70,0+50*($AG818/100),IF($O$5&gt;60,5+50*($AG818/100),IF($O$5&gt;50,10+60*($AG818/100),IF($O$5&gt;40,15+70*($AG818/100),IF($O$5&gt;30,20+70*($AG818/100),IF($O$5&gt;20,40+55*($AG818/100),(80+(20-$O$5)+30*($AG818/100))))))))))</f>
        <v>100</v>
      </c>
      <c r="AI818" s="262"/>
      <c r="AJ818" s="262"/>
      <c r="AK818" s="262"/>
      <c r="AL818" s="263"/>
      <c r="AM818" s="264"/>
      <c r="AN818" s="263"/>
      <c r="AO818" s="263"/>
      <c r="AP818" s="265"/>
      <c r="AQ818" s="266"/>
      <c r="AR818" s="267"/>
      <c r="AS818" s="263"/>
      <c r="AT818" s="263"/>
      <c r="AU818" s="263"/>
      <c r="AV818" s="264"/>
      <c r="AW818" s="263"/>
      <c r="AX818" s="263"/>
      <c r="AY818" s="263"/>
      <c r="AZ818" s="263"/>
      <c r="BA818" s="263"/>
      <c r="BB818" s="263"/>
      <c r="BC818" s="263"/>
      <c r="BD818" s="264"/>
      <c r="BE818" s="263"/>
      <c r="BF818" s="263"/>
      <c r="BG818" s="263"/>
      <c r="BH818" s="263"/>
      <c r="BI818" s="263"/>
      <c r="BJ818" s="404">
        <f>altaz(J2000_Bas,$O818,$M818,DecLat,DecLong,2)</f>
        <v>320.69100212944318</v>
      </c>
      <c r="BK818" s="378" t="s">
        <v>9409</v>
      </c>
      <c r="BL818" s="379">
        <f>IF((2*G818)/60&lt;0.2,0.2,(2*G818)/60)</f>
        <v>4</v>
      </c>
      <c r="BM818" s="380">
        <f>MOD((50000+AD818-$B$3+(0/24)),1)</f>
        <v>0.51641500766709214</v>
      </c>
      <c r="BN818" s="381" t="s">
        <v>8665</v>
      </c>
      <c r="BO818" s="382">
        <v>817</v>
      </c>
    </row>
    <row r="819" spans="1:67" s="24" customFormat="1" ht="15" customHeight="1" x14ac:dyDescent="0.25">
      <c r="A819" s="288" t="s">
        <v>3362</v>
      </c>
      <c r="B819" s="241" t="str">
        <f>HYPERLINK(CONCATENATE($AT$3,BK819,$AU$3),$AV$3)</f>
        <v>S</v>
      </c>
      <c r="C819" s="242" t="str">
        <f>HYPERLINK(CONCATENATE($AT$4,BK819,$AU$4,BL819),$AV$4)</f>
        <v>A</v>
      </c>
      <c r="D819" s="243" t="s">
        <v>5638</v>
      </c>
      <c r="E819" s="244" t="s">
        <v>5626</v>
      </c>
      <c r="F819" s="269">
        <v>5</v>
      </c>
      <c r="G819" s="291">
        <v>6</v>
      </c>
      <c r="H819" s="271" t="s">
        <v>6500</v>
      </c>
      <c r="I819" s="307" t="s">
        <v>6500</v>
      </c>
      <c r="J819" s="246">
        <v>1</v>
      </c>
      <c r="K819" s="247" t="s">
        <v>6244</v>
      </c>
      <c r="L819" s="248">
        <v>4734</v>
      </c>
      <c r="M819" s="249">
        <f>15*(LEFT(TEXT($L819,"000000"),2)+(MID(TEXT($L819,"000000"),3,2)/60)+(RIGHT(TEXT($L819,"000000"),2)/3600))</f>
        <v>11.891666666666667</v>
      </c>
      <c r="N819" s="286">
        <v>-202734</v>
      </c>
      <c r="O819" s="251">
        <f>IF($N819&gt;0,(LEFT(TEXT($N819,"000000"),2)+(MID(TEXT($N819,"000000"),3,2)/60)+(RIGHT(TEXT($N819,"000000"),2)/3600)),-(MID(TEXT($N819,"000000"),2,2)+(MID(TEXT($N819,"000000"),4,2)/60)+(RIGHT(TEXT($N819,"000000"),2)/3600)))</f>
        <v>-20.459444444444443</v>
      </c>
      <c r="P819" s="252" t="s">
        <v>75</v>
      </c>
      <c r="Q819" s="253" t="s">
        <v>3362</v>
      </c>
      <c r="R819" s="277" t="s">
        <v>3293</v>
      </c>
      <c r="S819" s="272" t="s">
        <v>3293</v>
      </c>
      <c r="T819" s="273"/>
      <c r="U819" s="274"/>
      <c r="V819" s="280"/>
      <c r="W819" s="244"/>
      <c r="X819" s="244"/>
      <c r="Y819" s="362"/>
      <c r="Z819" s="257">
        <f>altaz(J2000_Bas,$O819,$M819,DecLat,DecLong,1)</f>
        <v>-7.0338665534686324</v>
      </c>
      <c r="AA819" s="257">
        <f>altaz((J2000_Bas+(2*0.04167)),$O819,$M819,DecLat,DecLong,1)</f>
        <v>15.743232246269857</v>
      </c>
      <c r="AB819" s="257">
        <f>altaz((J2000_Bas+(4*0.04167)),$O819,$M819,DecLat,DecLong,1)</f>
        <v>32.922379369656745</v>
      </c>
      <c r="AC819" s="257">
        <f>altaz((J2000_Bas+(6*0.04167)),$O819,$M819,DecLat,DecLong,1)</f>
        <v>38.370151677500075</v>
      </c>
      <c r="AD819" s="258">
        <f>1+ transit((J2000_Bas-1),$O819,$M819,DecLat,DecLong)/360 + (GMTOffset/24) + (IF(DST="Y", 1, 0)/24)</f>
        <v>1.0259323647338747</v>
      </c>
      <c r="AE819" s="259">
        <f>DATE(2001,9,21)+(M819/360)*365 - (360*((DecLong/360)- (GMTOffset/24) ))</f>
        <v>37172.056828703702</v>
      </c>
      <c r="AF819" s="260">
        <f>IF(DecLat&gt;0,IF((90 - (DecLat-O819))&gt;90, (90 - (O819-DecLat)), (90 - (DecLat-O819))),IF((90 + (DecLat-O819))&gt;90, (90 + (O819-DecLat)), (90 + (DecLat-O819))))</f>
        <v>38.540555555555557</v>
      </c>
      <c r="AG819" s="257">
        <f>angularseperation(MoonRA,MoonDec,$M819,$O819)</f>
        <v>106.91144348780595</v>
      </c>
      <c r="AH819" s="261">
        <f ca="1">MIN(100,IF($O$5&gt;80,0+30*($AG819/100),IF($O$5&gt;70,0+50*($AG819/100),IF($O$5&gt;60,5+50*($AG819/100),IF($O$5&gt;50,10+60*($AG819/100),IF($O$5&gt;40,15+70*($AG819/100),IF($O$5&gt;30,20+70*($AG819/100),IF($O$5&gt;20,40+55*($AG819/100),(80+(20-$O$5)+30*($AG819/100))))))))))</f>
        <v>100</v>
      </c>
      <c r="AI819" s="262"/>
      <c r="AJ819" s="262"/>
      <c r="AK819" s="262"/>
      <c r="AL819" s="263"/>
      <c r="AM819" s="264"/>
      <c r="AN819" s="263"/>
      <c r="AO819" s="263"/>
      <c r="AP819" s="265"/>
      <c r="AQ819" s="266"/>
      <c r="AR819" s="267"/>
      <c r="AS819" s="263"/>
      <c r="AT819" s="263"/>
      <c r="AU819" s="263"/>
      <c r="AV819" s="264"/>
      <c r="AW819" s="263"/>
      <c r="AX819" s="263"/>
      <c r="AY819" s="263"/>
      <c r="AZ819" s="263"/>
      <c r="BA819" s="263"/>
      <c r="BB819" s="263"/>
      <c r="BC819" s="263"/>
      <c r="BD819" s="264"/>
      <c r="BE819" s="263"/>
      <c r="BF819" s="263"/>
      <c r="BG819" s="263"/>
      <c r="BH819" s="263"/>
      <c r="BI819" s="263"/>
      <c r="BJ819" s="404">
        <f>altaz(J2000_Bas,$O819,$M819,DecLat,DecLong,2)</f>
        <v>109.67871110564445</v>
      </c>
      <c r="BK819" s="378" t="s">
        <v>2459</v>
      </c>
      <c r="BL819" s="379">
        <f>IF((2*G819)/60&lt;0.2,0.2,(2*G819)/60)</f>
        <v>0.2</v>
      </c>
      <c r="BM819" s="380">
        <f>MOD((50000+AD819-$B$3+(0/24)),1)</f>
        <v>0.24129929443734</v>
      </c>
      <c r="BN819" s="381"/>
      <c r="BO819" s="382">
        <v>818</v>
      </c>
    </row>
    <row r="820" spans="1:67" s="24" customFormat="1" ht="15" customHeight="1" x14ac:dyDescent="0.25">
      <c r="A820" s="288" t="s">
        <v>919</v>
      </c>
      <c r="B820" s="241" t="str">
        <f>HYPERLINK(CONCATENATE($AT$3,BK820,$AU$3),$AV$3)</f>
        <v>S</v>
      </c>
      <c r="C820" s="242" t="str">
        <f>HYPERLINK(CONCATENATE($AT$4,BK820,$AU$4,BL820),$AV$4)</f>
        <v>A</v>
      </c>
      <c r="D820" s="243" t="s">
        <v>5187</v>
      </c>
      <c r="E820" s="244" t="s">
        <v>5181</v>
      </c>
      <c r="F820" s="269" t="s">
        <v>4802</v>
      </c>
      <c r="G820" s="270">
        <v>0.2</v>
      </c>
      <c r="H820" s="271">
        <v>10000</v>
      </c>
      <c r="I820" s="308">
        <v>0.65</v>
      </c>
      <c r="J820" s="246">
        <v>2</v>
      </c>
      <c r="K820" s="247" t="s">
        <v>4429</v>
      </c>
      <c r="L820" s="248">
        <v>193445</v>
      </c>
      <c r="M820" s="249">
        <f>15*(LEFT(TEXT($L820,"000000"),2)+(MID(TEXT($L820,"000000"),3,2)/60)+(RIGHT(TEXT($L820,"000000"),2)/3600))</f>
        <v>293.6875</v>
      </c>
      <c r="N820" s="250">
        <v>303059</v>
      </c>
      <c r="O820" s="251">
        <f>IF($N820&gt;0,(LEFT(TEXT($N820,"000000"),2)+(MID(TEXT($N820,"000000"),3,2)/60)+(RIGHT(TEXT($N820,"000000"),2)/3600)),-(MID(TEXT($N820,"000000"),2,2)+(MID(TEXT($N820,"000000"),4,2)/60)+(RIGHT(TEXT($N820,"000000"),2)/3600)))</f>
        <v>30.516388888888891</v>
      </c>
      <c r="P820" s="252" t="s">
        <v>60</v>
      </c>
      <c r="Q820" s="253" t="s">
        <v>5153</v>
      </c>
      <c r="R820" s="247" t="s">
        <v>920</v>
      </c>
      <c r="S820" s="272" t="s">
        <v>3293</v>
      </c>
      <c r="T820" s="273">
        <v>10.5</v>
      </c>
      <c r="U820" s="274"/>
      <c r="V820" s="256"/>
      <c r="W820" s="244"/>
      <c r="X820" s="244"/>
      <c r="Y820" s="362"/>
      <c r="Z820" s="257">
        <f>altaz(J2000_Bas,$O820,$M820,DecLat,DecLong,1)</f>
        <v>83.379781969548347</v>
      </c>
      <c r="AA820" s="257">
        <f>altaz((J2000_Bas+(2*0.04167)),$O820,$M820,DecLat,DecLong,1)</f>
        <v>70.777661466320325</v>
      </c>
      <c r="AB820" s="257">
        <f>altaz((J2000_Bas+(4*0.04167)),$O820,$M820,DecLat,DecLong,1)</f>
        <v>45.334360039064592</v>
      </c>
      <c r="AC820" s="257">
        <f>altaz((J2000_Bas+(6*0.04167)),$O820,$M820,DecLat,DecLong,1)</f>
        <v>20.918220933482601</v>
      </c>
      <c r="AD820" s="258">
        <f>1+ transit((J2000_Bas-1),$O820,$M820,DecLat,DecLong)/360 + (GMTOffset/24) + (IF(DST="Y", 1, 0)/24)</f>
        <v>1.808698490160958</v>
      </c>
      <c r="AE820" s="259">
        <f>DATE(2001,9,21)+(M820/360)*365 - (360*((DecLong/360)- (GMTOffset/24) ))</f>
        <v>37457.766493055555</v>
      </c>
      <c r="AF820" s="260">
        <f>IF(DecLat&gt;0,IF((90 - (DecLat-O820))&gt;90, (90 - (O820-DecLat)), (90 - (DecLat-O820))),IF((90 + (DecLat-O820))&gt;90, (90 + (O820-DecLat)), (90 + (DecLat-O820))))</f>
        <v>89.516388888888883</v>
      </c>
      <c r="AG820" s="257">
        <f>angularseperation(MoonRA,MoonDec,$M820,$O820)</f>
        <v>71.555290687537962</v>
      </c>
      <c r="AH820" s="261">
        <f ca="1">MIN(100,IF($O$5&gt;80,0+30*($AG820/100),IF($O$5&gt;70,0+50*($AG820/100),IF($O$5&gt;60,5+50*($AG820/100),IF($O$5&gt;50,10+60*($AG820/100),IF($O$5&gt;40,15+70*($AG820/100),IF($O$5&gt;30,20+70*($AG820/100),IF($O$5&gt;20,40+55*($AG820/100),(80+(20-$O$5)+30*($AG820/100))))))))))</f>
        <v>100</v>
      </c>
      <c r="AI820" s="262"/>
      <c r="AJ820" s="262"/>
      <c r="AK820" s="262"/>
      <c r="AL820" s="263"/>
      <c r="AM820" s="264"/>
      <c r="AN820" s="263"/>
      <c r="AO820" s="263"/>
      <c r="AP820" s="265"/>
      <c r="AQ820" s="266"/>
      <c r="AR820" s="267"/>
      <c r="AS820" s="263"/>
      <c r="AT820" s="263"/>
      <c r="AU820" s="263"/>
      <c r="AV820" s="264"/>
      <c r="AW820" s="263"/>
      <c r="AX820" s="263"/>
      <c r="AY820" s="263"/>
      <c r="AZ820" s="263"/>
      <c r="BA820" s="263"/>
      <c r="BB820" s="263"/>
      <c r="BC820" s="263"/>
      <c r="BD820" s="264"/>
      <c r="BE820" s="263"/>
      <c r="BF820" s="263"/>
      <c r="BG820" s="263"/>
      <c r="BH820" s="263"/>
      <c r="BI820" s="263"/>
      <c r="BJ820" s="404">
        <f>altaz(J2000_Bas,$O820,$M820,DecLat,DecLong,2)</f>
        <v>92.214829641715966</v>
      </c>
      <c r="BK820" s="378" t="s">
        <v>919</v>
      </c>
      <c r="BL820" s="379">
        <f>IF((2*G820)/60&lt;0.2,0.2,(2*G820)/60)</f>
        <v>0.2</v>
      </c>
      <c r="BM820" s="380">
        <f>MOD((50000+AD820-$B$3+(0/24)),1)</f>
        <v>2.4065419864200521E-2</v>
      </c>
      <c r="BN820" s="381"/>
      <c r="BO820" s="382">
        <v>819</v>
      </c>
    </row>
    <row r="821" spans="1:67" s="24" customFormat="1" ht="15" customHeight="1" x14ac:dyDescent="0.25">
      <c r="A821" s="287" t="s">
        <v>921</v>
      </c>
      <c r="B821" s="241" t="str">
        <f>HYPERLINK(CONCATENATE($AT$3,BK821,$AU$3),$AV$3)</f>
        <v>S</v>
      </c>
      <c r="C821" s="242" t="str">
        <f>HYPERLINK(CONCATENATE($AT$4,BK821,$AU$4,BL821),$AV$4)</f>
        <v>A</v>
      </c>
      <c r="D821" s="243" t="s">
        <v>5187</v>
      </c>
      <c r="E821" s="244" t="s">
        <v>5181</v>
      </c>
      <c r="F821" s="269" t="s">
        <v>8827</v>
      </c>
      <c r="G821" s="270">
        <v>0.2</v>
      </c>
      <c r="H821" s="271">
        <v>17000</v>
      </c>
      <c r="I821" s="245">
        <v>1</v>
      </c>
      <c r="J821" s="246">
        <v>1</v>
      </c>
      <c r="K821" s="247" t="s">
        <v>6024</v>
      </c>
      <c r="L821" s="248">
        <v>182914</v>
      </c>
      <c r="M821" s="249">
        <f>15*(LEFT(TEXT($L821,"000000"),2)+(MID(TEXT($L821,"000000"),3,2)/60)+(RIGHT(TEXT($L821,"000000"),2)/3600))</f>
        <v>277.30833333333334</v>
      </c>
      <c r="N821" s="250">
        <v>-312953</v>
      </c>
      <c r="O821" s="251">
        <f>IF($N821&gt;0,(LEFT(TEXT($N821,"000000"),2)+(MID(TEXT($N821,"000000"),3,2)/60)+(RIGHT(TEXT($N821,"000000"),2)/3600)),-(MID(TEXT($N821,"000000"),2,2)+(MID(TEXT($N821,"000000"),4,2)/60)+(RIGHT(TEXT($N821,"000000"),2)/3600)))</f>
        <v>-31.498055555555556</v>
      </c>
      <c r="P821" s="252" t="s">
        <v>119</v>
      </c>
      <c r="Q821" s="253"/>
      <c r="R821" s="277" t="s">
        <v>3293</v>
      </c>
      <c r="S821" s="272" t="s">
        <v>3293</v>
      </c>
      <c r="T821" s="273">
        <v>15</v>
      </c>
      <c r="U821" s="274"/>
      <c r="V821" s="256"/>
      <c r="W821" s="244"/>
      <c r="X821" s="244"/>
      <c r="Y821" s="362"/>
      <c r="Z821" s="257">
        <f>altaz(J2000_Bas,$O821,$M821,DecLat,DecLong,1)</f>
        <v>26.960764613464534</v>
      </c>
      <c r="AA821" s="257">
        <f>altaz((J2000_Bas+(2*0.04167)),$O821,$M821,DecLat,DecLong,1)</f>
        <v>17.497997358388041</v>
      </c>
      <c r="AB821" s="257">
        <f>altaz((J2000_Bas+(4*0.04167)),$O821,$M821,DecLat,DecLong,1)</f>
        <v>-0.31770540853265078</v>
      </c>
      <c r="AC821" s="257">
        <f>altaz((J2000_Bas+(6*0.04167)),$O821,$M821,DecLat,DecLong,1)</f>
        <v>-22.505303106120571</v>
      </c>
      <c r="AD821" s="258">
        <f>1+ transit((J2000_Bas-1),$O821,$M821,DecLat,DecLong)/360 + (GMTOffset/24) + (IF(DST="Y", 1, 0)/24)</f>
        <v>1.7632008095255414</v>
      </c>
      <c r="AE821" s="259">
        <f>DATE(2001,9,21)+(M821/360)*365 - (360*((DecLong/360)- (GMTOffset/24) ))</f>
        <v>37441.159837962965</v>
      </c>
      <c r="AF821" s="260">
        <f>IF(DecLat&gt;0,IF((90 - (DecLat-O821))&gt;90, (90 - (O821-DecLat)), (90 - (DecLat-O821))),IF((90 + (DecLat-O821))&gt;90, (90 + (O821-DecLat)), (90 + (DecLat-O821))))</f>
        <v>27.501944444444447</v>
      </c>
      <c r="AG821" s="257">
        <f>angularseperation(MoonRA,MoonDec,$M821,$O821)</f>
        <v>24.802453339448878</v>
      </c>
      <c r="AH821" s="261">
        <f ca="1">MIN(100,IF($O$5&gt;80,0+30*($AG821/100),IF($O$5&gt;70,0+50*($AG821/100),IF($O$5&gt;60,5+50*($AG821/100),IF($O$5&gt;50,10+60*($AG821/100),IF($O$5&gt;40,15+70*($AG821/100),IF($O$5&gt;30,20+70*($AG821/100),IF($O$5&gt;20,40+55*($AG821/100),(80+(20-$O$5)+30*($AG821/100))))))))))</f>
        <v>90.711796345985093</v>
      </c>
      <c r="AI821" s="263"/>
      <c r="AJ821" s="263"/>
      <c r="AK821" s="263"/>
      <c r="AL821" s="263"/>
      <c r="AM821" s="264"/>
      <c r="AN821" s="263"/>
      <c r="AO821" s="263"/>
      <c r="AP821" s="265"/>
      <c r="AQ821" s="265"/>
      <c r="AR821" s="285"/>
      <c r="AS821" s="263"/>
      <c r="AT821" s="263"/>
      <c r="AU821" s="263"/>
      <c r="AV821" s="264"/>
      <c r="AW821" s="263"/>
      <c r="AX821" s="263"/>
      <c r="AY821" s="263"/>
      <c r="AZ821" s="263"/>
      <c r="BA821" s="263"/>
      <c r="BB821" s="263"/>
      <c r="BC821" s="263"/>
      <c r="BD821" s="264"/>
      <c r="BE821" s="263"/>
      <c r="BF821" s="263"/>
      <c r="BG821" s="263"/>
      <c r="BH821" s="263"/>
      <c r="BI821" s="263"/>
      <c r="BJ821" s="404">
        <f>altaz(J2000_Bas,$O821,$M821,DecLat,DecLong,2)</f>
        <v>188.31446246792223</v>
      </c>
      <c r="BK821" s="378" t="s">
        <v>4430</v>
      </c>
      <c r="BL821" s="379">
        <f>IF((2*G821)/60&lt;0.2,0.2,(2*G821)/60)</f>
        <v>0.2</v>
      </c>
      <c r="BM821" s="380">
        <f>MOD((50000+AD821-$B$3+(0/24)),1)</f>
        <v>0.97856773922831053</v>
      </c>
      <c r="BN821" s="381"/>
      <c r="BO821" s="382">
        <v>820</v>
      </c>
    </row>
    <row r="822" spans="1:67" s="24" customFormat="1" ht="15" customHeight="1" x14ac:dyDescent="0.25">
      <c r="A822" s="288" t="s">
        <v>922</v>
      </c>
      <c r="B822" s="241" t="str">
        <f>HYPERLINK(CONCATENATE($AT$3,BK822,$AU$3),$AV$3)</f>
        <v>S</v>
      </c>
      <c r="C822" s="242" t="str">
        <f>HYPERLINK(CONCATENATE($AT$4,BK822,$AU$4,BL822),$AV$4)</f>
        <v>A</v>
      </c>
      <c r="D822" s="243" t="s">
        <v>5187</v>
      </c>
      <c r="E822" s="244" t="s">
        <v>16</v>
      </c>
      <c r="F822" s="269"/>
      <c r="G822" s="273">
        <v>4.8</v>
      </c>
      <c r="H822" s="271">
        <v>11000</v>
      </c>
      <c r="I822" s="281">
        <v>16</v>
      </c>
      <c r="J822" s="246">
        <v>2</v>
      </c>
      <c r="K822" s="247" t="s">
        <v>4633</v>
      </c>
      <c r="L822" s="248">
        <v>232325</v>
      </c>
      <c r="M822" s="249">
        <f>15*(LEFT(TEXT($L822,"000000"),2)+(MID(TEXT($L822,"000000"),3,2)/60)+(RIGHT(TEXT($L822,"000000"),2)/3600))</f>
        <v>350.85416666666663</v>
      </c>
      <c r="N822" s="250">
        <v>584800</v>
      </c>
      <c r="O822" s="251">
        <f>IF($N822&gt;0,(LEFT(TEXT($N822,"000000"),2)+(MID(TEXT($N822,"000000"),3,2)/60)+(RIGHT(TEXT($N822,"000000"),2)/3600)),-(MID(TEXT($N822,"000000"),2,2)+(MID(TEXT($N822,"000000"),4,2)/60)+(RIGHT(TEXT($N822,"000000"),2)/3600)))</f>
        <v>58.8</v>
      </c>
      <c r="P822" s="252" t="s">
        <v>49</v>
      </c>
      <c r="Q822" s="253"/>
      <c r="R822" s="247" t="s">
        <v>3293</v>
      </c>
      <c r="S822" s="272" t="s">
        <v>3293</v>
      </c>
      <c r="T822" s="273"/>
      <c r="U822" s="274"/>
      <c r="V822" s="256"/>
      <c r="W822" s="244"/>
      <c r="X822" s="244"/>
      <c r="Y822" s="362"/>
      <c r="Z822" s="257">
        <f>altaz(J2000_Bas,$O822,$M822,DecLat,DecLong,1)</f>
        <v>38.994436581047772</v>
      </c>
      <c r="AA822" s="257">
        <f>altaz((J2000_Bas+(2*0.04167)),$O822,$M822,DecLat,DecLong,1)</f>
        <v>53.640275321390526</v>
      </c>
      <c r="AB822" s="257">
        <f>altaz((J2000_Bas+(4*0.04167)),$O822,$M822,DecLat,DecLong,1)</f>
        <v>62.01848100156267</v>
      </c>
      <c r="AC822" s="257">
        <f>altaz((J2000_Bas+(6*0.04167)),$O822,$M822,DecLat,DecLong,1)</f>
        <v>57.314919542464288</v>
      </c>
      <c r="AD822" s="258">
        <f>1+ transit((J2000_Bas-1),$O822,$M822,DecLat,DecLong)/360 + (GMTOffset/24) + (IF(DST="Y", 1, 0)/24)</f>
        <v>1.9674947705776249</v>
      </c>
      <c r="AE822" s="259">
        <f>DATE(2001,9,21)+(M822/360)*365 - (360*((DecLong/360)- (GMTOffset/24) ))</f>
        <v>37515.727141203701</v>
      </c>
      <c r="AF822" s="260">
        <f>IF(DecLat&gt;0,IF((90 - (DecLat-O822))&gt;90, (90 - (O822-DecLat)), (90 - (DecLat-O822))),IF((90 + (DecLat-O822))&gt;90, (90 + (O822-DecLat)), (90 + (DecLat-O822))))</f>
        <v>62.2</v>
      </c>
      <c r="AG822" s="257">
        <f>angularseperation(MoonRA,MoonDec,$M822,$O822)</f>
        <v>118.83462516173256</v>
      </c>
      <c r="AH822" s="261">
        <f ca="1">MIN(100,IF($O$5&gt;80,0+30*($AG822/100),IF($O$5&gt;70,0+50*($AG822/100),IF($O$5&gt;60,5+50*($AG822/100),IF($O$5&gt;50,10+60*($AG822/100),IF($O$5&gt;40,15+70*($AG822/100),IF($O$5&gt;30,20+70*($AG822/100),IF($O$5&gt;20,40+55*($AG822/100),(80+(20-$O$5)+30*($AG822/100))))))))))</f>
        <v>100</v>
      </c>
      <c r="AI822" s="262"/>
      <c r="AJ822" s="262"/>
      <c r="AK822" s="262"/>
      <c r="AL822" s="263"/>
      <c r="AM822" s="264"/>
      <c r="AN822" s="263"/>
      <c r="AO822" s="263"/>
      <c r="AP822" s="265"/>
      <c r="AQ822" s="266"/>
      <c r="AR822" s="267"/>
      <c r="AS822" s="263"/>
      <c r="AT822" s="263"/>
      <c r="AU822" s="263"/>
      <c r="AV822" s="264"/>
      <c r="AW822" s="263"/>
      <c r="AX822" s="263"/>
      <c r="AY822" s="263"/>
      <c r="AZ822" s="263"/>
      <c r="BA822" s="263"/>
      <c r="BB822" s="263"/>
      <c r="BC822" s="268" t="s">
        <v>3050</v>
      </c>
      <c r="BD822" s="264"/>
      <c r="BE822" s="263"/>
      <c r="BF822" s="263"/>
      <c r="BG822" s="263"/>
      <c r="BH822" s="263"/>
      <c r="BI822" s="263"/>
      <c r="BJ822" s="404">
        <f>altaz(J2000_Bas,$O822,$M822,DecLat,DecLong,2)</f>
        <v>37.109757402965627</v>
      </c>
      <c r="BK822" s="378" t="s">
        <v>922</v>
      </c>
      <c r="BL822" s="379">
        <f>IF((2*G822)/60&lt;0.2,0.2,(2*G822)/60)</f>
        <v>0.2</v>
      </c>
      <c r="BM822" s="380">
        <f>MOD((50000+AD822-$B$3+(0/24)),1)</f>
        <v>0.18286170028295601</v>
      </c>
      <c r="BN822" s="381"/>
      <c r="BO822" s="382">
        <v>821</v>
      </c>
    </row>
    <row r="823" spans="1:67" s="24" customFormat="1" ht="15" customHeight="1" x14ac:dyDescent="0.25">
      <c r="A823" s="288" t="s">
        <v>923</v>
      </c>
      <c r="B823" s="241" t="str">
        <f>HYPERLINK(CONCATENATE($AT$3,BK823,$AU$3),$AV$3)</f>
        <v>S</v>
      </c>
      <c r="C823" s="242" t="str">
        <f>HYPERLINK(CONCATENATE($AT$4,BK823,$AU$4,BL823),$AV$4)</f>
        <v>A</v>
      </c>
      <c r="D823" s="243" t="s">
        <v>5187</v>
      </c>
      <c r="E823" s="244" t="s">
        <v>5183</v>
      </c>
      <c r="F823" s="269" t="s">
        <v>5180</v>
      </c>
      <c r="G823" s="273">
        <v>5</v>
      </c>
      <c r="H823" s="271">
        <v>1300</v>
      </c>
      <c r="I823" s="245">
        <v>1.1000000000000001</v>
      </c>
      <c r="J823" s="246">
        <v>4</v>
      </c>
      <c r="K823" s="247" t="s">
        <v>9349</v>
      </c>
      <c r="L823" s="248">
        <v>53200</v>
      </c>
      <c r="M823" s="249">
        <f>15*(LEFT(TEXT($L823,"000000"),2)+(MID(TEXT($L823,"000000"),3,2)/60)+(RIGHT(TEXT($L823,"000000"),2)/3600))</f>
        <v>83</v>
      </c>
      <c r="N823" s="250">
        <v>120933</v>
      </c>
      <c r="O823" s="251">
        <f>IF($N823&gt;0,(LEFT(TEXT($N823,"000000"),2)+(MID(TEXT($N823,"000000"),3,2)/60)+(RIGHT(TEXT($N823,"000000"),2)/3600)),-(MID(TEXT($N823,"000000"),2,2)+(MID(TEXT($N823,"000000"),4,2)/60)+(RIGHT(TEXT($N823,"000000"),2)/3600)))</f>
        <v>12.159166666666668</v>
      </c>
      <c r="P823" s="252" t="s">
        <v>41</v>
      </c>
      <c r="Q823" s="253"/>
      <c r="R823" s="247" t="s">
        <v>3293</v>
      </c>
      <c r="S823" s="272" t="s">
        <v>4431</v>
      </c>
      <c r="T823" s="273"/>
      <c r="U823" s="274"/>
      <c r="V823" s="256"/>
      <c r="W823" s="244"/>
      <c r="X823" s="244"/>
      <c r="Y823" s="362"/>
      <c r="Z823" s="257">
        <f>altaz(J2000_Bas,$O823,$M823,DecLat,DecLong,1)</f>
        <v>-41.516009940561766</v>
      </c>
      <c r="AA823" s="257">
        <f>altaz((J2000_Bas+(2*0.04167)),$O823,$M823,DecLat,DecLong,1)</f>
        <v>-23.252461124774637</v>
      </c>
      <c r="AB823" s="257">
        <f>altaz((J2000_Bas+(4*0.04167)),$O823,$M823,DecLat,DecLong,1)</f>
        <v>0.50739597884324927</v>
      </c>
      <c r="AC823" s="257">
        <f>altaz((J2000_Bas+(6*0.04167)),$O823,$M823,DecLat,DecLong,1)</f>
        <v>26.061550182540412</v>
      </c>
      <c r="AD823" s="258">
        <f>1+ transit((J2000_Bas-1),$O823,$M823,DecLat,DecLong)/360 + (GMTOffset/24) + (IF(DST="Y", 1, 0)/24)</f>
        <v>1.2234554931297079</v>
      </c>
      <c r="AE823" s="259">
        <f>DATE(2001,9,21)+(M823/360)*365 - (360*((DecLong/360)- (GMTOffset/24) ))</f>
        <v>37244.152777777781</v>
      </c>
      <c r="AF823" s="260">
        <f>IF(DecLat&gt;0,IF((90 - (DecLat-O823))&gt;90, (90 - (O823-DecLat)), (90 - (DecLat-O823))),IF((90 + (DecLat-O823))&gt;90, (90 + (O823-DecLat)), (90 + (DecLat-O823))))</f>
        <v>71.159166666666664</v>
      </c>
      <c r="AG823" s="257">
        <f>angularseperation(MoonRA,MoonDec,$M823,$O823)</f>
        <v>160.26968140441639</v>
      </c>
      <c r="AH823" s="261">
        <f ca="1">MIN(100,IF($O$5&gt;80,0+30*($AG823/100),IF($O$5&gt;70,0+50*($AG823/100),IF($O$5&gt;60,5+50*($AG823/100),IF($O$5&gt;50,10+60*($AG823/100),IF($O$5&gt;40,15+70*($AG823/100),IF($O$5&gt;30,20+70*($AG823/100),IF($O$5&gt;20,40+55*($AG823/100),(80+(20-$O$5)+30*($AG823/100))))))))))</f>
        <v>100</v>
      </c>
      <c r="AI823" s="262"/>
      <c r="AJ823" s="262"/>
      <c r="AK823" s="262"/>
      <c r="AL823" s="263"/>
      <c r="AM823" s="264"/>
      <c r="AN823" s="263"/>
      <c r="AO823" s="263"/>
      <c r="AP823" s="265"/>
      <c r="AQ823" s="266"/>
      <c r="AR823" s="267"/>
      <c r="AS823" s="263"/>
      <c r="AT823" s="263"/>
      <c r="AU823" s="263"/>
      <c r="AV823" s="264"/>
      <c r="AW823" s="263"/>
      <c r="AX823" s="263"/>
      <c r="AY823" s="263"/>
      <c r="AZ823" s="263"/>
      <c r="BA823" s="263"/>
      <c r="BB823" s="263"/>
      <c r="BC823" s="263"/>
      <c r="BD823" s="264"/>
      <c r="BE823" s="263"/>
      <c r="BF823" s="263"/>
      <c r="BG823" s="263"/>
      <c r="BH823" s="263"/>
      <c r="BI823" s="263">
        <v>37</v>
      </c>
      <c r="BJ823" s="404">
        <f>altaz(J2000_Bas,$O823,$M823,DecLat,DecLong,2)</f>
        <v>30.675737352805129</v>
      </c>
      <c r="BK823" s="378" t="s">
        <v>923</v>
      </c>
      <c r="BL823" s="379">
        <f>IF((2*G823)/60&lt;0.2,0.2,(2*G823)/60)</f>
        <v>0.2</v>
      </c>
      <c r="BM823" s="380">
        <f>MOD((50000+AD823-$B$3+(0/24)),1)</f>
        <v>0.43882242283143569</v>
      </c>
      <c r="BN823" s="381"/>
      <c r="BO823" s="382">
        <v>822</v>
      </c>
    </row>
    <row r="824" spans="1:67" s="24" customFormat="1" ht="15" customHeight="1" x14ac:dyDescent="0.25">
      <c r="A824" s="288" t="s">
        <v>924</v>
      </c>
      <c r="B824" s="241" t="str">
        <f>HYPERLINK(CONCATENATE($AT$3,BK824,$AU$3),$AV$3)</f>
        <v>S</v>
      </c>
      <c r="C824" s="242" t="str">
        <f>HYPERLINK(CONCATENATE($AT$4,BK824,$AU$4,BL824),$AV$4)</f>
        <v>A</v>
      </c>
      <c r="D824" s="243" t="s">
        <v>5335</v>
      </c>
      <c r="E824" s="244" t="s">
        <v>17</v>
      </c>
      <c r="F824" s="269"/>
      <c r="G824" s="273">
        <v>1.5</v>
      </c>
      <c r="H824" s="271">
        <v>1000</v>
      </c>
      <c r="I824" s="308">
        <v>0.45</v>
      </c>
      <c r="J824" s="246">
        <v>3</v>
      </c>
      <c r="K824" s="247" t="s">
        <v>4658</v>
      </c>
      <c r="L824" s="248">
        <v>234346</v>
      </c>
      <c r="M824" s="249">
        <f>15*(LEFT(TEXT($L824,"000000"),2)+(MID(TEXT($L824,"000000"),3,2)/60)+(RIGHT(TEXT($L824,"000000"),2)/3600))</f>
        <v>355.94166666666666</v>
      </c>
      <c r="N824" s="250">
        <v>-151643</v>
      </c>
      <c r="O824" s="251">
        <f>IF($N824&gt;0,(LEFT(TEXT($N824,"000000"),2)+(MID(TEXT($N824,"000000"),3,2)/60)+(RIGHT(TEXT($N824,"000000"),2)/3600)),-(MID(TEXT($N824,"000000"),2,2)+(MID(TEXT($N824,"000000"),4,2)/60)+(RIGHT(TEXT($N824,"000000"),2)/3600)))</f>
        <v>-15.278611111111111</v>
      </c>
      <c r="P824" s="252" t="s">
        <v>3119</v>
      </c>
      <c r="Q824" s="253"/>
      <c r="R824" s="247" t="s">
        <v>925</v>
      </c>
      <c r="S824" s="272" t="s">
        <v>3293</v>
      </c>
      <c r="T824" s="273"/>
      <c r="U824" s="274"/>
      <c r="V824" s="256"/>
      <c r="W824" s="244"/>
      <c r="X824" s="244"/>
      <c r="Y824" s="362"/>
      <c r="Z824" s="257">
        <f>altaz(J2000_Bas,$O824,$M824,DecLat,DecLong,1)</f>
        <v>8.5060607807447575</v>
      </c>
      <c r="AA824" s="257">
        <f>altaz((J2000_Bas+(2*0.04167)),$O824,$M824,DecLat,DecLong,1)</f>
        <v>29.937089067769968</v>
      </c>
      <c r="AB824" s="257">
        <f>altaz((J2000_Bas+(4*0.04167)),$O824,$M824,DecLat,DecLong,1)</f>
        <v>42.778049551097624</v>
      </c>
      <c r="AC824" s="257">
        <f>altaz((J2000_Bas+(6*0.04167)),$O824,$M824,DecLat,DecLong,1)</f>
        <v>39.771040670378298</v>
      </c>
      <c r="AD824" s="258">
        <f>1+ transit((J2000_Bas-1),$O824,$M824,DecLat,DecLong)/360 + (GMTOffset/24) + (IF(DST="Y", 1, 0)/24)</f>
        <v>1.9816267136088748</v>
      </c>
      <c r="AE824" s="259">
        <f>DATE(2001,9,21)+(M824/360)*365 - (360*((DecLong/360)- (GMTOffset/24) ))</f>
        <v>37520.885300925926</v>
      </c>
      <c r="AF824" s="260">
        <f>IF(DecLat&gt;0,IF((90 - (DecLat-O824))&gt;90, (90 - (O824-DecLat)), (90 - (DecLat-O824))),IF((90 + (DecLat-O824))&gt;90, (90 + (O824-DecLat)), (90 + (DecLat-O824))))</f>
        <v>43.721388888888889</v>
      </c>
      <c r="AG824" s="257">
        <f>angularseperation(MoonRA,MoonDec,$M824,$O824)</f>
        <v>97.286172565579051</v>
      </c>
      <c r="AH824" s="261">
        <f ca="1">MIN(100,IF($O$5&gt;80,0+30*($AG824/100),IF($O$5&gt;70,0+50*($AG824/100),IF($O$5&gt;60,5+50*($AG824/100),IF($O$5&gt;50,10+60*($AG824/100),IF($O$5&gt;40,15+70*($AG824/100),IF($O$5&gt;30,20+70*($AG824/100),IF($O$5&gt;20,40+55*($AG824/100),(80+(20-$O$5)+30*($AG824/100))))))))))</f>
        <v>100</v>
      </c>
      <c r="AI824" s="262"/>
      <c r="AJ824" s="262"/>
      <c r="AK824" s="262"/>
      <c r="AL824" s="263"/>
      <c r="AM824" s="264"/>
      <c r="AN824" s="263"/>
      <c r="AO824" s="263"/>
      <c r="AP824" s="265"/>
      <c r="AQ824" s="266"/>
      <c r="AR824" s="267"/>
      <c r="AS824" s="263"/>
      <c r="AT824" s="263"/>
      <c r="AU824" s="263"/>
      <c r="AV824" s="264"/>
      <c r="AW824" s="263"/>
      <c r="AX824" s="263"/>
      <c r="AY824" s="263"/>
      <c r="AZ824" s="263"/>
      <c r="BA824" s="263"/>
      <c r="BB824" s="263"/>
      <c r="BC824" s="263"/>
      <c r="BD824" s="264"/>
      <c r="BE824" s="263"/>
      <c r="BF824" s="263"/>
      <c r="BG824" s="263"/>
      <c r="BH824" s="263"/>
      <c r="BI824" s="263"/>
      <c r="BJ824" s="404">
        <f>altaz(J2000_Bas,$O824,$M824,DecLat,DecLong,2)</f>
        <v>113.62234709865338</v>
      </c>
      <c r="BK824" s="378" t="s">
        <v>4432</v>
      </c>
      <c r="BL824" s="379">
        <f>IF((2*G824)/60&lt;0.2,0.2,(2*G824)/60)</f>
        <v>0.2</v>
      </c>
      <c r="BM824" s="380">
        <f>MOD((50000+AD824-$B$3+(0/24)),1)</f>
        <v>0.19699364331609104</v>
      </c>
      <c r="BN824" s="381"/>
      <c r="BO824" s="382">
        <v>823</v>
      </c>
    </row>
    <row r="825" spans="1:67" s="24" customFormat="1" ht="15" customHeight="1" x14ac:dyDescent="0.25">
      <c r="A825" s="288" t="s">
        <v>926</v>
      </c>
      <c r="B825" s="241" t="str">
        <f>HYPERLINK(CONCATENATE($AT$3,BK825,$AU$3),$AV$3)</f>
        <v>S</v>
      </c>
      <c r="C825" s="242" t="str">
        <f>HYPERLINK(CONCATENATE($AT$4,BK825,$AU$4,BL825),$AV$4)</f>
        <v>A</v>
      </c>
      <c r="D825" s="243" t="s">
        <v>5187</v>
      </c>
      <c r="E825" s="244" t="s">
        <v>5179</v>
      </c>
      <c r="F825" s="269"/>
      <c r="G825" s="273">
        <v>4</v>
      </c>
      <c r="H825" s="271">
        <v>2000</v>
      </c>
      <c r="I825" s="245">
        <v>2.5</v>
      </c>
      <c r="J825" s="246">
        <v>2</v>
      </c>
      <c r="K825" s="247" t="s">
        <v>4433</v>
      </c>
      <c r="L825" s="248">
        <v>135739</v>
      </c>
      <c r="M825" s="249">
        <f>15*(LEFT(TEXT($L825,"000000"),2)+(MID(TEXT($L825,"000000"),3,2)/60)+(RIGHT(TEXT($L825,"000000"),2)/3600))</f>
        <v>209.41249999999999</v>
      </c>
      <c r="N825" s="250">
        <v>-395842</v>
      </c>
      <c r="O825" s="251">
        <f>IF($N825&gt;0,(LEFT(TEXT($N825,"000000"),2)+(MID(TEXT($N825,"000000"),3,2)/60)+(RIGHT(TEXT($N825,"000000"),2)/3600)),-(MID(TEXT($N825,"000000"),2,2)+(MID(TEXT($N825,"000000"),4,2)/60)+(RIGHT(TEXT($N825,"000000"),2)/3600)))</f>
        <v>-39.978333333333332</v>
      </c>
      <c r="P825" s="252" t="s">
        <v>927</v>
      </c>
      <c r="Q825" s="253"/>
      <c r="R825" s="247" t="s">
        <v>3293</v>
      </c>
      <c r="S825" s="272" t="s">
        <v>2070</v>
      </c>
      <c r="T825" s="273"/>
      <c r="U825" s="274"/>
      <c r="V825" s="256"/>
      <c r="W825" s="244"/>
      <c r="X825" s="244"/>
      <c r="Y825" s="362"/>
      <c r="Z825" s="257">
        <f>altaz(J2000_Bas,$O825,$M825,DecLat,DecLong,1)</f>
        <v>-10.287075837287327</v>
      </c>
      <c r="AA825" s="257">
        <f>altaz((J2000_Bas+(2*0.04167)),$O825,$M825,DecLat,DecLong,1)</f>
        <v>-31.290781014946983</v>
      </c>
      <c r="AB825" s="257">
        <f>altaz((J2000_Bas+(4*0.04167)),$O825,$M825,DecLat,DecLong,1)</f>
        <v>-54.037734022065088</v>
      </c>
      <c r="AC825" s="257">
        <f>altaz((J2000_Bas+(6*0.04167)),$O825,$M825,DecLat,DecLong,1)</f>
        <v>-76.050231795870801</v>
      </c>
      <c r="AD825" s="258">
        <f>1+ transit((J2000_Bas-1),$O825,$M825,DecLat,DecLong)/360 + (GMTOffset/24) + (IF(DST="Y", 1, 0)/24)</f>
        <v>1.5746012913484579</v>
      </c>
      <c r="AE825" s="259">
        <f>DATE(2001,9,21)+(M825/360)*365 - (360*((DecLong/360)- (GMTOffset/24) ))</f>
        <v>37372.321006944447</v>
      </c>
      <c r="AF825" s="260">
        <f>IF(DecLat&gt;0,IF((90 - (DecLat-O825))&gt;90, (90 - (O825-DecLat)), (90 - (DecLat-O825))),IF((90 + (DecLat-O825))&gt;90, (90 + (O825-DecLat)), (90 + (DecLat-O825))))</f>
        <v>19.021666666666675</v>
      </c>
      <c r="AG825" s="257">
        <f>angularseperation(MoonRA,MoonDec,$M825,$O825)</f>
        <v>35.267080257867477</v>
      </c>
      <c r="AH825" s="261">
        <f ca="1">MIN(100,IF($O$5&gt;80,0+30*($AG825/100),IF($O$5&gt;70,0+50*($AG825/100),IF($O$5&gt;60,5+50*($AG825/100),IF($O$5&gt;50,10+60*($AG825/100),IF($O$5&gt;40,15+70*($AG825/100),IF($O$5&gt;30,20+70*($AG825/100),IF($O$5&gt;20,40+55*($AG825/100),(80+(20-$O$5)+30*($AG825/100))))))))))</f>
        <v>93.851184421510666</v>
      </c>
      <c r="AI825" s="262"/>
      <c r="AJ825" s="262"/>
      <c r="AK825" s="262"/>
      <c r="AL825" s="263"/>
      <c r="AM825" s="264"/>
      <c r="AN825" s="263"/>
      <c r="AO825" s="263"/>
      <c r="AP825" s="265"/>
      <c r="AQ825" s="266"/>
      <c r="AR825" s="267"/>
      <c r="AS825" s="263"/>
      <c r="AT825" s="263"/>
      <c r="AU825" s="263"/>
      <c r="AV825" s="264"/>
      <c r="AW825" s="263"/>
      <c r="AX825" s="263"/>
      <c r="AY825" s="263"/>
      <c r="AZ825" s="263"/>
      <c r="BA825" s="263"/>
      <c r="BB825" s="263"/>
      <c r="BC825" s="263"/>
      <c r="BD825" s="264"/>
      <c r="BE825" s="263"/>
      <c r="BF825" s="263"/>
      <c r="BG825" s="263"/>
      <c r="BH825" s="263"/>
      <c r="BI825" s="263"/>
      <c r="BJ825" s="404">
        <f>altaz(J2000_Bas,$O825,$M825,DecLat,DecLong,2)</f>
        <v>229.25070988083971</v>
      </c>
      <c r="BK825" s="378" t="s">
        <v>926</v>
      </c>
      <c r="BL825" s="379">
        <f>IF((2*G825)/60&lt;0.2,0.2,(2*G825)/60)</f>
        <v>0.2</v>
      </c>
      <c r="BM825" s="380">
        <f>MOD((50000+AD825-$B$3+(0/24)),1)</f>
        <v>0.78996822105546016</v>
      </c>
      <c r="BN825" s="381" t="s">
        <v>8664</v>
      </c>
      <c r="BO825" s="382">
        <v>824</v>
      </c>
    </row>
    <row r="826" spans="1:67" s="24" customFormat="1" ht="15" customHeight="1" x14ac:dyDescent="0.25">
      <c r="A826" s="288" t="s">
        <v>8872</v>
      </c>
      <c r="B826" s="241" t="str">
        <f>HYPERLINK(CONCATENATE($AT$3,BK826,$AU$3),$AV$3)</f>
        <v>S</v>
      </c>
      <c r="C826" s="242" t="str">
        <f>HYPERLINK(CONCATENATE($AT$4,BK826,$AU$4,BL826),$AV$4)</f>
        <v>A</v>
      </c>
      <c r="D826" s="243" t="s">
        <v>5187</v>
      </c>
      <c r="E826" s="244" t="s">
        <v>7522</v>
      </c>
      <c r="F826" s="269"/>
      <c r="G826" s="273">
        <v>25</v>
      </c>
      <c r="H826" s="283" t="s">
        <v>6500</v>
      </c>
      <c r="I826" s="246" t="s">
        <v>6500</v>
      </c>
      <c r="J826" s="246">
        <v>4</v>
      </c>
      <c r="K826" s="247" t="s">
        <v>8874</v>
      </c>
      <c r="L826" s="248">
        <v>73409</v>
      </c>
      <c r="M826" s="249">
        <f>15*(LEFT(TEXT($L826,"000000"),2)+(MID(TEXT($L826,"000000"),3,2)/60)+(RIGHT(TEXT($L826,"000000"),2)/3600))</f>
        <v>113.53750000000001</v>
      </c>
      <c r="N826" s="250">
        <v>-465418</v>
      </c>
      <c r="O826" s="251">
        <f>IF($N826&gt;0,(LEFT(TEXT($N826,"000000"),2)+(MID(TEXT($N826,"000000"),3,2)/60)+(RIGHT(TEXT($N826,"000000"),2)/3600)),-(MID(TEXT($N826,"000000"),2,2)+(MID(TEXT($N826,"000000"),4,2)/60)+(RIGHT(TEXT($N826,"000000"),2)/3600)))</f>
        <v>-46.905000000000001</v>
      </c>
      <c r="P826" s="252" t="s">
        <v>91</v>
      </c>
      <c r="Q826" s="253" t="s">
        <v>8873</v>
      </c>
      <c r="R826" s="277"/>
      <c r="S826" s="272" t="s">
        <v>3293</v>
      </c>
      <c r="T826" s="273"/>
      <c r="U826" s="274"/>
      <c r="V826" s="280"/>
      <c r="W826" s="244"/>
      <c r="X826" s="244"/>
      <c r="Y826" s="362"/>
      <c r="Z826" s="257">
        <f>altaz(J2000_Bas,$O826,$M826,DecLat,DecLong,1)</f>
        <v>-73.069885629852948</v>
      </c>
      <c r="AA826" s="257">
        <f>altaz((J2000_Bas+(2*0.04167)),$O826,$M826,DecLat,DecLong,1)</f>
        <v>-66.483447289988845</v>
      </c>
      <c r="AB826" s="257">
        <f>altaz((J2000_Bas+(4*0.04167)),$O826,$M826,DecLat,DecLong,1)</f>
        <v>-47.013037642006019</v>
      </c>
      <c r="AC826" s="257">
        <f>altaz((J2000_Bas+(6*0.04167)),$O826,$M826,DecLat,DecLong,1)</f>
        <v>-26.763841353393229</v>
      </c>
      <c r="AD826" s="258">
        <f>1+ transit((J2000_Bas-1),$O826,$M826,DecLat,DecLong)/360 + (GMTOffset/24) + (IF(DST="Y", 1, 0)/24)</f>
        <v>1.308281873535958</v>
      </c>
      <c r="AE826" s="259">
        <f>DATE(2001,9,21)+(M826/360)*365 - (360*((DecLong/360)- (GMTOffset/24) ))</f>
        <v>37275.11440972222</v>
      </c>
      <c r="AF826" s="260">
        <f>IF(DecLat&gt;0,IF((90 - (DecLat-O826))&gt;90, (90 - (O826-DecLat)), (90 - (DecLat-O826))),IF((90 + (DecLat-O826))&gt;90, (90 + (O826-DecLat)), (90 + (DecLat-O826))))</f>
        <v>12.094999999999999</v>
      </c>
      <c r="AG826" s="257">
        <f>angularseperation(MoonRA,MoonDec,$M826,$O826)</f>
        <v>95.906889834082136</v>
      </c>
      <c r="AH826" s="261">
        <f ca="1">MIN(100,IF($O$5&gt;80,0+30*($AG826/100),IF($O$5&gt;70,0+50*($AG826/100),IF($O$5&gt;60,5+50*($AG826/100),IF($O$5&gt;50,10+60*($AG826/100),IF($O$5&gt;40,15+70*($AG826/100),IF($O$5&gt;30,20+70*($AG826/100),IF($O$5&gt;20,40+55*($AG826/100),(80+(20-$O$5)+30*($AG826/100))))))))))</f>
        <v>100</v>
      </c>
      <c r="AI826" s="263"/>
      <c r="AJ826" s="263"/>
      <c r="AK826" s="263"/>
      <c r="AL826" s="263"/>
      <c r="AM826" s="264"/>
      <c r="AN826" s="263"/>
      <c r="AO826" s="263"/>
      <c r="AP826" s="265"/>
      <c r="AQ826" s="265"/>
      <c r="AR826" s="285"/>
      <c r="AS826" s="263"/>
      <c r="AT826" s="263"/>
      <c r="AU826" s="263"/>
      <c r="AV826" s="264"/>
      <c r="AW826" s="263"/>
      <c r="AX826" s="263"/>
      <c r="AY826" s="263"/>
      <c r="AZ826" s="263"/>
      <c r="BA826" s="263"/>
      <c r="BB826" s="263"/>
      <c r="BC826" s="263"/>
      <c r="BD826" s="264"/>
      <c r="BE826" s="263"/>
      <c r="BF826" s="263"/>
      <c r="BG826" s="263"/>
      <c r="BH826" s="263"/>
      <c r="BI826" s="263">
        <v>54</v>
      </c>
      <c r="BJ826" s="404">
        <f>altaz(J2000_Bas,$O826,$M826,DecLat,DecLong,2)</f>
        <v>197.91763125280247</v>
      </c>
      <c r="BK826" s="378" t="s">
        <v>8872</v>
      </c>
      <c r="BL826" s="379">
        <f>IF((2*G826)/60&lt;0.2,0.2,(2*G826)/60)</f>
        <v>0.83333333333333337</v>
      </c>
      <c r="BM826" s="380">
        <f>MOD((50000+AD826-$B$3+(0/24)),1)</f>
        <v>0.52364880323875695</v>
      </c>
      <c r="BN826" s="381"/>
      <c r="BO826" s="382">
        <v>825</v>
      </c>
    </row>
    <row r="827" spans="1:67" s="24" customFormat="1" ht="15" customHeight="1" x14ac:dyDescent="0.25">
      <c r="A827" s="288" t="s">
        <v>8816</v>
      </c>
      <c r="B827" s="241" t="str">
        <f>HYPERLINK(CONCATENATE($AT$3,BK827,$AU$3),$AV$3)</f>
        <v>S</v>
      </c>
      <c r="C827" s="242" t="str">
        <f>HYPERLINK(CONCATENATE($AT$4,BK827,$AU$4,BL827),$AV$4)</f>
        <v>A</v>
      </c>
      <c r="D827" s="243" t="s">
        <v>5638</v>
      </c>
      <c r="E827" s="244" t="s">
        <v>5194</v>
      </c>
      <c r="F827" s="269"/>
      <c r="G827" s="270">
        <v>0.5</v>
      </c>
      <c r="H827" s="283">
        <v>900</v>
      </c>
      <c r="I827" s="246">
        <v>130</v>
      </c>
      <c r="J827" s="246">
        <v>1</v>
      </c>
      <c r="K827" s="277" t="s">
        <v>4436</v>
      </c>
      <c r="L827" s="248">
        <v>13015</v>
      </c>
      <c r="M827" s="249">
        <f>15*(LEFT(TEXT($L827,"000000"),2)+(MID(TEXT($L827,"000000"),3,2)/60)+(RIGHT(TEXT($L827,"000000"),2)/3600))</f>
        <v>22.5625</v>
      </c>
      <c r="N827" s="250">
        <v>203551</v>
      </c>
      <c r="O827" s="251">
        <f>IF($N827&gt;0,(LEFT(TEXT($N827,"000000"),2)+(MID(TEXT($N827,"000000"),3,2)/60)+(RIGHT(TEXT($N827,"000000"),2)/3600)),-(MID(TEXT($N827,"000000"),2,2)+(MID(TEXT($N827,"000000"),4,2)/60)+(RIGHT(TEXT($N827,"000000"),2)/3600)))</f>
        <v>20.5975</v>
      </c>
      <c r="P827" s="252" t="s">
        <v>4435</v>
      </c>
      <c r="Q827" s="253"/>
      <c r="R827" s="277" t="s">
        <v>3293</v>
      </c>
      <c r="S827" s="272" t="s">
        <v>3293</v>
      </c>
      <c r="T827" s="273">
        <v>15</v>
      </c>
      <c r="U827" s="274"/>
      <c r="V827" s="280"/>
      <c r="W827" s="244"/>
      <c r="X827" s="244"/>
      <c r="Y827" s="362"/>
      <c r="Z827" s="257">
        <f>altaz(J2000_Bas,$O827,$M827,DecLat,DecLong,1)</f>
        <v>5.1363736819068286</v>
      </c>
      <c r="AA827" s="257">
        <f>altaz((J2000_Bas+(2*0.04167)),$O827,$M827,DecLat,DecLong,1)</f>
        <v>30.096177436919906</v>
      </c>
      <c r="AB827" s="257">
        <f>altaz((J2000_Bas+(4*0.04167)),$O827,$M827,DecLat,DecLong,1)</f>
        <v>55.801190609751451</v>
      </c>
      <c r="AC827" s="257">
        <f>altaz((J2000_Bas+(6*0.04167)),$O827,$M827,DecLat,DecLong,1)</f>
        <v>78.155546004291011</v>
      </c>
      <c r="AD827" s="258">
        <f>1+ transit((J2000_Bas-1),$O827,$M827,DecLat,DecLong)/360 + (GMTOffset/24) + (IF(DST="Y", 1, 0)/24)</f>
        <v>1.0555735654734579</v>
      </c>
      <c r="AE827" s="259">
        <f>DATE(2001,9,21)+(M827/360)*365 - (360*((DecLong/360)- (GMTOffset/24) ))</f>
        <v>37182.875868055555</v>
      </c>
      <c r="AF827" s="260">
        <f>IF(DecLat&gt;0,IF((90 - (DecLat-O827))&gt;90, (90 - (O827-DecLat)), (90 - (DecLat-O827))),IF((90 + (DecLat-O827))&gt;90, (90 + (O827-DecLat)), (90 + (DecLat-O827))))</f>
        <v>79.597499999999997</v>
      </c>
      <c r="AG827" s="257">
        <f>angularseperation(MoonRA,MoonDec,$M827,$O827)</f>
        <v>137.05177076807945</v>
      </c>
      <c r="AH827" s="261">
        <f ca="1">MIN(100,IF($O$5&gt;80,0+30*($AG827/100),IF($O$5&gt;70,0+50*($AG827/100),IF($O$5&gt;60,5+50*($AG827/100),IF($O$5&gt;50,10+60*($AG827/100),IF($O$5&gt;40,15+70*($AG827/100),IF($O$5&gt;30,20+70*($AG827/100),IF($O$5&gt;20,40+55*($AG827/100),(80+(20-$O$5)+30*($AG827/100))))))))))</f>
        <v>100</v>
      </c>
      <c r="AI827" s="263"/>
      <c r="AJ827" s="263"/>
      <c r="AK827" s="263"/>
      <c r="AL827" s="263"/>
      <c r="AM827" s="264"/>
      <c r="AN827" s="263"/>
      <c r="AO827" s="263"/>
      <c r="AP827" s="265"/>
      <c r="AQ827" s="265"/>
      <c r="AR827" s="285"/>
      <c r="AS827" s="263"/>
      <c r="AT827" s="263"/>
      <c r="AU827" s="263"/>
      <c r="AV827" s="264"/>
      <c r="AW827" s="263"/>
      <c r="AX827" s="263"/>
      <c r="AY827" s="263"/>
      <c r="AZ827" s="263"/>
      <c r="BA827" s="263"/>
      <c r="BB827" s="263"/>
      <c r="BC827" s="263"/>
      <c r="BD827" s="264"/>
      <c r="BE827" s="263"/>
      <c r="BF827" s="263"/>
      <c r="BG827" s="263"/>
      <c r="BH827" s="263"/>
      <c r="BI827" s="263"/>
      <c r="BJ827" s="404">
        <f>altaz(J2000_Bas,$O827,$M827,DecLat,DecLong,2)</f>
        <v>69.018444190149438</v>
      </c>
      <c r="BK827" s="378" t="s">
        <v>4434</v>
      </c>
      <c r="BL827" s="379">
        <f>IF((2*G827)/60&lt;0.2,0.2,(2*G827)/60)</f>
        <v>0.2</v>
      </c>
      <c r="BM827" s="380">
        <f>MOD((50000+AD827-$B$3+(0/24)),1)</f>
        <v>0.2709404951747274</v>
      </c>
      <c r="BN827" s="381"/>
      <c r="BO827" s="382">
        <v>826</v>
      </c>
    </row>
    <row r="828" spans="1:67" s="24" customFormat="1" ht="15" customHeight="1" x14ac:dyDescent="0.25">
      <c r="A828" s="287" t="s">
        <v>5560</v>
      </c>
      <c r="B828" s="241" t="str">
        <f>HYPERLINK(CONCATENATE($AT$3,BK828,$AU$3),$AV$3)</f>
        <v>S</v>
      </c>
      <c r="C828" s="242" t="str">
        <f>HYPERLINK(CONCATENATE($AT$4,BK828,$AU$4,BL828),$AV$4)</f>
        <v>A</v>
      </c>
      <c r="D828" s="243" t="s">
        <v>5187</v>
      </c>
      <c r="E828" s="244" t="s">
        <v>7522</v>
      </c>
      <c r="F828" s="269"/>
      <c r="G828" s="276">
        <v>120</v>
      </c>
      <c r="H828" s="283">
        <v>500</v>
      </c>
      <c r="I828" s="246">
        <v>18</v>
      </c>
      <c r="J828" s="246">
        <v>4</v>
      </c>
      <c r="K828" s="247" t="s">
        <v>5561</v>
      </c>
      <c r="L828" s="248">
        <v>110948</v>
      </c>
      <c r="M828" s="249">
        <f>15*(LEFT(TEXT($L828,"000000"),2)+(MID(TEXT($L828,"000000"),3,2)/60)+(RIGHT(TEXT($L828,"000000"),2)/3600))</f>
        <v>167.45000000000002</v>
      </c>
      <c r="N828" s="250">
        <v>-763700</v>
      </c>
      <c r="O828" s="251">
        <f>IF($N828&gt;0,(LEFT(TEXT($N828,"000000"),2)+(MID(TEXT($N828,"000000"),3,2)/60)+(RIGHT(TEXT($N828,"000000"),2)/3600)),-(MID(TEXT($N828,"000000"),2,2)+(MID(TEXT($N828,"000000"),4,2)/60)+(RIGHT(TEXT($N828,"000000"),2)/3600)))</f>
        <v>-76.61666666666666</v>
      </c>
      <c r="P828" s="252" t="s">
        <v>1827</v>
      </c>
      <c r="Q828" s="253"/>
      <c r="R828" s="277" t="s">
        <v>3293</v>
      </c>
      <c r="S828" s="272" t="s">
        <v>8870</v>
      </c>
      <c r="T828" s="273"/>
      <c r="U828" s="274"/>
      <c r="V828" s="280"/>
      <c r="W828" s="244"/>
      <c r="X828" s="244"/>
      <c r="Y828" s="362"/>
      <c r="Z828" s="257">
        <f>altaz(J2000_Bas,$O828,$M828,DecLat,DecLong,1)</f>
        <v>-36.575512959068156</v>
      </c>
      <c r="AA828" s="257">
        <f>altaz((J2000_Bas+(2*0.04167)),$O828,$M828,DecLat,DecLong,1)</f>
        <v>-42.103069963134402</v>
      </c>
      <c r="AB828" s="257">
        <f>altaz((J2000_Bas+(4*0.04167)),$O828,$M828,DecLat,DecLong,1)</f>
        <v>-44.379375005415596</v>
      </c>
      <c r="AC828" s="257">
        <f>altaz((J2000_Bas+(6*0.04167)),$O828,$M828,DecLat,DecLong,1)</f>
        <v>-42.446677667508261</v>
      </c>
      <c r="AD828" s="258">
        <f>1+ transit((J2000_Bas-1),$O828,$M828,DecLat,DecLong)/360 + (GMTOffset/24) + (IF(DST="Y", 1, 0)/24)</f>
        <v>1.458038803004708</v>
      </c>
      <c r="AE828" s="259">
        <f>DATE(2001,9,21)+(M828/360)*365 - (360*((DecLong/360)- (GMTOffset/24) ))</f>
        <v>37329.775694444441</v>
      </c>
      <c r="AF828" s="260">
        <f>IF(DecLat&gt;0,IF((90 - (DecLat-O828))&gt;90, (90 - (O828-DecLat)), (90 - (DecLat-O828))),IF((90 + (DecLat-O828))&gt;90, (90 + (O828-DecLat)), (90 + (DecLat-O828))))</f>
        <v>-17.61666666666666</v>
      </c>
      <c r="AG828" s="257">
        <f>angularseperation(MoonRA,MoonDec,$M828,$O828)</f>
        <v>61.81269866486241</v>
      </c>
      <c r="AH828" s="261">
        <f ca="1">MIN(100,IF($O$5&gt;80,0+30*($AG828/100),IF($O$5&gt;70,0+50*($AG828/100),IF($O$5&gt;60,5+50*($AG828/100),IF($O$5&gt;50,10+60*($AG828/100),IF($O$5&gt;40,15+70*($AG828/100),IF($O$5&gt;30,20+70*($AG828/100),IF($O$5&gt;20,40+55*($AG828/100),(80+(20-$O$5)+30*($AG828/100))))))))))</f>
        <v>100</v>
      </c>
      <c r="AI828" s="263"/>
      <c r="AJ828" s="263"/>
      <c r="AK828" s="263"/>
      <c r="AL828" s="263"/>
      <c r="AM828" s="264"/>
      <c r="AN828" s="263"/>
      <c r="AO828" s="263"/>
      <c r="AP828" s="265"/>
      <c r="AQ828" s="265"/>
      <c r="AR828" s="285"/>
      <c r="AS828" s="263"/>
      <c r="AT828" s="263"/>
      <c r="AU828" s="263"/>
      <c r="AV828" s="264"/>
      <c r="AW828" s="263"/>
      <c r="AX828" s="263"/>
      <c r="AY828" s="263"/>
      <c r="AZ828" s="263"/>
      <c r="BA828" s="263"/>
      <c r="BB828" s="263"/>
      <c r="BC828" s="263"/>
      <c r="BD828" s="264"/>
      <c r="BE828" s="263"/>
      <c r="BF828" s="263"/>
      <c r="BG828" s="263"/>
      <c r="BH828" s="263"/>
      <c r="BI828" s="263"/>
      <c r="BJ828" s="404">
        <f>altaz(J2000_Bas,$O828,$M828,DecLat,DecLong,2)</f>
        <v>194.66517698127973</v>
      </c>
      <c r="BK828" s="378" t="s">
        <v>5565</v>
      </c>
      <c r="BL828" s="379">
        <f>IF((2*G828)/60&lt;0.2,0.2,(2*G828)/60)</f>
        <v>4</v>
      </c>
      <c r="BM828" s="380">
        <f>MOD((50000+AD828-$B$3+(0/24)),1)</f>
        <v>0.67340573271212634</v>
      </c>
      <c r="BN828" s="381"/>
      <c r="BO828" s="382">
        <v>827</v>
      </c>
    </row>
    <row r="829" spans="1:67" s="24" customFormat="1" ht="15" customHeight="1" x14ac:dyDescent="0.25">
      <c r="A829" s="287" t="s">
        <v>5562</v>
      </c>
      <c r="B829" s="241" t="str">
        <f>HYPERLINK(CONCATENATE($AT$3,BK829,$AU$3),$AV$3)</f>
        <v>S</v>
      </c>
      <c r="C829" s="242" t="str">
        <f>HYPERLINK(CONCATENATE($AT$4,BK829,$AU$4,BL829),$AV$4)</f>
        <v>A</v>
      </c>
      <c r="D829" s="243" t="s">
        <v>5187</v>
      </c>
      <c r="E829" s="244" t="s">
        <v>7522</v>
      </c>
      <c r="F829" s="269"/>
      <c r="G829" s="276">
        <v>120</v>
      </c>
      <c r="H829" s="271" t="s">
        <v>6500</v>
      </c>
      <c r="I829" s="244" t="s">
        <v>6500</v>
      </c>
      <c r="J829" s="246">
        <v>4</v>
      </c>
      <c r="K829" s="247" t="s">
        <v>5564</v>
      </c>
      <c r="L829" s="248">
        <v>125329</v>
      </c>
      <c r="M829" s="249">
        <f>15*(LEFT(TEXT($L829,"000000"),2)+(MID(TEXT($L829,"000000"),3,2)/60)+(RIGHT(TEXT($L829,"000000"),2)/3600))</f>
        <v>193.37083333333334</v>
      </c>
      <c r="N829" s="250">
        <v>-764830</v>
      </c>
      <c r="O829" s="251">
        <f>IF($N829&gt;0,(LEFT(TEXT($N829,"000000"),2)+(MID(TEXT($N829,"000000"),3,2)/60)+(RIGHT(TEXT($N829,"000000"),2)/3600)),-(MID(TEXT($N829,"000000"),2,2)+(MID(TEXT($N829,"000000"),4,2)/60)+(RIGHT(TEXT($N829,"000000"),2)/3600)))</f>
        <v>-76.808333333333337</v>
      </c>
      <c r="P829" s="252" t="s">
        <v>1827</v>
      </c>
      <c r="Q829" s="253" t="s">
        <v>7000</v>
      </c>
      <c r="R829" s="277" t="s">
        <v>3293</v>
      </c>
      <c r="S829" s="272" t="s">
        <v>3293</v>
      </c>
      <c r="T829" s="273"/>
      <c r="U829" s="274"/>
      <c r="V829" s="280"/>
      <c r="W829" s="244"/>
      <c r="X829" s="244"/>
      <c r="Y829" s="362"/>
      <c r="Z829" s="257">
        <f>altaz(J2000_Bas,$O829,$M829,DecLat,DecLong,1)</f>
        <v>-30.692432864184052</v>
      </c>
      <c r="AA829" s="257">
        <f>altaz((J2000_Bas+(2*0.04167)),$O829,$M829,DecLat,DecLong,1)</f>
        <v>-37.385339421626377</v>
      </c>
      <c r="AB829" s="257">
        <f>altaz((J2000_Bas+(4*0.04167)),$O829,$M829,DecLat,DecLong,1)</f>
        <v>-42.487593646934862</v>
      </c>
      <c r="AC829" s="257">
        <f>altaz((J2000_Bas+(6*0.04167)),$O829,$M829,DecLat,DecLong,1)</f>
        <v>-44.171852551784674</v>
      </c>
      <c r="AD829" s="258">
        <f>1+ transit((J2000_Bas-1),$O829,$M829,DecLat,DecLong)/360 + (GMTOffset/24) + (IF(DST="Y", 1, 0)/24)</f>
        <v>1.5300411106192913</v>
      </c>
      <c r="AE829" s="259">
        <f>DATE(2001,9,21)+(M829/360)*365 - (360*((DecLong/360)- (GMTOffset/24) ))</f>
        <v>37356.056539351848</v>
      </c>
      <c r="AF829" s="260">
        <f>IF(DecLat&gt;0,IF((90 - (DecLat-O829))&gt;90, (90 - (O829-DecLat)), (90 - (DecLat-O829))),IF((90 + (DecLat-O829))&gt;90, (90 + (O829-DecLat)), (90 + (DecLat-O829))))</f>
        <v>-17.808333333333337</v>
      </c>
      <c r="AG829" s="257">
        <f>angularseperation(MoonRA,MoonDec,$M829,$O829)</f>
        <v>56.132032092161502</v>
      </c>
      <c r="AH829" s="261">
        <f ca="1">MIN(100,IF($O$5&gt;80,0+30*($AG829/100),IF($O$5&gt;70,0+50*($AG829/100),IF($O$5&gt;60,5+50*($AG829/100),IF($O$5&gt;50,10+60*($AG829/100),IF($O$5&gt;40,15+70*($AG829/100),IF($O$5&gt;30,20+70*($AG829/100),IF($O$5&gt;20,40+55*($AG829/100),(80+(20-$O$5)+30*($AG829/100))))))))))</f>
        <v>100</v>
      </c>
      <c r="AI829" s="263"/>
      <c r="AJ829" s="263"/>
      <c r="AK829" s="263"/>
      <c r="AL829" s="263"/>
      <c r="AM829" s="264"/>
      <c r="AN829" s="263"/>
      <c r="AO829" s="263"/>
      <c r="AP829" s="265"/>
      <c r="AQ829" s="265"/>
      <c r="AR829" s="285"/>
      <c r="AS829" s="263"/>
      <c r="AT829" s="263"/>
      <c r="AU829" s="263"/>
      <c r="AV829" s="264"/>
      <c r="AW829" s="263"/>
      <c r="AX829" s="263"/>
      <c r="AY829" s="263"/>
      <c r="AZ829" s="263"/>
      <c r="BA829" s="263"/>
      <c r="BB829" s="263"/>
      <c r="BC829" s="263"/>
      <c r="BD829" s="264"/>
      <c r="BE829" s="263"/>
      <c r="BF829" s="263"/>
      <c r="BG829" s="263"/>
      <c r="BH829" s="263"/>
      <c r="BI829" s="263"/>
      <c r="BJ829" s="404">
        <f>altaz(J2000_Bas,$O829,$M829,DecLat,DecLong,2)</f>
        <v>195.37316099768091</v>
      </c>
      <c r="BK829" s="378" t="s">
        <v>5566</v>
      </c>
      <c r="BL829" s="379">
        <f>IF((2*G829)/60&lt;0.2,0.2,(2*G829)/60)</f>
        <v>4</v>
      </c>
      <c r="BM829" s="380">
        <f>MOD((50000+AD829-$B$3+(0/24)),1)</f>
        <v>0.74540804032585584</v>
      </c>
      <c r="BN829" s="381"/>
      <c r="BO829" s="382">
        <v>828</v>
      </c>
    </row>
    <row r="830" spans="1:67" s="24" customFormat="1" ht="15" customHeight="1" x14ac:dyDescent="0.25">
      <c r="A830" s="287" t="s">
        <v>5563</v>
      </c>
      <c r="B830" s="241" t="str">
        <f>HYPERLINK(CONCATENATE($AT$3,BK830,$AU$3),$AV$3)</f>
        <v>S</v>
      </c>
      <c r="C830" s="242" t="str">
        <f>HYPERLINK(CONCATENATE($AT$4,BK830,$AU$4,BL830),$AV$4)</f>
        <v>A</v>
      </c>
      <c r="D830" s="243" t="s">
        <v>5187</v>
      </c>
      <c r="E830" s="244" t="s">
        <v>7522</v>
      </c>
      <c r="F830" s="269"/>
      <c r="G830" s="276">
        <v>240</v>
      </c>
      <c r="H830" s="283">
        <v>1600</v>
      </c>
      <c r="I830" s="246">
        <v>120</v>
      </c>
      <c r="J830" s="246">
        <v>4</v>
      </c>
      <c r="K830" s="247" t="s">
        <v>5568</v>
      </c>
      <c r="L830" s="248">
        <v>123719</v>
      </c>
      <c r="M830" s="249">
        <f>15*(LEFT(TEXT($L830,"000000"),2)+(MID(TEXT($L830,"000000"),3,2)/60)+(RIGHT(TEXT($L830,"000000"),2)/3600))</f>
        <v>189.32916666666668</v>
      </c>
      <c r="N830" s="250">
        <v>-793806</v>
      </c>
      <c r="O830" s="251">
        <f>IF($N830&gt;0,(LEFT(TEXT($N830,"000000"),2)+(MID(TEXT($N830,"000000"),3,2)/60)+(RIGHT(TEXT($N830,"000000"),2)/3600)),-(MID(TEXT($N830,"000000"),2,2)+(MID(TEXT($N830,"000000"),4,2)/60)+(RIGHT(TEXT($N830,"000000"),2)/3600)))</f>
        <v>-79.635000000000005</v>
      </c>
      <c r="P830" s="252" t="s">
        <v>1827</v>
      </c>
      <c r="Q830" s="253" t="s">
        <v>5569</v>
      </c>
      <c r="R830" s="277" t="s">
        <v>3293</v>
      </c>
      <c r="S830" s="272" t="s">
        <v>3293</v>
      </c>
      <c r="T830" s="273"/>
      <c r="U830" s="274"/>
      <c r="V830" s="280"/>
      <c r="W830" s="244"/>
      <c r="X830" s="244"/>
      <c r="Y830" s="362"/>
      <c r="Z830" s="257">
        <f>altaz(J2000_Bas,$O830,$M830,DecLat,DecLong,1)</f>
        <v>-31.638322968528673</v>
      </c>
      <c r="AA830" s="257">
        <f>altaz((J2000_Bas+(2*0.04167)),$O830,$M830,DecLat,DecLong,1)</f>
        <v>-36.792900767762845</v>
      </c>
      <c r="AB830" s="257">
        <f>altaz((J2000_Bas+(4*0.04167)),$O830,$M830,DecLat,DecLong,1)</f>
        <v>-40.423157946545203</v>
      </c>
      <c r="AC830" s="257">
        <f>altaz((J2000_Bas+(6*0.04167)),$O830,$M830,DecLat,DecLong,1)</f>
        <v>-41.279115377353421</v>
      </c>
      <c r="AD830" s="258">
        <f>1+ transit((J2000_Bas-1),$O830,$M830,DecLat,DecLong)/360 + (GMTOffset/24) + (IF(DST="Y", 1, 0)/24)</f>
        <v>1.5188142598901246</v>
      </c>
      <c r="AE830" s="259">
        <f>DATE(2001,9,21)+(M830/360)*365 - (360*((DecLong/360)- (GMTOffset/24) ))</f>
        <v>37351.958738425928</v>
      </c>
      <c r="AF830" s="260">
        <f>IF(DecLat&gt;0,IF((90 - (DecLat-O830))&gt;90, (90 - (O830-DecLat)), (90 - (DecLat-O830))),IF((90 + (DecLat-O830))&gt;90, (90 + (O830-DecLat)), (90 + (DecLat-O830))))</f>
        <v>-20.635000000000005</v>
      </c>
      <c r="AG830" s="257">
        <f>angularseperation(MoonRA,MoonDec,$M830,$O830)</f>
        <v>58.117883828776371</v>
      </c>
      <c r="AH830" s="261">
        <f ca="1">MIN(100,IF($O$5&gt;80,0+30*($AG830/100),IF($O$5&gt;70,0+50*($AG830/100),IF($O$5&gt;60,5+50*($AG830/100),IF($O$5&gt;50,10+60*($AG830/100),IF($O$5&gt;40,15+70*($AG830/100),IF($O$5&gt;30,20+70*($AG830/100),IF($O$5&gt;20,40+55*($AG830/100),(80+(20-$O$5)+30*($AG830/100))))))))))</f>
        <v>100</v>
      </c>
      <c r="AI830" s="263"/>
      <c r="AJ830" s="263"/>
      <c r="AK830" s="263"/>
      <c r="AL830" s="263"/>
      <c r="AM830" s="264"/>
      <c r="AN830" s="263"/>
      <c r="AO830" s="263"/>
      <c r="AP830" s="265"/>
      <c r="AQ830" s="265"/>
      <c r="AR830" s="285"/>
      <c r="AS830" s="263"/>
      <c r="AT830" s="263"/>
      <c r="AU830" s="263"/>
      <c r="AV830" s="264"/>
      <c r="AW830" s="263"/>
      <c r="AX830" s="263"/>
      <c r="AY830" s="263"/>
      <c r="AZ830" s="263"/>
      <c r="BA830" s="263"/>
      <c r="BB830" s="263"/>
      <c r="BC830" s="263"/>
      <c r="BD830" s="264"/>
      <c r="BE830" s="263"/>
      <c r="BF830" s="263"/>
      <c r="BG830" s="263"/>
      <c r="BH830" s="263"/>
      <c r="BI830" s="263"/>
      <c r="BJ830" s="404">
        <f>altaz(J2000_Bas,$O830,$M830,DecLat,DecLong,2)</f>
        <v>192.11617420031132</v>
      </c>
      <c r="BK830" s="378" t="s">
        <v>5567</v>
      </c>
      <c r="BL830" s="379">
        <f>IF((2*G830)/60&lt;0.2,0.2,(2*G830)/60)</f>
        <v>8</v>
      </c>
      <c r="BM830" s="380">
        <f>MOD((50000+AD830-$B$3+(0/24)),1)</f>
        <v>0.73418118959671119</v>
      </c>
      <c r="BN830" s="381"/>
      <c r="BO830" s="382">
        <v>829</v>
      </c>
    </row>
    <row r="831" spans="1:67" s="24" customFormat="1" ht="15" customHeight="1" x14ac:dyDescent="0.25">
      <c r="A831" s="288" t="s">
        <v>5154</v>
      </c>
      <c r="B831" s="241" t="str">
        <f>HYPERLINK(CONCATENATE($AT$3,BK831,$AU$3),$AV$3)</f>
        <v>S</v>
      </c>
      <c r="C831" s="242" t="str">
        <f>HYPERLINK(CONCATENATE($AT$4,BK831,$AU$4,BL831),$AV$4)</f>
        <v>A</v>
      </c>
      <c r="D831" s="243" t="s">
        <v>5638</v>
      </c>
      <c r="E831" s="244" t="s">
        <v>5336</v>
      </c>
      <c r="F831" s="269"/>
      <c r="G831" s="270">
        <v>0.5</v>
      </c>
      <c r="H831" s="283">
        <v>10000</v>
      </c>
      <c r="I831" s="244" t="s">
        <v>6500</v>
      </c>
      <c r="J831" s="246">
        <v>1</v>
      </c>
      <c r="K831" s="247" t="s">
        <v>4437</v>
      </c>
      <c r="L831" s="248">
        <v>103844</v>
      </c>
      <c r="M831" s="249">
        <f>15*(LEFT(TEXT($L831,"000000"),2)+(MID(TEXT($L831,"000000"),3,2)/60)+(RIGHT(TEXT($L831,"000000"),2)/3600))</f>
        <v>159.68333333333334</v>
      </c>
      <c r="N831" s="250">
        <v>484918</v>
      </c>
      <c r="O831" s="251">
        <f>IF($N831&gt;0,(LEFT(TEXT($N831,"000000"),2)+(MID(TEXT($N831,"000000"),3,2)/60)+(RIGHT(TEXT($N831,"000000"),2)/3600)),-(MID(TEXT($N831,"000000"),2,2)+(MID(TEXT($N831,"000000"),4,2)/60)+(RIGHT(TEXT($N831,"000000"),2)/3600)))</f>
        <v>48.821666666666673</v>
      </c>
      <c r="P831" s="252" t="s">
        <v>37</v>
      </c>
      <c r="Q831" s="253" t="s">
        <v>5154</v>
      </c>
      <c r="R831" s="247" t="s">
        <v>3364</v>
      </c>
      <c r="S831" s="272" t="s">
        <v>3293</v>
      </c>
      <c r="T831" s="273"/>
      <c r="U831" s="274"/>
      <c r="V831" s="280"/>
      <c r="W831" s="244"/>
      <c r="X831" s="244"/>
      <c r="Y831" s="362"/>
      <c r="Z831" s="257">
        <f>altaz(J2000_Bas,$O831,$M831,DecLat,DecLong,1)</f>
        <v>3.0603064899510688</v>
      </c>
      <c r="AA831" s="257">
        <f>altaz((J2000_Bas+(2*0.04167)),$O831,$M831,DecLat,DecLong,1)</f>
        <v>-7.4421961163089412</v>
      </c>
      <c r="AB831" s="257">
        <f>altaz((J2000_Bas+(4*0.04167)),$O831,$M831,DecLat,DecLong,1)</f>
        <v>-9.9679741405070068</v>
      </c>
      <c r="AC831" s="257">
        <f>altaz((J2000_Bas+(6*0.04167)),$O831,$M831,DecLat,DecLong,1)</f>
        <v>-3.760669996665142</v>
      </c>
      <c r="AD831" s="258">
        <f>1+ transit((J2000_Bas-1),$O831,$M831,DecLat,DecLong)/360 + (GMTOffset/24) + (IF(DST="Y", 1, 0)/24)</f>
        <v>1.4364647310880414</v>
      </c>
      <c r="AE831" s="259">
        <f>DATE(2001,9,21)+(M831/360)*365 - (360*((DecLong/360)- (GMTOffset/24) ))</f>
        <v>37321.90115740741</v>
      </c>
      <c r="AF831" s="260">
        <f>IF(DecLat&gt;0,IF((90 - (DecLat-O831))&gt;90, (90 - (O831-DecLat)), (90 - (DecLat-O831))),IF((90 + (DecLat-O831))&gt;90, (90 + (O831-DecLat)), (90 + (DecLat-O831))))</f>
        <v>72.178333333333327</v>
      </c>
      <c r="AG831" s="257">
        <f>angularseperation(MoonRA,MoonDec,$M831,$O831)</f>
        <v>109.76541835430193</v>
      </c>
      <c r="AH831" s="261">
        <f ca="1">MIN(100,IF($O$5&gt;80,0+30*($AG831/100),IF($O$5&gt;70,0+50*($AG831/100),IF($O$5&gt;60,5+50*($AG831/100),IF($O$5&gt;50,10+60*($AG831/100),IF($O$5&gt;40,15+70*($AG831/100),IF($O$5&gt;30,20+70*($AG831/100),IF($O$5&gt;20,40+55*($AG831/100),(80+(20-$O$5)+30*($AG831/100))))))))))</f>
        <v>100</v>
      </c>
      <c r="AI831" s="262"/>
      <c r="AJ831" s="262"/>
      <c r="AK831" s="262"/>
      <c r="AL831" s="263"/>
      <c r="AM831" s="264"/>
      <c r="AN831" s="263"/>
      <c r="AO831" s="263"/>
      <c r="AP831" s="265"/>
      <c r="AQ831" s="266"/>
      <c r="AR831" s="267"/>
      <c r="AS831" s="263"/>
      <c r="AT831" s="263"/>
      <c r="AU831" s="263"/>
      <c r="AV831" s="264"/>
      <c r="AW831" s="263"/>
      <c r="AX831" s="263"/>
      <c r="AY831" s="263"/>
      <c r="AZ831" s="263"/>
      <c r="BA831" s="263"/>
      <c r="BB831" s="263"/>
      <c r="BC831" s="263"/>
      <c r="BD831" s="264"/>
      <c r="BE831" s="263"/>
      <c r="BF831" s="263"/>
      <c r="BG831" s="263"/>
      <c r="BH831" s="263"/>
      <c r="BI831" s="263"/>
      <c r="BJ831" s="404">
        <f>altaz(J2000_Bas,$O831,$M831,DecLat,DecLong,2)</f>
        <v>327.90981509276207</v>
      </c>
      <c r="BK831" s="378" t="s">
        <v>5154</v>
      </c>
      <c r="BL831" s="379">
        <f>IF((2*G831)/60&lt;0.2,0.2,(2*G831)/60)</f>
        <v>0.2</v>
      </c>
      <c r="BM831" s="380">
        <f>MOD((50000+AD831-$B$3+(0/24)),1)</f>
        <v>0.65183166079077637</v>
      </c>
      <c r="BN831" s="381" t="s">
        <v>9111</v>
      </c>
      <c r="BO831" s="382">
        <v>830</v>
      </c>
    </row>
    <row r="832" spans="1:67" s="24" customFormat="1" ht="15" customHeight="1" x14ac:dyDescent="0.25">
      <c r="A832" s="288" t="s">
        <v>9314</v>
      </c>
      <c r="B832" s="241" t="str">
        <f>HYPERLINK(CONCATENATE($AT$3,BK832,$AU$3),$AV$3)</f>
        <v>S</v>
      </c>
      <c r="C832" s="242" t="str">
        <f>HYPERLINK(CONCATENATE($AT$4,BK832,$AU$4,BL832),$AV$4)</f>
        <v>A</v>
      </c>
      <c r="D832" s="243" t="s">
        <v>5187</v>
      </c>
      <c r="E832" s="244" t="s">
        <v>7522</v>
      </c>
      <c r="F832" s="269"/>
      <c r="G832" s="270">
        <v>180</v>
      </c>
      <c r="H832" s="271" t="s">
        <v>6500</v>
      </c>
      <c r="I832" s="244" t="s">
        <v>6500</v>
      </c>
      <c r="J832" s="246">
        <v>2</v>
      </c>
      <c r="K832" s="247" t="s">
        <v>9315</v>
      </c>
      <c r="L832" s="248">
        <v>23916</v>
      </c>
      <c r="M832" s="249">
        <f>15*(LEFT(TEXT($L832,"000000"),2)+(MID(TEXT($L832,"000000"),3,2)/60)+(RIGHT(TEXT($L832,"000000"),2)/3600))</f>
        <v>39.816666666666663</v>
      </c>
      <c r="N832" s="250">
        <v>-303154</v>
      </c>
      <c r="O832" s="251">
        <f>IF($N832&gt;0,(LEFT(TEXT($N832,"000000"),2)+(MID(TEXT($N832,"000000"),3,2)/60)+(RIGHT(TEXT($N832,"000000"),2)/3600)),-(MID(TEXT($N832,"000000"),2,2)+(MID(TEXT($N832,"000000"),4,2)/60)+(RIGHT(TEXT($N832,"000000"),2)/3600)))</f>
        <v>-30.531666666666666</v>
      </c>
      <c r="P832" s="252" t="s">
        <v>215</v>
      </c>
      <c r="Q832" s="253"/>
      <c r="R832" s="277" t="s">
        <v>3293</v>
      </c>
      <c r="S832" s="272" t="s">
        <v>1592</v>
      </c>
      <c r="T832" s="273"/>
      <c r="U832" s="274"/>
      <c r="V832" s="280"/>
      <c r="W832" s="244"/>
      <c r="X832" s="244"/>
      <c r="Y832" s="362"/>
      <c r="Z832" s="257">
        <f>altaz(J2000_Bas,$O832,$M832,DecLat,DecLong,1)</f>
        <v>-34.03905020606468</v>
      </c>
      <c r="AA832" s="257">
        <f>altaz((J2000_Bas+(2*0.04167)),$O832,$M832,DecLat,DecLong,1)</f>
        <v>-10.428338510574827</v>
      </c>
      <c r="AB832" s="257">
        <f>altaz((J2000_Bas+(4*0.04167)),$O832,$M832,DecLat,DecLong,1)</f>
        <v>10.138005035524476</v>
      </c>
      <c r="AC832" s="257">
        <f>altaz((J2000_Bas+(6*0.04167)),$O832,$M832,DecLat,DecLong,1)</f>
        <v>24.527252504461405</v>
      </c>
      <c r="AD832" s="258">
        <f>1+ transit((J2000_Bas-1),$O832,$M832,DecLat,DecLong)/360 + (GMTOffset/24) + (IF(DST="Y", 1, 0)/24)</f>
        <v>1.1035018014213747</v>
      </c>
      <c r="AE832" s="259">
        <f>DATE(2001,9,21)+(M832/360)*365 - (360*((DecLong/360)- (GMTOffset/24) ))</f>
        <v>37200.369675925926</v>
      </c>
      <c r="AF832" s="260">
        <f>IF(DecLat&gt;0,IF((90 - (DecLat-O832))&gt;90, (90 - (O832-DecLat)), (90 - (DecLat-O832))),IF((90 + (DecLat-O832))&gt;90, (90 + (O832-DecLat)), (90 + (DecLat-O832))))</f>
        <v>28.468333333333334</v>
      </c>
      <c r="AG832" s="257">
        <f>angularseperation(MoonRA,MoonDec,$M832,$O832)</f>
        <v>115.89118855195477</v>
      </c>
      <c r="AH832" s="261">
        <f ca="1">MIN(100,IF($O$5&gt;80,0+30*($AG832/100),IF($O$5&gt;70,0+50*($AG832/100),IF($O$5&gt;60,5+50*($AG832/100),IF($O$5&gt;50,10+60*($AG832/100),IF($O$5&gt;40,15+70*($AG832/100),IF($O$5&gt;30,20+70*($AG832/100),IF($O$5&gt;20,40+55*($AG832/100),(80+(20-$O$5)+30*($AG832/100))))))))))</f>
        <v>100</v>
      </c>
      <c r="AI832" s="263"/>
      <c r="AJ832" s="263"/>
      <c r="AK832" s="263"/>
      <c r="AL832" s="263"/>
      <c r="AM832" s="264"/>
      <c r="AN832" s="263"/>
      <c r="AO832" s="263"/>
      <c r="AP832" s="265"/>
      <c r="AQ832" s="265"/>
      <c r="AR832" s="285"/>
      <c r="AS832" s="263"/>
      <c r="AT832" s="263"/>
      <c r="AU832" s="263"/>
      <c r="AV832" s="264"/>
      <c r="AW832" s="263"/>
      <c r="AX832" s="263"/>
      <c r="AY832" s="263"/>
      <c r="AZ832" s="263"/>
      <c r="BA832" s="263"/>
      <c r="BB832" s="263"/>
      <c r="BC832" s="263"/>
      <c r="BD832" s="264"/>
      <c r="BE832" s="263"/>
      <c r="BF832" s="263"/>
      <c r="BG832" s="263"/>
      <c r="BH832" s="263"/>
      <c r="BI832" s="263">
        <v>12</v>
      </c>
      <c r="BJ832" s="404">
        <f>altaz(J2000_Bas,$O832,$M832,DecLat,DecLong,2)</f>
        <v>108.01900433051716</v>
      </c>
      <c r="BK832" s="378" t="s">
        <v>9314</v>
      </c>
      <c r="BL832" s="379">
        <f>IF((2*G832)/60&lt;0.2,0.2,(2*G832)/60)</f>
        <v>6</v>
      </c>
      <c r="BM832" s="380">
        <f>MOD((50000+AD832-$B$3+(0/24)),1)</f>
        <v>0.3188687311267131</v>
      </c>
      <c r="BN832" s="381"/>
      <c r="BO832" s="382">
        <v>3146</v>
      </c>
    </row>
    <row r="833" spans="1:67" s="24" customFormat="1" ht="15" customHeight="1" x14ac:dyDescent="0.25">
      <c r="A833" s="287" t="s">
        <v>5476</v>
      </c>
      <c r="B833" s="241" t="str">
        <f>HYPERLINK(CONCATENATE($AT$3,BK833,$AU$3),$AV$3)</f>
        <v>S</v>
      </c>
      <c r="C833" s="242" t="str">
        <f>HYPERLINK(CONCATENATE($AT$4,BK833,$AU$4,BL833),$AV$4)</f>
        <v>A</v>
      </c>
      <c r="D833" s="243" t="s">
        <v>5187</v>
      </c>
      <c r="E833" s="244" t="s">
        <v>5179</v>
      </c>
      <c r="F833" s="269"/>
      <c r="G833" s="276">
        <v>480</v>
      </c>
      <c r="H833" s="271" t="s">
        <v>6500</v>
      </c>
      <c r="I833" s="244" t="s">
        <v>6500</v>
      </c>
      <c r="J833" s="246">
        <v>4</v>
      </c>
      <c r="K833" s="247" t="s">
        <v>5477</v>
      </c>
      <c r="L833" s="248">
        <v>125300</v>
      </c>
      <c r="M833" s="249">
        <f>15*(LEFT(TEXT($L833,"000000"),2)+(MID(TEXT($L833,"000000"),3,2)/60)+(RIGHT(TEXT($L833,"000000"),2)/3600))</f>
        <v>193.25</v>
      </c>
      <c r="N833" s="250">
        <v>-630000</v>
      </c>
      <c r="O833" s="251">
        <f>IF($N833&gt;0,(LEFT(TEXT($N833,"000000"),2)+(MID(TEXT($N833,"000000"),3,2)/60)+(RIGHT(TEXT($N833,"000000"),2)/3600)),-(MID(TEXT($N833,"000000"),2,2)+(MID(TEXT($N833,"000000"),4,2)/60)+(RIGHT(TEXT($N833,"000000"),2)/3600)))</f>
        <v>-63</v>
      </c>
      <c r="P833" s="252" t="s">
        <v>928</v>
      </c>
      <c r="Q833" s="253" t="s">
        <v>7063</v>
      </c>
      <c r="R833" s="277" t="s">
        <v>7411</v>
      </c>
      <c r="S833" s="272" t="s">
        <v>3293</v>
      </c>
      <c r="T833" s="273"/>
      <c r="U833" s="274"/>
      <c r="V833" s="280"/>
      <c r="W833" s="244"/>
      <c r="X833" s="244"/>
      <c r="Y833" s="362"/>
      <c r="Z833" s="257">
        <f>altaz(J2000_Bas,$O833,$M833,DecLat,DecLong,1)</f>
        <v>-28.528157804353814</v>
      </c>
      <c r="AA833" s="257">
        <f>altaz((J2000_Bas+(2*0.04167)),$O833,$M833,DecLat,DecLong,1)</f>
        <v>-42.060730960481727</v>
      </c>
      <c r="AB833" s="257">
        <f>altaz((J2000_Bas+(4*0.04167)),$O833,$M833,DecLat,DecLong,1)</f>
        <v>-53.648132721602067</v>
      </c>
      <c r="AC833" s="257">
        <f>altaz((J2000_Bas+(6*0.04167)),$O833,$M833,DecLat,DecLong,1)</f>
        <v>-57.942143475465585</v>
      </c>
      <c r="AD833" s="258">
        <f>1+ transit((J2000_Bas-1),$O833,$M833,DecLat,DecLong)/360 + (GMTOffset/24) + (IF(DST="Y", 1, 0)/24)</f>
        <v>1.529705462504708</v>
      </c>
      <c r="AE833" s="259">
        <f>DATE(2001,9,21)+(M833/360)*365 - (360*((DecLong/360)- (GMTOffset/24) ))</f>
        <v>37355.934027777781</v>
      </c>
      <c r="AF833" s="260">
        <f>IF(DecLat&gt;0,IF((90 - (DecLat-O833))&gt;90, (90 - (O833-DecLat)), (90 - (DecLat-O833))),IF((90 + (DecLat-O833))&gt;90, (90 + (O833-DecLat)), (90 + (DecLat-O833))))</f>
        <v>-4</v>
      </c>
      <c r="AG833" s="257">
        <f>angularseperation(MoonRA,MoonDec,$M833,$O833)</f>
        <v>50.820688855648513</v>
      </c>
      <c r="AH833" s="261">
        <f ca="1">MIN(100,IF($O$5&gt;80,0+30*($AG833/100),IF($O$5&gt;70,0+50*($AG833/100),IF($O$5&gt;60,5+50*($AG833/100),IF($O$5&gt;50,10+60*($AG833/100),IF($O$5&gt;40,15+70*($AG833/100),IF($O$5&gt;30,20+70*($AG833/100),IF($O$5&gt;20,40+55*($AG833/100),(80+(20-$O$5)+30*($AG833/100))))))))))</f>
        <v>98.517267000844981</v>
      </c>
      <c r="AI833" s="263"/>
      <c r="AJ833" s="263"/>
      <c r="AK833" s="263"/>
      <c r="AL833" s="263"/>
      <c r="AM833" s="264">
        <v>99</v>
      </c>
      <c r="AN833" s="263"/>
      <c r="AO833" s="263"/>
      <c r="AP833" s="265"/>
      <c r="AQ833" s="265"/>
      <c r="AR833" s="285"/>
      <c r="AS833" s="263"/>
      <c r="AT833" s="263"/>
      <c r="AU833" s="263"/>
      <c r="AV833" s="264"/>
      <c r="AW833" s="263"/>
      <c r="AX833" s="263"/>
      <c r="AY833" s="263"/>
      <c r="AZ833" s="263"/>
      <c r="BA833" s="263"/>
      <c r="BB833" s="263"/>
      <c r="BC833" s="263"/>
      <c r="BD833" s="264"/>
      <c r="BE833" s="263"/>
      <c r="BF833" s="263"/>
      <c r="BG833" s="263"/>
      <c r="BH833" s="263"/>
      <c r="BI833" s="263"/>
      <c r="BJ833" s="404">
        <f>altaz(J2000_Bas,$O833,$M833,DecLat,DecLong,2)</f>
        <v>211.07331180176007</v>
      </c>
      <c r="BK833" s="378" t="s">
        <v>5476</v>
      </c>
      <c r="BL833" s="379">
        <f>IF((2*G833)/60&lt;0.2,0.2,(2*G833)/60)</f>
        <v>16</v>
      </c>
      <c r="BM833" s="380">
        <f>MOD((50000+AD833-$B$3+(0/24)),1)</f>
        <v>0.74507239220838528</v>
      </c>
      <c r="BN833" s="381"/>
      <c r="BO833" s="382">
        <v>831</v>
      </c>
    </row>
    <row r="834" spans="1:67" s="24" customFormat="1" ht="15" customHeight="1" x14ac:dyDescent="0.25">
      <c r="A834" s="288" t="s">
        <v>929</v>
      </c>
      <c r="B834" s="241" t="str">
        <f>HYPERLINK(CONCATENATE($AT$3,BK834,$AU$3),$AV$3)</f>
        <v>S</v>
      </c>
      <c r="C834" s="242" t="str">
        <f>HYPERLINK(CONCATENATE($AT$4,BK834,$AU$4,BL834),$AV$4)</f>
        <v>A</v>
      </c>
      <c r="D834" s="243" t="s">
        <v>5335</v>
      </c>
      <c r="E834" s="244" t="s">
        <v>5185</v>
      </c>
      <c r="F834" s="269" t="s">
        <v>9074</v>
      </c>
      <c r="G834" s="276">
        <v>15</v>
      </c>
      <c r="H834" s="271">
        <v>4560</v>
      </c>
      <c r="I834" s="246">
        <v>20</v>
      </c>
      <c r="J834" s="246">
        <v>3</v>
      </c>
      <c r="K834" s="277" t="s">
        <v>4629</v>
      </c>
      <c r="L834" s="248">
        <v>15000</v>
      </c>
      <c r="M834" s="249">
        <f>15*(LEFT(TEXT($L834,"000000"),2)+(MID(TEXT($L834,"000000"),3,2)/60)+(RIGHT(TEXT($L834,"000000"),2)/3600))</f>
        <v>27.500000000000004</v>
      </c>
      <c r="N834" s="250">
        <v>270000</v>
      </c>
      <c r="O834" s="251">
        <f>IF($N834&gt;0,(LEFT(TEXT($N834,"000000"),2)+(MID(TEXT($N834,"000000"),3,2)/60)+(RIGHT(TEXT($N834,"000000"),2)/3600)),-(MID(TEXT($N834,"000000"),2,2)+(MID(TEXT($N834,"000000"),4,2)/60)+(RIGHT(TEXT($N834,"000000"),2)/3600)))</f>
        <v>27</v>
      </c>
      <c r="P834" s="252" t="s">
        <v>314</v>
      </c>
      <c r="Q834" s="253" t="s">
        <v>7159</v>
      </c>
      <c r="R834" s="277" t="s">
        <v>3293</v>
      </c>
      <c r="S834" s="272" t="s">
        <v>4438</v>
      </c>
      <c r="T834" s="273">
        <v>8.1999999999999993</v>
      </c>
      <c r="U834" s="274"/>
      <c r="V834" s="280"/>
      <c r="W834" s="244"/>
      <c r="X834" s="244"/>
      <c r="Y834" s="362"/>
      <c r="Z834" s="257">
        <f>altaz(J2000_Bas,$O834,$M834,DecLat,DecLong,1)</f>
        <v>4.6800286797194079</v>
      </c>
      <c r="AA834" s="257">
        <f>altaz((J2000_Bas+(2*0.04167)),$O834,$M834,DecLat,DecLong,1)</f>
        <v>28.506784544091779</v>
      </c>
      <c r="AB834" s="257">
        <f>altaz((J2000_Bas+(4*0.04167)),$O834,$M834,DecLat,DecLong,1)</f>
        <v>53.837354540832727</v>
      </c>
      <c r="AC834" s="257">
        <f>altaz((J2000_Bas+(6*0.04167)),$O834,$M834,DecLat,DecLong,1)</f>
        <v>79.390625733464248</v>
      </c>
      <c r="AD834" s="258">
        <f>1+ transit((J2000_Bas-1),$O834,$M834,DecLat,DecLong)/360 + (GMTOffset/24) + (IF(DST="Y", 1, 0)/24)</f>
        <v>1.069288841879708</v>
      </c>
      <c r="AE834" s="259">
        <f>DATE(2001,9,21)+(M834/360)*365 - (360*((DecLong/360)- (GMTOffset/24) ))</f>
        <v>37187.881944444445</v>
      </c>
      <c r="AF834" s="260">
        <f>IF(DecLat&gt;0,IF((90 - (DecLat-O834))&gt;90, (90 - (O834-DecLat)), (90 - (DecLat-O834))),IF((90 + (DecLat-O834))&gt;90, (90 + (O834-DecLat)), (90 + (DecLat-O834))))</f>
        <v>86</v>
      </c>
      <c r="AG834" s="257">
        <f>angularseperation(MoonRA,MoonDec,$M834,$O834)</f>
        <v>142.99864595635077</v>
      </c>
      <c r="AH834" s="261">
        <f ca="1">MIN(100,IF($O$5&gt;80,0+30*($AG834/100),IF($O$5&gt;70,0+50*($AG834/100),IF($O$5&gt;60,5+50*($AG834/100),IF($O$5&gt;50,10+60*($AG834/100),IF($O$5&gt;40,15+70*($AG834/100),IF($O$5&gt;30,20+70*($AG834/100),IF($O$5&gt;20,40+55*($AG834/100),(80+(20-$O$5)+30*($AG834/100))))))))))</f>
        <v>100</v>
      </c>
      <c r="AI834" s="262"/>
      <c r="AJ834" s="262"/>
      <c r="AK834" s="262"/>
      <c r="AL834" s="263"/>
      <c r="AM834" s="264"/>
      <c r="AN834" s="263"/>
      <c r="AO834" s="263"/>
      <c r="AP834" s="265"/>
      <c r="AQ834" s="266"/>
      <c r="AR834" s="267"/>
      <c r="AS834" s="263"/>
      <c r="AT834" s="263"/>
      <c r="AU834" s="263"/>
      <c r="AV834" s="264"/>
      <c r="AW834" s="263"/>
      <c r="AX834" s="263"/>
      <c r="AY834" s="263"/>
      <c r="AZ834" s="263"/>
      <c r="BA834" s="263"/>
      <c r="BB834" s="263"/>
      <c r="BC834" s="263"/>
      <c r="BD834" s="264"/>
      <c r="BE834" s="263"/>
      <c r="BF834" s="263"/>
      <c r="BG834" s="263"/>
      <c r="BH834" s="263"/>
      <c r="BI834" s="263"/>
      <c r="BJ834" s="404">
        <f>altaz(J2000_Bas,$O834,$M834,DecLat,DecLong,2)</f>
        <v>61.169284506419167</v>
      </c>
      <c r="BK834" s="378" t="s">
        <v>929</v>
      </c>
      <c r="BL834" s="379">
        <f>IF((2*G834)/60&lt;0.2,0.2,(2*G834)/60)</f>
        <v>0.5</v>
      </c>
      <c r="BM834" s="380">
        <f>MOD((50000+AD834-$B$3+(0/24)),1)</f>
        <v>0.28465577158203814</v>
      </c>
      <c r="BN834" s="381"/>
      <c r="BO834" s="382">
        <v>832</v>
      </c>
    </row>
    <row r="835" spans="1:67" s="24" customFormat="1" ht="15" customHeight="1" x14ac:dyDescent="0.25">
      <c r="A835" s="288" t="s">
        <v>930</v>
      </c>
      <c r="B835" s="241" t="str">
        <f>HYPERLINK(CONCATENATE($AT$3,BK835,$AU$3),$AV$3)</f>
        <v>S</v>
      </c>
      <c r="C835" s="242" t="str">
        <f>HYPERLINK(CONCATENATE($AT$4,BK835,$AU$4,BL835),$AV$4)</f>
        <v>A</v>
      </c>
      <c r="D835" s="243" t="s">
        <v>5335</v>
      </c>
      <c r="E835" s="244" t="s">
        <v>5185</v>
      </c>
      <c r="F835" s="269" t="s">
        <v>9075</v>
      </c>
      <c r="G835" s="276">
        <v>70</v>
      </c>
      <c r="H835" s="271">
        <v>1600</v>
      </c>
      <c r="I835" s="281">
        <v>30</v>
      </c>
      <c r="J835" s="246">
        <v>2</v>
      </c>
      <c r="K835" s="277" t="s">
        <v>4669</v>
      </c>
      <c r="L835" s="248">
        <v>53500</v>
      </c>
      <c r="M835" s="249">
        <f>15*(LEFT(TEXT($L835,"000000"),2)+(MID(TEXT($L835,"000000"),3,2)/60)+(RIGHT(TEXT($L835,"000000"),2)/3600))</f>
        <v>83.75</v>
      </c>
      <c r="N835" s="250">
        <v>95600</v>
      </c>
      <c r="O835" s="251">
        <f>IF($N835&gt;0,(LEFT(TEXT($N835,"000000"),2)+(MID(TEXT($N835,"000000"),3,2)/60)+(RIGHT(TEXT($N835,"000000"),2)/3600)),-(MID(TEXT($N835,"000000"),2,2)+(MID(TEXT($N835,"000000"),4,2)/60)+(RIGHT(TEXT($N835,"000000"),2)/3600)))</f>
        <v>9.9333333333333336</v>
      </c>
      <c r="P835" s="252" t="s">
        <v>41</v>
      </c>
      <c r="Q835" s="253" t="s">
        <v>7136</v>
      </c>
      <c r="R835" s="277" t="s">
        <v>3293</v>
      </c>
      <c r="S835" s="272" t="s">
        <v>3293</v>
      </c>
      <c r="T835" s="273">
        <v>2.8</v>
      </c>
      <c r="U835" s="274"/>
      <c r="V835" s="256"/>
      <c r="W835" s="244"/>
      <c r="X835" s="244"/>
      <c r="Y835" s="362"/>
      <c r="Z835" s="257">
        <f>altaz(J2000_Bas,$O835,$M835,DecLat,DecLong,1)</f>
        <v>-43.835505355174696</v>
      </c>
      <c r="AA835" s="257">
        <f>altaz((J2000_Bas+(2*0.04167)),$O835,$M835,DecLat,DecLong,1)</f>
        <v>-25.280133433650995</v>
      </c>
      <c r="AB835" s="257">
        <f>altaz((J2000_Bas+(4*0.04167)),$O835,$M835,DecLat,DecLong,1)</f>
        <v>-1.2894942679591435</v>
      </c>
      <c r="AC835" s="257">
        <f>altaz((J2000_Bas+(6*0.04167)),$O835,$M835,DecLat,DecLong,1)</f>
        <v>24.332845409917585</v>
      </c>
      <c r="AD835" s="258">
        <f>1+ transit((J2000_Bas-1),$O835,$M835,DecLat,DecLong)/360 + (GMTOffset/24) + (IF(DST="Y", 1, 0)/24)</f>
        <v>1.225538826254708</v>
      </c>
      <c r="AE835" s="259">
        <f>DATE(2001,9,21)+(M835/360)*365 - (360*((DecLong/360)- (GMTOffset/24) ))</f>
        <v>37244.913194444445</v>
      </c>
      <c r="AF835" s="260">
        <f>IF(DecLat&gt;0,IF((90 - (DecLat-O835))&gt;90, (90 - (O835-DecLat)), (90 - (DecLat-O835))),IF((90 + (DecLat-O835))&gt;90, (90 + (O835-DecLat)), (90 + (DecLat-O835))))</f>
        <v>68.933333333333337</v>
      </c>
      <c r="AG835" s="257">
        <f>angularseperation(MoonRA,MoonDec,$M835,$O835)</f>
        <v>158.05865534492784</v>
      </c>
      <c r="AH835" s="261">
        <f ca="1">MIN(100,IF($O$5&gt;80,0+30*($AG835/100),IF($O$5&gt;70,0+50*($AG835/100),IF($O$5&gt;60,5+50*($AG835/100),IF($O$5&gt;50,10+60*($AG835/100),IF($O$5&gt;40,15+70*($AG835/100),IF($O$5&gt;30,20+70*($AG835/100),IF($O$5&gt;20,40+55*($AG835/100),(80+(20-$O$5)+30*($AG835/100))))))))))</f>
        <v>100</v>
      </c>
      <c r="AI835" s="262"/>
      <c r="AJ835" s="262"/>
      <c r="AK835" s="262"/>
      <c r="AL835" s="263"/>
      <c r="AM835" s="264"/>
      <c r="AN835" s="263"/>
      <c r="AO835" s="263"/>
      <c r="AP835" s="265"/>
      <c r="AQ835" s="266"/>
      <c r="AR835" s="267"/>
      <c r="AS835" s="263"/>
      <c r="AT835" s="263"/>
      <c r="AU835" s="263"/>
      <c r="AV835" s="264"/>
      <c r="AW835" s="263"/>
      <c r="AX835" s="263"/>
      <c r="AY835" s="263"/>
      <c r="AZ835" s="263"/>
      <c r="BA835" s="263"/>
      <c r="BB835" s="263"/>
      <c r="BC835" s="263"/>
      <c r="BD835" s="264"/>
      <c r="BE835" s="263">
        <v>29</v>
      </c>
      <c r="BF835" s="263"/>
      <c r="BG835" s="263"/>
      <c r="BH835" s="263"/>
      <c r="BI835" s="263"/>
      <c r="BJ835" s="404">
        <f>altaz(J2000_Bas,$O835,$M835,DecLat,DecLong,2)</f>
        <v>31.139205537046987</v>
      </c>
      <c r="BK835" s="378" t="s">
        <v>930</v>
      </c>
      <c r="BL835" s="379">
        <f>IF((2*G835)/60&lt;0.2,0.2,(2*G835)/60)</f>
        <v>2.3333333333333335</v>
      </c>
      <c r="BM835" s="380">
        <f>MOD((50000+AD835-$B$3+(0/24)),1)</f>
        <v>0.44090575596055714</v>
      </c>
      <c r="BN835" s="381"/>
      <c r="BO835" s="382">
        <v>833</v>
      </c>
    </row>
    <row r="836" spans="1:67" s="24" customFormat="1" ht="15" customHeight="1" x14ac:dyDescent="0.25">
      <c r="A836" s="288" t="s">
        <v>931</v>
      </c>
      <c r="B836" s="241" t="str">
        <f>HYPERLINK(CONCATENATE($AT$3,BK836,$AU$3),$AV$3)</f>
        <v>S</v>
      </c>
      <c r="C836" s="242" t="str">
        <f>HYPERLINK(CONCATENATE($AT$4,BK836,$AU$4,BL836),$AV$4)</f>
        <v>A</v>
      </c>
      <c r="D836" s="243" t="s">
        <v>5335</v>
      </c>
      <c r="E836" s="244" t="s">
        <v>5185</v>
      </c>
      <c r="F836" s="269" t="s">
        <v>9086</v>
      </c>
      <c r="G836" s="276">
        <v>150</v>
      </c>
      <c r="H836" s="271">
        <v>1200</v>
      </c>
      <c r="I836" s="281">
        <v>50</v>
      </c>
      <c r="J836" s="246">
        <v>3</v>
      </c>
      <c r="K836" s="247" t="s">
        <v>4657</v>
      </c>
      <c r="L836" s="248">
        <v>53600</v>
      </c>
      <c r="M836" s="249">
        <f>15*(LEFT(TEXT($L836,"000000"),2)+(MID(TEXT($L836,"000000"),3,2)/60)+(RIGHT(TEXT($L836,"000000"),2)/3600))</f>
        <v>84</v>
      </c>
      <c r="N836" s="250">
        <v>-10000</v>
      </c>
      <c r="O836" s="251">
        <f>IF($N836&gt;0,(LEFT(TEXT($N836,"000000"),2)+(MID(TEXT($N836,"000000"),3,2)/60)+(RIGHT(TEXT($N836,"000000"),2)/3600)),-(MID(TEXT($N836,"000000"),2,2)+(MID(TEXT($N836,"000000"),4,2)/60)+(RIGHT(TEXT($N836,"000000"),2)/3600)))</f>
        <v>-1</v>
      </c>
      <c r="P836" s="252" t="s">
        <v>41</v>
      </c>
      <c r="Q836" s="253" t="s">
        <v>932</v>
      </c>
      <c r="R836" s="247" t="s">
        <v>3293</v>
      </c>
      <c r="S836" s="272" t="s">
        <v>3293</v>
      </c>
      <c r="T836" s="273">
        <v>0.6</v>
      </c>
      <c r="U836" s="274"/>
      <c r="V836" s="256"/>
      <c r="W836" s="244"/>
      <c r="X836" s="244"/>
      <c r="Y836" s="362"/>
      <c r="Z836" s="257">
        <f>altaz(J2000_Bas,$O836,$M836,DecLat,DecLong,1)</f>
        <v>-53.475705326320188</v>
      </c>
      <c r="AA836" s="257">
        <f>altaz((J2000_Bas+(2*0.04167)),$O836,$M836,DecLat,DecLong,1)</f>
        <v>-32.38495423971591</v>
      </c>
      <c r="AB836" s="257">
        <f>altaz((J2000_Bas+(4*0.04167)),$O836,$M836,DecLat,DecLong,1)</f>
        <v>-7.222397602307236</v>
      </c>
      <c r="AC836" s="257">
        <f>altaz((J2000_Bas+(6*0.04167)),$O836,$M836,DecLat,DecLong,1)</f>
        <v>18.397870477697015</v>
      </c>
      <c r="AD836" s="258">
        <f>1+ transit((J2000_Bas-1),$O836,$M836,DecLat,DecLong)/360 + (GMTOffset/24) + (IF(DST="Y", 1, 0)/24)</f>
        <v>1.2262332706297079</v>
      </c>
      <c r="AE836" s="259">
        <f>DATE(2001,9,21)+(M836/360)*365 - (360*((DecLong/360)- (GMTOffset/24) ))</f>
        <v>37245.166666666664</v>
      </c>
      <c r="AF836" s="260">
        <f>IF(DecLat&gt;0,IF((90 - (DecLat-O836))&gt;90, (90 - (O836-DecLat)), (90 - (DecLat-O836))),IF((90 + (DecLat-O836))&gt;90, (90 + (O836-DecLat)), (90 + (DecLat-O836))))</f>
        <v>58</v>
      </c>
      <c r="AG836" s="257">
        <f>angularseperation(MoonRA,MoonDec,$M836,$O836)</f>
        <v>148.52738188815255</v>
      </c>
      <c r="AH836" s="261">
        <f ca="1">MIN(100,IF($O$5&gt;80,0+30*($AG836/100),IF($O$5&gt;70,0+50*($AG836/100),IF($O$5&gt;60,5+50*($AG836/100),IF($O$5&gt;50,10+60*($AG836/100),IF($O$5&gt;40,15+70*($AG836/100),IF($O$5&gt;30,20+70*($AG836/100),IF($O$5&gt;20,40+55*($AG836/100),(80+(20-$O$5)+30*($AG836/100))))))))))</f>
        <v>100</v>
      </c>
      <c r="AI836" s="262"/>
      <c r="AJ836" s="262"/>
      <c r="AK836" s="262"/>
      <c r="AL836" s="263"/>
      <c r="AM836" s="264"/>
      <c r="AN836" s="263"/>
      <c r="AO836" s="263"/>
      <c r="AP836" s="265"/>
      <c r="AQ836" s="266"/>
      <c r="AR836" s="267"/>
      <c r="AS836" s="263"/>
      <c r="AT836" s="263"/>
      <c r="AU836" s="263"/>
      <c r="AV836" s="264"/>
      <c r="AW836" s="263"/>
      <c r="AX836" s="263"/>
      <c r="AY836" s="263"/>
      <c r="AZ836" s="263"/>
      <c r="BA836" s="263"/>
      <c r="BB836" s="263"/>
      <c r="BC836" s="263"/>
      <c r="BD836" s="264"/>
      <c r="BE836" s="263"/>
      <c r="BF836" s="263">
        <v>24</v>
      </c>
      <c r="BG836" s="263"/>
      <c r="BH836" s="263"/>
      <c r="BI836" s="263"/>
      <c r="BJ836" s="404">
        <f>altaz(J2000_Bas,$O836,$M836,DecLat,DecLong,2)</f>
        <v>39.005384042047211</v>
      </c>
      <c r="BK836" s="378" t="s">
        <v>931</v>
      </c>
      <c r="BL836" s="379">
        <f>IF((2*G836)/60&lt;0.2,0.2,(2*G836)/60)</f>
        <v>5</v>
      </c>
      <c r="BM836" s="380">
        <f>MOD((50000+AD836-$B$3+(0/24)),1)</f>
        <v>0.44160020033450564</v>
      </c>
      <c r="BN836" s="381"/>
      <c r="BO836" s="382">
        <v>834</v>
      </c>
    </row>
    <row r="837" spans="1:67" s="24" customFormat="1" ht="15" customHeight="1" x14ac:dyDescent="0.25">
      <c r="A837" s="298" t="s">
        <v>4442</v>
      </c>
      <c r="B837" s="241" t="str">
        <f>HYPERLINK(CONCATENATE($AT$3,BK837,$AU$3),$AV$3)</f>
        <v>S</v>
      </c>
      <c r="C837" s="242" t="str">
        <f>HYPERLINK(CONCATENATE($AT$4,BK837,$AU$4,BL837),$AV$4)</f>
        <v>A</v>
      </c>
      <c r="D837" s="243" t="s">
        <v>5335</v>
      </c>
      <c r="E837" s="244" t="s">
        <v>5185</v>
      </c>
      <c r="F837" s="269" t="s">
        <v>6500</v>
      </c>
      <c r="G837" s="276">
        <v>65</v>
      </c>
      <c r="H837" s="271">
        <v>6000</v>
      </c>
      <c r="I837" s="281">
        <v>110</v>
      </c>
      <c r="J837" s="246">
        <v>3</v>
      </c>
      <c r="K837" s="247" t="s">
        <v>6025</v>
      </c>
      <c r="L837" s="248">
        <v>113818</v>
      </c>
      <c r="M837" s="249">
        <f>15*(LEFT(TEXT($L837,"000000"),2)+(MID(TEXT($L837,"000000"),3,2)/60)+(RIGHT(TEXT($L837,"000000"),2)/3600))</f>
        <v>174.57500000000002</v>
      </c>
      <c r="N837" s="286">
        <v>-632200</v>
      </c>
      <c r="O837" s="251">
        <f>IF($N837&gt;0,(LEFT(TEXT($N837,"000000"),2)+(MID(TEXT($N837,"000000"),3,2)/60)+(RIGHT(TEXT($N837,"000000"),2)/3600)),-(MID(TEXT($N837,"000000"),2,2)+(MID(TEXT($N837,"000000"),4,2)/60)+(RIGHT(TEXT($N837,"000000"),2)/3600)))</f>
        <v>-63.366666666666667</v>
      </c>
      <c r="P837" s="252" t="s">
        <v>927</v>
      </c>
      <c r="Q837" s="253" t="s">
        <v>3372</v>
      </c>
      <c r="R837" s="247" t="s">
        <v>7412</v>
      </c>
      <c r="S837" s="272" t="s">
        <v>3293</v>
      </c>
      <c r="T837" s="273">
        <v>2.9</v>
      </c>
      <c r="U837" s="274"/>
      <c r="V837" s="256"/>
      <c r="W837" s="244"/>
      <c r="X837" s="244"/>
      <c r="Y837" s="362"/>
      <c r="Z837" s="257">
        <f>altaz(J2000_Bas,$O837,$M837,DecLat,DecLong,1)</f>
        <v>-36.924758619351607</v>
      </c>
      <c r="AA837" s="257">
        <f>altaz((J2000_Bas+(2*0.04167)),$O837,$M837,DecLat,DecLong,1)</f>
        <v>-49.566341927426379</v>
      </c>
      <c r="AB837" s="257">
        <f>altaz((J2000_Bas+(4*0.04167)),$O837,$M837,DecLat,DecLong,1)</f>
        <v>-57.194456250349518</v>
      </c>
      <c r="AC837" s="257">
        <f>altaz((J2000_Bas+(6*0.04167)),$O837,$M837,DecLat,DecLong,1)</f>
        <v>-54.830848794183396</v>
      </c>
      <c r="AD837" s="258">
        <f>1+ transit((J2000_Bas-1),$O837,$M837,DecLat,DecLong)/360 + (GMTOffset/24) + (IF(DST="Y", 1, 0)/24)</f>
        <v>1.477830467692208</v>
      </c>
      <c r="AE837" s="259">
        <f>DATE(2001,9,21)+(M837/360)*365 - (360*((DecLong/360)- (GMTOffset/24) ))</f>
        <v>37336.999652777777</v>
      </c>
      <c r="AF837" s="260">
        <f>IF(DecLat&gt;0,IF((90 - (DecLat-O837))&gt;90, (90 - (O837-DecLat)), (90 - (DecLat-O837))),IF((90 + (DecLat-O837))&gt;90, (90 + (O837-DecLat)), (90 + (DecLat-O837))))</f>
        <v>-4.3666666666666742</v>
      </c>
      <c r="AG837" s="257">
        <f>angularseperation(MoonRA,MoonDec,$M837,$O837)</f>
        <v>59.167687822004268</v>
      </c>
      <c r="AH837" s="261">
        <f ca="1">MIN(100,IF($O$5&gt;80,0+30*($AG837/100),IF($O$5&gt;70,0+50*($AG837/100),IF($O$5&gt;60,5+50*($AG837/100),IF($O$5&gt;50,10+60*($AG837/100),IF($O$5&gt;40,15+70*($AG837/100),IF($O$5&gt;30,20+70*($AG837/100),IF($O$5&gt;20,40+55*($AG837/100),(80+(20-$O$5)+30*($AG837/100))))))))))</f>
        <v>100</v>
      </c>
      <c r="AI837" s="262"/>
      <c r="AJ837" s="262"/>
      <c r="AK837" s="262"/>
      <c r="AL837" s="263"/>
      <c r="AM837" s="264">
        <v>100</v>
      </c>
      <c r="AN837" s="263"/>
      <c r="AO837" s="263"/>
      <c r="AP837" s="265"/>
      <c r="AQ837" s="266"/>
      <c r="AR837" s="267"/>
      <c r="AS837" s="263"/>
      <c r="AT837" s="263"/>
      <c r="AU837" s="263"/>
      <c r="AV837" s="264"/>
      <c r="AW837" s="263"/>
      <c r="AX837" s="263"/>
      <c r="AY837" s="263"/>
      <c r="AZ837" s="263"/>
      <c r="BA837" s="263"/>
      <c r="BB837" s="263"/>
      <c r="BC837" s="263"/>
      <c r="BD837" s="264"/>
      <c r="BE837" s="263"/>
      <c r="BF837" s="263"/>
      <c r="BG837" s="263"/>
      <c r="BH837" s="263"/>
      <c r="BI837" s="263"/>
      <c r="BJ837" s="404">
        <f>altaz(J2000_Bas,$O837,$M837,DecLat,DecLong,2)</f>
        <v>211.46601016480969</v>
      </c>
      <c r="BK837" s="378" t="s">
        <v>4442</v>
      </c>
      <c r="BL837" s="379">
        <f>IF((2*G837)/60&lt;0.2,0.2,(2*G837)/60)</f>
        <v>2.1666666666666665</v>
      </c>
      <c r="BM837" s="380">
        <f>MOD((50000+AD837-$B$3+(0/24)),1)</f>
        <v>0.6931973973987624</v>
      </c>
      <c r="BN837" s="381"/>
      <c r="BO837" s="382">
        <v>835</v>
      </c>
    </row>
    <row r="838" spans="1:67" s="24" customFormat="1" ht="15" customHeight="1" x14ac:dyDescent="0.25">
      <c r="A838" s="288" t="s">
        <v>933</v>
      </c>
      <c r="B838" s="241" t="str">
        <f>HYPERLINK(CONCATENATE($AT$3,BK838,$AU$3),$AV$3)</f>
        <v>S</v>
      </c>
      <c r="C838" s="242" t="str">
        <f>HYPERLINK(CONCATENATE($AT$4,BK838,$AU$4,BL838),$AV$4)</f>
        <v>A</v>
      </c>
      <c r="D838" s="243" t="s">
        <v>5335</v>
      </c>
      <c r="E838" s="244" t="s">
        <v>5185</v>
      </c>
      <c r="F838" s="269" t="s">
        <v>9076</v>
      </c>
      <c r="G838" s="276">
        <v>60</v>
      </c>
      <c r="H838" s="271" t="s">
        <v>6500</v>
      </c>
      <c r="I838" s="244" t="s">
        <v>6500</v>
      </c>
      <c r="J838" s="246">
        <v>3</v>
      </c>
      <c r="K838" s="247" t="s">
        <v>4666</v>
      </c>
      <c r="L838" s="248">
        <v>192524</v>
      </c>
      <c r="M838" s="249">
        <f>15*(LEFT(TEXT($L838,"000000"),2)+(MID(TEXT($L838,"000000"),3,2)/60)+(RIGHT(TEXT($L838,"000000"),2)/3600))</f>
        <v>291.35000000000002</v>
      </c>
      <c r="N838" s="250">
        <v>201100</v>
      </c>
      <c r="O838" s="251">
        <f>IF($N838&gt;0,(LEFT(TEXT($N838,"000000"),2)+(MID(TEXT($N838,"000000"),3,2)/60)+(RIGHT(TEXT($N838,"000000"),2)/3600)),-(MID(TEXT($N838,"000000"),2,2)+(MID(TEXT($N838,"000000"),4,2)/60)+(RIGHT(TEXT($N838,"000000"),2)/3600)))</f>
        <v>20.183333333333334</v>
      </c>
      <c r="P838" s="252" t="s">
        <v>133</v>
      </c>
      <c r="Q838" s="253" t="s">
        <v>7103</v>
      </c>
      <c r="R838" s="247" t="s">
        <v>3293</v>
      </c>
      <c r="S838" s="272" t="s">
        <v>3293</v>
      </c>
      <c r="T838" s="273">
        <v>3.6</v>
      </c>
      <c r="U838" s="274"/>
      <c r="V838" s="256"/>
      <c r="W838" s="244"/>
      <c r="X838" s="244"/>
      <c r="Y838" s="362"/>
      <c r="Z838" s="257">
        <f>altaz(J2000_Bas,$O838,$M838,DecLat,DecLong,1)</f>
        <v>78.161950159992372</v>
      </c>
      <c r="AA838" s="257">
        <f>altaz((J2000_Bas+(2*0.04167)),$O838,$M838,DecLat,DecLong,1)</f>
        <v>65.286046303609211</v>
      </c>
      <c r="AB838" s="257">
        <f>altaz((J2000_Bas+(4*0.04167)),$O838,$M838,DecLat,DecLong,1)</f>
        <v>39.882100091350772</v>
      </c>
      <c r="AC838" s="257">
        <f>altaz((J2000_Bas+(6*0.04167)),$O838,$M838,DecLat,DecLong,1)</f>
        <v>14.426145259743162</v>
      </c>
      <c r="AD838" s="258">
        <f>1+ transit((J2000_Bas-1),$O838,$M838,DecLat,DecLong)/360 + (GMTOffset/24) + (IF(DST="Y", 1, 0)/24)</f>
        <v>1.8022054352547083</v>
      </c>
      <c r="AE838" s="259">
        <f>DATE(2001,9,21)+(M838/360)*365 - (360*((DecLong/360)- (GMTOffset/24) ))</f>
        <v>37455.396527777775</v>
      </c>
      <c r="AF838" s="260">
        <f>IF(DecLat&gt;0,IF((90 - (DecLat-O838))&gt;90, (90 - (O838-DecLat)), (90 - (DecLat-O838))),IF((90 + (DecLat-O838))&gt;90, (90 + (O838-DecLat)), (90 + (DecLat-O838))))</f>
        <v>79.183333333333337</v>
      </c>
      <c r="AG838" s="257">
        <f>angularseperation(MoonRA,MoonDec,$M838,$O838)</f>
        <v>62.427145486426014</v>
      </c>
      <c r="AH838" s="261">
        <f ca="1">MIN(100,IF($O$5&gt;80,0+30*($AG838/100),IF($O$5&gt;70,0+50*($AG838/100),IF($O$5&gt;60,5+50*($AG838/100),IF($O$5&gt;50,10+60*($AG838/100),IF($O$5&gt;40,15+70*($AG838/100),IF($O$5&gt;30,20+70*($AG838/100),IF($O$5&gt;20,40+55*($AG838/100),(80+(20-$O$5)+30*($AG838/100))))))))))</f>
        <v>100</v>
      </c>
      <c r="AI838" s="262"/>
      <c r="AJ838" s="262"/>
      <c r="AK838" s="262"/>
      <c r="AL838" s="263"/>
      <c r="AM838" s="264"/>
      <c r="AN838" s="263"/>
      <c r="AO838" s="263"/>
      <c r="AP838" s="265"/>
      <c r="AQ838" s="266"/>
      <c r="AR838" s="267"/>
      <c r="AS838" s="263"/>
      <c r="AT838" s="263"/>
      <c r="AU838" s="263"/>
      <c r="AV838" s="264"/>
      <c r="AW838" s="263"/>
      <c r="AX838" s="263"/>
      <c r="AY838" s="263"/>
      <c r="AZ838" s="263"/>
      <c r="BA838" s="263"/>
      <c r="BB838" s="263"/>
      <c r="BC838" s="263"/>
      <c r="BD838" s="264"/>
      <c r="BE838" s="263">
        <v>97</v>
      </c>
      <c r="BF838" s="263"/>
      <c r="BG838" s="263"/>
      <c r="BH838" s="263"/>
      <c r="BI838" s="263"/>
      <c r="BJ838" s="404">
        <f>altaz(J2000_Bas,$O838,$M838,DecLat,DecLong,2)</f>
        <v>154.76166495808653</v>
      </c>
      <c r="BK838" s="378" t="s">
        <v>933</v>
      </c>
      <c r="BL838" s="379">
        <f>IF((2*G838)/60&lt;0.2,0.2,(2*G838)/60)</f>
        <v>2</v>
      </c>
      <c r="BM838" s="380">
        <f>MOD((50000+AD838-$B$3+(0/24)),1)</f>
        <v>1.7572364959050901E-2</v>
      </c>
      <c r="BN838" s="381"/>
      <c r="BO838" s="382">
        <v>836</v>
      </c>
    </row>
    <row r="839" spans="1:67" s="24" customFormat="1" ht="15" customHeight="1" x14ac:dyDescent="0.25">
      <c r="A839" s="288" t="s">
        <v>934</v>
      </c>
      <c r="B839" s="241" t="str">
        <f>HYPERLINK(CONCATENATE($AT$3,BK839,$AU$3),$AV$3)</f>
        <v>S</v>
      </c>
      <c r="C839" s="242" t="str">
        <f>HYPERLINK(CONCATENATE($AT$4,BK839,$AU$4,BL839),$AV$4)</f>
        <v>A</v>
      </c>
      <c r="D839" s="243" t="s">
        <v>5335</v>
      </c>
      <c r="E839" s="244" t="s">
        <v>5185</v>
      </c>
      <c r="F839" s="269" t="s">
        <v>4441</v>
      </c>
      <c r="G839" s="276">
        <v>57</v>
      </c>
      <c r="H839" s="271">
        <v>2300</v>
      </c>
      <c r="I839" s="281">
        <v>40</v>
      </c>
      <c r="J839" s="246">
        <v>2</v>
      </c>
      <c r="K839" s="277" t="s">
        <v>4631</v>
      </c>
      <c r="L839" s="248">
        <v>14824</v>
      </c>
      <c r="M839" s="249">
        <f>15*(LEFT(TEXT($L839,"000000"),2)+(MID(TEXT($L839,"000000"),3,2)/60)+(RIGHT(TEXT($L839,"000000"),2)/3600))</f>
        <v>27.1</v>
      </c>
      <c r="N839" s="250">
        <v>715700</v>
      </c>
      <c r="O839" s="251">
        <f>IF($N839&gt;0,(LEFT(TEXT($N839,"000000"),2)+(MID(TEXT($N839,"000000"),3,2)/60)+(RIGHT(TEXT($N839,"000000"),2)/3600)),-(MID(TEXT($N839,"000000"),2,2)+(MID(TEXT($N839,"000000"),4,2)/60)+(RIGHT(TEXT($N839,"000000"),2)/3600)))</f>
        <v>71.95</v>
      </c>
      <c r="P839" s="252" t="s">
        <v>49</v>
      </c>
      <c r="Q839" s="253" t="s">
        <v>7133</v>
      </c>
      <c r="R839" s="277" t="s">
        <v>3293</v>
      </c>
      <c r="S839" s="272" t="s">
        <v>3293</v>
      </c>
      <c r="T839" s="273">
        <v>5.7</v>
      </c>
      <c r="U839" s="274"/>
      <c r="V839" s="256"/>
      <c r="W839" s="244"/>
      <c r="X839" s="244"/>
      <c r="Y839" s="362"/>
      <c r="Z839" s="257">
        <f>altaz(J2000_Bas,$O839,$M839,DecLat,DecLong,1)</f>
        <v>26.012751762346628</v>
      </c>
      <c r="AA839" s="257">
        <f>altaz((J2000_Bas+(2*0.04167)),$O839,$M839,DecLat,DecLong,1)</f>
        <v>35.176901557982497</v>
      </c>
      <c r="AB839" s="257">
        <f>altaz((J2000_Bas+(4*0.04167)),$O839,$M839,DecLat,DecLong,1)</f>
        <v>43.658052449661099</v>
      </c>
      <c r="AC839" s="257">
        <f>altaz((J2000_Bas+(6*0.04167)),$O839,$M839,DecLat,DecLong,1)</f>
        <v>48.637124311999074</v>
      </c>
      <c r="AD839" s="258">
        <f>1+ transit((J2000_Bas-1),$O839,$M839,DecLat,DecLong)/360 + (GMTOffset/24) + (IF(DST="Y", 1, 0)/24)</f>
        <v>1.068177730879708</v>
      </c>
      <c r="AE839" s="259">
        <f>DATE(2001,9,21)+(M839/360)*365 - (360*((DecLong/360)- (GMTOffset/24) ))</f>
        <v>37187.476388888892</v>
      </c>
      <c r="AF839" s="260">
        <f>IF(DecLat&gt;0,IF((90 - (DecLat-O839))&gt;90, (90 - (O839-DecLat)), (90 - (DecLat-O839))),IF((90 + (DecLat-O839))&gt;90, (90 + (O839-DecLat)), (90 + (DecLat-O839))))</f>
        <v>49.05</v>
      </c>
      <c r="AG839" s="257">
        <f>angularseperation(MoonRA,MoonDec,$M839,$O839)</f>
        <v>129.60145617819913</v>
      </c>
      <c r="AH839" s="261">
        <f ca="1">MIN(100,IF($O$5&gt;80,0+30*($AG839/100),IF($O$5&gt;70,0+50*($AG839/100),IF($O$5&gt;60,5+50*($AG839/100),IF($O$5&gt;50,10+60*($AG839/100),IF($O$5&gt;40,15+70*($AG839/100),IF($O$5&gt;30,20+70*($AG839/100),IF($O$5&gt;20,40+55*($AG839/100),(80+(20-$O$5)+30*($AG839/100))))))))))</f>
        <v>100</v>
      </c>
      <c r="AI839" s="262"/>
      <c r="AJ839" s="262"/>
      <c r="AK839" s="262"/>
      <c r="AL839" s="263"/>
      <c r="AM839" s="264"/>
      <c r="AN839" s="263"/>
      <c r="AO839" s="263"/>
      <c r="AP839" s="265"/>
      <c r="AQ839" s="266"/>
      <c r="AR839" s="267"/>
      <c r="AS839" s="263"/>
      <c r="AT839" s="263"/>
      <c r="AU839" s="263"/>
      <c r="AV839" s="264"/>
      <c r="AW839" s="263"/>
      <c r="AX839" s="263"/>
      <c r="AY839" s="263"/>
      <c r="AZ839" s="263"/>
      <c r="BA839" s="263"/>
      <c r="BB839" s="263"/>
      <c r="BC839" s="263"/>
      <c r="BD839" s="264"/>
      <c r="BE839" s="263"/>
      <c r="BF839" s="263">
        <v>5</v>
      </c>
      <c r="BG839" s="263"/>
      <c r="BH839" s="263"/>
      <c r="BI839" s="263"/>
      <c r="BJ839" s="404">
        <f>altaz(J2000_Bas,$O839,$M839,DecLat,DecLong,2)</f>
        <v>19.774970388791377</v>
      </c>
      <c r="BK839" s="378" t="s">
        <v>934</v>
      </c>
      <c r="BL839" s="379">
        <f>IF((2*G839)/60&lt;0.2,0.2,(2*G839)/60)</f>
        <v>1.9</v>
      </c>
      <c r="BM839" s="380">
        <f>MOD((50000+AD839-$B$3+(0/24)),1)</f>
        <v>0.28354466058226535</v>
      </c>
      <c r="BN839" s="381"/>
      <c r="BO839" s="382">
        <v>837</v>
      </c>
    </row>
    <row r="840" spans="1:67" s="24" customFormat="1" ht="15" customHeight="1" x14ac:dyDescent="0.25">
      <c r="A840" s="288" t="s">
        <v>935</v>
      </c>
      <c r="B840" s="241" t="str">
        <f>HYPERLINK(CONCATENATE($AT$3,BK840,$AU$3),$AV$3)</f>
        <v>S</v>
      </c>
      <c r="C840" s="242" t="str">
        <f>HYPERLINK(CONCATENATE($AT$4,BK840,$AU$4,BL840),$AV$4)</f>
        <v>A</v>
      </c>
      <c r="D840" s="243" t="s">
        <v>5187</v>
      </c>
      <c r="E840" s="244" t="s">
        <v>936</v>
      </c>
      <c r="F840" s="269" t="s">
        <v>9121</v>
      </c>
      <c r="G840" s="270">
        <v>0.2</v>
      </c>
      <c r="H840" s="271">
        <v>12000</v>
      </c>
      <c r="I840" s="308">
        <v>0.7</v>
      </c>
      <c r="J840" s="246">
        <v>2</v>
      </c>
      <c r="K840" s="247" t="s">
        <v>4443</v>
      </c>
      <c r="L840" s="248">
        <v>44254</v>
      </c>
      <c r="M840" s="249">
        <f>15*(LEFT(TEXT($L840,"000000"),2)+(MID(TEXT($L840,"000000"),3,2)/60)+(RIGHT(TEXT($L840,"000000"),2)/3600))</f>
        <v>70.724999999999994</v>
      </c>
      <c r="N840" s="250">
        <v>360700</v>
      </c>
      <c r="O840" s="251">
        <f>IF($N840&gt;0,(LEFT(TEXT($N840,"000000"),2)+(MID(TEXT($N840,"000000"),3,2)/60)+(RIGHT(TEXT($N840,"000000"),2)/3600)),-(MID(TEXT($N840,"000000"),2,2)+(MID(TEXT($N840,"000000"),4,2)/60)+(RIGHT(TEXT($N840,"000000"),2)/3600)))</f>
        <v>36.116666666666667</v>
      </c>
      <c r="P840" s="252" t="s">
        <v>62</v>
      </c>
      <c r="Q840" s="253"/>
      <c r="R840" s="247" t="s">
        <v>3293</v>
      </c>
      <c r="S840" s="272" t="s">
        <v>3293</v>
      </c>
      <c r="T840" s="273">
        <v>18</v>
      </c>
      <c r="U840" s="274"/>
      <c r="V840" s="256"/>
      <c r="W840" s="244"/>
      <c r="X840" s="244"/>
      <c r="Y840" s="362"/>
      <c r="Z840" s="257">
        <f>altaz(J2000_Bas,$O840,$M840,DecLat,DecLong,1)</f>
        <v>-15.170916514690521</v>
      </c>
      <c r="AA840" s="257">
        <f>altaz((J2000_Bas+(2*0.04167)),$O840,$M840,DecLat,DecLong,1)</f>
        <v>0.85467566985397014</v>
      </c>
      <c r="AB840" s="257">
        <f>altaz((J2000_Bas+(4*0.04167)),$O840,$M840,DecLat,DecLong,1)</f>
        <v>21.672796528804625</v>
      </c>
      <c r="AC840" s="257">
        <f>altaz((J2000_Bas+(6*0.04167)),$O840,$M840,DecLat,DecLong,1)</f>
        <v>44.90929423181538</v>
      </c>
      <c r="AD840" s="258">
        <f>1+ transit((J2000_Bas-1),$O840,$M840,DecLat,DecLong)/360 + (GMTOffset/24) + (IF(DST="Y", 1, 0)/24)</f>
        <v>1.189358274317208</v>
      </c>
      <c r="AE840" s="259">
        <f>DATE(2001,9,21)+(M840/360)*365 - (360*((DecLong/360)- (GMTOffset/24) ))</f>
        <v>37231.707291666666</v>
      </c>
      <c r="AF840" s="260">
        <f>IF(DecLat&gt;0,IF((90 - (DecLat-O840))&gt;90, (90 - (O840-DecLat)), (90 - (DecLat-O840))),IF((90 + (DecLat-O840))&gt;90, (90 + (O840-DecLat)), (90 + (DecLat-O840))))</f>
        <v>84.883333333333326</v>
      </c>
      <c r="AG840" s="257">
        <f>angularseperation(MoonRA,MoonDec,$M840,$O840)</f>
        <v>170.87991668523861</v>
      </c>
      <c r="AH840" s="261">
        <f ca="1">MIN(100,IF($O$5&gt;80,0+30*($AG840/100),IF($O$5&gt;70,0+50*($AG840/100),IF($O$5&gt;60,5+50*($AG840/100),IF($O$5&gt;50,10+60*($AG840/100),IF($O$5&gt;40,15+70*($AG840/100),IF($O$5&gt;30,20+70*($AG840/100),IF($O$5&gt;20,40+55*($AG840/100),(80+(20-$O$5)+30*($AG840/100))))))))))</f>
        <v>100</v>
      </c>
      <c r="AI840" s="262"/>
      <c r="AJ840" s="262"/>
      <c r="AK840" s="262"/>
      <c r="AL840" s="263"/>
      <c r="AM840" s="264"/>
      <c r="AN840" s="263"/>
      <c r="AO840" s="263"/>
      <c r="AP840" s="265"/>
      <c r="AQ840" s="266"/>
      <c r="AR840" s="267"/>
      <c r="AS840" s="263"/>
      <c r="AT840" s="263"/>
      <c r="AU840" s="263"/>
      <c r="AV840" s="264"/>
      <c r="AW840" s="263"/>
      <c r="AX840" s="263"/>
      <c r="AY840" s="263"/>
      <c r="AZ840" s="263"/>
      <c r="BA840" s="263"/>
      <c r="BB840" s="263"/>
      <c r="BC840" s="263"/>
      <c r="BD840" s="264"/>
      <c r="BE840" s="263"/>
      <c r="BF840" s="263"/>
      <c r="BG840" s="263"/>
      <c r="BH840" s="263"/>
      <c r="BI840" s="263"/>
      <c r="BJ840" s="404">
        <f>altaz(J2000_Bas,$O840,$M840,DecLat,DecLong,2)</f>
        <v>28.907245544439292</v>
      </c>
      <c r="BK840" s="378" t="s">
        <v>935</v>
      </c>
      <c r="BL840" s="379">
        <f>IF((2*G840)/60&lt;0.2,0.2,(2*G840)/60)</f>
        <v>0.2</v>
      </c>
      <c r="BM840" s="380">
        <f>MOD((50000+AD840-$B$3+(0/24)),1)</f>
        <v>0.40472520401817746</v>
      </c>
      <c r="BN840" s="381"/>
      <c r="BO840" s="382">
        <v>838</v>
      </c>
    </row>
    <row r="841" spans="1:67" s="24" customFormat="1" ht="15" customHeight="1" x14ac:dyDescent="0.25">
      <c r="A841" s="288" t="s">
        <v>3181</v>
      </c>
      <c r="B841" s="241" t="str">
        <f>HYPERLINK(CONCATENATE($AT$3,BK841,$AU$3),$AV$3)</f>
        <v>S</v>
      </c>
      <c r="C841" s="242" t="str">
        <f>HYPERLINK(CONCATENATE($AT$4,BK841,$AU$4,BL841),$AV$4)</f>
        <v>A</v>
      </c>
      <c r="D841" s="243" t="s">
        <v>5187</v>
      </c>
      <c r="E841" s="244" t="s">
        <v>16</v>
      </c>
      <c r="F841" s="269"/>
      <c r="G841" s="276">
        <v>90</v>
      </c>
      <c r="H841" s="271">
        <v>5000</v>
      </c>
      <c r="I841" s="281">
        <v>140</v>
      </c>
      <c r="J841" s="246">
        <v>3</v>
      </c>
      <c r="K841" s="277" t="s">
        <v>9328</v>
      </c>
      <c r="L841" s="248">
        <v>636</v>
      </c>
      <c r="M841" s="249">
        <f>15*(LEFT(TEXT($L841,"000000"),2)+(MID(TEXT($L841,"000000"),3,2)/60)+(RIGHT(TEXT($L841,"000000"),2)/3600))</f>
        <v>1.65</v>
      </c>
      <c r="N841" s="250">
        <v>724700</v>
      </c>
      <c r="O841" s="251">
        <f>IF($N841&gt;0,(LEFT(TEXT($N841,"000000"),2)+(MID(TEXT($N841,"000000"),3,2)/60)+(RIGHT(TEXT($N841,"000000"),2)/3600)),-(MID(TEXT($N841,"000000"),2,2)+(MID(TEXT($N841,"000000"),4,2)/60)+(RIGHT(TEXT($N841,"000000"),2)/3600)))</f>
        <v>72.783333333333331</v>
      </c>
      <c r="P841" s="252" t="s">
        <v>52</v>
      </c>
      <c r="Q841" s="253"/>
      <c r="R841" s="277" t="s">
        <v>3191</v>
      </c>
      <c r="S841" s="272" t="s">
        <v>4444</v>
      </c>
      <c r="T841" s="273"/>
      <c r="U841" s="274"/>
      <c r="V841" s="256"/>
      <c r="W841" s="244"/>
      <c r="X841" s="244"/>
      <c r="Y841" s="362"/>
      <c r="Z841" s="257">
        <f>altaz(J2000_Bas,$O841,$M841,DecLat,DecLong,1)</f>
        <v>33.700533738499338</v>
      </c>
      <c r="AA841" s="257">
        <f>altaz((J2000_Bas+(2*0.04167)),$O841,$M841,DecLat,DecLong,1)</f>
        <v>42.035364447047819</v>
      </c>
      <c r="AB841" s="257">
        <f>altaz((J2000_Bas+(4*0.04167)),$O841,$M841,DecLat,DecLong,1)</f>
        <v>47.431426101135756</v>
      </c>
      <c r="AC841" s="257">
        <f>altaz((J2000_Bas+(6*0.04167)),$O841,$M841,DecLat,DecLong,1)</f>
        <v>47.516374160777993</v>
      </c>
      <c r="AD841" s="258">
        <f>1+ transit((J2000_Bas-1),$O841,$M841,DecLat,DecLong)/360 + (GMTOffset/24) + (IF(DST="Y", 1, 0)/24)</f>
        <v>0.99748329350470788</v>
      </c>
      <c r="AE841" s="259">
        <f>DATE(2001,9,21)+(M841/360)*365 - (360*((DecLong/360)- (GMTOffset/24) ))</f>
        <v>37161.67291666667</v>
      </c>
      <c r="AF841" s="260">
        <f>IF(DecLat&gt;0,IF((90 - (DecLat-O841))&gt;90, (90 - (O841-DecLat)), (90 - (DecLat-O841))),IF((90 + (DecLat-O841))&gt;90, (90 + (O841-DecLat)), (90 + (DecLat-O841))))</f>
        <v>48.216666666666669</v>
      </c>
      <c r="AG841" s="257">
        <f>angularseperation(MoonRA,MoonDec,$M841,$O841)</f>
        <v>122.36791911964424</v>
      </c>
      <c r="AH841" s="261">
        <f ca="1">MIN(100,IF($O$5&gt;80,0+30*($AG841/100),IF($O$5&gt;70,0+50*($AG841/100),IF($O$5&gt;60,5+50*($AG841/100),IF($O$5&gt;50,10+60*($AG841/100),IF($O$5&gt;40,15+70*($AG841/100),IF($O$5&gt;30,20+70*($AG841/100),IF($O$5&gt;20,40+55*($AG841/100),(80+(20-$O$5)+30*($AG841/100))))))))))</f>
        <v>100</v>
      </c>
      <c r="AI841" s="263"/>
      <c r="AJ841" s="263"/>
      <c r="AK841" s="263"/>
      <c r="AL841" s="263"/>
      <c r="AM841" s="264"/>
      <c r="AN841" s="263"/>
      <c r="AO841" s="263"/>
      <c r="AP841" s="265"/>
      <c r="AQ841" s="265"/>
      <c r="AR841" s="285"/>
      <c r="AS841" s="263"/>
      <c r="AT841" s="263"/>
      <c r="AU841" s="263"/>
      <c r="AV841" s="264"/>
      <c r="AW841" s="263"/>
      <c r="AX841" s="263"/>
      <c r="AY841" s="263"/>
      <c r="AZ841" s="263"/>
      <c r="BA841" s="263"/>
      <c r="BB841" s="263"/>
      <c r="BC841" s="268" t="s">
        <v>3182</v>
      </c>
      <c r="BD841" s="264"/>
      <c r="BE841" s="263"/>
      <c r="BF841" s="263"/>
      <c r="BG841" s="263"/>
      <c r="BH841" s="263"/>
      <c r="BI841" s="263">
        <v>4</v>
      </c>
      <c r="BJ841" s="404">
        <f>altaz(J2000_Bas,$O841,$M841,DecLat,DecLong,2)</f>
        <v>20.161644718106881</v>
      </c>
      <c r="BK841" s="378" t="s">
        <v>3181</v>
      </c>
      <c r="BL841" s="379">
        <f>IF((2*G841)/60&lt;0.2,0.2,(2*G841)/60)</f>
        <v>3</v>
      </c>
      <c r="BM841" s="380">
        <f>MOD((50000+AD841-$B$3+(0/24)),1)</f>
        <v>0.21285022320807911</v>
      </c>
      <c r="BN841" s="381"/>
      <c r="BO841" s="382">
        <v>839</v>
      </c>
    </row>
    <row r="842" spans="1:67" s="24" customFormat="1" ht="15" customHeight="1" x14ac:dyDescent="0.25">
      <c r="A842" s="288" t="s">
        <v>938</v>
      </c>
      <c r="B842" s="241" t="str">
        <f>HYPERLINK(CONCATENATE($AT$3,BK842,$AU$3),$AV$3)</f>
        <v>S</v>
      </c>
      <c r="C842" s="242" t="str">
        <f>HYPERLINK(CONCATENATE($AT$4,BK842,$AU$4,BL842),$AV$4)</f>
        <v>A</v>
      </c>
      <c r="D842" s="243" t="s">
        <v>5335</v>
      </c>
      <c r="E842" s="244" t="s">
        <v>31</v>
      </c>
      <c r="F842" s="269"/>
      <c r="G842" s="273">
        <v>3</v>
      </c>
      <c r="H842" s="271">
        <v>500</v>
      </c>
      <c r="I842" s="308">
        <v>0.45</v>
      </c>
      <c r="J842" s="246">
        <v>2</v>
      </c>
      <c r="K842" s="247" t="s">
        <v>5368</v>
      </c>
      <c r="L842" s="248">
        <v>41417</v>
      </c>
      <c r="M842" s="249">
        <f>15*(LEFT(TEXT($L842,"000000"),2)+(MID(TEXT($L842,"000000"),3,2)/60)+(RIGHT(TEXT($L842,"000000"),2)/3600))</f>
        <v>63.570833333333333</v>
      </c>
      <c r="N842" s="286">
        <v>281059</v>
      </c>
      <c r="O842" s="251">
        <f>IF($N842&gt;0,(LEFT(TEXT($N842,"000000"),2)+(MID(TEXT($N842,"000000"),3,2)/60)+(RIGHT(TEXT($N842,"000000"),2)/3600)),-(MID(TEXT($N842,"000000"),2,2)+(MID(TEXT($N842,"000000"),4,2)/60)+(RIGHT(TEXT($N842,"000000"),2)/3600)))</f>
        <v>28.183055555555558</v>
      </c>
      <c r="P842" s="252" t="s">
        <v>56</v>
      </c>
      <c r="Q842" s="253"/>
      <c r="R842" s="247" t="s">
        <v>5360</v>
      </c>
      <c r="S842" s="272" t="s">
        <v>4445</v>
      </c>
      <c r="T842" s="273"/>
      <c r="U842" s="274"/>
      <c r="V842" s="256"/>
      <c r="W842" s="244"/>
      <c r="X842" s="244"/>
      <c r="Y842" s="362"/>
      <c r="Z842" s="257">
        <f>altaz(J2000_Bas,$O842,$M842,DecLat,DecLong,1)</f>
        <v>-18.324928876448009</v>
      </c>
      <c r="AA842" s="257">
        <f>altaz((J2000_Bas+(2*0.04167)),$O842,$M842,DecLat,DecLong,1)</f>
        <v>0.93145987191837798</v>
      </c>
      <c r="AB842" s="257">
        <f>altaz((J2000_Bas+(4*0.04167)),$O842,$M842,DecLat,DecLong,1)</f>
        <v>24.08400450084407</v>
      </c>
      <c r="AC842" s="257">
        <f>altaz((J2000_Bas+(6*0.04167)),$O842,$M842,DecLat,DecLong,1)</f>
        <v>49.067833468871207</v>
      </c>
      <c r="AD842" s="258">
        <f>1+ transit((J2000_Bas-1),$O842,$M842,DecLat,DecLong)/360 + (GMTOffset/24) + (IF(DST="Y", 1, 0)/24)</f>
        <v>1.1694855911192914</v>
      </c>
      <c r="AE842" s="259">
        <f>DATE(2001,9,21)+(M842/360)*365 - (360*((DecLong/360)- (GMTOffset/24) ))</f>
        <v>37224.453761574077</v>
      </c>
      <c r="AF842" s="260">
        <f>IF(DecLat&gt;0,IF((90 - (DecLat-O842))&gt;90, (90 - (O842-DecLat)), (90 - (DecLat-O842))),IF((90 + (DecLat-O842))&gt;90, (90 + (O842-DecLat)), (90 + (DecLat-O842))))</f>
        <v>87.183055555555555</v>
      </c>
      <c r="AG842" s="257">
        <f>angularseperation(MoonRA,MoonDec,$M842,$O842)</f>
        <v>174.85759234705068</v>
      </c>
      <c r="AH842" s="261">
        <f ca="1">MIN(100,IF($O$5&gt;80,0+30*($AG842/100),IF($O$5&gt;70,0+50*($AG842/100),IF($O$5&gt;60,5+50*($AG842/100),IF($O$5&gt;50,10+60*($AG842/100),IF($O$5&gt;40,15+70*($AG842/100),IF($O$5&gt;30,20+70*($AG842/100),IF($O$5&gt;20,40+55*($AG842/100),(80+(20-$O$5)+30*($AG842/100))))))))))</f>
        <v>100</v>
      </c>
      <c r="AI842" s="262"/>
      <c r="AJ842" s="262"/>
      <c r="AK842" s="262"/>
      <c r="AL842" s="263"/>
      <c r="AM842" s="264"/>
      <c r="AN842" s="263"/>
      <c r="AO842" s="263"/>
      <c r="AP842" s="265"/>
      <c r="AQ842" s="266"/>
      <c r="AR842" s="267"/>
      <c r="AS842" s="263"/>
      <c r="AT842" s="263"/>
      <c r="AU842" s="263"/>
      <c r="AV842" s="264"/>
      <c r="AW842" s="263"/>
      <c r="AX842" s="263"/>
      <c r="AY842" s="263"/>
      <c r="AZ842" s="263"/>
      <c r="BA842" s="263"/>
      <c r="BB842" s="263"/>
      <c r="BC842" s="263"/>
      <c r="BD842" s="264"/>
      <c r="BE842" s="263"/>
      <c r="BF842" s="263"/>
      <c r="BG842" s="263"/>
      <c r="BH842" s="263"/>
      <c r="BI842" s="263"/>
      <c r="BJ842" s="404">
        <f>altaz(J2000_Bas,$O842,$M842,DecLat,DecLong,2)</f>
        <v>38.791664656514385</v>
      </c>
      <c r="BK842" s="378" t="s">
        <v>938</v>
      </c>
      <c r="BL842" s="379">
        <f>IF((2*G842)/60&lt;0.2,0.2,(2*G842)/60)</f>
        <v>0.2</v>
      </c>
      <c r="BM842" s="380">
        <f>MOD((50000+AD842-$B$3+(0/24)),1)</f>
        <v>0.38485252082318766</v>
      </c>
      <c r="BN842" s="381"/>
      <c r="BO842" s="382">
        <v>840</v>
      </c>
    </row>
    <row r="843" spans="1:67" s="24" customFormat="1" ht="15" customHeight="1" x14ac:dyDescent="0.25">
      <c r="A843" s="288" t="s">
        <v>939</v>
      </c>
      <c r="B843" s="241" t="str">
        <f>HYPERLINK(CONCATENATE($AT$3,BK843,$AU$3),$AV$3)</f>
        <v>S</v>
      </c>
      <c r="C843" s="242" t="str">
        <f>HYPERLINK(CONCATENATE($AT$4,BK843,$AU$4,BL843),$AV$4)</f>
        <v>A</v>
      </c>
      <c r="D843" s="243" t="s">
        <v>5335</v>
      </c>
      <c r="E843" s="244" t="s">
        <v>8328</v>
      </c>
      <c r="F843" s="269"/>
      <c r="G843" s="270">
        <v>0.05</v>
      </c>
      <c r="H843" s="271" t="s">
        <v>6500</v>
      </c>
      <c r="I843" s="244" t="s">
        <v>6500</v>
      </c>
      <c r="J843" s="246">
        <v>1</v>
      </c>
      <c r="K843" s="247" t="s">
        <v>4601</v>
      </c>
      <c r="L843" s="248">
        <v>195824</v>
      </c>
      <c r="M843" s="249">
        <f>15*(LEFT(TEXT($L843,"000000"),2)+(MID(TEXT($L843,"000000"),3,2)/60)+(RIGHT(TEXT($L843,"000000"),2)/3600))</f>
        <v>299.59999999999997</v>
      </c>
      <c r="N843" s="286">
        <v>351200</v>
      </c>
      <c r="O843" s="251">
        <f>IF($N843&gt;0,(LEFT(TEXT($N843,"000000"),2)+(MID(TEXT($N843,"000000"),3,2)/60)+(RIGHT(TEXT($N843,"000000"),2)/3600)),-(MID(TEXT($N843,"000000"),2,2)+(MID(TEXT($N843,"000000"),4,2)/60)+(RIGHT(TEXT($N843,"000000"),2)/3600)))</f>
        <v>35.200000000000003</v>
      </c>
      <c r="P843" s="252" t="s">
        <v>60</v>
      </c>
      <c r="Q843" s="253"/>
      <c r="R843" s="247" t="s">
        <v>3293</v>
      </c>
      <c r="S843" s="272" t="s">
        <v>3293</v>
      </c>
      <c r="T843" s="273"/>
      <c r="U843" s="274"/>
      <c r="V843" s="256"/>
      <c r="W843" s="244"/>
      <c r="X843" s="244"/>
      <c r="Y843" s="362"/>
      <c r="Z843" s="257">
        <f>altaz(J2000_Bas,$O843,$M843,DecLat,DecLong,1)</f>
        <v>77.872543702682762</v>
      </c>
      <c r="AA843" s="257">
        <f>altaz((J2000_Bas+(2*0.04167)),$O843,$M843,DecLat,DecLong,1)</f>
        <v>75.584331234812964</v>
      </c>
      <c r="AB843" s="257">
        <f>altaz((J2000_Bas+(4*0.04167)),$O843,$M843,DecLat,DecLong,1)</f>
        <v>51.113619465422254</v>
      </c>
      <c r="AC843" s="257">
        <f>altaz((J2000_Bas+(6*0.04167)),$O843,$M843,DecLat,DecLong,1)</f>
        <v>27.292848999246676</v>
      </c>
      <c r="AD843" s="258">
        <f>1+ transit((J2000_Bas-1),$O843,$M843,DecLat,DecLong)/360 + (GMTOffset/24) + (IF(DST="Y", 1, 0)/24)</f>
        <v>1.8251220996297082</v>
      </c>
      <c r="AE843" s="259">
        <f>DATE(2001,9,21)+(M843/360)*365 - (360*((DecLong/360)- (GMTOffset/24) ))</f>
        <v>37463.761111111111</v>
      </c>
      <c r="AF843" s="260">
        <f>IF(DecLat&gt;0,IF((90 - (DecLat-O843))&gt;90, (90 - (O843-DecLat)), (90 - (DecLat-O843))),IF((90 + (DecLat-O843))&gt;90, (90 + (O843-DecLat)), (90 + (DecLat-O843))))</f>
        <v>85.8</v>
      </c>
      <c r="AG843" s="257">
        <f>angularseperation(MoonRA,MoonDec,$M843,$O843)</f>
        <v>78.362990881133342</v>
      </c>
      <c r="AH843" s="261">
        <f ca="1">MIN(100,IF($O$5&gt;80,0+30*($AG843/100),IF($O$5&gt;70,0+50*($AG843/100),IF($O$5&gt;60,5+50*($AG843/100),IF($O$5&gt;50,10+60*($AG843/100),IF($O$5&gt;40,15+70*($AG843/100),IF($O$5&gt;30,20+70*($AG843/100),IF($O$5&gt;20,40+55*($AG843/100),(80+(20-$O$5)+30*($AG843/100))))))))))</f>
        <v>100</v>
      </c>
      <c r="AI843" s="262"/>
      <c r="AJ843" s="262"/>
      <c r="AK843" s="262"/>
      <c r="AL843" s="263"/>
      <c r="AM843" s="264"/>
      <c r="AN843" s="263"/>
      <c r="AO843" s="263"/>
      <c r="AP843" s="265"/>
      <c r="AQ843" s="266"/>
      <c r="AR843" s="267"/>
      <c r="AS843" s="263"/>
      <c r="AT843" s="263"/>
      <c r="AU843" s="263"/>
      <c r="AV843" s="264"/>
      <c r="AW843" s="263"/>
      <c r="AX843" s="263"/>
      <c r="AY843" s="263"/>
      <c r="AZ843" s="263"/>
      <c r="BA843" s="263"/>
      <c r="BB843" s="263"/>
      <c r="BC843" s="263"/>
      <c r="BD843" s="264"/>
      <c r="BE843" s="263"/>
      <c r="BF843" s="263">
        <v>93</v>
      </c>
      <c r="BG843" s="263"/>
      <c r="BH843" s="263"/>
      <c r="BI843" s="263"/>
      <c r="BJ843" s="404">
        <f>altaz(J2000_Bas,$O843,$M843,DecLat,DecLong,2)</f>
        <v>66.12411398854924</v>
      </c>
      <c r="BK843" s="378" t="s">
        <v>939</v>
      </c>
      <c r="BL843" s="379">
        <f>IF((2*G843)/60&lt;0.2,0.2,(2*G843)/60)</f>
        <v>0.2</v>
      </c>
      <c r="BM843" s="380">
        <f>MOD((50000+AD843-$B$3+(0/24)),1)</f>
        <v>4.0489029335731175E-2</v>
      </c>
      <c r="BN843" s="381"/>
      <c r="BO843" s="382">
        <v>841</v>
      </c>
    </row>
    <row r="844" spans="1:67" s="24" customFormat="1" ht="15" customHeight="1" x14ac:dyDescent="0.25">
      <c r="A844" s="288" t="s">
        <v>940</v>
      </c>
      <c r="B844" s="306"/>
      <c r="C844" s="242" t="str">
        <f>HYPERLINK(CONCATENATE($AT$4,BK844,$AU$4,BL844),$AV$4)</f>
        <v>A</v>
      </c>
      <c r="D844" s="243" t="s">
        <v>5335</v>
      </c>
      <c r="E844" s="244" t="s">
        <v>5185</v>
      </c>
      <c r="F844" s="269" t="s">
        <v>9063</v>
      </c>
      <c r="G844" s="276">
        <v>20</v>
      </c>
      <c r="H844" s="271" t="s">
        <v>6500</v>
      </c>
      <c r="I844" s="244" t="s">
        <v>6500</v>
      </c>
      <c r="J844" s="246">
        <v>2</v>
      </c>
      <c r="K844" s="247" t="s">
        <v>4446</v>
      </c>
      <c r="L844" s="248">
        <v>200400</v>
      </c>
      <c r="M844" s="249">
        <f>15*(LEFT(TEXT($L844,"000000"),2)+(MID(TEXT($L844,"000000"),3,2)/60)+(RIGHT(TEXT($L844,"000000"),2)/3600))</f>
        <v>301</v>
      </c>
      <c r="N844" s="250">
        <v>381000</v>
      </c>
      <c r="O844" s="251">
        <f>IF($N844&gt;0,(LEFT(TEXT($N844,"000000"),2)+(MID(TEXT($N844,"000000"),3,2)/60)+(RIGHT(TEXT($N844,"000000"),2)/3600)),-(MID(TEXT($N844,"000000"),2,2)+(MID(TEXT($N844,"000000"),4,2)/60)+(RIGHT(TEXT($N844,"000000"),2)/3600)))</f>
        <v>38.166666666666664</v>
      </c>
      <c r="P844" s="252" t="s">
        <v>60</v>
      </c>
      <c r="Q844" s="253" t="s">
        <v>6926</v>
      </c>
      <c r="R844" s="247" t="s">
        <v>3293</v>
      </c>
      <c r="S844" s="272" t="s">
        <v>3293</v>
      </c>
      <c r="T844" s="273"/>
      <c r="U844" s="274"/>
      <c r="V844" s="256"/>
      <c r="W844" s="244"/>
      <c r="X844" s="244"/>
      <c r="Y844" s="362"/>
      <c r="Z844" s="257">
        <f>altaz(J2000_Bas,$O844,$M844,DecLat,DecLong,1)</f>
        <v>75.75030246174353</v>
      </c>
      <c r="AA844" s="257">
        <f>altaz((J2000_Bas+(2*0.04167)),$O844,$M844,DecLat,DecLong,1)</f>
        <v>75.686634938571061</v>
      </c>
      <c r="AB844" s="257">
        <f>altaz((J2000_Bas+(4*0.04167)),$O844,$M844,DecLat,DecLong,1)</f>
        <v>52.501644552045569</v>
      </c>
      <c r="AC844" s="257">
        <f>altaz((J2000_Bas+(6*0.04167)),$O844,$M844,DecLat,DecLong,1)</f>
        <v>29.326009109854493</v>
      </c>
      <c r="AD844" s="258">
        <f>1+ transit((J2000_Bas-1),$O844,$M844,DecLat,DecLong)/360 + (GMTOffset/24) + (IF(DST="Y", 1, 0)/24)</f>
        <v>1.8290109881297079</v>
      </c>
      <c r="AE844" s="259">
        <f>DATE(2001,9,21)+(M844/360)*365 - (360*((DecLong/360)- (GMTOffset/24) ))</f>
        <v>37465.180555555555</v>
      </c>
      <c r="AF844" s="260">
        <f>IF(DecLat&gt;0,IF((90 - (DecLat-O844))&gt;90, (90 - (O844-DecLat)), (90 - (DecLat-O844))),IF((90 + (DecLat-O844))&gt;90, (90 + (O844-DecLat)), (90 + (DecLat-O844))))</f>
        <v>82.833333333333343</v>
      </c>
      <c r="AG844" s="257">
        <f>angularseperation(MoonRA,MoonDec,$M844,$O844)</f>
        <v>81.260858464989568</v>
      </c>
      <c r="AH844" s="261">
        <f ca="1">MIN(100,IF($O$5&gt;80,0+30*($AG844/100),IF($O$5&gt;70,0+50*($AG844/100),IF($O$5&gt;60,5+50*($AG844/100),IF($O$5&gt;50,10+60*($AG844/100),IF($O$5&gt;40,15+70*($AG844/100),IF($O$5&gt;30,20+70*($AG844/100),IF($O$5&gt;20,40+55*($AG844/100),(80+(20-$O$5)+30*($AG844/100))))))))))</f>
        <v>100</v>
      </c>
      <c r="AI844" s="262"/>
      <c r="AJ844" s="262"/>
      <c r="AK844" s="262"/>
      <c r="AL844" s="263"/>
      <c r="AM844" s="264"/>
      <c r="AN844" s="263"/>
      <c r="AO844" s="263"/>
      <c r="AP844" s="265"/>
      <c r="AQ844" s="266"/>
      <c r="AR844" s="267"/>
      <c r="AS844" s="263"/>
      <c r="AT844" s="263"/>
      <c r="AU844" s="263"/>
      <c r="AV844" s="264"/>
      <c r="AW844" s="263"/>
      <c r="AX844" s="263"/>
      <c r="AY844" s="263"/>
      <c r="AZ844" s="263"/>
      <c r="BA844" s="263"/>
      <c r="BB844" s="263"/>
      <c r="BC844" s="263"/>
      <c r="BD844" s="264"/>
      <c r="BE844" s="263"/>
      <c r="BF844" s="263"/>
      <c r="BG844" s="263"/>
      <c r="BH844" s="263"/>
      <c r="BI844" s="263"/>
      <c r="BJ844" s="404">
        <f>altaz(J2000_Bas,$O844,$M844,DecLat,DecLong,2)</f>
        <v>55.745630374639347</v>
      </c>
      <c r="BK844" s="378" t="s">
        <v>6481</v>
      </c>
      <c r="BL844" s="379">
        <f>IF((2*G844)/60&lt;0.2,0.2,(2*G844)/60)</f>
        <v>0.66666666666666663</v>
      </c>
      <c r="BM844" s="380">
        <f>MOD((50000+AD844-$B$3+(0/24)),1)</f>
        <v>4.4377917831297964E-2</v>
      </c>
      <c r="BN844" s="381"/>
      <c r="BO844" s="382">
        <v>842</v>
      </c>
    </row>
    <row r="845" spans="1:67" s="24" customFormat="1" ht="15" customHeight="1" x14ac:dyDescent="0.25">
      <c r="A845" s="288" t="s">
        <v>941</v>
      </c>
      <c r="B845" s="306"/>
      <c r="C845" s="242" t="str">
        <f>HYPERLINK(CONCATENATE($AT$4,BK845,$AU$4,BL845),$AV$4)</f>
        <v>A</v>
      </c>
      <c r="D845" s="243" t="s">
        <v>5335</v>
      </c>
      <c r="E845" s="244" t="s">
        <v>5185</v>
      </c>
      <c r="F845" s="269" t="s">
        <v>9064</v>
      </c>
      <c r="G845" s="276">
        <v>12</v>
      </c>
      <c r="H845" s="271" t="s">
        <v>6500</v>
      </c>
      <c r="I845" s="244" t="s">
        <v>6500</v>
      </c>
      <c r="J845" s="246">
        <v>3</v>
      </c>
      <c r="K845" s="247" t="s">
        <v>4628</v>
      </c>
      <c r="L845" s="248">
        <v>200518</v>
      </c>
      <c r="M845" s="249">
        <f>15*(LEFT(TEXT($L845,"000000"),2)+(MID(TEXT($L845,"000000"),3,2)/60)+(RIGHT(TEXT($L845,"000000"),2)/3600))</f>
        <v>301.32499999999999</v>
      </c>
      <c r="N845" s="250">
        <v>473200</v>
      </c>
      <c r="O845" s="251">
        <f>IF($N845&gt;0,(LEFT(TEXT($N845,"000000"),2)+(MID(TEXT($N845,"000000"),3,2)/60)+(RIGHT(TEXT($N845,"000000"),2)/3600)),-(MID(TEXT($N845,"000000"),2,2)+(MID(TEXT($N845,"000000"),4,2)/60)+(RIGHT(TEXT($N845,"000000"),2)/3600)))</f>
        <v>47.533333333333331</v>
      </c>
      <c r="P845" s="252" t="s">
        <v>60</v>
      </c>
      <c r="Q845" s="253" t="s">
        <v>941</v>
      </c>
      <c r="R845" s="247" t="s">
        <v>3293</v>
      </c>
      <c r="S845" s="272" t="s">
        <v>3293</v>
      </c>
      <c r="T845" s="273"/>
      <c r="U845" s="274"/>
      <c r="V845" s="256"/>
      <c r="W845" s="244"/>
      <c r="X845" s="244"/>
      <c r="Y845" s="362"/>
      <c r="Z845" s="257">
        <f>altaz(J2000_Bas,$O845,$M845,DecLat,DecLong,1)</f>
        <v>69.732093637925658</v>
      </c>
      <c r="AA845" s="257">
        <f>altaz((J2000_Bas+(2*0.04167)),$O845,$M845,DecLat,DecLong,1)</f>
        <v>69.976398225160494</v>
      </c>
      <c r="AB845" s="257">
        <f>altaz((J2000_Bas+(4*0.04167)),$O845,$M845,DecLat,DecLong,1)</f>
        <v>52.208201210003729</v>
      </c>
      <c r="AC845" s="257">
        <f>altaz((J2000_Bas+(6*0.04167)),$O845,$M845,DecLat,DecLong,1)</f>
        <v>32.031415016649014</v>
      </c>
      <c r="AD845" s="258">
        <f>1+ transit((J2000_Bas-1),$O845,$M845,DecLat,DecLong)/360 + (GMTOffset/24) + (IF(DST="Y", 1, 0)/24)</f>
        <v>1.829913765817208</v>
      </c>
      <c r="AE845" s="259">
        <f>DATE(2001,9,21)+(M845/360)*365 - (360*((DecLong/360)- (GMTOffset/24) ))</f>
        <v>37465.510069444441</v>
      </c>
      <c r="AF845" s="260">
        <f>IF(DecLat&gt;0,IF((90 - (DecLat-O845))&gt;90, (90 - (O845-DecLat)), (90 - (DecLat-O845))),IF((90 + (DecLat-O845))&gt;90, (90 + (O845-DecLat)), (90 + (DecLat-O845))))</f>
        <v>73.466666666666669</v>
      </c>
      <c r="AG845" s="257">
        <f>angularseperation(MoonRA,MoonDec,$M845,$O845)</f>
        <v>88.077879664653295</v>
      </c>
      <c r="AH845" s="261">
        <f ca="1">MIN(100,IF($O$5&gt;80,0+30*($AG845/100),IF($O$5&gt;70,0+50*($AG845/100),IF($O$5&gt;60,5+50*($AG845/100),IF($O$5&gt;50,10+60*($AG845/100),IF($O$5&gt;40,15+70*($AG845/100),IF($O$5&gt;30,20+70*($AG845/100),IF($O$5&gt;20,40+55*($AG845/100),(80+(20-$O$5)+30*($AG845/100))))))))))</f>
        <v>100</v>
      </c>
      <c r="AI845" s="262"/>
      <c r="AJ845" s="262"/>
      <c r="AK845" s="262"/>
      <c r="AL845" s="263"/>
      <c r="AM845" s="264"/>
      <c r="AN845" s="263"/>
      <c r="AO845" s="263"/>
      <c r="AP845" s="265"/>
      <c r="AQ845" s="266"/>
      <c r="AR845" s="267"/>
      <c r="AS845" s="263"/>
      <c r="AT845" s="263"/>
      <c r="AU845" s="263"/>
      <c r="AV845" s="264"/>
      <c r="AW845" s="263"/>
      <c r="AX845" s="263"/>
      <c r="AY845" s="263"/>
      <c r="AZ845" s="263"/>
      <c r="BA845" s="263"/>
      <c r="BB845" s="263"/>
      <c r="BC845" s="263"/>
      <c r="BD845" s="264"/>
      <c r="BE845" s="263"/>
      <c r="BF845" s="263">
        <v>94</v>
      </c>
      <c r="BG845" s="263"/>
      <c r="BH845" s="263"/>
      <c r="BI845" s="263"/>
      <c r="BJ845" s="404">
        <f>altaz(J2000_Bas,$O845,$M845,DecLat,DecLong,2)</f>
        <v>30.999353435422254</v>
      </c>
      <c r="BK845" s="378" t="s">
        <v>6482</v>
      </c>
      <c r="BL845" s="379">
        <f>IF((2*G845)/60&lt;0.2,0.2,(2*G845)/60)</f>
        <v>0.4</v>
      </c>
      <c r="BM845" s="380">
        <f>MOD((50000+AD845-$B$3+(0/24)),1)</f>
        <v>4.5280695521796588E-2</v>
      </c>
      <c r="BN845" s="381"/>
      <c r="BO845" s="382">
        <v>843</v>
      </c>
    </row>
    <row r="846" spans="1:67" s="24" customFormat="1" ht="15" customHeight="1" x14ac:dyDescent="0.25">
      <c r="A846" s="288" t="s">
        <v>942</v>
      </c>
      <c r="B846" s="241" t="str">
        <f>HYPERLINK(CONCATENATE($AT$3,BK846,$AU$3),$AV$3)</f>
        <v>S</v>
      </c>
      <c r="C846" s="242" t="str">
        <f>HYPERLINK(CONCATENATE($AT$4,BK846,$AU$4,BL846),$AV$4)</f>
        <v>A</v>
      </c>
      <c r="D846" s="243" t="s">
        <v>5187</v>
      </c>
      <c r="E846" s="244" t="s">
        <v>16</v>
      </c>
      <c r="F846" s="269"/>
      <c r="G846" s="276">
        <v>180</v>
      </c>
      <c r="H846" s="271">
        <v>1500</v>
      </c>
      <c r="I846" s="281">
        <v>80</v>
      </c>
      <c r="J846" s="246">
        <v>5</v>
      </c>
      <c r="K846" s="247" t="s">
        <v>4663</v>
      </c>
      <c r="L846" s="248">
        <v>205121</v>
      </c>
      <c r="M846" s="249">
        <f>15*(LEFT(TEXT($L846,"000000"),2)+(MID(TEXT($L846,"000000"),3,2)/60)+(RIGHT(TEXT($L846,"000000"),2)/3600))</f>
        <v>312.83749999999998</v>
      </c>
      <c r="N846" s="250">
        <v>311000</v>
      </c>
      <c r="O846" s="251">
        <f>IF($N846&gt;0,(LEFT(TEXT($N846,"000000"),2)+(MID(TEXT($N846,"000000"),3,2)/60)+(RIGHT(TEXT($N846,"000000"),2)/3600)),-(MID(TEXT($N846,"000000"),2,2)+(MID(TEXT($N846,"000000"),4,2)/60)+(RIGHT(TEXT($N846,"000000"),2)/3600)))</f>
        <v>31.166666666666668</v>
      </c>
      <c r="P846" s="252" t="s">
        <v>60</v>
      </c>
      <c r="Q846" s="253" t="s">
        <v>942</v>
      </c>
      <c r="R846" s="247" t="s">
        <v>3293</v>
      </c>
      <c r="S846" s="272" t="s">
        <v>3293</v>
      </c>
      <c r="T846" s="273"/>
      <c r="U846" s="274"/>
      <c r="V846" s="256"/>
      <c r="W846" s="244"/>
      <c r="X846" s="244"/>
      <c r="Y846" s="362"/>
      <c r="Z846" s="257">
        <f>altaz(J2000_Bas,$O846,$M846,DecLat,DecLong,1)</f>
        <v>67.074422193872749</v>
      </c>
      <c r="AA846" s="257">
        <f>altaz((J2000_Bas+(2*0.04167)),$O846,$M846,DecLat,DecLong,1)</f>
        <v>87.212040995987834</v>
      </c>
      <c r="AB846" s="257">
        <f>altaz((J2000_Bas+(4*0.04167)),$O846,$M846,DecLat,DecLong,1)</f>
        <v>61.561449132525645</v>
      </c>
      <c r="AC846" s="257">
        <f>altaz((J2000_Bas+(6*0.04167)),$O846,$M846,DecLat,DecLong,1)</f>
        <v>36.494155205242848</v>
      </c>
      <c r="AD846" s="258">
        <f>1+ transit((J2000_Bas-1),$O846,$M846,DecLat,DecLong)/360 + (GMTOffset/24) + (IF(DST="Y", 1, 0)/24)</f>
        <v>1.8618929292859583</v>
      </c>
      <c r="AE846" s="259">
        <f>DATE(2001,9,21)+(M846/360)*365 - (360*((DecLong/360)- (GMTOffset/24) ))</f>
        <v>37477.18246527778</v>
      </c>
      <c r="AF846" s="260">
        <f>IF(DecLat&gt;0,IF((90 - (DecLat-O846))&gt;90, (90 - (O846-DecLat)), (90 - (DecLat-O846))),IF((90 + (DecLat-O846))&gt;90, (90 + (O846-DecLat)), (90 + (DecLat-O846))))</f>
        <v>89.833333333333329</v>
      </c>
      <c r="AG846" s="257">
        <f>angularseperation(MoonRA,MoonDec,$M846,$O846)</f>
        <v>84.078822459025886</v>
      </c>
      <c r="AH846" s="261">
        <f ca="1">MIN(100,IF($O$5&gt;80,0+30*($AG846/100),IF($O$5&gt;70,0+50*($AG846/100),IF($O$5&gt;60,5+50*($AG846/100),IF($O$5&gt;50,10+60*($AG846/100),IF($O$5&gt;40,15+70*($AG846/100),IF($O$5&gt;30,20+70*($AG846/100),IF($O$5&gt;20,40+55*($AG846/100),(80+(20-$O$5)+30*($AG846/100))))))))))</f>
        <v>100</v>
      </c>
      <c r="AI846" s="262"/>
      <c r="AJ846" s="262"/>
      <c r="AK846" s="262"/>
      <c r="AL846" s="263"/>
      <c r="AM846" s="264"/>
      <c r="AN846" s="263"/>
      <c r="AO846" s="263"/>
      <c r="AP846" s="265"/>
      <c r="AQ846" s="266"/>
      <c r="AR846" s="267"/>
      <c r="AS846" s="263"/>
      <c r="AT846" s="263"/>
      <c r="AU846" s="263"/>
      <c r="AV846" s="264"/>
      <c r="AW846" s="263"/>
      <c r="AX846" s="263"/>
      <c r="AY846" s="263"/>
      <c r="AZ846" s="263"/>
      <c r="BA846" s="263"/>
      <c r="BB846" s="263">
        <v>103</v>
      </c>
      <c r="BC846" s="361" t="s">
        <v>3065</v>
      </c>
      <c r="BD846" s="264"/>
      <c r="BE846" s="263"/>
      <c r="BF846" s="263"/>
      <c r="BG846" s="263">
        <v>95</v>
      </c>
      <c r="BH846" s="263"/>
      <c r="BI846" s="263"/>
      <c r="BJ846" s="404">
        <f>altaz(J2000_Bas,$O846,$M846,DecLat,DecLong,2)</f>
        <v>82.570787993851724</v>
      </c>
      <c r="BK846" s="378" t="s">
        <v>942</v>
      </c>
      <c r="BL846" s="379">
        <f>IF((2*G846)/60&lt;0.2,0.2,(2*G846)/60)</f>
        <v>6</v>
      </c>
      <c r="BM846" s="380">
        <f>MOD((50000+AD846-$B$3+(0/24)),1)</f>
        <v>7.7259858990146313E-2</v>
      </c>
      <c r="BN846" s="381"/>
      <c r="BO846" s="382">
        <v>844</v>
      </c>
    </row>
    <row r="847" spans="1:67" s="24" customFormat="1" ht="15" customHeight="1" x14ac:dyDescent="0.25">
      <c r="A847" s="287" t="s">
        <v>5478</v>
      </c>
      <c r="B847" s="241" t="str">
        <f>HYPERLINK(CONCATENATE($AT$3,BK847,$AU$3),$AV$3)</f>
        <v>S</v>
      </c>
      <c r="C847" s="242" t="str">
        <f>HYPERLINK(CONCATENATE($AT$4,BK847,$AU$4,BL847),$AV$4)</f>
        <v>A</v>
      </c>
      <c r="D847" s="243" t="s">
        <v>5187</v>
      </c>
      <c r="E847" s="244" t="s">
        <v>5179</v>
      </c>
      <c r="F847" s="269"/>
      <c r="G847" s="276">
        <v>180</v>
      </c>
      <c r="H847" s="271" t="s">
        <v>6500</v>
      </c>
      <c r="I847" s="244" t="s">
        <v>6500</v>
      </c>
      <c r="J847" s="246">
        <v>5</v>
      </c>
      <c r="K847" s="247" t="s">
        <v>8539</v>
      </c>
      <c r="L847" s="248">
        <v>122850</v>
      </c>
      <c r="M847" s="249">
        <f>15*(LEFT(TEXT($L847,"000000"),2)+(MID(TEXT($L847,"000000"),3,2)/60)+(RIGHT(TEXT($L847,"000000"),2)/3600))</f>
        <v>187.20833333333334</v>
      </c>
      <c r="N847" s="250">
        <v>-712200</v>
      </c>
      <c r="O847" s="251">
        <f>IF($N847&gt;0,(LEFT(TEXT($N847,"000000"),2)+(MID(TEXT($N847,"000000"),3,2)/60)+(RIGHT(TEXT($N847,"000000"),2)/3600)),-(MID(TEXT($N847,"000000"),2,2)+(MID(TEXT($N847,"000000"),4,2)/60)+(RIGHT(TEXT($N847,"000000"),2)/3600)))</f>
        <v>-71.36666666666666</v>
      </c>
      <c r="P847" s="252" t="s">
        <v>1964</v>
      </c>
      <c r="Q847" s="253"/>
      <c r="R847" s="277" t="s">
        <v>5479</v>
      </c>
      <c r="S847" s="272" t="s">
        <v>3293</v>
      </c>
      <c r="T847" s="273"/>
      <c r="U847" s="274"/>
      <c r="V847" s="280"/>
      <c r="W847" s="244"/>
      <c r="X847" s="244"/>
      <c r="Y847" s="362"/>
      <c r="Z847" s="257">
        <f>altaz(J2000_Bas,$O847,$M847,DecLat,DecLong,1)</f>
        <v>-31.999580952988698</v>
      </c>
      <c r="AA847" s="257">
        <f>altaz((J2000_Bas+(2*0.04167)),$O847,$M847,DecLat,DecLong,1)</f>
        <v>-41.295695776237096</v>
      </c>
      <c r="AB847" s="257">
        <f>altaz((J2000_Bas+(4*0.04167)),$O847,$M847,DecLat,DecLong,1)</f>
        <v>-48.044291246561279</v>
      </c>
      <c r="AC847" s="257">
        <f>altaz((J2000_Bas+(6*0.04167)),$O847,$M847,DecLat,DecLong,1)</f>
        <v>-49.332795314427457</v>
      </c>
      <c r="AD847" s="258">
        <f>1+ transit((J2000_Bas-1),$O847,$M847,DecLat,DecLong)/360 + (GMTOffset/24) + (IF(DST="Y", 1, 0)/24)</f>
        <v>1.5129230567755412</v>
      </c>
      <c r="AE847" s="259">
        <f>DATE(2001,9,21)+(M847/360)*365 - (360*((DecLong/360)- (GMTOffset/24) ))</f>
        <v>37349.808449074073</v>
      </c>
      <c r="AF847" s="260">
        <f>IF(DecLat&gt;0,IF((90 - (DecLat-O847))&gt;90, (90 - (O847-DecLat)), (90 - (DecLat-O847))),IF((90 + (DecLat-O847))&gt;90, (90 + (O847-DecLat)), (90 + (DecLat-O847))))</f>
        <v>-12.36666666666666</v>
      </c>
      <c r="AG847" s="257">
        <f>angularseperation(MoonRA,MoonDec,$M847,$O847)</f>
        <v>55.609030326540996</v>
      </c>
      <c r="AH847" s="261">
        <f ca="1">MIN(100,IF($O$5&gt;80,0+30*($AG847/100),IF($O$5&gt;70,0+50*($AG847/100),IF($O$5&gt;60,5+50*($AG847/100),IF($O$5&gt;50,10+60*($AG847/100),IF($O$5&gt;40,15+70*($AG847/100),IF($O$5&gt;30,20+70*($AG847/100),IF($O$5&gt;20,40+55*($AG847/100),(80+(20-$O$5)+30*($AG847/100))))))))))</f>
        <v>99.95376944211273</v>
      </c>
      <c r="AI847" s="263"/>
      <c r="AJ847" s="263"/>
      <c r="AK847" s="263"/>
      <c r="AL847" s="263"/>
      <c r="AM847" s="264"/>
      <c r="AN847" s="263"/>
      <c r="AO847" s="263"/>
      <c r="AP847" s="265"/>
      <c r="AQ847" s="265"/>
      <c r="AR847" s="285"/>
      <c r="AS847" s="263"/>
      <c r="AT847" s="263"/>
      <c r="AU847" s="263"/>
      <c r="AV847" s="264"/>
      <c r="AW847" s="263"/>
      <c r="AX847" s="263"/>
      <c r="AY847" s="263"/>
      <c r="AZ847" s="263"/>
      <c r="BA847" s="263"/>
      <c r="BB847" s="263"/>
      <c r="BC847" s="263"/>
      <c r="BD847" s="264"/>
      <c r="BE847" s="263"/>
      <c r="BF847" s="263"/>
      <c r="BG847" s="263"/>
      <c r="BH847" s="263"/>
      <c r="BI847" s="263"/>
      <c r="BJ847" s="404">
        <f>altaz(J2000_Bas,$O847,$M847,DecLat,DecLong,2)</f>
        <v>201.85932545256512</v>
      </c>
      <c r="BK847" s="378" t="s">
        <v>5479</v>
      </c>
      <c r="BL847" s="379">
        <f>IF((2*G847)/60&lt;0.2,0.2,(2*G847)/60)</f>
        <v>6</v>
      </c>
      <c r="BM847" s="380">
        <f>MOD((50000+AD847-$B$3+(0/24)),1)</f>
        <v>0.72828998648037668</v>
      </c>
      <c r="BN847" s="381"/>
      <c r="BO847" s="382">
        <v>845</v>
      </c>
    </row>
    <row r="848" spans="1:67" s="24" customFormat="1" ht="15" customHeight="1" x14ac:dyDescent="0.25">
      <c r="A848" s="288" t="s">
        <v>943</v>
      </c>
      <c r="B848" s="241"/>
      <c r="C848" s="242"/>
      <c r="D848" s="243" t="s">
        <v>5187</v>
      </c>
      <c r="E848" s="244" t="s">
        <v>5183</v>
      </c>
      <c r="F848" s="269" t="s">
        <v>5180</v>
      </c>
      <c r="G848" s="276">
        <v>30</v>
      </c>
      <c r="H848" s="271">
        <v>5000</v>
      </c>
      <c r="I848" s="281">
        <v>44</v>
      </c>
      <c r="J848" s="246">
        <v>3</v>
      </c>
      <c r="K848" s="247" t="s">
        <v>9368</v>
      </c>
      <c r="L848" s="248">
        <v>164558</v>
      </c>
      <c r="M848" s="249">
        <f>15*(LEFT(TEXT($L848,"000000"),2)+(MID(TEXT($L848,"000000"),3,2)/60)+(RIGHT(TEXT($L848,"000000"),2)/3600))</f>
        <v>251.49166666666667</v>
      </c>
      <c r="N848" s="250">
        <v>-411505</v>
      </c>
      <c r="O848" s="251">
        <f>IF($N848&gt;0,(LEFT(TEXT($N848,"000000"),2)+(MID(TEXT($N848,"000000"),3,2)/60)+(RIGHT(TEXT($N848,"000000"),2)/3600)),-(MID(TEXT($N848,"000000"),2,2)+(MID(TEXT($N848,"000000"),4,2)/60)+(RIGHT(TEXT($N848,"000000"),2)/3600)))</f>
        <v>-41.25138888888889</v>
      </c>
      <c r="P848" s="252" t="s">
        <v>109</v>
      </c>
      <c r="Q848" s="253"/>
      <c r="R848" s="247"/>
      <c r="S848" s="272" t="s">
        <v>2172</v>
      </c>
      <c r="T848" s="273"/>
      <c r="U848" s="274"/>
      <c r="V848" s="256"/>
      <c r="W848" s="244"/>
      <c r="X848" s="244"/>
      <c r="Y848" s="362"/>
      <c r="Z848" s="257">
        <f>altaz(J2000_Bas,$O848,$M848,DecLat,DecLong,1)</f>
        <v>11.036334953286229</v>
      </c>
      <c r="AA848" s="257">
        <f>altaz((J2000_Bas+(2*0.04167)),$O848,$M848,DecLat,DecLong,1)</f>
        <v>-3.619458778844459</v>
      </c>
      <c r="AB848" s="257">
        <f>altaz((J2000_Bas+(4*0.04167)),$O848,$M848,DecLat,DecLong,1)</f>
        <v>-23.090106387915231</v>
      </c>
      <c r="AC848" s="257">
        <f>altaz((J2000_Bas+(6*0.04167)),$O848,$M848,DecLat,DecLong,1)</f>
        <v>-44.996246274053838</v>
      </c>
      <c r="AD848" s="258">
        <f>1+ transit((J2000_Bas-1),$O848,$M848,DecLat,DecLong)/360 + (GMTOffset/24) + (IF(DST="Y", 1, 0)/24)</f>
        <v>1.6914878537338747</v>
      </c>
      <c r="AE848" s="259">
        <f>DATE(2001,9,21)+(M848/360)*365 - (360*((DecLong/360)- (GMTOffset/24) ))</f>
        <v>37414.984606481485</v>
      </c>
      <c r="AF848" s="260">
        <f>IF(DecLat&gt;0,IF((90 - (DecLat-O848))&gt;90, (90 - (O848-DecLat)), (90 - (DecLat-O848))),IF((90 + (DecLat-O848))&gt;90, (90 + (O848-DecLat)), (90 + (DecLat-O848))))</f>
        <v>17.748611111111103</v>
      </c>
      <c r="AG848" s="257">
        <f>angularseperation(MoonRA,MoonDec,$M848,$O848)</f>
        <v>14.287578098300589</v>
      </c>
      <c r="AH848" s="261">
        <f ca="1">MIN(100,IF($O$5&gt;80,0+30*($AG848/100),IF($O$5&gt;70,0+50*($AG848/100),IF($O$5&gt;60,5+50*($AG848/100),IF($O$5&gt;50,10+60*($AG848/100),IF($O$5&gt;40,15+70*($AG848/100),IF($O$5&gt;30,20+70*($AG848/100),IF($O$5&gt;20,40+55*($AG848/100),(80+(20-$O$5)+30*($AG848/100))))))))))</f>
        <v>87.557333773640607</v>
      </c>
      <c r="AI848" s="262"/>
      <c r="AJ848" s="262"/>
      <c r="AK848" s="262"/>
      <c r="AL848" s="263"/>
      <c r="AM848" s="264"/>
      <c r="AN848" s="263"/>
      <c r="AO848" s="263"/>
      <c r="AP848" s="265"/>
      <c r="AQ848" s="266"/>
      <c r="AR848" s="267"/>
      <c r="AS848" s="263"/>
      <c r="AT848" s="263"/>
      <c r="AU848" s="263"/>
      <c r="AV848" s="264"/>
      <c r="AW848" s="263"/>
      <c r="AX848" s="263"/>
      <c r="AY848" s="263"/>
      <c r="AZ848" s="263"/>
      <c r="BA848" s="263"/>
      <c r="BB848" s="263"/>
      <c r="BC848" s="263"/>
      <c r="BD848" s="264"/>
      <c r="BE848" s="263"/>
      <c r="BF848" s="263"/>
      <c r="BG848" s="263"/>
      <c r="BH848" s="263"/>
      <c r="BI848" s="263">
        <v>73</v>
      </c>
      <c r="BJ848" s="404">
        <f>altaz(J2000_Bas,$O848,$M848,DecLat,DecLong,2)</f>
        <v>205.72055350255619</v>
      </c>
      <c r="BK848" s="378"/>
      <c r="BL848" s="379">
        <f>IF((2*G848)/60&lt;0.2,0.2,(2*G848)/60)</f>
        <v>1</v>
      </c>
      <c r="BM848" s="380">
        <f>MOD((50000+AD848-$B$3+(0/24)),1)</f>
        <v>0.90685478343948489</v>
      </c>
      <c r="BN848" s="381" t="s">
        <v>8664</v>
      </c>
      <c r="BO848" s="382">
        <v>846</v>
      </c>
    </row>
    <row r="849" spans="1:67" s="24" customFormat="1" ht="15" customHeight="1" x14ac:dyDescent="0.25">
      <c r="A849" s="288" t="s">
        <v>944</v>
      </c>
      <c r="B849" s="241" t="str">
        <f>HYPERLINK(CONCATENATE($AT$3,BK849,$AU$3),$AV$3)</f>
        <v>S</v>
      </c>
      <c r="C849" s="242" t="str">
        <f>HYPERLINK(CONCATENATE($AT$4,BK849,$AU$4,BL849),$AV$4)</f>
        <v>A</v>
      </c>
      <c r="D849" s="243" t="s">
        <v>5187</v>
      </c>
      <c r="E849" s="244" t="s">
        <v>5181</v>
      </c>
      <c r="F849" s="269" t="s">
        <v>5730</v>
      </c>
      <c r="G849" s="273">
        <v>2</v>
      </c>
      <c r="H849" s="271">
        <v>6200</v>
      </c>
      <c r="I849" s="245">
        <v>3.5</v>
      </c>
      <c r="J849" s="246">
        <v>2</v>
      </c>
      <c r="K849" s="247" t="s">
        <v>4447</v>
      </c>
      <c r="L849" s="248">
        <v>55500</v>
      </c>
      <c r="M849" s="249">
        <f>15*(LEFT(TEXT($L849,"000000"),2)+(MID(TEXT($L849,"000000"),3,2)/60)+(RIGHT(TEXT($L849,"000000"),2)/3600))</f>
        <v>88.75</v>
      </c>
      <c r="N849" s="250">
        <v>-223000</v>
      </c>
      <c r="O849" s="251">
        <f>IF($N849&gt;0,(LEFT(TEXT($N849,"000000"),2)+(MID(TEXT($N849,"000000"),3,2)/60)+(RIGHT(TEXT($N849,"000000"),2)/3600)),-(MID(TEXT($N849,"000000"),2,2)+(MID(TEXT($N849,"000000"),4,2)/60)+(RIGHT(TEXT($N849,"000000"),2)/3600)))</f>
        <v>-22.5</v>
      </c>
      <c r="P849" s="252" t="s">
        <v>70</v>
      </c>
      <c r="Q849" s="253"/>
      <c r="R849" s="247" t="s">
        <v>3293</v>
      </c>
      <c r="S849" s="272" t="s">
        <v>3293</v>
      </c>
      <c r="T849" s="273"/>
      <c r="U849" s="274"/>
      <c r="V849" s="256"/>
      <c r="W849" s="244"/>
      <c r="X849" s="244"/>
      <c r="Y849" s="362"/>
      <c r="Z849" s="257">
        <f>altaz(J2000_Bas,$O849,$M849,DecLat,DecLong,1)</f>
        <v>-72.436770115993653</v>
      </c>
      <c r="AA849" s="257">
        <f>altaz((J2000_Bas+(2*0.04167)),$O849,$M849,DecLat,DecLong,1)</f>
        <v>-47.203098213989627</v>
      </c>
      <c r="AB849" s="257">
        <f>altaz((J2000_Bas+(4*0.04167)),$O849,$M849,DecLat,DecLong,1)</f>
        <v>-21.688204653516998</v>
      </c>
      <c r="AC849" s="257">
        <f>altaz((J2000_Bas+(6*0.04167)),$O849,$M849,DecLat,DecLong,1)</f>
        <v>2.3567066515364039</v>
      </c>
      <c r="AD849" s="258">
        <f>1+ transit((J2000_Bas-1),$O849,$M849,DecLat,DecLong)/360 + (GMTOffset/24) + (IF(DST="Y", 1, 0)/24)</f>
        <v>1.2394277137547081</v>
      </c>
      <c r="AE849" s="259">
        <f>DATE(2001,9,21)+(M849/360)*365 - (360*((DecLong/360)- (GMTOffset/24) ))</f>
        <v>37249.982638888891</v>
      </c>
      <c r="AF849" s="260">
        <f>IF(DecLat&gt;0,IF((90 - (DecLat-O849))&gt;90, (90 - (O849-DecLat)), (90 - (DecLat-O849))),IF((90 + (DecLat-O849))&gt;90, (90 + (O849-DecLat)), (90 + (DecLat-O849))))</f>
        <v>36.5</v>
      </c>
      <c r="AG849" s="257">
        <f>angularseperation(MoonRA,MoonDec,$M849,$O849)</f>
        <v>126.94953467084191</v>
      </c>
      <c r="AH849" s="261">
        <f ca="1">MIN(100,IF($O$5&gt;80,0+30*($AG849/100),IF($O$5&gt;70,0+50*($AG849/100),IF($O$5&gt;60,5+50*($AG849/100),IF($O$5&gt;50,10+60*($AG849/100),IF($O$5&gt;40,15+70*($AG849/100),IF($O$5&gt;30,20+70*($AG849/100),IF($O$5&gt;20,40+55*($AG849/100),(80+(20-$O$5)+30*($AG849/100))))))))))</f>
        <v>100</v>
      </c>
      <c r="AI849" s="262"/>
      <c r="AJ849" s="262"/>
      <c r="AK849" s="262"/>
      <c r="AL849" s="263"/>
      <c r="AM849" s="264"/>
      <c r="AN849" s="263"/>
      <c r="AO849" s="263"/>
      <c r="AP849" s="265"/>
      <c r="AQ849" s="266"/>
      <c r="AR849" s="267"/>
      <c r="AS849" s="263"/>
      <c r="AT849" s="263"/>
      <c r="AU849" s="263"/>
      <c r="AV849" s="264"/>
      <c r="AW849" s="263"/>
      <c r="AX849" s="263"/>
      <c r="AY849" s="263"/>
      <c r="AZ849" s="263"/>
      <c r="BA849" s="263"/>
      <c r="BB849" s="263"/>
      <c r="BC849" s="263"/>
      <c r="BD849" s="264"/>
      <c r="BE849" s="263"/>
      <c r="BF849" s="263"/>
      <c r="BG849" s="263"/>
      <c r="BH849" s="263"/>
      <c r="BI849" s="263"/>
      <c r="BJ849" s="404">
        <f>altaz(J2000_Bas,$O849,$M849,DecLat,DecLong,2)</f>
        <v>65.236206444744511</v>
      </c>
      <c r="BK849" s="378" t="s">
        <v>4100</v>
      </c>
      <c r="BL849" s="379">
        <f>IF((2*G849)/60&lt;0.2,0.2,(2*G849)/60)</f>
        <v>0.2</v>
      </c>
      <c r="BM849" s="380">
        <f>MOD((50000+AD849-$B$3+(0/24)),1)</f>
        <v>0.45479464346135501</v>
      </c>
      <c r="BN849" s="381" t="s">
        <v>8643</v>
      </c>
      <c r="BO849" s="382">
        <v>847</v>
      </c>
    </row>
    <row r="850" spans="1:67" s="24" customFormat="1" ht="15" customHeight="1" x14ac:dyDescent="0.25">
      <c r="A850" s="287" t="s">
        <v>945</v>
      </c>
      <c r="B850" s="241" t="str">
        <f>HYPERLINK(CONCATENATE($AT$3,BK850,$AU$3),$AV$3)</f>
        <v>S</v>
      </c>
      <c r="C850" s="242" t="str">
        <f>HYPERLINK(CONCATENATE($AT$4,BK850,$AU$4,BL850),$AV$4)</f>
        <v>A</v>
      </c>
      <c r="D850" s="243" t="s">
        <v>5187</v>
      </c>
      <c r="E850" s="244" t="s">
        <v>5181</v>
      </c>
      <c r="F850" s="293" t="s">
        <v>6027</v>
      </c>
      <c r="G850" s="273">
        <v>1.5</v>
      </c>
      <c r="H850" s="271">
        <v>6000</v>
      </c>
      <c r="I850" s="245">
        <v>2.5</v>
      </c>
      <c r="J850" s="246">
        <v>2</v>
      </c>
      <c r="K850" s="247" t="s">
        <v>6026</v>
      </c>
      <c r="L850" s="248">
        <v>174142</v>
      </c>
      <c r="M850" s="249">
        <f>15*(LEFT(TEXT($L850,"000000"),2)+(MID(TEXT($L850,"000000"),3,2)/60)+(RIGHT(TEXT($L850,"000000"),2)/3600))</f>
        <v>265.42500000000001</v>
      </c>
      <c r="N850" s="250">
        <v>30400</v>
      </c>
      <c r="O850" s="251">
        <f>IF($N850&gt;0,(LEFT(TEXT($N850,"000000"),2)+(MID(TEXT($N850,"000000"),3,2)/60)+(RIGHT(TEXT($N850,"000000"),2)/3600)),-(MID(TEXT($N850,"000000"),2,2)+(MID(TEXT($N850,"000000"),4,2)/60)+(RIGHT(TEXT($N850,"000000"),2)/3600)))</f>
        <v>3.0666666666666669</v>
      </c>
      <c r="P850" s="252" t="s">
        <v>113</v>
      </c>
      <c r="Q850" s="253"/>
      <c r="R850" s="277" t="s">
        <v>3293</v>
      </c>
      <c r="S850" s="272" t="s">
        <v>3293</v>
      </c>
      <c r="T850" s="273">
        <v>15</v>
      </c>
      <c r="U850" s="274"/>
      <c r="V850" s="256"/>
      <c r="W850" s="244"/>
      <c r="X850" s="244"/>
      <c r="Y850" s="362"/>
      <c r="Z850" s="257">
        <f>altaz(J2000_Bas,$O850,$M850,DecLat,DecLong,1)</f>
        <v>55.984021747319552</v>
      </c>
      <c r="AA850" s="257">
        <f>altaz((J2000_Bas+(2*0.04167)),$O850,$M850,DecLat,DecLong,1)</f>
        <v>34.759050716540962</v>
      </c>
      <c r="AB850" s="257">
        <f>altaz((J2000_Bas+(4*0.04167)),$O850,$M850,DecLat,DecLong,1)</f>
        <v>9.5081469891750974</v>
      </c>
      <c r="AC850" s="257">
        <f>altaz((J2000_Bas+(6*0.04167)),$O850,$M850,DecLat,DecLong,1)</f>
        <v>-16.071292546105603</v>
      </c>
      <c r="AD850" s="258">
        <f>1+ transit((J2000_Bas-1),$O850,$M850,DecLat,DecLong)/360 + (GMTOffset/24) + (IF(DST="Y", 1, 0)/24)</f>
        <v>1.7301915535672081</v>
      </c>
      <c r="AE850" s="259">
        <f>DATE(2001,9,21)+(M850/360)*365 - (360*((DecLong/360)- (GMTOffset/24) ))</f>
        <v>37429.111458333333</v>
      </c>
      <c r="AF850" s="260">
        <f>IF(DecLat&gt;0,IF((90 - (DecLat-O850))&gt;90, (90 - (O850-DecLat)), (90 - (DecLat-O850))),IF((90 + (DecLat-O850))&gt;90, (90 + (O850-DecLat)), (90 + (DecLat-O850))))</f>
        <v>62.066666666666663</v>
      </c>
      <c r="AG850" s="257">
        <f>angularseperation(MoonRA,MoonDec,$M850,$O850)</f>
        <v>33.954796056815447</v>
      </c>
      <c r="AH850" s="261">
        <f ca="1">MIN(100,IF($O$5&gt;80,0+30*($AG850/100),IF($O$5&gt;70,0+50*($AG850/100),IF($O$5&gt;60,5+50*($AG850/100),IF($O$5&gt;50,10+60*($AG850/100),IF($O$5&gt;40,15+70*($AG850/100),IF($O$5&gt;30,20+70*($AG850/100),IF($O$5&gt;20,40+55*($AG850/100),(80+(20-$O$5)+30*($AG850/100))))))))))</f>
        <v>93.457499161195059</v>
      </c>
      <c r="AI850" s="263"/>
      <c r="AJ850" s="263"/>
      <c r="AK850" s="263"/>
      <c r="AL850" s="263"/>
      <c r="AM850" s="264"/>
      <c r="AN850" s="263"/>
      <c r="AO850" s="263"/>
      <c r="AP850" s="265"/>
      <c r="AQ850" s="265"/>
      <c r="AR850" s="285"/>
      <c r="AS850" s="263"/>
      <c r="AT850" s="263"/>
      <c r="AU850" s="263"/>
      <c r="AV850" s="264"/>
      <c r="AW850" s="263"/>
      <c r="AX850" s="263"/>
      <c r="AY850" s="263"/>
      <c r="AZ850" s="263"/>
      <c r="BA850" s="263"/>
      <c r="BB850" s="263"/>
      <c r="BC850" s="263"/>
      <c r="BD850" s="264"/>
      <c r="BE850" s="263"/>
      <c r="BF850" s="263"/>
      <c r="BG850" s="263"/>
      <c r="BH850" s="263"/>
      <c r="BI850" s="263"/>
      <c r="BJ850" s="404">
        <f>altaz(J2000_Bas,$O850,$M850,DecLat,DecLong,2)</f>
        <v>218.85725826880599</v>
      </c>
      <c r="BK850" s="378" t="s">
        <v>4101</v>
      </c>
      <c r="BL850" s="379">
        <f>IF((2*G850)/60&lt;0.2,0.2,(2*G850)/60)</f>
        <v>0.2</v>
      </c>
      <c r="BM850" s="380">
        <f>MOD((50000+AD850-$B$3+(0/24)),1)</f>
        <v>0.94555848326854175</v>
      </c>
      <c r="BN850" s="381"/>
      <c r="BO850" s="382">
        <v>848</v>
      </c>
    </row>
    <row r="851" spans="1:67" s="24" customFormat="1" ht="15" customHeight="1" x14ac:dyDescent="0.25">
      <c r="A851" s="287" t="s">
        <v>946</v>
      </c>
      <c r="B851" s="241" t="str">
        <f>HYPERLINK(CONCATENATE($AT$3,BK851,$AU$3),$AV$3)</f>
        <v>S</v>
      </c>
      <c r="C851" s="242" t="str">
        <f>HYPERLINK(CONCATENATE($AT$4,BK851,$AU$4,BL851),$AV$4)</f>
        <v>A</v>
      </c>
      <c r="D851" s="243" t="s">
        <v>5187</v>
      </c>
      <c r="E851" s="244" t="s">
        <v>5181</v>
      </c>
      <c r="F851" s="269" t="s">
        <v>4796</v>
      </c>
      <c r="G851" s="270">
        <v>0.5</v>
      </c>
      <c r="H851" s="271" t="s">
        <v>6500</v>
      </c>
      <c r="I851" s="244" t="s">
        <v>6500</v>
      </c>
      <c r="J851" s="246">
        <v>2</v>
      </c>
      <c r="K851" s="247" t="s">
        <v>6028</v>
      </c>
      <c r="L851" s="248">
        <v>191706</v>
      </c>
      <c r="M851" s="249">
        <f>15*(LEFT(TEXT($L851,"000000"),2)+(MID(TEXT($L851,"000000"),3,2)/60)+(RIGHT(TEXT($L851,"000000"),2)/3600))</f>
        <v>289.27499999999998</v>
      </c>
      <c r="N851" s="250">
        <v>-180100</v>
      </c>
      <c r="O851" s="251">
        <f>IF($N851&gt;0,(LEFT(TEXT($N851,"000000"),2)+(MID(TEXT($N851,"000000"),3,2)/60)+(RIGHT(TEXT($N851,"000000"),2)/3600)),-(MID(TEXT($N851,"000000"),2,2)+(MID(TEXT($N851,"000000"),4,2)/60)+(RIGHT(TEXT($N851,"000000"),2)/3600)))</f>
        <v>-18.016666666666666</v>
      </c>
      <c r="P851" s="252" t="s">
        <v>119</v>
      </c>
      <c r="Q851" s="253"/>
      <c r="R851" s="277" t="s">
        <v>3293</v>
      </c>
      <c r="S851" s="272" t="s">
        <v>3293</v>
      </c>
      <c r="T851" s="273"/>
      <c r="U851" s="274"/>
      <c r="V851" s="256"/>
      <c r="W851" s="244"/>
      <c r="X851" s="244"/>
      <c r="Y851" s="362"/>
      <c r="Z851" s="257">
        <f>altaz(J2000_Bas,$O851,$M851,DecLat,DecLong,1)</f>
        <v>40.882532393138696</v>
      </c>
      <c r="AA851" s="257">
        <f>altaz((J2000_Bas+(2*0.04167)),$O851,$M851,DecLat,DecLong,1)</f>
        <v>34.625083760261504</v>
      </c>
      <c r="AB851" s="257">
        <f>altaz((J2000_Bas+(4*0.04167)),$O851,$M851,DecLat,DecLong,1)</f>
        <v>16.612015064797408</v>
      </c>
      <c r="AC851" s="257">
        <f>altaz((J2000_Bas+(6*0.04167)),$O851,$M851,DecLat,DecLong,1)</f>
        <v>-6.6826932127731116</v>
      </c>
      <c r="AD851" s="258">
        <f>1+ transit((J2000_Bas-1),$O851,$M851,DecLat,DecLong)/360 + (GMTOffset/24) + (IF(DST="Y", 1, 0)/24)</f>
        <v>1.7964415469422079</v>
      </c>
      <c r="AE851" s="259">
        <f>DATE(2001,9,21)+(M851/360)*365 - (360*((DecLong/360)- (GMTOffset/24) ))</f>
        <v>37453.292708333334</v>
      </c>
      <c r="AF851" s="260">
        <f>IF(DecLat&gt;0,IF((90 - (DecLat-O851))&gt;90, (90 - (O851-DecLat)), (90 - (DecLat-O851))),IF((90 + (DecLat-O851))&gt;90, (90 + (O851-DecLat)), (90 + (DecLat-O851))))</f>
        <v>40.983333333333334</v>
      </c>
      <c r="AG851" s="257">
        <f>angularseperation(MoonRA,MoonDec,$M851,$O851)</f>
        <v>37.898235663652855</v>
      </c>
      <c r="AH851" s="261">
        <f ca="1">MIN(100,IF($O$5&gt;80,0+30*($AG851/100),IF($O$5&gt;70,0+50*($AG851/100),IF($O$5&gt;60,5+50*($AG851/100),IF($O$5&gt;50,10+60*($AG851/100),IF($O$5&gt;40,15+70*($AG851/100),IF($O$5&gt;30,20+70*($AG851/100),IF($O$5&gt;20,40+55*($AG851/100),(80+(20-$O$5)+30*($AG851/100))))))))))</f>
        <v>94.640531043246284</v>
      </c>
      <c r="AI851" s="263"/>
      <c r="AJ851" s="263"/>
      <c r="AK851" s="263"/>
      <c r="AL851" s="263"/>
      <c r="AM851" s="264"/>
      <c r="AN851" s="263"/>
      <c r="AO851" s="263"/>
      <c r="AP851" s="265"/>
      <c r="AQ851" s="265"/>
      <c r="AR851" s="285"/>
      <c r="AS851" s="263"/>
      <c r="AT851" s="263"/>
      <c r="AU851" s="263"/>
      <c r="AV851" s="264"/>
      <c r="AW851" s="263"/>
      <c r="AX851" s="263"/>
      <c r="AY851" s="263"/>
      <c r="AZ851" s="263"/>
      <c r="BA851" s="263"/>
      <c r="BB851" s="263"/>
      <c r="BC851" s="263"/>
      <c r="BD851" s="264"/>
      <c r="BE851" s="263"/>
      <c r="BF851" s="263"/>
      <c r="BG851" s="263"/>
      <c r="BH851" s="263"/>
      <c r="BI851" s="263"/>
      <c r="BJ851" s="404">
        <f>altaz(J2000_Bas,$O851,$M851,DecLat,DecLong,2)</f>
        <v>175.88269057969629</v>
      </c>
      <c r="BK851" s="378" t="s">
        <v>4102</v>
      </c>
      <c r="BL851" s="379">
        <f>IF((2*G851)/60&lt;0.2,0.2,(2*G851)/60)</f>
        <v>0.2</v>
      </c>
      <c r="BM851" s="380">
        <f>MOD((50000+AD851-$B$3+(0/24)),1)</f>
        <v>1.1808476643636823E-2</v>
      </c>
      <c r="BN851" s="381"/>
      <c r="BO851" s="382">
        <v>849</v>
      </c>
    </row>
    <row r="852" spans="1:67" s="24" customFormat="1" ht="15" customHeight="1" x14ac:dyDescent="0.25">
      <c r="A852" s="288" t="s">
        <v>947</v>
      </c>
      <c r="B852" s="241" t="str">
        <f>HYPERLINK(CONCATENATE($AT$3,BK852,$AU$3),$AV$3)</f>
        <v>S</v>
      </c>
      <c r="C852" s="242" t="str">
        <f>HYPERLINK(CONCATENATE($AT$4,BK852,$AU$4,BL852),$AV$4)</f>
        <v>A</v>
      </c>
      <c r="D852" s="243" t="s">
        <v>5187</v>
      </c>
      <c r="E852" s="244" t="s">
        <v>5181</v>
      </c>
      <c r="F852" s="293" t="s">
        <v>6030</v>
      </c>
      <c r="G852" s="273">
        <v>1.5</v>
      </c>
      <c r="H852" s="271" t="s">
        <v>6500</v>
      </c>
      <c r="I852" s="244" t="s">
        <v>6500</v>
      </c>
      <c r="J852" s="246">
        <v>2</v>
      </c>
      <c r="K852" s="247" t="s">
        <v>6029</v>
      </c>
      <c r="L852" s="248">
        <v>192627</v>
      </c>
      <c r="M852" s="249">
        <f>15*(LEFT(TEXT($L852,"000000"),2)+(MID(TEXT($L852,"000000"),3,2)/60)+(RIGHT(TEXT($L852,"000000"),2)/3600))</f>
        <v>291.61250000000001</v>
      </c>
      <c r="N852" s="250">
        <v>131935</v>
      </c>
      <c r="O852" s="251">
        <f>IF($N852&gt;0,(LEFT(TEXT($N852,"000000"),2)+(MID(TEXT($N852,"000000"),3,2)/60)+(RIGHT(TEXT($N852,"000000"),2)/3600)),-(MID(TEXT($N852,"000000"),2,2)+(MID(TEXT($N852,"000000"),4,2)/60)+(RIGHT(TEXT($N852,"000000"),2)/3600)))</f>
        <v>13.326388888888889</v>
      </c>
      <c r="P852" s="252" t="s">
        <v>126</v>
      </c>
      <c r="Q852" s="253"/>
      <c r="R852" s="277" t="s">
        <v>3293</v>
      </c>
      <c r="S852" s="272" t="s">
        <v>3293</v>
      </c>
      <c r="T852" s="273"/>
      <c r="U852" s="274"/>
      <c r="V852" s="256"/>
      <c r="W852" s="244"/>
      <c r="X852" s="244"/>
      <c r="Y852" s="362"/>
      <c r="Z852" s="257">
        <f>altaz(J2000_Bas,$O852,$M852,DecLat,DecLong,1)</f>
        <v>71.587406951361757</v>
      </c>
      <c r="AA852" s="257">
        <f>altaz((J2000_Bas+(2*0.04167)),$O852,$M852,DecLat,DecLong,1)</f>
        <v>61.384588495370998</v>
      </c>
      <c r="AB852" s="257">
        <f>altaz((J2000_Bas+(4*0.04167)),$O852,$M852,DecLat,DecLong,1)</f>
        <v>37.039788972011586</v>
      </c>
      <c r="AC852" s="257">
        <f>altaz((J2000_Bas+(6*0.04167)),$O852,$M852,DecLat,DecLong,1)</f>
        <v>11.336771373747782</v>
      </c>
      <c r="AD852" s="258">
        <f>1+ transit((J2000_Bas-1),$O852,$M852,DecLat,DecLong)/360 + (GMTOffset/24) + (IF(DST="Y", 1, 0)/24)</f>
        <v>1.8029346018484584</v>
      </c>
      <c r="AE852" s="259">
        <f>DATE(2001,9,21)+(M852/360)*365 - (360*((DecLong/360)- (GMTOffset/24) ))</f>
        <v>37455.662673611114</v>
      </c>
      <c r="AF852" s="260">
        <f>IF(DecLat&gt;0,IF((90 - (DecLat-O852))&gt;90, (90 - (O852-DecLat)), (90 - (DecLat-O852))),IF((90 + (DecLat-O852))&gt;90, (90 + (O852-DecLat)), (90 + (DecLat-O852))))</f>
        <v>72.326388888888886</v>
      </c>
      <c r="AG852" s="257">
        <f>angularseperation(MoonRA,MoonDec,$M852,$O852)</f>
        <v>57.647515128394389</v>
      </c>
      <c r="AH852" s="261">
        <f ca="1">MIN(100,IF($O$5&gt;80,0+30*($AG852/100),IF($O$5&gt;70,0+50*($AG852/100),IF($O$5&gt;60,5+50*($AG852/100),IF($O$5&gt;50,10+60*($AG852/100),IF($O$5&gt;40,15+70*($AG852/100),IF($O$5&gt;30,20+70*($AG852/100),IF($O$5&gt;20,40+55*($AG852/100),(80+(20-$O$5)+30*($AG852/100))))))))))</f>
        <v>100</v>
      </c>
      <c r="AI852" s="263"/>
      <c r="AJ852" s="263"/>
      <c r="AK852" s="263"/>
      <c r="AL852" s="263"/>
      <c r="AM852" s="264"/>
      <c r="AN852" s="263"/>
      <c r="AO852" s="263"/>
      <c r="AP852" s="265"/>
      <c r="AQ852" s="265"/>
      <c r="AR852" s="285"/>
      <c r="AS852" s="263"/>
      <c r="AT852" s="263"/>
      <c r="AU852" s="263"/>
      <c r="AV852" s="264"/>
      <c r="AW852" s="263"/>
      <c r="AX852" s="263"/>
      <c r="AY852" s="263"/>
      <c r="AZ852" s="263"/>
      <c r="BA852" s="263"/>
      <c r="BB852" s="263"/>
      <c r="BC852" s="263"/>
      <c r="BD852" s="264"/>
      <c r="BE852" s="263"/>
      <c r="BF852" s="263"/>
      <c r="BG852" s="263"/>
      <c r="BH852" s="263"/>
      <c r="BI852" s="263"/>
      <c r="BJ852" s="404">
        <f>altaz(J2000_Bas,$O852,$M852,DecLat,DecLong,2)</f>
        <v>162.47300181877924</v>
      </c>
      <c r="BK852" s="378" t="s">
        <v>4103</v>
      </c>
      <c r="BL852" s="379">
        <f>IF((2*G852)/60&lt;0.2,0.2,(2*G852)/60)</f>
        <v>0.2</v>
      </c>
      <c r="BM852" s="380">
        <f>MOD((50000+AD852-$B$3+(0/24)),1)</f>
        <v>1.83015315560624E-2</v>
      </c>
      <c r="BN852" s="381"/>
      <c r="BO852" s="382">
        <v>850</v>
      </c>
    </row>
    <row r="853" spans="1:67" s="24" customFormat="1" ht="15" customHeight="1" x14ac:dyDescent="0.25">
      <c r="A853" s="288" t="s">
        <v>948</v>
      </c>
      <c r="B853" s="241" t="str">
        <f>HYPERLINK(CONCATENATE($AT$3,BK853,$AU$3),$AV$3)</f>
        <v>S</v>
      </c>
      <c r="C853" s="242" t="str">
        <f>HYPERLINK(CONCATENATE($AT$4,BK853,$AU$4,BL853),$AV$4)</f>
        <v>A</v>
      </c>
      <c r="D853" s="243" t="s">
        <v>5187</v>
      </c>
      <c r="E853" s="244" t="s">
        <v>5181</v>
      </c>
      <c r="F853" s="269" t="s">
        <v>5231</v>
      </c>
      <c r="G853" s="273">
        <v>9</v>
      </c>
      <c r="H853" s="271">
        <v>1000</v>
      </c>
      <c r="I853" s="245">
        <v>2.8</v>
      </c>
      <c r="J853" s="246">
        <v>2</v>
      </c>
      <c r="K853" s="247" t="s">
        <v>8837</v>
      </c>
      <c r="L853" s="248">
        <v>221934</v>
      </c>
      <c r="M853" s="249">
        <f>15*(LEFT(TEXT($L853,"000000"),2)+(MID(TEXT($L853,"000000"),3,2)/60)+(RIGHT(TEXT($L853,"000000"),2)/3600))</f>
        <v>334.89166666666665</v>
      </c>
      <c r="N853" s="250">
        <v>705601</v>
      </c>
      <c r="O853" s="251">
        <f>IF($N853&gt;0,(LEFT(TEXT($N853,"000000"),2)+(MID(TEXT($N853,"000000"),3,2)/60)+(RIGHT(TEXT($N853,"000000"),2)/3600)),-(MID(TEXT($N853,"000000"),2,2)+(MID(TEXT($N853,"000000"),4,2)/60)+(RIGHT(TEXT($N853,"000000"),2)/3600)))</f>
        <v>70.933611111111119</v>
      </c>
      <c r="P853" s="252" t="s">
        <v>52</v>
      </c>
      <c r="Q853" s="253"/>
      <c r="R853" s="247" t="s">
        <v>3293</v>
      </c>
      <c r="S853" s="272" t="s">
        <v>3293</v>
      </c>
      <c r="T853" s="273"/>
      <c r="U853" s="274"/>
      <c r="V853" s="256"/>
      <c r="W853" s="244"/>
      <c r="X853" s="244"/>
      <c r="Y853" s="362"/>
      <c r="Z853" s="257">
        <f>altaz(J2000_Bas,$O853,$M853,DecLat,DecLong,1)</f>
        <v>42.135974127890258</v>
      </c>
      <c r="AA853" s="257">
        <f>altaz((J2000_Bas+(2*0.04167)),$O853,$M853,DecLat,DecLong,1)</f>
        <v>48.750291275307809</v>
      </c>
      <c r="AB853" s="257">
        <f>altaz((J2000_Bas+(4*0.04167)),$O853,$M853,DecLat,DecLong,1)</f>
        <v>49.585991314926943</v>
      </c>
      <c r="AC853" s="257">
        <f>altaz((J2000_Bas+(6*0.04167)),$O853,$M853,DecLat,DecLong,1)</f>
        <v>44.181445407422601</v>
      </c>
      <c r="AD853" s="258">
        <f>1+ transit((J2000_Bas-1),$O853,$M853,DecLat,DecLong)/360 + (GMTOffset/24) + (IF(DST="Y", 1, 0)/24)</f>
        <v>1.9231544972338745</v>
      </c>
      <c r="AE853" s="259">
        <f>DATE(2001,9,21)+(M853/360)*365 - (360*((DecLong/360)- (GMTOffset/24) ))</f>
        <v>37499.542939814812</v>
      </c>
      <c r="AF853" s="260">
        <f>IF(DecLat&gt;0,IF((90 - (DecLat-O853))&gt;90, (90 - (O853-DecLat)), (90 - (DecLat-O853))),IF((90 + (DecLat-O853))&gt;90, (90 + (O853-DecLat)), (90 + (DecLat-O853))))</f>
        <v>50.066388888888881</v>
      </c>
      <c r="AG853" s="257">
        <f>angularseperation(MoonRA,MoonDec,$M853,$O853)</f>
        <v>114.09552648784661</v>
      </c>
      <c r="AH853" s="261">
        <f ca="1">MIN(100,IF($O$5&gt;80,0+30*($AG853/100),IF($O$5&gt;70,0+50*($AG853/100),IF($O$5&gt;60,5+50*($AG853/100),IF($O$5&gt;50,10+60*($AG853/100),IF($O$5&gt;40,15+70*($AG853/100),IF($O$5&gt;30,20+70*($AG853/100),IF($O$5&gt;20,40+55*($AG853/100),(80+(20-$O$5)+30*($AG853/100))))))))))</f>
        <v>100</v>
      </c>
      <c r="AI853" s="262"/>
      <c r="AJ853" s="262"/>
      <c r="AK853" s="262"/>
      <c r="AL853" s="263"/>
      <c r="AM853" s="264"/>
      <c r="AN853" s="263"/>
      <c r="AO853" s="263"/>
      <c r="AP853" s="265"/>
      <c r="AQ853" s="266"/>
      <c r="AR853" s="267"/>
      <c r="AS853" s="263"/>
      <c r="AT853" s="263"/>
      <c r="AU853" s="263"/>
      <c r="AV853" s="264"/>
      <c r="AW853" s="263"/>
      <c r="AX853" s="263"/>
      <c r="AY853" s="263"/>
      <c r="AZ853" s="263"/>
      <c r="BA853" s="263"/>
      <c r="BB853" s="263"/>
      <c r="BC853" s="263"/>
      <c r="BD853" s="264"/>
      <c r="BE853" s="263"/>
      <c r="BF853" s="263"/>
      <c r="BG853" s="263"/>
      <c r="BH853" s="263"/>
      <c r="BI853" s="263"/>
      <c r="BJ853" s="404">
        <f>altaz(J2000_Bas,$O853,$M853,DecLat,DecLong,2)</f>
        <v>19.38402029794182</v>
      </c>
      <c r="BK853" s="378" t="s">
        <v>4104</v>
      </c>
      <c r="BL853" s="379">
        <f>IF((2*G853)/60&lt;0.2,0.2,(2*G853)/60)</f>
        <v>0.3</v>
      </c>
      <c r="BM853" s="380">
        <f>MOD((50000+AD853-$B$3+(0/24)),1)</f>
        <v>0.1385214269394055</v>
      </c>
      <c r="BN853" s="381"/>
      <c r="BO853" s="382">
        <v>851</v>
      </c>
    </row>
    <row r="854" spans="1:67" s="24" customFormat="1" ht="15" customHeight="1" x14ac:dyDescent="0.25">
      <c r="A854" s="288" t="s">
        <v>949</v>
      </c>
      <c r="B854" s="241" t="str">
        <f>HYPERLINK(CONCATENATE($AT$3,BK854,$AU$3),$AV$3)</f>
        <v>S</v>
      </c>
      <c r="C854" s="242" t="str">
        <f>HYPERLINK(CONCATENATE($AT$4,BK854,$AU$4,BL854),$AV$4)</f>
        <v>A</v>
      </c>
      <c r="D854" s="243" t="s">
        <v>5187</v>
      </c>
      <c r="E854" s="244" t="s">
        <v>9322</v>
      </c>
      <c r="F854" s="269"/>
      <c r="G854" s="276">
        <v>30</v>
      </c>
      <c r="H854" s="271">
        <v>400</v>
      </c>
      <c r="I854" s="245">
        <v>3.7</v>
      </c>
      <c r="J854" s="246">
        <v>2</v>
      </c>
      <c r="K854" s="247" t="s">
        <v>9374</v>
      </c>
      <c r="L854" s="248">
        <v>191603</v>
      </c>
      <c r="M854" s="249">
        <f>15*(LEFT(TEXT($L854,"000000"),2)+(MID(TEXT($L854,"000000"),3,2)/60)+(RIGHT(TEXT($L854,"000000"),2)/3600))</f>
        <v>289.01249999999999</v>
      </c>
      <c r="N854" s="250">
        <v>-364626</v>
      </c>
      <c r="O854" s="251">
        <f>IF($N854&gt;0,(LEFT(TEXT($N854,"000000"),2)+(MID(TEXT($N854,"000000"),3,2)/60)+(RIGHT(TEXT($N854,"000000"),2)/3600)),-(MID(TEXT($N854,"000000"),2,2)+(MID(TEXT($N854,"000000"),4,2)/60)+(RIGHT(TEXT($N854,"000000"),2)/3600)))</f>
        <v>-36.773888888888891</v>
      </c>
      <c r="P854" s="252" t="s">
        <v>119</v>
      </c>
      <c r="Q854" s="253"/>
      <c r="R854" s="247" t="s">
        <v>3293</v>
      </c>
      <c r="S854" s="272" t="s">
        <v>3293</v>
      </c>
      <c r="T854" s="273"/>
      <c r="U854" s="274"/>
      <c r="V854" s="256"/>
      <c r="W854" s="244"/>
      <c r="X854" s="244"/>
      <c r="Y854" s="362"/>
      <c r="Z854" s="257">
        <f>altaz(J2000_Bas,$O854,$M854,DecLat,DecLong,1)</f>
        <v>22.167499436473044</v>
      </c>
      <c r="AA854" s="257">
        <f>altaz((J2000_Bas+(2*0.04167)),$O854,$M854,DecLat,DecLong,1)</f>
        <v>17.639177971783102</v>
      </c>
      <c r="AB854" s="257">
        <f>altaz((J2000_Bas+(4*0.04167)),$O854,$M854,DecLat,DecLong,1)</f>
        <v>3.6701678498863433</v>
      </c>
      <c r="AC854" s="257">
        <f>altaz((J2000_Bas+(6*0.04167)),$O854,$M854,DecLat,DecLong,1)</f>
        <v>-15.980831666300547</v>
      </c>
      <c r="AD854" s="258">
        <f>1+ transit((J2000_Bas-1),$O854,$M854,DecLat,DecLong)/360 + (GMTOffset/24) + (IF(DST="Y", 1, 0)/24)</f>
        <v>1.7957123803484583</v>
      </c>
      <c r="AE854" s="259">
        <f>DATE(2001,9,21)+(M854/360)*365 - (360*((DecLong/360)- (GMTOffset/24) ))</f>
        <v>37453.026562500003</v>
      </c>
      <c r="AF854" s="260">
        <f>IF(DecLat&gt;0,IF((90 - (DecLat-O854))&gt;90, (90 - (O854-DecLat)), (90 - (DecLat-O854))),IF((90 + (DecLat-O854))&gt;90, (90 + (O854-DecLat)), (90 + (DecLat-O854))))</f>
        <v>22.226111111111109</v>
      </c>
      <c r="AG854" s="257">
        <f>angularseperation(MoonRA,MoonDec,$M854,$O854)</f>
        <v>34.843515225303783</v>
      </c>
      <c r="AH854" s="261">
        <f ca="1">MIN(100,IF($O$5&gt;80,0+30*($AG854/100),IF($O$5&gt;70,0+50*($AG854/100),IF($O$5&gt;60,5+50*($AG854/100),IF($O$5&gt;50,10+60*($AG854/100),IF($O$5&gt;40,15+70*($AG854/100),IF($O$5&gt;30,20+70*($AG854/100),IF($O$5&gt;20,40+55*($AG854/100),(80+(20-$O$5)+30*($AG854/100))))))))))</f>
        <v>93.724114911741566</v>
      </c>
      <c r="AI854" s="262"/>
      <c r="AJ854" s="262"/>
      <c r="AK854" s="262"/>
      <c r="AL854" s="263"/>
      <c r="AM854" s="264"/>
      <c r="AN854" s="263"/>
      <c r="AO854" s="263"/>
      <c r="AP854" s="265"/>
      <c r="AQ854" s="266"/>
      <c r="AR854" s="267"/>
      <c r="AS854" s="263"/>
      <c r="AT854" s="263"/>
      <c r="AU854" s="263"/>
      <c r="AV854" s="264"/>
      <c r="AW854" s="263"/>
      <c r="AX854" s="263"/>
      <c r="AY854" s="263"/>
      <c r="AZ854" s="263"/>
      <c r="BA854" s="263"/>
      <c r="BB854" s="263"/>
      <c r="BC854" s="263"/>
      <c r="BD854" s="264"/>
      <c r="BE854" s="263"/>
      <c r="BF854" s="263"/>
      <c r="BG854" s="263"/>
      <c r="BH854" s="263"/>
      <c r="BI854" s="263">
        <v>84</v>
      </c>
      <c r="BJ854" s="404">
        <f>altaz(J2000_Bas,$O854,$M854,DecLat,DecLong,2)</f>
        <v>177.39695355640168</v>
      </c>
      <c r="BK854" s="378" t="s">
        <v>949</v>
      </c>
      <c r="BL854" s="379">
        <f>IF((2*G854)/60&lt;0.2,0.2,(2*G854)/60)</f>
        <v>1</v>
      </c>
      <c r="BM854" s="380">
        <f>MOD((50000+AD854-$B$3+(0/24)),1)</f>
        <v>1.1079310053901281E-2</v>
      </c>
      <c r="BN854" s="381"/>
      <c r="BO854" s="382">
        <v>852</v>
      </c>
    </row>
    <row r="855" spans="1:67" s="24" customFormat="1" ht="15" customHeight="1" x14ac:dyDescent="0.25">
      <c r="A855" s="288" t="s">
        <v>950</v>
      </c>
      <c r="B855" s="241" t="str">
        <f>HYPERLINK(CONCATENATE($AT$3,BK855,$AU$3),$AV$3)</f>
        <v>S</v>
      </c>
      <c r="C855" s="242" t="str">
        <f>HYPERLINK(CONCATENATE($AT$4,BK855,$AU$4,BL855),$AV$4)</f>
        <v>A</v>
      </c>
      <c r="D855" s="243" t="s">
        <v>5187</v>
      </c>
      <c r="E855" s="244" t="s">
        <v>5179</v>
      </c>
      <c r="F855" s="269"/>
      <c r="G855" s="273">
        <v>8</v>
      </c>
      <c r="H855" s="271" t="s">
        <v>6500</v>
      </c>
      <c r="I855" s="244" t="s">
        <v>6500</v>
      </c>
      <c r="J855" s="246">
        <v>2</v>
      </c>
      <c r="K855" s="247" t="s">
        <v>4448</v>
      </c>
      <c r="L855" s="248">
        <v>10900</v>
      </c>
      <c r="M855" s="249">
        <f>15*(LEFT(TEXT($L855,"000000"),2)+(MID(TEXT($L855,"000000"),3,2)/60)+(RIGHT(TEXT($L855,"000000"),2)/3600))</f>
        <v>17.25</v>
      </c>
      <c r="N855" s="250">
        <v>593236</v>
      </c>
      <c r="O855" s="251">
        <f>IF($N855&gt;0,(LEFT(TEXT($N855,"000000"),2)+(MID(TEXT($N855,"000000"),3,2)/60)+(RIGHT(TEXT($N855,"000000"),2)/3600)),-(MID(TEXT($N855,"000000"),2,2)+(MID(TEXT($N855,"000000"),4,2)/60)+(RIGHT(TEXT($N855,"000000"),2)/3600)))</f>
        <v>59.543333333333329</v>
      </c>
      <c r="P855" s="252" t="s">
        <v>49</v>
      </c>
      <c r="Q855" s="253"/>
      <c r="R855" s="247" t="s">
        <v>3293</v>
      </c>
      <c r="S855" s="272" t="s">
        <v>3293</v>
      </c>
      <c r="T855" s="273"/>
      <c r="U855" s="274"/>
      <c r="V855" s="256"/>
      <c r="W855" s="244"/>
      <c r="X855" s="244"/>
      <c r="Y855" s="362"/>
      <c r="Z855" s="257">
        <f>altaz(J2000_Bas,$O855,$M855,DecLat,DecLong,1)</f>
        <v>25.754184602167133</v>
      </c>
      <c r="AA855" s="257">
        <f>altaz((J2000_Bas+(2*0.04167)),$O855,$M855,DecLat,DecLong,1)</f>
        <v>40.808422108339343</v>
      </c>
      <c r="AB855" s="257">
        <f>altaz((J2000_Bas+(4*0.04167)),$O855,$M855,DecLat,DecLong,1)</f>
        <v>54.695379532847745</v>
      </c>
      <c r="AC855" s="257">
        <f>altaz((J2000_Bas+(6*0.04167)),$O855,$M855,DecLat,DecLong,1)</f>
        <v>61.448831688296274</v>
      </c>
      <c r="AD855" s="258">
        <f>1+ transit((J2000_Bas-1),$O855,$M855,DecLat,DecLong)/360 + (GMTOffset/24) + (IF(DST="Y", 1, 0)/24)</f>
        <v>1.040816622504708</v>
      </c>
      <c r="AE855" s="259">
        <f>DATE(2001,9,21)+(M855/360)*365 - (360*((DecLong/360)- (GMTOffset/24) ))</f>
        <v>37177.489583333336</v>
      </c>
      <c r="AF855" s="260">
        <f>IF(DecLat&gt;0,IF((90 - (DecLat-O855))&gt;90, (90 - (O855-DecLat)), (90 - (DecLat-O855))),IF((90 + (DecLat-O855))&gt;90, (90 + (O855-DecLat)), (90 + (DecLat-O855))))</f>
        <v>61.456666666666671</v>
      </c>
      <c r="AG855" s="257">
        <f>angularseperation(MoonRA,MoonDec,$M855,$O855)</f>
        <v>132.09572850540982</v>
      </c>
      <c r="AH855" s="261">
        <f ca="1">MIN(100,IF($O$5&gt;80,0+30*($AG855/100),IF($O$5&gt;70,0+50*($AG855/100),IF($O$5&gt;60,5+50*($AG855/100),IF($O$5&gt;50,10+60*($AG855/100),IF($O$5&gt;40,15+70*($AG855/100),IF($O$5&gt;30,20+70*($AG855/100),IF($O$5&gt;20,40+55*($AG855/100),(80+(20-$O$5)+30*($AG855/100))))))))))</f>
        <v>100</v>
      </c>
      <c r="AI855" s="262"/>
      <c r="AJ855" s="262"/>
      <c r="AK855" s="262"/>
      <c r="AL855" s="263"/>
      <c r="AM855" s="264"/>
      <c r="AN855" s="263"/>
      <c r="AO855" s="263"/>
      <c r="AP855" s="265"/>
      <c r="AQ855" s="266"/>
      <c r="AR855" s="267"/>
      <c r="AS855" s="263"/>
      <c r="AT855" s="263"/>
      <c r="AU855" s="263"/>
      <c r="AV855" s="264"/>
      <c r="AW855" s="263"/>
      <c r="AX855" s="263"/>
      <c r="AY855" s="263"/>
      <c r="AZ855" s="263"/>
      <c r="BA855" s="263"/>
      <c r="BB855" s="263"/>
      <c r="BC855" s="263"/>
      <c r="BD855" s="264"/>
      <c r="BE855" s="263"/>
      <c r="BF855" s="263"/>
      <c r="BG855" s="263"/>
      <c r="BH855" s="263"/>
      <c r="BI855" s="263"/>
      <c r="BJ855" s="404">
        <f>altaz(J2000_Bas,$O855,$M855,DecLat,DecLong,2)</f>
        <v>34.239756579801728</v>
      </c>
      <c r="BK855" s="378" t="s">
        <v>950</v>
      </c>
      <c r="BL855" s="379">
        <f>IF((2*G855)/60&lt;0.2,0.2,(2*G855)/60)</f>
        <v>0.26666666666666666</v>
      </c>
      <c r="BM855" s="380">
        <f>MOD((50000+AD855-$B$3+(0/24)),1)</f>
        <v>0.25618355220649391</v>
      </c>
      <c r="BN855" s="381"/>
      <c r="BO855" s="382">
        <v>853</v>
      </c>
    </row>
    <row r="856" spans="1:67" s="24" customFormat="1" ht="15" customHeight="1" x14ac:dyDescent="0.25">
      <c r="A856" s="288" t="s">
        <v>951</v>
      </c>
      <c r="B856" s="241" t="str">
        <f>HYPERLINK(CONCATENATE($AT$3,BK856,$AU$3),$AV$3)</f>
        <v>S</v>
      </c>
      <c r="C856" s="242" t="str">
        <f>HYPERLINK(CONCATENATE($AT$4,BK856,$AU$4,BL856),$AV$4)</f>
        <v>A</v>
      </c>
      <c r="D856" s="243" t="s">
        <v>5335</v>
      </c>
      <c r="E856" s="244" t="s">
        <v>17</v>
      </c>
      <c r="F856" s="269"/>
      <c r="G856" s="270">
        <v>0.4</v>
      </c>
      <c r="H856" s="271">
        <v>1700</v>
      </c>
      <c r="I856" s="308">
        <v>0.2</v>
      </c>
      <c r="J856" s="246">
        <v>1</v>
      </c>
      <c r="K856" s="247" t="s">
        <v>4632</v>
      </c>
      <c r="L856" s="248">
        <v>180730</v>
      </c>
      <c r="M856" s="249">
        <f>15*(LEFT(TEXT($L856,"000000"),2)+(MID(TEXT($L856,"000000"),3,2)/60)+(RIGHT(TEXT($L856,"000000"),2)/3600))</f>
        <v>271.875</v>
      </c>
      <c r="N856" s="250">
        <v>455132</v>
      </c>
      <c r="O856" s="251">
        <f>IF($N856&gt;0,(LEFT(TEXT($N856,"000000"),2)+(MID(TEXT($N856,"000000"),3,2)/60)+(RIGHT(TEXT($N856,"000000"),2)/3600)),-(MID(TEXT($N856,"000000"),2,2)+(MID(TEXT($N856,"000000"),4,2)/60)+(RIGHT(TEXT($N856,"000000"),2)/3600)))</f>
        <v>45.858888888888892</v>
      </c>
      <c r="P856" s="252" t="s">
        <v>111</v>
      </c>
      <c r="Q856" s="253"/>
      <c r="R856" s="247" t="s">
        <v>3293</v>
      </c>
      <c r="S856" s="272" t="s">
        <v>3293</v>
      </c>
      <c r="T856" s="273">
        <v>15</v>
      </c>
      <c r="U856" s="274"/>
      <c r="V856" s="256"/>
      <c r="W856" s="244"/>
      <c r="X856" s="244"/>
      <c r="Y856" s="362"/>
      <c r="Z856" s="257">
        <f>altaz(J2000_Bas,$O856,$M856,DecLat,DecLong,1)</f>
        <v>71.532788382688977</v>
      </c>
      <c r="AA856" s="257">
        <f>altaz((J2000_Bas+(2*0.04167)),$O856,$M856,DecLat,DecLong,1)</f>
        <v>52.890150926339828</v>
      </c>
      <c r="AB856" s="257">
        <f>altaz((J2000_Bas+(4*0.04167)),$O856,$M856,DecLat,DecLong,1)</f>
        <v>32.084839642652504</v>
      </c>
      <c r="AC856" s="257">
        <f>altaz((J2000_Bas+(6*0.04167)),$O856,$M856,DecLat,DecLong,1)</f>
        <v>12.787604550965444</v>
      </c>
      <c r="AD856" s="258">
        <f>1+ transit((J2000_Bas-1),$O856,$M856,DecLat,DecLong)/360 + (GMTOffset/24) + (IF(DST="Y", 1, 0)/24)</f>
        <v>1.7481082184422081</v>
      </c>
      <c r="AE856" s="259">
        <f>DATE(2001,9,21)+(M856/360)*365 - (360*((DecLong/360)- (GMTOffset/24) ))</f>
        <v>37435.651041666664</v>
      </c>
      <c r="AF856" s="260">
        <f>IF(DecLat&gt;0,IF((90 - (DecLat-O856))&gt;90, (90 - (O856-DecLat)), (90 - (DecLat-O856))),IF((90 + (DecLat-O856))&gt;90, (90 + (O856-DecLat)), (90 + (DecLat-O856))))</f>
        <v>75.141111111111115</v>
      </c>
      <c r="AG856" s="257">
        <f>angularseperation(MoonRA,MoonDec,$M856,$O856)</f>
        <v>75.784391251628435</v>
      </c>
      <c r="AH856" s="261">
        <f ca="1">MIN(100,IF($O$5&gt;80,0+30*($AG856/100),IF($O$5&gt;70,0+50*($AG856/100),IF($O$5&gt;60,5+50*($AG856/100),IF($O$5&gt;50,10+60*($AG856/100),IF($O$5&gt;40,15+70*($AG856/100),IF($O$5&gt;30,20+70*($AG856/100),IF($O$5&gt;20,40+55*($AG856/100),(80+(20-$O$5)+30*($AG856/100))))))))))</f>
        <v>100</v>
      </c>
      <c r="AI856" s="262"/>
      <c r="AJ856" s="262"/>
      <c r="AK856" s="262"/>
      <c r="AL856" s="263"/>
      <c r="AM856" s="264"/>
      <c r="AN856" s="263"/>
      <c r="AO856" s="263"/>
      <c r="AP856" s="265"/>
      <c r="AQ856" s="266"/>
      <c r="AR856" s="267"/>
      <c r="AS856" s="263"/>
      <c r="AT856" s="263"/>
      <c r="AU856" s="263"/>
      <c r="AV856" s="264"/>
      <c r="AW856" s="263"/>
      <c r="AX856" s="263"/>
      <c r="AY856" s="263"/>
      <c r="AZ856" s="263"/>
      <c r="BA856" s="263"/>
      <c r="BB856" s="263"/>
      <c r="BC856" s="263"/>
      <c r="BD856" s="264"/>
      <c r="BE856" s="263"/>
      <c r="BF856" s="263"/>
      <c r="BG856" s="263"/>
      <c r="BH856" s="263"/>
      <c r="BI856" s="263"/>
      <c r="BJ856" s="404">
        <f>altaz(J2000_Bas,$O856,$M856,DecLat,DecLong,2)</f>
        <v>327.54504709754031</v>
      </c>
      <c r="BK856" s="378" t="s">
        <v>951</v>
      </c>
      <c r="BL856" s="379">
        <f>IF((2*G856)/60&lt;0.2,0.2,(2*G856)/60)</f>
        <v>0.2</v>
      </c>
      <c r="BM856" s="380">
        <f>MOD((50000+AD856-$B$3+(0/24)),1)</f>
        <v>0.96347514814260649</v>
      </c>
      <c r="BN856" s="381"/>
      <c r="BO856" s="382">
        <v>854</v>
      </c>
    </row>
    <row r="857" spans="1:67" s="24" customFormat="1" ht="15" customHeight="1" x14ac:dyDescent="0.25">
      <c r="A857" s="288" t="s">
        <v>952</v>
      </c>
      <c r="B857" s="241" t="str">
        <f>HYPERLINK(CONCATENATE($AT$3,BK857,$AU$3),$AV$3)</f>
        <v>S</v>
      </c>
      <c r="C857" s="242" t="str">
        <f>HYPERLINK(CONCATENATE($AT$4,BK857,$AU$4,BL857),$AV$4)</f>
        <v>A</v>
      </c>
      <c r="D857" s="243" t="s">
        <v>5638</v>
      </c>
      <c r="E857" s="244" t="s">
        <v>13</v>
      </c>
      <c r="F857" s="269"/>
      <c r="G857" s="273">
        <v>1.3</v>
      </c>
      <c r="H857" s="283">
        <v>13</v>
      </c>
      <c r="I857" s="279">
        <v>5</v>
      </c>
      <c r="J857" s="246">
        <v>0</v>
      </c>
      <c r="K857" s="247" t="s">
        <v>4673</v>
      </c>
      <c r="L857" s="248">
        <v>25652</v>
      </c>
      <c r="M857" s="249">
        <f>15*(LEFT(TEXT($L857,"000000"),2)+(MID(TEXT($L857,"000000"),3,2)/60)+(RIGHT(TEXT($L857,"000000"),2)/3600))</f>
        <v>44.216666666666669</v>
      </c>
      <c r="N857" s="250">
        <v>585442</v>
      </c>
      <c r="O857" s="251">
        <f>IF($N857&gt;0,(LEFT(TEXT($N857,"000000"),2)+(MID(TEXT($N857,"000000"),3,2)/60)+(RIGHT(TEXT($N857,"000000"),2)/3600)),-(MID(TEXT($N857,"000000"),2,2)+(MID(TEXT($N857,"000000"),4,2)/60)+(RIGHT(TEXT($N857,"000000"),2)/3600)))</f>
        <v>58.911666666666662</v>
      </c>
      <c r="P857" s="252" t="s">
        <v>49</v>
      </c>
      <c r="Q857" s="253"/>
      <c r="R857" s="247" t="s">
        <v>3293</v>
      </c>
      <c r="S857" s="272" t="s">
        <v>3293</v>
      </c>
      <c r="T857" s="273"/>
      <c r="U857" s="274"/>
      <c r="V857" s="280"/>
      <c r="W857" s="244"/>
      <c r="X857" s="244"/>
      <c r="Y857" s="362"/>
      <c r="Z857" s="257">
        <f>altaz(J2000_Bas,$O857,$M857,DecLat,DecLong,1)</f>
        <v>13.403947438713054</v>
      </c>
      <c r="AA857" s="257">
        <f>altaz((J2000_Bas+(2*0.04167)),$O857,$M857,DecLat,DecLong,1)</f>
        <v>27.097834644900818</v>
      </c>
      <c r="AB857" s="257">
        <f>altaz((J2000_Bas+(4*0.04167)),$O857,$M857,DecLat,DecLong,1)</f>
        <v>42.478632869218387</v>
      </c>
      <c r="AC857" s="257">
        <f>altaz((J2000_Bas+(6*0.04167)),$O857,$M857,DecLat,DecLong,1)</f>
        <v>56.305328920684161</v>
      </c>
      <c r="AD857" s="258">
        <f>1+ transit((J2000_Bas-1),$O857,$M857,DecLat,DecLong)/360 + (GMTOffset/24) + (IF(DST="Y", 1, 0)/24)</f>
        <v>1.1157240224213747</v>
      </c>
      <c r="AE857" s="259">
        <f>DATE(2001,9,21)+(M857/360)*365 - (360*((DecLong/360)- (GMTOffset/24) ))</f>
        <v>37204.830787037034</v>
      </c>
      <c r="AF857" s="260">
        <f>IF(DecLat&gt;0,IF((90 - (DecLat-O857))&gt;90, (90 - (O857-DecLat)), (90 - (DecLat-O857))),IF((90 + (DecLat-O857))&gt;90, (90 + (O857-DecLat)), (90 + (DecLat-O857))))</f>
        <v>62.088333333333338</v>
      </c>
      <c r="AG857" s="257">
        <f>angularseperation(MoonRA,MoonDec,$M857,$O857)</f>
        <v>143.75340966671675</v>
      </c>
      <c r="AH857" s="261">
        <f ca="1">MIN(100,IF($O$5&gt;80,0+30*($AG857/100),IF($O$5&gt;70,0+50*($AG857/100),IF($O$5&gt;60,5+50*($AG857/100),IF($O$5&gt;50,10+60*($AG857/100),IF($O$5&gt;40,15+70*($AG857/100),IF($O$5&gt;30,20+70*($AG857/100),IF($O$5&gt;20,40+55*($AG857/100),(80+(20-$O$5)+30*($AG857/100))))))))))</f>
        <v>100</v>
      </c>
      <c r="AI857" s="262"/>
      <c r="AJ857" s="262"/>
      <c r="AK857" s="262"/>
      <c r="AL857" s="263"/>
      <c r="AM857" s="264"/>
      <c r="AN857" s="263"/>
      <c r="AO857" s="263"/>
      <c r="AP857" s="265"/>
      <c r="AQ857" s="266"/>
      <c r="AR857" s="357">
        <v>100170</v>
      </c>
      <c r="AS857" s="263"/>
      <c r="AT857" s="263"/>
      <c r="AU857" s="263"/>
      <c r="AV857" s="264"/>
      <c r="AW857" s="263"/>
      <c r="AX857" s="263"/>
      <c r="AY857" s="263"/>
      <c r="AZ857" s="263"/>
      <c r="BA857" s="263"/>
      <c r="BB857" s="263"/>
      <c r="BC857" s="263"/>
      <c r="BD857" s="264"/>
      <c r="BE857" s="263"/>
      <c r="BF857" s="263"/>
      <c r="BG857" s="263"/>
      <c r="BH857" s="263"/>
      <c r="BI857" s="263"/>
      <c r="BJ857" s="404">
        <f>altaz(J2000_Bas,$O857,$M857,DecLat,DecLong,2)</f>
        <v>27.888388650726078</v>
      </c>
      <c r="BK857" s="378" t="s">
        <v>952</v>
      </c>
      <c r="BL857" s="379">
        <f>IF((2*G857)/60&lt;0.2,0.2,(2*G857)/60)</f>
        <v>0.2</v>
      </c>
      <c r="BM857" s="380">
        <f>MOD((50000+AD857-$B$3+(0/24)),1)</f>
        <v>0.3310909521242138</v>
      </c>
      <c r="BN857" s="381"/>
      <c r="BO857" s="382">
        <v>855</v>
      </c>
    </row>
    <row r="858" spans="1:67" s="24" customFormat="1" ht="15" customHeight="1" x14ac:dyDescent="0.25">
      <c r="A858" s="288" t="s">
        <v>953</v>
      </c>
      <c r="B858" s="241" t="str">
        <f>HYPERLINK(CONCATENATE($AT$3,BK858,$AU$3),$AV$3)</f>
        <v>S</v>
      </c>
      <c r="C858" s="242" t="str">
        <f>HYPERLINK(CONCATENATE($AT$4,BK858,$AU$4,BL858),$AV$4)</f>
        <v>A</v>
      </c>
      <c r="D858" s="243" t="s">
        <v>5638</v>
      </c>
      <c r="E858" s="244" t="s">
        <v>5192</v>
      </c>
      <c r="F858" s="269"/>
      <c r="G858" s="273">
        <v>3</v>
      </c>
      <c r="H858" s="283">
        <v>11</v>
      </c>
      <c r="I858" s="244">
        <v>10</v>
      </c>
      <c r="J858" s="246">
        <v>0</v>
      </c>
      <c r="K858" s="247" t="s">
        <v>4449</v>
      </c>
      <c r="L858" s="248">
        <v>25408</v>
      </c>
      <c r="M858" s="249">
        <f>15*(LEFT(TEXT($L858,"000000"),2)+(MID(TEXT($L858,"000000"),3,2)/60)+(RIGHT(TEXT($L858,"000000"),2)/3600))</f>
        <v>43.533333333333331</v>
      </c>
      <c r="N858" s="250">
        <v>590019</v>
      </c>
      <c r="O858" s="251">
        <f>IF($N858&gt;0,(LEFT(TEXT($N858,"000000"),2)+(MID(TEXT($N858,"000000"),3,2)/60)+(RIGHT(TEXT($N858,"000000"),2)/3600)),-(MID(TEXT($N858,"000000"),2,2)+(MID(TEXT($N858,"000000"),4,2)/60)+(RIGHT(TEXT($N858,"000000"),2)/3600)))</f>
        <v>59.005277777777778</v>
      </c>
      <c r="P858" s="252" t="s">
        <v>49</v>
      </c>
      <c r="Q858" s="253"/>
      <c r="R858" s="247" t="s">
        <v>3293</v>
      </c>
      <c r="S858" s="272" t="s">
        <v>3293</v>
      </c>
      <c r="T858" s="273"/>
      <c r="U858" s="274"/>
      <c r="V858" s="280"/>
      <c r="W858" s="244"/>
      <c r="X858" s="244"/>
      <c r="Y858" s="362"/>
      <c r="Z858" s="257">
        <f>altaz(J2000_Bas,$O858,$M858,DecLat,DecLong,1)</f>
        <v>13.737251789567821</v>
      </c>
      <c r="AA858" s="257">
        <f>altaz((J2000_Bas+(2*0.04167)),$O858,$M858,DecLat,DecLong,1)</f>
        <v>27.4624022703008</v>
      </c>
      <c r="AB858" s="257">
        <f>altaz((J2000_Bas+(4*0.04167)),$O858,$M858,DecLat,DecLong,1)</f>
        <v>42.809581778741304</v>
      </c>
      <c r="AC858" s="257">
        <f>altaz((J2000_Bas+(6*0.04167)),$O858,$M858,DecLat,DecLong,1)</f>
        <v>56.493197045022363</v>
      </c>
      <c r="AD858" s="258">
        <f>1+ transit((J2000_Bas-1),$O858,$M858,DecLat,DecLong)/360 + (GMTOffset/24) + (IF(DST="Y", 1, 0)/24)</f>
        <v>1.1138258744630414</v>
      </c>
      <c r="AE858" s="259">
        <f>DATE(2001,9,21)+(M858/360)*365 - (360*((DecLong/360)- (GMTOffset/24) ))</f>
        <v>37204.137962962966</v>
      </c>
      <c r="AF858" s="260">
        <f>IF(DecLat&gt;0,IF((90 - (DecLat-O858))&gt;90, (90 - (O858-DecLat)), (90 - (DecLat-O858))),IF((90 + (DecLat-O858))&gt;90, (90 + (O858-DecLat)), (90 + (DecLat-O858))))</f>
        <v>61.994722222222222</v>
      </c>
      <c r="AG858" s="257">
        <f>angularseperation(MoonRA,MoonDec,$M858,$O858)</f>
        <v>143.45519237751822</v>
      </c>
      <c r="AH858" s="261">
        <f ca="1">MIN(100,IF($O$5&gt;80,0+30*($AG858/100),IF($O$5&gt;70,0+50*($AG858/100),IF($O$5&gt;60,5+50*($AG858/100),IF($O$5&gt;50,10+60*($AG858/100),IF($O$5&gt;40,15+70*($AG858/100),IF($O$5&gt;30,20+70*($AG858/100),IF($O$5&gt;20,40+55*($AG858/100),(80+(20-$O$5)+30*($AG858/100))))))))))</f>
        <v>100</v>
      </c>
      <c r="AI858" s="262"/>
      <c r="AJ858" s="262"/>
      <c r="AK858" s="262"/>
      <c r="AL858" s="263"/>
      <c r="AM858" s="264"/>
      <c r="AN858" s="263"/>
      <c r="AO858" s="263"/>
      <c r="AP858" s="265"/>
      <c r="AQ858" s="266"/>
      <c r="AR858" s="357">
        <v>101304</v>
      </c>
      <c r="AS858" s="263"/>
      <c r="AT858" s="263"/>
      <c r="AU858" s="263"/>
      <c r="AV858" s="264"/>
      <c r="AW858" s="263"/>
      <c r="AX858" s="263"/>
      <c r="AY858" s="263"/>
      <c r="AZ858" s="263"/>
      <c r="BA858" s="263"/>
      <c r="BB858" s="263"/>
      <c r="BC858" s="263"/>
      <c r="BD858" s="264"/>
      <c r="BE858" s="263"/>
      <c r="BF858" s="263"/>
      <c r="BG858" s="263"/>
      <c r="BH858" s="263"/>
      <c r="BI858" s="263"/>
      <c r="BJ858" s="404">
        <f>altaz(J2000_Bas,$O858,$M858,DecLat,DecLong,2)</f>
        <v>28.040390834113737</v>
      </c>
      <c r="BK858" s="378" t="s">
        <v>953</v>
      </c>
      <c r="BL858" s="379">
        <f>IF((2*G858)/60&lt;0.2,0.2,(2*G858)/60)</f>
        <v>0.2</v>
      </c>
      <c r="BM858" s="380">
        <f>MOD((50000+AD858-$B$3+(0/24)),1)</f>
        <v>0.32919280416535912</v>
      </c>
      <c r="BN858" s="381"/>
      <c r="BO858" s="382">
        <v>856</v>
      </c>
    </row>
    <row r="859" spans="1:67" s="24" customFormat="1" ht="15" customHeight="1" x14ac:dyDescent="0.25">
      <c r="A859" s="288" t="s">
        <v>3070</v>
      </c>
      <c r="B859" s="241" t="str">
        <f>HYPERLINK(CONCATENATE($AT$3,BK859,$AU$3),$AV$3)</f>
        <v>S</v>
      </c>
      <c r="C859" s="242" t="str">
        <f>HYPERLINK(CONCATENATE($AT$4,BK859,$AU$4,BL859),$AV$4)</f>
        <v>A</v>
      </c>
      <c r="D859" s="243" t="s">
        <v>5187</v>
      </c>
      <c r="E859" s="244" t="s">
        <v>5181</v>
      </c>
      <c r="F859" s="269" t="s">
        <v>5735</v>
      </c>
      <c r="G859" s="273">
        <v>6</v>
      </c>
      <c r="H859" s="271" t="s">
        <v>6500</v>
      </c>
      <c r="I859" s="244" t="s">
        <v>6500</v>
      </c>
      <c r="J859" s="246">
        <v>3</v>
      </c>
      <c r="K859" s="277" t="s">
        <v>4452</v>
      </c>
      <c r="L859" s="248">
        <v>205013</v>
      </c>
      <c r="M859" s="249">
        <f>15*(LEFT(TEXT($L859,"000000"),2)+(MID(TEXT($L859,"000000"),3,2)/60)+(RIGHT(TEXT($L859,"000000"),2)/3600))</f>
        <v>312.55416666666667</v>
      </c>
      <c r="N859" s="286">
        <v>465500</v>
      </c>
      <c r="O859" s="251">
        <f>IF($N859&gt;0,(LEFT(TEXT($N859,"000000"),2)+(MID(TEXT($N859,"000000"),3,2)/60)+(RIGHT(TEXT($N859,"000000"),2)/3600)),-(MID(TEXT($N859,"000000"),2,2)+(MID(TEXT($N859,"000000"),4,2)/60)+(RIGHT(TEXT($N859,"000000"),2)/3600)))</f>
        <v>46.916666666666664</v>
      </c>
      <c r="P859" s="252" t="s">
        <v>60</v>
      </c>
      <c r="Q859" s="253" t="s">
        <v>3070</v>
      </c>
      <c r="R859" s="277" t="s">
        <v>4451</v>
      </c>
      <c r="S859" s="272" t="s">
        <v>3293</v>
      </c>
      <c r="T859" s="273"/>
      <c r="U859" s="274"/>
      <c r="V859" s="256"/>
      <c r="W859" s="244"/>
      <c r="X859" s="244"/>
      <c r="Y859" s="362"/>
      <c r="Z859" s="257">
        <f>altaz(J2000_Bas,$O859,$M859,DecLat,DecLong,1)</f>
        <v>64.14632603970793</v>
      </c>
      <c r="AA859" s="257">
        <f>altaz((J2000_Bas+(2*0.04167)),$O859,$M859,DecLat,DecLong,1)</f>
        <v>73.852478962978481</v>
      </c>
      <c r="AB859" s="257">
        <f>altaz((J2000_Bas+(4*0.04167)),$O859,$M859,DecLat,DecLong,1)</f>
        <v>59.738919674660522</v>
      </c>
      <c r="AC859" s="257">
        <f>altaz((J2000_Bas+(6*0.04167)),$O859,$M859,DecLat,DecLong,1)</f>
        <v>39.461663963378093</v>
      </c>
      <c r="AD859" s="258">
        <f>1+ transit((J2000_Bas-1),$O859,$M859,DecLat,DecLong)/360 + (GMTOffset/24) + (IF(DST="Y", 1, 0)/24)</f>
        <v>1.8611058923276247</v>
      </c>
      <c r="AE859" s="259">
        <f>DATE(2001,9,21)+(M859/360)*365 - (360*((DecLong/360)- (GMTOffset/24) ))</f>
        <v>37476.895196759258</v>
      </c>
      <c r="AF859" s="260">
        <f>IF(DecLat&gt;0,IF((90 - (DecLat-O859))&gt;90, (90 - (O859-DecLat)), (90 - (DecLat-O859))),IF((90 + (DecLat-O859))&gt;90, (90 + (O859-DecLat)), (90 + (DecLat-O859))))</f>
        <v>74.083333333333343</v>
      </c>
      <c r="AG859" s="257">
        <f>angularseperation(MoonRA,MoonDec,$M859,$O859)</f>
        <v>93.40489941395748</v>
      </c>
      <c r="AH859" s="261">
        <f ca="1">MIN(100,IF($O$5&gt;80,0+30*($AG859/100),IF($O$5&gt;70,0+50*($AG859/100),IF($O$5&gt;60,5+50*($AG859/100),IF($O$5&gt;50,10+60*($AG859/100),IF($O$5&gt;40,15+70*($AG859/100),IF($O$5&gt;30,20+70*($AG859/100),IF($O$5&gt;20,40+55*($AG859/100),(80+(20-$O$5)+30*($AG859/100))))))))))</f>
        <v>100</v>
      </c>
      <c r="AI859" s="263"/>
      <c r="AJ859" s="263"/>
      <c r="AK859" s="263"/>
      <c r="AL859" s="263"/>
      <c r="AM859" s="264"/>
      <c r="AN859" s="263"/>
      <c r="AO859" s="263"/>
      <c r="AP859" s="265"/>
      <c r="AQ859" s="265"/>
      <c r="AR859" s="285"/>
      <c r="AS859" s="263"/>
      <c r="AT859" s="263"/>
      <c r="AU859" s="263"/>
      <c r="AV859" s="264"/>
      <c r="AW859" s="263"/>
      <c r="AX859" s="263"/>
      <c r="AY859" s="263"/>
      <c r="AZ859" s="263"/>
      <c r="BA859" s="263"/>
      <c r="BB859" s="263"/>
      <c r="BC859" s="263"/>
      <c r="BD859" s="264"/>
      <c r="BE859" s="263"/>
      <c r="BF859" s="263"/>
      <c r="BG859" s="263"/>
      <c r="BH859" s="263"/>
      <c r="BI859" s="263"/>
      <c r="BJ859" s="404">
        <f>altaz(J2000_Bas,$O859,$M859,DecLat,DecLong,2)</f>
        <v>44.441396692667077</v>
      </c>
      <c r="BK859" s="378" t="s">
        <v>4450</v>
      </c>
      <c r="BL859" s="379">
        <f>IF((2*G859)/60&lt;0.2,0.2,(2*G859)/60)</f>
        <v>0.2</v>
      </c>
      <c r="BM859" s="380">
        <f>MOD((50000+AD859-$B$3+(0/24)),1)</f>
        <v>7.6472822031064425E-2</v>
      </c>
      <c r="BN859" s="381"/>
      <c r="BO859" s="382">
        <v>857</v>
      </c>
    </row>
    <row r="860" spans="1:67" s="24" customFormat="1" ht="15" customHeight="1" x14ac:dyDescent="0.25">
      <c r="A860" s="288" t="s">
        <v>4454</v>
      </c>
      <c r="B860" s="241" t="str">
        <f>HYPERLINK(CONCATENATE($AT$3,BK860,$AU$3),$AV$3)</f>
        <v>S</v>
      </c>
      <c r="C860" s="242" t="str">
        <f>HYPERLINK(CONCATENATE($AT$4,BK860,$AU$4,BL860),$AV$4)</f>
        <v>A</v>
      </c>
      <c r="D860" s="243" t="s">
        <v>5187</v>
      </c>
      <c r="E860" s="244" t="s">
        <v>5181</v>
      </c>
      <c r="F860" s="269" t="s">
        <v>5231</v>
      </c>
      <c r="G860" s="273">
        <v>3.5</v>
      </c>
      <c r="H860" s="271">
        <v>1000</v>
      </c>
      <c r="I860" s="245">
        <v>1</v>
      </c>
      <c r="J860" s="246">
        <v>3</v>
      </c>
      <c r="K860" s="277" t="s">
        <v>4456</v>
      </c>
      <c r="L860" s="248">
        <v>10706</v>
      </c>
      <c r="M860" s="249">
        <f>15*(LEFT(TEXT($L860,"000000"),2)+(MID(TEXT($L860,"000000"),3,2)/60)+(RIGHT(TEXT($L860,"000000"),2)/3600))</f>
        <v>16.775000000000002</v>
      </c>
      <c r="N860" s="250">
        <v>733300</v>
      </c>
      <c r="O860" s="251">
        <f>IF($N860&gt;0,(LEFT(TEXT($N860,"000000"),2)+(MID(TEXT($N860,"000000"),3,2)/60)+(RIGHT(TEXT($N860,"000000"),2)/3600)),-(MID(TEXT($N860,"000000"),2,2)+(MID(TEXT($N860,"000000"),4,2)/60)+(RIGHT(TEXT($N860,"000000"),2)/3600)))</f>
        <v>73.55</v>
      </c>
      <c r="P860" s="252" t="s">
        <v>49</v>
      </c>
      <c r="Q860" s="253"/>
      <c r="R860" s="277" t="s">
        <v>955</v>
      </c>
      <c r="S860" s="272" t="s">
        <v>3293</v>
      </c>
      <c r="T860" s="273">
        <v>16.399999999999999</v>
      </c>
      <c r="U860" s="274"/>
      <c r="V860" s="256"/>
      <c r="W860" s="244"/>
      <c r="X860" s="244"/>
      <c r="Y860" s="362"/>
      <c r="Z860" s="257">
        <f>altaz(J2000_Bas,$O860,$M860,DecLat,DecLong,1)</f>
        <v>29.385555745167448</v>
      </c>
      <c r="AA860" s="257">
        <f>altaz((J2000_Bas+(2*0.04167)),$O860,$M860,DecLat,DecLong,1)</f>
        <v>37.791481065066343</v>
      </c>
      <c r="AB860" s="257">
        <f>altaz((J2000_Bas+(4*0.04167)),$O860,$M860,DecLat,DecLong,1)</f>
        <v>44.658375333837228</v>
      </c>
      <c r="AC860" s="257">
        <f>altaz((J2000_Bas+(6*0.04167)),$O860,$M860,DecLat,DecLong,1)</f>
        <v>47.449157107507602</v>
      </c>
      <c r="AD860" s="258">
        <f>1+ transit((J2000_Bas-1),$O860,$M860,DecLat,DecLong)/360 + (GMTOffset/24) + (IF(DST="Y", 1, 0)/24)</f>
        <v>1.039497178192208</v>
      </c>
      <c r="AE860" s="259">
        <f>DATE(2001,9,21)+(M860/360)*365 - (360*((DecLong/360)- (GMTOffset/24) ))</f>
        <v>37177.007986111108</v>
      </c>
      <c r="AF860" s="260">
        <f>IF(DecLat&gt;0,IF((90 - (DecLat-O860))&gt;90, (90 - (O860-DecLat)), (90 - (DecLat-O860))),IF((90 + (DecLat-O860))&gt;90, (90 + (O860-DecLat)), (90 + (DecLat-O860))))</f>
        <v>47.45</v>
      </c>
      <c r="AG860" s="257">
        <f>angularseperation(MoonRA,MoonDec,$M860,$O860)</f>
        <v>126.1755007945029</v>
      </c>
      <c r="AH860" s="261">
        <f ca="1">MIN(100,IF($O$5&gt;80,0+30*($AG860/100),IF($O$5&gt;70,0+50*($AG860/100),IF($O$5&gt;60,5+50*($AG860/100),IF($O$5&gt;50,10+60*($AG860/100),IF($O$5&gt;40,15+70*($AG860/100),IF($O$5&gt;30,20+70*($AG860/100),IF($O$5&gt;20,40+55*($AG860/100),(80+(20-$O$5)+30*($AG860/100))))))))))</f>
        <v>100</v>
      </c>
      <c r="AI860" s="262"/>
      <c r="AJ860" s="262"/>
      <c r="AK860" s="262"/>
      <c r="AL860" s="263"/>
      <c r="AM860" s="264"/>
      <c r="AN860" s="263"/>
      <c r="AO860" s="263"/>
      <c r="AP860" s="265"/>
      <c r="AQ860" s="266"/>
      <c r="AR860" s="267"/>
      <c r="AS860" s="263"/>
      <c r="AT860" s="263"/>
      <c r="AU860" s="263"/>
      <c r="AV860" s="264"/>
      <c r="AW860" s="263"/>
      <c r="AX860" s="263"/>
      <c r="AY860" s="263"/>
      <c r="AZ860" s="263"/>
      <c r="BA860" s="263"/>
      <c r="BB860" s="263"/>
      <c r="BC860" s="263"/>
      <c r="BD860" s="264"/>
      <c r="BE860" s="263"/>
      <c r="BF860" s="263"/>
      <c r="BG860" s="263"/>
      <c r="BH860" s="263"/>
      <c r="BI860" s="263"/>
      <c r="BJ860" s="404">
        <f>altaz(J2000_Bas,$O860,$M860,DecLat,DecLong,2)</f>
        <v>18.963355478073073</v>
      </c>
      <c r="BK860" s="378" t="s">
        <v>954</v>
      </c>
      <c r="BL860" s="379">
        <f>IF((2*G860)/60&lt;0.2,0.2,(2*G860)/60)</f>
        <v>0.2</v>
      </c>
      <c r="BM860" s="380">
        <f>MOD((50000+AD860-$B$3+(0/24)),1)</f>
        <v>0.25486410789744696</v>
      </c>
      <c r="BN860" s="381"/>
      <c r="BO860" s="382">
        <v>858</v>
      </c>
    </row>
    <row r="861" spans="1:67" s="24" customFormat="1" ht="15" customHeight="1" x14ac:dyDescent="0.25">
      <c r="A861" s="288" t="s">
        <v>4453</v>
      </c>
      <c r="B861" s="241" t="str">
        <f>HYPERLINK(CONCATENATE($AT$3,BK861,$AU$3),$AV$3)</f>
        <v>S</v>
      </c>
      <c r="C861" s="242" t="str">
        <f>HYPERLINK(CONCATENATE($AT$4,BK861,$AU$4,BL861),$AV$4)</f>
        <v>A</v>
      </c>
      <c r="D861" s="243" t="s">
        <v>5187</v>
      </c>
      <c r="E861" s="244" t="s">
        <v>5181</v>
      </c>
      <c r="F861" s="293" t="s">
        <v>6030</v>
      </c>
      <c r="G861" s="273">
        <v>2</v>
      </c>
      <c r="H861" s="271">
        <v>1200</v>
      </c>
      <c r="I861" s="308">
        <v>0.7</v>
      </c>
      <c r="J861" s="246">
        <v>2</v>
      </c>
      <c r="K861" s="247" t="s">
        <v>6031</v>
      </c>
      <c r="L861" s="248">
        <v>62934</v>
      </c>
      <c r="M861" s="249">
        <f>15*(LEFT(TEXT($L861,"000000"),2)+(MID(TEXT($L861,"000000"),3,2)/60)+(RIGHT(TEXT($L861,"000000"),2)/3600))</f>
        <v>97.391666666666666</v>
      </c>
      <c r="N861" s="250">
        <v>710437</v>
      </c>
      <c r="O861" s="251">
        <f>IF($N861&gt;0,(LEFT(TEXT($N861,"000000"),2)+(MID(TEXT($N861,"000000"),3,2)/60)+(RIGHT(TEXT($N861,"000000"),2)/3600)),-(MID(TEXT($N861,"000000"),2,2)+(MID(TEXT($N861,"000000"),4,2)/60)+(RIGHT(TEXT($N861,"000000"),2)/3600)))</f>
        <v>71.076944444444436</v>
      </c>
      <c r="P861" s="252" t="s">
        <v>226</v>
      </c>
      <c r="Q861" s="253"/>
      <c r="R861" s="277" t="s">
        <v>3293</v>
      </c>
      <c r="S861" s="272" t="s">
        <v>3293</v>
      </c>
      <c r="T861" s="273">
        <v>13.3</v>
      </c>
      <c r="U861" s="274"/>
      <c r="V861" s="256"/>
      <c r="W861" s="244"/>
      <c r="X861" s="244"/>
      <c r="Y861" s="362"/>
      <c r="Z861" s="257">
        <f>altaz(J2000_Bas,$O861,$M861,DecLat,DecLong,1)</f>
        <v>12.260603612808481</v>
      </c>
      <c r="AA861" s="257">
        <f>altaz((J2000_Bas+(2*0.04167)),$O861,$M861,DecLat,DecLong,1)</f>
        <v>15.678959845313722</v>
      </c>
      <c r="AB861" s="257">
        <f>altaz((J2000_Bas+(4*0.04167)),$O861,$M861,DecLat,DecLong,1)</f>
        <v>22.742422483121427</v>
      </c>
      <c r="AC861" s="257">
        <f>altaz((J2000_Bas+(6*0.04167)),$O861,$M861,DecLat,DecLong,1)</f>
        <v>32.008098347651234</v>
      </c>
      <c r="AD861" s="258">
        <f>1+ transit((J2000_Bas-1),$O861,$M861,DecLat,DecLong)/360 + (GMTOffset/24) + (IF(DST="Y", 1, 0)/24)</f>
        <v>1.2634323409838746</v>
      </c>
      <c r="AE861" s="259">
        <f>DATE(2001,9,21)+(M861/360)*365 - (360*((DecLong/360)- (GMTOffset/24) ))</f>
        <v>37258.744328703702</v>
      </c>
      <c r="AF861" s="260">
        <f>IF(DecLat&gt;0,IF((90 - (DecLat-O861))&gt;90, (90 - (O861-DecLat)), (90 - (DecLat-O861))),IF((90 + (DecLat-O861))&gt;90, (90 + (O861-DecLat)), (90 + (DecLat-O861))))</f>
        <v>49.923055555555564</v>
      </c>
      <c r="AG861" s="257">
        <f>angularseperation(MoonRA,MoonDec,$M861,$O861)</f>
        <v>133.25717015764326</v>
      </c>
      <c r="AH861" s="261">
        <f ca="1">MIN(100,IF($O$5&gt;80,0+30*($AG861/100),IF($O$5&gt;70,0+50*($AG861/100),IF($O$5&gt;60,5+50*($AG861/100),IF($O$5&gt;50,10+60*($AG861/100),IF($O$5&gt;40,15+70*($AG861/100),IF($O$5&gt;30,20+70*($AG861/100),IF($O$5&gt;20,40+55*($AG861/100),(80+(20-$O$5)+30*($AG861/100))))))))))</f>
        <v>100</v>
      </c>
      <c r="AI861" s="263"/>
      <c r="AJ861" s="263"/>
      <c r="AK861" s="263"/>
      <c r="AL861" s="263"/>
      <c r="AM861" s="264"/>
      <c r="AN861" s="263"/>
      <c r="AO861" s="263"/>
      <c r="AP861" s="265"/>
      <c r="AQ861" s="265"/>
      <c r="AR861" s="285"/>
      <c r="AS861" s="263"/>
      <c r="AT861" s="263"/>
      <c r="AU861" s="263"/>
      <c r="AV861" s="264"/>
      <c r="AW861" s="263"/>
      <c r="AX861" s="263"/>
      <c r="AY861" s="263"/>
      <c r="AZ861" s="263"/>
      <c r="BA861" s="263"/>
      <c r="BB861" s="263"/>
      <c r="BC861" s="263"/>
      <c r="BD861" s="264"/>
      <c r="BE861" s="263"/>
      <c r="BF861" s="263"/>
      <c r="BG861" s="263"/>
      <c r="BH861" s="263"/>
      <c r="BI861" s="263"/>
      <c r="BJ861" s="404">
        <f>altaz(J2000_Bas,$O861,$M861,DecLat,DecLong,2)</f>
        <v>2.848124019706169</v>
      </c>
      <c r="BK861" s="378" t="s">
        <v>956</v>
      </c>
      <c r="BL861" s="379">
        <f>IF((2*G861)/60&lt;0.2,0.2,(2*G861)/60)</f>
        <v>0.2</v>
      </c>
      <c r="BM861" s="380">
        <f>MOD((50000+AD861-$B$3+(0/24)),1)</f>
        <v>0.47879927069152473</v>
      </c>
      <c r="BN861" s="381"/>
      <c r="BO861" s="382">
        <v>859</v>
      </c>
    </row>
    <row r="862" spans="1:67" s="24" customFormat="1" ht="15" customHeight="1" x14ac:dyDescent="0.25">
      <c r="A862" s="288" t="s">
        <v>4455</v>
      </c>
      <c r="B862" s="241" t="str">
        <f>HYPERLINK(CONCATENATE($AT$3,BK862,$AU$3),$AV$3)</f>
        <v>S</v>
      </c>
      <c r="C862" s="242" t="str">
        <f>HYPERLINK(CONCATENATE($AT$4,BK862,$AU$4,BL862),$AV$4)</f>
        <v>A</v>
      </c>
      <c r="D862" s="243" t="s">
        <v>5187</v>
      </c>
      <c r="E862" s="244" t="s">
        <v>5181</v>
      </c>
      <c r="F862" s="269" t="s">
        <v>9108</v>
      </c>
      <c r="G862" s="276">
        <v>12</v>
      </c>
      <c r="H862" s="271">
        <v>2100</v>
      </c>
      <c r="I862" s="245">
        <v>8</v>
      </c>
      <c r="J862" s="246">
        <v>1</v>
      </c>
      <c r="K862" s="247" t="s">
        <v>9361</v>
      </c>
      <c r="L862" s="248">
        <v>95300</v>
      </c>
      <c r="M862" s="249">
        <f>15*(LEFT(TEXT($L862,"000000"),2)+(MID(TEXT($L862,"000000"),3,2)/60)+(RIGHT(TEXT($L862,"000000"),2)/3600))</f>
        <v>148.25</v>
      </c>
      <c r="N862" s="250">
        <v>134500</v>
      </c>
      <c r="O862" s="251">
        <f>IF($N862&gt;0,(LEFT(TEXT($N862,"000000"),2)+(MID(TEXT($N862,"000000"),3,2)/60)+(RIGHT(TEXT($N862,"000000"),2)/3600)),-(MID(TEXT($N862,"000000"),2,2)+(MID(TEXT($N862,"000000"),4,2)/60)+(RIGHT(TEXT($N862,"000000"),2)/3600)))</f>
        <v>13.75</v>
      </c>
      <c r="P862" s="252" t="s">
        <v>183</v>
      </c>
      <c r="Q862" s="253"/>
      <c r="R862" s="247" t="s">
        <v>3293</v>
      </c>
      <c r="S862" s="272" t="s">
        <v>3293</v>
      </c>
      <c r="T862" s="273">
        <v>16</v>
      </c>
      <c r="U862" s="274"/>
      <c r="V862" s="256"/>
      <c r="W862" s="244"/>
      <c r="X862" s="244"/>
      <c r="Y862" s="362"/>
      <c r="Z862" s="257">
        <f>altaz(J2000_Bas,$O862,$M862,DecLat,DecLong,1)</f>
        <v>-29.598293144346801</v>
      </c>
      <c r="AA862" s="257">
        <f>altaz((J2000_Bas+(2*0.04167)),$O862,$M862,DecLat,DecLong,1)</f>
        <v>-43.74862861764197</v>
      </c>
      <c r="AB862" s="257">
        <f>altaz((J2000_Bas+(4*0.04167)),$O862,$M862,DecLat,DecLong,1)</f>
        <v>-42.050527507238428</v>
      </c>
      <c r="AC862" s="257">
        <f>altaz((J2000_Bas+(6*0.04167)),$O862,$M862,DecLat,DecLong,1)</f>
        <v>-25.762073723987786</v>
      </c>
      <c r="AD862" s="258">
        <f>1+ transit((J2000_Bas-1),$O862,$M862,DecLat,DecLong)/360 + (GMTOffset/24) + (IF(DST="Y", 1, 0)/24)</f>
        <v>1.4047054750047081</v>
      </c>
      <c r="AE862" s="259">
        <f>DATE(2001,9,21)+(M862/360)*365 - (360*((DecLong/360)- (GMTOffset/24) ))</f>
        <v>37310.309027777781</v>
      </c>
      <c r="AF862" s="260">
        <f>IF(DecLat&gt;0,IF((90 - (DecLat-O862))&gt;90, (90 - (O862-DecLat)), (90 - (DecLat-O862))),IF((90 + (DecLat-O862))&gt;90, (90 + (O862-DecLat)), (90 + (DecLat-O862))))</f>
        <v>72.75</v>
      </c>
      <c r="AG862" s="257">
        <f>angularseperation(MoonRA,MoonDec,$M862,$O862)</f>
        <v>105.84966463506264</v>
      </c>
      <c r="AH862" s="261">
        <f ca="1">MIN(100,IF($O$5&gt;80,0+30*($AG862/100),IF($O$5&gt;70,0+50*($AG862/100),IF($O$5&gt;60,5+50*($AG862/100),IF($O$5&gt;50,10+60*($AG862/100),IF($O$5&gt;40,15+70*($AG862/100),IF($O$5&gt;30,20+70*($AG862/100),IF($O$5&gt;20,40+55*($AG862/100),(80+(20-$O$5)+30*($AG862/100))))))))))</f>
        <v>100</v>
      </c>
      <c r="AI862" s="262"/>
      <c r="AJ862" s="262"/>
      <c r="AK862" s="262"/>
      <c r="AL862" s="263"/>
      <c r="AM862" s="264"/>
      <c r="AN862" s="263"/>
      <c r="AO862" s="263"/>
      <c r="AP862" s="265"/>
      <c r="AQ862" s="266"/>
      <c r="AR862" s="267"/>
      <c r="AS862" s="263"/>
      <c r="AT862" s="263"/>
      <c r="AU862" s="263"/>
      <c r="AV862" s="264"/>
      <c r="AW862" s="263"/>
      <c r="AX862" s="263"/>
      <c r="AY862" s="263"/>
      <c r="AZ862" s="263"/>
      <c r="BA862" s="263"/>
      <c r="BB862" s="263"/>
      <c r="BC862" s="263"/>
      <c r="BD862" s="264"/>
      <c r="BE862" s="263"/>
      <c r="BF862" s="263"/>
      <c r="BG862" s="263"/>
      <c r="BH862" s="263"/>
      <c r="BI862" s="263">
        <v>64</v>
      </c>
      <c r="BJ862" s="404">
        <f>altaz(J2000_Bas,$O862,$M862,DecLat,DecLong,2)</f>
        <v>311.3165915330693</v>
      </c>
      <c r="BK862" s="378" t="s">
        <v>957</v>
      </c>
      <c r="BL862" s="379">
        <f>IF((2*G862)/60&lt;0.2,0.2,(2*G862)/60)</f>
        <v>0.4</v>
      </c>
      <c r="BM862" s="380">
        <f>MOD((50000+AD862-$B$3+(0/24)),1)</f>
        <v>0.62007240470848046</v>
      </c>
      <c r="BN862" s="381"/>
      <c r="BO862" s="382">
        <v>860</v>
      </c>
    </row>
    <row r="863" spans="1:67" s="24" customFormat="1" ht="15" customHeight="1" x14ac:dyDescent="0.25">
      <c r="A863" s="288" t="s">
        <v>3180</v>
      </c>
      <c r="B863" s="241" t="str">
        <f>HYPERLINK(CONCATENATE($AT$3,BK863,$AU$3),$AV$3)</f>
        <v>S</v>
      </c>
      <c r="C863" s="242" t="str">
        <f>HYPERLINK(CONCATENATE($AT$4,BK863,$AU$4,BL863),$AV$4)</f>
        <v>A</v>
      </c>
      <c r="D863" s="243" t="s">
        <v>5187</v>
      </c>
      <c r="E863" s="244" t="s">
        <v>5183</v>
      </c>
      <c r="F863" s="269" t="s">
        <v>9158</v>
      </c>
      <c r="G863" s="276">
        <v>60</v>
      </c>
      <c r="H863" s="271" t="s">
        <v>6500</v>
      </c>
      <c r="I863" s="244" t="s">
        <v>6500</v>
      </c>
      <c r="J863" s="246">
        <v>2</v>
      </c>
      <c r="K863" s="247" t="s">
        <v>6032</v>
      </c>
      <c r="L863" s="248">
        <v>200406</v>
      </c>
      <c r="M863" s="249">
        <f>15*(LEFT(TEXT($L863,"000000"),2)+(MID(TEXT($L863,"000000"),3,2)/60)+(RIGHT(TEXT($L863,"000000"),2)/3600))</f>
        <v>301.02499999999998</v>
      </c>
      <c r="N863" s="250">
        <v>713558</v>
      </c>
      <c r="O863" s="251">
        <f>IF($N863&gt;0,(LEFT(TEXT($N863,"000000"),2)+(MID(TEXT($N863,"000000"),3,2)/60)+(RIGHT(TEXT($N863,"000000"),2)/3600)),-(MID(TEXT($N863,"000000"),2,2)+(MID(TEXT($N863,"000000"),4,2)/60)+(RIGHT(TEXT($N863,"000000"),2)/3600)))</f>
        <v>71.599444444444444</v>
      </c>
      <c r="P863" s="252" t="s">
        <v>34</v>
      </c>
      <c r="Q863" s="253"/>
      <c r="R863" s="277" t="s">
        <v>3293</v>
      </c>
      <c r="S863" s="272" t="s">
        <v>3293</v>
      </c>
      <c r="T863" s="273"/>
      <c r="U863" s="274"/>
      <c r="V863" s="256"/>
      <c r="W863" s="244"/>
      <c r="X863" s="244"/>
      <c r="Y863" s="362"/>
      <c r="Z863" s="257">
        <f>altaz(J2000_Bas,$O863,$M863,DecLat,DecLong,1)</f>
        <v>48.593040552059527</v>
      </c>
      <c r="AA863" s="257">
        <f>altaz((J2000_Bas+(2*0.04167)),$O863,$M863,DecLat,DecLong,1)</f>
        <v>48.588815350030018</v>
      </c>
      <c r="AB863" s="257">
        <f>altaz((J2000_Bas+(4*0.04167)),$O863,$M863,DecLat,DecLong,1)</f>
        <v>42.807582332090533</v>
      </c>
      <c r="AC863" s="257">
        <f>altaz((J2000_Bas+(6*0.04167)),$O863,$M863,DecLat,DecLong,1)</f>
        <v>33.895465592641905</v>
      </c>
      <c r="AD863" s="258">
        <f>1+ transit((J2000_Bas-1),$O863,$M863,DecLat,DecLong)/360 + (GMTOffset/24) + (IF(DST="Y", 1, 0)/24)</f>
        <v>1.8290804325672079</v>
      </c>
      <c r="AE863" s="259">
        <f>DATE(2001,9,21)+(M863/360)*365 - (360*((DecLong/360)- (GMTOffset/24) ))</f>
        <v>37465.20590277778</v>
      </c>
      <c r="AF863" s="260">
        <f>IF(DecLat&gt;0,IF((90 - (DecLat-O863))&gt;90, (90 - (O863-DecLat)), (90 - (DecLat-O863))),IF((90 + (DecLat-O863))&gt;90, (90 + (O863-DecLat)), (90 + (DecLat-O863))))</f>
        <v>49.400555555555556</v>
      </c>
      <c r="AG863" s="257">
        <f>angularseperation(MoonRA,MoonDec,$M863,$O863)</f>
        <v>104.96062806129804</v>
      </c>
      <c r="AH863" s="261">
        <f ca="1">MIN(100,IF($O$5&gt;80,0+30*($AG863/100),IF($O$5&gt;70,0+50*($AG863/100),IF($O$5&gt;60,5+50*($AG863/100),IF($O$5&gt;50,10+60*($AG863/100),IF($O$5&gt;40,15+70*($AG863/100),IF($O$5&gt;30,20+70*($AG863/100),IF($O$5&gt;20,40+55*($AG863/100),(80+(20-$O$5)+30*($AG863/100))))))))))</f>
        <v>100</v>
      </c>
      <c r="AI863" s="263"/>
      <c r="AJ863" s="263"/>
      <c r="AK863" s="263"/>
      <c r="AL863" s="263"/>
      <c r="AM863" s="264"/>
      <c r="AN863" s="263"/>
      <c r="AO863" s="263"/>
      <c r="AP863" s="265"/>
      <c r="AQ863" s="265"/>
      <c r="AR863" s="285"/>
      <c r="AS863" s="263"/>
      <c r="AT863" s="263"/>
      <c r="AU863" s="263"/>
      <c r="AV863" s="264"/>
      <c r="AW863" s="263"/>
      <c r="AX863" s="263"/>
      <c r="AY863" s="263"/>
      <c r="AZ863" s="263"/>
      <c r="BA863" s="263"/>
      <c r="BB863" s="263"/>
      <c r="BC863" s="263"/>
      <c r="BD863" s="264"/>
      <c r="BE863" s="263"/>
      <c r="BF863" s="263"/>
      <c r="BG863" s="263"/>
      <c r="BH863" s="263"/>
      <c r="BI863" s="263"/>
      <c r="BJ863" s="404">
        <f>altaz(J2000_Bas,$O863,$M863,DecLat,DecLong,2)</f>
        <v>7.1058517745177676</v>
      </c>
      <c r="BK863" s="378" t="s">
        <v>3180</v>
      </c>
      <c r="BL863" s="379">
        <f>IF((2*G863)/60&lt;0.2,0.2,(2*G863)/60)</f>
        <v>2</v>
      </c>
      <c r="BM863" s="380">
        <f>MOD((50000+AD863-$B$3+(0/24)),1)</f>
        <v>4.4447362270148005E-2</v>
      </c>
      <c r="BN863" s="381"/>
      <c r="BO863" s="382">
        <v>861</v>
      </c>
    </row>
    <row r="864" spans="1:67" s="24" customFormat="1" ht="15" customHeight="1" x14ac:dyDescent="0.25">
      <c r="A864" s="288" t="s">
        <v>958</v>
      </c>
      <c r="B864" s="241" t="str">
        <f>HYPERLINK(CONCATENATE($AT$3,BK864,$AU$3),$AV$3)</f>
        <v>S</v>
      </c>
      <c r="C864" s="242" t="str">
        <f>HYPERLINK(CONCATENATE($AT$4,BK864,$AU$4,BL864),$AV$4)</f>
        <v>A</v>
      </c>
      <c r="D864" s="243" t="s">
        <v>5187</v>
      </c>
      <c r="E864" s="244" t="s">
        <v>936</v>
      </c>
      <c r="F864" s="269" t="s">
        <v>9121</v>
      </c>
      <c r="G864" s="270">
        <v>0.5</v>
      </c>
      <c r="H864" s="271">
        <v>3000</v>
      </c>
      <c r="I864" s="308">
        <v>0.45</v>
      </c>
      <c r="J864" s="246">
        <v>4</v>
      </c>
      <c r="K864" s="247" t="s">
        <v>5003</v>
      </c>
      <c r="L864" s="248">
        <v>210218</v>
      </c>
      <c r="M864" s="249">
        <f>15*(LEFT(TEXT($L864,"000000"),2)+(MID(TEXT($L864,"000000"),3,2)/60)+(RIGHT(TEXT($L864,"000000"),2)/3600))</f>
        <v>315.57499999999999</v>
      </c>
      <c r="N864" s="250">
        <v>364200</v>
      </c>
      <c r="O864" s="251">
        <f>IF($N864&gt;0,(LEFT(TEXT($N864,"000000"),2)+(MID(TEXT($N864,"000000"),3,2)/60)+(RIGHT(TEXT($N864,"000000"),2)/3600)),-(MID(TEXT($N864,"000000"),2,2)+(MID(TEXT($N864,"000000"),4,2)/60)+(RIGHT(TEXT($N864,"000000"),2)/3600)))</f>
        <v>36.700000000000003</v>
      </c>
      <c r="P864" s="252" t="s">
        <v>60</v>
      </c>
      <c r="Q864" s="253" t="s">
        <v>6979</v>
      </c>
      <c r="R864" s="247" t="s">
        <v>5051</v>
      </c>
      <c r="S864" s="272" t="s">
        <v>3293</v>
      </c>
      <c r="T864" s="273"/>
      <c r="U864" s="274"/>
      <c r="V864" s="256"/>
      <c r="W864" s="244"/>
      <c r="X864" s="244"/>
      <c r="Y864" s="362"/>
      <c r="Z864" s="257">
        <f>altaz(J2000_Bas,$O864,$M864,DecLat,DecLong,1)</f>
        <v>64.894599153485586</v>
      </c>
      <c r="AA864" s="257">
        <f>altaz((J2000_Bas+(2*0.04167)),$O864,$M864,DecLat,DecLong,1)</f>
        <v>84.284181810651589</v>
      </c>
      <c r="AB864" s="257">
        <f>altaz((J2000_Bas+(4*0.04167)),$O864,$M864,DecLat,DecLong,1)</f>
        <v>64.075349603702875</v>
      </c>
      <c r="AC864" s="257">
        <f>altaz((J2000_Bas+(6*0.04167)),$O864,$M864,DecLat,DecLong,1)</f>
        <v>40.11521175462989</v>
      </c>
      <c r="AD864" s="258">
        <f>1+ transit((J2000_Bas-1),$O864,$M864,DecLat,DecLong)/360 + (GMTOffset/24) + (IF(DST="Y", 1, 0)/24)</f>
        <v>1.8694970951922081</v>
      </c>
      <c r="AE864" s="259">
        <f>DATE(2001,9,21)+(M864/360)*365 - (360*((DecLong/360)- (GMTOffset/24) ))</f>
        <v>37479.957986111112</v>
      </c>
      <c r="AF864" s="260">
        <f>IF(DecLat&gt;0,IF((90 - (DecLat-O864))&gt;90, (90 - (O864-DecLat)), (90 - (DecLat-O864))),IF((90 + (DecLat-O864))&gt;90, (90 + (O864-DecLat)), (90 + (DecLat-O864))))</f>
        <v>84.3</v>
      </c>
      <c r="AG864" s="257">
        <f>angularseperation(MoonRA,MoonDec,$M864,$O864)</f>
        <v>89.171677591063897</v>
      </c>
      <c r="AH864" s="261">
        <f ca="1">MIN(100,IF($O$5&gt;80,0+30*($AG864/100),IF($O$5&gt;70,0+50*($AG864/100),IF($O$5&gt;60,5+50*($AG864/100),IF($O$5&gt;50,10+60*($AG864/100),IF($O$5&gt;40,15+70*($AG864/100),IF($O$5&gt;30,20+70*($AG864/100),IF($O$5&gt;20,40+55*($AG864/100),(80+(20-$O$5)+30*($AG864/100))))))))))</f>
        <v>100</v>
      </c>
      <c r="AI864" s="262"/>
      <c r="AJ864" s="262"/>
      <c r="AK864" s="262"/>
      <c r="AL864" s="263"/>
      <c r="AM864" s="264"/>
      <c r="AN864" s="263"/>
      <c r="AO864" s="263"/>
      <c r="AP864" s="265"/>
      <c r="AQ864" s="266"/>
      <c r="AR864" s="267"/>
      <c r="AS864" s="263"/>
      <c r="AT864" s="263"/>
      <c r="AU864" s="263"/>
      <c r="AV864" s="264"/>
      <c r="AW864" s="263"/>
      <c r="AX864" s="263"/>
      <c r="AY864" s="263"/>
      <c r="AZ864" s="263"/>
      <c r="BA864" s="263"/>
      <c r="BB864" s="263"/>
      <c r="BC864" s="263"/>
      <c r="BD864" s="264"/>
      <c r="BE864" s="263"/>
      <c r="BF864" s="263"/>
      <c r="BG864" s="263"/>
      <c r="BH864" s="263">
        <v>43</v>
      </c>
      <c r="BI864" s="263"/>
      <c r="BJ864" s="404">
        <f>altaz(J2000_Bas,$O864,$M864,DecLat,DecLong,2)</f>
        <v>68.846190130532577</v>
      </c>
      <c r="BK864" s="378" t="s">
        <v>958</v>
      </c>
      <c r="BL864" s="379">
        <f>IF((2*G864)/60&lt;0.2,0.2,(2*G864)/60)</f>
        <v>0.2</v>
      </c>
      <c r="BM864" s="380">
        <f>MOD((50000+AD864-$B$3+(0/24)),1)</f>
        <v>8.4864024895068724E-2</v>
      </c>
      <c r="BN864" s="381"/>
      <c r="BO864" s="382">
        <v>862</v>
      </c>
    </row>
    <row r="865" spans="1:67" s="24" customFormat="1" ht="15" customHeight="1" x14ac:dyDescent="0.25">
      <c r="A865" s="288" t="s">
        <v>38</v>
      </c>
      <c r="B865" s="241" t="str">
        <f>HYPERLINK(CONCATENATE($AT$3,BK865,$AU$3),$AV$3)</f>
        <v>S</v>
      </c>
      <c r="C865" s="242" t="str">
        <f>HYPERLINK(CONCATENATE($AT$4,BK865,$AU$4,BL865),$AV$4)</f>
        <v>A</v>
      </c>
      <c r="D865" s="243" t="s">
        <v>5638</v>
      </c>
      <c r="E865" s="244" t="s">
        <v>5192</v>
      </c>
      <c r="F865" s="269"/>
      <c r="G865" s="273">
        <v>2</v>
      </c>
      <c r="H865" s="283">
        <v>10000</v>
      </c>
      <c r="I865" s="244" t="s">
        <v>6500</v>
      </c>
      <c r="J865" s="246">
        <v>1</v>
      </c>
      <c r="K865" s="247" t="s">
        <v>4615</v>
      </c>
      <c r="L865" s="248">
        <v>224030</v>
      </c>
      <c r="M865" s="249">
        <f>15*(LEFT(TEXT($L865,"000000"),2)+(MID(TEXT($L865,"000000"),3,2)/60)+(RIGHT(TEXT($L865,"000000"),2)/3600))</f>
        <v>340.125</v>
      </c>
      <c r="N865" s="250">
        <v>32131</v>
      </c>
      <c r="O865" s="251">
        <f>IF($N865&gt;0,(LEFT(TEXT($N865,"000000"),2)+(MID(TEXT($N865,"000000"),3,2)/60)+(RIGHT(TEXT($N865,"000000"),2)/3600)),-(MID(TEXT($N865,"000000"),2,2)+(MID(TEXT($N865,"000000"),4,2)/60)+(RIGHT(TEXT($N865,"000000"),2)/3600)))</f>
        <v>3.3586111111111112</v>
      </c>
      <c r="P865" s="252" t="s">
        <v>39</v>
      </c>
      <c r="Q865" s="253" t="s">
        <v>38</v>
      </c>
      <c r="R865" s="247" t="s">
        <v>3293</v>
      </c>
      <c r="S865" s="272" t="s">
        <v>3293</v>
      </c>
      <c r="T865" s="273"/>
      <c r="U865" s="274"/>
      <c r="V865" s="280"/>
      <c r="W865" s="244"/>
      <c r="X865" s="244"/>
      <c r="Y865" s="362"/>
      <c r="Z865" s="257">
        <f>altaz(J2000_Bas,$O865,$M865,DecLat,DecLong,1)</f>
        <v>32.117605497249016</v>
      </c>
      <c r="AA865" s="257">
        <f>altaz((J2000_Bas+(2*0.04167)),$O865,$M865,DecLat,DecLong,1)</f>
        <v>54.25843539715072</v>
      </c>
      <c r="AB865" s="257">
        <f>altaz((J2000_Bas+(4*0.04167)),$O865,$M865,DecLat,DecLong,1)</f>
        <v>61.776296406109275</v>
      </c>
      <c r="AC865" s="257">
        <f>altaz((J2000_Bas+(6*0.04167)),$O865,$M865,DecLat,DecLong,1)</f>
        <v>46.161204903221069</v>
      </c>
      <c r="AD865" s="258">
        <f>1+ transit((J2000_Bas-1),$O865,$M865,DecLat,DecLong)/360 + (GMTOffset/24) + (IF(DST="Y", 1, 0)/24)</f>
        <v>1.937691532817208</v>
      </c>
      <c r="AE865" s="259">
        <f>DATE(2001,9,21)+(M865/360)*365 - (360*((DecLong/360)- (GMTOffset/24) ))</f>
        <v>37504.848958333336</v>
      </c>
      <c r="AF865" s="260">
        <f>IF(DecLat&gt;0,IF((90 - (DecLat-O865))&gt;90, (90 - (O865-DecLat)), (90 - (DecLat-O865))),IF((90 + (DecLat-O865))&gt;90, (90 + (O865-DecLat)), (90 + (DecLat-O865))))</f>
        <v>62.358611111111109</v>
      </c>
      <c r="AG865" s="257">
        <f>angularseperation(MoonRA,MoonDec,$M865,$O865)</f>
        <v>92.313787440520102</v>
      </c>
      <c r="AH865" s="261">
        <f ca="1">MIN(100,IF($O$5&gt;80,0+30*($AG865/100),IF($O$5&gt;70,0+50*($AG865/100),IF($O$5&gt;60,5+50*($AG865/100),IF($O$5&gt;50,10+60*($AG865/100),IF($O$5&gt;40,15+70*($AG865/100),IF($O$5&gt;30,20+70*($AG865/100),IF($O$5&gt;20,40+55*($AG865/100),(80+(20-$O$5)+30*($AG865/100))))))))))</f>
        <v>100</v>
      </c>
      <c r="AI865" s="262"/>
      <c r="AJ865" s="262"/>
      <c r="AK865" s="262"/>
      <c r="AL865" s="263"/>
      <c r="AM865" s="264"/>
      <c r="AN865" s="263"/>
      <c r="AO865" s="263"/>
      <c r="AP865" s="265"/>
      <c r="AQ865" s="266"/>
      <c r="AR865" s="267">
        <v>69457</v>
      </c>
      <c r="AS865" s="263"/>
      <c r="AT865" s="263"/>
      <c r="AU865" s="263"/>
      <c r="AV865" s="264"/>
      <c r="AW865" s="263"/>
      <c r="AX865" s="263"/>
      <c r="AY865" s="263"/>
      <c r="AZ865" s="263"/>
      <c r="BA865" s="263"/>
      <c r="BB865" s="263"/>
      <c r="BC865" s="263"/>
      <c r="BD865" s="264"/>
      <c r="BE865" s="263"/>
      <c r="BF865" s="263"/>
      <c r="BG865" s="263"/>
      <c r="BH865" s="263"/>
      <c r="BI865" s="263"/>
      <c r="BJ865" s="404">
        <f>altaz(J2000_Bas,$O865,$M865,DecLat,DecLong,2)</f>
        <v>107.24623966111815</v>
      </c>
      <c r="BK865" s="378" t="s">
        <v>38</v>
      </c>
      <c r="BL865" s="379">
        <f>IF((2*G865)/60&lt;0.2,0.2,(2*G865)/60)</f>
        <v>0.2</v>
      </c>
      <c r="BM865" s="380">
        <f>MOD((50000+AD865-$B$3+(0/24)),1)</f>
        <v>0.15305846252158517</v>
      </c>
      <c r="BN865" s="381" t="s">
        <v>9112</v>
      </c>
      <c r="BO865" s="382">
        <v>863</v>
      </c>
    </row>
    <row r="866" spans="1:67" s="24" customFormat="1" ht="15" customHeight="1" x14ac:dyDescent="0.25">
      <c r="A866" s="288" t="s">
        <v>959</v>
      </c>
      <c r="B866" s="241" t="str">
        <f>HYPERLINK(CONCATENATE($AT$3,BK866,$AU$3),$AV$3)</f>
        <v>S</v>
      </c>
      <c r="C866" s="242" t="str">
        <f>HYPERLINK(CONCATENATE($AT$4,BK866,$AU$4,BL866),$AV$4)</f>
        <v>A</v>
      </c>
      <c r="D866" s="243" t="s">
        <v>5638</v>
      </c>
      <c r="E866" s="244" t="s">
        <v>5337</v>
      </c>
      <c r="F866" s="269" t="s">
        <v>3310</v>
      </c>
      <c r="G866" s="270">
        <v>0.5</v>
      </c>
      <c r="H866" s="283">
        <v>480</v>
      </c>
      <c r="I866" s="246">
        <v>65</v>
      </c>
      <c r="J866" s="246">
        <v>2</v>
      </c>
      <c r="K866" s="277" t="s">
        <v>4659</v>
      </c>
      <c r="L866" s="248">
        <v>42120</v>
      </c>
      <c r="M866" s="249">
        <f>15*(LEFT(TEXT($L866,"000000"),2)+(MID(TEXT($L866,"000000"),3,2)/60)+(RIGHT(TEXT($L866,"000000"),2)/3600))</f>
        <v>65.333333333333329</v>
      </c>
      <c r="N866" s="250">
        <v>-184847</v>
      </c>
      <c r="O866" s="251">
        <f>IF($N866&gt;0,(LEFT(TEXT($N866,"000000"),2)+(MID(TEXT($N866,"000000"),3,2)/60)+(RIGHT(TEXT($N866,"000000"),2)/3600)),-(MID(TEXT($N866,"000000"),2,2)+(MID(TEXT($N866,"000000"),4,2)/60)+(RIGHT(TEXT($N866,"000000"),2)/3600)))</f>
        <v>-18.813055555555557</v>
      </c>
      <c r="P866" s="252" t="s">
        <v>257</v>
      </c>
      <c r="Q866" s="253"/>
      <c r="R866" s="277" t="s">
        <v>3293</v>
      </c>
      <c r="S866" s="272" t="s">
        <v>3293</v>
      </c>
      <c r="T866" s="273"/>
      <c r="U866" s="274"/>
      <c r="V866" s="280"/>
      <c r="W866" s="244"/>
      <c r="X866" s="244"/>
      <c r="Y866" s="362"/>
      <c r="Z866" s="257">
        <f>altaz(J2000_Bas,$O866,$M866,DecLat,DecLong,1)</f>
        <v>-51.398489182494615</v>
      </c>
      <c r="AA866" s="257">
        <f>altaz((J2000_Bas+(2*0.04167)),$O866,$M866,DecLat,DecLong,1)</f>
        <v>-25.692507660967799</v>
      </c>
      <c r="AB866" s="257">
        <f>altaz((J2000_Bas+(4*0.04167)),$O866,$M866,DecLat,DecLong,1)</f>
        <v>-0.77466479454452197</v>
      </c>
      <c r="AC866" s="257">
        <f>altaz((J2000_Bas+(6*0.04167)),$O866,$M866,DecLat,DecLong,1)</f>
        <v>21.431875627365983</v>
      </c>
      <c r="AD866" s="258">
        <f>1+ transit((J2000_Bas-1),$O866,$M866,DecLat,DecLong)/360 + (GMTOffset/24) + (IF(DST="Y", 1, 0)/24)</f>
        <v>1.1743814239630412</v>
      </c>
      <c r="AE866" s="259">
        <f>DATE(2001,9,21)+(M866/360)*365 - (360*((DecLong/360)- (GMTOffset/24) ))</f>
        <v>37226.240740740737</v>
      </c>
      <c r="AF866" s="260">
        <f>IF(DecLat&gt;0,IF((90 - (DecLat-O866))&gt;90, (90 - (O866-DecLat)), (90 - (DecLat-O866))),IF((90 + (DecLat-O866))&gt;90, (90 + (O866-DecLat)), (90 + (DecLat-O866))))</f>
        <v>40.186944444444443</v>
      </c>
      <c r="AG866" s="257">
        <f>angularseperation(MoonRA,MoonDec,$M866,$O866)</f>
        <v>133.94665352621954</v>
      </c>
      <c r="AH866" s="261">
        <f ca="1">MIN(100,IF($O$5&gt;80,0+30*($AG866/100),IF($O$5&gt;70,0+50*($AG866/100),IF($O$5&gt;60,5+50*($AG866/100),IF($O$5&gt;50,10+60*($AG866/100),IF($O$5&gt;40,15+70*($AG866/100),IF($O$5&gt;30,20+70*($AG866/100),IF($O$5&gt;20,40+55*($AG866/100),(80+(20-$O$5)+30*($AG866/100))))))))))</f>
        <v>100</v>
      </c>
      <c r="AI866" s="263"/>
      <c r="AJ866" s="263"/>
      <c r="AK866" s="263"/>
      <c r="AL866" s="263"/>
      <c r="AM866" s="264"/>
      <c r="AN866" s="263"/>
      <c r="AO866" s="263"/>
      <c r="AP866" s="265"/>
      <c r="AQ866" s="265"/>
      <c r="AR866" s="285"/>
      <c r="AS866" s="263"/>
      <c r="AT866" s="263"/>
      <c r="AU866" s="263"/>
      <c r="AV866" s="264"/>
      <c r="AW866" s="263"/>
      <c r="AX866" s="263"/>
      <c r="AY866" s="263"/>
      <c r="AZ866" s="263"/>
      <c r="BA866" s="263"/>
      <c r="BB866" s="263"/>
      <c r="BC866" s="263"/>
      <c r="BD866" s="264"/>
      <c r="BE866" s="263"/>
      <c r="BF866" s="263"/>
      <c r="BG866" s="263"/>
      <c r="BH866" s="263"/>
      <c r="BI866" s="263"/>
      <c r="BJ866" s="404">
        <f>altaz(J2000_Bas,$O866,$M866,DecLat,DecLong,2)</f>
        <v>81.394213956985311</v>
      </c>
      <c r="BK866" s="378" t="s">
        <v>959</v>
      </c>
      <c r="BL866" s="379">
        <f>IF((2*G866)/60&lt;0.2,0.2,(2*G866)/60)</f>
        <v>0.2</v>
      </c>
      <c r="BM866" s="380">
        <f>MOD((50000+AD866-$B$3+(0/24)),1)</f>
        <v>0.38974835366389016</v>
      </c>
      <c r="BN866" s="381"/>
      <c r="BO866" s="382">
        <v>864</v>
      </c>
    </row>
    <row r="867" spans="1:67" s="24" customFormat="1" ht="15" customHeight="1" x14ac:dyDescent="0.25">
      <c r="A867" s="288" t="s">
        <v>960</v>
      </c>
      <c r="B867" s="241" t="str">
        <f>HYPERLINK(CONCATENATE($AT$3,BK867,$AU$3),$AV$3)</f>
        <v>S</v>
      </c>
      <c r="C867" s="242" t="str">
        <f>HYPERLINK(CONCATENATE($AT$4,BK867,$AU$4,BL867),$AV$4)</f>
        <v>A</v>
      </c>
      <c r="D867" s="243" t="s">
        <v>5638</v>
      </c>
      <c r="E867" s="244" t="s">
        <v>28</v>
      </c>
      <c r="F867" s="269"/>
      <c r="G867" s="273">
        <v>1</v>
      </c>
      <c r="H867" s="283">
        <v>160</v>
      </c>
      <c r="I867" s="246">
        <v>50</v>
      </c>
      <c r="J867" s="246">
        <v>2</v>
      </c>
      <c r="K867" s="247" t="s">
        <v>4650</v>
      </c>
      <c r="L867" s="248">
        <v>225122</v>
      </c>
      <c r="M867" s="249">
        <f>15*(LEFT(TEXT($L867,"000000"),2)+(MID(TEXT($L867,"000000"),3,2)/60)+(RIGHT(TEXT($L867,"000000"),2)/3600))</f>
        <v>342.8416666666667</v>
      </c>
      <c r="N867" s="250">
        <v>-201446</v>
      </c>
      <c r="O867" s="251">
        <f>IF($N867&gt;0,(LEFT(TEXT($N867,"000000"),2)+(MID(TEXT($N867,"000000"),3,2)/60)+(RIGHT(TEXT($N867,"000000"),2)/3600)),-(MID(TEXT($N867,"000000"),2,2)+(MID(TEXT($N867,"000000"),4,2)/60)+(RIGHT(TEXT($N867,"000000"),2)/3600)))</f>
        <v>-20.246111111111112</v>
      </c>
      <c r="P867" s="252" t="s">
        <v>3119</v>
      </c>
      <c r="Q867" s="253"/>
      <c r="R867" s="247" t="s">
        <v>3293</v>
      </c>
      <c r="S867" s="272" t="s">
        <v>3293</v>
      </c>
      <c r="T867" s="273">
        <v>15</v>
      </c>
      <c r="U867" s="274"/>
      <c r="V867" s="280"/>
      <c r="W867" s="244"/>
      <c r="X867" s="244"/>
      <c r="Y867" s="362"/>
      <c r="Z867" s="257">
        <f>altaz(J2000_Bas,$O867,$M867,DecLat,DecLong,1)</f>
        <v>15.168876250457261</v>
      </c>
      <c r="AA867" s="257">
        <f>altaz((J2000_Bas+(2*0.04167)),$O867,$M867,DecLat,DecLong,1)</f>
        <v>32.675532171587022</v>
      </c>
      <c r="AB867" s="257">
        <f>altaz((J2000_Bas+(4*0.04167)),$O867,$M867,DecLat,DecLong,1)</f>
        <v>38.654191359100381</v>
      </c>
      <c r="AC867" s="257">
        <f>altaz((J2000_Bas+(6*0.04167)),$O867,$M867,DecLat,DecLong,1)</f>
        <v>29.54105757418122</v>
      </c>
      <c r="AD867" s="258">
        <f>1+ transit((J2000_Bas-1),$O867,$M867,DecLat,DecLong)/360 + (GMTOffset/24) + (IF(DST="Y", 1, 0)/24)</f>
        <v>1.9452378283588752</v>
      </c>
      <c r="AE867" s="259">
        <f>DATE(2001,9,21)+(M867/360)*365 - (360*((DecLong/360)- (GMTOffset/24) ))</f>
        <v>37507.603356481479</v>
      </c>
      <c r="AF867" s="260">
        <f>IF(DecLat&gt;0,IF((90 - (DecLat-O867))&gt;90, (90 - (O867-DecLat)), (90 - (DecLat-O867))),IF((90 + (DecLat-O867))&gt;90, (90 + (O867-DecLat)), (90 + (DecLat-O867))))</f>
        <v>38.753888888888888</v>
      </c>
      <c r="AG867" s="257">
        <f>angularseperation(MoonRA,MoonDec,$M867,$O867)</f>
        <v>83.966488745213411</v>
      </c>
      <c r="AH867" s="261">
        <f ca="1">MIN(100,IF($O$5&gt;80,0+30*($AG867/100),IF($O$5&gt;70,0+50*($AG867/100),IF($O$5&gt;60,5+50*($AG867/100),IF($O$5&gt;50,10+60*($AG867/100),IF($O$5&gt;40,15+70*($AG867/100),IF($O$5&gt;30,20+70*($AG867/100),IF($O$5&gt;20,40+55*($AG867/100),(80+(20-$O$5)+30*($AG867/100))))))))))</f>
        <v>100</v>
      </c>
      <c r="AI867" s="262"/>
      <c r="AJ867" s="262"/>
      <c r="AK867" s="262"/>
      <c r="AL867" s="263"/>
      <c r="AM867" s="264"/>
      <c r="AN867" s="263"/>
      <c r="AO867" s="263"/>
      <c r="AP867" s="265"/>
      <c r="AQ867" s="266"/>
      <c r="AR867" s="267">
        <v>69867</v>
      </c>
      <c r="AS867" s="263"/>
      <c r="AT867" s="263"/>
      <c r="AU867" s="263"/>
      <c r="AV867" s="264"/>
      <c r="AW867" s="263"/>
      <c r="AX867" s="263"/>
      <c r="AY867" s="263"/>
      <c r="AZ867" s="263"/>
      <c r="BA867" s="263"/>
      <c r="BB867" s="263"/>
      <c r="BC867" s="263"/>
      <c r="BD867" s="264"/>
      <c r="BE867" s="263"/>
      <c r="BF867" s="263"/>
      <c r="BG867" s="263"/>
      <c r="BH867" s="263"/>
      <c r="BI867" s="263"/>
      <c r="BJ867" s="404">
        <f>altaz(J2000_Bas,$O867,$M867,DecLat,DecLong,2)</f>
        <v>125.53435387018172</v>
      </c>
      <c r="BK867" s="378" t="s">
        <v>960</v>
      </c>
      <c r="BL867" s="379">
        <f>IF((2*G867)/60&lt;0.2,0.2,(2*G867)/60)</f>
        <v>0.2</v>
      </c>
      <c r="BM867" s="380">
        <f>MOD((50000+AD867-$B$3+(0/24)),1)</f>
        <v>0.16060475806443719</v>
      </c>
      <c r="BN867" s="381"/>
      <c r="BO867" s="382">
        <v>865</v>
      </c>
    </row>
    <row r="868" spans="1:67" s="24" customFormat="1" ht="15" customHeight="1" x14ac:dyDescent="0.25">
      <c r="A868" s="288" t="s">
        <v>961</v>
      </c>
      <c r="B868" s="241" t="str">
        <f>HYPERLINK(CONCATENATE($AT$3,BK868,$AU$3),$AV$3)</f>
        <v>S</v>
      </c>
      <c r="C868" s="242" t="str">
        <f>HYPERLINK(CONCATENATE($AT$4,BK868,$AU$4,BL868),$AV$4)</f>
        <v>A</v>
      </c>
      <c r="D868" s="243" t="s">
        <v>5187</v>
      </c>
      <c r="E868" s="244" t="s">
        <v>5181</v>
      </c>
      <c r="F868" s="269" t="s">
        <v>5736</v>
      </c>
      <c r="G868" s="273">
        <v>1</v>
      </c>
      <c r="H868" s="271" t="s">
        <v>6500</v>
      </c>
      <c r="I868" s="244" t="s">
        <v>6500</v>
      </c>
      <c r="J868" s="246">
        <v>3</v>
      </c>
      <c r="K868" s="277" t="s">
        <v>4661</v>
      </c>
      <c r="L868" s="248">
        <v>191630</v>
      </c>
      <c r="M868" s="249">
        <f>15*(LEFT(TEXT($L868,"000000"),2)+(MID(TEXT($L868,"000000"),3,2)/60)+(RIGHT(TEXT($L868,"000000"),2)/3600))</f>
        <v>289.125</v>
      </c>
      <c r="N868" s="286">
        <v>360856</v>
      </c>
      <c r="O868" s="251">
        <f>IF($N868&gt;0,(LEFT(TEXT($N868,"000000"),2)+(MID(TEXT($N868,"000000"),3,2)/60)+(RIGHT(TEXT($N868,"000000"),2)/3600)),-(MID(TEXT($N868,"000000"),2,2)+(MID(TEXT($N868,"000000"),4,2)/60)+(RIGHT(TEXT($N868,"000000"),2)/3600)))</f>
        <v>36.148888888888891</v>
      </c>
      <c r="P868" s="252" t="s">
        <v>123</v>
      </c>
      <c r="Q868" s="253"/>
      <c r="R868" s="277" t="s">
        <v>3293</v>
      </c>
      <c r="S868" s="272" t="s">
        <v>3293</v>
      </c>
      <c r="T868" s="273"/>
      <c r="U868" s="274"/>
      <c r="V868" s="256"/>
      <c r="W868" s="244"/>
      <c r="X868" s="244"/>
      <c r="Y868" s="362"/>
      <c r="Z868" s="257">
        <f>altaz(J2000_Bas,$O868,$M868,DecLat,DecLong,1)</f>
        <v>84.232195740699765</v>
      </c>
      <c r="AA868" s="257">
        <f>altaz((J2000_Bas+(2*0.04167)),$O868,$M868,DecLat,DecLong,1)</f>
        <v>67.033361524087354</v>
      </c>
      <c r="AB868" s="257">
        <f>altaz((J2000_Bas+(4*0.04167)),$O868,$M868,DecLat,DecLong,1)</f>
        <v>42.868087153074669</v>
      </c>
      <c r="AC868" s="257">
        <f>altaz((J2000_Bas+(6*0.04167)),$O868,$M868,DecLat,DecLong,1)</f>
        <v>19.78273378254049</v>
      </c>
      <c r="AD868" s="258">
        <f>1+ transit((J2000_Bas-1),$O868,$M868,DecLat,DecLong)/360 + (GMTOffset/24) + (IF(DST="Y", 1, 0)/24)</f>
        <v>1.7960248803172083</v>
      </c>
      <c r="AE868" s="259">
        <f>DATE(2001,9,21)+(M868/360)*365 - (360*((DecLong/360)- (GMTOffset/24) ))</f>
        <v>37453.140625</v>
      </c>
      <c r="AF868" s="260">
        <f>IF(DecLat&gt;0,IF((90 - (DecLat-O868))&gt;90, (90 - (O868-DecLat)), (90 - (DecLat-O868))),IF((90 + (DecLat-O868))&gt;90, (90 + (O868-DecLat)), (90 + (DecLat-O868))))</f>
        <v>84.851111111111109</v>
      </c>
      <c r="AG868" s="257">
        <f>angularseperation(MoonRA,MoonDec,$M868,$O868)</f>
        <v>73.554324923308769</v>
      </c>
      <c r="AH868" s="261">
        <f ca="1">MIN(100,IF($O$5&gt;80,0+30*($AG868/100),IF($O$5&gt;70,0+50*($AG868/100),IF($O$5&gt;60,5+50*($AG868/100),IF($O$5&gt;50,10+60*($AG868/100),IF($O$5&gt;40,15+70*($AG868/100),IF($O$5&gt;30,20+70*($AG868/100),IF($O$5&gt;20,40+55*($AG868/100),(80+(20-$O$5)+30*($AG868/100))))))))))</f>
        <v>100</v>
      </c>
      <c r="AI868" s="263"/>
      <c r="AJ868" s="263"/>
      <c r="AK868" s="263"/>
      <c r="AL868" s="263"/>
      <c r="AM868" s="264"/>
      <c r="AN868" s="263"/>
      <c r="AO868" s="263"/>
      <c r="AP868" s="265"/>
      <c r="AQ868" s="265"/>
      <c r="AR868" s="285"/>
      <c r="AS868" s="263"/>
      <c r="AT868" s="263"/>
      <c r="AU868" s="263"/>
      <c r="AV868" s="264"/>
      <c r="AW868" s="263"/>
      <c r="AX868" s="263"/>
      <c r="AY868" s="263"/>
      <c r="AZ868" s="263"/>
      <c r="BA868" s="263"/>
      <c r="BB868" s="263"/>
      <c r="BC868" s="263"/>
      <c r="BD868" s="264"/>
      <c r="BE868" s="263"/>
      <c r="BF868" s="263"/>
      <c r="BG868" s="263"/>
      <c r="BH868" s="263"/>
      <c r="BI868" s="263"/>
      <c r="BJ868" s="404">
        <f>altaz(J2000_Bas,$O868,$M868,DecLat,DecLong,2)</f>
        <v>25.954139172775207</v>
      </c>
      <c r="BK868" s="378" t="s">
        <v>4457</v>
      </c>
      <c r="BL868" s="379">
        <f>IF((2*G868)/60&lt;0.2,0.2,(2*G868)/60)</f>
        <v>0.2</v>
      </c>
      <c r="BM868" s="380">
        <f>MOD((50000+AD868-$B$3+(0/24)),1)</f>
        <v>1.1391810017812531E-2</v>
      </c>
      <c r="BN868" s="381" t="s">
        <v>9121</v>
      </c>
      <c r="BO868" s="382">
        <v>866</v>
      </c>
    </row>
    <row r="869" spans="1:67" s="24" customFormat="1" ht="15" customHeight="1" x14ac:dyDescent="0.25">
      <c r="A869" s="288" t="s">
        <v>962</v>
      </c>
      <c r="B869" s="241" t="str">
        <f>HYPERLINK(CONCATENATE($AT$3,BK869,$AU$3),$AV$3)</f>
        <v>S</v>
      </c>
      <c r="C869" s="242" t="str">
        <f>HYPERLINK(CONCATENATE($AT$4,BK869,$AU$4,BL869),$AV$4)</f>
        <v>A</v>
      </c>
      <c r="D869" s="243" t="s">
        <v>5187</v>
      </c>
      <c r="E869" s="244" t="s">
        <v>5181</v>
      </c>
      <c r="F869" s="269" t="s">
        <v>4796</v>
      </c>
      <c r="G869" s="273">
        <v>3.3</v>
      </c>
      <c r="H869" s="271" t="s">
        <v>6500</v>
      </c>
      <c r="I869" s="244" t="s">
        <v>6500</v>
      </c>
      <c r="J869" s="246">
        <v>2</v>
      </c>
      <c r="K869" s="277" t="s">
        <v>4636</v>
      </c>
      <c r="L869" s="248">
        <v>15626</v>
      </c>
      <c r="M869" s="249">
        <f>15*(LEFT(TEXT($L869,"000000"),2)+(MID(TEXT($L869,"000000"),3,2)/60)+(RIGHT(TEXT($L869,"000000"),2)/3600))</f>
        <v>29.108333333333334</v>
      </c>
      <c r="N869" s="250">
        <v>652820</v>
      </c>
      <c r="O869" s="251">
        <f>IF($N869&gt;0,(LEFT(TEXT($N869,"000000"),2)+(MID(TEXT($N869,"000000"),3,2)/60)+(RIGHT(TEXT($N869,"000000"),2)/3600)),-(MID(TEXT($N869,"000000"),2,2)+(MID(TEXT($N869,"000000"),4,2)/60)+(RIGHT(TEXT($N869,"000000"),2)/3600)))</f>
        <v>65.472222222222229</v>
      </c>
      <c r="P869" s="252" t="s">
        <v>49</v>
      </c>
      <c r="Q869" s="253"/>
      <c r="R869" s="277" t="s">
        <v>3293</v>
      </c>
      <c r="S869" s="272" t="s">
        <v>3293</v>
      </c>
      <c r="T869" s="273"/>
      <c r="U869" s="274"/>
      <c r="V869" s="256"/>
      <c r="W869" s="244"/>
      <c r="X869" s="244"/>
      <c r="Y869" s="362"/>
      <c r="Z869" s="257">
        <f>altaz(J2000_Bas,$O869,$M869,DecLat,DecLong,1)</f>
        <v>22.822344611694191</v>
      </c>
      <c r="AA869" s="257">
        <f>altaz((J2000_Bas+(2*0.04167)),$O869,$M869,DecLat,DecLong,1)</f>
        <v>34.922844470221065</v>
      </c>
      <c r="AB869" s="257">
        <f>altaz((J2000_Bas+(4*0.04167)),$O869,$M869,DecLat,DecLong,1)</f>
        <v>46.808820445143375</v>
      </c>
      <c r="AC869" s="257">
        <f>altaz((J2000_Bas+(6*0.04167)),$O869,$M869,DecLat,DecLong,1)</f>
        <v>54.63545021609545</v>
      </c>
      <c r="AD869" s="258">
        <f>1+ transit((J2000_Bas-1),$O869,$M869,DecLat,DecLong)/360 + (GMTOffset/24) + (IF(DST="Y", 1, 0)/24)</f>
        <v>1.0737564340255414</v>
      </c>
      <c r="AE869" s="259">
        <f>DATE(2001,9,21)+(M869/360)*365 - (360*((DecLong/360)- (GMTOffset/24) ))</f>
        <v>37189.512615740743</v>
      </c>
      <c r="AF869" s="260">
        <f>IF(DecLat&gt;0,IF((90 - (DecLat-O869))&gt;90, (90 - (O869-DecLat)), (90 - (DecLat-O869))),IF((90 + (DecLat-O869))&gt;90, (90 + (O869-DecLat)), (90 + (DecLat-O869))))</f>
        <v>55.527777777777771</v>
      </c>
      <c r="AG869" s="257">
        <f>angularseperation(MoonRA,MoonDec,$M869,$O869)</f>
        <v>134.17043356870812</v>
      </c>
      <c r="AH869" s="261">
        <f ca="1">MIN(100,IF($O$5&gt;80,0+30*($AG869/100),IF($O$5&gt;70,0+50*($AG869/100),IF($O$5&gt;60,5+50*($AG869/100),IF($O$5&gt;50,10+60*($AG869/100),IF($O$5&gt;40,15+70*($AG869/100),IF($O$5&gt;30,20+70*($AG869/100),IF($O$5&gt;20,40+55*($AG869/100),(80+(20-$O$5)+30*($AG869/100))))))))))</f>
        <v>100</v>
      </c>
      <c r="AI869" s="263"/>
      <c r="AJ869" s="263"/>
      <c r="AK869" s="263"/>
      <c r="AL869" s="263"/>
      <c r="AM869" s="264"/>
      <c r="AN869" s="263"/>
      <c r="AO869" s="263"/>
      <c r="AP869" s="265"/>
      <c r="AQ869" s="265"/>
      <c r="AR869" s="285"/>
      <c r="AS869" s="263"/>
      <c r="AT869" s="263"/>
      <c r="AU869" s="263"/>
      <c r="AV869" s="264"/>
      <c r="AW869" s="263"/>
      <c r="AX869" s="263"/>
      <c r="AY869" s="263"/>
      <c r="AZ869" s="263"/>
      <c r="BA869" s="263"/>
      <c r="BB869" s="263"/>
      <c r="BC869" s="263"/>
      <c r="BD869" s="264"/>
      <c r="BE869" s="263"/>
      <c r="BF869" s="263"/>
      <c r="BG869" s="263"/>
      <c r="BH869" s="263"/>
      <c r="BI869" s="263"/>
      <c r="BJ869" s="404">
        <f>altaz(J2000_Bas,$O869,$M869,DecLat,DecLong,2)</f>
        <v>26.018646548646206</v>
      </c>
      <c r="BK869" s="378" t="s">
        <v>4458</v>
      </c>
      <c r="BL869" s="379">
        <f>IF((2*G869)/60&lt;0.2,0.2,(2*G869)/60)</f>
        <v>0.2</v>
      </c>
      <c r="BM869" s="380">
        <f>MOD((50000+AD869-$B$3+(0/24)),1)</f>
        <v>0.28912336372741265</v>
      </c>
      <c r="BN869" s="381"/>
      <c r="BO869" s="382">
        <v>867</v>
      </c>
    </row>
    <row r="870" spans="1:67" s="24" customFormat="1" ht="15" customHeight="1" x14ac:dyDescent="0.25">
      <c r="A870" s="288" t="s">
        <v>963</v>
      </c>
      <c r="B870" s="241" t="str">
        <f>HYPERLINK(CONCATENATE($AT$3,BK870,$AU$3),$AV$3)</f>
        <v>S</v>
      </c>
      <c r="C870" s="242" t="str">
        <f>HYPERLINK(CONCATENATE($AT$4,BK870,$AU$4,BL870),$AV$4)</f>
        <v>A</v>
      </c>
      <c r="D870" s="243" t="s">
        <v>5638</v>
      </c>
      <c r="E870" s="244" t="s">
        <v>5337</v>
      </c>
      <c r="F870" s="269" t="s">
        <v>3310</v>
      </c>
      <c r="G870" s="270">
        <v>0.5</v>
      </c>
      <c r="H870" s="283">
        <v>650</v>
      </c>
      <c r="I870" s="246">
        <v>100</v>
      </c>
      <c r="J870" s="246">
        <v>3</v>
      </c>
      <c r="K870" s="247" t="s">
        <v>4460</v>
      </c>
      <c r="L870" s="248">
        <v>82355</v>
      </c>
      <c r="M870" s="249">
        <f>15*(LEFT(TEXT($L870,"000000"),2)+(MID(TEXT($L870,"000000"),3,2)/60)+(RIGHT(TEXT($L870,"000000"),2)/3600))</f>
        <v>125.97916666666666</v>
      </c>
      <c r="N870" s="250">
        <v>280627</v>
      </c>
      <c r="O870" s="251">
        <f>IF($N870&gt;0,(LEFT(TEXT($N870,"000000"),2)+(MID(TEXT($N870,"000000"),3,2)/60)+(RIGHT(TEXT($N870,"000000"),2)/3600)),-(MID(TEXT($N870,"000000"),2,2)+(MID(TEXT($N870,"000000"),4,2)/60)+(RIGHT(TEXT($N870,"000000"),2)/3600)))</f>
        <v>28.107500000000002</v>
      </c>
      <c r="P870" s="252" t="s">
        <v>100</v>
      </c>
      <c r="Q870" s="253" t="s">
        <v>963</v>
      </c>
      <c r="R870" s="247" t="s">
        <v>3293</v>
      </c>
      <c r="S870" s="272" t="s">
        <v>3293</v>
      </c>
      <c r="T870" s="273"/>
      <c r="U870" s="274"/>
      <c r="V870" s="280"/>
      <c r="W870" s="244"/>
      <c r="X870" s="244"/>
      <c r="Y870" s="362"/>
      <c r="Z870" s="257">
        <f>altaz(J2000_Bas,$O870,$M870,DecLat,DecLong,1)</f>
        <v>-27.90051136441738</v>
      </c>
      <c r="AA870" s="257">
        <f>altaz((J2000_Bas+(2*0.04167)),$O870,$M870,DecLat,DecLong,1)</f>
        <v>-30.112111140610217</v>
      </c>
      <c r="AB870" s="257">
        <f>altaz((J2000_Bas+(4*0.04167)),$O870,$M870,DecLat,DecLong,1)</f>
        <v>-19.566694168835078</v>
      </c>
      <c r="AC870" s="257">
        <f>altaz((J2000_Bas+(6*0.04167)),$O870,$M870,DecLat,DecLong,1)</f>
        <v>-0.7165702614019086</v>
      </c>
      <c r="AD870" s="258">
        <f>1+ transit((J2000_Bas-1),$O870,$M870,DecLat,DecLong)/360 + (GMTOffset/24) + (IF(DST="Y", 1, 0)/24)</f>
        <v>1.3428420552651248</v>
      </c>
      <c r="AE870" s="259">
        <f>DATE(2001,9,21)+(M870/360)*365 - (360*((DecLong/360)- (GMTOffset/24) ))</f>
        <v>37287.728877314818</v>
      </c>
      <c r="AF870" s="260">
        <f>IF(DecLat&gt;0,IF((90 - (DecLat-O870))&gt;90, (90 - (O870-DecLat)), (90 - (DecLat-O870))),IF((90 + (DecLat-O870))&gt;90, (90 + (O870-DecLat)), (90 + (DecLat-O870))))</f>
        <v>87.107500000000002</v>
      </c>
      <c r="AG870" s="257">
        <f>angularseperation(MoonRA,MoonDec,$M870,$O870)</f>
        <v>130.18400305545913</v>
      </c>
      <c r="AH870" s="261">
        <f ca="1">MIN(100,IF($O$5&gt;80,0+30*($AG870/100),IF($O$5&gt;70,0+50*($AG870/100),IF($O$5&gt;60,5+50*($AG870/100),IF($O$5&gt;50,10+60*($AG870/100),IF($O$5&gt;40,15+70*($AG870/100),IF($O$5&gt;30,20+70*($AG870/100),IF($O$5&gt;20,40+55*($AG870/100),(80+(20-$O$5)+30*($AG870/100))))))))))</f>
        <v>100</v>
      </c>
      <c r="AI870" s="262"/>
      <c r="AJ870" s="262"/>
      <c r="AK870" s="262"/>
      <c r="AL870" s="263"/>
      <c r="AM870" s="264"/>
      <c r="AN870" s="263"/>
      <c r="AO870" s="263"/>
      <c r="AP870" s="265"/>
      <c r="AQ870" s="266"/>
      <c r="AR870" s="267"/>
      <c r="AS870" s="263"/>
      <c r="AT870" s="263"/>
      <c r="AU870" s="263"/>
      <c r="AV870" s="264"/>
      <c r="AW870" s="263"/>
      <c r="AX870" s="263"/>
      <c r="AY870" s="263"/>
      <c r="AZ870" s="263"/>
      <c r="BA870" s="263"/>
      <c r="BB870" s="263"/>
      <c r="BC870" s="263"/>
      <c r="BD870" s="264"/>
      <c r="BE870" s="263"/>
      <c r="BF870" s="263"/>
      <c r="BG870" s="263"/>
      <c r="BH870" s="263"/>
      <c r="BI870" s="263"/>
      <c r="BJ870" s="404">
        <f>altaz(J2000_Bas,$O870,$M870,DecLat,DecLong,2)</f>
        <v>340.06343036179265</v>
      </c>
      <c r="BK870" s="378" t="s">
        <v>4459</v>
      </c>
      <c r="BL870" s="379">
        <f>IF((2*G870)/60&lt;0.2,0.2,(2*G870)/60)</f>
        <v>0.2</v>
      </c>
      <c r="BM870" s="380">
        <f>MOD((50000+AD870-$B$3+(0/24)),1)</f>
        <v>0.55820898497040616</v>
      </c>
      <c r="BN870" s="381"/>
      <c r="BO870" s="382">
        <v>868</v>
      </c>
    </row>
    <row r="871" spans="1:67" s="24" customFormat="1" ht="15" customHeight="1" x14ac:dyDescent="0.25">
      <c r="A871" s="328" t="s">
        <v>964</v>
      </c>
      <c r="B871" s="241" t="str">
        <f>HYPERLINK(CONCATENATE($AT$3,BK871,$AU$3),$AV$3)</f>
        <v>S</v>
      </c>
      <c r="C871" s="242" t="str">
        <f>HYPERLINK(CONCATENATE($AT$4,BK871,$AU$4,BL871),$AV$4)</f>
        <v>A</v>
      </c>
      <c r="D871" s="243" t="s">
        <v>5638</v>
      </c>
      <c r="E871" s="244" t="s">
        <v>13</v>
      </c>
      <c r="F871" s="269"/>
      <c r="G871" s="276">
        <v>25</v>
      </c>
      <c r="H871" s="289">
        <v>0.5</v>
      </c>
      <c r="I871" s="279">
        <v>4</v>
      </c>
      <c r="J871" s="246">
        <v>1</v>
      </c>
      <c r="K871" s="247" t="s">
        <v>9331</v>
      </c>
      <c r="L871" s="248">
        <v>23900</v>
      </c>
      <c r="M871" s="249">
        <f>15*(LEFT(TEXT($L871,"000000"),2)+(MID(TEXT($L871,"000000"),3,2)/60)+(RIGHT(TEXT($L871,"000000"),2)/3600))</f>
        <v>39.75</v>
      </c>
      <c r="N871" s="250">
        <v>-343400</v>
      </c>
      <c r="O871" s="251">
        <f>IF($N871&gt;0,(LEFT(TEXT($N871,"000000"),2)+(MID(TEXT($N871,"000000"),3,2)/60)+(RIGHT(TEXT($N871,"000000"),2)/3600)),-(MID(TEXT($N871,"000000"),2,2)+(MID(TEXT($N871,"000000"),4,2)/60)+(RIGHT(TEXT($N871,"000000"),2)/3600)))</f>
        <v>-34.56666666666667</v>
      </c>
      <c r="P871" s="252" t="s">
        <v>215</v>
      </c>
      <c r="Q871" s="253"/>
      <c r="R871" s="247" t="s">
        <v>3293</v>
      </c>
      <c r="S871" s="272" t="s">
        <v>3293</v>
      </c>
      <c r="T871" s="273">
        <v>7.4</v>
      </c>
      <c r="U871" s="274"/>
      <c r="V871" s="280"/>
      <c r="W871" s="244"/>
      <c r="X871" s="244"/>
      <c r="Y871" s="362"/>
      <c r="Z871" s="257">
        <f>altaz(J2000_Bas,$O871,$M871,DecLat,DecLong,1)</f>
        <v>-35.20215398563181</v>
      </c>
      <c r="AA871" s="257">
        <f>altaz((J2000_Bas+(2*0.04167)),$O871,$M871,DecLat,DecLong,1)</f>
        <v>-12.374668670039298</v>
      </c>
      <c r="AB871" s="257">
        <f>altaz((J2000_Bas+(4*0.04167)),$O871,$M871,DecLat,DecLong,1)</f>
        <v>7.2884549186867336</v>
      </c>
      <c r="AC871" s="257">
        <f>altaz((J2000_Bas+(6*0.04167)),$O871,$M871,DecLat,DecLong,1)</f>
        <v>20.800914384101482</v>
      </c>
      <c r="AD871" s="258">
        <f>1+ transit((J2000_Bas-1),$O871,$M871,DecLat,DecLong)/360 + (GMTOffset/24) + (IF(DST="Y", 1, 0)/24)</f>
        <v>1.1033166162547079</v>
      </c>
      <c r="AE871" s="259">
        <f>DATE(2001,9,21)+(M871/360)*365 - (360*((DecLong/360)- (GMTOffset/24) ))</f>
        <v>37200.302083333336</v>
      </c>
      <c r="AF871" s="260">
        <f>IF(DecLat&gt;0,IF((90 - (DecLat-O871))&gt;90, (90 - (O871-DecLat)), (90 - (DecLat-O871))),IF((90 + (DecLat-O871))&gt;90, (90 + (O871-DecLat)), (90 + (DecLat-O871))))</f>
        <v>24.433333333333337</v>
      </c>
      <c r="AG871" s="257">
        <f>angularseperation(MoonRA,MoonDec,$M871,$O871)</f>
        <v>112.32408556066522</v>
      </c>
      <c r="AH871" s="261">
        <f ca="1">MIN(100,IF($O$5&gt;80,0+30*($AG871/100),IF($O$5&gt;70,0+50*($AG871/100),IF($O$5&gt;60,5+50*($AG871/100),IF($O$5&gt;50,10+60*($AG871/100),IF($O$5&gt;40,15+70*($AG871/100),IF($O$5&gt;30,20+70*($AG871/100),IF($O$5&gt;20,40+55*($AG871/100),(80+(20-$O$5)+30*($AG871/100))))))))))</f>
        <v>100</v>
      </c>
      <c r="AI871" s="262"/>
      <c r="AJ871" s="262"/>
      <c r="AK871" s="262"/>
      <c r="AL871" s="263"/>
      <c r="AM871" s="264"/>
      <c r="AN871" s="263"/>
      <c r="AO871" s="263"/>
      <c r="AP871" s="265"/>
      <c r="AQ871" s="266"/>
      <c r="AR871" s="267"/>
      <c r="AS871" s="263"/>
      <c r="AT871" s="263"/>
      <c r="AU871" s="263"/>
      <c r="AV871" s="264"/>
      <c r="AW871" s="263"/>
      <c r="AX871" s="263"/>
      <c r="AY871" s="263"/>
      <c r="AZ871" s="263"/>
      <c r="BA871" s="263"/>
      <c r="BB871" s="263"/>
      <c r="BC871" s="263"/>
      <c r="BD871" s="264"/>
      <c r="BE871" s="263"/>
      <c r="BF871" s="263"/>
      <c r="BG871" s="263"/>
      <c r="BH871" s="263"/>
      <c r="BI871" s="263">
        <v>11</v>
      </c>
      <c r="BJ871" s="404">
        <f>altaz(J2000_Bas,$O871,$M871,DecLat,DecLong,2)</f>
        <v>112.71519904277059</v>
      </c>
      <c r="BK871" s="378" t="s">
        <v>4461</v>
      </c>
      <c r="BL871" s="379">
        <f>IF((2*G871)/60&lt;0.2,0.2,(2*G871)/60)</f>
        <v>0.83333333333333337</v>
      </c>
      <c r="BM871" s="380">
        <f>MOD((50000+AD871-$B$3+(0/24)),1)</f>
        <v>0.31868354595644632</v>
      </c>
      <c r="BN871" s="381" t="s">
        <v>9235</v>
      </c>
      <c r="BO871" s="382">
        <v>869</v>
      </c>
    </row>
    <row r="872" spans="1:67" s="24" customFormat="1" ht="15" customHeight="1" x14ac:dyDescent="0.25">
      <c r="A872" s="406" t="s">
        <v>9412</v>
      </c>
      <c r="B872" s="241"/>
      <c r="C872" s="242"/>
      <c r="D872" s="243" t="s">
        <v>5187</v>
      </c>
      <c r="E872" s="244" t="s">
        <v>5181</v>
      </c>
      <c r="F872" s="269" t="s">
        <v>8829</v>
      </c>
      <c r="G872" s="276">
        <v>8</v>
      </c>
      <c r="H872" s="289" t="s">
        <v>6500</v>
      </c>
      <c r="I872" s="279" t="s">
        <v>6500</v>
      </c>
      <c r="J872" s="246">
        <v>1</v>
      </c>
      <c r="K872" s="247" t="s">
        <v>9413</v>
      </c>
      <c r="L872" s="248">
        <v>175518</v>
      </c>
      <c r="M872" s="249">
        <f>15*(LEFT(TEXT($L872,"000000"),2)+(MID(TEXT($L872,"000000"),3,2)/60)+(RIGHT(TEXT($L872,"000000"),2)/3600))</f>
        <v>268.82499999999999</v>
      </c>
      <c r="N872" s="250">
        <v>-130054</v>
      </c>
      <c r="O872" s="251">
        <f>IF($N872&gt;0,(LEFT(TEXT($N872,"000000"),2)+(MID(TEXT($N872,"000000"),3,2)/60)+(RIGHT(TEXT($N872,"000000"),2)/3600)),-(MID(TEXT($N872,"000000"),2,2)+(MID(TEXT($N872,"000000"),4,2)/60)+(RIGHT(TEXT($N872,"000000"),2)/3600)))</f>
        <v>-13.015000000000001</v>
      </c>
      <c r="P872" s="252" t="s">
        <v>115</v>
      </c>
      <c r="Q872" s="253"/>
      <c r="R872" s="247" t="s">
        <v>3293</v>
      </c>
      <c r="S872" s="272" t="s">
        <v>3293</v>
      </c>
      <c r="T872" s="273"/>
      <c r="U872" s="274"/>
      <c r="V872" s="280"/>
      <c r="W872" s="244"/>
      <c r="X872" s="244"/>
      <c r="Y872" s="362"/>
      <c r="Z872" s="257">
        <f>altaz(J2000_Bas,$O872,$M872,DecLat,DecLong,1)</f>
        <v>42.992695550907946</v>
      </c>
      <c r="AA872" s="257">
        <f>altaz((J2000_Bas+(2*0.04167)),$O872,$M872,DecLat,DecLong,1)</f>
        <v>26.793663772520325</v>
      </c>
      <c r="AB872" s="257">
        <f>altaz((J2000_Bas+(4*0.04167)),$O872,$M872,DecLat,DecLong,1)</f>
        <v>3.8388231621703479</v>
      </c>
      <c r="AC872" s="257">
        <f>altaz((J2000_Bas+(6*0.04167)),$O872,$M872,DecLat,DecLong,1)</f>
        <v>-21.479461991338603</v>
      </c>
      <c r="AD872" s="258">
        <f>1+ transit((J2000_Bas-1),$O872,$M872,DecLat,DecLong)/360 + (GMTOffset/24) + (IF(DST="Y", 1, 0)/24)</f>
        <v>1.739635997067208</v>
      </c>
      <c r="AE872" s="259">
        <f>DATE(2001,9,21)+(M872/360)*365 - (360*((DecLong/360)- (GMTOffset/24) ))</f>
        <v>37432.558680555558</v>
      </c>
      <c r="AF872" s="260">
        <f>IF(DecLat&gt;0,IF((90 - (DecLat-O872))&gt;90, (90 - (O872-DecLat)), (90 - (DecLat-O872))),IF((90 + (DecLat-O872))&gt;90, (90 + (O872-DecLat)), (90 + (DecLat-O872))))</f>
        <v>45.984999999999999</v>
      </c>
      <c r="AG872" s="257">
        <f>angularseperation(MoonRA,MoonDec,$M872,$O872)</f>
        <v>23.099361165016298</v>
      </c>
      <c r="AH872" s="261">
        <f ca="1">MIN(100,IF($O$5&gt;80,0+30*($AG872/100),IF($O$5&gt;70,0+50*($AG872/100),IF($O$5&gt;60,5+50*($AG872/100),IF($O$5&gt;50,10+60*($AG872/100),IF($O$5&gt;40,15+70*($AG872/100),IF($O$5&gt;30,20+70*($AG872/100),IF($O$5&gt;20,40+55*($AG872/100),(80+(20-$O$5)+30*($AG872/100))))))))))</f>
        <v>90.200868693655309</v>
      </c>
      <c r="AI872" s="262"/>
      <c r="AJ872" s="262"/>
      <c r="AK872" s="262"/>
      <c r="AL872" s="263"/>
      <c r="AM872" s="264"/>
      <c r="AN872" s="263"/>
      <c r="AO872" s="263"/>
      <c r="AP872" s="265"/>
      <c r="AQ872" s="266"/>
      <c r="AR872" s="267"/>
      <c r="AS872" s="263"/>
      <c r="AT872" s="263"/>
      <c r="AU872" s="263"/>
      <c r="AV872" s="264"/>
      <c r="AW872" s="263"/>
      <c r="AX872" s="263"/>
      <c r="AY872" s="263"/>
      <c r="AZ872" s="263"/>
      <c r="BA872" s="263"/>
      <c r="BB872" s="263"/>
      <c r="BC872" s="263"/>
      <c r="BD872" s="264"/>
      <c r="BE872" s="263"/>
      <c r="BF872" s="263"/>
      <c r="BG872" s="263"/>
      <c r="BH872" s="263"/>
      <c r="BI872" s="263"/>
      <c r="BJ872" s="404">
        <f>altaz(J2000_Bas,$O872,$M872,DecLat,DecLong,2)</f>
        <v>203.16617567751166</v>
      </c>
      <c r="BK872" s="378"/>
      <c r="BL872" s="379">
        <f>IF((2*G872)/60&lt;0.2,0.2,(2*G872)/60)</f>
        <v>0.26666666666666666</v>
      </c>
      <c r="BM872" s="380">
        <f>MOD((50000+AD872-$B$3+(0/24)),1)</f>
        <v>0.95500292677024845</v>
      </c>
      <c r="BN872" s="381"/>
      <c r="BO872" s="382">
        <v>3147</v>
      </c>
    </row>
    <row r="873" spans="1:67" s="24" customFormat="1" ht="15" customHeight="1" x14ac:dyDescent="0.25">
      <c r="A873" s="288" t="s">
        <v>9389</v>
      </c>
      <c r="B873" s="241"/>
      <c r="C873" s="242"/>
      <c r="D873" s="243" t="s">
        <v>5187</v>
      </c>
      <c r="E873" s="244" t="s">
        <v>5183</v>
      </c>
      <c r="F873" s="269" t="s">
        <v>5180</v>
      </c>
      <c r="G873" s="276">
        <v>30</v>
      </c>
      <c r="H873" s="271" t="s">
        <v>6500</v>
      </c>
      <c r="I873" s="244" t="s">
        <v>6500</v>
      </c>
      <c r="J873" s="246">
        <v>1</v>
      </c>
      <c r="K873" s="277" t="s">
        <v>9333</v>
      </c>
      <c r="L873" s="248">
        <v>31410</v>
      </c>
      <c r="M873" s="249">
        <f>15*(LEFT(TEXT($L873,"000000"),2)+(MID(TEXT($L873,"000000"),3,2)/60)+(RIGHT(TEXT($L873,"000000"),2)/3600))</f>
        <v>48.541666666666664</v>
      </c>
      <c r="N873" s="250">
        <v>481112</v>
      </c>
      <c r="O873" s="251">
        <f>IF($N873&gt;0,(LEFT(TEXT($N873,"000000"),2)+(MID(TEXT($N873,"000000"),3,2)/60)+(RIGHT(TEXT($N873,"000000"),2)/3600)),-(MID(TEXT($N873,"000000"),2,2)+(MID(TEXT($N873,"000000"),4,2)/60)+(RIGHT(TEXT($N873,"000000"),2)/3600)))</f>
        <v>48.18666666666666</v>
      </c>
      <c r="P873" s="252" t="s">
        <v>43</v>
      </c>
      <c r="Q873" s="253"/>
      <c r="R873" s="277" t="s">
        <v>3293</v>
      </c>
      <c r="S873" s="272" t="s">
        <v>3293</v>
      </c>
      <c r="T873" s="273"/>
      <c r="U873" s="274"/>
      <c r="V873" s="256"/>
      <c r="W873" s="244"/>
      <c r="X873" s="244"/>
      <c r="Y873" s="362"/>
      <c r="Z873" s="257">
        <f>altaz(J2000_Bas,$O873,$M873,DecLat,DecLong,1)</f>
        <v>4.3865575672742176</v>
      </c>
      <c r="AA873" s="257">
        <f>altaz((J2000_Bas+(2*0.04167)),$O873,$M873,DecLat,DecLong,1)</f>
        <v>21.063016430228974</v>
      </c>
      <c r="AB873" s="257">
        <f>altaz((J2000_Bas+(4*0.04167)),$O873,$M873,DecLat,DecLong,1)</f>
        <v>40.458561458300416</v>
      </c>
      <c r="AC873" s="257">
        <f>altaz((J2000_Bas+(6*0.04167)),$O873,$M873,DecLat,DecLong,1)</f>
        <v>60.111336956751757</v>
      </c>
      <c r="AD873" s="258">
        <f>1+ transit((J2000_Bas-1),$O873,$M873,DecLat,DecLong)/360 + (GMTOffset/24) + (IF(DST="Y", 1, 0)/24)</f>
        <v>1.1277379101088747</v>
      </c>
      <c r="AE873" s="259">
        <f>DATE(2001,9,21)+(M873/360)*365 - (360*((DecLong/360)- (GMTOffset/24) ))</f>
        <v>37209.215856481482</v>
      </c>
      <c r="AF873" s="260">
        <f>IF(DecLat&gt;0,IF((90 - (DecLat-O873))&gt;90, (90 - (O873-DecLat)), (90 - (DecLat-O873))),IF((90 + (DecLat-O873))&gt;90, (90 + (O873-DecLat)), (90 + (DecLat-O873))))</f>
        <v>72.813333333333333</v>
      </c>
      <c r="AG873" s="257">
        <f>angularseperation(MoonRA,MoonDec,$M873,$O873)</f>
        <v>153.45919992525373</v>
      </c>
      <c r="AH873" s="261">
        <f ca="1">MIN(100,IF($O$5&gt;80,0+30*($AG873/100),IF($O$5&gt;70,0+50*($AG873/100),IF($O$5&gt;60,5+50*($AG873/100),IF($O$5&gt;50,10+60*($AG873/100),IF($O$5&gt;40,15+70*($AG873/100),IF($O$5&gt;30,20+70*($AG873/100),IF($O$5&gt;20,40+55*($AG873/100),(80+(20-$O$5)+30*($AG873/100))))))))))</f>
        <v>100</v>
      </c>
      <c r="AI873" s="263"/>
      <c r="AJ873" s="263"/>
      <c r="AK873" s="263"/>
      <c r="AL873" s="263"/>
      <c r="AM873" s="264"/>
      <c r="AN873" s="263"/>
      <c r="AO873" s="263"/>
      <c r="AP873" s="265"/>
      <c r="AQ873" s="265"/>
      <c r="AR873" s="285"/>
      <c r="AS873" s="263"/>
      <c r="AT873" s="263"/>
      <c r="AU873" s="263"/>
      <c r="AV873" s="264"/>
      <c r="AW873" s="263"/>
      <c r="AX873" s="263"/>
      <c r="AY873" s="263"/>
      <c r="AZ873" s="263"/>
      <c r="BA873" s="263"/>
      <c r="BB873" s="263"/>
      <c r="BC873" s="263"/>
      <c r="BD873" s="264"/>
      <c r="BE873" s="263"/>
      <c r="BF873" s="263"/>
      <c r="BG873" s="263"/>
      <c r="BH873" s="263"/>
      <c r="BI873" s="263">
        <v>15</v>
      </c>
      <c r="BJ873" s="404">
        <f>altaz(J2000_Bas,$O873,$M873,DecLat,DecLong,2)</f>
        <v>34.31214220782239</v>
      </c>
      <c r="BK873" s="378"/>
      <c r="BL873" s="379">
        <f>IF((2*G873)/60&lt;0.2,0.2,(2*G873)/60)</f>
        <v>1</v>
      </c>
      <c r="BM873" s="380">
        <f>MOD((50000+AD873-$B$3+(0/24)),1)</f>
        <v>0.34310483981244033</v>
      </c>
      <c r="BN873" s="381"/>
      <c r="BO873" s="382">
        <v>870</v>
      </c>
    </row>
    <row r="874" spans="1:67" s="24" customFormat="1" ht="15" customHeight="1" x14ac:dyDescent="0.25">
      <c r="A874" s="288" t="s">
        <v>965</v>
      </c>
      <c r="B874" s="241" t="str">
        <f>HYPERLINK(CONCATENATE($AT$3,BK874,$AU$3),$AV$3)</f>
        <v>S</v>
      </c>
      <c r="C874" s="242" t="str">
        <f>HYPERLINK(CONCATENATE($AT$4,BK874,$AU$4,BL874),$AV$4)</f>
        <v>A</v>
      </c>
      <c r="D874" s="243" t="s">
        <v>5187</v>
      </c>
      <c r="E874" s="244" t="s">
        <v>936</v>
      </c>
      <c r="F874" s="269" t="s">
        <v>9121</v>
      </c>
      <c r="G874" s="270">
        <v>0.5</v>
      </c>
      <c r="H874" s="271">
        <v>3000</v>
      </c>
      <c r="I874" s="308">
        <v>0.44</v>
      </c>
      <c r="J874" s="246">
        <v>2</v>
      </c>
      <c r="K874" s="247" t="s">
        <v>4462</v>
      </c>
      <c r="L874" s="248">
        <v>93954</v>
      </c>
      <c r="M874" s="249">
        <f>15*(LEFT(TEXT($L874,"000000"),2)+(MID(TEXT($L874,"000000"),3,2)/60)+(RIGHT(TEXT($L874,"000000"),2)/3600))</f>
        <v>144.97500000000002</v>
      </c>
      <c r="N874" s="250">
        <v>115854</v>
      </c>
      <c r="O874" s="251">
        <f>IF($N874&gt;0,(LEFT(TEXT($N874,"000000"),2)+(MID(TEXT($N874,"000000"),3,2)/60)+(RIGHT(TEXT($N874,"000000"),2)/3600)),-(MID(TEXT($N874,"000000"),2,2)+(MID(TEXT($N874,"000000"),4,2)/60)+(RIGHT(TEXT($N874,"000000"),2)/3600)))</f>
        <v>11.981666666666667</v>
      </c>
      <c r="P874" s="252" t="s">
        <v>183</v>
      </c>
      <c r="Q874" s="253" t="s">
        <v>965</v>
      </c>
      <c r="R874" s="247" t="s">
        <v>3293</v>
      </c>
      <c r="S874" s="272" t="s">
        <v>3293</v>
      </c>
      <c r="T874" s="273"/>
      <c r="U874" s="274"/>
      <c r="V874" s="256"/>
      <c r="W874" s="244"/>
      <c r="X874" s="244"/>
      <c r="Y874" s="362"/>
      <c r="Z874" s="257">
        <f>altaz(J2000_Bas,$O874,$M874,DecLat,DecLong,1)</f>
        <v>-33.022249469215424</v>
      </c>
      <c r="AA874" s="257">
        <f>altaz((J2000_Bas+(2*0.04167)),$O874,$M874,DecLat,DecLong,1)</f>
        <v>-46.178781515670615</v>
      </c>
      <c r="AB874" s="257">
        <f>altaz((J2000_Bas+(4*0.04167)),$O874,$M874,DecLat,DecLong,1)</f>
        <v>-42.441978554422086</v>
      </c>
      <c r="AC874" s="257">
        <f>altaz((J2000_Bas+(6*0.04167)),$O874,$M874,DecLat,DecLong,1)</f>
        <v>-24.680286030656813</v>
      </c>
      <c r="AD874" s="258">
        <f>1+ transit((J2000_Bas-1),$O874,$M874,DecLat,DecLong)/360 + (GMTOffset/24) + (IF(DST="Y", 1, 0)/24)</f>
        <v>1.3956082536922081</v>
      </c>
      <c r="AE874" s="259">
        <f>DATE(2001,9,21)+(M874/360)*365 - (360*((DecLong/360)- (GMTOffset/24) ))</f>
        <v>37306.988541666666</v>
      </c>
      <c r="AF874" s="260">
        <f>IF(DecLat&gt;0,IF((90 - (DecLat-O874))&gt;90, (90 - (O874-DecLat)), (90 - (DecLat-O874))),IF((90 + (DecLat-O874))&gt;90, (90 + (O874-DecLat)), (90 + (DecLat-O874))))</f>
        <v>70.981666666666669</v>
      </c>
      <c r="AG874" s="257">
        <f>angularseperation(MoonRA,MoonDec,$M874,$O874)</f>
        <v>108.00823670900252</v>
      </c>
      <c r="AH874" s="261">
        <f ca="1">MIN(100,IF($O$5&gt;80,0+30*($AG874/100),IF($O$5&gt;70,0+50*($AG874/100),IF($O$5&gt;60,5+50*($AG874/100),IF($O$5&gt;50,10+60*($AG874/100),IF($O$5&gt;40,15+70*($AG874/100),IF($O$5&gt;30,20+70*($AG874/100),IF($O$5&gt;20,40+55*($AG874/100),(80+(20-$O$5)+30*($AG874/100))))))))))</f>
        <v>100</v>
      </c>
      <c r="AI874" s="262"/>
      <c r="AJ874" s="262"/>
      <c r="AK874" s="262"/>
      <c r="AL874" s="263"/>
      <c r="AM874" s="264"/>
      <c r="AN874" s="263"/>
      <c r="AO874" s="263"/>
      <c r="AP874" s="265"/>
      <c r="AQ874" s="266"/>
      <c r="AR874" s="267"/>
      <c r="AS874" s="263"/>
      <c r="AT874" s="263"/>
      <c r="AU874" s="263"/>
      <c r="AV874" s="264"/>
      <c r="AW874" s="263"/>
      <c r="AX874" s="263"/>
      <c r="AY874" s="263"/>
      <c r="AZ874" s="263"/>
      <c r="BA874" s="263"/>
      <c r="BB874" s="263"/>
      <c r="BC874" s="263"/>
      <c r="BD874" s="264"/>
      <c r="BE874" s="263"/>
      <c r="BF874" s="263"/>
      <c r="BG874" s="263"/>
      <c r="BH874" s="263"/>
      <c r="BI874" s="263"/>
      <c r="BJ874" s="404">
        <f>altaz(J2000_Bas,$O874,$M874,DecLat,DecLong,2)</f>
        <v>312.7958743520299</v>
      </c>
      <c r="BK874" s="378" t="s">
        <v>965</v>
      </c>
      <c r="BL874" s="379">
        <f>IF((2*G874)/60&lt;0.2,0.2,(2*G874)/60)</f>
        <v>0.2</v>
      </c>
      <c r="BM874" s="380">
        <f>MOD((50000+AD874-$B$3+(0/24)),1)</f>
        <v>0.61097518339374801</v>
      </c>
      <c r="BN874" s="381"/>
      <c r="BO874" s="382">
        <v>871</v>
      </c>
    </row>
    <row r="875" spans="1:67" s="24" customFormat="1" ht="15" customHeight="1" x14ac:dyDescent="0.25">
      <c r="A875" s="288" t="s">
        <v>966</v>
      </c>
      <c r="B875" s="241" t="str">
        <f>HYPERLINK(CONCATENATE($AT$3,BK875,$AU$3),$AV$3)</f>
        <v>S</v>
      </c>
      <c r="C875" s="242" t="str">
        <f>HYPERLINK(CONCATENATE($AT$4,BK875,$AU$4,BL875),$AV$4)</f>
        <v>A</v>
      </c>
      <c r="D875" s="243" t="s">
        <v>5335</v>
      </c>
      <c r="E875" s="244" t="s">
        <v>31</v>
      </c>
      <c r="F875" s="269"/>
      <c r="G875" s="273">
        <v>3</v>
      </c>
      <c r="H875" s="271">
        <v>440</v>
      </c>
      <c r="I875" s="308">
        <v>0.4</v>
      </c>
      <c r="J875" s="246">
        <v>2</v>
      </c>
      <c r="K875" s="247" t="s">
        <v>5366</v>
      </c>
      <c r="L875" s="248">
        <v>42202</v>
      </c>
      <c r="M875" s="249">
        <f>15*(LEFT(TEXT($L875,"000000"),2)+(MID(TEXT($L875,"000000"),3,2)/60)+(RIGHT(TEXT($L875,"000000"),2)/3600))</f>
        <v>65.508333333333326</v>
      </c>
      <c r="N875" s="286">
        <v>265731</v>
      </c>
      <c r="O875" s="251">
        <f>IF($N875&gt;0,(LEFT(TEXT($N875,"000000"),2)+(MID(TEXT($N875,"000000"),3,2)/60)+(RIGHT(TEXT($N875,"000000"),2)/3600)),-(MID(TEXT($N875,"000000"),2,2)+(MID(TEXT($N875,"000000"),4,2)/60)+(RIGHT(TEXT($N875,"000000"),2)/3600)))</f>
        <v>26.958611111111111</v>
      </c>
      <c r="P875" s="252" t="s">
        <v>56</v>
      </c>
      <c r="Q875" s="253"/>
      <c r="R875" s="247" t="s">
        <v>4411</v>
      </c>
      <c r="S875" s="272" t="s">
        <v>5367</v>
      </c>
      <c r="T875" s="273"/>
      <c r="U875" s="274"/>
      <c r="V875" s="256"/>
      <c r="W875" s="244"/>
      <c r="X875" s="244"/>
      <c r="Y875" s="362"/>
      <c r="Z875" s="257">
        <f>altaz(J2000_Bas,$O875,$M875,DecLat,DecLong,1)</f>
        <v>-20.336062500299036</v>
      </c>
      <c r="AA875" s="257">
        <f>altaz((J2000_Bas+(2*0.04167)),$O875,$M875,DecLat,DecLong,1)</f>
        <v>-1.1777359784052479</v>
      </c>
      <c r="AB875" s="257">
        <f>altaz((J2000_Bas+(4*0.04167)),$O875,$M875,DecLat,DecLong,1)</f>
        <v>22.015937096292621</v>
      </c>
      <c r="AC875" s="257">
        <f>altaz((J2000_Bas+(6*0.04167)),$O875,$M875,DecLat,DecLong,1)</f>
        <v>47.070562033500842</v>
      </c>
      <c r="AD875" s="258">
        <f>1+ transit((J2000_Bas-1),$O875,$M875,DecLat,DecLong)/360 + (GMTOffset/24) + (IF(DST="Y", 1, 0)/24)</f>
        <v>1.1748675350255413</v>
      </c>
      <c r="AE875" s="259">
        <f>DATE(2001,9,21)+(M875/360)*365 - (360*((DecLong/360)- (GMTOffset/24) ))</f>
        <v>37226.418171296296</v>
      </c>
      <c r="AF875" s="260">
        <f>IF(DecLat&gt;0,IF((90 - (DecLat-O875))&gt;90, (90 - (O875-DecLat)), (90 - (DecLat-O875))),IF((90 + (DecLat-O875))&gt;90, (90 + (O875-DecLat)), (90 + (DecLat-O875))))</f>
        <v>85.958611111111111</v>
      </c>
      <c r="AG875" s="257">
        <f>angularseperation(MoonRA,MoonDec,$M875,$O875)</f>
        <v>176.6717451024881</v>
      </c>
      <c r="AH875" s="261">
        <f ca="1">MIN(100,IF($O$5&gt;80,0+30*($AG875/100),IF($O$5&gt;70,0+50*($AG875/100),IF($O$5&gt;60,5+50*($AG875/100),IF($O$5&gt;50,10+60*($AG875/100),IF($O$5&gt;40,15+70*($AG875/100),IF($O$5&gt;30,20+70*($AG875/100),IF($O$5&gt;20,40+55*($AG875/100),(80+(20-$O$5)+30*($AG875/100))))))))))</f>
        <v>100</v>
      </c>
      <c r="AI875" s="262"/>
      <c r="AJ875" s="262"/>
      <c r="AK875" s="262"/>
      <c r="AL875" s="263"/>
      <c r="AM875" s="264"/>
      <c r="AN875" s="263"/>
      <c r="AO875" s="263"/>
      <c r="AP875" s="265"/>
      <c r="AQ875" s="266"/>
      <c r="AR875" s="267"/>
      <c r="AS875" s="263"/>
      <c r="AT875" s="263"/>
      <c r="AU875" s="263"/>
      <c r="AV875" s="264"/>
      <c r="AW875" s="263"/>
      <c r="AX875" s="263"/>
      <c r="AY875" s="263"/>
      <c r="AZ875" s="263"/>
      <c r="BA875" s="263"/>
      <c r="BB875" s="263"/>
      <c r="BC875" s="263"/>
      <c r="BD875" s="264"/>
      <c r="BE875" s="263"/>
      <c r="BF875" s="263"/>
      <c r="BG875" s="263"/>
      <c r="BH875" s="263"/>
      <c r="BI875" s="263"/>
      <c r="BJ875" s="404">
        <f>altaz(J2000_Bas,$O875,$M875,DecLat,DecLong,2)</f>
        <v>38.117978767664034</v>
      </c>
      <c r="BK875" s="378" t="s">
        <v>966</v>
      </c>
      <c r="BL875" s="379">
        <f>IF((2*G875)/60&lt;0.2,0.2,(2*G875)/60)</f>
        <v>0.2</v>
      </c>
      <c r="BM875" s="380">
        <f>MOD((50000+AD875-$B$3+(0/24)),1)</f>
        <v>0.39023446472856449</v>
      </c>
      <c r="BN875" s="381"/>
      <c r="BO875" s="382">
        <v>872</v>
      </c>
    </row>
    <row r="876" spans="1:67" s="24" customFormat="1" ht="15" customHeight="1" x14ac:dyDescent="0.25">
      <c r="A876" s="288" t="s">
        <v>967</v>
      </c>
      <c r="B876" s="241" t="str">
        <f>HYPERLINK(CONCATENATE($AT$3,BK876,$AU$3),$AV$3)</f>
        <v>S</v>
      </c>
      <c r="C876" s="242" t="str">
        <f>HYPERLINK(CONCATENATE($AT$4,BK876,$AU$4,BL876),$AV$4)</f>
        <v>A</v>
      </c>
      <c r="D876" s="243" t="s">
        <v>5335</v>
      </c>
      <c r="E876" s="244" t="s">
        <v>31</v>
      </c>
      <c r="F876" s="269"/>
      <c r="G876" s="273">
        <v>2</v>
      </c>
      <c r="H876" s="271">
        <v>1300</v>
      </c>
      <c r="I876" s="308">
        <v>0.7</v>
      </c>
      <c r="J876" s="246">
        <v>2</v>
      </c>
      <c r="K876" s="247" t="s">
        <v>4463</v>
      </c>
      <c r="L876" s="248">
        <v>54522</v>
      </c>
      <c r="M876" s="249">
        <f>15*(LEFT(TEXT($L876,"000000"),2)+(MID(TEXT($L876,"000000"),3,2)/60)+(RIGHT(TEXT($L876,"000000"),2)/3600))</f>
        <v>86.341666666666669</v>
      </c>
      <c r="N876" s="286">
        <v>90412</v>
      </c>
      <c r="O876" s="251">
        <f>IF($N876&gt;0,(LEFT(TEXT($N876,"000000"),2)+(MID(TEXT($N876,"000000"),3,2)/60)+(RIGHT(TEXT($N876,"000000"),2)/3600)),-(MID(TEXT($N876,"000000"),2,2)+(MID(TEXT($N876,"000000"),4,2)/60)+(RIGHT(TEXT($N876,"000000"),2)/3600)))</f>
        <v>9.07</v>
      </c>
      <c r="P876" s="252" t="s">
        <v>41</v>
      </c>
      <c r="Q876" s="253"/>
      <c r="R876" s="247" t="s">
        <v>5365</v>
      </c>
      <c r="S876" s="272" t="s">
        <v>5365</v>
      </c>
      <c r="T876" s="273"/>
      <c r="U876" s="274"/>
      <c r="V876" s="256"/>
      <c r="W876" s="244"/>
      <c r="X876" s="244"/>
      <c r="Y876" s="362"/>
      <c r="Z876" s="257">
        <f>altaz(J2000_Bas,$O876,$M876,DecLat,DecLong,1)</f>
        <v>-45.717872018620128</v>
      </c>
      <c r="AA876" s="257">
        <f>altaz((J2000_Bas+(2*0.04167)),$O876,$M876,DecLat,DecLong,1)</f>
        <v>-27.760131281928352</v>
      </c>
      <c r="AB876" s="257">
        <f>altaz((J2000_Bas+(4*0.04167)),$O876,$M876,DecLat,DecLong,1)</f>
        <v>-3.9143563668756469</v>
      </c>
      <c r="AC876" s="257">
        <f>altaz((J2000_Bas+(6*0.04167)),$O876,$M876,DecLat,DecLong,1)</f>
        <v>21.685277041235601</v>
      </c>
      <c r="AD876" s="258">
        <f>1+ transit((J2000_Bas-1),$O876,$M876,DecLat,DecLong)/360 + (GMTOffset/24) + (IF(DST="Y", 1, 0)/24)</f>
        <v>1.2327378996088747</v>
      </c>
      <c r="AE876" s="259">
        <f>DATE(2001,9,21)+(M876/360)*365 - (360*((DecLong/360)- (GMTOffset/24) ))</f>
        <v>37247.540856481479</v>
      </c>
      <c r="AF876" s="260">
        <f>IF(DecLat&gt;0,IF((90 - (DecLat-O876))&gt;90, (90 - (O876-DecLat)), (90 - (DecLat-O876))),IF((90 + (DecLat-O876))&gt;90, (90 + (O876-DecLat)), (90 + (DecLat-O876))))</f>
        <v>68.069999999999993</v>
      </c>
      <c r="AG876" s="257">
        <f>angularseperation(MoonRA,MoonDec,$M876,$O876)</f>
        <v>155.79921520648185</v>
      </c>
      <c r="AH876" s="261">
        <f ca="1">MIN(100,IF($O$5&gt;80,0+30*($AG876/100),IF($O$5&gt;70,0+50*($AG876/100),IF($O$5&gt;60,5+50*($AG876/100),IF($O$5&gt;50,10+60*($AG876/100),IF($O$5&gt;40,15+70*($AG876/100),IF($O$5&gt;30,20+70*($AG876/100),IF($O$5&gt;20,40+55*($AG876/100),(80+(20-$O$5)+30*($AG876/100))))))))))</f>
        <v>100</v>
      </c>
      <c r="AI876" s="262"/>
      <c r="AJ876" s="262"/>
      <c r="AK876" s="262"/>
      <c r="AL876" s="263"/>
      <c r="AM876" s="264"/>
      <c r="AN876" s="263"/>
      <c r="AO876" s="263"/>
      <c r="AP876" s="265"/>
      <c r="AQ876" s="266"/>
      <c r="AR876" s="267"/>
      <c r="AS876" s="263"/>
      <c r="AT876" s="263"/>
      <c r="AU876" s="263"/>
      <c r="AV876" s="264"/>
      <c r="AW876" s="263"/>
      <c r="AX876" s="263"/>
      <c r="AY876" s="263"/>
      <c r="AZ876" s="263"/>
      <c r="BA876" s="263"/>
      <c r="BB876" s="263"/>
      <c r="BC876" s="263"/>
      <c r="BD876" s="264"/>
      <c r="BE876" s="263"/>
      <c r="BF876" s="263"/>
      <c r="BG876" s="263"/>
      <c r="BH876" s="263"/>
      <c r="BI876" s="263"/>
      <c r="BJ876" s="404">
        <f>altaz(J2000_Bas,$O876,$M876,DecLat,DecLong,2)</f>
        <v>28.415843143021327</v>
      </c>
      <c r="BK876" s="378" t="s">
        <v>967</v>
      </c>
      <c r="BL876" s="379">
        <f>IF((2*G876)/60&lt;0.2,0.2,(2*G876)/60)</f>
        <v>0.2</v>
      </c>
      <c r="BM876" s="380">
        <f>MOD((50000+AD876-$B$3+(0/24)),1)</f>
        <v>0.44810482931643492</v>
      </c>
      <c r="BN876" s="381"/>
      <c r="BO876" s="382">
        <v>873</v>
      </c>
    </row>
    <row r="877" spans="1:67" s="24" customFormat="1" ht="15" customHeight="1" x14ac:dyDescent="0.25">
      <c r="A877" s="288" t="s">
        <v>9300</v>
      </c>
      <c r="B877" s="241" t="str">
        <f>HYPERLINK(CONCATENATE($AT$3,BK877,$AU$3),$AV$3)</f>
        <v>S</v>
      </c>
      <c r="C877" s="242" t="str">
        <f>HYPERLINK(CONCATENATE($AT$4,BK877,$AU$4,BL877),$AV$4)</f>
        <v>A</v>
      </c>
      <c r="D877" s="243" t="s">
        <v>5187</v>
      </c>
      <c r="E877" s="244" t="s">
        <v>16</v>
      </c>
      <c r="F877" s="269"/>
      <c r="G877" s="276">
        <v>60</v>
      </c>
      <c r="H877" s="271">
        <v>5000</v>
      </c>
      <c r="I877" s="281">
        <v>90</v>
      </c>
      <c r="J877" s="246">
        <v>2</v>
      </c>
      <c r="K877" s="247" t="s">
        <v>4654</v>
      </c>
      <c r="L877" s="248">
        <v>201835</v>
      </c>
      <c r="M877" s="249">
        <f>15*(LEFT(TEXT($L877,"000000"),2)+(MID(TEXT($L877,"000000"),3,2)/60)+(RIGHT(TEXT($L877,"000000"),2)/3600))</f>
        <v>304.64583333333337</v>
      </c>
      <c r="N877" s="286">
        <v>461913</v>
      </c>
      <c r="O877" s="251">
        <f>IF($N877&gt;0,(LEFT(TEXT($N877,"000000"),2)+(MID(TEXT($N877,"000000"),3,2)/60)+(RIGHT(TEXT($N877,"000000"),2)/3600)),-(MID(TEXT($N877,"000000"),2,2)+(MID(TEXT($N877,"000000"),4,2)/60)+(RIGHT(TEXT($N877,"000000"),2)/3600)))</f>
        <v>46.320277777777783</v>
      </c>
      <c r="P877" s="252" t="s">
        <v>60</v>
      </c>
      <c r="Q877" s="253"/>
      <c r="R877" s="247" t="s">
        <v>3198</v>
      </c>
      <c r="S877" s="272" t="s">
        <v>3293</v>
      </c>
      <c r="T877" s="273"/>
      <c r="U877" s="274"/>
      <c r="V877" s="256"/>
      <c r="W877" s="244"/>
      <c r="X877" s="244"/>
      <c r="Y877" s="362"/>
      <c r="Z877" s="257">
        <f>altaz(J2000_Bas,$O877,$M877,DecLat,DecLong,1)</f>
        <v>68.971370145391248</v>
      </c>
      <c r="AA877" s="257">
        <f>altaz((J2000_Bas+(2*0.04167)),$O877,$M877,DecLat,DecLong,1)</f>
        <v>72.307313306358139</v>
      </c>
      <c r="AB877" s="257">
        <f>altaz((J2000_Bas+(4*0.04167)),$O877,$M877,DecLat,DecLong,1)</f>
        <v>54.653953831851403</v>
      </c>
      <c r="AC877" s="257">
        <f>altaz((J2000_Bas+(6*0.04167)),$O877,$M877,DecLat,DecLong,1)</f>
        <v>34.003116623253881</v>
      </c>
      <c r="AD877" s="258">
        <f>1+ transit((J2000_Bas-1),$O877,$M877,DecLat,DecLong)/360 + (GMTOffset/24) + (IF(DST="Y", 1, 0)/24)</f>
        <v>1.8391383019317915</v>
      </c>
      <c r="AE877" s="259">
        <f>DATE(2001,9,21)+(M877/360)*365 - (360*((DecLong/360)- (GMTOffset/24) ))</f>
        <v>37468.877025462964</v>
      </c>
      <c r="AF877" s="260">
        <f>IF(DecLat&gt;0,IF((90 - (DecLat-O877))&gt;90, (90 - (O877-DecLat)), (90 - (DecLat-O877))),IF((90 + (DecLat-O877))&gt;90, (90 + (O877-DecLat)), (90 + (DecLat-O877))))</f>
        <v>74.67972222222221</v>
      </c>
      <c r="AG877" s="257">
        <f>angularseperation(MoonRA,MoonDec,$M877,$O877)</f>
        <v>88.862532373226344</v>
      </c>
      <c r="AH877" s="261">
        <f ca="1">MIN(100,IF($O$5&gt;80,0+30*($AG877/100),IF($O$5&gt;70,0+50*($AG877/100),IF($O$5&gt;60,5+50*($AG877/100),IF($O$5&gt;50,10+60*($AG877/100),IF($O$5&gt;40,15+70*($AG877/100),IF($O$5&gt;30,20+70*($AG877/100),IF($O$5&gt;20,40+55*($AG877/100),(80+(20-$O$5)+30*($AG877/100))))))))))</f>
        <v>100</v>
      </c>
      <c r="AI877" s="262"/>
      <c r="AJ877" s="262"/>
      <c r="AK877" s="262"/>
      <c r="AL877" s="263"/>
      <c r="AM877" s="264"/>
      <c r="AN877" s="263"/>
      <c r="AO877" s="263"/>
      <c r="AP877" s="265"/>
      <c r="AQ877" s="266"/>
      <c r="AR877" s="267"/>
      <c r="AS877" s="263"/>
      <c r="AT877" s="263"/>
      <c r="AU877" s="263"/>
      <c r="AV877" s="264"/>
      <c r="AW877" s="263"/>
      <c r="AX877" s="263"/>
      <c r="AY877" s="263"/>
      <c r="AZ877" s="263"/>
      <c r="BA877" s="263"/>
      <c r="BB877" s="263"/>
      <c r="BC877" s="361" t="s">
        <v>3069</v>
      </c>
      <c r="BD877" s="264"/>
      <c r="BE877" s="263"/>
      <c r="BF877" s="263"/>
      <c r="BG877" s="263"/>
      <c r="BH877" s="263"/>
      <c r="BI877" s="263"/>
      <c r="BJ877" s="404">
        <f>altaz(J2000_Bas,$O877,$M877,DecLat,DecLong,2)</f>
        <v>37.970577772008838</v>
      </c>
      <c r="BK877" s="378" t="s">
        <v>4465</v>
      </c>
      <c r="BL877" s="379">
        <f>IF((2*G877)/60&lt;0.2,0.2,(2*G877)/60)</f>
        <v>2</v>
      </c>
      <c r="BM877" s="380">
        <f>MOD((50000+AD877-$B$3+(0/24)),1)</f>
        <v>5.4505231637449469E-2</v>
      </c>
      <c r="BN877" s="381"/>
      <c r="BO877" s="382">
        <v>874</v>
      </c>
    </row>
    <row r="878" spans="1:67" s="24" customFormat="1" ht="15" customHeight="1" x14ac:dyDescent="0.25">
      <c r="A878" s="288" t="s">
        <v>968</v>
      </c>
      <c r="B878" s="241" t="str">
        <f>HYPERLINK(CONCATENATE($AT$3,BK878,$AU$3),$AV$3)</f>
        <v>S</v>
      </c>
      <c r="C878" s="242" t="str">
        <f>HYPERLINK(CONCATENATE($AT$4,BK878,$AU$4,BL878),$AV$4)</f>
        <v>A</v>
      </c>
      <c r="D878" s="243" t="s">
        <v>5335</v>
      </c>
      <c r="E878" s="244" t="s">
        <v>5184</v>
      </c>
      <c r="F878" s="269"/>
      <c r="G878" s="270">
        <v>0.8</v>
      </c>
      <c r="H878" s="283">
        <v>2500000</v>
      </c>
      <c r="I878" s="246">
        <v>600</v>
      </c>
      <c r="J878" s="246">
        <v>2</v>
      </c>
      <c r="K878" s="247" t="s">
        <v>4467</v>
      </c>
      <c r="L878" s="248">
        <v>3248</v>
      </c>
      <c r="M878" s="249">
        <f>15*(LEFT(TEXT($L878,"000000"),2)+(MID(TEXT($L878,"000000"),3,2)/60)+(RIGHT(TEXT($L878,"000000"),2)/3600))</f>
        <v>8.1999999999999993</v>
      </c>
      <c r="N878" s="250">
        <v>393500</v>
      </c>
      <c r="O878" s="251">
        <f>IF($N878&gt;0,(LEFT(TEXT($N878,"000000"),2)+(MID(TEXT($N878,"000000"),3,2)/60)+(RIGHT(TEXT($N878,"000000"),2)/3600)),-(MID(TEXT($N878,"000000"),2,2)+(MID(TEXT($N878,"000000"),4,2)/60)+(RIGHT(TEXT($N878,"000000"),2)/3600)))</f>
        <v>39.583333333333336</v>
      </c>
      <c r="P878" s="252" t="s">
        <v>36</v>
      </c>
      <c r="Q878" s="253"/>
      <c r="R878" s="277" t="s">
        <v>969</v>
      </c>
      <c r="S878" s="272" t="s">
        <v>3293</v>
      </c>
      <c r="T878" s="273">
        <v>13.8</v>
      </c>
      <c r="U878" s="274"/>
      <c r="V878" s="280"/>
      <c r="W878" s="244"/>
      <c r="X878" s="244"/>
      <c r="Y878" s="362"/>
      <c r="Z878" s="257">
        <f>altaz(J2000_Bas,$O878,$M878,DecLat,DecLong,1)</f>
        <v>24.700076471000802</v>
      </c>
      <c r="AA878" s="257">
        <f>altaz((J2000_Bas+(2*0.04167)),$O878,$M878,DecLat,DecLong,1)</f>
        <v>47.212079759488006</v>
      </c>
      <c r="AB878" s="257">
        <f>altaz((J2000_Bas+(4*0.04167)),$O878,$M878,DecLat,DecLong,1)</f>
        <v>70.148170093075592</v>
      </c>
      <c r="AC878" s="257">
        <f>altaz((J2000_Bas+(6*0.04167)),$O878,$M878,DecLat,DecLong,1)</f>
        <v>79.197832225434738</v>
      </c>
      <c r="AD878" s="258">
        <f>1+ transit((J2000_Bas-1),$O878,$M878,DecLat,DecLong)/360 + (GMTOffset/24) + (IF(DST="Y", 1, 0)/24)</f>
        <v>1.015677736129708</v>
      </c>
      <c r="AE878" s="259">
        <f>DATE(2001,9,21)+(M878/360)*365 - (360*((DecLong/360)- (GMTOffset/24) ))</f>
        <v>37168.313888888886</v>
      </c>
      <c r="AF878" s="260">
        <f>IF(DecLat&gt;0,IF((90 - (DecLat-O878))&gt;90, (90 - (O878-DecLat)), (90 - (DecLat-O878))),IF((90 + (DecLat-O878))&gt;90, (90 + (O878-DecLat)), (90 + (DecLat-O878))))</f>
        <v>81.416666666666657</v>
      </c>
      <c r="AG878" s="257">
        <f>angularseperation(MoonRA,MoonDec,$M878,$O878)</f>
        <v>128.48756521278676</v>
      </c>
      <c r="AH878" s="261">
        <f ca="1">MIN(100,IF($O$5&gt;80,0+30*($AG878/100),IF($O$5&gt;70,0+50*($AG878/100),IF($O$5&gt;60,5+50*($AG878/100),IF($O$5&gt;50,10+60*($AG878/100),IF($O$5&gt;40,15+70*($AG878/100),IF($O$5&gt;30,20+70*($AG878/100),IF($O$5&gt;20,40+55*($AG878/100),(80+(20-$O$5)+30*($AG878/100))))))))))</f>
        <v>100</v>
      </c>
      <c r="AI878" s="262"/>
      <c r="AJ878" s="262"/>
      <c r="AK878" s="262"/>
      <c r="AL878" s="263"/>
      <c r="AM878" s="264"/>
      <c r="AN878" s="263"/>
      <c r="AO878" s="263"/>
      <c r="AP878" s="265"/>
      <c r="AQ878" s="266">
        <v>330</v>
      </c>
      <c r="AR878" s="267"/>
      <c r="AS878" s="263"/>
      <c r="AT878" s="263"/>
      <c r="AU878" s="263"/>
      <c r="AV878" s="264"/>
      <c r="AW878" s="263"/>
      <c r="AX878" s="263"/>
      <c r="AY878" s="263"/>
      <c r="AZ878" s="263"/>
      <c r="BA878" s="263"/>
      <c r="BB878" s="263"/>
      <c r="BC878" s="263"/>
      <c r="BD878" s="264"/>
      <c r="BE878" s="263"/>
      <c r="BF878" s="263"/>
      <c r="BG878" s="263"/>
      <c r="BH878" s="263"/>
      <c r="BI878" s="263"/>
      <c r="BJ878" s="404">
        <f>altaz(J2000_Bas,$O878,$M878,DecLat,DecLong,2)</f>
        <v>57.188597458813959</v>
      </c>
      <c r="BK878" s="378" t="s">
        <v>4466</v>
      </c>
      <c r="BL878" s="379">
        <f>IF((2*G878)/60&lt;0.2,0.2,(2*G878)/60)</f>
        <v>0.2</v>
      </c>
      <c r="BM878" s="380">
        <f>MOD((50000+AD878-$B$3+(0/24)),1)</f>
        <v>0.23104466583026806</v>
      </c>
      <c r="BN878" s="381"/>
      <c r="BO878" s="382">
        <v>875</v>
      </c>
    </row>
    <row r="879" spans="1:67" s="24" customFormat="1" ht="15" customHeight="1" x14ac:dyDescent="0.25">
      <c r="A879" s="288" t="s">
        <v>970</v>
      </c>
      <c r="B879" s="241" t="str">
        <f>HYPERLINK(CONCATENATE($AT$3,BK879,$AU$3),$AV$3)</f>
        <v>S</v>
      </c>
      <c r="C879" s="242" t="str">
        <f>HYPERLINK(CONCATENATE($AT$4,BK879,$AU$4,BL879),$AV$4)</f>
        <v>A</v>
      </c>
      <c r="D879" s="243" t="s">
        <v>5187</v>
      </c>
      <c r="E879" s="244" t="s">
        <v>5181</v>
      </c>
      <c r="F879" s="269" t="s">
        <v>9296</v>
      </c>
      <c r="G879" s="273">
        <v>1</v>
      </c>
      <c r="H879" s="271" t="s">
        <v>6500</v>
      </c>
      <c r="I879" s="244" t="s">
        <v>6500</v>
      </c>
      <c r="J879" s="246">
        <v>3</v>
      </c>
      <c r="K879" s="247" t="s">
        <v>4647</v>
      </c>
      <c r="L879" s="248">
        <v>214000</v>
      </c>
      <c r="M879" s="249">
        <f>15*(LEFT(TEXT($L879,"000000"),2)+(MID(TEXT($L879,"000000"),3,2)/60)+(RIGHT(TEXT($L879,"000000"),2)/3600))</f>
        <v>325</v>
      </c>
      <c r="N879" s="250">
        <v>585900</v>
      </c>
      <c r="O879" s="251">
        <f>IF($N879&gt;0,(LEFT(TEXT($N879,"000000"),2)+(MID(TEXT($N879,"000000"),3,2)/60)+(RIGHT(TEXT($N879,"000000"),2)/3600)),-(MID(TEXT($N879,"000000"),2,2)+(MID(TEXT($N879,"000000"),4,2)/60)+(RIGHT(TEXT($N879,"000000"),2)/3600)))</f>
        <v>58.983333333333334</v>
      </c>
      <c r="P879" s="252" t="s">
        <v>52</v>
      </c>
      <c r="Q879" s="253"/>
      <c r="R879" s="247" t="s">
        <v>4464</v>
      </c>
      <c r="S879" s="272" t="s">
        <v>3293</v>
      </c>
      <c r="T879" s="273"/>
      <c r="U879" s="274"/>
      <c r="V879" s="280"/>
      <c r="W879" s="244"/>
      <c r="X879" s="244"/>
      <c r="Y879" s="362"/>
      <c r="Z879" s="257">
        <f>altaz(J2000_Bas,$O879,$M879,DecLat,DecLong,1)</f>
        <v>51.689707247242175</v>
      </c>
      <c r="AA879" s="257">
        <f>altaz((J2000_Bas+(2*0.04167)),$O879,$M879,DecLat,DecLong,1)</f>
        <v>61.372226394158702</v>
      </c>
      <c r="AB879" s="257">
        <f>altaz((J2000_Bas+(4*0.04167)),$O879,$M879,DecLat,DecLong,1)</f>
        <v>58.569264857263541</v>
      </c>
      <c r="AC879" s="257">
        <f>altaz((J2000_Bas+(6*0.04167)),$O879,$M879,DecLat,DecLong,1)</f>
        <v>45.874916315622833</v>
      </c>
      <c r="AD879" s="258">
        <f>1+ transit((J2000_Bas-1),$O879,$M879,DecLat,DecLong)/360 + (GMTOffset/24) + (IF(DST="Y", 1, 0)/24)</f>
        <v>1.895677648129708</v>
      </c>
      <c r="AE879" s="259">
        <f>DATE(2001,9,21)+(M879/360)*365 - (360*((DecLong/360)- (GMTOffset/24) ))</f>
        <v>37489.513888888891</v>
      </c>
      <c r="AF879" s="260">
        <f>IF(DecLat&gt;0,IF((90 - (DecLat-O879))&gt;90, (90 - (O879-DecLat)), (90 - (DecLat-O879))),IF((90 + (DecLat-O879))&gt;90, (90 + (O879-DecLat)), (90 + (DecLat-O879))))</f>
        <v>62.016666666666666</v>
      </c>
      <c r="AG879" s="257">
        <f>angularseperation(MoonRA,MoonDec,$M879,$O879)</f>
        <v>106.10094648763753</v>
      </c>
      <c r="AH879" s="261">
        <f ca="1">MIN(100,IF($O$5&gt;80,0+30*($AG879/100),IF($O$5&gt;70,0+50*($AG879/100),IF($O$5&gt;60,5+50*($AG879/100),IF($O$5&gt;50,10+60*($AG879/100),IF($O$5&gt;40,15+70*($AG879/100),IF($O$5&gt;30,20+70*($AG879/100),IF($O$5&gt;20,40+55*($AG879/100),(80+(20-$O$5)+30*($AG879/100))))))))))</f>
        <v>100</v>
      </c>
      <c r="AI879" s="262"/>
      <c r="AJ879" s="262"/>
      <c r="AK879" s="262"/>
      <c r="AL879" s="263"/>
      <c r="AM879" s="264"/>
      <c r="AN879" s="263"/>
      <c r="AO879" s="263"/>
      <c r="AP879" s="265"/>
      <c r="AQ879" s="266"/>
      <c r="AR879" s="267"/>
      <c r="AS879" s="263"/>
      <c r="AT879" s="263"/>
      <c r="AU879" s="263"/>
      <c r="AV879" s="264"/>
      <c r="AW879" s="263"/>
      <c r="AX879" s="263"/>
      <c r="AY879" s="263"/>
      <c r="AZ879" s="263"/>
      <c r="BA879" s="263"/>
      <c r="BB879" s="263"/>
      <c r="BC879" s="263"/>
      <c r="BD879" s="264"/>
      <c r="BE879" s="263"/>
      <c r="BF879" s="263"/>
      <c r="BG879" s="263"/>
      <c r="BH879" s="263"/>
      <c r="BI879" s="263"/>
      <c r="BJ879" s="404">
        <f>altaz(J2000_Bas,$O879,$M879,DecLat,DecLong,2)</f>
        <v>31.538510045324376</v>
      </c>
      <c r="BK879" s="378" t="s">
        <v>4468</v>
      </c>
      <c r="BL879" s="379">
        <f>IF((2*G879)/60&lt;0.2,0.2,(2*G879)/60)</f>
        <v>0.2</v>
      </c>
      <c r="BM879" s="380">
        <f>MOD((50000+AD879-$B$3+(0/24)),1)</f>
        <v>0.11104457783221733</v>
      </c>
      <c r="BN879" s="381" t="s">
        <v>9121</v>
      </c>
      <c r="BO879" s="382">
        <v>876</v>
      </c>
    </row>
    <row r="880" spans="1:67" s="24" customFormat="1" ht="15" customHeight="1" x14ac:dyDescent="0.25">
      <c r="A880" s="288" t="s">
        <v>9306</v>
      </c>
      <c r="B880" s="241" t="str">
        <f>HYPERLINK(CONCATENATE($AT$3,BK880,$AU$3),$AV$3)</f>
        <v>S</v>
      </c>
      <c r="C880" s="242" t="str">
        <f>HYPERLINK(CONCATENATE($AT$4,BK880,$AU$4,BL880),$AV$4)</f>
        <v>A</v>
      </c>
      <c r="D880" s="243" t="s">
        <v>5187</v>
      </c>
      <c r="E880" s="244" t="s">
        <v>16</v>
      </c>
      <c r="F880" s="269"/>
      <c r="G880" s="276">
        <v>120</v>
      </c>
      <c r="H880" s="271">
        <v>7200</v>
      </c>
      <c r="I880" s="244">
        <v>260</v>
      </c>
      <c r="J880" s="246">
        <v>2</v>
      </c>
      <c r="K880" s="247" t="s">
        <v>9329</v>
      </c>
      <c r="L880" s="248">
        <v>21740</v>
      </c>
      <c r="M880" s="249">
        <f>15*(LEFT(TEXT($L880,"000000"),2)+(MID(TEXT($L880,"000000"),3,2)/60)+(RIGHT(TEXT($L880,"000000"),2)/3600))</f>
        <v>34.416666666666664</v>
      </c>
      <c r="N880" s="250">
        <v>624500</v>
      </c>
      <c r="O880" s="251">
        <f>IF($N880&gt;0,(LEFT(TEXT($N880,"000000"),2)+(MID(TEXT($N880,"000000"),3,2)/60)+(RIGHT(TEXT($N880,"000000"),2)/3600)),-(MID(TEXT($N880,"000000"),2,2)+(MID(TEXT($N880,"000000"),4,2)/60)+(RIGHT(TEXT($N880,"000000"),2)/3600)))</f>
        <v>62.75</v>
      </c>
      <c r="P880" s="252" t="s">
        <v>49</v>
      </c>
      <c r="Q880" s="253"/>
      <c r="R880" s="277" t="s">
        <v>9307</v>
      </c>
      <c r="S880" s="272" t="s">
        <v>7002</v>
      </c>
      <c r="T880" s="273"/>
      <c r="U880" s="274"/>
      <c r="V880" s="280"/>
      <c r="W880" s="244"/>
      <c r="X880" s="244"/>
      <c r="Y880" s="362"/>
      <c r="Z880" s="257">
        <f>altaz(J2000_Bas,$O880,$M880,DecLat,DecLong,1)</f>
        <v>19.505795901399786</v>
      </c>
      <c r="AA880" s="257">
        <f>altaz((J2000_Bas+(2*0.04167)),$O880,$M880,DecLat,DecLong,1)</f>
        <v>32.497898281513436</v>
      </c>
      <c r="AB880" s="257">
        <f>altaz((J2000_Bas+(4*0.04167)),$O880,$M880,DecLat,DecLong,1)</f>
        <v>45.99218793367335</v>
      </c>
      <c r="AC880" s="257">
        <f>altaz((J2000_Bas+(6*0.04167)),$O880,$M880,DecLat,DecLong,1)</f>
        <v>56.181226142566601</v>
      </c>
      <c r="AD880" s="258">
        <f>1+ transit((J2000_Bas-1),$O880,$M880,DecLat,DecLong)/360 + (GMTOffset/24) + (IF(DST="Y", 1, 0)/24)</f>
        <v>1.0885018029213747</v>
      </c>
      <c r="AE880" s="259">
        <f>DATE(2001,9,21)+(M880/360)*365 - (360*((DecLong/360)- (GMTOffset/24) ))</f>
        <v>37194.894675925927</v>
      </c>
      <c r="AF880" s="260">
        <f>IF(DecLat&gt;0,IF((90 - (DecLat-O880))&gt;90, (90 - (O880-DecLat)), (90 - (DecLat-O880))),IF((90 + (DecLat-O880))&gt;90, (90 + (O880-DecLat)), (90 + (DecLat-O880))))</f>
        <v>58.25</v>
      </c>
      <c r="AG880" s="257">
        <f>angularseperation(MoonRA,MoonDec,$M880,$O880)</f>
        <v>137.68179316138045</v>
      </c>
      <c r="AH880" s="261">
        <f ca="1">MIN(100,IF($O$5&gt;80,0+30*($AG880/100),IF($O$5&gt;70,0+50*($AG880/100),IF($O$5&gt;60,5+50*($AG880/100),IF($O$5&gt;50,10+60*($AG880/100),IF($O$5&gt;40,15+70*($AG880/100),IF($O$5&gt;30,20+70*($AG880/100),IF($O$5&gt;20,40+55*($AG880/100),(80+(20-$O$5)+30*($AG880/100))))))))))</f>
        <v>100</v>
      </c>
      <c r="AI880" s="263"/>
      <c r="AJ880" s="263"/>
      <c r="AK880" s="263"/>
      <c r="AL880" s="263"/>
      <c r="AM880" s="264"/>
      <c r="AN880" s="263"/>
      <c r="AO880" s="263"/>
      <c r="AP880" s="265"/>
      <c r="AQ880" s="265"/>
      <c r="AR880" s="285"/>
      <c r="AS880" s="263"/>
      <c r="AT880" s="263"/>
      <c r="AU880" s="263"/>
      <c r="AV880" s="264"/>
      <c r="AW880" s="263"/>
      <c r="AX880" s="263"/>
      <c r="AY880" s="263"/>
      <c r="AZ880" s="263"/>
      <c r="BA880" s="263"/>
      <c r="BB880" s="263"/>
      <c r="BC880" s="263"/>
      <c r="BD880" s="264"/>
      <c r="BE880" s="263"/>
      <c r="BF880" s="263"/>
      <c r="BG880" s="263"/>
      <c r="BH880" s="263"/>
      <c r="BI880" s="263">
        <v>8</v>
      </c>
      <c r="BJ880" s="404">
        <f>altaz(J2000_Bas,$O880,$M880,DecLat,DecLong,2)</f>
        <v>27.443982285417068</v>
      </c>
      <c r="BK880" s="378" t="s">
        <v>9319</v>
      </c>
      <c r="BL880" s="379">
        <f>IF((2*G880)/60&lt;0.2,0.2,(2*G880)/60)</f>
        <v>4</v>
      </c>
      <c r="BM880" s="380">
        <f>MOD((50000+AD880-$B$3+(0/24)),1)</f>
        <v>0.30386873262614245</v>
      </c>
      <c r="BN880" s="381"/>
      <c r="BO880" s="382">
        <v>3148</v>
      </c>
    </row>
    <row r="881" spans="1:67" s="24" customFormat="1" ht="15" customHeight="1" x14ac:dyDescent="0.25">
      <c r="A881" s="288" t="s">
        <v>3193</v>
      </c>
      <c r="B881" s="241" t="str">
        <f>HYPERLINK(CONCATENATE($AT$3,BK881,$AU$3),$AV$3)</f>
        <v>S</v>
      </c>
      <c r="C881" s="242" t="str">
        <f>HYPERLINK(CONCATENATE($AT$4,BK881,$AU$4,BL881),$AV$4)</f>
        <v>A</v>
      </c>
      <c r="D881" s="243" t="s">
        <v>5187</v>
      </c>
      <c r="E881" s="244" t="s">
        <v>5181</v>
      </c>
      <c r="F881" s="269" t="s">
        <v>4795</v>
      </c>
      <c r="G881" s="270">
        <v>0.5</v>
      </c>
      <c r="H881" s="271">
        <v>4300</v>
      </c>
      <c r="I881" s="309">
        <v>0.7</v>
      </c>
      <c r="J881" s="246">
        <v>2</v>
      </c>
      <c r="K881" s="277" t="s">
        <v>6033</v>
      </c>
      <c r="L881" s="248">
        <v>22045</v>
      </c>
      <c r="M881" s="249">
        <f>15*(LEFT(TEXT($L881,"000000"),2)+(MID(TEXT($L881,"000000"),3,2)/60)+(RIGHT(TEXT($L881,"000000"),2)/3600))</f>
        <v>35.187500000000007</v>
      </c>
      <c r="N881" s="250">
        <v>631134</v>
      </c>
      <c r="O881" s="251">
        <f>IF($N881&gt;0,(LEFT(TEXT($N881,"000000"),2)+(MID(TEXT($N881,"000000"),3,2)/60)+(RIGHT(TEXT($N881,"000000"),2)/3600)),-(MID(TEXT($N881,"000000"),2,2)+(MID(TEXT($N881,"000000"),4,2)/60)+(RIGHT(TEXT($N881,"000000"),2)/3600)))</f>
        <v>63.192777777777778</v>
      </c>
      <c r="P881" s="252" t="s">
        <v>49</v>
      </c>
      <c r="Q881" s="253"/>
      <c r="R881" s="277" t="s">
        <v>3293</v>
      </c>
      <c r="S881" s="272" t="s">
        <v>3293</v>
      </c>
      <c r="T881" s="273"/>
      <c r="U881" s="274"/>
      <c r="V881" s="280"/>
      <c r="W881" s="244"/>
      <c r="X881" s="244"/>
      <c r="Y881" s="362"/>
      <c r="Z881" s="257">
        <f>altaz(J2000_Bas,$O881,$M881,DecLat,DecLong,1)</f>
        <v>19.429791542166306</v>
      </c>
      <c r="AA881" s="257">
        <f>altaz((J2000_Bas+(2*0.04167)),$O881,$M881,DecLat,DecLong,1)</f>
        <v>32.193724617154828</v>
      </c>
      <c r="AB881" s="257">
        <f>altaz((J2000_Bas+(4*0.04167)),$O881,$M881,DecLat,DecLong,1)</f>
        <v>45.497619713554208</v>
      </c>
      <c r="AC881" s="257">
        <f>altaz((J2000_Bas+(6*0.04167)),$O881,$M881,DecLat,DecLong,1)</f>
        <v>55.623992353787003</v>
      </c>
      <c r="AD881" s="258">
        <f>1+ transit((J2000_Bas-1),$O881,$M881,DecLat,DecLong)/360 + (GMTOffset/24) + (IF(DST="Y", 1, 0)/24)</f>
        <v>1.090643006410958</v>
      </c>
      <c r="AE881" s="259">
        <f>DATE(2001,9,21)+(M881/360)*365 - (360*((DecLong/360)- (GMTOffset/24) ))</f>
        <v>37195.676215277781</v>
      </c>
      <c r="AF881" s="260">
        <f>IF(DecLat&gt;0,IF((90 - (DecLat-O881))&gt;90, (90 - (O881-DecLat)), (90 - (DecLat-O881))),IF((90 + (DecLat-O881))&gt;90, (90 + (O881-DecLat)), (90 + (DecLat-O881))))</f>
        <v>57.807222222222222</v>
      </c>
      <c r="AG881" s="257">
        <f>angularseperation(MoonRA,MoonDec,$M881,$O881)</f>
        <v>137.64969648436838</v>
      </c>
      <c r="AH881" s="261">
        <f ca="1">MIN(100,IF($O$5&gt;80,0+30*($AG881/100),IF($O$5&gt;70,0+50*($AG881/100),IF($O$5&gt;60,5+50*($AG881/100),IF($O$5&gt;50,10+60*($AG881/100),IF($O$5&gt;40,15+70*($AG881/100),IF($O$5&gt;30,20+70*($AG881/100),IF($O$5&gt;20,40+55*($AG881/100),(80+(20-$O$5)+30*($AG881/100))))))))))</f>
        <v>100</v>
      </c>
      <c r="AI881" s="263"/>
      <c r="AJ881" s="263"/>
      <c r="AK881" s="263"/>
      <c r="AL881" s="263"/>
      <c r="AM881" s="264"/>
      <c r="AN881" s="263"/>
      <c r="AO881" s="263"/>
      <c r="AP881" s="265"/>
      <c r="AQ881" s="265"/>
      <c r="AR881" s="285"/>
      <c r="AS881" s="263"/>
      <c r="AT881" s="263"/>
      <c r="AU881" s="263"/>
      <c r="AV881" s="264"/>
      <c r="AW881" s="263"/>
      <c r="AX881" s="263"/>
      <c r="AY881" s="263"/>
      <c r="AZ881" s="263"/>
      <c r="BA881" s="263"/>
      <c r="BB881" s="263"/>
      <c r="BC881" s="263"/>
      <c r="BD881" s="264"/>
      <c r="BE881" s="263"/>
      <c r="BF881" s="263"/>
      <c r="BG881" s="263"/>
      <c r="BH881" s="263"/>
      <c r="BI881" s="263"/>
      <c r="BJ881" s="404">
        <f>altaz(J2000_Bas,$O881,$M881,DecLat,DecLong,2)</f>
        <v>26.850619598177545</v>
      </c>
      <c r="BK881" s="378" t="s">
        <v>4469</v>
      </c>
      <c r="BL881" s="379">
        <f>IF((2*G881)/60&lt;0.2,0.2,(2*G881)/60)</f>
        <v>0.2</v>
      </c>
      <c r="BM881" s="380">
        <f>MOD((50000+AD881-$B$3+(0/24)),1)</f>
        <v>0.30600993611733429</v>
      </c>
      <c r="BN881" s="381"/>
      <c r="BO881" s="382">
        <v>877</v>
      </c>
    </row>
    <row r="882" spans="1:67" s="24" customFormat="1" ht="15" customHeight="1" x14ac:dyDescent="0.25">
      <c r="A882" s="406" t="s">
        <v>9316</v>
      </c>
      <c r="B882" s="241" t="str">
        <f>HYPERLINK(CONCATENATE($AT$3,BK882,$AU$3),$AV$3)</f>
        <v>S</v>
      </c>
      <c r="C882" s="242" t="str">
        <f>HYPERLINK(CONCATENATE($AT$4,BK882,$AU$4,BL882),$AV$4)</f>
        <v>A</v>
      </c>
      <c r="D882" s="243" t="s">
        <v>5187</v>
      </c>
      <c r="E882" s="244" t="s">
        <v>16</v>
      </c>
      <c r="F882" s="269"/>
      <c r="G882" s="276">
        <v>90</v>
      </c>
      <c r="H882" s="271">
        <v>5000</v>
      </c>
      <c r="I882" s="244">
        <v>130</v>
      </c>
      <c r="J882" s="246">
        <v>2</v>
      </c>
      <c r="K882" s="247" t="s">
        <v>9346</v>
      </c>
      <c r="L882" s="248">
        <v>45851</v>
      </c>
      <c r="M882" s="249">
        <f>15*(LEFT(TEXT($L882,"000000"),2)+(MID(TEXT($L882,"000000"),3,2)/60)+(RIGHT(TEXT($L882,"000000"),2)/3600))</f>
        <v>74.712500000000006</v>
      </c>
      <c r="N882" s="286">
        <v>515028</v>
      </c>
      <c r="O882" s="251">
        <f>IF($N882&gt;0,(LEFT(TEXT($N882,"000000"),2)+(MID(TEXT($N882,"000000"),3,2)/60)+(RIGHT(TEXT($N882,"000000"),2)/3600)),-(MID(TEXT($N882,"000000"),2,2)+(MID(TEXT($N882,"000000"),4,2)/60)+(RIGHT(TEXT($N882,"000000"),2)/3600)))</f>
        <v>51.841111111111111</v>
      </c>
      <c r="P882" s="252" t="s">
        <v>62</v>
      </c>
      <c r="Q882" s="253"/>
      <c r="R882" s="247" t="s">
        <v>3293</v>
      </c>
      <c r="S882" s="272"/>
      <c r="T882" s="273"/>
      <c r="U882" s="274"/>
      <c r="V882" s="280"/>
      <c r="W882" s="244"/>
      <c r="X882" s="244"/>
      <c r="Y882" s="362"/>
      <c r="Z882" s="257">
        <f>altaz(J2000_Bas,$O882,$M882,DecLat,DecLong,1)</f>
        <v>-2.7277777041259137</v>
      </c>
      <c r="AA882" s="257">
        <f>altaz((J2000_Bas+(2*0.04167)),$O882,$M882,DecLat,DecLong,1)</f>
        <v>8.6997109767063705</v>
      </c>
      <c r="AB882" s="257">
        <f>altaz((J2000_Bas+(4*0.04167)),$O882,$M882,DecLat,DecLong,1)</f>
        <v>24.737461878399056</v>
      </c>
      <c r="AC882" s="257">
        <f>altaz((J2000_Bas+(6*0.04167)),$O882,$M882,DecLat,DecLong,1)</f>
        <v>43.00268088666796</v>
      </c>
      <c r="AD882" s="258">
        <f>1+ transit((J2000_Bas-1),$O882,$M882,DecLat,DecLong)/360 + (GMTOffset/24) + (IF(DST="Y", 1, 0)/24)</f>
        <v>1.2004346620984581</v>
      </c>
      <c r="AE882" s="259">
        <f>DATE(2001,9,21)+(M882/360)*365 - (360*((DecLong/360)- (GMTOffset/24) ))</f>
        <v>37235.750173611108</v>
      </c>
      <c r="AF882" s="260">
        <f>IF(DecLat&gt;0,IF((90 - (DecLat-O882))&gt;90, (90 - (O882-DecLat)), (90 - (DecLat-O882))),IF((90 + (DecLat-O882))&gt;90, (90 + (O882-DecLat)), (90 + (DecLat-O882))))</f>
        <v>69.158888888888896</v>
      </c>
      <c r="AG882" s="257">
        <f>angularseperation(MoonRA,MoonDec,$M882,$O882)</f>
        <v>154.90237331456862</v>
      </c>
      <c r="AH882" s="261">
        <f ca="1">MIN(100,IF($O$5&gt;80,0+30*($AG882/100),IF($O$5&gt;70,0+50*($AG882/100),IF($O$5&gt;60,5+50*($AG882/100),IF($O$5&gt;50,10+60*($AG882/100),IF($O$5&gt;40,15+70*($AG882/100),IF($O$5&gt;30,20+70*($AG882/100),IF($O$5&gt;20,40+55*($AG882/100),(80+(20-$O$5)+30*($AG882/100))))))))))</f>
        <v>100</v>
      </c>
      <c r="AI882" s="262"/>
      <c r="AJ882" s="262"/>
      <c r="AK882" s="262"/>
      <c r="AL882" s="263"/>
      <c r="AM882" s="264"/>
      <c r="AN882" s="263"/>
      <c r="AO882" s="263"/>
      <c r="AP882" s="265"/>
      <c r="AQ882" s="266"/>
      <c r="AR882" s="267"/>
      <c r="AS882" s="263"/>
      <c r="AT882" s="263"/>
      <c r="AU882" s="263"/>
      <c r="AV882" s="264"/>
      <c r="AW882" s="263"/>
      <c r="AX882" s="263"/>
      <c r="AY882" s="263"/>
      <c r="AZ882" s="263"/>
      <c r="BA882" s="263"/>
      <c r="BB882" s="263"/>
      <c r="BC882" s="263"/>
      <c r="BD882" s="264"/>
      <c r="BE882" s="263"/>
      <c r="BF882" s="263"/>
      <c r="BG882" s="263"/>
      <c r="BH882" s="263"/>
      <c r="BI882" s="263">
        <v>33</v>
      </c>
      <c r="BJ882" s="404">
        <f>altaz(J2000_Bas,$O882,$M882,DecLat,DecLong,2)</f>
        <v>18.738838258411057</v>
      </c>
      <c r="BK882" s="378" t="s">
        <v>9318</v>
      </c>
      <c r="BL882" s="379">
        <f>IF((2*G882)/60&lt;0.2,0.2,(2*G882)/60)</f>
        <v>3</v>
      </c>
      <c r="BM882" s="380">
        <f>MOD((50000+AD882-$B$3+(0/24)),1)</f>
        <v>0.41580159180011833</v>
      </c>
      <c r="BN882" s="381"/>
      <c r="BO882" s="382">
        <v>3149</v>
      </c>
    </row>
    <row r="883" spans="1:67" s="24" customFormat="1" ht="15" customHeight="1" x14ac:dyDescent="0.25">
      <c r="A883" s="288" t="s">
        <v>9386</v>
      </c>
      <c r="B883" s="241" t="str">
        <f>HYPERLINK(CONCATENATE($AT$3,BK883,$AU$3),$AV$3)</f>
        <v>S</v>
      </c>
      <c r="C883" s="242" t="str">
        <f>HYPERLINK(CONCATENATE($AT$4,BK883,$AU$4,BL883),$AV$4)</f>
        <v>A</v>
      </c>
      <c r="D883" s="243" t="s">
        <v>5187</v>
      </c>
      <c r="E883" s="244" t="s">
        <v>5181</v>
      </c>
      <c r="F883" s="269" t="s">
        <v>6030</v>
      </c>
      <c r="G883" s="276">
        <v>2</v>
      </c>
      <c r="H883" s="271" t="s">
        <v>6500</v>
      </c>
      <c r="I883" s="281" t="s">
        <v>6500</v>
      </c>
      <c r="J883" s="246">
        <v>1</v>
      </c>
      <c r="K883" s="277" t="s">
        <v>9388</v>
      </c>
      <c r="L883" s="248">
        <v>43825</v>
      </c>
      <c r="M883" s="249">
        <f>15*(LEFT(TEXT($L883,"000000"),2)+(MID(TEXT($L883,"000000"),3,2)/60)+(RIGHT(TEXT($L883,"000000"),2)/3600))</f>
        <v>69.604166666666657</v>
      </c>
      <c r="N883" s="250">
        <v>483852</v>
      </c>
      <c r="O883" s="251">
        <f>IF($N883&gt;0,(LEFT(TEXT($N883,"000000"),2)+(MID(TEXT($N883,"000000"),3,2)/60)+(RIGHT(TEXT($N883,"000000"),2)/3600)),-(MID(TEXT($N883,"000000"),2,2)+(MID(TEXT($N883,"000000"),4,2)/60)+(RIGHT(TEXT($N883,"000000"),2)/3600)))</f>
        <v>48.647777777777776</v>
      </c>
      <c r="P883" s="252" t="s">
        <v>43</v>
      </c>
      <c r="Q883" s="253"/>
      <c r="R883" s="277" t="s">
        <v>3293</v>
      </c>
      <c r="S883" s="272" t="s">
        <v>3293</v>
      </c>
      <c r="T883" s="273"/>
      <c r="U883" s="274"/>
      <c r="V883" s="256"/>
      <c r="W883" s="244"/>
      <c r="X883" s="244"/>
      <c r="Y883" s="362"/>
      <c r="Z883" s="257">
        <f>altaz(J2000_Bas,$O883,$M883,DecLat,DecLong,1)</f>
        <v>-3.9689392466150619</v>
      </c>
      <c r="AA883" s="257">
        <f>altaz((J2000_Bas+(2*0.04167)),$O883,$M883,DecLat,DecLong,1)</f>
        <v>9.2444295548737738</v>
      </c>
      <c r="AB883" s="257">
        <f>altaz((J2000_Bas+(4*0.04167)),$O883,$M883,DecLat,DecLong,1)</f>
        <v>26.833031117906696</v>
      </c>
      <c r="AC883" s="257">
        <f>altaz((J2000_Bas+(6*0.04167)),$O883,$M883,DecLat,DecLong,1)</f>
        <v>46.442738833061476</v>
      </c>
      <c r="AD883" s="258">
        <f>1+ transit((J2000_Bas-1),$O883,$M883,DecLat,DecLong)/360 + (GMTOffset/24) + (IF(DST="Y", 1, 0)/24)</f>
        <v>1.1862448487026247</v>
      </c>
      <c r="AE883" s="259">
        <f>DATE(2001,9,21)+(M883/360)*365 - (360*((DecLong/360)- (GMTOffset/24) ))</f>
        <v>37230.570891203701</v>
      </c>
      <c r="AF883" s="260">
        <f>IF(DecLat&gt;0,IF((90 - (DecLat-O883))&gt;90, (90 - (O883-DecLat)), (90 - (DecLat-O883))),IF((90 + (DecLat-O883))&gt;90, (90 + (O883-DecLat)), (90 + (DecLat-O883))))</f>
        <v>72.352222222222224</v>
      </c>
      <c r="AG883" s="257">
        <f>angularseperation(MoonRA,MoonDec,$M883,$O883)</f>
        <v>158.43448256386083</v>
      </c>
      <c r="AH883" s="261">
        <f ca="1">MIN(100,IF($O$5&gt;80,0+30*($AG883/100),IF($O$5&gt;70,0+50*($AG883/100),IF($O$5&gt;60,5+50*($AG883/100),IF($O$5&gt;50,10+60*($AG883/100),IF($O$5&gt;40,15+70*($AG883/100),IF($O$5&gt;30,20+70*($AG883/100),IF($O$5&gt;20,40+55*($AG883/100),(80+(20-$O$5)+30*($AG883/100))))))))))</f>
        <v>100</v>
      </c>
      <c r="AI883" s="263"/>
      <c r="AJ883" s="263"/>
      <c r="AK883" s="263"/>
      <c r="AL883" s="263"/>
      <c r="AM883" s="264"/>
      <c r="AN883" s="263"/>
      <c r="AO883" s="263"/>
      <c r="AP883" s="265"/>
      <c r="AQ883" s="265"/>
      <c r="AR883" s="285"/>
      <c r="AS883" s="263"/>
      <c r="AT883" s="263"/>
      <c r="AU883" s="263"/>
      <c r="AV883" s="264"/>
      <c r="AW883" s="263"/>
      <c r="AX883" s="263"/>
      <c r="AY883" s="263"/>
      <c r="AZ883" s="263"/>
      <c r="BA883" s="263"/>
      <c r="BB883" s="263"/>
      <c r="BC883" s="263"/>
      <c r="BD883" s="264"/>
      <c r="BE883" s="263"/>
      <c r="BF883" s="263"/>
      <c r="BG883" s="263"/>
      <c r="BH883" s="263"/>
      <c r="BI883" s="263"/>
      <c r="BJ883" s="404">
        <f>altaz(J2000_Bas,$O883,$M883,DecLat,DecLong,2)</f>
        <v>23.140789207532318</v>
      </c>
      <c r="BK883" s="378" t="s">
        <v>9387</v>
      </c>
      <c r="BL883" s="379">
        <f>IF((2*G883)/60&lt;0.2,0.2,(2*G883)/60)</f>
        <v>0.2</v>
      </c>
      <c r="BM883" s="380">
        <f>MOD((50000+AD883-$B$3+(0/24)),1)</f>
        <v>0.40161177840491291</v>
      </c>
      <c r="BN883" s="381"/>
      <c r="BO883" s="382">
        <v>3150</v>
      </c>
    </row>
    <row r="884" spans="1:67" s="24" customFormat="1" ht="15" customHeight="1" x14ac:dyDescent="0.25">
      <c r="A884" s="328" t="s">
        <v>3203</v>
      </c>
      <c r="B884" s="241" t="str">
        <f>HYPERLINK(CONCATENATE($AT$3,BK884,$AU$3),$AV$3)</f>
        <v>S</v>
      </c>
      <c r="C884" s="242" t="str">
        <f>HYPERLINK(CONCATENATE($AT$4,BK884,$AU$4,BL884),$AV$4)</f>
        <v>A</v>
      </c>
      <c r="D884" s="243" t="s">
        <v>5187</v>
      </c>
      <c r="E884" s="244" t="s">
        <v>16</v>
      </c>
      <c r="F884" s="269"/>
      <c r="G884" s="276">
        <v>90</v>
      </c>
      <c r="H884" s="271">
        <v>11000</v>
      </c>
      <c r="I884" s="281">
        <v>280</v>
      </c>
      <c r="J884" s="246">
        <v>1</v>
      </c>
      <c r="K884" s="277" t="s">
        <v>4470</v>
      </c>
      <c r="L884" s="248">
        <v>55342</v>
      </c>
      <c r="M884" s="249">
        <f>15*(LEFT(TEXT($L884,"000000"),2)+(MID(TEXT($L884,"000000"),3,2)/60)+(RIGHT(TEXT($L884,"000000"),2)/3600))</f>
        <v>88.424999999999997</v>
      </c>
      <c r="N884" s="250">
        <v>310500</v>
      </c>
      <c r="O884" s="251">
        <f>IF($N884&gt;0,(LEFT(TEXT($N884,"000000"),2)+(MID(TEXT($N884,"000000"),3,2)/60)+(RIGHT(TEXT($N884,"000000"),2)/3600)),-(MID(TEXT($N884,"000000"),2,2)+(MID(TEXT($N884,"000000"),4,2)/60)+(RIGHT(TEXT($N884,"000000"),2)/3600)))</f>
        <v>31.083333333333332</v>
      </c>
      <c r="P884" s="252" t="s">
        <v>62</v>
      </c>
      <c r="Q884" s="253"/>
      <c r="R884" s="277" t="s">
        <v>3293</v>
      </c>
      <c r="S884" s="272" t="s">
        <v>3293</v>
      </c>
      <c r="T884" s="273"/>
      <c r="U884" s="274"/>
      <c r="V884" s="256"/>
      <c r="W884" s="244"/>
      <c r="X884" s="244"/>
      <c r="Y884" s="362"/>
      <c r="Z884" s="257">
        <f>altaz(J2000_Bas,$O884,$M884,DecLat,DecLong,1)</f>
        <v>-25.716025318630287</v>
      </c>
      <c r="AA884" s="257">
        <f>altaz((J2000_Bas+(2*0.04167)),$O884,$M884,DecLat,DecLong,1)</f>
        <v>-13.209132843718375</v>
      </c>
      <c r="AB884" s="257">
        <f>altaz((J2000_Bas+(4*0.04167)),$O884,$M884,DecLat,DecLong,1)</f>
        <v>6.3214708380205273</v>
      </c>
      <c r="AC884" s="257">
        <f>altaz((J2000_Bas+(6*0.04167)),$O884,$M884,DecLat,DecLong,1)</f>
        <v>29.386343153685818</v>
      </c>
      <c r="AD884" s="258">
        <f>1+ transit((J2000_Bas-1),$O884,$M884,DecLat,DecLong)/360 + (GMTOffset/24) + (IF(DST="Y", 1, 0)/24)</f>
        <v>1.2385249360672079</v>
      </c>
      <c r="AE884" s="259">
        <f>DATE(2001,9,21)+(M884/360)*365 - (360*((DecLong/360)- (GMTOffset/24) ))</f>
        <v>37249.653124999997</v>
      </c>
      <c r="AF884" s="260">
        <f>IF(DecLat&gt;0,IF((90 - (DecLat-O884))&gt;90, (90 - (O884-DecLat)), (90 - (DecLat-O884))),IF((90 + (DecLat-O884))&gt;90, (90 + (O884-DecLat)), (90 + (DecLat-O884))))</f>
        <v>89.916666666666671</v>
      </c>
      <c r="AG884" s="257">
        <f>angularseperation(MoonRA,MoonDec,$M884,$O884)</f>
        <v>162.78982577720654</v>
      </c>
      <c r="AH884" s="261">
        <f ca="1">MIN(100,IF($O$5&gt;80,0+30*($AG884/100),IF($O$5&gt;70,0+50*($AG884/100),IF($O$5&gt;60,5+50*($AG884/100),IF($O$5&gt;50,10+60*($AG884/100),IF($O$5&gt;40,15+70*($AG884/100),IF($O$5&gt;30,20+70*($AG884/100),IF($O$5&gt;20,40+55*($AG884/100),(80+(20-$O$5)+30*($AG884/100))))))))))</f>
        <v>100</v>
      </c>
      <c r="AI884" s="263"/>
      <c r="AJ884" s="263"/>
      <c r="AK884" s="263"/>
      <c r="AL884" s="263"/>
      <c r="AM884" s="264"/>
      <c r="AN884" s="263"/>
      <c r="AO884" s="263"/>
      <c r="AP884" s="265"/>
      <c r="AQ884" s="265"/>
      <c r="AR884" s="285"/>
      <c r="AS884" s="263"/>
      <c r="AT884" s="263"/>
      <c r="AU884" s="263"/>
      <c r="AV884" s="264"/>
      <c r="AW884" s="263"/>
      <c r="AX884" s="263"/>
      <c r="AY884" s="263"/>
      <c r="AZ884" s="263"/>
      <c r="BA884" s="263"/>
      <c r="BB884" s="263"/>
      <c r="BC884" s="268" t="s">
        <v>3204</v>
      </c>
      <c r="BD884" s="264"/>
      <c r="BE884" s="263"/>
      <c r="BF884" s="263"/>
      <c r="BG884" s="263"/>
      <c r="BH884" s="263"/>
      <c r="BI884" s="263">
        <v>41</v>
      </c>
      <c r="BJ884" s="404">
        <f>altaz(J2000_Bas,$O884,$M884,DecLat,DecLong,2)</f>
        <v>16.682534110626911</v>
      </c>
      <c r="BK884" s="378" t="s">
        <v>5422</v>
      </c>
      <c r="BL884" s="379">
        <f>IF((2*G884)/60&lt;0.2,0.2,(2*G884)/60)</f>
        <v>3</v>
      </c>
      <c r="BM884" s="380">
        <f>MOD((50000+AD884-$B$3+(0/24)),1)</f>
        <v>0.45389186577085638</v>
      </c>
      <c r="BN884" s="381"/>
      <c r="BO884" s="382">
        <v>878</v>
      </c>
    </row>
    <row r="885" spans="1:67" s="24" customFormat="1" ht="15" customHeight="1" x14ac:dyDescent="0.25">
      <c r="A885" s="288" t="s">
        <v>971</v>
      </c>
      <c r="B885" s="241" t="str">
        <f>HYPERLINK(CONCATENATE($AT$3,BK885,$AU$3),$AV$3)</f>
        <v>S</v>
      </c>
      <c r="C885" s="242" t="str">
        <f>HYPERLINK(CONCATENATE($AT$4,BK885,$AU$4,BL885),$AV$4)</f>
        <v>A</v>
      </c>
      <c r="D885" s="243" t="s">
        <v>5187</v>
      </c>
      <c r="E885" s="244" t="s">
        <v>16</v>
      </c>
      <c r="F885" s="269"/>
      <c r="G885" s="276">
        <v>120</v>
      </c>
      <c r="H885" s="271">
        <v>7000</v>
      </c>
      <c r="I885" s="281">
        <v>250</v>
      </c>
      <c r="J885" s="246">
        <v>3</v>
      </c>
      <c r="K885" s="277" t="s">
        <v>4653</v>
      </c>
      <c r="L885" s="248">
        <v>64822</v>
      </c>
      <c r="M885" s="249">
        <f>15*(LEFT(TEXT($L885,"000000"),2)+(MID(TEXT($L885,"000000"),3,2)/60)+(RIGHT(TEXT($L885,"000000"),2)/3600))</f>
        <v>102.09166666666667</v>
      </c>
      <c r="N885" s="250">
        <v>62211</v>
      </c>
      <c r="O885" s="251">
        <f>IF($N885&gt;0,(LEFT(TEXT($N885,"000000"),2)+(MID(TEXT($N885,"000000"),3,2)/60)+(RIGHT(TEXT($N885,"000000"),2)/3600)),-(MID(TEXT($N885,"000000"),2,2)+(MID(TEXT($N885,"000000"),4,2)/60)+(RIGHT(TEXT($N885,"000000"),2)/3600)))</f>
        <v>6.3697222222222214</v>
      </c>
      <c r="P885" s="252" t="s">
        <v>41</v>
      </c>
      <c r="Q885" s="253"/>
      <c r="R885" s="277" t="s">
        <v>3293</v>
      </c>
      <c r="S885" s="272" t="s">
        <v>3293</v>
      </c>
      <c r="T885" s="273"/>
      <c r="U885" s="274"/>
      <c r="V885" s="256"/>
      <c r="W885" s="244"/>
      <c r="X885" s="244"/>
      <c r="Y885" s="362"/>
      <c r="Z885" s="257">
        <f>altaz(J2000_Bas,$O885,$M885,DecLat,DecLong,1)</f>
        <v>-52.443408006614597</v>
      </c>
      <c r="AA885" s="257">
        <f>altaz((J2000_Bas+(2*0.04167)),$O885,$M885,DecLat,DecLong,1)</f>
        <v>-40.476349121467955</v>
      </c>
      <c r="AB885" s="257">
        <f>altaz((J2000_Bas+(4*0.04167)),$O885,$M885,DecLat,DecLong,1)</f>
        <v>-18.374542998238603</v>
      </c>
      <c r="AC885" s="257">
        <f>altaz((J2000_Bas+(6*0.04167)),$O885,$M885,DecLat,DecLong,1)</f>
        <v>6.8346851182054413</v>
      </c>
      <c r="AD885" s="258">
        <f>1+ transit((J2000_Bas-1),$O885,$M885,DecLat,DecLong)/360 + (GMTOffset/24) + (IF(DST="Y", 1, 0)/24)</f>
        <v>1.2764878952338747</v>
      </c>
      <c r="AE885" s="259">
        <f>DATE(2001,9,21)+(M885/360)*365 - (360*((DecLong/360)- (GMTOffset/24) ))</f>
        <v>37263.509606481479</v>
      </c>
      <c r="AF885" s="260">
        <f>IF(DecLat&gt;0,IF((90 - (DecLat-O885))&gt;90, (90 - (O885-DecLat)), (90 - (DecLat-O885))),IF((90 + (DecLat-O885))&gt;90, (90 + (O885-DecLat)), (90 + (DecLat-O885))))</f>
        <v>65.369722222222222</v>
      </c>
      <c r="AG885" s="257">
        <f>angularseperation(MoonRA,MoonDec,$M885,$O885)</f>
        <v>142.54821299869045</v>
      </c>
      <c r="AH885" s="261">
        <f ca="1">MIN(100,IF($O$5&gt;80,0+30*($AG885/100),IF($O$5&gt;70,0+50*($AG885/100),IF($O$5&gt;60,5+50*($AG885/100),IF($O$5&gt;50,10+60*($AG885/100),IF($O$5&gt;40,15+70*($AG885/100),IF($O$5&gt;30,20+70*($AG885/100),IF($O$5&gt;20,40+55*($AG885/100),(80+(20-$O$5)+30*($AG885/100))))))))))</f>
        <v>100</v>
      </c>
      <c r="AI885" s="263"/>
      <c r="AJ885" s="263"/>
      <c r="AK885" s="263"/>
      <c r="AL885" s="263"/>
      <c r="AM885" s="264"/>
      <c r="AN885" s="263"/>
      <c r="AO885" s="263"/>
      <c r="AP885" s="265"/>
      <c r="AQ885" s="265"/>
      <c r="AR885" s="285"/>
      <c r="AS885" s="263"/>
      <c r="AT885" s="263"/>
      <c r="AU885" s="263"/>
      <c r="AV885" s="264"/>
      <c r="AW885" s="263"/>
      <c r="AX885" s="263"/>
      <c r="AY885" s="263"/>
      <c r="AZ885" s="263"/>
      <c r="BA885" s="263"/>
      <c r="BB885" s="263"/>
      <c r="BC885" s="268" t="s">
        <v>3051</v>
      </c>
      <c r="BD885" s="264"/>
      <c r="BE885" s="263"/>
      <c r="BF885" s="263"/>
      <c r="BG885" s="263"/>
      <c r="BH885" s="263"/>
      <c r="BI885" s="263">
        <v>49</v>
      </c>
      <c r="BJ885" s="404">
        <f>altaz(J2000_Bas,$O885,$M885,DecLat,DecLong,2)</f>
        <v>6.3848455133878401</v>
      </c>
      <c r="BK885" s="378" t="s">
        <v>5420</v>
      </c>
      <c r="BL885" s="379">
        <f>IF((2*G885)/60&lt;0.2,0.2,(2*G885)/60)</f>
        <v>4</v>
      </c>
      <c r="BM885" s="380">
        <f>MOD((50000+AD885-$B$3+(0/24)),1)</f>
        <v>0.49185482494067401</v>
      </c>
      <c r="BN885" s="381"/>
      <c r="BO885" s="382">
        <v>879</v>
      </c>
    </row>
    <row r="886" spans="1:67" s="24" customFormat="1" ht="15" customHeight="1" x14ac:dyDescent="0.25">
      <c r="A886" s="288" t="s">
        <v>972</v>
      </c>
      <c r="B886" s="241" t="str">
        <f>HYPERLINK(CONCATENATE($AT$3,BK886,$AU$3),$AV$3)</f>
        <v>S</v>
      </c>
      <c r="C886" s="242" t="str">
        <f>HYPERLINK(CONCATENATE($AT$4,BK886,$AU$4,BL886),$AV$4)</f>
        <v>A</v>
      </c>
      <c r="D886" s="243" t="s">
        <v>5335</v>
      </c>
      <c r="E886" s="244" t="s">
        <v>17</v>
      </c>
      <c r="F886" s="269"/>
      <c r="G886" s="273">
        <v>1.5</v>
      </c>
      <c r="H886" s="271">
        <v>1500</v>
      </c>
      <c r="I886" s="308">
        <v>0.7</v>
      </c>
      <c r="J886" s="246">
        <v>1</v>
      </c>
      <c r="K886" s="277" t="s">
        <v>4651</v>
      </c>
      <c r="L886" s="248">
        <v>33112</v>
      </c>
      <c r="M886" s="249">
        <f>15*(LEFT(TEXT($L886,"000000"),2)+(MID(TEXT($L886,"000000"),3,2)/60)+(RIGHT(TEXT($L886,"000000"),2)/3600))</f>
        <v>52.8</v>
      </c>
      <c r="N886" s="250">
        <v>435415</v>
      </c>
      <c r="O886" s="251">
        <f>IF($N886&gt;0,(LEFT(TEXT($N886,"000000"),2)+(MID(TEXT($N886,"000000"),3,2)/60)+(RIGHT(TEXT($N886,"000000"),2)/3600)),-(MID(TEXT($N886,"000000"),2,2)+(MID(TEXT($N886,"000000"),4,2)/60)+(RIGHT(TEXT($N886,"000000"),2)/3600)))</f>
        <v>43.904166666666669</v>
      </c>
      <c r="P886" s="252" t="s">
        <v>43</v>
      </c>
      <c r="Q886" s="253" t="s">
        <v>6985</v>
      </c>
      <c r="R886" s="277" t="s">
        <v>3293</v>
      </c>
      <c r="S886" s="272" t="s">
        <v>3293</v>
      </c>
      <c r="T886" s="273">
        <v>13</v>
      </c>
      <c r="U886" s="274"/>
      <c r="V886" s="256"/>
      <c r="W886" s="244"/>
      <c r="X886" s="244"/>
      <c r="Y886" s="362"/>
      <c r="Z886" s="257">
        <f>altaz(J2000_Bas,$O886,$M886,DecLat,DecLong,1)</f>
        <v>-0.73184496201124616</v>
      </c>
      <c r="AA886" s="257">
        <f>altaz((J2000_Bas+(2*0.04167)),$O886,$M886,DecLat,DecLong,1)</f>
        <v>16.556658068031229</v>
      </c>
      <c r="AB886" s="257">
        <f>altaz((J2000_Bas+(4*0.04167)),$O886,$M886,DecLat,DecLong,1)</f>
        <v>37.024029000104818</v>
      </c>
      <c r="AC886" s="257">
        <f>altaz((J2000_Bas+(6*0.04167)),$O886,$M886,DecLat,DecLong,1)</f>
        <v>58.575550444155283</v>
      </c>
      <c r="AD886" s="258">
        <f>1+ transit((J2000_Bas-1),$O886,$M886,DecLat,DecLong)/360 + (GMTOffset/24) + (IF(DST="Y", 1, 0)/24)</f>
        <v>1.1395666126297079</v>
      </c>
      <c r="AE886" s="259">
        <f>DATE(2001,9,21)+(M886/360)*365 - (360*((DecLong/360)- (GMTOffset/24) ))</f>
        <v>37213.533333333333</v>
      </c>
      <c r="AF886" s="260">
        <f>IF(DecLat&gt;0,IF((90 - (DecLat-O886))&gt;90, (90 - (O886-DecLat)), (90 - (DecLat-O886))),IF((90 + (DecLat-O886))&gt;90, (90 + (O886-DecLat)), (90 + (DecLat-O886))))</f>
        <v>77.095833333333331</v>
      </c>
      <c r="AG886" s="257">
        <f>angularseperation(MoonRA,MoonDec,$M886,$O886)</f>
        <v>158.58901487515126</v>
      </c>
      <c r="AH886" s="261">
        <f ca="1">MIN(100,IF($O$5&gt;80,0+30*($AG886/100),IF($O$5&gt;70,0+50*($AG886/100),IF($O$5&gt;60,5+50*($AG886/100),IF($O$5&gt;50,10+60*($AG886/100),IF($O$5&gt;40,15+70*($AG886/100),IF($O$5&gt;30,20+70*($AG886/100),IF($O$5&gt;20,40+55*($AG886/100),(80+(20-$O$5)+30*($AG886/100))))))))))</f>
        <v>100</v>
      </c>
      <c r="AI886" s="262"/>
      <c r="AJ886" s="262"/>
      <c r="AK886" s="262"/>
      <c r="AL886" s="263"/>
      <c r="AM886" s="264"/>
      <c r="AN886" s="263"/>
      <c r="AO886" s="263"/>
      <c r="AP886" s="265"/>
      <c r="AQ886" s="266"/>
      <c r="AR886" s="267"/>
      <c r="AS886" s="263"/>
      <c r="AT886" s="263"/>
      <c r="AU886" s="263"/>
      <c r="AV886" s="264"/>
      <c r="AW886" s="263"/>
      <c r="AX886" s="263"/>
      <c r="AY886" s="263"/>
      <c r="AZ886" s="263"/>
      <c r="BA886" s="263"/>
      <c r="BB886" s="263"/>
      <c r="BC886" s="263"/>
      <c r="BD886" s="264"/>
      <c r="BE886" s="263"/>
      <c r="BF886" s="263"/>
      <c r="BG886" s="263"/>
      <c r="BH886" s="263"/>
      <c r="BI886" s="263"/>
      <c r="BJ886" s="404">
        <f>altaz(J2000_Bas,$O886,$M886,DecLat,DecLong,2)</f>
        <v>35.239418181565291</v>
      </c>
      <c r="BK886" s="378" t="s">
        <v>972</v>
      </c>
      <c r="BL886" s="379">
        <f>IF((2*G886)/60&lt;0.2,0.2,(2*G886)/60)</f>
        <v>0.2</v>
      </c>
      <c r="BM886" s="380">
        <f>MOD((50000+AD886-$B$3+(0/24)),1)</f>
        <v>0.35493354233040009</v>
      </c>
      <c r="BN886" s="381"/>
      <c r="BO886" s="382">
        <v>880</v>
      </c>
    </row>
    <row r="887" spans="1:67" s="24" customFormat="1" ht="15" customHeight="1" x14ac:dyDescent="0.25">
      <c r="A887" s="288" t="s">
        <v>973</v>
      </c>
      <c r="B887" s="241" t="str">
        <f>HYPERLINK(CONCATENATE($AT$3,BK887,$AU$3),$AV$3)</f>
        <v>S</v>
      </c>
      <c r="C887" s="242" t="str">
        <f>HYPERLINK(CONCATENATE($AT$4,BK887,$AU$4,BL887),$AV$4)</f>
        <v>A</v>
      </c>
      <c r="D887" s="243" t="s">
        <v>5187</v>
      </c>
      <c r="E887" s="244" t="s">
        <v>5186</v>
      </c>
      <c r="F887" s="269"/>
      <c r="G887" s="273">
        <v>2</v>
      </c>
      <c r="H887" s="271">
        <v>1100</v>
      </c>
      <c r="I887" s="308">
        <v>0.7</v>
      </c>
      <c r="J887" s="246">
        <v>2</v>
      </c>
      <c r="K887" s="247" t="s">
        <v>4471</v>
      </c>
      <c r="L887" s="248">
        <v>204554</v>
      </c>
      <c r="M887" s="249">
        <f>15*(LEFT(TEXT($L887,"000000"),2)+(MID(TEXT($L887,"000000"),3,2)/60)+(RIGHT(TEXT($L887,"000000"),2)/3600))</f>
        <v>311.47500000000002</v>
      </c>
      <c r="N887" s="250">
        <v>674557</v>
      </c>
      <c r="O887" s="251">
        <f>IF($N887&gt;0,(LEFT(TEXT($N887,"000000"),2)+(MID(TEXT($N887,"000000"),3,2)/60)+(RIGHT(TEXT($N887,"000000"),2)/3600)),-(MID(TEXT($N887,"000000"),2,2)+(MID(TEXT($N887,"000000"),4,2)/60)+(RIGHT(TEXT($N887,"000000"),2)/3600)))</f>
        <v>67.765833333333333</v>
      </c>
      <c r="P887" s="252" t="s">
        <v>52</v>
      </c>
      <c r="Q887" s="253" t="s">
        <v>6999</v>
      </c>
      <c r="R887" s="247" t="s">
        <v>3293</v>
      </c>
      <c r="S887" s="272" t="s">
        <v>3293</v>
      </c>
      <c r="T887" s="273"/>
      <c r="U887" s="274"/>
      <c r="V887" s="256"/>
      <c r="W887" s="244"/>
      <c r="X887" s="244"/>
      <c r="Y887" s="362"/>
      <c r="Z887" s="257">
        <f>altaz(J2000_Bas,$O887,$M887,DecLat,DecLong,1)</f>
        <v>50.314363513688853</v>
      </c>
      <c r="AA887" s="257">
        <f>altaz((J2000_Bas+(2*0.04167)),$O887,$M887,DecLat,DecLong,1)</f>
        <v>53.133745393767541</v>
      </c>
      <c r="AB887" s="257">
        <f>altaz((J2000_Bas+(4*0.04167)),$O887,$M887,DecLat,DecLong,1)</f>
        <v>48.022896452452734</v>
      </c>
      <c r="AC887" s="257">
        <f>altaz((J2000_Bas+(6*0.04167)),$O887,$M887,DecLat,DecLong,1)</f>
        <v>37.947434133300405</v>
      </c>
      <c r="AD887" s="258">
        <f>1+ transit((J2000_Bas-1),$O887,$M887,DecLat,DecLong)/360 + (GMTOffset/24) + (IF(DST="Y", 1, 0)/24)</f>
        <v>1.8581082074422082</v>
      </c>
      <c r="AE887" s="259">
        <f>DATE(2001,9,21)+(M887/360)*365 - (360*((DecLong/360)- (GMTOffset/24) ))</f>
        <v>37475.801041666666</v>
      </c>
      <c r="AF887" s="260">
        <f>IF(DecLat&gt;0,IF((90 - (DecLat-O887))&gt;90, (90 - (O887-DecLat)), (90 - (DecLat-O887))),IF((90 + (DecLat-O887))&gt;90, (90 + (O887-DecLat)), (90 + (DecLat-O887))))</f>
        <v>53.234166666666667</v>
      </c>
      <c r="AG887" s="257">
        <f>angularseperation(MoonRA,MoonDec,$M887,$O887)</f>
        <v>105.33674167155296</v>
      </c>
      <c r="AH887" s="261">
        <f ca="1">MIN(100,IF($O$5&gt;80,0+30*($AG887/100),IF($O$5&gt;70,0+50*($AG887/100),IF($O$5&gt;60,5+50*($AG887/100),IF($O$5&gt;50,10+60*($AG887/100),IF($O$5&gt;40,15+70*($AG887/100),IF($O$5&gt;30,20+70*($AG887/100),IF($O$5&gt;20,40+55*($AG887/100),(80+(20-$O$5)+30*($AG887/100))))))))))</f>
        <v>100</v>
      </c>
      <c r="AI887" s="262"/>
      <c r="AJ887" s="262"/>
      <c r="AK887" s="262"/>
      <c r="AL887" s="263"/>
      <c r="AM887" s="264"/>
      <c r="AN887" s="263"/>
      <c r="AO887" s="263"/>
      <c r="AP887" s="265"/>
      <c r="AQ887" s="266"/>
      <c r="AR887" s="267"/>
      <c r="AS887" s="263"/>
      <c r="AT887" s="263"/>
      <c r="AU887" s="263"/>
      <c r="AV887" s="264"/>
      <c r="AW887" s="263"/>
      <c r="AX887" s="263"/>
      <c r="AY887" s="263"/>
      <c r="AZ887" s="263"/>
      <c r="BA887" s="263"/>
      <c r="BB887" s="263"/>
      <c r="BC887" s="263"/>
      <c r="BD887" s="264"/>
      <c r="BE887" s="263"/>
      <c r="BF887" s="263"/>
      <c r="BG887" s="263"/>
      <c r="BH887" s="263"/>
      <c r="BI887" s="263"/>
      <c r="BJ887" s="404">
        <f>altaz(J2000_Bas,$O887,$M887,DecLat,DecLong,2)</f>
        <v>14.764400025225831</v>
      </c>
      <c r="BK887" s="378" t="s">
        <v>973</v>
      </c>
      <c r="BL887" s="379">
        <f>IF((2*G887)/60&lt;0.2,0.2,(2*G887)/60)</f>
        <v>0.2</v>
      </c>
      <c r="BM887" s="380">
        <f>MOD((50000+AD887-$B$3+(0/24)),1)</f>
        <v>7.3475137149216607E-2</v>
      </c>
      <c r="BN887" s="381" t="s">
        <v>9231</v>
      </c>
      <c r="BO887" s="382">
        <v>881</v>
      </c>
    </row>
    <row r="888" spans="1:67" s="24" customFormat="1" ht="15" customHeight="1" x14ac:dyDescent="0.25">
      <c r="A888" s="302" t="s">
        <v>974</v>
      </c>
      <c r="B888" s="241" t="str">
        <f>HYPERLINK(CONCATENATE($AT$3,BK888,$AU$3),$AV$3)</f>
        <v>S</v>
      </c>
      <c r="C888" s="242" t="str">
        <f>HYPERLINK(CONCATENATE($AT$4,BK888,$AU$4,BL888),$AV$4)</f>
        <v>A</v>
      </c>
      <c r="D888" s="243" t="s">
        <v>5187</v>
      </c>
      <c r="E888" s="244" t="s">
        <v>5186</v>
      </c>
      <c r="F888" s="269"/>
      <c r="G888" s="273">
        <v>4</v>
      </c>
      <c r="H888" s="271" t="s">
        <v>6500</v>
      </c>
      <c r="I888" s="244" t="s">
        <v>6500</v>
      </c>
      <c r="J888" s="246">
        <v>2</v>
      </c>
      <c r="K888" s="247" t="s">
        <v>4472</v>
      </c>
      <c r="L888" s="248">
        <v>44521</v>
      </c>
      <c r="M888" s="249">
        <f>15*(LEFT(TEXT($L888,"000000"),2)+(MID(TEXT($L888,"000000"),3,2)/60)+(RIGHT(TEXT($L888,"000000"),2)/3600))</f>
        <v>71.337500000000006</v>
      </c>
      <c r="N888" s="250">
        <v>415842</v>
      </c>
      <c r="O888" s="251">
        <f>IF($N888&gt;0,(LEFT(TEXT($N888,"000000"),2)+(MID(TEXT($N888,"000000"),3,2)/60)+(RIGHT(TEXT($N888,"000000"),2)/3600)),-(MID(TEXT($N888,"000000"),2,2)+(MID(TEXT($N888,"000000"),4,2)/60)+(RIGHT(TEXT($N888,"000000"),2)/3600)))</f>
        <v>41.978333333333332</v>
      </c>
      <c r="P888" s="252" t="s">
        <v>43</v>
      </c>
      <c r="Q888" s="253"/>
      <c r="R888" s="247" t="s">
        <v>3293</v>
      </c>
      <c r="S888" s="272" t="s">
        <v>3293</v>
      </c>
      <c r="T888" s="273"/>
      <c r="U888" s="274"/>
      <c r="V888" s="256"/>
      <c r="W888" s="244"/>
      <c r="X888" s="244"/>
      <c r="Y888" s="362"/>
      <c r="Z888" s="257">
        <f>altaz(J2000_Bas,$O888,$M888,DecLat,DecLong,1)</f>
        <v>-10.347701996343908</v>
      </c>
      <c r="AA888" s="257">
        <f>altaz((J2000_Bas+(2*0.04167)),$O888,$M888,DecLat,DecLong,1)</f>
        <v>4.1669621905052132</v>
      </c>
      <c r="AB888" s="257">
        <f>altaz((J2000_Bas+(4*0.04167)),$O888,$M888,DecLat,DecLong,1)</f>
        <v>23.464640382024633</v>
      </c>
      <c r="AC888" s="257">
        <f>altaz((J2000_Bas+(6*0.04167)),$O888,$M888,DecLat,DecLong,1)</f>
        <v>45.172685075478228</v>
      </c>
      <c r="AD888" s="258">
        <f>1+ transit((J2000_Bas-1),$O888,$M888,DecLat,DecLong)/360 + (GMTOffset/24) + (IF(DST="Y", 1, 0)/24)</f>
        <v>1.191059663035958</v>
      </c>
      <c r="AE888" s="259">
        <f>DATE(2001,9,21)+(M888/360)*365 - (360*((DecLong/360)- (GMTOffset/24) ))</f>
        <v>37232.328298611108</v>
      </c>
      <c r="AF888" s="260">
        <f>IF(DecLat&gt;0,IF((90 - (DecLat-O888))&gt;90, (90 - (O888-DecLat)), (90 - (DecLat-O888))),IF((90 + (DecLat-O888))&gt;90, (90 + (O888-DecLat)), (90 + (DecLat-O888))))</f>
        <v>79.021666666666675</v>
      </c>
      <c r="AG888" s="257">
        <f>angularseperation(MoonRA,MoonDec,$M888,$O888)</f>
        <v>165.00740508748012</v>
      </c>
      <c r="AH888" s="261">
        <f ca="1">MIN(100,IF($O$5&gt;80,0+30*($AG888/100),IF($O$5&gt;70,0+50*($AG888/100),IF($O$5&gt;60,5+50*($AG888/100),IF($O$5&gt;50,10+60*($AG888/100),IF($O$5&gt;40,15+70*($AG888/100),IF($O$5&gt;30,20+70*($AG888/100),IF($O$5&gt;20,40+55*($AG888/100),(80+(20-$O$5)+30*($AG888/100))))))))))</f>
        <v>100</v>
      </c>
      <c r="AI888" s="303"/>
      <c r="AJ888" s="303"/>
      <c r="AK888" s="303"/>
      <c r="AL888" s="263"/>
      <c r="AM888" s="264"/>
      <c r="AN888" s="263"/>
      <c r="AO888" s="263"/>
      <c r="AP888" s="265"/>
      <c r="AQ888" s="304"/>
      <c r="AR888" s="305"/>
      <c r="AS888" s="263"/>
      <c r="AT888" s="263"/>
      <c r="AU888" s="263"/>
      <c r="AV888" s="264"/>
      <c r="AW888" s="263"/>
      <c r="AX888" s="263"/>
      <c r="AY888" s="263"/>
      <c r="AZ888" s="263"/>
      <c r="BA888" s="263"/>
      <c r="BB888" s="263"/>
      <c r="BC888" s="263"/>
      <c r="BD888" s="264"/>
      <c r="BE888" s="263"/>
      <c r="BF888" s="263"/>
      <c r="BG888" s="263"/>
      <c r="BH888" s="263"/>
      <c r="BI888" s="263"/>
      <c r="BJ888" s="404">
        <f>altaz(J2000_Bas,$O888,$M888,DecLat,DecLong,2)</f>
        <v>25.456120697884405</v>
      </c>
      <c r="BK888" s="378" t="s">
        <v>974</v>
      </c>
      <c r="BL888" s="379">
        <f>IF((2*G888)/60&lt;0.2,0.2,(2*G888)/60)</f>
        <v>0.2</v>
      </c>
      <c r="BM888" s="380">
        <f>MOD((50000+AD888-$B$3+(0/24)),1)</f>
        <v>0.40642659273726167</v>
      </c>
      <c r="BN888" s="381"/>
      <c r="BO888" s="382">
        <v>882</v>
      </c>
    </row>
    <row r="889" spans="1:67" s="24" customFormat="1" ht="15" customHeight="1" x14ac:dyDescent="0.25">
      <c r="A889" s="301" t="s">
        <v>975</v>
      </c>
      <c r="B889" s="241" t="str">
        <f>HYPERLINK(CONCATENATE($AT$3,BK889,$AU$3),$AV$3)</f>
        <v>S</v>
      </c>
      <c r="C889" s="242" t="str">
        <f>HYPERLINK(CONCATENATE($AT$4,BK889,$AU$4,BL889),$AV$4)</f>
        <v>A</v>
      </c>
      <c r="D889" s="243" t="s">
        <v>5187</v>
      </c>
      <c r="E889" s="244" t="s">
        <v>5186</v>
      </c>
      <c r="F889" s="269"/>
      <c r="G889" s="273">
        <v>6</v>
      </c>
      <c r="H889" s="271">
        <v>6000</v>
      </c>
      <c r="I889" s="281">
        <v>11</v>
      </c>
      <c r="J889" s="246">
        <v>2</v>
      </c>
      <c r="K889" s="247" t="s">
        <v>4474</v>
      </c>
      <c r="L889" s="248">
        <v>61922</v>
      </c>
      <c r="M889" s="249">
        <f>15*(LEFT(TEXT($L889,"000000"),2)+(MID(TEXT($L889,"000000"),3,2)/60)+(RIGHT(TEXT($L889,"000000"),2)/3600))</f>
        <v>94.841666666666669</v>
      </c>
      <c r="N889" s="286">
        <v>231629</v>
      </c>
      <c r="O889" s="251">
        <f>IF($N889&gt;0,(LEFT(TEXT($N889,"000000"),2)+(MID(TEXT($N889,"000000"),3,2)/60)+(RIGHT(TEXT($N889,"000000"),2)/3600)),-(MID(TEXT($N889,"000000"),2,2)+(MID(TEXT($N889,"000000"),4,2)/60)+(RIGHT(TEXT($N889,"000000"),2)/3600)))</f>
        <v>23.27472222222222</v>
      </c>
      <c r="P889" s="252" t="s">
        <v>85</v>
      </c>
      <c r="Q889" s="253"/>
      <c r="R889" s="247" t="s">
        <v>3293</v>
      </c>
      <c r="S889" s="272" t="s">
        <v>4473</v>
      </c>
      <c r="T889" s="273"/>
      <c r="U889" s="274"/>
      <c r="V889" s="256"/>
      <c r="W889" s="244"/>
      <c r="X889" s="244"/>
      <c r="Y889" s="362"/>
      <c r="Z889" s="257">
        <f>altaz(J2000_Bas,$O889,$M889,DecLat,DecLong,1)</f>
        <v>-34.681032652769943</v>
      </c>
      <c r="AA889" s="257">
        <f>altaz((J2000_Bas+(2*0.04167)),$O889,$M889,DecLat,DecLong,1)</f>
        <v>-22.86343100271284</v>
      </c>
      <c r="AB889" s="257">
        <f>altaz((J2000_Bas+(4*0.04167)),$O889,$M889,DecLat,DecLong,1)</f>
        <v>-2.7828591176095232</v>
      </c>
      <c r="AC889" s="257">
        <f>altaz((J2000_Bas+(6*0.04167)),$O889,$M889,DecLat,DecLong,1)</f>
        <v>21.060071373267796</v>
      </c>
      <c r="AD889" s="258">
        <f>1+ transit((J2000_Bas-1),$O889,$M889,DecLat,DecLong)/360 + (GMTOffset/24) + (IF(DST="Y", 1, 0)/24)</f>
        <v>1.2563490083588746</v>
      </c>
      <c r="AE889" s="259">
        <f>DATE(2001,9,21)+(M889/360)*365 - (360*((DecLong/360)- (GMTOffset/24) ))</f>
        <v>37256.158912037034</v>
      </c>
      <c r="AF889" s="260">
        <f>IF(DecLat&gt;0,IF((90 - (DecLat-O889))&gt;90, (90 - (O889-DecLat)), (90 - (DecLat-O889))),IF((90 + (DecLat-O889))&gt;90, (90 + (O889-DecLat)), (90 + (DecLat-O889))))</f>
        <v>82.274722222222223</v>
      </c>
      <c r="AG889" s="257">
        <f>angularseperation(MoonRA,MoonDec,$M889,$O889)</f>
        <v>156.56365440253015</v>
      </c>
      <c r="AH889" s="261">
        <f ca="1">MIN(100,IF($O$5&gt;80,0+30*($AG889/100),IF($O$5&gt;70,0+50*($AG889/100),IF($O$5&gt;60,5+50*($AG889/100),IF($O$5&gt;50,10+60*($AG889/100),IF($O$5&gt;40,15+70*($AG889/100),IF($O$5&gt;30,20+70*($AG889/100),IF($O$5&gt;20,40+55*($AG889/100),(80+(20-$O$5)+30*($AG889/100))))))))))</f>
        <v>100</v>
      </c>
      <c r="AI889" s="262"/>
      <c r="AJ889" s="262"/>
      <c r="AK889" s="262"/>
      <c r="AL889" s="263"/>
      <c r="AM889" s="264"/>
      <c r="AN889" s="263"/>
      <c r="AO889" s="263"/>
      <c r="AP889" s="265"/>
      <c r="AQ889" s="266"/>
      <c r="AR889" s="267"/>
      <c r="AS889" s="263"/>
      <c r="AT889" s="263"/>
      <c r="AU889" s="263"/>
      <c r="AV889" s="264"/>
      <c r="AW889" s="263"/>
      <c r="AX889" s="263"/>
      <c r="AY889" s="263"/>
      <c r="AZ889" s="263"/>
      <c r="BA889" s="263"/>
      <c r="BB889" s="263"/>
      <c r="BC889" s="263"/>
      <c r="BD889" s="264"/>
      <c r="BE889" s="263"/>
      <c r="BF889" s="263"/>
      <c r="BG889" s="263"/>
      <c r="BH889" s="263"/>
      <c r="BI889" s="263"/>
      <c r="BJ889" s="404">
        <f>altaz(J2000_Bas,$O889,$M889,DecLat,DecLong,2)</f>
        <v>12.487750520121429</v>
      </c>
      <c r="BK889" s="378" t="s">
        <v>975</v>
      </c>
      <c r="BL889" s="379">
        <f>IF((2*G889)/60&lt;0.2,0.2,(2*G889)/60)</f>
        <v>0.2</v>
      </c>
      <c r="BM889" s="380">
        <f>MOD((50000+AD889-$B$3+(0/24)),1)</f>
        <v>0.47171593805978773</v>
      </c>
      <c r="BN889" s="381"/>
      <c r="BO889" s="382">
        <v>883</v>
      </c>
    </row>
    <row r="890" spans="1:67" s="24" customFormat="1" ht="15" customHeight="1" x14ac:dyDescent="0.25">
      <c r="A890" s="288" t="s">
        <v>976</v>
      </c>
      <c r="B890" s="241" t="str">
        <f>HYPERLINK(CONCATENATE($AT$3,BK890,$AU$3),$AV$3)</f>
        <v>S</v>
      </c>
      <c r="C890" s="242" t="str">
        <f>HYPERLINK(CONCATENATE($AT$4,BK890,$AU$4,BL890),$AV$4)</f>
        <v>A</v>
      </c>
      <c r="D890" s="243" t="s">
        <v>5187</v>
      </c>
      <c r="E890" s="244" t="s">
        <v>5186</v>
      </c>
      <c r="F890" s="269"/>
      <c r="G890" s="273">
        <v>5</v>
      </c>
      <c r="H890" s="271" t="s">
        <v>6500</v>
      </c>
      <c r="I890" s="244" t="s">
        <v>6500</v>
      </c>
      <c r="J890" s="246">
        <v>2</v>
      </c>
      <c r="K890" s="247" t="s">
        <v>4475</v>
      </c>
      <c r="L890" s="248">
        <v>225712</v>
      </c>
      <c r="M890" s="249">
        <f>15*(LEFT(TEXT($L890,"000000"),2)+(MID(TEXT($L890,"000000"),3,2)/60)+(RIGHT(TEXT($L890,"000000"),2)/3600))</f>
        <v>344.3</v>
      </c>
      <c r="N890" s="286">
        <v>615606</v>
      </c>
      <c r="O890" s="251">
        <f>IF($N890&gt;0,(LEFT(TEXT($N890,"000000"),2)+(MID(TEXT($N890,"000000"),3,2)/60)+(RIGHT(TEXT($N890,"000000"),2)/3600)),-(MID(TEXT($N890,"000000"),2,2)+(MID(TEXT($N890,"000000"),4,2)/60)+(RIGHT(TEXT($N890,"000000"),2)/3600)))</f>
        <v>61.934999999999995</v>
      </c>
      <c r="P890" s="252" t="s">
        <v>52</v>
      </c>
      <c r="Q890" s="253"/>
      <c r="R890" s="247" t="s">
        <v>3293</v>
      </c>
      <c r="S890" s="272" t="s">
        <v>3293</v>
      </c>
      <c r="T890" s="273"/>
      <c r="U890" s="274"/>
      <c r="V890" s="256"/>
      <c r="W890" s="244"/>
      <c r="X890" s="244"/>
      <c r="Y890" s="362"/>
      <c r="Z890" s="257">
        <f>altaz(J2000_Bas,$O890,$M890,DecLat,DecLong,1)</f>
        <v>41.789959294092228</v>
      </c>
      <c r="AA890" s="257">
        <f>altaz((J2000_Bas+(2*0.04167)),$O890,$M890,DecLat,DecLong,1)</f>
        <v>54.080412163060522</v>
      </c>
      <c r="AB890" s="257">
        <f>altaz((J2000_Bas+(4*0.04167)),$O890,$M890,DecLat,DecLong,1)</f>
        <v>59.041027219431875</v>
      </c>
      <c r="AC890" s="257">
        <f>altaz((J2000_Bas+(6*0.04167)),$O890,$M890,DecLat,DecLong,1)</f>
        <v>52.810038541225545</v>
      </c>
      <c r="AD890" s="258">
        <f>1+ transit((J2000_Bas-1),$O890,$M890,DecLat,DecLong)/360 + (GMTOffset/24) + (IF(DST="Y", 1, 0)/24)</f>
        <v>1.9492887538797079</v>
      </c>
      <c r="AE890" s="259">
        <f>DATE(2001,9,21)+(M890/360)*365 - (360*((DecLong/360)- (GMTOffset/24) ))</f>
        <v>37509.081944444442</v>
      </c>
      <c r="AF890" s="260">
        <f>IF(DecLat&gt;0,IF((90 - (DecLat-O890))&gt;90, (90 - (O890-DecLat)), (90 - (DecLat-O890))),IF((90 + (DecLat-O890))&gt;90, (90 + (O890-DecLat)), (90 + (DecLat-O890))))</f>
        <v>59.065000000000005</v>
      </c>
      <c r="AG890" s="257">
        <f>angularseperation(MoonRA,MoonDec,$M890,$O890)</f>
        <v>116.02046641462569</v>
      </c>
      <c r="AH890" s="261">
        <f ca="1">MIN(100,IF($O$5&gt;80,0+30*($AG890/100),IF($O$5&gt;70,0+50*($AG890/100),IF($O$5&gt;60,5+50*($AG890/100),IF($O$5&gt;50,10+60*($AG890/100),IF($O$5&gt;40,15+70*($AG890/100),IF($O$5&gt;30,20+70*($AG890/100),IF($O$5&gt;20,40+55*($AG890/100),(80+(20-$O$5)+30*($AG890/100))))))))))</f>
        <v>100</v>
      </c>
      <c r="AI890" s="262"/>
      <c r="AJ890" s="262"/>
      <c r="AK890" s="262"/>
      <c r="AL890" s="263"/>
      <c r="AM890" s="264"/>
      <c r="AN890" s="263"/>
      <c r="AO890" s="263"/>
      <c r="AP890" s="265"/>
      <c r="AQ890" s="266"/>
      <c r="AR890" s="267"/>
      <c r="AS890" s="263"/>
      <c r="AT890" s="263"/>
      <c r="AU890" s="263"/>
      <c r="AV890" s="264"/>
      <c r="AW890" s="263"/>
      <c r="AX890" s="263"/>
      <c r="AY890" s="263"/>
      <c r="AZ890" s="263"/>
      <c r="BA890" s="263"/>
      <c r="BB890" s="263"/>
      <c r="BC890" s="263"/>
      <c r="BD890" s="264"/>
      <c r="BE890" s="263"/>
      <c r="BF890" s="263"/>
      <c r="BG890" s="263"/>
      <c r="BH890" s="263"/>
      <c r="BI890" s="263"/>
      <c r="BJ890" s="404">
        <f>altaz(J2000_Bas,$O890,$M890,DecLat,DecLong,2)</f>
        <v>32.46953130725332</v>
      </c>
      <c r="BK890" s="378" t="s">
        <v>976</v>
      </c>
      <c r="BL890" s="379">
        <f>IF((2*G890)/60&lt;0.2,0.2,(2*G890)/60)</f>
        <v>0.2</v>
      </c>
      <c r="BM890" s="380">
        <f>MOD((50000+AD890-$B$3+(0/24)),1)</f>
        <v>0.16465568358398741</v>
      </c>
      <c r="BN890" s="381"/>
      <c r="BO890" s="382">
        <v>884</v>
      </c>
    </row>
    <row r="891" spans="1:67" s="24" customFormat="1" ht="15" customHeight="1" x14ac:dyDescent="0.25">
      <c r="A891" s="288" t="s">
        <v>977</v>
      </c>
      <c r="B891" s="241" t="str">
        <f>HYPERLINK(CONCATENATE($AT$3,BK891,$AU$3),$AV$3)</f>
        <v>S</v>
      </c>
      <c r="C891" s="242" t="str">
        <f>HYPERLINK(CONCATENATE($AT$4,BK891,$AU$4,BL891),$AV$4)</f>
        <v>A</v>
      </c>
      <c r="D891" s="243" t="s">
        <v>5187</v>
      </c>
      <c r="E891" s="244" t="s">
        <v>5183</v>
      </c>
      <c r="F891" s="269" t="s">
        <v>5180</v>
      </c>
      <c r="G891" s="276">
        <v>50</v>
      </c>
      <c r="H891" s="271">
        <v>4500</v>
      </c>
      <c r="I891" s="246">
        <v>70</v>
      </c>
      <c r="J891" s="246">
        <v>2</v>
      </c>
      <c r="K891" s="247" t="s">
        <v>4476</v>
      </c>
      <c r="L891" s="248">
        <v>70920</v>
      </c>
      <c r="M891" s="249">
        <f>15*(LEFT(TEXT($L891,"000000"),2)+(MID(TEXT($L891,"000000"),3,2)/60)+(RIGHT(TEXT($L891,"000000"),2)/3600))</f>
        <v>107.33333333333334</v>
      </c>
      <c r="N891" s="250">
        <v>-102048</v>
      </c>
      <c r="O891" s="251">
        <f>IF($N891&gt;0,(LEFT(TEXT($N891,"000000"),2)+(MID(TEXT($N891,"000000"),3,2)/60)+(RIGHT(TEXT($N891,"000000"),2)/3600)),-(MID(TEXT($N891,"000000"),2,2)+(MID(TEXT($N891,"000000"),4,2)/60)+(RIGHT(TEXT($N891,"000000"),2)/3600)))</f>
        <v>-10.346666666666668</v>
      </c>
      <c r="P891" s="252" t="s">
        <v>47</v>
      </c>
      <c r="Q891" s="253"/>
      <c r="R891" s="247" t="s">
        <v>3293</v>
      </c>
      <c r="S891" s="272" t="s">
        <v>6432</v>
      </c>
      <c r="T891" s="273"/>
      <c r="U891" s="274"/>
      <c r="V891" s="256"/>
      <c r="W891" s="244"/>
      <c r="X891" s="244"/>
      <c r="Y891" s="362"/>
      <c r="Z891" s="257">
        <f>altaz(J2000_Bas,$O891,$M891,DecLat,DecLong,1)</f>
        <v>-69.309756528415164</v>
      </c>
      <c r="AA891" s="257">
        <f>altaz((J2000_Bas+(2*0.04167)),$O891,$M891,DecLat,DecLong,1)</f>
        <v>-56.279637700329097</v>
      </c>
      <c r="AB891" s="257">
        <f>altaz((J2000_Bas+(4*0.04167)),$O891,$M891,DecLat,DecLong,1)</f>
        <v>-31.926758736358501</v>
      </c>
      <c r="AC891" s="257">
        <f>altaz((J2000_Bas+(6*0.04167)),$O891,$M891,DecLat,DecLong,1)</f>
        <v>-6.2203910127577613</v>
      </c>
      <c r="AD891" s="258">
        <f>1+ transit((J2000_Bas-1),$O891,$M891,DecLat,DecLong)/360 + (GMTOffset/24) + (IF(DST="Y", 1, 0)/24)</f>
        <v>1.2910480789630414</v>
      </c>
      <c r="AE891" s="259">
        <f>DATE(2001,9,21)+(M891/360)*365 - (360*((DecLong/360)- (GMTOffset/24) ))</f>
        <v>37268.824074074073</v>
      </c>
      <c r="AF891" s="260">
        <f>IF(DecLat&gt;0,IF((90 - (DecLat-O891))&gt;90, (90 - (O891-DecLat)), (90 - (DecLat-O891))),IF((90 + (DecLat-O891))&gt;90, (90 + (O891-DecLat)), (90 + (DecLat-O891))))</f>
        <v>48.653333333333336</v>
      </c>
      <c r="AG891" s="257">
        <f>angularseperation(MoonRA,MoonDec,$M891,$O891)</f>
        <v>127.4128455765424</v>
      </c>
      <c r="AH891" s="261">
        <f ca="1">MIN(100,IF($O$5&gt;80,0+30*($AG891/100),IF($O$5&gt;70,0+50*($AG891/100),IF($O$5&gt;60,5+50*($AG891/100),IF($O$5&gt;50,10+60*($AG891/100),IF($O$5&gt;40,15+70*($AG891/100),IF($O$5&gt;30,20+70*($AG891/100),IF($O$5&gt;20,40+55*($AG891/100),(80+(20-$O$5)+30*($AG891/100))))))))))</f>
        <v>100</v>
      </c>
      <c r="AI891" s="262"/>
      <c r="AJ891" s="262"/>
      <c r="AK891" s="262"/>
      <c r="AL891" s="263"/>
      <c r="AM891" s="264"/>
      <c r="AN891" s="263"/>
      <c r="AO891" s="263"/>
      <c r="AP891" s="265"/>
      <c r="AQ891" s="266"/>
      <c r="AR891" s="267"/>
      <c r="AS891" s="263"/>
      <c r="AT891" s="263"/>
      <c r="AU891" s="263"/>
      <c r="AV891" s="264"/>
      <c r="AW891" s="263"/>
      <c r="AX891" s="263">
        <v>2</v>
      </c>
      <c r="AY891" s="263"/>
      <c r="AZ891" s="263"/>
      <c r="BA891" s="263"/>
      <c r="BB891" s="263"/>
      <c r="BC891" s="263"/>
      <c r="BD891" s="264"/>
      <c r="BE891" s="263"/>
      <c r="BF891" s="263"/>
      <c r="BG891" s="263"/>
      <c r="BH891" s="263"/>
      <c r="BI891" s="263"/>
      <c r="BJ891" s="404">
        <f>altaz(J2000_Bas,$O891,$M891,DecLat,DecLong,2)</f>
        <v>356.29265110100636</v>
      </c>
      <c r="BK891" s="378" t="s">
        <v>977</v>
      </c>
      <c r="BL891" s="379">
        <f>IF((2*G891)/60&lt;0.2,0.2,(2*G891)/60)</f>
        <v>1.6666666666666667</v>
      </c>
      <c r="BM891" s="380">
        <f>MOD((50000+AD891-$B$3+(0/24)),1)</f>
        <v>0.50641500866913702</v>
      </c>
      <c r="BN891" s="381"/>
      <c r="BO891" s="382">
        <v>885</v>
      </c>
    </row>
    <row r="892" spans="1:67" s="24" customFormat="1" ht="15" customHeight="1" x14ac:dyDescent="0.25">
      <c r="A892" s="288" t="s">
        <v>978</v>
      </c>
      <c r="B892" s="241" t="str">
        <f>HYPERLINK(CONCATENATE($AT$3,BK892,$AU$3),$AV$3)</f>
        <v>S</v>
      </c>
      <c r="C892" s="242" t="str">
        <f>HYPERLINK(CONCATENATE($AT$4,BK892,$AU$4,BL892),$AV$4)</f>
        <v>A</v>
      </c>
      <c r="D892" s="243" t="s">
        <v>5187</v>
      </c>
      <c r="E892" s="244" t="s">
        <v>5183</v>
      </c>
      <c r="F892" s="269" t="s">
        <v>5180</v>
      </c>
      <c r="G892" s="276">
        <v>35</v>
      </c>
      <c r="H892" s="271">
        <v>10800</v>
      </c>
      <c r="I892" s="246">
        <v>110</v>
      </c>
      <c r="J892" s="246">
        <v>2</v>
      </c>
      <c r="K892" s="247" t="s">
        <v>9357</v>
      </c>
      <c r="L892" s="248">
        <v>81618</v>
      </c>
      <c r="M892" s="249">
        <f>15*(LEFT(TEXT($L892,"000000"),2)+(MID(TEXT($L892,"000000"),3,2)/60)+(RIGHT(TEXT($L892,"000000"),2)/3600))</f>
        <v>124.07500000000002</v>
      </c>
      <c r="N892" s="286">
        <v>-353758</v>
      </c>
      <c r="O892" s="251">
        <f>IF($N892&gt;0,(LEFT(TEXT($N892,"000000"),2)+(MID(TEXT($N892,"000000"),3,2)/60)+(RIGHT(TEXT($N892,"000000"),2)/3600)),-(MID(TEXT($N892,"000000"),2,2)+(MID(TEXT($N892,"000000"),4,2)/60)+(RIGHT(TEXT($N892,"000000"),2)/3600)))</f>
        <v>-35.632777777777775</v>
      </c>
      <c r="P892" s="252" t="s">
        <v>91</v>
      </c>
      <c r="Q892" s="253"/>
      <c r="R892" s="277" t="s">
        <v>6038</v>
      </c>
      <c r="S892" s="272" t="s">
        <v>3293</v>
      </c>
      <c r="T892" s="273"/>
      <c r="U892" s="274"/>
      <c r="V892" s="256"/>
      <c r="W892" s="244"/>
      <c r="X892" s="244"/>
      <c r="Y892" s="362"/>
      <c r="Z892" s="257">
        <f>altaz(J2000_Bas,$O892,$M892,DecLat,DecLong,1)</f>
        <v>-74.230443345191631</v>
      </c>
      <c r="AA892" s="257">
        <f>altaz((J2000_Bas+(2*0.04167)),$O892,$M892,DecLat,DecLong,1)</f>
        <v>-78.955284027891409</v>
      </c>
      <c r="AB892" s="257">
        <f>altaz((J2000_Bas+(4*0.04167)),$O892,$M892,DecLat,DecLong,1)</f>
        <v>-54.785590986779162</v>
      </c>
      <c r="AC892" s="257">
        <f>altaz((J2000_Bas+(6*0.04167)),$O892,$M892,DecLat,DecLong,1)</f>
        <v>-30.880094828825271</v>
      </c>
      <c r="AD892" s="258">
        <f>1+ transit((J2000_Bas-1),$O892,$M892,DecLat,DecLong)/360 + (GMTOffset/24) + (IF(DST="Y", 1, 0)/24)</f>
        <v>1.3375527039422079</v>
      </c>
      <c r="AE892" s="259">
        <f>DATE(2001,9,21)+(M892/360)*365 - (360*((DecLong/360)- (GMTOffset/24) ))</f>
        <v>37285.798263888886</v>
      </c>
      <c r="AF892" s="260">
        <f>IF(DecLat&gt;0,IF((90 - (DecLat-O892))&gt;90, (90 - (O892-DecLat)), (90 - (DecLat-O892))),IF((90 + (DecLat-O892))&gt;90, (90 + (O892-DecLat)), (90 + (DecLat-O892))))</f>
        <v>23.367222222222225</v>
      </c>
      <c r="AG892" s="257">
        <f>angularseperation(MoonRA,MoonDec,$M892,$O892)</f>
        <v>98.715966646886827</v>
      </c>
      <c r="AH892" s="261">
        <f ca="1">MIN(100,IF($O$5&gt;80,0+30*($AG892/100),IF($O$5&gt;70,0+50*($AG892/100),IF($O$5&gt;60,5+50*($AG892/100),IF($O$5&gt;50,10+60*($AG892/100),IF($O$5&gt;40,15+70*($AG892/100),IF($O$5&gt;30,20+70*($AG892/100),IF($O$5&gt;20,40+55*($AG892/100),(80+(20-$O$5)+30*($AG892/100))))))))))</f>
        <v>100</v>
      </c>
      <c r="AI892" s="263"/>
      <c r="AJ892" s="263"/>
      <c r="AK892" s="263"/>
      <c r="AL892" s="263"/>
      <c r="AM892" s="264"/>
      <c r="AN892" s="263"/>
      <c r="AO892" s="263"/>
      <c r="AP892" s="265"/>
      <c r="AQ892" s="265"/>
      <c r="AR892" s="285"/>
      <c r="AS892" s="263"/>
      <c r="AT892" s="263"/>
      <c r="AU892" s="263"/>
      <c r="AV892" s="264"/>
      <c r="AW892" s="263"/>
      <c r="AX892" s="263">
        <v>10</v>
      </c>
      <c r="AY892" s="263"/>
      <c r="AZ892" s="263"/>
      <c r="BA892" s="263">
        <v>19</v>
      </c>
      <c r="BB892" s="263"/>
      <c r="BC892" s="263"/>
      <c r="BD892" s="264"/>
      <c r="BE892" s="263"/>
      <c r="BF892" s="263"/>
      <c r="BG892" s="263"/>
      <c r="BH892" s="263"/>
      <c r="BI892" s="263">
        <v>56</v>
      </c>
      <c r="BJ892" s="404">
        <f>altaz(J2000_Bas,$O892,$M892,DecLat,DecLong,2)</f>
        <v>248.08763528528243</v>
      </c>
      <c r="BK892" s="378" t="s">
        <v>978</v>
      </c>
      <c r="BL892" s="379">
        <f>IF((2*G892)/60&lt;0.2,0.2,(2*G892)/60)</f>
        <v>1.1666666666666667</v>
      </c>
      <c r="BM892" s="380">
        <f>MOD((50000+AD892-$B$3+(0/24)),1)</f>
        <v>0.55291963364288677</v>
      </c>
      <c r="BN892" s="381"/>
      <c r="BO892" s="382">
        <v>886</v>
      </c>
    </row>
    <row r="893" spans="1:67" s="24" customFormat="1" ht="15" customHeight="1" x14ac:dyDescent="0.25">
      <c r="A893" s="287" t="s">
        <v>979</v>
      </c>
      <c r="B893" s="241" t="str">
        <f>HYPERLINK(CONCATENATE($AT$3,BK893,$AU$3),$AV$3)</f>
        <v>S</v>
      </c>
      <c r="C893" s="242" t="str">
        <f>HYPERLINK(CONCATENATE($AT$4,BK893,$AU$4,BL893),$AV$4)</f>
        <v>A</v>
      </c>
      <c r="D893" s="243" t="s">
        <v>5187</v>
      </c>
      <c r="E893" s="244" t="s">
        <v>5183</v>
      </c>
      <c r="F893" s="269" t="s">
        <v>5180</v>
      </c>
      <c r="G893" s="276">
        <v>2400</v>
      </c>
      <c r="H893" s="271">
        <v>1300</v>
      </c>
      <c r="I893" s="246">
        <v>900</v>
      </c>
      <c r="J893" s="246">
        <v>2</v>
      </c>
      <c r="K893" s="247" t="s">
        <v>6034</v>
      </c>
      <c r="L893" s="248">
        <v>80931</v>
      </c>
      <c r="M893" s="249">
        <f>15*(LEFT(TEXT($L893,"000000"),2)+(MID(TEXT($L893,"000000"),3,2)/60)+(RIGHT(TEXT($L893,"000000"),2)/3600))</f>
        <v>122.37916666666668</v>
      </c>
      <c r="N893" s="286">
        <v>-472012</v>
      </c>
      <c r="O893" s="251">
        <f>IF($N893&gt;0,(LEFT(TEXT($N893,"000000"),2)+(MID(TEXT($N893,"000000"),3,2)/60)+(RIGHT(TEXT($N893,"000000"),2)/3600)),-(MID(TEXT($N893,"000000"),2,2)+(MID(TEXT($N893,"000000"),4,2)/60)+(RIGHT(TEXT($N893,"000000"),2)/3600)))</f>
        <v>-47.336666666666666</v>
      </c>
      <c r="P893" s="252" t="s">
        <v>980</v>
      </c>
      <c r="Q893" s="253"/>
      <c r="R893" s="277" t="s">
        <v>3293</v>
      </c>
      <c r="S893" s="272" t="s">
        <v>3293</v>
      </c>
      <c r="T893" s="273"/>
      <c r="U893" s="274"/>
      <c r="V893" s="256"/>
      <c r="W893" s="244"/>
      <c r="X893" s="244"/>
      <c r="Y893" s="362"/>
      <c r="Z893" s="257">
        <f>altaz(J2000_Bas,$O893,$M893,DecLat,DecLong,1)</f>
        <v>-69.399808776668877</v>
      </c>
      <c r="AA893" s="257">
        <f>altaz((J2000_Bas+(2*0.04167)),$O893,$M893,DecLat,DecLong,1)</f>
        <v>-70.575293404188031</v>
      </c>
      <c r="AB893" s="257">
        <f>altaz((J2000_Bas+(4*0.04167)),$O893,$M893,DecLat,DecLong,1)</f>
        <v>-52.944313792048881</v>
      </c>
      <c r="AC893" s="257">
        <f>altaz((J2000_Bas+(6*0.04167)),$O893,$M893,DecLat,DecLong,1)</f>
        <v>-32.686751700610628</v>
      </c>
      <c r="AD893" s="258">
        <f>1+ transit((J2000_Bas-1),$O893,$M893,DecLat,DecLong)/360 + (GMTOffset/24) + (IF(DST="Y", 1, 0)/24)</f>
        <v>1.3328420562651246</v>
      </c>
      <c r="AE893" s="259">
        <f>DATE(2001,9,21)+(M893/360)*365 - (360*((DecLong/360)- (GMTOffset/24) ))</f>
        <v>37284.078877314816</v>
      </c>
      <c r="AF893" s="260">
        <f>IF(DecLat&gt;0,IF((90 - (DecLat-O893))&gt;90, (90 - (O893-DecLat)), (90 - (DecLat-O893))),IF((90 + (DecLat-O893))&gt;90, (90 + (O893-DecLat)), (90 + (DecLat-O893))))</f>
        <v>11.663333333333327</v>
      </c>
      <c r="AG893" s="257">
        <f>angularseperation(MoonRA,MoonDec,$M893,$O893)</f>
        <v>91.556416096366036</v>
      </c>
      <c r="AH893" s="261">
        <f ca="1">MIN(100,IF($O$5&gt;80,0+30*($AG893/100),IF($O$5&gt;70,0+50*($AG893/100),IF($O$5&gt;60,5+50*($AG893/100),IF($O$5&gt;50,10+60*($AG893/100),IF($O$5&gt;40,15+70*($AG893/100),IF($O$5&gt;30,20+70*($AG893/100),IF($O$5&gt;20,40+55*($AG893/100),(80+(20-$O$5)+30*($AG893/100))))))))))</f>
        <v>100</v>
      </c>
      <c r="AI893" s="263"/>
      <c r="AJ893" s="263"/>
      <c r="AK893" s="263"/>
      <c r="AL893" s="263"/>
      <c r="AM893" s="264"/>
      <c r="AN893" s="263"/>
      <c r="AO893" s="263"/>
      <c r="AP893" s="265"/>
      <c r="AQ893" s="265"/>
      <c r="AR893" s="285"/>
      <c r="AS893" s="263"/>
      <c r="AT893" s="263"/>
      <c r="AU893" s="263"/>
      <c r="AV893" s="264"/>
      <c r="AW893" s="263"/>
      <c r="AX893" s="263">
        <v>12</v>
      </c>
      <c r="AY893" s="263"/>
      <c r="AZ893" s="263"/>
      <c r="BA893" s="263"/>
      <c r="BB893" s="263"/>
      <c r="BC893" s="263"/>
      <c r="BD893" s="264"/>
      <c r="BE893" s="263"/>
      <c r="BF893" s="263"/>
      <c r="BG893" s="263"/>
      <c r="BH893" s="263"/>
      <c r="BI893" s="263"/>
      <c r="BJ893" s="404">
        <f>altaz(J2000_Bas,$O893,$M893,DecLat,DecLong,2)</f>
        <v>212.89233123869542</v>
      </c>
      <c r="BK893" s="378" t="s">
        <v>979</v>
      </c>
      <c r="BL893" s="379">
        <f>IF((2*G893)/60&lt;0.2,0.2,(2*G893)/60)</f>
        <v>80</v>
      </c>
      <c r="BM893" s="380">
        <f>MOD((50000+AD893-$B$3+(0/24)),1)</f>
        <v>0.54820898597245105</v>
      </c>
      <c r="BN893" s="381"/>
      <c r="BO893" s="382">
        <v>887</v>
      </c>
    </row>
    <row r="894" spans="1:67" s="24" customFormat="1" ht="15" customHeight="1" x14ac:dyDescent="0.25">
      <c r="A894" s="288" t="s">
        <v>981</v>
      </c>
      <c r="B894" s="241" t="str">
        <f>HYPERLINK(CONCATENATE($AT$3,BK894,$AU$3),$AV$3)</f>
        <v>S</v>
      </c>
      <c r="C894" s="242" t="str">
        <f>HYPERLINK(CONCATENATE($AT$4,BK894,$AU$4,BL894),$AV$4)</f>
        <v>A</v>
      </c>
      <c r="D894" s="243" t="s">
        <v>5187</v>
      </c>
      <c r="E894" s="244" t="s">
        <v>5183</v>
      </c>
      <c r="F894" s="269" t="s">
        <v>5180</v>
      </c>
      <c r="G894" s="273">
        <v>7</v>
      </c>
      <c r="H894" s="271">
        <v>7200</v>
      </c>
      <c r="I894" s="246">
        <v>15</v>
      </c>
      <c r="J894" s="246">
        <v>2</v>
      </c>
      <c r="K894" s="247" t="s">
        <v>6035</v>
      </c>
      <c r="L894" s="248">
        <v>82154</v>
      </c>
      <c r="M894" s="249">
        <f>15*(LEFT(TEXT($L894,"000000"),2)+(MID(TEXT($L894,"000000"),3,2)/60)+(RIGHT(TEXT($L894,"000000"),2)/3600))</f>
        <v>125.47500000000001</v>
      </c>
      <c r="N894" s="286">
        <v>-423900</v>
      </c>
      <c r="O894" s="251">
        <f>IF($N894&gt;0,(LEFT(TEXT($N894,"000000"),2)+(MID(TEXT($N894,"000000"),3,2)/60)+(RIGHT(TEXT($N894,"000000"),2)/3600)),-(MID(TEXT($N894,"000000"),2,2)+(MID(TEXT($N894,"000000"),4,2)/60)+(RIGHT(TEXT($N894,"000000"),2)/3600)))</f>
        <v>-42.65</v>
      </c>
      <c r="P894" s="252" t="s">
        <v>980</v>
      </c>
      <c r="Q894" s="253"/>
      <c r="R894" s="277" t="s">
        <v>6037</v>
      </c>
      <c r="S894" s="272" t="s">
        <v>3293</v>
      </c>
      <c r="T894" s="273"/>
      <c r="U894" s="274"/>
      <c r="V894" s="256"/>
      <c r="W894" s="244"/>
      <c r="X894" s="244"/>
      <c r="Y894" s="362"/>
      <c r="Z894" s="257">
        <f>altaz(J2000_Bas,$O894,$M894,DecLat,DecLong,1)</f>
        <v>-70.620084094599846</v>
      </c>
      <c r="AA894" s="257">
        <f>altaz((J2000_Bas+(2*0.04167)),$O894,$M894,DecLat,DecLong,1)</f>
        <v>-75.60764016156061</v>
      </c>
      <c r="AB894" s="257">
        <f>altaz((J2000_Bas+(4*0.04167)),$O894,$M894,DecLat,DecLong,1)</f>
        <v>-55.785503419536148</v>
      </c>
      <c r="AC894" s="257">
        <f>altaz((J2000_Bas+(6*0.04167)),$O894,$M894,DecLat,DecLong,1)</f>
        <v>-33.812501315819908</v>
      </c>
      <c r="AD894" s="258">
        <f>1+ transit((J2000_Bas-1),$O894,$M894,DecLat,DecLong)/360 + (GMTOffset/24) + (IF(DST="Y", 1, 0)/24)</f>
        <v>1.3414415924422081</v>
      </c>
      <c r="AE894" s="259">
        <f>DATE(2001,9,21)+(M894/360)*365 - (360*((DecLong/360)- (GMTOffset/24) ))</f>
        <v>37287.21770833333</v>
      </c>
      <c r="AF894" s="260">
        <f>IF(DecLat&gt;0,IF((90 - (DecLat-O894))&gt;90, (90 - (O894-DecLat)), (90 - (DecLat-O894))),IF((90 + (DecLat-O894))&gt;90, (90 + (O894-DecLat)), (90 + (DecLat-O894))))</f>
        <v>16.349999999999994</v>
      </c>
      <c r="AG894" s="257">
        <f>angularseperation(MoonRA,MoonDec,$M894,$O894)</f>
        <v>93.181745534782308</v>
      </c>
      <c r="AH894" s="261">
        <f ca="1">MIN(100,IF($O$5&gt;80,0+30*($AG894/100),IF($O$5&gt;70,0+50*($AG894/100),IF($O$5&gt;60,5+50*($AG894/100),IF($O$5&gt;50,10+60*($AG894/100),IF($O$5&gt;40,15+70*($AG894/100),IF($O$5&gt;30,20+70*($AG894/100),IF($O$5&gt;20,40+55*($AG894/100),(80+(20-$O$5)+30*($AG894/100))))))))))</f>
        <v>100</v>
      </c>
      <c r="AI894" s="263"/>
      <c r="AJ894" s="263"/>
      <c r="AK894" s="263"/>
      <c r="AL894" s="263"/>
      <c r="AM894" s="264"/>
      <c r="AN894" s="263"/>
      <c r="AO894" s="263"/>
      <c r="AP894" s="265"/>
      <c r="AQ894" s="265"/>
      <c r="AR894" s="285"/>
      <c r="AS894" s="263"/>
      <c r="AT894" s="263"/>
      <c r="AU894" s="263"/>
      <c r="AV894" s="264"/>
      <c r="AW894" s="263"/>
      <c r="AX894" s="263">
        <v>13</v>
      </c>
      <c r="AY894" s="263"/>
      <c r="AZ894" s="263"/>
      <c r="BA894" s="263">
        <v>29</v>
      </c>
      <c r="BB894" s="263"/>
      <c r="BC894" s="263"/>
      <c r="BD894" s="264"/>
      <c r="BE894" s="263"/>
      <c r="BF894" s="263"/>
      <c r="BG894" s="263"/>
      <c r="BH894" s="263"/>
      <c r="BI894" s="263"/>
      <c r="BJ894" s="404">
        <f>altaz(J2000_Bas,$O894,$M894,DecLat,DecLong,2)</f>
        <v>227.6360316668931</v>
      </c>
      <c r="BK894" s="378" t="s">
        <v>981</v>
      </c>
      <c r="BL894" s="379">
        <f>IF((2*G894)/60&lt;0.2,0.2,(2*G894)/60)</f>
        <v>0.23333333333333334</v>
      </c>
      <c r="BM894" s="380">
        <f>MOD((50000+AD894-$B$3+(0/24)),1)</f>
        <v>0.55680852214572951</v>
      </c>
      <c r="BN894" s="381"/>
      <c r="BO894" s="382">
        <v>888</v>
      </c>
    </row>
    <row r="895" spans="1:67" s="24" customFormat="1" ht="15" customHeight="1" x14ac:dyDescent="0.25">
      <c r="A895" s="288" t="s">
        <v>982</v>
      </c>
      <c r="B895" s="241" t="str">
        <f>HYPERLINK(CONCATENATE($AT$3,BK895,$AU$3),$AV$3)</f>
        <v>S</v>
      </c>
      <c r="C895" s="242" t="str">
        <f>HYPERLINK(CONCATENATE($AT$4,BK895,$AU$4,BL895),$AV$4)</f>
        <v>A</v>
      </c>
      <c r="D895" s="243" t="s">
        <v>5187</v>
      </c>
      <c r="E895" s="244" t="s">
        <v>5183</v>
      </c>
      <c r="F895" s="269" t="s">
        <v>5180</v>
      </c>
      <c r="G895" s="276">
        <v>140</v>
      </c>
      <c r="H895" s="271">
        <v>4000</v>
      </c>
      <c r="I895" s="246">
        <v>170</v>
      </c>
      <c r="J895" s="246">
        <v>2</v>
      </c>
      <c r="K895" s="247" t="s">
        <v>6039</v>
      </c>
      <c r="L895" s="248">
        <v>83910</v>
      </c>
      <c r="M895" s="249">
        <f>15*(LEFT(TEXT($L895,"000000"),2)+(MID(TEXT($L895,"000000"),3,2)/60)+(RIGHT(TEXT($L895,"000000"),2)/3600))</f>
        <v>129.79166666666669</v>
      </c>
      <c r="N895" s="286">
        <v>-402500</v>
      </c>
      <c r="O895" s="251">
        <f>IF($N895&gt;0,(LEFT(TEXT($N895,"000000"),2)+(MID(TEXT($N895,"000000"),3,2)/60)+(RIGHT(TEXT($N895,"000000"),2)/3600)),-(MID(TEXT($N895,"000000"),2,2)+(MID(TEXT($N895,"000000"),4,2)/60)+(RIGHT(TEXT($N895,"000000"),2)/3600)))</f>
        <v>-40.416666666666664</v>
      </c>
      <c r="P895" s="252" t="s">
        <v>980</v>
      </c>
      <c r="Q895" s="253"/>
      <c r="R895" s="277" t="s">
        <v>6036</v>
      </c>
      <c r="S895" s="272" t="s">
        <v>3293</v>
      </c>
      <c r="T895" s="273"/>
      <c r="U895" s="274"/>
      <c r="V895" s="256"/>
      <c r="W895" s="244"/>
      <c r="X895" s="244"/>
      <c r="Y895" s="362"/>
      <c r="Z895" s="257">
        <f>altaz(J2000_Bas,$O895,$M895,DecLat,DecLong,1)</f>
        <v>-68.603375040782439</v>
      </c>
      <c r="AA895" s="257">
        <f>altaz((J2000_Bas+(2*0.04167)),$O895,$M895,DecLat,DecLong,1)</f>
        <v>-79.29269671253509</v>
      </c>
      <c r="AB895" s="257">
        <f>altaz((J2000_Bas+(4*0.04167)),$O895,$M895,DecLat,DecLong,1)</f>
        <v>-59.24169906015193</v>
      </c>
      <c r="AC895" s="257">
        <f>altaz((J2000_Bas+(6*0.04167)),$O895,$M895,DecLat,DecLong,1)</f>
        <v>-36.478107063366458</v>
      </c>
      <c r="AD895" s="258">
        <f>1+ transit((J2000_Bas-1),$O895,$M895,DecLat,DecLong)/360 + (GMTOffset/24) + (IF(DST="Y", 1, 0)/24)</f>
        <v>1.3534323319838746</v>
      </c>
      <c r="AE895" s="259">
        <f>DATE(2001,9,21)+(M895/360)*365 - (360*((DecLong/360)- (GMTOffset/24) ))</f>
        <v>37291.594328703701</v>
      </c>
      <c r="AF895" s="260">
        <f>IF(DecLat&gt;0,IF((90 - (DecLat-O895))&gt;90, (90 - (O895-DecLat)), (90 - (DecLat-O895))),IF((90 + (DecLat-O895))&gt;90, (90 + (O895-DecLat)), (90 + (DecLat-O895))))</f>
        <v>18.583333333333343</v>
      </c>
      <c r="AG895" s="257">
        <f>angularseperation(MoonRA,MoonDec,$M895,$O895)</f>
        <v>92.18310726362499</v>
      </c>
      <c r="AH895" s="261">
        <f ca="1">MIN(100,IF($O$5&gt;80,0+30*($AG895/100),IF($O$5&gt;70,0+50*($AG895/100),IF($O$5&gt;60,5+50*($AG895/100),IF($O$5&gt;50,10+60*($AG895/100),IF($O$5&gt;40,15+70*($AG895/100),IF($O$5&gt;30,20+70*($AG895/100),IF($O$5&gt;20,40+55*($AG895/100),(80+(20-$O$5)+30*($AG895/100))))))))))</f>
        <v>100</v>
      </c>
      <c r="AI895" s="263"/>
      <c r="AJ895" s="263"/>
      <c r="AK895" s="263"/>
      <c r="AL895" s="263"/>
      <c r="AM895" s="264"/>
      <c r="AN895" s="263"/>
      <c r="AO895" s="263"/>
      <c r="AP895" s="265"/>
      <c r="AQ895" s="265"/>
      <c r="AR895" s="285"/>
      <c r="AS895" s="263"/>
      <c r="AT895" s="263"/>
      <c r="AU895" s="263"/>
      <c r="AV895" s="264"/>
      <c r="AW895" s="263"/>
      <c r="AX895" s="263">
        <v>14</v>
      </c>
      <c r="AY895" s="263"/>
      <c r="AZ895" s="263"/>
      <c r="BA895" s="263">
        <v>27</v>
      </c>
      <c r="BB895" s="263"/>
      <c r="BC895" s="263"/>
      <c r="BD895" s="264"/>
      <c r="BE895" s="263"/>
      <c r="BF895" s="263"/>
      <c r="BG895" s="263"/>
      <c r="BH895" s="263"/>
      <c r="BI895" s="263">
        <v>58</v>
      </c>
      <c r="BJ895" s="404">
        <f>altaz(J2000_Bas,$O895,$M895,DecLat,DecLong,2)</f>
        <v>237.33031913473974</v>
      </c>
      <c r="BK895" s="378" t="s">
        <v>982</v>
      </c>
      <c r="BL895" s="379">
        <f>IF((2*G895)/60&lt;0.2,0.2,(2*G895)/60)</f>
        <v>4.666666666666667</v>
      </c>
      <c r="BM895" s="380">
        <f>MOD((50000+AD895-$B$3+(0/24)),1)</f>
        <v>0.5687992616876727</v>
      </c>
      <c r="BN895" s="381"/>
      <c r="BO895" s="382">
        <v>889</v>
      </c>
    </row>
    <row r="896" spans="1:67" s="24" customFormat="1" ht="15" customHeight="1" x14ac:dyDescent="0.25">
      <c r="A896" s="288" t="s">
        <v>983</v>
      </c>
      <c r="B896" s="241" t="str">
        <f>HYPERLINK(CONCATENATE($AT$3,BK896,$AU$3),$AV$3)</f>
        <v>S</v>
      </c>
      <c r="C896" s="242" t="str">
        <f>HYPERLINK(CONCATENATE($AT$4,BK896,$AU$4,BL896),$AV$4)</f>
        <v>A</v>
      </c>
      <c r="D896" s="243" t="s">
        <v>5187</v>
      </c>
      <c r="E896" s="244" t="s">
        <v>5183</v>
      </c>
      <c r="F896" s="269" t="s">
        <v>5180</v>
      </c>
      <c r="G896" s="276">
        <v>20</v>
      </c>
      <c r="H896" s="271">
        <v>3000</v>
      </c>
      <c r="I896" s="281">
        <v>18</v>
      </c>
      <c r="J896" s="246">
        <v>3</v>
      </c>
      <c r="K896" s="247" t="s">
        <v>6388</v>
      </c>
      <c r="L896" s="248">
        <v>84352</v>
      </c>
      <c r="M896" s="249">
        <f>15*(LEFT(TEXT($L896,"000000"),2)+(MID(TEXT($L896,"000000"),3,2)/60)+(RIGHT(TEXT($L896,"000000"),2)/3600))</f>
        <v>130.96666666666667</v>
      </c>
      <c r="N896" s="250">
        <v>-411439</v>
      </c>
      <c r="O896" s="251">
        <f>IF($N896&gt;0,(LEFT(TEXT($N896,"000000"),2)+(MID(TEXT($N896,"000000"),3,2)/60)+(RIGHT(TEXT($N896,"000000"),2)/3600)),-(MID(TEXT($N896,"000000"),2,2)+(MID(TEXT($N896,"000000"),4,2)/60)+(RIGHT(TEXT($N896,"000000"),2)/3600)))</f>
        <v>-41.244166666666665</v>
      </c>
      <c r="P896" s="252" t="s">
        <v>980</v>
      </c>
      <c r="Q896" s="253"/>
      <c r="R896" s="247" t="s">
        <v>6053</v>
      </c>
      <c r="S896" s="272" t="s">
        <v>4477</v>
      </c>
      <c r="T896" s="273"/>
      <c r="U896" s="274"/>
      <c r="V896" s="256"/>
      <c r="W896" s="244"/>
      <c r="X896" s="244"/>
      <c r="Y896" s="362"/>
      <c r="Z896" s="257">
        <f>altaz(J2000_Bas,$O896,$M896,DecLat,DecLong,1)</f>
        <v>-67.494692051108316</v>
      </c>
      <c r="AA896" s="257">
        <f>altaz((J2000_Bas+(2*0.04167)),$O896,$M896,DecLat,DecLong,1)</f>
        <v>-78.957892989402495</v>
      </c>
      <c r="AB896" s="257">
        <f>altaz((J2000_Bas+(4*0.04167)),$O896,$M896,DecLat,DecLong,1)</f>
        <v>-60.017046804134317</v>
      </c>
      <c r="AC896" s="257">
        <f>altaz((J2000_Bas+(6*0.04167)),$O896,$M896,DecLat,DecLong,1)</f>
        <v>-37.515401035277122</v>
      </c>
      <c r="AD896" s="258">
        <f>1+ transit((J2000_Bas-1),$O896,$M896,DecLat,DecLong)/360 + (GMTOffset/24) + (IF(DST="Y", 1, 0)/24)</f>
        <v>1.3566962205463746</v>
      </c>
      <c r="AE896" s="259">
        <f>DATE(2001,9,21)+(M896/360)*365 - (360*((DecLong/360)- (GMTOffset/24) ))</f>
        <v>37292.78564814815</v>
      </c>
      <c r="AF896" s="260">
        <f>IF(DecLat&gt;0,IF((90 - (DecLat-O896))&gt;90, (90 - (O896-DecLat)), (90 - (DecLat-O896))),IF((90 + (DecLat-O896))&gt;90, (90 + (O896-DecLat)), (90 + (DecLat-O896))))</f>
        <v>17.755833333333328</v>
      </c>
      <c r="AG896" s="257">
        <f>angularseperation(MoonRA,MoonDec,$M896,$O896)</f>
        <v>90.971835465548082</v>
      </c>
      <c r="AH896" s="261">
        <f ca="1">MIN(100,IF($O$5&gt;80,0+30*($AG896/100),IF($O$5&gt;70,0+50*($AG896/100),IF($O$5&gt;60,5+50*($AG896/100),IF($O$5&gt;50,10+60*($AG896/100),IF($O$5&gt;40,15+70*($AG896/100),IF($O$5&gt;30,20+70*($AG896/100),IF($O$5&gt;20,40+55*($AG896/100),(80+(20-$O$5)+30*($AG896/100))))))))))</f>
        <v>100</v>
      </c>
      <c r="AI896" s="262"/>
      <c r="AJ896" s="262"/>
      <c r="AK896" s="262"/>
      <c r="AL896" s="263"/>
      <c r="AM896" s="264"/>
      <c r="AN896" s="263"/>
      <c r="AO896" s="263"/>
      <c r="AP896" s="265"/>
      <c r="AQ896" s="266"/>
      <c r="AR896" s="267"/>
      <c r="AS896" s="263"/>
      <c r="AT896" s="263"/>
      <c r="AU896" s="263"/>
      <c r="AV896" s="264"/>
      <c r="AW896" s="263"/>
      <c r="AX896" s="263">
        <v>15</v>
      </c>
      <c r="AY896" s="263"/>
      <c r="AZ896" s="263"/>
      <c r="BA896" s="263">
        <v>32</v>
      </c>
      <c r="BB896" s="263"/>
      <c r="BC896" s="263"/>
      <c r="BD896" s="264"/>
      <c r="BE896" s="263"/>
      <c r="BF896" s="263"/>
      <c r="BG896" s="263"/>
      <c r="BH896" s="263"/>
      <c r="BI896" s="263"/>
      <c r="BJ896" s="404">
        <f>altaz(J2000_Bas,$O896,$M896,DecLat,DecLong,2)</f>
        <v>236.00319569010878</v>
      </c>
      <c r="BK896" s="378" t="s">
        <v>983</v>
      </c>
      <c r="BL896" s="379">
        <f>IF((2*G896)/60&lt;0.2,0.2,(2*G896)/60)</f>
        <v>0.66666666666666663</v>
      </c>
      <c r="BM896" s="380">
        <f>MOD((50000+AD896-$B$3+(0/24)),1)</f>
        <v>0.57206315024814103</v>
      </c>
      <c r="BN896" s="381"/>
      <c r="BO896" s="382">
        <v>890</v>
      </c>
    </row>
    <row r="897" spans="1:67" s="24" customFormat="1" ht="15" customHeight="1" x14ac:dyDescent="0.25">
      <c r="A897" s="288" t="s">
        <v>984</v>
      </c>
      <c r="B897" s="241" t="str">
        <f>HYPERLINK(CONCATENATE($AT$3,BK897,$AU$3),$AV$3)</f>
        <v>S</v>
      </c>
      <c r="C897" s="242" t="str">
        <f>HYPERLINK(CONCATENATE($AT$4,BK897,$AU$4,BL897),$AV$4)</f>
        <v>A</v>
      </c>
      <c r="D897" s="243" t="s">
        <v>5187</v>
      </c>
      <c r="E897" s="244" t="s">
        <v>5183</v>
      </c>
      <c r="F897" s="269" t="s">
        <v>9158</v>
      </c>
      <c r="G897" s="276">
        <v>120</v>
      </c>
      <c r="H897" s="271">
        <v>820</v>
      </c>
      <c r="I897" s="246">
        <v>30</v>
      </c>
      <c r="J897" s="246">
        <v>3</v>
      </c>
      <c r="K897" s="247" t="s">
        <v>6094</v>
      </c>
      <c r="L897" s="248">
        <v>83300</v>
      </c>
      <c r="M897" s="249">
        <f>15*(LEFT(TEXT($L897,"000000"),2)+(MID(TEXT($L897,"000000"),3,2)/60)+(RIGHT(TEXT($L897,"000000"),2)/3600))</f>
        <v>128.25</v>
      </c>
      <c r="N897" s="286">
        <v>-440600</v>
      </c>
      <c r="O897" s="251">
        <f>IF($N897&gt;0,(LEFT(TEXT($N897,"000000"),2)+(MID(TEXT($N897,"000000"),3,2)/60)+(RIGHT(TEXT($N897,"000000"),2)/3600)),-(MID(TEXT($N897,"000000"),2,2)+(MID(TEXT($N897,"000000"),4,2)/60)+(RIGHT(TEXT($N897,"000000"),2)/3600)))</f>
        <v>-44.1</v>
      </c>
      <c r="P897" s="252" t="s">
        <v>980</v>
      </c>
      <c r="Q897" s="253"/>
      <c r="R897" s="277" t="s">
        <v>3293</v>
      </c>
      <c r="S897" s="272" t="s">
        <v>3293</v>
      </c>
      <c r="T897" s="273"/>
      <c r="U897" s="274"/>
      <c r="V897" s="256"/>
      <c r="W897" s="244"/>
      <c r="X897" s="244"/>
      <c r="Y897" s="362"/>
      <c r="Z897" s="257">
        <f>altaz(J2000_Bas,$O897,$M897,DecLat,DecLong,1)</f>
        <v>-68.148674618817509</v>
      </c>
      <c r="AA897" s="257">
        <f>altaz((J2000_Bas+(2*0.04167)),$O897,$M897,DecLat,DecLong,1)</f>
        <v>-75.518041878466974</v>
      </c>
      <c r="AB897" s="257">
        <f>altaz((J2000_Bas+(4*0.04167)),$O897,$M897,DecLat,DecLong,1)</f>
        <v>-57.56520938869491</v>
      </c>
      <c r="AC897" s="257">
        <f>altaz((J2000_Bas+(6*0.04167)),$O897,$M897,DecLat,DecLong,1)</f>
        <v>-36.082530460873585</v>
      </c>
      <c r="AD897" s="258">
        <f>1+ transit((J2000_Bas-1),$O897,$M897,DecLat,DecLong)/360 + (GMTOffset/24) + (IF(DST="Y", 1, 0)/24)</f>
        <v>1.3491499250047081</v>
      </c>
      <c r="AE897" s="259">
        <f>DATE(2001,9,21)+(M897/360)*365 - (360*((DecLong/360)- (GMTOffset/24) ))</f>
        <v>37290.03125</v>
      </c>
      <c r="AF897" s="260">
        <f>IF(DecLat&gt;0,IF((90 - (DecLat-O897))&gt;90, (90 - (O897-DecLat)), (90 - (DecLat-O897))),IF((90 + (DecLat-O897))&gt;90, (90 + (O897-DecLat)), (90 + (DecLat-O897))))</f>
        <v>14.900000000000006</v>
      </c>
      <c r="AG897" s="257">
        <f>angularseperation(MoonRA,MoonDec,$M897,$O897)</f>
        <v>90.709231365541484</v>
      </c>
      <c r="AH897" s="261">
        <f ca="1">MIN(100,IF($O$5&gt;80,0+30*($AG897/100),IF($O$5&gt;70,0+50*($AG897/100),IF($O$5&gt;60,5+50*($AG897/100),IF($O$5&gt;50,10+60*($AG897/100),IF($O$5&gt;40,15+70*($AG897/100),IF($O$5&gt;30,20+70*($AG897/100),IF($O$5&gt;20,40+55*($AG897/100),(80+(20-$O$5)+30*($AG897/100))))))))))</f>
        <v>100</v>
      </c>
      <c r="AI897" s="263"/>
      <c r="AJ897" s="263"/>
      <c r="AK897" s="263"/>
      <c r="AL897" s="263"/>
      <c r="AM897" s="264"/>
      <c r="AN897" s="263"/>
      <c r="AO897" s="263"/>
      <c r="AP897" s="265"/>
      <c r="AQ897" s="265"/>
      <c r="AR897" s="285"/>
      <c r="AS897" s="263"/>
      <c r="AT897" s="263"/>
      <c r="AU897" s="263"/>
      <c r="AV897" s="264"/>
      <c r="AW897" s="263"/>
      <c r="AX897" s="263">
        <v>16</v>
      </c>
      <c r="AY897" s="263"/>
      <c r="AZ897" s="263"/>
      <c r="BA897" s="263"/>
      <c r="BB897" s="263"/>
      <c r="BC897" s="263"/>
      <c r="BD897" s="264"/>
      <c r="BE897" s="263"/>
      <c r="BF897" s="263"/>
      <c r="BG897" s="263"/>
      <c r="BH897" s="263"/>
      <c r="BI897" s="263"/>
      <c r="BJ897" s="404">
        <f>altaz(J2000_Bas,$O897,$M897,DecLat,DecLong,2)</f>
        <v>226.92728545182953</v>
      </c>
      <c r="BK897" s="378" t="s">
        <v>984</v>
      </c>
      <c r="BL897" s="379">
        <f>IF((2*G897)/60&lt;0.2,0.2,(2*G897)/60)</f>
        <v>4</v>
      </c>
      <c r="BM897" s="380">
        <f>MOD((50000+AD897-$B$3+(0/24)),1)</f>
        <v>0.56451685470528901</v>
      </c>
      <c r="BN897" s="381"/>
      <c r="BO897" s="382">
        <v>891</v>
      </c>
    </row>
    <row r="898" spans="1:67" s="24" customFormat="1" ht="15" customHeight="1" x14ac:dyDescent="0.25">
      <c r="A898" s="288" t="s">
        <v>985</v>
      </c>
      <c r="B898" s="241" t="str">
        <f>HYPERLINK(CONCATENATE($AT$3,BK898,$AU$3),$AV$3)</f>
        <v>S</v>
      </c>
      <c r="C898" s="242" t="str">
        <f>HYPERLINK(CONCATENATE($AT$4,BK898,$AU$4,BL898),$AV$4)</f>
        <v>A</v>
      </c>
      <c r="D898" s="243" t="s">
        <v>5187</v>
      </c>
      <c r="E898" s="244" t="s">
        <v>5183</v>
      </c>
      <c r="F898" s="269" t="s">
        <v>5180</v>
      </c>
      <c r="G898" s="276">
        <v>100</v>
      </c>
      <c r="H898" s="271">
        <v>3000</v>
      </c>
      <c r="I898" s="281">
        <v>90</v>
      </c>
      <c r="J898" s="246">
        <v>2</v>
      </c>
      <c r="K898" s="277" t="s">
        <v>4644</v>
      </c>
      <c r="L898" s="248">
        <v>85100</v>
      </c>
      <c r="M898" s="249">
        <f>15*(LEFT(TEXT($L898,"000000"),2)+(MID(TEXT($L898,"000000"),3,2)/60)+(RIGHT(TEXT($L898,"000000"),2)/3600))</f>
        <v>132.75</v>
      </c>
      <c r="N898" s="286">
        <v>-420800</v>
      </c>
      <c r="O898" s="251">
        <f>IF($N898&gt;0,(LEFT(TEXT($N898,"000000"),2)+(MID(TEXT($N898,"000000"),3,2)/60)+(RIGHT(TEXT($N898,"000000"),2)/3600)),-(MID(TEXT($N898,"000000"),2,2)+(MID(TEXT($N898,"000000"),4,2)/60)+(RIGHT(TEXT($N898,"000000"),2)/3600)))</f>
        <v>-42.133333333333333</v>
      </c>
      <c r="P898" s="252" t="s">
        <v>980</v>
      </c>
      <c r="Q898" s="253"/>
      <c r="R898" s="277" t="s">
        <v>4483</v>
      </c>
      <c r="S898" s="272" t="s">
        <v>4478</v>
      </c>
      <c r="T898" s="273"/>
      <c r="U898" s="274"/>
      <c r="V898" s="256"/>
      <c r="W898" s="244"/>
      <c r="X898" s="244"/>
      <c r="Y898" s="362"/>
      <c r="Z898" s="257">
        <f>altaz(J2000_Bas,$O898,$M898,DecLat,DecLong,1)</f>
        <v>-65.946361782839688</v>
      </c>
      <c r="AA898" s="257">
        <f>altaz((J2000_Bas+(2*0.04167)),$O898,$M898,DecLat,DecLong,1)</f>
        <v>-78.551230268345648</v>
      </c>
      <c r="AB898" s="257">
        <f>altaz((J2000_Bas+(4*0.04167)),$O898,$M898,DecLat,DecLong,1)</f>
        <v>-61.171476013589924</v>
      </c>
      <c r="AC898" s="257">
        <f>altaz((J2000_Bas+(6*0.04167)),$O898,$M898,DecLat,DecLong,1)</f>
        <v>-38.982780125156467</v>
      </c>
      <c r="AD898" s="258">
        <f>1+ transit((J2000_Bas-1),$O898,$M898,DecLat,DecLong)/360 + (GMTOffset/24) + (IF(DST="Y", 1, 0)/24)</f>
        <v>1.3616499237547079</v>
      </c>
      <c r="AE898" s="259">
        <f>DATE(2001,9,21)+(M898/360)*365 - (360*((DecLong/360)- (GMTOffset/24) ))</f>
        <v>37294.59375</v>
      </c>
      <c r="AF898" s="260">
        <f>IF(DecLat&gt;0,IF((90 - (DecLat-O898))&gt;90, (90 - (O898-DecLat)), (90 - (DecLat-O898))),IF((90 + (DecLat-O898))&gt;90, (90 + (O898-DecLat)), (90 + (DecLat-O898))))</f>
        <v>16.866666666666674</v>
      </c>
      <c r="AG898" s="257">
        <f>angularseperation(MoonRA,MoonDec,$M898,$O898)</f>
        <v>89.37455882358968</v>
      </c>
      <c r="AH898" s="261">
        <f ca="1">MIN(100,IF($O$5&gt;80,0+30*($AG898/100),IF($O$5&gt;70,0+50*($AG898/100),IF($O$5&gt;60,5+50*($AG898/100),IF($O$5&gt;50,10+60*($AG898/100),IF($O$5&gt;40,15+70*($AG898/100),IF($O$5&gt;30,20+70*($AG898/100),IF($O$5&gt;20,40+55*($AG898/100),(80+(20-$O$5)+30*($AG898/100))))))))))</f>
        <v>100</v>
      </c>
      <c r="AI898" s="263"/>
      <c r="AJ898" s="263"/>
      <c r="AK898" s="263"/>
      <c r="AL898" s="263"/>
      <c r="AM898" s="264"/>
      <c r="AN898" s="263"/>
      <c r="AO898" s="263"/>
      <c r="AP898" s="265"/>
      <c r="AQ898" s="265"/>
      <c r="AR898" s="285"/>
      <c r="AS898" s="263"/>
      <c r="AT898" s="263"/>
      <c r="AU898" s="263"/>
      <c r="AV898" s="264"/>
      <c r="AW898" s="263"/>
      <c r="AX898" s="263">
        <v>17</v>
      </c>
      <c r="AY898" s="263"/>
      <c r="AZ898" s="263"/>
      <c r="BA898" s="263">
        <v>33</v>
      </c>
      <c r="BB898" s="263"/>
      <c r="BC898" s="263"/>
      <c r="BD898" s="264"/>
      <c r="BE898" s="263"/>
      <c r="BF898" s="263"/>
      <c r="BG898" s="263"/>
      <c r="BH898" s="263"/>
      <c r="BI898" s="263">
        <v>60</v>
      </c>
      <c r="BJ898" s="404">
        <f>altaz(J2000_Bas,$O898,$M898,DecLat,DecLong,2)</f>
        <v>234.96977508754372</v>
      </c>
      <c r="BK898" s="378" t="s">
        <v>985</v>
      </c>
      <c r="BL898" s="379">
        <f>IF((2*G898)/60&lt;0.2,0.2,(2*G898)/60)</f>
        <v>3.3333333333333335</v>
      </c>
      <c r="BM898" s="380">
        <f>MOD((50000+AD898-$B$3+(0/24)),1)</f>
        <v>0.57701685345818987</v>
      </c>
      <c r="BN898" s="381"/>
      <c r="BO898" s="382">
        <v>892</v>
      </c>
    </row>
    <row r="899" spans="1:67" s="24" customFormat="1" ht="15" customHeight="1" x14ac:dyDescent="0.25">
      <c r="A899" s="288" t="s">
        <v>986</v>
      </c>
      <c r="B899" s="241" t="str">
        <f>HYPERLINK(CONCATENATE($AT$3,BK899,$AU$3),$AV$3)</f>
        <v>S</v>
      </c>
      <c r="C899" s="242" t="str">
        <f>HYPERLINK(CONCATENATE($AT$4,BK899,$AU$4,BL899),$AV$4)</f>
        <v>A</v>
      </c>
      <c r="D899" s="243" t="s">
        <v>5187</v>
      </c>
      <c r="E899" s="244" t="s">
        <v>5183</v>
      </c>
      <c r="F899" s="269" t="s">
        <v>5180</v>
      </c>
      <c r="G899" s="276">
        <v>15</v>
      </c>
      <c r="H899" s="271">
        <v>5900</v>
      </c>
      <c r="I899" s="246">
        <v>25</v>
      </c>
      <c r="J899" s="246">
        <v>2</v>
      </c>
      <c r="K899" s="247" t="s">
        <v>4480</v>
      </c>
      <c r="L899" s="248">
        <v>85148</v>
      </c>
      <c r="M899" s="249">
        <f>15*(LEFT(TEXT($L899,"000000"),2)+(MID(TEXT($L899,"000000"),3,2)/60)+(RIGHT(TEXT($L899,"000000"),2)/3600))</f>
        <v>132.94999999999999</v>
      </c>
      <c r="N899" s="286">
        <v>-435100</v>
      </c>
      <c r="O899" s="251">
        <f>IF($N899&gt;0,(LEFT(TEXT($N899,"000000"),2)+(MID(TEXT($N899,"000000"),3,2)/60)+(RIGHT(TEXT($N899,"000000"),2)/3600)),-(MID(TEXT($N899,"000000"),2,2)+(MID(TEXT($N899,"000000"),4,2)/60)+(RIGHT(TEXT($N899,"000000"),2)/3600)))</f>
        <v>-43.85</v>
      </c>
      <c r="P899" s="252" t="s">
        <v>980</v>
      </c>
      <c r="Q899" s="253"/>
      <c r="R899" s="247" t="s">
        <v>4484</v>
      </c>
      <c r="S899" s="272" t="s">
        <v>4479</v>
      </c>
      <c r="T899" s="273"/>
      <c r="U899" s="274"/>
      <c r="V899" s="256"/>
      <c r="W899" s="244"/>
      <c r="X899" s="244"/>
      <c r="Y899" s="362"/>
      <c r="Z899" s="257">
        <f>altaz(J2000_Bas,$O899,$M899,DecLat,DecLong,1)</f>
        <v>-65.208366965879236</v>
      </c>
      <c r="AA899" s="257">
        <f>altaz((J2000_Bas+(2*0.04167)),$O899,$M899,DecLat,DecLong,1)</f>
        <v>-76.913481190157384</v>
      </c>
      <c r="AB899" s="257">
        <f>altaz((J2000_Bas+(4*0.04167)),$O899,$M899,DecLat,DecLong,1)</f>
        <v>-60.917765490277411</v>
      </c>
      <c r="AC899" s="257">
        <f>altaz((J2000_Bas+(6*0.04167)),$O899,$M899,DecLat,DecLong,1)</f>
        <v>-39.382254080913434</v>
      </c>
      <c r="AD899" s="258">
        <f>1+ transit((J2000_Bas-1),$O899,$M899,DecLat,DecLong)/360 + (GMTOffset/24) + (IF(DST="Y", 1, 0)/24)</f>
        <v>1.362205479254708</v>
      </c>
      <c r="AE899" s="259">
        <f>DATE(2001,9,21)+(M899/360)*365 - (360*((DecLong/360)- (GMTOffset/24) ))</f>
        <v>37294.796527777777</v>
      </c>
      <c r="AF899" s="260">
        <f>IF(DecLat&gt;0,IF((90 - (DecLat-O899))&gt;90, (90 - (O899-DecLat)), (90 - (DecLat-O899))),IF((90 + (DecLat-O899))&gt;90, (90 + (O899-DecLat)), (90 + (DecLat-O899))))</f>
        <v>15.150000000000006</v>
      </c>
      <c r="AG899" s="257">
        <f>angularseperation(MoonRA,MoonDec,$M899,$O899)</f>
        <v>88.222692806641078</v>
      </c>
      <c r="AH899" s="261">
        <f ca="1">MIN(100,IF($O$5&gt;80,0+30*($AG899/100),IF($O$5&gt;70,0+50*($AG899/100),IF($O$5&gt;60,5+50*($AG899/100),IF($O$5&gt;50,10+60*($AG899/100),IF($O$5&gt;40,15+70*($AG899/100),IF($O$5&gt;30,20+70*($AG899/100),IF($O$5&gt;20,40+55*($AG899/100),(80+(20-$O$5)+30*($AG899/100))))))))))</f>
        <v>100</v>
      </c>
      <c r="AI899" s="262"/>
      <c r="AJ899" s="262"/>
      <c r="AK899" s="262"/>
      <c r="AL899" s="263"/>
      <c r="AM899" s="264"/>
      <c r="AN899" s="263"/>
      <c r="AO899" s="263"/>
      <c r="AP899" s="265"/>
      <c r="AQ899" s="266"/>
      <c r="AR899" s="267"/>
      <c r="AS899" s="263"/>
      <c r="AT899" s="263"/>
      <c r="AU899" s="263"/>
      <c r="AV899" s="264"/>
      <c r="AW899" s="263"/>
      <c r="AX899" s="263">
        <v>18</v>
      </c>
      <c r="AY899" s="263"/>
      <c r="AZ899" s="263"/>
      <c r="BA899" s="263">
        <v>35</v>
      </c>
      <c r="BB899" s="263"/>
      <c r="BC899" s="263"/>
      <c r="BD899" s="264"/>
      <c r="BE899" s="263"/>
      <c r="BF899" s="263"/>
      <c r="BG899" s="263"/>
      <c r="BH899" s="263"/>
      <c r="BI899" s="263"/>
      <c r="BJ899" s="404">
        <f>altaz(J2000_Bas,$O899,$M899,DecLat,DecLong,2)</f>
        <v>231.20348860286745</v>
      </c>
      <c r="BK899" s="378" t="s">
        <v>986</v>
      </c>
      <c r="BL899" s="379">
        <f>IF((2*G899)/60&lt;0.2,0.2,(2*G899)/60)</f>
        <v>0.5</v>
      </c>
      <c r="BM899" s="380">
        <f>MOD((50000+AD899-$B$3+(0/24)),1)</f>
        <v>0.57757240896171425</v>
      </c>
      <c r="BN899" s="381"/>
      <c r="BO899" s="382">
        <v>893</v>
      </c>
    </row>
    <row r="900" spans="1:67" s="24" customFormat="1" ht="15" customHeight="1" x14ac:dyDescent="0.25">
      <c r="A900" s="288" t="s">
        <v>987</v>
      </c>
      <c r="B900" s="241" t="str">
        <f>HYPERLINK(CONCATENATE($AT$3,BK900,$AU$3),$AV$3)</f>
        <v>S</v>
      </c>
      <c r="C900" s="242" t="str">
        <f>HYPERLINK(CONCATENATE($AT$4,BK900,$AU$4,BL900),$AV$4)</f>
        <v>A</v>
      </c>
      <c r="D900" s="243" t="s">
        <v>5187</v>
      </c>
      <c r="E900" s="244" t="s">
        <v>5183</v>
      </c>
      <c r="F900" s="269" t="s">
        <v>5180</v>
      </c>
      <c r="G900" s="273">
        <v>4</v>
      </c>
      <c r="H900" s="271">
        <v>22000</v>
      </c>
      <c r="I900" s="281">
        <v>25</v>
      </c>
      <c r="J900" s="246">
        <v>2</v>
      </c>
      <c r="K900" s="247" t="s">
        <v>4642</v>
      </c>
      <c r="L900" s="248">
        <v>85628</v>
      </c>
      <c r="M900" s="249">
        <f>15*(LEFT(TEXT($L900,"000000"),2)+(MID(TEXT($L900,"000000"),3,2)/60)+(RIGHT(TEXT($L900,"000000"),2)/3600))</f>
        <v>134.11666666666667</v>
      </c>
      <c r="N900" s="250">
        <v>-430558</v>
      </c>
      <c r="O900" s="251">
        <f>IF($N900&gt;0,(LEFT(TEXT($N900,"000000"),2)+(MID(TEXT($N900,"000000"),3,2)/60)+(RIGHT(TEXT($N900,"000000"),2)/3600)),-(MID(TEXT($N900,"000000"),2,2)+(MID(TEXT($N900,"000000"),4,2)/60)+(RIGHT(TEXT($N900,"000000"),2)/3600)))</f>
        <v>-43.099444444444444</v>
      </c>
      <c r="P900" s="252" t="s">
        <v>980</v>
      </c>
      <c r="Q900" s="253"/>
      <c r="R900" s="247" t="s">
        <v>4481</v>
      </c>
      <c r="S900" s="272" t="s">
        <v>3293</v>
      </c>
      <c r="T900" s="273"/>
      <c r="U900" s="274"/>
      <c r="V900" s="256"/>
      <c r="W900" s="244"/>
      <c r="X900" s="244"/>
      <c r="Y900" s="362"/>
      <c r="Z900" s="257">
        <f>altaz(J2000_Bas,$O900,$M900,DecLat,DecLong,1)</f>
        <v>-64.680753627661161</v>
      </c>
      <c r="AA900" s="257">
        <f>altaz((J2000_Bas+(2*0.04167)),$O900,$M900,DecLat,DecLong,1)</f>
        <v>-77.799801922590888</v>
      </c>
      <c r="AB900" s="257">
        <f>altaz((J2000_Bas+(4*0.04167)),$O900,$M900,DecLat,DecLong,1)</f>
        <v>-61.928760204443002</v>
      </c>
      <c r="AC900" s="257">
        <f>altaz((J2000_Bas+(6*0.04167)),$O900,$M900,DecLat,DecLong,1)</f>
        <v>-40.120145554421164</v>
      </c>
      <c r="AD900" s="258">
        <f>1+ transit((J2000_Bas-1),$O900,$M900,DecLat,DecLong)/360 + (GMTOffset/24) + (IF(DST="Y", 1, 0)/24)</f>
        <v>1.3654462196713746</v>
      </c>
      <c r="AE900" s="259">
        <f>DATE(2001,9,21)+(M900/360)*365 - (360*((DecLong/360)- (GMTOffset/24) ))</f>
        <v>37295.979398148149</v>
      </c>
      <c r="AF900" s="260">
        <f>IF(DecLat&gt;0,IF((90 - (DecLat-O900))&gt;90, (90 - (O900-DecLat)), (90 - (DecLat-O900))),IF((90 + (DecLat-O900))&gt;90, (90 + (O900-DecLat)), (90 + (DecLat-O900))))</f>
        <v>15.900555555555556</v>
      </c>
      <c r="AG900" s="257">
        <f>angularseperation(MoonRA,MoonDec,$M900,$O900)</f>
        <v>87.990843724299481</v>
      </c>
      <c r="AH900" s="261">
        <f ca="1">MIN(100,IF($O$5&gt;80,0+30*($AG900/100),IF($O$5&gt;70,0+50*($AG900/100),IF($O$5&gt;60,5+50*($AG900/100),IF($O$5&gt;50,10+60*($AG900/100),IF($O$5&gt;40,15+70*($AG900/100),IF($O$5&gt;30,20+70*($AG900/100),IF($O$5&gt;20,40+55*($AG900/100),(80+(20-$O$5)+30*($AG900/100))))))))))</f>
        <v>100</v>
      </c>
      <c r="AI900" s="262"/>
      <c r="AJ900" s="262"/>
      <c r="AK900" s="262"/>
      <c r="AL900" s="263"/>
      <c r="AM900" s="264"/>
      <c r="AN900" s="263"/>
      <c r="AO900" s="263"/>
      <c r="AP900" s="265"/>
      <c r="AQ900" s="266"/>
      <c r="AR900" s="267"/>
      <c r="AS900" s="263"/>
      <c r="AT900" s="263"/>
      <c r="AU900" s="263"/>
      <c r="AV900" s="264"/>
      <c r="AW900" s="263"/>
      <c r="AX900" s="263">
        <v>19</v>
      </c>
      <c r="AY900" s="263"/>
      <c r="AZ900" s="263"/>
      <c r="BA900" s="263">
        <v>34</v>
      </c>
      <c r="BB900" s="263"/>
      <c r="BC900" s="263"/>
      <c r="BD900" s="264"/>
      <c r="BE900" s="263"/>
      <c r="BF900" s="263"/>
      <c r="BG900" s="263"/>
      <c r="BH900" s="263"/>
      <c r="BI900" s="263"/>
      <c r="BJ900" s="404">
        <f>altaz(J2000_Bas,$O900,$M900,DecLat,DecLong,2)</f>
        <v>233.56703578129333</v>
      </c>
      <c r="BK900" s="378" t="s">
        <v>987</v>
      </c>
      <c r="BL900" s="379">
        <f>IF((2*G900)/60&lt;0.2,0.2,(2*G900)/60)</f>
        <v>0.2</v>
      </c>
      <c r="BM900" s="380">
        <f>MOD((50000+AD900-$B$3+(0/24)),1)</f>
        <v>0.58081314937589923</v>
      </c>
      <c r="BN900" s="381"/>
      <c r="BO900" s="382">
        <v>894</v>
      </c>
    </row>
    <row r="901" spans="1:67" s="24" customFormat="1" ht="15" customHeight="1" x14ac:dyDescent="0.25">
      <c r="A901" s="301" t="s">
        <v>988</v>
      </c>
      <c r="B901" s="241" t="str">
        <f>HYPERLINK(CONCATENATE($AT$3,BK901,$AU$3),$AV$3)</f>
        <v>S</v>
      </c>
      <c r="C901" s="242" t="str">
        <f>HYPERLINK(CONCATENATE($AT$4,BK901,$AU$4,BL901),$AV$4)</f>
        <v>A</v>
      </c>
      <c r="D901" s="243" t="s">
        <v>5187</v>
      </c>
      <c r="E901" s="244" t="s">
        <v>5183</v>
      </c>
      <c r="F901" s="269" t="s">
        <v>5180</v>
      </c>
      <c r="G901" s="273">
        <v>5</v>
      </c>
      <c r="H901" s="271">
        <v>2300</v>
      </c>
      <c r="I901" s="245">
        <v>3.7</v>
      </c>
      <c r="J901" s="246">
        <v>2</v>
      </c>
      <c r="K901" s="247" t="s">
        <v>4502</v>
      </c>
      <c r="L901" s="248">
        <v>85902</v>
      </c>
      <c r="M901" s="249">
        <f>15*(LEFT(TEXT($L901,"000000"),2)+(MID(TEXT($L901,"000000"),3,2)/60)+(RIGHT(TEXT($L901,"000000"),2)/3600))</f>
        <v>134.75833333333333</v>
      </c>
      <c r="N901" s="250">
        <v>-434410</v>
      </c>
      <c r="O901" s="251">
        <f>IF($N901&gt;0,(LEFT(TEXT($N901,"000000"),2)+(MID(TEXT($N901,"000000"),3,2)/60)+(RIGHT(TEXT($N901,"000000"),2)/3600)),-(MID(TEXT($N901,"000000"),2,2)+(MID(TEXT($N901,"000000"),4,2)/60)+(RIGHT(TEXT($N901,"000000"),2)/3600)))</f>
        <v>-43.736111111111114</v>
      </c>
      <c r="P901" s="252" t="s">
        <v>980</v>
      </c>
      <c r="Q901" s="253"/>
      <c r="R901" s="247" t="s">
        <v>4482</v>
      </c>
      <c r="S901" s="272" t="s">
        <v>3293</v>
      </c>
      <c r="T901" s="273"/>
      <c r="U901" s="274"/>
      <c r="V901" s="256"/>
      <c r="W901" s="244"/>
      <c r="X901" s="244"/>
      <c r="Y901" s="362"/>
      <c r="Z901" s="257">
        <f>altaz(J2000_Bas,$O901,$M901,DecLat,DecLong,1)</f>
        <v>-64.029449644909207</v>
      </c>
      <c r="AA901" s="257">
        <f>altaz((J2000_Bas+(2*0.04167)),$O901,$M901,DecLat,DecLong,1)</f>
        <v>-77.220673512093072</v>
      </c>
      <c r="AB901" s="257">
        <f>altaz((J2000_Bas+(4*0.04167)),$O901,$M901,DecLat,DecLong,1)</f>
        <v>-62.204790537007291</v>
      </c>
      <c r="AC901" s="257">
        <f>altaz((J2000_Bas+(6*0.04167)),$O901,$M901,DecLat,DecLong,1)</f>
        <v>-40.662646639992445</v>
      </c>
      <c r="AD901" s="258">
        <f>1+ transit((J2000_Bas-1),$O901,$M901,DecLat,DecLong)/360 + (GMTOffset/24) + (IF(DST="Y", 1, 0)/24)</f>
        <v>1.3672286269005414</v>
      </c>
      <c r="AE901" s="259">
        <f>DATE(2001,9,21)+(M901/360)*365 - (360*((DecLong/360)- (GMTOffset/24) ))</f>
        <v>37296.629976851851</v>
      </c>
      <c r="AF901" s="260">
        <f>IF(DecLat&gt;0,IF((90 - (DecLat-O901))&gt;90, (90 - (O901-DecLat)), (90 - (DecLat-O901))),IF((90 + (DecLat-O901))&gt;90, (90 + (O901-DecLat)), (90 + (DecLat-O901))))</f>
        <v>15.263888888888886</v>
      </c>
      <c r="AG901" s="257">
        <f>angularseperation(MoonRA,MoonDec,$M901,$O901)</f>
        <v>87.239512465832988</v>
      </c>
      <c r="AH901" s="261">
        <f ca="1">MIN(100,IF($O$5&gt;80,0+30*($AG901/100),IF($O$5&gt;70,0+50*($AG901/100),IF($O$5&gt;60,5+50*($AG901/100),IF($O$5&gt;50,10+60*($AG901/100),IF($O$5&gt;40,15+70*($AG901/100),IF($O$5&gt;30,20+70*($AG901/100),IF($O$5&gt;20,40+55*($AG901/100),(80+(20-$O$5)+30*($AG901/100))))))))))</f>
        <v>100</v>
      </c>
      <c r="AI901" s="262"/>
      <c r="AJ901" s="262"/>
      <c r="AK901" s="262"/>
      <c r="AL901" s="263"/>
      <c r="AM901" s="264"/>
      <c r="AN901" s="263"/>
      <c r="AO901" s="263"/>
      <c r="AP901" s="265"/>
      <c r="AQ901" s="266"/>
      <c r="AR901" s="267"/>
      <c r="AS901" s="263"/>
      <c r="AT901" s="263"/>
      <c r="AU901" s="263"/>
      <c r="AV901" s="264"/>
      <c r="AW901" s="263"/>
      <c r="AX901" s="263">
        <v>20</v>
      </c>
      <c r="AY901" s="263"/>
      <c r="AZ901" s="263"/>
      <c r="BA901" s="263">
        <v>36</v>
      </c>
      <c r="BB901" s="263"/>
      <c r="BC901" s="263"/>
      <c r="BD901" s="264"/>
      <c r="BE901" s="263"/>
      <c r="BF901" s="263"/>
      <c r="BG901" s="263"/>
      <c r="BH901" s="263"/>
      <c r="BI901" s="263"/>
      <c r="BJ901" s="404">
        <f>altaz(J2000_Bas,$O901,$M901,DecLat,DecLong,2)</f>
        <v>232.53784317925891</v>
      </c>
      <c r="BK901" s="378" t="s">
        <v>988</v>
      </c>
      <c r="BL901" s="379">
        <f>IF((2*G901)/60&lt;0.2,0.2,(2*G901)/60)</f>
        <v>0.2</v>
      </c>
      <c r="BM901" s="380">
        <f>MOD((50000+AD901-$B$3+(0/24)),1)</f>
        <v>0.58259555660333717</v>
      </c>
      <c r="BN901" s="381"/>
      <c r="BO901" s="382">
        <v>895</v>
      </c>
    </row>
    <row r="902" spans="1:67" s="24" customFormat="1" ht="15" customHeight="1" x14ac:dyDescent="0.25">
      <c r="A902" s="288" t="s">
        <v>989</v>
      </c>
      <c r="B902" s="241" t="str">
        <f>HYPERLINK(CONCATENATE($AT$3,BK902,$AU$3),$AV$3)</f>
        <v>S</v>
      </c>
      <c r="C902" s="242" t="str">
        <f>HYPERLINK(CONCATENATE($AT$4,BK902,$AU$4,BL902),$AV$4)</f>
        <v>A</v>
      </c>
      <c r="D902" s="243" t="s">
        <v>5187</v>
      </c>
      <c r="E902" s="244" t="s">
        <v>5183</v>
      </c>
      <c r="F902" s="269" t="s">
        <v>5180</v>
      </c>
      <c r="G902" s="276">
        <v>16</v>
      </c>
      <c r="H902" s="271">
        <v>6500</v>
      </c>
      <c r="I902" s="246">
        <v>30</v>
      </c>
      <c r="J902" s="246">
        <v>2</v>
      </c>
      <c r="K902" s="247" t="s">
        <v>6095</v>
      </c>
      <c r="L902" s="248">
        <v>85459</v>
      </c>
      <c r="M902" s="249">
        <f>15*(LEFT(TEXT($L902,"000000"),2)+(MID(TEXT($L902,"000000"),3,2)/60)+(RIGHT(TEXT($L902,"000000"),2)/3600))</f>
        <v>133.74583333333334</v>
      </c>
      <c r="N902" s="286">
        <v>-473500</v>
      </c>
      <c r="O902" s="251">
        <f>IF($N902&gt;0,(LEFT(TEXT($N902,"000000"),2)+(MID(TEXT($N902,"000000"),3,2)/60)+(RIGHT(TEXT($N902,"000000"),2)/3600)),-(MID(TEXT($N902,"000000"),2,2)+(MID(TEXT($N902,"000000"),4,2)/60)+(RIGHT(TEXT($N902,"000000"),2)/3600)))</f>
        <v>-47.583333333333336</v>
      </c>
      <c r="P902" s="252" t="s">
        <v>980</v>
      </c>
      <c r="Q902" s="253"/>
      <c r="R902" s="277" t="s">
        <v>990</v>
      </c>
      <c r="S902" s="272" t="s">
        <v>3293</v>
      </c>
      <c r="T902" s="273"/>
      <c r="U902" s="274"/>
      <c r="V902" s="256"/>
      <c r="W902" s="244"/>
      <c r="X902" s="244"/>
      <c r="Y902" s="362"/>
      <c r="Z902" s="257">
        <f>altaz(J2000_Bas,$O902,$M902,DecLat,DecLong,1)</f>
        <v>-63.118097208915842</v>
      </c>
      <c r="AA902" s="257">
        <f>altaz((J2000_Bas+(2*0.04167)),$O902,$M902,DecLat,DecLong,1)</f>
        <v>-73.320044386785227</v>
      </c>
      <c r="AB902" s="257">
        <f>altaz((J2000_Bas+(4*0.04167)),$O902,$M902,DecLat,DecLong,1)</f>
        <v>-60.257076027985853</v>
      </c>
      <c r="AC902" s="257">
        <f>altaz((J2000_Bas+(6*0.04167)),$O902,$M902,DecLat,DecLong,1)</f>
        <v>-40.324010577326668</v>
      </c>
      <c r="AD902" s="258">
        <f>1+ transit((J2000_Bas-1),$O902,$M902,DecLat,DecLong)/360 + (GMTOffset/24) + (IF(DST="Y", 1, 0)/24)</f>
        <v>1.3644161271817914</v>
      </c>
      <c r="AE902" s="259">
        <f>DATE(2001,9,21)+(M902/360)*365 - (360*((DecLong/360)- (GMTOffset/24) ))</f>
        <v>37295.603414351855</v>
      </c>
      <c r="AF902" s="260">
        <f>IF(DecLat&gt;0,IF((90 - (DecLat-O902))&gt;90, (90 - (O902-DecLat)), (90 - (DecLat-O902))),IF((90 + (DecLat-O902))&gt;90, (90 + (O902-DecLat)), (90 + (DecLat-O902))))</f>
        <v>11.416666666666657</v>
      </c>
      <c r="AG902" s="257">
        <f>angularseperation(MoonRA,MoonDec,$M902,$O902)</f>
        <v>85.548121842566061</v>
      </c>
      <c r="AH902" s="261">
        <f ca="1">MIN(100,IF($O$5&gt;80,0+30*($AG902/100),IF($O$5&gt;70,0+50*($AG902/100),IF($O$5&gt;60,5+50*($AG902/100),IF($O$5&gt;50,10+60*($AG902/100),IF($O$5&gt;40,15+70*($AG902/100),IF($O$5&gt;30,20+70*($AG902/100),IF($O$5&gt;20,40+55*($AG902/100),(80+(20-$O$5)+30*($AG902/100))))))))))</f>
        <v>100</v>
      </c>
      <c r="AI902" s="263"/>
      <c r="AJ902" s="263"/>
      <c r="AK902" s="263"/>
      <c r="AL902" s="263"/>
      <c r="AM902" s="264"/>
      <c r="AN902" s="263"/>
      <c r="AO902" s="263"/>
      <c r="AP902" s="265"/>
      <c r="AQ902" s="265"/>
      <c r="AR902" s="285"/>
      <c r="AS902" s="263"/>
      <c r="AT902" s="263"/>
      <c r="AU902" s="263"/>
      <c r="AV902" s="264"/>
      <c r="AW902" s="263"/>
      <c r="AX902" s="263">
        <v>21</v>
      </c>
      <c r="AY902" s="263"/>
      <c r="AZ902" s="263"/>
      <c r="BA902" s="263"/>
      <c r="BB902" s="263"/>
      <c r="BC902" s="263"/>
      <c r="BD902" s="264"/>
      <c r="BE902" s="263"/>
      <c r="BF902" s="263"/>
      <c r="BG902" s="263"/>
      <c r="BH902" s="263"/>
      <c r="BI902" s="263"/>
      <c r="BJ902" s="404">
        <f>altaz(J2000_Bas,$O902,$M902,DecLat,DecLong,2)</f>
        <v>223.98279780552349</v>
      </c>
      <c r="BK902" s="378" t="s">
        <v>989</v>
      </c>
      <c r="BL902" s="379">
        <f>IF((2*G902)/60&lt;0.2,0.2,(2*G902)/60)</f>
        <v>0.53333333333333333</v>
      </c>
      <c r="BM902" s="380">
        <f>MOD((50000+AD902-$B$3+(0/24)),1)</f>
        <v>0.57978305688448017</v>
      </c>
      <c r="BN902" s="381"/>
      <c r="BO902" s="382">
        <v>896</v>
      </c>
    </row>
    <row r="903" spans="1:67" s="24" customFormat="1" ht="15" customHeight="1" x14ac:dyDescent="0.25">
      <c r="A903" s="288" t="s">
        <v>991</v>
      </c>
      <c r="B903" s="241" t="str">
        <f>HYPERLINK(CONCATENATE($AT$3,BK903,$AU$3),$AV$3)</f>
        <v>S</v>
      </c>
      <c r="C903" s="242" t="str">
        <f>HYPERLINK(CONCATENATE($AT$4,BK903,$AU$4,BL903),$AV$4)</f>
        <v>A</v>
      </c>
      <c r="D903" s="243" t="s">
        <v>5187</v>
      </c>
      <c r="E903" s="244" t="s">
        <v>5183</v>
      </c>
      <c r="F903" s="269" t="s">
        <v>5180</v>
      </c>
      <c r="G903" s="276">
        <v>10</v>
      </c>
      <c r="H903" s="271" t="s">
        <v>6500</v>
      </c>
      <c r="I903" s="244" t="s">
        <v>6500</v>
      </c>
      <c r="J903" s="246">
        <v>2</v>
      </c>
      <c r="K903" s="247" t="s">
        <v>6096</v>
      </c>
      <c r="L903" s="248">
        <v>85906</v>
      </c>
      <c r="M903" s="249">
        <f>15*(LEFT(TEXT($L903,"000000"),2)+(MID(TEXT($L903,"000000"),3,2)/60)+(RIGHT(TEXT($L903,"000000"),2)/3600))</f>
        <v>134.77499999999998</v>
      </c>
      <c r="N903" s="250">
        <v>-473000</v>
      </c>
      <c r="O903" s="251">
        <f>IF($N903&gt;0,(LEFT(TEXT($N903,"000000"),2)+(MID(TEXT($N903,"000000"),3,2)/60)+(RIGHT(TEXT($N903,"000000"),2)/3600)),-(MID(TEXT($N903,"000000"),2,2)+(MID(TEXT($N903,"000000"),4,2)/60)+(RIGHT(TEXT($N903,"000000"),2)/3600)))</f>
        <v>-47.5</v>
      </c>
      <c r="P903" s="252" t="s">
        <v>980</v>
      </c>
      <c r="Q903" s="253"/>
      <c r="R903" s="247" t="s">
        <v>4485</v>
      </c>
      <c r="S903" s="272" t="s">
        <v>992</v>
      </c>
      <c r="T903" s="273"/>
      <c r="U903" s="274"/>
      <c r="V903" s="256"/>
      <c r="W903" s="244"/>
      <c r="X903" s="244"/>
      <c r="Y903" s="362"/>
      <c r="Z903" s="257">
        <f>altaz(J2000_Bas,$O903,$M903,DecLat,DecLong,1)</f>
        <v>-62.538903855236761</v>
      </c>
      <c r="AA903" s="257">
        <f>altaz((J2000_Bas+(2*0.04167)),$O903,$M903,DecLat,DecLong,1)</f>
        <v>-73.469392711124257</v>
      </c>
      <c r="AB903" s="257">
        <f>altaz((J2000_Bas+(4*0.04167)),$O903,$M903,DecLat,DecLong,1)</f>
        <v>-60.930289621784624</v>
      </c>
      <c r="AC903" s="257">
        <f>altaz((J2000_Bas+(6*0.04167)),$O903,$M903,DecLat,DecLong,1)</f>
        <v>-41.011617935017696</v>
      </c>
      <c r="AD903" s="258">
        <f>1+ transit((J2000_Bas-1),$O903,$M903,DecLat,DecLong)/360 + (GMTOffset/24) + (IF(DST="Y", 1, 0)/24)</f>
        <v>1.3672749231922079</v>
      </c>
      <c r="AE903" s="259">
        <f>DATE(2001,9,21)+(M903/360)*365 - (360*((DecLong/360)- (GMTOffset/24) ))</f>
        <v>37296.646874999999</v>
      </c>
      <c r="AF903" s="260">
        <f>IF(DecLat&gt;0,IF((90 - (DecLat-O903))&gt;90, (90 - (O903-DecLat)), (90 - (DecLat-O903))),IF((90 + (DecLat-O903))&gt;90, (90 + (O903-DecLat)), (90 + (DecLat-O903))))</f>
        <v>11.5</v>
      </c>
      <c r="AG903" s="257">
        <f>angularseperation(MoonRA,MoonDec,$M903,$O903)</f>
        <v>85.034435890099104</v>
      </c>
      <c r="AH903" s="261">
        <f ca="1">MIN(100,IF($O$5&gt;80,0+30*($AG903/100),IF($O$5&gt;70,0+50*($AG903/100),IF($O$5&gt;60,5+50*($AG903/100),IF($O$5&gt;50,10+60*($AG903/100),IF($O$5&gt;40,15+70*($AG903/100),IF($O$5&gt;30,20+70*($AG903/100),IF($O$5&gt;20,40+55*($AG903/100),(80+(20-$O$5)+30*($AG903/100))))))))))</f>
        <v>100</v>
      </c>
      <c r="AI903" s="262"/>
      <c r="AJ903" s="262"/>
      <c r="AK903" s="262"/>
      <c r="AL903" s="263"/>
      <c r="AM903" s="264"/>
      <c r="AN903" s="263"/>
      <c r="AO903" s="263"/>
      <c r="AP903" s="265"/>
      <c r="AQ903" s="266"/>
      <c r="AR903" s="267"/>
      <c r="AS903" s="263"/>
      <c r="AT903" s="263"/>
      <c r="AU903" s="263"/>
      <c r="AV903" s="264"/>
      <c r="AW903" s="263"/>
      <c r="AX903" s="263">
        <v>22</v>
      </c>
      <c r="AY903" s="263"/>
      <c r="AZ903" s="263"/>
      <c r="BA903" s="263">
        <v>38</v>
      </c>
      <c r="BB903" s="263"/>
      <c r="BC903" s="263"/>
      <c r="BD903" s="264"/>
      <c r="BE903" s="263"/>
      <c r="BF903" s="263"/>
      <c r="BG903" s="263"/>
      <c r="BH903" s="263"/>
      <c r="BI903" s="263"/>
      <c r="BJ903" s="404">
        <f>altaz(J2000_Bas,$O903,$M903,DecLat,DecLong,2)</f>
        <v>224.84259273292645</v>
      </c>
      <c r="BK903" s="378" t="s">
        <v>991</v>
      </c>
      <c r="BL903" s="379">
        <f>IF((2*G903)/60&lt;0.2,0.2,(2*G903)/60)</f>
        <v>0.33333333333333331</v>
      </c>
      <c r="BM903" s="380">
        <f>MOD((50000+AD903-$B$3+(0/24)),1)</f>
        <v>0.58264185289590387</v>
      </c>
      <c r="BN903" s="381"/>
      <c r="BO903" s="382">
        <v>897</v>
      </c>
    </row>
    <row r="904" spans="1:67" s="24" customFormat="1" ht="15" customHeight="1" x14ac:dyDescent="0.25">
      <c r="A904" s="288" t="s">
        <v>992</v>
      </c>
      <c r="B904" s="241" t="str">
        <f>HYPERLINK(CONCATENATE($AT$3,BK904,$AU$3),$AV$3)</f>
        <v>S</v>
      </c>
      <c r="C904" s="242" t="str">
        <f>HYPERLINK(CONCATENATE($AT$4,BK904,$AU$4,BL904),$AV$4)</f>
        <v>A</v>
      </c>
      <c r="D904" s="243" t="s">
        <v>5187</v>
      </c>
      <c r="E904" s="244" t="s">
        <v>5183</v>
      </c>
      <c r="F904" s="269" t="s">
        <v>5180</v>
      </c>
      <c r="G904" s="276">
        <v>60</v>
      </c>
      <c r="H904" s="271">
        <v>5500</v>
      </c>
      <c r="I904" s="246">
        <v>95</v>
      </c>
      <c r="J904" s="246">
        <v>2</v>
      </c>
      <c r="K904" s="247" t="s">
        <v>9360</v>
      </c>
      <c r="L904" s="248">
        <v>85942</v>
      </c>
      <c r="M904" s="249">
        <f>15*(LEFT(TEXT($L904,"000000"),2)+(MID(TEXT($L904,"000000"),3,2)/60)+(RIGHT(TEXT($L904,"000000"),2)/3600))</f>
        <v>134.92499999999998</v>
      </c>
      <c r="N904" s="286">
        <v>-472700</v>
      </c>
      <c r="O904" s="251">
        <f>IF($N904&gt;0,(LEFT(TEXT($N904,"000000"),2)+(MID(TEXT($N904,"000000"),3,2)/60)+(RIGHT(TEXT($N904,"000000"),2)/3600)),-(MID(TEXT($N904,"000000"),2,2)+(MID(TEXT($N904,"000000"),4,2)/60)+(RIGHT(TEXT($N904,"000000"),2)/3600)))</f>
        <v>-47.45</v>
      </c>
      <c r="P904" s="252" t="s">
        <v>980</v>
      </c>
      <c r="Q904" s="253"/>
      <c r="R904" s="247" t="s">
        <v>4485</v>
      </c>
      <c r="S904" s="272" t="s">
        <v>991</v>
      </c>
      <c r="T904" s="273"/>
      <c r="U904" s="274"/>
      <c r="V904" s="256"/>
      <c r="W904" s="244"/>
      <c r="X904" s="244"/>
      <c r="Y904" s="362"/>
      <c r="Z904" s="257">
        <f>altaz(J2000_Bas,$O904,$M904,DecLat,DecLong,1)</f>
        <v>-62.470306861647884</v>
      </c>
      <c r="AA904" s="257">
        <f>altaz((J2000_Bas+(2*0.04167)),$O904,$M904,DecLat,DecLong,1)</f>
        <v>-73.525891789499227</v>
      </c>
      <c r="AB904" s="257">
        <f>altaz((J2000_Bas+(4*0.04167)),$O904,$M904,DecLat,DecLong,1)</f>
        <v>-61.04318108003028</v>
      </c>
      <c r="AC904" s="257">
        <f>altaz((J2000_Bas+(6*0.04167)),$O904,$M904,DecLat,DecLong,1)</f>
        <v>-41.109781677983868</v>
      </c>
      <c r="AD904" s="258">
        <f>1+ transit((J2000_Bas-1),$O904,$M904,DecLat,DecLong)/360 + (GMTOffset/24) + (IF(DST="Y", 1, 0)/24)</f>
        <v>1.367691589817208</v>
      </c>
      <c r="AE904" s="259">
        <f>DATE(2001,9,21)+(M904/360)*365 - (360*((DecLong/360)- (GMTOffset/24) ))</f>
        <v>37296.798958333333</v>
      </c>
      <c r="AF904" s="260">
        <f>IF(DecLat&gt;0,IF((90 - (DecLat-O904))&gt;90, (90 - (O904-DecLat)), (90 - (DecLat-O904))),IF((90 + (DecLat-O904))&gt;90, (90 + (O904-DecLat)), (90 + (DecLat-O904))))</f>
        <v>11.549999999999997</v>
      </c>
      <c r="AG904" s="257">
        <f>angularseperation(MoonRA,MoonDec,$M904,$O904)</f>
        <v>84.980957667194204</v>
      </c>
      <c r="AH904" s="261">
        <f ca="1">MIN(100,IF($O$5&gt;80,0+30*($AG904/100),IF($O$5&gt;70,0+50*($AG904/100),IF($O$5&gt;60,5+50*($AG904/100),IF($O$5&gt;50,10+60*($AG904/100),IF($O$5&gt;40,15+70*($AG904/100),IF($O$5&gt;30,20+70*($AG904/100),IF($O$5&gt;20,40+55*($AG904/100),(80+(20-$O$5)+30*($AG904/100))))))))))</f>
        <v>100</v>
      </c>
      <c r="AI904" s="262"/>
      <c r="AJ904" s="262"/>
      <c r="AK904" s="262"/>
      <c r="AL904" s="263"/>
      <c r="AM904" s="264"/>
      <c r="AN904" s="263"/>
      <c r="AO904" s="263"/>
      <c r="AP904" s="265"/>
      <c r="AQ904" s="266"/>
      <c r="AR904" s="267"/>
      <c r="AS904" s="263"/>
      <c r="AT904" s="263"/>
      <c r="AU904" s="263"/>
      <c r="AV904" s="264"/>
      <c r="AW904" s="263"/>
      <c r="AX904" s="263">
        <v>23</v>
      </c>
      <c r="AY904" s="263"/>
      <c r="AZ904" s="263"/>
      <c r="BA904" s="263">
        <v>38</v>
      </c>
      <c r="BB904" s="263"/>
      <c r="BC904" s="263"/>
      <c r="BD904" s="264"/>
      <c r="BE904" s="263"/>
      <c r="BF904" s="263"/>
      <c r="BG904" s="263"/>
      <c r="BH904" s="263"/>
      <c r="BI904" s="263">
        <v>63</v>
      </c>
      <c r="BJ904" s="404">
        <f>altaz(J2000_Bas,$O904,$M904,DecLat,DecLong,2)</f>
        <v>225.03721786035314</v>
      </c>
      <c r="BK904" s="378" t="s">
        <v>992</v>
      </c>
      <c r="BL904" s="379">
        <f>IF((2*G904)/60&lt;0.2,0.2,(2*G904)/60)</f>
        <v>2</v>
      </c>
      <c r="BM904" s="380">
        <f>MOD((50000+AD904-$B$3+(0/24)),1)</f>
        <v>0.58305851952172816</v>
      </c>
      <c r="BN904" s="381"/>
      <c r="BO904" s="382">
        <v>898</v>
      </c>
    </row>
    <row r="905" spans="1:67" s="24" customFormat="1" ht="15" customHeight="1" x14ac:dyDescent="0.25">
      <c r="A905" s="288" t="s">
        <v>993</v>
      </c>
      <c r="B905" s="241" t="str">
        <f>HYPERLINK(CONCATENATE($AT$3,BK905,$AU$3),$AV$3)</f>
        <v>S</v>
      </c>
      <c r="C905" s="242" t="str">
        <f>HYPERLINK(CONCATENATE($AT$4,BK905,$AU$4,BL905),$AV$4)</f>
        <v>A</v>
      </c>
      <c r="D905" s="243" t="s">
        <v>5187</v>
      </c>
      <c r="E905" s="244" t="s">
        <v>5183</v>
      </c>
      <c r="F905" s="269" t="s">
        <v>5180</v>
      </c>
      <c r="G905" s="276">
        <v>40</v>
      </c>
      <c r="H905" s="271">
        <v>10000</v>
      </c>
      <c r="I905" s="246">
        <v>120</v>
      </c>
      <c r="J905" s="246">
        <v>2</v>
      </c>
      <c r="K905" s="247" t="s">
        <v>6097</v>
      </c>
      <c r="L905" s="248">
        <v>90242</v>
      </c>
      <c r="M905" s="249">
        <f>15*(LEFT(TEXT($L905,"000000"),2)+(MID(TEXT($L905,"000000"),3,2)/60)+(RIGHT(TEXT($L905,"000000"),2)/3600))</f>
        <v>135.67500000000001</v>
      </c>
      <c r="N905" s="250">
        <v>-482000</v>
      </c>
      <c r="O905" s="251">
        <f>IF($N905&gt;0,(LEFT(TEXT($N905,"000000"),2)+(MID(TEXT($N905,"000000"),3,2)/60)+(RIGHT(TEXT($N905,"000000"),2)/3600)),-(MID(TEXT($N905,"000000"),2,2)+(MID(TEXT($N905,"000000"),4,2)/60)+(RIGHT(TEXT($N905,"000000"),2)/3600)))</f>
        <v>-48.333333333333336</v>
      </c>
      <c r="P905" s="252" t="s">
        <v>980</v>
      </c>
      <c r="Q905" s="253"/>
      <c r="R905" s="277" t="s">
        <v>4485</v>
      </c>
      <c r="S905" s="272" t="s">
        <v>3293</v>
      </c>
      <c r="T905" s="273"/>
      <c r="U905" s="274"/>
      <c r="V905" s="256"/>
      <c r="W905" s="244"/>
      <c r="X905" s="244"/>
      <c r="Y905" s="362"/>
      <c r="Z905" s="257">
        <f>altaz(J2000_Bas,$O905,$M905,DecLat,DecLong,1)</f>
        <v>-61.626025436115803</v>
      </c>
      <c r="AA905" s="257">
        <f>altaz((J2000_Bas+(2*0.04167)),$O905,$M905,DecLat,DecLong,1)</f>
        <v>-72.663831328920367</v>
      </c>
      <c r="AB905" s="257">
        <f>altaz((J2000_Bas+(4*0.04167)),$O905,$M905,DecLat,DecLong,1)</f>
        <v>-61.134432091393158</v>
      </c>
      <c r="AC905" s="257">
        <f>altaz((J2000_Bas+(6*0.04167)),$O905,$M905,DecLat,DecLong,1)</f>
        <v>-41.655169532228079</v>
      </c>
      <c r="AD905" s="258">
        <f>1+ transit((J2000_Bas-1),$O905,$M905,DecLat,DecLong)/360 + (GMTOffset/24) + (IF(DST="Y", 1, 0)/24)</f>
        <v>1.369774922942208</v>
      </c>
      <c r="AE905" s="259">
        <f>DATE(2001,9,21)+(M905/360)*365 - (360*((DecLong/360)- (GMTOffset/24) ))</f>
        <v>37297.559374999997</v>
      </c>
      <c r="AF905" s="260">
        <f>IF(DecLat&gt;0,IF((90 - (DecLat-O905))&gt;90, (90 - (O905-DecLat)), (90 - (DecLat-O905))),IF((90 + (DecLat-O905))&gt;90, (90 + (O905-DecLat)), (90 + (DecLat-O905))))</f>
        <v>10.666666666666657</v>
      </c>
      <c r="AG905" s="257">
        <f>angularseperation(MoonRA,MoonDec,$M905,$O905)</f>
        <v>84.061093467628339</v>
      </c>
      <c r="AH905" s="261">
        <f ca="1">MIN(100,IF($O$5&gt;80,0+30*($AG905/100),IF($O$5&gt;70,0+50*($AG905/100),IF($O$5&gt;60,5+50*($AG905/100),IF($O$5&gt;50,10+60*($AG905/100),IF($O$5&gt;40,15+70*($AG905/100),IF($O$5&gt;30,20+70*($AG905/100),IF($O$5&gt;20,40+55*($AG905/100),(80+(20-$O$5)+30*($AG905/100))))))))))</f>
        <v>100</v>
      </c>
      <c r="AI905" s="263"/>
      <c r="AJ905" s="263"/>
      <c r="AK905" s="263"/>
      <c r="AL905" s="263"/>
      <c r="AM905" s="264"/>
      <c r="AN905" s="263"/>
      <c r="AO905" s="263"/>
      <c r="AP905" s="265"/>
      <c r="AQ905" s="265"/>
      <c r="AR905" s="285"/>
      <c r="AS905" s="263"/>
      <c r="AT905" s="263"/>
      <c r="AU905" s="263"/>
      <c r="AV905" s="264"/>
      <c r="AW905" s="263"/>
      <c r="AX905" s="263">
        <v>24</v>
      </c>
      <c r="AY905" s="263"/>
      <c r="AZ905" s="263"/>
      <c r="BA905" s="263">
        <v>38</v>
      </c>
      <c r="BB905" s="263"/>
      <c r="BC905" s="263"/>
      <c r="BD905" s="264"/>
      <c r="BE905" s="263"/>
      <c r="BF905" s="263"/>
      <c r="BG905" s="263"/>
      <c r="BH905" s="263"/>
      <c r="BI905" s="263"/>
      <c r="BJ905" s="404">
        <f>altaz(J2000_Bas,$O905,$M905,DecLat,DecLong,2)</f>
        <v>223.82956290313808</v>
      </c>
      <c r="BK905" s="378" t="s">
        <v>993</v>
      </c>
      <c r="BL905" s="379">
        <f>IF((2*G905)/60&lt;0.2,0.2,(2*G905)/60)</f>
        <v>1.3333333333333333</v>
      </c>
      <c r="BM905" s="380">
        <f>MOD((50000+AD905-$B$3+(0/24)),1)</f>
        <v>0.58514185264357366</v>
      </c>
      <c r="BN905" s="381"/>
      <c r="BO905" s="382">
        <v>899</v>
      </c>
    </row>
    <row r="906" spans="1:67" s="24" customFormat="1" ht="15" customHeight="1" x14ac:dyDescent="0.25">
      <c r="A906" s="288" t="s">
        <v>994</v>
      </c>
      <c r="B906" s="241" t="str">
        <f>HYPERLINK(CONCATENATE($AT$3,BK906,$AU$3),$AV$3)</f>
        <v>S</v>
      </c>
      <c r="C906" s="242" t="str">
        <f>HYPERLINK(CONCATENATE($AT$4,BK906,$AU$4,BL906),$AV$4)</f>
        <v>A</v>
      </c>
      <c r="D906" s="243" t="s">
        <v>5187</v>
      </c>
      <c r="E906" s="244" t="s">
        <v>5183</v>
      </c>
      <c r="F906" s="269" t="s">
        <v>5180</v>
      </c>
      <c r="G906" s="276">
        <v>10</v>
      </c>
      <c r="H906" s="271">
        <v>6000</v>
      </c>
      <c r="I906" s="246">
        <v>18</v>
      </c>
      <c r="J906" s="246">
        <v>3</v>
      </c>
      <c r="K906" s="247" t="s">
        <v>6098</v>
      </c>
      <c r="L906" s="248">
        <v>90218</v>
      </c>
      <c r="M906" s="249">
        <f>15*(LEFT(TEXT($L906,"000000"),2)+(MID(TEXT($L906,"000000"),3,2)/60)+(RIGHT(TEXT($L906,"000000"),2)/3600))</f>
        <v>135.57500000000002</v>
      </c>
      <c r="N906" s="286">
        <v>-484100</v>
      </c>
      <c r="O906" s="251">
        <f>IF($N906&gt;0,(LEFT(TEXT($N906,"000000"),2)+(MID(TEXT($N906,"000000"),3,2)/60)+(RIGHT(TEXT($N906,"000000"),2)/3600)),-(MID(TEXT($N906,"000000"),2,2)+(MID(TEXT($N906,"000000"),4,2)/60)+(RIGHT(TEXT($N906,"000000"),2)/3600)))</f>
        <v>-48.68333333333333</v>
      </c>
      <c r="P906" s="252" t="s">
        <v>980</v>
      </c>
      <c r="Q906" s="253"/>
      <c r="R906" s="277" t="s">
        <v>4486</v>
      </c>
      <c r="S906" s="272" t="s">
        <v>3293</v>
      </c>
      <c r="T906" s="273"/>
      <c r="U906" s="274"/>
      <c r="V906" s="256"/>
      <c r="W906" s="244"/>
      <c r="X906" s="244"/>
      <c r="Y906" s="362"/>
      <c r="Z906" s="257">
        <f>altaz(J2000_Bas,$O906,$M906,DecLat,DecLong,1)</f>
        <v>-61.525488088603971</v>
      </c>
      <c r="AA906" s="257">
        <f>altaz((J2000_Bas+(2*0.04167)),$O906,$M906,DecLat,DecLong,1)</f>
        <v>-72.312402314492616</v>
      </c>
      <c r="AB906" s="257">
        <f>altaz((J2000_Bas+(4*0.04167)),$O906,$M906,DecLat,DecLong,1)</f>
        <v>-60.921852295518924</v>
      </c>
      <c r="AC906" s="257">
        <f>altaz((J2000_Bas+(6*0.04167)),$O906,$M906,DecLat,DecLong,1)</f>
        <v>-41.601290130532838</v>
      </c>
      <c r="AD906" s="258">
        <f>1+ transit((J2000_Bas-1),$O906,$M906,DecLat,DecLong)/360 + (GMTOffset/24) + (IF(DST="Y", 1, 0)/24)</f>
        <v>1.3694971451922082</v>
      </c>
      <c r="AE906" s="259">
        <f>DATE(2001,9,21)+(M906/360)*365 - (360*((DecLong/360)- (GMTOffset/24) ))</f>
        <v>37297.457986111112</v>
      </c>
      <c r="AF906" s="260">
        <f>IF(DecLat&gt;0,IF((90 - (DecLat-O906))&gt;90, (90 - (O906-DecLat)), (90 - (DecLat-O906))),IF((90 + (DecLat-O906))&gt;90, (90 + (O906-DecLat)), (90 + (DecLat-O906))))</f>
        <v>10.316666666666663</v>
      </c>
      <c r="AG906" s="257">
        <f>angularseperation(MoonRA,MoonDec,$M906,$O906)</f>
        <v>83.915250987075609</v>
      </c>
      <c r="AH906" s="261">
        <f ca="1">MIN(100,IF($O$5&gt;80,0+30*($AG906/100),IF($O$5&gt;70,0+50*($AG906/100),IF($O$5&gt;60,5+50*($AG906/100),IF($O$5&gt;50,10+60*($AG906/100),IF($O$5&gt;40,15+70*($AG906/100),IF($O$5&gt;30,20+70*($AG906/100),IF($O$5&gt;20,40+55*($AG906/100),(80+(20-$O$5)+30*($AG906/100))))))))))</f>
        <v>100</v>
      </c>
      <c r="AI906" s="263"/>
      <c r="AJ906" s="263"/>
      <c r="AK906" s="263"/>
      <c r="AL906" s="263"/>
      <c r="AM906" s="264"/>
      <c r="AN906" s="263"/>
      <c r="AO906" s="263"/>
      <c r="AP906" s="265"/>
      <c r="AQ906" s="265"/>
      <c r="AR906" s="285"/>
      <c r="AS906" s="263"/>
      <c r="AT906" s="263"/>
      <c r="AU906" s="263"/>
      <c r="AV906" s="264"/>
      <c r="AW906" s="263"/>
      <c r="AX906" s="263">
        <v>25</v>
      </c>
      <c r="AY906" s="263"/>
      <c r="AZ906" s="263"/>
      <c r="BA906" s="263">
        <v>40</v>
      </c>
      <c r="BB906" s="263"/>
      <c r="BC906" s="263"/>
      <c r="BD906" s="264"/>
      <c r="BE906" s="263"/>
      <c r="BF906" s="263"/>
      <c r="BG906" s="263"/>
      <c r="BH906" s="263"/>
      <c r="BI906" s="263"/>
      <c r="BJ906" s="404">
        <f>altaz(J2000_Bas,$O906,$M906,DecLat,DecLong,2)</f>
        <v>223.1116264649873</v>
      </c>
      <c r="BK906" s="378" t="s">
        <v>994</v>
      </c>
      <c r="BL906" s="379">
        <f>IF((2*G906)/60&lt;0.2,0.2,(2*G906)/60)</f>
        <v>0.33333333333333331</v>
      </c>
      <c r="BM906" s="380">
        <f>MOD((50000+AD906-$B$3+(0/24)),1)</f>
        <v>0.58486407489544945</v>
      </c>
      <c r="BN906" s="381"/>
      <c r="BO906" s="382">
        <v>900</v>
      </c>
    </row>
    <row r="907" spans="1:67" s="24" customFormat="1" ht="15" customHeight="1" x14ac:dyDescent="0.25">
      <c r="A907" s="297" t="s">
        <v>995</v>
      </c>
      <c r="B907" s="241" t="str">
        <f>HYPERLINK(CONCATENATE($AT$3,BK907,$AU$3),$AV$3)</f>
        <v>S</v>
      </c>
      <c r="C907" s="242" t="str">
        <f>HYPERLINK(CONCATENATE($AT$4,BK907,$AU$4,BL907),$AV$4)</f>
        <v>A</v>
      </c>
      <c r="D907" s="243" t="s">
        <v>5187</v>
      </c>
      <c r="E907" s="244" t="s">
        <v>5183</v>
      </c>
      <c r="F907" s="269" t="s">
        <v>5180</v>
      </c>
      <c r="G907" s="311">
        <v>7</v>
      </c>
      <c r="H907" s="271">
        <v>21000</v>
      </c>
      <c r="I907" s="246">
        <v>45</v>
      </c>
      <c r="J907" s="246">
        <v>3</v>
      </c>
      <c r="K907" s="247" t="s">
        <v>6099</v>
      </c>
      <c r="L907" s="312">
        <v>92400</v>
      </c>
      <c r="M907" s="249">
        <f>15*(LEFT(TEXT($L907,"000000"),2)+(MID(TEXT($L907,"000000"),3,2)/60)+(RIGHT(TEXT($L907,"000000"),2)/3600))</f>
        <v>141</v>
      </c>
      <c r="N907" s="313">
        <v>-515800</v>
      </c>
      <c r="O907" s="251">
        <f>IF($N907&gt;0,(LEFT(TEXT($N907,"000000"),2)+(MID(TEXT($N907,"000000"),3,2)/60)+(RIGHT(TEXT($N907,"000000"),2)/3600)),-(MID(TEXT($N907,"000000"),2,2)+(MID(TEXT($N907,"000000"),4,2)/60)+(RIGHT(TEXT($N907,"000000"),2)/3600)))</f>
        <v>-51.966666666666669</v>
      </c>
      <c r="P907" s="314" t="s">
        <v>980</v>
      </c>
      <c r="Q907" s="315"/>
      <c r="R907" s="277" t="s">
        <v>4487</v>
      </c>
      <c r="S907" s="272" t="s">
        <v>3293</v>
      </c>
      <c r="T907" s="311"/>
      <c r="U907" s="316"/>
      <c r="V907" s="317"/>
      <c r="W907" s="318"/>
      <c r="X907" s="318"/>
      <c r="Y907" s="363"/>
      <c r="Z907" s="257">
        <f>altaz(J2000_Bas,$O907,$M907,DecLat,DecLong,1)</f>
        <v>-56.960367309918269</v>
      </c>
      <c r="AA907" s="257">
        <f>altaz((J2000_Bas+(2*0.04167)),$O907,$M907,DecLat,DecLong,1)</f>
        <v>-68.72482527649008</v>
      </c>
      <c r="AB907" s="257">
        <f>altaz((J2000_Bas+(4*0.04167)),$O907,$M907,DecLat,DecLong,1)</f>
        <v>-62.084276497129927</v>
      </c>
      <c r="AC907" s="257">
        <f>altaz((J2000_Bas+(6*0.04167)),$O907,$M907,DecLat,DecLong,1)</f>
        <v>-44.962919611603994</v>
      </c>
      <c r="AD907" s="258">
        <f>1+ transit((J2000_Bas-1),$O907,$M907,DecLat,DecLong)/360 + (GMTOffset/24) + (IF(DST="Y", 1, 0)/24)</f>
        <v>1.384566588129708</v>
      </c>
      <c r="AE907" s="259">
        <f>DATE(2001,9,21)+(M907/360)*365 - (360*((DecLong/360)- (GMTOffset/24) ))</f>
        <v>37302.958333333336</v>
      </c>
      <c r="AF907" s="260">
        <f>IF(DecLat&gt;0,IF((90 - (DecLat-O907))&gt;90, (90 - (O907-DecLat)), (90 - (DecLat-O907))),IF((90 + (DecLat-O907))&gt;90, (90 + (O907-DecLat)), (90 + (DecLat-O907))))</f>
        <v>7.0333333333333314</v>
      </c>
      <c r="AG907" s="257">
        <f>angularseperation(MoonRA,MoonDec,$M907,$O907)</f>
        <v>79.227948294719383</v>
      </c>
      <c r="AH907" s="261">
        <f ca="1">MIN(100,IF($O$5&gt;80,0+30*($AG907/100),IF($O$5&gt;70,0+50*($AG907/100),IF($O$5&gt;60,5+50*($AG907/100),IF($O$5&gt;50,10+60*($AG907/100),IF($O$5&gt;40,15+70*($AG907/100),IF($O$5&gt;30,20+70*($AG907/100),IF($O$5&gt;20,40+55*($AG907/100),(80+(20-$O$5)+30*($AG907/100))))))))))</f>
        <v>100</v>
      </c>
      <c r="AI907" s="319"/>
      <c r="AJ907" s="319"/>
      <c r="AK907" s="319"/>
      <c r="AL907" s="319"/>
      <c r="AM907" s="320"/>
      <c r="AN907" s="319"/>
      <c r="AO907" s="319"/>
      <c r="AP907" s="265"/>
      <c r="AQ907" s="265"/>
      <c r="AR907" s="285"/>
      <c r="AS907" s="319"/>
      <c r="AT907" s="319"/>
      <c r="AU907" s="319"/>
      <c r="AV907" s="320"/>
      <c r="AW907" s="319"/>
      <c r="AX907" s="319">
        <v>26</v>
      </c>
      <c r="AY907" s="319"/>
      <c r="AZ907" s="319"/>
      <c r="BA907" s="319">
        <v>42</v>
      </c>
      <c r="BB907" s="319"/>
      <c r="BC907" s="319"/>
      <c r="BD907" s="320"/>
      <c r="BE907" s="319"/>
      <c r="BF907" s="319"/>
      <c r="BG907" s="319"/>
      <c r="BH907" s="319"/>
      <c r="BI907" s="319"/>
      <c r="BJ907" s="404">
        <f>altaz(J2000_Bas,$O907,$M907,DecLat,DecLong,2)</f>
        <v>220.40018831543443</v>
      </c>
      <c r="BK907" s="378" t="s">
        <v>995</v>
      </c>
      <c r="BL907" s="379">
        <f>IF((2*G907)/60&lt;0.2,0.2,(2*G907)/60)</f>
        <v>0.23333333333333334</v>
      </c>
      <c r="BM907" s="380">
        <f>MOD((50000+AD907-$B$3+(0/24)),1)</f>
        <v>0.59993351783487014</v>
      </c>
      <c r="BN907" s="381"/>
      <c r="BO907" s="382">
        <v>901</v>
      </c>
    </row>
    <row r="908" spans="1:67" s="24" customFormat="1" ht="15" customHeight="1" x14ac:dyDescent="0.25">
      <c r="A908" s="297" t="s">
        <v>996</v>
      </c>
      <c r="B908" s="241" t="str">
        <f>HYPERLINK(CONCATENATE($AT$3,BK908,$AU$3),$AV$3)</f>
        <v>S</v>
      </c>
      <c r="C908" s="242" t="str">
        <f>HYPERLINK(CONCATENATE($AT$4,BK908,$AU$4,BL908),$AV$4)</f>
        <v>A</v>
      </c>
      <c r="D908" s="243" t="s">
        <v>5187</v>
      </c>
      <c r="E908" s="244" t="s">
        <v>5181</v>
      </c>
      <c r="F908" s="269" t="s">
        <v>6186</v>
      </c>
      <c r="G908" s="273">
        <v>2</v>
      </c>
      <c r="H908" s="271">
        <v>6500</v>
      </c>
      <c r="I908" s="245">
        <v>4</v>
      </c>
      <c r="J908" s="246">
        <v>4</v>
      </c>
      <c r="K908" s="247" t="s">
        <v>5437</v>
      </c>
      <c r="L908" s="248">
        <v>92703</v>
      </c>
      <c r="M908" s="249">
        <f>15*(LEFT(TEXT($L908,"000000"),2)+(MID(TEXT($L908,"000000"),3,2)/60)+(RIGHT(TEXT($L908,"000000"),2)/3600))</f>
        <v>141.76249999999999</v>
      </c>
      <c r="N908" s="286">
        <v>-560621</v>
      </c>
      <c r="O908" s="251">
        <f>IF($N908&gt;0,(LEFT(TEXT($N908,"000000"),2)+(MID(TEXT($N908,"000000"),3,2)/60)+(RIGHT(TEXT($N908,"000000"),2)/3600)),-(MID(TEXT($N908,"000000"),2,2)+(MID(TEXT($N908,"000000"),4,2)/60)+(RIGHT(TEXT($N908,"000000"),2)/3600)))</f>
        <v>-56.105833333333337</v>
      </c>
      <c r="P908" s="252" t="s">
        <v>980</v>
      </c>
      <c r="Q908" s="253" t="s">
        <v>5436</v>
      </c>
      <c r="R908" s="277" t="s">
        <v>3529</v>
      </c>
      <c r="S908" s="272" t="s">
        <v>3293</v>
      </c>
      <c r="T908" s="273">
        <v>11.8</v>
      </c>
      <c r="U908" s="274"/>
      <c r="V908" s="256"/>
      <c r="W908" s="244"/>
      <c r="X908" s="244"/>
      <c r="Y908" s="362"/>
      <c r="Z908" s="257">
        <f>altaz(J2000_Bas,$O908,$M908,DecLat,DecLong,1)</f>
        <v>-54.627748822986369</v>
      </c>
      <c r="AA908" s="257">
        <f>altaz((J2000_Bas+(2*0.04167)),$O908,$M908,DecLat,DecLong,1)</f>
        <v>-64.579601440590636</v>
      </c>
      <c r="AB908" s="257">
        <f>altaz((J2000_Bas+(4*0.04167)),$O908,$M908,DecLat,DecLong,1)</f>
        <v>-59.632421836652149</v>
      </c>
      <c r="AC908" s="257">
        <f>altaz((J2000_Bas+(6*0.04167)),$O908,$M908,DecLat,DecLong,1)</f>
        <v>-44.840893834659177</v>
      </c>
      <c r="AD908" s="258">
        <f>1+ transit((J2000_Bas-1),$O908,$M908,DecLat,DecLong)/360 + (GMTOffset/24) + (IF(DST="Y", 1, 0)/24)</f>
        <v>1.3866846434734581</v>
      </c>
      <c r="AE908" s="259">
        <f>DATE(2001,9,21)+(M908/360)*365 - (360*((DecLong/360)- (GMTOffset/24) ))</f>
        <v>37303.731423611112</v>
      </c>
      <c r="AF908" s="260">
        <f>IF(DecLat&gt;0,IF((90 - (DecLat-O908))&gt;90, (90 - (O908-DecLat)), (90 - (DecLat-O908))),IF((90 + (DecLat-O908))&gt;90, (90 + (O908-DecLat)), (90 + (DecLat-O908))))</f>
        <v>2.8941666666666634</v>
      </c>
      <c r="AG908" s="257">
        <f>angularseperation(MoonRA,MoonDec,$M908,$O908)</f>
        <v>76.773792940104471</v>
      </c>
      <c r="AH908" s="261">
        <f ca="1">MIN(100,IF($O$5&gt;80,0+30*($AG908/100),IF($O$5&gt;70,0+50*($AG908/100),IF($O$5&gt;60,5+50*($AG908/100),IF($O$5&gt;50,10+60*($AG908/100),IF($O$5&gt;40,15+70*($AG908/100),IF($O$5&gt;30,20+70*($AG908/100),IF($O$5&gt;20,40+55*($AG908/100),(80+(20-$O$5)+30*($AG908/100))))))))))</f>
        <v>100</v>
      </c>
      <c r="AI908" s="263">
        <v>2899</v>
      </c>
      <c r="AJ908" s="263"/>
      <c r="AK908" s="263"/>
      <c r="AL908" s="263"/>
      <c r="AM908" s="264"/>
      <c r="AN908" s="263"/>
      <c r="AO908" s="263"/>
      <c r="AP908" s="265"/>
      <c r="AQ908" s="265"/>
      <c r="AR908" s="285"/>
      <c r="AS908" s="263"/>
      <c r="AT908" s="263"/>
      <c r="AU908" s="263"/>
      <c r="AV908" s="264"/>
      <c r="AW908" s="263"/>
      <c r="AX908" s="263">
        <v>27</v>
      </c>
      <c r="AY908" s="263"/>
      <c r="AZ908" s="263"/>
      <c r="BA908" s="263"/>
      <c r="BB908" s="263"/>
      <c r="BC908" s="263"/>
      <c r="BD908" s="264"/>
      <c r="BE908" s="263"/>
      <c r="BF908" s="263"/>
      <c r="BG908" s="263"/>
      <c r="BH908" s="263"/>
      <c r="BI908" s="263"/>
      <c r="BJ908" s="404">
        <f>altaz(J2000_Bas,$O908,$M908,DecLat,DecLong,2)</f>
        <v>214.26088785498402</v>
      </c>
      <c r="BK908" s="378" t="s">
        <v>996</v>
      </c>
      <c r="BL908" s="379">
        <f>IF((2*G908)/60&lt;0.2,0.2,(2*G908)/60)</f>
        <v>0.2</v>
      </c>
      <c r="BM908" s="380">
        <f>MOD((50000+AD908-$B$3+(0/24)),1)</f>
        <v>0.60205157317977864</v>
      </c>
      <c r="BN908" s="381"/>
      <c r="BO908" s="382">
        <v>902</v>
      </c>
    </row>
    <row r="909" spans="1:67" s="24" customFormat="1" ht="15" customHeight="1" x14ac:dyDescent="0.25">
      <c r="A909" s="297" t="s">
        <v>997</v>
      </c>
      <c r="B909" s="241" t="str">
        <f>HYPERLINK(CONCATENATE($AT$3,BK909,$AU$3),$AV$3)</f>
        <v>S</v>
      </c>
      <c r="C909" s="242" t="str">
        <f>HYPERLINK(CONCATENATE($AT$4,BK909,$AU$4,BL909),$AV$4)</f>
        <v>A</v>
      </c>
      <c r="D909" s="243" t="s">
        <v>5187</v>
      </c>
      <c r="E909" s="244" t="s">
        <v>5183</v>
      </c>
      <c r="F909" s="269" t="s">
        <v>5180</v>
      </c>
      <c r="G909" s="276">
        <v>30</v>
      </c>
      <c r="H909" s="271">
        <v>8000</v>
      </c>
      <c r="I909" s="246">
        <v>75</v>
      </c>
      <c r="J909" s="246">
        <v>3</v>
      </c>
      <c r="K909" s="247" t="s">
        <v>6100</v>
      </c>
      <c r="L909" s="248">
        <v>103553</v>
      </c>
      <c r="M909" s="249">
        <f>15*(LEFT(TEXT($L909,"000000"),2)+(MID(TEXT($L909,"000000"),3,2)/60)+(RIGHT(TEXT($L909,"000000"),2)/3600))</f>
        <v>158.97083333333333</v>
      </c>
      <c r="N909" s="286">
        <v>-581400</v>
      </c>
      <c r="O909" s="251">
        <f>IF($N909&gt;0,(LEFT(TEXT($N909,"000000"),2)+(MID(TEXT($N909,"000000"),3,2)/60)+(RIGHT(TEXT($N909,"000000"),2)/3600)),-(MID(TEXT($N909,"000000"),2,2)+(MID(TEXT($N909,"000000"),4,2)/60)+(RIGHT(TEXT($N909,"000000"),2)/3600)))</f>
        <v>-58.233333333333334</v>
      </c>
      <c r="P909" s="252" t="s">
        <v>91</v>
      </c>
      <c r="Q909" s="253" t="s">
        <v>6982</v>
      </c>
      <c r="R909" s="277" t="s">
        <v>3293</v>
      </c>
      <c r="S909" s="272" t="s">
        <v>3293</v>
      </c>
      <c r="T909" s="273"/>
      <c r="U909" s="274"/>
      <c r="V909" s="256"/>
      <c r="W909" s="244"/>
      <c r="X909" s="244"/>
      <c r="Y909" s="362"/>
      <c r="Z909" s="257">
        <f>altaz(J2000_Bas,$O909,$M909,DecLat,DecLong,1)</f>
        <v>-45.207514415885875</v>
      </c>
      <c r="AA909" s="257">
        <f>altaz((J2000_Bas+(2*0.04167)),$O909,$M909,DecLat,DecLong,1)</f>
        <v>-58.609156561889037</v>
      </c>
      <c r="AB909" s="257">
        <f>altaz((J2000_Bas+(4*0.04167)),$O909,$M909,DecLat,DecLong,1)</f>
        <v>-62.324345527197508</v>
      </c>
      <c r="AC909" s="257">
        <f>altaz((J2000_Bas+(6*0.04167)),$O909,$M909,DecLat,DecLong,1)</f>
        <v>-52.837372140030901</v>
      </c>
      <c r="AD909" s="258">
        <f>1+ transit((J2000_Bas-1),$O909,$M909,DecLat,DecLong)/360 + (GMTOffset/24) + (IF(DST="Y", 1, 0)/24)</f>
        <v>1.4344855646192913</v>
      </c>
      <c r="AE909" s="259">
        <f>DATE(2001,9,21)+(M909/360)*365 - (360*((DecLong/360)- (GMTOffset/24) ))</f>
        <v>37321.178761574076</v>
      </c>
      <c r="AF909" s="260">
        <f>IF(DecLat&gt;0,IF((90 - (DecLat-O909))&gt;90, (90 - (O909-DecLat)), (90 - (DecLat-O909))),IF((90 + (DecLat-O909))&gt;90, (90 + (O909-DecLat)), (90 + (DecLat-O909))))</f>
        <v>0.76666666666666572</v>
      </c>
      <c r="AG909" s="257">
        <f>angularseperation(MoonRA,MoonDec,$M909,$O909)</f>
        <v>67.363952176708352</v>
      </c>
      <c r="AH909" s="261">
        <f ca="1">MIN(100,IF($O$5&gt;80,0+30*($AG909/100),IF($O$5&gt;70,0+50*($AG909/100),IF($O$5&gt;60,5+50*($AG909/100),IF($O$5&gt;50,10+60*($AG909/100),IF($O$5&gt;40,15+70*($AG909/100),IF($O$5&gt;30,20+70*($AG909/100),IF($O$5&gt;20,40+55*($AG909/100),(80+(20-$O$5)+30*($AG909/100))))))))))</f>
        <v>100</v>
      </c>
      <c r="AI909" s="263"/>
      <c r="AJ909" s="263"/>
      <c r="AK909" s="263"/>
      <c r="AL909" s="263"/>
      <c r="AM909" s="264"/>
      <c r="AN909" s="263"/>
      <c r="AO909" s="263"/>
      <c r="AP909" s="265"/>
      <c r="AQ909" s="265"/>
      <c r="AR909" s="285"/>
      <c r="AS909" s="263"/>
      <c r="AT909" s="263"/>
      <c r="AU909" s="263"/>
      <c r="AV909" s="264"/>
      <c r="AW909" s="263"/>
      <c r="AX909" s="263">
        <v>30</v>
      </c>
      <c r="AY909" s="263"/>
      <c r="AZ909" s="263"/>
      <c r="BA909" s="263"/>
      <c r="BB909" s="263"/>
      <c r="BC909" s="263"/>
      <c r="BD909" s="264"/>
      <c r="BE909" s="263"/>
      <c r="BF909" s="263"/>
      <c r="BG909" s="263"/>
      <c r="BH909" s="263"/>
      <c r="BI909" s="263"/>
      <c r="BJ909" s="404">
        <f>altaz(J2000_Bas,$O909,$M909,DecLat,DecLong,2)</f>
        <v>216.62125772551559</v>
      </c>
      <c r="BK909" s="378" t="s">
        <v>997</v>
      </c>
      <c r="BL909" s="379">
        <f>IF((2*G909)/60&lt;0.2,0.2,(2*G909)/60)</f>
        <v>1</v>
      </c>
      <c r="BM909" s="380">
        <f>MOD((50000+AD909-$B$3+(0/24)),1)</f>
        <v>0.64985249432356795</v>
      </c>
      <c r="BN909" s="381"/>
      <c r="BO909" s="382">
        <v>903</v>
      </c>
    </row>
    <row r="910" spans="1:67" s="24" customFormat="1" ht="15" customHeight="1" x14ac:dyDescent="0.25">
      <c r="A910" s="297" t="s">
        <v>999</v>
      </c>
      <c r="B910" s="241" t="str">
        <f>HYPERLINK(CONCATENATE($AT$3,BK910,$AU$3),$AV$3)</f>
        <v>S</v>
      </c>
      <c r="C910" s="242" t="str">
        <f>HYPERLINK(CONCATENATE($AT$4,BK910,$AU$4,BL910),$AV$4)</f>
        <v>A</v>
      </c>
      <c r="D910" s="243" t="s">
        <v>5187</v>
      </c>
      <c r="E910" s="244" t="s">
        <v>5183</v>
      </c>
      <c r="F910" s="269" t="s">
        <v>5180</v>
      </c>
      <c r="G910" s="273">
        <v>7</v>
      </c>
      <c r="H910" s="271">
        <v>18000</v>
      </c>
      <c r="I910" s="246">
        <v>35</v>
      </c>
      <c r="J910" s="246">
        <v>3</v>
      </c>
      <c r="K910" s="247" t="s">
        <v>6101</v>
      </c>
      <c r="L910" s="248">
        <v>104600</v>
      </c>
      <c r="M910" s="249">
        <f>15*(LEFT(TEXT($L910,"000000"),2)+(MID(TEXT($L910,"000000"),3,2)/60)+(RIGHT(TEXT($L910,"000000"),2)/3600))</f>
        <v>161.5</v>
      </c>
      <c r="N910" s="286">
        <v>-583900</v>
      </c>
      <c r="O910" s="251">
        <f>IF($N910&gt;0,(LEFT(TEXT($N910,"000000"),2)+(MID(TEXT($N910,"000000"),3,2)/60)+(RIGHT(TEXT($N910,"000000"),2)/3600)),-(MID(TEXT($N910,"000000"),2,2)+(MID(TEXT($N910,"000000"),4,2)/60)+(RIGHT(TEXT($N910,"000000"),2)/3600)))</f>
        <v>-58.65</v>
      </c>
      <c r="P910" s="252" t="s">
        <v>1000</v>
      </c>
      <c r="Q910" s="253"/>
      <c r="R910" s="277" t="s">
        <v>4495</v>
      </c>
      <c r="S910" s="272" t="s">
        <v>3293</v>
      </c>
      <c r="T910" s="273"/>
      <c r="U910" s="274"/>
      <c r="V910" s="256"/>
      <c r="W910" s="244"/>
      <c r="X910" s="244"/>
      <c r="Y910" s="362"/>
      <c r="Z910" s="257">
        <f>altaz(J2000_Bas,$O910,$M910,DecLat,DecLong,1)</f>
        <v>-43.824601205889124</v>
      </c>
      <c r="AA910" s="257">
        <f>altaz((J2000_Bas+(2*0.04167)),$O910,$M910,DecLat,DecLong,1)</f>
        <v>-57.420818814364253</v>
      </c>
      <c r="AB910" s="257">
        <f>altaz((J2000_Bas+(4*0.04167)),$O910,$M910,DecLat,DecLong,1)</f>
        <v>-62.167631462400919</v>
      </c>
      <c r="AC910" s="257">
        <f>altaz((J2000_Bas+(6*0.04167)),$O910,$M910,DecLat,DecLong,1)</f>
        <v>-53.729593320101706</v>
      </c>
      <c r="AD910" s="258">
        <f>1+ transit((J2000_Bas-1),$O910,$M910,DecLat,DecLong)/360 + (GMTOffset/24) + (IF(DST="Y", 1, 0)/24)</f>
        <v>1.441511026879708</v>
      </c>
      <c r="AE910" s="259">
        <f>DATE(2001,9,21)+(M910/360)*365 - (360*((DecLong/360)- (GMTOffset/24) ))</f>
        <v>37323.743055555555</v>
      </c>
      <c r="AF910" s="260">
        <f>IF(DecLat&gt;0,IF((90 - (DecLat-O910))&gt;90, (90 - (O910-DecLat)), (90 - (DecLat-O910))),IF((90 + (DecLat-O910))&gt;90, (90 + (O910-DecLat)), (90 + (DecLat-O910))))</f>
        <v>0.34999999999999432</v>
      </c>
      <c r="AG910" s="257">
        <f>angularseperation(MoonRA,MoonDec,$M910,$O910)</f>
        <v>65.978616387994208</v>
      </c>
      <c r="AH910" s="261">
        <f ca="1">MIN(100,IF($O$5&gt;80,0+30*($AG910/100),IF($O$5&gt;70,0+50*($AG910/100),IF($O$5&gt;60,5+50*($AG910/100),IF($O$5&gt;50,10+60*($AG910/100),IF($O$5&gt;40,15+70*($AG910/100),IF($O$5&gt;30,20+70*($AG910/100),IF($O$5&gt;20,40+55*($AG910/100),(80+(20-$O$5)+30*($AG910/100))))))))))</f>
        <v>100</v>
      </c>
      <c r="AI910" s="263"/>
      <c r="AJ910" s="263"/>
      <c r="AK910" s="263"/>
      <c r="AL910" s="263"/>
      <c r="AM910" s="264"/>
      <c r="AN910" s="263"/>
      <c r="AO910" s="263"/>
      <c r="AP910" s="265"/>
      <c r="AQ910" s="265"/>
      <c r="AR910" s="285"/>
      <c r="AS910" s="263"/>
      <c r="AT910" s="263"/>
      <c r="AU910" s="263"/>
      <c r="AV910" s="264"/>
      <c r="AW910" s="263"/>
      <c r="AX910" s="263">
        <v>32</v>
      </c>
      <c r="AY910" s="263"/>
      <c r="AZ910" s="263"/>
      <c r="BA910" s="263">
        <v>52</v>
      </c>
      <c r="BB910" s="263"/>
      <c r="BC910" s="263"/>
      <c r="BD910" s="264"/>
      <c r="BE910" s="263"/>
      <c r="BF910" s="263"/>
      <c r="BG910" s="263"/>
      <c r="BH910" s="263"/>
      <c r="BI910" s="263"/>
      <c r="BJ910" s="404">
        <f>altaz(J2000_Bas,$O910,$M910,DecLat,DecLong,2)</f>
        <v>216.46123595167825</v>
      </c>
      <c r="BK910" s="378" t="s">
        <v>999</v>
      </c>
      <c r="BL910" s="379">
        <f>IF((2*G910)/60&lt;0.2,0.2,(2*G910)/60)</f>
        <v>0.23333333333333334</v>
      </c>
      <c r="BM910" s="380">
        <f>MOD((50000+AD910-$B$3+(0/24)),1)</f>
        <v>0.6568779565859586</v>
      </c>
      <c r="BN910" s="381"/>
      <c r="BO910" s="382">
        <v>904</v>
      </c>
    </row>
    <row r="911" spans="1:67" s="24" customFormat="1" ht="15" customHeight="1" x14ac:dyDescent="0.25">
      <c r="A911" s="297" t="s">
        <v>6102</v>
      </c>
      <c r="B911" s="241" t="str">
        <f>HYPERLINK(CONCATENATE($AT$3,BK911,$AU$3),$AV$3)</f>
        <v>S</v>
      </c>
      <c r="C911" s="242" t="str">
        <f>HYPERLINK(CONCATENATE($AT$4,BK911,$AU$4,BL911),$AV$4)</f>
        <v>A</v>
      </c>
      <c r="D911" s="243" t="s">
        <v>5187</v>
      </c>
      <c r="E911" s="244" t="s">
        <v>5183</v>
      </c>
      <c r="F911" s="269" t="s">
        <v>5180</v>
      </c>
      <c r="G911" s="276">
        <v>80</v>
      </c>
      <c r="H911" s="271">
        <v>9500</v>
      </c>
      <c r="I911" s="246">
        <v>220</v>
      </c>
      <c r="J911" s="246">
        <v>2</v>
      </c>
      <c r="K911" s="247" t="s">
        <v>6104</v>
      </c>
      <c r="L911" s="248">
        <v>105800</v>
      </c>
      <c r="M911" s="249">
        <f>15*(LEFT(TEXT($L911,"000000"),2)+(MID(TEXT($L911,"000000"),3,2)/60)+(RIGHT(TEXT($L911,"000000"),2)/3600))</f>
        <v>164.5</v>
      </c>
      <c r="N911" s="286">
        <v>-594200</v>
      </c>
      <c r="O911" s="251">
        <f>IF($N911&gt;0,(LEFT(TEXT($N911,"000000"),2)+(MID(TEXT($N911,"000000"),3,2)/60)+(RIGHT(TEXT($N911,"000000"),2)/3600)),-(MID(TEXT($N911,"000000"),2,2)+(MID(TEXT($N911,"000000"),4,2)/60)+(RIGHT(TEXT($N911,"000000"),2)/3600)))</f>
        <v>-59.7</v>
      </c>
      <c r="P911" s="252" t="s">
        <v>1000</v>
      </c>
      <c r="Q911" s="253"/>
      <c r="R911" s="277" t="s">
        <v>4496</v>
      </c>
      <c r="S911" s="272" t="s">
        <v>3293</v>
      </c>
      <c r="T911" s="273"/>
      <c r="U911" s="274"/>
      <c r="V911" s="256"/>
      <c r="W911" s="244"/>
      <c r="X911" s="244"/>
      <c r="Y911" s="362"/>
      <c r="Z911" s="257">
        <f>altaz(J2000_Bas,$O911,$M911,DecLat,DecLong,1)</f>
        <v>-42.118071597829498</v>
      </c>
      <c r="AA911" s="257">
        <f>altaz((J2000_Bas+(2*0.04167)),$O911,$M911,DecLat,DecLong,1)</f>
        <v>-55.593801010774364</v>
      </c>
      <c r="AB911" s="257">
        <f>altaz((J2000_Bas+(4*0.04167)),$O911,$M911,DecLat,DecLong,1)</f>
        <v>-61.278046888983802</v>
      </c>
      <c r="AC911" s="257">
        <f>altaz((J2000_Bas+(6*0.04167)),$O911,$M911,DecLat,DecLong,1)</f>
        <v>-54.331472359380705</v>
      </c>
      <c r="AD911" s="258">
        <f>1+ transit((J2000_Bas-1),$O911,$M911,DecLat,DecLong)/360 + (GMTOffset/24) + (IF(DST="Y", 1, 0)/24)</f>
        <v>1.4498443593797081</v>
      </c>
      <c r="AE911" s="259">
        <f>DATE(2001,9,21)+(M911/360)*365 - (360*((DecLong/360)- (GMTOffset/24) ))</f>
        <v>37326.784722222219</v>
      </c>
      <c r="AF911" s="260">
        <f>IF(DecLat&gt;0,IF((90 - (DecLat-O911))&gt;90, (90 - (O911-DecLat)), (90 - (DecLat-O911))),IF((90 + (DecLat-O911))&gt;90, (90 + (O911-DecLat)), (90 + (DecLat-O911))))</f>
        <v>-0.70000000000000284</v>
      </c>
      <c r="AG911" s="257">
        <f>angularseperation(MoonRA,MoonDec,$M911,$O911)</f>
        <v>64.261289176184832</v>
      </c>
      <c r="AH911" s="261">
        <f ca="1">MIN(100,IF($O$5&gt;80,0+30*($AG911/100),IF($O$5&gt;70,0+50*($AG911/100),IF($O$5&gt;60,5+50*($AG911/100),IF($O$5&gt;50,10+60*($AG911/100),IF($O$5&gt;40,15+70*($AG911/100),IF($O$5&gt;30,20+70*($AG911/100),IF($O$5&gt;20,40+55*($AG911/100),(80+(20-$O$5)+30*($AG911/100))))))))))</f>
        <v>100</v>
      </c>
      <c r="AI911" s="263"/>
      <c r="AJ911" s="263"/>
      <c r="AK911" s="263"/>
      <c r="AL911" s="263"/>
      <c r="AM911" s="264"/>
      <c r="AN911" s="263"/>
      <c r="AO911" s="263"/>
      <c r="AP911" s="265"/>
      <c r="AQ911" s="265"/>
      <c r="AR911" s="285"/>
      <c r="AS911" s="263"/>
      <c r="AT911" s="263"/>
      <c r="AU911" s="263"/>
      <c r="AV911" s="264"/>
      <c r="AW911" s="263"/>
      <c r="AX911" s="263">
        <v>34</v>
      </c>
      <c r="AY911" s="263"/>
      <c r="AZ911" s="263"/>
      <c r="BA911" s="263">
        <v>54</v>
      </c>
      <c r="BB911" s="263"/>
      <c r="BC911" s="263"/>
      <c r="BD911" s="264"/>
      <c r="BE911" s="263"/>
      <c r="BF911" s="263"/>
      <c r="BG911" s="263"/>
      <c r="BH911" s="263"/>
      <c r="BI911" s="263"/>
      <c r="BJ911" s="404">
        <f>altaz(J2000_Bas,$O911,$M911,DecLat,DecLong,2)</f>
        <v>215.44533797172852</v>
      </c>
      <c r="BK911" s="378" t="s">
        <v>6102</v>
      </c>
      <c r="BL911" s="379">
        <f>IF((2*G911)/60&lt;0.2,0.2,(2*G911)/60)</f>
        <v>2.6666666666666665</v>
      </c>
      <c r="BM911" s="380">
        <f>MOD((50000+AD911-$B$3+(0/24)),1)</f>
        <v>0.66521128908061655</v>
      </c>
      <c r="BN911" s="381"/>
      <c r="BO911" s="382">
        <v>905</v>
      </c>
    </row>
    <row r="912" spans="1:67" s="24" customFormat="1" ht="15" customHeight="1" x14ac:dyDescent="0.25">
      <c r="A912" s="297" t="s">
        <v>6103</v>
      </c>
      <c r="B912" s="241" t="str">
        <f>HYPERLINK(CONCATENATE($AT$3,BK912,$AU$3),$AV$3)</f>
        <v>S</v>
      </c>
      <c r="C912" s="242" t="str">
        <f>HYPERLINK(CONCATENATE($AT$4,BK912,$AU$4,BL912),$AV$4)</f>
        <v>A</v>
      </c>
      <c r="D912" s="243" t="s">
        <v>5187</v>
      </c>
      <c r="E912" s="244" t="s">
        <v>5183</v>
      </c>
      <c r="F912" s="269" t="s">
        <v>5180</v>
      </c>
      <c r="G912" s="276">
        <v>80</v>
      </c>
      <c r="H912" s="271">
        <v>9500</v>
      </c>
      <c r="I912" s="246">
        <v>220</v>
      </c>
      <c r="J912" s="246">
        <v>2</v>
      </c>
      <c r="K912" s="247" t="s">
        <v>6105</v>
      </c>
      <c r="L912" s="248">
        <v>110312</v>
      </c>
      <c r="M912" s="249">
        <f>15*(LEFT(TEXT($L912,"000000"),2)+(MID(TEXT($L912,"000000"),3,2)/60)+(RIGHT(TEXT($L912,"000000"),2)/3600))</f>
        <v>165.8</v>
      </c>
      <c r="N912" s="286">
        <v>-593200</v>
      </c>
      <c r="O912" s="251">
        <f>IF($N912&gt;0,(LEFT(TEXT($N912,"000000"),2)+(MID(TEXT($N912,"000000"),3,2)/60)+(RIGHT(TEXT($N912,"000000"),2)/3600)),-(MID(TEXT($N912,"000000"),2,2)+(MID(TEXT($N912,"000000"),4,2)/60)+(RIGHT(TEXT($N912,"000000"),2)/3600)))</f>
        <v>-59.533333333333331</v>
      </c>
      <c r="P912" s="252" t="s">
        <v>1000</v>
      </c>
      <c r="Q912" s="253"/>
      <c r="R912" s="277" t="s">
        <v>4496</v>
      </c>
      <c r="S912" s="272" t="s">
        <v>3293</v>
      </c>
      <c r="T912" s="273"/>
      <c r="U912" s="274"/>
      <c r="V912" s="256"/>
      <c r="W912" s="244"/>
      <c r="X912" s="244"/>
      <c r="Y912" s="362"/>
      <c r="Z912" s="257">
        <f>altaz(J2000_Bas,$O912,$M912,DecLat,DecLong,1)</f>
        <v>-41.495508383758576</v>
      </c>
      <c r="AA912" s="257">
        <f>altaz((J2000_Bas+(2*0.04167)),$O912,$M912,DecLat,DecLong,1)</f>
        <v>-55.224819404253132</v>
      </c>
      <c r="AB912" s="257">
        <f>altaz((J2000_Bas+(4*0.04167)),$O912,$M912,DecLat,DecLong,1)</f>
        <v>-61.465569595204492</v>
      </c>
      <c r="AC912" s="257">
        <f>altaz((J2000_Bas+(6*0.04167)),$O912,$M912,DecLat,DecLong,1)</f>
        <v>-54.941854458555476</v>
      </c>
      <c r="AD912" s="258">
        <f>1+ transit((J2000_Bas-1),$O912,$M912,DecLat,DecLong)/360 + (GMTOffset/24) + (IF(DST="Y", 1, 0)/24)</f>
        <v>1.453455470129708</v>
      </c>
      <c r="AE912" s="259">
        <f>DATE(2001,9,21)+(M912/360)*365 - (360*((DecLong/360)- (GMTOffset/24) ))</f>
        <v>37328.102777777778</v>
      </c>
      <c r="AF912" s="260">
        <f>IF(DecLat&gt;0,IF((90 - (DecLat-O912))&gt;90, (90 - (O912-DecLat)), (90 - (DecLat-O912))),IF((90 + (DecLat-O912))&gt;90, (90 + (O912-DecLat)), (90 + (DecLat-O912))))</f>
        <v>-0.53333333333333144</v>
      </c>
      <c r="AG912" s="257">
        <f>angularseperation(MoonRA,MoonDec,$M912,$O912)</f>
        <v>63.641213105870769</v>
      </c>
      <c r="AH912" s="261">
        <f ca="1">MIN(100,IF($O$5&gt;80,0+30*($AG912/100),IF($O$5&gt;70,0+50*($AG912/100),IF($O$5&gt;60,5+50*($AG912/100),IF($O$5&gt;50,10+60*($AG912/100),IF($O$5&gt;40,15+70*($AG912/100),IF($O$5&gt;30,20+70*($AG912/100),IF($O$5&gt;20,40+55*($AG912/100),(80+(20-$O$5)+30*($AG912/100))))))))))</f>
        <v>100</v>
      </c>
      <c r="AI912" s="263"/>
      <c r="AJ912" s="263"/>
      <c r="AK912" s="263"/>
      <c r="AL912" s="263"/>
      <c r="AM912" s="264"/>
      <c r="AN912" s="263"/>
      <c r="AO912" s="263"/>
      <c r="AP912" s="265"/>
      <c r="AQ912" s="265"/>
      <c r="AR912" s="285"/>
      <c r="AS912" s="263"/>
      <c r="AT912" s="263"/>
      <c r="AU912" s="263"/>
      <c r="AV912" s="264"/>
      <c r="AW912" s="263"/>
      <c r="AX912" s="263">
        <v>34</v>
      </c>
      <c r="AY912" s="263"/>
      <c r="AZ912" s="263"/>
      <c r="BA912" s="263">
        <v>54</v>
      </c>
      <c r="BB912" s="263"/>
      <c r="BC912" s="263"/>
      <c r="BD912" s="264"/>
      <c r="BE912" s="263"/>
      <c r="BF912" s="263"/>
      <c r="BG912" s="263"/>
      <c r="BH912" s="263"/>
      <c r="BI912" s="263"/>
      <c r="BJ912" s="404">
        <f>altaz(J2000_Bas,$O912,$M912,DecLat,DecLong,2)</f>
        <v>215.80658614806723</v>
      </c>
      <c r="BK912" s="378" t="s">
        <v>6103</v>
      </c>
      <c r="BL912" s="379">
        <f>IF((2*G912)/60&lt;0.2,0.2,(2*G912)/60)</f>
        <v>2.6666666666666665</v>
      </c>
      <c r="BM912" s="380">
        <f>MOD((50000+AD912-$B$3+(0/24)),1)</f>
        <v>0.66882239983533509</v>
      </c>
      <c r="BN912" s="381"/>
      <c r="BO912" s="382">
        <v>906</v>
      </c>
    </row>
    <row r="913" spans="1:67" s="24" customFormat="1" ht="15" customHeight="1" x14ac:dyDescent="0.25">
      <c r="A913" s="297" t="s">
        <v>1001</v>
      </c>
      <c r="B913" s="241" t="str">
        <f>HYPERLINK(CONCATENATE($AT$3,BK913,$AU$3),$AV$3)</f>
        <v>S</v>
      </c>
      <c r="C913" s="242" t="str">
        <f>HYPERLINK(CONCATENATE($AT$4,BK913,$AU$4,BL913),$AV$4)</f>
        <v>A</v>
      </c>
      <c r="D913" s="243" t="s">
        <v>5187</v>
      </c>
      <c r="E913" s="244" t="s">
        <v>5183</v>
      </c>
      <c r="F913" s="269" t="s">
        <v>5180</v>
      </c>
      <c r="G913" s="276">
        <v>26</v>
      </c>
      <c r="H913" s="271">
        <v>28000</v>
      </c>
      <c r="I913" s="246">
        <v>220</v>
      </c>
      <c r="J913" s="246">
        <v>2</v>
      </c>
      <c r="K913" s="247" t="s">
        <v>8834</v>
      </c>
      <c r="L913" s="248">
        <v>105800</v>
      </c>
      <c r="M913" s="249">
        <f>15*(LEFT(TEXT($L913,"000000"),2)+(MID(TEXT($L913,"000000"),3,2)/60)+(RIGHT(TEXT($L913,"000000"),2)/3600))</f>
        <v>164.5</v>
      </c>
      <c r="N913" s="286">
        <v>-611400</v>
      </c>
      <c r="O913" s="251">
        <f>IF($N913&gt;0,(LEFT(TEXT($N913,"000000"),2)+(MID(TEXT($N913,"000000"),3,2)/60)+(RIGHT(TEXT($N913,"000000"),2)/3600)),-(MID(TEXT($N913,"000000"),2,2)+(MID(TEXT($N913,"000000"),4,2)/60)+(RIGHT(TEXT($N913,"000000"),2)/3600)))</f>
        <v>-61.233333333333334</v>
      </c>
      <c r="P913" s="252" t="s">
        <v>1000</v>
      </c>
      <c r="Q913" s="253"/>
      <c r="R913" s="277" t="s">
        <v>4497</v>
      </c>
      <c r="S913" s="272" t="s">
        <v>3293</v>
      </c>
      <c r="T913" s="273"/>
      <c r="U913" s="274"/>
      <c r="V913" s="256"/>
      <c r="W913" s="244"/>
      <c r="X913" s="244"/>
      <c r="Y913" s="362"/>
      <c r="Z913" s="257">
        <f>altaz(J2000_Bas,$O913,$M913,DecLat,DecLong,1)</f>
        <v>-41.837921701477548</v>
      </c>
      <c r="AA913" s="257">
        <f>altaz((J2000_Bas+(2*0.04167)),$O913,$M913,DecLat,DecLong,1)</f>
        <v>-54.517449350717598</v>
      </c>
      <c r="AB913" s="257">
        <f>altaz((J2000_Bas+(4*0.04167)),$O913,$M913,DecLat,DecLong,1)</f>
        <v>-59.746694613878958</v>
      </c>
      <c r="AC913" s="257">
        <f>altaz((J2000_Bas+(6*0.04167)),$O913,$M913,DecLat,DecLong,1)</f>
        <v>-53.343354838202096</v>
      </c>
      <c r="AD913" s="258">
        <f>1+ transit((J2000_Bas-1),$O913,$M913,DecLat,DecLong)/360 + (GMTOffset/24) + (IF(DST="Y", 1, 0)/24)</f>
        <v>1.4498443593797081</v>
      </c>
      <c r="AE913" s="259">
        <f>DATE(2001,9,21)+(M913/360)*365 - (360*((DecLong/360)- (GMTOffset/24) ))</f>
        <v>37326.784722222219</v>
      </c>
      <c r="AF913" s="260">
        <f>IF(DecLat&gt;0,IF((90 - (DecLat-O913))&gt;90, (90 - (O913-DecLat)), (90 - (DecLat-O913))),IF((90 + (DecLat-O913))&gt;90, (90 + (O913-DecLat)), (90 + (DecLat-O913))))</f>
        <v>-2.2333333333333343</v>
      </c>
      <c r="AG913" s="257">
        <f>angularseperation(MoonRA,MoonDec,$M913,$O913)</f>
        <v>63.999821981148777</v>
      </c>
      <c r="AH913" s="261">
        <f ca="1">MIN(100,IF($O$5&gt;80,0+30*($AG913/100),IF($O$5&gt;70,0+50*($AG913/100),IF($O$5&gt;60,5+50*($AG913/100),IF($O$5&gt;50,10+60*($AG913/100),IF($O$5&gt;40,15+70*($AG913/100),IF($O$5&gt;30,20+70*($AG913/100),IF($O$5&gt;20,40+55*($AG913/100),(80+(20-$O$5)+30*($AG913/100))))))))))</f>
        <v>100</v>
      </c>
      <c r="AI913" s="263"/>
      <c r="AJ913" s="263"/>
      <c r="AK913" s="263"/>
      <c r="AL913" s="263"/>
      <c r="AM913" s="264"/>
      <c r="AN913" s="263"/>
      <c r="AO913" s="263"/>
      <c r="AP913" s="265"/>
      <c r="AQ913" s="265"/>
      <c r="AR913" s="285"/>
      <c r="AS913" s="263"/>
      <c r="AT913" s="263"/>
      <c r="AU913" s="263"/>
      <c r="AV913" s="264"/>
      <c r="AW913" s="263"/>
      <c r="AX913" s="263">
        <v>35</v>
      </c>
      <c r="AY913" s="263"/>
      <c r="AZ913" s="263"/>
      <c r="BA913" s="263">
        <v>54</v>
      </c>
      <c r="BB913" s="263"/>
      <c r="BC913" s="263"/>
      <c r="BD913" s="264"/>
      <c r="BE913" s="263"/>
      <c r="BF913" s="263"/>
      <c r="BG913" s="263"/>
      <c r="BH913" s="263"/>
      <c r="BI913" s="263"/>
      <c r="BJ913" s="404">
        <f>altaz(J2000_Bas,$O913,$M913,DecLat,DecLong,2)</f>
        <v>213.41741176172297</v>
      </c>
      <c r="BK913" s="378" t="s">
        <v>1001</v>
      </c>
      <c r="BL913" s="379">
        <f>IF((2*G913)/60&lt;0.2,0.2,(2*G913)/60)</f>
        <v>0.8666666666666667</v>
      </c>
      <c r="BM913" s="380">
        <f>MOD((50000+AD913-$B$3+(0/24)),1)</f>
        <v>0.66521128908061655</v>
      </c>
      <c r="BN913" s="381"/>
      <c r="BO913" s="382">
        <v>907</v>
      </c>
    </row>
    <row r="914" spans="1:67" s="24" customFormat="1" ht="15" customHeight="1" x14ac:dyDescent="0.25">
      <c r="A914" s="297" t="s">
        <v>1002</v>
      </c>
      <c r="B914" s="241" t="str">
        <f>HYPERLINK(CONCATENATE($AT$3,BK914,$AU$3),$AV$3)</f>
        <v>S</v>
      </c>
      <c r="C914" s="242" t="str">
        <f>HYPERLINK(CONCATENATE($AT$4,BK914,$AU$4,BL914),$AV$4)</f>
        <v>A</v>
      </c>
      <c r="D914" s="243" t="s">
        <v>5187</v>
      </c>
      <c r="E914" s="244" t="s">
        <v>5183</v>
      </c>
      <c r="F914" s="269" t="s">
        <v>5180</v>
      </c>
      <c r="G914" s="273">
        <v>9</v>
      </c>
      <c r="H914" s="271">
        <v>11500</v>
      </c>
      <c r="I914" s="246">
        <v>30</v>
      </c>
      <c r="J914" s="246">
        <v>2</v>
      </c>
      <c r="K914" s="247" t="s">
        <v>6106</v>
      </c>
      <c r="L914" s="248">
        <v>111200</v>
      </c>
      <c r="M914" s="249">
        <f>15*(LEFT(TEXT($L914,"000000"),2)+(MID(TEXT($L914,"000000"),3,2)/60)+(RIGHT(TEXT($L914,"000000"),2)/3600))</f>
        <v>168</v>
      </c>
      <c r="N914" s="286">
        <v>-584700</v>
      </c>
      <c r="O914" s="251">
        <f>IF($N914&gt;0,(LEFT(TEXT($N914,"000000"),2)+(MID(TEXT($N914,"000000"),3,2)/60)+(RIGHT(TEXT($N914,"000000"),2)/3600)),-(MID(TEXT($N914,"000000"),2,2)+(MID(TEXT($N914,"000000"),4,2)/60)+(RIGHT(TEXT($N914,"000000"),2)/3600)))</f>
        <v>-58.783333333333331</v>
      </c>
      <c r="P914" s="252" t="s">
        <v>1000</v>
      </c>
      <c r="Q914" s="253"/>
      <c r="R914" s="277" t="s">
        <v>4498</v>
      </c>
      <c r="S914" s="272" t="s">
        <v>3293</v>
      </c>
      <c r="T914" s="273"/>
      <c r="U914" s="274"/>
      <c r="V914" s="256"/>
      <c r="W914" s="244"/>
      <c r="X914" s="244"/>
      <c r="Y914" s="362"/>
      <c r="Z914" s="257">
        <f>altaz(J2000_Bas,$O914,$M914,DecLat,DecLong,1)</f>
        <v>-40.469850211381605</v>
      </c>
      <c r="AA914" s="257">
        <f>altaz((J2000_Bas+(2*0.04167)),$O914,$M914,DecLat,DecLong,1)</f>
        <v>-54.842260340588801</v>
      </c>
      <c r="AB914" s="257">
        <f>altaz((J2000_Bas+(4*0.04167)),$O914,$M914,DecLat,DecLong,1)</f>
        <v>-62.188881130335268</v>
      </c>
      <c r="AC914" s="257">
        <f>altaz((J2000_Bas+(6*0.04167)),$O914,$M914,DecLat,DecLong,1)</f>
        <v>-56.281967282601535</v>
      </c>
      <c r="AD914" s="258">
        <f>1+ transit((J2000_Bas-1),$O914,$M914,DecLat,DecLong)/360 + (GMTOffset/24) + (IF(DST="Y", 1, 0)/24)</f>
        <v>1.459566580629708</v>
      </c>
      <c r="AE914" s="259">
        <f>DATE(2001,9,21)+(M914/360)*365 - (360*((DecLong/360)- (GMTOffset/24) ))</f>
        <v>37330.333333333336</v>
      </c>
      <c r="AF914" s="260">
        <f>IF(DecLat&gt;0,IF((90 - (DecLat-O914))&gt;90, (90 - (O914-DecLat)), (90 - (DecLat-O914))),IF((90 + (DecLat-O914))&gt;90, (90 + (O914-DecLat)), (90 + (DecLat-O914))))</f>
        <v>0.21666666666666856</v>
      </c>
      <c r="AG914" s="257">
        <f>angularseperation(MoonRA,MoonDec,$M914,$O914)</f>
        <v>62.63630212959243</v>
      </c>
      <c r="AH914" s="261">
        <f ca="1">MIN(100,IF($O$5&gt;80,0+30*($AG914/100),IF($O$5&gt;70,0+50*($AG914/100),IF($O$5&gt;60,5+50*($AG914/100),IF($O$5&gt;50,10+60*($AG914/100),IF($O$5&gt;40,15+70*($AG914/100),IF($O$5&gt;30,20+70*($AG914/100),IF($O$5&gt;20,40+55*($AG914/100),(80+(20-$O$5)+30*($AG914/100))))))))))</f>
        <v>100</v>
      </c>
      <c r="AI914" s="263"/>
      <c r="AJ914" s="263"/>
      <c r="AK914" s="263"/>
      <c r="AL914" s="263"/>
      <c r="AM914" s="264"/>
      <c r="AN914" s="263"/>
      <c r="AO914" s="263"/>
      <c r="AP914" s="265"/>
      <c r="AQ914" s="265"/>
      <c r="AR914" s="285"/>
      <c r="AS914" s="263"/>
      <c r="AT914" s="263"/>
      <c r="AU914" s="263"/>
      <c r="AV914" s="264"/>
      <c r="AW914" s="263"/>
      <c r="AX914" s="263">
        <v>36</v>
      </c>
      <c r="AY914" s="263"/>
      <c r="AZ914" s="263"/>
      <c r="BA914" s="263">
        <v>54</v>
      </c>
      <c r="BB914" s="263"/>
      <c r="BC914" s="263"/>
      <c r="BD914" s="264"/>
      <c r="BE914" s="263"/>
      <c r="BF914" s="263"/>
      <c r="BG914" s="263"/>
      <c r="BH914" s="263"/>
      <c r="BI914" s="263"/>
      <c r="BJ914" s="404">
        <f>altaz(J2000_Bas,$O914,$M914,DecLat,DecLong,2)</f>
        <v>216.97830138367411</v>
      </c>
      <c r="BK914" s="378" t="s">
        <v>1002</v>
      </c>
      <c r="BL914" s="379">
        <f>IF((2*G914)/60&lt;0.2,0.2,(2*G914)/60)</f>
        <v>0.3</v>
      </c>
      <c r="BM914" s="380">
        <f>MOD((50000+AD914-$B$3+(0/24)),1)</f>
        <v>0.67493351033044746</v>
      </c>
      <c r="BN914" s="381"/>
      <c r="BO914" s="382">
        <v>908</v>
      </c>
    </row>
    <row r="915" spans="1:67" s="24" customFormat="1" ht="15" customHeight="1" x14ac:dyDescent="0.25">
      <c r="A915" s="297" t="s">
        <v>1003</v>
      </c>
      <c r="B915" s="241" t="str">
        <f>HYPERLINK(CONCATENATE($AT$3,BK915,$AU$3),$AV$3)</f>
        <v>S</v>
      </c>
      <c r="C915" s="242" t="str">
        <f>HYPERLINK(CONCATENATE($AT$4,BK915,$AU$4,BL915),$AV$4)</f>
        <v>A</v>
      </c>
      <c r="D915" s="243" t="s">
        <v>5187</v>
      </c>
      <c r="E915" s="244" t="s">
        <v>5183</v>
      </c>
      <c r="F915" s="269" t="s">
        <v>5180</v>
      </c>
      <c r="G915" s="276">
        <v>27</v>
      </c>
      <c r="H915" s="271">
        <v>9500</v>
      </c>
      <c r="I915" s="246">
        <v>80</v>
      </c>
      <c r="J915" s="246">
        <v>2</v>
      </c>
      <c r="K915" s="247" t="s">
        <v>6107</v>
      </c>
      <c r="L915" s="248">
        <v>111000</v>
      </c>
      <c r="M915" s="249">
        <f>15*(LEFT(TEXT($L915,"000000"),2)+(MID(TEXT($L915,"000000"),3,2)/60)+(RIGHT(TEXT($L915,"000000"),2)/3600))</f>
        <v>167.5</v>
      </c>
      <c r="N915" s="286">
        <v>-600000</v>
      </c>
      <c r="O915" s="251">
        <f>IF($N915&gt;0,(LEFT(TEXT($N915,"000000"),2)+(MID(TEXT($N915,"000000"),3,2)/60)+(RIGHT(TEXT($N915,"000000"),2)/3600)),-(MID(TEXT($N915,"000000"),2,2)+(MID(TEXT($N915,"000000"),4,2)/60)+(RIGHT(TEXT($N915,"000000"),2)/3600)))</f>
        <v>-60</v>
      </c>
      <c r="P915" s="252" t="s">
        <v>1000</v>
      </c>
      <c r="Q915" s="253" t="s">
        <v>8869</v>
      </c>
      <c r="R915" s="277" t="s">
        <v>4488</v>
      </c>
      <c r="S915" s="272" t="s">
        <v>3293</v>
      </c>
      <c r="T915" s="273"/>
      <c r="U915" s="274"/>
      <c r="V915" s="256"/>
      <c r="W915" s="244"/>
      <c r="X915" s="244"/>
      <c r="Y915" s="362"/>
      <c r="Z915" s="257">
        <f>altaz(J2000_Bas,$O915,$M915,DecLat,DecLong,1)</f>
        <v>-40.58351757208267</v>
      </c>
      <c r="AA915" s="257">
        <f>altaz((J2000_Bas+(2*0.04167)),$O915,$M915,DecLat,DecLong,1)</f>
        <v>-54.272560028937576</v>
      </c>
      <c r="AB915" s="257">
        <f>altaz((J2000_Bas+(4*0.04167)),$O915,$M915,DecLat,DecLong,1)</f>
        <v>-60.986392384721846</v>
      </c>
      <c r="AC915" s="257">
        <f>altaz((J2000_Bas+(6*0.04167)),$O915,$M915,DecLat,DecLong,1)</f>
        <v>-55.261797960317217</v>
      </c>
      <c r="AD915" s="258">
        <f>1+ transit((J2000_Bas-1),$O915,$M915,DecLat,DecLong)/360 + (GMTOffset/24) + (IF(DST="Y", 1, 0)/24)</f>
        <v>1.458177691879708</v>
      </c>
      <c r="AE915" s="259">
        <f>DATE(2001,9,21)+(M915/360)*365 - (360*((DecLong/360)- (GMTOffset/24) ))</f>
        <v>37329.826388888891</v>
      </c>
      <c r="AF915" s="260">
        <f>IF(DecLat&gt;0,IF((90 - (DecLat-O915))&gt;90, (90 - (O915-DecLat)), (90 - (DecLat-O915))),IF((90 + (DecLat-O915))&gt;90, (90 + (O915-DecLat)), (90 + (DecLat-O915))))</f>
        <v>-1</v>
      </c>
      <c r="AG915" s="257">
        <f>angularseperation(MoonRA,MoonDec,$M915,$O915)</f>
        <v>62.726393885525944</v>
      </c>
      <c r="AH915" s="261">
        <f ca="1">MIN(100,IF($O$5&gt;80,0+30*($AG915/100),IF($O$5&gt;70,0+50*($AG915/100),IF($O$5&gt;60,5+50*($AG915/100),IF($O$5&gt;50,10+60*($AG915/100),IF($O$5&gt;40,15+70*($AG915/100),IF($O$5&gt;30,20+70*($AG915/100),IF($O$5&gt;20,40+55*($AG915/100),(80+(20-$O$5)+30*($AG915/100))))))))))</f>
        <v>100</v>
      </c>
      <c r="AI915" s="263"/>
      <c r="AJ915" s="263"/>
      <c r="AK915" s="263"/>
      <c r="AL915" s="263"/>
      <c r="AM915" s="264"/>
      <c r="AN915" s="263"/>
      <c r="AO915" s="263"/>
      <c r="AP915" s="265"/>
      <c r="AQ915" s="265"/>
      <c r="AR915" s="285"/>
      <c r="AS915" s="263"/>
      <c r="AT915" s="263"/>
      <c r="AU915" s="263"/>
      <c r="AV915" s="264"/>
      <c r="AW915" s="263"/>
      <c r="AX915" s="263">
        <v>37</v>
      </c>
      <c r="AY915" s="263"/>
      <c r="AZ915" s="263"/>
      <c r="BA915" s="263">
        <v>54</v>
      </c>
      <c r="BB915" s="263"/>
      <c r="BC915" s="263"/>
      <c r="BD915" s="264"/>
      <c r="BE915" s="263"/>
      <c r="BF915" s="263"/>
      <c r="BG915" s="263"/>
      <c r="BH915" s="263"/>
      <c r="BI915" s="263"/>
      <c r="BJ915" s="404">
        <f>altaz(J2000_Bas,$O915,$M915,DecLat,DecLong,2)</f>
        <v>215.34981599400865</v>
      </c>
      <c r="BK915" s="378" t="s">
        <v>1003</v>
      </c>
      <c r="BL915" s="379">
        <f>IF((2*G915)/60&lt;0.2,0.2,(2*G915)/60)</f>
        <v>0.9</v>
      </c>
      <c r="BM915" s="380">
        <f>MOD((50000+AD915-$B$3+(0/24)),1)</f>
        <v>0.67354462158255046</v>
      </c>
      <c r="BN915" s="381"/>
      <c r="BO915" s="382">
        <v>909</v>
      </c>
    </row>
    <row r="916" spans="1:67" s="24" customFormat="1" ht="15" customHeight="1" x14ac:dyDescent="0.25">
      <c r="A916" s="297" t="s">
        <v>1004</v>
      </c>
      <c r="B916" s="241" t="str">
        <f>HYPERLINK(CONCATENATE($AT$3,BK916,$AU$3),$AV$3)</f>
        <v>S</v>
      </c>
      <c r="C916" s="242" t="str">
        <f>HYPERLINK(CONCATENATE($AT$4,BK916,$AU$4,BL916),$AV$4)</f>
        <v>A</v>
      </c>
      <c r="D916" s="243" t="s">
        <v>5187</v>
      </c>
      <c r="E916" s="244" t="s">
        <v>5183</v>
      </c>
      <c r="F916" s="269" t="s">
        <v>5180</v>
      </c>
      <c r="G916" s="276">
        <v>23</v>
      </c>
      <c r="H916" s="271">
        <v>8000</v>
      </c>
      <c r="I916" s="246">
        <v>55</v>
      </c>
      <c r="J916" s="246">
        <v>2</v>
      </c>
      <c r="K916" s="247" t="s">
        <v>6108</v>
      </c>
      <c r="L916" s="248">
        <v>112800</v>
      </c>
      <c r="M916" s="249">
        <f>15*(LEFT(TEXT($L916,"000000"),2)+(MID(TEXT($L916,"000000"),3,2)/60)+(RIGHT(TEXT($L916,"000000"),2)/3600))</f>
        <v>172</v>
      </c>
      <c r="N916" s="286">
        <v>-623700</v>
      </c>
      <c r="O916" s="251">
        <f>IF($N916&gt;0,(LEFT(TEXT($N916,"000000"),2)+(MID(TEXT($N916,"000000"),3,2)/60)+(RIGHT(TEXT($N916,"000000"),2)/3600)),-(MID(TEXT($N916,"000000"),2,2)+(MID(TEXT($N916,"000000"),4,2)/60)+(RIGHT(TEXT($N916,"000000"),2)/3600)))</f>
        <v>-62.616666666666667</v>
      </c>
      <c r="P916" s="252" t="s">
        <v>1000</v>
      </c>
      <c r="Q916" s="253"/>
      <c r="R916" s="277" t="s">
        <v>6075</v>
      </c>
      <c r="S916" s="272" t="s">
        <v>3293</v>
      </c>
      <c r="T916" s="273"/>
      <c r="U916" s="274"/>
      <c r="V916" s="256"/>
      <c r="W916" s="244"/>
      <c r="X916" s="244"/>
      <c r="Y916" s="362"/>
      <c r="Z916" s="257">
        <f>altaz(J2000_Bas,$O916,$M916,DecLat,DecLong,1)</f>
        <v>-38.148282428784306</v>
      </c>
      <c r="AA916" s="257">
        <f>altaz((J2000_Bas+(2*0.04167)),$O916,$M916,DecLat,DecLong,1)</f>
        <v>-50.95325108806324</v>
      </c>
      <c r="AB916" s="257">
        <f>altaz((J2000_Bas+(4*0.04167)),$O916,$M916,DecLat,DecLong,1)</f>
        <v>-58.161291898991152</v>
      </c>
      <c r="AC916" s="257">
        <f>altaz((J2000_Bas+(6*0.04167)),$O916,$M916,DecLat,DecLong,1)</f>
        <v>-54.76267915575604</v>
      </c>
      <c r="AD916" s="258">
        <f>1+ transit((J2000_Bas-1),$O916,$M916,DecLat,DecLong)/360 + (GMTOffset/24) + (IF(DST="Y", 1, 0)/24)</f>
        <v>1.4706776906297081</v>
      </c>
      <c r="AE916" s="259">
        <f>DATE(2001,9,21)+(M916/360)*365 - (360*((DecLong/360)- (GMTOffset/24) ))</f>
        <v>37334.388888888891</v>
      </c>
      <c r="AF916" s="260">
        <f>IF(DecLat&gt;0,IF((90 - (DecLat-O916))&gt;90, (90 - (O916-DecLat)), (90 - (DecLat-O916))),IF((90 + (DecLat-O916))&gt;90, (90 + (O916-DecLat)), (90 + (DecLat-O916))))</f>
        <v>-3.6166666666666742</v>
      </c>
      <c r="AG916" s="257">
        <f>angularseperation(MoonRA,MoonDec,$M916,$O916)</f>
        <v>60.349098632215608</v>
      </c>
      <c r="AH916" s="261">
        <f ca="1">MIN(100,IF($O$5&gt;80,0+30*($AG916/100),IF($O$5&gt;70,0+50*($AG916/100),IF($O$5&gt;60,5+50*($AG916/100),IF($O$5&gt;50,10+60*($AG916/100),IF($O$5&gt;40,15+70*($AG916/100),IF($O$5&gt;30,20+70*($AG916/100),IF($O$5&gt;20,40+55*($AG916/100),(80+(20-$O$5)+30*($AG916/100))))))))))</f>
        <v>100</v>
      </c>
      <c r="AI916" s="263"/>
      <c r="AJ916" s="263">
        <v>2872</v>
      </c>
      <c r="AK916" s="263"/>
      <c r="AL916" s="263"/>
      <c r="AM916" s="264"/>
      <c r="AN916" s="263"/>
      <c r="AO916" s="263"/>
      <c r="AP916" s="265"/>
      <c r="AQ916" s="265"/>
      <c r="AR916" s="285"/>
      <c r="AS916" s="263"/>
      <c r="AT916" s="263"/>
      <c r="AU916" s="263"/>
      <c r="AV916" s="264"/>
      <c r="AW916" s="263"/>
      <c r="AX916" s="263">
        <v>39</v>
      </c>
      <c r="AY916" s="263"/>
      <c r="AZ916" s="263"/>
      <c r="BA916" s="263">
        <v>60</v>
      </c>
      <c r="BB916" s="263"/>
      <c r="BC916" s="263"/>
      <c r="BD916" s="264"/>
      <c r="BE916" s="263"/>
      <c r="BF916" s="263"/>
      <c r="BG916" s="263"/>
      <c r="BH916" s="263"/>
      <c r="BI916" s="263"/>
      <c r="BJ916" s="404">
        <f>altaz(J2000_Bas,$O916,$M916,DecLat,DecLong,2)</f>
        <v>212.29537298907744</v>
      </c>
      <c r="BK916" s="378" t="s">
        <v>1004</v>
      </c>
      <c r="BL916" s="379">
        <f>IF((2*G916)/60&lt;0.2,0.2,(2*G916)/60)</f>
        <v>0.76666666666666672</v>
      </c>
      <c r="BM916" s="380">
        <f>MOD((50000+AD916-$B$3+(0/24)),1)</f>
        <v>0.68604462033545133</v>
      </c>
      <c r="BN916" s="381"/>
      <c r="BO916" s="382">
        <v>910</v>
      </c>
    </row>
    <row r="917" spans="1:67" s="24" customFormat="1" ht="15" customHeight="1" x14ac:dyDescent="0.25">
      <c r="A917" s="297" t="s">
        <v>1005</v>
      </c>
      <c r="B917" s="241" t="str">
        <f>HYPERLINK(CONCATENATE($AT$3,BK917,$AU$3),$AV$3)</f>
        <v>S</v>
      </c>
      <c r="C917" s="242" t="str">
        <f>HYPERLINK(CONCATENATE($AT$4,BK917,$AU$4,BL917),$AV$4)</f>
        <v>A</v>
      </c>
      <c r="D917" s="243" t="s">
        <v>5187</v>
      </c>
      <c r="E917" s="244" t="s">
        <v>5183</v>
      </c>
      <c r="F917" s="269" t="s">
        <v>5180</v>
      </c>
      <c r="G917" s="276">
        <v>17</v>
      </c>
      <c r="H917" s="271">
        <v>7500</v>
      </c>
      <c r="I917" s="246">
        <v>40</v>
      </c>
      <c r="J917" s="246">
        <v>2</v>
      </c>
      <c r="K917" s="247" t="s">
        <v>6109</v>
      </c>
      <c r="L917" s="248">
        <v>112800</v>
      </c>
      <c r="M917" s="249">
        <f>15*(LEFT(TEXT($L917,"000000"),2)+(MID(TEXT($L917,"000000"),3,2)/60)+(RIGHT(TEXT($L917,"000000"),2)/3600))</f>
        <v>172</v>
      </c>
      <c r="N917" s="286">
        <v>-625500</v>
      </c>
      <c r="O917" s="251">
        <f>IF($N917&gt;0,(LEFT(TEXT($N917,"000000"),2)+(MID(TEXT($N917,"000000"),3,2)/60)+(RIGHT(TEXT($N917,"000000"),2)/3600)),-(MID(TEXT($N917,"000000"),2,2)+(MID(TEXT($N917,"000000"),4,2)/60)+(RIGHT(TEXT($N917,"000000"),2)/3600)))</f>
        <v>-62.916666666666664</v>
      </c>
      <c r="P917" s="252" t="s">
        <v>1000</v>
      </c>
      <c r="Q917" s="253"/>
      <c r="R917" s="277" t="s">
        <v>4499</v>
      </c>
      <c r="S917" s="272" t="s">
        <v>3293</v>
      </c>
      <c r="T917" s="273"/>
      <c r="U917" s="274"/>
      <c r="V917" s="256"/>
      <c r="W917" s="244"/>
      <c r="X917" s="244"/>
      <c r="Y917" s="362"/>
      <c r="Z917" s="257">
        <f>altaz(J2000_Bas,$O917,$M917,DecLat,DecLong,1)</f>
        <v>-38.119929963962896</v>
      </c>
      <c r="AA917" s="257">
        <f>altaz((J2000_Bas+(2*0.04167)),$O917,$M917,DecLat,DecLong,1)</f>
        <v>-50.77188487838184</v>
      </c>
      <c r="AB917" s="257">
        <f>altaz((J2000_Bas+(4*0.04167)),$O917,$M917,DecLat,DecLong,1)</f>
        <v>-57.865369781857957</v>
      </c>
      <c r="AC917" s="257">
        <f>altaz((J2000_Bas+(6*0.04167)),$O917,$M917,DecLat,DecLong,1)</f>
        <v>-54.52462419913256</v>
      </c>
      <c r="AD917" s="258">
        <f>1+ transit((J2000_Bas-1),$O917,$M917,DecLat,DecLong)/360 + (GMTOffset/24) + (IF(DST="Y", 1, 0)/24)</f>
        <v>1.4706776906297081</v>
      </c>
      <c r="AE917" s="259">
        <f>DATE(2001,9,21)+(M917/360)*365 - (360*((DecLong/360)- (GMTOffset/24) ))</f>
        <v>37334.388888888891</v>
      </c>
      <c r="AF917" s="260">
        <f>IF(DecLat&gt;0,IF((90 - (DecLat-O917))&gt;90, (90 - (O917-DecLat)), (90 - (DecLat-O917))),IF((90 + (DecLat-O917))&gt;90, (90 + (O917-DecLat)), (90 + (DecLat-O917))))</f>
        <v>-3.9166666666666572</v>
      </c>
      <c r="AG917" s="257">
        <f>angularseperation(MoonRA,MoonDec,$M917,$O917)</f>
        <v>60.337524001067365</v>
      </c>
      <c r="AH917" s="261">
        <f ca="1">MIN(100,IF($O$5&gt;80,0+30*($AG917/100),IF($O$5&gt;70,0+50*($AG917/100),IF($O$5&gt;60,5+50*($AG917/100),IF($O$5&gt;50,10+60*($AG917/100),IF($O$5&gt;40,15+70*($AG917/100),IF($O$5&gt;30,20+70*($AG917/100),IF($O$5&gt;20,40+55*($AG917/100),(80+(20-$O$5)+30*($AG917/100))))))))))</f>
        <v>100</v>
      </c>
      <c r="AI917" s="263"/>
      <c r="AJ917" s="263"/>
      <c r="AK917" s="263"/>
      <c r="AL917" s="263"/>
      <c r="AM917" s="264"/>
      <c r="AN917" s="263"/>
      <c r="AO917" s="263"/>
      <c r="AP917" s="265"/>
      <c r="AQ917" s="265"/>
      <c r="AR917" s="285"/>
      <c r="AS917" s="263"/>
      <c r="AT917" s="263"/>
      <c r="AU917" s="263"/>
      <c r="AV917" s="264"/>
      <c r="AW917" s="263"/>
      <c r="AX917" s="263">
        <v>40</v>
      </c>
      <c r="AY917" s="263"/>
      <c r="AZ917" s="263"/>
      <c r="BA917" s="263">
        <v>60</v>
      </c>
      <c r="BB917" s="263"/>
      <c r="BC917" s="263"/>
      <c r="BD917" s="264"/>
      <c r="BE917" s="263"/>
      <c r="BF917" s="263"/>
      <c r="BG917" s="263"/>
      <c r="BH917" s="263"/>
      <c r="BI917" s="263"/>
      <c r="BJ917" s="404">
        <f>altaz(J2000_Bas,$O917,$M917,DecLat,DecLong,2)</f>
        <v>211.91567587439363</v>
      </c>
      <c r="BK917" s="378" t="s">
        <v>1005</v>
      </c>
      <c r="BL917" s="379">
        <f>IF((2*G917)/60&lt;0.2,0.2,(2*G917)/60)</f>
        <v>0.56666666666666665</v>
      </c>
      <c r="BM917" s="380">
        <f>MOD((50000+AD917-$B$3+(0/24)),1)</f>
        <v>0.68604462033545133</v>
      </c>
      <c r="BN917" s="381"/>
      <c r="BO917" s="382">
        <v>911</v>
      </c>
    </row>
    <row r="918" spans="1:67" s="24" customFormat="1" ht="15" customHeight="1" x14ac:dyDescent="0.25">
      <c r="A918" s="297" t="s">
        <v>1006</v>
      </c>
      <c r="B918" s="241" t="str">
        <f>HYPERLINK(CONCATENATE($AT$3,BK918,$AU$3),$AV$3)</f>
        <v>S</v>
      </c>
      <c r="C918" s="242" t="str">
        <f>HYPERLINK(CONCATENATE($AT$4,BK918,$AU$4,BL918),$AV$4)</f>
        <v>A</v>
      </c>
      <c r="D918" s="243" t="s">
        <v>5187</v>
      </c>
      <c r="E918" s="244" t="s">
        <v>5183</v>
      </c>
      <c r="F918" s="269" t="s">
        <v>5180</v>
      </c>
      <c r="G918" s="276">
        <v>17</v>
      </c>
      <c r="H918" s="271">
        <v>9500</v>
      </c>
      <c r="I918" s="246">
        <v>50</v>
      </c>
      <c r="J918" s="246">
        <v>2</v>
      </c>
      <c r="K918" s="247" t="s">
        <v>6110</v>
      </c>
      <c r="L918" s="248">
        <v>113000</v>
      </c>
      <c r="M918" s="249">
        <f>15*(LEFT(TEXT($L918,"000000"),2)+(MID(TEXT($L918,"000000"),3,2)/60)+(RIGHT(TEXT($L918,"000000"),2)/3600))</f>
        <v>172.5</v>
      </c>
      <c r="N918" s="286">
        <v>-634900</v>
      </c>
      <c r="O918" s="251">
        <f>IF($N918&gt;0,(LEFT(TEXT($N918,"000000"),2)+(MID(TEXT($N918,"000000"),3,2)/60)+(RIGHT(TEXT($N918,"000000"),2)/3600)),-(MID(TEXT($N918,"000000"),2,2)+(MID(TEXT($N918,"000000"),4,2)/60)+(RIGHT(TEXT($N918,"000000"),2)/3600)))</f>
        <v>-63.81666666666667</v>
      </c>
      <c r="P918" s="252" t="s">
        <v>927</v>
      </c>
      <c r="Q918" s="253"/>
      <c r="R918" s="277" t="s">
        <v>4500</v>
      </c>
      <c r="S918" s="272" t="s">
        <v>3293</v>
      </c>
      <c r="T918" s="273"/>
      <c r="U918" s="274"/>
      <c r="V918" s="256"/>
      <c r="W918" s="244"/>
      <c r="X918" s="244"/>
      <c r="Y918" s="362"/>
      <c r="Z918" s="257">
        <f>altaz(J2000_Bas,$O918,$M918,DecLat,DecLong,1)</f>
        <v>-37.808145540499837</v>
      </c>
      <c r="AA918" s="257">
        <f>altaz((J2000_Bas+(2*0.04167)),$O918,$M918,DecLat,DecLong,1)</f>
        <v>-50.04647073681091</v>
      </c>
      <c r="AB918" s="257">
        <f>altaz((J2000_Bas+(4*0.04167)),$O918,$M918,DecLat,DecLong,1)</f>
        <v>-56.940483299188401</v>
      </c>
      <c r="AC918" s="257">
        <f>altaz((J2000_Bas+(6*0.04167)),$O918,$M918,DecLat,DecLong,1)</f>
        <v>-53.936143684486446</v>
      </c>
      <c r="AD918" s="258">
        <f>1+ transit((J2000_Bas-1),$O918,$M918,DecLat,DecLong)/360 + (GMTOffset/24) + (IF(DST="Y", 1, 0)/24)</f>
        <v>1.4720665793797079</v>
      </c>
      <c r="AE918" s="259">
        <f>DATE(2001,9,21)+(M918/360)*365 - (360*((DecLong/360)- (GMTOffset/24) ))</f>
        <v>37334.895833333336</v>
      </c>
      <c r="AF918" s="260">
        <f>IF(DecLat&gt;0,IF((90 - (DecLat-O918))&gt;90, (90 - (O918-DecLat)), (90 - (DecLat-O918))),IF((90 + (DecLat-O918))&gt;90, (90 + (O918-DecLat)), (90 + (DecLat-O918))))</f>
        <v>-4.8166666666666629</v>
      </c>
      <c r="AG918" s="257">
        <f>angularseperation(MoonRA,MoonDec,$M918,$O918)</f>
        <v>60.087605681193594</v>
      </c>
      <c r="AH918" s="261">
        <f ca="1">MIN(100,IF($O$5&gt;80,0+30*($AG918/100),IF($O$5&gt;70,0+50*($AG918/100),IF($O$5&gt;60,5+50*($AG918/100),IF($O$5&gt;50,10+60*($AG918/100),IF($O$5&gt;40,15+70*($AG918/100),IF($O$5&gt;30,20+70*($AG918/100),IF($O$5&gt;20,40+55*($AG918/100),(80+(20-$O$5)+30*($AG918/100))))))))))</f>
        <v>100</v>
      </c>
      <c r="AI918" s="263"/>
      <c r="AJ918" s="263"/>
      <c r="AK918" s="263"/>
      <c r="AL918" s="263"/>
      <c r="AM918" s="264"/>
      <c r="AN918" s="263"/>
      <c r="AO918" s="263"/>
      <c r="AP918" s="265"/>
      <c r="AQ918" s="265"/>
      <c r="AR918" s="285"/>
      <c r="AS918" s="263"/>
      <c r="AT918" s="263"/>
      <c r="AU918" s="263"/>
      <c r="AV918" s="264"/>
      <c r="AW918" s="263"/>
      <c r="AX918" s="263">
        <v>41</v>
      </c>
      <c r="AY918" s="263"/>
      <c r="AZ918" s="263"/>
      <c r="BA918" s="263">
        <v>61</v>
      </c>
      <c r="BB918" s="263"/>
      <c r="BC918" s="263"/>
      <c r="BD918" s="264"/>
      <c r="BE918" s="263"/>
      <c r="BF918" s="263"/>
      <c r="BG918" s="263"/>
      <c r="BH918" s="263"/>
      <c r="BI918" s="263"/>
      <c r="BJ918" s="404">
        <f>altaz(J2000_Bas,$O918,$M918,DecLat,DecLong,2)</f>
        <v>210.8077115976306</v>
      </c>
      <c r="BK918" s="378" t="s">
        <v>1006</v>
      </c>
      <c r="BL918" s="379">
        <f>IF((2*G918)/60&lt;0.2,0.2,(2*G918)/60)</f>
        <v>0.56666666666666665</v>
      </c>
      <c r="BM918" s="380">
        <f>MOD((50000+AD918-$B$3+(0/24)),1)</f>
        <v>0.68743350908334833</v>
      </c>
      <c r="BN918" s="381"/>
      <c r="BO918" s="382">
        <v>912</v>
      </c>
    </row>
    <row r="919" spans="1:67" s="24" customFormat="1" ht="15" customHeight="1" x14ac:dyDescent="0.25">
      <c r="A919" s="297" t="s">
        <v>1008</v>
      </c>
      <c r="B919" s="241" t="str">
        <f>HYPERLINK(CONCATENATE($AT$3,BK919,$AU$3),$AV$3)</f>
        <v>S</v>
      </c>
      <c r="C919" s="242" t="str">
        <f>HYPERLINK(CONCATENATE($AT$4,BK919,$AU$4,BL919),$AV$4)</f>
        <v>A</v>
      </c>
      <c r="D919" s="243" t="s">
        <v>5187</v>
      </c>
      <c r="E919" s="244" t="s">
        <v>5183</v>
      </c>
      <c r="F919" s="269" t="s">
        <v>5180</v>
      </c>
      <c r="G919" s="273">
        <v>2</v>
      </c>
      <c r="H919" s="271">
        <v>14000</v>
      </c>
      <c r="I919" s="279">
        <v>8</v>
      </c>
      <c r="J919" s="246">
        <v>2</v>
      </c>
      <c r="K919" s="247" t="s">
        <v>6111</v>
      </c>
      <c r="L919" s="248">
        <v>123400</v>
      </c>
      <c r="M919" s="249">
        <f>15*(LEFT(TEXT($L919,"000000"),2)+(MID(TEXT($L919,"000000"),3,2)/60)+(RIGHT(TEXT($L919,"000000"),2)/3600))</f>
        <v>188.5</v>
      </c>
      <c r="N919" s="286">
        <v>-613800</v>
      </c>
      <c r="O919" s="251">
        <f>IF($N919&gt;0,(LEFT(TEXT($N919,"000000"),2)+(MID(TEXT($N919,"000000"),3,2)/60)+(RIGHT(TEXT($N919,"000000"),2)/3600)),-(MID(TEXT($N919,"000000"),2,2)+(MID(TEXT($N919,"000000"),4,2)/60)+(RIGHT(TEXT($N919,"000000"),2)/3600)))</f>
        <v>-61.633333333333333</v>
      </c>
      <c r="P919" s="252" t="s">
        <v>980</v>
      </c>
      <c r="Q919" s="253"/>
      <c r="R919" s="277" t="s">
        <v>4501</v>
      </c>
      <c r="S919" s="272" t="s">
        <v>3293</v>
      </c>
      <c r="T919" s="273"/>
      <c r="U919" s="274"/>
      <c r="V919" s="256"/>
      <c r="W919" s="244"/>
      <c r="X919" s="244"/>
      <c r="Y919" s="362"/>
      <c r="Z919" s="257">
        <f>altaz(J2000_Bas,$O919,$M919,DecLat,DecLong,1)</f>
        <v>-30.422361726924361</v>
      </c>
      <c r="AA919" s="257">
        <f>altaz((J2000_Bas+(2*0.04167)),$O919,$M919,DecLat,DecLong,1)</f>
        <v>-44.555898775824346</v>
      </c>
      <c r="AB919" s="257">
        <f>altaz((J2000_Bas+(4*0.04167)),$O919,$M919,DecLat,DecLong,1)</f>
        <v>-56.089596330478713</v>
      </c>
      <c r="AC919" s="257">
        <f>altaz((J2000_Bas+(6*0.04167)),$O919,$M919,DecLat,DecLong,1)</f>
        <v>-58.95026021675514</v>
      </c>
      <c r="AD919" s="258">
        <f>1+ transit((J2000_Bas-1),$O919,$M919,DecLat,DecLong)/360 + (GMTOffset/24) + (IF(DST="Y", 1, 0)/24)</f>
        <v>1.516511019379708</v>
      </c>
      <c r="AE919" s="259">
        <f>DATE(2001,9,21)+(M919/360)*365 - (360*((DecLong/360)- (GMTOffset/24) ))</f>
        <v>37351.118055555555</v>
      </c>
      <c r="AF919" s="260">
        <f>IF(DecLat&gt;0,IF((90 - (DecLat-O919))&gt;90, (90 - (O919-DecLat)), (90 - (DecLat-O919))),IF((90 + (DecLat-O919))&gt;90, (90 + (O919-DecLat)), (90 + (DecLat-O919))))</f>
        <v>-2.6333333333333258</v>
      </c>
      <c r="AG919" s="257">
        <f>angularseperation(MoonRA,MoonDec,$M919,$O919)</f>
        <v>52.600257274288744</v>
      </c>
      <c r="AH919" s="261">
        <f ca="1">MIN(100,IF($O$5&gt;80,0+30*($AG919/100),IF($O$5&gt;70,0+50*($AG919/100),IF($O$5&gt;60,5+50*($AG919/100),IF($O$5&gt;50,10+60*($AG919/100),IF($O$5&gt;40,15+70*($AG919/100),IF($O$5&gt;30,20+70*($AG919/100),IF($O$5&gt;20,40+55*($AG919/100),(80+(20-$O$5)+30*($AG919/100))))))))))</f>
        <v>99.051137526437046</v>
      </c>
      <c r="AI919" s="263"/>
      <c r="AJ919" s="263"/>
      <c r="AK919" s="263"/>
      <c r="AL919" s="263"/>
      <c r="AM919" s="264"/>
      <c r="AN919" s="263"/>
      <c r="AO919" s="263"/>
      <c r="AP919" s="265"/>
      <c r="AQ919" s="265"/>
      <c r="AR919" s="285"/>
      <c r="AS919" s="263"/>
      <c r="AT919" s="263"/>
      <c r="AU919" s="263"/>
      <c r="AV919" s="264"/>
      <c r="AW919" s="263"/>
      <c r="AX919" s="263">
        <v>43</v>
      </c>
      <c r="AY919" s="263"/>
      <c r="AZ919" s="263"/>
      <c r="BA919" s="263">
        <v>65</v>
      </c>
      <c r="BB919" s="263"/>
      <c r="BC919" s="263"/>
      <c r="BD919" s="264"/>
      <c r="BE919" s="263"/>
      <c r="BF919" s="263"/>
      <c r="BG919" s="263"/>
      <c r="BH919" s="263"/>
      <c r="BI919" s="263"/>
      <c r="BJ919" s="404">
        <f>altaz(J2000_Bas,$O919,$M919,DecLat,DecLong,2)</f>
        <v>213.11049862090604</v>
      </c>
      <c r="BK919" s="378" t="s">
        <v>1008</v>
      </c>
      <c r="BL919" s="379">
        <f>IF((2*G919)/60&lt;0.2,0.2,(2*G919)/60)</f>
        <v>0.2</v>
      </c>
      <c r="BM919" s="380">
        <f>MOD((50000+AD919-$B$3+(0/24)),1)</f>
        <v>0.73187794908153592</v>
      </c>
      <c r="BN919" s="381"/>
      <c r="BO919" s="382">
        <v>913</v>
      </c>
    </row>
    <row r="920" spans="1:67" s="24" customFormat="1" ht="15" customHeight="1" x14ac:dyDescent="0.25">
      <c r="A920" s="297" t="s">
        <v>1009</v>
      </c>
      <c r="B920" s="241" t="str">
        <f>HYPERLINK(CONCATENATE($AT$3,BK920,$AU$3),$AV$3)</f>
        <v>S</v>
      </c>
      <c r="C920" s="242" t="str">
        <f>HYPERLINK(CONCATENATE($AT$4,BK920,$AU$4,BL920),$AV$4)</f>
        <v>A</v>
      </c>
      <c r="D920" s="243" t="s">
        <v>5187</v>
      </c>
      <c r="E920" s="244" t="s">
        <v>5183</v>
      </c>
      <c r="F920" s="269" t="s">
        <v>5180</v>
      </c>
      <c r="G920" s="273">
        <v>2</v>
      </c>
      <c r="H920" s="271">
        <v>16500</v>
      </c>
      <c r="I920" s="244">
        <v>10</v>
      </c>
      <c r="J920" s="246">
        <v>2</v>
      </c>
      <c r="K920" s="247" t="s">
        <v>6112</v>
      </c>
      <c r="L920" s="248">
        <v>123400</v>
      </c>
      <c r="M920" s="249">
        <f>15*(LEFT(TEXT($L920,"000000"),2)+(MID(TEXT($L920,"000000"),3,2)/60)+(RIGHT(TEXT($L920,"000000"),2)/3600))</f>
        <v>188.5</v>
      </c>
      <c r="N920" s="286">
        <v>-614100</v>
      </c>
      <c r="O920" s="251">
        <f>IF($N920&gt;0,(LEFT(TEXT($N920,"000000"),2)+(MID(TEXT($N920,"000000"),3,2)/60)+(RIGHT(TEXT($N920,"000000"),2)/3600)),-(MID(TEXT($N920,"000000"),2,2)+(MID(TEXT($N920,"000000"),4,2)/60)+(RIGHT(TEXT($N920,"000000"),2)/3600)))</f>
        <v>-61.68333333333333</v>
      </c>
      <c r="P920" s="252" t="s">
        <v>980</v>
      </c>
      <c r="Q920" s="253"/>
      <c r="R920" s="277" t="s">
        <v>4494</v>
      </c>
      <c r="S920" s="272" t="s">
        <v>3293</v>
      </c>
      <c r="T920" s="273"/>
      <c r="U920" s="274"/>
      <c r="V920" s="256"/>
      <c r="W920" s="244"/>
      <c r="X920" s="244"/>
      <c r="Y920" s="362"/>
      <c r="Z920" s="257">
        <f>altaz(J2000_Bas,$O920,$M920,DecLat,DecLong,1)</f>
        <v>-30.430827507102585</v>
      </c>
      <c r="AA920" s="257">
        <f>altaz((J2000_Bas+(2*0.04167)),$O920,$M920,DecLat,DecLong,1)</f>
        <v>-44.540767478794393</v>
      </c>
      <c r="AB920" s="257">
        <f>altaz((J2000_Bas+(4*0.04167)),$O920,$M920,DecLat,DecLong,1)</f>
        <v>-56.048987144695502</v>
      </c>
      <c r="AC920" s="257">
        <f>altaz((J2000_Bas+(6*0.04167)),$O920,$M920,DecLat,DecLong,1)</f>
        <v>-58.90153222618757</v>
      </c>
      <c r="AD920" s="258">
        <f>1+ transit((J2000_Bas-1),$O920,$M920,DecLat,DecLong)/360 + (GMTOffset/24) + (IF(DST="Y", 1, 0)/24)</f>
        <v>1.516511019379708</v>
      </c>
      <c r="AE920" s="259">
        <f>DATE(2001,9,21)+(M920/360)*365 - (360*((DecLong/360)- (GMTOffset/24) ))</f>
        <v>37351.118055555555</v>
      </c>
      <c r="AF920" s="260">
        <f>IF(DecLat&gt;0,IF((90 - (DecLat-O920))&gt;90, (90 - (O920-DecLat)), (90 - (DecLat-O920))),IF((90 + (DecLat-O920))&gt;90, (90 + (O920-DecLat)), (90 + (DecLat-O920))))</f>
        <v>-2.6833333333333371</v>
      </c>
      <c r="AG920" s="257">
        <f>angularseperation(MoonRA,MoonDec,$M920,$O920)</f>
        <v>52.61075765280237</v>
      </c>
      <c r="AH920" s="261">
        <f ca="1">MIN(100,IF($O$5&gt;80,0+30*($AG920/100),IF($O$5&gt;70,0+50*($AG920/100),IF($O$5&gt;60,5+50*($AG920/100),IF($O$5&gt;50,10+60*($AG920/100),IF($O$5&gt;40,15+70*($AG920/100),IF($O$5&gt;30,20+70*($AG920/100),IF($O$5&gt;20,40+55*($AG920/100),(80+(20-$O$5)+30*($AG920/100))))))))))</f>
        <v>99.054287639991145</v>
      </c>
      <c r="AI920" s="263"/>
      <c r="AJ920" s="263"/>
      <c r="AK920" s="263"/>
      <c r="AL920" s="263"/>
      <c r="AM920" s="264"/>
      <c r="AN920" s="263"/>
      <c r="AO920" s="263"/>
      <c r="AP920" s="265"/>
      <c r="AQ920" s="265"/>
      <c r="AR920" s="285"/>
      <c r="AS920" s="263"/>
      <c r="AT920" s="263"/>
      <c r="AU920" s="263"/>
      <c r="AV920" s="264"/>
      <c r="AW920" s="263"/>
      <c r="AX920" s="263">
        <v>44</v>
      </c>
      <c r="AY920" s="263"/>
      <c r="AZ920" s="263"/>
      <c r="BA920" s="263">
        <v>66</v>
      </c>
      <c r="BB920" s="263"/>
      <c r="BC920" s="263"/>
      <c r="BD920" s="264"/>
      <c r="BE920" s="263"/>
      <c r="BF920" s="263"/>
      <c r="BG920" s="263"/>
      <c r="BH920" s="263"/>
      <c r="BI920" s="263"/>
      <c r="BJ920" s="404">
        <f>altaz(J2000_Bas,$O920,$M920,DecLat,DecLong,2)</f>
        <v>213.05334993435361</v>
      </c>
      <c r="BK920" s="378" t="s">
        <v>1009</v>
      </c>
      <c r="BL920" s="379">
        <f>IF((2*G920)/60&lt;0.2,0.2,(2*G920)/60)</f>
        <v>0.2</v>
      </c>
      <c r="BM920" s="380">
        <f>MOD((50000+AD920-$B$3+(0/24)),1)</f>
        <v>0.73187794908153592</v>
      </c>
      <c r="BN920" s="381"/>
      <c r="BO920" s="382">
        <v>914</v>
      </c>
    </row>
    <row r="921" spans="1:67" s="24" customFormat="1" ht="15" customHeight="1" x14ac:dyDescent="0.25">
      <c r="A921" s="297" t="s">
        <v>1010</v>
      </c>
      <c r="B921" s="241" t="str">
        <f>HYPERLINK(CONCATENATE($AT$3,BK921,$AU$3),$AV$3)</f>
        <v>S</v>
      </c>
      <c r="C921" s="242" t="str">
        <f>HYPERLINK(CONCATENATE($AT$4,BK921,$AU$4,BL921),$AV$4)</f>
        <v>A</v>
      </c>
      <c r="D921" s="243" t="s">
        <v>5187</v>
      </c>
      <c r="E921" s="244" t="s">
        <v>5181</v>
      </c>
      <c r="F921" s="269" t="s">
        <v>4806</v>
      </c>
      <c r="G921" s="273">
        <v>5</v>
      </c>
      <c r="H921" s="271">
        <v>4250</v>
      </c>
      <c r="I921" s="246">
        <v>6</v>
      </c>
      <c r="J921" s="246">
        <v>2</v>
      </c>
      <c r="K921" s="247" t="s">
        <v>6113</v>
      </c>
      <c r="L921" s="248">
        <v>124400</v>
      </c>
      <c r="M921" s="249">
        <f>15*(LEFT(TEXT($L921,"000000"),2)+(MID(TEXT($L921,"000000"),3,2)/60)+(RIGHT(TEXT($L921,"000000"),2)/3600))</f>
        <v>191</v>
      </c>
      <c r="N921" s="286">
        <v>-623400</v>
      </c>
      <c r="O921" s="251">
        <f>IF($N921&gt;0,(LEFT(TEXT($N921,"000000"),2)+(MID(TEXT($N921,"000000"),3,2)/60)+(RIGHT(TEXT($N921,"000000"),2)/3600)),-(MID(TEXT($N921,"000000"),2,2)+(MID(TEXT($N921,"000000"),4,2)/60)+(RIGHT(TEXT($N921,"000000"),2)/3600)))</f>
        <v>-62.56666666666667</v>
      </c>
      <c r="P921" s="252" t="s">
        <v>928</v>
      </c>
      <c r="Q921" s="253"/>
      <c r="R921" s="277" t="s">
        <v>4493</v>
      </c>
      <c r="S921" s="272" t="s">
        <v>3293</v>
      </c>
      <c r="T921" s="273"/>
      <c r="U921" s="274"/>
      <c r="V921" s="256"/>
      <c r="W921" s="244"/>
      <c r="X921" s="244"/>
      <c r="Y921" s="362"/>
      <c r="Z921" s="257">
        <f>altaz(J2000_Bas,$O921,$M921,DecLat,DecLong,1)</f>
        <v>-29.443005970495697</v>
      </c>
      <c r="AA921" s="257">
        <f>altaz((J2000_Bas+(2*0.04167)),$O921,$M921,DecLat,DecLong,1)</f>
        <v>-43.166771960935705</v>
      </c>
      <c r="AB921" s="257">
        <f>altaz((J2000_Bas+(4*0.04167)),$O921,$M921,DecLat,DecLong,1)</f>
        <v>-54.63981443201348</v>
      </c>
      <c r="AC921" s="257">
        <f>altaz((J2000_Bas+(6*0.04167)),$O921,$M921,DecLat,DecLong,1)</f>
        <v>-58.252044716603166</v>
      </c>
      <c r="AD921" s="258">
        <f>1+ transit((J2000_Bas-1),$O921,$M921,DecLat,DecLong)/360 + (GMTOffset/24) + (IF(DST="Y", 1, 0)/24)</f>
        <v>1.5234554631297079</v>
      </c>
      <c r="AE921" s="259">
        <f>DATE(2001,9,21)+(M921/360)*365 - (360*((DecLong/360)- (GMTOffset/24) ))</f>
        <v>37353.652777777781</v>
      </c>
      <c r="AF921" s="260">
        <f>IF(DecLat&gt;0,IF((90 - (DecLat-O921))&gt;90, (90 - (O921-DecLat)), (90 - (DecLat-O921))),IF((90 + (DecLat-O921))&gt;90, (90 + (O921-DecLat)), (90 + (DecLat-O921))))</f>
        <v>-3.5666666666666629</v>
      </c>
      <c r="AG921" s="257">
        <f>angularseperation(MoonRA,MoonDec,$M921,$O921)</f>
        <v>51.68406568057074</v>
      </c>
      <c r="AH921" s="261">
        <f ca="1">MIN(100,IF($O$5&gt;80,0+30*($AG921/100),IF($O$5&gt;70,0+50*($AG921/100),IF($O$5&gt;60,5+50*($AG921/100),IF($O$5&gt;50,10+60*($AG921/100),IF($O$5&gt;40,15+70*($AG921/100),IF($O$5&gt;30,20+70*($AG921/100),IF($O$5&gt;20,40+55*($AG921/100),(80+(20-$O$5)+30*($AG921/100))))))))))</f>
        <v>98.776280048321652</v>
      </c>
      <c r="AI921" s="263"/>
      <c r="AJ921" s="263"/>
      <c r="AK921" s="263"/>
      <c r="AL921" s="263"/>
      <c r="AM921" s="264"/>
      <c r="AN921" s="263"/>
      <c r="AO921" s="263"/>
      <c r="AP921" s="265"/>
      <c r="AQ921" s="265"/>
      <c r="AR921" s="285"/>
      <c r="AS921" s="263"/>
      <c r="AT921" s="263"/>
      <c r="AU921" s="263"/>
      <c r="AV921" s="264"/>
      <c r="AW921" s="263"/>
      <c r="AX921" s="263">
        <v>45</v>
      </c>
      <c r="AY921" s="263"/>
      <c r="AZ921" s="263"/>
      <c r="BA921" s="263">
        <v>69</v>
      </c>
      <c r="BB921" s="263"/>
      <c r="BC921" s="263"/>
      <c r="BD921" s="264"/>
      <c r="BE921" s="263"/>
      <c r="BF921" s="263"/>
      <c r="BG921" s="263"/>
      <c r="BH921" s="263"/>
      <c r="BI921" s="263"/>
      <c r="BJ921" s="404">
        <f>altaz(J2000_Bas,$O921,$M921,DecLat,DecLong,2)</f>
        <v>211.80498101387687</v>
      </c>
      <c r="BK921" s="378" t="s">
        <v>1010</v>
      </c>
      <c r="BL921" s="379">
        <f>IF((2*G921)/60&lt;0.2,0.2,(2*G921)/60)</f>
        <v>0.2</v>
      </c>
      <c r="BM921" s="380">
        <f>MOD((50000+AD921-$B$3+(0/24)),1)</f>
        <v>0.73882239283557283</v>
      </c>
      <c r="BN921" s="381"/>
      <c r="BO921" s="382">
        <v>915</v>
      </c>
    </row>
    <row r="922" spans="1:67" s="24" customFormat="1" ht="15" customHeight="1" x14ac:dyDescent="0.25">
      <c r="A922" s="297" t="s">
        <v>1011</v>
      </c>
      <c r="B922" s="241" t="str">
        <f>HYPERLINK(CONCATENATE($AT$3,BK922,$AU$3),$AV$3)</f>
        <v>S</v>
      </c>
      <c r="C922" s="242" t="str">
        <f>HYPERLINK(CONCATENATE($AT$4,BK922,$AU$4,BL922),$AV$4)</f>
        <v>A</v>
      </c>
      <c r="D922" s="243" t="s">
        <v>5187</v>
      </c>
      <c r="E922" s="244" t="s">
        <v>5183</v>
      </c>
      <c r="F922" s="269" t="s">
        <v>5180</v>
      </c>
      <c r="G922" s="273">
        <v>3</v>
      </c>
      <c r="H922" s="271">
        <v>7000</v>
      </c>
      <c r="I922" s="279">
        <v>6</v>
      </c>
      <c r="J922" s="246">
        <v>2</v>
      </c>
      <c r="K922" s="247" t="s">
        <v>6114</v>
      </c>
      <c r="L922" s="248">
        <v>125000</v>
      </c>
      <c r="M922" s="249">
        <f>15*(LEFT(TEXT($L922,"000000"),2)+(MID(TEXT($L922,"000000"),3,2)/60)+(RIGHT(TEXT($L922,"000000"),2)/3600))</f>
        <v>192.5</v>
      </c>
      <c r="N922" s="286">
        <v>-613500</v>
      </c>
      <c r="O922" s="251">
        <f>IF($N922&gt;0,(LEFT(TEXT($N922,"000000"),2)+(MID(TEXT($N922,"000000"),3,2)/60)+(RIGHT(TEXT($N922,"000000"),2)/3600)),-(MID(TEXT($N922,"000000"),2,2)+(MID(TEXT($N922,"000000"),4,2)/60)+(RIGHT(TEXT($N922,"000000"),2)/3600)))</f>
        <v>-61.583333333333336</v>
      </c>
      <c r="P922" s="252" t="s">
        <v>928</v>
      </c>
      <c r="Q922" s="253"/>
      <c r="R922" s="277" t="s">
        <v>4492</v>
      </c>
      <c r="S922" s="272" t="s">
        <v>3293</v>
      </c>
      <c r="T922" s="273"/>
      <c r="U922" s="274"/>
      <c r="V922" s="256"/>
      <c r="W922" s="244"/>
      <c r="X922" s="244"/>
      <c r="Y922" s="362"/>
      <c r="Z922" s="257">
        <f>altaz(J2000_Bas,$O922,$M922,DecLat,DecLong,1)</f>
        <v>-28.548476685191307</v>
      </c>
      <c r="AA922" s="257">
        <f>altaz((J2000_Bas+(2*0.04167)),$O922,$M922,DecLat,DecLong,1)</f>
        <v>-42.737338246800377</v>
      </c>
      <c r="AB922" s="257">
        <f>altaz((J2000_Bas+(4*0.04167)),$O922,$M922,DecLat,DecLong,1)</f>
        <v>-54.942568527689936</v>
      </c>
      <c r="AC922" s="257">
        <f>altaz((J2000_Bas+(6*0.04167)),$O922,$M922,DecLat,DecLong,1)</f>
        <v>-59.318130597106027</v>
      </c>
      <c r="AD922" s="258">
        <f>1+ transit((J2000_Bas-1),$O922,$M922,DecLat,DecLong)/360 + (GMTOffset/24) + (IF(DST="Y", 1, 0)/24)</f>
        <v>1.5276221293797081</v>
      </c>
      <c r="AE922" s="259">
        <f>DATE(2001,9,21)+(M922/360)*365 - (360*((DecLong/360)- (GMTOffset/24) ))</f>
        <v>37355.173611111109</v>
      </c>
      <c r="AF922" s="260">
        <f>IF(DecLat&gt;0,IF((90 - (DecLat-O922))&gt;90, (90 - (O922-DecLat)), (90 - (DecLat-O922))),IF((90 + (DecLat-O922))&gt;90, (90 + (O922-DecLat)), (90 + (DecLat-O922))))</f>
        <v>-2.5833333333333428</v>
      </c>
      <c r="AG922" s="257">
        <f>angularseperation(MoonRA,MoonDec,$M922,$O922)</f>
        <v>50.74314684704121</v>
      </c>
      <c r="AH922" s="261">
        <f ca="1">MIN(100,IF($O$5&gt;80,0+30*($AG922/100),IF($O$5&gt;70,0+50*($AG922/100),IF($O$5&gt;60,5+50*($AG922/100),IF($O$5&gt;50,10+60*($AG922/100),IF($O$5&gt;40,15+70*($AG922/100),IF($O$5&gt;30,20+70*($AG922/100),IF($O$5&gt;20,40+55*($AG922/100),(80+(20-$O$5)+30*($AG922/100))))))))))</f>
        <v>98.494004398262788</v>
      </c>
      <c r="AI922" s="263"/>
      <c r="AJ922" s="263"/>
      <c r="AK922" s="263"/>
      <c r="AL922" s="263"/>
      <c r="AM922" s="264"/>
      <c r="AN922" s="263"/>
      <c r="AO922" s="263"/>
      <c r="AP922" s="265"/>
      <c r="AQ922" s="265"/>
      <c r="AR922" s="285"/>
      <c r="AS922" s="263"/>
      <c r="AT922" s="263"/>
      <c r="AU922" s="263"/>
      <c r="AV922" s="264"/>
      <c r="AW922" s="263"/>
      <c r="AX922" s="263">
        <v>46</v>
      </c>
      <c r="AY922" s="263"/>
      <c r="AZ922" s="263"/>
      <c r="BA922" s="263">
        <v>71</v>
      </c>
      <c r="BB922" s="263"/>
      <c r="BC922" s="263"/>
      <c r="BD922" s="264"/>
      <c r="BE922" s="263"/>
      <c r="BF922" s="263"/>
      <c r="BG922" s="263"/>
      <c r="BH922" s="263"/>
      <c r="BI922" s="263"/>
      <c r="BJ922" s="404">
        <f>altaz(J2000_Bas,$O922,$M922,DecLat,DecLong,2)</f>
        <v>212.73387548195075</v>
      </c>
      <c r="BK922" s="378" t="s">
        <v>1011</v>
      </c>
      <c r="BL922" s="379">
        <f>IF((2*G922)/60&lt;0.2,0.2,(2*G922)/60)</f>
        <v>0.2</v>
      </c>
      <c r="BM922" s="380">
        <f>MOD((50000+AD922-$B$3+(0/24)),1)</f>
        <v>0.74298905908653978</v>
      </c>
      <c r="BN922" s="381"/>
      <c r="BO922" s="382">
        <v>916</v>
      </c>
    </row>
    <row r="923" spans="1:67" s="24" customFormat="1" ht="15" customHeight="1" x14ac:dyDescent="0.25">
      <c r="A923" s="297" t="s">
        <v>6116</v>
      </c>
      <c r="B923" s="241" t="str">
        <f>HYPERLINK(CONCATENATE($AT$3,BK923,$AU$3),$AV$3)</f>
        <v>S</v>
      </c>
      <c r="C923" s="242" t="str">
        <f>HYPERLINK(CONCATENATE($AT$4,BK923,$AU$4,BL923),$AV$4)</f>
        <v>A</v>
      </c>
      <c r="D923" s="243" t="s">
        <v>5187</v>
      </c>
      <c r="E923" s="244" t="s">
        <v>5183</v>
      </c>
      <c r="F923" s="269" t="s">
        <v>5180</v>
      </c>
      <c r="G923" s="276">
        <v>30</v>
      </c>
      <c r="H923" s="271">
        <v>7000</v>
      </c>
      <c r="I923" s="246">
        <v>60</v>
      </c>
      <c r="J923" s="246">
        <v>3</v>
      </c>
      <c r="K923" s="247" t="s">
        <v>6120</v>
      </c>
      <c r="L923" s="248">
        <v>131900</v>
      </c>
      <c r="M923" s="249">
        <f>15*(LEFT(TEXT($L923,"000000"),2)+(MID(TEXT($L923,"000000"),3,2)/60)+(RIGHT(TEXT($L923,"000000"),2)/3600))</f>
        <v>199.75</v>
      </c>
      <c r="N923" s="286">
        <v>-623500</v>
      </c>
      <c r="O923" s="251">
        <f>IF($N923&gt;0,(LEFT(TEXT($N923,"000000"),2)+(MID(TEXT($N923,"000000"),3,2)/60)+(RIGHT(TEXT($N923,"000000"),2)/3600)),-(MID(TEXT($N923,"000000"),2,2)+(MID(TEXT($N923,"000000"),4,2)/60)+(RIGHT(TEXT($N923,"000000"),2)/3600)))</f>
        <v>-62.583333333333336</v>
      </c>
      <c r="P923" s="252" t="s">
        <v>927</v>
      </c>
      <c r="Q923" s="253"/>
      <c r="R923" s="277" t="s">
        <v>6055</v>
      </c>
      <c r="S923" s="272" t="s">
        <v>3293</v>
      </c>
      <c r="T923" s="273"/>
      <c r="U923" s="274"/>
      <c r="V923" s="256"/>
      <c r="W923" s="244"/>
      <c r="X923" s="244"/>
      <c r="Y923" s="362"/>
      <c r="Z923" s="257">
        <f>altaz(J2000_Bas,$O923,$M923,DecLat,DecLong,1)</f>
        <v>-25.556052237163815</v>
      </c>
      <c r="AA923" s="257">
        <f>altaz((J2000_Bas+(2*0.04167)),$O923,$M923,DecLat,DecLong,1)</f>
        <v>-39.219635902198704</v>
      </c>
      <c r="AB923" s="257">
        <f>altaz((J2000_Bas+(4*0.04167)),$O923,$M923,DecLat,DecLong,1)</f>
        <v>-51.81491358687137</v>
      </c>
      <c r="AC923" s="257">
        <f>altaz((J2000_Bas+(6*0.04167)),$O923,$M923,DecLat,DecLong,1)</f>
        <v>-58.336509551840649</v>
      </c>
      <c r="AD923" s="258">
        <f>1+ transit((J2000_Bas-1),$O923,$M923,DecLat,DecLong)/360 + (GMTOffset/24) + (IF(DST="Y", 1, 0)/24)</f>
        <v>1.547761016254708</v>
      </c>
      <c r="AE923" s="259">
        <f>DATE(2001,9,21)+(M923/360)*365 - (360*((DecLong/360)- (GMTOffset/24) ))</f>
        <v>37362.524305555555</v>
      </c>
      <c r="AF923" s="260">
        <f>IF(DecLat&gt;0,IF((90 - (DecLat-O923))&gt;90, (90 - (O923-DecLat)), (90 - (DecLat-O923))),IF((90 + (DecLat-O923))&gt;90, (90 + (O923-DecLat)), (90 + (DecLat-O923))))</f>
        <v>-3.5833333333333428</v>
      </c>
      <c r="AG923" s="257">
        <f>angularseperation(MoonRA,MoonDec,$M923,$O923)</f>
        <v>47.897916897345198</v>
      </c>
      <c r="AH923" s="261">
        <f ca="1">MIN(100,IF($O$5&gt;80,0+30*($AG923/100),IF($O$5&gt;70,0+50*($AG923/100),IF($O$5&gt;60,5+50*($AG923/100),IF($O$5&gt;50,10+60*($AG923/100),IF($O$5&gt;40,15+70*($AG923/100),IF($O$5&gt;30,20+70*($AG923/100),IF($O$5&gt;20,40+55*($AG923/100),(80+(20-$O$5)+30*($AG923/100))))))))))</f>
        <v>97.640435413353984</v>
      </c>
      <c r="AI923" s="263"/>
      <c r="AJ923" s="263"/>
      <c r="AK923" s="263"/>
      <c r="AL923" s="263"/>
      <c r="AM923" s="264"/>
      <c r="AN923" s="263"/>
      <c r="AO923" s="263"/>
      <c r="AP923" s="265"/>
      <c r="AQ923" s="265"/>
      <c r="AR923" s="285"/>
      <c r="AS923" s="263"/>
      <c r="AT923" s="263"/>
      <c r="AU923" s="263"/>
      <c r="AV923" s="264"/>
      <c r="AW923" s="263"/>
      <c r="AX923" s="263">
        <v>48</v>
      </c>
      <c r="AY923" s="263"/>
      <c r="AZ923" s="263"/>
      <c r="BA923" s="263">
        <v>75</v>
      </c>
      <c r="BB923" s="263"/>
      <c r="BC923" s="263"/>
      <c r="BD923" s="264"/>
      <c r="BE923" s="263"/>
      <c r="BF923" s="263"/>
      <c r="BG923" s="263"/>
      <c r="BH923" s="263"/>
      <c r="BI923" s="263"/>
      <c r="BJ923" s="404">
        <f>altaz(J2000_Bas,$O923,$M923,DecLat,DecLong,2)</f>
        <v>210.61732944501341</v>
      </c>
      <c r="BK923" s="378" t="s">
        <v>6116</v>
      </c>
      <c r="BL923" s="379">
        <f>IF((2*G923)/60&lt;0.2,0.2,(2*G923)/60)</f>
        <v>1</v>
      </c>
      <c r="BM923" s="380">
        <f>MOD((50000+AD923-$B$3+(0/24)),1)</f>
        <v>0.7631279459601501</v>
      </c>
      <c r="BN923" s="381"/>
      <c r="BO923" s="382">
        <v>917</v>
      </c>
    </row>
    <row r="924" spans="1:67" s="24" customFormat="1" ht="15" customHeight="1" x14ac:dyDescent="0.25">
      <c r="A924" s="297" t="s">
        <v>6117</v>
      </c>
      <c r="B924" s="241" t="str">
        <f>HYPERLINK(CONCATENATE($AT$3,BK924,$AU$3),$AV$3)</f>
        <v>S</v>
      </c>
      <c r="C924" s="242" t="str">
        <f>HYPERLINK(CONCATENATE($AT$4,BK924,$AU$4,BL924),$AV$4)</f>
        <v>A</v>
      </c>
      <c r="D924" s="243" t="s">
        <v>5187</v>
      </c>
      <c r="E924" s="244" t="s">
        <v>5183</v>
      </c>
      <c r="F924" s="269" t="s">
        <v>5180</v>
      </c>
      <c r="G924" s="276">
        <v>40</v>
      </c>
      <c r="H924" s="271">
        <v>24500</v>
      </c>
      <c r="I924" s="246">
        <v>290</v>
      </c>
      <c r="J924" s="246">
        <v>2</v>
      </c>
      <c r="K924" s="247" t="s">
        <v>6122</v>
      </c>
      <c r="L924" s="248">
        <v>133400</v>
      </c>
      <c r="M924" s="249">
        <f>15*(LEFT(TEXT($L924,"000000"),2)+(MID(TEXT($L924,"000000"),3,2)/60)+(RIGHT(TEXT($L924,"000000"),2)/3600))</f>
        <v>203.5</v>
      </c>
      <c r="N924" s="286">
        <v>-621400</v>
      </c>
      <c r="O924" s="251">
        <f>IF($N924&gt;0,(LEFT(TEXT($N924,"000000"),2)+(MID(TEXT($N924,"000000"),3,2)/60)+(RIGHT(TEXT($N924,"000000"),2)/3600)),-(MID(TEXT($N924,"000000"),2,2)+(MID(TEXT($N924,"000000"),4,2)/60)+(RIGHT(TEXT($N924,"000000"),2)/3600)))</f>
        <v>-62.233333333333334</v>
      </c>
      <c r="P924" s="252" t="s">
        <v>927</v>
      </c>
      <c r="Q924" s="253"/>
      <c r="R924" s="277" t="s">
        <v>6121</v>
      </c>
      <c r="S924" s="272" t="s">
        <v>3293</v>
      </c>
      <c r="T924" s="273"/>
      <c r="U924" s="274"/>
      <c r="V924" s="256"/>
      <c r="W924" s="244"/>
      <c r="X924" s="244"/>
      <c r="Y924" s="362"/>
      <c r="Z924" s="257">
        <f>altaz(J2000_Bas,$O924,$M924,DecLat,DecLong,1)</f>
        <v>-23.805157537111292</v>
      </c>
      <c r="AA924" s="257">
        <f>altaz((J2000_Bas+(2*0.04167)),$O924,$M924,DecLat,DecLong,1)</f>
        <v>-37.525230188471376</v>
      </c>
      <c r="AB924" s="257">
        <f>altaz((J2000_Bas+(4*0.04167)),$O924,$M924,DecLat,DecLong,1)</f>
        <v>-50.648413062940065</v>
      </c>
      <c r="AC924" s="257">
        <f>altaz((J2000_Bas+(6*0.04167)),$O924,$M924,DecLat,DecLong,1)</f>
        <v>-58.416257251358743</v>
      </c>
      <c r="AD924" s="258">
        <f>1+ transit((J2000_Bas-1),$O924,$M924,DecLat,DecLong)/360 + (GMTOffset/24) + (IF(DST="Y", 1, 0)/24)</f>
        <v>1.5581776818797082</v>
      </c>
      <c r="AE924" s="259">
        <f>DATE(2001,9,21)+(M924/360)*365 - (360*((DecLong/360)- (GMTOffset/24) ))</f>
        <v>37366.326388888891</v>
      </c>
      <c r="AF924" s="260">
        <f>IF(DecLat&gt;0,IF((90 - (DecLat-O924))&gt;90, (90 - (O924-DecLat)), (90 - (DecLat-O924))),IF((90 + (DecLat-O924))&gt;90, (90 + (O924-DecLat)), (90 + (DecLat-O924))))</f>
        <v>-3.2333333333333343</v>
      </c>
      <c r="AG924" s="257">
        <f>angularseperation(MoonRA,MoonDec,$M924,$O924)</f>
        <v>46.183937385903313</v>
      </c>
      <c r="AH924" s="261">
        <f ca="1">MIN(100,IF($O$5&gt;80,0+30*($AG924/100),IF($O$5&gt;70,0+50*($AG924/100),IF($O$5&gt;60,5+50*($AG924/100),IF($O$5&gt;50,10+60*($AG924/100),IF($O$5&gt;40,15+70*($AG924/100),IF($O$5&gt;30,20+70*($AG924/100),IF($O$5&gt;20,40+55*($AG924/100),(80+(20-$O$5)+30*($AG924/100))))))))))</f>
        <v>97.126241559921425</v>
      </c>
      <c r="AI924" s="263"/>
      <c r="AJ924" s="263"/>
      <c r="AK924" s="263"/>
      <c r="AL924" s="263"/>
      <c r="AM924" s="264"/>
      <c r="AN924" s="263"/>
      <c r="AO924" s="263"/>
      <c r="AP924" s="265"/>
      <c r="AQ924" s="265"/>
      <c r="AR924" s="285"/>
      <c r="AS924" s="263"/>
      <c r="AT924" s="263"/>
      <c r="AU924" s="263"/>
      <c r="AV924" s="264"/>
      <c r="AW924" s="263"/>
      <c r="AX924" s="263">
        <v>48</v>
      </c>
      <c r="AY924" s="263"/>
      <c r="AZ924" s="263"/>
      <c r="BA924" s="263">
        <v>78</v>
      </c>
      <c r="BB924" s="263"/>
      <c r="BC924" s="263"/>
      <c r="BD924" s="264"/>
      <c r="BE924" s="263"/>
      <c r="BF924" s="263"/>
      <c r="BG924" s="263"/>
      <c r="BH924" s="263"/>
      <c r="BI924" s="263"/>
      <c r="BJ924" s="404">
        <f>altaz(J2000_Bas,$O924,$M924,DecLat,DecLong,2)</f>
        <v>210.32067544282862</v>
      </c>
      <c r="BK924" s="378" t="s">
        <v>6117</v>
      </c>
      <c r="BL924" s="379">
        <f>IF((2*G924)/60&lt;0.2,0.2,(2*G924)/60)</f>
        <v>1.3333333333333333</v>
      </c>
      <c r="BM924" s="380">
        <f>MOD((50000+AD924-$B$3+(0/24)),1)</f>
        <v>0.77354461158392951</v>
      </c>
      <c r="BN924" s="381"/>
      <c r="BO924" s="382">
        <v>918</v>
      </c>
    </row>
    <row r="925" spans="1:67" s="24" customFormat="1" ht="15" customHeight="1" x14ac:dyDescent="0.25">
      <c r="A925" s="297" t="s">
        <v>6118</v>
      </c>
      <c r="B925" s="241" t="str">
        <f>HYPERLINK(CONCATENATE($AT$3,BK925,$AU$3),$AV$3)</f>
        <v>S</v>
      </c>
      <c r="C925" s="242" t="str">
        <f>HYPERLINK(CONCATENATE($AT$4,BK925,$AU$4,BL925),$AV$4)</f>
        <v>A</v>
      </c>
      <c r="D925" s="243" t="s">
        <v>5187</v>
      </c>
      <c r="E925" s="244" t="s">
        <v>5183</v>
      </c>
      <c r="F925" s="269" t="s">
        <v>5180</v>
      </c>
      <c r="G925" s="276">
        <v>12</v>
      </c>
      <c r="H925" s="271">
        <v>17500</v>
      </c>
      <c r="I925" s="246">
        <v>60</v>
      </c>
      <c r="J925" s="246">
        <v>2</v>
      </c>
      <c r="K925" s="247" t="s">
        <v>6124</v>
      </c>
      <c r="L925" s="248">
        <v>134000</v>
      </c>
      <c r="M925" s="249">
        <f>15*(LEFT(TEXT($L925,"000000"),2)+(MID(TEXT($L925,"000000"),3,2)/60)+(RIGHT(TEXT($L925,"000000"),2)/3600))</f>
        <v>205</v>
      </c>
      <c r="N925" s="286">
        <v>-614100</v>
      </c>
      <c r="O925" s="251">
        <f>IF($N925&gt;0,(LEFT(TEXT($N925,"000000"),2)+(MID(TEXT($N925,"000000"),3,2)/60)+(RIGHT(TEXT($N925,"000000"),2)/3600)),-(MID(TEXT($N925,"000000"),2,2)+(MID(TEXT($N925,"000000"),4,2)/60)+(RIGHT(TEXT($N925,"000000"),2)/3600)))</f>
        <v>-61.68333333333333</v>
      </c>
      <c r="P925" s="252" t="s">
        <v>927</v>
      </c>
      <c r="Q925" s="253"/>
      <c r="R925" s="277" t="s">
        <v>6123</v>
      </c>
      <c r="S925" s="272" t="s">
        <v>3293</v>
      </c>
      <c r="T925" s="273"/>
      <c r="U925" s="274"/>
      <c r="V925" s="256"/>
      <c r="W925" s="244"/>
      <c r="X925" s="244"/>
      <c r="Y925" s="362"/>
      <c r="Z925" s="257">
        <f>altaz(J2000_Bas,$O925,$M925,DecLat,DecLong,1)</f>
        <v>-22.943402883240406</v>
      </c>
      <c r="AA925" s="257">
        <f>altaz((J2000_Bas+(2*0.04167)),$O925,$M925,DecLat,DecLong,1)</f>
        <v>-36.848081941828475</v>
      </c>
      <c r="AB925" s="257">
        <f>altaz((J2000_Bas+(4*0.04167)),$O925,$M925,DecLat,DecLong,1)</f>
        <v>-50.367847497017898</v>
      </c>
      <c r="AC925" s="257">
        <f>altaz((J2000_Bas+(6*0.04167)),$O925,$M925,DecLat,DecLong,1)</f>
        <v>-58.79017070573984</v>
      </c>
      <c r="AD925" s="258">
        <f>1+ transit((J2000_Bas-1),$O925,$M925,DecLat,DecLong)/360 + (GMTOffset/24) + (IF(DST="Y", 1, 0)/24)</f>
        <v>1.5623443481297079</v>
      </c>
      <c r="AE925" s="259">
        <f>DATE(2001,9,21)+(M925/360)*365 - (360*((DecLong/360)- (GMTOffset/24) ))</f>
        <v>37367.847222222219</v>
      </c>
      <c r="AF925" s="260">
        <f>IF(DecLat&gt;0,IF((90 - (DecLat-O925))&gt;90, (90 - (O925-DecLat)), (90 - (DecLat-O925))),IF((90 + (DecLat-O925))&gt;90, (90 + (O925-DecLat)), (90 + (DecLat-O925))))</f>
        <v>-2.6833333333333371</v>
      </c>
      <c r="AG925" s="257">
        <f>angularseperation(MoonRA,MoonDec,$M925,$O925)</f>
        <v>45.301826382976159</v>
      </c>
      <c r="AH925" s="261">
        <f ca="1">MIN(100,IF($O$5&gt;80,0+30*($AG925/100),IF($O$5&gt;70,0+50*($AG925/100),IF($O$5&gt;60,5+50*($AG925/100),IF($O$5&gt;50,10+60*($AG925/100),IF($O$5&gt;40,15+70*($AG925/100),IF($O$5&gt;30,20+70*($AG925/100),IF($O$5&gt;20,40+55*($AG925/100),(80+(20-$O$5)+30*($AG925/100))))))))))</f>
        <v>96.86160825904328</v>
      </c>
      <c r="AI925" s="263"/>
      <c r="AJ925" s="263"/>
      <c r="AK925" s="263"/>
      <c r="AL925" s="263"/>
      <c r="AM925" s="264"/>
      <c r="AN925" s="263"/>
      <c r="AO925" s="263"/>
      <c r="AP925" s="265"/>
      <c r="AQ925" s="265"/>
      <c r="AR925" s="285"/>
      <c r="AS925" s="263"/>
      <c r="AT925" s="263"/>
      <c r="AU925" s="263"/>
      <c r="AV925" s="264"/>
      <c r="AW925" s="263"/>
      <c r="AX925" s="263">
        <v>48</v>
      </c>
      <c r="AY925" s="263"/>
      <c r="AZ925" s="263"/>
      <c r="BA925" s="263">
        <v>79</v>
      </c>
      <c r="BB925" s="263"/>
      <c r="BC925" s="263"/>
      <c r="BD925" s="264"/>
      <c r="BE925" s="263"/>
      <c r="BF925" s="263"/>
      <c r="BG925" s="263"/>
      <c r="BH925" s="263"/>
      <c r="BI925" s="263"/>
      <c r="BJ925" s="404">
        <f>altaz(J2000_Bas,$O925,$M925,DecLat,DecLong,2)</f>
        <v>210.58094836961453</v>
      </c>
      <c r="BK925" s="378" t="s">
        <v>6123</v>
      </c>
      <c r="BL925" s="379">
        <f>IF((2*G925)/60&lt;0.2,0.2,(2*G925)/60)</f>
        <v>0.4</v>
      </c>
      <c r="BM925" s="380">
        <f>MOD((50000+AD925-$B$3+(0/24)),1)</f>
        <v>0.77771127783489646</v>
      </c>
      <c r="BN925" s="381"/>
      <c r="BO925" s="382">
        <v>919</v>
      </c>
    </row>
    <row r="926" spans="1:67" s="24" customFormat="1" ht="15" customHeight="1" x14ac:dyDescent="0.25">
      <c r="A926" s="297" t="s">
        <v>6119</v>
      </c>
      <c r="B926" s="241" t="str">
        <f>HYPERLINK(CONCATENATE($AT$3,BK926,$AU$3),$AV$3)</f>
        <v>S</v>
      </c>
      <c r="C926" s="242" t="str">
        <f>HYPERLINK(CONCATENATE($AT$4,BK926,$AU$4,BL926),$AV$4)</f>
        <v>A</v>
      </c>
      <c r="D926" s="243" t="s">
        <v>5187</v>
      </c>
      <c r="E926" s="244" t="s">
        <v>5183</v>
      </c>
      <c r="F926" s="269" t="s">
        <v>5180</v>
      </c>
      <c r="G926" s="276">
        <v>25</v>
      </c>
      <c r="H926" s="271">
        <v>11500</v>
      </c>
      <c r="I926" s="246">
        <v>85</v>
      </c>
      <c r="J926" s="246">
        <v>2</v>
      </c>
      <c r="K926" s="247" t="s">
        <v>6126</v>
      </c>
      <c r="L926" s="248">
        <v>134700</v>
      </c>
      <c r="M926" s="249">
        <f>15*(LEFT(TEXT($L926,"000000"),2)+(MID(TEXT($L926,"000000"),3,2)/60)+(RIGHT(TEXT($L926,"000000"),2)/3600))</f>
        <v>206.75</v>
      </c>
      <c r="N926" s="286">
        <v>-623400</v>
      </c>
      <c r="O926" s="251">
        <f>IF($N926&gt;0,(LEFT(TEXT($N926,"000000"),2)+(MID(TEXT($N926,"000000"),3,2)/60)+(RIGHT(TEXT($N926,"000000"),2)/3600)),-(MID(TEXT($N926,"000000"),2,2)+(MID(TEXT($N926,"000000"),4,2)/60)+(RIGHT(TEXT($N926,"000000"),2)/3600)))</f>
        <v>-62.56666666666667</v>
      </c>
      <c r="P926" s="252" t="s">
        <v>927</v>
      </c>
      <c r="Q926" s="253"/>
      <c r="R926" s="277" t="s">
        <v>6125</v>
      </c>
      <c r="S926" s="272" t="s">
        <v>3293</v>
      </c>
      <c r="T926" s="273"/>
      <c r="U926" s="274"/>
      <c r="V926" s="256"/>
      <c r="W926" s="244"/>
      <c r="X926" s="244"/>
      <c r="Y926" s="362"/>
      <c r="Z926" s="257">
        <f>altaz(J2000_Bas,$O926,$M926,DecLat,DecLong,1)</f>
        <v>-22.549295934986926</v>
      </c>
      <c r="AA926" s="257">
        <f>altaz((J2000_Bas+(2*0.04167)),$O926,$M926,DecLat,DecLong,1)</f>
        <v>-36.007153764266555</v>
      </c>
      <c r="AB926" s="257">
        <f>altaz((J2000_Bas+(4*0.04167)),$O926,$M926,DecLat,DecLong,1)</f>
        <v>-49.205925884001608</v>
      </c>
      <c r="AC926" s="257">
        <f>altaz((J2000_Bas+(6*0.04167)),$O926,$M926,DecLat,DecLong,1)</f>
        <v>-57.717679132660471</v>
      </c>
      <c r="AD926" s="258">
        <f>1+ transit((J2000_Bas-1),$O926,$M926,DecLat,DecLong)/360 + (GMTOffset/24) + (IF(DST="Y", 1, 0)/24)</f>
        <v>1.567205458754708</v>
      </c>
      <c r="AE926" s="259">
        <f>DATE(2001,9,21)+(M926/360)*365 - (360*((DecLong/360)- (GMTOffset/24) ))</f>
        <v>37369.621527777781</v>
      </c>
      <c r="AF926" s="260">
        <f>IF(DecLat&gt;0,IF((90 - (DecLat-O926))&gt;90, (90 - (O926-DecLat)), (90 - (DecLat-O926))),IF((90 + (DecLat-O926))&gt;90, (90 + (O926-DecLat)), (90 + (DecLat-O926))))</f>
        <v>-3.5666666666666629</v>
      </c>
      <c r="AG926" s="257">
        <f>angularseperation(MoonRA,MoonDec,$M926,$O926)</f>
        <v>45.043961652053312</v>
      </c>
      <c r="AH926" s="261">
        <f ca="1">MIN(100,IF($O$5&gt;80,0+30*($AG926/100),IF($O$5&gt;70,0+50*($AG926/100),IF($O$5&gt;60,5+50*($AG926/100),IF($O$5&gt;50,10+60*($AG926/100),IF($O$5&gt;40,15+70*($AG926/100),IF($O$5&gt;30,20+70*($AG926/100),IF($O$5&gt;20,40+55*($AG926/100),(80+(20-$O$5)+30*($AG926/100))))))))))</f>
        <v>96.78424883976642</v>
      </c>
      <c r="AI926" s="263"/>
      <c r="AJ926" s="263"/>
      <c r="AK926" s="263"/>
      <c r="AL926" s="263"/>
      <c r="AM926" s="264"/>
      <c r="AN926" s="263"/>
      <c r="AO926" s="263"/>
      <c r="AP926" s="265"/>
      <c r="AQ926" s="265"/>
      <c r="AR926" s="285"/>
      <c r="AS926" s="263"/>
      <c r="AT926" s="263"/>
      <c r="AU926" s="263"/>
      <c r="AV926" s="264"/>
      <c r="AW926" s="263"/>
      <c r="AX926" s="263">
        <v>48</v>
      </c>
      <c r="AY926" s="263"/>
      <c r="AZ926" s="263"/>
      <c r="BA926" s="263">
        <v>80</v>
      </c>
      <c r="BB926" s="263"/>
      <c r="BC926" s="263"/>
      <c r="BD926" s="264"/>
      <c r="BE926" s="263"/>
      <c r="BF926" s="263"/>
      <c r="BG926" s="263"/>
      <c r="BH926" s="263"/>
      <c r="BI926" s="263"/>
      <c r="BJ926" s="404">
        <f>altaz(J2000_Bas,$O926,$M926,DecLat,DecLong,2)</f>
        <v>209.34736410614389</v>
      </c>
      <c r="BK926" s="378" t="s">
        <v>6119</v>
      </c>
      <c r="BL926" s="379">
        <f>IF((2*G926)/60&lt;0.2,0.2,(2*G926)/60)</f>
        <v>0.83333333333333337</v>
      </c>
      <c r="BM926" s="380">
        <f>MOD((50000+AD926-$B$3+(0/24)),1)</f>
        <v>0.78257238845981192</v>
      </c>
      <c r="BN926" s="381"/>
      <c r="BO926" s="382">
        <v>920</v>
      </c>
    </row>
    <row r="927" spans="1:67" s="24" customFormat="1" ht="15" customHeight="1" x14ac:dyDescent="0.25">
      <c r="A927" s="297" t="s">
        <v>1013</v>
      </c>
      <c r="B927" s="241" t="str">
        <f>HYPERLINK(CONCATENATE($AT$3,BK927,$AU$3),$AV$3)</f>
        <v>S</v>
      </c>
      <c r="C927" s="242" t="str">
        <f>HYPERLINK(CONCATENATE($AT$4,BK927,$AU$4,BL927),$AV$4)</f>
        <v>A</v>
      </c>
      <c r="D927" s="243" t="s">
        <v>5187</v>
      </c>
      <c r="E927" s="244" t="s">
        <v>5183</v>
      </c>
      <c r="F927" s="269" t="s">
        <v>5180</v>
      </c>
      <c r="G927" s="311">
        <v>5</v>
      </c>
      <c r="H927" s="271">
        <v>11500</v>
      </c>
      <c r="I927" s="246">
        <v>18</v>
      </c>
      <c r="J927" s="246">
        <v>3</v>
      </c>
      <c r="K927" s="247" t="s">
        <v>6127</v>
      </c>
      <c r="L927" s="312">
        <v>155900</v>
      </c>
      <c r="M927" s="249">
        <f>15*(LEFT(TEXT($L927,"000000"),2)+(MID(TEXT($L927,"000000"),3,2)/60)+(RIGHT(TEXT($L927,"000000"),2)/3600))</f>
        <v>239.75</v>
      </c>
      <c r="N927" s="313">
        <v>-534500</v>
      </c>
      <c r="O927" s="251">
        <f>IF($N927&gt;0,(LEFT(TEXT($N927,"000000"),2)+(MID(TEXT($N927,"000000"),3,2)/60)+(RIGHT(TEXT($N927,"000000"),2)/3600)),-(MID(TEXT($N927,"000000"),2,2)+(MID(TEXT($N927,"000000"),4,2)/60)+(RIGHT(TEXT($N927,"000000"),2)/3600)))</f>
        <v>-53.75</v>
      </c>
      <c r="P927" s="314" t="s">
        <v>1012</v>
      </c>
      <c r="Q927" s="315"/>
      <c r="R927" s="277" t="s">
        <v>4491</v>
      </c>
      <c r="S927" s="272" t="s">
        <v>3293</v>
      </c>
      <c r="T927" s="311"/>
      <c r="U927" s="316"/>
      <c r="V927" s="317"/>
      <c r="W927" s="318"/>
      <c r="X927" s="318"/>
      <c r="Y927" s="363"/>
      <c r="Z927" s="257">
        <f>altaz(J2000_Bas,$O927,$M927,DecLat,DecLong,1)</f>
        <v>-3.7195138603885485</v>
      </c>
      <c r="AA927" s="257">
        <f>altaz((J2000_Bas+(2*0.04167)),$O927,$M927,DecLat,DecLong,1)</f>
        <v>-17.195165630541315</v>
      </c>
      <c r="AB927" s="257">
        <f>altaz((J2000_Bas+(4*0.04167)),$O927,$M927,DecLat,DecLong,1)</f>
        <v>-33.961732978773625</v>
      </c>
      <c r="AC927" s="257">
        <f>altaz((J2000_Bas+(6*0.04167)),$O927,$M927,DecLat,DecLong,1)</f>
        <v>-51.540199041543829</v>
      </c>
      <c r="AD927" s="258">
        <f>1+ transit((J2000_Bas-1),$O927,$M927,DecLat,DecLong)/360 + (GMTOffset/24) + (IF(DST="Y", 1, 0)/24)</f>
        <v>1.658872116254708</v>
      </c>
      <c r="AE927" s="259">
        <f>DATE(2001,9,21)+(M927/360)*365 - (360*((DecLong/360)- (GMTOffset/24) ))</f>
        <v>37403.079861111109</v>
      </c>
      <c r="AF927" s="260">
        <f>IF(DecLat&gt;0,IF((90 - (DecLat-O927))&gt;90, (90 - (O927-DecLat)), (90 - (DecLat-O927))),IF((90 + (DecLat-O927))&gt;90, (90 + (O927-DecLat)), (90 + (DecLat-O927))))</f>
        <v>5.25</v>
      </c>
      <c r="AG927" s="257">
        <f>angularseperation(MoonRA,MoonDec,$M927,$O927)</f>
        <v>27.571900685296622</v>
      </c>
      <c r="AH927" s="261">
        <f ca="1">MIN(100,IF($O$5&gt;80,0+30*($AG927/100),IF($O$5&gt;70,0+50*($AG927/100),IF($O$5&gt;60,5+50*($AG927/100),IF($O$5&gt;50,10+60*($AG927/100),IF($O$5&gt;40,15+70*($AG927/100),IF($O$5&gt;30,20+70*($AG927/100),IF($O$5&gt;20,40+55*($AG927/100),(80+(20-$O$5)+30*($AG927/100))))))))))</f>
        <v>91.542630549739414</v>
      </c>
      <c r="AI927" s="319"/>
      <c r="AJ927" s="319"/>
      <c r="AK927" s="319"/>
      <c r="AL927" s="319"/>
      <c r="AM927" s="320"/>
      <c r="AN927" s="319"/>
      <c r="AO927" s="319"/>
      <c r="AP927" s="265"/>
      <c r="AQ927" s="265"/>
      <c r="AR927" s="285"/>
      <c r="AS927" s="319"/>
      <c r="AT927" s="319"/>
      <c r="AU927" s="319"/>
      <c r="AV927" s="320"/>
      <c r="AW927" s="319"/>
      <c r="AX927" s="263">
        <v>50</v>
      </c>
      <c r="AY927" s="319"/>
      <c r="AZ927" s="319"/>
      <c r="BA927" s="319">
        <v>99</v>
      </c>
      <c r="BB927" s="319"/>
      <c r="BC927" s="319"/>
      <c r="BD927" s="320"/>
      <c r="BE927" s="319"/>
      <c r="BF927" s="319"/>
      <c r="BG927" s="319"/>
      <c r="BH927" s="319"/>
      <c r="BI927" s="319"/>
      <c r="BJ927" s="404">
        <f>altaz(J2000_Bas,$O927,$M927,DecLat,DecLong,2)</f>
        <v>205.34458202759586</v>
      </c>
      <c r="BK927" s="378" t="s">
        <v>1013</v>
      </c>
      <c r="BL927" s="379">
        <f>IF((2*G927)/60&lt;0.2,0.2,(2*G927)/60)</f>
        <v>0.2</v>
      </c>
      <c r="BM927" s="380">
        <f>MOD((50000+AD927-$B$3+(0/24)),1)</f>
        <v>0.87423904595925706</v>
      </c>
      <c r="BN927" s="381"/>
      <c r="BO927" s="382">
        <v>921</v>
      </c>
    </row>
    <row r="928" spans="1:67" s="24" customFormat="1" ht="15" customHeight="1" x14ac:dyDescent="0.25">
      <c r="A928" s="287" t="s">
        <v>1014</v>
      </c>
      <c r="B928" s="241" t="str">
        <f>HYPERLINK(CONCATENATE($AT$3,BK928,$AU$3),$AV$3)</f>
        <v>S</v>
      </c>
      <c r="C928" s="242" t="str">
        <f>HYPERLINK(CONCATENATE($AT$4,BK928,$AU$4,BL928),$AV$4)</f>
        <v>A</v>
      </c>
      <c r="D928" s="243" t="s">
        <v>5187</v>
      </c>
      <c r="E928" s="244" t="s">
        <v>5183</v>
      </c>
      <c r="F928" s="269" t="s">
        <v>5180</v>
      </c>
      <c r="G928" s="276">
        <v>72</v>
      </c>
      <c r="H928" s="271">
        <v>6000</v>
      </c>
      <c r="I928" s="246">
        <v>130</v>
      </c>
      <c r="J928" s="246">
        <v>2</v>
      </c>
      <c r="K928" s="247" t="s">
        <v>6128</v>
      </c>
      <c r="L928" s="248">
        <v>161000</v>
      </c>
      <c r="M928" s="249">
        <f>15*(LEFT(TEXT($L928,"000000"),2)+(MID(TEXT($L928,"000000"),3,2)/60)+(RIGHT(TEXT($L928,"000000"),2)/3600))</f>
        <v>242.50000000000003</v>
      </c>
      <c r="N928" s="250">
        <v>-490800</v>
      </c>
      <c r="O928" s="251">
        <f>IF($N928&gt;0,(LEFT(TEXT($N928,"000000"),2)+(MID(TEXT($N928,"000000"),3,2)/60)+(RIGHT(TEXT($N928,"000000"),2)/3600)),-(MID(TEXT($N928,"000000"),2,2)+(MID(TEXT($N928,"000000"),4,2)/60)+(RIGHT(TEXT($N928,"000000"),2)/3600)))</f>
        <v>-49.133333333333333</v>
      </c>
      <c r="P928" s="252" t="s">
        <v>1012</v>
      </c>
      <c r="Q928" s="253"/>
      <c r="R928" s="277" t="s">
        <v>4490</v>
      </c>
      <c r="S928" s="272" t="s">
        <v>3293</v>
      </c>
      <c r="T928" s="273"/>
      <c r="U928" s="274"/>
      <c r="V928" s="256"/>
      <c r="W928" s="244"/>
      <c r="X928" s="244"/>
      <c r="Y928" s="362"/>
      <c r="Z928" s="257">
        <f>altaz(J2000_Bas,$O928,$M928,DecLat,DecLong,1)</f>
        <v>0.99216830782937493</v>
      </c>
      <c r="AA928" s="257">
        <f>altaz((J2000_Bas+(2*0.04167)),$O928,$M928,DecLat,DecLong,1)</f>
        <v>-13.357075649619064</v>
      </c>
      <c r="AB928" s="257">
        <f>altaz((J2000_Bas+(4*0.04167)),$O928,$M928,DecLat,DecLong,1)</f>
        <v>-31.469862479874301</v>
      </c>
      <c r="AC928" s="257">
        <f>altaz((J2000_Bas+(6*0.04167)),$O928,$M928,DecLat,DecLong,1)</f>
        <v>-51.020000747723998</v>
      </c>
      <c r="AD928" s="258">
        <f>1+ transit((J2000_Bas-1),$O928,$M928,DecLat,DecLong)/360 + (GMTOffset/24) + (IF(DST="Y", 1, 0)/24)</f>
        <v>1.6665110043797082</v>
      </c>
      <c r="AE928" s="259">
        <f>DATE(2001,9,21)+(M928/360)*365 - (360*((DecLong/360)- (GMTOffset/24) ))</f>
        <v>37405.868055555555</v>
      </c>
      <c r="AF928" s="260">
        <f>IF(DecLat&gt;0,IF((90 - (DecLat-O928))&gt;90, (90 - (O928-DecLat)), (90 - (DecLat-O928))),IF((90 + (DecLat-O928))&gt;90, (90 + (O928-DecLat)), (90 + (DecLat-O928))))</f>
        <v>9.8666666666666742</v>
      </c>
      <c r="AG928" s="257">
        <f>angularseperation(MoonRA,MoonDec,$M928,$O928)</f>
        <v>22.656135038178618</v>
      </c>
      <c r="AH928" s="261">
        <f ca="1">MIN(100,IF($O$5&gt;80,0+30*($AG928/100),IF($O$5&gt;70,0+50*($AG928/100),IF($O$5&gt;60,5+50*($AG928/100),IF($O$5&gt;50,10+60*($AG928/100),IF($O$5&gt;40,15+70*($AG928/100),IF($O$5&gt;30,20+70*($AG928/100),IF($O$5&gt;20,40+55*($AG928/100),(80+(20-$O$5)+30*($AG928/100))))))))))</f>
        <v>90.067900855604009</v>
      </c>
      <c r="AI928" s="263"/>
      <c r="AJ928" s="263"/>
      <c r="AK928" s="263"/>
      <c r="AL928" s="263"/>
      <c r="AM928" s="264"/>
      <c r="AN928" s="263"/>
      <c r="AO928" s="263"/>
      <c r="AP928" s="265"/>
      <c r="AQ928" s="265"/>
      <c r="AR928" s="285"/>
      <c r="AS928" s="263"/>
      <c r="AT928" s="263"/>
      <c r="AU928" s="263"/>
      <c r="AV928" s="264"/>
      <c r="AW928" s="263"/>
      <c r="AX928" s="263">
        <v>51</v>
      </c>
      <c r="AY928" s="263"/>
      <c r="AZ928" s="263"/>
      <c r="BA928" s="263">
        <v>195</v>
      </c>
      <c r="BB928" s="263"/>
      <c r="BC928" s="263"/>
      <c r="BD928" s="264"/>
      <c r="BE928" s="263"/>
      <c r="BF928" s="263"/>
      <c r="BG928" s="263"/>
      <c r="BH928" s="263"/>
      <c r="BI928" s="263"/>
      <c r="BJ928" s="404">
        <f>altaz(J2000_Bas,$O928,$M928,DecLat,DecLong,2)</f>
        <v>206.77450773880057</v>
      </c>
      <c r="BK928" s="378" t="s">
        <v>1014</v>
      </c>
      <c r="BL928" s="379">
        <f>IF((2*G928)/60&lt;0.2,0.2,(2*G928)/60)</f>
        <v>2.4</v>
      </c>
      <c r="BM928" s="380">
        <f>MOD((50000+AD928-$B$3+(0/24)),1)</f>
        <v>0.88187793408724247</v>
      </c>
      <c r="BN928" s="381"/>
      <c r="BO928" s="382">
        <v>922</v>
      </c>
    </row>
    <row r="929" spans="1:67" s="24" customFormat="1" ht="15" customHeight="1" x14ac:dyDescent="0.25">
      <c r="A929" s="288" t="s">
        <v>1015</v>
      </c>
      <c r="B929" s="241" t="str">
        <f>HYPERLINK(CONCATENATE($AT$3,BK929,$AU$3),$AV$3)</f>
        <v>S</v>
      </c>
      <c r="C929" s="242" t="str">
        <f>HYPERLINK(CONCATENATE($AT$4,BK929,$AU$4,BL929),$AV$4)</f>
        <v>A</v>
      </c>
      <c r="D929" s="243" t="s">
        <v>5187</v>
      </c>
      <c r="E929" s="244" t="s">
        <v>5183</v>
      </c>
      <c r="F929" s="269" t="s">
        <v>5180</v>
      </c>
      <c r="G929" s="273">
        <v>7</v>
      </c>
      <c r="H929" s="271">
        <v>3700</v>
      </c>
      <c r="I929" s="245">
        <v>7</v>
      </c>
      <c r="J929" s="246">
        <v>4</v>
      </c>
      <c r="K929" s="247" t="s">
        <v>4645</v>
      </c>
      <c r="L929" s="248">
        <v>163352</v>
      </c>
      <c r="M929" s="249">
        <f>15*(LEFT(TEXT($L929,"000000"),2)+(MID(TEXT($L929,"000000"),3,2)/60)+(RIGHT(TEXT($L929,"000000"),2)/3600))</f>
        <v>248.46666666666667</v>
      </c>
      <c r="N929" s="250">
        <v>-480640</v>
      </c>
      <c r="O929" s="251">
        <f>IF($N929&gt;0,(LEFT(TEXT($N929,"000000"),2)+(MID(TEXT($N929,"000000"),3,2)/60)+(RIGHT(TEXT($N929,"000000"),2)/3600)),-(MID(TEXT($N929,"000000"),2,2)+(MID(TEXT($N929,"000000"),4,2)/60)+(RIGHT(TEXT($N929,"000000"),2)/3600)))</f>
        <v>-48.111111111111114</v>
      </c>
      <c r="P929" s="252" t="s">
        <v>1012</v>
      </c>
      <c r="Q929" s="253"/>
      <c r="R929" s="247" t="s">
        <v>4503</v>
      </c>
      <c r="S929" s="272" t="s">
        <v>3293</v>
      </c>
      <c r="T929" s="273"/>
      <c r="U929" s="274"/>
      <c r="V929" s="256"/>
      <c r="W929" s="244"/>
      <c r="X929" s="244"/>
      <c r="Y929" s="362"/>
      <c r="Z929" s="257">
        <f>altaz(J2000_Bas,$O929,$M929,DecLat,DecLong,1)</f>
        <v>4.0380039114115114</v>
      </c>
      <c r="AA929" s="257">
        <f>altaz((J2000_Bas+(2*0.04167)),$O929,$M929,DecLat,DecLong,1)</f>
        <v>-9.5268899007174923</v>
      </c>
      <c r="AB929" s="257">
        <f>altaz((J2000_Bas+(4*0.04167)),$O929,$M929,DecLat,DecLong,1)</f>
        <v>-27.396689693962713</v>
      </c>
      <c r="AC929" s="257">
        <f>altaz((J2000_Bas+(6*0.04167)),$O929,$M929,DecLat,DecLong,1)</f>
        <v>-47.232284546497318</v>
      </c>
      <c r="AD929" s="258">
        <f>1+ transit((J2000_Bas-1),$O929,$M929,DecLat,DecLong)/360 + (GMTOffset/24) + (IF(DST="Y", 1, 0)/24)</f>
        <v>1.6830850767963748</v>
      </c>
      <c r="AE929" s="259">
        <f>DATE(2001,9,21)+(M929/360)*365 - (360*((DecLong/360)- (GMTOffset/24) ))</f>
        <v>37411.917592592596</v>
      </c>
      <c r="AF929" s="260">
        <f>IF(DecLat&gt;0,IF((90 - (DecLat-O929))&gt;90, (90 - (O929-DecLat)), (90 - (DecLat-O929))),IF((90 + (DecLat-O929))&gt;90, (90 + (O929-DecLat)), (90 + (DecLat-O929))))</f>
        <v>10.888888888888886</v>
      </c>
      <c r="AG929" s="257">
        <f>angularseperation(MoonRA,MoonDec,$M929,$O929)</f>
        <v>21.035705617874115</v>
      </c>
      <c r="AH929" s="261">
        <f ca="1">MIN(100,IF($O$5&gt;80,0+30*($AG929/100),IF($O$5&gt;70,0+50*($AG929/100),IF($O$5&gt;60,5+50*($AG929/100),IF($O$5&gt;50,10+60*($AG929/100),IF($O$5&gt;40,15+70*($AG929/100),IF($O$5&gt;30,20+70*($AG929/100),IF($O$5&gt;20,40+55*($AG929/100),(80+(20-$O$5)+30*($AG929/100))))))))))</f>
        <v>89.581772029512663</v>
      </c>
      <c r="AI929" s="262"/>
      <c r="AJ929" s="262"/>
      <c r="AK929" s="262"/>
      <c r="AL929" s="263"/>
      <c r="AM929" s="264"/>
      <c r="AN929" s="263"/>
      <c r="AO929" s="263"/>
      <c r="AP929" s="265"/>
      <c r="AQ929" s="266"/>
      <c r="AR929" s="267"/>
      <c r="AS929" s="263"/>
      <c r="AT929" s="263"/>
      <c r="AU929" s="263"/>
      <c r="AV929" s="264"/>
      <c r="AW929" s="263"/>
      <c r="AX929" s="263">
        <v>52</v>
      </c>
      <c r="AY929" s="263"/>
      <c r="AZ929" s="263"/>
      <c r="BA929" s="263"/>
      <c r="BB929" s="263"/>
      <c r="BC929" s="263"/>
      <c r="BD929" s="264"/>
      <c r="BE929" s="263"/>
      <c r="BF929" s="263"/>
      <c r="BG929" s="263"/>
      <c r="BH929" s="263"/>
      <c r="BI929" s="263"/>
      <c r="BJ929" s="404">
        <f>altaz(J2000_Bas,$O929,$M929,DecLat,DecLong,2)</f>
        <v>204.06718349574223</v>
      </c>
      <c r="BK929" s="378" t="s">
        <v>1015</v>
      </c>
      <c r="BL929" s="379">
        <f>IF((2*G929)/60&lt;0.2,0.2,(2*G929)/60)</f>
        <v>0.23333333333333334</v>
      </c>
      <c r="BM929" s="380">
        <f>MOD((50000+AD929-$B$3+(0/24)),1)</f>
        <v>0.89845200649870094</v>
      </c>
      <c r="BN929" s="381"/>
      <c r="BO929" s="382">
        <v>923</v>
      </c>
    </row>
    <row r="930" spans="1:67" s="24" customFormat="1" ht="15" customHeight="1" x14ac:dyDescent="0.25">
      <c r="A930" s="287" t="s">
        <v>1016</v>
      </c>
      <c r="B930" s="241" t="str">
        <f>HYPERLINK(CONCATENATE($AT$3,BK930,$AU$3),$AV$3)</f>
        <v>S</v>
      </c>
      <c r="C930" s="242" t="str">
        <f>HYPERLINK(CONCATENATE($AT$4,BK930,$AU$4,BL930),$AV$4)</f>
        <v>A</v>
      </c>
      <c r="D930" s="243" t="s">
        <v>5187</v>
      </c>
      <c r="E930" s="244" t="s">
        <v>5183</v>
      </c>
      <c r="F930" s="269" t="s">
        <v>5180</v>
      </c>
      <c r="G930" s="276">
        <v>20</v>
      </c>
      <c r="H930" s="271">
        <v>8000</v>
      </c>
      <c r="I930" s="246">
        <v>50</v>
      </c>
      <c r="J930" s="246">
        <v>2</v>
      </c>
      <c r="K930" s="247" t="s">
        <v>6129</v>
      </c>
      <c r="L930" s="248">
        <v>165412</v>
      </c>
      <c r="M930" s="249">
        <f>15*(LEFT(TEXT($L930,"000000"),2)+(MID(TEXT($L930,"000000"),3,2)/60)+(RIGHT(TEXT($L930,"000000"),2)/3600))</f>
        <v>253.54999999999998</v>
      </c>
      <c r="N930" s="250">
        <v>-451200</v>
      </c>
      <c r="O930" s="251">
        <f>IF($N930&gt;0,(LEFT(TEXT($N930,"000000"),2)+(MID(TEXT($N930,"000000"),3,2)/60)+(RIGHT(TEXT($N930,"000000"),2)/3600)),-(MID(TEXT($N930,"000000"),2,2)+(MID(TEXT($N930,"000000"),4,2)/60)+(RIGHT(TEXT($N930,"000000"),2)/3600)))</f>
        <v>-45.2</v>
      </c>
      <c r="P930" s="252" t="s">
        <v>109</v>
      </c>
      <c r="Q930" s="253"/>
      <c r="R930" s="277" t="s">
        <v>4489</v>
      </c>
      <c r="S930" s="272" t="s">
        <v>3293</v>
      </c>
      <c r="T930" s="273"/>
      <c r="U930" s="274"/>
      <c r="V930" s="256"/>
      <c r="W930" s="244"/>
      <c r="X930" s="244"/>
      <c r="Y930" s="362"/>
      <c r="Z930" s="257">
        <f>altaz(J2000_Bas,$O930,$M930,DecLat,DecLong,1)</f>
        <v>8.2916329828625166</v>
      </c>
      <c r="AA930" s="257">
        <f>altaz((J2000_Bas+(2*0.04167)),$O930,$M930,DecLat,DecLong,1)</f>
        <v>-4.9859987166819622</v>
      </c>
      <c r="AB930" s="257">
        <f>altaz((J2000_Bas+(4*0.04167)),$O930,$M930,DecLat,DecLong,1)</f>
        <v>-23.146492883808357</v>
      </c>
      <c r="AC930" s="257">
        <f>altaz((J2000_Bas+(6*0.04167)),$O930,$M930,DecLat,DecLong,1)</f>
        <v>-43.773628136671896</v>
      </c>
      <c r="AD930" s="258">
        <f>1+ transit((J2000_Bas-1),$O930,$M930,DecLat,DecLong)/360 + (GMTOffset/24) + (IF(DST="Y", 1, 0)/24)</f>
        <v>1.6972054457547079</v>
      </c>
      <c r="AE930" s="259">
        <f>DATE(2001,9,21)+(M930/360)*365 - (360*((DecLong/360)- (GMTOffset/24) ))</f>
        <v>37417.071527777778</v>
      </c>
      <c r="AF930" s="260">
        <f>IF(DecLat&gt;0,IF((90 - (DecLat-O930))&gt;90, (90 - (O930-DecLat)), (90 - (DecLat-O930))),IF((90 + (DecLat-O930))&gt;90, (90 + (O930-DecLat)), (90 + (DecLat-O930))))</f>
        <v>13.799999999999997</v>
      </c>
      <c r="AG930" s="257">
        <f>angularseperation(MoonRA,MoonDec,$M930,$O930)</f>
        <v>18.439739844423226</v>
      </c>
      <c r="AH930" s="261">
        <f ca="1">MIN(100,IF($O$5&gt;80,0+30*($AG930/100),IF($O$5&gt;70,0+50*($AG930/100),IF($O$5&gt;60,5+50*($AG930/100),IF($O$5&gt;50,10+60*($AG930/100),IF($O$5&gt;40,15+70*($AG930/100),IF($O$5&gt;30,20+70*($AG930/100),IF($O$5&gt;20,40+55*($AG930/100),(80+(20-$O$5)+30*($AG930/100))))))))))</f>
        <v>88.802982297477399</v>
      </c>
      <c r="AI930" s="263"/>
      <c r="AJ930" s="263"/>
      <c r="AK930" s="263"/>
      <c r="AL930" s="263"/>
      <c r="AM930" s="264"/>
      <c r="AN930" s="263"/>
      <c r="AO930" s="263"/>
      <c r="AP930" s="265"/>
      <c r="AQ930" s="265"/>
      <c r="AR930" s="285"/>
      <c r="AS930" s="263"/>
      <c r="AT930" s="263"/>
      <c r="AU930" s="263"/>
      <c r="AV930" s="264"/>
      <c r="AW930" s="263"/>
      <c r="AX930" s="263">
        <v>54</v>
      </c>
      <c r="AY930" s="263"/>
      <c r="AZ930" s="263"/>
      <c r="BA930" s="263">
        <v>110</v>
      </c>
      <c r="BB930" s="263"/>
      <c r="BC930" s="263"/>
      <c r="BD930" s="264"/>
      <c r="BE930" s="263"/>
      <c r="BF930" s="263"/>
      <c r="BG930" s="263"/>
      <c r="BH930" s="263"/>
      <c r="BI930" s="263"/>
      <c r="BJ930" s="404">
        <f>altaz(J2000_Bas,$O930,$M930,DecLat,DecLong,2)</f>
        <v>202.46396883424342</v>
      </c>
      <c r="BK930" s="378" t="s">
        <v>1016</v>
      </c>
      <c r="BL930" s="379">
        <f>IF((2*G930)/60&lt;0.2,0.2,(2*G930)/60)</f>
        <v>0.66666666666666663</v>
      </c>
      <c r="BM930" s="380">
        <f>MOD((50000+AD930-$B$3+(0/24)),1)</f>
        <v>0.91257237546233227</v>
      </c>
      <c r="BN930" s="381"/>
      <c r="BO930" s="382">
        <v>924</v>
      </c>
    </row>
    <row r="931" spans="1:67" s="24" customFormat="1" ht="15" customHeight="1" x14ac:dyDescent="0.25">
      <c r="A931" s="287" t="s">
        <v>1017</v>
      </c>
      <c r="B931" s="241" t="str">
        <f>HYPERLINK(CONCATENATE($AT$3,BK931,$AU$3),$AV$3)</f>
        <v>S</v>
      </c>
      <c r="C931" s="242" t="str">
        <f>HYPERLINK(CONCATENATE($AT$4,BK931,$AU$4,BL931),$AV$4)</f>
        <v>A</v>
      </c>
      <c r="D931" s="243" t="s">
        <v>5187</v>
      </c>
      <c r="E931" s="244" t="s">
        <v>5183</v>
      </c>
      <c r="F931" s="269" t="s">
        <v>5180</v>
      </c>
      <c r="G931" s="276">
        <v>420</v>
      </c>
      <c r="H931" s="271">
        <v>5500</v>
      </c>
      <c r="I931" s="246">
        <v>650</v>
      </c>
      <c r="J931" s="246">
        <v>2</v>
      </c>
      <c r="K931" s="247" t="s">
        <v>6130</v>
      </c>
      <c r="L931" s="248">
        <v>164200</v>
      </c>
      <c r="M931" s="249">
        <f>15*(LEFT(TEXT($L931,"000000"),2)+(MID(TEXT($L931,"000000"),3,2)/60)+(RIGHT(TEXT($L931,"000000"),2)/3600))</f>
        <v>250.5</v>
      </c>
      <c r="N931" s="286">
        <v>-400600</v>
      </c>
      <c r="O931" s="251">
        <f>IF($N931&gt;0,(LEFT(TEXT($N931,"000000"),2)+(MID(TEXT($N931,"000000"),3,2)/60)+(RIGHT(TEXT($N931,"000000"),2)/3600)),-(MID(TEXT($N931,"000000"),2,2)+(MID(TEXT($N931,"000000"),4,2)/60)+(RIGHT(TEXT($N931,"000000"),2)/3600)))</f>
        <v>-40.1</v>
      </c>
      <c r="P931" s="252" t="s">
        <v>109</v>
      </c>
      <c r="Q931" s="253"/>
      <c r="R931" s="277" t="s">
        <v>3293</v>
      </c>
      <c r="S931" s="272" t="s">
        <v>3293</v>
      </c>
      <c r="T931" s="273"/>
      <c r="U931" s="274"/>
      <c r="V931" s="256"/>
      <c r="W931" s="244"/>
      <c r="X931" s="244"/>
      <c r="Y931" s="362"/>
      <c r="Z931" s="257">
        <f>altaz(J2000_Bas,$O931,$M931,DecLat,DecLong,1)</f>
        <v>11.655219097077477</v>
      </c>
      <c r="AA931" s="257">
        <f>altaz((J2000_Bas+(2*0.04167)),$O931,$M931,DecLat,DecLong,1)</f>
        <v>-3.4832152167411818</v>
      </c>
      <c r="AB931" s="257">
        <f>altaz((J2000_Bas+(4*0.04167)),$O931,$M931,DecLat,DecLong,1)</f>
        <v>-23.362469469146976</v>
      </c>
      <c r="AC931" s="257">
        <f>altaz((J2000_Bas+(6*0.04167)),$O931,$M931,DecLat,DecLong,1)</f>
        <v>-45.633261639607682</v>
      </c>
      <c r="AD931" s="258">
        <f>1+ transit((J2000_Bas-1),$O931,$M931,DecLat,DecLong)/360 + (GMTOffset/24) + (IF(DST="Y", 1, 0)/24)</f>
        <v>1.688733224379708</v>
      </c>
      <c r="AE931" s="259">
        <f>DATE(2001,9,21)+(M931/360)*365 - (360*((DecLong/360)- (GMTOffset/24) ))</f>
        <v>37413.979166666664</v>
      </c>
      <c r="AF931" s="260">
        <f>IF(DecLat&gt;0,IF((90 - (DecLat-O931))&gt;90, (90 - (O931-DecLat)), (90 - (DecLat-O931))),IF((90 + (DecLat-O931))&gt;90, (90 + (O931-DecLat)), (90 + (DecLat-O931))))</f>
        <v>18.900000000000006</v>
      </c>
      <c r="AG931" s="257">
        <f>angularseperation(MoonRA,MoonDec,$M931,$O931)</f>
        <v>13.057606410262263</v>
      </c>
      <c r="AH931" s="261">
        <f ca="1">MIN(100,IF($O$5&gt;80,0+30*($AG931/100),IF($O$5&gt;70,0+50*($AG931/100),IF($O$5&gt;60,5+50*($AG931/100),IF($O$5&gt;50,10+60*($AG931/100),IF($O$5&gt;40,15+70*($AG931/100),IF($O$5&gt;30,20+70*($AG931/100),IF($O$5&gt;20,40+55*($AG931/100),(80+(20-$O$5)+30*($AG931/100))))))))))</f>
        <v>87.188342267229103</v>
      </c>
      <c r="AI931" s="263"/>
      <c r="AJ931" s="263"/>
      <c r="AK931" s="263"/>
      <c r="AL931" s="263"/>
      <c r="AM931" s="264"/>
      <c r="AN931" s="263"/>
      <c r="AO931" s="263"/>
      <c r="AP931" s="265"/>
      <c r="AQ931" s="265"/>
      <c r="AR931" s="285"/>
      <c r="AS931" s="263"/>
      <c r="AT931" s="263"/>
      <c r="AU931" s="263"/>
      <c r="AV931" s="264"/>
      <c r="AW931" s="263"/>
      <c r="AX931" s="263">
        <v>55</v>
      </c>
      <c r="AY931" s="263"/>
      <c r="AZ931" s="263"/>
      <c r="BA931" s="263"/>
      <c r="BB931" s="263"/>
      <c r="BC931" s="263"/>
      <c r="BD931" s="264"/>
      <c r="BE931" s="263"/>
      <c r="BF931" s="263"/>
      <c r="BG931" s="263"/>
      <c r="BH931" s="263"/>
      <c r="BI931" s="263"/>
      <c r="BJ931" s="404">
        <f>altaz(J2000_Bas,$O931,$M931,DecLat,DecLong,2)</f>
        <v>206.97314879775362</v>
      </c>
      <c r="BK931" s="378" t="s">
        <v>1017</v>
      </c>
      <c r="BL931" s="379">
        <f>IF((2*G931)/60&lt;0.2,0.2,(2*G931)/60)</f>
        <v>14</v>
      </c>
      <c r="BM931" s="380">
        <f>MOD((50000+AD931-$B$3+(0/24)),1)</f>
        <v>0.90410015408269828</v>
      </c>
      <c r="BN931" s="381"/>
      <c r="BO931" s="382">
        <v>925</v>
      </c>
    </row>
    <row r="932" spans="1:67" s="24" customFormat="1" ht="15" customHeight="1" x14ac:dyDescent="0.25">
      <c r="A932" s="287" t="s">
        <v>6131</v>
      </c>
      <c r="B932" s="241" t="str">
        <f>HYPERLINK(CONCATENATE($AT$3,BK932,$AU$3),$AV$3)</f>
        <v>S</v>
      </c>
      <c r="C932" s="242" t="str">
        <f>HYPERLINK(CONCATENATE($AT$4,BK932,$AU$4,BL932),$AV$4)</f>
        <v>A</v>
      </c>
      <c r="D932" s="243" t="s">
        <v>5187</v>
      </c>
      <c r="E932" s="244" t="s">
        <v>5183</v>
      </c>
      <c r="F932" s="269" t="s">
        <v>5180</v>
      </c>
      <c r="G932" s="276">
        <v>120</v>
      </c>
      <c r="H932" s="271">
        <v>5500</v>
      </c>
      <c r="I932" s="246">
        <v>200</v>
      </c>
      <c r="J932" s="246">
        <v>2</v>
      </c>
      <c r="K932" s="247" t="s">
        <v>6133</v>
      </c>
      <c r="L932" s="248">
        <v>170113</v>
      </c>
      <c r="M932" s="249">
        <f>15*(LEFT(TEXT($L932,"000000"),2)+(MID(TEXT($L932,"000000"),3,2)/60)+(RIGHT(TEXT($L932,"000000"),2)/3600))</f>
        <v>255.30416666666667</v>
      </c>
      <c r="N932" s="250">
        <v>-381211</v>
      </c>
      <c r="O932" s="251">
        <f>IF($N932&gt;0,(LEFT(TEXT($N932,"000000"),2)+(MID(TEXT($N932,"000000"),3,2)/60)+(RIGHT(TEXT($N932,"000000"),2)/3600)),-(MID(TEXT($N932,"000000"),2,2)+(MID(TEXT($N932,"000000"),4,2)/60)+(RIGHT(TEXT($N932,"000000"),2)/3600)))</f>
        <v>-38.203055555555558</v>
      </c>
      <c r="P932" s="252" t="s">
        <v>109</v>
      </c>
      <c r="Q932" s="253"/>
      <c r="R932" s="277" t="s">
        <v>6058</v>
      </c>
      <c r="S932" s="272" t="s">
        <v>3293</v>
      </c>
      <c r="T932" s="273"/>
      <c r="U932" s="274"/>
      <c r="V932" s="256"/>
      <c r="W932" s="244"/>
      <c r="X932" s="244"/>
      <c r="Y932" s="362"/>
      <c r="Z932" s="257">
        <f>altaz(J2000_Bas,$O932,$M932,DecLat,DecLong,1)</f>
        <v>15.109541357050036</v>
      </c>
      <c r="AA932" s="257">
        <f>altaz((J2000_Bas+(2*0.04167)),$O932,$M932,DecLat,DecLong,1)</f>
        <v>0.58802011246056229</v>
      </c>
      <c r="AB932" s="257">
        <f>altaz((J2000_Bas+(4*0.04167)),$O932,$M932,DecLat,DecLong,1)</f>
        <v>-19.191355549785598</v>
      </c>
      <c r="AC932" s="257">
        <f>altaz((J2000_Bas+(6*0.04167)),$O932,$M932,DecLat,DecLong,1)</f>
        <v>-41.67950421569747</v>
      </c>
      <c r="AD932" s="258">
        <f>1+ transit((J2000_Bas-1),$O932,$M932,DecLat,DecLong)/360 + (GMTOffset/24) + (IF(DST="Y", 1, 0)/24)</f>
        <v>1.7020781304526247</v>
      </c>
      <c r="AE932" s="259">
        <f>DATE(2001,9,21)+(M932/360)*365 - (360*((DecLong/360)- (GMTOffset/24) ))</f>
        <v>37418.850057870368</v>
      </c>
      <c r="AF932" s="260">
        <f>IF(DecLat&gt;0,IF((90 - (DecLat-O932))&gt;90, (90 - (O932-DecLat)), (90 - (DecLat-O932))),IF((90 + (DecLat-O932))&gt;90, (90 + (O932-DecLat)), (90 + (DecLat-O932))))</f>
        <v>20.796944444444449</v>
      </c>
      <c r="AG932" s="257">
        <f>angularseperation(MoonRA,MoonDec,$M932,$O932)</f>
        <v>12.226982702465715</v>
      </c>
      <c r="AH932" s="261">
        <f ca="1">MIN(100,IF($O$5&gt;80,0+30*($AG932/100),IF($O$5&gt;70,0+50*($AG932/100),IF($O$5&gt;60,5+50*($AG932/100),IF($O$5&gt;50,10+60*($AG932/100),IF($O$5&gt;40,15+70*($AG932/100),IF($O$5&gt;30,20+70*($AG932/100),IF($O$5&gt;20,40+55*($AG932/100),(80+(20-$O$5)+30*($AG932/100))))))))))</f>
        <v>86.939155154890145</v>
      </c>
      <c r="AI932" s="263"/>
      <c r="AJ932" s="263"/>
      <c r="AK932" s="263"/>
      <c r="AL932" s="263"/>
      <c r="AM932" s="264"/>
      <c r="AN932" s="263"/>
      <c r="AO932" s="263"/>
      <c r="AP932" s="265"/>
      <c r="AQ932" s="265"/>
      <c r="AR932" s="285"/>
      <c r="AS932" s="263"/>
      <c r="AT932" s="263"/>
      <c r="AU932" s="263"/>
      <c r="AV932" s="264"/>
      <c r="AW932" s="263"/>
      <c r="AX932" s="263">
        <v>57</v>
      </c>
      <c r="AY932" s="263"/>
      <c r="AZ932" s="263"/>
      <c r="BA932" s="263"/>
      <c r="BB932" s="263"/>
      <c r="BC932" s="263"/>
      <c r="BD932" s="264"/>
      <c r="BE932" s="263"/>
      <c r="BF932" s="263"/>
      <c r="BG932" s="263"/>
      <c r="BH932" s="263"/>
      <c r="BI932" s="263"/>
      <c r="BJ932" s="404">
        <f>altaz(J2000_Bas,$O932,$M932,DecLat,DecLong,2)</f>
        <v>204.55360218501622</v>
      </c>
      <c r="BK932" s="378" t="s">
        <v>6131</v>
      </c>
      <c r="BL932" s="379">
        <f>IF((2*G932)/60&lt;0.2,0.2,(2*G932)/60)</f>
        <v>4</v>
      </c>
      <c r="BM932" s="380">
        <f>MOD((50000+AD932-$B$3+(0/24)),1)</f>
        <v>0.91744506015675142</v>
      </c>
      <c r="BN932" s="381"/>
      <c r="BO932" s="382">
        <v>926</v>
      </c>
    </row>
    <row r="933" spans="1:67" s="24" customFormat="1" ht="15" customHeight="1" x14ac:dyDescent="0.25">
      <c r="A933" s="288" t="s">
        <v>6132</v>
      </c>
      <c r="B933" s="241" t="str">
        <f>HYPERLINK(CONCATENATE($AT$3,BK933,$AU$3),$AV$3)</f>
        <v>S</v>
      </c>
      <c r="C933" s="242" t="str">
        <f>HYPERLINK(CONCATENATE($AT$4,BK933,$AU$4,BL933),$AV$4)</f>
        <v>A</v>
      </c>
      <c r="D933" s="243" t="s">
        <v>5187</v>
      </c>
      <c r="E933" s="244" t="s">
        <v>5183</v>
      </c>
      <c r="F933" s="269" t="s">
        <v>5180</v>
      </c>
      <c r="G933" s="276">
        <v>120</v>
      </c>
      <c r="H933" s="271">
        <v>5500</v>
      </c>
      <c r="I933" s="246">
        <v>200</v>
      </c>
      <c r="J933" s="246">
        <v>2</v>
      </c>
      <c r="K933" s="247" t="s">
        <v>6134</v>
      </c>
      <c r="L933" s="248">
        <v>170357</v>
      </c>
      <c r="M933" s="249">
        <f>15*(LEFT(TEXT($L933,"000000"),2)+(MID(TEXT($L933,"000000"),3,2)/60)+(RIGHT(TEXT($L933,"000000"),2)/3600))</f>
        <v>255.98750000000001</v>
      </c>
      <c r="N933" s="250">
        <v>-375039</v>
      </c>
      <c r="O933" s="251">
        <f>IF($N933&gt;0,(LEFT(TEXT($N933,"000000"),2)+(MID(TEXT($N933,"000000"),3,2)/60)+(RIGHT(TEXT($N933,"000000"),2)/3600)),-(MID(TEXT($N933,"000000"),2,2)+(MID(TEXT($N933,"000000"),4,2)/60)+(RIGHT(TEXT($N933,"000000"),2)/3600)))</f>
        <v>-37.844166666666666</v>
      </c>
      <c r="P933" s="252" t="s">
        <v>109</v>
      </c>
      <c r="Q933" s="253"/>
      <c r="R933" s="277" t="s">
        <v>6058</v>
      </c>
      <c r="S933" s="272" t="s">
        <v>3293</v>
      </c>
      <c r="T933" s="273"/>
      <c r="U933" s="274"/>
      <c r="V933" s="256"/>
      <c r="W933" s="244"/>
      <c r="X933" s="244"/>
      <c r="Y933" s="362"/>
      <c r="Z933" s="257">
        <f>altaz(J2000_Bas,$O933,$M933,DecLat,DecLong,1)</f>
        <v>15.672023983923991</v>
      </c>
      <c r="AA933" s="257">
        <f>altaz((J2000_Bas+(2*0.04167)),$O933,$M933,DecLat,DecLong,1)</f>
        <v>1.2285492015693378</v>
      </c>
      <c r="AB933" s="257">
        <f>altaz((J2000_Bas+(4*0.04167)),$O933,$M933,DecLat,DecLong,1)</f>
        <v>-18.551709014732097</v>
      </c>
      <c r="AC933" s="257">
        <f>altaz((J2000_Bas+(6*0.04167)),$O933,$M933,DecLat,DecLong,1)</f>
        <v>-41.084776181559704</v>
      </c>
      <c r="AD933" s="258">
        <f>1+ transit((J2000_Bas-1),$O933,$M933,DecLat,DecLong)/360 + (GMTOffset/24) + (IF(DST="Y", 1, 0)/24)</f>
        <v>1.703976278410958</v>
      </c>
      <c r="AE933" s="259">
        <f>DATE(2001,9,21)+(M933/360)*365 - (360*((DecLong/360)- (GMTOffset/24) ))</f>
        <v>37419.542881944442</v>
      </c>
      <c r="AF933" s="260">
        <f>IF(DecLat&gt;0,IF((90 - (DecLat-O933))&gt;90, (90 - (O933-DecLat)), (90 - (DecLat-O933))),IF((90 + (DecLat-O933))&gt;90, (90 + (O933-DecLat)), (90 + (DecLat-O933))))</f>
        <v>21.155833333333334</v>
      </c>
      <c r="AG933" s="257">
        <f>angularseperation(MoonRA,MoonDec,$M933,$O933)</f>
        <v>12.163454885756943</v>
      </c>
      <c r="AH933" s="261">
        <f ca="1">MIN(100,IF($O$5&gt;80,0+30*($AG933/100),IF($O$5&gt;70,0+50*($AG933/100),IF($O$5&gt;60,5+50*($AG933/100),IF($O$5&gt;50,10+60*($AG933/100),IF($O$5&gt;40,15+70*($AG933/100),IF($O$5&gt;30,20+70*($AG933/100),IF($O$5&gt;20,40+55*($AG933/100),(80+(20-$O$5)+30*($AG933/100))))))))))</f>
        <v>86.920096809877506</v>
      </c>
      <c r="AI933" s="263"/>
      <c r="AJ933" s="263"/>
      <c r="AK933" s="263"/>
      <c r="AL933" s="263"/>
      <c r="AM933" s="264"/>
      <c r="AN933" s="263"/>
      <c r="AO933" s="263"/>
      <c r="AP933" s="265"/>
      <c r="AQ933" s="265"/>
      <c r="AR933" s="285"/>
      <c r="AS933" s="263"/>
      <c r="AT933" s="263"/>
      <c r="AU933" s="263"/>
      <c r="AV933" s="264"/>
      <c r="AW933" s="263"/>
      <c r="AX933" s="263">
        <v>57</v>
      </c>
      <c r="AY933" s="263"/>
      <c r="AZ933" s="263"/>
      <c r="BA933" s="263">
        <v>119</v>
      </c>
      <c r="BB933" s="263">
        <v>2</v>
      </c>
      <c r="BC933" s="263"/>
      <c r="BD933" s="264"/>
      <c r="BE933" s="263"/>
      <c r="BF933" s="263"/>
      <c r="BG933" s="263"/>
      <c r="BH933" s="263"/>
      <c r="BI933" s="263"/>
      <c r="BJ933" s="404">
        <f>altaz(J2000_Bas,$O933,$M933,DecLat,DecLong,2)</f>
        <v>204.22205770865042</v>
      </c>
      <c r="BK933" s="378" t="s">
        <v>6132</v>
      </c>
      <c r="BL933" s="379">
        <f>IF((2*G933)/60&lt;0.2,0.2,(2*G933)/60)</f>
        <v>4</v>
      </c>
      <c r="BM933" s="380">
        <f>MOD((50000+AD933-$B$3+(0/24)),1)</f>
        <v>0.9193432081156061</v>
      </c>
      <c r="BN933" s="381"/>
      <c r="BO933" s="382">
        <v>927</v>
      </c>
    </row>
    <row r="934" spans="1:67" s="24" customFormat="1" ht="15" customHeight="1" x14ac:dyDescent="0.25">
      <c r="A934" s="288" t="s">
        <v>1018</v>
      </c>
      <c r="B934" s="241" t="str">
        <f>HYPERLINK(CONCATENATE($AT$3,BK934,$AU$3),$AV$3)</f>
        <v>S</v>
      </c>
      <c r="C934" s="242" t="str">
        <f>HYPERLINK(CONCATENATE($AT$4,BK934,$AU$4,BL934),$AV$4)</f>
        <v>A</v>
      </c>
      <c r="D934" s="243" t="s">
        <v>5187</v>
      </c>
      <c r="E934" s="244" t="s">
        <v>5183</v>
      </c>
      <c r="F934" s="269" t="s">
        <v>9159</v>
      </c>
      <c r="G934" s="276">
        <v>10</v>
      </c>
      <c r="H934" s="271">
        <v>5500</v>
      </c>
      <c r="I934" s="281">
        <v>16</v>
      </c>
      <c r="J934" s="246">
        <v>3</v>
      </c>
      <c r="K934" s="247" t="s">
        <v>4504</v>
      </c>
      <c r="L934" s="248">
        <v>171946</v>
      </c>
      <c r="M934" s="249">
        <f>15*(LEFT(TEXT($L934,"000000"),2)+(MID(TEXT($L934,"000000"),3,2)/60)+(RIGHT(TEXT($L934,"000000"),2)/3600))</f>
        <v>259.94166666666666</v>
      </c>
      <c r="N934" s="250">
        <v>-360552</v>
      </c>
      <c r="O934" s="251">
        <f>IF($N934&gt;0,(LEFT(TEXT($N934,"000000"),2)+(MID(TEXT($N934,"000000"),3,2)/60)+(RIGHT(TEXT($N934,"000000"),2)/3600)),-(MID(TEXT($N934,"000000"),2,2)+(MID(TEXT($N934,"000000"),4,2)/60)+(RIGHT(TEXT($N934,"000000"),2)/3600)))</f>
        <v>-36.097777777777779</v>
      </c>
      <c r="P934" s="252" t="s">
        <v>109</v>
      </c>
      <c r="Q934" s="253"/>
      <c r="R934" s="247" t="s">
        <v>3293</v>
      </c>
      <c r="S934" s="272" t="s">
        <v>2186</v>
      </c>
      <c r="T934" s="273"/>
      <c r="U934" s="274"/>
      <c r="V934" s="256"/>
      <c r="W934" s="244"/>
      <c r="X934" s="244"/>
      <c r="Y934" s="362"/>
      <c r="Z934" s="257">
        <f>altaz(J2000_Bas,$O934,$M934,DecLat,DecLong,1)</f>
        <v>18.586792995284483</v>
      </c>
      <c r="AA934" s="257">
        <f>altaz((J2000_Bas+(2*0.04167)),$O934,$M934,DecLat,DecLong,1)</f>
        <v>4.7263204301386157</v>
      </c>
      <c r="AB934" s="257">
        <f>altaz((J2000_Bas+(4*0.04167)),$O934,$M934,DecLat,DecLong,1)</f>
        <v>-14.945694108847759</v>
      </c>
      <c r="AC934" s="257">
        <f>altaz((J2000_Bas+(6*0.04167)),$O934,$M934,DecLat,DecLong,1)</f>
        <v>-37.623680895648199</v>
      </c>
      <c r="AD934" s="258">
        <f>1+ transit((J2000_Bas-1),$O934,$M934,DecLat,DecLong)/360 + (GMTOffset/24) + (IF(DST="Y", 1, 0)/24)</f>
        <v>1.7149600736088748</v>
      </c>
      <c r="AE934" s="259">
        <f>DATE(2001,9,21)+(M934/360)*365 - (360*((DecLong/360)- (GMTOffset/24) ))</f>
        <v>37423.55196759259</v>
      </c>
      <c r="AF934" s="260">
        <f>IF(DecLat&gt;0,IF((90 - (DecLat-O934))&gt;90, (90 - (O934-DecLat)), (90 - (DecLat-O934))),IF((90 + (DecLat-O934))&gt;90, (90 + (O934-DecLat)), (90 + (DecLat-O934))))</f>
        <v>22.902222222222221</v>
      </c>
      <c r="AG934" s="257">
        <f>angularseperation(MoonRA,MoonDec,$M934,$O934)</f>
        <v>12.801624369538938</v>
      </c>
      <c r="AH934" s="261">
        <f ca="1">MIN(100,IF($O$5&gt;80,0+30*($AG934/100),IF($O$5&gt;70,0+50*($AG934/100),IF($O$5&gt;60,5+50*($AG934/100),IF($O$5&gt;50,10+60*($AG934/100),IF($O$5&gt;40,15+70*($AG934/100),IF($O$5&gt;30,20+70*($AG934/100),IF($O$5&gt;20,40+55*($AG934/100),(80+(20-$O$5)+30*($AG934/100))))))))))</f>
        <v>87.111547655012103</v>
      </c>
      <c r="AI934" s="262"/>
      <c r="AJ934" s="262"/>
      <c r="AK934" s="262"/>
      <c r="AL934" s="263"/>
      <c r="AM934" s="264"/>
      <c r="AN934" s="263"/>
      <c r="AO934" s="263"/>
      <c r="AP934" s="265"/>
      <c r="AQ934" s="266"/>
      <c r="AR934" s="267"/>
      <c r="AS934" s="263"/>
      <c r="AT934" s="263"/>
      <c r="AU934" s="263"/>
      <c r="AV934" s="264"/>
      <c r="AW934" s="263"/>
      <c r="AX934" s="263">
        <v>61</v>
      </c>
      <c r="AY934" s="263"/>
      <c r="AZ934" s="263"/>
      <c r="BA934" s="263"/>
      <c r="BB934" s="263"/>
      <c r="BC934" s="263"/>
      <c r="BD934" s="264"/>
      <c r="BE934" s="263"/>
      <c r="BF934" s="263"/>
      <c r="BG934" s="263"/>
      <c r="BH934" s="263"/>
      <c r="BI934" s="263"/>
      <c r="BJ934" s="404">
        <f>altaz(J2000_Bas,$O934,$M934,DecLat,DecLong,2)</f>
        <v>201.99440150837617</v>
      </c>
      <c r="BK934" s="378" t="s">
        <v>1018</v>
      </c>
      <c r="BL934" s="379">
        <f>IF((2*G934)/60&lt;0.2,0.2,(2*G934)/60)</f>
        <v>0.33333333333333331</v>
      </c>
      <c r="BM934" s="380">
        <f>MOD((50000+AD934-$B$3+(0/24)),1)</f>
        <v>0.93032700331241358</v>
      </c>
      <c r="BN934" s="381"/>
      <c r="BO934" s="382">
        <v>928</v>
      </c>
    </row>
    <row r="935" spans="1:67" s="24" customFormat="1" ht="15" customHeight="1" x14ac:dyDescent="0.25">
      <c r="A935" s="288" t="s">
        <v>1019</v>
      </c>
      <c r="B935" s="241" t="str">
        <f>HYPERLINK(CONCATENATE($AT$3,BK935,$AU$3),$AV$3)</f>
        <v>S</v>
      </c>
      <c r="C935" s="242" t="str">
        <f>HYPERLINK(CONCATENATE($AT$4,BK935,$AU$4,BL935),$AV$4)</f>
        <v>A</v>
      </c>
      <c r="D935" s="243" t="s">
        <v>5187</v>
      </c>
      <c r="E935" s="244" t="s">
        <v>5183</v>
      </c>
      <c r="F935" s="269" t="s">
        <v>9162</v>
      </c>
      <c r="G935" s="276">
        <v>10</v>
      </c>
      <c r="H935" s="271">
        <v>5500</v>
      </c>
      <c r="I935" s="281">
        <v>16</v>
      </c>
      <c r="J935" s="246">
        <v>3</v>
      </c>
      <c r="K935" s="247" t="s">
        <v>4505</v>
      </c>
      <c r="L935" s="248">
        <v>172051</v>
      </c>
      <c r="M935" s="249">
        <f>15*(LEFT(TEXT($L935,"000000"),2)+(MID(TEXT($L935,"000000"),3,2)/60)+(RIGHT(TEXT($L935,"000000"),2)/3600))</f>
        <v>260.21249999999998</v>
      </c>
      <c r="N935" s="250">
        <v>-360718</v>
      </c>
      <c r="O935" s="251">
        <f>IF($N935&gt;0,(LEFT(TEXT($N935,"000000"),2)+(MID(TEXT($N935,"000000"),3,2)/60)+(RIGHT(TEXT($N935,"000000"),2)/3600)),-(MID(TEXT($N935,"000000"),2,2)+(MID(TEXT($N935,"000000"),4,2)/60)+(RIGHT(TEXT($N935,"000000"),2)/3600)))</f>
        <v>-36.12166666666667</v>
      </c>
      <c r="P935" s="252" t="s">
        <v>109</v>
      </c>
      <c r="Q935" s="253"/>
      <c r="R935" s="247" t="s">
        <v>3293</v>
      </c>
      <c r="S935" s="272" t="s">
        <v>2186</v>
      </c>
      <c r="T935" s="273"/>
      <c r="U935" s="274"/>
      <c r="V935" s="256"/>
      <c r="W935" s="244"/>
      <c r="X935" s="244"/>
      <c r="Y935" s="362"/>
      <c r="Z935" s="257">
        <f>altaz(J2000_Bas,$O935,$M935,DecLat,DecLong,1)</f>
        <v>18.651377881617712</v>
      </c>
      <c r="AA935" s="257">
        <f>altaz((J2000_Bas+(2*0.04167)),$O935,$M935,DecLat,DecLong,1)</f>
        <v>4.8656271459310716</v>
      </c>
      <c r="AB935" s="257">
        <f>altaz((J2000_Bas+(4*0.04167)),$O935,$M935,DecLat,DecLong,1)</f>
        <v>-14.7632429456959</v>
      </c>
      <c r="AC935" s="257">
        <f>altaz((J2000_Bas+(6*0.04167)),$O935,$M935,DecLat,DecLong,1)</f>
        <v>-37.417290125290187</v>
      </c>
      <c r="AD935" s="258">
        <f>1+ transit((J2000_Bas-1),$O935,$M935,DecLat,DecLong)/360 + (GMTOffset/24) + (IF(DST="Y", 1, 0)/24)</f>
        <v>1.715712388348458</v>
      </c>
      <c r="AE935" s="259">
        <f>DATE(2001,9,21)+(M935/360)*365 - (360*((DecLong/360)- (GMTOffset/24) ))</f>
        <v>37423.826562499999</v>
      </c>
      <c r="AF935" s="260">
        <f>IF(DecLat&gt;0,IF((90 - (DecLat-O935))&gt;90, (90 - (O935-DecLat)), (90 - (DecLat-O935))),IF((90 + (DecLat-O935))&gt;90, (90 + (O935-DecLat)), (90 + (DecLat-O935))))</f>
        <v>22.87833333333333</v>
      </c>
      <c r="AG935" s="257">
        <f>angularseperation(MoonRA,MoonDec,$M935,$O935)</f>
        <v>12.981561153315283</v>
      </c>
      <c r="AH935" s="261">
        <f ca="1">MIN(100,IF($O$5&gt;80,0+30*($AG935/100),IF($O$5&gt;70,0+50*($AG935/100),IF($O$5&gt;60,5+50*($AG935/100),IF($O$5&gt;50,10+60*($AG935/100),IF($O$5&gt;40,15+70*($AG935/100),IF($O$5&gt;30,20+70*($AG935/100),IF($O$5&gt;20,40+55*($AG935/100),(80+(20-$O$5)+30*($AG935/100))))))))))</f>
        <v>87.16552869014501</v>
      </c>
      <c r="AI935" s="262"/>
      <c r="AJ935" s="262"/>
      <c r="AK935" s="262"/>
      <c r="AL935" s="263"/>
      <c r="AM935" s="264"/>
      <c r="AN935" s="263"/>
      <c r="AO935" s="263"/>
      <c r="AP935" s="265"/>
      <c r="AQ935" s="266"/>
      <c r="AR935" s="267"/>
      <c r="AS935" s="263"/>
      <c r="AT935" s="263"/>
      <c r="AU935" s="263"/>
      <c r="AV935" s="264"/>
      <c r="AW935" s="263"/>
      <c r="AX935" s="263">
        <v>62</v>
      </c>
      <c r="AY935" s="263"/>
      <c r="AZ935" s="263"/>
      <c r="BA935" s="263"/>
      <c r="BB935" s="263"/>
      <c r="BC935" s="263"/>
      <c r="BD935" s="264"/>
      <c r="BE935" s="263"/>
      <c r="BF935" s="263"/>
      <c r="BG935" s="263"/>
      <c r="BH935" s="263"/>
      <c r="BI935" s="263"/>
      <c r="BJ935" s="404">
        <f>altaz(J2000_Bas,$O935,$M935,DecLat,DecLong,2)</f>
        <v>201.77236572950352</v>
      </c>
      <c r="BK935" s="378" t="s">
        <v>1019</v>
      </c>
      <c r="BL935" s="379">
        <f>IF((2*G935)/60&lt;0.2,0.2,(2*G935)/60)</f>
        <v>0.33333333333333331</v>
      </c>
      <c r="BM935" s="380">
        <f>MOD((50000+AD935-$B$3+(0/24)),1)</f>
        <v>0.93107931805570843</v>
      </c>
      <c r="BN935" s="381"/>
      <c r="BO935" s="382">
        <v>929</v>
      </c>
    </row>
    <row r="936" spans="1:67" s="24" customFormat="1" ht="15" customHeight="1" x14ac:dyDescent="0.25">
      <c r="A936" s="288" t="s">
        <v>1020</v>
      </c>
      <c r="B936" s="241" t="str">
        <f>HYPERLINK(CONCATENATE($AT$3,BK936,$AU$3),$AV$3)</f>
        <v>S</v>
      </c>
      <c r="C936" s="242" t="str">
        <f>HYPERLINK(CONCATENATE($AT$4,BK936,$AU$4,BL936),$AV$4)</f>
        <v>A</v>
      </c>
      <c r="D936" s="243" t="s">
        <v>5187</v>
      </c>
      <c r="E936" s="244" t="s">
        <v>5183</v>
      </c>
      <c r="F936" s="269" t="s">
        <v>9160</v>
      </c>
      <c r="G936" s="276">
        <v>30</v>
      </c>
      <c r="H936" s="271">
        <v>5500</v>
      </c>
      <c r="I936" s="281">
        <v>50</v>
      </c>
      <c r="J936" s="246">
        <v>3</v>
      </c>
      <c r="K936" s="247" t="s">
        <v>4506</v>
      </c>
      <c r="L936" s="248">
        <v>171930</v>
      </c>
      <c r="M936" s="249">
        <f>15*(LEFT(TEXT($L936,"000000"),2)+(MID(TEXT($L936,"000000"),3,2)/60)+(RIGHT(TEXT($L936,"000000"),2)/3600))</f>
        <v>259.875</v>
      </c>
      <c r="N936" s="250">
        <v>-354236</v>
      </c>
      <c r="O936" s="251">
        <f>IF($N936&gt;0,(LEFT(TEXT($N936,"000000"),2)+(MID(TEXT($N936,"000000"),3,2)/60)+(RIGHT(TEXT($N936,"000000"),2)/3600)),-(MID(TEXT($N936,"000000"),2,2)+(MID(TEXT($N936,"000000"),4,2)/60)+(RIGHT(TEXT($N936,"000000"),2)/3600)))</f>
        <v>-35.71</v>
      </c>
      <c r="P936" s="252" t="s">
        <v>109</v>
      </c>
      <c r="Q936" s="253"/>
      <c r="R936" s="247" t="s">
        <v>3293</v>
      </c>
      <c r="S936" s="272" t="s">
        <v>2186</v>
      </c>
      <c r="T936" s="273"/>
      <c r="U936" s="274"/>
      <c r="V936" s="256"/>
      <c r="W936" s="244"/>
      <c r="X936" s="244"/>
      <c r="Y936" s="362"/>
      <c r="Z936" s="257">
        <f>altaz(J2000_Bas,$O936,$M936,DecLat,DecLong,1)</f>
        <v>18.921005898642928</v>
      </c>
      <c r="AA936" s="257">
        <f>altaz((J2000_Bas+(2*0.04167)),$O936,$M936,DecLat,DecLong,1)</f>
        <v>4.9589647311090799</v>
      </c>
      <c r="AB936" s="257">
        <f>altaz((J2000_Bas+(4*0.04167)),$O936,$M936,DecLat,DecLong,1)</f>
        <v>-14.812955025547371</v>
      </c>
      <c r="AC936" s="257">
        <f>altaz((J2000_Bas+(6*0.04167)),$O936,$M936,DecLat,DecLong,1)</f>
        <v>-37.581037958478419</v>
      </c>
      <c r="AD936" s="258">
        <f>1+ transit((J2000_Bas-1),$O936,$M936,DecLat,DecLong)/360 + (GMTOffset/24) + (IF(DST="Y", 1, 0)/24)</f>
        <v>1.714774888442208</v>
      </c>
      <c r="AE936" s="259">
        <f>DATE(2001,9,21)+(M936/360)*365 - (360*((DecLong/360)- (GMTOffset/24) ))</f>
        <v>37423.484375</v>
      </c>
      <c r="AF936" s="260">
        <f>IF(DecLat&gt;0,IF((90 - (DecLat-O936))&gt;90, (90 - (O936-DecLat)), (90 - (DecLat-O936))),IF((90 + (DecLat-O936))&gt;90, (90 + (O936-DecLat)), (90 + (DecLat-O936))))</f>
        <v>23.289999999999992</v>
      </c>
      <c r="AG936" s="257">
        <f>angularseperation(MoonRA,MoonDec,$M936,$O936)</f>
        <v>12.505547716653389</v>
      </c>
      <c r="AH936" s="261">
        <f ca="1">MIN(100,IF($O$5&gt;80,0+30*($AG936/100),IF($O$5&gt;70,0+50*($AG936/100),IF($O$5&gt;60,5+50*($AG936/100),IF($O$5&gt;50,10+60*($AG936/100),IF($O$5&gt;40,15+70*($AG936/100),IF($O$5&gt;30,20+70*($AG936/100),IF($O$5&gt;20,40+55*($AG936/100),(80+(20-$O$5)+30*($AG936/100))))))))))</f>
        <v>87.022724659146448</v>
      </c>
      <c r="AI936" s="262"/>
      <c r="AJ936" s="262"/>
      <c r="AK936" s="262"/>
      <c r="AL936" s="263"/>
      <c r="AM936" s="264"/>
      <c r="AN936" s="263"/>
      <c r="AO936" s="263"/>
      <c r="AP936" s="265"/>
      <c r="AQ936" s="266"/>
      <c r="AR936" s="267"/>
      <c r="AS936" s="263"/>
      <c r="AT936" s="263"/>
      <c r="AU936" s="263"/>
      <c r="AV936" s="264"/>
      <c r="AW936" s="263"/>
      <c r="AX936" s="263">
        <v>63</v>
      </c>
      <c r="AY936" s="263"/>
      <c r="AZ936" s="263"/>
      <c r="BA936" s="263"/>
      <c r="BB936" s="263"/>
      <c r="BC936" s="263"/>
      <c r="BD936" s="264"/>
      <c r="BE936" s="263"/>
      <c r="BF936" s="263"/>
      <c r="BG936" s="263"/>
      <c r="BH936" s="263"/>
      <c r="BI936" s="263"/>
      <c r="BJ936" s="404">
        <f>altaz(J2000_Bas,$O936,$M936,DecLat,DecLong,2)</f>
        <v>202.20977085399161</v>
      </c>
      <c r="BK936" s="378" t="s">
        <v>1020</v>
      </c>
      <c r="BL936" s="379">
        <f>IF((2*G936)/60&lt;0.2,0.2,(2*G936)/60)</f>
        <v>1</v>
      </c>
      <c r="BM936" s="380">
        <f>MOD((50000+AD936-$B$3+(0/24)),1)</f>
        <v>0.93014181814942276</v>
      </c>
      <c r="BN936" s="381"/>
      <c r="BO936" s="382">
        <v>930</v>
      </c>
    </row>
    <row r="937" spans="1:67" s="24" customFormat="1" ht="15" customHeight="1" x14ac:dyDescent="0.25">
      <c r="A937" s="288" t="s">
        <v>4507</v>
      </c>
      <c r="B937" s="241" t="str">
        <f>HYPERLINK(CONCATENATE($AT$3,BK937,$AU$3),$AV$3)</f>
        <v>S</v>
      </c>
      <c r="C937" s="242" t="str">
        <f>HYPERLINK(CONCATENATE($AT$4,BK937,$AU$4,BL937),$AV$4)</f>
        <v>A</v>
      </c>
      <c r="D937" s="243" t="s">
        <v>5187</v>
      </c>
      <c r="E937" s="244" t="s">
        <v>5183</v>
      </c>
      <c r="F937" s="269" t="s">
        <v>9163</v>
      </c>
      <c r="G937" s="273">
        <v>6</v>
      </c>
      <c r="H937" s="271">
        <v>5500</v>
      </c>
      <c r="I937" s="300">
        <v>10</v>
      </c>
      <c r="J937" s="246">
        <v>2</v>
      </c>
      <c r="K937" s="247" t="s">
        <v>4510</v>
      </c>
      <c r="L937" s="248">
        <v>172007</v>
      </c>
      <c r="M937" s="249">
        <f>15*(LEFT(TEXT($L937,"000000"),2)+(MID(TEXT($L937,"000000"),3,2)/60)+(RIGHT(TEXT($L937,"000000"),2)/3600))</f>
        <v>260.02916666666664</v>
      </c>
      <c r="N937" s="250">
        <v>-355810</v>
      </c>
      <c r="O937" s="251">
        <f>IF($N937&gt;0,(LEFT(TEXT($N937,"000000"),2)+(MID(TEXT($N937,"000000"),3,2)/60)+(RIGHT(TEXT($N937,"000000"),2)/3600)),-(MID(TEXT($N937,"000000"),2,2)+(MID(TEXT($N937,"000000"),4,2)/60)+(RIGHT(TEXT($N937,"000000"),2)/3600)))</f>
        <v>-35.969444444444449</v>
      </c>
      <c r="P937" s="252" t="s">
        <v>109</v>
      </c>
      <c r="Q937" s="253"/>
      <c r="R937" s="247"/>
      <c r="S937" s="272" t="s">
        <v>2186</v>
      </c>
      <c r="T937" s="273"/>
      <c r="U937" s="274"/>
      <c r="V937" s="256"/>
      <c r="W937" s="244"/>
      <c r="X937" s="244"/>
      <c r="Y937" s="362"/>
      <c r="Z937" s="257">
        <f>altaz(J2000_Bas,$O937,$M937,DecLat,DecLong,1)</f>
        <v>18.732668637893923</v>
      </c>
      <c r="AA937" s="257">
        <f>altaz((J2000_Bas+(2*0.04167)),$O937,$M937,DecLat,DecLong,1)</f>
        <v>4.8666957597930152</v>
      </c>
      <c r="AB937" s="257">
        <f>altaz((J2000_Bas+(4*0.04167)),$O937,$M937,DecLat,DecLong,1)</f>
        <v>-14.823315488496259</v>
      </c>
      <c r="AC937" s="257">
        <f>altaz((J2000_Bas+(6*0.04167)),$O937,$M937,DecLat,DecLong,1)</f>
        <v>-37.523757666038861</v>
      </c>
      <c r="AD937" s="258">
        <f>1+ transit((J2000_Bas-1),$O937,$M937,DecLat,DecLong)/360 + (GMTOffset/24) + (IF(DST="Y", 1, 0)/24)</f>
        <v>1.7152031291401246</v>
      </c>
      <c r="AE937" s="259">
        <f>DATE(2001,9,21)+(M937/360)*365 - (360*((DecLong/360)- (GMTOffset/24) ))</f>
        <v>37423.640682870369</v>
      </c>
      <c r="AF937" s="260">
        <f>IF(DecLat&gt;0,IF((90 - (DecLat-O937))&gt;90, (90 - (O937-DecLat)), (90 - (DecLat-O937))),IF((90 + (DecLat-O937))&gt;90, (90 + (O937-DecLat)), (90 + (DecLat-O937))))</f>
        <v>23.030555555555551</v>
      </c>
      <c r="AG937" s="257">
        <f>angularseperation(MoonRA,MoonDec,$M937,$O937)</f>
        <v>12.769804034980215</v>
      </c>
      <c r="AH937" s="261">
        <f ca="1">MIN(100,IF($O$5&gt;80,0+30*($AG937/100),IF($O$5&gt;70,0+50*($AG937/100),IF($O$5&gt;60,5+50*($AG937/100),IF($O$5&gt;50,10+60*($AG937/100),IF($O$5&gt;40,15+70*($AG937/100),IF($O$5&gt;30,20+70*($AG937/100),IF($O$5&gt;20,40+55*($AG937/100),(80+(20-$O$5)+30*($AG937/100))))))))))</f>
        <v>87.102001554644488</v>
      </c>
      <c r="AI937" s="262"/>
      <c r="AJ937" s="262"/>
      <c r="AK937" s="262"/>
      <c r="AL937" s="263"/>
      <c r="AM937" s="264"/>
      <c r="AN937" s="263"/>
      <c r="AO937" s="263"/>
      <c r="AP937" s="265"/>
      <c r="AQ937" s="266"/>
      <c r="AR937" s="267"/>
      <c r="AS937" s="263"/>
      <c r="AT937" s="263"/>
      <c r="AU937" s="263"/>
      <c r="AV937" s="264"/>
      <c r="AW937" s="263"/>
      <c r="AX937" s="263">
        <v>64</v>
      </c>
      <c r="AY937" s="263"/>
      <c r="AZ937" s="263"/>
      <c r="BA937" s="263"/>
      <c r="BB937" s="263"/>
      <c r="BC937" s="263"/>
      <c r="BD937" s="264"/>
      <c r="BE937" s="263"/>
      <c r="BF937" s="263"/>
      <c r="BG937" s="263"/>
      <c r="BH937" s="263"/>
      <c r="BI937" s="263"/>
      <c r="BJ937" s="404">
        <f>altaz(J2000_Bas,$O937,$M937,DecLat,DecLong,2)</f>
        <v>201.97960427995622</v>
      </c>
      <c r="BK937" s="378" t="s">
        <v>4507</v>
      </c>
      <c r="BL937" s="379">
        <f>IF((2*G937)/60&lt;0.2,0.2,(2*G937)/60)</f>
        <v>0.2</v>
      </c>
      <c r="BM937" s="380">
        <f>MOD((50000+AD937-$B$3+(0/24)),1)</f>
        <v>0.93057005884475075</v>
      </c>
      <c r="BN937" s="381"/>
      <c r="BO937" s="382">
        <v>931</v>
      </c>
    </row>
    <row r="938" spans="1:67" s="24" customFormat="1" ht="15" customHeight="1" x14ac:dyDescent="0.25">
      <c r="A938" s="288" t="s">
        <v>4508</v>
      </c>
      <c r="B938" s="241" t="str">
        <f>HYPERLINK(CONCATENATE($AT$3,BK938,$AU$3),$AV$3)</f>
        <v>S</v>
      </c>
      <c r="C938" s="242" t="str">
        <f>HYPERLINK(CONCATENATE($AT$4,BK938,$AU$4,BL938),$AV$4)</f>
        <v>A</v>
      </c>
      <c r="D938" s="243" t="s">
        <v>5187</v>
      </c>
      <c r="E938" s="244" t="s">
        <v>5183</v>
      </c>
      <c r="F938" s="269" t="s">
        <v>9159</v>
      </c>
      <c r="G938" s="276">
        <v>10</v>
      </c>
      <c r="H938" s="271">
        <v>5500</v>
      </c>
      <c r="I938" s="281">
        <v>16</v>
      </c>
      <c r="J938" s="246">
        <v>3</v>
      </c>
      <c r="K938" s="247" t="s">
        <v>4512</v>
      </c>
      <c r="L938" s="248">
        <v>172048</v>
      </c>
      <c r="M938" s="249">
        <f>15*(LEFT(TEXT($L938,"000000"),2)+(MID(TEXT($L938,"000000"),3,2)/60)+(RIGHT(TEXT($L938,"000000"),2)/3600))</f>
        <v>260.19999999999993</v>
      </c>
      <c r="N938" s="250">
        <v>-355326</v>
      </c>
      <c r="O938" s="251">
        <f>IF($N938&gt;0,(LEFT(TEXT($N938,"000000"),2)+(MID(TEXT($N938,"000000"),3,2)/60)+(RIGHT(TEXT($N938,"000000"),2)/3600)),-(MID(TEXT($N938,"000000"),2,2)+(MID(TEXT($N938,"000000"),4,2)/60)+(RIGHT(TEXT($N938,"000000"),2)/3600)))</f>
        <v>-35.890555555555558</v>
      </c>
      <c r="P938" s="252" t="s">
        <v>109</v>
      </c>
      <c r="Q938" s="253"/>
      <c r="R938" s="247"/>
      <c r="S938" s="272" t="s">
        <v>2186</v>
      </c>
      <c r="T938" s="273"/>
      <c r="U938" s="274"/>
      <c r="V938" s="256"/>
      <c r="W938" s="244"/>
      <c r="X938" s="244"/>
      <c r="Y938" s="362"/>
      <c r="Z938" s="257">
        <f>altaz(J2000_Bas,$O938,$M938,DecLat,DecLong,1)</f>
        <v>18.859817415778853</v>
      </c>
      <c r="AA938" s="257">
        <f>altaz((J2000_Bas+(2*0.04167)),$O938,$M938,DecLat,DecLong,1)</f>
        <v>5.0206415419817709</v>
      </c>
      <c r="AB938" s="257">
        <f>altaz((J2000_Bas+(4*0.04167)),$O938,$M938,DecLat,DecLong,1)</f>
        <v>-14.664155378162977</v>
      </c>
      <c r="AC938" s="257">
        <f>altaz((J2000_Bas+(6*0.04167)),$O938,$M938,DecLat,DecLong,1)</f>
        <v>-37.370265122651531</v>
      </c>
      <c r="AD938" s="258">
        <f>1+ transit((J2000_Bas-1),$O938,$M938,DecLat,DecLong)/360 + (GMTOffset/24) + (IF(DST="Y", 1, 0)/24)</f>
        <v>1.715677666129708</v>
      </c>
      <c r="AE938" s="259">
        <f>DATE(2001,9,21)+(M938/360)*365 - (360*((DecLong/360)- (GMTOffset/24) ))</f>
        <v>37423.813888888886</v>
      </c>
      <c r="AF938" s="260">
        <f>IF(DecLat&gt;0,IF((90 - (DecLat-O938))&gt;90, (90 - (O938-DecLat)), (90 - (DecLat-O938))),IF((90 + (DecLat-O938))&gt;90, (90 + (O938-DecLat)), (90 + (DecLat-O938))))</f>
        <v>23.109444444444449</v>
      </c>
      <c r="AG938" s="257">
        <f>angularseperation(MoonRA,MoonDec,$M938,$O938)</f>
        <v>12.823259940175181</v>
      </c>
      <c r="AH938" s="261">
        <f ca="1">MIN(100,IF($O$5&gt;80,0+30*($AG938/100),IF($O$5&gt;70,0+50*($AG938/100),IF($O$5&gt;60,5+50*($AG938/100),IF($O$5&gt;50,10+60*($AG938/100),IF($O$5&gt;40,15+70*($AG938/100),IF($O$5&gt;30,20+70*($AG938/100),IF($O$5&gt;20,40+55*($AG938/100),(80+(20-$O$5)+30*($AG938/100))))))))))</f>
        <v>87.118038326202978</v>
      </c>
      <c r="AI938" s="262"/>
      <c r="AJ938" s="262"/>
      <c r="AK938" s="262"/>
      <c r="AL938" s="263"/>
      <c r="AM938" s="264"/>
      <c r="AN938" s="263"/>
      <c r="AO938" s="263"/>
      <c r="AP938" s="265"/>
      <c r="AQ938" s="266"/>
      <c r="AR938" s="267"/>
      <c r="AS938" s="263"/>
      <c r="AT938" s="263"/>
      <c r="AU938" s="263"/>
      <c r="AV938" s="264"/>
      <c r="AW938" s="263"/>
      <c r="AX938" s="263">
        <v>64</v>
      </c>
      <c r="AY938" s="263"/>
      <c r="AZ938" s="263"/>
      <c r="BA938" s="263"/>
      <c r="BB938" s="263"/>
      <c r="BC938" s="263"/>
      <c r="BD938" s="264"/>
      <c r="BE938" s="263"/>
      <c r="BF938" s="263"/>
      <c r="BG938" s="263"/>
      <c r="BH938" s="263"/>
      <c r="BI938" s="263"/>
      <c r="BJ938" s="404">
        <f>altaz(J2000_Bas,$O938,$M938,DecLat,DecLong,2)</f>
        <v>201.87832985242153</v>
      </c>
      <c r="BK938" s="378" t="s">
        <v>4508</v>
      </c>
      <c r="BL938" s="379">
        <f>IF((2*G938)/60&lt;0.2,0.2,(2*G938)/60)</f>
        <v>0.33333333333333331</v>
      </c>
      <c r="BM938" s="380">
        <f>MOD((50000+AD938-$B$3+(0/24)),1)</f>
        <v>0.93104459583264543</v>
      </c>
      <c r="BN938" s="381"/>
      <c r="BO938" s="382">
        <v>932</v>
      </c>
    </row>
    <row r="939" spans="1:67" s="24" customFormat="1" ht="15" customHeight="1" x14ac:dyDescent="0.25">
      <c r="A939" s="288" t="s">
        <v>4509</v>
      </c>
      <c r="B939" s="241" t="str">
        <f>HYPERLINK(CONCATENATE($AT$3,BK939,$AU$3),$AV$3)</f>
        <v>S</v>
      </c>
      <c r="C939" s="242" t="str">
        <f>HYPERLINK(CONCATENATE($AT$4,BK939,$AU$4,BL939),$AV$4)</f>
        <v>A</v>
      </c>
      <c r="D939" s="243" t="s">
        <v>5187</v>
      </c>
      <c r="E939" s="244" t="s">
        <v>5183</v>
      </c>
      <c r="F939" s="269" t="s">
        <v>9159</v>
      </c>
      <c r="G939" s="273">
        <v>8</v>
      </c>
      <c r="H939" s="271">
        <v>5500</v>
      </c>
      <c r="I939" s="281">
        <v>13</v>
      </c>
      <c r="J939" s="246">
        <v>2</v>
      </c>
      <c r="K939" s="247" t="s">
        <v>4511</v>
      </c>
      <c r="L939" s="248">
        <v>172017</v>
      </c>
      <c r="M939" s="249">
        <f>15*(LEFT(TEXT($L939,"000000"),2)+(MID(TEXT($L939,"000000"),3,2)/60)+(RIGHT(TEXT($L939,"000000"),2)/3600))</f>
        <v>260.07083333333333</v>
      </c>
      <c r="N939" s="250">
        <v>-354700</v>
      </c>
      <c r="O939" s="251">
        <f>IF($N939&gt;0,(LEFT(TEXT($N939,"000000"),2)+(MID(TEXT($N939,"000000"),3,2)/60)+(RIGHT(TEXT($N939,"000000"),2)/3600)),-(MID(TEXT($N939,"000000"),2,2)+(MID(TEXT($N939,"000000"),4,2)/60)+(RIGHT(TEXT($N939,"000000"),2)/3600)))</f>
        <v>-35.783333333333331</v>
      </c>
      <c r="P939" s="252" t="s">
        <v>109</v>
      </c>
      <c r="Q939" s="253"/>
      <c r="R939" s="247"/>
      <c r="S939" s="272" t="s">
        <v>2186</v>
      </c>
      <c r="T939" s="273"/>
      <c r="U939" s="274"/>
      <c r="V939" s="256"/>
      <c r="W939" s="244"/>
      <c r="X939" s="244"/>
      <c r="Y939" s="362"/>
      <c r="Z939" s="257">
        <f>altaz(J2000_Bas,$O939,$M939,DecLat,DecLong,1)</f>
        <v>18.916920049355575</v>
      </c>
      <c r="AA939" s="257">
        <f>altaz((J2000_Bas+(2*0.04167)),$O939,$M939,DecLat,DecLong,1)</f>
        <v>5.0211705248421108</v>
      </c>
      <c r="AB939" s="257">
        <f>altaz((J2000_Bas+(4*0.04167)),$O939,$M939,DecLat,DecLong,1)</f>
        <v>-14.706595632006993</v>
      </c>
      <c r="AC939" s="257">
        <f>altaz((J2000_Bas+(6*0.04167)),$O939,$M939,DecLat,DecLong,1)</f>
        <v>-37.445185466650386</v>
      </c>
      <c r="AD939" s="258">
        <f>1+ transit((J2000_Bas-1),$O939,$M939,DecLat,DecLong)/360 + (GMTOffset/24) + (IF(DST="Y", 1, 0)/24)</f>
        <v>1.7153188698692914</v>
      </c>
      <c r="AE939" s="259">
        <f>DATE(2001,9,21)+(M939/360)*365 - (360*((DecLong/360)- (GMTOffset/24) ))</f>
        <v>37423.682928240742</v>
      </c>
      <c r="AF939" s="260">
        <f>IF(DecLat&gt;0,IF((90 - (DecLat-O939))&gt;90, (90 - (O939-DecLat)), (90 - (DecLat-O939))),IF((90 + (DecLat-O939))&gt;90, (90 + (O939-DecLat)), (90 + (DecLat-O939))))</f>
        <v>23.216666666666669</v>
      </c>
      <c r="AG939" s="257">
        <f>angularseperation(MoonRA,MoonDec,$M939,$O939)</f>
        <v>12.674043829831197</v>
      </c>
      <c r="AH939" s="261">
        <f ca="1">MIN(100,IF($O$5&gt;80,0+30*($AG939/100),IF($O$5&gt;70,0+50*($AG939/100),IF($O$5&gt;60,5+50*($AG939/100),IF($O$5&gt;50,10+60*($AG939/100),IF($O$5&gt;40,15+70*($AG939/100),IF($O$5&gt;30,20+70*($AG939/100),IF($O$5&gt;20,40+55*($AG939/100),(80+(20-$O$5)+30*($AG939/100))))))))))</f>
        <v>87.073273493099791</v>
      </c>
      <c r="AI939" s="262"/>
      <c r="AJ939" s="262"/>
      <c r="AK939" s="262"/>
      <c r="AL939" s="263"/>
      <c r="AM939" s="264"/>
      <c r="AN939" s="263"/>
      <c r="AO939" s="263"/>
      <c r="AP939" s="265"/>
      <c r="AQ939" s="266"/>
      <c r="AR939" s="267"/>
      <c r="AS939" s="263"/>
      <c r="AT939" s="263"/>
      <c r="AU939" s="263"/>
      <c r="AV939" s="264"/>
      <c r="AW939" s="263"/>
      <c r="AX939" s="263">
        <v>64</v>
      </c>
      <c r="AY939" s="263"/>
      <c r="AZ939" s="263"/>
      <c r="BA939" s="263"/>
      <c r="BB939" s="263"/>
      <c r="BC939" s="263"/>
      <c r="BD939" s="264"/>
      <c r="BE939" s="263"/>
      <c r="BF939" s="263"/>
      <c r="BG939" s="263"/>
      <c r="BH939" s="263"/>
      <c r="BI939" s="263"/>
      <c r="BJ939" s="404">
        <f>altaz(J2000_Bas,$O939,$M939,DecLat,DecLong,2)</f>
        <v>202.02478330631004</v>
      </c>
      <c r="BK939" s="378" t="s">
        <v>4509</v>
      </c>
      <c r="BL939" s="379">
        <f>IF((2*G939)/60&lt;0.2,0.2,(2*G939)/60)</f>
        <v>0.26666666666666666</v>
      </c>
      <c r="BM939" s="380">
        <f>MOD((50000+AD939-$B$3+(0/24)),1)</f>
        <v>0.93068579957616748</v>
      </c>
      <c r="BN939" s="381"/>
      <c r="BO939" s="382">
        <v>933</v>
      </c>
    </row>
    <row r="940" spans="1:67" s="24" customFormat="1" ht="15" customHeight="1" x14ac:dyDescent="0.25">
      <c r="A940" s="288" t="s">
        <v>1021</v>
      </c>
      <c r="B940" s="241" t="str">
        <f>HYPERLINK(CONCATENATE($AT$3,BK940,$AU$3),$AV$3)</f>
        <v>S</v>
      </c>
      <c r="C940" s="242" t="str">
        <f>HYPERLINK(CONCATENATE($AT$4,BK940,$AU$4,BL940),$AV$4)</f>
        <v>A</v>
      </c>
      <c r="D940" s="243" t="s">
        <v>5187</v>
      </c>
      <c r="E940" s="244" t="s">
        <v>5183</v>
      </c>
      <c r="F940" s="269" t="s">
        <v>5180</v>
      </c>
      <c r="G940" s="276">
        <v>80</v>
      </c>
      <c r="H940" s="271">
        <v>650</v>
      </c>
      <c r="I940" s="246">
        <v>15</v>
      </c>
      <c r="J940" s="246">
        <v>3</v>
      </c>
      <c r="K940" s="247" t="s">
        <v>4514</v>
      </c>
      <c r="L940" s="248">
        <v>162111</v>
      </c>
      <c r="M940" s="249">
        <f>15*(LEFT(TEXT($L940,"000000"),2)+(MID(TEXT($L940,"000000"),3,2)/60)+(RIGHT(TEXT($L940,"000000"),2)/3600))</f>
        <v>245.29583333333335</v>
      </c>
      <c r="N940" s="250">
        <v>-253534</v>
      </c>
      <c r="O940" s="251">
        <f>IF($N940&gt;0,(LEFT(TEXT($N940,"000000"),2)+(MID(TEXT($N940,"000000"),3,2)/60)+(RIGHT(TEXT($N940,"000000"),2)/3600)),-(MID(TEXT($N940,"000000"),2,2)+(MID(TEXT($N940,"000000"),4,2)/60)+(RIGHT(TEXT($N940,"000000"),2)/3600)))</f>
        <v>-25.592777777777776</v>
      </c>
      <c r="P940" s="252" t="s">
        <v>109</v>
      </c>
      <c r="Q940" s="253"/>
      <c r="R940" s="247" t="s">
        <v>4513</v>
      </c>
      <c r="S940" s="272"/>
      <c r="T940" s="273"/>
      <c r="U940" s="274"/>
      <c r="V940" s="256"/>
      <c r="W940" s="244"/>
      <c r="X940" s="244"/>
      <c r="Y940" s="362"/>
      <c r="Z940" s="257">
        <f>altaz(J2000_Bas,$O940,$M940,DecLat,DecLong,1)</f>
        <v>21.318225542545377</v>
      </c>
      <c r="AA940" s="257">
        <f>altaz((J2000_Bas+(2*0.04167)),$O940,$M940,DecLat,DecLong,1)</f>
        <v>1.8260164585039322</v>
      </c>
      <c r="AB940" s="257">
        <f>altaz((J2000_Bas+(4*0.04167)),$O940,$M940,DecLat,DecLong,1)</f>
        <v>-21.613655512510277</v>
      </c>
      <c r="AC940" s="257">
        <f>altaz((J2000_Bas+(6*0.04167)),$O940,$M940,DecLat,DecLong,1)</f>
        <v>-46.824159786344723</v>
      </c>
      <c r="AD940" s="258">
        <f>1+ transit((J2000_Bas-1),$O940,$M940,DecLat,DecLong)/360 + (GMTOffset/24) + (IF(DST="Y", 1, 0)/24)</f>
        <v>1.6742772073067913</v>
      </c>
      <c r="AE940" s="259">
        <f>DATE(2001,9,21)+(M940/360)*365 - (360*((DecLong/360)- (GMTOffset/24) ))</f>
        <v>37408.702719907407</v>
      </c>
      <c r="AF940" s="260">
        <f>IF(DecLat&gt;0,IF((90 - (DecLat-O940))&gt;90, (90 - (O940-DecLat)), (90 - (DecLat-O940))),IF((90 + (DecLat-O940))&gt;90, (90 + (O940-DecLat)), (90 + (DecLat-O940))))</f>
        <v>33.407222222222224</v>
      </c>
      <c r="AG940" s="257">
        <f>angularseperation(MoonRA,MoonDec,$M940,$O940)</f>
        <v>3.8377308099102554</v>
      </c>
      <c r="AH940" s="261">
        <f ca="1">MIN(100,IF($O$5&gt;80,0+30*($AG940/100),IF($O$5&gt;70,0+50*($AG940/100),IF($O$5&gt;60,5+50*($AG940/100),IF($O$5&gt;50,10+60*($AG940/100),IF($O$5&gt;40,15+70*($AG940/100),IF($O$5&gt;30,20+70*($AG940/100),IF($O$5&gt;20,40+55*($AG940/100),(80+(20-$O$5)+30*($AG940/100))))))))))</f>
        <v>84.422379587123501</v>
      </c>
      <c r="AI940" s="262"/>
      <c r="AJ940" s="262"/>
      <c r="AK940" s="262"/>
      <c r="AL940" s="263"/>
      <c r="AM940" s="264"/>
      <c r="AN940" s="263"/>
      <c r="AO940" s="263"/>
      <c r="AP940" s="265"/>
      <c r="AQ940" s="266"/>
      <c r="AR940" s="267"/>
      <c r="AS940" s="263"/>
      <c r="AT940" s="263"/>
      <c r="AU940" s="263"/>
      <c r="AV940" s="264"/>
      <c r="AW940" s="263"/>
      <c r="AX940" s="263">
        <v>65</v>
      </c>
      <c r="AY940" s="263"/>
      <c r="AZ940" s="263"/>
      <c r="BA940" s="263"/>
      <c r="BB940" s="263">
        <v>9</v>
      </c>
      <c r="BC940" s="263"/>
      <c r="BD940" s="264"/>
      <c r="BE940" s="263"/>
      <c r="BF940" s="263"/>
      <c r="BG940" s="263"/>
      <c r="BH940" s="263"/>
      <c r="BI940" s="263"/>
      <c r="BJ940" s="404">
        <f>altaz(J2000_Bas,$O940,$M940,DecLat,DecLong,2)</f>
        <v>219.15374768657406</v>
      </c>
      <c r="BK940" s="378" t="s">
        <v>1021</v>
      </c>
      <c r="BL940" s="379">
        <f>IF((2*G940)/60&lt;0.2,0.2,(2*G940)/60)</f>
        <v>2.6666666666666665</v>
      </c>
      <c r="BM940" s="380">
        <f>MOD((50000+AD940-$B$3+(0/24)),1)</f>
        <v>0.88964413700887235</v>
      </c>
      <c r="BN940" s="381"/>
      <c r="BO940" s="382">
        <v>934</v>
      </c>
    </row>
    <row r="941" spans="1:67" s="24" customFormat="1" ht="15" customHeight="1" x14ac:dyDescent="0.25">
      <c r="A941" s="288" t="s">
        <v>1022</v>
      </c>
      <c r="B941" s="241" t="str">
        <f>HYPERLINK(CONCATENATE($AT$3,BK941,$AU$3),$AV$3)</f>
        <v>S</v>
      </c>
      <c r="C941" s="242" t="str">
        <f>HYPERLINK(CONCATENATE($AT$4,BK941,$AU$4,BL941),$AV$4)</f>
        <v>A</v>
      </c>
      <c r="D941" s="243" t="s">
        <v>5187</v>
      </c>
      <c r="E941" s="244" t="s">
        <v>5183</v>
      </c>
      <c r="F941" s="269" t="s">
        <v>5180</v>
      </c>
      <c r="G941" s="276">
        <v>120</v>
      </c>
      <c r="H941" s="271">
        <v>4250</v>
      </c>
      <c r="I941" s="246">
        <v>150</v>
      </c>
      <c r="J941" s="246">
        <v>2</v>
      </c>
      <c r="K941" s="247" t="s">
        <v>6135</v>
      </c>
      <c r="L941" s="248">
        <v>173442</v>
      </c>
      <c r="M941" s="249">
        <f>15*(LEFT(TEXT($L941,"000000"),2)+(MID(TEXT($L941,"000000"),3,2)/60)+(RIGHT(TEXT($L941,"000000"),2)/3600))</f>
        <v>263.67500000000001</v>
      </c>
      <c r="N941" s="250">
        <v>-323454</v>
      </c>
      <c r="O941" s="251">
        <f>IF($N941&gt;0,(LEFT(TEXT($N941,"000000"),2)+(MID(TEXT($N941,"000000"),3,2)/60)+(RIGHT(TEXT($N941,"000000"),2)/3600)),-(MID(TEXT($N941,"000000"),2,2)+(MID(TEXT($N941,"000000"),4,2)/60)+(RIGHT(TEXT($N941,"000000"),2)/3600)))</f>
        <v>-32.581666666666671</v>
      </c>
      <c r="P941" s="252" t="s">
        <v>109</v>
      </c>
      <c r="Q941" s="253"/>
      <c r="R941" s="277" t="s">
        <v>6064</v>
      </c>
      <c r="S941" s="272" t="s">
        <v>3293</v>
      </c>
      <c r="T941" s="273"/>
      <c r="U941" s="274"/>
      <c r="V941" s="256"/>
      <c r="W941" s="244"/>
      <c r="X941" s="244"/>
      <c r="Y941" s="362"/>
      <c r="Z941" s="257">
        <f>altaz(J2000_Bas,$O941,$M941,DecLat,DecLong,1)</f>
        <v>23.002464929945106</v>
      </c>
      <c r="AA941" s="257">
        <f>altaz((J2000_Bas+(2*0.04167)),$O941,$M941,DecLat,DecLong,1)</f>
        <v>9.3938227412496627</v>
      </c>
      <c r="AB941" s="257">
        <f>altaz((J2000_Bas+(4*0.04167)),$O941,$M941,DecLat,DecLong,1)</f>
        <v>-10.546435933434816</v>
      </c>
      <c r="AC941" s="257">
        <f>altaz((J2000_Bas+(6*0.04167)),$O941,$M941,DecLat,DecLong,1)</f>
        <v>-33.689752293893442</v>
      </c>
      <c r="AD941" s="258">
        <f>1+ transit((J2000_Bas-1),$O941,$M941,DecLat,DecLong)/360 + (GMTOffset/24) + (IF(DST="Y", 1, 0)/24)</f>
        <v>1.7253304429422081</v>
      </c>
      <c r="AE941" s="259">
        <f>DATE(2001,9,21)+(M941/360)*365 - (360*((DecLong/360)- (GMTOffset/24) ))</f>
        <v>37427.337152777778</v>
      </c>
      <c r="AF941" s="260">
        <f>IF(DecLat&gt;0,IF((90 - (DecLat-O941))&gt;90, (90 - (O941-DecLat)), (90 - (DecLat-O941))),IF((90 + (DecLat-O941))&gt;90, (90 + (O941-DecLat)), (90 + (DecLat-O941))))</f>
        <v>26.418333333333329</v>
      </c>
      <c r="AG941" s="257">
        <f>angularseperation(MoonRA,MoonDec,$M941,$O941)</f>
        <v>13.657922056856473</v>
      </c>
      <c r="AH941" s="261">
        <f ca="1">MIN(100,IF($O$5&gt;80,0+30*($AG941/100),IF($O$5&gt;70,0+50*($AG941/100),IF($O$5&gt;60,5+50*($AG941/100),IF($O$5&gt;50,10+60*($AG941/100),IF($O$5&gt;40,15+70*($AG941/100),IF($O$5&gt;30,20+70*($AG941/100),IF($O$5&gt;20,40+55*($AG941/100),(80+(20-$O$5)+30*($AG941/100))))))))))</f>
        <v>87.368436961207365</v>
      </c>
      <c r="AI941" s="263"/>
      <c r="AJ941" s="263"/>
      <c r="AK941" s="263"/>
      <c r="AL941" s="263"/>
      <c r="AM941" s="264"/>
      <c r="AN941" s="263"/>
      <c r="AO941" s="263"/>
      <c r="AP941" s="265"/>
      <c r="AQ941" s="265"/>
      <c r="AR941" s="285"/>
      <c r="AS941" s="263"/>
      <c r="AT941" s="263"/>
      <c r="AU941" s="263"/>
      <c r="AV941" s="264"/>
      <c r="AW941" s="263"/>
      <c r="AX941" s="263">
        <v>67</v>
      </c>
      <c r="AY941" s="263"/>
      <c r="AZ941" s="263"/>
      <c r="BA941" s="263">
        <v>132</v>
      </c>
      <c r="BB941" s="263">
        <v>12</v>
      </c>
      <c r="BC941" s="263"/>
      <c r="BD941" s="264"/>
      <c r="BE941" s="263"/>
      <c r="BF941" s="263"/>
      <c r="BG941" s="263"/>
      <c r="BH941" s="263"/>
      <c r="BI941" s="263"/>
      <c r="BJ941" s="404">
        <f>altaz(J2000_Bas,$O941,$M941,DecLat,DecLong,2)</f>
        <v>200.35077292254977</v>
      </c>
      <c r="BK941" s="378" t="s">
        <v>1022</v>
      </c>
      <c r="BL941" s="379">
        <f>IF((2*G941)/60&lt;0.2,0.2,(2*G941)/60)</f>
        <v>4</v>
      </c>
      <c r="BM941" s="380">
        <f>MOD((50000+AD941-$B$3+(0/24)),1)</f>
        <v>0.9406973726436263</v>
      </c>
      <c r="BN941" s="381"/>
      <c r="BO941" s="382">
        <v>935</v>
      </c>
    </row>
    <row r="942" spans="1:67" s="24" customFormat="1" ht="15" customHeight="1" x14ac:dyDescent="0.25">
      <c r="A942" s="288" t="s">
        <v>1023</v>
      </c>
      <c r="B942" s="241" t="str">
        <f>HYPERLINK(CONCATENATE($AT$3,BK942,$AU$3),$AV$3)</f>
        <v>S</v>
      </c>
      <c r="C942" s="242" t="str">
        <f>HYPERLINK(CONCATENATE($AT$4,BK942,$AU$4,BL942),$AV$4)</f>
        <v>A</v>
      </c>
      <c r="D942" s="243" t="s">
        <v>5187</v>
      </c>
      <c r="E942" s="244" t="s">
        <v>5183</v>
      </c>
      <c r="F942" s="269" t="s">
        <v>5180</v>
      </c>
      <c r="G942" s="276">
        <v>40</v>
      </c>
      <c r="H942" s="271">
        <v>4000</v>
      </c>
      <c r="I942" s="246">
        <v>48</v>
      </c>
      <c r="J942" s="246">
        <v>2</v>
      </c>
      <c r="K942" s="247" t="s">
        <v>6139</v>
      </c>
      <c r="L942" s="248">
        <v>173024</v>
      </c>
      <c r="M942" s="249">
        <f>15*(LEFT(TEXT($L942,"000000"),2)+(MID(TEXT($L942,"000000"),3,2)/60)+(RIGHT(TEXT($L942,"000000"),2)/3600))</f>
        <v>262.60000000000002</v>
      </c>
      <c r="N942" s="250">
        <v>-313300</v>
      </c>
      <c r="O942" s="251">
        <f>IF($N942&gt;0,(LEFT(TEXT($N942,"000000"),2)+(MID(TEXT($N942,"000000"),3,2)/60)+(RIGHT(TEXT($N942,"000000"),2)/3600)),-(MID(TEXT($N942,"000000"),2,2)+(MID(TEXT($N942,"000000"),4,2)/60)+(RIGHT(TEXT($N942,"000000"),2)/3600)))</f>
        <v>-31.55</v>
      </c>
      <c r="P942" s="252" t="s">
        <v>109</v>
      </c>
      <c r="Q942" s="253"/>
      <c r="R942" s="277" t="s">
        <v>6065</v>
      </c>
      <c r="S942" s="272" t="s">
        <v>3293</v>
      </c>
      <c r="T942" s="273"/>
      <c r="U942" s="274"/>
      <c r="V942" s="256"/>
      <c r="W942" s="244"/>
      <c r="X942" s="244"/>
      <c r="Y942" s="362"/>
      <c r="Z942" s="257">
        <f>altaz(J2000_Bas,$O942,$M942,DecLat,DecLong,1)</f>
        <v>23.633439177319733</v>
      </c>
      <c r="AA942" s="257">
        <f>altaz((J2000_Bas+(2*0.04167)),$O942,$M942,DecLat,DecLong,1)</f>
        <v>9.505275251445088</v>
      </c>
      <c r="AB942" s="257">
        <f>altaz((J2000_Bas+(4*0.04167)),$O942,$M942,DecLat,DecLong,1)</f>
        <v>-10.819018764827236</v>
      </c>
      <c r="AC942" s="257">
        <f>altaz((J2000_Bas+(6*0.04167)),$O942,$M942,DecLat,DecLong,1)</f>
        <v>-34.23493039000742</v>
      </c>
      <c r="AD942" s="258">
        <f>1+ transit((J2000_Bas-1),$O942,$M942,DecLat,DecLong)/360 + (GMTOffset/24) + (IF(DST="Y", 1, 0)/24)</f>
        <v>1.7223443321297081</v>
      </c>
      <c r="AE942" s="259">
        <f>DATE(2001,9,21)+(M942/360)*365 - (360*((DecLong/360)- (GMTOffset/24) ))</f>
        <v>37426.24722222222</v>
      </c>
      <c r="AF942" s="260">
        <f>IF(DecLat&gt;0,IF((90 - (DecLat-O942))&gt;90, (90 - (O942-DecLat)), (90 - (DecLat-O942))),IF((90 + (DecLat-O942))&gt;90, (90 + (O942-DecLat)), (90 + (DecLat-O942))))</f>
        <v>27.450000000000003</v>
      </c>
      <c r="AG942" s="257">
        <f>angularseperation(MoonRA,MoonDec,$M942,$O942)</f>
        <v>12.462770784091008</v>
      </c>
      <c r="AH942" s="261">
        <f ca="1">MIN(100,IF($O$5&gt;80,0+30*($AG942/100),IF($O$5&gt;70,0+50*($AG942/100),IF($O$5&gt;60,5+50*($AG942/100),IF($O$5&gt;50,10+60*($AG942/100),IF($O$5&gt;40,15+70*($AG942/100),IF($O$5&gt;30,20+70*($AG942/100),IF($O$5&gt;20,40+55*($AG942/100),(80+(20-$O$5)+30*($AG942/100))))))))))</f>
        <v>87.009891579377737</v>
      </c>
      <c r="AI942" s="263"/>
      <c r="AJ942" s="263"/>
      <c r="AK942" s="263"/>
      <c r="AL942" s="263"/>
      <c r="AM942" s="264"/>
      <c r="AN942" s="263"/>
      <c r="AO942" s="263"/>
      <c r="AP942" s="265"/>
      <c r="AQ942" s="265"/>
      <c r="AR942" s="285"/>
      <c r="AS942" s="263"/>
      <c r="AT942" s="263"/>
      <c r="AU942" s="263"/>
      <c r="AV942" s="264"/>
      <c r="AW942" s="263"/>
      <c r="AX942" s="263">
        <v>68</v>
      </c>
      <c r="AY942" s="263"/>
      <c r="AZ942" s="263"/>
      <c r="BA942" s="263">
        <v>133</v>
      </c>
      <c r="BB942" s="263">
        <v>13</v>
      </c>
      <c r="BC942" s="263"/>
      <c r="BD942" s="264"/>
      <c r="BE942" s="263"/>
      <c r="BF942" s="263"/>
      <c r="BG942" s="263"/>
      <c r="BH942" s="263"/>
      <c r="BI942" s="263"/>
      <c r="BJ942" s="404">
        <f>altaz(J2000_Bas,$O942,$M942,DecLat,DecLong,2)</f>
        <v>201.68271470025098</v>
      </c>
      <c r="BK942" s="378" t="s">
        <v>1023</v>
      </c>
      <c r="BL942" s="379">
        <f>IF((2*G942)/60&lt;0.2,0.2,(2*G942)/60)</f>
        <v>1.3333333333333333</v>
      </c>
      <c r="BM942" s="380">
        <f>MOD((50000+AD942-$B$3+(0/24)),1)</f>
        <v>0.93771126183128217</v>
      </c>
      <c r="BN942" s="381"/>
      <c r="BO942" s="382">
        <v>936</v>
      </c>
    </row>
    <row r="943" spans="1:67" s="24" customFormat="1" ht="15" customHeight="1" x14ac:dyDescent="0.25">
      <c r="A943" s="413" t="s">
        <v>1024</v>
      </c>
      <c r="B943" s="241" t="str">
        <f>HYPERLINK(CONCATENATE($AT$3,BK943,$AU$3),$AV$3)</f>
        <v>S</v>
      </c>
      <c r="C943" s="242" t="str">
        <f>HYPERLINK(CONCATENATE($AT$4,BK943,$AU$4,BL943),$AV$4)</f>
        <v>A</v>
      </c>
      <c r="D943" s="243" t="s">
        <v>5187</v>
      </c>
      <c r="E943" s="244" t="s">
        <v>5183</v>
      </c>
      <c r="F943" s="269" t="s">
        <v>5180</v>
      </c>
      <c r="G943" s="276">
        <v>700</v>
      </c>
      <c r="H943" s="283">
        <v>600</v>
      </c>
      <c r="I943" s="246">
        <v>120</v>
      </c>
      <c r="J943" s="246">
        <v>2</v>
      </c>
      <c r="K943" s="247" t="s">
        <v>6260</v>
      </c>
      <c r="L943" s="248">
        <v>163500</v>
      </c>
      <c r="M943" s="249">
        <f>15*(LEFT(TEXT($L943,"000000"),2)+(MID(TEXT($L943,"000000"),3,2)/60)+(RIGHT(TEXT($L943,"000000"),2)/3600))</f>
        <v>248.74999999999997</v>
      </c>
      <c r="N943" s="286">
        <v>-102402</v>
      </c>
      <c r="O943" s="251">
        <f>IF($N943&gt;0,(LEFT(TEXT($N943,"000000"),2)+(MID(TEXT($N943,"000000"),3,2)/60)+(RIGHT(TEXT($N943,"000000"),2)/3600)),-(MID(TEXT($N943,"000000"),2,2)+(MID(TEXT($N943,"000000"),4,2)/60)+(RIGHT(TEXT($N943,"000000"),2)/3600)))</f>
        <v>-10.400555555555556</v>
      </c>
      <c r="P943" s="252" t="s">
        <v>113</v>
      </c>
      <c r="Q943" s="253"/>
      <c r="R943" s="277" t="s">
        <v>1024</v>
      </c>
      <c r="S943" s="272" t="s">
        <v>3293</v>
      </c>
      <c r="T943" s="273"/>
      <c r="U943" s="274"/>
      <c r="V943" s="280"/>
      <c r="W943" s="244"/>
      <c r="X943" s="244"/>
      <c r="Y943" s="362"/>
      <c r="Z943" s="257">
        <f>altaz(J2000_Bas,$O943,$M943,DecLat,DecLong,1)</f>
        <v>35.316585712358368</v>
      </c>
      <c r="AA943" s="257">
        <f>altaz((J2000_Bas+(2*0.04167)),$O943,$M943,DecLat,DecLong,1)</f>
        <v>13.407034526206138</v>
      </c>
      <c r="AB943" s="257">
        <f>altaz((J2000_Bas+(4*0.04167)),$O943,$M943,DecLat,DecLong,1)</f>
        <v>-11.647004441111871</v>
      </c>
      <c r="AC943" s="257">
        <f>altaz((J2000_Bas+(6*0.04167)),$O943,$M943,DecLat,DecLong,1)</f>
        <v>-37.321661934140266</v>
      </c>
      <c r="AD943" s="258">
        <f>1+ transit((J2000_Bas-1),$O943,$M943,DecLat,DecLong)/360 + (GMTOffset/24) + (IF(DST="Y", 1, 0)/24)</f>
        <v>1.6838721137547081</v>
      </c>
      <c r="AE943" s="259">
        <f>DATE(2001,9,21)+(M943/360)*365 - (360*((DecLong/360)- (GMTOffset/24) ))</f>
        <v>37412.204861111109</v>
      </c>
      <c r="AF943" s="260">
        <f>IF(DecLat&gt;0,IF((90 - (DecLat-O943))&gt;90, (90 - (O943-DecLat)), (90 - (DecLat-O943))),IF((90 + (DecLat-O943))&gt;90, (90 + (O943-DecLat)), (90 + (DecLat-O943))))</f>
        <v>48.599444444444444</v>
      </c>
      <c r="AG943" s="257">
        <f>angularseperation(MoonRA,MoonDec,$M943,$O943)</f>
        <v>16.689977589814234</v>
      </c>
      <c r="AH943" s="261">
        <f ca="1">MIN(100,IF($O$5&gt;80,0+30*($AG943/100),IF($O$5&gt;70,0+50*($AG943/100),IF($O$5&gt;60,5+50*($AG943/100),IF($O$5&gt;50,10+60*($AG943/100),IF($O$5&gt;40,15+70*($AG943/100),IF($O$5&gt;30,20+70*($AG943/100),IF($O$5&gt;20,40+55*($AG943/100),(80+(20-$O$5)+30*($AG943/100))))))))))</f>
        <v>88.278053621094699</v>
      </c>
      <c r="AI943" s="263"/>
      <c r="AJ943" s="263"/>
      <c r="AK943" s="263"/>
      <c r="AL943" s="263"/>
      <c r="AM943" s="264"/>
      <c r="AN943" s="263"/>
      <c r="AO943" s="263"/>
      <c r="AP943" s="265"/>
      <c r="AQ943" s="265"/>
      <c r="AR943" s="285"/>
      <c r="AS943" s="263"/>
      <c r="AT943" s="263"/>
      <c r="AU943" s="263"/>
      <c r="AV943" s="264"/>
      <c r="AW943" s="263"/>
      <c r="AX943" s="263">
        <v>73</v>
      </c>
      <c r="AY943" s="263">
        <v>24</v>
      </c>
      <c r="AZ943" s="263"/>
      <c r="BA943" s="263"/>
      <c r="BB943" s="263">
        <v>27</v>
      </c>
      <c r="BC943" s="263"/>
      <c r="BD943" s="264"/>
      <c r="BE943" s="263"/>
      <c r="BF943" s="263"/>
      <c r="BG943" s="263"/>
      <c r="BH943" s="263"/>
      <c r="BI943" s="263"/>
      <c r="BJ943" s="404">
        <f>altaz(J2000_Bas,$O943,$M943,DecLat,DecLong,2)</f>
        <v>226.85829454758033</v>
      </c>
      <c r="BK943" s="378" t="s">
        <v>1024</v>
      </c>
      <c r="BL943" s="379">
        <f>IF((2*G943)/60&lt;0.2,0.2,(2*G943)/60)</f>
        <v>23.333333333333332</v>
      </c>
      <c r="BM943" s="380">
        <f>MOD((50000+AD943-$B$3+(0/24)),1)</f>
        <v>0.89923904345778283</v>
      </c>
      <c r="BN943" s="381"/>
      <c r="BO943" s="382">
        <v>937</v>
      </c>
    </row>
    <row r="944" spans="1:67" s="24" customFormat="1" ht="15" customHeight="1" x14ac:dyDescent="0.25">
      <c r="A944" s="288" t="s">
        <v>6136</v>
      </c>
      <c r="B944" s="241" t="str">
        <f>HYPERLINK(CONCATENATE($AT$3,BK944,$AU$3),$AV$3)</f>
        <v>S</v>
      </c>
      <c r="C944" s="242" t="str">
        <f>HYPERLINK(CONCATENATE($AT$4,BK944,$AU$4,BL944),$AV$4)</f>
        <v>A</v>
      </c>
      <c r="D944" s="243" t="s">
        <v>5187</v>
      </c>
      <c r="E944" s="244" t="s">
        <v>5183</v>
      </c>
      <c r="F944" s="269" t="s">
        <v>5180</v>
      </c>
      <c r="G944" s="276">
        <v>40</v>
      </c>
      <c r="H944" s="271">
        <v>8000</v>
      </c>
      <c r="I944" s="246">
        <v>90</v>
      </c>
      <c r="J944" s="246">
        <v>1</v>
      </c>
      <c r="K944" s="247" t="s">
        <v>6138</v>
      </c>
      <c r="L944" s="248">
        <v>180100</v>
      </c>
      <c r="M944" s="249">
        <f>15*(LEFT(TEXT($L944,"000000"),2)+(MID(TEXT($L944,"000000"),3,2)/60)+(RIGHT(TEXT($L944,"000000"),2)/3600))</f>
        <v>270.25</v>
      </c>
      <c r="N944" s="250">
        <v>-232000</v>
      </c>
      <c r="O944" s="251">
        <f>IF($N944&gt;0,(LEFT(TEXT($N944,"000000"),2)+(MID(TEXT($N944,"000000"),3,2)/60)+(RIGHT(TEXT($N944,"000000"),2)/3600)),-(MID(TEXT($N944,"000000"),2,2)+(MID(TEXT($N944,"000000"),4,2)/60)+(RIGHT(TEXT($N944,"000000"),2)/3600)))</f>
        <v>-23.333333333333332</v>
      </c>
      <c r="P944" s="252" t="s">
        <v>119</v>
      </c>
      <c r="Q944" s="253"/>
      <c r="R944" s="277" t="s">
        <v>6076</v>
      </c>
      <c r="S944" s="272" t="s">
        <v>3293</v>
      </c>
      <c r="T944" s="273"/>
      <c r="U944" s="274"/>
      <c r="V944" s="256"/>
      <c r="W944" s="244"/>
      <c r="X944" s="244"/>
      <c r="Y944" s="362"/>
      <c r="Z944" s="257">
        <f>altaz(J2000_Bas,$O944,$M944,DecLat,DecLong,1)</f>
        <v>33.608059253486786</v>
      </c>
      <c r="AA944" s="257">
        <f>altaz((J2000_Bas+(2*0.04167)),$O944,$M944,DecLat,DecLong,1)</f>
        <v>20.142231620567024</v>
      </c>
      <c r="AB944" s="257">
        <f>altaz((J2000_Bas+(4*0.04167)),$O944,$M944,DecLat,DecLong,1)</f>
        <v>-0.71877566035140816</v>
      </c>
      <c r="AC944" s="257">
        <f>altaz((J2000_Bas+(6*0.04167)),$O944,$M944,DecLat,DecLong,1)</f>
        <v>-24.899207496740853</v>
      </c>
      <c r="AD944" s="258">
        <f>1+ transit((J2000_Bas-1),$O944,$M944,DecLat,DecLong)/360 + (GMTOffset/24) + (IF(DST="Y", 1, 0)/24)</f>
        <v>1.7435943300047081</v>
      </c>
      <c r="AE944" s="259">
        <f>DATE(2001,9,21)+(M944/360)*365 - (360*((DecLong/360)- (GMTOffset/24) ))</f>
        <v>37434.003472222219</v>
      </c>
      <c r="AF944" s="260">
        <f>IF(DecLat&gt;0,IF((90 - (DecLat-O944))&gt;90, (90 - (O944-DecLat)), (90 - (DecLat-O944))),IF((90 + (DecLat-O944))&gt;90, (90 + (O944-DecLat)), (90 + (DecLat-O944))))</f>
        <v>35.666666666666671</v>
      </c>
      <c r="AG944" s="257">
        <f>angularseperation(MoonRA,MoonDec,$M944,$O944)</f>
        <v>19.349144993352159</v>
      </c>
      <c r="AH944" s="261">
        <f ca="1">MIN(100,IF($O$5&gt;80,0+30*($AG944/100),IF($O$5&gt;70,0+50*($AG944/100),IF($O$5&gt;60,5+50*($AG944/100),IF($O$5&gt;50,10+60*($AG944/100),IF($O$5&gt;40,15+70*($AG944/100),IF($O$5&gt;30,20+70*($AG944/100),IF($O$5&gt;20,40+55*($AG944/100),(80+(20-$O$5)+30*($AG944/100))))))))))</f>
        <v>89.075803842156077</v>
      </c>
      <c r="AI944" s="263"/>
      <c r="AJ944" s="263"/>
      <c r="AK944" s="263"/>
      <c r="AL944" s="263"/>
      <c r="AM944" s="264"/>
      <c r="AN944" s="263"/>
      <c r="AO944" s="263"/>
      <c r="AP944" s="265"/>
      <c r="AQ944" s="265"/>
      <c r="AR944" s="285"/>
      <c r="AS944" s="263"/>
      <c r="AT944" s="263"/>
      <c r="AU944" s="263"/>
      <c r="AV944" s="264"/>
      <c r="AW944" s="263"/>
      <c r="AX944" s="263">
        <v>74</v>
      </c>
      <c r="AY944" s="263"/>
      <c r="AZ944" s="263"/>
      <c r="BA944" s="263">
        <v>146</v>
      </c>
      <c r="BB944" s="263">
        <v>28</v>
      </c>
      <c r="BC944" s="263"/>
      <c r="BD944" s="264"/>
      <c r="BE944" s="263"/>
      <c r="BF944" s="263"/>
      <c r="BG944" s="263"/>
      <c r="BH944" s="263"/>
      <c r="BI944" s="263"/>
      <c r="BJ944" s="404">
        <f>altaz(J2000_Bas,$O944,$M944,DecLat,DecLong,2)</f>
        <v>197.41639239503209</v>
      </c>
      <c r="BK944" s="378" t="s">
        <v>6136</v>
      </c>
      <c r="BL944" s="379">
        <f>IF((2*G944)/60&lt;0.2,0.2,(2*G944)/60)</f>
        <v>1.3333333333333333</v>
      </c>
      <c r="BM944" s="380">
        <f>MOD((50000+AD944-$B$3+(0/24)),1)</f>
        <v>0.95896125971194124</v>
      </c>
      <c r="BN944" s="381"/>
      <c r="BO944" s="382">
        <v>938</v>
      </c>
    </row>
    <row r="945" spans="1:67" s="24" customFormat="1" ht="15" customHeight="1" x14ac:dyDescent="0.25">
      <c r="A945" s="288" t="s">
        <v>6137</v>
      </c>
      <c r="B945" s="241" t="str">
        <f>HYPERLINK(CONCATENATE($AT$3,BK945,$AU$3),$AV$3)</f>
        <v>S</v>
      </c>
      <c r="C945" s="242" t="str">
        <f>HYPERLINK(CONCATENATE($AT$4,BK945,$AU$4,BL945),$AV$4)</f>
        <v>A</v>
      </c>
      <c r="D945" s="243" t="s">
        <v>5187</v>
      </c>
      <c r="E945" s="244" t="s">
        <v>5183</v>
      </c>
      <c r="F945" s="269" t="s">
        <v>5180</v>
      </c>
      <c r="G945" s="276">
        <v>40</v>
      </c>
      <c r="H945" s="271">
        <v>5500</v>
      </c>
      <c r="I945" s="246">
        <v>65</v>
      </c>
      <c r="J945" s="246">
        <v>1</v>
      </c>
      <c r="K945" s="247" t="s">
        <v>6138</v>
      </c>
      <c r="L945" s="248">
        <v>180442</v>
      </c>
      <c r="M945" s="249">
        <f>15*(LEFT(TEXT($L945,"000000"),2)+(MID(TEXT($L945,"000000"),3,2)/60)+(RIGHT(TEXT($L945,"000000"),2)/3600))</f>
        <v>271.17500000000001</v>
      </c>
      <c r="N945" s="250">
        <v>-232736</v>
      </c>
      <c r="O945" s="251">
        <f>IF($N945&gt;0,(LEFT(TEXT($N945,"000000"),2)+(MID(TEXT($N945,"000000"),3,2)/60)+(RIGHT(TEXT($N945,"000000"),2)/3600)),-(MID(TEXT($N945,"000000"),2,2)+(MID(TEXT($N945,"000000"),4,2)/60)+(RIGHT(TEXT($N945,"000000"),2)/3600)))</f>
        <v>-23.46</v>
      </c>
      <c r="P945" s="252" t="s">
        <v>119</v>
      </c>
      <c r="Q945" s="253"/>
      <c r="R945" s="277" t="s">
        <v>6076</v>
      </c>
      <c r="S945" s="272" t="s">
        <v>3293</v>
      </c>
      <c r="T945" s="273"/>
      <c r="U945" s="274"/>
      <c r="V945" s="256"/>
      <c r="W945" s="244"/>
      <c r="X945" s="244"/>
      <c r="Y945" s="362"/>
      <c r="Z945" s="257">
        <f>altaz(J2000_Bas,$O945,$M945,DecLat,DecLong,1)</f>
        <v>33.716711179570815</v>
      </c>
      <c r="AA945" s="257">
        <f>altaz((J2000_Bas+(2*0.04167)),$O945,$M945,DecLat,DecLong,1)</f>
        <v>20.598508259621131</v>
      </c>
      <c r="AB945" s="257">
        <f>altaz((J2000_Bas+(4*0.04167)),$O945,$M945,DecLat,DecLong,1)</f>
        <v>-8.5084413494180555E-2</v>
      </c>
      <c r="AC945" s="257">
        <f>altaz((J2000_Bas+(6*0.04167)),$O945,$M945,DecLat,DecLong,1)</f>
        <v>-24.181640289548614</v>
      </c>
      <c r="AD945" s="258">
        <f>1+ transit((J2000_Bas-1),$O945,$M945,DecLat,DecLong)/360 + (GMTOffset/24) + (IF(DST="Y", 1, 0)/24)</f>
        <v>1.746163774192208</v>
      </c>
      <c r="AE945" s="259">
        <f>DATE(2001,9,21)+(M945/360)*365 - (360*((DecLong/360)- (GMTOffset/24) ))</f>
        <v>37434.941319444442</v>
      </c>
      <c r="AF945" s="260">
        <f>IF(DecLat&gt;0,IF((90 - (DecLat-O945))&gt;90, (90 - (O945-DecLat)), (90 - (DecLat-O945))),IF((90 + (DecLat-O945))&gt;90, (90 + (O945-DecLat)), (90 + (DecLat-O945))))</f>
        <v>35.54</v>
      </c>
      <c r="AG945" s="257">
        <f>angularseperation(MoonRA,MoonDec,$M945,$O945)</f>
        <v>20.134856707410897</v>
      </c>
      <c r="AH945" s="261">
        <f ca="1">MIN(100,IF($O$5&gt;80,0+30*($AG945/100),IF($O$5&gt;70,0+50*($AG945/100),IF($O$5&gt;60,5+50*($AG945/100),IF($O$5&gt;50,10+60*($AG945/100),IF($O$5&gt;40,15+70*($AG945/100),IF($O$5&gt;30,20+70*($AG945/100),IF($O$5&gt;20,40+55*($AG945/100),(80+(20-$O$5)+30*($AG945/100))))))))))</f>
        <v>89.311517356373699</v>
      </c>
      <c r="AI945" s="263"/>
      <c r="AJ945" s="263"/>
      <c r="AK945" s="263"/>
      <c r="AL945" s="263"/>
      <c r="AM945" s="264"/>
      <c r="AN945" s="263"/>
      <c r="AO945" s="263"/>
      <c r="AP945" s="265"/>
      <c r="AQ945" s="265"/>
      <c r="AR945" s="285"/>
      <c r="AS945" s="263"/>
      <c r="AT945" s="263"/>
      <c r="AU945" s="263"/>
      <c r="AV945" s="264"/>
      <c r="AW945" s="263"/>
      <c r="AX945" s="263">
        <v>74</v>
      </c>
      <c r="AY945" s="263"/>
      <c r="AZ945" s="263"/>
      <c r="BA945" s="263"/>
      <c r="BB945" s="263"/>
      <c r="BC945" s="263"/>
      <c r="BD945" s="264"/>
      <c r="BE945" s="263"/>
      <c r="BF945" s="263"/>
      <c r="BG945" s="263"/>
      <c r="BH945" s="263"/>
      <c r="BI945" s="263"/>
      <c r="BJ945" s="404">
        <f>altaz(J2000_Bas,$O945,$M945,DecLat,DecLong,2)</f>
        <v>196.39341879822697</v>
      </c>
      <c r="BK945" s="378" t="s">
        <v>6137</v>
      </c>
      <c r="BL945" s="379">
        <f>IF((2*G945)/60&lt;0.2,0.2,(2*G945)/60)</f>
        <v>1.3333333333333333</v>
      </c>
      <c r="BM945" s="380">
        <f>MOD((50000+AD945-$B$3+(0/24)),1)</f>
        <v>0.96153070389846107</v>
      </c>
      <c r="BN945" s="381"/>
      <c r="BO945" s="382">
        <v>939</v>
      </c>
    </row>
    <row r="946" spans="1:67" s="24" customFormat="1" ht="15" customHeight="1" x14ac:dyDescent="0.25">
      <c r="A946" s="288" t="s">
        <v>1025</v>
      </c>
      <c r="B946" s="241" t="str">
        <f>HYPERLINK(CONCATENATE($AT$3,BK946,$AU$3),$AV$3)</f>
        <v>S</v>
      </c>
      <c r="C946" s="242" t="str">
        <f>HYPERLINK(CONCATENATE($AT$4,BK946,$AU$4,BL946),$AV$4)</f>
        <v>A</v>
      </c>
      <c r="D946" s="243" t="s">
        <v>5187</v>
      </c>
      <c r="E946" s="244" t="s">
        <v>5183</v>
      </c>
      <c r="F946" s="269" t="s">
        <v>5180</v>
      </c>
      <c r="G946" s="276">
        <v>35</v>
      </c>
      <c r="H946" s="271" t="s">
        <v>6500</v>
      </c>
      <c r="I946" s="244" t="s">
        <v>6500</v>
      </c>
      <c r="J946" s="246">
        <v>3</v>
      </c>
      <c r="K946" s="247" t="s">
        <v>4515</v>
      </c>
      <c r="L946" s="248">
        <v>180917</v>
      </c>
      <c r="M946" s="249">
        <f>15*(LEFT(TEXT($L946,"000000"),2)+(MID(TEXT($L946,"000000"),3,2)/60)+(RIGHT(TEXT($L946,"000000"),2)/3600))</f>
        <v>272.32083333333333</v>
      </c>
      <c r="N946" s="286">
        <v>-235915</v>
      </c>
      <c r="O946" s="251">
        <f>IF($N946&gt;0,(LEFT(TEXT($N946,"000000"),2)+(MID(TEXT($N946,"000000"),3,2)/60)+(RIGHT(TEXT($N946,"000000"),2)/3600)),-(MID(TEXT($N946,"000000"),2,2)+(MID(TEXT($N946,"000000"),4,2)/60)+(RIGHT(TEXT($N946,"000000"),2)/3600)))</f>
        <v>-23.987500000000001</v>
      </c>
      <c r="P946" s="252" t="s">
        <v>119</v>
      </c>
      <c r="Q946" s="253"/>
      <c r="R946" s="247" t="s">
        <v>6077</v>
      </c>
      <c r="S946" s="272" t="s">
        <v>1225</v>
      </c>
      <c r="T946" s="273"/>
      <c r="U946" s="274"/>
      <c r="V946" s="256"/>
      <c r="W946" s="244"/>
      <c r="X946" s="244"/>
      <c r="Y946" s="362"/>
      <c r="Z946" s="257">
        <f>altaz(J2000_Bas,$O946,$M946,DecLat,DecLong,1)</f>
        <v>33.472252804858904</v>
      </c>
      <c r="AA946" s="257">
        <f>altaz((J2000_Bas+(2*0.04167)),$O946,$M946,DecLat,DecLong,1)</f>
        <v>20.865385361803579</v>
      </c>
      <c r="AB946" s="257">
        <f>altaz((J2000_Bas+(4*0.04167)),$O946,$M946,DecLat,DecLong,1)</f>
        <v>0.48347980421177883</v>
      </c>
      <c r="AC946" s="257">
        <f>altaz((J2000_Bas+(6*0.04167)),$O946,$M946,DecLat,DecLong,1)</f>
        <v>-23.45219272210187</v>
      </c>
      <c r="AD946" s="258">
        <f>1+ transit((J2000_Bas-1),$O946,$M946,DecLat,DecLong)/360 + (GMTOffset/24) + (IF(DST="Y", 1, 0)/24)</f>
        <v>1.7493466442442915</v>
      </c>
      <c r="AE946" s="259">
        <f>DATE(2001,9,21)+(M946/360)*365 - (360*((DecLong/360)- (GMTOffset/24) ))</f>
        <v>37436.103067129632</v>
      </c>
      <c r="AF946" s="260">
        <f>IF(DecLat&gt;0,IF((90 - (DecLat-O946))&gt;90, (90 - (O946-DecLat)), (90 - (DecLat-O946))),IF((90 + (DecLat-O946))&gt;90, (90 + (O946-DecLat)), (90 + (DecLat-O946))))</f>
        <v>35.012500000000003</v>
      </c>
      <c r="AG946" s="257">
        <f>angularseperation(MoonRA,MoonDec,$M946,$O946)</f>
        <v>21.022999678422945</v>
      </c>
      <c r="AH946" s="261">
        <f ca="1">MIN(100,IF($O$5&gt;80,0+30*($AG946/100),IF($O$5&gt;70,0+50*($AG946/100),IF($O$5&gt;60,5+50*($AG946/100),IF($O$5&gt;50,10+60*($AG946/100),IF($O$5&gt;40,15+70*($AG946/100),IF($O$5&gt;30,20+70*($AG946/100),IF($O$5&gt;20,40+55*($AG946/100),(80+(20-$O$5)+30*($AG946/100))))))))))</f>
        <v>89.577960247677311</v>
      </c>
      <c r="AI946" s="262"/>
      <c r="AJ946" s="263"/>
      <c r="AK946" s="263"/>
      <c r="AL946" s="263"/>
      <c r="AM946" s="264"/>
      <c r="AN946" s="263"/>
      <c r="AO946" s="263"/>
      <c r="AP946" s="265"/>
      <c r="AQ946" s="266"/>
      <c r="AR946" s="267"/>
      <c r="AS946" s="263"/>
      <c r="AT946" s="263"/>
      <c r="AU946" s="263"/>
      <c r="AV946" s="264"/>
      <c r="AW946" s="263"/>
      <c r="AX946" s="263">
        <v>75</v>
      </c>
      <c r="AY946" s="263"/>
      <c r="AZ946" s="263"/>
      <c r="BA946" s="263">
        <v>146</v>
      </c>
      <c r="BB946" s="263"/>
      <c r="BC946" s="263"/>
      <c r="BD946" s="264"/>
      <c r="BE946" s="263"/>
      <c r="BF946" s="263"/>
      <c r="BG946" s="263"/>
      <c r="BH946" s="263"/>
      <c r="BI946" s="263"/>
      <c r="BJ946" s="404">
        <f>altaz(J2000_Bas,$O946,$M946,DecLat,DecLong,2)</f>
        <v>195.01469673495978</v>
      </c>
      <c r="BK946" s="378" t="s">
        <v>1025</v>
      </c>
      <c r="BL946" s="379">
        <f>IF((2*G946)/60&lt;0.2,0.2,(2*G946)/60)</f>
        <v>1.1666666666666667</v>
      </c>
      <c r="BM946" s="380">
        <f>MOD((50000+AD946-$B$3+(0/24)),1)</f>
        <v>0.96471357395057566</v>
      </c>
      <c r="BN946" s="381"/>
      <c r="BO946" s="382">
        <v>940</v>
      </c>
    </row>
    <row r="947" spans="1:67" s="24" customFormat="1" ht="15" customHeight="1" x14ac:dyDescent="0.25">
      <c r="A947" s="288" t="s">
        <v>4516</v>
      </c>
      <c r="B947" s="241" t="str">
        <f>HYPERLINK(CONCATENATE($AT$3,BK947,$AU$3),$AV$3)</f>
        <v>S</v>
      </c>
      <c r="C947" s="242" t="str">
        <f>HYPERLINK(CONCATENATE($AT$4,BK947,$AU$4,BL947),$AV$4)</f>
        <v>A</v>
      </c>
      <c r="D947" s="243" t="s">
        <v>5187</v>
      </c>
      <c r="E947" s="244" t="s">
        <v>5183</v>
      </c>
      <c r="F947" s="269" t="s">
        <v>5180</v>
      </c>
      <c r="G947" s="276">
        <v>80</v>
      </c>
      <c r="H947" s="283">
        <v>6000</v>
      </c>
      <c r="I947" s="246">
        <v>130</v>
      </c>
      <c r="J947" s="246">
        <v>3</v>
      </c>
      <c r="K947" s="247" t="s">
        <v>5131</v>
      </c>
      <c r="L947" s="248">
        <v>181752</v>
      </c>
      <c r="M947" s="249">
        <f>15*(LEFT(TEXT($L947,"000000"),2)+(MID(TEXT($L947,"000000"),3,2)/60)+(RIGHT(TEXT($L947,"000000"),2)/3600))</f>
        <v>274.4666666666667</v>
      </c>
      <c r="N947" s="250">
        <v>-114058</v>
      </c>
      <c r="O947" s="251">
        <f>IF($N947&gt;0,(LEFT(TEXT($N947,"000000"),2)+(MID(TEXT($N947,"000000"),3,2)/60)+(RIGHT(TEXT($N947,"000000"),2)/3600)),-(MID(TEXT($N947,"000000"),2,2)+(MID(TEXT($N947,"000000"),4,2)/60)+(RIGHT(TEXT($N947,"000000"),2)/3600)))</f>
        <v>-11.682777777777778</v>
      </c>
      <c r="P947" s="252" t="s">
        <v>115</v>
      </c>
      <c r="Q947" s="253" t="s">
        <v>7035</v>
      </c>
      <c r="R947" s="247" t="s">
        <v>5129</v>
      </c>
      <c r="S947" s="272" t="s">
        <v>3293</v>
      </c>
      <c r="T947" s="273"/>
      <c r="U947" s="274"/>
      <c r="V947" s="280"/>
      <c r="W947" s="244"/>
      <c r="X947" s="244"/>
      <c r="Y947" s="362"/>
      <c r="Z947" s="257">
        <f>altaz(J2000_Bas,$O947,$M947,DecLat,DecLong,1)</f>
        <v>45.902923602311581</v>
      </c>
      <c r="AA947" s="257">
        <f>altaz((J2000_Bas+(2*0.04167)),$O947,$M947,DecLat,DecLong,1)</f>
        <v>31.548365576606933</v>
      </c>
      <c r="AB947" s="257">
        <f>altaz((J2000_Bas+(4*0.04167)),$O947,$M947,DecLat,DecLong,1)</f>
        <v>9.1608479515694299</v>
      </c>
      <c r="AC947" s="257">
        <f>altaz((J2000_Bas+(6*0.04167)),$O947,$M947,DecLat,DecLong,1)</f>
        <v>-16.009595684333249</v>
      </c>
      <c r="AD947" s="258">
        <f>1+ transit((J2000_Bas-1),$O947,$M947,DecLat,DecLong)/360 + (GMTOffset/24) + (IF(DST="Y", 1, 0)/24)</f>
        <v>1.7553072917963748</v>
      </c>
      <c r="AE947" s="259">
        <f>DATE(2001,9,21)+(M947/360)*365 - (360*((DecLong/360)- (GMTOffset/24) ))</f>
        <v>37438.278703703705</v>
      </c>
      <c r="AF947" s="260">
        <f>IF(DecLat&gt;0,IF((90 - (DecLat-O947))&gt;90, (90 - (O947-DecLat)), (90 - (DecLat-O947))),IF((90 + (DecLat-O947))&gt;90, (90 + (O947-DecLat)), (90 + (DecLat-O947))))</f>
        <v>47.31722222222222</v>
      </c>
      <c r="AG947" s="257">
        <f>angularseperation(MoonRA,MoonDec,$M947,$O947)</f>
        <v>28.243061264850088</v>
      </c>
      <c r="AH947" s="261">
        <f ca="1">MIN(100,IF($O$5&gt;80,0+30*($AG947/100),IF($O$5&gt;70,0+50*($AG947/100),IF($O$5&gt;60,5+50*($AG947/100),IF($O$5&gt;50,10+60*($AG947/100),IF($O$5&gt;40,15+70*($AG947/100),IF($O$5&gt;30,20+70*($AG947/100),IF($O$5&gt;20,40+55*($AG947/100),(80+(20-$O$5)+30*($AG947/100))))))))))</f>
        <v>91.743978723605451</v>
      </c>
      <c r="AI947" s="262"/>
      <c r="AJ947" s="262"/>
      <c r="AK947" s="262"/>
      <c r="AL947" s="263"/>
      <c r="AM947" s="264"/>
      <c r="AN947" s="263"/>
      <c r="AO947" s="263"/>
      <c r="AP947" s="265"/>
      <c r="AQ947" s="266"/>
      <c r="AR947" s="267"/>
      <c r="AS947" s="263"/>
      <c r="AT947" s="263"/>
      <c r="AU947" s="263"/>
      <c r="AV947" s="264"/>
      <c r="AW947" s="263"/>
      <c r="AX947" s="263">
        <v>84</v>
      </c>
      <c r="AY947" s="263"/>
      <c r="AZ947" s="263"/>
      <c r="BA947" s="263"/>
      <c r="BB947" s="263"/>
      <c r="BC947" s="263"/>
      <c r="BD947" s="264"/>
      <c r="BE947" s="263"/>
      <c r="BF947" s="263"/>
      <c r="BG947" s="263"/>
      <c r="BH947" s="263"/>
      <c r="BI947" s="263"/>
      <c r="BJ947" s="404">
        <f>altaz(J2000_Bas,$O947,$M947,DecLat,DecLong,2)</f>
        <v>196.34553523837226</v>
      </c>
      <c r="BK947" s="378" t="s">
        <v>2500</v>
      </c>
      <c r="BL947" s="379">
        <f>IF((2*G947)/60&lt;0.2,0.2,(2*G947)/60)</f>
        <v>2.6666666666666665</v>
      </c>
      <c r="BM947" s="380">
        <f>MOD((50000+AD947-$B$3+(0/24)),1)</f>
        <v>0.97067422149848426</v>
      </c>
      <c r="BN947" s="381"/>
      <c r="BO947" s="382">
        <v>941</v>
      </c>
    </row>
    <row r="948" spans="1:67" s="24" customFormat="1" ht="15" customHeight="1" x14ac:dyDescent="0.25">
      <c r="A948" s="288" t="s">
        <v>1026</v>
      </c>
      <c r="B948" s="241" t="str">
        <f>HYPERLINK(CONCATENATE($AT$3,BK948,$AU$3),$AV$3)</f>
        <v>S</v>
      </c>
      <c r="C948" s="242" t="str">
        <f>HYPERLINK(CONCATENATE($AT$4,BK948,$AU$4,BL948),$AV$4)</f>
        <v>A</v>
      </c>
      <c r="D948" s="243" t="s">
        <v>5187</v>
      </c>
      <c r="E948" s="244" t="s">
        <v>5183</v>
      </c>
      <c r="F948" s="269" t="s">
        <v>5180</v>
      </c>
      <c r="G948" s="273">
        <v>5</v>
      </c>
      <c r="H948" s="271">
        <v>8500</v>
      </c>
      <c r="I948" s="246">
        <v>12</v>
      </c>
      <c r="J948" s="246">
        <v>3</v>
      </c>
      <c r="K948" s="247" t="s">
        <v>4517</v>
      </c>
      <c r="L948" s="248">
        <v>181754</v>
      </c>
      <c r="M948" s="249">
        <f>15*(LEFT(TEXT($L948,"000000"),2)+(MID(TEXT($L948,"000000"),3,2)/60)+(RIGHT(TEXT($L948,"000000"),2)/3600))</f>
        <v>274.47500000000002</v>
      </c>
      <c r="N948" s="250">
        <v>-114400</v>
      </c>
      <c r="O948" s="251">
        <f>IF($N948&gt;0,(LEFT(TEXT($N948,"000000"),2)+(MID(TEXT($N948,"000000"),3,2)/60)+(RIGHT(TEXT($N948,"000000"),2)/3600)),-(MID(TEXT($N948,"000000"),2,2)+(MID(TEXT($N948,"000000"),4,2)/60)+(RIGHT(TEXT($N948,"000000"),2)/3600)))</f>
        <v>-11.733333333333333</v>
      </c>
      <c r="P948" s="252" t="s">
        <v>115</v>
      </c>
      <c r="Q948" s="253" t="s">
        <v>6978</v>
      </c>
      <c r="R948" s="247" t="s">
        <v>3293</v>
      </c>
      <c r="S948" s="272" t="s">
        <v>4516</v>
      </c>
      <c r="T948" s="273"/>
      <c r="U948" s="274"/>
      <c r="V948" s="256"/>
      <c r="W948" s="244"/>
      <c r="X948" s="244"/>
      <c r="Y948" s="362"/>
      <c r="Z948" s="257">
        <f>altaz(J2000_Bas,$O948,$M948,DecLat,DecLong,1)</f>
        <v>45.855931986107073</v>
      </c>
      <c r="AA948" s="257">
        <f>altaz((J2000_Bas+(2*0.04167)),$O948,$M948,DecLat,DecLong,1)</f>
        <v>31.516189392669983</v>
      </c>
      <c r="AB948" s="257">
        <f>altaz((J2000_Bas+(4*0.04167)),$O948,$M948,DecLat,DecLong,1)</f>
        <v>9.1389527755955182</v>
      </c>
      <c r="AC948" s="257">
        <f>altaz((J2000_Bas+(6*0.04167)),$O948,$M948,DecLat,DecLong,1)</f>
        <v>-16.02712969052984</v>
      </c>
      <c r="AD948" s="258">
        <f>1+ transit((J2000_Bas-1),$O948,$M948,DecLat,DecLong)/360 + (GMTOffset/24) + (IF(DST="Y", 1, 0)/24)</f>
        <v>1.7553304399422081</v>
      </c>
      <c r="AE948" s="259">
        <f>DATE(2001,9,21)+(M948/360)*365 - (360*((DecLong/360)- (GMTOffset/24) ))</f>
        <v>37438.287152777775</v>
      </c>
      <c r="AF948" s="260">
        <f>IF(DecLat&gt;0,IF((90 - (DecLat-O948))&gt;90, (90 - (O948-DecLat)), (90 - (DecLat-O948))),IF((90 + (DecLat-O948))&gt;90, (90 + (O948-DecLat)), (90 + (DecLat-O948))))</f>
        <v>47.266666666666666</v>
      </c>
      <c r="AG948" s="257">
        <f>angularseperation(MoonRA,MoonDec,$M948,$O948)</f>
        <v>28.219427383773336</v>
      </c>
      <c r="AH948" s="261">
        <f ca="1">MIN(100,IF($O$5&gt;80,0+30*($AG948/100),IF($O$5&gt;70,0+50*($AG948/100),IF($O$5&gt;60,5+50*($AG948/100),IF($O$5&gt;50,10+60*($AG948/100),IF($O$5&gt;40,15+70*($AG948/100),IF($O$5&gt;30,20+70*($AG948/100),IF($O$5&gt;20,40+55*($AG948/100),(80+(20-$O$5)+30*($AG948/100))))))))))</f>
        <v>91.736888559282434</v>
      </c>
      <c r="AI948" s="262"/>
      <c r="AJ948" s="262"/>
      <c r="AK948" s="262"/>
      <c r="AL948" s="263"/>
      <c r="AM948" s="264"/>
      <c r="AN948" s="263"/>
      <c r="AO948" s="263"/>
      <c r="AP948" s="265"/>
      <c r="AQ948" s="266"/>
      <c r="AR948" s="267"/>
      <c r="AS948" s="263"/>
      <c r="AT948" s="263"/>
      <c r="AU948" s="263"/>
      <c r="AV948" s="264"/>
      <c r="AW948" s="263"/>
      <c r="AX948" s="263">
        <v>85</v>
      </c>
      <c r="AY948" s="263"/>
      <c r="AZ948" s="263"/>
      <c r="BA948" s="263"/>
      <c r="BB948" s="263"/>
      <c r="BC948" s="263"/>
      <c r="BD948" s="264"/>
      <c r="BE948" s="263"/>
      <c r="BF948" s="263"/>
      <c r="BG948" s="263"/>
      <c r="BH948" s="263"/>
      <c r="BI948" s="263"/>
      <c r="BJ948" s="404">
        <f>altaz(J2000_Bas,$O948,$M948,DecLat,DecLong,2)</f>
        <v>196.31629985236017</v>
      </c>
      <c r="BK948" s="378" t="s">
        <v>1026</v>
      </c>
      <c r="BL948" s="379">
        <f>IF((2*G948)/60&lt;0.2,0.2,(2*G948)/60)</f>
        <v>0.2</v>
      </c>
      <c r="BM948" s="380">
        <f>MOD((50000+AD948-$B$3+(0/24)),1)</f>
        <v>0.9706973696447676</v>
      </c>
      <c r="BN948" s="381"/>
      <c r="BO948" s="382">
        <v>942</v>
      </c>
    </row>
    <row r="949" spans="1:67" s="24" customFormat="1" ht="15" customHeight="1" x14ac:dyDescent="0.25">
      <c r="A949" s="288" t="s">
        <v>1027</v>
      </c>
      <c r="B949" s="241" t="str">
        <f>HYPERLINK(CONCATENATE($AT$3,BK949,$AU$3),$AV$3)</f>
        <v>S</v>
      </c>
      <c r="C949" s="242" t="str">
        <f>HYPERLINK(CONCATENATE($AT$4,BK949,$AU$4,BL949),$AV$4)</f>
        <v>A</v>
      </c>
      <c r="D949" s="243" t="s">
        <v>5187</v>
      </c>
      <c r="E949" s="244" t="s">
        <v>5186</v>
      </c>
      <c r="F949" s="269"/>
      <c r="G949" s="273">
        <v>2</v>
      </c>
      <c r="H949" s="271">
        <v>2000</v>
      </c>
      <c r="I949" s="245">
        <v>1.1000000000000001</v>
      </c>
      <c r="J949" s="246">
        <v>2</v>
      </c>
      <c r="K949" s="247" t="s">
        <v>4518</v>
      </c>
      <c r="L949" s="248">
        <v>210354</v>
      </c>
      <c r="M949" s="249">
        <f>15*(LEFT(TEXT($L949,"000000"),2)+(MID(TEXT($L949,"000000"),3,2)/60)+(RIGHT(TEXT($L949,"000000"),2)/3600))</f>
        <v>315.97500000000002</v>
      </c>
      <c r="N949" s="250">
        <v>501510</v>
      </c>
      <c r="O949" s="251">
        <f>IF($N949&gt;0,(LEFT(TEXT($N949,"000000"),2)+(MID(TEXT($N949,"000000"),3,2)/60)+(RIGHT(TEXT($N949,"000000"),2)/3600)),-(MID(TEXT($N949,"000000"),2,2)+(MID(TEXT($N949,"000000"),4,2)/60)+(RIGHT(TEXT($N949,"000000"),2)/3600)))</f>
        <v>50.25277777777778</v>
      </c>
      <c r="P949" s="252" t="s">
        <v>60</v>
      </c>
      <c r="Q949" s="253"/>
      <c r="R949" s="247" t="s">
        <v>3293</v>
      </c>
      <c r="S949" s="272" t="s">
        <v>3293</v>
      </c>
      <c r="T949" s="273"/>
      <c r="U949" s="274"/>
      <c r="V949" s="256"/>
      <c r="W949" s="244"/>
      <c r="X949" s="244"/>
      <c r="Y949" s="362"/>
      <c r="Z949" s="257">
        <f>altaz(J2000_Bas,$O949,$M949,DecLat,DecLong,1)</f>
        <v>60.549068219496078</v>
      </c>
      <c r="AA949" s="257">
        <f>altaz((J2000_Bas+(2*0.04167)),$O949,$M949,DecLat,DecLong,1)</f>
        <v>70.747039716083322</v>
      </c>
      <c r="AB949" s="257">
        <f>altaz((J2000_Bas+(4*0.04167)),$O949,$M949,DecLat,DecLong,1)</f>
        <v>60.423953717418819</v>
      </c>
      <c r="AC949" s="257">
        <f>altaz((J2000_Bas+(6*0.04167)),$O949,$M949,DecLat,DecLong,1)</f>
        <v>41.889999519213376</v>
      </c>
      <c r="AD949" s="258">
        <f>1+ transit((J2000_Bas-1),$O949,$M949,DecLat,DecLong)/360 + (GMTOffset/24) + (IF(DST="Y", 1, 0)/24)</f>
        <v>1.8706082061922078</v>
      </c>
      <c r="AE949" s="259">
        <f>DATE(2001,9,21)+(M949/360)*365 - (360*((DecLong/360)- (GMTOffset/24) ))</f>
        <v>37480.363541666666</v>
      </c>
      <c r="AF949" s="260">
        <f>IF(DecLat&gt;0,IF((90 - (DecLat-O949))&gt;90, (90 - (O949-DecLat)), (90 - (DecLat-O949))),IF((90 + (DecLat-O949))&gt;90, (90 + (O949-DecLat)), (90 + (DecLat-O949))))</f>
        <v>70.74722222222222</v>
      </c>
      <c r="AG949" s="257">
        <f>angularseperation(MoonRA,MoonDec,$M949,$O949)</f>
        <v>97.191736446815028</v>
      </c>
      <c r="AH949" s="261">
        <f ca="1">MIN(100,IF($O$5&gt;80,0+30*($AG949/100),IF($O$5&gt;70,0+50*($AG949/100),IF($O$5&gt;60,5+50*($AG949/100),IF($O$5&gt;50,10+60*($AG949/100),IF($O$5&gt;40,15+70*($AG949/100),IF($O$5&gt;30,20+70*($AG949/100),IF($O$5&gt;20,40+55*($AG949/100),(80+(20-$O$5)+30*($AG949/100))))))))))</f>
        <v>100</v>
      </c>
      <c r="AI949" s="262"/>
      <c r="AJ949" s="262"/>
      <c r="AK949" s="262"/>
      <c r="AL949" s="263"/>
      <c r="AM949" s="264"/>
      <c r="AN949" s="263"/>
      <c r="AO949" s="263"/>
      <c r="AP949" s="265"/>
      <c r="AQ949" s="266"/>
      <c r="AR949" s="267"/>
      <c r="AS949" s="263"/>
      <c r="AT949" s="263"/>
      <c r="AU949" s="263"/>
      <c r="AV949" s="264"/>
      <c r="AW949" s="263"/>
      <c r="AX949" s="263"/>
      <c r="AY949" s="263"/>
      <c r="AZ949" s="263"/>
      <c r="BA949" s="263"/>
      <c r="BB949" s="263"/>
      <c r="BC949" s="263"/>
      <c r="BD949" s="264"/>
      <c r="BE949" s="263"/>
      <c r="BF949" s="263"/>
      <c r="BG949" s="263"/>
      <c r="BH949" s="263"/>
      <c r="BI949" s="263"/>
      <c r="BJ949" s="404">
        <f>altaz(J2000_Bas,$O949,$M949,DecLat,DecLong,2)</f>
        <v>40.517549716930802</v>
      </c>
      <c r="BK949" s="378" t="s">
        <v>4519</v>
      </c>
      <c r="BL949" s="379">
        <f>IF((2*G949)/60&lt;0.2,0.2,(2*G949)/60)</f>
        <v>0.2</v>
      </c>
      <c r="BM949" s="380">
        <f>MOD((50000+AD949-$B$3+(0/24)),1)</f>
        <v>8.5975135894841515E-2</v>
      </c>
      <c r="BN949" s="381" t="s">
        <v>9231</v>
      </c>
      <c r="BO949" s="382">
        <v>943</v>
      </c>
    </row>
    <row r="950" spans="1:67" s="24" customFormat="1" ht="15" customHeight="1" x14ac:dyDescent="0.25">
      <c r="A950" s="288" t="s">
        <v>1028</v>
      </c>
      <c r="B950" s="241" t="str">
        <f>HYPERLINK(CONCATENATE($AT$3,BK950,$AU$3),$AV$3)</f>
        <v>S</v>
      </c>
      <c r="C950" s="242" t="str">
        <f>HYPERLINK(CONCATENATE($AT$4,BK950,$AU$4,BL950),$AV$4)</f>
        <v>A</v>
      </c>
      <c r="D950" s="243" t="s">
        <v>5187</v>
      </c>
      <c r="E950" s="244" t="s">
        <v>5181</v>
      </c>
      <c r="F950" s="269" t="s">
        <v>4803</v>
      </c>
      <c r="G950" s="270">
        <v>0.2</v>
      </c>
      <c r="H950" s="271" t="s">
        <v>6500</v>
      </c>
      <c r="I950" s="244" t="s">
        <v>6500</v>
      </c>
      <c r="J950" s="246">
        <v>2</v>
      </c>
      <c r="K950" s="277" t="s">
        <v>4520</v>
      </c>
      <c r="L950" s="248">
        <v>172446</v>
      </c>
      <c r="M950" s="249">
        <f>15*(LEFT(TEXT($L950,"000000"),2)+(MID(TEXT($L950,"000000"),3,2)/60)+(RIGHT(TEXT($L950,"000000"),2)/3600))</f>
        <v>261.19166666666666</v>
      </c>
      <c r="N950" s="250">
        <v>-213336</v>
      </c>
      <c r="O950" s="251">
        <f>IF($N950&gt;0,(LEFT(TEXT($N950,"000000"),2)+(MID(TEXT($N950,"000000"),3,2)/60)+(RIGHT(TEXT($N950,"000000"),2)/3600)),-(MID(TEXT($N950,"000000"),2,2)+(MID(TEXT($N950,"000000"),4,2)/60)+(RIGHT(TEXT($N950,"000000"),2)/3600)))</f>
        <v>-21.560000000000002</v>
      </c>
      <c r="P950" s="252" t="s">
        <v>113</v>
      </c>
      <c r="Q950" s="253"/>
      <c r="R950" s="277" t="s">
        <v>3293</v>
      </c>
      <c r="S950" s="272" t="s">
        <v>3293</v>
      </c>
      <c r="T950" s="273"/>
      <c r="U950" s="274"/>
      <c r="V950" s="256"/>
      <c r="W950" s="244"/>
      <c r="X950" s="244"/>
      <c r="Y950" s="362"/>
      <c r="Z950" s="257">
        <f>altaz(J2000_Bas,$O950,$M950,DecLat,DecLong,1)</f>
        <v>32.299642078746281</v>
      </c>
      <c r="AA950" s="257">
        <f>altaz((J2000_Bas+(2*0.04167)),$O950,$M950,DecLat,DecLong,1)</f>
        <v>15.615369035248056</v>
      </c>
      <c r="AB950" s="257">
        <f>altaz((J2000_Bas+(4*0.04167)),$O950,$M950,DecLat,DecLong,1)</f>
        <v>-6.8636632303651854</v>
      </c>
      <c r="AC950" s="257">
        <f>altaz((J2000_Bas+(6*0.04167)),$O950,$M950,DecLat,DecLong,1)</f>
        <v>-31.802095394705056</v>
      </c>
      <c r="AD950" s="258">
        <f>1+ transit((J2000_Bas-1),$O950,$M950,DecLat,DecLong)/360 + (GMTOffset/24) + (IF(DST="Y", 1, 0)/24)</f>
        <v>1.7184322954838749</v>
      </c>
      <c r="AE950" s="259">
        <f>DATE(2001,9,21)+(M950/360)*365 - (360*((DecLong/360)- (GMTOffset/24) ))</f>
        <v>37424.819328703707</v>
      </c>
      <c r="AF950" s="260">
        <f>IF(DecLat&gt;0,IF((90 - (DecLat-O950))&gt;90, (90 - (O950-DecLat)), (90 - (DecLat-O950))),IF((90 + (DecLat-O950))&gt;90, (90 + (O950-DecLat)), (90 + (DecLat-O950))))</f>
        <v>37.44</v>
      </c>
      <c r="AG950" s="257">
        <f>angularseperation(MoonRA,MoonDec,$M950,$O950)</f>
        <v>12.201137347767883</v>
      </c>
      <c r="AH950" s="261">
        <f ca="1">MIN(100,IF($O$5&gt;80,0+30*($AG950/100),IF($O$5&gt;70,0+50*($AG950/100),IF($O$5&gt;60,5+50*($AG950/100),IF($O$5&gt;50,10+60*($AG950/100),IF($O$5&gt;40,15+70*($AG950/100),IF($O$5&gt;30,20+70*($AG950/100),IF($O$5&gt;20,40+55*($AG950/100),(80+(20-$O$5)+30*($AG950/100))))))))))</f>
        <v>86.931401548480792</v>
      </c>
      <c r="AI950" s="263"/>
      <c r="AJ950" s="263"/>
      <c r="AK950" s="263"/>
      <c r="AL950" s="263"/>
      <c r="AM950" s="264"/>
      <c r="AN950" s="263"/>
      <c r="AO950" s="263"/>
      <c r="AP950" s="265"/>
      <c r="AQ950" s="265"/>
      <c r="AR950" s="285"/>
      <c r="AS950" s="263"/>
      <c r="AT950" s="263"/>
      <c r="AU950" s="263"/>
      <c r="AV950" s="264"/>
      <c r="AW950" s="263"/>
      <c r="AX950" s="263"/>
      <c r="AY950" s="263"/>
      <c r="AZ950" s="263"/>
      <c r="BA950" s="263"/>
      <c r="BB950" s="263"/>
      <c r="BC950" s="263"/>
      <c r="BD950" s="264"/>
      <c r="BE950" s="263"/>
      <c r="BF950" s="263"/>
      <c r="BG950" s="263"/>
      <c r="BH950" s="263"/>
      <c r="BI950" s="263"/>
      <c r="BJ950" s="404">
        <f>altaz(J2000_Bas,$O950,$M950,DecLat,DecLong,2)</f>
        <v>207.4973911796659</v>
      </c>
      <c r="BK950" s="378" t="s">
        <v>4105</v>
      </c>
      <c r="BL950" s="379">
        <f>IF((2*G950)/60&lt;0.2,0.2,(2*G950)/60)</f>
        <v>0.2</v>
      </c>
      <c r="BM950" s="380">
        <f>MOD((50000+AD950-$B$3+(0/24)),1)</f>
        <v>0.93379922518943204</v>
      </c>
      <c r="BN950" s="381"/>
      <c r="BO950" s="382">
        <v>944</v>
      </c>
    </row>
    <row r="951" spans="1:67" s="24" customFormat="1" ht="15" customHeight="1" x14ac:dyDescent="0.25">
      <c r="A951" s="288" t="s">
        <v>1029</v>
      </c>
      <c r="B951" s="241" t="str">
        <f>HYPERLINK(CONCATENATE($AT$3,BK951,$AU$3),$AV$3)</f>
        <v>S</v>
      </c>
      <c r="C951" s="242" t="str">
        <f>HYPERLINK(CONCATENATE($AT$4,BK951,$AU$4,BL951),$AV$4)</f>
        <v>A</v>
      </c>
      <c r="D951" s="243" t="s">
        <v>5187</v>
      </c>
      <c r="E951" s="244" t="s">
        <v>5181</v>
      </c>
      <c r="F951" s="269" t="s">
        <v>4799</v>
      </c>
      <c r="G951" s="270">
        <v>0.3</v>
      </c>
      <c r="H951" s="271">
        <v>15000</v>
      </c>
      <c r="I951" s="245">
        <v>1.4</v>
      </c>
      <c r="J951" s="246">
        <v>2</v>
      </c>
      <c r="K951" s="247" t="s">
        <v>4521</v>
      </c>
      <c r="L951" s="248">
        <v>43724</v>
      </c>
      <c r="M951" s="249">
        <f>15*(LEFT(TEXT($L951,"000000"),2)+(MID(TEXT($L951,"000000"),3,2)/60)+(RIGHT(TEXT($L951,"000000"),2)/3600))</f>
        <v>69.350000000000009</v>
      </c>
      <c r="N951" s="250">
        <v>250244</v>
      </c>
      <c r="O951" s="251">
        <f>IF($N951&gt;0,(LEFT(TEXT($N951,"000000"),2)+(MID(TEXT($N951,"000000"),3,2)/60)+(RIGHT(TEXT($N951,"000000"),2)/3600)),-(MID(TEXT($N951,"000000"),2,2)+(MID(TEXT($N951,"000000"),4,2)/60)+(RIGHT(TEXT($N951,"000000"),2)/3600)))</f>
        <v>25.045555555555556</v>
      </c>
      <c r="P951" s="252" t="s">
        <v>56</v>
      </c>
      <c r="Q951" s="253"/>
      <c r="R951" s="247" t="s">
        <v>3293</v>
      </c>
      <c r="S951" s="272" t="s">
        <v>3293</v>
      </c>
      <c r="T951" s="273"/>
      <c r="U951" s="274"/>
      <c r="V951" s="256"/>
      <c r="W951" s="244"/>
      <c r="X951" s="244"/>
      <c r="Y951" s="362"/>
      <c r="Z951" s="257">
        <f>altaz(J2000_Bas,$O951,$M951,DecLat,DecLong,1)</f>
        <v>-23.890009110889242</v>
      </c>
      <c r="AA951" s="257">
        <f>altaz((J2000_Bas+(2*0.04167)),$O951,$M951,DecLat,DecLong,1)</f>
        <v>-5.0871025418346996</v>
      </c>
      <c r="AB951" s="257">
        <f>altaz((J2000_Bas+(4*0.04167)),$O951,$M951,DecLat,DecLong,1)</f>
        <v>18.075904507019711</v>
      </c>
      <c r="AC951" s="257">
        <f>altaz((J2000_Bas+(6*0.04167)),$O951,$M951,DecLat,DecLong,1)</f>
        <v>43.186176059580013</v>
      </c>
      <c r="AD951" s="258">
        <f>1+ transit((J2000_Bas-1),$O951,$M951,DecLat,DecLong)/360 + (GMTOffset/24) + (IF(DST="Y", 1, 0)/24)</f>
        <v>1.1855388302547081</v>
      </c>
      <c r="AE951" s="259">
        <f>DATE(2001,9,21)+(M951/360)*365 - (360*((DecLong/360)- (GMTOffset/24) ))</f>
        <v>37230.313194444447</v>
      </c>
      <c r="AF951" s="260">
        <f>IF(DecLat&gt;0,IF((90 - (DecLat-O951))&gt;90, (90 - (O951-DecLat)), (90 - (DecLat-O951))),IF((90 + (DecLat-O951))&gt;90, (90 + (O951-DecLat)), (90 + (DecLat-O951))))</f>
        <v>84.045555555555552</v>
      </c>
      <c r="AG951" s="257">
        <f>angularseperation(MoonRA,MoonDec,$M951,$O951)</f>
        <v>177.95915187242008</v>
      </c>
      <c r="AH951" s="261">
        <f ca="1">MIN(100,IF($O$5&gt;80,0+30*($AG951/100),IF($O$5&gt;70,0+50*($AG951/100),IF($O$5&gt;60,5+50*($AG951/100),IF($O$5&gt;50,10+60*($AG951/100),IF($O$5&gt;40,15+70*($AG951/100),IF($O$5&gt;30,20+70*($AG951/100),IF($O$5&gt;20,40+55*($AG951/100),(80+(20-$O$5)+30*($AG951/100))))))))))</f>
        <v>100</v>
      </c>
      <c r="AI951" s="262"/>
      <c r="AJ951" s="262"/>
      <c r="AK951" s="262"/>
      <c r="AL951" s="263"/>
      <c r="AM951" s="264"/>
      <c r="AN951" s="263"/>
      <c r="AO951" s="263"/>
      <c r="AP951" s="265"/>
      <c r="AQ951" s="266"/>
      <c r="AR951" s="267"/>
      <c r="AS951" s="263"/>
      <c r="AT951" s="263"/>
      <c r="AU951" s="263"/>
      <c r="AV951" s="264"/>
      <c r="AW951" s="263"/>
      <c r="AX951" s="263"/>
      <c r="AY951" s="263"/>
      <c r="AZ951" s="263"/>
      <c r="BA951" s="263"/>
      <c r="BB951" s="263"/>
      <c r="BC951" s="263"/>
      <c r="BD951" s="264"/>
      <c r="BE951" s="263"/>
      <c r="BF951" s="263"/>
      <c r="BG951" s="263"/>
      <c r="BH951" s="263"/>
      <c r="BI951" s="263"/>
      <c r="BJ951" s="404">
        <f>altaz(J2000_Bas,$O951,$M951,DecLat,DecLong,2)</f>
        <v>36.264113705067771</v>
      </c>
      <c r="BK951" s="378" t="s">
        <v>4106</v>
      </c>
      <c r="BL951" s="379">
        <f>IF((2*G951)/60&lt;0.2,0.2,(2*G951)/60)</f>
        <v>0.2</v>
      </c>
      <c r="BM951" s="380">
        <f>MOD((50000+AD951-$B$3+(0/24)),1)</f>
        <v>0.40090575996146072</v>
      </c>
      <c r="BN951" s="381"/>
      <c r="BO951" s="382">
        <v>945</v>
      </c>
    </row>
    <row r="952" spans="1:67" s="24" customFormat="1" ht="15" customHeight="1" x14ac:dyDescent="0.25">
      <c r="A952" s="288" t="s">
        <v>1030</v>
      </c>
      <c r="B952" s="241" t="str">
        <f>HYPERLINK(CONCATENATE($AT$3,BK952,$AU$3),$AV$3)</f>
        <v>S</v>
      </c>
      <c r="C952" s="242" t="str">
        <f>HYPERLINK(CONCATENATE($AT$4,BK952,$AU$4,BL952),$AV$4)</f>
        <v>A</v>
      </c>
      <c r="D952" s="243" t="s">
        <v>5187</v>
      </c>
      <c r="E952" s="244" t="s">
        <v>5181</v>
      </c>
      <c r="F952" s="269" t="s">
        <v>4796</v>
      </c>
      <c r="G952" s="270">
        <v>0.5</v>
      </c>
      <c r="H952" s="271">
        <v>10000</v>
      </c>
      <c r="I952" s="245">
        <v>1.5</v>
      </c>
      <c r="J952" s="246">
        <v>2</v>
      </c>
      <c r="K952" s="247" t="s">
        <v>4522</v>
      </c>
      <c r="L952" s="248">
        <v>54042</v>
      </c>
      <c r="M952" s="249">
        <f>15*(LEFT(TEXT($L952,"000000"),2)+(MID(TEXT($L952,"000000"),3,2)/60)+(RIGHT(TEXT($L952,"000000"),2)/3600))</f>
        <v>85.175000000000011</v>
      </c>
      <c r="N952" s="250">
        <v>122100</v>
      </c>
      <c r="O952" s="251">
        <f>IF($N952&gt;0,(LEFT(TEXT($N952,"000000"),2)+(MID(TEXT($N952,"000000"),3,2)/60)+(RIGHT(TEXT($N952,"000000"),2)/3600)),-(MID(TEXT($N952,"000000"),2,2)+(MID(TEXT($N952,"000000"),4,2)/60)+(RIGHT(TEXT($N952,"000000"),2)/3600)))</f>
        <v>12.35</v>
      </c>
      <c r="P952" s="252" t="s">
        <v>41</v>
      </c>
      <c r="Q952" s="253"/>
      <c r="R952" s="247" t="s">
        <v>3293</v>
      </c>
      <c r="S952" s="272" t="s">
        <v>3293</v>
      </c>
      <c r="T952" s="273">
        <v>14</v>
      </c>
      <c r="U952" s="274"/>
      <c r="V952" s="256"/>
      <c r="W952" s="244"/>
      <c r="X952" s="244"/>
      <c r="Y952" s="362"/>
      <c r="Z952" s="257">
        <f>altaz(J2000_Bas,$O952,$M952,DecLat,DecLong,1)</f>
        <v>-42.257058314682077</v>
      </c>
      <c r="AA952" s="257">
        <f>altaz((J2000_Bas+(2*0.04167)),$O952,$M952,DecLat,DecLong,1)</f>
        <v>-24.695078698817685</v>
      </c>
      <c r="AB952" s="257">
        <f>altaz((J2000_Bas+(4*0.04167)),$O952,$M952,DecLat,DecLong,1)</f>
        <v>-1.1962580124336923</v>
      </c>
      <c r="AC952" s="257">
        <f>altaz((J2000_Bas+(6*0.04167)),$O952,$M952,DecLat,DecLong,1)</f>
        <v>24.288983077131231</v>
      </c>
      <c r="AD952" s="258">
        <f>1+ transit((J2000_Bas-1),$O952,$M952,DecLat,DecLong)/360 + (GMTOffset/24) + (IF(DST="Y", 1, 0)/24)</f>
        <v>1.2294971591922079</v>
      </c>
      <c r="AE952" s="259">
        <f>DATE(2001,9,21)+(M952/360)*365 - (360*((DecLong/360)- (GMTOffset/24) ))</f>
        <v>37246.357986111114</v>
      </c>
      <c r="AF952" s="260">
        <f>IF(DecLat&gt;0,IF((90 - (DecLat-O952))&gt;90, (90 - (O952-DecLat)), (90 - (DecLat-O952))),IF((90 + (DecLat-O952))&gt;90, (90 + (O952-DecLat)), (90 + (DecLat-O952))))</f>
        <v>71.349999999999994</v>
      </c>
      <c r="AG952" s="257">
        <f>angularseperation(MoonRA,MoonDec,$M952,$O952)</f>
        <v>159.01974658969459</v>
      </c>
      <c r="AH952" s="261">
        <f ca="1">MIN(100,IF($O$5&gt;80,0+30*($AG952/100),IF($O$5&gt;70,0+50*($AG952/100),IF($O$5&gt;60,5+50*($AG952/100),IF($O$5&gt;50,10+60*($AG952/100),IF($O$5&gt;40,15+70*($AG952/100),IF($O$5&gt;30,20+70*($AG952/100),IF($O$5&gt;20,40+55*($AG952/100),(80+(20-$O$5)+30*($AG952/100))))))))))</f>
        <v>100</v>
      </c>
      <c r="AI952" s="262"/>
      <c r="AJ952" s="262"/>
      <c r="AK952" s="262"/>
      <c r="AL952" s="263"/>
      <c r="AM952" s="264"/>
      <c r="AN952" s="263"/>
      <c r="AO952" s="263"/>
      <c r="AP952" s="265"/>
      <c r="AQ952" s="266"/>
      <c r="AR952" s="267"/>
      <c r="AS952" s="263"/>
      <c r="AT952" s="263"/>
      <c r="AU952" s="263"/>
      <c r="AV952" s="264"/>
      <c r="AW952" s="263"/>
      <c r="AX952" s="263"/>
      <c r="AY952" s="263"/>
      <c r="AZ952" s="263"/>
      <c r="BA952" s="263"/>
      <c r="BB952" s="263"/>
      <c r="BC952" s="263"/>
      <c r="BD952" s="264"/>
      <c r="BE952" s="263"/>
      <c r="BF952" s="263"/>
      <c r="BG952" s="263"/>
      <c r="BH952" s="263"/>
      <c r="BI952" s="263"/>
      <c r="BJ952" s="404">
        <f>altaz(J2000_Bas,$O952,$M952,DecLat,DecLong,2)</f>
        <v>27.987493877996588</v>
      </c>
      <c r="BK952" s="378" t="s">
        <v>4107</v>
      </c>
      <c r="BL952" s="379">
        <f>IF((2*G952)/60&lt;0.2,0.2,(2*G952)/60)</f>
        <v>0.2</v>
      </c>
      <c r="BM952" s="380">
        <f>MOD((50000+AD952-$B$3+(0/24)),1)</f>
        <v>0.44486408889497397</v>
      </c>
      <c r="BN952" s="381"/>
      <c r="BO952" s="382">
        <v>946</v>
      </c>
    </row>
    <row r="953" spans="1:67" s="24" customFormat="1" ht="15" customHeight="1" x14ac:dyDescent="0.25">
      <c r="A953" s="287" t="s">
        <v>1031</v>
      </c>
      <c r="B953" s="241" t="str">
        <f>HYPERLINK(CONCATENATE($AT$3,BK953,$AU$3),$AV$3)</f>
        <v>S</v>
      </c>
      <c r="C953" s="242" t="str">
        <f>HYPERLINK(CONCATENATE($AT$4,BK953,$AU$4,BL953),$AV$4)</f>
        <v>A</v>
      </c>
      <c r="D953" s="243" t="s">
        <v>5187</v>
      </c>
      <c r="E953" s="244" t="s">
        <v>5181</v>
      </c>
      <c r="F953" s="269" t="s">
        <v>4813</v>
      </c>
      <c r="G953" s="273">
        <v>1.5</v>
      </c>
      <c r="H953" s="271" t="s">
        <v>6500</v>
      </c>
      <c r="I953" s="244" t="s">
        <v>6500</v>
      </c>
      <c r="J953" s="246">
        <v>2</v>
      </c>
      <c r="K953" s="247" t="s">
        <v>6140</v>
      </c>
      <c r="L953" s="248">
        <v>185024</v>
      </c>
      <c r="M953" s="249">
        <f>15*(LEFT(TEXT($L953,"000000"),2)+(MID(TEXT($L953,"000000"),3,2)/60)+(RIGHT(TEXT($L953,"000000"),2)/3600))</f>
        <v>282.60000000000002</v>
      </c>
      <c r="N953" s="250">
        <v>-12400</v>
      </c>
      <c r="O953" s="251">
        <f>IF($N953&gt;0,(LEFT(TEXT($N953,"000000"),2)+(MID(TEXT($N953,"000000"),3,2)/60)+(RIGHT(TEXT($N953,"000000"),2)/3600)),-(MID(TEXT($N953,"000000"),2,2)+(MID(TEXT($N953,"000000"),4,2)/60)+(RIGHT(TEXT($N953,"000000"),2)/3600)))</f>
        <v>-1.4</v>
      </c>
      <c r="P953" s="252" t="s">
        <v>126</v>
      </c>
      <c r="Q953" s="253"/>
      <c r="R953" s="277" t="s">
        <v>3293</v>
      </c>
      <c r="S953" s="272" t="s">
        <v>3293</v>
      </c>
      <c r="T953" s="273"/>
      <c r="U953" s="274"/>
      <c r="V953" s="256"/>
      <c r="W953" s="244"/>
      <c r="X953" s="244"/>
      <c r="Y953" s="362"/>
      <c r="Z953" s="257">
        <f>altaz(J2000_Bas,$O953,$M953,DecLat,DecLong,1)</f>
        <v>57.438824504752084</v>
      </c>
      <c r="AA953" s="257">
        <f>altaz((J2000_Bas+(2*0.04167)),$O953,$M953,DecLat,DecLong,1)</f>
        <v>44.59481955477581</v>
      </c>
      <c r="AB953" s="257">
        <f>altaz((J2000_Bas+(4*0.04167)),$O953,$M953,DecLat,DecLong,1)</f>
        <v>21.642142892893332</v>
      </c>
      <c r="AC953" s="257">
        <f>altaz((J2000_Bas+(6*0.04167)),$O953,$M953,DecLat,DecLong,1)</f>
        <v>-3.8548528288981676</v>
      </c>
      <c r="AD953" s="258">
        <f>1+ transit((J2000_Bas-1),$O953,$M953,DecLat,DecLong)/360 + (GMTOffset/24) + (IF(DST="Y", 1, 0)/24)</f>
        <v>1.7778998821297081</v>
      </c>
      <c r="AE953" s="259">
        <f>DATE(2001,9,21)+(M953/360)*365 - (360*((DecLong/360)- (GMTOffset/24) ))</f>
        <v>37446.525000000001</v>
      </c>
      <c r="AF953" s="260">
        <f>IF(DecLat&gt;0,IF((90 - (DecLat-O953))&gt;90, (90 - (O953-DecLat)), (90 - (DecLat-O953))),IF((90 + (DecLat-O953))&gt;90, (90 + (O953-DecLat)), (90 + (DecLat-O953))))</f>
        <v>57.6</v>
      </c>
      <c r="AG953" s="257">
        <f>angularseperation(MoonRA,MoonDec,$M953,$O953)</f>
        <v>41.013230668418309</v>
      </c>
      <c r="AH953" s="261">
        <f ca="1">MIN(100,IF($O$5&gt;80,0+30*($AG953/100),IF($O$5&gt;70,0+50*($AG953/100),IF($O$5&gt;60,5+50*($AG953/100),IF($O$5&gt;50,10+60*($AG953/100),IF($O$5&gt;40,15+70*($AG953/100),IF($O$5&gt;30,20+70*($AG953/100),IF($O$5&gt;20,40+55*($AG953/100),(80+(20-$O$5)+30*($AG953/100))))))))))</f>
        <v>95.575029544675914</v>
      </c>
      <c r="AI953" s="263"/>
      <c r="AJ953" s="263"/>
      <c r="AK953" s="263"/>
      <c r="AL953" s="263"/>
      <c r="AM953" s="264"/>
      <c r="AN953" s="263"/>
      <c r="AO953" s="263"/>
      <c r="AP953" s="265"/>
      <c r="AQ953" s="265"/>
      <c r="AR953" s="285"/>
      <c r="AS953" s="263"/>
      <c r="AT953" s="263"/>
      <c r="AU953" s="263"/>
      <c r="AV953" s="264"/>
      <c r="AW953" s="263"/>
      <c r="AX953" s="263"/>
      <c r="AY953" s="263"/>
      <c r="AZ953" s="263"/>
      <c r="BA953" s="263"/>
      <c r="BB953" s="263"/>
      <c r="BC953" s="263"/>
      <c r="BD953" s="264"/>
      <c r="BE953" s="263"/>
      <c r="BF953" s="263"/>
      <c r="BG953" s="263"/>
      <c r="BH953" s="263"/>
      <c r="BI953" s="263"/>
      <c r="BJ953" s="404">
        <f>altaz(J2000_Bas,$O953,$M953,DecLat,DecLong,2)</f>
        <v>186.3295018590336</v>
      </c>
      <c r="BK953" s="378" t="s">
        <v>4108</v>
      </c>
      <c r="BL953" s="379">
        <f>IF((2*G953)/60&lt;0.2,0.2,(2*G953)/60)</f>
        <v>0.2</v>
      </c>
      <c r="BM953" s="380">
        <f>MOD((50000+AD953-$B$3+(0/24)),1)</f>
        <v>0.99326681183447363</v>
      </c>
      <c r="BN953" s="381"/>
      <c r="BO953" s="382">
        <v>947</v>
      </c>
    </row>
    <row r="954" spans="1:67" s="24" customFormat="1" ht="15" customHeight="1" x14ac:dyDescent="0.25">
      <c r="A954" s="288" t="s">
        <v>1032</v>
      </c>
      <c r="B954" s="241" t="str">
        <f>HYPERLINK(CONCATENATE($AT$3,BK954,$AU$3),$AV$3)</f>
        <v>S</v>
      </c>
      <c r="C954" s="242" t="str">
        <f>HYPERLINK(CONCATENATE($AT$4,BK954,$AU$4,BL954),$AV$4)</f>
        <v>A</v>
      </c>
      <c r="D954" s="243" t="s">
        <v>5187</v>
      </c>
      <c r="E954" s="244" t="s">
        <v>5181</v>
      </c>
      <c r="F954" s="269" t="s">
        <v>5057</v>
      </c>
      <c r="G954" s="273">
        <v>1</v>
      </c>
      <c r="H954" s="271" t="s">
        <v>6500</v>
      </c>
      <c r="I954" s="244" t="s">
        <v>6500</v>
      </c>
      <c r="J954" s="246">
        <v>2</v>
      </c>
      <c r="K954" s="247" t="s">
        <v>6141</v>
      </c>
      <c r="L954" s="248">
        <v>190259</v>
      </c>
      <c r="M954" s="249">
        <f>15*(LEFT(TEXT($L954,"000000"),2)+(MID(TEXT($L954,"000000"),3,2)/60)+(RIGHT(TEXT($L954,"000000"),2)/3600))</f>
        <v>285.74583333333339</v>
      </c>
      <c r="N954" s="250">
        <v>30221</v>
      </c>
      <c r="O954" s="251">
        <f>IF($N954&gt;0,(LEFT(TEXT($N954,"000000"),2)+(MID(TEXT($N954,"000000"),3,2)/60)+(RIGHT(TEXT($N954,"000000"),2)/3600)),-(MID(TEXT($N954,"000000"),2,2)+(MID(TEXT($N954,"000000"),4,2)/60)+(RIGHT(TEXT($N954,"000000"),2)/3600)))</f>
        <v>3.0391666666666666</v>
      </c>
      <c r="P954" s="252" t="s">
        <v>126</v>
      </c>
      <c r="Q954" s="253"/>
      <c r="R954" s="277" t="s">
        <v>3293</v>
      </c>
      <c r="S954" s="272" t="s">
        <v>3293</v>
      </c>
      <c r="T954" s="273"/>
      <c r="U954" s="274"/>
      <c r="V954" s="256"/>
      <c r="W954" s="244"/>
      <c r="X954" s="244"/>
      <c r="Y954" s="362"/>
      <c r="Z954" s="257">
        <f>altaz(J2000_Bas,$O954,$M954,DecLat,DecLong,1)</f>
        <v>62.038116129337347</v>
      </c>
      <c r="AA954" s="257">
        <f>altaz((J2000_Bas+(2*0.04167)),$O954,$M954,DecLat,DecLong,1)</f>
        <v>49.998567002544284</v>
      </c>
      <c r="AB954" s="257">
        <f>altaz((J2000_Bas+(4*0.04167)),$O954,$M954,DecLat,DecLong,1)</f>
        <v>26.728651807604198</v>
      </c>
      <c r="AC954" s="257">
        <f>altaz((J2000_Bas+(6*0.04167)),$O954,$M954,DecLat,DecLong,1)</f>
        <v>1.1277268099930646</v>
      </c>
      <c r="AD954" s="258">
        <f>1+ transit((J2000_Bas-1),$O954,$M954,DecLat,DecLong)/360 + (GMTOffset/24) + (IF(DST="Y", 1, 0)/24)</f>
        <v>1.7866383071817917</v>
      </c>
      <c r="AE954" s="259">
        <f>DATE(2001,9,21)+(M954/360)*365 - (360*((DecLong/360)- (GMTOffset/24) ))</f>
        <v>37449.714525462965</v>
      </c>
      <c r="AF954" s="260">
        <f>IF(DecLat&gt;0,IF((90 - (DecLat-O954))&gt;90, (90 - (O954-DecLat)), (90 - (DecLat-O954))),IF((90 + (DecLat-O954))&gt;90, (90 + (O954-DecLat)), (90 + (DecLat-O954))))</f>
        <v>62.039166666666667</v>
      </c>
      <c r="AG954" s="257">
        <f>angularseperation(MoonRA,MoonDec,$M954,$O954)</f>
        <v>46.32845735732468</v>
      </c>
      <c r="AH954" s="261">
        <f ca="1">MIN(100,IF($O$5&gt;80,0+30*($AG954/100),IF($O$5&gt;70,0+50*($AG954/100),IF($O$5&gt;60,5+50*($AG954/100),IF($O$5&gt;50,10+60*($AG954/100),IF($O$5&gt;40,15+70*($AG954/100),IF($O$5&gt;30,20+70*($AG954/100),IF($O$5&gt;20,40+55*($AG954/100),(80+(20-$O$5)+30*($AG954/100))))))))))</f>
        <v>97.169597551347834</v>
      </c>
      <c r="AI954" s="263"/>
      <c r="AJ954" s="263"/>
      <c r="AK954" s="263"/>
      <c r="AL954" s="263"/>
      <c r="AM954" s="264"/>
      <c r="AN954" s="263"/>
      <c r="AO954" s="263"/>
      <c r="AP954" s="265"/>
      <c r="AQ954" s="265"/>
      <c r="AR954" s="285"/>
      <c r="AS954" s="263"/>
      <c r="AT954" s="263"/>
      <c r="AU954" s="263"/>
      <c r="AV954" s="264"/>
      <c r="AW954" s="263"/>
      <c r="AX954" s="263"/>
      <c r="AY954" s="263"/>
      <c r="AZ954" s="263"/>
      <c r="BA954" s="263"/>
      <c r="BB954" s="263"/>
      <c r="BC954" s="263"/>
      <c r="BD954" s="264"/>
      <c r="BE954" s="263"/>
      <c r="BF954" s="263"/>
      <c r="BG954" s="263"/>
      <c r="BH954" s="263"/>
      <c r="BI954" s="263"/>
      <c r="BJ954" s="404">
        <f>altaz(J2000_Bas,$O954,$M954,DecLat,DecLong,2)</f>
        <v>180.54690594752498</v>
      </c>
      <c r="BK954" s="378" t="s">
        <v>4109</v>
      </c>
      <c r="BL954" s="379">
        <f>IF((2*G954)/60&lt;0.2,0.2,(2*G954)/60)</f>
        <v>0.2</v>
      </c>
      <c r="BM954" s="380">
        <f>MOD((50000+AD954-$B$3+(0/24)),1)</f>
        <v>2.0052368854521774E-3</v>
      </c>
      <c r="BN954" s="381"/>
      <c r="BO954" s="382">
        <v>948</v>
      </c>
    </row>
    <row r="955" spans="1:67" s="24" customFormat="1" ht="15" customHeight="1" x14ac:dyDescent="0.25">
      <c r="A955" s="287" t="s">
        <v>1033</v>
      </c>
      <c r="B955" s="241" t="str">
        <f>HYPERLINK(CONCATENATE($AT$3,BK955,$AU$3),$AV$3)</f>
        <v>S</v>
      </c>
      <c r="C955" s="242" t="str">
        <f>HYPERLINK(CONCATENATE($AT$4,BK955,$AU$4,BL955),$AV$4)</f>
        <v>A</v>
      </c>
      <c r="D955" s="243" t="s">
        <v>5187</v>
      </c>
      <c r="E955" s="244" t="s">
        <v>5181</v>
      </c>
      <c r="F955" s="269" t="s">
        <v>4803</v>
      </c>
      <c r="G955" s="270">
        <v>0.6</v>
      </c>
      <c r="H955" s="271">
        <v>16500</v>
      </c>
      <c r="I955" s="279">
        <v>3</v>
      </c>
      <c r="J955" s="246">
        <v>2</v>
      </c>
      <c r="K955" s="247" t="s">
        <v>6142</v>
      </c>
      <c r="L955" s="248">
        <v>174153</v>
      </c>
      <c r="M955" s="249">
        <f>15*(LEFT(TEXT($L955,"000000"),2)+(MID(TEXT($L955,"000000"),3,2)/60)+(RIGHT(TEXT($L955,"000000"),2)/3600))</f>
        <v>265.4708333333333</v>
      </c>
      <c r="N955" s="250">
        <v>-244208</v>
      </c>
      <c r="O955" s="251">
        <f>IF($N955&gt;0,(LEFT(TEXT($N955,"000000"),2)+(MID(TEXT($N955,"000000"),3,2)/60)+(RIGHT(TEXT($N955,"000000"),2)/3600)),-(MID(TEXT($N955,"000000"),2,2)+(MID(TEXT($N955,"000000"),4,2)/60)+(RIGHT(TEXT($N955,"000000"),2)/3600)))</f>
        <v>-24.702222222222222</v>
      </c>
      <c r="P955" s="252" t="s">
        <v>113</v>
      </c>
      <c r="Q955" s="253"/>
      <c r="R955" s="277" t="s">
        <v>3293</v>
      </c>
      <c r="S955" s="272" t="s">
        <v>3293</v>
      </c>
      <c r="T955" s="273"/>
      <c r="U955" s="274"/>
      <c r="V955" s="256"/>
      <c r="W955" s="244"/>
      <c r="X955" s="244"/>
      <c r="Y955" s="362"/>
      <c r="Z955" s="257">
        <f>altaz(J2000_Bas,$O955,$M955,DecLat,DecLong,1)</f>
        <v>30.932462043478512</v>
      </c>
      <c r="AA955" s="257">
        <f>altaz((J2000_Bas+(2*0.04167)),$O955,$M955,DecLat,DecLong,1)</f>
        <v>16.193146562895215</v>
      </c>
      <c r="AB955" s="257">
        <f>altaz((J2000_Bas+(4*0.04167)),$O955,$M955,DecLat,DecLong,1)</f>
        <v>-5.129190683868547</v>
      </c>
      <c r="AC955" s="257">
        <f>altaz((J2000_Bas+(6*0.04167)),$O955,$M955,DecLat,DecLong,1)</f>
        <v>-29.444662149028741</v>
      </c>
      <c r="AD955" s="258">
        <f>1+ transit((J2000_Bas-1),$O955,$M955,DecLat,DecLong)/360 + (GMTOffset/24) + (IF(DST="Y", 1, 0)/24)</f>
        <v>1.7303188683692914</v>
      </c>
      <c r="AE955" s="259">
        <f>DATE(2001,9,21)+(M955/360)*365 - (360*((DecLong/360)- (GMTOffset/24) ))</f>
        <v>37429.15792824074</v>
      </c>
      <c r="AF955" s="260">
        <f>IF(DecLat&gt;0,IF((90 - (DecLat-O955))&gt;90, (90 - (O955-DecLat)), (90 - (DecLat-O955))),IF((90 + (DecLat-O955))&gt;90, (90 + (O955-DecLat)), (90 + (DecLat-O955))))</f>
        <v>34.297777777777782</v>
      </c>
      <c r="AG955" s="257">
        <f>angularseperation(MoonRA,MoonDec,$M955,$O955)</f>
        <v>14.781698927032419</v>
      </c>
      <c r="AH955" s="261">
        <f ca="1">MIN(100,IF($O$5&gt;80,0+30*($AG955/100),IF($O$5&gt;70,0+50*($AG955/100),IF($O$5&gt;60,5+50*($AG955/100),IF($O$5&gt;50,10+60*($AG955/100),IF($O$5&gt;40,15+70*($AG955/100),IF($O$5&gt;30,20+70*($AG955/100),IF($O$5&gt;20,40+55*($AG955/100),(80+(20-$O$5)+30*($AG955/100))))))))))</f>
        <v>87.705570022260147</v>
      </c>
      <c r="AI955" s="263"/>
      <c r="AJ955" s="263"/>
      <c r="AK955" s="263"/>
      <c r="AL955" s="263"/>
      <c r="AM955" s="264"/>
      <c r="AN955" s="263"/>
      <c r="AO955" s="263"/>
      <c r="AP955" s="265"/>
      <c r="AQ955" s="265"/>
      <c r="AR955" s="285"/>
      <c r="AS955" s="263"/>
      <c r="AT955" s="263"/>
      <c r="AU955" s="263"/>
      <c r="AV955" s="264"/>
      <c r="AW955" s="263"/>
      <c r="AX955" s="263"/>
      <c r="AY955" s="263"/>
      <c r="AZ955" s="263"/>
      <c r="BA955" s="263"/>
      <c r="BB955" s="263"/>
      <c r="BC955" s="263"/>
      <c r="BD955" s="264"/>
      <c r="BE955" s="263"/>
      <c r="BF955" s="263"/>
      <c r="BG955" s="263"/>
      <c r="BH955" s="263"/>
      <c r="BI955" s="263"/>
      <c r="BJ955" s="404">
        <f>altaz(J2000_Bas,$O955,$M955,DecLat,DecLong,2)</f>
        <v>201.8059813598658</v>
      </c>
      <c r="BK955" s="378" t="s">
        <v>4110</v>
      </c>
      <c r="BL955" s="379">
        <f>IF((2*G955)/60&lt;0.2,0.2,(2*G955)/60)</f>
        <v>0.2</v>
      </c>
      <c r="BM955" s="380">
        <f>MOD((50000+AD955-$B$3+(0/24)),1)</f>
        <v>0.94568579807673814</v>
      </c>
      <c r="BN955" s="381"/>
      <c r="BO955" s="382">
        <v>949</v>
      </c>
    </row>
    <row r="956" spans="1:67" s="24" customFormat="1" ht="15" customHeight="1" x14ac:dyDescent="0.25">
      <c r="A956" s="288" t="s">
        <v>1034</v>
      </c>
      <c r="B956" s="241" t="str">
        <f>HYPERLINK(CONCATENATE($AT$3,BK956,$AU$3),$AV$3)</f>
        <v>S</v>
      </c>
      <c r="C956" s="242" t="str">
        <f>HYPERLINK(CONCATENATE($AT$4,BK956,$AU$4,BL956),$AV$4)</f>
        <v>A</v>
      </c>
      <c r="D956" s="243" t="s">
        <v>5335</v>
      </c>
      <c r="E956" s="244" t="s">
        <v>31</v>
      </c>
      <c r="F956" s="269"/>
      <c r="G956" s="273">
        <v>3</v>
      </c>
      <c r="H956" s="271">
        <v>3300</v>
      </c>
      <c r="I956" s="245">
        <v>3</v>
      </c>
      <c r="J956" s="246">
        <v>2</v>
      </c>
      <c r="K956" s="247" t="s">
        <v>4523</v>
      </c>
      <c r="L956" s="248">
        <v>65941</v>
      </c>
      <c r="M956" s="249">
        <f>15*(LEFT(TEXT($L956,"000000"),2)+(MID(TEXT($L956,"000000"),3,2)/60)+(RIGHT(TEXT($L956,"000000"),2)/3600))</f>
        <v>104.92083333333333</v>
      </c>
      <c r="N956" s="250">
        <v>-74639</v>
      </c>
      <c r="O956" s="251">
        <f>IF($N956&gt;0,(LEFT(TEXT($N956,"000000"),2)+(MID(TEXT($N956,"000000"),3,2)/60)+(RIGHT(TEXT($N956,"000000"),2)/3600)),-(MID(TEXT($N956,"000000"),2,2)+(MID(TEXT($N956,"000000"),4,2)/60)+(RIGHT(TEXT($N956,"000000"),2)/3600)))</f>
        <v>-7.7774999999999999</v>
      </c>
      <c r="P956" s="252" t="s">
        <v>47</v>
      </c>
      <c r="Q956" s="253"/>
      <c r="R956" s="277" t="s">
        <v>1729</v>
      </c>
      <c r="S956" s="272"/>
      <c r="T956" s="273"/>
      <c r="U956" s="274"/>
      <c r="V956" s="256"/>
      <c r="W956" s="244"/>
      <c r="X956" s="244"/>
      <c r="Y956" s="362"/>
      <c r="Z956" s="257">
        <f>altaz(J2000_Bas,$O956,$M956,DecLat,DecLong,1)</f>
        <v>-66.755513741530521</v>
      </c>
      <c r="AA956" s="257">
        <f>altaz((J2000_Bas+(2*0.04167)),$O956,$M956,DecLat,DecLong,1)</f>
        <v>-52.787912862483445</v>
      </c>
      <c r="AB956" s="257">
        <f>altaz((J2000_Bas+(4*0.04167)),$O956,$M956,DecLat,DecLong,1)</f>
        <v>-28.56673783152462</v>
      </c>
      <c r="AC956" s="257">
        <f>altaz((J2000_Bas+(6*0.04167)),$O956,$M956,DecLat,DecLong,1)</f>
        <v>-2.8605563034925443</v>
      </c>
      <c r="AD956" s="258">
        <f>1+ transit((J2000_Bas-1),$O956,$M956,DecLat,DecLong)/360 + (GMTOffset/24) + (IF(DST="Y", 1, 0)/24)</f>
        <v>1.2843466907442913</v>
      </c>
      <c r="AE956" s="259">
        <f>DATE(2001,9,21)+(M956/360)*365 - (360*((DecLong/360)- (GMTOffset/24) ))</f>
        <v>37266.378067129626</v>
      </c>
      <c r="AF956" s="260">
        <f>IF(DecLat&gt;0,IF((90 - (DecLat-O956))&gt;90, (90 - (O956-DecLat)), (90 - (DecLat-O956))),IF((90 + (DecLat-O956))&gt;90, (90 + (O956-DecLat)), (90 + (DecLat-O956))))</f>
        <v>51.222499999999997</v>
      </c>
      <c r="AG956" s="257">
        <f>angularseperation(MoonRA,MoonDec,$M956,$O956)</f>
        <v>130.91617793673677</v>
      </c>
      <c r="AH956" s="261">
        <f ca="1">MIN(100,IF($O$5&gt;80,0+30*($AG956/100),IF($O$5&gt;70,0+50*($AG956/100),IF($O$5&gt;60,5+50*($AG956/100),IF($O$5&gt;50,10+60*($AG956/100),IF($O$5&gt;40,15+70*($AG956/100),IF($O$5&gt;30,20+70*($AG956/100),IF($O$5&gt;20,40+55*($AG956/100),(80+(20-$O$5)+30*($AG956/100))))))))))</f>
        <v>100</v>
      </c>
      <c r="AI956" s="262"/>
      <c r="AJ956" s="262"/>
      <c r="AK956" s="262"/>
      <c r="AL956" s="263"/>
      <c r="AM956" s="264"/>
      <c r="AN956" s="263"/>
      <c r="AO956" s="263"/>
      <c r="AP956" s="265"/>
      <c r="AQ956" s="266"/>
      <c r="AR956" s="267"/>
      <c r="AS956" s="263"/>
      <c r="AT956" s="263"/>
      <c r="AU956" s="263"/>
      <c r="AV956" s="264"/>
      <c r="AW956" s="263"/>
      <c r="AX956" s="263"/>
      <c r="AY956" s="263"/>
      <c r="AZ956" s="263"/>
      <c r="BA956" s="263"/>
      <c r="BB956" s="263"/>
      <c r="BC956" s="263"/>
      <c r="BD956" s="264"/>
      <c r="BE956" s="263"/>
      <c r="BF956" s="263"/>
      <c r="BG956" s="263"/>
      <c r="BH956" s="263"/>
      <c r="BI956" s="263"/>
      <c r="BJ956" s="404">
        <f>altaz(J2000_Bas,$O956,$M956,DecLat,DecLong,2)</f>
        <v>2.7167503863048861</v>
      </c>
      <c r="BK956" s="378" t="s">
        <v>1034</v>
      </c>
      <c r="BL956" s="379">
        <f>IF((2*G956)/60&lt;0.2,0.2,(2*G956)/60)</f>
        <v>0.2</v>
      </c>
      <c r="BM956" s="380">
        <f>MOD((50000+AD956-$B$3+(0/24)),1)</f>
        <v>0.49971362044743728</v>
      </c>
      <c r="BN956" s="381"/>
      <c r="BO956" s="382">
        <v>950</v>
      </c>
    </row>
    <row r="957" spans="1:67" s="24" customFormat="1" ht="15" customHeight="1" x14ac:dyDescent="0.25">
      <c r="A957" s="288" t="s">
        <v>1035</v>
      </c>
      <c r="B957" s="241" t="str">
        <f>HYPERLINK(CONCATENATE($AT$3,BK957,$AU$3),$AV$3)</f>
        <v>S</v>
      </c>
      <c r="C957" s="242" t="str">
        <f>HYPERLINK(CONCATENATE($AT$4,BK957,$AU$4,BL957),$AV$4)</f>
        <v>A</v>
      </c>
      <c r="D957" s="243" t="s">
        <v>5187</v>
      </c>
      <c r="E957" s="244" t="s">
        <v>5181</v>
      </c>
      <c r="F957" s="269" t="s">
        <v>8825</v>
      </c>
      <c r="G957" s="273">
        <v>9</v>
      </c>
      <c r="H957" s="271">
        <v>3000</v>
      </c>
      <c r="I957" s="279">
        <v>8</v>
      </c>
      <c r="J957" s="246">
        <v>3</v>
      </c>
      <c r="K957" s="277" t="s">
        <v>9335</v>
      </c>
      <c r="L957" s="248">
        <v>32715</v>
      </c>
      <c r="M957" s="249">
        <f>15*(LEFT(TEXT($L957,"000000"),2)+(MID(TEXT($L957,"000000"),3,2)/60)+(RIGHT(TEXT($L957,"000000"),2)/3600))</f>
        <v>51.812500000000007</v>
      </c>
      <c r="N957" s="250">
        <v>452420</v>
      </c>
      <c r="O957" s="251">
        <f>IF($N957&gt;0,(LEFT(TEXT($N957,"000000"),2)+(MID(TEXT($N957,"000000"),3,2)/60)+(RIGHT(TEXT($N957,"000000"),2)/3600)),-(MID(TEXT($N957,"000000"),2,2)+(MID(TEXT($N957,"000000"),4,2)/60)+(RIGHT(TEXT($N957,"000000"),2)/3600)))</f>
        <v>45.405555555555551</v>
      </c>
      <c r="P957" s="252" t="s">
        <v>43</v>
      </c>
      <c r="Q957" s="253"/>
      <c r="R957" s="277" t="s">
        <v>3293</v>
      </c>
      <c r="S957" s="272" t="s">
        <v>3293</v>
      </c>
      <c r="T957" s="273"/>
      <c r="U957" s="274"/>
      <c r="V957" s="256"/>
      <c r="W957" s="244"/>
      <c r="X957" s="244"/>
      <c r="Y957" s="362"/>
      <c r="Z957" s="257">
        <f>altaz(J2000_Bas,$O957,$M957,DecLat,DecLong,1)</f>
        <v>0.83895102733023519</v>
      </c>
      <c r="AA957" s="257">
        <f>altaz((J2000_Bas+(2*0.04167)),$O957,$M957,DecLat,DecLong,1)</f>
        <v>17.861666947601595</v>
      </c>
      <c r="AB957" s="257">
        <f>altaz((J2000_Bas+(4*0.04167)),$O957,$M957,DecLat,DecLong,1)</f>
        <v>37.949963751227415</v>
      </c>
      <c r="AC957" s="257">
        <f>altaz((J2000_Bas+(6*0.04167)),$O957,$M957,DecLat,DecLong,1)</f>
        <v>58.909181317979439</v>
      </c>
      <c r="AD957" s="258">
        <f>1+ transit((J2000_Bas-1),$O957,$M957,DecLat,DecLong)/360 + (GMTOffset/24) + (IF(DST="Y", 1, 0)/24)</f>
        <v>1.136823557348458</v>
      </c>
      <c r="AE957" s="259">
        <f>DATE(2001,9,21)+(M957/360)*365 - (360*((DecLong/360)- (GMTOffset/24) ))</f>
        <v>37212.532118055555</v>
      </c>
      <c r="AF957" s="260">
        <f>IF(DecLat&gt;0,IF((90 - (DecLat-O957))&gt;90, (90 - (O957-DecLat)), (90 - (DecLat-O957))),IF((90 + (DecLat-O957))&gt;90, (90 + (O957-DecLat)), (90 + (DecLat-O957))))</f>
        <v>75.594444444444449</v>
      </c>
      <c r="AG957" s="257">
        <f>angularseperation(MoonRA,MoonDec,$M957,$O957)</f>
        <v>157.01508702502372</v>
      </c>
      <c r="AH957" s="261">
        <f ca="1">MIN(100,IF($O$5&gt;80,0+30*($AG957/100),IF($O$5&gt;70,0+50*($AG957/100),IF($O$5&gt;60,5+50*($AG957/100),IF($O$5&gt;50,10+60*($AG957/100),IF($O$5&gt;40,15+70*($AG957/100),IF($O$5&gt;30,20+70*($AG957/100),IF($O$5&gt;20,40+55*($AG957/100),(80+(20-$O$5)+30*($AG957/100))))))))))</f>
        <v>100</v>
      </c>
      <c r="AI957" s="263"/>
      <c r="AJ957" s="263"/>
      <c r="AK957" s="263"/>
      <c r="AL957" s="263"/>
      <c r="AM957" s="264"/>
      <c r="AN957" s="263"/>
      <c r="AO957" s="263"/>
      <c r="AP957" s="265"/>
      <c r="AQ957" s="265"/>
      <c r="AR957" s="285"/>
      <c r="AS957" s="263"/>
      <c r="AT957" s="263"/>
      <c r="AU957" s="263"/>
      <c r="AV957" s="264"/>
      <c r="AW957" s="263"/>
      <c r="AX957" s="263"/>
      <c r="AY957" s="263"/>
      <c r="AZ957" s="263"/>
      <c r="BA957" s="263"/>
      <c r="BB957" s="263"/>
      <c r="BC957" s="263"/>
      <c r="BD957" s="264"/>
      <c r="BE957" s="263"/>
      <c r="BF957" s="263"/>
      <c r="BG957" s="263"/>
      <c r="BH957" s="263"/>
      <c r="BI957" s="263">
        <v>17</v>
      </c>
      <c r="BJ957" s="404">
        <f>altaz(J2000_Bas,$O957,$M957,DecLat,DecLong,2)</f>
        <v>34.710153107955655</v>
      </c>
      <c r="BK957" s="378" t="s">
        <v>4111</v>
      </c>
      <c r="BL957" s="379">
        <f>IF((2*G957)/60&lt;0.2,0.2,(2*G957)/60)</f>
        <v>0.3</v>
      </c>
      <c r="BM957" s="380">
        <f>MOD((50000+AD957-$B$3+(0/24)),1)</f>
        <v>0.35219048705039313</v>
      </c>
      <c r="BN957" s="381"/>
      <c r="BO957" s="382">
        <v>951</v>
      </c>
    </row>
    <row r="958" spans="1:67" s="24" customFormat="1" ht="15" customHeight="1" x14ac:dyDescent="0.25">
      <c r="A958" s="288" t="s">
        <v>1036</v>
      </c>
      <c r="B958" s="241" t="str">
        <f>HYPERLINK(CONCATENATE($AT$3,BK958,$AU$3),$AV$3)</f>
        <v>S</v>
      </c>
      <c r="C958" s="242" t="str">
        <f>HYPERLINK(CONCATENATE($AT$4,BK958,$AU$4,BL958),$AV$4)</f>
        <v>A</v>
      </c>
      <c r="D958" s="243" t="s">
        <v>5187</v>
      </c>
      <c r="E958" s="244" t="s">
        <v>5181</v>
      </c>
      <c r="F958" s="269" t="s">
        <v>5733</v>
      </c>
      <c r="G958" s="273">
        <v>1.5</v>
      </c>
      <c r="H958" s="271">
        <v>3600</v>
      </c>
      <c r="I958" s="245">
        <v>1.5</v>
      </c>
      <c r="J958" s="246">
        <v>2</v>
      </c>
      <c r="K958" s="247" t="s">
        <v>4524</v>
      </c>
      <c r="L958" s="248">
        <v>62336</v>
      </c>
      <c r="M958" s="249">
        <f>15*(LEFT(TEXT($L958,"000000"),2)+(MID(TEXT($L958,"000000"),3,2)/60)+(RIGHT(TEXT($L958,"000000"),2)/3600))</f>
        <v>95.9</v>
      </c>
      <c r="N958" s="250">
        <v>-101300</v>
      </c>
      <c r="O958" s="251">
        <f>IF($N958&gt;0,(LEFT(TEXT($N958,"000000"),2)+(MID(TEXT($N958,"000000"),3,2)/60)+(RIGHT(TEXT($N958,"000000"),2)/3600)),-(MID(TEXT($N958,"000000"),2,2)+(MID(TEXT($N958,"000000"),4,2)/60)+(RIGHT(TEXT($N958,"000000"),2)/3600)))</f>
        <v>-10.216666666666667</v>
      </c>
      <c r="P958" s="252" t="s">
        <v>47</v>
      </c>
      <c r="Q958" s="253"/>
      <c r="R958" s="247" t="s">
        <v>3293</v>
      </c>
      <c r="S958" s="272" t="s">
        <v>3293</v>
      </c>
      <c r="T958" s="273">
        <v>15.4</v>
      </c>
      <c r="U958" s="274"/>
      <c r="V958" s="256"/>
      <c r="W958" s="244"/>
      <c r="X958" s="244"/>
      <c r="Y958" s="362"/>
      <c r="Z958" s="257">
        <f>altaz(J2000_Bas,$O958,$M958,DecLat,DecLong,1)</f>
        <v>-67.197967249819328</v>
      </c>
      <c r="AA958" s="257">
        <f>altaz((J2000_Bas+(2*0.04167)),$O958,$M958,DecLat,DecLong,1)</f>
        <v>-47.374419218375991</v>
      </c>
      <c r="AB958" s="257">
        <f>altaz((J2000_Bas+(4*0.04167)),$O958,$M958,DecLat,DecLong,1)</f>
        <v>-22.092957471712559</v>
      </c>
      <c r="AC958" s="257">
        <f>altaz((J2000_Bas+(6*0.04167)),$O958,$M958,DecLat,DecLong,1)</f>
        <v>3.4567645382582248</v>
      </c>
      <c r="AD958" s="258">
        <f>1+ transit((J2000_Bas-1),$O958,$M958,DecLat,DecLong)/360 + (GMTOffset/24) + (IF(DST="Y", 1, 0)/24)</f>
        <v>1.2592888228797079</v>
      </c>
      <c r="AE958" s="259">
        <f>DATE(2001,9,21)+(M958/360)*365 - (360*((DecLong/360)- (GMTOffset/24) ))</f>
        <v>37257.231944444444</v>
      </c>
      <c r="AF958" s="260">
        <f>IF(DecLat&gt;0,IF((90 - (DecLat-O958))&gt;90, (90 - (O958-DecLat)), (90 - (DecLat-O958))),IF((90 + (DecLat-O958))&gt;90, (90 + (O958-DecLat)), (90 + (DecLat-O958))))</f>
        <v>48.783333333333331</v>
      </c>
      <c r="AG958" s="257">
        <f>angularseperation(MoonRA,MoonDec,$M958,$O958)</f>
        <v>134.6136680962168</v>
      </c>
      <c r="AH958" s="261">
        <f ca="1">MIN(100,IF($O$5&gt;80,0+30*($AG958/100),IF($O$5&gt;70,0+50*($AG958/100),IF($O$5&gt;60,5+50*($AG958/100),IF($O$5&gt;50,10+60*($AG958/100),IF($O$5&gt;40,15+70*($AG958/100),IF($O$5&gt;30,20+70*($AG958/100),IF($O$5&gt;20,40+55*($AG958/100),(80+(20-$O$5)+30*($AG958/100))))))))))</f>
        <v>100</v>
      </c>
      <c r="AI958" s="262"/>
      <c r="AJ958" s="262"/>
      <c r="AK958" s="262"/>
      <c r="AL958" s="263"/>
      <c r="AM958" s="264"/>
      <c r="AN958" s="263"/>
      <c r="AO958" s="263"/>
      <c r="AP958" s="265"/>
      <c r="AQ958" s="266"/>
      <c r="AR958" s="267"/>
      <c r="AS958" s="263"/>
      <c r="AT958" s="263"/>
      <c r="AU958" s="263"/>
      <c r="AV958" s="264"/>
      <c r="AW958" s="263"/>
      <c r="AX958" s="263"/>
      <c r="AY958" s="263"/>
      <c r="AZ958" s="263"/>
      <c r="BA958" s="263"/>
      <c r="BB958" s="263"/>
      <c r="BC958" s="263"/>
      <c r="BD958" s="264"/>
      <c r="BE958" s="263"/>
      <c r="BF958" s="263"/>
      <c r="BG958" s="263"/>
      <c r="BH958" s="263"/>
      <c r="BI958" s="263"/>
      <c r="BJ958" s="404">
        <f>altaz(J2000_Bas,$O958,$M958,DecLat,DecLong,2)</f>
        <v>26.45166372879147</v>
      </c>
      <c r="BK958" s="378" t="s">
        <v>4112</v>
      </c>
      <c r="BL958" s="379">
        <f>IF((2*G958)/60&lt;0.2,0.2,(2*G958)/60)</f>
        <v>0.2</v>
      </c>
      <c r="BM958" s="380">
        <f>MOD((50000+AD958-$B$3+(0/24)),1)</f>
        <v>0.47465575258684112</v>
      </c>
      <c r="BN958" s="381"/>
      <c r="BO958" s="382">
        <v>952</v>
      </c>
    </row>
    <row r="959" spans="1:67" s="24" customFormat="1" ht="15" customHeight="1" x14ac:dyDescent="0.25">
      <c r="A959" s="287" t="s">
        <v>1037</v>
      </c>
      <c r="B959" s="241" t="str">
        <f>HYPERLINK(CONCATENATE($AT$3,BK959,$AU$3),$AV$3)</f>
        <v>S</v>
      </c>
      <c r="C959" s="242" t="str">
        <f>HYPERLINK(CONCATENATE($AT$4,BK959,$AU$4,BL959),$AV$4)</f>
        <v>A</v>
      </c>
      <c r="D959" s="243" t="s">
        <v>5187</v>
      </c>
      <c r="E959" s="244" t="s">
        <v>5181</v>
      </c>
      <c r="F959" s="269" t="s">
        <v>5224</v>
      </c>
      <c r="G959" s="273">
        <v>1.5</v>
      </c>
      <c r="H959" s="271">
        <v>500</v>
      </c>
      <c r="I959" s="309">
        <v>0.22</v>
      </c>
      <c r="J959" s="246">
        <v>2</v>
      </c>
      <c r="K959" s="247" t="s">
        <v>8540</v>
      </c>
      <c r="L959" s="248">
        <v>75512</v>
      </c>
      <c r="M959" s="249">
        <f>15*(LEFT(TEXT($L959,"000000"),2)+(MID(TEXT($L959,"000000"),3,2)/60)+(RIGHT(TEXT($L959,"000000"),2)/3600))</f>
        <v>118.8</v>
      </c>
      <c r="N959" s="250">
        <v>93300</v>
      </c>
      <c r="O959" s="251">
        <f>IF($N959&gt;0,(LEFT(TEXT($N959,"000000"),2)+(MID(TEXT($N959,"000000"),3,2)/60)+(RIGHT(TEXT($N959,"000000"),2)/3600)),-(MID(TEXT($N959,"000000"),2,2)+(MID(TEXT($N959,"000000"),4,2)/60)+(RIGHT(TEXT($N959,"000000"),2)/3600)))</f>
        <v>9.5500000000000007</v>
      </c>
      <c r="P959" s="252" t="s">
        <v>87</v>
      </c>
      <c r="Q959" s="253"/>
      <c r="R959" s="277" t="s">
        <v>3293</v>
      </c>
      <c r="S959" s="272" t="s">
        <v>3293</v>
      </c>
      <c r="T959" s="273"/>
      <c r="U959" s="274"/>
      <c r="V959" s="256"/>
      <c r="W959" s="244"/>
      <c r="X959" s="244"/>
      <c r="Y959" s="362"/>
      <c r="Z959" s="257">
        <f>altaz(J2000_Bas,$O959,$M959,DecLat,DecLong,1)</f>
        <v>-47.6328274464244</v>
      </c>
      <c r="AA959" s="257">
        <f>altaz((J2000_Bas+(2*0.04167)),$O959,$M959,DecLat,DecLong,1)</f>
        <v>-46.191292940952771</v>
      </c>
      <c r="AB959" s="257">
        <f>altaz((J2000_Bas+(4*0.04167)),$O959,$M959,DecLat,DecLong,1)</f>
        <v>-29.144453903911618</v>
      </c>
      <c r="AC959" s="257">
        <f>altaz((J2000_Bas+(6*0.04167)),$O959,$M959,DecLat,DecLong,1)</f>
        <v>-5.6317692073712253</v>
      </c>
      <c r="AD959" s="258">
        <f>1+ transit((J2000_Bas-1),$O959,$M959,DecLat,DecLong)/360 + (GMTOffset/24) + (IF(DST="Y", 1, 0)/24)</f>
        <v>1.322899927629708</v>
      </c>
      <c r="AE959" s="259">
        <f>DATE(2001,9,21)+(M959/360)*365 - (360*((DecLong/360)- (GMTOffset/24) ))</f>
        <v>37280.449999999997</v>
      </c>
      <c r="AF959" s="260">
        <f>IF(DecLat&gt;0,IF((90 - (DecLat-O959))&gt;90, (90 - (O959-DecLat)), (90 - (DecLat-O959))),IF((90 + (DecLat-O959))&gt;90, (90 + (O959-DecLat)), (90 + (DecLat-O959))))</f>
        <v>68.55</v>
      </c>
      <c r="AG959" s="257">
        <f>angularseperation(MoonRA,MoonDec,$M959,$O959)</f>
        <v>130.17137452080959</v>
      </c>
      <c r="AH959" s="261">
        <f ca="1">MIN(100,IF($O$5&gt;80,0+30*($AG959/100),IF($O$5&gt;70,0+50*($AG959/100),IF($O$5&gt;60,5+50*($AG959/100),IF($O$5&gt;50,10+60*($AG959/100),IF($O$5&gt;40,15+70*($AG959/100),IF($O$5&gt;30,20+70*($AG959/100),IF($O$5&gt;20,40+55*($AG959/100),(80+(20-$O$5)+30*($AG959/100))))))))))</f>
        <v>100</v>
      </c>
      <c r="AI959" s="263"/>
      <c r="AJ959" s="263"/>
      <c r="AK959" s="263"/>
      <c r="AL959" s="263"/>
      <c r="AM959" s="264"/>
      <c r="AN959" s="263"/>
      <c r="AO959" s="263"/>
      <c r="AP959" s="265"/>
      <c r="AQ959" s="265"/>
      <c r="AR959" s="285"/>
      <c r="AS959" s="263"/>
      <c r="AT959" s="263"/>
      <c r="AU959" s="263"/>
      <c r="AV959" s="264"/>
      <c r="AW959" s="263"/>
      <c r="AX959" s="263"/>
      <c r="AY959" s="263"/>
      <c r="AZ959" s="263"/>
      <c r="BA959" s="263"/>
      <c r="BB959" s="263"/>
      <c r="BC959" s="263"/>
      <c r="BD959" s="264"/>
      <c r="BE959" s="263"/>
      <c r="BF959" s="263"/>
      <c r="BG959" s="263"/>
      <c r="BH959" s="263"/>
      <c r="BI959" s="263"/>
      <c r="BJ959" s="404">
        <f>altaz(J2000_Bas,$O959,$M959,DecLat,DecLong,2)</f>
        <v>341.0862669688575</v>
      </c>
      <c r="BK959" s="378" t="s">
        <v>4113</v>
      </c>
      <c r="BL959" s="379">
        <f>IF((2*G959)/60&lt;0.2,0.2,(2*G959)/60)</f>
        <v>0.2</v>
      </c>
      <c r="BM959" s="380">
        <f>MOD((50000+AD959-$B$3+(0/24)),1)</f>
        <v>0.53826685733656632</v>
      </c>
      <c r="BN959" s="381" t="s">
        <v>8643</v>
      </c>
      <c r="BO959" s="382">
        <v>953</v>
      </c>
    </row>
    <row r="960" spans="1:67" s="24" customFormat="1" ht="15" customHeight="1" x14ac:dyDescent="0.25">
      <c r="A960" s="287" t="s">
        <v>1038</v>
      </c>
      <c r="B960" s="241" t="str">
        <f>HYPERLINK(CONCATENATE($AT$3,BK960,$AU$3),$AV$3)</f>
        <v>S</v>
      </c>
      <c r="C960" s="242" t="str">
        <f>HYPERLINK(CONCATENATE($AT$4,BK960,$AU$4,BL960),$AV$4)</f>
        <v>A</v>
      </c>
      <c r="D960" s="243" t="s">
        <v>5187</v>
      </c>
      <c r="E960" s="244" t="s">
        <v>5181</v>
      </c>
      <c r="F960" s="269" t="s">
        <v>6174</v>
      </c>
      <c r="G960" s="270">
        <v>0.4</v>
      </c>
      <c r="H960" s="271" t="s">
        <v>6500</v>
      </c>
      <c r="I960" s="244" t="s">
        <v>6500</v>
      </c>
      <c r="J960" s="246">
        <v>1</v>
      </c>
      <c r="K960" s="247" t="s">
        <v>6143</v>
      </c>
      <c r="L960" s="248">
        <v>173148</v>
      </c>
      <c r="M960" s="249">
        <f>15*(LEFT(TEXT($L960,"000000"),2)+(MID(TEXT($L960,"000000"),3,2)/60)+(RIGHT(TEXT($L960,"000000"),2)/3600))</f>
        <v>262.95</v>
      </c>
      <c r="N960" s="250">
        <v>-282400</v>
      </c>
      <c r="O960" s="251">
        <f>IF($N960&gt;0,(LEFT(TEXT($N960,"000000"),2)+(MID(TEXT($N960,"000000"),3,2)/60)+(RIGHT(TEXT($N960,"000000"),2)/3600)),-(MID(TEXT($N960,"000000"),2,2)+(MID(TEXT($N960,"000000"),4,2)/60)+(RIGHT(TEXT($N960,"000000"),2)/3600)))</f>
        <v>-28.4</v>
      </c>
      <c r="P960" s="252" t="s">
        <v>113</v>
      </c>
      <c r="Q960" s="253"/>
      <c r="R960" s="277" t="s">
        <v>3293</v>
      </c>
      <c r="S960" s="272" t="s">
        <v>3293</v>
      </c>
      <c r="T960" s="273"/>
      <c r="U960" s="274"/>
      <c r="V960" s="256"/>
      <c r="W960" s="244"/>
      <c r="X960" s="244"/>
      <c r="Y960" s="362"/>
      <c r="Z960" s="257">
        <f>altaz(J2000_Bas,$O960,$M960,DecLat,DecLong,1)</f>
        <v>26.668687560301166</v>
      </c>
      <c r="AA960" s="257">
        <f>altaz((J2000_Bas+(2*0.04167)),$O960,$M960,DecLat,DecLong,1)</f>
        <v>11.96795556730817</v>
      </c>
      <c r="AB960" s="257">
        <f>altaz((J2000_Bas+(4*0.04167)),$O960,$M960,DecLat,DecLong,1)</f>
        <v>-8.9731173796205468</v>
      </c>
      <c r="AC960" s="257">
        <f>altaz((J2000_Bas+(6*0.04167)),$O960,$M960,DecLat,DecLong,1)</f>
        <v>-32.907469140688207</v>
      </c>
      <c r="AD960" s="258">
        <f>1+ transit((J2000_Bas-1),$O960,$M960,DecLat,DecLong)/360 + (GMTOffset/24) + (IF(DST="Y", 1, 0)/24)</f>
        <v>1.723316554254708</v>
      </c>
      <c r="AE960" s="259">
        <f>DATE(2001,9,21)+(M960/360)*365 - (360*((DecLong/360)- (GMTOffset/24) ))</f>
        <v>37426.602083333331</v>
      </c>
      <c r="AF960" s="260">
        <f>IF(DecLat&gt;0,IF((90 - (DecLat-O960))&gt;90, (90 - (O960-DecLat)), (90 - (DecLat-O960))),IF((90 + (DecLat-O960))&gt;90, (90 + (O960-DecLat)), (90 + (DecLat-O960))))</f>
        <v>30.6</v>
      </c>
      <c r="AG960" s="257">
        <f>angularseperation(MoonRA,MoonDec,$M960,$O960)</f>
        <v>12.196782276785658</v>
      </c>
      <c r="AH960" s="261">
        <f ca="1">MIN(100,IF($O$5&gt;80,0+30*($AG960/100),IF($O$5&gt;70,0+50*($AG960/100),IF($O$5&gt;60,5+50*($AG960/100),IF($O$5&gt;50,10+60*($AG960/100),IF($O$5&gt;40,15+70*($AG960/100),IF($O$5&gt;30,20+70*($AG960/100),IF($O$5&gt;20,40+55*($AG960/100),(80+(20-$O$5)+30*($AG960/100))))))))))</f>
        <v>86.930095027186127</v>
      </c>
      <c r="AI960" s="263"/>
      <c r="AJ960" s="263"/>
      <c r="AK960" s="263"/>
      <c r="AL960" s="263"/>
      <c r="AM960" s="264"/>
      <c r="AN960" s="263"/>
      <c r="AO960" s="263"/>
      <c r="AP960" s="265"/>
      <c r="AQ960" s="265"/>
      <c r="AR960" s="285"/>
      <c r="AS960" s="263"/>
      <c r="AT960" s="263"/>
      <c r="AU960" s="263"/>
      <c r="AV960" s="264"/>
      <c r="AW960" s="263"/>
      <c r="AX960" s="263"/>
      <c r="AY960" s="263"/>
      <c r="AZ960" s="263"/>
      <c r="BA960" s="263"/>
      <c r="BB960" s="263"/>
      <c r="BC960" s="263"/>
      <c r="BD960" s="264"/>
      <c r="BE960" s="263"/>
      <c r="BF960" s="263"/>
      <c r="BG960" s="263"/>
      <c r="BH960" s="263"/>
      <c r="BI960" s="263"/>
      <c r="BJ960" s="404">
        <f>altaz(J2000_Bas,$O960,$M960,DecLat,DecLong,2)</f>
        <v>202.67203227184905</v>
      </c>
      <c r="BK960" s="378" t="s">
        <v>4114</v>
      </c>
      <c r="BL960" s="379">
        <f>IF((2*G960)/60&lt;0.2,0.2,(2*G960)/60)</f>
        <v>0.2</v>
      </c>
      <c r="BM960" s="380">
        <f>MOD((50000+AD960-$B$3+(0/24)),1)</f>
        <v>0.93868348396063084</v>
      </c>
      <c r="BN960" s="381"/>
      <c r="BO960" s="382">
        <v>954</v>
      </c>
    </row>
    <row r="961" spans="1:67" s="24" customFormat="1" ht="15" customHeight="1" x14ac:dyDescent="0.25">
      <c r="A961" s="287" t="s">
        <v>1039</v>
      </c>
      <c r="B961" s="241" t="str">
        <f>HYPERLINK(CONCATENATE($AT$3,BK961,$AU$3),$AV$3)</f>
        <v>S</v>
      </c>
      <c r="C961" s="242" t="str">
        <f>HYPERLINK(CONCATENATE($AT$4,BK961,$AU$4,BL961),$AV$4)</f>
        <v>A</v>
      </c>
      <c r="D961" s="243" t="s">
        <v>5187</v>
      </c>
      <c r="E961" s="244" t="s">
        <v>5181</v>
      </c>
      <c r="F961" s="269" t="s">
        <v>4794</v>
      </c>
      <c r="G961" s="270">
        <v>0.8</v>
      </c>
      <c r="H961" s="271">
        <v>6200</v>
      </c>
      <c r="I961" s="279">
        <v>1.5</v>
      </c>
      <c r="J961" s="246">
        <v>2</v>
      </c>
      <c r="K961" s="247" t="s">
        <v>4815</v>
      </c>
      <c r="L961" s="248">
        <v>193106</v>
      </c>
      <c r="M961" s="249">
        <f>15*(LEFT(TEXT($L961,"000000"),2)+(MID(TEXT($L961,"000000"),3,2)/60)+(RIGHT(TEXT($L961,"000000"),2)/3600))</f>
        <v>292.77499999999998</v>
      </c>
      <c r="N961" s="250">
        <v>-32400</v>
      </c>
      <c r="O961" s="251">
        <f>IF($N961&gt;0,(LEFT(TEXT($N961,"000000"),2)+(MID(TEXT($N961,"000000"),3,2)/60)+(RIGHT(TEXT($N961,"000000"),2)/3600)),-(MID(TEXT($N961,"000000"),2,2)+(MID(TEXT($N961,"000000"),4,2)/60)+(RIGHT(TEXT($N961,"000000"),2)/3600)))</f>
        <v>-3.4</v>
      </c>
      <c r="P961" s="252" t="s">
        <v>126</v>
      </c>
      <c r="Q961" s="253"/>
      <c r="R961" s="277" t="s">
        <v>3293</v>
      </c>
      <c r="S961" s="272" t="s">
        <v>3293</v>
      </c>
      <c r="T961" s="273"/>
      <c r="U961" s="274"/>
      <c r="V961" s="256"/>
      <c r="W961" s="244"/>
      <c r="X961" s="244"/>
      <c r="Y961" s="362"/>
      <c r="Z961" s="257">
        <f>altaz(J2000_Bas,$O961,$M961,DecLat,DecLong,1)</f>
        <v>54.999109330377415</v>
      </c>
      <c r="AA961" s="257">
        <f>altaz((J2000_Bas+(2*0.04167)),$O961,$M961,DecLat,DecLong,1)</f>
        <v>49.048052636480719</v>
      </c>
      <c r="AB961" s="257">
        <f>altaz((J2000_Bas+(4*0.04167)),$O961,$M961,DecLat,DecLong,1)</f>
        <v>28.663149650937974</v>
      </c>
      <c r="AC961" s="257">
        <f>altaz((J2000_Bas+(6*0.04167)),$O961,$M961,DecLat,DecLong,1)</f>
        <v>3.8185152221114511</v>
      </c>
      <c r="AD961" s="258">
        <f>1+ transit((J2000_Bas-1),$O961,$M961,DecLat,DecLong)/360 + (GMTOffset/24) + (IF(DST="Y", 1, 0)/24)</f>
        <v>1.806163768192208</v>
      </c>
      <c r="AE961" s="259">
        <f>DATE(2001,9,21)+(M961/360)*365 - (360*((DecLong/360)- (GMTOffset/24) ))</f>
        <v>37456.841319444444</v>
      </c>
      <c r="AF961" s="260">
        <f>IF(DecLat&gt;0,IF((90 - (DecLat-O961))&gt;90, (90 - (O961-DecLat)), (90 - (DecLat-O961))),IF((90 + (DecLat-O961))&gt;90, (90 + (O961-DecLat)), (90 + (DecLat-O961))))</f>
        <v>55.6</v>
      </c>
      <c r="AG961" s="257">
        <f>angularseperation(MoonRA,MoonDec,$M961,$O961)</f>
        <v>47.829340429755185</v>
      </c>
      <c r="AH961" s="261">
        <f ca="1">MIN(100,IF($O$5&gt;80,0+30*($AG961/100),IF($O$5&gt;70,0+50*($AG961/100),IF($O$5&gt;60,5+50*($AG961/100),IF($O$5&gt;50,10+60*($AG961/100),IF($O$5&gt;40,15+70*($AG961/100),IF($O$5&gt;30,20+70*($AG961/100),IF($O$5&gt;20,40+55*($AG961/100),(80+(20-$O$5)+30*($AG961/100))))))))))</f>
        <v>97.619862473076978</v>
      </c>
      <c r="AI961" s="263"/>
      <c r="AJ961" s="263"/>
      <c r="AK961" s="263"/>
      <c r="AL961" s="263"/>
      <c r="AM961" s="264"/>
      <c r="AN961" s="263"/>
      <c r="AO961" s="263"/>
      <c r="AP961" s="265"/>
      <c r="AQ961" s="265"/>
      <c r="AR961" s="285"/>
      <c r="AS961" s="263"/>
      <c r="AT961" s="263"/>
      <c r="AU961" s="263"/>
      <c r="AV961" s="264"/>
      <c r="AW961" s="263"/>
      <c r="AX961" s="263"/>
      <c r="AY961" s="263"/>
      <c r="AZ961" s="263"/>
      <c r="BA961" s="263"/>
      <c r="BB961" s="263"/>
      <c r="BC961" s="263"/>
      <c r="BD961" s="264"/>
      <c r="BE961" s="263"/>
      <c r="BF961" s="263"/>
      <c r="BG961" s="263"/>
      <c r="BH961" s="263"/>
      <c r="BI961" s="263"/>
      <c r="BJ961" s="404">
        <f>altaz(J2000_Bas,$O961,$M961,DecLat,DecLong,2)</f>
        <v>168.1570477610162</v>
      </c>
      <c r="BK961" s="378" t="s">
        <v>4115</v>
      </c>
      <c r="BL961" s="379">
        <f>IF((2*G961)/60&lt;0.2,0.2,(2*G961)/60)</f>
        <v>0.2</v>
      </c>
      <c r="BM961" s="380">
        <f>MOD((50000+AD961-$B$3+(0/24)),1)</f>
        <v>2.1530697893467732E-2</v>
      </c>
      <c r="BN961" s="381"/>
      <c r="BO961" s="382">
        <v>955</v>
      </c>
    </row>
    <row r="962" spans="1:67" s="24" customFormat="1" ht="15" customHeight="1" x14ac:dyDescent="0.25">
      <c r="A962" s="288" t="s">
        <v>1040</v>
      </c>
      <c r="B962" s="241" t="str">
        <f>HYPERLINK(CONCATENATE($AT$3,BK962,$AU$3),$AV$3)</f>
        <v>S</v>
      </c>
      <c r="C962" s="242" t="str">
        <f>HYPERLINK(CONCATENATE($AT$4,BK962,$AU$4,BL962),$AV$4)</f>
        <v>A</v>
      </c>
      <c r="D962" s="243" t="s">
        <v>5187</v>
      </c>
      <c r="E962" s="244" t="s">
        <v>5181</v>
      </c>
      <c r="F962" s="269" t="s">
        <v>6145</v>
      </c>
      <c r="G962" s="270">
        <v>0.8</v>
      </c>
      <c r="H962" s="271">
        <v>2100</v>
      </c>
      <c r="I962" s="309">
        <v>0.5</v>
      </c>
      <c r="J962" s="246">
        <v>2</v>
      </c>
      <c r="K962" s="247" t="s">
        <v>6144</v>
      </c>
      <c r="L962" s="248">
        <v>195812</v>
      </c>
      <c r="M962" s="249">
        <f>15*(LEFT(TEXT($L962,"000000"),2)+(MID(TEXT($L962,"000000"),3,2)/60)+(RIGHT(TEXT($L962,"000000"),2)/3600))</f>
        <v>299.54999999999995</v>
      </c>
      <c r="N962" s="250">
        <v>-262816</v>
      </c>
      <c r="O962" s="251">
        <f>IF($N962&gt;0,(LEFT(TEXT($N962,"000000"),2)+(MID(TEXT($N962,"000000"),3,2)/60)+(RIGHT(TEXT($N962,"000000"),2)/3600)),-(MID(TEXT($N962,"000000"),2,2)+(MID(TEXT($N962,"000000"),4,2)/60)+(RIGHT(TEXT($N962,"000000"),2)/3600)))</f>
        <v>-26.47111111111111</v>
      </c>
      <c r="P962" s="252" t="s">
        <v>119</v>
      </c>
      <c r="Q962" s="253"/>
      <c r="R962" s="277" t="s">
        <v>3293</v>
      </c>
      <c r="S962" s="272" t="s">
        <v>3293</v>
      </c>
      <c r="T962" s="273"/>
      <c r="U962" s="274"/>
      <c r="V962" s="256"/>
      <c r="W962" s="244"/>
      <c r="X962" s="244"/>
      <c r="Y962" s="362"/>
      <c r="Z962" s="257">
        <f>altaz(J2000_Bas,$O962,$M962,DecLat,DecLong,1)</f>
        <v>31.089461992636881</v>
      </c>
      <c r="AA962" s="257">
        <f>altaz((J2000_Bas+(2*0.04167)),$O962,$M962,DecLat,DecLong,1)</f>
        <v>30.396799319342151</v>
      </c>
      <c r="AB962" s="257">
        <f>altaz((J2000_Bas+(4*0.04167)),$O962,$M962,DecLat,DecLong,1)</f>
        <v>17.302427395438553</v>
      </c>
      <c r="AC962" s="257">
        <f>altaz((J2000_Bas+(6*0.04167)),$O962,$M962,DecLat,DecLong,1)</f>
        <v>-3.0461644086991382</v>
      </c>
      <c r="AD962" s="258">
        <f>1+ transit((J2000_Bas-1),$O962,$M962,DecLat,DecLong)/360 + (GMTOffset/24) + (IF(DST="Y", 1, 0)/24)</f>
        <v>1.8249832107547082</v>
      </c>
      <c r="AE962" s="259">
        <f>DATE(2001,9,21)+(M962/360)*365 - (360*((DecLong/360)- (GMTOffset/24) ))</f>
        <v>37463.710416666669</v>
      </c>
      <c r="AF962" s="260">
        <f>IF(DecLat&gt;0,IF((90 - (DecLat-O962))&gt;90, (90 - (O962-DecLat)), (90 - (DecLat-O962))),IF((90 + (DecLat-O962))&gt;90, (90 + (O962-DecLat)), (90 + (DecLat-O962))))</f>
        <v>32.528888888888886</v>
      </c>
      <c r="AG962" s="257">
        <f>angularseperation(MoonRA,MoonDec,$M962,$O962)</f>
        <v>44.605729778500212</v>
      </c>
      <c r="AH962" s="261">
        <f ca="1">MIN(100,IF($O$5&gt;80,0+30*($AG962/100),IF($O$5&gt;70,0+50*($AG962/100),IF($O$5&gt;60,5+50*($AG962/100),IF($O$5&gt;50,10+60*($AG962/100),IF($O$5&gt;40,15+70*($AG962/100),IF($O$5&gt;30,20+70*($AG962/100),IF($O$5&gt;20,40+55*($AG962/100),(80+(20-$O$5)+30*($AG962/100))))))))))</f>
        <v>96.652779277700489</v>
      </c>
      <c r="AI962" s="263"/>
      <c r="AJ962" s="263"/>
      <c r="AK962" s="263"/>
      <c r="AL962" s="263"/>
      <c r="AM962" s="264"/>
      <c r="AN962" s="263"/>
      <c r="AO962" s="263"/>
      <c r="AP962" s="265"/>
      <c r="AQ962" s="265"/>
      <c r="AR962" s="285"/>
      <c r="AS962" s="263"/>
      <c r="AT962" s="263"/>
      <c r="AU962" s="263"/>
      <c r="AV962" s="264"/>
      <c r="AW962" s="263"/>
      <c r="AX962" s="263"/>
      <c r="AY962" s="263"/>
      <c r="AZ962" s="263"/>
      <c r="BA962" s="263"/>
      <c r="BB962" s="263"/>
      <c r="BC962" s="263"/>
      <c r="BD962" s="264"/>
      <c r="BE962" s="263"/>
      <c r="BF962" s="263"/>
      <c r="BG962" s="263"/>
      <c r="BH962" s="263"/>
      <c r="BI962" s="263"/>
      <c r="BJ962" s="404">
        <f>altaz(J2000_Bas,$O962,$M962,DecLat,DecLong,2)</f>
        <v>165.82633177591933</v>
      </c>
      <c r="BK962" s="378" t="s">
        <v>4116</v>
      </c>
      <c r="BL962" s="379">
        <f>IF((2*G962)/60&lt;0.2,0.2,(2*G962)/60)</f>
        <v>0.2</v>
      </c>
      <c r="BM962" s="380">
        <f>MOD((50000+AD962-$B$3+(0/24)),1)</f>
        <v>4.0350140458031092E-2</v>
      </c>
      <c r="BN962" s="381"/>
      <c r="BO962" s="382">
        <v>956</v>
      </c>
    </row>
    <row r="963" spans="1:67" s="24" customFormat="1" ht="15" customHeight="1" x14ac:dyDescent="0.25">
      <c r="A963" s="288" t="s">
        <v>1041</v>
      </c>
      <c r="B963" s="241" t="str">
        <f>HYPERLINK(CONCATENATE($AT$3,BK963,$AU$3),$AV$3)</f>
        <v>S</v>
      </c>
      <c r="C963" s="242" t="str">
        <f>HYPERLINK(CONCATENATE($AT$4,BK963,$AU$4,BL963),$AV$4)</f>
        <v>A</v>
      </c>
      <c r="D963" s="243" t="s">
        <v>5187</v>
      </c>
      <c r="E963" s="244" t="s">
        <v>5181</v>
      </c>
      <c r="F963" s="269" t="s">
        <v>6225</v>
      </c>
      <c r="G963" s="270">
        <v>0.4</v>
      </c>
      <c r="H963" s="271">
        <v>11000</v>
      </c>
      <c r="I963" s="279">
        <v>1.4</v>
      </c>
      <c r="J963" s="246">
        <v>1</v>
      </c>
      <c r="K963" s="247" t="s">
        <v>6146</v>
      </c>
      <c r="L963" s="248">
        <v>195918</v>
      </c>
      <c r="M963" s="249">
        <f>15*(LEFT(TEXT($L963,"000000"),2)+(MID(TEXT($L963,"000000"),3,2)/60)+(RIGHT(TEXT($L963,"000000"),2)/3600))</f>
        <v>299.82499999999999</v>
      </c>
      <c r="N963" s="250">
        <v>313300</v>
      </c>
      <c r="O963" s="251">
        <f>IF($N963&gt;0,(LEFT(TEXT($N963,"000000"),2)+(MID(TEXT($N963,"000000"),3,2)/60)+(RIGHT(TEXT($N963,"000000"),2)/3600)),-(MID(TEXT($N963,"000000"),2,2)+(MID(TEXT($N963,"000000"),4,2)/60)+(RIGHT(TEXT($N963,"000000"),2)/3600)))</f>
        <v>31.55</v>
      </c>
      <c r="P963" s="252" t="s">
        <v>60</v>
      </c>
      <c r="Q963" s="253"/>
      <c r="R963" s="277" t="s">
        <v>3293</v>
      </c>
      <c r="S963" s="272" t="s">
        <v>3293</v>
      </c>
      <c r="T963" s="273"/>
      <c r="U963" s="274"/>
      <c r="V963" s="256"/>
      <c r="W963" s="244"/>
      <c r="X963" s="244"/>
      <c r="Y963" s="362"/>
      <c r="Z963" s="257">
        <f>altaz(J2000_Bas,$O963,$M963,DecLat,DecLong,1)</f>
        <v>78.181262913082719</v>
      </c>
      <c r="AA963" s="257">
        <f>altaz((J2000_Bas+(2*0.04167)),$O963,$M963,DecLat,DecLong,1)</f>
        <v>76.102829080505344</v>
      </c>
      <c r="AB963" s="257">
        <f>altaz((J2000_Bas+(4*0.04167)),$O963,$M963,DecLat,DecLong,1)</f>
        <v>50.68947687432523</v>
      </c>
      <c r="AC963" s="257">
        <f>altaz((J2000_Bas+(6*0.04167)),$O963,$M963,DecLat,DecLong,1)</f>
        <v>26.159103310711668</v>
      </c>
      <c r="AD963" s="258">
        <f>1+ transit((J2000_Bas-1),$O963,$M963,DecLat,DecLong)/360 + (GMTOffset/24) + (IF(DST="Y", 1, 0)/24)</f>
        <v>1.8257470995672083</v>
      </c>
      <c r="AE963" s="259">
        <f>DATE(2001,9,21)+(M963/360)*365 - (360*((DecLong/360)- (GMTOffset/24) ))</f>
        <v>37463.989236111112</v>
      </c>
      <c r="AF963" s="260">
        <f>IF(DecLat&gt;0,IF((90 - (DecLat-O963))&gt;90, (90 - (O963-DecLat)), (90 - (DecLat-O963))),IF((90 + (DecLat-O963))&gt;90, (90 + (O963-DecLat)), (90 + (DecLat-O963))))</f>
        <v>89.45</v>
      </c>
      <c r="AG963" s="257">
        <f>angularseperation(MoonRA,MoonDec,$M963,$O963)</f>
        <v>75.904858753904094</v>
      </c>
      <c r="AH963" s="261">
        <f ca="1">MIN(100,IF($O$5&gt;80,0+30*($AG963/100),IF($O$5&gt;70,0+50*($AG963/100),IF($O$5&gt;60,5+50*($AG963/100),IF($O$5&gt;50,10+60*($AG963/100),IF($O$5&gt;40,15+70*($AG963/100),IF($O$5&gt;30,20+70*($AG963/100),IF($O$5&gt;20,40+55*($AG963/100),(80+(20-$O$5)+30*($AG963/100))))))))))</f>
        <v>100</v>
      </c>
      <c r="AI963" s="263"/>
      <c r="AJ963" s="263"/>
      <c r="AK963" s="263"/>
      <c r="AL963" s="263"/>
      <c r="AM963" s="264"/>
      <c r="AN963" s="263"/>
      <c r="AO963" s="263"/>
      <c r="AP963" s="265"/>
      <c r="AQ963" s="265"/>
      <c r="AR963" s="285"/>
      <c r="AS963" s="263"/>
      <c r="AT963" s="263"/>
      <c r="AU963" s="263"/>
      <c r="AV963" s="264"/>
      <c r="AW963" s="263"/>
      <c r="AX963" s="263"/>
      <c r="AY963" s="263"/>
      <c r="AZ963" s="263"/>
      <c r="BA963" s="263"/>
      <c r="BB963" s="263"/>
      <c r="BC963" s="263"/>
      <c r="BD963" s="264"/>
      <c r="BE963" s="263"/>
      <c r="BF963" s="263"/>
      <c r="BG963" s="263"/>
      <c r="BH963" s="263"/>
      <c r="BI963" s="263"/>
      <c r="BJ963" s="404">
        <f>altaz(J2000_Bas,$O963,$M963,DecLat,DecLong,2)</f>
        <v>83.746692425933603</v>
      </c>
      <c r="BK963" s="378" t="s">
        <v>4526</v>
      </c>
      <c r="BL963" s="379">
        <f>IF((2*G963)/60&lt;0.2,0.2,(2*G963)/60)</f>
        <v>0.2</v>
      </c>
      <c r="BM963" s="380">
        <f>MOD((50000+AD963-$B$3+(0/24)),1)</f>
        <v>4.1114029270829633E-2</v>
      </c>
      <c r="BN963" s="381"/>
      <c r="BO963" s="382">
        <v>957</v>
      </c>
    </row>
    <row r="964" spans="1:67" s="24" customFormat="1" ht="15" customHeight="1" x14ac:dyDescent="0.25">
      <c r="A964" s="288" t="s">
        <v>1042</v>
      </c>
      <c r="B964" s="241" t="str">
        <f>HYPERLINK(CONCATENATE($AT$3,BK964,$AU$3),$AV$3)</f>
        <v>S</v>
      </c>
      <c r="C964" s="242" t="str">
        <f>HYPERLINK(CONCATENATE($AT$4,BK964,$AU$4,BL964),$AV$4)</f>
        <v>A</v>
      </c>
      <c r="D964" s="243" t="s">
        <v>5187</v>
      </c>
      <c r="E964" s="244" t="s">
        <v>936</v>
      </c>
      <c r="F964" s="269"/>
      <c r="G964" s="270">
        <v>0.2</v>
      </c>
      <c r="H964" s="271">
        <v>10000</v>
      </c>
      <c r="I964" s="308">
        <v>0.6</v>
      </c>
      <c r="J964" s="246">
        <v>2</v>
      </c>
      <c r="K964" s="247" t="s">
        <v>4649</v>
      </c>
      <c r="L964" s="248">
        <v>201156</v>
      </c>
      <c r="M964" s="249">
        <f>15*(LEFT(TEXT($L964,"000000"),2)+(MID(TEXT($L964,"000000"),3,2)/60)+(RIGHT(TEXT($L964,"000000"),2)/3600))</f>
        <v>302.98333333333335</v>
      </c>
      <c r="N964" s="250">
        <v>202005</v>
      </c>
      <c r="O964" s="251">
        <f>IF($N964&gt;0,(LEFT(TEXT($N964,"000000"),2)+(MID(TEXT($N964,"000000"),3,2)/60)+(RIGHT(TEXT($N964,"000000"),2)/3600)),-(MID(TEXT($N964,"000000"),2,2)+(MID(TEXT($N964,"000000"),4,2)/60)+(RIGHT(TEXT($N964,"000000"),2)/3600)))</f>
        <v>20.334722222222222</v>
      </c>
      <c r="P964" s="252" t="s">
        <v>139</v>
      </c>
      <c r="Q964" s="253"/>
      <c r="R964" s="247" t="s">
        <v>3293</v>
      </c>
      <c r="S964" s="272" t="s">
        <v>3293</v>
      </c>
      <c r="T964" s="273">
        <v>9.5</v>
      </c>
      <c r="U964" s="274"/>
      <c r="V964" s="256"/>
      <c r="W964" s="244"/>
      <c r="X964" s="244"/>
      <c r="Y964" s="362"/>
      <c r="Z964" s="257">
        <f>altaz(J2000_Bas,$O964,$M964,DecLat,DecLong,1)</f>
        <v>71.384893981502074</v>
      </c>
      <c r="AA964" s="257">
        <f>altaz((J2000_Bas+(2*0.04167)),$O964,$M964,DecLat,DecLong,1)</f>
        <v>74.111480202497901</v>
      </c>
      <c r="AB964" s="257">
        <f>altaz((J2000_Bas+(4*0.04167)),$O964,$M964,DecLat,DecLong,1)</f>
        <v>49.906631112327801</v>
      </c>
      <c r="AC964" s="257">
        <f>altaz((J2000_Bas+(6*0.04167)),$O964,$M964,DecLat,DecLong,1)</f>
        <v>24.224108555200001</v>
      </c>
      <c r="AD964" s="258">
        <f>1+ transit((J2000_Bas-1),$O964,$M964,DecLat,DecLong)/360 + (GMTOffset/24) + (IF(DST="Y", 1, 0)/24)</f>
        <v>1.8345202468380417</v>
      </c>
      <c r="AE964" s="259">
        <f>DATE(2001,9,21)+(M964/360)*365 - (360*((DecLong/360)- (GMTOffset/24) ))</f>
        <v>37467.191435185188</v>
      </c>
      <c r="AF964" s="260">
        <f>IF(DecLat&gt;0,IF((90 - (DecLat-O964))&gt;90, (90 - (O964-DecLat)), (90 - (DecLat-O964))),IF((90 + (DecLat-O964))&gt;90, (90 + (O964-DecLat)), (90 + (DecLat-O964))))</f>
        <v>79.334722222222226</v>
      </c>
      <c r="AG964" s="257">
        <f>angularseperation(MoonRA,MoonDec,$M964,$O964)</f>
        <v>70.394678716744679</v>
      </c>
      <c r="AH964" s="261">
        <f ca="1">MIN(100,IF($O$5&gt;80,0+30*($AG964/100),IF($O$5&gt;70,0+50*($AG964/100),IF($O$5&gt;60,5+50*($AG964/100),IF($O$5&gt;50,10+60*($AG964/100),IF($O$5&gt;40,15+70*($AG964/100),IF($O$5&gt;30,20+70*($AG964/100),IF($O$5&gt;20,40+55*($AG964/100),(80+(20-$O$5)+30*($AG964/100))))))))))</f>
        <v>100</v>
      </c>
      <c r="AI964" s="262"/>
      <c r="AJ964" s="262"/>
      <c r="AK964" s="262"/>
      <c r="AL964" s="263"/>
      <c r="AM964" s="264"/>
      <c r="AN964" s="263"/>
      <c r="AO964" s="263"/>
      <c r="AP964" s="265"/>
      <c r="AQ964" s="266"/>
      <c r="AR964" s="267"/>
      <c r="AS964" s="263"/>
      <c r="AT964" s="263"/>
      <c r="AU964" s="263"/>
      <c r="AV964" s="264"/>
      <c r="AW964" s="263"/>
      <c r="AX964" s="263"/>
      <c r="AY964" s="263"/>
      <c r="AZ964" s="263"/>
      <c r="BA964" s="263"/>
      <c r="BB964" s="263"/>
      <c r="BC964" s="263"/>
      <c r="BD964" s="264"/>
      <c r="BE964" s="263"/>
      <c r="BF964" s="263"/>
      <c r="BG964" s="263"/>
      <c r="BH964" s="263"/>
      <c r="BI964" s="263"/>
      <c r="BJ964" s="404">
        <f>altaz(J2000_Bas,$O964,$M964,DecLat,DecLong,2)</f>
        <v>120.91869320055302</v>
      </c>
      <c r="BK964" s="378" t="s">
        <v>4525</v>
      </c>
      <c r="BL964" s="379">
        <f>IF((2*G964)/60&lt;0.2,0.2,(2*G964)/60)</f>
        <v>0.2</v>
      </c>
      <c r="BM964" s="380">
        <f>MOD((50000+AD964-$B$3+(0/24)),1)</f>
        <v>4.9887176544871181E-2</v>
      </c>
      <c r="BN964" s="381"/>
      <c r="BO964" s="382">
        <v>958</v>
      </c>
    </row>
    <row r="965" spans="1:67" s="24" customFormat="1" ht="15" customHeight="1" x14ac:dyDescent="0.25">
      <c r="A965" s="288" t="s">
        <v>1043</v>
      </c>
      <c r="B965" s="241" t="str">
        <f>HYPERLINK(CONCATENATE($AT$3,BK965,$AU$3),$AV$3)</f>
        <v>S</v>
      </c>
      <c r="C965" s="242" t="str">
        <f>HYPERLINK(CONCATENATE($AT$4,BK965,$AU$4,BL965),$AV$4)</f>
        <v>A</v>
      </c>
      <c r="D965" s="243" t="s">
        <v>5187</v>
      </c>
      <c r="E965" s="244" t="s">
        <v>5181</v>
      </c>
      <c r="F965" s="269" t="s">
        <v>4804</v>
      </c>
      <c r="G965" s="273">
        <v>8</v>
      </c>
      <c r="H965" s="271">
        <v>2300</v>
      </c>
      <c r="I965" s="245">
        <v>5</v>
      </c>
      <c r="J965" s="246">
        <v>3</v>
      </c>
      <c r="K965" s="277" t="s">
        <v>9332</v>
      </c>
      <c r="L965" s="248">
        <v>30100</v>
      </c>
      <c r="M965" s="249">
        <f>15*(LEFT(TEXT($L965,"000000"),2)+(MID(TEXT($L965,"000000"),3,2)/60)+(RIGHT(TEXT($L965,"000000"),2)/3600))</f>
        <v>45.25</v>
      </c>
      <c r="N965" s="250">
        <v>645800</v>
      </c>
      <c r="O965" s="251">
        <f>IF($N965&gt;0,(LEFT(TEXT($N965,"000000"),2)+(MID(TEXT($N965,"000000"),3,2)/60)+(RIGHT(TEXT($N965,"000000"),2)/3600)),-(MID(TEXT($N965,"000000"),2,2)+(MID(TEXT($N965,"000000"),4,2)/60)+(RIGHT(TEXT($N965,"000000"),2)/3600)))</f>
        <v>64.966666666666669</v>
      </c>
      <c r="P965" s="252" t="s">
        <v>49</v>
      </c>
      <c r="Q965" s="253"/>
      <c r="R965" s="253" t="s">
        <v>1044</v>
      </c>
      <c r="S965" s="272" t="s">
        <v>3293</v>
      </c>
      <c r="T965" s="273">
        <v>14.6</v>
      </c>
      <c r="U965" s="274"/>
      <c r="V965" s="256"/>
      <c r="W965" s="244"/>
      <c r="X965" s="244"/>
      <c r="Y965" s="362"/>
      <c r="Z965" s="257">
        <f>altaz(J2000_Bas,$O965,$M965,DecLat,DecLong,1)</f>
        <v>16.824716356510145</v>
      </c>
      <c r="AA965" s="257">
        <f>altaz((J2000_Bas+(2*0.04167)),$O965,$M965,DecLat,DecLong,1)</f>
        <v>28.161324387169454</v>
      </c>
      <c r="AB965" s="257">
        <f>altaz((J2000_Bas+(4*0.04167)),$O965,$M965,DecLat,DecLong,1)</f>
        <v>40.771121029714223</v>
      </c>
      <c r="AC965" s="257">
        <f>altaz((J2000_Bas+(6*0.04167)),$O965,$M965,DecLat,DecLong,1)</f>
        <v>51.619583921773298</v>
      </c>
      <c r="AD965" s="258">
        <f>1+ transit((J2000_Bas-1),$O965,$M965,DecLat,DecLong)/360 + (GMTOffset/24) + (IF(DST="Y", 1, 0)/24)</f>
        <v>1.1185943925047079</v>
      </c>
      <c r="AE965" s="259">
        <f>DATE(2001,9,21)+(M965/360)*365 - (360*((DecLong/360)- (GMTOffset/24) ))</f>
        <v>37205.878472222219</v>
      </c>
      <c r="AF965" s="260">
        <f>IF(DecLat&gt;0,IF((90 - (DecLat-O965))&gt;90, (90 - (O965-DecLat)), (90 - (DecLat-O965))),IF((90 + (DecLat-O965))&gt;90, (90 + (O965-DecLat)), (90 + (DecLat-O965))))</f>
        <v>56.033333333333331</v>
      </c>
      <c r="AG965" s="257">
        <f>angularseperation(MoonRA,MoonDec,$M965,$O965)</f>
        <v>139.17600701358501</v>
      </c>
      <c r="AH965" s="261">
        <f ca="1">MIN(100,IF($O$5&gt;80,0+30*($AG965/100),IF($O$5&gt;70,0+50*($AG965/100),IF($O$5&gt;60,5+50*($AG965/100),IF($O$5&gt;50,10+60*($AG965/100),IF($O$5&gt;40,15+70*($AG965/100),IF($O$5&gt;30,20+70*($AG965/100),IF($O$5&gt;20,40+55*($AG965/100),(80+(20-$O$5)+30*($AG965/100))))))))))</f>
        <v>100</v>
      </c>
      <c r="AI965" s="262"/>
      <c r="AJ965" s="262"/>
      <c r="AK965" s="262"/>
      <c r="AL965" s="263"/>
      <c r="AM965" s="264"/>
      <c r="AN965" s="263"/>
      <c r="AO965" s="263"/>
      <c r="AP965" s="265"/>
      <c r="AQ965" s="266"/>
      <c r="AR965" s="267"/>
      <c r="AS965" s="263"/>
      <c r="AT965" s="263"/>
      <c r="AU965" s="263"/>
      <c r="AV965" s="264"/>
      <c r="AW965" s="263"/>
      <c r="AX965" s="263"/>
      <c r="AY965" s="263"/>
      <c r="AZ965" s="263"/>
      <c r="BA965" s="263"/>
      <c r="BB965" s="263"/>
      <c r="BC965" s="263"/>
      <c r="BD965" s="264"/>
      <c r="BE965" s="263"/>
      <c r="BF965" s="263"/>
      <c r="BG965" s="263"/>
      <c r="BH965" s="263"/>
      <c r="BI965" s="263">
        <v>14</v>
      </c>
      <c r="BJ965" s="404">
        <f>altaz(J2000_Bas,$O965,$M965,DecLat,DecLong,2)</f>
        <v>22.687995299303047</v>
      </c>
      <c r="BK965" s="378" t="s">
        <v>4117</v>
      </c>
      <c r="BL965" s="379">
        <f>IF((2*G965)/60&lt;0.2,0.2,(2*G965)/60)</f>
        <v>0.26666666666666666</v>
      </c>
      <c r="BM965" s="380">
        <f>MOD((50000+AD965-$B$3+(0/24)),1)</f>
        <v>0.33396132220514119</v>
      </c>
      <c r="BN965" s="381"/>
      <c r="BO965" s="382">
        <v>959</v>
      </c>
    </row>
    <row r="966" spans="1:67" s="24" customFormat="1" ht="15" customHeight="1" x14ac:dyDescent="0.25">
      <c r="A966" s="288" t="s">
        <v>40</v>
      </c>
      <c r="B966" s="241" t="str">
        <f>HYPERLINK(CONCATENATE($AT$3,BK966,$AU$3),$AV$3)</f>
        <v>S</v>
      </c>
      <c r="C966" s="242" t="str">
        <f>HYPERLINK(CONCATENATE($AT$4,BK966,$AU$4,BL966),$AV$4)</f>
        <v>A</v>
      </c>
      <c r="D966" s="243" t="s">
        <v>5335</v>
      </c>
      <c r="E966" s="244" t="s">
        <v>32</v>
      </c>
      <c r="F966" s="269"/>
      <c r="G966" s="273">
        <v>1</v>
      </c>
      <c r="H966" s="271" t="s">
        <v>6500</v>
      </c>
      <c r="I966" s="244" t="s">
        <v>6500</v>
      </c>
      <c r="J966" s="246">
        <v>2</v>
      </c>
      <c r="K966" s="277" t="s">
        <v>4527</v>
      </c>
      <c r="L966" s="248">
        <v>53625</v>
      </c>
      <c r="M966" s="249">
        <f>15*(LEFT(TEXT($L966,"000000"),2)+(MID(TEXT($L966,"000000"),3,2)/60)+(RIGHT(TEXT($L966,"000000"),2)/3600))</f>
        <v>84.104166666666657</v>
      </c>
      <c r="N966" s="250">
        <v>-64257</v>
      </c>
      <c r="O966" s="251">
        <f>IF($N966&gt;0,(LEFT(TEXT($N966,"000000"),2)+(MID(TEXT($N966,"000000"),3,2)/60)+(RIGHT(TEXT($N966,"000000"),2)/3600)),-(MID(TEXT($N966,"000000"),2,2)+(MID(TEXT($N966,"000000"),4,2)/60)+(RIGHT(TEXT($N966,"000000"),2)/3600)))</f>
        <v>-6.7158333333333333</v>
      </c>
      <c r="P966" s="252" t="s">
        <v>41</v>
      </c>
      <c r="Q966" s="253"/>
      <c r="R966" s="277" t="s">
        <v>3293</v>
      </c>
      <c r="S966" s="272" t="s">
        <v>1694</v>
      </c>
      <c r="T966" s="273"/>
      <c r="U966" s="274"/>
      <c r="V966" s="256"/>
      <c r="W966" s="244"/>
      <c r="X966" s="244"/>
      <c r="Y966" s="362"/>
      <c r="Z966" s="257">
        <f>altaz(J2000_Bas,$O966,$M966,DecLat,DecLong,1)</f>
        <v>-58.221843234977143</v>
      </c>
      <c r="AA966" s="257">
        <f>altaz((J2000_Bas+(2*0.04167)),$O966,$M966,DecLat,DecLong,1)</f>
        <v>-35.770077673489709</v>
      </c>
      <c r="AB966" s="257">
        <f>altaz((J2000_Bas+(4*0.04167)),$O966,$M966,DecLat,DecLong,1)</f>
        <v>-10.236598619159839</v>
      </c>
      <c r="AC966" s="257">
        <f>altaz((J2000_Bas+(6*0.04167)),$O966,$M966,DecLat,DecLong,1)</f>
        <v>15.115168199438973</v>
      </c>
      <c r="AD966" s="258">
        <f>1+ transit((J2000_Bas-1),$O966,$M966,DecLat,DecLong)/360 + (GMTOffset/24) + (IF(DST="Y", 1, 0)/24)</f>
        <v>1.2265226224526247</v>
      </c>
      <c r="AE966" s="259">
        <f>DATE(2001,9,21)+(M966/360)*365 - (360*((DecLong/360)- (GMTOffset/24) ))</f>
        <v>37245.272280092591</v>
      </c>
      <c r="AF966" s="260">
        <f>IF(DecLat&gt;0,IF((90 - (DecLat-O966))&gt;90, (90 - (O966-DecLat)), (90 - (DecLat-O966))),IF((90 + (DecLat-O966))&gt;90, (90 + (O966-DecLat)), (90 + (DecLat-O966))))</f>
        <v>52.284166666666664</v>
      </c>
      <c r="AG966" s="257">
        <f>angularseperation(MoonRA,MoonDec,$M966,$O966)</f>
        <v>143.26433658934425</v>
      </c>
      <c r="AH966" s="261">
        <f ca="1">MIN(100,IF($O$5&gt;80,0+30*($AG966/100),IF($O$5&gt;70,0+50*($AG966/100),IF($O$5&gt;60,5+50*($AG966/100),IF($O$5&gt;50,10+60*($AG966/100),IF($O$5&gt;40,15+70*($AG966/100),IF($O$5&gt;30,20+70*($AG966/100),IF($O$5&gt;20,40+55*($AG966/100),(80+(20-$O$5)+30*($AG966/100))))))))))</f>
        <v>100</v>
      </c>
      <c r="AI966" s="262"/>
      <c r="AJ966" s="262"/>
      <c r="AK966" s="262"/>
      <c r="AL966" s="263"/>
      <c r="AM966" s="264"/>
      <c r="AN966" s="263"/>
      <c r="AO966" s="263"/>
      <c r="AP966" s="265"/>
      <c r="AQ966" s="266"/>
      <c r="AR966" s="267"/>
      <c r="AS966" s="263"/>
      <c r="AT966" s="263"/>
      <c r="AU966" s="263"/>
      <c r="AV966" s="264"/>
      <c r="AW966" s="263"/>
      <c r="AX966" s="263"/>
      <c r="AY966" s="263"/>
      <c r="AZ966" s="263"/>
      <c r="BA966" s="263"/>
      <c r="BB966" s="263"/>
      <c r="BC966" s="263"/>
      <c r="BD966" s="264"/>
      <c r="BE966" s="263"/>
      <c r="BF966" s="263"/>
      <c r="BG966" s="263"/>
      <c r="BH966" s="263"/>
      <c r="BI966" s="263"/>
      <c r="BJ966" s="404">
        <f>altaz(J2000_Bas,$O966,$M966,DecLat,DecLong,2)</f>
        <v>44.6959798827613</v>
      </c>
      <c r="BK966" s="378" t="s">
        <v>40</v>
      </c>
      <c r="BL966" s="379">
        <f>IF((2*G966)/60&lt;0.2,0.2,(2*G966)/60)</f>
        <v>0.2</v>
      </c>
      <c r="BM966" s="380">
        <f>MOD((50000+AD966-$B$3+(0/24)),1)</f>
        <v>0.4418895521594095</v>
      </c>
      <c r="BN966" s="381"/>
      <c r="BO966" s="382">
        <v>960</v>
      </c>
    </row>
    <row r="967" spans="1:67" s="24" customFormat="1" ht="15" customHeight="1" x14ac:dyDescent="0.25">
      <c r="A967" s="288" t="s">
        <v>42</v>
      </c>
      <c r="B967" s="241" t="str">
        <f>HYPERLINK(CONCATENATE($AT$3,BK967,$AU$3),$AV$3)</f>
        <v>S</v>
      </c>
      <c r="C967" s="242" t="str">
        <f>HYPERLINK(CONCATENATE($AT$4,BK967,$AU$4,BL967),$AV$4)</f>
        <v>A</v>
      </c>
      <c r="D967" s="243" t="s">
        <v>5335</v>
      </c>
      <c r="E967" s="244" t="s">
        <v>32</v>
      </c>
      <c r="F967" s="269"/>
      <c r="G967" s="273">
        <v>2</v>
      </c>
      <c r="H967" s="271" t="s">
        <v>6500</v>
      </c>
      <c r="I967" s="244" t="s">
        <v>6500</v>
      </c>
      <c r="J967" s="246">
        <v>2</v>
      </c>
      <c r="K967" s="247" t="s">
        <v>4627</v>
      </c>
      <c r="L967" s="248">
        <v>32920</v>
      </c>
      <c r="M967" s="249">
        <f>15*(LEFT(TEXT($L967,"000000"),2)+(MID(TEXT($L967,"000000"),3,2)/60)+(RIGHT(TEXT($L967,"000000"),2)/3600))</f>
        <v>52.333333333333336</v>
      </c>
      <c r="N967" s="250">
        <v>312456</v>
      </c>
      <c r="O967" s="251">
        <f>IF($N967&gt;0,(LEFT(TEXT($N967,"000000"),2)+(MID(TEXT($N967,"000000"),3,2)/60)+(RIGHT(TEXT($N967,"000000"),2)/3600)),-(MID(TEXT($N967,"000000"),2,2)+(MID(TEXT($N967,"000000"),4,2)/60)+(RIGHT(TEXT($N967,"000000"),2)/3600)))</f>
        <v>31.415555555555553</v>
      </c>
      <c r="P967" s="252" t="s">
        <v>43</v>
      </c>
      <c r="Q967" s="253"/>
      <c r="R967" s="247" t="s">
        <v>3293</v>
      </c>
      <c r="S967" s="272" t="s">
        <v>1616</v>
      </c>
      <c r="T967" s="273"/>
      <c r="U967" s="274"/>
      <c r="V967" s="256"/>
      <c r="W967" s="244"/>
      <c r="X967" s="244"/>
      <c r="Y967" s="362"/>
      <c r="Z967" s="257">
        <f>altaz(J2000_Bas,$O967,$M967,DecLat,DecLong,1)</f>
        <v>-9.492762064522827</v>
      </c>
      <c r="AA967" s="257">
        <f>altaz((J2000_Bas+(2*0.04167)),$O967,$M967,DecLat,DecLong,1)</f>
        <v>10.886854204965717</v>
      </c>
      <c r="AB967" s="257">
        <f>altaz((J2000_Bas+(4*0.04167)),$O967,$M967,DecLat,DecLong,1)</f>
        <v>34.340281143861823</v>
      </c>
      <c r="AC967" s="257">
        <f>altaz((J2000_Bas+(6*0.04167)),$O967,$M967,DecLat,DecLong,1)</f>
        <v>59.281559475302444</v>
      </c>
      <c r="AD967" s="258">
        <f>1+ transit((J2000_Bas-1),$O967,$M967,DecLat,DecLong)/360 + (GMTOffset/24) + (IF(DST="Y", 1, 0)/24)</f>
        <v>1.1382703164630412</v>
      </c>
      <c r="AE967" s="259">
        <f>DATE(2001,9,21)+(M967/360)*365 - (360*((DecLong/360)- (GMTOffset/24) ))</f>
        <v>37213.060185185182</v>
      </c>
      <c r="AF967" s="260">
        <f>IF(DecLat&gt;0,IF((90 - (DecLat-O967))&gt;90, (90 - (O967-DecLat)), (90 - (DecLat-O967))),IF((90 + (DecLat-O967))&gt;90, (90 + (O967-DecLat)), (90 + (DecLat-O967))))</f>
        <v>89.584444444444443</v>
      </c>
      <c r="AG967" s="257">
        <f>angularseperation(MoonRA,MoonDec,$M967,$O967)</f>
        <v>164.64348301310284</v>
      </c>
      <c r="AH967" s="261">
        <f ca="1">MIN(100,IF($O$5&gt;80,0+30*($AG967/100),IF($O$5&gt;70,0+50*($AG967/100),IF($O$5&gt;60,5+50*($AG967/100),IF($O$5&gt;50,10+60*($AG967/100),IF($O$5&gt;40,15+70*($AG967/100),IF($O$5&gt;30,20+70*($AG967/100),IF($O$5&gt;20,40+55*($AG967/100),(80+(20-$O$5)+30*($AG967/100))))))))))</f>
        <v>100</v>
      </c>
      <c r="AI967" s="262"/>
      <c r="AJ967" s="262"/>
      <c r="AK967" s="262"/>
      <c r="AL967" s="263"/>
      <c r="AM967" s="264"/>
      <c r="AN967" s="263"/>
      <c r="AO967" s="263"/>
      <c r="AP967" s="265"/>
      <c r="AQ967" s="266"/>
      <c r="AR967" s="267"/>
      <c r="AS967" s="263"/>
      <c r="AT967" s="263"/>
      <c r="AU967" s="263"/>
      <c r="AV967" s="264"/>
      <c r="AW967" s="263"/>
      <c r="AX967" s="263"/>
      <c r="AY967" s="263"/>
      <c r="AZ967" s="263"/>
      <c r="BA967" s="263"/>
      <c r="BB967" s="263"/>
      <c r="BC967" s="263"/>
      <c r="BD967" s="264"/>
      <c r="BE967" s="263"/>
      <c r="BF967" s="263"/>
      <c r="BG967" s="263"/>
      <c r="BH967" s="263"/>
      <c r="BI967" s="263"/>
      <c r="BJ967" s="404">
        <f>altaz(J2000_Bas,$O967,$M967,DecLat,DecLong,2)</f>
        <v>44.19168725874146</v>
      </c>
      <c r="BK967" s="378" t="s">
        <v>42</v>
      </c>
      <c r="BL967" s="379">
        <f>IF((2*G967)/60&lt;0.2,0.2,(2*G967)/60)</f>
        <v>0.2</v>
      </c>
      <c r="BM967" s="380">
        <f>MOD((50000+AD967-$B$3+(0/24)),1)</f>
        <v>0.35363724616763648</v>
      </c>
      <c r="BN967" s="381"/>
      <c r="BO967" s="382">
        <v>961</v>
      </c>
    </row>
    <row r="968" spans="1:67" s="24" customFormat="1" ht="15" customHeight="1" x14ac:dyDescent="0.25">
      <c r="A968" s="288" t="s">
        <v>44</v>
      </c>
      <c r="B968" s="241" t="str">
        <f>HYPERLINK(CONCATENATE($AT$3,BK968,$AU$3),$AV$3)</f>
        <v>S</v>
      </c>
      <c r="C968" s="242" t="str">
        <f>HYPERLINK(CONCATENATE($AT$4,BK968,$AU$4,BL968),$AV$4)</f>
        <v>A</v>
      </c>
      <c r="D968" s="243" t="s">
        <v>5335</v>
      </c>
      <c r="E968" s="244" t="s">
        <v>32</v>
      </c>
      <c r="F968" s="269"/>
      <c r="G968" s="273">
        <v>1</v>
      </c>
      <c r="H968" s="271" t="s">
        <v>6500</v>
      </c>
      <c r="I968" s="244" t="s">
        <v>6500</v>
      </c>
      <c r="J968" s="246">
        <v>2</v>
      </c>
      <c r="K968" s="247" t="s">
        <v>4530</v>
      </c>
      <c r="L968" s="248">
        <v>190138</v>
      </c>
      <c r="M968" s="249">
        <f>15*(LEFT(TEXT($L968,"000000"),2)+(MID(TEXT($L968,"000000"),3,2)/60)+(RIGHT(TEXT($L968,"000000"),2)/3600))</f>
        <v>285.4083333333333</v>
      </c>
      <c r="N968" s="286">
        <v>-365330</v>
      </c>
      <c r="O968" s="251">
        <f>IF($N968&gt;0,(LEFT(TEXT($N968,"000000"),2)+(MID(TEXT($N968,"000000"),3,2)/60)+(RIGHT(TEXT($N968,"000000"),2)/3600)),-(MID(TEXT($N968,"000000"),2,2)+(MID(TEXT($N968,"000000"),4,2)/60)+(RIGHT(TEXT($N968,"000000"),2)/3600)))</f>
        <v>-36.891666666666666</v>
      </c>
      <c r="P968" s="252" t="s">
        <v>45</v>
      </c>
      <c r="Q968" s="253"/>
      <c r="R968" s="247" t="s">
        <v>3293</v>
      </c>
      <c r="S968" s="272" t="s">
        <v>2255</v>
      </c>
      <c r="T968" s="273"/>
      <c r="U968" s="274"/>
      <c r="V968" s="256"/>
      <c r="W968" s="244"/>
      <c r="X968" s="244"/>
      <c r="Y968" s="362"/>
      <c r="Z968" s="257">
        <f>altaz(J2000_Bas,$O968,$M968,DecLat,DecLong,1)</f>
        <v>22.106052777528685</v>
      </c>
      <c r="AA968" s="257">
        <f>altaz((J2000_Bas+(2*0.04167)),$O968,$M968,DecLat,DecLong,1)</f>
        <v>16.284771969350963</v>
      </c>
      <c r="AB968" s="257">
        <f>altaz((J2000_Bas+(4*0.04167)),$O968,$M968,DecLat,DecLong,1)</f>
        <v>1.4697719599039791</v>
      </c>
      <c r="AC968" s="257">
        <f>altaz((J2000_Bas+(6*0.04167)),$O968,$M968,DecLat,DecLong,1)</f>
        <v>-18.622068843056912</v>
      </c>
      <c r="AD968" s="258">
        <f>1+ transit((J2000_Bas-1),$O968,$M968,DecLat,DecLong)/360 + (GMTOffset/24) + (IF(DST="Y", 1, 0)/24)</f>
        <v>1.7857008072755411</v>
      </c>
      <c r="AE968" s="259">
        <f>DATE(2001,9,21)+(M968/360)*365 - (360*((DecLong/360)- (GMTOffset/24) ))</f>
        <v>37449.372337962966</v>
      </c>
      <c r="AF968" s="260">
        <f>IF(DecLat&gt;0,IF((90 - (DecLat-O968))&gt;90, (90 - (O968-DecLat)), (90 - (DecLat-O968))),IF((90 + (DecLat-O968))&gt;90, (90 + (O968-DecLat)), (90 + (DecLat-O968))))</f>
        <v>22.108333333333334</v>
      </c>
      <c r="AG968" s="257">
        <f>angularseperation(MoonRA,MoonDec,$M968,$O968)</f>
        <v>31.986351500150043</v>
      </c>
      <c r="AH968" s="261">
        <f ca="1">MIN(100,IF($O$5&gt;80,0+30*($AG968/100),IF($O$5&gt;70,0+50*($AG968/100),IF($O$5&gt;60,5+50*($AG968/100),IF($O$5&gt;50,10+60*($AG968/100),IF($O$5&gt;40,15+70*($AG968/100),IF($O$5&gt;30,20+70*($AG968/100),IF($O$5&gt;20,40+55*($AG968/100),(80+(20-$O$5)+30*($AG968/100))))))))))</f>
        <v>92.866965794195437</v>
      </c>
      <c r="AI968" s="262"/>
      <c r="AJ968" s="262"/>
      <c r="AK968" s="262"/>
      <c r="AL968" s="263"/>
      <c r="AM968" s="264"/>
      <c r="AN968" s="263"/>
      <c r="AO968" s="263"/>
      <c r="AP968" s="265"/>
      <c r="AQ968" s="266"/>
      <c r="AR968" s="267"/>
      <c r="AS968" s="263"/>
      <c r="AT968" s="263"/>
      <c r="AU968" s="263"/>
      <c r="AV968" s="264"/>
      <c r="AW968" s="263"/>
      <c r="AX968" s="263"/>
      <c r="AY968" s="263"/>
      <c r="AZ968" s="263"/>
      <c r="BA968" s="263"/>
      <c r="BB968" s="263"/>
      <c r="BC968" s="263"/>
      <c r="BD968" s="264"/>
      <c r="BE968" s="263"/>
      <c r="BF968" s="263"/>
      <c r="BG968" s="263"/>
      <c r="BH968" s="263"/>
      <c r="BI968" s="263"/>
      <c r="BJ968" s="404">
        <f>altaz(J2000_Bas,$O968,$M968,DecLat,DecLong,2)</f>
        <v>180.51300909069187</v>
      </c>
      <c r="BK968" s="378" t="s">
        <v>44</v>
      </c>
      <c r="BL968" s="379">
        <f>IF((2*G968)/60&lt;0.2,0.2,(2*G968)/60)</f>
        <v>0.2</v>
      </c>
      <c r="BM968" s="380">
        <f>MOD((50000+AD968-$B$3+(0/24)),1)</f>
        <v>1.0677369791665114E-3</v>
      </c>
      <c r="BN968" s="381"/>
      <c r="BO968" s="382">
        <v>962</v>
      </c>
    </row>
    <row r="969" spans="1:67" s="24" customFormat="1" ht="15" customHeight="1" x14ac:dyDescent="0.25">
      <c r="A969" s="288" t="s">
        <v>46</v>
      </c>
      <c r="B969" s="241" t="str">
        <f>HYPERLINK(CONCATENATE($AT$3,BK969,$AU$3),$AV$3)</f>
        <v>S</v>
      </c>
      <c r="C969" s="242" t="str">
        <f>HYPERLINK(CONCATENATE($AT$4,BK969,$AU$4,BL969),$AV$4)</f>
        <v>A</v>
      </c>
      <c r="D969" s="243" t="s">
        <v>5335</v>
      </c>
      <c r="E969" s="244" t="s">
        <v>32</v>
      </c>
      <c r="F969" s="269"/>
      <c r="G969" s="273">
        <v>2</v>
      </c>
      <c r="H969" s="271" t="s">
        <v>6500</v>
      </c>
      <c r="I969" s="244" t="s">
        <v>6500</v>
      </c>
      <c r="J969" s="246">
        <v>2</v>
      </c>
      <c r="K969" s="277" t="s">
        <v>4528</v>
      </c>
      <c r="L969" s="248">
        <v>64058</v>
      </c>
      <c r="M969" s="249">
        <f>15*(LEFT(TEXT($L969,"000000"),2)+(MID(TEXT($L969,"000000"),3,2)/60)+(RIGHT(TEXT($L969,"000000"),2)/3600))</f>
        <v>100.24166666666667</v>
      </c>
      <c r="N969" s="250">
        <v>95342</v>
      </c>
      <c r="O969" s="251">
        <f>IF($N969&gt;0,(LEFT(TEXT($N969,"000000"),2)+(MID(TEXT($N969,"000000"),3,2)/60)+(RIGHT(TEXT($N969,"000000"),2)/3600)),-(MID(TEXT($N969,"000000"),2,2)+(MID(TEXT($N969,"000000"),4,2)/60)+(RIGHT(TEXT($N969,"000000"),2)/3600)))</f>
        <v>9.8949999999999996</v>
      </c>
      <c r="P969" s="252" t="s">
        <v>47</v>
      </c>
      <c r="Q969" s="253"/>
      <c r="R969" s="277" t="s">
        <v>3293</v>
      </c>
      <c r="S969" s="272" t="s">
        <v>1718</v>
      </c>
      <c r="T969" s="273"/>
      <c r="U969" s="274"/>
      <c r="V969" s="256"/>
      <c r="W969" s="244"/>
      <c r="X969" s="244"/>
      <c r="Y969" s="362"/>
      <c r="Z969" s="257">
        <f>altaz(J2000_Bas,$O969,$M969,DecLat,DecLong,1)</f>
        <v>-48.733138667852224</v>
      </c>
      <c r="AA969" s="257">
        <f>altaz((J2000_Bas+(2*0.04167)),$O969,$M969,DecLat,DecLong,1)</f>
        <v>-36.582332510420642</v>
      </c>
      <c r="AB969" s="257">
        <f>altaz((J2000_Bas+(4*0.04167)),$O969,$M969,DecLat,DecLong,1)</f>
        <v>-14.826380092881417</v>
      </c>
      <c r="AC969" s="257">
        <f>altaz((J2000_Bas+(6*0.04167)),$O969,$M969,DecLat,DecLong,1)</f>
        <v>10.194203605822137</v>
      </c>
      <c r="AD969" s="258">
        <f>1+ transit((J2000_Bas-1),$O969,$M969,DecLat,DecLong)/360 + (GMTOffset/24) + (IF(DST="Y", 1, 0)/24)</f>
        <v>1.2713490068588749</v>
      </c>
      <c r="AE969" s="259">
        <f>DATE(2001,9,21)+(M969/360)*365 - (360*((DecLong/360)- (GMTOffset/24) ))</f>
        <v>37261.633912037039</v>
      </c>
      <c r="AF969" s="260">
        <f>IF(DecLat&gt;0,IF((90 - (DecLat-O969))&gt;90, (90 - (O969-DecLat)), (90 - (DecLat-O969))),IF((90 + (DecLat-O969))&gt;90, (90 + (O969-DecLat)), (90 + (DecLat-O969))))</f>
        <v>68.894999999999996</v>
      </c>
      <c r="AG969" s="257">
        <f>angularseperation(MoonRA,MoonDec,$M969,$O969)</f>
        <v>146.10477332273257</v>
      </c>
      <c r="AH969" s="261">
        <f ca="1">MIN(100,IF($O$5&gt;80,0+30*($AG969/100),IF($O$5&gt;70,0+50*($AG969/100),IF($O$5&gt;60,5+50*($AG969/100),IF($O$5&gt;50,10+60*($AG969/100),IF($O$5&gt;40,15+70*($AG969/100),IF($O$5&gt;30,20+70*($AG969/100),IF($O$5&gt;20,40+55*($AG969/100),(80+(20-$O$5)+30*($AG969/100))))))))))</f>
        <v>100</v>
      </c>
      <c r="AI969" s="262"/>
      <c r="AJ969" s="262"/>
      <c r="AK969" s="262"/>
      <c r="AL969" s="263"/>
      <c r="AM969" s="264"/>
      <c r="AN969" s="263"/>
      <c r="AO969" s="263"/>
      <c r="AP969" s="265"/>
      <c r="AQ969" s="266"/>
      <c r="AR969" s="267"/>
      <c r="AS969" s="263"/>
      <c r="AT969" s="263"/>
      <c r="AU969" s="263"/>
      <c r="AV969" s="264"/>
      <c r="AW969" s="263"/>
      <c r="AX969" s="263"/>
      <c r="AY969" s="263"/>
      <c r="AZ969" s="263"/>
      <c r="BA969" s="263"/>
      <c r="BB969" s="263"/>
      <c r="BC969" s="263"/>
      <c r="BD969" s="264"/>
      <c r="BE969" s="263"/>
      <c r="BF969" s="263"/>
      <c r="BG969" s="263"/>
      <c r="BH969" s="263"/>
      <c r="BI969" s="263"/>
      <c r="BJ969" s="404">
        <f>altaz(J2000_Bas,$O969,$M969,DecLat,DecLong,2)</f>
        <v>8.6225455637329951</v>
      </c>
      <c r="BK969" s="378" t="s">
        <v>46</v>
      </c>
      <c r="BL969" s="379">
        <f>IF((2*G969)/60&lt;0.2,0.2,(2*G969)/60)</f>
        <v>0.2</v>
      </c>
      <c r="BM969" s="380">
        <f>MOD((50000+AD969-$B$3+(0/24)),1)</f>
        <v>0.48671593656035839</v>
      </c>
      <c r="BN969" s="381"/>
      <c r="BO969" s="382">
        <v>963</v>
      </c>
    </row>
    <row r="970" spans="1:67" s="24" customFormat="1" ht="15" customHeight="1" x14ac:dyDescent="0.25">
      <c r="A970" s="288" t="s">
        <v>48</v>
      </c>
      <c r="B970" s="241" t="str">
        <f>HYPERLINK(CONCATENATE($AT$3,BK970,$AU$3),$AV$3)</f>
        <v>S</v>
      </c>
      <c r="C970" s="242" t="str">
        <f>HYPERLINK(CONCATENATE($AT$4,BK970,$AU$4,BL970),$AV$4)</f>
        <v>A</v>
      </c>
      <c r="D970" s="243" t="s">
        <v>5335</v>
      </c>
      <c r="E970" s="244" t="s">
        <v>32</v>
      </c>
      <c r="F970" s="269"/>
      <c r="G970" s="273">
        <v>2</v>
      </c>
      <c r="H970" s="271" t="s">
        <v>6500</v>
      </c>
      <c r="I970" s="244" t="s">
        <v>6500</v>
      </c>
      <c r="J970" s="246">
        <v>2</v>
      </c>
      <c r="K970" s="247" t="s">
        <v>4531</v>
      </c>
      <c r="L970" s="248">
        <v>1128</v>
      </c>
      <c r="M970" s="249">
        <f>15*(LEFT(TEXT($L970,"000000"),2)+(MID(TEXT($L970,"000000"),3,2)/60)+(RIGHT(TEXT($L970,"000000"),2)/3600))</f>
        <v>2.8666666666666663</v>
      </c>
      <c r="N970" s="286">
        <v>584928</v>
      </c>
      <c r="O970" s="251">
        <f>IF($N970&gt;0,(LEFT(TEXT($N970,"000000"),2)+(MID(TEXT($N970,"000000"),3,2)/60)+(RIGHT(TEXT($N970,"000000"),2)/3600)),-(MID(TEXT($N970,"000000"),2,2)+(MID(TEXT($N970,"000000"),4,2)/60)+(RIGHT(TEXT($N970,"000000"),2)/3600)))</f>
        <v>58.824444444444445</v>
      </c>
      <c r="P970" s="252" t="s">
        <v>49</v>
      </c>
      <c r="Q970" s="253"/>
      <c r="R970" s="247" t="s">
        <v>3293</v>
      </c>
      <c r="S970" s="272" t="s">
        <v>4535</v>
      </c>
      <c r="T970" s="273"/>
      <c r="U970" s="274"/>
      <c r="V970" s="256"/>
      <c r="W970" s="244"/>
      <c r="X970" s="244"/>
      <c r="Y970" s="362"/>
      <c r="Z970" s="257">
        <f>altaz(J2000_Bas,$O970,$M970,DecLat,DecLong,1)</f>
        <v>32.785847351536049</v>
      </c>
      <c r="AA970" s="257">
        <f>altaz((J2000_Bas+(2*0.04167)),$O970,$M970,DecLat,DecLong,1)</f>
        <v>48.118226864803709</v>
      </c>
      <c r="AB970" s="257">
        <f>altaz((J2000_Bas+(4*0.04167)),$O970,$M970,DecLat,DecLong,1)</f>
        <v>59.960216898935187</v>
      </c>
      <c r="AC970" s="257">
        <f>altaz((J2000_Bas+(6*0.04167)),$O970,$M970,DecLat,DecLong,1)</f>
        <v>60.72944093800951</v>
      </c>
      <c r="AD970" s="258">
        <f>1+ transit((J2000_Bas-1),$O970,$M970,DecLat,DecLong)/360 + (GMTOffset/24) + (IF(DST="Y", 1, 0)/24)</f>
        <v>1.0008629227963748</v>
      </c>
      <c r="AE970" s="259">
        <f>DATE(2001,9,21)+(M970/360)*365 - (360*((DecLong/360)- (GMTOffset/24) ))</f>
        <v>37162.906481481485</v>
      </c>
      <c r="AF970" s="260">
        <f>IF(DecLat&gt;0,IF((90 - (DecLat-O970))&gt;90, (90 - (O970-DecLat)), (90 - (DecLat-O970))),IF((90 + (DecLat-O970))&gt;90, (90 + (O970-DecLat)), (90 + (DecLat-O970))))</f>
        <v>62.175555555555555</v>
      </c>
      <c r="AG970" s="257">
        <f>angularseperation(MoonRA,MoonDec,$M970,$O970)</f>
        <v>125.04693423297522</v>
      </c>
      <c r="AH970" s="261">
        <f ca="1">MIN(100,IF($O$5&gt;80,0+30*($AG970/100),IF($O$5&gt;70,0+50*($AG970/100),IF($O$5&gt;60,5+50*($AG970/100),IF($O$5&gt;50,10+60*($AG970/100),IF($O$5&gt;40,15+70*($AG970/100),IF($O$5&gt;30,20+70*($AG970/100),IF($O$5&gt;20,40+55*($AG970/100),(80+(20-$O$5)+30*($AG970/100))))))))))</f>
        <v>100</v>
      </c>
      <c r="AI970" s="262"/>
      <c r="AJ970" s="262"/>
      <c r="AK970" s="262"/>
      <c r="AL970" s="263"/>
      <c r="AM970" s="264"/>
      <c r="AN970" s="263"/>
      <c r="AO970" s="263"/>
      <c r="AP970" s="265"/>
      <c r="AQ970" s="266"/>
      <c r="AR970" s="267"/>
      <c r="AS970" s="263"/>
      <c r="AT970" s="263"/>
      <c r="AU970" s="263"/>
      <c r="AV970" s="264"/>
      <c r="AW970" s="263"/>
      <c r="AX970" s="263"/>
      <c r="AY970" s="263"/>
      <c r="AZ970" s="263"/>
      <c r="BA970" s="263"/>
      <c r="BB970" s="263"/>
      <c r="BC970" s="263"/>
      <c r="BD970" s="264"/>
      <c r="BE970" s="263"/>
      <c r="BF970" s="263"/>
      <c r="BG970" s="263"/>
      <c r="BH970" s="263"/>
      <c r="BI970" s="263"/>
      <c r="BJ970" s="404">
        <f>altaz(J2000_Bas,$O970,$M970,DecLat,DecLong,2)</f>
        <v>36.844039047297848</v>
      </c>
      <c r="BK970" s="378" t="s">
        <v>48</v>
      </c>
      <c r="BL970" s="379">
        <f>IF((2*G970)/60&lt;0.2,0.2,(2*G970)/60)</f>
        <v>0.2</v>
      </c>
      <c r="BM970" s="380">
        <f>MOD((50000+AD970-$B$3+(0/24)),1)</f>
        <v>0.21622985249996418</v>
      </c>
      <c r="BN970" s="381"/>
      <c r="BO970" s="382">
        <v>964</v>
      </c>
    </row>
    <row r="971" spans="1:67" s="24" customFormat="1" ht="15" customHeight="1" x14ac:dyDescent="0.25">
      <c r="A971" s="288" t="s">
        <v>50</v>
      </c>
      <c r="B971" s="241" t="str">
        <f>HYPERLINK(CONCATENATE($AT$3,BK971,$AU$3),$AV$3)</f>
        <v>S</v>
      </c>
      <c r="C971" s="242" t="str">
        <f>HYPERLINK(CONCATENATE($AT$4,BK971,$AU$4,BL971),$AV$4)</f>
        <v>A</v>
      </c>
      <c r="D971" s="243" t="s">
        <v>5335</v>
      </c>
      <c r="E971" s="244" t="s">
        <v>32</v>
      </c>
      <c r="F971" s="269"/>
      <c r="G971" s="273">
        <v>2</v>
      </c>
      <c r="H971" s="271" t="s">
        <v>6500</v>
      </c>
      <c r="I971" s="244" t="s">
        <v>6500</v>
      </c>
      <c r="J971" s="246">
        <v>2</v>
      </c>
      <c r="K971" s="247" t="s">
        <v>4532</v>
      </c>
      <c r="L971" s="248">
        <v>1128</v>
      </c>
      <c r="M971" s="249">
        <f>15*(LEFT(TEXT($L971,"000000"),2)+(MID(TEXT($L971,"000000"),3,2)/60)+(RIGHT(TEXT($L971,"000000"),2)/3600))</f>
        <v>2.8666666666666663</v>
      </c>
      <c r="N971" s="286">
        <v>585004</v>
      </c>
      <c r="O971" s="251">
        <f>IF($N971&gt;0,(LEFT(TEXT($N971,"000000"),2)+(MID(TEXT($N971,"000000"),3,2)/60)+(RIGHT(TEXT($N971,"000000"),2)/3600)),-(MID(TEXT($N971,"000000"),2,2)+(MID(TEXT($N971,"000000"),4,2)/60)+(RIGHT(TEXT($N971,"000000"),2)/3600)))</f>
        <v>58.834444444444443</v>
      </c>
      <c r="P971" s="252" t="s">
        <v>49</v>
      </c>
      <c r="Q971" s="253"/>
      <c r="R971" s="247" t="s">
        <v>3293</v>
      </c>
      <c r="S971" s="272" t="s">
        <v>4535</v>
      </c>
      <c r="T971" s="273"/>
      <c r="U971" s="274"/>
      <c r="V971" s="256"/>
      <c r="W971" s="244"/>
      <c r="X971" s="244"/>
      <c r="Y971" s="362"/>
      <c r="Z971" s="257">
        <f>altaz(J2000_Bas,$O971,$M971,DecLat,DecLong,1)</f>
        <v>32.78703563856218</v>
      </c>
      <c r="AA971" s="257">
        <f>altaz((J2000_Bas+(2*0.04167)),$O971,$M971,DecLat,DecLong,1)</f>
        <v>48.114696803043145</v>
      </c>
      <c r="AB971" s="257">
        <f>altaz((J2000_Bas+(4*0.04167)),$O971,$M971,DecLat,DecLong,1)</f>
        <v>59.951509994003466</v>
      </c>
      <c r="AC971" s="257">
        <f>altaz((J2000_Bas+(6*0.04167)),$O971,$M971,DecLat,DecLong,1)</f>
        <v>60.720301841067446</v>
      </c>
      <c r="AD971" s="258">
        <f>1+ transit((J2000_Bas-1),$O971,$M971,DecLat,DecLong)/360 + (GMTOffset/24) + (IF(DST="Y", 1, 0)/24)</f>
        <v>1.0008629227963748</v>
      </c>
      <c r="AE971" s="259">
        <f>DATE(2001,9,21)+(M971/360)*365 - (360*((DecLong/360)- (GMTOffset/24) ))</f>
        <v>37162.906481481485</v>
      </c>
      <c r="AF971" s="260">
        <f>IF(DecLat&gt;0,IF((90 - (DecLat-O971))&gt;90, (90 - (O971-DecLat)), (90 - (DecLat-O971))),IF((90 + (DecLat-O971))&gt;90, (90 + (O971-DecLat)), (90 + (DecLat-O971))))</f>
        <v>62.165555555555557</v>
      </c>
      <c r="AG971" s="257">
        <f>angularseperation(MoonRA,MoonDec,$M971,$O971)</f>
        <v>125.04608370407193</v>
      </c>
      <c r="AH971" s="261">
        <f ca="1">MIN(100,IF($O$5&gt;80,0+30*($AG971/100),IF($O$5&gt;70,0+50*($AG971/100),IF($O$5&gt;60,5+50*($AG971/100),IF($O$5&gt;50,10+60*($AG971/100),IF($O$5&gt;40,15+70*($AG971/100),IF($O$5&gt;30,20+70*($AG971/100),IF($O$5&gt;20,40+55*($AG971/100),(80+(20-$O$5)+30*($AG971/100))))))))))</f>
        <v>100</v>
      </c>
      <c r="AI971" s="262"/>
      <c r="AJ971" s="262"/>
      <c r="AK971" s="262"/>
      <c r="AL971" s="263"/>
      <c r="AM971" s="264"/>
      <c r="AN971" s="263"/>
      <c r="AO971" s="263"/>
      <c r="AP971" s="265"/>
      <c r="AQ971" s="266"/>
      <c r="AR971" s="267"/>
      <c r="AS971" s="263"/>
      <c r="AT971" s="263"/>
      <c r="AU971" s="263"/>
      <c r="AV971" s="264"/>
      <c r="AW971" s="263"/>
      <c r="AX971" s="263"/>
      <c r="AY971" s="263"/>
      <c r="AZ971" s="263"/>
      <c r="BA971" s="263"/>
      <c r="BB971" s="263"/>
      <c r="BC971" s="263"/>
      <c r="BD971" s="264"/>
      <c r="BE971" s="263"/>
      <c r="BF971" s="263"/>
      <c r="BG971" s="263"/>
      <c r="BH971" s="263"/>
      <c r="BI971" s="263"/>
      <c r="BJ971" s="404">
        <f>altaz(J2000_Bas,$O971,$M971,DecLat,DecLong,2)</f>
        <v>36.832228402039284</v>
      </c>
      <c r="BK971" s="378" t="s">
        <v>50</v>
      </c>
      <c r="BL971" s="379">
        <f>IF((2*G971)/60&lt;0.2,0.2,(2*G971)/60)</f>
        <v>0.2</v>
      </c>
      <c r="BM971" s="380">
        <f>MOD((50000+AD971-$B$3+(0/24)),1)</f>
        <v>0.21622985249996418</v>
      </c>
      <c r="BN971" s="381"/>
      <c r="BO971" s="382">
        <v>965</v>
      </c>
    </row>
    <row r="972" spans="1:67" s="24" customFormat="1" ht="15" customHeight="1" x14ac:dyDescent="0.25">
      <c r="A972" s="288" t="s">
        <v>51</v>
      </c>
      <c r="B972" s="241" t="str">
        <f>HYPERLINK(CONCATENATE($AT$3,BK972,$AU$3),$AV$3)</f>
        <v>S</v>
      </c>
      <c r="C972" s="242" t="str">
        <f>HYPERLINK(CONCATENATE($AT$4,BK972,$AU$4,BL972),$AV$4)</f>
        <v>A</v>
      </c>
      <c r="D972" s="243" t="s">
        <v>5335</v>
      </c>
      <c r="E972" s="244" t="s">
        <v>32</v>
      </c>
      <c r="F972" s="269"/>
      <c r="G972" s="273">
        <v>3</v>
      </c>
      <c r="H972" s="271" t="s">
        <v>6500</v>
      </c>
      <c r="I972" s="244" t="s">
        <v>6500</v>
      </c>
      <c r="J972" s="246">
        <v>2</v>
      </c>
      <c r="K972" s="247" t="s">
        <v>4529</v>
      </c>
      <c r="L972" s="248">
        <v>225618</v>
      </c>
      <c r="M972" s="249">
        <f>15*(LEFT(TEXT($L972,"000000"),2)+(MID(TEXT($L972,"000000"),3,2)/60)+(RIGHT(TEXT($L972,"000000"),2)/3600))</f>
        <v>344.07499999999999</v>
      </c>
      <c r="N972" s="286">
        <v>620147</v>
      </c>
      <c r="O972" s="251">
        <f>IF($N972&gt;0,(LEFT(TEXT($N972,"000000"),2)+(MID(TEXT($N972,"000000"),3,2)/60)+(RIGHT(TEXT($N972,"000000"),2)/3600)),-(MID(TEXT($N972,"000000"),2,2)+(MID(TEXT($N972,"000000"),4,2)/60)+(RIGHT(TEXT($N972,"000000"),2)/3600)))</f>
        <v>62.029722222222219</v>
      </c>
      <c r="P972" s="252" t="s">
        <v>52</v>
      </c>
      <c r="Q972" s="253"/>
      <c r="R972" s="247" t="s">
        <v>3293</v>
      </c>
      <c r="S972" s="272" t="s">
        <v>4536</v>
      </c>
      <c r="T972" s="273"/>
      <c r="U972" s="274"/>
      <c r="V972" s="256"/>
      <c r="W972" s="244"/>
      <c r="X972" s="244"/>
      <c r="Y972" s="362"/>
      <c r="Z972" s="257">
        <f>altaz(J2000_Bas,$O972,$M972,DecLat,DecLong,1)</f>
        <v>41.873321860591432</v>
      </c>
      <c r="AA972" s="257">
        <f>altaz((J2000_Bas+(2*0.04167)),$O972,$M972,DecLat,DecLong,1)</f>
        <v>54.084436522160132</v>
      </c>
      <c r="AB972" s="257">
        <f>altaz((J2000_Bas+(4*0.04167)),$O972,$M972,DecLat,DecLong,1)</f>
        <v>58.940373998145361</v>
      </c>
      <c r="AC972" s="257">
        <f>altaz((J2000_Bas+(6*0.04167)),$O972,$M972,DecLat,DecLong,1)</f>
        <v>52.668119967390702</v>
      </c>
      <c r="AD972" s="258">
        <f>1+ transit((J2000_Bas-1),$O972,$M972,DecLat,DecLong)/360 + (GMTOffset/24) + (IF(DST="Y", 1, 0)/24)</f>
        <v>1.9486637539422078</v>
      </c>
      <c r="AE972" s="259">
        <f>DATE(2001,9,21)+(M972/360)*365 - (360*((DecLong/360)- (GMTOffset/24) ))</f>
        <v>37508.853819444441</v>
      </c>
      <c r="AF972" s="260">
        <f>IF(DecLat&gt;0,IF((90 - (DecLat-O972))&gt;90, (90 - (O972-DecLat)), (90 - (DecLat-O972))),IF((90 + (DecLat-O972))&gt;90, (90 + (O972-DecLat)), (90 + (DecLat-O972))))</f>
        <v>58.970277777777781</v>
      </c>
      <c r="AG972" s="257">
        <f>angularseperation(MoonRA,MoonDec,$M972,$O972)</f>
        <v>115.93157497517994</v>
      </c>
      <c r="AH972" s="261">
        <f ca="1">MIN(100,IF($O$5&gt;80,0+30*($AG972/100),IF($O$5&gt;70,0+50*($AG972/100),IF($O$5&gt;60,5+50*($AG972/100),IF($O$5&gt;50,10+60*($AG972/100),IF($O$5&gt;40,15+70*($AG972/100),IF($O$5&gt;30,20+70*($AG972/100),IF($O$5&gt;20,40+55*($AG972/100),(80+(20-$O$5)+30*($AG972/100))))))))))</f>
        <v>100</v>
      </c>
      <c r="AI972" s="262"/>
      <c r="AJ972" s="262"/>
      <c r="AK972" s="262"/>
      <c r="AL972" s="263"/>
      <c r="AM972" s="264"/>
      <c r="AN972" s="263"/>
      <c r="AO972" s="263"/>
      <c r="AP972" s="265"/>
      <c r="AQ972" s="266"/>
      <c r="AR972" s="267"/>
      <c r="AS972" s="263"/>
      <c r="AT972" s="263"/>
      <c r="AU972" s="263"/>
      <c r="AV972" s="264"/>
      <c r="AW972" s="263"/>
      <c r="AX972" s="263"/>
      <c r="AY972" s="263"/>
      <c r="AZ972" s="263"/>
      <c r="BA972" s="263"/>
      <c r="BB972" s="263"/>
      <c r="BC972" s="263"/>
      <c r="BD972" s="264"/>
      <c r="BE972" s="263"/>
      <c r="BF972" s="263"/>
      <c r="BG972" s="263"/>
      <c r="BH972" s="263"/>
      <c r="BI972" s="263"/>
      <c r="BJ972" s="404">
        <f>altaz(J2000_Bas,$O972,$M972,DecLat,DecLong,2)</f>
        <v>32.315373356095051</v>
      </c>
      <c r="BK972" s="378" t="s">
        <v>51</v>
      </c>
      <c r="BL972" s="379">
        <f>IF((2*G972)/60&lt;0.2,0.2,(2*G972)/60)</f>
        <v>0.2</v>
      </c>
      <c r="BM972" s="380">
        <f>MOD((50000+AD972-$B$3+(0/24)),1)</f>
        <v>0.16403068364888895</v>
      </c>
      <c r="BN972" s="381"/>
      <c r="BO972" s="382">
        <v>966</v>
      </c>
    </row>
    <row r="973" spans="1:67" s="24" customFormat="1" ht="15" customHeight="1" x14ac:dyDescent="0.25">
      <c r="A973" s="288" t="s">
        <v>53</v>
      </c>
      <c r="B973" s="241" t="str">
        <f>HYPERLINK(CONCATENATE($AT$3,BK973,$AU$3),$AV$3)</f>
        <v>S</v>
      </c>
      <c r="C973" s="242" t="str">
        <f>HYPERLINK(CONCATENATE($AT$4,BK973,$AU$4,BL973),$AV$4)</f>
        <v>A</v>
      </c>
      <c r="D973" s="243" t="s">
        <v>5335</v>
      </c>
      <c r="E973" s="244" t="s">
        <v>32</v>
      </c>
      <c r="F973" s="269"/>
      <c r="G973" s="273">
        <v>2</v>
      </c>
      <c r="H973" s="271">
        <v>1100</v>
      </c>
      <c r="I973" s="308">
        <v>0.6</v>
      </c>
      <c r="J973" s="246">
        <v>2</v>
      </c>
      <c r="K973" s="247" t="s">
        <v>4652</v>
      </c>
      <c r="L973" s="248">
        <v>204554</v>
      </c>
      <c r="M973" s="249">
        <f>15*(LEFT(TEXT($L973,"000000"),2)+(MID(TEXT($L973,"000000"),3,2)/60)+(RIGHT(TEXT($L973,"000000"),2)/3600))</f>
        <v>311.47500000000002</v>
      </c>
      <c r="N973" s="250">
        <v>674557</v>
      </c>
      <c r="O973" s="251">
        <f>IF($N973&gt;0,(LEFT(TEXT($N973,"000000"),2)+(MID(TEXT($N973,"000000"),3,2)/60)+(RIGHT(TEXT($N973,"000000"),2)/3600)),-(MID(TEXT($N973,"000000"),2,2)+(MID(TEXT($N973,"000000"),4,2)/60)+(RIGHT(TEXT($N973,"000000"),2)/3600)))</f>
        <v>67.765833333333333</v>
      </c>
      <c r="P973" s="252" t="s">
        <v>52</v>
      </c>
      <c r="Q973" s="253" t="s">
        <v>4533</v>
      </c>
      <c r="R973" s="247" t="s">
        <v>973</v>
      </c>
      <c r="S973" s="272" t="s">
        <v>3293</v>
      </c>
      <c r="T973" s="273"/>
      <c r="U973" s="274"/>
      <c r="V973" s="256"/>
      <c r="W973" s="244"/>
      <c r="X973" s="244"/>
      <c r="Y973" s="362"/>
      <c r="Z973" s="257">
        <f>altaz(J2000_Bas,$O973,$M973,DecLat,DecLong,1)</f>
        <v>50.314363513688853</v>
      </c>
      <c r="AA973" s="257">
        <f>altaz((J2000_Bas+(2*0.04167)),$O973,$M973,DecLat,DecLong,1)</f>
        <v>53.133745393767541</v>
      </c>
      <c r="AB973" s="257">
        <f>altaz((J2000_Bas+(4*0.04167)),$O973,$M973,DecLat,DecLong,1)</f>
        <v>48.022896452452734</v>
      </c>
      <c r="AC973" s="257">
        <f>altaz((J2000_Bas+(6*0.04167)),$O973,$M973,DecLat,DecLong,1)</f>
        <v>37.947434133300405</v>
      </c>
      <c r="AD973" s="258">
        <f>1+ transit((J2000_Bas-1),$O973,$M973,DecLat,DecLong)/360 + (GMTOffset/24) + (IF(DST="Y", 1, 0)/24)</f>
        <v>1.8581082074422082</v>
      </c>
      <c r="AE973" s="259">
        <f>DATE(2001,9,21)+(M973/360)*365 - (360*((DecLong/360)- (GMTOffset/24) ))</f>
        <v>37475.801041666666</v>
      </c>
      <c r="AF973" s="260">
        <f>IF(DecLat&gt;0,IF((90 - (DecLat-O973))&gt;90, (90 - (O973-DecLat)), (90 - (DecLat-O973))),IF((90 + (DecLat-O973))&gt;90, (90 + (O973-DecLat)), (90 + (DecLat-O973))))</f>
        <v>53.234166666666667</v>
      </c>
      <c r="AG973" s="257">
        <f>angularseperation(MoonRA,MoonDec,$M973,$O973)</f>
        <v>105.33674167155296</v>
      </c>
      <c r="AH973" s="261">
        <f ca="1">MIN(100,IF($O$5&gt;80,0+30*($AG973/100),IF($O$5&gt;70,0+50*($AG973/100),IF($O$5&gt;60,5+50*($AG973/100),IF($O$5&gt;50,10+60*($AG973/100),IF($O$5&gt;40,15+70*($AG973/100),IF($O$5&gt;30,20+70*($AG973/100),IF($O$5&gt;20,40+55*($AG973/100),(80+(20-$O$5)+30*($AG973/100))))))))))</f>
        <v>100</v>
      </c>
      <c r="AI973" s="262"/>
      <c r="AJ973" s="262"/>
      <c r="AK973" s="262"/>
      <c r="AL973" s="263"/>
      <c r="AM973" s="264"/>
      <c r="AN973" s="263"/>
      <c r="AO973" s="263"/>
      <c r="AP973" s="265"/>
      <c r="AQ973" s="266"/>
      <c r="AR973" s="267"/>
      <c r="AS973" s="263"/>
      <c r="AT973" s="263"/>
      <c r="AU973" s="263"/>
      <c r="AV973" s="264"/>
      <c r="AW973" s="263"/>
      <c r="AX973" s="263"/>
      <c r="AY973" s="263"/>
      <c r="AZ973" s="263"/>
      <c r="BA973" s="263"/>
      <c r="BB973" s="263"/>
      <c r="BC973" s="263"/>
      <c r="BD973" s="264"/>
      <c r="BE973" s="263"/>
      <c r="BF973" s="263"/>
      <c r="BG973" s="263"/>
      <c r="BH973" s="263"/>
      <c r="BI973" s="263"/>
      <c r="BJ973" s="404">
        <f>altaz(J2000_Bas,$O973,$M973,DecLat,DecLong,2)</f>
        <v>14.764400025225831</v>
      </c>
      <c r="BK973" s="378" t="s">
        <v>53</v>
      </c>
      <c r="BL973" s="379">
        <f>IF((2*G973)/60&lt;0.2,0.2,(2*G973)/60)</f>
        <v>0.2</v>
      </c>
      <c r="BM973" s="380">
        <f>MOD((50000+AD973-$B$3+(0/24)),1)</f>
        <v>7.3475137149216607E-2</v>
      </c>
      <c r="BN973" s="381"/>
      <c r="BO973" s="382">
        <v>967</v>
      </c>
    </row>
    <row r="974" spans="1:67" s="24" customFormat="1" ht="15" customHeight="1" x14ac:dyDescent="0.25">
      <c r="A974" s="288" t="s">
        <v>54</v>
      </c>
      <c r="B974" s="241" t="str">
        <f>HYPERLINK(CONCATENATE($AT$3,BK974,$AU$3),$AV$3)</f>
        <v>S</v>
      </c>
      <c r="C974" s="242" t="str">
        <f>HYPERLINK(CONCATENATE($AT$4,BK974,$AU$4,BL974),$AV$4)</f>
        <v>A</v>
      </c>
      <c r="D974" s="243" t="s">
        <v>5335</v>
      </c>
      <c r="E974" s="244" t="s">
        <v>32</v>
      </c>
      <c r="F974" s="269"/>
      <c r="G974" s="273">
        <v>3</v>
      </c>
      <c r="H974" s="271">
        <v>1500</v>
      </c>
      <c r="I974" s="245">
        <v>1.4</v>
      </c>
      <c r="J974" s="246">
        <v>2</v>
      </c>
      <c r="K974" s="247" t="s">
        <v>4534</v>
      </c>
      <c r="L974" s="248">
        <v>53542</v>
      </c>
      <c r="M974" s="249">
        <f>15*(LEFT(TEXT($L974,"000000"),2)+(MID(TEXT($L974,"000000"),3,2)/60)+(RIGHT(TEXT($L974,"000000"),2)/3600))</f>
        <v>83.924999999999997</v>
      </c>
      <c r="N974" s="250">
        <v>-62303</v>
      </c>
      <c r="O974" s="251">
        <f>IF($N974&gt;0,(LEFT(TEXT($N974,"000000"),2)+(MID(TEXT($N974,"000000"),3,2)/60)+(RIGHT(TEXT($N974,"000000"),2)/3600)),-(MID(TEXT($N974,"000000"),2,2)+(MID(TEXT($N974,"000000"),4,2)/60)+(RIGHT(TEXT($N974,"000000"),2)/3600)))</f>
        <v>-6.3841666666666672</v>
      </c>
      <c r="P974" s="252" t="s">
        <v>41</v>
      </c>
      <c r="Q974" s="253" t="s">
        <v>7161</v>
      </c>
      <c r="R974" s="247" t="s">
        <v>3293</v>
      </c>
      <c r="S974" s="272" t="s">
        <v>3293</v>
      </c>
      <c r="T974" s="273"/>
      <c r="U974" s="274"/>
      <c r="V974" s="256"/>
      <c r="W974" s="244"/>
      <c r="X974" s="244"/>
      <c r="Y974" s="362"/>
      <c r="Z974" s="257">
        <f>altaz(J2000_Bas,$O974,$M974,DecLat,DecLong,1)</f>
        <v>-57.850166130806429</v>
      </c>
      <c r="AA974" s="257">
        <f>altaz((J2000_Bas+(2*0.04167)),$O974,$M974,DecLat,DecLong,1)</f>
        <v>-35.437850500325276</v>
      </c>
      <c r="AB974" s="257">
        <f>altaz((J2000_Bas+(4*0.04167)),$O974,$M974,DecLat,DecLong,1)</f>
        <v>-9.9152154364403611</v>
      </c>
      <c r="AC974" s="257">
        <f>altaz((J2000_Bas+(6*0.04167)),$O974,$M974,DecLat,DecLong,1)</f>
        <v>15.450218287570571</v>
      </c>
      <c r="AD974" s="258">
        <f>1+ transit((J2000_Bas-1),$O974,$M974,DecLat,DecLong)/360 + (GMTOffset/24) + (IF(DST="Y", 1, 0)/24)</f>
        <v>1.2260249373172079</v>
      </c>
      <c r="AE974" s="259">
        <f>DATE(2001,9,21)+(M974/360)*365 - (360*((DecLong/360)- (GMTOffset/24) ))</f>
        <v>37245.090624999997</v>
      </c>
      <c r="AF974" s="260">
        <f>IF(DecLat&gt;0,IF((90 - (DecLat-O974))&gt;90, (90 - (O974-DecLat)), (90 - (DecLat-O974))),IF((90 + (DecLat-O974))&gt;90, (90 + (O974-DecLat)), (90 + (DecLat-O974))))</f>
        <v>52.615833333333335</v>
      </c>
      <c r="AG974" s="257">
        <f>angularseperation(MoonRA,MoonDec,$M974,$O974)</f>
        <v>143.63881355890175</v>
      </c>
      <c r="AH974" s="261">
        <f ca="1">MIN(100,IF($O$5&gt;80,0+30*($AG974/100),IF($O$5&gt;70,0+50*($AG974/100),IF($O$5&gt;60,5+50*($AG974/100),IF($O$5&gt;50,10+60*($AG974/100),IF($O$5&gt;40,15+70*($AG974/100),IF($O$5&gt;30,20+70*($AG974/100),IF($O$5&gt;20,40+55*($AG974/100),(80+(20-$O$5)+30*($AG974/100))))))))))</f>
        <v>100</v>
      </c>
      <c r="AI974" s="262"/>
      <c r="AJ974" s="262"/>
      <c r="AK974" s="262"/>
      <c r="AL974" s="263"/>
      <c r="AM974" s="264"/>
      <c r="AN974" s="263"/>
      <c r="AO974" s="263"/>
      <c r="AP974" s="265"/>
      <c r="AQ974" s="266"/>
      <c r="AR974" s="267"/>
      <c r="AS974" s="263"/>
      <c r="AT974" s="263"/>
      <c r="AU974" s="263"/>
      <c r="AV974" s="264"/>
      <c r="AW974" s="263"/>
      <c r="AX974" s="263"/>
      <c r="AY974" s="263"/>
      <c r="AZ974" s="263"/>
      <c r="BA974" s="263"/>
      <c r="BB974" s="263"/>
      <c r="BC974" s="263"/>
      <c r="BD974" s="264"/>
      <c r="BE974" s="263"/>
      <c r="BF974" s="263"/>
      <c r="BG974" s="263"/>
      <c r="BH974" s="263"/>
      <c r="BI974" s="263"/>
      <c r="BJ974" s="404">
        <f>altaz(J2000_Bas,$O974,$M974,DecLat,DecLong,2)</f>
        <v>44.58355900149391</v>
      </c>
      <c r="BK974" s="378" t="s">
        <v>54</v>
      </c>
      <c r="BL974" s="379">
        <f>IF((2*G974)/60&lt;0.2,0.2,(2*G974)/60)</f>
        <v>0.2</v>
      </c>
      <c r="BM974" s="380">
        <f>MOD((50000+AD974-$B$3+(0/24)),1)</f>
        <v>0.44139186701795552</v>
      </c>
      <c r="BN974" s="381"/>
      <c r="BO974" s="382">
        <v>968</v>
      </c>
    </row>
    <row r="975" spans="1:67" s="24" customFormat="1" ht="15" customHeight="1" x14ac:dyDescent="0.25">
      <c r="A975" s="288" t="s">
        <v>55</v>
      </c>
      <c r="B975" s="241" t="str">
        <f>HYPERLINK(CONCATENATE($AT$3,BK975,$AU$3),$AV$3)</f>
        <v>S</v>
      </c>
      <c r="C975" s="242" t="str">
        <f>HYPERLINK(CONCATENATE($AT$4,BK975,$AU$4,BL975),$AV$4)</f>
        <v>A</v>
      </c>
      <c r="D975" s="243" t="s">
        <v>5335</v>
      </c>
      <c r="E975" s="244" t="s">
        <v>32</v>
      </c>
      <c r="F975" s="269"/>
      <c r="G975" s="273">
        <v>1.2</v>
      </c>
      <c r="H975" s="271">
        <v>500</v>
      </c>
      <c r="I975" s="309">
        <v>0.18</v>
      </c>
      <c r="J975" s="246">
        <v>2</v>
      </c>
      <c r="K975" s="247" t="s">
        <v>4538</v>
      </c>
      <c r="L975" s="248">
        <v>43118</v>
      </c>
      <c r="M975" s="249">
        <f>15*(LEFT(TEXT($L975,"000000"),2)+(MID(TEXT($L975,"000000"),3,2)/60)+(RIGHT(TEXT($L975,"000000"),2)/3600))</f>
        <v>67.825000000000003</v>
      </c>
      <c r="N975" s="250">
        <v>180600</v>
      </c>
      <c r="O975" s="251">
        <f>IF($N975&gt;0,(LEFT(TEXT($N975,"000000"),2)+(MID(TEXT($N975,"000000"),3,2)/60)+(RIGHT(TEXT($N975,"000000"),2)/3600)),-(MID(TEXT($N975,"000000"),2,2)+(MID(TEXT($N975,"000000"),4,2)/60)+(RIGHT(TEXT($N975,"000000"),2)/3600)))</f>
        <v>18.100000000000001</v>
      </c>
      <c r="P975" s="252" t="s">
        <v>56</v>
      </c>
      <c r="Q975" s="253"/>
      <c r="R975" s="247" t="s">
        <v>3293</v>
      </c>
      <c r="S975" s="272" t="s">
        <v>4537</v>
      </c>
      <c r="T975" s="273"/>
      <c r="U975" s="274"/>
      <c r="V975" s="256"/>
      <c r="W975" s="244"/>
      <c r="X975" s="244"/>
      <c r="Y975" s="362"/>
      <c r="Z975" s="257">
        <f>altaz(J2000_Bas,$O975,$M975,DecLat,DecLong,1)</f>
        <v>-28.715723912847455</v>
      </c>
      <c r="AA975" s="257">
        <f>altaz((J2000_Bas+(2*0.04167)),$O975,$M975,DecLat,DecLong,1)</f>
        <v>-8.1486086332596592</v>
      </c>
      <c r="AB975" s="257">
        <f>altaz((J2000_Bas+(4*0.04167)),$O975,$M975,DecLat,DecLong,1)</f>
        <v>16.157686254847821</v>
      </c>
      <c r="AC975" s="257">
        <f>altaz((J2000_Bas+(6*0.04167)),$O975,$M975,DecLat,DecLong,1)</f>
        <v>41.792835168315698</v>
      </c>
      <c r="AD975" s="258">
        <f>1+ transit((J2000_Bas-1),$O975,$M975,DecLat,DecLong)/360 + (GMTOffset/24) + (IF(DST="Y", 1, 0)/24)</f>
        <v>1.1813027195672079</v>
      </c>
      <c r="AE975" s="259">
        <f>DATE(2001,9,21)+(M975/360)*365 - (360*((DecLong/360)- (GMTOffset/24) ))</f>
        <v>37228.767013888886</v>
      </c>
      <c r="AF975" s="260">
        <f>IF(DecLat&gt;0,IF((90 - (DecLat-O975))&gt;90, (90 - (O975-DecLat)), (90 - (DecLat-O975))),IF((90 + (DecLat-O975))&gt;90, (90 + (O975-DecLat)), (90 + (DecLat-O975))))</f>
        <v>77.099999999999994</v>
      </c>
      <c r="AG975" s="257">
        <f>angularseperation(MoonRA,MoonDec,$M975,$O975)</f>
        <v>170.92145787135593</v>
      </c>
      <c r="AH975" s="261">
        <f ca="1">MIN(100,IF($O$5&gt;80,0+30*($AG975/100),IF($O$5&gt;70,0+50*($AG975/100),IF($O$5&gt;60,5+50*($AG975/100),IF($O$5&gt;50,10+60*($AG975/100),IF($O$5&gt;40,15+70*($AG975/100),IF($O$5&gt;30,20+70*($AG975/100),IF($O$5&gt;20,40+55*($AG975/100),(80+(20-$O$5)+30*($AG975/100))))))))))</f>
        <v>100</v>
      </c>
      <c r="AI975" s="262"/>
      <c r="AJ975" s="262"/>
      <c r="AK975" s="262"/>
      <c r="AL975" s="263"/>
      <c r="AM975" s="264"/>
      <c r="AN975" s="263"/>
      <c r="AO975" s="263"/>
      <c r="AP975" s="265"/>
      <c r="AQ975" s="266"/>
      <c r="AR975" s="267"/>
      <c r="AS975" s="263"/>
      <c r="AT975" s="263"/>
      <c r="AU975" s="263"/>
      <c r="AV975" s="264"/>
      <c r="AW975" s="263"/>
      <c r="AX975" s="263"/>
      <c r="AY975" s="263"/>
      <c r="AZ975" s="263"/>
      <c r="BA975" s="263"/>
      <c r="BB975" s="263"/>
      <c r="BC975" s="263"/>
      <c r="BD975" s="264"/>
      <c r="BE975" s="263"/>
      <c r="BF975" s="263"/>
      <c r="BG975" s="263"/>
      <c r="BH975" s="263"/>
      <c r="BI975" s="263"/>
      <c r="BJ975" s="404">
        <f>altaz(J2000_Bas,$O975,$M975,DecLat,DecLong,2)</f>
        <v>42.05963562656477</v>
      </c>
      <c r="BK975" s="378" t="s">
        <v>55</v>
      </c>
      <c r="BL975" s="379">
        <f>IF((2*G975)/60&lt;0.2,0.2,(2*G975)/60)</f>
        <v>0.2</v>
      </c>
      <c r="BM975" s="380">
        <f>MOD((50000+AD975-$B$3+(0/24)),1)</f>
        <v>0.39666964927164372</v>
      </c>
      <c r="BN975" s="381"/>
      <c r="BO975" s="382">
        <v>969</v>
      </c>
    </row>
    <row r="976" spans="1:67" s="24" customFormat="1" ht="15" customHeight="1" x14ac:dyDescent="0.25">
      <c r="A976" s="288" t="s">
        <v>57</v>
      </c>
      <c r="B976" s="241" t="str">
        <f>HYPERLINK(CONCATENATE($AT$3,BK976,$AU$3),$AV$3)</f>
        <v>S</v>
      </c>
      <c r="C976" s="242" t="str">
        <f>HYPERLINK(CONCATENATE($AT$4,BK976,$AU$4,BL976),$AV$4)</f>
        <v>A</v>
      </c>
      <c r="D976" s="243" t="s">
        <v>5335</v>
      </c>
      <c r="E976" s="244" t="s">
        <v>32</v>
      </c>
      <c r="F976" s="269"/>
      <c r="G976" s="273">
        <v>2</v>
      </c>
      <c r="H976" s="271" t="s">
        <v>6500</v>
      </c>
      <c r="I976" s="244" t="s">
        <v>6500</v>
      </c>
      <c r="J976" s="246">
        <v>2</v>
      </c>
      <c r="K976" s="247" t="s">
        <v>4539</v>
      </c>
      <c r="L976" s="248">
        <v>223813</v>
      </c>
      <c r="M976" s="249">
        <f>15*(LEFT(TEXT($L976,"000000"),2)+(MID(TEXT($L976,"000000"),3,2)/60)+(RIGHT(TEXT($L976,"000000"),2)/3600))</f>
        <v>339.55416666666667</v>
      </c>
      <c r="N976" s="250">
        <v>410524</v>
      </c>
      <c r="O976" s="251">
        <f>IF($N976&gt;0,(LEFT(TEXT($N976,"000000"),2)+(MID(TEXT($N976,"000000"),3,2)/60)+(RIGHT(TEXT($N976,"000000"),2)/3600)),-(MID(TEXT($N976,"000000"),2,2)+(MID(TEXT($N976,"000000"),4,2)/60)+(RIGHT(TEXT($N976,"000000"),2)/3600)))</f>
        <v>41.09</v>
      </c>
      <c r="P976" s="252" t="s">
        <v>58</v>
      </c>
      <c r="Q976" s="253"/>
      <c r="R976" s="247" t="s">
        <v>3293</v>
      </c>
      <c r="S976" s="272" t="s">
        <v>4540</v>
      </c>
      <c r="T976" s="273"/>
      <c r="U976" s="274"/>
      <c r="V976" s="256"/>
      <c r="W976" s="244"/>
      <c r="X976" s="244"/>
      <c r="Y976" s="362"/>
      <c r="Z976" s="257">
        <f>altaz(J2000_Bas,$O976,$M976,DecLat,DecLong,1)</f>
        <v>46.245575040126369</v>
      </c>
      <c r="AA976" s="257">
        <f>altaz((J2000_Bas+(2*0.04167)),$O976,$M976,DecLat,DecLong,1)</f>
        <v>68.607022082451849</v>
      </c>
      <c r="AB976" s="257">
        <f>altaz((J2000_Bas+(4*0.04167)),$O976,$M976,DecLat,DecLong,1)</f>
        <v>78.58796072149687</v>
      </c>
      <c r="AC976" s="257">
        <f>altaz((J2000_Bas+(6*0.04167)),$O976,$M976,DecLat,DecLong,1)</f>
        <v>58.921532654210317</v>
      </c>
      <c r="AD976" s="258">
        <f>1+ transit((J2000_Bas-1),$O976,$M976,DecLat,DecLong)/360 + (GMTOffset/24) + (IF(DST="Y", 1, 0)/24)</f>
        <v>1.9361058848276247</v>
      </c>
      <c r="AE976" s="259">
        <f>DATE(2001,9,21)+(M976/360)*365 - (360*((DecLong/360)- (GMTOffset/24) ))</f>
        <v>37504.270196759258</v>
      </c>
      <c r="AF976" s="260">
        <f>IF(DecLat&gt;0,IF((90 - (DecLat-O976))&gt;90, (90 - (O976-DecLat)), (90 - (DecLat-O976))),IF((90 + (DecLat-O976))&gt;90, (90 + (O976-DecLat)), (90 + (DecLat-O976))))</f>
        <v>79.91</v>
      </c>
      <c r="AG976" s="257">
        <f>angularseperation(MoonRA,MoonDec,$M976,$O976)</f>
        <v>107.63178209553071</v>
      </c>
      <c r="AH976" s="261">
        <f ca="1">MIN(100,IF($O$5&gt;80,0+30*($AG976/100),IF($O$5&gt;70,0+50*($AG976/100),IF($O$5&gt;60,5+50*($AG976/100),IF($O$5&gt;50,10+60*($AG976/100),IF($O$5&gt;40,15+70*($AG976/100),IF($O$5&gt;30,20+70*($AG976/100),IF($O$5&gt;20,40+55*($AG976/100),(80+(20-$O$5)+30*($AG976/100))))))))))</f>
        <v>100</v>
      </c>
      <c r="AI976" s="262"/>
      <c r="AJ976" s="262"/>
      <c r="AK976" s="262"/>
      <c r="AL976" s="263"/>
      <c r="AM976" s="264"/>
      <c r="AN976" s="263"/>
      <c r="AO976" s="263"/>
      <c r="AP976" s="265"/>
      <c r="AQ976" s="266"/>
      <c r="AR976" s="267"/>
      <c r="AS976" s="263"/>
      <c r="AT976" s="263"/>
      <c r="AU976" s="263"/>
      <c r="AV976" s="264"/>
      <c r="AW976" s="263"/>
      <c r="AX976" s="263"/>
      <c r="AY976" s="263"/>
      <c r="AZ976" s="263"/>
      <c r="BA976" s="263"/>
      <c r="BB976" s="263"/>
      <c r="BC976" s="263"/>
      <c r="BD976" s="264"/>
      <c r="BE976" s="263"/>
      <c r="BF976" s="263"/>
      <c r="BG976" s="263"/>
      <c r="BH976" s="263"/>
      <c r="BI976" s="263"/>
      <c r="BJ976" s="404">
        <f>altaz(J2000_Bas,$O976,$M976,DecLat,DecLong,2)</f>
        <v>61.238881298225635</v>
      </c>
      <c r="BK976" s="378" t="s">
        <v>57</v>
      </c>
      <c r="BL976" s="379">
        <f>IF((2*G976)/60&lt;0.2,0.2,(2*G976)/60)</f>
        <v>0.2</v>
      </c>
      <c r="BM976" s="380">
        <f>MOD((50000+AD976-$B$3+(0/24)),1)</f>
        <v>0.1514728145339177</v>
      </c>
      <c r="BN976" s="381"/>
      <c r="BO976" s="382">
        <v>970</v>
      </c>
    </row>
    <row r="977" spans="1:67" s="24" customFormat="1" ht="15" customHeight="1" x14ac:dyDescent="0.25">
      <c r="A977" s="288" t="s">
        <v>59</v>
      </c>
      <c r="B977" s="241" t="str">
        <f>HYPERLINK(CONCATENATE($AT$3,BK977,$AU$3),$AV$3)</f>
        <v>S</v>
      </c>
      <c r="C977" s="242" t="str">
        <f>HYPERLINK(CONCATENATE($AT$4,BK977,$AU$4,BL977),$AV$4)</f>
        <v>A</v>
      </c>
      <c r="D977" s="243" t="s">
        <v>5335</v>
      </c>
      <c r="E977" s="244" t="s">
        <v>32</v>
      </c>
      <c r="F977" s="269"/>
      <c r="G977" s="273">
        <v>3</v>
      </c>
      <c r="H977" s="271" t="s">
        <v>6500</v>
      </c>
      <c r="I977" s="244" t="s">
        <v>6500</v>
      </c>
      <c r="J977" s="246">
        <v>2</v>
      </c>
      <c r="K977" s="247" t="s">
        <v>4542</v>
      </c>
      <c r="L977" s="248">
        <v>205100</v>
      </c>
      <c r="M977" s="249">
        <f>15*(LEFT(TEXT($L977,"000000"),2)+(MID(TEXT($L977,"000000"),3,2)/60)+(RIGHT(TEXT($L977,"000000"),2)/3600))</f>
        <v>312.75</v>
      </c>
      <c r="N977" s="250">
        <v>442406</v>
      </c>
      <c r="O977" s="251">
        <f>IF($N977&gt;0,(LEFT(TEXT($N977,"000000"),2)+(MID(TEXT($N977,"000000"),3,2)/60)+(RIGHT(TEXT($N977,"000000"),2)/3600)),-(MID(TEXT($N977,"000000"),2,2)+(MID(TEXT($N977,"000000"),4,2)/60)+(RIGHT(TEXT($N977,"000000"),2)/3600)))</f>
        <v>44.401666666666664</v>
      </c>
      <c r="P977" s="252" t="s">
        <v>60</v>
      </c>
      <c r="Q977" s="253"/>
      <c r="R977" s="247" t="s">
        <v>3293</v>
      </c>
      <c r="S977" s="272" t="s">
        <v>4541</v>
      </c>
      <c r="T977" s="273"/>
      <c r="U977" s="274"/>
      <c r="V977" s="256"/>
      <c r="W977" s="244"/>
      <c r="X977" s="244"/>
      <c r="Y977" s="362"/>
      <c r="Z977" s="257">
        <f>altaz(J2000_Bas,$O977,$M977,DecLat,DecLong,1)</f>
        <v>65.12689146860555</v>
      </c>
      <c r="AA977" s="257">
        <f>altaz((J2000_Bas+(2*0.04167)),$O977,$M977,DecLat,DecLong,1)</f>
        <v>76.343986766605511</v>
      </c>
      <c r="AB977" s="257">
        <f>altaz((J2000_Bas+(4*0.04167)),$O977,$M977,DecLat,DecLong,1)</f>
        <v>60.633573108282533</v>
      </c>
      <c r="AC977" s="257">
        <f>altaz((J2000_Bas+(6*0.04167)),$O977,$M977,DecLat,DecLong,1)</f>
        <v>39.313111833907307</v>
      </c>
      <c r="AD977" s="258">
        <f>1+ transit((J2000_Bas-1),$O977,$M977,DecLat,DecLong)/360 + (GMTOffset/24) + (IF(DST="Y", 1, 0)/24)</f>
        <v>1.8616498737547083</v>
      </c>
      <c r="AE977" s="259">
        <f>DATE(2001,9,21)+(M977/360)*365 - (360*((DecLong/360)- (GMTOffset/24) ))</f>
        <v>37477.09375</v>
      </c>
      <c r="AF977" s="260">
        <f>IF(DecLat&gt;0,IF((90 - (DecLat-O977))&gt;90, (90 - (O977-DecLat)), (90 - (DecLat-O977))),IF((90 + (DecLat-O977))&gt;90, (90 + (O977-DecLat)), (90 + (DecLat-O977))))</f>
        <v>76.598333333333329</v>
      </c>
      <c r="AG977" s="257">
        <f>angularseperation(MoonRA,MoonDec,$M977,$O977)</f>
        <v>91.995231822656152</v>
      </c>
      <c r="AH977" s="261">
        <f ca="1">MIN(100,IF($O$5&gt;80,0+30*($AG977/100),IF($O$5&gt;70,0+50*($AG977/100),IF($O$5&gt;60,5+50*($AG977/100),IF($O$5&gt;50,10+60*($AG977/100),IF($O$5&gt;40,15+70*($AG977/100),IF($O$5&gt;30,20+70*($AG977/100),IF($O$5&gt;20,40+55*($AG977/100),(80+(20-$O$5)+30*($AG977/100))))))))))</f>
        <v>100</v>
      </c>
      <c r="AI977" s="262"/>
      <c r="AJ977" s="263"/>
      <c r="AK977" s="263"/>
      <c r="AL977" s="263"/>
      <c r="AM977" s="264"/>
      <c r="AN977" s="263"/>
      <c r="AO977" s="263"/>
      <c r="AP977" s="265"/>
      <c r="AQ977" s="266"/>
      <c r="AR977" s="267"/>
      <c r="AS977" s="263"/>
      <c r="AT977" s="263"/>
      <c r="AU977" s="263"/>
      <c r="AV977" s="264"/>
      <c r="AW977" s="263"/>
      <c r="AX977" s="263"/>
      <c r="AY977" s="263"/>
      <c r="AZ977" s="263"/>
      <c r="BA977" s="263"/>
      <c r="BB977" s="263"/>
      <c r="BC977" s="263"/>
      <c r="BD977" s="264"/>
      <c r="BE977" s="263"/>
      <c r="BF977" s="263"/>
      <c r="BG977" s="263"/>
      <c r="BH977" s="263"/>
      <c r="BI977" s="263"/>
      <c r="BJ977" s="404">
        <f>altaz(J2000_Bas,$O977,$M977,DecLat,DecLong,2)</f>
        <v>49.860045911089863</v>
      </c>
      <c r="BK977" s="378" t="s">
        <v>59</v>
      </c>
      <c r="BL977" s="379">
        <f>IF((2*G977)/60&lt;0.2,0.2,(2*G977)/60)</f>
        <v>0.2</v>
      </c>
      <c r="BM977" s="380">
        <f>MOD((50000+AD977-$B$3+(0/24)),1)</f>
        <v>7.7016803457809146E-2</v>
      </c>
      <c r="BN977" s="381"/>
      <c r="BO977" s="382">
        <v>971</v>
      </c>
    </row>
    <row r="978" spans="1:67" s="24" customFormat="1" ht="15" customHeight="1" x14ac:dyDescent="0.25">
      <c r="A978" s="288" t="s">
        <v>1045</v>
      </c>
      <c r="B978" s="241" t="str">
        <f>HYPERLINK(CONCATENATE($AT$3,BK978,$AU$3),$AV$3)</f>
        <v>S</v>
      </c>
      <c r="C978" s="242" t="str">
        <f>HYPERLINK(CONCATENATE($AT$4,BK978,$AU$4,BL978),$AV$4)</f>
        <v>A</v>
      </c>
      <c r="D978" s="243" t="s">
        <v>5638</v>
      </c>
      <c r="E978" s="244" t="s">
        <v>5625</v>
      </c>
      <c r="F978" s="290">
        <v>4</v>
      </c>
      <c r="G978" s="291">
        <v>2.9</v>
      </c>
      <c r="H978" s="283">
        <v>480</v>
      </c>
      <c r="I978" s="284">
        <v>400</v>
      </c>
      <c r="J978" s="246">
        <v>2</v>
      </c>
      <c r="K978" s="247" t="s">
        <v>7609</v>
      </c>
      <c r="L978" s="248">
        <v>2600</v>
      </c>
      <c r="M978" s="249">
        <f>15*(LEFT(TEXT($L978,"000000"),2)+(MID(TEXT($L978,"000000"),3,2)/60)+(RIGHT(TEXT($L978,"000000"),2)/3600))</f>
        <v>6.5</v>
      </c>
      <c r="N978" s="250">
        <v>254305</v>
      </c>
      <c r="O978" s="251">
        <f>IF($N978&gt;0,(LEFT(TEXT($N978,"000000"),2)+(MID(TEXT($N978,"000000"),3,2)/60)+(RIGHT(TEXT($N978,"000000"),2)/3600)),-(MID(TEXT($N978,"000000"),2,2)+(MID(TEXT($N978,"000000"),4,2)/60)+(RIGHT(TEXT($N978,"000000"),2)/3600)))</f>
        <v>25.718055555555555</v>
      </c>
      <c r="P978" s="252" t="s">
        <v>36</v>
      </c>
      <c r="Q978" s="253"/>
      <c r="R978" s="247" t="s">
        <v>3293</v>
      </c>
      <c r="S978" s="272" t="s">
        <v>3293</v>
      </c>
      <c r="T978" s="273">
        <v>12.8</v>
      </c>
      <c r="U978" s="289">
        <v>23.7</v>
      </c>
      <c r="V978" s="280"/>
      <c r="W978" s="244"/>
      <c r="X978" s="244"/>
      <c r="Y978" s="362"/>
      <c r="Z978" s="257">
        <f>altaz(J2000_Bas,$O978,$M978,DecLat,DecLong,1)</f>
        <v>20.547953203477796</v>
      </c>
      <c r="AA978" s="257">
        <f>altaz((J2000_Bas+(2*0.04167)),$O978,$M978,DecLat,DecLong,1)</f>
        <v>45.693935059578926</v>
      </c>
      <c r="AB978" s="257">
        <f>altaz((J2000_Bas+(4*0.04167)),$O978,$M978,DecLat,DecLong,1)</f>
        <v>71.379768403794941</v>
      </c>
      <c r="AC978" s="257">
        <f>altaz((J2000_Bas+(6*0.04167)),$O978,$M978,DecLat,DecLong,1)</f>
        <v>79.926780079004828</v>
      </c>
      <c r="AD978" s="258">
        <f>1+ transit((J2000_Bas-1),$O978,$M978,DecLat,DecLong)/360 + (GMTOffset/24) + (IF(DST="Y", 1, 0)/24)</f>
        <v>1.010955514379708</v>
      </c>
      <c r="AE978" s="259">
        <f>DATE(2001,9,21)+(M978/360)*365 - (360*((DecLong/360)- (GMTOffset/24) ))</f>
        <v>37166.590277777781</v>
      </c>
      <c r="AF978" s="260">
        <f>IF(DecLat&gt;0,IF((90 - (DecLat-O978))&gt;90, (90 - (O978-DecLat)), (90 - (DecLat-O978))),IF((90 + (DecLat-O978))&gt;90, (90 + (O978-DecLat)), (90 + (DecLat-O978))))</f>
        <v>84.718055555555551</v>
      </c>
      <c r="AG978" s="257">
        <f>angularseperation(MoonRA,MoonDec,$M978,$O978)</f>
        <v>124.39910198656118</v>
      </c>
      <c r="AH978" s="261">
        <f ca="1">MIN(100,IF($O$5&gt;80,0+30*($AG978/100),IF($O$5&gt;70,0+50*($AG978/100),IF($O$5&gt;60,5+50*($AG978/100),IF($O$5&gt;50,10+60*($AG978/100),IF($O$5&gt;40,15+70*($AG978/100),IF($O$5&gt;30,20+70*($AG978/100),IF($O$5&gt;20,40+55*($AG978/100),(80+(20-$O$5)+30*($AG978/100))))))))))</f>
        <v>100</v>
      </c>
      <c r="AI978" s="262"/>
      <c r="AJ978" s="262"/>
      <c r="AK978" s="262"/>
      <c r="AL978" s="263"/>
      <c r="AM978" s="264"/>
      <c r="AN978" s="263"/>
      <c r="AO978" s="263">
        <v>1</v>
      </c>
      <c r="AP978" s="265"/>
      <c r="AQ978" s="266">
        <v>248</v>
      </c>
      <c r="AR978" s="267"/>
      <c r="AS978" s="263"/>
      <c r="AT978" s="263"/>
      <c r="AU978" s="263"/>
      <c r="AV978" s="264"/>
      <c r="AW978" s="263"/>
      <c r="AX978" s="263"/>
      <c r="AY978" s="263"/>
      <c r="AZ978" s="263"/>
      <c r="BA978" s="263"/>
      <c r="BB978" s="263"/>
      <c r="BC978" s="263"/>
      <c r="BD978" s="264"/>
      <c r="BE978" s="263"/>
      <c r="BF978" s="263"/>
      <c r="BG978" s="263"/>
      <c r="BH978" s="263"/>
      <c r="BI978" s="263"/>
      <c r="BJ978" s="404">
        <f>altaz(J2000_Bas,$O978,$M978,DecLat,DecLong,2)</f>
        <v>71.613633229637614</v>
      </c>
      <c r="BK978" s="378" t="s">
        <v>3998</v>
      </c>
      <c r="BL978" s="379">
        <f>IF((2*G978)/60&lt;0.2,0.2,(2*G978)/60)</f>
        <v>0.2</v>
      </c>
      <c r="BM978" s="380">
        <f>MOD((50000+AD978-$B$3+(0/24)),1)</f>
        <v>0.22632244408305269</v>
      </c>
      <c r="BN978" s="381"/>
      <c r="BO978" s="382">
        <v>972</v>
      </c>
    </row>
    <row r="979" spans="1:67" s="24" customFormat="1" ht="15" customHeight="1" x14ac:dyDescent="0.25">
      <c r="A979" s="288" t="s">
        <v>1046</v>
      </c>
      <c r="B979" s="241" t="str">
        <f>HYPERLINK(CONCATENATE($AT$3,BK979,$AU$3),$AV$3)</f>
        <v>S</v>
      </c>
      <c r="C979" s="242" t="str">
        <f>HYPERLINK(CONCATENATE($AT$4,BK979,$AU$4,BL979),$AV$4)</f>
        <v>A</v>
      </c>
      <c r="D979" s="243" t="s">
        <v>5638</v>
      </c>
      <c r="E979" s="244" t="s">
        <v>5625</v>
      </c>
      <c r="F979" s="290">
        <v>4</v>
      </c>
      <c r="G979" s="291">
        <v>7.1</v>
      </c>
      <c r="H979" s="283">
        <v>200</v>
      </c>
      <c r="I979" s="284">
        <v>420</v>
      </c>
      <c r="J979" s="246">
        <v>2</v>
      </c>
      <c r="K979" s="247" t="s">
        <v>7610</v>
      </c>
      <c r="L979" s="248">
        <v>3130</v>
      </c>
      <c r="M979" s="249">
        <f>15*(LEFT(TEXT($L979,"000000"),2)+(MID(TEXT($L979,"000000"),3,2)/60)+(RIGHT(TEXT($L979,"000000"),2)/3600))</f>
        <v>7.875</v>
      </c>
      <c r="N979" s="250">
        <v>82552</v>
      </c>
      <c r="O979" s="251">
        <f>IF($N979&gt;0,(LEFT(TEXT($N979,"000000"),2)+(MID(TEXT($N979,"000000"),3,2)/60)+(RIGHT(TEXT($N979,"000000"),2)/3600)),-(MID(TEXT($N979,"000000"),2,2)+(MID(TEXT($N979,"000000"),4,2)/60)+(RIGHT(TEXT($N979,"000000"),2)/3600)))</f>
        <v>8.431111111111111</v>
      </c>
      <c r="P979" s="252" t="s">
        <v>158</v>
      </c>
      <c r="Q979" s="253"/>
      <c r="R979" s="247" t="s">
        <v>3293</v>
      </c>
      <c r="S979" s="272" t="s">
        <v>3293</v>
      </c>
      <c r="T979" s="273">
        <v>12.1</v>
      </c>
      <c r="U979" s="289">
        <v>25</v>
      </c>
      <c r="V979" s="280"/>
      <c r="W979" s="244"/>
      <c r="X979" s="244"/>
      <c r="Y979" s="362"/>
      <c r="Z979" s="257">
        <f>altaz(J2000_Bas,$O979,$M979,DecLat,DecLong,1)</f>
        <v>11.267531126249262</v>
      </c>
      <c r="AA979" s="257">
        <f>altaz((J2000_Bas+(2*0.04167)),$O979,$M979,DecLat,DecLong,1)</f>
        <v>36.870421719633043</v>
      </c>
      <c r="AB979" s="257">
        <f>altaz((J2000_Bas+(4*0.04167)),$O979,$M979,DecLat,DecLong,1)</f>
        <v>59.690514404820178</v>
      </c>
      <c r="AC979" s="257">
        <f>altaz((J2000_Bas+(6*0.04167)),$O979,$M979,DecLat,DecLong,1)</f>
        <v>66.115453120929828</v>
      </c>
      <c r="AD979" s="258">
        <f>1+ transit((J2000_Bas-1),$O979,$M979,DecLat,DecLong)/360 + (GMTOffset/24) + (IF(DST="Y", 1, 0)/24)</f>
        <v>1.0147749584422081</v>
      </c>
      <c r="AE979" s="259">
        <f>DATE(2001,9,21)+(M979/360)*365 - (360*((DecLong/360)- (GMTOffset/24) ))</f>
        <v>37167.984375</v>
      </c>
      <c r="AF979" s="260">
        <f>IF(DecLat&gt;0,IF((90 - (DecLat-O979))&gt;90, (90 - (O979-DecLat)), (90 - (DecLat-O979))),IF((90 + (DecLat-O979))&gt;90, (90 + (O979-DecLat)), (90 + (DecLat-O979))))</f>
        <v>67.431111111111107</v>
      </c>
      <c r="AG979" s="257">
        <f>angularseperation(MoonRA,MoonDec,$M979,$O979)</f>
        <v>119.26137671553118</v>
      </c>
      <c r="AH979" s="261">
        <f ca="1">MIN(100,IF($O$5&gt;80,0+30*($AG979/100),IF($O$5&gt;70,0+50*($AG979/100),IF($O$5&gt;60,5+50*($AG979/100),IF($O$5&gt;50,10+60*($AG979/100),IF($O$5&gt;40,15+70*($AG979/100),IF($O$5&gt;30,20+70*($AG979/100),IF($O$5&gt;20,40+55*($AG979/100),(80+(20-$O$5)+30*($AG979/100))))))))))</f>
        <v>100</v>
      </c>
      <c r="AI979" s="262"/>
      <c r="AJ979" s="262"/>
      <c r="AK979" s="262"/>
      <c r="AL979" s="263"/>
      <c r="AM979" s="264"/>
      <c r="AN979" s="263"/>
      <c r="AO979" s="263">
        <v>2</v>
      </c>
      <c r="AP979" s="265"/>
      <c r="AQ979" s="266">
        <v>312</v>
      </c>
      <c r="AR979" s="267"/>
      <c r="AS979" s="263"/>
      <c r="AT979" s="263"/>
      <c r="AU979" s="263"/>
      <c r="AV979" s="264"/>
      <c r="AW979" s="263"/>
      <c r="AX979" s="263"/>
      <c r="AY979" s="263"/>
      <c r="AZ979" s="263"/>
      <c r="BA979" s="263"/>
      <c r="BB979" s="263"/>
      <c r="BC979" s="263"/>
      <c r="BD979" s="264"/>
      <c r="BE979" s="263"/>
      <c r="BF979" s="263"/>
      <c r="BG979" s="263"/>
      <c r="BH979" s="263"/>
      <c r="BI979" s="263"/>
      <c r="BJ979" s="404">
        <f>altaz(J2000_Bas,$O979,$M979,DecLat,DecLong,2)</f>
        <v>86.86412757987479</v>
      </c>
      <c r="BK979" s="378" t="s">
        <v>3999</v>
      </c>
      <c r="BL979" s="379">
        <f>IF((2*G979)/60&lt;0.2,0.2,(2*G979)/60)</f>
        <v>0.23666666666666666</v>
      </c>
      <c r="BM979" s="380">
        <f>MOD((50000+AD979-$B$3+(0/24)),1)</f>
        <v>0.23014188814704539</v>
      </c>
      <c r="BN979" s="381"/>
      <c r="BO979" s="382">
        <v>973</v>
      </c>
    </row>
    <row r="980" spans="1:67" s="24" customFormat="1" ht="15" customHeight="1" x14ac:dyDescent="0.25">
      <c r="A980" s="288" t="s">
        <v>1047</v>
      </c>
      <c r="B980" s="241" t="str">
        <f>HYPERLINK(CONCATENATE($AT$3,BK980,$AU$3),$AV$3)</f>
        <v>S</v>
      </c>
      <c r="C980" s="242" t="str">
        <f>HYPERLINK(CONCATENATE($AT$4,BK980,$AU$4,BL980),$AV$4)</f>
        <v>A</v>
      </c>
      <c r="D980" s="243" t="s">
        <v>5638</v>
      </c>
      <c r="E980" s="244" t="s">
        <v>5625</v>
      </c>
      <c r="F980" s="290">
        <v>4</v>
      </c>
      <c r="G980" s="291">
        <v>3.8</v>
      </c>
      <c r="H980" s="283">
        <v>340</v>
      </c>
      <c r="I980" s="284">
        <v>400</v>
      </c>
      <c r="J980" s="246">
        <v>2</v>
      </c>
      <c r="K980" s="247" t="s">
        <v>7610</v>
      </c>
      <c r="L980" s="248">
        <v>3411</v>
      </c>
      <c r="M980" s="249">
        <f>15*(LEFT(TEXT($L980,"000000"),2)+(MID(TEXT($L980,"000000"),3,2)/60)+(RIGHT(TEXT($L980,"000000"),2)/3600))</f>
        <v>8.5458333333333343</v>
      </c>
      <c r="N980" s="250">
        <v>-73535</v>
      </c>
      <c r="O980" s="251">
        <f>IF($N980&gt;0,(LEFT(TEXT($N980,"000000"),2)+(MID(TEXT($N980,"000000"),3,2)/60)+(RIGHT(TEXT($N980,"000000"),2)/3600)),-(MID(TEXT($N980,"000000"),2,2)+(MID(TEXT($N980,"000000"),4,2)/60)+(RIGHT(TEXT($N980,"000000"),2)/3600)))</f>
        <v>-7.593055555555555</v>
      </c>
      <c r="P980" s="252" t="s">
        <v>75</v>
      </c>
      <c r="Q980" s="253"/>
      <c r="R980" s="277" t="s">
        <v>3293</v>
      </c>
      <c r="S980" s="272" t="s">
        <v>3293</v>
      </c>
      <c r="T980" s="273">
        <v>12.3</v>
      </c>
      <c r="U980" s="289">
        <v>23.8</v>
      </c>
      <c r="V980" s="280"/>
      <c r="W980" s="244"/>
      <c r="X980" s="244"/>
      <c r="Y980" s="362"/>
      <c r="Z980" s="257">
        <f>altaz(J2000_Bas,$O980,$M980,DecLat,DecLong,1)</f>
        <v>2.4192469911539596</v>
      </c>
      <c r="AA980" s="257">
        <f>altaz((J2000_Bas+(2*0.04167)),$O980,$M980,DecLat,DecLong,1)</f>
        <v>26.722251867807771</v>
      </c>
      <c r="AB980" s="257">
        <f>altaz((J2000_Bas+(4*0.04167)),$O980,$M980,DecLat,DecLong,1)</f>
        <v>45.859375901883439</v>
      </c>
      <c r="AC980" s="257">
        <f>altaz((J2000_Bas+(6*0.04167)),$O980,$M980,DecLat,DecLong,1)</f>
        <v>50.706695396567142</v>
      </c>
      <c r="AD980" s="258">
        <f>1+ transit((J2000_Bas-1),$O980,$M980,DecLat,DecLong)/360 + (GMTOffset/24) + (IF(DST="Y", 1, 0)/24)</f>
        <v>1.0166383841817914</v>
      </c>
      <c r="AE980" s="259">
        <f>DATE(2001,9,21)+(M980/360)*365 - (360*((DecLong/360)- (GMTOffset/24) ))</f>
        <v>37168.664525462962</v>
      </c>
      <c r="AF980" s="260">
        <f>IF(DecLat&gt;0,IF((90 - (DecLat-O980))&gt;90, (90 - (O980-DecLat)), (90 - (DecLat-O980))),IF((90 + (DecLat-O980))&gt;90, (90 + (O980-DecLat)), (90 + (DecLat-O980))))</f>
        <v>51.406944444444449</v>
      </c>
      <c r="AG980" s="257">
        <f>angularseperation(MoonRA,MoonDec,$M980,$O980)</f>
        <v>111.82587971476572</v>
      </c>
      <c r="AH980" s="261">
        <f ca="1">MIN(100,IF($O$5&gt;80,0+30*($AG980/100),IF($O$5&gt;70,0+50*($AG980/100),IF($O$5&gt;60,5+50*($AG980/100),IF($O$5&gt;50,10+60*($AG980/100),IF($O$5&gt;40,15+70*($AG980/100),IF($O$5&gt;30,20+70*($AG980/100),IF($O$5&gt;20,40+55*($AG980/100),(80+(20-$O$5)+30*($AG980/100))))))))))</f>
        <v>100</v>
      </c>
      <c r="AI980" s="263"/>
      <c r="AJ980" s="263"/>
      <c r="AK980" s="263"/>
      <c r="AL980" s="263"/>
      <c r="AM980" s="264"/>
      <c r="AN980" s="263"/>
      <c r="AO980" s="263">
        <v>3</v>
      </c>
      <c r="AP980" s="265"/>
      <c r="AQ980" s="265"/>
      <c r="AR980" s="285"/>
      <c r="AS980" s="263"/>
      <c r="AT980" s="263"/>
      <c r="AU980" s="263"/>
      <c r="AV980" s="264"/>
      <c r="AW980" s="263"/>
      <c r="AX980" s="263"/>
      <c r="AY980" s="263"/>
      <c r="AZ980" s="263"/>
      <c r="BA980" s="263"/>
      <c r="BB980" s="263"/>
      <c r="BC980" s="263"/>
      <c r="BD980" s="264"/>
      <c r="BE980" s="263"/>
      <c r="BF980" s="263"/>
      <c r="BG980" s="263"/>
      <c r="BH980" s="263"/>
      <c r="BI980" s="263"/>
      <c r="BJ980" s="404">
        <f>altaz(J2000_Bas,$O980,$M980,DecLat,DecLong,2)</f>
        <v>100.35099339058287</v>
      </c>
      <c r="BK980" s="378" t="s">
        <v>4000</v>
      </c>
      <c r="BL980" s="379">
        <f>IF((2*G980)/60&lt;0.2,0.2,(2*G980)/60)</f>
        <v>0.2</v>
      </c>
      <c r="BM980" s="380">
        <f>MOD((50000+AD980-$B$3+(0/24)),1)</f>
        <v>0.23200531388283707</v>
      </c>
      <c r="BN980" s="381"/>
      <c r="BO980" s="382">
        <v>974</v>
      </c>
    </row>
    <row r="981" spans="1:67" s="24" customFormat="1" ht="15" customHeight="1" x14ac:dyDescent="0.25">
      <c r="A981" s="288" t="s">
        <v>1048</v>
      </c>
      <c r="B981" s="241" t="str">
        <f>HYPERLINK(CONCATENATE($AT$3,BK981,$AU$3),$AV$3)</f>
        <v>S</v>
      </c>
      <c r="C981" s="242" t="str">
        <f>HYPERLINK(CONCATENATE($AT$4,BK981,$AU$4,BL981),$AV$4)</f>
        <v>A</v>
      </c>
      <c r="D981" s="243" t="s">
        <v>5638</v>
      </c>
      <c r="E981" s="244" t="s">
        <v>5625</v>
      </c>
      <c r="F981" s="290">
        <v>5</v>
      </c>
      <c r="G981" s="291">
        <v>3.6</v>
      </c>
      <c r="H981" s="283">
        <v>380</v>
      </c>
      <c r="I981" s="284">
        <v>430</v>
      </c>
      <c r="J981" s="246">
        <v>2</v>
      </c>
      <c r="K981" s="277" t="s">
        <v>3439</v>
      </c>
      <c r="L981" s="248">
        <v>3415</v>
      </c>
      <c r="M981" s="249">
        <f>15*(LEFT(TEXT($L981,"000000"),2)+(MID(TEXT($L981,"000000"),3,2)/60)+(RIGHT(TEXT($L981,"000000"),2)/3600))</f>
        <v>8.5625</v>
      </c>
      <c r="N981" s="250">
        <v>-212648</v>
      </c>
      <c r="O981" s="251">
        <f>IF($N981&gt;0,(LEFT(TEXT($N981,"000000"),2)+(MID(TEXT($N981,"000000"),3,2)/60)+(RIGHT(TEXT($N981,"000000"),2)/3600)),-(MID(TEXT($N981,"000000"),2,2)+(MID(TEXT($N981,"000000"),4,2)/60)+(RIGHT(TEXT($N981,"000000"),2)/3600)))</f>
        <v>-21.446666666666665</v>
      </c>
      <c r="P981" s="252" t="s">
        <v>75</v>
      </c>
      <c r="Q981" s="253"/>
      <c r="R981" s="277" t="s">
        <v>3293</v>
      </c>
      <c r="S981" s="272" t="s">
        <v>3293</v>
      </c>
      <c r="T981" s="273">
        <v>12.5</v>
      </c>
      <c r="U981" s="289">
        <v>23.9</v>
      </c>
      <c r="V981" s="280"/>
      <c r="W981" s="244"/>
      <c r="X981" s="244"/>
      <c r="Y981" s="362"/>
      <c r="Z981" s="257">
        <f>altaz(J2000_Bas,$O981,$M981,DecLat,DecLong,1)</f>
        <v>-4.8764124183000099</v>
      </c>
      <c r="AA981" s="257">
        <f>altaz((J2000_Bas+(2*0.04167)),$O981,$M981,DecLat,DecLong,1)</f>
        <v>17.315665767923164</v>
      </c>
      <c r="AB981" s="257">
        <f>altaz((J2000_Bas+(4*0.04167)),$O981,$M981,DecLat,DecLong,1)</f>
        <v>33.322444447593647</v>
      </c>
      <c r="AC981" s="257">
        <f>altaz((J2000_Bas+(6*0.04167)),$O981,$M981,DecLat,DecLong,1)</f>
        <v>37.036060741743796</v>
      </c>
      <c r="AD981" s="258">
        <f>1+ transit((J2000_Bas-1),$O981,$M981,DecLat,DecLong)/360 + (GMTOffset/24) + (IF(DST="Y", 1, 0)/24)</f>
        <v>1.0166846804734579</v>
      </c>
      <c r="AE981" s="259">
        <f>DATE(2001,9,21)+(M981/360)*365 - (360*((DecLong/360)- (GMTOffset/24) ))</f>
        <v>37168.681423611109</v>
      </c>
      <c r="AF981" s="260">
        <f>IF(DecLat&gt;0,IF((90 - (DecLat-O981))&gt;90, (90 - (O981-DecLat)), (90 - (DecLat-O981))),IF((90 + (DecLat-O981))&gt;90, (90 + (O981-DecLat)), (90 + (DecLat-O981))))</f>
        <v>37.553333333333335</v>
      </c>
      <c r="AG981" s="257">
        <f>angularseperation(MoonRA,MoonDec,$M981,$O981)</f>
        <v>103.84720786361466</v>
      </c>
      <c r="AH981" s="261">
        <f ca="1">MIN(100,IF($O$5&gt;80,0+30*($AG981/100),IF($O$5&gt;70,0+50*($AG981/100),IF($O$5&gt;60,5+50*($AG981/100),IF($O$5&gt;50,10+60*($AG981/100),IF($O$5&gt;40,15+70*($AG981/100),IF($O$5&gt;30,20+70*($AG981/100),IF($O$5&gt;20,40+55*($AG981/100),(80+(20-$O$5)+30*($AG981/100))))))))))</f>
        <v>100</v>
      </c>
      <c r="AI981" s="263"/>
      <c r="AJ981" s="263"/>
      <c r="AK981" s="263"/>
      <c r="AL981" s="263"/>
      <c r="AM981" s="264"/>
      <c r="AN981" s="263"/>
      <c r="AO981" s="263">
        <v>4</v>
      </c>
      <c r="AP981" s="265"/>
      <c r="AQ981" s="265"/>
      <c r="AR981" s="285"/>
      <c r="AS981" s="263"/>
      <c r="AT981" s="263"/>
      <c r="AU981" s="263"/>
      <c r="AV981" s="264"/>
      <c r="AW981" s="263"/>
      <c r="AX981" s="263"/>
      <c r="AY981" s="263"/>
      <c r="AZ981" s="263"/>
      <c r="BA981" s="263"/>
      <c r="BB981" s="263"/>
      <c r="BC981" s="263"/>
      <c r="BD981" s="264"/>
      <c r="BE981" s="263"/>
      <c r="BF981" s="263"/>
      <c r="BG981" s="263"/>
      <c r="BH981" s="263"/>
      <c r="BI981" s="263"/>
      <c r="BJ981" s="404">
        <f>altaz(J2000_Bas,$O981,$M981,DecLat,DecLong,2)</f>
        <v>112.13862901933547</v>
      </c>
      <c r="BK981" s="378" t="s">
        <v>4001</v>
      </c>
      <c r="BL981" s="379">
        <f>IF((2*G981)/60&lt;0.2,0.2,(2*G981)/60)</f>
        <v>0.2</v>
      </c>
      <c r="BM981" s="380">
        <f>MOD((50000+AD981-$B$3+(0/24)),1)</f>
        <v>0.23205161017540377</v>
      </c>
      <c r="BN981" s="381"/>
      <c r="BO981" s="382">
        <v>975</v>
      </c>
    </row>
    <row r="982" spans="1:67" s="24" customFormat="1" ht="15" customHeight="1" x14ac:dyDescent="0.25">
      <c r="A982" s="288" t="s">
        <v>1049</v>
      </c>
      <c r="B982" s="241" t="str">
        <f>HYPERLINK(CONCATENATE($AT$3,BK982,$AU$3),$AV$3)</f>
        <v>S</v>
      </c>
      <c r="C982" s="242" t="str">
        <f>HYPERLINK(CONCATENATE($AT$4,BK982,$AU$4,BL982),$AV$4)</f>
        <v>A</v>
      </c>
      <c r="D982" s="243" t="s">
        <v>5638</v>
      </c>
      <c r="E982" s="244" t="s">
        <v>5625</v>
      </c>
      <c r="F982" s="290">
        <v>4</v>
      </c>
      <c r="G982" s="291">
        <v>1.6</v>
      </c>
      <c r="H982" s="283">
        <v>570</v>
      </c>
      <c r="I982" s="284">
        <v>280</v>
      </c>
      <c r="J982" s="246">
        <v>2</v>
      </c>
      <c r="K982" s="277" t="s">
        <v>7257</v>
      </c>
      <c r="L982" s="248">
        <v>3853</v>
      </c>
      <c r="M982" s="249">
        <f>15*(LEFT(TEXT($L982,"000000"),2)+(MID(TEXT($L982,"000000"),3,2)/60)+(RIGHT(TEXT($L982,"000000"),2)/3600))</f>
        <v>9.7208333333333332</v>
      </c>
      <c r="N982" s="250">
        <v>70349</v>
      </c>
      <c r="O982" s="251">
        <f>IF($N982&gt;0,(LEFT(TEXT($N982,"000000"),2)+(MID(TEXT($N982,"000000"),3,2)/60)+(RIGHT(TEXT($N982,"000000"),2)/3600)),-(MID(TEXT($N982,"000000"),2,2)+(MID(TEXT($N982,"000000"),4,2)/60)+(RIGHT(TEXT($N982,"000000"),2)/3600)))</f>
        <v>7.0636111111111113</v>
      </c>
      <c r="P982" s="252" t="s">
        <v>158</v>
      </c>
      <c r="Q982" s="253"/>
      <c r="R982" s="321" t="s">
        <v>3423</v>
      </c>
      <c r="S982" s="272" t="s">
        <v>3293</v>
      </c>
      <c r="T982" s="273">
        <v>12.5</v>
      </c>
      <c r="U982" s="289">
        <v>22.1</v>
      </c>
      <c r="V982" s="280">
        <v>15</v>
      </c>
      <c r="W982" s="244"/>
      <c r="X982" s="244"/>
      <c r="Y982" s="362"/>
      <c r="Z982" s="257">
        <f>altaz(J2000_Bas,$O982,$M982,DecLat,DecLong,1)</f>
        <v>8.9987515669427225</v>
      </c>
      <c r="AA982" s="257">
        <f>altaz((J2000_Bas+(2*0.04167)),$O982,$M982,DecLat,DecLong,1)</f>
        <v>34.592163834982337</v>
      </c>
      <c r="AB982" s="257">
        <f>altaz((J2000_Bas+(4*0.04167)),$O982,$M982,DecLat,DecLong,1)</f>
        <v>57.474430015157282</v>
      </c>
      <c r="AC982" s="257">
        <f>altaz((J2000_Bas+(6*0.04167)),$O982,$M982,DecLat,DecLong,1)</f>
        <v>65.294572034365501</v>
      </c>
      <c r="AD982" s="258">
        <f>1+ transit((J2000_Bas-1),$O982,$M982,DecLat,DecLong)/360 + (GMTOffset/24) + (IF(DST="Y", 1, 0)/24)</f>
        <v>1.0199022727442912</v>
      </c>
      <c r="AE982" s="259">
        <f>DATE(2001,9,21)+(M982/360)*365 - (360*((DecLong/360)- (GMTOffset/24) ))</f>
        <v>37169.855844907404</v>
      </c>
      <c r="AF982" s="260">
        <f>IF(DecLat&gt;0,IF((90 - (DecLat-O982))&gt;90, (90 - (O982-DecLat)), (90 - (DecLat-O982))),IF((90 + (DecLat-O982))&gt;90, (90 + (O982-DecLat)), (90 + (DecLat-O982))))</f>
        <v>66.063611111111115</v>
      </c>
      <c r="AG982" s="257">
        <f>angularseperation(MoonRA,MoonDec,$M982,$O982)</f>
        <v>120.27561042373019</v>
      </c>
      <c r="AH982" s="261">
        <f ca="1">MIN(100,IF($O$5&gt;80,0+30*($AG982/100),IF($O$5&gt;70,0+50*($AG982/100),IF($O$5&gt;60,5+50*($AG982/100),IF($O$5&gt;50,10+60*($AG982/100),IF($O$5&gt;40,15+70*($AG982/100),IF($O$5&gt;30,20+70*($AG982/100),IF($O$5&gt;20,40+55*($AG982/100),(80+(20-$O$5)+30*($AG982/100))))))))))</f>
        <v>100</v>
      </c>
      <c r="AI982" s="263">
        <v>190</v>
      </c>
      <c r="AJ982" s="263"/>
      <c r="AK982" s="263"/>
      <c r="AL982" s="263"/>
      <c r="AM982" s="264"/>
      <c r="AN982" s="263"/>
      <c r="AO982" s="263">
        <v>5</v>
      </c>
      <c r="AP982" s="265"/>
      <c r="AQ982" s="265">
        <v>397</v>
      </c>
      <c r="AR982" s="285">
        <v>2324</v>
      </c>
      <c r="AS982" s="263"/>
      <c r="AT982" s="263"/>
      <c r="AU982" s="263"/>
      <c r="AV982" s="264"/>
      <c r="AW982" s="263"/>
      <c r="AX982" s="263"/>
      <c r="AY982" s="263"/>
      <c r="AZ982" s="263"/>
      <c r="BA982" s="263"/>
      <c r="BB982" s="263"/>
      <c r="BC982" s="263"/>
      <c r="BD982" s="264"/>
      <c r="BE982" s="263"/>
      <c r="BF982" s="263"/>
      <c r="BG982" s="263"/>
      <c r="BH982" s="263"/>
      <c r="BI982" s="263"/>
      <c r="BJ982" s="404">
        <f>altaz(J2000_Bas,$O982,$M982,DecLat,DecLong,2)</f>
        <v>87.128477168615746</v>
      </c>
      <c r="BK982" s="378" t="s">
        <v>4002</v>
      </c>
      <c r="BL982" s="379">
        <f>IF((2*G982)/60&lt;0.2,0.2,(2*G982)/60)</f>
        <v>0.2</v>
      </c>
      <c r="BM982" s="380">
        <f>MOD((50000+AD982-$B$3+(0/24)),1)</f>
        <v>0.23526920245058136</v>
      </c>
      <c r="BN982" s="381"/>
      <c r="BO982" s="382">
        <v>976</v>
      </c>
    </row>
    <row r="983" spans="1:67" s="24" customFormat="1" ht="15" customHeight="1" x14ac:dyDescent="0.25">
      <c r="A983" s="288" t="s">
        <v>1050</v>
      </c>
      <c r="B983" s="241" t="str">
        <f>HYPERLINK(CONCATENATE($AT$3,BK983,$AU$3),$AV$3)</f>
        <v>S</v>
      </c>
      <c r="C983" s="242" t="str">
        <f>HYPERLINK(CONCATENATE($AT$4,BK983,$AU$4,BL983),$AV$4)</f>
        <v>A</v>
      </c>
      <c r="D983" s="243" t="s">
        <v>5638</v>
      </c>
      <c r="E983" s="244" t="s">
        <v>5625</v>
      </c>
      <c r="F983" s="290">
        <v>4</v>
      </c>
      <c r="G983" s="291">
        <v>1.6</v>
      </c>
      <c r="H983" s="283">
        <v>540</v>
      </c>
      <c r="I983" s="284">
        <v>260</v>
      </c>
      <c r="J983" s="246">
        <v>2</v>
      </c>
      <c r="K983" s="277" t="s">
        <v>7609</v>
      </c>
      <c r="L983" s="248">
        <v>3910</v>
      </c>
      <c r="M983" s="249">
        <f>15*(LEFT(TEXT($L983,"000000"),2)+(MID(TEXT($L983,"000000"),3,2)/60)+(RIGHT(TEXT($L983,"000000"),2)/3600))</f>
        <v>9.7916666666666661</v>
      </c>
      <c r="N983" s="250">
        <v>-82344</v>
      </c>
      <c r="O983" s="251">
        <f>IF($N983&gt;0,(LEFT(TEXT($N983,"000000"),2)+(MID(TEXT($N983,"000000"),3,2)/60)+(RIGHT(TEXT($N983,"000000"),2)/3600)),-(MID(TEXT($N983,"000000"),2,2)+(MID(TEXT($N983,"000000"),4,2)/60)+(RIGHT(TEXT($N983,"000000"),2)/3600)))</f>
        <v>-8.3955555555555552</v>
      </c>
      <c r="P983" s="252" t="s">
        <v>75</v>
      </c>
      <c r="Q983" s="253"/>
      <c r="R983" s="321"/>
      <c r="S983" s="272" t="s">
        <v>3293</v>
      </c>
      <c r="T983" s="273">
        <v>12.3</v>
      </c>
      <c r="U983" s="289">
        <v>21.9</v>
      </c>
      <c r="V983" s="280"/>
      <c r="W983" s="244"/>
      <c r="X983" s="244"/>
      <c r="Y983" s="362"/>
      <c r="Z983" s="257">
        <f>altaz(J2000_Bas,$O983,$M983,DecLat,DecLong,1)</f>
        <v>0.94794067959719974</v>
      </c>
      <c r="AA983" s="257">
        <f>altaz((J2000_Bas+(2*0.04167)),$O983,$M983,DecLat,DecLong,1)</f>
        <v>25.262361195134751</v>
      </c>
      <c r="AB983" s="257">
        <f>altaz((J2000_Bas+(4*0.04167)),$O983,$M983,DecLat,DecLong,1)</f>
        <v>44.566906295698971</v>
      </c>
      <c r="AC983" s="257">
        <f>altaz((J2000_Bas+(6*0.04167)),$O983,$M983,DecLat,DecLong,1)</f>
        <v>50.12017947336021</v>
      </c>
      <c r="AD983" s="258">
        <f>1+ transit((J2000_Bas-1),$O983,$M983,DecLat,DecLong)/360 + (GMTOffset/24) + (IF(DST="Y", 1, 0)/24)</f>
        <v>1.0200990319838747</v>
      </c>
      <c r="AE983" s="259">
        <f>DATE(2001,9,21)+(M983/360)*365 - (360*((DecLong/360)- (GMTOffset/24) ))</f>
        <v>37169.927662037036</v>
      </c>
      <c r="AF983" s="260">
        <f>IF(DecLat&gt;0,IF((90 - (DecLat-O983))&gt;90, (90 - (O983-DecLat)), (90 - (DecLat-O983))),IF((90 + (DecLat-O983))&gt;90, (90 + (O983-DecLat)), (90 + (DecLat-O983))))</f>
        <v>50.604444444444447</v>
      </c>
      <c r="AG983" s="257">
        <f>angularseperation(MoonRA,MoonDec,$M983,$O983)</f>
        <v>112.40935557003324</v>
      </c>
      <c r="AH983" s="261">
        <f ca="1">MIN(100,IF($O$5&gt;80,0+30*($AG983/100),IF($O$5&gt;70,0+50*($AG983/100),IF($O$5&gt;60,5+50*($AG983/100),IF($O$5&gt;50,10+60*($AG983/100),IF($O$5&gt;40,15+70*($AG983/100),IF($O$5&gt;30,20+70*($AG983/100),IF($O$5&gt;20,40+55*($AG983/100),(80+(20-$O$5)+30*($AG983/100))))))))))</f>
        <v>100</v>
      </c>
      <c r="AI983" s="263"/>
      <c r="AJ983" s="263"/>
      <c r="AK983" s="263"/>
      <c r="AL983" s="263"/>
      <c r="AM983" s="264"/>
      <c r="AN983" s="263"/>
      <c r="AO983" s="263">
        <v>6</v>
      </c>
      <c r="AP983" s="265"/>
      <c r="AQ983" s="265"/>
      <c r="AR983" s="285"/>
      <c r="AS983" s="263"/>
      <c r="AT983" s="263"/>
      <c r="AU983" s="263"/>
      <c r="AV983" s="264"/>
      <c r="AW983" s="263"/>
      <c r="AX983" s="263"/>
      <c r="AY983" s="263"/>
      <c r="AZ983" s="263"/>
      <c r="BA983" s="263"/>
      <c r="BB983" s="263"/>
      <c r="BC983" s="263"/>
      <c r="BD983" s="264"/>
      <c r="BE983" s="263"/>
      <c r="BF983" s="263"/>
      <c r="BG983" s="263"/>
      <c r="BH983" s="263"/>
      <c r="BI983" s="263"/>
      <c r="BJ983" s="404">
        <f>altaz(J2000_Bas,$O983,$M983,DecLat,DecLong,2)</f>
        <v>100.38729775709943</v>
      </c>
      <c r="BK983" s="378" t="s">
        <v>4003</v>
      </c>
      <c r="BL983" s="379">
        <f>IF((2*G983)/60&lt;0.2,0.2,(2*G983)/60)</f>
        <v>0.2</v>
      </c>
      <c r="BM983" s="380">
        <f>MOD((50000+AD983-$B$3+(0/24)),1)</f>
        <v>0.23546596169035183</v>
      </c>
      <c r="BN983" s="381"/>
      <c r="BO983" s="382">
        <v>977</v>
      </c>
    </row>
    <row r="984" spans="1:67" s="24" customFormat="1" ht="15" customHeight="1" x14ac:dyDescent="0.25">
      <c r="A984" s="288" t="s">
        <v>1051</v>
      </c>
      <c r="B984" s="241" t="str">
        <f>HYPERLINK(CONCATENATE($AT$3,BK984,$AU$3),$AV$3)</f>
        <v>S</v>
      </c>
      <c r="C984" s="242" t="str">
        <f>HYPERLINK(CONCATENATE($AT$4,BK984,$AU$4,BL984),$AV$4)</f>
        <v>A</v>
      </c>
      <c r="D984" s="243" t="s">
        <v>5638</v>
      </c>
      <c r="E984" s="244" t="s">
        <v>5625</v>
      </c>
      <c r="F984" s="290">
        <v>4</v>
      </c>
      <c r="G984" s="291">
        <v>5.7</v>
      </c>
      <c r="H984" s="283">
        <v>200</v>
      </c>
      <c r="I984" s="284">
        <v>350</v>
      </c>
      <c r="J984" s="246">
        <v>2</v>
      </c>
      <c r="K984" s="247" t="s">
        <v>7611</v>
      </c>
      <c r="L984" s="248">
        <v>3924</v>
      </c>
      <c r="M984" s="249">
        <f>15*(LEFT(TEXT($L984,"000000"),2)+(MID(TEXT($L984,"000000"),3,2)/60)+(RIGHT(TEXT($L984,"000000"),2)/3600))</f>
        <v>9.8500000000000014</v>
      </c>
      <c r="N984" s="250">
        <v>5241</v>
      </c>
      <c r="O984" s="251">
        <f>IF($N984&gt;0,(LEFT(TEXT($N984,"000000"),2)+(MID(TEXT($N984,"000000"),3,2)/60)+(RIGHT(TEXT($N984,"000000"),2)/3600)),-(MID(TEXT($N984,"000000"),2,2)+(MID(TEXT($N984,"000000"),4,2)/60)+(RIGHT(TEXT($N984,"000000"),2)/3600)))</f>
        <v>0.87805555555555559</v>
      </c>
      <c r="P984" s="252" t="s">
        <v>75</v>
      </c>
      <c r="Q984" s="253"/>
      <c r="R984" s="292" t="s">
        <v>3424</v>
      </c>
      <c r="S984" s="272" t="s">
        <v>3293</v>
      </c>
      <c r="T984" s="273">
        <v>11.4</v>
      </c>
      <c r="U984" s="289">
        <v>23.8</v>
      </c>
      <c r="V984" s="280">
        <v>60</v>
      </c>
      <c r="W984" s="244"/>
      <c r="X984" s="244"/>
      <c r="Y984" s="362"/>
      <c r="Z984" s="257">
        <f>altaz(J2000_Bas,$O984,$M984,DecLat,DecLong,1)</f>
        <v>5.724817869504486</v>
      </c>
      <c r="AA984" s="257">
        <f>altaz((J2000_Bas+(2*0.04167)),$O984,$M984,DecLat,DecLong,1)</f>
        <v>30.966020131402736</v>
      </c>
      <c r="AB984" s="257">
        <f>altaz((J2000_Bas+(4*0.04167)),$O984,$M984,DecLat,DecLong,1)</f>
        <v>52.448609587610598</v>
      </c>
      <c r="AC984" s="257">
        <f>altaz((J2000_Bas+(6*0.04167)),$O984,$M984,DecLat,DecLong,1)</f>
        <v>59.27254465544241</v>
      </c>
      <c r="AD984" s="258">
        <f>1+ transit((J2000_Bas-1),$O984,$M984,DecLat,DecLong)/360 + (GMTOffset/24) + (IF(DST="Y", 1, 0)/24)</f>
        <v>1.020261069004708</v>
      </c>
      <c r="AE984" s="259">
        <f>DATE(2001,9,21)+(M984/360)*365 - (360*((DecLong/360)- (GMTOffset/24) ))</f>
        <v>37169.986805555556</v>
      </c>
      <c r="AF984" s="260">
        <f>IF(DecLat&gt;0,IF((90 - (DecLat-O984))&gt;90, (90 - (O984-DecLat)), (90 - (DecLat-O984))),IF((90 + (DecLat-O984))&gt;90, (90 + (O984-DecLat)), (90 + (DecLat-O984))))</f>
        <v>59.878055555555555</v>
      </c>
      <c r="AG984" s="257">
        <f>angularseperation(MoonRA,MoonDec,$M984,$O984)</f>
        <v>117.40334625214939</v>
      </c>
      <c r="AH984" s="261">
        <f ca="1">MIN(100,IF($O$5&gt;80,0+30*($AG984/100),IF($O$5&gt;70,0+50*($AG984/100),IF($O$5&gt;60,5+50*($AG984/100),IF($O$5&gt;50,10+60*($AG984/100),IF($O$5&gt;40,15+70*($AG984/100),IF($O$5&gt;30,20+70*($AG984/100),IF($O$5&gt;20,40+55*($AG984/100),(80+(20-$O$5)+30*($AG984/100))))))))))</f>
        <v>100</v>
      </c>
      <c r="AI984" s="262">
        <v>192</v>
      </c>
      <c r="AJ984" s="262"/>
      <c r="AK984" s="262"/>
      <c r="AL984" s="263"/>
      <c r="AM984" s="264"/>
      <c r="AN984" s="263"/>
      <c r="AO984" s="263">
        <v>7</v>
      </c>
      <c r="AP984" s="265"/>
      <c r="AQ984" s="266">
        <v>401</v>
      </c>
      <c r="AR984" s="267">
        <v>2352</v>
      </c>
      <c r="AS984" s="263"/>
      <c r="AT984" s="263"/>
      <c r="AU984" s="263"/>
      <c r="AV984" s="264"/>
      <c r="AW984" s="263"/>
      <c r="AX984" s="263"/>
      <c r="AY984" s="263"/>
      <c r="AZ984" s="263"/>
      <c r="BA984" s="263"/>
      <c r="BB984" s="263"/>
      <c r="BC984" s="263"/>
      <c r="BD984" s="264"/>
      <c r="BE984" s="263"/>
      <c r="BF984" s="263"/>
      <c r="BG984" s="263"/>
      <c r="BH984" s="263"/>
      <c r="BI984" s="263"/>
      <c r="BJ984" s="404">
        <f>altaz(J2000_Bas,$O984,$M984,DecLat,DecLong,2)</f>
        <v>92.422568947976558</v>
      </c>
      <c r="BK984" s="378" t="s">
        <v>4004</v>
      </c>
      <c r="BL984" s="379">
        <f>IF((2*G984)/60&lt;0.2,0.2,(2*G984)/60)</f>
        <v>0.2</v>
      </c>
      <c r="BM984" s="380">
        <f>MOD((50000+AD984-$B$3+(0/24)),1)</f>
        <v>0.23562799870705931</v>
      </c>
      <c r="BN984" s="381"/>
      <c r="BO984" s="382">
        <v>978</v>
      </c>
    </row>
    <row r="985" spans="1:67" s="24" customFormat="1" ht="15" customHeight="1" x14ac:dyDescent="0.25">
      <c r="A985" s="288" t="s">
        <v>1052</v>
      </c>
      <c r="B985" s="241" t="str">
        <f>HYPERLINK(CONCATENATE($AT$3,BK985,$AU$3),$AV$3)</f>
        <v>S</v>
      </c>
      <c r="C985" s="242" t="str">
        <f>HYPERLINK(CONCATENATE($AT$4,BK985,$AU$4,BL985),$AV$4)</f>
        <v>A</v>
      </c>
      <c r="D985" s="243" t="s">
        <v>5638</v>
      </c>
      <c r="E985" s="244" t="s">
        <v>5625</v>
      </c>
      <c r="F985" s="290">
        <v>4</v>
      </c>
      <c r="G985" s="291">
        <v>1.2</v>
      </c>
      <c r="H985" s="283">
        <v>750</v>
      </c>
      <c r="I985" s="284">
        <v>270</v>
      </c>
      <c r="J985" s="246">
        <v>2</v>
      </c>
      <c r="K985" s="277" t="s">
        <v>7612</v>
      </c>
      <c r="L985" s="248">
        <v>4937</v>
      </c>
      <c r="M985" s="249">
        <f>15*(LEFT(TEXT($L985,"000000"),2)+(MID(TEXT($L985,"000000"),3,2)/60)+(RIGHT(TEXT($L985,"000000"),2)/3600))</f>
        <v>12.404166666666667</v>
      </c>
      <c r="N985" s="250">
        <v>233451</v>
      </c>
      <c r="O985" s="251">
        <f>IF($N985&gt;0,(LEFT(TEXT($N985,"000000"),2)+(MID(TEXT($N985,"000000"),3,2)/60)+(RIGHT(TEXT($N985,"000000"),2)/3600)),-(MID(TEXT($N985,"000000"),2,2)+(MID(TEXT($N985,"000000"),4,2)/60)+(RIGHT(TEXT($N985,"000000"),2)/3600)))</f>
        <v>23.580833333333334</v>
      </c>
      <c r="P985" s="252" t="s">
        <v>36</v>
      </c>
      <c r="Q985" s="253"/>
      <c r="R985" s="321"/>
      <c r="S985" s="272" t="s">
        <v>3293</v>
      </c>
      <c r="T985" s="273">
        <v>12.3</v>
      </c>
      <c r="U985" s="289">
        <v>21.2</v>
      </c>
      <c r="V985" s="280"/>
      <c r="W985" s="244"/>
      <c r="X985" s="244"/>
      <c r="Y985" s="362"/>
      <c r="Z985" s="257">
        <f>altaz(J2000_Bas,$O985,$M985,DecLat,DecLong,1)</f>
        <v>14.793951623614882</v>
      </c>
      <c r="AA985" s="257">
        <f>altaz((J2000_Bas+(2*0.04167)),$O985,$M985,DecLat,DecLong,1)</f>
        <v>39.920490900705367</v>
      </c>
      <c r="AB985" s="257">
        <f>altaz((J2000_Bas+(4*0.04167)),$O985,$M985,DecLat,DecLong,1)</f>
        <v>65.604841815980876</v>
      </c>
      <c r="AC985" s="257">
        <f>altaz((J2000_Bas+(6*0.04167)),$O985,$M985,DecLat,DecLong,1)</f>
        <v>81.830984023277097</v>
      </c>
      <c r="AD985" s="258">
        <f>1+ transit((J2000_Bas-1),$O985,$M985,DecLat,DecLong)/360 + (GMTOffset/24) + (IF(DST="Y", 1, 0)/24)</f>
        <v>1.0273559757026247</v>
      </c>
      <c r="AE985" s="259">
        <f>DATE(2001,9,21)+(M985/360)*365 - (360*((DecLong/360)- (GMTOffset/24) ))</f>
        <v>37172.57644675926</v>
      </c>
      <c r="AF985" s="260">
        <f>IF(DecLat&gt;0,IF((90 - (DecLat-O985))&gt;90, (90 - (O985-DecLat)), (90 - (DecLat-O985))),IF((90 + (DecLat-O985))&gt;90, (90 + (O985-DecLat)), (90 + (DecLat-O985))))</f>
        <v>82.580833333333331</v>
      </c>
      <c r="AG985" s="257">
        <f>angularseperation(MoonRA,MoonDec,$M985,$O985)</f>
        <v>128.93926323386103</v>
      </c>
      <c r="AH985" s="261">
        <f ca="1">MIN(100,IF($O$5&gt;80,0+30*($AG985/100),IF($O$5&gt;70,0+50*($AG985/100),IF($O$5&gt;60,5+50*($AG985/100),IF($O$5&gt;50,10+60*($AG985/100),IF($O$5&gt;40,15+70*($AG985/100),IF($O$5&gt;30,20+70*($AG985/100),IF($O$5&gt;20,40+55*($AG985/100),(80+(20-$O$5)+30*($AG985/100))))))))))</f>
        <v>100</v>
      </c>
      <c r="AI985" s="263"/>
      <c r="AJ985" s="263"/>
      <c r="AK985" s="263"/>
      <c r="AL985" s="263"/>
      <c r="AM985" s="264"/>
      <c r="AN985" s="263"/>
      <c r="AO985" s="263">
        <v>8</v>
      </c>
      <c r="AP985" s="265"/>
      <c r="AQ985" s="265"/>
      <c r="AR985" s="285"/>
      <c r="AS985" s="263"/>
      <c r="AT985" s="263"/>
      <c r="AU985" s="263"/>
      <c r="AV985" s="264"/>
      <c r="AW985" s="263"/>
      <c r="AX985" s="263"/>
      <c r="AY985" s="263"/>
      <c r="AZ985" s="263"/>
      <c r="BA985" s="263"/>
      <c r="BB985" s="263"/>
      <c r="BC985" s="263"/>
      <c r="BD985" s="264"/>
      <c r="BE985" s="263"/>
      <c r="BF985" s="263"/>
      <c r="BG985" s="263"/>
      <c r="BH985" s="263"/>
      <c r="BI985" s="263"/>
      <c r="BJ985" s="404">
        <f>altaz(J2000_Bas,$O985,$M985,DecLat,DecLong,2)</f>
        <v>71.09390758485705</v>
      </c>
      <c r="BK985" s="378" t="s">
        <v>4005</v>
      </c>
      <c r="BL985" s="379">
        <f>IF((2*G985)/60&lt;0.2,0.2,(2*G985)/60)</f>
        <v>0.2</v>
      </c>
      <c r="BM985" s="380">
        <f>MOD((50000+AD985-$B$3+(0/24)),1)</f>
        <v>0.24272290540829999</v>
      </c>
      <c r="BN985" s="381"/>
      <c r="BO985" s="382">
        <v>979</v>
      </c>
    </row>
    <row r="986" spans="1:67" s="24" customFormat="1" ht="15" customHeight="1" x14ac:dyDescent="0.25">
      <c r="A986" s="288" t="s">
        <v>1053</v>
      </c>
      <c r="B986" s="241" t="str">
        <f>HYPERLINK(CONCATENATE($AT$3,BK986,$AU$3),$AV$3)</f>
        <v>S</v>
      </c>
      <c r="C986" s="242" t="str">
        <f>HYPERLINK(CONCATENATE($AT$4,BK986,$AU$4,BL986),$AV$4)</f>
        <v>A</v>
      </c>
      <c r="D986" s="243" t="s">
        <v>5638</v>
      </c>
      <c r="E986" s="244" t="s">
        <v>5625</v>
      </c>
      <c r="F986" s="290">
        <v>4</v>
      </c>
      <c r="G986" s="291">
        <v>2.1</v>
      </c>
      <c r="H986" s="283">
        <v>940</v>
      </c>
      <c r="I986" s="284">
        <v>600</v>
      </c>
      <c r="J986" s="246">
        <v>2</v>
      </c>
      <c r="K986" s="247" t="s">
        <v>7610</v>
      </c>
      <c r="L986" s="248">
        <v>5418</v>
      </c>
      <c r="M986" s="249">
        <f>15*(LEFT(TEXT($L986,"000000"),2)+(MID(TEXT($L986,"000000"),3,2)/60)+(RIGHT(TEXT($L986,"000000"),2)/3600))</f>
        <v>13.575000000000001</v>
      </c>
      <c r="N986" s="250">
        <v>-233305</v>
      </c>
      <c r="O986" s="251">
        <f>IF($N986&gt;0,(LEFT(TEXT($N986,"000000"),2)+(MID(TEXT($N986,"000000"),3,2)/60)+(RIGHT(TEXT($N986,"000000"),2)/3600)),-(MID(TEXT($N986,"000000"),2,2)+(MID(TEXT($N986,"000000"),4,2)/60)+(RIGHT(TEXT($N986,"000000"),2)/3600)))</f>
        <v>-23.551388888888891</v>
      </c>
      <c r="P986" s="252" t="s">
        <v>75</v>
      </c>
      <c r="Q986" s="253"/>
      <c r="R986" s="292"/>
      <c r="S986" s="272" t="s">
        <v>3293</v>
      </c>
      <c r="T986" s="273">
        <v>13.1</v>
      </c>
      <c r="U986" s="289">
        <v>23.2</v>
      </c>
      <c r="V986" s="280"/>
      <c r="W986" s="244"/>
      <c r="X986" s="244"/>
      <c r="Y986" s="362"/>
      <c r="Z986" s="257">
        <f>altaz(J2000_Bas,$O986,$M986,DecLat,DecLong,1)</f>
        <v>-9.9338718720189494</v>
      </c>
      <c r="AA986" s="257">
        <f>altaz((J2000_Bas+(2*0.04167)),$O986,$M986,DecLat,DecLong,1)</f>
        <v>12.505808460379422</v>
      </c>
      <c r="AB986" s="257">
        <f>altaz((J2000_Bas+(4*0.04167)),$O986,$M986,DecLat,DecLong,1)</f>
        <v>29.45901375919038</v>
      </c>
      <c r="AC986" s="257">
        <f>altaz((J2000_Bas+(6*0.04167)),$O986,$M986,DecLat,DecLong,1)</f>
        <v>35.388130996121625</v>
      </c>
      <c r="AD986" s="258">
        <f>1+ transit((J2000_Bas-1),$O986,$M986,DecLat,DecLong)/360 + (GMTOffset/24) + (IF(DST="Y", 1, 0)/24)</f>
        <v>1.030608290192208</v>
      </c>
      <c r="AE986" s="259">
        <f>DATE(2001,9,21)+(M986/360)*365 - (360*((DecLong/360)- (GMTOffset/24) ))</f>
        <v>37173.763541666667</v>
      </c>
      <c r="AF986" s="260">
        <f>IF(DecLat&gt;0,IF((90 - (DecLat-O986))&gt;90, (90 - (O986-DecLat)), (90 - (DecLat-O986))),IF((90 + (DecLat-O986))&gt;90, (90 + (O986-DecLat)), (90 + (DecLat-O986))))</f>
        <v>35.448611111111106</v>
      </c>
      <c r="AG986" s="257">
        <f>angularseperation(MoonRA,MoonDec,$M986,$O986)</f>
        <v>106.16483392219193</v>
      </c>
      <c r="AH986" s="261">
        <f ca="1">MIN(100,IF($O$5&gt;80,0+30*($AG986/100),IF($O$5&gt;70,0+50*($AG986/100),IF($O$5&gt;60,5+50*($AG986/100),IF($O$5&gt;50,10+60*($AG986/100),IF($O$5&gt;40,15+70*($AG986/100),IF($O$5&gt;30,20+70*($AG986/100),IF($O$5&gt;20,40+55*($AG986/100),(80+(20-$O$5)+30*($AG986/100))))))))))</f>
        <v>100</v>
      </c>
      <c r="AI986" s="262"/>
      <c r="AJ986" s="262"/>
      <c r="AK986" s="262"/>
      <c r="AL986" s="263"/>
      <c r="AM986" s="264"/>
      <c r="AN986" s="263"/>
      <c r="AO986" s="263">
        <v>9</v>
      </c>
      <c r="AP986" s="265"/>
      <c r="AQ986" s="266"/>
      <c r="AR986" s="267"/>
      <c r="AS986" s="263"/>
      <c r="AT986" s="263"/>
      <c r="AU986" s="263"/>
      <c r="AV986" s="264"/>
      <c r="AW986" s="263"/>
      <c r="AX986" s="263"/>
      <c r="AY986" s="263"/>
      <c r="AZ986" s="263"/>
      <c r="BA986" s="263"/>
      <c r="BB986" s="263"/>
      <c r="BC986" s="263"/>
      <c r="BD986" s="264"/>
      <c r="BE986" s="263"/>
      <c r="BF986" s="263"/>
      <c r="BG986" s="263"/>
      <c r="BH986" s="263"/>
      <c r="BI986" s="263"/>
      <c r="BJ986" s="404">
        <f>altaz(J2000_Bas,$O986,$M986,DecLat,DecLong,2)</f>
        <v>111.59328019260381</v>
      </c>
      <c r="BK986" s="378" t="s">
        <v>4006</v>
      </c>
      <c r="BL986" s="379">
        <f>IF((2*G986)/60&lt;0.2,0.2,(2*G986)/60)</f>
        <v>0.2</v>
      </c>
      <c r="BM986" s="380">
        <f>MOD((50000+AD986-$B$3+(0/24)),1)</f>
        <v>0.24597521989926463</v>
      </c>
      <c r="BN986" s="381" t="s">
        <v>9239</v>
      </c>
      <c r="BO986" s="382">
        <v>980</v>
      </c>
    </row>
    <row r="987" spans="1:67" s="24" customFormat="1" ht="15" customHeight="1" x14ac:dyDescent="0.25">
      <c r="A987" s="288" t="s">
        <v>1054</v>
      </c>
      <c r="B987" s="241" t="str">
        <f>HYPERLINK(CONCATENATE($AT$3,BK987,$AU$3),$AV$3)</f>
        <v>S</v>
      </c>
      <c r="C987" s="242" t="str">
        <f>HYPERLINK(CONCATENATE($AT$4,BK987,$AU$4,BL987),$AV$4)</f>
        <v>A</v>
      </c>
      <c r="D987" s="243" t="s">
        <v>5638</v>
      </c>
      <c r="E987" s="244" t="s">
        <v>5625</v>
      </c>
      <c r="F987" s="290">
        <v>4</v>
      </c>
      <c r="G987" s="282">
        <v>11</v>
      </c>
      <c r="H987" s="283">
        <v>240</v>
      </c>
      <c r="I987" s="284">
        <v>800</v>
      </c>
      <c r="J987" s="246">
        <v>3</v>
      </c>
      <c r="K987" s="247" t="s">
        <v>7613</v>
      </c>
      <c r="L987" s="248">
        <v>12625</v>
      </c>
      <c r="M987" s="249">
        <f>15*(LEFT(TEXT($L987,"000000"),2)+(MID(TEXT($L987,"000000"),3,2)/60)+(RIGHT(TEXT($L987,"000000"),2)/3600))</f>
        <v>21.604166666666668</v>
      </c>
      <c r="N987" s="250">
        <v>344210</v>
      </c>
      <c r="O987" s="251">
        <f>IF($N987&gt;0,(LEFT(TEXT($N987,"000000"),2)+(MID(TEXT($N987,"000000"),3,2)/60)+(RIGHT(TEXT($N987,"000000"),2)/3600)),-(MID(TEXT($N987,"000000"),2,2)+(MID(TEXT($N987,"000000"),4,2)/60)+(RIGHT(TEXT($N987,"000000"),2)/3600)))</f>
        <v>34.702777777777783</v>
      </c>
      <c r="P987" s="252" t="s">
        <v>36</v>
      </c>
      <c r="Q987" s="253"/>
      <c r="R987" s="292" t="s">
        <v>3440</v>
      </c>
      <c r="S987" s="272" t="s">
        <v>3293</v>
      </c>
      <c r="T987" s="273">
        <v>10.1</v>
      </c>
      <c r="U987" s="289">
        <v>23.9</v>
      </c>
      <c r="V987" s="280"/>
      <c r="W987" s="244"/>
      <c r="X987" s="244"/>
      <c r="Y987" s="362"/>
      <c r="Z987" s="257">
        <f>altaz(J2000_Bas,$O987,$M987,DecLat,DecLong,1)</f>
        <v>12.969743856699203</v>
      </c>
      <c r="AA987" s="257">
        <f>altaz((J2000_Bas+(2*0.04167)),$O987,$M987,DecLat,DecLong,1)</f>
        <v>35.821477546215696</v>
      </c>
      <c r="AB987" s="257">
        <f>altaz((J2000_Bas+(4*0.04167)),$O987,$M987,DecLat,DecLong,1)</f>
        <v>60.158279471621547</v>
      </c>
      <c r="AC987" s="257">
        <f>altaz((J2000_Bas+(6*0.04167)),$O987,$M987,DecLat,DecLong,1)</f>
        <v>84.179816106059633</v>
      </c>
      <c r="AD987" s="258">
        <f>1+ transit((J2000_Bas-1),$O987,$M987,DecLat,DecLong)/360 + (GMTOffset/24) + (IF(DST="Y", 1, 0)/24)</f>
        <v>1.0529115287026247</v>
      </c>
      <c r="AE987" s="259">
        <f>DATE(2001,9,21)+(M987/360)*365 - (360*((DecLong/360)- (GMTOffset/24) ))</f>
        <v>37181.904224537036</v>
      </c>
      <c r="AF987" s="260">
        <f>IF(DecLat&gt;0,IF((90 - (DecLat-O987))&gt;90, (90 - (O987-DecLat)), (90 - (DecLat-O987))),IF((90 + (DecLat-O987))&gt;90, (90 + (O987-DecLat)), (90 + (DecLat-O987))))</f>
        <v>86.297222222222217</v>
      </c>
      <c r="AG987" s="257">
        <f>angularseperation(MoonRA,MoonDec,$M987,$O987)</f>
        <v>138.80024409119883</v>
      </c>
      <c r="AH987" s="261">
        <f ca="1">MIN(100,IF($O$5&gt;80,0+30*($AG987/100),IF($O$5&gt;70,0+50*($AG987/100),IF($O$5&gt;60,5+50*($AG987/100),IF($O$5&gt;50,10+60*($AG987/100),IF($O$5&gt;40,15+70*($AG987/100),IF($O$5&gt;30,20+70*($AG987/100),IF($O$5&gt;20,40+55*($AG987/100),(80+(20-$O$5)+30*($AG987/100))))))))))</f>
        <v>100</v>
      </c>
      <c r="AI987" s="262">
        <v>536</v>
      </c>
      <c r="AJ987" s="262"/>
      <c r="AK987" s="262"/>
      <c r="AL987" s="263"/>
      <c r="AM987" s="264"/>
      <c r="AN987" s="263"/>
      <c r="AO987" s="263">
        <v>10</v>
      </c>
      <c r="AP987" s="265"/>
      <c r="AQ987" s="266">
        <v>1013</v>
      </c>
      <c r="AR987" s="267"/>
      <c r="AS987" s="263"/>
      <c r="AT987" s="263"/>
      <c r="AU987" s="263"/>
      <c r="AV987" s="264"/>
      <c r="AW987" s="263"/>
      <c r="AX987" s="263"/>
      <c r="AY987" s="263"/>
      <c r="AZ987" s="263"/>
      <c r="BA987" s="263"/>
      <c r="BB987" s="263"/>
      <c r="BC987" s="263"/>
      <c r="BD987" s="264"/>
      <c r="BE987" s="263"/>
      <c r="BF987" s="263"/>
      <c r="BG987" s="263"/>
      <c r="BH987" s="263"/>
      <c r="BI987" s="263"/>
      <c r="BJ987" s="404">
        <f>altaz(J2000_Bas,$O987,$M987,DecLat,DecLong,2)</f>
        <v>57.098978785060424</v>
      </c>
      <c r="BK987" s="378" t="s">
        <v>4007</v>
      </c>
      <c r="BL987" s="379">
        <f>IF((2*G987)/60&lt;0.2,0.2,(2*G987)/60)</f>
        <v>0.36666666666666664</v>
      </c>
      <c r="BM987" s="380">
        <f>MOD((50000+AD987-$B$3+(0/24)),1)</f>
        <v>0.26827845840307418</v>
      </c>
      <c r="BN987" s="381"/>
      <c r="BO987" s="382">
        <v>981</v>
      </c>
    </row>
    <row r="988" spans="1:67" s="24" customFormat="1" ht="15" customHeight="1" x14ac:dyDescent="0.25">
      <c r="A988" s="288" t="s">
        <v>1055</v>
      </c>
      <c r="B988" s="241" t="str">
        <f>HYPERLINK(CONCATENATE($AT$3,BK988,$AU$3),$AV$3)</f>
        <v>S</v>
      </c>
      <c r="C988" s="242" t="str">
        <f>HYPERLINK(CONCATENATE($AT$4,BK988,$AU$4,BL988),$AV$4)</f>
        <v>A</v>
      </c>
      <c r="D988" s="243" t="s">
        <v>5638</v>
      </c>
      <c r="E988" s="244" t="s">
        <v>5625</v>
      </c>
      <c r="F988" s="290">
        <v>4</v>
      </c>
      <c r="G988" s="291">
        <v>4.9000000000000004</v>
      </c>
      <c r="H988" s="283">
        <v>260</v>
      </c>
      <c r="I988" s="284">
        <v>400</v>
      </c>
      <c r="J988" s="246">
        <v>2</v>
      </c>
      <c r="K988" s="247" t="s">
        <v>3758</v>
      </c>
      <c r="L988" s="248">
        <v>12634</v>
      </c>
      <c r="M988" s="249">
        <f>15*(LEFT(TEXT($L988,"000000"),2)+(MID(TEXT($L988,"000000"),3,2)/60)+(RIGHT(TEXT($L988,"000000"),2)/3600))</f>
        <v>21.641666666666666</v>
      </c>
      <c r="N988" s="250">
        <v>-231353</v>
      </c>
      <c r="O988" s="251">
        <f>IF($N988&gt;0,(LEFT(TEXT($N988,"000000"),2)+(MID(TEXT($N988,"000000"),3,2)/60)+(RIGHT(TEXT($N988,"000000"),2)/3600)),-(MID(TEXT($N988,"000000"),2,2)+(MID(TEXT($N988,"000000"),4,2)/60)+(RIGHT(TEXT($N988,"000000"),2)/3600)))</f>
        <v>-23.231388888888887</v>
      </c>
      <c r="P988" s="252" t="s">
        <v>75</v>
      </c>
      <c r="Q988" s="253"/>
      <c r="R988" s="292"/>
      <c r="S988" s="272" t="s">
        <v>3293</v>
      </c>
      <c r="T988" s="273">
        <v>12.1</v>
      </c>
      <c r="U988" s="289">
        <v>24.2</v>
      </c>
      <c r="V988" s="280"/>
      <c r="W988" s="244"/>
      <c r="X988" s="244"/>
      <c r="Y988" s="362"/>
      <c r="Z988" s="257">
        <f>altaz(J2000_Bas,$O988,$M988,DecLat,DecLong,1)</f>
        <v>-16.293116843754724</v>
      </c>
      <c r="AA988" s="257">
        <f>altaz((J2000_Bas+(2*0.04167)),$O988,$M988,DecLat,DecLong,1)</f>
        <v>7.0539680603226538</v>
      </c>
      <c r="AB988" s="257">
        <f>altaz((J2000_Bas+(4*0.04167)),$O988,$M988,DecLat,DecLong,1)</f>
        <v>25.99787753187718</v>
      </c>
      <c r="AC988" s="257">
        <f>altaz((J2000_Bas+(6*0.04167)),$O988,$M988,DecLat,DecLong,1)</f>
        <v>35.523471275936672</v>
      </c>
      <c r="AD988" s="258">
        <f>1+ transit((J2000_Bas-1),$O988,$M988,DecLat,DecLong)/360 + (GMTOffset/24) + (IF(DST="Y", 1, 0)/24)</f>
        <v>1.0530156953588745</v>
      </c>
      <c r="AE988" s="259">
        <f>DATE(2001,9,21)+(M988/360)*365 - (360*((DecLong/360)- (GMTOffset/24) ))</f>
        <v>37181.942245370374</v>
      </c>
      <c r="AF988" s="260">
        <f>IF(DecLat&gt;0,IF((90 - (DecLat-O988))&gt;90, (90 - (O988-DecLat)), (90 - (DecLat-O988))),IF((90 + (DecLat-O988))&gt;90, (90 + (O988-DecLat)), (90 + (DecLat-O988))))</f>
        <v>35.768611111111113</v>
      </c>
      <c r="AG988" s="257">
        <f>angularseperation(MoonRA,MoonDec,$M988,$O988)</f>
        <v>111.84443542443772</v>
      </c>
      <c r="AH988" s="261">
        <f ca="1">MIN(100,IF($O$5&gt;80,0+30*($AG988/100),IF($O$5&gt;70,0+50*($AG988/100),IF($O$5&gt;60,5+50*($AG988/100),IF($O$5&gt;50,10+60*($AG988/100),IF($O$5&gt;40,15+70*($AG988/100),IF($O$5&gt;30,20+70*($AG988/100),IF($O$5&gt;20,40+55*($AG988/100),(80+(20-$O$5)+30*($AG988/100))))))))))</f>
        <v>100</v>
      </c>
      <c r="AI988" s="262"/>
      <c r="AJ988" s="262"/>
      <c r="AK988" s="262"/>
      <c r="AL988" s="263"/>
      <c r="AM988" s="264"/>
      <c r="AN988" s="263"/>
      <c r="AO988" s="263">
        <v>11</v>
      </c>
      <c r="AP988" s="265"/>
      <c r="AQ988" s="266"/>
      <c r="AR988" s="267"/>
      <c r="AS988" s="263"/>
      <c r="AT988" s="263"/>
      <c r="AU988" s="263"/>
      <c r="AV988" s="264"/>
      <c r="AW988" s="263"/>
      <c r="AX988" s="263"/>
      <c r="AY988" s="263"/>
      <c r="AZ988" s="263"/>
      <c r="BA988" s="263"/>
      <c r="BB988" s="263"/>
      <c r="BC988" s="263"/>
      <c r="BD988" s="264"/>
      <c r="BE988" s="263"/>
      <c r="BF988" s="263"/>
      <c r="BG988" s="263"/>
      <c r="BH988" s="263"/>
      <c r="BI988" s="263"/>
      <c r="BJ988" s="404">
        <f>altaz(J2000_Bas,$O988,$M988,DecLat,DecLong,2)</f>
        <v>107.68609551459798</v>
      </c>
      <c r="BK988" s="378" t="s">
        <v>4008</v>
      </c>
      <c r="BL988" s="379">
        <f>IF((2*G988)/60&lt;0.2,0.2,(2*G988)/60)</f>
        <v>0.2</v>
      </c>
      <c r="BM988" s="380">
        <f>MOD((50000+AD988-$B$3+(0/24)),1)</f>
        <v>0.26838262506498722</v>
      </c>
      <c r="BN988" s="381"/>
      <c r="BO988" s="382">
        <v>982</v>
      </c>
    </row>
    <row r="989" spans="1:67" s="24" customFormat="1" ht="15" customHeight="1" x14ac:dyDescent="0.25">
      <c r="A989" s="288" t="s">
        <v>1056</v>
      </c>
      <c r="B989" s="241" t="str">
        <f>HYPERLINK(CONCATENATE($AT$3,BK989,$AU$3),$AV$3)</f>
        <v>S</v>
      </c>
      <c r="C989" s="242" t="str">
        <f>HYPERLINK(CONCATENATE($AT$4,BK989,$AU$4,BL989),$AV$4)</f>
        <v>A</v>
      </c>
      <c r="D989" s="243" t="s">
        <v>5638</v>
      </c>
      <c r="E989" s="244" t="s">
        <v>5625</v>
      </c>
      <c r="F989" s="290">
        <v>5</v>
      </c>
      <c r="G989" s="291">
        <v>2.6</v>
      </c>
      <c r="H989" s="283">
        <v>670</v>
      </c>
      <c r="I989" s="284">
        <v>500</v>
      </c>
      <c r="J989" s="246">
        <v>2</v>
      </c>
      <c r="K989" s="277" t="s">
        <v>7608</v>
      </c>
      <c r="L989" s="248">
        <v>12734</v>
      </c>
      <c r="M989" s="249">
        <f>15*(LEFT(TEXT($L989,"000000"),2)+(MID(TEXT($L989,"000000"),3,2)/60)+(RIGHT(TEXT($L989,"000000"),2)/3600))</f>
        <v>21.891666666666666</v>
      </c>
      <c r="N989" s="250">
        <v>-44014</v>
      </c>
      <c r="O989" s="251">
        <f>IF($N989&gt;0,(LEFT(TEXT($N989,"000000"),2)+(MID(TEXT($N989,"000000"),3,2)/60)+(RIGHT(TEXT($N989,"000000"),2)/3600)),-(MID(TEXT($N989,"000000"),2,2)+(MID(TEXT($N989,"000000"),4,2)/60)+(RIGHT(TEXT($N989,"000000"),2)/3600)))</f>
        <v>-4.6705555555555556</v>
      </c>
      <c r="P989" s="252" t="s">
        <v>75</v>
      </c>
      <c r="Q989" s="253"/>
      <c r="R989" s="321"/>
      <c r="S989" s="272" t="s">
        <v>3293</v>
      </c>
      <c r="T989" s="273">
        <v>12.9</v>
      </c>
      <c r="U989" s="289">
        <v>23.6</v>
      </c>
      <c r="V989" s="280"/>
      <c r="W989" s="244"/>
      <c r="X989" s="244"/>
      <c r="Y989" s="362"/>
      <c r="Z989" s="257">
        <f>altaz(J2000_Bas,$O989,$M989,DecLat,DecLong,1)</f>
        <v>-7.4460690034980361</v>
      </c>
      <c r="AA989" s="257">
        <f>altaz((J2000_Bas+(2*0.04167)),$O989,$M989,DecLat,DecLong,1)</f>
        <v>17.951211362607793</v>
      </c>
      <c r="AB989" s="257">
        <f>altaz((J2000_Bas+(4*0.04167)),$O989,$M989,DecLat,DecLong,1)</f>
        <v>40.667531397059847</v>
      </c>
      <c r="AC989" s="257">
        <f>altaz((J2000_Bas+(6*0.04167)),$O989,$M989,DecLat,DecLong,1)</f>
        <v>53.925719655312101</v>
      </c>
      <c r="AD989" s="258">
        <f>1+ transit((J2000_Bas-1),$O989,$M989,DecLat,DecLong)/360 + (GMTOffset/24) + (IF(DST="Y", 1, 0)/24)</f>
        <v>1.0537101397338746</v>
      </c>
      <c r="AE989" s="259">
        <f>DATE(2001,9,21)+(M989/360)*365 - (360*((DecLong/360)- (GMTOffset/24) ))</f>
        <v>37182.195717592593</v>
      </c>
      <c r="AF989" s="260">
        <f>IF(DecLat&gt;0,IF((90 - (DecLat-O989))&gt;90, (90 - (O989-DecLat)), (90 - (DecLat-O989))),IF((90 + (DecLat-O989))&gt;90, (90 + (O989-DecLat)), (90 + (DecLat-O989))))</f>
        <v>54.329444444444448</v>
      </c>
      <c r="AG989" s="257">
        <f>angularseperation(MoonRA,MoonDec,$M989,$O989)</f>
        <v>124.3427200513613</v>
      </c>
      <c r="AH989" s="261">
        <f ca="1">MIN(100,IF($O$5&gt;80,0+30*($AG989/100),IF($O$5&gt;70,0+50*($AG989/100),IF($O$5&gt;60,5+50*($AG989/100),IF($O$5&gt;50,10+60*($AG989/100),IF($O$5&gt;40,15+70*($AG989/100),IF($O$5&gt;30,20+70*($AG989/100),IF($O$5&gt;20,40+55*($AG989/100),(80+(20-$O$5)+30*($AG989/100))))))))))</f>
        <v>100</v>
      </c>
      <c r="AI989" s="263"/>
      <c r="AJ989" s="263"/>
      <c r="AK989" s="263"/>
      <c r="AL989" s="263"/>
      <c r="AM989" s="264"/>
      <c r="AN989" s="263"/>
      <c r="AO989" s="263">
        <v>12</v>
      </c>
      <c r="AP989" s="265"/>
      <c r="AQ989" s="265"/>
      <c r="AR989" s="285"/>
      <c r="AS989" s="263"/>
      <c r="AT989" s="263"/>
      <c r="AU989" s="263"/>
      <c r="AV989" s="264"/>
      <c r="AW989" s="263"/>
      <c r="AX989" s="263"/>
      <c r="AY989" s="263"/>
      <c r="AZ989" s="263"/>
      <c r="BA989" s="263"/>
      <c r="BB989" s="263"/>
      <c r="BC989" s="263"/>
      <c r="BD989" s="264"/>
      <c r="BE989" s="263"/>
      <c r="BF989" s="263"/>
      <c r="BG989" s="263"/>
      <c r="BH989" s="263"/>
      <c r="BI989" s="263"/>
      <c r="BJ989" s="404">
        <f>altaz(J2000_Bas,$O989,$M989,DecLat,DecLong,2)</f>
        <v>90.989722003359176</v>
      </c>
      <c r="BK989" s="378" t="s">
        <v>4009</v>
      </c>
      <c r="BL989" s="379">
        <f>IF((2*G989)/60&lt;0.2,0.2,(2*G989)/60)</f>
        <v>0.2</v>
      </c>
      <c r="BM989" s="380">
        <f>MOD((50000+AD989-$B$3+(0/24)),1)</f>
        <v>0.26907706943893572</v>
      </c>
      <c r="BN989" s="381"/>
      <c r="BO989" s="382">
        <v>983</v>
      </c>
    </row>
    <row r="990" spans="1:67" s="24" customFormat="1" ht="15" customHeight="1" x14ac:dyDescent="0.25">
      <c r="A990" s="288" t="s">
        <v>1057</v>
      </c>
      <c r="B990" s="241" t="str">
        <f>HYPERLINK(CONCATENATE($AT$3,BK990,$AU$3),$AV$3)</f>
        <v>S</v>
      </c>
      <c r="C990" s="242" t="str">
        <f>HYPERLINK(CONCATENATE($AT$4,BK990,$AU$4,BL990),$AV$4)</f>
        <v>A</v>
      </c>
      <c r="D990" s="243" t="s">
        <v>5638</v>
      </c>
      <c r="E990" s="244" t="s">
        <v>5625</v>
      </c>
      <c r="F990" s="290">
        <v>5</v>
      </c>
      <c r="G990" s="291">
        <v>2.5</v>
      </c>
      <c r="H990" s="283">
        <v>580</v>
      </c>
      <c r="I990" s="284">
        <v>420</v>
      </c>
      <c r="J990" s="246">
        <v>2</v>
      </c>
      <c r="K990" s="277" t="s">
        <v>7614</v>
      </c>
      <c r="L990" s="248">
        <v>13222</v>
      </c>
      <c r="M990" s="249">
        <f>15*(LEFT(TEXT($L990,"000000"),2)+(MID(TEXT($L990,"000000"),3,2)/60)+(RIGHT(TEXT($L990,"000000"),2)/3600))</f>
        <v>23.091666666666665</v>
      </c>
      <c r="N990" s="250">
        <v>-75252</v>
      </c>
      <c r="O990" s="251">
        <f>IF($N990&gt;0,(LEFT(TEXT($N990,"000000"),2)+(MID(TEXT($N990,"000000"),3,2)/60)+(RIGHT(TEXT($N990,"000000"),2)/3600)),-(MID(TEXT($N990,"000000"),2,2)+(MID(TEXT($N990,"000000"),4,2)/60)+(RIGHT(TEXT($N990,"000000"),2)/3600)))</f>
        <v>-7.8811111111111112</v>
      </c>
      <c r="P990" s="252" t="s">
        <v>75</v>
      </c>
      <c r="Q990" s="253"/>
      <c r="R990" s="321"/>
      <c r="S990" s="272" t="s">
        <v>3293</v>
      </c>
      <c r="T990" s="273">
        <v>13.3</v>
      </c>
      <c r="U990" s="289">
        <v>23.9</v>
      </c>
      <c r="V990" s="280"/>
      <c r="W990" s="244"/>
      <c r="X990" s="244"/>
      <c r="Y990" s="362"/>
      <c r="Z990" s="257">
        <f>altaz(J2000_Bas,$O990,$M990,DecLat,DecLong,1)</f>
        <v>-10.10230041294615</v>
      </c>
      <c r="AA990" s="257">
        <f>altaz((J2000_Bas+(2*0.04167)),$O990,$M990,DecLat,DecLong,1)</f>
        <v>15.133929545265458</v>
      </c>
      <c r="AB990" s="257">
        <f>altaz((J2000_Bas+(4*0.04167)),$O990,$M990,DecLat,DecLong,1)</f>
        <v>37.458785558950943</v>
      </c>
      <c r="AC990" s="257">
        <f>altaz((J2000_Bas+(6*0.04167)),$O990,$M990,DecLat,DecLong,1)</f>
        <v>50.571256831020939</v>
      </c>
      <c r="AD990" s="258">
        <f>1+ transit((J2000_Bas-1),$O990,$M990,DecLat,DecLong)/360 + (GMTOffset/24) + (IF(DST="Y", 1, 0)/24)</f>
        <v>1.0570434727338747</v>
      </c>
      <c r="AE990" s="259">
        <f>DATE(2001,9,21)+(M990/360)*365 - (360*((DecLong/360)- (GMTOffset/24) ))</f>
        <v>37183.41238425926</v>
      </c>
      <c r="AF990" s="260">
        <f>IF(DecLat&gt;0,IF((90 - (DecLat-O990))&gt;90, (90 - (O990-DecLat)), (90 - (DecLat-O990))),IF((90 + (DecLat-O990))&gt;90, (90 + (O990-DecLat)), (90 + (DecLat-O990))))</f>
        <v>51.11888888888889</v>
      </c>
      <c r="AG990" s="257">
        <f>angularseperation(MoonRA,MoonDec,$M990,$O990)</f>
        <v>123.26722808765263</v>
      </c>
      <c r="AH990" s="261">
        <f ca="1">MIN(100,IF($O$5&gt;80,0+30*($AG990/100),IF($O$5&gt;70,0+50*($AG990/100),IF($O$5&gt;60,5+50*($AG990/100),IF($O$5&gt;50,10+60*($AG990/100),IF($O$5&gt;40,15+70*($AG990/100),IF($O$5&gt;30,20+70*($AG990/100),IF($O$5&gt;20,40+55*($AG990/100),(80+(20-$O$5)+30*($AG990/100))))))))))</f>
        <v>100</v>
      </c>
      <c r="AI990" s="263"/>
      <c r="AJ990" s="263"/>
      <c r="AK990" s="263"/>
      <c r="AL990" s="263"/>
      <c r="AM990" s="264"/>
      <c r="AN990" s="263"/>
      <c r="AO990" s="263">
        <v>13</v>
      </c>
      <c r="AP990" s="265"/>
      <c r="AQ990" s="265"/>
      <c r="AR990" s="285"/>
      <c r="AS990" s="263"/>
      <c r="AT990" s="263"/>
      <c r="AU990" s="263"/>
      <c r="AV990" s="264"/>
      <c r="AW990" s="263"/>
      <c r="AX990" s="263"/>
      <c r="AY990" s="263"/>
      <c r="AZ990" s="263"/>
      <c r="BA990" s="263"/>
      <c r="BB990" s="263"/>
      <c r="BC990" s="263"/>
      <c r="BD990" s="264"/>
      <c r="BE990" s="263"/>
      <c r="BF990" s="263"/>
      <c r="BG990" s="263"/>
      <c r="BH990" s="263"/>
      <c r="BI990" s="263"/>
      <c r="BJ990" s="404">
        <f>altaz(J2000_Bas,$O990,$M990,DecLat,DecLong,2)</f>
        <v>93.177597758733611</v>
      </c>
      <c r="BK990" s="378" t="s">
        <v>4010</v>
      </c>
      <c r="BL990" s="379">
        <f>IF((2*G990)/60&lt;0.2,0.2,(2*G990)/60)</f>
        <v>0.2</v>
      </c>
      <c r="BM990" s="380">
        <f>MOD((50000+AD990-$B$3+(0/24)),1)</f>
        <v>0.2724104024382541</v>
      </c>
      <c r="BN990" s="381"/>
      <c r="BO990" s="382">
        <v>984</v>
      </c>
    </row>
    <row r="991" spans="1:67" s="24" customFormat="1" ht="15" customHeight="1" x14ac:dyDescent="0.25">
      <c r="A991" s="288" t="s">
        <v>1058</v>
      </c>
      <c r="B991" s="241" t="str">
        <f>HYPERLINK(CONCATENATE($AT$3,BK991,$AU$3),$AV$3)</f>
        <v>S</v>
      </c>
      <c r="C991" s="242" t="str">
        <f>HYPERLINK(CONCATENATE($AT$4,BK991,$AU$4,BL991),$AV$4)</f>
        <v>A</v>
      </c>
      <c r="D991" s="243" t="s">
        <v>5638</v>
      </c>
      <c r="E991" s="244" t="s">
        <v>5625</v>
      </c>
      <c r="F991" s="290">
        <v>4</v>
      </c>
      <c r="G991" s="291">
        <v>6.7</v>
      </c>
      <c r="H991" s="283">
        <v>280</v>
      </c>
      <c r="I991" s="284">
        <v>530</v>
      </c>
      <c r="J991" s="246">
        <v>2</v>
      </c>
      <c r="K991" s="247" t="s">
        <v>7610</v>
      </c>
      <c r="L991" s="248">
        <v>15948</v>
      </c>
      <c r="M991" s="249">
        <f>15*(LEFT(TEXT($L991,"000000"),2)+(MID(TEXT($L991,"000000"),3,2)/60)+(RIGHT(TEXT($L991,"000000"),2)/3600))</f>
        <v>29.950000000000003</v>
      </c>
      <c r="N991" s="250">
        <v>-70143</v>
      </c>
      <c r="O991" s="251">
        <f>IF($N991&gt;0,(LEFT(TEXT($N991,"000000"),2)+(MID(TEXT($N991,"000000"),3,2)/60)+(RIGHT(TEXT($N991,"000000"),2)/3600)),-(MID(TEXT($N991,"000000"),2,2)+(MID(TEXT($N991,"000000"),4,2)/60)+(RIGHT(TEXT($N991,"000000"),2)/3600)))</f>
        <v>-7.0286111111111111</v>
      </c>
      <c r="P991" s="252" t="s">
        <v>75</v>
      </c>
      <c r="Q991" s="253"/>
      <c r="R991" s="292"/>
      <c r="S991" s="272" t="s">
        <v>3293</v>
      </c>
      <c r="T991" s="273">
        <v>12.3</v>
      </c>
      <c r="U991" s="289">
        <v>24.9</v>
      </c>
      <c r="V991" s="280"/>
      <c r="W991" s="244"/>
      <c r="X991" s="244"/>
      <c r="Y991" s="362"/>
      <c r="Z991" s="257">
        <f>altaz(J2000_Bas,$O991,$M991,DecLat,DecLong,1)</f>
        <v>-15.549663551989797</v>
      </c>
      <c r="AA991" s="257">
        <f>altaz((J2000_Bas+(2*0.04167)),$O991,$M991,DecLat,DecLong,1)</f>
        <v>9.9870937833812619</v>
      </c>
      <c r="AB991" s="257">
        <f>altaz((J2000_Bas+(4*0.04167)),$O991,$M991,DecLat,DecLong,1)</f>
        <v>33.450789747736614</v>
      </c>
      <c r="AC991" s="257">
        <f>altaz((J2000_Bas+(6*0.04167)),$O991,$M991,DecLat,DecLong,1)</f>
        <v>49.77562130875372</v>
      </c>
      <c r="AD991" s="258">
        <f>1+ transit((J2000_Bas-1),$O991,$M991,DecLat,DecLong)/360 + (GMTOffset/24) + (IF(DST="Y", 1, 0)/24)</f>
        <v>1.0760943967547081</v>
      </c>
      <c r="AE991" s="259">
        <f>DATE(2001,9,21)+(M991/360)*365 - (360*((DecLong/360)- (GMTOffset/24) ))</f>
        <v>37190.365972222222</v>
      </c>
      <c r="AF991" s="260">
        <f>IF(DecLat&gt;0,IF((90 - (DecLat-O991))&gt;90, (90 - (O991-DecLat)), (90 - (DecLat-O991))),IF((90 + (DecLat-O991))&gt;90, (90 + (O991-DecLat)), (90 + (DecLat-O991))))</f>
        <v>51.971388888888889</v>
      </c>
      <c r="AG991" s="257">
        <f>angularseperation(MoonRA,MoonDec,$M991,$O991)</f>
        <v>128.91518134080567</v>
      </c>
      <c r="AH991" s="261">
        <f ca="1">MIN(100,IF($O$5&gt;80,0+30*($AG991/100),IF($O$5&gt;70,0+50*($AG991/100),IF($O$5&gt;60,5+50*($AG991/100),IF($O$5&gt;50,10+60*($AG991/100),IF($O$5&gt;40,15+70*($AG991/100),IF($O$5&gt;30,20+70*($AG991/100),IF($O$5&gt;20,40+55*($AG991/100),(80+(20-$O$5)+30*($AG991/100))))))))))</f>
        <v>100</v>
      </c>
      <c r="AI991" s="262"/>
      <c r="AJ991" s="262"/>
      <c r="AK991" s="262"/>
      <c r="AL991" s="263"/>
      <c r="AM991" s="264"/>
      <c r="AN991" s="263"/>
      <c r="AO991" s="263">
        <v>14</v>
      </c>
      <c r="AP991" s="265"/>
      <c r="AQ991" s="266"/>
      <c r="AR991" s="267"/>
      <c r="AS991" s="263"/>
      <c r="AT991" s="263"/>
      <c r="AU991" s="263"/>
      <c r="AV991" s="264"/>
      <c r="AW991" s="263"/>
      <c r="AX991" s="263"/>
      <c r="AY991" s="263"/>
      <c r="AZ991" s="263"/>
      <c r="BA991" s="263"/>
      <c r="BB991" s="263"/>
      <c r="BC991" s="263"/>
      <c r="BD991" s="264"/>
      <c r="BE991" s="263"/>
      <c r="BF991" s="263"/>
      <c r="BG991" s="263"/>
      <c r="BH991" s="263"/>
      <c r="BI991" s="263"/>
      <c r="BJ991" s="404">
        <f>altaz(J2000_Bas,$O991,$M991,DecLat,DecLong,2)</f>
        <v>88.910409894477468</v>
      </c>
      <c r="BK991" s="378" t="s">
        <v>4011</v>
      </c>
      <c r="BL991" s="379">
        <f>IF((2*G991)/60&lt;0.2,0.2,(2*G991)/60)</f>
        <v>0.22333333333333333</v>
      </c>
      <c r="BM991" s="380">
        <f>MOD((50000+AD991-$B$3+(0/24)),1)</f>
        <v>0.29146132645837497</v>
      </c>
      <c r="BN991" s="381"/>
      <c r="BO991" s="382">
        <v>985</v>
      </c>
    </row>
    <row r="992" spans="1:67" s="24" customFormat="1" ht="15" customHeight="1" x14ac:dyDescent="0.25">
      <c r="A992" s="288" t="s">
        <v>1059</v>
      </c>
      <c r="B992" s="241" t="str">
        <f>HYPERLINK(CONCATENATE($AT$3,BK992,$AU$3),$AV$3)</f>
        <v>S</v>
      </c>
      <c r="C992" s="242" t="str">
        <f>HYPERLINK(CONCATENATE($AT$4,BK992,$AU$4,BL992),$AV$4)</f>
        <v>A</v>
      </c>
      <c r="D992" s="243" t="s">
        <v>5638</v>
      </c>
      <c r="E992" s="244" t="s">
        <v>5625</v>
      </c>
      <c r="F992" s="293">
        <v>6</v>
      </c>
      <c r="G992" s="291">
        <v>7.7</v>
      </c>
      <c r="H992" s="283">
        <v>320</v>
      </c>
      <c r="I992" s="284">
        <v>700</v>
      </c>
      <c r="J992" s="246">
        <v>2</v>
      </c>
      <c r="K992" s="247" t="s">
        <v>3759</v>
      </c>
      <c r="L992" s="248">
        <v>20739</v>
      </c>
      <c r="M992" s="249">
        <f>15*(LEFT(TEXT($L992,"000000"),2)+(MID(TEXT($L992,"000000"),3,2)/60)+(RIGHT(TEXT($L992,"000000"),2)/3600))</f>
        <v>31.912499999999998</v>
      </c>
      <c r="N992" s="250">
        <v>20818</v>
      </c>
      <c r="O992" s="251">
        <f>IF($N992&gt;0,(LEFT(TEXT($N992,"000000"),2)+(MID(TEXT($N992,"000000"),3,2)/60)+(RIGHT(TEXT($N992,"000000"),2)/3600)),-(MID(TEXT($N992,"000000"),2,2)+(MID(TEXT($N992,"000000"),4,2)/60)+(RIGHT(TEXT($N992,"000000"),2)/3600)))</f>
        <v>2.1383333333333332</v>
      </c>
      <c r="P992" s="252" t="s">
        <v>75</v>
      </c>
      <c r="Q992" s="253"/>
      <c r="R992" s="292"/>
      <c r="S992" s="272" t="s">
        <v>3293</v>
      </c>
      <c r="T992" s="273">
        <v>11.7</v>
      </c>
      <c r="U992" s="289">
        <v>24.8</v>
      </c>
      <c r="V992" s="280"/>
      <c r="W992" s="244"/>
      <c r="X992" s="244"/>
      <c r="Y992" s="362"/>
      <c r="Z992" s="257">
        <f>altaz(J2000_Bas,$O992,$M992,DecLat,DecLong,1)</f>
        <v>-12.450147172153514</v>
      </c>
      <c r="AA992" s="257">
        <f>altaz((J2000_Bas+(2*0.04167)),$O992,$M992,DecLat,DecLong,1)</f>
        <v>13.236626136716881</v>
      </c>
      <c r="AB992" s="257">
        <f>altaz((J2000_Bas+(4*0.04167)),$O992,$M992,DecLat,DecLong,1)</f>
        <v>38.099032409950567</v>
      </c>
      <c r="AC992" s="257">
        <f>altaz((J2000_Bas+(6*0.04167)),$O992,$M992,DecLat,DecLong,1)</f>
        <v>57.565732265517923</v>
      </c>
      <c r="AD992" s="258">
        <f>1+ transit((J2000_Bas-1),$O992,$M992,DecLat,DecLong)/360 + (GMTOffset/24) + (IF(DST="Y", 1, 0)/24)</f>
        <v>1.081545785098458</v>
      </c>
      <c r="AE992" s="259">
        <f>DATE(2001,9,21)+(M992/360)*365 - (360*((DecLong/360)- (GMTOffset/24) ))</f>
        <v>37192.355729166666</v>
      </c>
      <c r="AF992" s="260">
        <f>IF(DecLat&gt;0,IF((90 - (DecLat-O992))&gt;90, (90 - (O992-DecLat)), (90 - (DecLat-O992))),IF((90 + (DecLat-O992))&gt;90, (90 + (O992-DecLat)), (90 + (DecLat-O992))))</f>
        <v>61.138333333333335</v>
      </c>
      <c r="AG992" s="257">
        <f>angularseperation(MoonRA,MoonDec,$M992,$O992)</f>
        <v>136.42389588508587</v>
      </c>
      <c r="AH992" s="261">
        <f ca="1">MIN(100,IF($O$5&gt;80,0+30*($AG992/100),IF($O$5&gt;70,0+50*($AG992/100),IF($O$5&gt;60,5+50*($AG992/100),IF($O$5&gt;50,10+60*($AG992/100),IF($O$5&gt;40,15+70*($AG992/100),IF($O$5&gt;30,20+70*($AG992/100),IF($O$5&gt;20,40+55*($AG992/100),(80+(20-$O$5)+30*($AG992/100))))))))))</f>
        <v>100</v>
      </c>
      <c r="AI992" s="262"/>
      <c r="AJ992" s="262"/>
      <c r="AK992" s="262"/>
      <c r="AL992" s="263"/>
      <c r="AM992" s="264"/>
      <c r="AN992" s="263"/>
      <c r="AO992" s="263">
        <v>15</v>
      </c>
      <c r="AP992" s="265"/>
      <c r="AQ992" s="266">
        <v>1624</v>
      </c>
      <c r="AR992" s="267"/>
      <c r="AS992" s="263"/>
      <c r="AT992" s="263"/>
      <c r="AU992" s="263"/>
      <c r="AV992" s="264"/>
      <c r="AW992" s="263"/>
      <c r="AX992" s="263"/>
      <c r="AY992" s="263"/>
      <c r="AZ992" s="263"/>
      <c r="BA992" s="263"/>
      <c r="BB992" s="263"/>
      <c r="BC992" s="263"/>
      <c r="BD992" s="264"/>
      <c r="BE992" s="263"/>
      <c r="BF992" s="263"/>
      <c r="BG992" s="263"/>
      <c r="BH992" s="263"/>
      <c r="BI992" s="263"/>
      <c r="BJ992" s="404">
        <f>altaz(J2000_Bas,$O992,$M992,DecLat,DecLong,2)</f>
        <v>79.791120569407454</v>
      </c>
      <c r="BK992" s="378" t="s">
        <v>4012</v>
      </c>
      <c r="BL992" s="379">
        <f>IF((2*G992)/60&lt;0.2,0.2,(2*G992)/60)</f>
        <v>0.25666666666666665</v>
      </c>
      <c r="BM992" s="380">
        <f>MOD((50000+AD992-$B$3+(0/24)),1)</f>
        <v>0.29691271480260184</v>
      </c>
      <c r="BN992" s="381"/>
      <c r="BO992" s="382">
        <v>986</v>
      </c>
    </row>
    <row r="993" spans="1:67" s="24" customFormat="1" ht="15" customHeight="1" x14ac:dyDescent="0.25">
      <c r="A993" s="288" t="s">
        <v>1060</v>
      </c>
      <c r="B993" s="241" t="str">
        <f>HYPERLINK(CONCATENATE($AT$3,BK993,$AU$3),$AV$3)</f>
        <v>S</v>
      </c>
      <c r="C993" s="242" t="str">
        <f>HYPERLINK(CONCATENATE($AT$4,BK993,$AU$4,BL993),$AV$4)</f>
        <v>A</v>
      </c>
      <c r="D993" s="243" t="s">
        <v>5638</v>
      </c>
      <c r="E993" s="244" t="s">
        <v>5625</v>
      </c>
      <c r="F993" s="290">
        <v>5</v>
      </c>
      <c r="G993" s="291">
        <v>1</v>
      </c>
      <c r="H993" s="283">
        <v>850</v>
      </c>
      <c r="I993" s="284">
        <v>250</v>
      </c>
      <c r="J993" s="246">
        <v>2</v>
      </c>
      <c r="K993" s="277" t="s">
        <v>4655</v>
      </c>
      <c r="L993" s="248">
        <v>21406</v>
      </c>
      <c r="M993" s="249">
        <f>15*(LEFT(TEXT($L993,"000000"),2)+(MID(TEXT($L993,"000000"),3,2)/60)+(RIGHT(TEXT($L993,"000000"),2)/3600))</f>
        <v>33.524999999999999</v>
      </c>
      <c r="N993" s="250">
        <v>131848</v>
      </c>
      <c r="O993" s="251">
        <f>IF($N993&gt;0,(LEFT(TEXT($N993,"000000"),2)+(MID(TEXT($N993,"000000"),3,2)/60)+(RIGHT(TEXT($N993,"000000"),2)/3600)),-(MID(TEXT($N993,"000000"),2,2)+(MID(TEXT($N993,"000000"),4,2)/60)+(RIGHT(TEXT($N993,"000000"),2)/3600)))</f>
        <v>13.313333333333334</v>
      </c>
      <c r="P993" s="252" t="s">
        <v>249</v>
      </c>
      <c r="Q993" s="253"/>
      <c r="R993" s="321"/>
      <c r="S993" s="272" t="s">
        <v>3293</v>
      </c>
      <c r="T993" s="273">
        <v>13.7</v>
      </c>
      <c r="U993" s="289">
        <v>22.3</v>
      </c>
      <c r="V993" s="280"/>
      <c r="W993" s="244"/>
      <c r="X993" s="244"/>
      <c r="Y993" s="362"/>
      <c r="Z993" s="257">
        <f>altaz(J2000_Bas,$O993,$M993,DecLat,DecLong,1)</f>
        <v>-7.6162608728559711</v>
      </c>
      <c r="AA993" s="257">
        <f>altaz((J2000_Bas+(2*0.04167)),$O993,$M993,DecLat,DecLong,1)</f>
        <v>17.459019842981121</v>
      </c>
      <c r="AB993" s="257">
        <f>altaz((J2000_Bas+(4*0.04167)),$O993,$M993,DecLat,DecLong,1)</f>
        <v>43.133831644689607</v>
      </c>
      <c r="AC993" s="257">
        <f>altaz((J2000_Bas+(6*0.04167)),$O993,$M993,DecLat,DecLong,1)</f>
        <v>66.224477932649933</v>
      </c>
      <c r="AD993" s="258">
        <f>1+ transit((J2000_Bas-1),$O993,$M993,DecLat,DecLong)/360 + (GMTOffset/24) + (IF(DST="Y", 1, 0)/24)</f>
        <v>1.086024951317208</v>
      </c>
      <c r="AE993" s="259">
        <f>DATE(2001,9,21)+(M993/360)*365 - (360*((DecLong/360)- (GMTOffset/24) ))</f>
        <v>37193.990624999999</v>
      </c>
      <c r="AF993" s="260">
        <f>IF(DecLat&gt;0,IF((90 - (DecLat-O993))&gt;90, (90 - (O993-DecLat)), (90 - (DecLat-O993))),IF((90 + (DecLat-O993))&gt;90, (90 + (O993-DecLat)), (90 + (DecLat-O993))))</f>
        <v>72.313333333333333</v>
      </c>
      <c r="AG993" s="257">
        <f>angularseperation(MoonRA,MoonDec,$M993,$O993)</f>
        <v>143.92954472364974</v>
      </c>
      <c r="AH993" s="261">
        <f ca="1">MIN(100,IF($O$5&gt;80,0+30*($AG993/100),IF($O$5&gt;70,0+50*($AG993/100),IF($O$5&gt;60,5+50*($AG993/100),IF($O$5&gt;50,10+60*($AG993/100),IF($O$5&gt;40,15+70*($AG993/100),IF($O$5&gt;30,20+70*($AG993/100),IF($O$5&gt;20,40+55*($AG993/100),(80+(20-$O$5)+30*($AG993/100))))))))))</f>
        <v>100</v>
      </c>
      <c r="AI993" s="263"/>
      <c r="AJ993" s="263"/>
      <c r="AK993" s="263"/>
      <c r="AL993" s="263"/>
      <c r="AM993" s="264"/>
      <c r="AN993" s="263"/>
      <c r="AO993" s="263">
        <v>17</v>
      </c>
      <c r="AP993" s="265"/>
      <c r="AQ993" s="265"/>
      <c r="AR993" s="285"/>
      <c r="AS993" s="263"/>
      <c r="AT993" s="263"/>
      <c r="AU993" s="263"/>
      <c r="AV993" s="264"/>
      <c r="AW993" s="263"/>
      <c r="AX993" s="263"/>
      <c r="AY993" s="263"/>
      <c r="AZ993" s="263"/>
      <c r="BA993" s="263"/>
      <c r="BB993" s="263"/>
      <c r="BC993" s="263"/>
      <c r="BD993" s="264"/>
      <c r="BE993" s="263"/>
      <c r="BF993" s="263"/>
      <c r="BG993" s="263"/>
      <c r="BH993" s="263"/>
      <c r="BI993" s="263"/>
      <c r="BJ993" s="404">
        <f>altaz(J2000_Bas,$O993,$M993,DecLat,DecLong,2)</f>
        <v>69.427978367073166</v>
      </c>
      <c r="BK993" s="378" t="s">
        <v>4014</v>
      </c>
      <c r="BL993" s="379">
        <f>IF((2*G993)/60&lt;0.2,0.2,(2*G993)/60)</f>
        <v>0.2</v>
      </c>
      <c r="BM993" s="380">
        <f>MOD((50000+AD993-$B$3+(0/24)),1)</f>
        <v>0.301391881024756</v>
      </c>
      <c r="BN993" s="381"/>
      <c r="BO993" s="382">
        <v>987</v>
      </c>
    </row>
    <row r="994" spans="1:67" s="24" customFormat="1" ht="15" customHeight="1" x14ac:dyDescent="0.25">
      <c r="A994" s="288" t="s">
        <v>1061</v>
      </c>
      <c r="B994" s="241" t="str">
        <f>HYPERLINK(CONCATENATE($AT$3,BK994,$AU$3),$AV$3)</f>
        <v>S</v>
      </c>
      <c r="C994" s="242" t="str">
        <f>HYPERLINK(CONCATENATE($AT$4,BK994,$AU$4,BL994),$AV$4)</f>
        <v>A</v>
      </c>
      <c r="D994" s="243" t="s">
        <v>5638</v>
      </c>
      <c r="E994" s="244" t="s">
        <v>5625</v>
      </c>
      <c r="F994" s="290">
        <v>4</v>
      </c>
      <c r="G994" s="291">
        <v>3.1</v>
      </c>
      <c r="H994" s="283">
        <v>200</v>
      </c>
      <c r="I994" s="284">
        <v>180</v>
      </c>
      <c r="J994" s="246">
        <v>2</v>
      </c>
      <c r="K994" s="247" t="s">
        <v>8412</v>
      </c>
      <c r="L994" s="248">
        <v>24245</v>
      </c>
      <c r="M994" s="249">
        <f>15*(LEFT(TEXT($L994,"000000"),2)+(MID(TEXT($L994,"000000"),3,2)/60)+(RIGHT(TEXT($L994,"000000"),2)/3600))</f>
        <v>40.687500000000007</v>
      </c>
      <c r="N994" s="250">
        <v>-122443</v>
      </c>
      <c r="O994" s="251">
        <f>IF($N994&gt;0,(LEFT(TEXT($N994,"000000"),2)+(MID(TEXT($N994,"000000"),3,2)/60)+(RIGHT(TEXT($N994,"000000"),2)/3600)),-(MID(TEXT($N994,"000000"),2,2)+(MID(TEXT($N994,"000000"),4,2)/60)+(RIGHT(TEXT($N994,"000000"),2)/3600)))</f>
        <v>-12.411944444444444</v>
      </c>
      <c r="P994" s="252" t="s">
        <v>75</v>
      </c>
      <c r="Q994" s="253"/>
      <c r="R994" s="321"/>
      <c r="S994" s="272" t="s">
        <v>3293</v>
      </c>
      <c r="T994" s="273">
        <v>12.1</v>
      </c>
      <c r="U994" s="289">
        <v>23.2</v>
      </c>
      <c r="V994" s="280"/>
      <c r="W994" s="244"/>
      <c r="X994" s="244"/>
      <c r="Y994" s="362"/>
      <c r="Z994" s="257">
        <f>altaz(J2000_Bas,$O994,$M994,DecLat,DecLong,1)</f>
        <v>-27.407197290104111</v>
      </c>
      <c r="AA994" s="257">
        <f>altaz((J2000_Bas+(2*0.04167)),$O994,$M994,DecLat,DecLong,1)</f>
        <v>-1.8294976430231158</v>
      </c>
      <c r="AB994" s="257">
        <f>altaz((J2000_Bas+(4*0.04167)),$O994,$M994,DecLat,DecLong,1)</f>
        <v>22.038910968964377</v>
      </c>
      <c r="AC994" s="257">
        <f>altaz((J2000_Bas+(6*0.04167)),$O994,$M994,DecLat,DecLong,1)</f>
        <v>40.652757356240599</v>
      </c>
      <c r="AD994" s="258">
        <f>1+ transit((J2000_Bas-1),$O994,$M994,DecLat,DecLong)/360 + (GMTOffset/24) + (IF(DST="Y", 1, 0)/24)</f>
        <v>1.1059207826609581</v>
      </c>
      <c r="AE994" s="259">
        <f>DATE(2001,9,21)+(M994/360)*365 - (360*((DecLong/360)- (GMTOffset/24) ))</f>
        <v>37201.252604166664</v>
      </c>
      <c r="AF994" s="260">
        <f>IF(DecLat&gt;0,IF((90 - (DecLat-O994))&gt;90, (90 - (O994-DecLat)), (90 - (DecLat-O994))),IF((90 + (DecLat-O994))&gt;90, (90 + (O994-DecLat)), (90 + (DecLat-O994))))</f>
        <v>46.588055555555556</v>
      </c>
      <c r="AG994" s="257">
        <f>angularseperation(MoonRA,MoonDec,$M994,$O994)</f>
        <v>131.75156734539274</v>
      </c>
      <c r="AH994" s="261">
        <f ca="1">MIN(100,IF($O$5&gt;80,0+30*($AG994/100),IF($O$5&gt;70,0+50*($AG994/100),IF($O$5&gt;60,5+50*($AG994/100),IF($O$5&gt;50,10+60*($AG994/100),IF($O$5&gt;40,15+70*($AG994/100),IF($O$5&gt;30,20+70*($AG994/100),IF($O$5&gt;20,40+55*($AG994/100),(80+(20-$O$5)+30*($AG994/100))))))))))</f>
        <v>100</v>
      </c>
      <c r="AI994" s="263"/>
      <c r="AJ994" s="263"/>
      <c r="AK994" s="263"/>
      <c r="AL994" s="263"/>
      <c r="AM994" s="264"/>
      <c r="AN994" s="263"/>
      <c r="AO994" s="263">
        <v>19</v>
      </c>
      <c r="AP994" s="265"/>
      <c r="AQ994" s="265"/>
      <c r="AR994" s="285"/>
      <c r="AS994" s="263"/>
      <c r="AT994" s="263"/>
      <c r="AU994" s="263"/>
      <c r="AV994" s="264"/>
      <c r="AW994" s="263"/>
      <c r="AX994" s="263"/>
      <c r="AY994" s="263"/>
      <c r="AZ994" s="263"/>
      <c r="BA994" s="263"/>
      <c r="BB994" s="263"/>
      <c r="BC994" s="263"/>
      <c r="BD994" s="264"/>
      <c r="BE994" s="263"/>
      <c r="BF994" s="263"/>
      <c r="BG994" s="263"/>
      <c r="BH994" s="263"/>
      <c r="BI994" s="263"/>
      <c r="BJ994" s="404">
        <f>altaz(J2000_Bas,$O994,$M994,DecLat,DecLong,2)</f>
        <v>88.332828197057751</v>
      </c>
      <c r="BK994" s="378" t="s">
        <v>4016</v>
      </c>
      <c r="BL994" s="379">
        <f>IF((2*G994)/60&lt;0.2,0.2,(2*G994)/60)</f>
        <v>0.2</v>
      </c>
      <c r="BM994" s="380">
        <f>MOD((50000+AD994-$B$3+(0/24)),1)</f>
        <v>0.32128771236602915</v>
      </c>
      <c r="BN994" s="381"/>
      <c r="BO994" s="382">
        <v>988</v>
      </c>
    </row>
    <row r="995" spans="1:67" s="24" customFormat="1" ht="15" customHeight="1" x14ac:dyDescent="0.25">
      <c r="A995" s="288" t="s">
        <v>1062</v>
      </c>
      <c r="B995" s="241" t="str">
        <f>HYPERLINK(CONCATENATE($AT$3,BK995,$AU$3),$AV$3)</f>
        <v>S</v>
      </c>
      <c r="C995" s="242" t="str">
        <f>HYPERLINK(CONCATENATE($AT$4,BK995,$AU$4,BL995),$AV$4)</f>
        <v>A</v>
      </c>
      <c r="D995" s="243" t="s">
        <v>5638</v>
      </c>
      <c r="E995" s="244" t="s">
        <v>5625</v>
      </c>
      <c r="F995" s="293">
        <v>6</v>
      </c>
      <c r="G995" s="291">
        <v>1.5</v>
      </c>
      <c r="H995" s="283">
        <v>670</v>
      </c>
      <c r="I995" s="284">
        <v>280</v>
      </c>
      <c r="J995" s="246">
        <v>2</v>
      </c>
      <c r="K995" s="247" t="s">
        <v>7605</v>
      </c>
      <c r="L995" s="248">
        <v>24415</v>
      </c>
      <c r="M995" s="249">
        <f>15*(LEFT(TEXT($L995,"000000"),2)+(MID(TEXT($L995,"000000"),3,2)/60)+(RIGHT(TEXT($L995,"000000"),2)/3600))</f>
        <v>41.062500000000007</v>
      </c>
      <c r="N995" s="250">
        <v>260611</v>
      </c>
      <c r="O995" s="251">
        <f>IF($N995&gt;0,(LEFT(TEXT($N995,"000000"),2)+(MID(TEXT($N995,"000000"),3,2)/60)+(RIGHT(TEXT($N995,"000000"),2)/3600)),-(MID(TEXT($N995,"000000"),2,2)+(MID(TEXT($N995,"000000"),4,2)/60)+(RIGHT(TEXT($N995,"000000"),2)/3600)))</f>
        <v>26.103055555555557</v>
      </c>
      <c r="P995" s="252" t="s">
        <v>249</v>
      </c>
      <c r="Q995" s="253"/>
      <c r="R995" s="321"/>
      <c r="S995" s="272" t="s">
        <v>3293</v>
      </c>
      <c r="T995" s="273">
        <v>13</v>
      </c>
      <c r="U995" s="289">
        <v>22.5</v>
      </c>
      <c r="V995" s="280"/>
      <c r="W995" s="244"/>
      <c r="X995" s="244"/>
      <c r="Y995" s="362"/>
      <c r="Z995" s="257">
        <f>altaz(J2000_Bas,$O995,$M995,DecLat,DecLong,1)</f>
        <v>-5.7060497285368417</v>
      </c>
      <c r="AA995" s="257">
        <f>altaz((J2000_Bas+(2*0.04167)),$O995,$M995,DecLat,DecLong,1)</f>
        <v>17.099231285362855</v>
      </c>
      <c r="AB995" s="257">
        <f>altaz((J2000_Bas+(4*0.04167)),$O995,$M995,DecLat,DecLong,1)</f>
        <v>42.014277605675282</v>
      </c>
      <c r="AC995" s="257">
        <f>altaz((J2000_Bas+(6*0.04167)),$O995,$M995,DecLat,DecLong,1)</f>
        <v>67.717765821109012</v>
      </c>
      <c r="AD995" s="258">
        <f>1+ transit((J2000_Bas-1),$O995,$M995,DecLat,DecLong)/360 + (GMTOffset/24) + (IF(DST="Y", 1, 0)/24)</f>
        <v>1.106962449223458</v>
      </c>
      <c r="AE995" s="259">
        <f>DATE(2001,9,21)+(M995/360)*365 - (360*((DecLong/360)- (GMTOffset/24) ))</f>
        <v>37201.6328125</v>
      </c>
      <c r="AF995" s="260">
        <f>IF(DecLat&gt;0,IF((90 - (DecLat-O995))&gt;90, (90 - (O995-DecLat)), (90 - (DecLat-O995))),IF((90 + (DecLat-O995))&gt;90, (90 + (O995-DecLat)), (90 + (DecLat-O995))))</f>
        <v>85.103055555555557</v>
      </c>
      <c r="AG995" s="257">
        <f>angularseperation(MoonRA,MoonDec,$M995,$O995)</f>
        <v>154.83512168658649</v>
      </c>
      <c r="AH995" s="261">
        <f ca="1">MIN(100,IF($O$5&gt;80,0+30*($AG995/100),IF($O$5&gt;70,0+50*($AG995/100),IF($O$5&gt;60,5+50*($AG995/100),IF($O$5&gt;50,10+60*($AG995/100),IF($O$5&gt;40,15+70*($AG995/100),IF($O$5&gt;30,20+70*($AG995/100),IF($O$5&gt;20,40+55*($AG995/100),(80+(20-$O$5)+30*($AG995/100))))))))))</f>
        <v>100</v>
      </c>
      <c r="AI995" s="263"/>
      <c r="AJ995" s="263"/>
      <c r="AK995" s="263"/>
      <c r="AL995" s="263"/>
      <c r="AM995" s="264"/>
      <c r="AN995" s="263"/>
      <c r="AO995" s="263">
        <v>20</v>
      </c>
      <c r="AP995" s="265"/>
      <c r="AQ995" s="265"/>
      <c r="AR995" s="285"/>
      <c r="AS995" s="263"/>
      <c r="AT995" s="263"/>
      <c r="AU995" s="263"/>
      <c r="AV995" s="264"/>
      <c r="AW995" s="263"/>
      <c r="AX995" s="263"/>
      <c r="AY995" s="263"/>
      <c r="AZ995" s="263"/>
      <c r="BA995" s="263"/>
      <c r="BB995" s="263"/>
      <c r="BC995" s="263"/>
      <c r="BD995" s="264"/>
      <c r="BE995" s="263"/>
      <c r="BF995" s="263"/>
      <c r="BG995" s="263"/>
      <c r="BH995" s="263"/>
      <c r="BI995" s="263"/>
      <c r="BJ995" s="404">
        <f>altaz(J2000_Bas,$O995,$M995,DecLat,DecLong,2)</f>
        <v>54.837485264739506</v>
      </c>
      <c r="BK995" s="378" t="s">
        <v>4017</v>
      </c>
      <c r="BL995" s="379">
        <f>IF((2*G995)/60&lt;0.2,0.2,(2*G995)/60)</f>
        <v>0.2</v>
      </c>
      <c r="BM995" s="380">
        <f>MOD((50000+AD995-$B$3+(0/24)),1)</f>
        <v>0.3223293789269519</v>
      </c>
      <c r="BN995" s="381"/>
      <c r="BO995" s="382">
        <v>989</v>
      </c>
    </row>
    <row r="996" spans="1:67" s="24" customFormat="1" ht="15" customHeight="1" x14ac:dyDescent="0.25">
      <c r="A996" s="288" t="s">
        <v>1063</v>
      </c>
      <c r="B996" s="241" t="str">
        <f>HYPERLINK(CONCATENATE($AT$3,BK996,$AU$3),$AV$3)</f>
        <v>S</v>
      </c>
      <c r="C996" s="242" t="str">
        <f>HYPERLINK(CONCATENATE($AT$4,BK996,$AU$4,BL996),$AV$4)</f>
        <v>A</v>
      </c>
      <c r="D996" s="243" t="s">
        <v>5638</v>
      </c>
      <c r="E996" s="244" t="s">
        <v>5625</v>
      </c>
      <c r="F996" s="290">
        <v>5</v>
      </c>
      <c r="G996" s="282">
        <v>11</v>
      </c>
      <c r="H996" s="283">
        <v>350</v>
      </c>
      <c r="I996" s="284">
        <v>1100</v>
      </c>
      <c r="J996" s="246">
        <v>2</v>
      </c>
      <c r="K996" s="247" t="s">
        <v>3757</v>
      </c>
      <c r="L996" s="248">
        <v>24518</v>
      </c>
      <c r="M996" s="249">
        <f>15*(LEFT(TEXT($L996,"000000"),2)+(MID(TEXT($L996,"000000"),3,2)/60)+(RIGHT(TEXT($L996,"000000"),2)/3600))</f>
        <v>41.324999999999996</v>
      </c>
      <c r="N996" s="250">
        <v>-173710</v>
      </c>
      <c r="O996" s="251">
        <f>IF($N996&gt;0,(LEFT(TEXT($N996,"000000"),2)+(MID(TEXT($N996,"000000"),3,2)/60)+(RIGHT(TEXT($N996,"000000"),2)/3600)),-(MID(TEXT($N996,"000000"),2,2)+(MID(TEXT($N996,"000000"),4,2)/60)+(RIGHT(TEXT($N996,"000000"),2)/3600)))</f>
        <v>-17.619444444444444</v>
      </c>
      <c r="P996" s="252" t="s">
        <v>257</v>
      </c>
      <c r="Q996" s="253"/>
      <c r="R996" s="292" t="s">
        <v>3425</v>
      </c>
      <c r="S996" s="272" t="s">
        <v>3293</v>
      </c>
      <c r="T996" s="273">
        <v>10.1</v>
      </c>
      <c r="U996" s="289">
        <v>23.9</v>
      </c>
      <c r="V996" s="280"/>
      <c r="W996" s="244"/>
      <c r="X996" s="244"/>
      <c r="Y996" s="362"/>
      <c r="Z996" s="257">
        <f>altaz(J2000_Bas,$O996,$M996,DecLat,DecLong,1)</f>
        <v>-30.352563784382006</v>
      </c>
      <c r="AA996" s="257">
        <f>altaz((J2000_Bas+(2*0.04167)),$O996,$M996,DecLat,DecLong,1)</f>
        <v>-5.0528735963961795</v>
      </c>
      <c r="AB996" s="257">
        <f>altaz((J2000_Bas+(4*0.04167)),$O996,$M996,DecLat,DecLong,1)</f>
        <v>18.113235460265294</v>
      </c>
      <c r="AC996" s="257">
        <f>altaz((J2000_Bas+(6*0.04167)),$O996,$M996,DecLat,DecLong,1)</f>
        <v>35.739441265970022</v>
      </c>
      <c r="AD996" s="258">
        <f>1+ transit((J2000_Bas-1),$O996,$M996,DecLat,DecLong)/360 + (GMTOffset/24) + (IF(DST="Y", 1, 0)/24)</f>
        <v>1.1076916158172081</v>
      </c>
      <c r="AE996" s="259">
        <f>DATE(2001,9,21)+(M996/360)*365 - (360*((DecLong/360)- (GMTOffset/24) ))</f>
        <v>37201.898958333331</v>
      </c>
      <c r="AF996" s="260">
        <f>IF(DecLat&gt;0,IF((90 - (DecLat-O996))&gt;90, (90 - (O996-DecLat)), (90 - (DecLat-O996))),IF((90 + (DecLat-O996))&gt;90, (90 + (O996-DecLat)), (90 + (DecLat-O996))))</f>
        <v>41.38055555555556</v>
      </c>
      <c r="AG996" s="257">
        <f>angularseperation(MoonRA,MoonDec,$M996,$O996)</f>
        <v>127.73466367783372</v>
      </c>
      <c r="AH996" s="261">
        <f ca="1">MIN(100,IF($O$5&gt;80,0+30*($AG996/100),IF($O$5&gt;70,0+50*($AG996/100),IF($O$5&gt;60,5+50*($AG996/100),IF($O$5&gt;50,10+60*($AG996/100),IF($O$5&gt;40,15+70*($AG996/100),IF($O$5&gt;30,20+70*($AG996/100),IF($O$5&gt;20,40+55*($AG996/100),(80+(20-$O$5)+30*($AG996/100))))))))))</f>
        <v>100</v>
      </c>
      <c r="AI996" s="262">
        <v>1099</v>
      </c>
      <c r="AJ996" s="262"/>
      <c r="AK996" s="262"/>
      <c r="AL996" s="263"/>
      <c r="AM996" s="264"/>
      <c r="AN996" s="263"/>
      <c r="AO996" s="263">
        <v>21</v>
      </c>
      <c r="AP996" s="265"/>
      <c r="AQ996" s="266"/>
      <c r="AR996" s="267">
        <v>10422</v>
      </c>
      <c r="AS996" s="263"/>
      <c r="AT996" s="263"/>
      <c r="AU996" s="263"/>
      <c r="AV996" s="264"/>
      <c r="AW996" s="263"/>
      <c r="AX996" s="263"/>
      <c r="AY996" s="263"/>
      <c r="AZ996" s="263"/>
      <c r="BA996" s="263"/>
      <c r="BB996" s="263"/>
      <c r="BC996" s="263"/>
      <c r="BD996" s="264"/>
      <c r="BE996" s="263"/>
      <c r="BF996" s="263"/>
      <c r="BG996" s="263"/>
      <c r="BH996" s="263"/>
      <c r="BI996" s="263"/>
      <c r="BJ996" s="404">
        <f>altaz(J2000_Bas,$O996,$M996,DecLat,DecLong,2)</f>
        <v>93.288809099789788</v>
      </c>
      <c r="BK996" s="378" t="s">
        <v>4018</v>
      </c>
      <c r="BL996" s="379">
        <f>IF((2*G996)/60&lt;0.2,0.2,(2*G996)/60)</f>
        <v>0.36666666666666664</v>
      </c>
      <c r="BM996" s="380">
        <f>MOD((50000+AD996-$B$3+(0/24)),1)</f>
        <v>0.3230585455239634</v>
      </c>
      <c r="BN996" s="381"/>
      <c r="BO996" s="382">
        <v>990</v>
      </c>
    </row>
    <row r="997" spans="1:67" s="24" customFormat="1" ht="15" customHeight="1" x14ac:dyDescent="0.25">
      <c r="A997" s="288" t="s">
        <v>1064</v>
      </c>
      <c r="B997" s="241" t="str">
        <f>HYPERLINK(CONCATENATE($AT$3,BK997,$AU$3),$AV$3)</f>
        <v>S</v>
      </c>
      <c r="C997" s="242" t="str">
        <f>HYPERLINK(CONCATENATE($AT$4,BK997,$AU$4,BL997),$AV$4)</f>
        <v>A</v>
      </c>
      <c r="D997" s="243" t="s">
        <v>5638</v>
      </c>
      <c r="E997" s="244" t="s">
        <v>5625</v>
      </c>
      <c r="F997" s="290">
        <v>5</v>
      </c>
      <c r="G997" s="282">
        <v>10</v>
      </c>
      <c r="H997" s="283">
        <v>130</v>
      </c>
      <c r="I997" s="284">
        <v>400</v>
      </c>
      <c r="J997" s="246">
        <v>2</v>
      </c>
      <c r="K997" s="247" t="s">
        <v>7256</v>
      </c>
      <c r="L997" s="248">
        <v>30331</v>
      </c>
      <c r="M997" s="249">
        <f>15*(LEFT(TEXT($L997,"000000"),2)+(MID(TEXT($L997,"000000"),3,2)/60)+(RIGHT(TEXT($L997,"000000"),2)/3600))</f>
        <v>45.879166666666663</v>
      </c>
      <c r="N997" s="250">
        <v>-154033</v>
      </c>
      <c r="O997" s="251">
        <f>IF($N997&gt;0,(LEFT(TEXT($N997,"000000"),2)+(MID(TEXT($N997,"000000"),3,2)/60)+(RIGHT(TEXT($N997,"000000"),2)/3600)),-(MID(TEXT($N997,"000000"),2,2)+(MID(TEXT($N997,"000000"),4,2)/60)+(RIGHT(TEXT($N997,"000000"),2)/3600)))</f>
        <v>-15.675833333333333</v>
      </c>
      <c r="P997" s="252" t="s">
        <v>257</v>
      </c>
      <c r="Q997" s="253"/>
      <c r="R997" s="292" t="s">
        <v>3426</v>
      </c>
      <c r="S997" s="272" t="s">
        <v>3293</v>
      </c>
      <c r="T997" s="273">
        <v>11.1</v>
      </c>
      <c r="U997" s="289">
        <v>22.6</v>
      </c>
      <c r="V997" s="280"/>
      <c r="W997" s="244"/>
      <c r="X997" s="244"/>
      <c r="Y997" s="362"/>
      <c r="Z997" s="257">
        <f>altaz(J2000_Bas,$O997,$M997,DecLat,DecLong,1)</f>
        <v>-33.38500198593227</v>
      </c>
      <c r="AA997" s="257">
        <f>altaz((J2000_Bas+(2*0.04167)),$O997,$M997,DecLat,DecLong,1)</f>
        <v>-7.8259518585551815</v>
      </c>
      <c r="AB997" s="257">
        <f>altaz((J2000_Bas+(4*0.04167)),$O997,$M997,DecLat,DecLong,1)</f>
        <v>16.088770234554406</v>
      </c>
      <c r="AC997" s="257">
        <f>altaz((J2000_Bas+(6*0.04167)),$O997,$M997,DecLat,DecLong,1)</f>
        <v>35.328130520413829</v>
      </c>
      <c r="AD997" s="258">
        <f>1+ transit((J2000_Bas-1),$O997,$M997,DecLat,DecLong)/360 + (GMTOffset/24) + (IF(DST="Y", 1, 0)/24)</f>
        <v>1.1203420775151247</v>
      </c>
      <c r="AE997" s="259">
        <f>DATE(2001,9,21)+(M997/360)*365 - (360*((DecLong/360)- (GMTOffset/24) ))</f>
        <v>37206.516377314816</v>
      </c>
      <c r="AF997" s="260">
        <f>IF(DecLat&gt;0,IF((90 - (DecLat-O997))&gt;90, (90 - (O997-DecLat)), (90 - (DecLat-O997))),IF((90 + (DecLat-O997))&gt;90, (90 + (O997-DecLat)), (90 + (DecLat-O997))))</f>
        <v>43.32416666666667</v>
      </c>
      <c r="AG997" s="257">
        <f>angularseperation(MoonRA,MoonDec,$M997,$O997)</f>
        <v>131.5997845530859</v>
      </c>
      <c r="AH997" s="261">
        <f ca="1">MIN(100,IF($O$5&gt;80,0+30*($AG997/100),IF($O$5&gt;70,0+50*($AG997/100),IF($O$5&gt;60,5+50*($AG997/100),IF($O$5&gt;50,10+60*($AG997/100),IF($O$5&gt;40,15+70*($AG997/100),IF($O$5&gt;30,20+70*($AG997/100),IF($O$5&gt;20,40+55*($AG997/100),(80+(20-$O$5)+30*($AG997/100))))))))))</f>
        <v>100</v>
      </c>
      <c r="AI997" s="262">
        <v>1199</v>
      </c>
      <c r="AJ997" s="262"/>
      <c r="AK997" s="262"/>
      <c r="AL997" s="263"/>
      <c r="AM997" s="264"/>
      <c r="AN997" s="263"/>
      <c r="AO997" s="263">
        <v>22</v>
      </c>
      <c r="AP997" s="265"/>
      <c r="AQ997" s="266"/>
      <c r="AR997" s="267">
        <v>11527</v>
      </c>
      <c r="AS997" s="263"/>
      <c r="AT997" s="263"/>
      <c r="AU997" s="263"/>
      <c r="AV997" s="264"/>
      <c r="AW997" s="263"/>
      <c r="AX997" s="263"/>
      <c r="AY997" s="263"/>
      <c r="AZ997" s="263"/>
      <c r="BA997" s="263"/>
      <c r="BB997" s="263"/>
      <c r="BC997" s="263"/>
      <c r="BD997" s="264"/>
      <c r="BE997" s="263"/>
      <c r="BF997" s="263"/>
      <c r="BG997" s="263"/>
      <c r="BH997" s="263"/>
      <c r="BI997" s="263"/>
      <c r="BJ997" s="404">
        <f>altaz(J2000_Bas,$O997,$M997,DecLat,DecLong,2)</f>
        <v>88.942318057791766</v>
      </c>
      <c r="BK997" s="378" t="s">
        <v>4019</v>
      </c>
      <c r="BL997" s="379">
        <f>IF((2*G997)/60&lt;0.2,0.2,(2*G997)/60)</f>
        <v>0.33333333333333331</v>
      </c>
      <c r="BM997" s="380">
        <f>MOD((50000+AD997-$B$3+(0/24)),1)</f>
        <v>0.33570900721679209</v>
      </c>
      <c r="BN997" s="381"/>
      <c r="BO997" s="382">
        <v>991</v>
      </c>
    </row>
    <row r="998" spans="1:67" s="24" customFormat="1" ht="15" customHeight="1" x14ac:dyDescent="0.25">
      <c r="A998" s="288" t="s">
        <v>1065</v>
      </c>
      <c r="B998" s="241" t="str">
        <f>HYPERLINK(CONCATENATE($AT$3,BK998,$AU$3),$AV$3)</f>
        <v>S</v>
      </c>
      <c r="C998" s="242" t="str">
        <f>HYPERLINK(CONCATENATE($AT$4,BK998,$AU$4,BL998),$AV$4)</f>
        <v>A</v>
      </c>
      <c r="D998" s="243" t="s">
        <v>5638</v>
      </c>
      <c r="E998" s="244" t="s">
        <v>5625</v>
      </c>
      <c r="F998" s="290">
        <v>5</v>
      </c>
      <c r="G998" s="291">
        <v>7.1</v>
      </c>
      <c r="H998" s="283">
        <v>220</v>
      </c>
      <c r="I998" s="284">
        <v>420</v>
      </c>
      <c r="J998" s="246">
        <v>2</v>
      </c>
      <c r="K998" s="247" t="s">
        <v>7607</v>
      </c>
      <c r="L998" s="248">
        <v>30706</v>
      </c>
      <c r="M998" s="249">
        <f>15*(LEFT(TEXT($L998,"000000"),2)+(MID(TEXT($L998,"000000"),3,2)/60)+(RIGHT(TEXT($L998,"000000"),2)/3600))</f>
        <v>46.774999999999999</v>
      </c>
      <c r="N998" s="250">
        <v>-93508</v>
      </c>
      <c r="O998" s="251">
        <f>IF($N998&gt;0,(LEFT(TEXT($N998,"000000"),2)+(MID(TEXT($N998,"000000"),3,2)/60)+(RIGHT(TEXT($N998,"000000"),2)/3600)),-(MID(TEXT($N998,"000000"),2,2)+(MID(TEXT($N998,"000000"),4,2)/60)+(RIGHT(TEXT($N998,"000000"),2)/3600)))</f>
        <v>-9.5855555555555565</v>
      </c>
      <c r="P998" s="252" t="s">
        <v>257</v>
      </c>
      <c r="Q998" s="253"/>
      <c r="R998" s="292" t="s">
        <v>3427</v>
      </c>
      <c r="S998" s="272" t="s">
        <v>3293</v>
      </c>
      <c r="T998" s="273">
        <v>11.2</v>
      </c>
      <c r="U998" s="289">
        <v>24.1</v>
      </c>
      <c r="V998" s="280"/>
      <c r="W998" s="244"/>
      <c r="X998" s="244"/>
      <c r="Y998" s="362"/>
      <c r="Z998" s="257">
        <f>altaz(J2000_Bas,$O998,$M998,DecLat,DecLong,1)</f>
        <v>-31.211087710185264</v>
      </c>
      <c r="AA998" s="257">
        <f>altaz((J2000_Bas+(2*0.04167)),$O998,$M998,DecLat,DecLong,1)</f>
        <v>-5.5037272872057885</v>
      </c>
      <c r="AB998" s="257">
        <f>altaz((J2000_Bas+(4*0.04167)),$O998,$M998,DecLat,DecLong,1)</f>
        <v>19.21447333692532</v>
      </c>
      <c r="AC998" s="257">
        <f>altaz((J2000_Bas+(6*0.04167)),$O998,$M998,DecLat,DecLong,1)</f>
        <v>39.966829708990254</v>
      </c>
      <c r="AD998" s="258">
        <f>1+ transit((J2000_Bas-1),$O998,$M998,DecLat,DecLong)/360 + (GMTOffset/24) + (IF(DST="Y", 1, 0)/24)</f>
        <v>1.1228305031922081</v>
      </c>
      <c r="AE998" s="259">
        <f>DATE(2001,9,21)+(M998/360)*365 - (360*((DecLong/360)- (GMTOffset/24) ))</f>
        <v>37207.42465277778</v>
      </c>
      <c r="AF998" s="260">
        <f>IF(DecLat&gt;0,IF((90 - (DecLat-O998))&gt;90, (90 - (O998-DecLat)), (90 - (DecLat-O998))),IF((90 + (DecLat-O998))&gt;90, (90 + (O998-DecLat)), (90 + (DecLat-O998))))</f>
        <v>49.414444444444442</v>
      </c>
      <c r="AG998" s="257">
        <f>angularseperation(MoonRA,MoonDec,$M998,$O998)</f>
        <v>137.34603178022749</v>
      </c>
      <c r="AH998" s="261">
        <f ca="1">MIN(100,IF($O$5&gt;80,0+30*($AG998/100),IF($O$5&gt;70,0+50*($AG998/100),IF($O$5&gt;60,5+50*($AG998/100),IF($O$5&gt;50,10+60*($AG998/100),IF($O$5&gt;40,15+70*($AG998/100),IF($O$5&gt;30,20+70*($AG998/100),IF($O$5&gt;20,40+55*($AG998/100),(80+(20-$O$5)+30*($AG998/100))))))))))</f>
        <v>100</v>
      </c>
      <c r="AI998" s="262">
        <v>1214</v>
      </c>
      <c r="AJ998" s="262"/>
      <c r="AK998" s="262"/>
      <c r="AL998" s="263"/>
      <c r="AM998" s="264"/>
      <c r="AN998" s="263"/>
      <c r="AO998" s="263">
        <v>23</v>
      </c>
      <c r="AP998" s="265"/>
      <c r="AQ998" s="266"/>
      <c r="AR998" s="267">
        <v>11675</v>
      </c>
      <c r="AS998" s="263"/>
      <c r="AT998" s="263"/>
      <c r="AU998" s="263"/>
      <c r="AV998" s="264"/>
      <c r="AW998" s="263"/>
      <c r="AX998" s="263"/>
      <c r="AY998" s="263"/>
      <c r="AZ998" s="263"/>
      <c r="BA998" s="263"/>
      <c r="BB998" s="263"/>
      <c r="BC998" s="263"/>
      <c r="BD998" s="264"/>
      <c r="BE998" s="263"/>
      <c r="BF998" s="263"/>
      <c r="BG998" s="263"/>
      <c r="BH998" s="263"/>
      <c r="BI998" s="263"/>
      <c r="BJ998" s="404">
        <f>altaz(J2000_Bas,$O998,$M998,DecLat,DecLong,2)</f>
        <v>82.130966958964564</v>
      </c>
      <c r="BK998" s="378" t="s">
        <v>4020</v>
      </c>
      <c r="BL998" s="379">
        <f>IF((2*G998)/60&lt;0.2,0.2,(2*G998)/60)</f>
        <v>0.23666666666666666</v>
      </c>
      <c r="BM998" s="380">
        <f>MOD((50000+AD998-$B$3+(0/24)),1)</f>
        <v>0.33819743289495818</v>
      </c>
      <c r="BN998" s="381"/>
      <c r="BO998" s="382">
        <v>992</v>
      </c>
    </row>
    <row r="999" spans="1:67" s="24" customFormat="1" ht="15" customHeight="1" x14ac:dyDescent="0.25">
      <c r="A999" s="288" t="s">
        <v>1066</v>
      </c>
      <c r="B999" s="241" t="str">
        <f>HYPERLINK(CONCATENATE($AT$3,BK999,$AU$3),$AV$3)</f>
        <v>S</v>
      </c>
      <c r="C999" s="242" t="str">
        <f>HYPERLINK(CONCATENATE($AT$4,BK999,$AU$4,BL999),$AV$4)</f>
        <v>A</v>
      </c>
      <c r="D999" s="243" t="s">
        <v>5638</v>
      </c>
      <c r="E999" s="244" t="s">
        <v>5625</v>
      </c>
      <c r="F999" s="290">
        <v>4</v>
      </c>
      <c r="G999" s="291">
        <v>2.4</v>
      </c>
      <c r="H999" s="283">
        <v>430</v>
      </c>
      <c r="I999" s="284">
        <v>300</v>
      </c>
      <c r="J999" s="246">
        <v>2</v>
      </c>
      <c r="K999" s="277" t="s">
        <v>7606</v>
      </c>
      <c r="L999" s="248">
        <v>32019</v>
      </c>
      <c r="M999" s="249">
        <f>15*(LEFT(TEXT($L999,"000000"),2)+(MID(TEXT($L999,"000000"),3,2)/60)+(RIGHT(TEXT($L999,"000000"),2)/3600))</f>
        <v>50.079166666666666</v>
      </c>
      <c r="N999" s="250">
        <v>-105153</v>
      </c>
      <c r="O999" s="251">
        <f>IF($N999&gt;0,(LEFT(TEXT($N999,"000000"),2)+(MID(TEXT($N999,"000000"),3,2)/60)+(RIGHT(TEXT($N999,"000000"),2)/3600)),-(MID(TEXT($N999,"000000"),2,2)+(MID(TEXT($N999,"000000"),4,2)/60)+(RIGHT(TEXT($N999,"000000"),2)/3600)))</f>
        <v>-10.864722222222222</v>
      </c>
      <c r="P999" s="252" t="s">
        <v>257</v>
      </c>
      <c r="Q999" s="253"/>
      <c r="R999" s="321"/>
      <c r="S999" s="272" t="s">
        <v>3293</v>
      </c>
      <c r="T999" s="273">
        <v>12.7</v>
      </c>
      <c r="U999" s="289">
        <v>23.2</v>
      </c>
      <c r="V999" s="280"/>
      <c r="W999" s="244"/>
      <c r="X999" s="244"/>
      <c r="Y999" s="362"/>
      <c r="Z999" s="257">
        <f>altaz(J2000_Bas,$O999,$M999,DecLat,DecLong,1)</f>
        <v>-34.662534857196732</v>
      </c>
      <c r="AA999" s="257">
        <f>altaz((J2000_Bas+(2*0.04167)),$O999,$M999,DecLat,DecLong,1)</f>
        <v>-8.9564567661804499</v>
      </c>
      <c r="AB999" s="257">
        <f>altaz((J2000_Bas+(4*0.04167)),$O999,$M999,DecLat,DecLong,1)</f>
        <v>15.85260924541495</v>
      </c>
      <c r="AC999" s="257">
        <f>altaz((J2000_Bas+(6*0.04167)),$O999,$M999,DecLat,DecLong,1)</f>
        <v>37.031758487466661</v>
      </c>
      <c r="AD999" s="258">
        <f>1+ transit((J2000_Bas-1),$O999,$M999,DecLat,DecLong)/360 + (GMTOffset/24) + (IF(DST="Y", 1, 0)/24)</f>
        <v>1.1320087430151247</v>
      </c>
      <c r="AE999" s="259">
        <f>DATE(2001,9,21)+(M999/360)*365 - (360*((DecLong/360)- (GMTOffset/24) ))</f>
        <v>37210.774710648147</v>
      </c>
      <c r="AF999" s="260">
        <f>IF(DecLat&gt;0,IF((90 - (DecLat-O999))&gt;90, (90 - (O999-DecLat)), (90 - (DecLat-O999))),IF((90 + (DecLat-O999))&gt;90, (90 + (O999-DecLat)), (90 + (DecLat-O999))))</f>
        <v>48.13527777777778</v>
      </c>
      <c r="AG999" s="257">
        <f>angularseperation(MoonRA,MoonDec,$M999,$O999)</f>
        <v>137.74087612164141</v>
      </c>
      <c r="AH999" s="261">
        <f ca="1">MIN(100,IF($O$5&gt;80,0+30*($AG999/100),IF($O$5&gt;70,0+50*($AG999/100),IF($O$5&gt;60,5+50*($AG999/100),IF($O$5&gt;50,10+60*($AG999/100),IF($O$5&gt;40,15+70*($AG999/100),IF($O$5&gt;30,20+70*($AG999/100),IF($O$5&gt;20,40+55*($AG999/100),(80+(20-$O$5)+30*($AG999/100))))))))))</f>
        <v>100</v>
      </c>
      <c r="AI999" s="263"/>
      <c r="AJ999" s="263"/>
      <c r="AK999" s="263"/>
      <c r="AL999" s="263"/>
      <c r="AM999" s="264"/>
      <c r="AN999" s="263"/>
      <c r="AO999" s="263">
        <v>24</v>
      </c>
      <c r="AP999" s="265"/>
      <c r="AQ999" s="265"/>
      <c r="AR999" s="285"/>
      <c r="AS999" s="263"/>
      <c r="AT999" s="263"/>
      <c r="AU999" s="263"/>
      <c r="AV999" s="264"/>
      <c r="AW999" s="263"/>
      <c r="AX999" s="263"/>
      <c r="AY999" s="263"/>
      <c r="AZ999" s="263"/>
      <c r="BA999" s="263"/>
      <c r="BB999" s="263"/>
      <c r="BC999" s="263"/>
      <c r="BD999" s="264"/>
      <c r="BE999" s="263"/>
      <c r="BF999" s="263"/>
      <c r="BG999" s="263"/>
      <c r="BH999" s="263"/>
      <c r="BI999" s="263"/>
      <c r="BJ999" s="404">
        <f>altaz(J2000_Bas,$O999,$M999,DecLat,DecLong,2)</f>
        <v>81.481738513893603</v>
      </c>
      <c r="BK999" s="378" t="s">
        <v>4021</v>
      </c>
      <c r="BL999" s="379">
        <f>IF((2*G999)/60&lt;0.2,0.2,(2*G999)/60)</f>
        <v>0.2</v>
      </c>
      <c r="BM999" s="380">
        <f>MOD((50000+AD999-$B$3+(0/24)),1)</f>
        <v>0.34737567271804437</v>
      </c>
      <c r="BN999" s="381"/>
      <c r="BO999" s="382">
        <v>993</v>
      </c>
    </row>
    <row r="1000" spans="1:67" s="24" customFormat="1" ht="15" customHeight="1" x14ac:dyDescent="0.25">
      <c r="A1000" s="288" t="s">
        <v>1067</v>
      </c>
      <c r="B1000" s="241" t="str">
        <f>HYPERLINK(CONCATENATE($AT$3,BK1000,$AU$3),$AV$3)</f>
        <v>S</v>
      </c>
      <c r="C1000" s="242" t="str">
        <f>HYPERLINK(CONCATENATE($AT$4,BK1000,$AU$4,BL1000),$AV$4)</f>
        <v>A</v>
      </c>
      <c r="D1000" s="243" t="s">
        <v>5638</v>
      </c>
      <c r="E1000" s="244" t="s">
        <v>5625</v>
      </c>
      <c r="F1000" s="290">
        <v>7</v>
      </c>
      <c r="G1000" s="291">
        <v>6.4</v>
      </c>
      <c r="H1000" s="283">
        <v>290</v>
      </c>
      <c r="I1000" s="284">
        <v>580</v>
      </c>
      <c r="J1000" s="246">
        <v>2</v>
      </c>
      <c r="K1000" s="247" t="s">
        <v>3761</v>
      </c>
      <c r="L1000" s="248">
        <v>32044</v>
      </c>
      <c r="M1000" s="249">
        <f>15*(LEFT(TEXT($L1000,"000000"),2)+(MID(TEXT($L1000,"000000"),3,2)/60)+(RIGHT(TEXT($L1000,"000000"),2)/3600))</f>
        <v>50.183333333333337</v>
      </c>
      <c r="N1000" s="250">
        <v>-10307</v>
      </c>
      <c r="O1000" s="251">
        <f>IF($N1000&gt;0,(LEFT(TEXT($N1000,"000000"),2)+(MID(TEXT($N1000,"000000"),3,2)/60)+(RIGHT(TEXT($N1000,"000000"),2)/3600)),-(MID(TEXT($N1000,"000000"),2,2)+(MID(TEXT($N1000,"000000"),4,2)/60)+(RIGHT(TEXT($N1000,"000000"),2)/3600)))</f>
        <v>-1.0519444444444446</v>
      </c>
      <c r="P1000" s="252" t="s">
        <v>75</v>
      </c>
      <c r="Q1000" s="253"/>
      <c r="R1000" s="292"/>
      <c r="S1000" s="272" t="s">
        <v>3293</v>
      </c>
      <c r="T1000" s="273">
        <v>11.8</v>
      </c>
      <c r="U1000" s="289">
        <v>24.5</v>
      </c>
      <c r="V1000" s="280"/>
      <c r="W1000" s="244"/>
      <c r="X1000" s="244"/>
      <c r="Y1000" s="362"/>
      <c r="Z1000" s="257">
        <f>altaz(J2000_Bas,$O1000,$M1000,DecLat,DecLong,1)</f>
        <v>-29.402060718378973</v>
      </c>
      <c r="AA1000" s="257">
        <f>altaz((J2000_Bas+(2*0.04167)),$O1000,$M1000,DecLat,DecLong,1)</f>
        <v>-4.0526546175458655</v>
      </c>
      <c r="AB1000" s="257">
        <f>altaz((J2000_Bas+(4*0.04167)),$O1000,$M1000,DecLat,DecLong,1)</f>
        <v>21.474208189736402</v>
      </c>
      <c r="AC1000" s="257">
        <f>altaz((J2000_Bas+(6*0.04167)),$O1000,$M1000,DecLat,DecLong,1)</f>
        <v>44.560178419926586</v>
      </c>
      <c r="AD1000" s="258">
        <f>1+ transit((J2000_Bas-1),$O1000,$M1000,DecLat,DecLong)/360 + (GMTOffset/24) + (IF(DST="Y", 1, 0)/24)</f>
        <v>1.1322980948380412</v>
      </c>
      <c r="AE1000" s="259">
        <f>DATE(2001,9,21)+(M1000/360)*365 - (360*((DecLong/360)- (GMTOffset/24) ))</f>
        <v>37210.880324074074</v>
      </c>
      <c r="AF1000" s="260">
        <f>IF(DecLat&gt;0,IF((90 - (DecLat-O1000))&gt;90, (90 - (O1000-DecLat)), (90 - (DecLat-O1000))),IF((90 + (DecLat-O1000))&gt;90, (90 + (O1000-DecLat)), (90 + (DecLat-O1000))))</f>
        <v>57.948055555555555</v>
      </c>
      <c r="AG1000" s="257">
        <f>angularseperation(MoonRA,MoonDec,$M1000,$O1000)</f>
        <v>146.4117711563091</v>
      </c>
      <c r="AH1000" s="261">
        <f ca="1">MIN(100,IF($O$5&gt;80,0+30*($AG1000/100),IF($O$5&gt;70,0+50*($AG1000/100),IF($O$5&gt;60,5+50*($AG1000/100),IF($O$5&gt;50,10+60*($AG1000/100),IF($O$5&gt;40,15+70*($AG1000/100),IF($O$5&gt;30,20+70*($AG1000/100),IF($O$5&gt;20,40+55*($AG1000/100),(80+(20-$O$5)+30*($AG1000/100))))))))))</f>
        <v>100</v>
      </c>
      <c r="AI1000" s="262"/>
      <c r="AJ1000" s="262"/>
      <c r="AK1000" s="262"/>
      <c r="AL1000" s="263"/>
      <c r="AM1000" s="264"/>
      <c r="AN1000" s="263"/>
      <c r="AO1000" s="263">
        <v>25</v>
      </c>
      <c r="AP1000" s="265"/>
      <c r="AQ1000" s="266"/>
      <c r="AR1000" s="267"/>
      <c r="AS1000" s="263"/>
      <c r="AT1000" s="263"/>
      <c r="AU1000" s="263"/>
      <c r="AV1000" s="264"/>
      <c r="AW1000" s="263"/>
      <c r="AX1000" s="263"/>
      <c r="AY1000" s="263"/>
      <c r="AZ1000" s="263"/>
      <c r="BA1000" s="263"/>
      <c r="BB1000" s="263"/>
      <c r="BC1000" s="263"/>
      <c r="BD1000" s="264"/>
      <c r="BE1000" s="263"/>
      <c r="BF1000" s="263"/>
      <c r="BG1000" s="263"/>
      <c r="BH1000" s="263"/>
      <c r="BI1000" s="263"/>
      <c r="BJ1000" s="404">
        <f>altaz(J2000_Bas,$O1000,$M1000,DecLat,DecLong,2)</f>
        <v>71.698858551426667</v>
      </c>
      <c r="BK1000" s="378" t="s">
        <v>4022</v>
      </c>
      <c r="BL1000" s="379">
        <f>IF((2*G1000)/60&lt;0.2,0.2,(2*G1000)/60)</f>
        <v>0.21333333333333335</v>
      </c>
      <c r="BM1000" s="380">
        <f>MOD((50000+AD1000-$B$3+(0/24)),1)</f>
        <v>0.34766502454294823</v>
      </c>
      <c r="BN1000" s="381"/>
      <c r="BO1000" s="382">
        <v>994</v>
      </c>
    </row>
    <row r="1001" spans="1:67" s="24" customFormat="1" ht="15" customHeight="1" x14ac:dyDescent="0.25">
      <c r="A1001" s="288" t="s">
        <v>1068</v>
      </c>
      <c r="B1001" s="241" t="str">
        <f>HYPERLINK(CONCATENATE($AT$3,BK1001,$AU$3),$AV$3)</f>
        <v>S</v>
      </c>
      <c r="C1001" s="242" t="str">
        <f>HYPERLINK(CONCATENATE($AT$4,BK1001,$AU$4,BL1001),$AV$4)</f>
        <v>A</v>
      </c>
      <c r="D1001" s="243" t="s">
        <v>5638</v>
      </c>
      <c r="E1001" s="244" t="s">
        <v>5625</v>
      </c>
      <c r="F1001" s="290">
        <v>4</v>
      </c>
      <c r="G1001" s="291">
        <v>1.9</v>
      </c>
      <c r="H1001" s="283">
        <v>450</v>
      </c>
      <c r="I1001" s="284">
        <v>260</v>
      </c>
      <c r="J1001" s="246">
        <v>2</v>
      </c>
      <c r="K1001" s="247" t="s">
        <v>7616</v>
      </c>
      <c r="L1001" s="248">
        <v>32154</v>
      </c>
      <c r="M1001" s="249">
        <f>15*(LEFT(TEXT($L1001,"000000"),2)+(MID(TEXT($L1001,"000000"),3,2)/60)+(RIGHT(TEXT($L1001,"000000"),2)/3600))</f>
        <v>50.475000000000001</v>
      </c>
      <c r="N1001" s="250">
        <v>-133845</v>
      </c>
      <c r="O1001" s="251">
        <f>IF($N1001&gt;0,(LEFT(TEXT($N1001,"000000"),2)+(MID(TEXT($N1001,"000000"),3,2)/60)+(RIGHT(TEXT($N1001,"000000"),2)/3600)),-(MID(TEXT($N1001,"000000"),2,2)+(MID(TEXT($N1001,"000000"),4,2)/60)+(RIGHT(TEXT($N1001,"000000"),2)/3600)))</f>
        <v>-13.645833333333332</v>
      </c>
      <c r="P1001" s="252" t="s">
        <v>257</v>
      </c>
      <c r="Q1001" s="253"/>
      <c r="R1001" s="292"/>
      <c r="S1001" s="272" t="s">
        <v>3293</v>
      </c>
      <c r="T1001" s="273">
        <v>12.7</v>
      </c>
      <c r="U1001" s="289">
        <v>22.7</v>
      </c>
      <c r="V1001" s="280"/>
      <c r="W1001" s="244"/>
      <c r="X1001" s="244"/>
      <c r="Y1001" s="362"/>
      <c r="Z1001" s="257">
        <f>altaz(J2000_Bas,$O1001,$M1001,DecLat,DecLong,1)</f>
        <v>-36.368540342014057</v>
      </c>
      <c r="AA1001" s="257">
        <f>altaz((J2000_Bas+(2*0.04167)),$O1001,$M1001,DecLat,DecLong,1)</f>
        <v>-10.674886721282141</v>
      </c>
      <c r="AB1001" s="257">
        <f>altaz((J2000_Bas+(4*0.04167)),$O1001,$M1001,DecLat,DecLong,1)</f>
        <v>13.867368245513751</v>
      </c>
      <c r="AC1001" s="257">
        <f>altaz((J2000_Bas+(6*0.04167)),$O1001,$M1001,DecLat,DecLong,1)</f>
        <v>34.560348977607333</v>
      </c>
      <c r="AD1001" s="258">
        <f>1+ transit((J2000_Bas-1),$O1001,$M1001,DecLat,DecLong)/360 + (GMTOffset/24) + (IF(DST="Y", 1, 0)/24)</f>
        <v>1.1331082799422079</v>
      </c>
      <c r="AE1001" s="259">
        <f>DATE(2001,9,21)+(M1001/360)*365 - (360*((DecLong/360)- (GMTOffset/24) ))</f>
        <v>37211.176041666666</v>
      </c>
      <c r="AF1001" s="260">
        <f>IF(DecLat&gt;0,IF((90 - (DecLat-O1001))&gt;90, (90 - (O1001-DecLat)), (90 - (DecLat-O1001))),IF((90 + (DecLat-O1001))&gt;90, (90 + (O1001-DecLat)), (90 + (DecLat-O1001))))</f>
        <v>45.354166666666671</v>
      </c>
      <c r="AG1001" s="257">
        <f>angularseperation(MoonRA,MoonDec,$M1001,$O1001)</f>
        <v>135.38115522746787</v>
      </c>
      <c r="AH1001" s="261">
        <f ca="1">MIN(100,IF($O$5&gt;80,0+30*($AG1001/100),IF($O$5&gt;70,0+50*($AG1001/100),IF($O$5&gt;60,5+50*($AG1001/100),IF($O$5&gt;50,10+60*($AG1001/100),IF($O$5&gt;40,15+70*($AG1001/100),IF($O$5&gt;30,20+70*($AG1001/100),IF($O$5&gt;20,40+55*($AG1001/100),(80+(20-$O$5)+30*($AG1001/100))))))))))</f>
        <v>100</v>
      </c>
      <c r="AI1001" s="262"/>
      <c r="AJ1001" s="262"/>
      <c r="AK1001" s="262"/>
      <c r="AL1001" s="263"/>
      <c r="AM1001" s="264"/>
      <c r="AN1001" s="263"/>
      <c r="AO1001" s="263">
        <v>26</v>
      </c>
      <c r="AP1001" s="265"/>
      <c r="AQ1001" s="266"/>
      <c r="AR1001" s="267"/>
      <c r="AS1001" s="263"/>
      <c r="AT1001" s="263"/>
      <c r="AU1001" s="263"/>
      <c r="AV1001" s="264"/>
      <c r="AW1001" s="263"/>
      <c r="AX1001" s="263"/>
      <c r="AY1001" s="263"/>
      <c r="AZ1001" s="263"/>
      <c r="BA1001" s="263"/>
      <c r="BB1001" s="263"/>
      <c r="BC1001" s="263"/>
      <c r="BD1001" s="264"/>
      <c r="BE1001" s="263"/>
      <c r="BF1001" s="263"/>
      <c r="BG1001" s="263"/>
      <c r="BH1001" s="263"/>
      <c r="BI1001" s="263"/>
      <c r="BJ1001" s="404">
        <f>altaz(J2000_Bas,$O1001,$M1001,DecLat,DecLong,2)</f>
        <v>84.222006157724678</v>
      </c>
      <c r="BK1001" s="378" t="s">
        <v>4023</v>
      </c>
      <c r="BL1001" s="379">
        <f>IF((2*G1001)/60&lt;0.2,0.2,(2*G1001)/60)</f>
        <v>0.2</v>
      </c>
      <c r="BM1001" s="380">
        <f>MOD((50000+AD1001-$B$3+(0/24)),1)</f>
        <v>0.34847520964831347</v>
      </c>
      <c r="BN1001" s="381"/>
      <c r="BO1001" s="382">
        <v>995</v>
      </c>
    </row>
    <row r="1002" spans="1:67" s="24" customFormat="1" ht="15" customHeight="1" x14ac:dyDescent="0.25">
      <c r="A1002" s="288" t="s">
        <v>1069</v>
      </c>
      <c r="B1002" s="241" t="str">
        <f>HYPERLINK(CONCATENATE($AT$3,BK1002,$AU$3),$AV$3)</f>
        <v>S</v>
      </c>
      <c r="C1002" s="242" t="str">
        <f>HYPERLINK(CONCATENATE($AT$4,BK1002,$AU$4,BL1002),$AV$4)</f>
        <v>A</v>
      </c>
      <c r="D1002" s="243" t="s">
        <v>5638</v>
      </c>
      <c r="E1002" s="244" t="s">
        <v>5626</v>
      </c>
      <c r="F1002" s="290">
        <v>7</v>
      </c>
      <c r="G1002" s="291">
        <v>3.8</v>
      </c>
      <c r="H1002" s="283">
        <v>850</v>
      </c>
      <c r="I1002" s="284">
        <v>950</v>
      </c>
      <c r="J1002" s="246">
        <v>3</v>
      </c>
      <c r="K1002" s="247" t="s">
        <v>6228</v>
      </c>
      <c r="L1002" s="248">
        <v>41921</v>
      </c>
      <c r="M1002" s="249">
        <f>15*(LEFT(TEXT($L1002,"000000"),2)+(MID(TEXT($L1002,"000000"),3,2)/60)+(RIGHT(TEXT($L1002,"000000"),2)/3600))</f>
        <v>64.837499999999991</v>
      </c>
      <c r="N1002" s="250">
        <v>-114235</v>
      </c>
      <c r="O1002" s="251">
        <f>IF($N1002&gt;0,(LEFT(TEXT($N1002,"000000"),2)+(MID(TEXT($N1002,"000000"),3,2)/60)+(RIGHT(TEXT($N1002,"000000"),2)/3600)),-(MID(TEXT($N1002,"000000"),2,2)+(MID(TEXT($N1002,"000000"),4,2)/60)+(RIGHT(TEXT($N1002,"000000"),2)/3600)))</f>
        <v>-11.709722222222222</v>
      </c>
      <c r="P1002" s="252" t="s">
        <v>257</v>
      </c>
      <c r="Q1002" s="253"/>
      <c r="R1002" s="292"/>
      <c r="S1002" s="272" t="s">
        <v>3293</v>
      </c>
      <c r="T1002" s="273">
        <v>14</v>
      </c>
      <c r="U1002" s="289">
        <v>25.5</v>
      </c>
      <c r="V1002" s="280"/>
      <c r="W1002" s="244"/>
      <c r="X1002" s="244"/>
      <c r="Y1002" s="362"/>
      <c r="Z1002" s="257">
        <f>altaz(J2000_Bas,$O1002,$M1002,DecLat,DecLong,1)</f>
        <v>-47.42465066181844</v>
      </c>
      <c r="AA1002" s="257">
        <f>altaz((J2000_Bas+(2*0.04167)),$O1002,$M1002,DecLat,DecLong,1)</f>
        <v>-21.982695666208912</v>
      </c>
      <c r="AB1002" s="257">
        <f>altaz((J2000_Bas+(4*0.04167)),$O1002,$M1002,DecLat,DecLong,1)</f>
        <v>3.4642564717936923</v>
      </c>
      <c r="AC1002" s="257">
        <f>altaz((J2000_Bas+(6*0.04167)),$O1002,$M1002,DecLat,DecLong,1)</f>
        <v>26.790855886874702</v>
      </c>
      <c r="AD1002" s="258">
        <f>1+ transit((J2000_Bas-1),$O1002,$M1002,DecLat,DecLong)/360 + (GMTOffset/24) + (IF(DST="Y", 1, 0)/24)</f>
        <v>1.173004109285958</v>
      </c>
      <c r="AE1002" s="259">
        <f>DATE(2001,9,21)+(M1002/360)*365 - (360*((DecLong/360)- (GMTOffset/24) ))</f>
        <v>37225.738020833334</v>
      </c>
      <c r="AF1002" s="260">
        <f>IF(DecLat&gt;0,IF((90 - (DecLat-O1002))&gt;90, (90 - (O1002-DecLat)), (90 - (DecLat-O1002))),IF((90 + (DecLat-O1002))&gt;90, (90 + (O1002-DecLat)), (90 + (DecLat-O1002))))</f>
        <v>47.290277777777774</v>
      </c>
      <c r="AG1002" s="257">
        <f>angularseperation(MoonRA,MoonDec,$M1002,$O1002)</f>
        <v>140.97133398319488</v>
      </c>
      <c r="AH1002" s="261">
        <f ca="1">MIN(100,IF($O$5&gt;80,0+30*($AG1002/100),IF($O$5&gt;70,0+50*($AG1002/100),IF($O$5&gt;60,5+50*($AG1002/100),IF($O$5&gt;50,10+60*($AG1002/100),IF($O$5&gt;40,15+70*($AG1002/100),IF($O$5&gt;30,20+70*($AG1002/100),IF($O$5&gt;20,40+55*($AG1002/100),(80+(20-$O$5)+30*($AG1002/100))))))))))</f>
        <v>100</v>
      </c>
      <c r="AI1002" s="262"/>
      <c r="AJ1002" s="262"/>
      <c r="AK1002" s="262"/>
      <c r="AL1002" s="263"/>
      <c r="AM1002" s="264"/>
      <c r="AN1002" s="263"/>
      <c r="AO1002" s="263">
        <v>27</v>
      </c>
      <c r="AP1002" s="265"/>
      <c r="AQ1002" s="266"/>
      <c r="AR1002" s="267"/>
      <c r="AS1002" s="263"/>
      <c r="AT1002" s="263"/>
      <c r="AU1002" s="263"/>
      <c r="AV1002" s="264"/>
      <c r="AW1002" s="263"/>
      <c r="AX1002" s="263"/>
      <c r="AY1002" s="263"/>
      <c r="AZ1002" s="263"/>
      <c r="BA1002" s="263"/>
      <c r="BB1002" s="263"/>
      <c r="BC1002" s="263"/>
      <c r="BD1002" s="264"/>
      <c r="BE1002" s="263"/>
      <c r="BF1002" s="263"/>
      <c r="BG1002" s="263"/>
      <c r="BH1002" s="263"/>
      <c r="BI1002" s="263"/>
      <c r="BJ1002" s="404">
        <f>altaz(J2000_Bas,$O1002,$M1002,DecLat,DecLong,2)</f>
        <v>72.300173550414769</v>
      </c>
      <c r="BK1002" s="378" t="s">
        <v>4024</v>
      </c>
      <c r="BL1002" s="379">
        <f>IF((2*G1002)/60&lt;0.2,0.2,(2*G1002)/60)</f>
        <v>0.2</v>
      </c>
      <c r="BM1002" s="380">
        <f>MOD((50000+AD1002-$B$3+(0/24)),1)</f>
        <v>0.38837103899277281</v>
      </c>
      <c r="BN1002" s="381"/>
      <c r="BO1002" s="382">
        <v>996</v>
      </c>
    </row>
    <row r="1003" spans="1:67" s="24" customFormat="1" ht="15" customHeight="1" x14ac:dyDescent="0.25">
      <c r="A1003" s="288" t="s">
        <v>1070</v>
      </c>
      <c r="B1003" s="241" t="str">
        <f>HYPERLINK(CONCATENATE($AT$3,BK1003,$AU$3),$AV$3)</f>
        <v>S</v>
      </c>
      <c r="C1003" s="242" t="str">
        <f>HYPERLINK(CONCATENATE($AT$4,BK1003,$AU$4,BL1003),$AV$4)</f>
        <v>A</v>
      </c>
      <c r="D1003" s="243" t="s">
        <v>5638</v>
      </c>
      <c r="E1003" s="244" t="s">
        <v>5625</v>
      </c>
      <c r="F1003" s="290">
        <v>4</v>
      </c>
      <c r="G1003" s="291">
        <v>1.2</v>
      </c>
      <c r="H1003" s="283">
        <v>530</v>
      </c>
      <c r="I1003" s="284">
        <v>200</v>
      </c>
      <c r="J1003" s="246">
        <v>2</v>
      </c>
      <c r="K1003" s="247" t="s">
        <v>4617</v>
      </c>
      <c r="L1003" s="248">
        <v>42719</v>
      </c>
      <c r="M1003" s="249">
        <f>15*(LEFT(TEXT($L1003,"000000"),2)+(MID(TEXT($L1003,"000000"),3,2)/60)+(RIGHT(TEXT($L1003,"000000"),2)/3600))</f>
        <v>66.829166666666666</v>
      </c>
      <c r="N1003" s="250">
        <v>-101900</v>
      </c>
      <c r="O1003" s="251">
        <f>IF($N1003&gt;0,(LEFT(TEXT($N1003,"000000"),2)+(MID(TEXT($N1003,"000000"),3,2)/60)+(RIGHT(TEXT($N1003,"000000"),2)/3600)),-(MID(TEXT($N1003,"000000"),2,2)+(MID(TEXT($N1003,"000000"),4,2)/60)+(RIGHT(TEXT($N1003,"000000"),2)/3600)))</f>
        <v>-10.316666666666666</v>
      </c>
      <c r="P1003" s="252" t="s">
        <v>257</v>
      </c>
      <c r="Q1003" s="253"/>
      <c r="R1003" s="292"/>
      <c r="S1003" s="272" t="s">
        <v>3293</v>
      </c>
      <c r="T1003" s="273">
        <v>13.2</v>
      </c>
      <c r="U1003" s="289">
        <v>22.2</v>
      </c>
      <c r="V1003" s="280"/>
      <c r="W1003" s="244"/>
      <c r="X1003" s="244"/>
      <c r="Y1003" s="362"/>
      <c r="Z1003" s="257">
        <f>altaz(J2000_Bas,$O1003,$M1003,DecLat,DecLong,1)</f>
        <v>-48.245251553868961</v>
      </c>
      <c r="AA1003" s="257">
        <f>altaz((J2000_Bas+(2*0.04167)),$O1003,$M1003,DecLat,DecLong,1)</f>
        <v>-23.010770816396874</v>
      </c>
      <c r="AB1003" s="257">
        <f>altaz((J2000_Bas+(4*0.04167)),$O1003,$M1003,DecLat,DecLong,1)</f>
        <v>2.5598332975324758</v>
      </c>
      <c r="AC1003" s="257">
        <f>altaz((J2000_Bas+(6*0.04167)),$O1003,$M1003,DecLat,DecLong,1)</f>
        <v>26.317498904531959</v>
      </c>
      <c r="AD1003" s="258">
        <f>1+ transit((J2000_Bas-1),$O1003,$M1003,DecLat,DecLong)/360 + (GMTOffset/24) + (IF(DST="Y", 1, 0)/24)</f>
        <v>1.1785365161401247</v>
      </c>
      <c r="AE1003" s="259">
        <f>DATE(2001,9,21)+(M1003/360)*365 - (360*((DecLong/360)- (GMTOffset/24) ))</f>
        <v>37227.757349537038</v>
      </c>
      <c r="AF1003" s="260">
        <f>IF(DecLat&gt;0,IF((90 - (DecLat-O1003))&gt;90, (90 - (O1003-DecLat)), (90 - (DecLat-O1003))),IF((90 + (DecLat-O1003))&gt;90, (90 + (O1003-DecLat)), (90 + (DecLat-O1003))))</f>
        <v>48.683333333333337</v>
      </c>
      <c r="AG1003" s="257">
        <f>angularseperation(MoonRA,MoonDec,$M1003,$O1003)</f>
        <v>142.52604957828021</v>
      </c>
      <c r="AH1003" s="261">
        <f ca="1">MIN(100,IF($O$5&gt;80,0+30*($AG1003/100),IF($O$5&gt;70,0+50*($AG1003/100),IF($O$5&gt;60,5+50*($AG1003/100),IF($O$5&gt;50,10+60*($AG1003/100),IF($O$5&gt;40,15+70*($AG1003/100),IF($O$5&gt;30,20+70*($AG1003/100),IF($O$5&gt;20,40+55*($AG1003/100),(80+(20-$O$5)+30*($AG1003/100))))))))))</f>
        <v>100</v>
      </c>
      <c r="AI1003" s="262"/>
      <c r="AJ1003" s="262"/>
      <c r="AK1003" s="262"/>
      <c r="AL1003" s="263"/>
      <c r="AM1003" s="264"/>
      <c r="AN1003" s="263"/>
      <c r="AO1003" s="263">
        <v>28</v>
      </c>
      <c r="AP1003" s="265"/>
      <c r="AQ1003" s="266"/>
      <c r="AR1003" s="267"/>
      <c r="AS1003" s="263"/>
      <c r="AT1003" s="263"/>
      <c r="AU1003" s="263"/>
      <c r="AV1003" s="264"/>
      <c r="AW1003" s="263"/>
      <c r="AX1003" s="263"/>
      <c r="AY1003" s="263"/>
      <c r="AZ1003" s="263"/>
      <c r="BA1003" s="263"/>
      <c r="BB1003" s="263"/>
      <c r="BC1003" s="263"/>
      <c r="BD1003" s="264"/>
      <c r="BE1003" s="263"/>
      <c r="BF1003" s="263"/>
      <c r="BG1003" s="263"/>
      <c r="BH1003" s="263"/>
      <c r="BI1003" s="263"/>
      <c r="BJ1003" s="404">
        <f>altaz(J2000_Bas,$O1003,$M1003,DecLat,DecLong,2)</f>
        <v>68.939162008279197</v>
      </c>
      <c r="BK1003" s="378" t="s">
        <v>4025</v>
      </c>
      <c r="BL1003" s="379">
        <f>IF((2*G1003)/60&lt;0.2,0.2,(2*G1003)/60)</f>
        <v>0.2</v>
      </c>
      <c r="BM1003" s="380">
        <f>MOD((50000+AD1003-$B$3+(0/24)),1)</f>
        <v>0.39390344584535342</v>
      </c>
      <c r="BN1003" s="381"/>
      <c r="BO1003" s="382">
        <v>997</v>
      </c>
    </row>
    <row r="1004" spans="1:67" s="24" customFormat="1" ht="15" customHeight="1" x14ac:dyDescent="0.25">
      <c r="A1004" s="288" t="s">
        <v>1071</v>
      </c>
      <c r="B1004" s="241" t="str">
        <f>HYPERLINK(CONCATENATE($AT$3,BK1004,$AU$3),$AV$3)</f>
        <v>S</v>
      </c>
      <c r="C1004" s="242" t="str">
        <f>HYPERLINK(CONCATENATE($AT$4,BK1004,$AU$4,BL1004),$AV$4)</f>
        <v>A</v>
      </c>
      <c r="D1004" s="243" t="s">
        <v>5638</v>
      </c>
      <c r="E1004" s="244" t="s">
        <v>5625</v>
      </c>
      <c r="F1004" s="290">
        <v>4</v>
      </c>
      <c r="G1004" s="294">
        <v>0.8</v>
      </c>
      <c r="H1004" s="283">
        <v>620</v>
      </c>
      <c r="I1004" s="284">
        <v>140</v>
      </c>
      <c r="J1004" s="246">
        <v>1</v>
      </c>
      <c r="K1004" s="247" t="s">
        <v>8463</v>
      </c>
      <c r="L1004" s="248">
        <v>43446</v>
      </c>
      <c r="M1004" s="249">
        <f>15*(LEFT(TEXT($L1004,"000000"),2)+(MID(TEXT($L1004,"000000"),3,2)/60)+(RIGHT(TEXT($L1004,"000000"),2)/3600))</f>
        <v>68.691666666666663</v>
      </c>
      <c r="N1004" s="250">
        <v>-303250</v>
      </c>
      <c r="O1004" s="251">
        <f>IF($N1004&gt;0,(LEFT(TEXT($N1004,"000000"),2)+(MID(TEXT($N1004,"000000"),3,2)/60)+(RIGHT(TEXT($N1004,"000000"),2)/3600)),-(MID(TEXT($N1004,"000000"),2,2)+(MID(TEXT($N1004,"000000"),4,2)/60)+(RIGHT(TEXT($N1004,"000000"),2)/3600)))</f>
        <v>-30.547222222222224</v>
      </c>
      <c r="P1004" s="252" t="s">
        <v>257</v>
      </c>
      <c r="Q1004" s="253"/>
      <c r="R1004" s="292"/>
      <c r="S1004" s="272" t="s">
        <v>3293</v>
      </c>
      <c r="T1004" s="273">
        <v>14.8</v>
      </c>
      <c r="U1004" s="289">
        <v>22.9</v>
      </c>
      <c r="V1004" s="280"/>
      <c r="W1004" s="244"/>
      <c r="X1004" s="244"/>
      <c r="Y1004" s="362"/>
      <c r="Z1004" s="257">
        <f>altaz(J2000_Bas,$O1004,$M1004,DecLat,DecLong,1)</f>
        <v>-58.092380049701418</v>
      </c>
      <c r="AA1004" s="257">
        <f>altaz((J2000_Bas+(2*0.04167)),$O1004,$M1004,DecLat,DecLong,1)</f>
        <v>-33.059393231833553</v>
      </c>
      <c r="AB1004" s="257">
        <f>altaz((J2000_Bas+(4*0.04167)),$O1004,$M1004,DecLat,DecLong,1)</f>
        <v>-9.5360116766430902</v>
      </c>
      <c r="AC1004" s="257">
        <f>altaz((J2000_Bas+(6*0.04167)),$O1004,$M1004,DecLat,DecLong,1)</f>
        <v>10.852501267243953</v>
      </c>
      <c r="AD1004" s="258">
        <f>1+ transit((J2000_Bas-1),$O1004,$M1004,DecLat,DecLong)/360 + (GMTOffset/24) + (IF(DST="Y", 1, 0)/24)</f>
        <v>1.1837101267338748</v>
      </c>
      <c r="AE1004" s="259">
        <f>DATE(2001,9,21)+(M1004/360)*365 - (360*((DecLong/360)- (GMTOffset/24) ))</f>
        <v>37229.64571759259</v>
      </c>
      <c r="AF1004" s="260">
        <f>IF(DecLat&gt;0,IF((90 - (DecLat-O1004))&gt;90, (90 - (O1004-DecLat)), (90 - (DecLat-O1004))),IF((90 + (DecLat-O1004))&gt;90, (90 + (O1004-DecLat)), (90 + (DecLat-O1004))))</f>
        <v>28.452777777777776</v>
      </c>
      <c r="AG1004" s="257">
        <f>angularseperation(MoonRA,MoonDec,$M1004,$O1004)</f>
        <v>122.36628608598993</v>
      </c>
      <c r="AH1004" s="261">
        <f ca="1">MIN(100,IF($O$5&gt;80,0+30*($AG1004/100),IF($O$5&gt;70,0+50*($AG1004/100),IF($O$5&gt;60,5+50*($AG1004/100),IF($O$5&gt;50,10+60*($AG1004/100),IF($O$5&gt;40,15+70*($AG1004/100),IF($O$5&gt;30,20+70*($AG1004/100),IF($O$5&gt;20,40+55*($AG1004/100),(80+(20-$O$5)+30*($AG1004/100))))))))))</f>
        <v>100</v>
      </c>
      <c r="AI1004" s="262"/>
      <c r="AJ1004" s="262"/>
      <c r="AK1004" s="262"/>
      <c r="AL1004" s="263"/>
      <c r="AM1004" s="264"/>
      <c r="AN1004" s="263"/>
      <c r="AO1004" s="263">
        <v>29</v>
      </c>
      <c r="AP1004" s="265"/>
      <c r="AQ1004" s="266"/>
      <c r="AR1004" s="267"/>
      <c r="AS1004" s="263"/>
      <c r="AT1004" s="263"/>
      <c r="AU1004" s="263"/>
      <c r="AV1004" s="264"/>
      <c r="AW1004" s="263"/>
      <c r="AX1004" s="263"/>
      <c r="AY1004" s="263"/>
      <c r="AZ1004" s="263"/>
      <c r="BA1004" s="263"/>
      <c r="BB1004" s="263"/>
      <c r="BC1004" s="263"/>
      <c r="BD1004" s="264"/>
      <c r="BE1004" s="263"/>
      <c r="BF1004" s="263"/>
      <c r="BG1004" s="263"/>
      <c r="BH1004" s="263"/>
      <c r="BI1004" s="263"/>
      <c r="BJ1004" s="404">
        <f>altaz(J2000_Bas,$O1004,$M1004,DecLat,DecLong,2)</f>
        <v>99.020241748230646</v>
      </c>
      <c r="BK1004" s="378" t="s">
        <v>4026</v>
      </c>
      <c r="BL1004" s="379">
        <f>IF((2*G1004)/60&lt;0.2,0.2,(2*G1004)/60)</f>
        <v>0.2</v>
      </c>
      <c r="BM1004" s="380">
        <f>MOD((50000+AD1004-$B$3+(0/24)),1)</f>
        <v>0.39907705644145608</v>
      </c>
      <c r="BN1004" s="381"/>
      <c r="BO1004" s="382">
        <v>998</v>
      </c>
    </row>
    <row r="1005" spans="1:67" s="24" customFormat="1" ht="15" customHeight="1" x14ac:dyDescent="0.25">
      <c r="A1005" s="288" t="s">
        <v>1072</v>
      </c>
      <c r="B1005" s="241" t="str">
        <f>HYPERLINK(CONCATENATE($AT$3,BK1005,$AU$3),$AV$3)</f>
        <v>S</v>
      </c>
      <c r="C1005" s="242" t="str">
        <f>HYPERLINK(CONCATENATE($AT$4,BK1005,$AU$4,BL1005),$AV$4)</f>
        <v>A</v>
      </c>
      <c r="D1005" s="243" t="s">
        <v>5638</v>
      </c>
      <c r="E1005" s="244" t="s">
        <v>5625</v>
      </c>
      <c r="F1005" s="290">
        <v>4</v>
      </c>
      <c r="G1005" s="291">
        <v>4.5</v>
      </c>
      <c r="H1005" s="283">
        <v>220</v>
      </c>
      <c r="I1005" s="284">
        <v>280</v>
      </c>
      <c r="J1005" s="246">
        <v>2</v>
      </c>
      <c r="K1005" s="247" t="s">
        <v>3441</v>
      </c>
      <c r="L1005" s="248">
        <v>43629</v>
      </c>
      <c r="M1005" s="249">
        <f>15*(LEFT(TEXT($L1005,"000000"),2)+(MID(TEXT($L1005,"000000"),3,2)/60)+(RIGHT(TEXT($L1005,"000000"),2)/3600))</f>
        <v>69.120833333333337</v>
      </c>
      <c r="N1005" s="250">
        <v>-24957</v>
      </c>
      <c r="O1005" s="251">
        <f>IF($N1005&gt;0,(LEFT(TEXT($N1005,"000000"),2)+(MID(TEXT($N1005,"000000"),3,2)/60)+(RIGHT(TEXT($N1005,"000000"),2)/3600)),-(MID(TEXT($N1005,"000000"),2,2)+(MID(TEXT($N1005,"000000"),4,2)/60)+(RIGHT(TEXT($N1005,"000000"),2)/3600)))</f>
        <v>-2.8324999999999996</v>
      </c>
      <c r="P1005" s="252" t="s">
        <v>257</v>
      </c>
      <c r="Q1005" s="253"/>
      <c r="R1005" s="292"/>
      <c r="S1005" s="272" t="s">
        <v>3293</v>
      </c>
      <c r="T1005" s="273">
        <v>11.6</v>
      </c>
      <c r="U1005" s="289">
        <v>23.5</v>
      </c>
      <c r="V1005" s="280"/>
      <c r="W1005" s="244"/>
      <c r="X1005" s="244"/>
      <c r="Y1005" s="362"/>
      <c r="Z1005" s="257">
        <f>altaz(J2000_Bas,$O1005,$M1005,DecLat,DecLong,1)</f>
        <v>-45.254500799293574</v>
      </c>
      <c r="AA1005" s="257">
        <f>altaz((J2000_Bas+(2*0.04167)),$O1005,$M1005,DecLat,DecLong,1)</f>
        <v>-21.126421409188183</v>
      </c>
      <c r="AB1005" s="257">
        <f>altaz((J2000_Bas+(4*0.04167)),$O1005,$M1005,DecLat,DecLong,1)</f>
        <v>4.5677624606207541</v>
      </c>
      <c r="AC1005" s="257">
        <f>altaz((J2000_Bas+(6*0.04167)),$O1005,$M1005,DecLat,DecLong,1)</f>
        <v>29.43193490320386</v>
      </c>
      <c r="AD1005" s="258">
        <f>1+ transit((J2000_Bas-1),$O1005,$M1005,DecLat,DecLong)/360 + (GMTOffset/24) + (IF(DST="Y", 1, 0)/24)</f>
        <v>1.1849022562442915</v>
      </c>
      <c r="AE1005" s="259">
        <f>DATE(2001,9,21)+(M1005/360)*365 - (360*((DecLong/360)- (GMTOffset/24) ))</f>
        <v>37230.08084490741</v>
      </c>
      <c r="AF1005" s="260">
        <f>IF(DecLat&gt;0,IF((90 - (DecLat-O1005))&gt;90, (90 - (O1005-DecLat)), (90 - (DecLat-O1005))),IF((90 + (DecLat-O1005))&gt;90, (90 + (O1005-DecLat)), (90 + (DecLat-O1005))))</f>
        <v>56.167500000000004</v>
      </c>
      <c r="AG1005" s="257">
        <f>angularseperation(MoonRA,MoonDec,$M1005,$O1005)</f>
        <v>150.08317878553703</v>
      </c>
      <c r="AH1005" s="261">
        <f ca="1">MIN(100,IF($O$5&gt;80,0+30*($AG1005/100),IF($O$5&gt;70,0+50*($AG1005/100),IF($O$5&gt;60,5+50*($AG1005/100),IF($O$5&gt;50,10+60*($AG1005/100),IF($O$5&gt;40,15+70*($AG1005/100),IF($O$5&gt;30,20+70*($AG1005/100),IF($O$5&gt;20,40+55*($AG1005/100),(80+(20-$O$5)+30*($AG1005/100))))))))))</f>
        <v>100</v>
      </c>
      <c r="AI1005" s="262"/>
      <c r="AJ1005" s="262"/>
      <c r="AK1005" s="262"/>
      <c r="AL1005" s="263"/>
      <c r="AM1005" s="264"/>
      <c r="AN1005" s="263"/>
      <c r="AO1005" s="263">
        <v>30</v>
      </c>
      <c r="AP1005" s="265"/>
      <c r="AQ1005" s="266"/>
      <c r="AR1005" s="267"/>
      <c r="AS1005" s="263"/>
      <c r="AT1005" s="263"/>
      <c r="AU1005" s="263"/>
      <c r="AV1005" s="264"/>
      <c r="AW1005" s="263"/>
      <c r="AX1005" s="263"/>
      <c r="AY1005" s="263"/>
      <c r="AZ1005" s="263"/>
      <c r="BA1005" s="263"/>
      <c r="BB1005" s="263"/>
      <c r="BC1005" s="263"/>
      <c r="BD1005" s="264"/>
      <c r="BE1005" s="263"/>
      <c r="BF1005" s="263"/>
      <c r="BG1005" s="263"/>
      <c r="BH1005" s="263"/>
      <c r="BI1005" s="263"/>
      <c r="BJ1005" s="404">
        <f>altaz(J2000_Bas,$O1005,$M1005,DecLat,DecLong,2)</f>
        <v>58.377027762697558</v>
      </c>
      <c r="BK1005" s="378" t="s">
        <v>4027</v>
      </c>
      <c r="BL1005" s="379">
        <f>IF((2*G1005)/60&lt;0.2,0.2,(2*G1005)/60)</f>
        <v>0.2</v>
      </c>
      <c r="BM1005" s="380">
        <f>MOD((50000+AD1005-$B$3+(0/24)),1)</f>
        <v>0.40026918594958261</v>
      </c>
      <c r="BN1005" s="381"/>
      <c r="BO1005" s="382">
        <v>999</v>
      </c>
    </row>
    <row r="1006" spans="1:67" s="24" customFormat="1" ht="15" customHeight="1" x14ac:dyDescent="0.25">
      <c r="A1006" s="288" t="s">
        <v>1073</v>
      </c>
      <c r="B1006" s="241" t="str">
        <f>HYPERLINK(CONCATENATE($AT$3,BK1006,$AU$3),$AV$3)</f>
        <v>S</v>
      </c>
      <c r="C1006" s="242" t="str">
        <f>HYPERLINK(CONCATENATE($AT$4,BK1006,$AU$4,BL1006),$AV$4)</f>
        <v>A</v>
      </c>
      <c r="D1006" s="243" t="s">
        <v>5638</v>
      </c>
      <c r="E1006" s="244" t="s">
        <v>5625</v>
      </c>
      <c r="F1006" s="290">
        <v>4</v>
      </c>
      <c r="G1006" s="291">
        <v>3</v>
      </c>
      <c r="H1006" s="283">
        <v>580</v>
      </c>
      <c r="I1006" s="284">
        <v>500</v>
      </c>
      <c r="J1006" s="246">
        <v>2</v>
      </c>
      <c r="K1006" s="247" t="s">
        <v>7609</v>
      </c>
      <c r="L1006" s="248">
        <v>50143</v>
      </c>
      <c r="M1006" s="249">
        <f>15*(LEFT(TEXT($L1006,"000000"),2)+(MID(TEXT($L1006,"000000"),3,2)/60)+(RIGHT(TEXT($L1006,"000000"),2)/3600))</f>
        <v>75.429166666666674</v>
      </c>
      <c r="N1006" s="250">
        <v>-152512</v>
      </c>
      <c r="O1006" s="251">
        <f>IF($N1006&gt;0,(LEFT(TEXT($N1006,"000000"),2)+(MID(TEXT($N1006,"000000"),3,2)/60)+(RIGHT(TEXT($N1006,"000000"),2)/3600)),-(MID(TEXT($N1006,"000000"),2,2)+(MID(TEXT($N1006,"000000"),4,2)/60)+(RIGHT(TEXT($N1006,"000000"),2)/3600)))</f>
        <v>-15.42</v>
      </c>
      <c r="P1006" s="252" t="s">
        <v>70</v>
      </c>
      <c r="Q1006" s="253"/>
      <c r="R1006" s="292"/>
      <c r="S1006" s="272" t="s">
        <v>3293</v>
      </c>
      <c r="T1006" s="273">
        <v>12.7</v>
      </c>
      <c r="U1006" s="289">
        <v>23.7</v>
      </c>
      <c r="V1006" s="280"/>
      <c r="W1006" s="244"/>
      <c r="X1006" s="244"/>
      <c r="Y1006" s="362"/>
      <c r="Z1006" s="257">
        <f>altaz(J2000_Bas,$O1006,$M1006,DecLat,DecLong,1)</f>
        <v>-58.035976291003657</v>
      </c>
      <c r="AA1006" s="257">
        <f>altaz((J2000_Bas+(2*0.04167)),$O1006,$M1006,DecLat,DecLong,1)</f>
        <v>-32.810024577988713</v>
      </c>
      <c r="AB1006" s="257">
        <f>altaz((J2000_Bas+(4*0.04167)),$O1006,$M1006,DecLat,DecLong,1)</f>
        <v>-7.2521508875317044</v>
      </c>
      <c r="AC1006" s="257">
        <f>altaz((J2000_Bas+(6*0.04167)),$O1006,$M1006,DecLat,DecLong,1)</f>
        <v>16.648391927566099</v>
      </c>
      <c r="AD1006" s="258">
        <f>1+ transit((J2000_Bas-1),$O1006,$M1006,DecLat,DecLong)/360 + (GMTOffset/24) + (IF(DST="Y", 1, 0)/24)</f>
        <v>1.2024254026401247</v>
      </c>
      <c r="AE1006" s="259">
        <f>DATE(2001,9,21)+(M1006/360)*365 - (360*((DecLong/360)- (GMTOffset/24) ))</f>
        <v>37236.476793981485</v>
      </c>
      <c r="AF1006" s="260">
        <f>IF(DecLat&gt;0,IF((90 - (DecLat-O1006))&gt;90, (90 - (O1006-DecLat)), (90 - (DecLat-O1006))),IF((90 + (DecLat-O1006))&gt;90, (90 + (O1006-DecLat)), (90 + (DecLat-O1006))))</f>
        <v>43.58</v>
      </c>
      <c r="AG1006" s="257">
        <f>angularseperation(MoonRA,MoonDec,$M1006,$O1006)</f>
        <v>137.07362844206986</v>
      </c>
      <c r="AH1006" s="261">
        <f ca="1">MIN(100,IF($O$5&gt;80,0+30*($AG1006/100),IF($O$5&gt;70,0+50*($AG1006/100),IF($O$5&gt;60,5+50*($AG1006/100),IF($O$5&gt;50,10+60*($AG1006/100),IF($O$5&gt;40,15+70*($AG1006/100),IF($O$5&gt;30,20+70*($AG1006/100),IF($O$5&gt;20,40+55*($AG1006/100),(80+(20-$O$5)+30*($AG1006/100))))))))))</f>
        <v>100</v>
      </c>
      <c r="AI1006" s="262"/>
      <c r="AJ1006" s="262"/>
      <c r="AK1006" s="262"/>
      <c r="AL1006" s="263"/>
      <c r="AM1006" s="264"/>
      <c r="AN1006" s="263"/>
      <c r="AO1006" s="263">
        <v>32</v>
      </c>
      <c r="AP1006" s="265"/>
      <c r="AQ1006" s="266"/>
      <c r="AR1006" s="267"/>
      <c r="AS1006" s="263"/>
      <c r="AT1006" s="263"/>
      <c r="AU1006" s="263"/>
      <c r="AV1006" s="264"/>
      <c r="AW1006" s="263"/>
      <c r="AX1006" s="263"/>
      <c r="AY1006" s="263"/>
      <c r="AZ1006" s="263"/>
      <c r="BA1006" s="263"/>
      <c r="BB1006" s="263"/>
      <c r="BC1006" s="263"/>
      <c r="BD1006" s="264"/>
      <c r="BE1006" s="263"/>
      <c r="BF1006" s="263"/>
      <c r="BG1006" s="263"/>
      <c r="BH1006" s="263"/>
      <c r="BI1006" s="263"/>
      <c r="BJ1006" s="404">
        <f>altaz(J2000_Bas,$O1006,$M1006,DecLat,DecLong,2)</f>
        <v>67.854295653226401</v>
      </c>
      <c r="BK1006" s="378" t="s">
        <v>4029</v>
      </c>
      <c r="BL1006" s="379">
        <f>IF((2*G1006)/60&lt;0.2,0.2,(2*G1006)/60)</f>
        <v>0.2</v>
      </c>
      <c r="BM1006" s="380">
        <f>MOD((50000+AD1006-$B$3+(0/24)),1)</f>
        <v>0.4177923323441064</v>
      </c>
      <c r="BN1006" s="381"/>
      <c r="BO1006" s="382">
        <v>1000</v>
      </c>
    </row>
    <row r="1007" spans="1:67" s="24" customFormat="1" ht="15" customHeight="1" x14ac:dyDescent="0.25">
      <c r="A1007" s="288" t="s">
        <v>1074</v>
      </c>
      <c r="B1007" s="241" t="str">
        <f>HYPERLINK(CONCATENATE($AT$3,BK1007,$AU$3),$AV$3)</f>
        <v>S</v>
      </c>
      <c r="C1007" s="242" t="str">
        <f>HYPERLINK(CONCATENATE($AT$4,BK1007,$AU$4,BL1007),$AV$4)</f>
        <v>A</v>
      </c>
      <c r="D1007" s="243" t="s">
        <v>5638</v>
      </c>
      <c r="E1007" s="244" t="s">
        <v>5625</v>
      </c>
      <c r="F1007" s="290">
        <v>4</v>
      </c>
      <c r="G1007" s="291">
        <v>2.1</v>
      </c>
      <c r="H1007" s="283">
        <v>350</v>
      </c>
      <c r="I1007" s="284">
        <v>220</v>
      </c>
      <c r="J1007" s="246">
        <v>2</v>
      </c>
      <c r="K1007" s="277" t="s">
        <v>7617</v>
      </c>
      <c r="L1007" s="248">
        <v>51048</v>
      </c>
      <c r="M1007" s="249">
        <f>15*(LEFT(TEXT($L1007,"000000"),2)+(MID(TEXT($L1007,"000000"),3,2)/60)+(RIGHT(TEXT($L1007,"000000"),2)/3600))</f>
        <v>77.7</v>
      </c>
      <c r="N1007" s="250">
        <v>180205</v>
      </c>
      <c r="O1007" s="251">
        <f>IF($N1007&gt;0,(LEFT(TEXT($N1007,"000000"),2)+(MID(TEXT($N1007,"000000"),3,2)/60)+(RIGHT(TEXT($N1007,"000000"),2)/3600)),-(MID(TEXT($N1007,"000000"),2,2)+(MID(TEXT($N1007,"000000"),4,2)/60)+(RIGHT(TEXT($N1007,"000000"),2)/3600)))</f>
        <v>18.034722222222225</v>
      </c>
      <c r="P1007" s="252" t="s">
        <v>56</v>
      </c>
      <c r="Q1007" s="253"/>
      <c r="R1007" s="321"/>
      <c r="S1007" s="272" t="s">
        <v>3293</v>
      </c>
      <c r="T1007" s="273">
        <v>12.4</v>
      </c>
      <c r="U1007" s="289">
        <v>22.6</v>
      </c>
      <c r="V1007" s="280"/>
      <c r="W1007" s="244"/>
      <c r="X1007" s="244"/>
      <c r="Y1007" s="362"/>
      <c r="Z1007" s="257">
        <f>altaz(J2000_Bas,$O1007,$M1007,DecLat,DecLong,1)</f>
        <v>-33.929088642400544</v>
      </c>
      <c r="AA1007" s="257">
        <f>altaz((J2000_Bas+(2*0.04167)),$O1007,$M1007,DecLat,DecLong,1)</f>
        <v>-15.532196934708981</v>
      </c>
      <c r="AB1007" s="257">
        <f>altaz((J2000_Bas+(4*0.04167)),$O1007,$M1007,DecLat,DecLong,1)</f>
        <v>7.9156146800862937</v>
      </c>
      <c r="AC1007" s="257">
        <f>altaz((J2000_Bas+(6*0.04167)),$O1007,$M1007,DecLat,DecLong,1)</f>
        <v>33.302930040600131</v>
      </c>
      <c r="AD1007" s="258">
        <f>1+ transit((J2000_Bas-1),$O1007,$M1007,DecLat,DecLong)/360 + (GMTOffset/24) + (IF(DST="Y", 1, 0)/24)</f>
        <v>1.208733272379708</v>
      </c>
      <c r="AE1007" s="259">
        <f>DATE(2001,9,21)+(M1007/360)*365 - (360*((DecLong/360)- (GMTOffset/24) ))</f>
        <v>37238.779166666667</v>
      </c>
      <c r="AF1007" s="260">
        <f>IF(DecLat&gt;0,IF((90 - (DecLat-O1007))&gt;90, (90 - (O1007-DecLat)), (90 - (DecLat-O1007))),IF((90 + (DecLat-O1007))&gt;90, (90 + (O1007-DecLat)), (90 + (DecLat-O1007))))</f>
        <v>77.034722222222229</v>
      </c>
      <c r="AG1007" s="257">
        <f>angularseperation(MoonRA,MoonDec,$M1007,$O1007)</f>
        <v>168.0546213462778</v>
      </c>
      <c r="AH1007" s="261">
        <f ca="1">MIN(100,IF($O$5&gt;80,0+30*($AG1007/100),IF($O$5&gt;70,0+50*($AG1007/100),IF($O$5&gt;60,5+50*($AG1007/100),IF($O$5&gt;50,10+60*($AG1007/100),IF($O$5&gt;40,15+70*($AG1007/100),IF($O$5&gt;30,20+70*($AG1007/100),IF($O$5&gt;20,40+55*($AG1007/100),(80+(20-$O$5)+30*($AG1007/100))))))))))</f>
        <v>100</v>
      </c>
      <c r="AI1007" s="263"/>
      <c r="AJ1007" s="263"/>
      <c r="AK1007" s="263"/>
      <c r="AL1007" s="263"/>
      <c r="AM1007" s="264"/>
      <c r="AN1007" s="263"/>
      <c r="AO1007" s="263">
        <v>33</v>
      </c>
      <c r="AP1007" s="265"/>
      <c r="AQ1007" s="265"/>
      <c r="AR1007" s="285"/>
      <c r="AS1007" s="263"/>
      <c r="AT1007" s="263"/>
      <c r="AU1007" s="263"/>
      <c r="AV1007" s="264"/>
      <c r="AW1007" s="263"/>
      <c r="AX1007" s="263"/>
      <c r="AY1007" s="263"/>
      <c r="AZ1007" s="263"/>
      <c r="BA1007" s="263"/>
      <c r="BB1007" s="263"/>
      <c r="BC1007" s="263"/>
      <c r="BD1007" s="264"/>
      <c r="BE1007" s="263"/>
      <c r="BF1007" s="263"/>
      <c r="BG1007" s="263"/>
      <c r="BH1007" s="263"/>
      <c r="BI1007" s="263"/>
      <c r="BJ1007" s="404">
        <f>altaz(J2000_Bas,$O1007,$M1007,DecLat,DecLong,2)</f>
        <v>32.912057719360504</v>
      </c>
      <c r="BK1007" s="378" t="s">
        <v>4030</v>
      </c>
      <c r="BL1007" s="379">
        <f>IF((2*G1007)/60&lt;0.2,0.2,(2*G1007)/60)</f>
        <v>0.2</v>
      </c>
      <c r="BM1007" s="380">
        <f>MOD((50000+AD1007-$B$3+(0/24)),1)</f>
        <v>0.4241002020862652</v>
      </c>
      <c r="BN1007" s="381"/>
      <c r="BO1007" s="382">
        <v>1001</v>
      </c>
    </row>
    <row r="1008" spans="1:67" s="24" customFormat="1" ht="15" customHeight="1" x14ac:dyDescent="0.25">
      <c r="A1008" s="288" t="s">
        <v>1075</v>
      </c>
      <c r="B1008" s="241" t="str">
        <f>HYPERLINK(CONCATENATE($AT$3,BK1008,$AU$3),$AV$3)</f>
        <v>S</v>
      </c>
      <c r="C1008" s="242" t="str">
        <f>HYPERLINK(CONCATENATE($AT$4,BK1008,$AU$4,BL1008),$AV$4)</f>
        <v>A</v>
      </c>
      <c r="D1008" s="243" t="s">
        <v>5638</v>
      </c>
      <c r="E1008" s="244" t="s">
        <v>5625</v>
      </c>
      <c r="F1008" s="293">
        <v>6</v>
      </c>
      <c r="G1008" s="291">
        <v>2.2000000000000002</v>
      </c>
      <c r="H1008" s="283">
        <v>740</v>
      </c>
      <c r="I1008" s="284">
        <v>500</v>
      </c>
      <c r="J1008" s="246">
        <v>2</v>
      </c>
      <c r="K1008" s="247" t="s">
        <v>7618</v>
      </c>
      <c r="L1008" s="248">
        <v>84519</v>
      </c>
      <c r="M1008" s="249">
        <f>15*(LEFT(TEXT($L1008,"000000"),2)+(MID(TEXT($L1008,"000000"),3,2)/60)+(RIGHT(TEXT($L1008,"000000"),2)/3600))</f>
        <v>131.32916666666665</v>
      </c>
      <c r="N1008" s="250">
        <v>443118</v>
      </c>
      <c r="O1008" s="251">
        <f>IF($N1008&gt;0,(LEFT(TEXT($N1008,"000000"),2)+(MID(TEXT($N1008,"000000"),3,2)/60)+(RIGHT(TEXT($N1008,"000000"),2)/3600)),-(MID(TEXT($N1008,"000000"),2,2)+(MID(TEXT($N1008,"000000"),4,2)/60)+(RIGHT(TEXT($N1008,"000000"),2)/3600)))</f>
        <v>44.521666666666668</v>
      </c>
      <c r="P1008" s="252" t="s">
        <v>82</v>
      </c>
      <c r="Q1008" s="253"/>
      <c r="R1008" s="292"/>
      <c r="S1008" s="272" t="s">
        <v>3293</v>
      </c>
      <c r="T1008" s="273">
        <v>12.4</v>
      </c>
      <c r="U1008" s="289">
        <v>22.7</v>
      </c>
      <c r="V1008" s="280"/>
      <c r="W1008" s="244"/>
      <c r="X1008" s="244"/>
      <c r="Y1008" s="362"/>
      <c r="Z1008" s="257">
        <f>altaz(J2000_Bas,$O1008,$M1008,DecLat,DecLong,1)</f>
        <v>-11.027090558054091</v>
      </c>
      <c r="AA1008" s="257">
        <f>altaz((J2000_Bas+(2*0.04167)),$O1008,$M1008,DecLat,DecLong,1)</f>
        <v>-14.353741948889251</v>
      </c>
      <c r="AB1008" s="257">
        <f>altaz((J2000_Bas+(4*0.04167)),$O1008,$M1008,DecLat,DecLong,1)</f>
        <v>-8.0739139380178973</v>
      </c>
      <c r="AC1008" s="257">
        <f>altaz((J2000_Bas+(6*0.04167)),$O1008,$M1008,DecLat,DecLong,1)</f>
        <v>5.8628207873471201</v>
      </c>
      <c r="AD1008" s="258">
        <f>1+ transit((J2000_Bas-1),$O1008,$M1008,DecLat,DecLong)/360 + (GMTOffset/24) + (IF(DST="Y", 1, 0)/24)</f>
        <v>1.3577031648901248</v>
      </c>
      <c r="AE1008" s="259">
        <f>DATE(2001,9,21)+(M1008/360)*365 - (360*((DecLong/360)- (GMTOffset/24) ))</f>
        <v>37293.153182870374</v>
      </c>
      <c r="AF1008" s="260">
        <f>IF(DecLat&gt;0,IF((90 - (DecLat-O1008))&gt;90, (90 - (O1008-DecLat)), (90 - (DecLat-O1008))),IF((90 + (DecLat-O1008))&gt;90, (90 + (O1008-DecLat)), (90 + (DecLat-O1008))))</f>
        <v>76.478333333333325</v>
      </c>
      <c r="AG1008" s="257">
        <f>angularseperation(MoonRA,MoonDec,$M1008,$O1008)</f>
        <v>128.05453786393258</v>
      </c>
      <c r="AH1008" s="261">
        <f ca="1">MIN(100,IF($O$5&gt;80,0+30*($AG1008/100),IF($O$5&gt;70,0+50*($AG1008/100),IF($O$5&gt;60,5+50*($AG1008/100),IF($O$5&gt;50,10+60*($AG1008/100),IF($O$5&gt;40,15+70*($AG1008/100),IF($O$5&gt;30,20+70*($AG1008/100),IF($O$5&gt;20,40+55*($AG1008/100),(80+(20-$O$5)+30*($AG1008/100))))))))))</f>
        <v>100</v>
      </c>
      <c r="AI1008" s="262"/>
      <c r="AJ1008" s="262"/>
      <c r="AK1008" s="262"/>
      <c r="AL1008" s="263"/>
      <c r="AM1008" s="264"/>
      <c r="AN1008" s="263"/>
      <c r="AO1008" s="263">
        <v>35</v>
      </c>
      <c r="AP1008" s="265"/>
      <c r="AQ1008" s="266"/>
      <c r="AR1008" s="267"/>
      <c r="AS1008" s="263"/>
      <c r="AT1008" s="263"/>
      <c r="AU1008" s="263"/>
      <c r="AV1008" s="264"/>
      <c r="AW1008" s="263"/>
      <c r="AX1008" s="263"/>
      <c r="AY1008" s="263"/>
      <c r="AZ1008" s="263"/>
      <c r="BA1008" s="263"/>
      <c r="BB1008" s="263"/>
      <c r="BC1008" s="263"/>
      <c r="BD1008" s="264"/>
      <c r="BE1008" s="263"/>
      <c r="BF1008" s="263"/>
      <c r="BG1008" s="263"/>
      <c r="BH1008" s="263"/>
      <c r="BI1008" s="263"/>
      <c r="BJ1008" s="404">
        <f>altaz(J2000_Bas,$O1008,$M1008,DecLat,DecLong,2)</f>
        <v>341.89643333636462</v>
      </c>
      <c r="BK1008" s="378" t="s">
        <v>4032</v>
      </c>
      <c r="BL1008" s="379">
        <f>IF((2*G1008)/60&lt;0.2,0.2,(2*G1008)/60)</f>
        <v>0.2</v>
      </c>
      <c r="BM1008" s="380">
        <f>MOD((50000+AD1008-$B$3+(0/24)),1)</f>
        <v>0.57307009459327674</v>
      </c>
      <c r="BN1008" s="381"/>
      <c r="BO1008" s="382">
        <v>1002</v>
      </c>
    </row>
    <row r="1009" spans="1:67" s="24" customFormat="1" ht="15" customHeight="1" x14ac:dyDescent="0.25">
      <c r="A1009" s="288" t="s">
        <v>1076</v>
      </c>
      <c r="B1009" s="241" t="str">
        <f>HYPERLINK(CONCATENATE($AT$3,BK1009,$AU$3),$AV$3)</f>
        <v>S</v>
      </c>
      <c r="C1009" s="242" t="str">
        <f>HYPERLINK(CONCATENATE($AT$4,BK1009,$AU$4,BL1009),$AV$4)</f>
        <v>A</v>
      </c>
      <c r="D1009" s="243" t="s">
        <v>5638</v>
      </c>
      <c r="E1009" s="244" t="s">
        <v>5625</v>
      </c>
      <c r="F1009" s="290">
        <v>4</v>
      </c>
      <c r="G1009" s="291">
        <v>1.9</v>
      </c>
      <c r="H1009" s="283">
        <v>180</v>
      </c>
      <c r="I1009" s="284">
        <v>100</v>
      </c>
      <c r="J1009" s="246">
        <v>2</v>
      </c>
      <c r="K1009" s="247" t="s">
        <v>7619</v>
      </c>
      <c r="L1009" s="248">
        <v>90924</v>
      </c>
      <c r="M1009" s="249">
        <f>15*(LEFT(TEXT($L1009,"000000"),2)+(MID(TEXT($L1009,"000000"),3,2)/60)+(RIGHT(TEXT($L1009,"000000"),2)/3600))</f>
        <v>137.35</v>
      </c>
      <c r="N1009" s="250">
        <v>154744</v>
      </c>
      <c r="O1009" s="251">
        <f>IF($N1009&gt;0,(LEFT(TEXT($N1009,"000000"),2)+(MID(TEXT($N1009,"000000"),3,2)/60)+(RIGHT(TEXT($N1009,"000000"),2)/3600)),-(MID(TEXT($N1009,"000000"),2,2)+(MID(TEXT($N1009,"000000"),4,2)/60)+(RIGHT(TEXT($N1009,"000000"),2)/3600)))</f>
        <v>15.795555555555556</v>
      </c>
      <c r="P1009" s="252" t="s">
        <v>100</v>
      </c>
      <c r="Q1009" s="253"/>
      <c r="R1009" s="321"/>
      <c r="S1009" s="272" t="s">
        <v>3293</v>
      </c>
      <c r="T1009" s="273">
        <v>12.5</v>
      </c>
      <c r="U1009" s="289">
        <v>22.5</v>
      </c>
      <c r="V1009" s="280"/>
      <c r="W1009" s="244"/>
      <c r="X1009" s="244"/>
      <c r="Y1009" s="362"/>
      <c r="Z1009" s="257">
        <f>altaz(J2000_Bas,$O1009,$M1009,DecLat,DecLong,1)</f>
        <v>-34.347226588162854</v>
      </c>
      <c r="AA1009" s="257">
        <f>altaz((J2000_Bas+(2*0.04167)),$O1009,$M1009,DecLat,DecLong,1)</f>
        <v>-43.188699744877283</v>
      </c>
      <c r="AB1009" s="257">
        <f>altaz((J2000_Bas+(4*0.04167)),$O1009,$M1009,DecLat,DecLong,1)</f>
        <v>-35.621692103602975</v>
      </c>
      <c r="AC1009" s="257">
        <f>altaz((J2000_Bas+(6*0.04167)),$O1009,$M1009,DecLat,DecLong,1)</f>
        <v>-16.604476495586837</v>
      </c>
      <c r="AD1009" s="258">
        <f>1+ transit((J2000_Bas-1),$O1009,$M1009,DecLat,DecLong)/360 + (GMTOffset/24) + (IF(DST="Y", 1, 0)/24)</f>
        <v>1.3744277002547081</v>
      </c>
      <c r="AE1009" s="259">
        <f>DATE(2001,9,21)+(M1009/360)*365 - (360*((DecLong/360)- (GMTOffset/24) ))</f>
        <v>37299.257638888892</v>
      </c>
      <c r="AF1009" s="260">
        <f>IF(DecLat&gt;0,IF((90 - (DecLat-O1009))&gt;90, (90 - (O1009-DecLat)), (90 - (DecLat-O1009))),IF((90 + (DecLat-O1009))&gt;90, (90 + (O1009-DecLat)), (90 + (DecLat-O1009))))</f>
        <v>74.795555555555552</v>
      </c>
      <c r="AG1009" s="257">
        <f>angularseperation(MoonRA,MoonDec,$M1009,$O1009)</f>
        <v>116.31898381714609</v>
      </c>
      <c r="AH1009" s="261">
        <f ca="1">MIN(100,IF($O$5&gt;80,0+30*($AG1009/100),IF($O$5&gt;70,0+50*($AG1009/100),IF($O$5&gt;60,5+50*($AG1009/100),IF($O$5&gt;50,10+60*($AG1009/100),IF($O$5&gt;40,15+70*($AG1009/100),IF($O$5&gt;30,20+70*($AG1009/100),IF($O$5&gt;20,40+55*($AG1009/100),(80+(20-$O$5)+30*($AG1009/100))))))))))</f>
        <v>100</v>
      </c>
      <c r="AI1009" s="263"/>
      <c r="AJ1009" s="263"/>
      <c r="AK1009" s="263"/>
      <c r="AL1009" s="263"/>
      <c r="AM1009" s="264"/>
      <c r="AN1009" s="263"/>
      <c r="AO1009" s="263">
        <v>36</v>
      </c>
      <c r="AP1009" s="265"/>
      <c r="AQ1009" s="265">
        <v>4811</v>
      </c>
      <c r="AR1009" s="285"/>
      <c r="AS1009" s="263"/>
      <c r="AT1009" s="263"/>
      <c r="AU1009" s="263"/>
      <c r="AV1009" s="264"/>
      <c r="AW1009" s="263"/>
      <c r="AX1009" s="263"/>
      <c r="AY1009" s="263"/>
      <c r="AZ1009" s="263"/>
      <c r="BA1009" s="263"/>
      <c r="BB1009" s="263"/>
      <c r="BC1009" s="263"/>
      <c r="BD1009" s="264"/>
      <c r="BE1009" s="263"/>
      <c r="BF1009" s="263"/>
      <c r="BG1009" s="263"/>
      <c r="BH1009" s="263"/>
      <c r="BI1009" s="263"/>
      <c r="BJ1009" s="404">
        <f>altaz(J2000_Bas,$O1009,$M1009,DecLat,DecLong,2)</f>
        <v>322.67758477106042</v>
      </c>
      <c r="BK1009" s="378" t="s">
        <v>4033</v>
      </c>
      <c r="BL1009" s="379">
        <f>IF((2*G1009)/60&lt;0.2,0.2,(2*G1009)/60)</f>
        <v>0.2</v>
      </c>
      <c r="BM1009" s="380">
        <f>MOD((50000+AD1009-$B$3+(0/24)),1)</f>
        <v>0.58979462995921494</v>
      </c>
      <c r="BN1009" s="381"/>
      <c r="BO1009" s="382">
        <v>1003</v>
      </c>
    </row>
    <row r="1010" spans="1:67" s="24" customFormat="1" ht="15" customHeight="1" x14ac:dyDescent="0.25">
      <c r="A1010" s="288" t="s">
        <v>1077</v>
      </c>
      <c r="B1010" s="241" t="str">
        <f>HYPERLINK(CONCATENATE($AT$3,BK1010,$AU$3),$AV$3)</f>
        <v>S</v>
      </c>
      <c r="C1010" s="242" t="str">
        <f>HYPERLINK(CONCATENATE($AT$4,BK1010,$AU$4,BL1010),$AV$4)</f>
        <v>A</v>
      </c>
      <c r="D1010" s="243" t="s">
        <v>5638</v>
      </c>
      <c r="E1010" s="244" t="s">
        <v>5625</v>
      </c>
      <c r="F1010" s="290">
        <v>5</v>
      </c>
      <c r="G1010" s="291">
        <v>3.2</v>
      </c>
      <c r="H1010" s="283">
        <v>310</v>
      </c>
      <c r="I1010" s="284">
        <v>320</v>
      </c>
      <c r="J1010" s="246">
        <v>2</v>
      </c>
      <c r="K1010" s="277" t="s">
        <v>7620</v>
      </c>
      <c r="L1010" s="248">
        <v>91336</v>
      </c>
      <c r="M1010" s="249">
        <f>15*(LEFT(TEXT($L1010,"000000"),2)+(MID(TEXT($L1010,"000000"),3,2)/60)+(RIGHT(TEXT($L1010,"000000"),2)/3600))</f>
        <v>138.4</v>
      </c>
      <c r="N1010" s="250">
        <v>300051</v>
      </c>
      <c r="O1010" s="251">
        <f>IF($N1010&gt;0,(LEFT(TEXT($N1010,"000000"),2)+(MID(TEXT($N1010,"000000"),3,2)/60)+(RIGHT(TEXT($N1010,"000000"),2)/3600)),-(MID(TEXT($N1010,"000000"),2,2)+(MID(TEXT($N1010,"000000"),4,2)/60)+(RIGHT(TEXT($N1010,"000000"),2)/3600)))</f>
        <v>30.014166666666668</v>
      </c>
      <c r="P1010" s="252" t="s">
        <v>100</v>
      </c>
      <c r="Q1010" s="253"/>
      <c r="R1010" s="321"/>
      <c r="S1010" s="272" t="s">
        <v>3293</v>
      </c>
      <c r="T1010" s="273">
        <v>11.5</v>
      </c>
      <c r="U1010" s="289">
        <v>22.7</v>
      </c>
      <c r="V1010" s="280"/>
      <c r="W1010" s="244"/>
      <c r="X1010" s="244"/>
      <c r="Y1010" s="362"/>
      <c r="Z1010" s="257">
        <f>altaz(J2000_Bas,$O1010,$M1010,DecLat,DecLong,1)</f>
        <v>-21.658164888893197</v>
      </c>
      <c r="AA1010" s="257">
        <f>altaz((J2000_Bas+(2*0.04167)),$O1010,$M1010,DecLat,DecLong,1)</f>
        <v>-28.946237647024866</v>
      </c>
      <c r="AB1010" s="257">
        <f>altaz((J2000_Bas+(4*0.04167)),$O1010,$M1010,DecLat,DecLong,1)</f>
        <v>-23.521773838130073</v>
      </c>
      <c r="AC1010" s="257">
        <f>altaz((J2000_Bas+(6*0.04167)),$O1010,$M1010,DecLat,DecLong,1)</f>
        <v>-7.8897098766578742</v>
      </c>
      <c r="AD1010" s="258">
        <f>1+ transit((J2000_Bas-1),$O1010,$M1010,DecLat,DecLong)/360 + (GMTOffset/24) + (IF(DST="Y", 1, 0)/24)</f>
        <v>1.3773443666297081</v>
      </c>
      <c r="AE1010" s="259">
        <f>DATE(2001,9,21)+(M1010/360)*365 - (360*((DecLong/360)- (GMTOffset/24) ))</f>
        <v>37300.322222222225</v>
      </c>
      <c r="AF1010" s="260">
        <f>IF(DecLat&gt;0,IF((90 - (DecLat-O1010))&gt;90, (90 - (O1010-DecLat)), (90 - (DecLat-O1010))),IF((90 + (DecLat-O1010))&gt;90, (90 + (O1010-DecLat)), (90 + (DecLat-O1010))))</f>
        <v>89.014166666666668</v>
      </c>
      <c r="AG1010" s="257">
        <f>angularseperation(MoonRA,MoonDec,$M1010,$O1010)</f>
        <v>120.13518202784817</v>
      </c>
      <c r="AH1010" s="261">
        <f ca="1">MIN(100,IF($O$5&gt;80,0+30*($AG1010/100),IF($O$5&gt;70,0+50*($AG1010/100),IF($O$5&gt;60,5+50*($AG1010/100),IF($O$5&gt;50,10+60*($AG1010/100),IF($O$5&gt;40,15+70*($AG1010/100),IF($O$5&gt;30,20+70*($AG1010/100),IF($O$5&gt;20,40+55*($AG1010/100),(80+(20-$O$5)+30*($AG1010/100))))))))))</f>
        <v>100</v>
      </c>
      <c r="AI1010" s="263">
        <v>2783</v>
      </c>
      <c r="AJ1010" s="263"/>
      <c r="AK1010" s="263"/>
      <c r="AL1010" s="263"/>
      <c r="AM1010" s="264"/>
      <c r="AN1010" s="263"/>
      <c r="AO1010" s="263">
        <v>37</v>
      </c>
      <c r="AP1010" s="265"/>
      <c r="AQ1010" s="265">
        <v>4859</v>
      </c>
      <c r="AR1010" s="285"/>
      <c r="AS1010" s="263"/>
      <c r="AT1010" s="263"/>
      <c r="AU1010" s="263"/>
      <c r="AV1010" s="264"/>
      <c r="AW1010" s="263"/>
      <c r="AX1010" s="263"/>
      <c r="AY1010" s="263"/>
      <c r="AZ1010" s="263"/>
      <c r="BA1010" s="263"/>
      <c r="BB1010" s="263"/>
      <c r="BC1010" s="263"/>
      <c r="BD1010" s="264"/>
      <c r="BE1010" s="263"/>
      <c r="BF1010" s="263"/>
      <c r="BG1010" s="263"/>
      <c r="BH1010" s="263"/>
      <c r="BI1010" s="263"/>
      <c r="BJ1010" s="404">
        <f>altaz(J2000_Bas,$O1010,$M1010,DecLat,DecLong,2)</f>
        <v>330.05417909802679</v>
      </c>
      <c r="BK1010" s="378" t="s">
        <v>4034</v>
      </c>
      <c r="BL1010" s="379">
        <f>IF((2*G1010)/60&lt;0.2,0.2,(2*G1010)/60)</f>
        <v>0.2</v>
      </c>
      <c r="BM1010" s="380">
        <f>MOD((50000+AD1010-$B$3+(0/24)),1)</f>
        <v>0.59271129633270903</v>
      </c>
      <c r="BN1010" s="381" t="s">
        <v>9218</v>
      </c>
      <c r="BO1010" s="382">
        <v>1004</v>
      </c>
    </row>
    <row r="1011" spans="1:67" s="24" customFormat="1" ht="15" customHeight="1" x14ac:dyDescent="0.25">
      <c r="A1011" s="288" t="s">
        <v>1078</v>
      </c>
      <c r="B1011" s="241" t="str">
        <f>HYPERLINK(CONCATENATE($AT$3,BK1011,$AU$3),$AV$3)</f>
        <v>S</v>
      </c>
      <c r="C1011" s="242" t="str">
        <f>HYPERLINK(CONCATENATE($AT$4,BK1011,$AU$4,BL1011),$AV$4)</f>
        <v>A</v>
      </c>
      <c r="D1011" s="243" t="s">
        <v>5638</v>
      </c>
      <c r="E1011" s="244" t="s">
        <v>5625</v>
      </c>
      <c r="F1011" s="290">
        <v>4</v>
      </c>
      <c r="G1011" s="291">
        <v>1</v>
      </c>
      <c r="H1011" s="283">
        <v>980</v>
      </c>
      <c r="I1011" s="284">
        <v>300</v>
      </c>
      <c r="J1011" s="246">
        <v>2</v>
      </c>
      <c r="K1011" s="277" t="s">
        <v>7621</v>
      </c>
      <c r="L1011" s="248">
        <v>92929</v>
      </c>
      <c r="M1011" s="249">
        <f>15*(LEFT(TEXT($L1011,"000000"),2)+(MID(TEXT($L1011,"000000"),3,2)/60)+(RIGHT(TEXT($L1011,"000000"),2)/3600))</f>
        <v>142.37083333333334</v>
      </c>
      <c r="N1011" s="250">
        <v>-12040</v>
      </c>
      <c r="O1011" s="251">
        <f>IF($N1011&gt;0,(LEFT(TEXT($N1011,"000000"),2)+(MID(TEXT($N1011,"000000"),3,2)/60)+(RIGHT(TEXT($N1011,"000000"),2)/3600)),-(MID(TEXT($N1011,"000000"),2,2)+(MID(TEXT($N1011,"000000"),4,2)/60)+(RIGHT(TEXT($N1011,"000000"),2)/3600)))</f>
        <v>-1.3444444444444443</v>
      </c>
      <c r="P1011" s="252" t="s">
        <v>103</v>
      </c>
      <c r="Q1011" s="253"/>
      <c r="R1011" s="321"/>
      <c r="S1011" s="272" t="s">
        <v>3293</v>
      </c>
      <c r="T1011" s="273">
        <v>13.9</v>
      </c>
      <c r="U1011" s="289">
        <v>22.5</v>
      </c>
      <c r="V1011" s="280"/>
      <c r="W1011" s="244"/>
      <c r="X1011" s="244"/>
      <c r="Y1011" s="362"/>
      <c r="Z1011" s="257">
        <f>altaz(J2000_Bas,$O1011,$M1011,DecLat,DecLong,1)</f>
        <v>-44.596136285968633</v>
      </c>
      <c r="AA1011" s="257">
        <f>altaz((J2000_Bas+(2*0.04167)),$O1011,$M1011,DecLat,DecLong,1)</f>
        <v>-59.753617854780728</v>
      </c>
      <c r="AB1011" s="257">
        <f>altaz((J2000_Bas+(4*0.04167)),$O1011,$M1011,DecLat,DecLong,1)</f>
        <v>-52.762736581394066</v>
      </c>
      <c r="AC1011" s="257">
        <f>altaz((J2000_Bas+(6*0.04167)),$O1011,$M1011,DecLat,DecLong,1)</f>
        <v>-31.142021132816847</v>
      </c>
      <c r="AD1011" s="258">
        <f>1+ transit((J2000_Bas-1),$O1011,$M1011,DecLat,DecLong)/360 + (GMTOffset/24) + (IF(DST="Y", 1, 0)/24)</f>
        <v>1.3883744581192914</v>
      </c>
      <c r="AE1011" s="259">
        <f>DATE(2001,9,21)+(M1011/360)*365 - (360*((DecLong/360)- (GMTOffset/24) ))</f>
        <v>37304.34820601852</v>
      </c>
      <c r="AF1011" s="260">
        <f>IF(DecLat&gt;0,IF((90 - (DecLat-O1011))&gt;90, (90 - (O1011-DecLat)), (90 - (DecLat-O1011))),IF((90 + (DecLat-O1011))&gt;90, (90 + (O1011-DecLat)), (90 + (DecLat-O1011))))</f>
        <v>57.655555555555559</v>
      </c>
      <c r="AG1011" s="257">
        <f>angularseperation(MoonRA,MoonDec,$M1011,$O1011)</f>
        <v>104.33789305129754</v>
      </c>
      <c r="AH1011" s="261">
        <f ca="1">MIN(100,IF($O$5&gt;80,0+30*($AG1011/100),IF($O$5&gt;70,0+50*($AG1011/100),IF($O$5&gt;60,5+50*($AG1011/100),IF($O$5&gt;50,10+60*($AG1011/100),IF($O$5&gt;40,15+70*($AG1011/100),IF($O$5&gt;30,20+70*($AG1011/100),IF($O$5&gt;20,40+55*($AG1011/100),(80+(20-$O$5)+30*($AG1011/100))))))))))</f>
        <v>100</v>
      </c>
      <c r="AI1011" s="263"/>
      <c r="AJ1011" s="263"/>
      <c r="AK1011" s="263"/>
      <c r="AL1011" s="263"/>
      <c r="AM1011" s="264"/>
      <c r="AN1011" s="263"/>
      <c r="AO1011" s="263">
        <v>39</v>
      </c>
      <c r="AP1011" s="265"/>
      <c r="AQ1011" s="265">
        <v>5057</v>
      </c>
      <c r="AR1011" s="285"/>
      <c r="AS1011" s="263"/>
      <c r="AT1011" s="263"/>
      <c r="AU1011" s="263"/>
      <c r="AV1011" s="264"/>
      <c r="AW1011" s="263"/>
      <c r="AX1011" s="263"/>
      <c r="AY1011" s="263"/>
      <c r="AZ1011" s="263"/>
      <c r="BA1011" s="263"/>
      <c r="BB1011" s="263"/>
      <c r="BC1011" s="263"/>
      <c r="BD1011" s="264"/>
      <c r="BE1011" s="263"/>
      <c r="BF1011" s="263"/>
      <c r="BG1011" s="263"/>
      <c r="BH1011" s="263"/>
      <c r="BI1011" s="263"/>
      <c r="BJ1011" s="404">
        <f>altaz(J2000_Bas,$O1011,$M1011,DecLat,DecLong,2)</f>
        <v>303.64245315013824</v>
      </c>
      <c r="BK1011" s="378" t="s">
        <v>4036</v>
      </c>
      <c r="BL1011" s="379">
        <f>IF((2*G1011)/60&lt;0.2,0.2,(2*G1011)/60)</f>
        <v>0.2</v>
      </c>
      <c r="BM1011" s="380">
        <f>MOD((50000+AD1011-$B$3+(0/24)),1)</f>
        <v>0.6037413878220832</v>
      </c>
      <c r="BN1011" s="381" t="s">
        <v>9088</v>
      </c>
      <c r="BO1011" s="382">
        <v>1005</v>
      </c>
    </row>
    <row r="1012" spans="1:67" s="24" customFormat="1" ht="15" customHeight="1" x14ac:dyDescent="0.25">
      <c r="A1012" s="288" t="s">
        <v>1079</v>
      </c>
      <c r="B1012" s="241" t="str">
        <f>HYPERLINK(CONCATENATE($AT$3,BK1012,$AU$3),$AV$3)</f>
        <v>S</v>
      </c>
      <c r="C1012" s="242" t="str">
        <f>HYPERLINK(CONCATENATE($AT$4,BK1012,$AU$4,BL1012),$AV$4)</f>
        <v>A</v>
      </c>
      <c r="D1012" s="243" t="s">
        <v>5638</v>
      </c>
      <c r="E1012" s="244" t="s">
        <v>5625</v>
      </c>
      <c r="F1012" s="290">
        <v>4</v>
      </c>
      <c r="G1012" s="291">
        <v>4.0999999999999996</v>
      </c>
      <c r="H1012" s="283">
        <v>170</v>
      </c>
      <c r="I1012" s="284">
        <v>210</v>
      </c>
      <c r="J1012" s="246">
        <v>2</v>
      </c>
      <c r="K1012" s="277" t="s">
        <v>4671</v>
      </c>
      <c r="L1012" s="248">
        <v>95740</v>
      </c>
      <c r="M1012" s="249">
        <f>15*(LEFT(TEXT($L1012,"000000"),2)+(MID(TEXT($L1012,"000000"),3,2)/60)+(RIGHT(TEXT($L1012,"000000"),2)/3600))</f>
        <v>149.41666666666666</v>
      </c>
      <c r="N1012" s="250">
        <v>451422</v>
      </c>
      <c r="O1012" s="251">
        <f>IF($N1012&gt;0,(LEFT(TEXT($N1012,"000000"),2)+(MID(TEXT($N1012,"000000"),3,2)/60)+(RIGHT(TEXT($N1012,"000000"),2)/3600)),-(MID(TEXT($N1012,"000000"),2,2)+(MID(TEXT($N1012,"000000"),4,2)/60)+(RIGHT(TEXT($N1012,"000000"),2)/3600)))</f>
        <v>45.239444444444445</v>
      </c>
      <c r="P1012" s="252" t="s">
        <v>37</v>
      </c>
      <c r="Q1012" s="253"/>
      <c r="R1012" s="321"/>
      <c r="S1012" s="272" t="s">
        <v>3293</v>
      </c>
      <c r="T1012" s="273">
        <v>11.9</v>
      </c>
      <c r="U1012" s="289">
        <v>23.6</v>
      </c>
      <c r="V1012" s="280"/>
      <c r="W1012" s="244"/>
      <c r="X1012" s="244"/>
      <c r="Y1012" s="362"/>
      <c r="Z1012" s="257">
        <f>altaz(J2000_Bas,$O1012,$M1012,DecLat,DecLong,1)</f>
        <v>-4.1709040945976543</v>
      </c>
      <c r="AA1012" s="257">
        <f>altaz((J2000_Bas+(2*0.04167)),$O1012,$M1012,DecLat,DecLong,1)</f>
        <v>-12.80331030502548</v>
      </c>
      <c r="AB1012" s="257">
        <f>altaz((J2000_Bas+(4*0.04167)),$O1012,$M1012,DecLat,DecLong,1)</f>
        <v>-12.25370322277783</v>
      </c>
      <c r="AC1012" s="257">
        <f>altaz((J2000_Bas+(6*0.04167)),$O1012,$M1012,DecLat,DecLong,1)</f>
        <v>-2.7032225979787037</v>
      </c>
      <c r="AD1012" s="258">
        <f>1+ transit((J2000_Bas-1),$O1012,$M1012,DecLat,DecLong)/360 + (GMTOffset/24) + (IF(DST="Y", 1, 0)/24)</f>
        <v>1.4079462154213747</v>
      </c>
      <c r="AE1012" s="259">
        <f>DATE(2001,9,21)+(M1012/360)*365 - (360*((DecLong/360)- (GMTOffset/24) ))</f>
        <v>37311.491898148146</v>
      </c>
      <c r="AF1012" s="260">
        <f>IF(DecLat&gt;0,IF((90 - (DecLat-O1012))&gt;90, (90 - (O1012-DecLat)), (90 - (DecLat-O1012))),IF((90 + (DecLat-O1012))&gt;90, (90 + (O1012-DecLat)), (90 + (DecLat-O1012))))</f>
        <v>75.760555555555555</v>
      </c>
      <c r="AG1012" s="257">
        <f>angularseperation(MoonRA,MoonDec,$M1012,$O1012)</f>
        <v>115.48457608353658</v>
      </c>
      <c r="AH1012" s="261">
        <f ca="1">MIN(100,IF($O$5&gt;80,0+30*($AG1012/100),IF($O$5&gt;70,0+50*($AG1012/100),IF($O$5&gt;60,5+50*($AG1012/100),IF($O$5&gt;50,10+60*($AG1012/100),IF($O$5&gt;40,15+70*($AG1012/100),IF($O$5&gt;30,20+70*($AG1012/100),IF($O$5&gt;20,40+55*($AG1012/100),(80+(20-$O$5)+30*($AG1012/100))))))))))</f>
        <v>100</v>
      </c>
      <c r="AI1012" s="263"/>
      <c r="AJ1012" s="263"/>
      <c r="AK1012" s="263"/>
      <c r="AL1012" s="263"/>
      <c r="AM1012" s="264"/>
      <c r="AN1012" s="263"/>
      <c r="AO1012" s="263">
        <v>41</v>
      </c>
      <c r="AP1012" s="265"/>
      <c r="AQ1012" s="265">
        <v>5345</v>
      </c>
      <c r="AR1012" s="285"/>
      <c r="AS1012" s="263"/>
      <c r="AT1012" s="263"/>
      <c r="AU1012" s="263"/>
      <c r="AV1012" s="264"/>
      <c r="AW1012" s="263"/>
      <c r="AX1012" s="263"/>
      <c r="AY1012" s="263"/>
      <c r="AZ1012" s="263"/>
      <c r="BA1012" s="263"/>
      <c r="BB1012" s="263"/>
      <c r="BC1012" s="263"/>
      <c r="BD1012" s="264"/>
      <c r="BE1012" s="263"/>
      <c r="BF1012" s="263"/>
      <c r="BG1012" s="263"/>
      <c r="BH1012" s="263"/>
      <c r="BI1012" s="263"/>
      <c r="BJ1012" s="404">
        <f>altaz(J2000_Bas,$O1012,$M1012,DecLat,DecLong,2)</f>
        <v>330.97310954581661</v>
      </c>
      <c r="BK1012" s="378" t="s">
        <v>4038</v>
      </c>
      <c r="BL1012" s="379">
        <f>IF((2*G1012)/60&lt;0.2,0.2,(2*G1012)/60)</f>
        <v>0.2</v>
      </c>
      <c r="BM1012" s="380">
        <f>MOD((50000+AD1012-$B$3+(0/24)),1)</f>
        <v>0.62331314512266545</v>
      </c>
      <c r="BN1012" s="381"/>
      <c r="BO1012" s="382">
        <v>1006</v>
      </c>
    </row>
    <row r="1013" spans="1:67" s="24" customFormat="1" ht="15" customHeight="1" x14ac:dyDescent="0.25">
      <c r="A1013" s="288" t="s">
        <v>1080</v>
      </c>
      <c r="B1013" s="241" t="str">
        <f>HYPERLINK(CONCATENATE($AT$3,BK1013,$AU$3),$AV$3)</f>
        <v>S</v>
      </c>
      <c r="C1013" s="242" t="str">
        <f>HYPERLINK(CONCATENATE($AT$4,BK1013,$AU$4,BL1013),$AV$4)</f>
        <v>A</v>
      </c>
      <c r="D1013" s="243" t="s">
        <v>5638</v>
      </c>
      <c r="E1013" s="244" t="s">
        <v>5625</v>
      </c>
      <c r="F1013" s="290">
        <v>4</v>
      </c>
      <c r="G1013" s="291">
        <v>6</v>
      </c>
      <c r="H1013" s="283">
        <v>170</v>
      </c>
      <c r="I1013" s="284">
        <v>300</v>
      </c>
      <c r="J1013" s="246">
        <v>2</v>
      </c>
      <c r="K1013" s="277" t="s">
        <v>7622</v>
      </c>
      <c r="L1013" s="248">
        <v>100022</v>
      </c>
      <c r="M1013" s="249">
        <f>15*(LEFT(TEXT($L1013,"000000"),2)+(MID(TEXT($L1013,"000000"),3,2)/60)+(RIGHT(TEXT($L1013,"000000"),2)/3600))</f>
        <v>150.09166666666664</v>
      </c>
      <c r="N1013" s="250">
        <v>-193857</v>
      </c>
      <c r="O1013" s="251">
        <f>IF($N1013&gt;0,(LEFT(TEXT($N1013,"000000"),2)+(MID(TEXT($N1013,"000000"),3,2)/60)+(RIGHT(TEXT($N1013,"000000"),2)/3600)),-(MID(TEXT($N1013,"000000"),2,2)+(MID(TEXT($N1013,"000000"),4,2)/60)+(RIGHT(TEXT($N1013,"000000"),2)/3600)))</f>
        <v>-19.649166666666666</v>
      </c>
      <c r="P1013" s="252" t="s">
        <v>103</v>
      </c>
      <c r="Q1013" s="253"/>
      <c r="R1013" s="321" t="s">
        <v>3428</v>
      </c>
      <c r="S1013" s="272" t="s">
        <v>3293</v>
      </c>
      <c r="T1013" s="273">
        <v>10.6</v>
      </c>
      <c r="U1013" s="289">
        <v>23.1</v>
      </c>
      <c r="V1013" s="280"/>
      <c r="W1013" s="244"/>
      <c r="X1013" s="244"/>
      <c r="Y1013" s="362"/>
      <c r="Z1013" s="257">
        <f>altaz(J2000_Bas,$O1013,$M1013,DecLat,DecLong,1)</f>
        <v>-48.851290885272071</v>
      </c>
      <c r="AA1013" s="257">
        <f>altaz((J2000_Bas+(2*0.04167)),$O1013,$M1013,DecLat,DecLong,1)</f>
        <v>-73.027743152413862</v>
      </c>
      <c r="AB1013" s="257">
        <f>altaz((J2000_Bas+(4*0.04167)),$O1013,$M1013,DecLat,DecLong,1)</f>
        <v>-71.596578205315083</v>
      </c>
      <c r="AC1013" s="257">
        <f>altaz((J2000_Bas+(6*0.04167)),$O1013,$M1013,DecLat,DecLong,1)</f>
        <v>-47.078027524976719</v>
      </c>
      <c r="AD1013" s="258">
        <f>1+ transit((J2000_Bas-1),$O1013,$M1013,DecLat,DecLong)/360 + (GMTOffset/24) + (IF(DST="Y", 1, 0)/24)</f>
        <v>1.4098212152338745</v>
      </c>
      <c r="AE1013" s="259">
        <f>DATE(2001,9,21)+(M1013/360)*365 - (360*((DecLong/360)- (GMTOffset/24) ))</f>
        <v>37312.17627314815</v>
      </c>
      <c r="AF1013" s="260">
        <f>IF(DecLat&gt;0,IF((90 - (DecLat-O1013))&gt;90, (90 - (O1013-DecLat)), (90 - (DecLat-O1013))),IF((90 + (DecLat-O1013))&gt;90, (90 + (O1013-DecLat)), (90 + (DecLat-O1013))))</f>
        <v>39.350833333333334</v>
      </c>
      <c r="AG1013" s="257">
        <f>angularseperation(MoonRA,MoonDec,$M1013,$O1013)</f>
        <v>88.867891995062664</v>
      </c>
      <c r="AH1013" s="261">
        <f ca="1">MIN(100,IF($O$5&gt;80,0+30*($AG1013/100),IF($O$5&gt;70,0+50*($AG1013/100),IF($O$5&gt;60,5+50*($AG1013/100),IF($O$5&gt;50,10+60*($AG1013/100),IF($O$5&gt;40,15+70*($AG1013/100),IF($O$5&gt;30,20+70*($AG1013/100),IF($O$5&gt;20,40+55*($AG1013/100),(80+(20-$O$5)+30*($AG1013/100))))))))))</f>
        <v>100</v>
      </c>
      <c r="AI1013" s="263">
        <v>3091</v>
      </c>
      <c r="AJ1013" s="263"/>
      <c r="AK1013" s="263"/>
      <c r="AL1013" s="263"/>
      <c r="AM1013" s="264"/>
      <c r="AN1013" s="263"/>
      <c r="AO1013" s="263">
        <v>42</v>
      </c>
      <c r="AP1013" s="265"/>
      <c r="AQ1013" s="265"/>
      <c r="AR1013" s="285">
        <v>28927</v>
      </c>
      <c r="AS1013" s="263"/>
      <c r="AT1013" s="263"/>
      <c r="AU1013" s="263"/>
      <c r="AV1013" s="264"/>
      <c r="AW1013" s="263"/>
      <c r="AX1013" s="263"/>
      <c r="AY1013" s="263"/>
      <c r="AZ1013" s="263"/>
      <c r="BA1013" s="263"/>
      <c r="BB1013" s="263"/>
      <c r="BC1013" s="263"/>
      <c r="BD1013" s="264"/>
      <c r="BE1013" s="263"/>
      <c r="BF1013" s="263"/>
      <c r="BG1013" s="263"/>
      <c r="BH1013" s="263"/>
      <c r="BI1013" s="263"/>
      <c r="BJ1013" s="404">
        <f>altaz(J2000_Bas,$O1013,$M1013,DecLat,DecLong,2)</f>
        <v>275.24555336229128</v>
      </c>
      <c r="BK1013" s="378" t="s">
        <v>4039</v>
      </c>
      <c r="BL1013" s="379">
        <f>IF((2*G1013)/60&lt;0.2,0.2,(2*G1013)/60)</f>
        <v>0.2</v>
      </c>
      <c r="BM1013" s="380">
        <f>MOD((50000+AD1013-$B$3+(0/24)),1)</f>
        <v>0.62518814493523678</v>
      </c>
      <c r="BN1013" s="381"/>
      <c r="BO1013" s="382">
        <v>1007</v>
      </c>
    </row>
    <row r="1014" spans="1:67" s="24" customFormat="1" ht="15" customHeight="1" x14ac:dyDescent="0.25">
      <c r="A1014" s="288" t="s">
        <v>1081</v>
      </c>
      <c r="B1014" s="241" t="str">
        <f>HYPERLINK(CONCATENATE($AT$3,BK1014,$AU$3),$AV$3)</f>
        <v>S</v>
      </c>
      <c r="C1014" s="242" t="str">
        <f>HYPERLINK(CONCATENATE($AT$4,BK1014,$AU$4,BL1014),$AV$4)</f>
        <v>A</v>
      </c>
      <c r="D1014" s="243" t="s">
        <v>5638</v>
      </c>
      <c r="E1014" s="244" t="s">
        <v>5625</v>
      </c>
      <c r="F1014" s="290">
        <v>5</v>
      </c>
      <c r="G1014" s="291">
        <v>3.5</v>
      </c>
      <c r="H1014" s="283">
        <v>470</v>
      </c>
      <c r="I1014" s="284">
        <v>500</v>
      </c>
      <c r="J1014" s="246">
        <v>2</v>
      </c>
      <c r="K1014" s="277" t="s">
        <v>7623</v>
      </c>
      <c r="L1014" s="248">
        <v>101114</v>
      </c>
      <c r="M1014" s="249">
        <f>15*(LEFT(TEXT($L1014,"000000"),2)+(MID(TEXT($L1014,"000000"),3,2)/60)+(RIGHT(TEXT($L1014,"000000"),2)/3600))</f>
        <v>152.80833333333334</v>
      </c>
      <c r="N1014" s="250">
        <v>-154</v>
      </c>
      <c r="O1014" s="251">
        <f>IF($N1014&gt;0,(LEFT(TEXT($N1014,"000000"),2)+(MID(TEXT($N1014,"000000"),3,2)/60)+(RIGHT(TEXT($N1014,"000000"),2)/3600)),-(MID(TEXT($N1014,"000000"),2,2)+(MID(TEXT($N1014,"000000"),4,2)/60)+(RIGHT(TEXT($N1014,"000000"),2)/3600)))</f>
        <v>-3.1666666666666662E-2</v>
      </c>
      <c r="P1014" s="252" t="s">
        <v>263</v>
      </c>
      <c r="Q1014" s="253"/>
      <c r="R1014" s="321"/>
      <c r="S1014" s="272" t="s">
        <v>3293</v>
      </c>
      <c r="T1014" s="273">
        <v>12.4</v>
      </c>
      <c r="U1014" s="289">
        <v>23.7</v>
      </c>
      <c r="V1014" s="280"/>
      <c r="W1014" s="244"/>
      <c r="X1014" s="244"/>
      <c r="Y1014" s="362"/>
      <c r="Z1014" s="257">
        <f>altaz(J2000_Bas,$O1014,$M1014,DecLat,DecLong,1)</f>
        <v>-35.943962830359325</v>
      </c>
      <c r="AA1014" s="257">
        <f>altaz((J2000_Bas+(2*0.04167)),$O1014,$M1014,DecLat,DecLong,1)</f>
        <v>-55.205864286192906</v>
      </c>
      <c r="AB1014" s="257">
        <f>altaz((J2000_Bas+(4*0.04167)),$O1014,$M1014,DecLat,DecLong,1)</f>
        <v>-56.537095183430992</v>
      </c>
      <c r="AC1014" s="257">
        <f>altaz((J2000_Bas+(6*0.04167)),$O1014,$M1014,DecLat,DecLong,1)</f>
        <v>-38.505353955933913</v>
      </c>
      <c r="AD1014" s="258">
        <f>1+ transit((J2000_Bas-1),$O1014,$M1014,DecLat,DecLong)/360 + (GMTOffset/24) + (IF(DST="Y", 1, 0)/24)</f>
        <v>1.4173675107755412</v>
      </c>
      <c r="AE1014" s="259">
        <f>DATE(2001,9,21)+(M1014/360)*365 - (360*((DecLong/360)- (GMTOffset/24) ))</f>
        <v>37314.930671296293</v>
      </c>
      <c r="AF1014" s="260">
        <f>IF(DecLat&gt;0,IF((90 - (DecLat-O1014))&gt;90, (90 - (O1014-DecLat)), (90 - (DecLat-O1014))),IF((90 + (DecLat-O1014))&gt;90, (90 + (O1014-DecLat)), (90 + (DecLat-O1014))))</f>
        <v>58.968333333333334</v>
      </c>
      <c r="AG1014" s="257">
        <f>angularseperation(MoonRA,MoonDec,$M1014,$O1014)</f>
        <v>95.711072142916791</v>
      </c>
      <c r="AH1014" s="261">
        <f ca="1">MIN(100,IF($O$5&gt;80,0+30*($AG1014/100),IF($O$5&gt;70,0+50*($AG1014/100),IF($O$5&gt;60,5+50*($AG1014/100),IF($O$5&gt;50,10+60*($AG1014/100),IF($O$5&gt;40,15+70*($AG1014/100),IF($O$5&gt;30,20+70*($AG1014/100),IF($O$5&gt;20,40+55*($AG1014/100),(80+(20-$O$5)+30*($AG1014/100))))))))))</f>
        <v>100</v>
      </c>
      <c r="AI1014" s="263"/>
      <c r="AJ1014" s="263"/>
      <c r="AK1014" s="263"/>
      <c r="AL1014" s="263"/>
      <c r="AM1014" s="264"/>
      <c r="AN1014" s="263"/>
      <c r="AO1014" s="263">
        <v>43</v>
      </c>
      <c r="AP1014" s="265"/>
      <c r="AQ1014" s="265"/>
      <c r="AR1014" s="285"/>
      <c r="AS1014" s="263"/>
      <c r="AT1014" s="263"/>
      <c r="AU1014" s="263"/>
      <c r="AV1014" s="264"/>
      <c r="AW1014" s="263"/>
      <c r="AX1014" s="263"/>
      <c r="AY1014" s="263"/>
      <c r="AZ1014" s="263"/>
      <c r="BA1014" s="263"/>
      <c r="BB1014" s="263"/>
      <c r="BC1014" s="263"/>
      <c r="BD1014" s="264"/>
      <c r="BE1014" s="263"/>
      <c r="BF1014" s="263"/>
      <c r="BG1014" s="263"/>
      <c r="BH1014" s="263"/>
      <c r="BI1014" s="263"/>
      <c r="BJ1014" s="404">
        <f>altaz(J2000_Bas,$O1014,$M1014,DecLat,DecLong,2)</f>
        <v>295.77620333864684</v>
      </c>
      <c r="BK1014" s="378" t="s">
        <v>4040</v>
      </c>
      <c r="BL1014" s="379">
        <f>IF((2*G1014)/60&lt;0.2,0.2,(2*G1014)/60)</f>
        <v>0.2</v>
      </c>
      <c r="BM1014" s="380">
        <f>MOD((50000+AD1014-$B$3+(0/24)),1)</f>
        <v>0.6327344404780888</v>
      </c>
      <c r="BN1014" s="381"/>
      <c r="BO1014" s="382">
        <v>1008</v>
      </c>
    </row>
    <row r="1015" spans="1:67" s="24" customFormat="1" ht="15" customHeight="1" x14ac:dyDescent="0.25">
      <c r="A1015" s="288" t="s">
        <v>1082</v>
      </c>
      <c r="B1015" s="241" t="str">
        <f>HYPERLINK(CONCATENATE($AT$3,BK1015,$AU$3),$AV$3)</f>
        <v>S</v>
      </c>
      <c r="C1015" s="242" t="str">
        <f>HYPERLINK(CONCATENATE($AT$4,BK1015,$AU$4,BL1015),$AV$4)</f>
        <v>A</v>
      </c>
      <c r="D1015" s="243" t="s">
        <v>5638</v>
      </c>
      <c r="E1015" s="244" t="s">
        <v>5625</v>
      </c>
      <c r="F1015" s="290">
        <v>4</v>
      </c>
      <c r="G1015" s="291">
        <v>3.4</v>
      </c>
      <c r="H1015" s="283">
        <v>1020</v>
      </c>
      <c r="I1015" s="284">
        <v>1000</v>
      </c>
      <c r="J1015" s="246">
        <v>2</v>
      </c>
      <c r="K1015" s="277" t="s">
        <v>7624</v>
      </c>
      <c r="L1015" s="248">
        <v>101911</v>
      </c>
      <c r="M1015" s="249">
        <f>15*(LEFT(TEXT($L1015,"000000"),2)+(MID(TEXT($L1015,"000000"),3,2)/60)+(RIGHT(TEXT($L1015,"000000"),2)/3600))</f>
        <v>154.79583333333332</v>
      </c>
      <c r="N1015" s="250">
        <v>590635</v>
      </c>
      <c r="O1015" s="251">
        <f>IF($N1015&gt;0,(LEFT(TEXT($N1015,"000000"),2)+(MID(TEXT($N1015,"000000"),3,2)/60)+(RIGHT(TEXT($N1015,"000000"),2)/3600)),-(MID(TEXT($N1015,"000000"),2,2)+(MID(TEXT($N1015,"000000"),4,2)/60)+(RIGHT(TEXT($N1015,"000000"),2)/3600)))</f>
        <v>59.109722222222224</v>
      </c>
      <c r="P1015" s="252" t="s">
        <v>37</v>
      </c>
      <c r="Q1015" s="253"/>
      <c r="R1015" s="321"/>
      <c r="S1015" s="272" t="s">
        <v>3293</v>
      </c>
      <c r="T1015" s="273">
        <v>13.5</v>
      </c>
      <c r="U1015" s="289">
        <v>24.8</v>
      </c>
      <c r="V1015" s="280"/>
      <c r="W1015" s="244"/>
      <c r="X1015" s="244"/>
      <c r="Y1015" s="362"/>
      <c r="Z1015" s="257">
        <f>altaz(J2000_Bas,$O1015,$M1015,DecLat,DecLong,1)</f>
        <v>8.7471894988967716</v>
      </c>
      <c r="AA1015" s="257">
        <f>altaz((J2000_Bas+(2*0.04167)),$O1015,$M1015,DecLat,DecLong,1)</f>
        <v>1.4421328434504657</v>
      </c>
      <c r="AB1015" s="257">
        <f>altaz((J2000_Bas+(4*0.04167)),$O1015,$M1015,DecLat,DecLong,1)</f>
        <v>0.60507876245166203</v>
      </c>
      <c r="AC1015" s="257">
        <f>altaz((J2000_Bas+(6*0.04167)),$O1015,$M1015,DecLat,DecLong,1)</f>
        <v>6.4415590087519528</v>
      </c>
      <c r="AD1015" s="258">
        <f>1+ transit((J2000_Bas-1),$O1015,$M1015,DecLat,DecLong)/360 + (GMTOffset/24) + (IF(DST="Y", 1, 0)/24)</f>
        <v>1.4228883435567912</v>
      </c>
      <c r="AE1015" s="259">
        <f>DATE(2001,9,21)+(M1015/360)*365 - (360*((DecLong/360)- (GMTOffset/24) ))</f>
        <v>37316.945775462962</v>
      </c>
      <c r="AF1015" s="260">
        <f>IF(DecLat&gt;0,IF((90 - (DecLat-O1015))&gt;90, (90 - (O1015-DecLat)), (90 - (DecLat-O1015))),IF((90 + (DecLat-O1015))&gt;90, (90 + (O1015-DecLat)), (90 + (DecLat-O1015))))</f>
        <v>61.890277777777776</v>
      </c>
      <c r="AG1015" s="257">
        <f>angularseperation(MoonRA,MoonDec,$M1015,$O1015)</f>
        <v>115.22342455258743</v>
      </c>
      <c r="AH1015" s="261">
        <f ca="1">MIN(100,IF($O$5&gt;80,0+30*($AG1015/100),IF($O$5&gt;70,0+50*($AG1015/100),IF($O$5&gt;60,5+50*($AG1015/100),IF($O$5&gt;50,10+60*($AG1015/100),IF($O$5&gt;40,15+70*($AG1015/100),IF($O$5&gt;30,20+70*($AG1015/100),IF($O$5&gt;20,40+55*($AG1015/100),(80+(20-$O$5)+30*($AG1015/100))))))))))</f>
        <v>100</v>
      </c>
      <c r="AI1015" s="263"/>
      <c r="AJ1015" s="263"/>
      <c r="AK1015" s="263"/>
      <c r="AL1015" s="263"/>
      <c r="AM1015" s="264"/>
      <c r="AN1015" s="263"/>
      <c r="AO1015" s="263">
        <v>45</v>
      </c>
      <c r="AP1015" s="265"/>
      <c r="AQ1015" s="265">
        <v>5564</v>
      </c>
      <c r="AR1015" s="285"/>
      <c r="AS1015" s="263"/>
      <c r="AT1015" s="263"/>
      <c r="AU1015" s="263"/>
      <c r="AV1015" s="264"/>
      <c r="AW1015" s="263"/>
      <c r="AX1015" s="263"/>
      <c r="AY1015" s="263"/>
      <c r="AZ1015" s="263"/>
      <c r="BA1015" s="263"/>
      <c r="BB1015" s="263"/>
      <c r="BC1015" s="263"/>
      <c r="BD1015" s="264"/>
      <c r="BE1015" s="263"/>
      <c r="BF1015" s="263"/>
      <c r="BG1015" s="263"/>
      <c r="BH1015" s="263"/>
      <c r="BI1015" s="263"/>
      <c r="BJ1015" s="404">
        <f>altaz(J2000_Bas,$O1015,$M1015,DecLat,DecLong,2)</f>
        <v>336.99622681205045</v>
      </c>
      <c r="BK1015" s="378" t="s">
        <v>4042</v>
      </c>
      <c r="BL1015" s="379">
        <f>IF((2*G1015)/60&lt;0.2,0.2,(2*G1015)/60)</f>
        <v>0.2</v>
      </c>
      <c r="BM1015" s="380">
        <f>MOD((50000+AD1015-$B$3+(0/24)),1)</f>
        <v>0.63825527326116571</v>
      </c>
      <c r="BN1015" s="381" t="s">
        <v>9088</v>
      </c>
      <c r="BO1015" s="382">
        <v>1009</v>
      </c>
    </row>
    <row r="1016" spans="1:67" s="24" customFormat="1" ht="15" customHeight="1" x14ac:dyDescent="0.25">
      <c r="A1016" s="288" t="s">
        <v>1083</v>
      </c>
      <c r="B1016" s="241" t="str">
        <f>HYPERLINK(CONCATENATE($AT$3,BK1016,$AU$3),$AV$3)</f>
        <v>S</v>
      </c>
      <c r="C1016" s="242" t="str">
        <f>HYPERLINK(CONCATENATE($AT$4,BK1016,$AU$4,BL1016),$AV$4)</f>
        <v>A</v>
      </c>
      <c r="D1016" s="243" t="s">
        <v>5638</v>
      </c>
      <c r="E1016" s="244" t="s">
        <v>5625</v>
      </c>
      <c r="F1016" s="290">
        <v>4</v>
      </c>
      <c r="G1016" s="291">
        <v>3.6</v>
      </c>
      <c r="H1016" s="283">
        <v>380</v>
      </c>
      <c r="I1016" s="284">
        <v>400</v>
      </c>
      <c r="J1016" s="246">
        <v>2</v>
      </c>
      <c r="K1016" s="277" t="s">
        <v>7625</v>
      </c>
      <c r="L1016" s="248">
        <v>102202</v>
      </c>
      <c r="M1016" s="249">
        <f>15*(LEFT(TEXT($L1016,"000000"),2)+(MID(TEXT($L1016,"000000"),3,2)/60)+(RIGHT(TEXT($L1016,"000000"),2)/3600))</f>
        <v>155.50833333333335</v>
      </c>
      <c r="N1016" s="250">
        <v>174854</v>
      </c>
      <c r="O1016" s="251">
        <f>IF($N1016&gt;0,(LEFT(TEXT($N1016,"000000"),2)+(MID(TEXT($N1016,"000000"),3,2)/60)+(RIGHT(TEXT($N1016,"000000"),2)/3600)),-(MID(TEXT($N1016,"000000"),2,2)+(MID(TEXT($N1016,"000000"),4,2)/60)+(RIGHT(TEXT($N1016,"000000"),2)/3600)))</f>
        <v>17.815000000000001</v>
      </c>
      <c r="P1016" s="252" t="s">
        <v>183</v>
      </c>
      <c r="Q1016" s="253"/>
      <c r="R1016" s="321"/>
      <c r="S1016" s="272" t="s">
        <v>3293</v>
      </c>
      <c r="T1016" s="273">
        <v>12.3</v>
      </c>
      <c r="U1016" s="289">
        <v>23.7</v>
      </c>
      <c r="V1016" s="280"/>
      <c r="W1016" s="244"/>
      <c r="X1016" s="244"/>
      <c r="Y1016" s="362"/>
      <c r="Z1016" s="257">
        <f>altaz(J2000_Bas,$O1016,$M1016,DecLat,DecLong,1)</f>
        <v>-21.861070361083094</v>
      </c>
      <c r="AA1016" s="257">
        <f>altaz((J2000_Bas+(2*0.04167)),$O1016,$M1016,DecLat,DecLong,1)</f>
        <v>-37.738477147446254</v>
      </c>
      <c r="AB1016" s="257">
        <f>altaz((J2000_Bas+(4*0.04167)),$O1016,$M1016,DecLat,DecLong,1)</f>
        <v>-40.120706719956978</v>
      </c>
      <c r="AC1016" s="257">
        <f>altaz((J2000_Bas+(6*0.04167)),$O1016,$M1016,DecLat,DecLong,1)</f>
        <v>-27.430277549101906</v>
      </c>
      <c r="AD1016" s="258">
        <f>1+ transit((J2000_Bas-1),$O1016,$M1016,DecLat,DecLong)/360 + (GMTOffset/24) + (IF(DST="Y", 1, 0)/24)</f>
        <v>1.4248675100255415</v>
      </c>
      <c r="AE1016" s="259">
        <f>DATE(2001,9,21)+(M1016/360)*365 - (360*((DecLong/360)- (GMTOffset/24) ))</f>
        <v>37317.668171296296</v>
      </c>
      <c r="AF1016" s="260">
        <f>IF(DecLat&gt;0,IF((90 - (DecLat-O1016))&gt;90, (90 - (O1016-DecLat)), (90 - (DecLat-O1016))),IF((90 + (DecLat-O1016))&gt;90, (90 + (O1016-DecLat)), (90 + (DecLat-O1016))))</f>
        <v>76.814999999999998</v>
      </c>
      <c r="AG1016" s="257">
        <f>angularseperation(MoonRA,MoonDec,$M1016,$O1016)</f>
        <v>101.21506127395126</v>
      </c>
      <c r="AH1016" s="261">
        <f ca="1">MIN(100,IF($O$5&gt;80,0+30*($AG1016/100),IF($O$5&gt;70,0+50*($AG1016/100),IF($O$5&gt;60,5+50*($AG1016/100),IF($O$5&gt;50,10+60*($AG1016/100),IF($O$5&gt;40,15+70*($AG1016/100),IF($O$5&gt;30,20+70*($AG1016/100),IF($O$5&gt;20,40+55*($AG1016/100),(80+(20-$O$5)+30*($AG1016/100))))))))))</f>
        <v>100</v>
      </c>
      <c r="AI1016" s="263"/>
      <c r="AJ1016" s="263"/>
      <c r="AK1016" s="263"/>
      <c r="AL1016" s="263"/>
      <c r="AM1016" s="264"/>
      <c r="AN1016" s="263"/>
      <c r="AO1016" s="263">
        <v>46</v>
      </c>
      <c r="AP1016" s="265"/>
      <c r="AQ1016" s="265"/>
      <c r="AR1016" s="285"/>
      <c r="AS1016" s="263"/>
      <c r="AT1016" s="263"/>
      <c r="AU1016" s="263"/>
      <c r="AV1016" s="264"/>
      <c r="AW1016" s="263"/>
      <c r="AX1016" s="263"/>
      <c r="AY1016" s="263"/>
      <c r="AZ1016" s="263"/>
      <c r="BA1016" s="263"/>
      <c r="BB1016" s="263"/>
      <c r="BC1016" s="263"/>
      <c r="BD1016" s="264"/>
      <c r="BE1016" s="263"/>
      <c r="BF1016" s="263"/>
      <c r="BG1016" s="263"/>
      <c r="BH1016" s="263"/>
      <c r="BI1016" s="263"/>
      <c r="BJ1016" s="404">
        <f>altaz(J2000_Bas,$O1016,$M1016,DecLat,DecLong,2)</f>
        <v>308.72997438327309</v>
      </c>
      <c r="BK1016" s="378" t="s">
        <v>4043</v>
      </c>
      <c r="BL1016" s="379">
        <f>IF((2*G1016)/60&lt;0.2,0.2,(2*G1016)/60)</f>
        <v>0.2</v>
      </c>
      <c r="BM1016" s="380">
        <f>MOD((50000+AD1016-$B$3+(0/24)),1)</f>
        <v>0.64023443972837413</v>
      </c>
      <c r="BN1016" s="381"/>
      <c r="BO1016" s="382">
        <v>1010</v>
      </c>
    </row>
    <row r="1017" spans="1:67" s="24" customFormat="1" ht="15" customHeight="1" x14ac:dyDescent="0.25">
      <c r="A1017" s="288" t="s">
        <v>1084</v>
      </c>
      <c r="B1017" s="241" t="str">
        <f>HYPERLINK(CONCATENATE($AT$3,BK1017,$AU$3),$AV$3)</f>
        <v>S</v>
      </c>
      <c r="C1017" s="242" t="str">
        <f>HYPERLINK(CONCATENATE($AT$4,BK1017,$AU$4,BL1017),$AV$4)</f>
        <v>A</v>
      </c>
      <c r="D1017" s="243" t="s">
        <v>5638</v>
      </c>
      <c r="E1017" s="244" t="s">
        <v>5625</v>
      </c>
      <c r="F1017" s="290">
        <v>4</v>
      </c>
      <c r="G1017" s="291">
        <v>2.2999999999999998</v>
      </c>
      <c r="H1017" s="283">
        <v>450</v>
      </c>
      <c r="I1017" s="284">
        <v>280</v>
      </c>
      <c r="J1017" s="246">
        <v>2</v>
      </c>
      <c r="K1017" s="277" t="s">
        <v>7626</v>
      </c>
      <c r="L1017" s="248">
        <v>102548</v>
      </c>
      <c r="M1017" s="249">
        <f>15*(LEFT(TEXT($L1017,"000000"),2)+(MID(TEXT($L1017,"000000"),3,2)/60)+(RIGHT(TEXT($L1017,"000000"),2)/3600))</f>
        <v>156.44999999999999</v>
      </c>
      <c r="N1017" s="250">
        <v>134354</v>
      </c>
      <c r="O1017" s="251">
        <f>IF($N1017&gt;0,(LEFT(TEXT($N1017,"000000"),2)+(MID(TEXT($N1017,"000000"),3,2)/60)+(RIGHT(TEXT($N1017,"000000"),2)/3600)),-(MID(TEXT($N1017,"000000"),2,2)+(MID(TEXT($N1017,"000000"),4,2)/60)+(RIGHT(TEXT($N1017,"000000"),2)/3600)))</f>
        <v>13.731666666666667</v>
      </c>
      <c r="P1017" s="252" t="s">
        <v>183</v>
      </c>
      <c r="Q1017" s="253"/>
      <c r="R1017" s="321"/>
      <c r="S1017" s="272" t="s">
        <v>3293</v>
      </c>
      <c r="T1017" s="273">
        <v>12.5</v>
      </c>
      <c r="U1017" s="289">
        <v>22.9</v>
      </c>
      <c r="V1017" s="280"/>
      <c r="W1017" s="244"/>
      <c r="X1017" s="244"/>
      <c r="Y1017" s="362"/>
      <c r="Z1017" s="257">
        <f>altaz(J2000_Bas,$O1017,$M1017,DecLat,DecLong,1)</f>
        <v>-24.077664749621423</v>
      </c>
      <c r="AA1017" s="257">
        <f>altaz((J2000_Bas+(2*0.04167)),$O1017,$M1017,DecLat,DecLong,1)</f>
        <v>-41.176094453586536</v>
      </c>
      <c r="AB1017" s="257">
        <f>altaz((J2000_Bas+(4*0.04167)),$O1017,$M1017,DecLat,DecLong,1)</f>
        <v>-44.303028720934691</v>
      </c>
      <c r="AC1017" s="257">
        <f>altaz((J2000_Bas+(6*0.04167)),$O1017,$M1017,DecLat,DecLong,1)</f>
        <v>-31.158647954516994</v>
      </c>
      <c r="AD1017" s="258">
        <f>1+ transit((J2000_Bas-1),$O1017,$M1017,DecLat,DecLong)/360 + (GMTOffset/24) + (IF(DST="Y", 1, 0)/24)</f>
        <v>1.4274832505047079</v>
      </c>
      <c r="AE1017" s="259">
        <f>DATE(2001,9,21)+(M1017/360)*365 - (360*((DecLong/360)- (GMTOffset/24) ))</f>
        <v>37318.622916666667</v>
      </c>
      <c r="AF1017" s="260">
        <f>IF(DecLat&gt;0,IF((90 - (DecLat-O1017))&gt;90, (90 - (O1017-DecLat)), (90 - (DecLat-O1017))),IF((90 + (DecLat-O1017))&gt;90, (90 + (O1017-DecLat)), (90 + (DecLat-O1017))))</f>
        <v>72.731666666666669</v>
      </c>
      <c r="AG1017" s="257">
        <f>angularseperation(MoonRA,MoonDec,$M1017,$O1017)</f>
        <v>98.638757593107229</v>
      </c>
      <c r="AH1017" s="261">
        <f ca="1">MIN(100,IF($O$5&gt;80,0+30*($AG1017/100),IF($O$5&gt;70,0+50*($AG1017/100),IF($O$5&gt;60,5+50*($AG1017/100),IF($O$5&gt;50,10+60*($AG1017/100),IF($O$5&gt;40,15+70*($AG1017/100),IF($O$5&gt;30,20+70*($AG1017/100),IF($O$5&gt;20,40+55*($AG1017/100),(80+(20-$O$5)+30*($AG1017/100))))))))))</f>
        <v>100</v>
      </c>
      <c r="AI1017" s="263"/>
      <c r="AJ1017" s="263"/>
      <c r="AK1017" s="263"/>
      <c r="AL1017" s="263"/>
      <c r="AM1017" s="264"/>
      <c r="AN1017" s="263"/>
      <c r="AO1017" s="263">
        <v>47</v>
      </c>
      <c r="AP1017" s="265"/>
      <c r="AQ1017" s="265">
        <v>5644</v>
      </c>
      <c r="AR1017" s="285"/>
      <c r="AS1017" s="263"/>
      <c r="AT1017" s="263"/>
      <c r="AU1017" s="263"/>
      <c r="AV1017" s="264"/>
      <c r="AW1017" s="263"/>
      <c r="AX1017" s="263"/>
      <c r="AY1017" s="263"/>
      <c r="AZ1017" s="263"/>
      <c r="BA1017" s="263"/>
      <c r="BB1017" s="263"/>
      <c r="BC1017" s="263"/>
      <c r="BD1017" s="264"/>
      <c r="BE1017" s="263"/>
      <c r="BF1017" s="263"/>
      <c r="BG1017" s="263"/>
      <c r="BH1017" s="263"/>
      <c r="BI1017" s="263"/>
      <c r="BJ1017" s="404">
        <f>altaz(J2000_Bas,$O1017,$M1017,DecLat,DecLong,2)</f>
        <v>304.87706395881492</v>
      </c>
      <c r="BK1017" s="378" t="s">
        <v>4044</v>
      </c>
      <c r="BL1017" s="379">
        <f>IF((2*G1017)/60&lt;0.2,0.2,(2*G1017)/60)</f>
        <v>0.2</v>
      </c>
      <c r="BM1017" s="380">
        <f>MOD((50000+AD1017-$B$3+(0/24)),1)</f>
        <v>0.64285018020746065</v>
      </c>
      <c r="BN1017" s="381"/>
      <c r="BO1017" s="382">
        <v>1011</v>
      </c>
    </row>
    <row r="1018" spans="1:67" s="24" customFormat="1" ht="15" customHeight="1" x14ac:dyDescent="0.25">
      <c r="A1018" s="288" t="s">
        <v>1085</v>
      </c>
      <c r="B1018" s="241" t="str">
        <f>HYPERLINK(CONCATENATE($AT$3,BK1018,$AU$3),$AV$3)</f>
        <v>S</v>
      </c>
      <c r="C1018" s="242" t="str">
        <f>HYPERLINK(CONCATENATE($AT$4,BK1018,$AU$4,BL1018),$AV$4)</f>
        <v>A</v>
      </c>
      <c r="D1018" s="243" t="s">
        <v>5638</v>
      </c>
      <c r="E1018" s="244" t="s">
        <v>5625</v>
      </c>
      <c r="F1018" s="290">
        <v>4</v>
      </c>
      <c r="G1018" s="291">
        <v>5</v>
      </c>
      <c r="H1018" s="283">
        <v>140</v>
      </c>
      <c r="I1018" s="284">
        <v>200</v>
      </c>
      <c r="J1018" s="246">
        <v>2</v>
      </c>
      <c r="K1018" s="277" t="s">
        <v>8464</v>
      </c>
      <c r="L1018" s="248">
        <v>103746</v>
      </c>
      <c r="M1018" s="249">
        <f>15*(LEFT(TEXT($L1018,"000000"),2)+(MID(TEXT($L1018,"000000"),3,2)/60)+(RIGHT(TEXT($L1018,"000000"),2)/3600))</f>
        <v>159.44166666666666</v>
      </c>
      <c r="N1018" s="250">
        <v>-270514</v>
      </c>
      <c r="O1018" s="251">
        <f>IF($N1018&gt;0,(LEFT(TEXT($N1018,"000000"),2)+(MID(TEXT($N1018,"000000"),3,2)/60)+(RIGHT(TEXT($N1018,"000000"),2)/3600)),-(MID(TEXT($N1018,"000000"),2,2)+(MID(TEXT($N1018,"000000"),4,2)/60)+(RIGHT(TEXT($N1018,"000000"),2)/3600)))</f>
        <v>-27.08722222222222</v>
      </c>
      <c r="P1018" s="252" t="s">
        <v>103</v>
      </c>
      <c r="Q1018" s="253"/>
      <c r="R1018" s="321"/>
      <c r="S1018" s="272" t="s">
        <v>3293</v>
      </c>
      <c r="T1018" s="273">
        <v>11.6</v>
      </c>
      <c r="U1018" s="289">
        <v>23.7</v>
      </c>
      <c r="V1018" s="280"/>
      <c r="W1018" s="244"/>
      <c r="X1018" s="244"/>
      <c r="Y1018" s="362"/>
      <c r="Z1018" s="257">
        <f>altaz(J2000_Bas,$O1018,$M1018,DecLat,DecLong,1)</f>
        <v>-43.559793487720839</v>
      </c>
      <c r="AA1018" s="257">
        <f>altaz((J2000_Bas+(2*0.04167)),$O1018,$M1018,DecLat,DecLong,1)</f>
        <v>-69.25144568747956</v>
      </c>
      <c r="AB1018" s="257">
        <f>altaz((J2000_Bas+(4*0.04167)),$O1018,$M1018,DecLat,DecLong,1)</f>
        <v>-82.936501490283945</v>
      </c>
      <c r="AC1018" s="257">
        <f>altaz((J2000_Bas+(6*0.04167)),$O1018,$M1018,DecLat,DecLong,1)</f>
        <v>-57.723519834916438</v>
      </c>
      <c r="AD1018" s="258">
        <f>1+ transit((J2000_Bas-1),$O1018,$M1018,DecLat,DecLong)/360 + (GMTOffset/24) + (IF(DST="Y", 1, 0)/24)</f>
        <v>1.4357934348588748</v>
      </c>
      <c r="AE1018" s="259">
        <f>DATE(2001,9,21)+(M1018/360)*365 - (360*((DecLong/360)- (GMTOffset/24) ))</f>
        <v>37321.656134259261</v>
      </c>
      <c r="AF1018" s="260">
        <f>IF(DecLat&gt;0,IF((90 - (DecLat-O1018))&gt;90, (90 - (O1018-DecLat)), (90 - (DecLat-O1018))),IF((90 + (DecLat-O1018))&gt;90, (90 + (O1018-DecLat)), (90 + (DecLat-O1018))))</f>
        <v>31.912777777777777</v>
      </c>
      <c r="AG1018" s="257">
        <f>angularseperation(MoonRA,MoonDec,$M1018,$O1018)</f>
        <v>77.872856932563224</v>
      </c>
      <c r="AH1018" s="261">
        <f ca="1">MIN(100,IF($O$5&gt;80,0+30*($AG1018/100),IF($O$5&gt;70,0+50*($AG1018/100),IF($O$5&gt;60,5+50*($AG1018/100),IF($O$5&gt;50,10+60*($AG1018/100),IF($O$5&gt;40,15+70*($AG1018/100),IF($O$5&gt;30,20+70*($AG1018/100),IF($O$5&gt;20,40+55*($AG1018/100),(80+(20-$O$5)+30*($AG1018/100))))))))))</f>
        <v>100</v>
      </c>
      <c r="AI1018" s="263"/>
      <c r="AJ1018" s="263"/>
      <c r="AK1018" s="263"/>
      <c r="AL1018" s="263"/>
      <c r="AM1018" s="264"/>
      <c r="AN1018" s="263"/>
      <c r="AO1018" s="263">
        <v>48</v>
      </c>
      <c r="AP1018" s="265"/>
      <c r="AQ1018" s="265"/>
      <c r="AR1018" s="285"/>
      <c r="AS1018" s="263"/>
      <c r="AT1018" s="263"/>
      <c r="AU1018" s="263"/>
      <c r="AV1018" s="264"/>
      <c r="AW1018" s="263"/>
      <c r="AX1018" s="263"/>
      <c r="AY1018" s="263"/>
      <c r="AZ1018" s="263"/>
      <c r="BA1018" s="263"/>
      <c r="BB1018" s="263"/>
      <c r="BC1018" s="263"/>
      <c r="BD1018" s="264"/>
      <c r="BE1018" s="263"/>
      <c r="BF1018" s="263"/>
      <c r="BG1018" s="263"/>
      <c r="BH1018" s="263"/>
      <c r="BI1018" s="263"/>
      <c r="BJ1018" s="404">
        <f>altaz(J2000_Bas,$O1018,$M1018,DecLat,DecLong,2)</f>
        <v>260.69556286336478</v>
      </c>
      <c r="BK1018" s="378" t="s">
        <v>4045</v>
      </c>
      <c r="BL1018" s="379">
        <f>IF((2*G1018)/60&lt;0.2,0.2,(2*G1018)/60)</f>
        <v>0.2</v>
      </c>
      <c r="BM1018" s="380">
        <f>MOD((50000+AD1018-$B$3+(0/24)),1)</f>
        <v>0.65116036456311122</v>
      </c>
      <c r="BN1018" s="381"/>
      <c r="BO1018" s="382">
        <v>1012</v>
      </c>
    </row>
    <row r="1019" spans="1:67" s="24" customFormat="1" ht="15" customHeight="1" x14ac:dyDescent="0.25">
      <c r="A1019" s="288" t="s">
        <v>1086</v>
      </c>
      <c r="B1019" s="241" t="str">
        <f>HYPERLINK(CONCATENATE($AT$3,BK1019,$AU$3),$AV$3)</f>
        <v>S</v>
      </c>
      <c r="C1019" s="242" t="str">
        <f>HYPERLINK(CONCATENATE($AT$4,BK1019,$AU$4,BL1019),$AV$4)</f>
        <v>A</v>
      </c>
      <c r="D1019" s="243" t="s">
        <v>5638</v>
      </c>
      <c r="E1019" s="244" t="s">
        <v>5625</v>
      </c>
      <c r="F1019" s="290">
        <v>4</v>
      </c>
      <c r="G1019" s="294">
        <v>0.9</v>
      </c>
      <c r="H1019" s="283">
        <v>460</v>
      </c>
      <c r="I1019" s="284">
        <v>125</v>
      </c>
      <c r="J1019" s="246">
        <v>1</v>
      </c>
      <c r="K1019" s="277" t="s">
        <v>3760</v>
      </c>
      <c r="L1019" s="248">
        <v>105636</v>
      </c>
      <c r="M1019" s="249">
        <f>15*(LEFT(TEXT($L1019,"000000"),2)+(MID(TEXT($L1019,"000000"),3,2)/60)+(RIGHT(TEXT($L1019,"000000"),2)/3600))</f>
        <v>164.15</v>
      </c>
      <c r="N1019" s="250">
        <v>671045</v>
      </c>
      <c r="O1019" s="251">
        <f>IF($N1019&gt;0,(LEFT(TEXT($N1019,"000000"),2)+(MID(TEXT($N1019,"000000"),3,2)/60)+(RIGHT(TEXT($N1019,"000000"),2)/3600)),-(MID(TEXT($N1019,"000000"),2,2)+(MID(TEXT($N1019,"000000"),4,2)/60)+(RIGHT(TEXT($N1019,"000000"),2)/3600)))</f>
        <v>67.179166666666674</v>
      </c>
      <c r="P1019" s="252" t="s">
        <v>37</v>
      </c>
      <c r="Q1019" s="253"/>
      <c r="R1019" s="321"/>
      <c r="S1019" s="272" t="s">
        <v>3293</v>
      </c>
      <c r="T1019" s="273">
        <v>14.4</v>
      </c>
      <c r="U1019" s="289">
        <v>22.8</v>
      </c>
      <c r="V1019" s="280"/>
      <c r="W1019" s="244"/>
      <c r="X1019" s="244"/>
      <c r="Y1019" s="362"/>
      <c r="Z1019" s="257">
        <f>altaz(J2000_Bas,$O1019,$M1019,DecLat,DecLong,1)</f>
        <v>17.414035508869453</v>
      </c>
      <c r="AA1019" s="257">
        <f>altaz((J2000_Bas+(2*0.04167)),$O1019,$M1019,DecLat,DecLong,1)</f>
        <v>10.448681919401125</v>
      </c>
      <c r="AB1019" s="257">
        <f>altaz((J2000_Bas+(4*0.04167)),$O1019,$M1019,DecLat,DecLong,1)</f>
        <v>8.1911456250869001</v>
      </c>
      <c r="AC1019" s="257">
        <f>altaz((J2000_Bas+(6*0.04167)),$O1019,$M1019,DecLat,DecLong,1)</f>
        <v>11.134517459320506</v>
      </c>
      <c r="AD1019" s="258">
        <f>1+ transit((J2000_Bas-1),$O1019,$M1019,DecLat,DecLong)/360 + (GMTOffset/24) + (IF(DST="Y", 1, 0)/24)</f>
        <v>1.448872137254708</v>
      </c>
      <c r="AE1019" s="259">
        <f>DATE(2001,9,21)+(M1019/360)*365 - (360*((DecLong/360)- (GMTOffset/24) ))</f>
        <v>37326.429861111108</v>
      </c>
      <c r="AF1019" s="260">
        <f>IF(DecLat&gt;0,IF((90 - (DecLat-O1019))&gt;90, (90 - (O1019-DecLat)), (90 - (DecLat-O1019))),IF((90 + (DecLat-O1019))&gt;90, (90 + (O1019-DecLat)), (90 + (DecLat-O1019))))</f>
        <v>53.820833333333326</v>
      </c>
      <c r="AG1019" s="257">
        <f>angularseperation(MoonRA,MoonDec,$M1019,$O1019)</f>
        <v>112.96155559143902</v>
      </c>
      <c r="AH1019" s="261">
        <f ca="1">MIN(100,IF($O$5&gt;80,0+30*($AG1019/100),IF($O$5&gt;70,0+50*($AG1019/100),IF($O$5&gt;60,5+50*($AG1019/100),IF($O$5&gt;50,10+60*($AG1019/100),IF($O$5&gt;40,15+70*($AG1019/100),IF($O$5&gt;30,20+70*($AG1019/100),IF($O$5&gt;20,40+55*($AG1019/100),(80+(20-$O$5)+30*($AG1019/100))))))))))</f>
        <v>100</v>
      </c>
      <c r="AI1019" s="263"/>
      <c r="AJ1019" s="263"/>
      <c r="AK1019" s="263"/>
      <c r="AL1019" s="263"/>
      <c r="AM1019" s="264"/>
      <c r="AN1019" s="263"/>
      <c r="AO1019" s="263">
        <v>49</v>
      </c>
      <c r="AP1019" s="265"/>
      <c r="AQ1019" s="265"/>
      <c r="AR1019" s="285"/>
      <c r="AS1019" s="263"/>
      <c r="AT1019" s="263"/>
      <c r="AU1019" s="263"/>
      <c r="AV1019" s="264"/>
      <c r="AW1019" s="263"/>
      <c r="AX1019" s="263"/>
      <c r="AY1019" s="263"/>
      <c r="AZ1019" s="263"/>
      <c r="BA1019" s="263"/>
      <c r="BB1019" s="263"/>
      <c r="BC1019" s="263"/>
      <c r="BD1019" s="264"/>
      <c r="BE1019" s="263"/>
      <c r="BF1019" s="263"/>
      <c r="BG1019" s="263"/>
      <c r="BH1019" s="263"/>
      <c r="BI1019" s="263"/>
      <c r="BJ1019" s="404">
        <f>altaz(J2000_Bas,$O1019,$M1019,DecLat,DecLong,2)</f>
        <v>339.80182355463052</v>
      </c>
      <c r="BK1019" s="378" t="s">
        <v>4046</v>
      </c>
      <c r="BL1019" s="379">
        <f>IF((2*G1019)/60&lt;0.2,0.2,(2*G1019)/60)</f>
        <v>0.2</v>
      </c>
      <c r="BM1019" s="380">
        <f>MOD((50000+AD1019-$B$3+(0/24)),1)</f>
        <v>0.66423906695854384</v>
      </c>
      <c r="BN1019" s="381"/>
      <c r="BO1019" s="382">
        <v>1013</v>
      </c>
    </row>
    <row r="1020" spans="1:67" s="24" customFormat="1" ht="15" customHeight="1" x14ac:dyDescent="0.25">
      <c r="A1020" s="288" t="s">
        <v>1087</v>
      </c>
      <c r="B1020" s="241" t="str">
        <f>HYPERLINK(CONCATENATE($AT$3,BK1020,$AU$3),$AV$3)</f>
        <v>S</v>
      </c>
      <c r="C1020" s="242" t="str">
        <f>HYPERLINK(CONCATENATE($AT$4,BK1020,$AU$4,BL1020),$AV$4)</f>
        <v>A</v>
      </c>
      <c r="D1020" s="243" t="s">
        <v>5638</v>
      </c>
      <c r="E1020" s="244" t="s">
        <v>5625</v>
      </c>
      <c r="F1020" s="290">
        <v>5</v>
      </c>
      <c r="G1020" s="294">
        <v>0.7</v>
      </c>
      <c r="H1020" s="283">
        <v>1950</v>
      </c>
      <c r="I1020" s="284">
        <v>420</v>
      </c>
      <c r="J1020" s="246">
        <v>1</v>
      </c>
      <c r="K1020" s="277" t="s">
        <v>8413</v>
      </c>
      <c r="L1020" s="248">
        <v>111706</v>
      </c>
      <c r="M1020" s="249">
        <f>15*(LEFT(TEXT($L1020,"000000"),2)+(MID(TEXT($L1020,"000000"),3,2)/60)+(RIGHT(TEXT($L1020,"000000"),2)/3600))</f>
        <v>169.27500000000001</v>
      </c>
      <c r="N1020" s="250">
        <v>545507</v>
      </c>
      <c r="O1020" s="251">
        <f>IF($N1020&gt;0,(LEFT(TEXT($N1020,"000000"),2)+(MID(TEXT($N1020,"000000"),3,2)/60)+(RIGHT(TEXT($N1020,"000000"),2)/3600)),-(MID(TEXT($N1020,"000000"),2,2)+(MID(TEXT($N1020,"000000"),4,2)/60)+(RIGHT(TEXT($N1020,"000000"),2)/3600)))</f>
        <v>54.918611111111112</v>
      </c>
      <c r="P1020" s="252" t="s">
        <v>37</v>
      </c>
      <c r="Q1020" s="253"/>
      <c r="R1020" s="321"/>
      <c r="S1020" s="272" t="s">
        <v>3293</v>
      </c>
      <c r="T1020" s="273">
        <v>14.4</v>
      </c>
      <c r="U1020" s="289">
        <v>22.3</v>
      </c>
      <c r="V1020" s="280"/>
      <c r="W1020" s="244"/>
      <c r="X1020" s="244"/>
      <c r="Y1020" s="362"/>
      <c r="Z1020" s="257">
        <f>altaz(J2000_Bas,$O1020,$M1020,DecLat,DecLong,1)</f>
        <v>11.531473255534383</v>
      </c>
      <c r="AA1020" s="257">
        <f>altaz((J2000_Bas+(2*0.04167)),$O1020,$M1020,DecLat,DecLong,1)</f>
        <v>0.52638231257268919</v>
      </c>
      <c r="AB1020" s="257">
        <f>altaz((J2000_Bas+(4*0.04167)),$O1020,$M1020,DecLat,DecLong,1)</f>
        <v>-4.0398922579204477</v>
      </c>
      <c r="AC1020" s="257">
        <f>altaz((J2000_Bas+(6*0.04167)),$O1020,$M1020,DecLat,DecLong,1)</f>
        <v>-1.005660018076274</v>
      </c>
      <c r="AD1020" s="258">
        <f>1+ transit((J2000_Bas-1),$O1020,$M1020,DecLat,DecLong)/360 + (GMTOffset/24) + (IF(DST="Y", 1, 0)/24)</f>
        <v>1.4631082469422079</v>
      </c>
      <c r="AE1020" s="259">
        <f>DATE(2001,9,21)+(M1020/360)*365 - (360*((DecLong/360)- (GMTOffset/24) ))</f>
        <v>37331.62604166667</v>
      </c>
      <c r="AF1020" s="260">
        <f>IF(DecLat&gt;0,IF((90 - (DecLat-O1020))&gt;90, (90 - (O1020-DecLat)), (90 - (DecLat-O1020))),IF((90 + (DecLat-O1020))&gt;90, (90 + (O1020-DecLat)), (90 + (DecLat-O1020))))</f>
        <v>66.081388888888881</v>
      </c>
      <c r="AG1020" s="257">
        <f>angularseperation(MoonRA,MoonDec,$M1020,$O1020)</f>
        <v>106.46548415898363</v>
      </c>
      <c r="AH1020" s="261">
        <f ca="1">MIN(100,IF($O$5&gt;80,0+30*($AG1020/100),IF($O$5&gt;70,0+50*($AG1020/100),IF($O$5&gt;60,5+50*($AG1020/100),IF($O$5&gt;50,10+60*($AG1020/100),IF($O$5&gt;40,15+70*($AG1020/100),IF($O$5&gt;30,20+70*($AG1020/100),IF($O$5&gt;20,40+55*($AG1020/100),(80+(20-$O$5)+30*($AG1020/100))))))))))</f>
        <v>100</v>
      </c>
      <c r="AI1020" s="263"/>
      <c r="AJ1020" s="263"/>
      <c r="AK1020" s="263"/>
      <c r="AL1020" s="263"/>
      <c r="AM1020" s="264"/>
      <c r="AN1020" s="263"/>
      <c r="AO1020" s="263">
        <v>50</v>
      </c>
      <c r="AP1020" s="265"/>
      <c r="AQ1020" s="265"/>
      <c r="AR1020" s="285"/>
      <c r="AS1020" s="263"/>
      <c r="AT1020" s="263"/>
      <c r="AU1020" s="263"/>
      <c r="AV1020" s="264"/>
      <c r="AW1020" s="263"/>
      <c r="AX1020" s="263"/>
      <c r="AY1020" s="263"/>
      <c r="AZ1020" s="263"/>
      <c r="BA1020" s="263"/>
      <c r="BB1020" s="263"/>
      <c r="BC1020" s="263"/>
      <c r="BD1020" s="264"/>
      <c r="BE1020" s="263"/>
      <c r="BF1020" s="263"/>
      <c r="BG1020" s="263"/>
      <c r="BH1020" s="263"/>
      <c r="BI1020" s="263"/>
      <c r="BJ1020" s="404">
        <f>altaz(J2000_Bas,$O1020,$M1020,DecLat,DecLong,2)</f>
        <v>328.40535888025227</v>
      </c>
      <c r="BK1020" s="378" t="s">
        <v>4047</v>
      </c>
      <c r="BL1020" s="379">
        <f>IF((2*G1020)/60&lt;0.2,0.2,(2*G1020)/60)</f>
        <v>0.2</v>
      </c>
      <c r="BM1020" s="380">
        <f>MOD((50000+AD1020-$B$3+(0/24)),1)</f>
        <v>0.67847517664631596</v>
      </c>
      <c r="BN1020" s="381" t="s">
        <v>9088</v>
      </c>
      <c r="BO1020" s="382">
        <v>1014</v>
      </c>
    </row>
    <row r="1021" spans="1:67" s="24" customFormat="1" ht="15" customHeight="1" x14ac:dyDescent="0.25">
      <c r="A1021" s="288" t="s">
        <v>1088</v>
      </c>
      <c r="B1021" s="241" t="str">
        <f>HYPERLINK(CONCATENATE($AT$3,BK1021,$AU$3),$AV$3)</f>
        <v>S</v>
      </c>
      <c r="C1021" s="242" t="str">
        <f>HYPERLINK(CONCATENATE($AT$4,BK1021,$AU$4,BL1021),$AV$4)</f>
        <v>A</v>
      </c>
      <c r="D1021" s="243" t="s">
        <v>5638</v>
      </c>
      <c r="E1021" s="244" t="s">
        <v>5625</v>
      </c>
      <c r="F1021" s="293">
        <v>6</v>
      </c>
      <c r="G1021" s="291">
        <v>4.5</v>
      </c>
      <c r="H1021" s="283">
        <v>360</v>
      </c>
      <c r="I1021" s="284">
        <v>480</v>
      </c>
      <c r="J1021" s="246">
        <v>2</v>
      </c>
      <c r="K1021" s="277" t="s">
        <v>3761</v>
      </c>
      <c r="L1021" s="248">
        <v>112221</v>
      </c>
      <c r="M1021" s="249">
        <f>15*(LEFT(TEXT($L1021,"000000"),2)+(MID(TEXT($L1021,"000000"),3,2)/60)+(RIGHT(TEXT($L1021,"000000"),2)/3600))</f>
        <v>170.58750000000001</v>
      </c>
      <c r="N1021" s="250">
        <v>241735</v>
      </c>
      <c r="O1021" s="251">
        <f>IF($N1021&gt;0,(LEFT(TEXT($N1021,"000000"),2)+(MID(TEXT($N1021,"000000"),3,2)/60)+(RIGHT(TEXT($N1021,"000000"),2)/3600)),-(MID(TEXT($N1021,"000000"),2,2)+(MID(TEXT($N1021,"000000"),4,2)/60)+(RIGHT(TEXT($N1021,"000000"),2)/3600)))</f>
        <v>24.293055555555558</v>
      </c>
      <c r="P1021" s="252" t="s">
        <v>183</v>
      </c>
      <c r="Q1021" s="253"/>
      <c r="R1021" s="321" t="s">
        <v>3429</v>
      </c>
      <c r="S1021" s="272" t="s">
        <v>3293</v>
      </c>
      <c r="T1021" s="273">
        <v>11.5</v>
      </c>
      <c r="U1021" s="289">
        <v>23.4</v>
      </c>
      <c r="V1021" s="280"/>
      <c r="W1021" s="244"/>
      <c r="X1021" s="244"/>
      <c r="Y1021" s="362"/>
      <c r="Z1021" s="257">
        <f>altaz(J2000_Bas,$O1021,$M1021,DecLat,DecLong,1)</f>
        <v>-7.0889948372830283</v>
      </c>
      <c r="AA1021" s="257">
        <f>altaz((J2000_Bas+(2*0.04167)),$O1021,$M1021,DecLat,DecLong,1)</f>
        <v>-25.592778025670718</v>
      </c>
      <c r="AB1021" s="257">
        <f>altaz((J2000_Bas+(4*0.04167)),$O1021,$M1021,DecLat,DecLong,1)</f>
        <v>-34.545466322026648</v>
      </c>
      <c r="AC1021" s="257">
        <f>altaz((J2000_Bas+(6*0.04167)),$O1021,$M1021,DecLat,DecLong,1)</f>
        <v>-29.490448367882703</v>
      </c>
      <c r="AD1021" s="258">
        <f>1+ transit((J2000_Bas-1),$O1021,$M1021,DecLat,DecLong)/360 + (GMTOffset/24) + (IF(DST="Y", 1, 0)/24)</f>
        <v>1.466754079910958</v>
      </c>
      <c r="AE1021" s="259">
        <f>DATE(2001,9,21)+(M1021/360)*365 - (360*((DecLong/360)- (GMTOffset/24) ))</f>
        <v>37332.956770833334</v>
      </c>
      <c r="AF1021" s="260">
        <f>IF(DecLat&gt;0,IF((90 - (DecLat-O1021))&gt;90, (90 - (O1021-DecLat)), (90 - (DecLat-O1021))),IF((90 + (DecLat-O1021))&gt;90, (90 + (O1021-DecLat)), (90 + (DecLat-O1021))))</f>
        <v>83.293055555555554</v>
      </c>
      <c r="AG1021" s="257">
        <f>angularseperation(MoonRA,MoonDec,$M1021,$O1021)</f>
        <v>91.585425599097491</v>
      </c>
      <c r="AH1021" s="261">
        <f ca="1">MIN(100,IF($O$5&gt;80,0+30*($AG1021/100),IF($O$5&gt;70,0+50*($AG1021/100),IF($O$5&gt;60,5+50*($AG1021/100),IF($O$5&gt;50,10+60*($AG1021/100),IF($O$5&gt;40,15+70*($AG1021/100),IF($O$5&gt;30,20+70*($AG1021/100),IF($O$5&gt;20,40+55*($AG1021/100),(80+(20-$O$5)+30*($AG1021/100))))))))))</f>
        <v>100</v>
      </c>
      <c r="AI1021" s="263">
        <v>3651</v>
      </c>
      <c r="AJ1021" s="263"/>
      <c r="AK1021" s="263"/>
      <c r="AL1021" s="263"/>
      <c r="AM1021" s="264"/>
      <c r="AN1021" s="263"/>
      <c r="AO1021" s="263">
        <v>51</v>
      </c>
      <c r="AP1021" s="265"/>
      <c r="AQ1021" s="265">
        <v>6388</v>
      </c>
      <c r="AR1021" s="285">
        <v>34898</v>
      </c>
      <c r="AS1021" s="263"/>
      <c r="AT1021" s="263"/>
      <c r="AU1021" s="263"/>
      <c r="AV1021" s="264"/>
      <c r="AW1021" s="263"/>
      <c r="AX1021" s="263"/>
      <c r="AY1021" s="263"/>
      <c r="AZ1021" s="263"/>
      <c r="BA1021" s="263"/>
      <c r="BB1021" s="263"/>
      <c r="BC1021" s="263"/>
      <c r="BD1021" s="264"/>
      <c r="BE1021" s="263"/>
      <c r="BF1021" s="263"/>
      <c r="BG1021" s="263"/>
      <c r="BH1021" s="263"/>
      <c r="BI1021" s="263"/>
      <c r="BJ1021" s="404">
        <f>altaz(J2000_Bas,$O1021,$M1021,DecLat,DecLong,2)</f>
        <v>303.94374713226773</v>
      </c>
      <c r="BK1021" s="378" t="s">
        <v>4048</v>
      </c>
      <c r="BL1021" s="379">
        <f>IF((2*G1021)/60&lt;0.2,0.2,(2*G1021)/60)</f>
        <v>0.2</v>
      </c>
      <c r="BM1021" s="380">
        <f>MOD((50000+AD1021-$B$3+(0/24)),1)</f>
        <v>0.68212100961682154</v>
      </c>
      <c r="BN1021" s="381"/>
      <c r="BO1021" s="382">
        <v>1015</v>
      </c>
    </row>
    <row r="1022" spans="1:67" s="24" customFormat="1" ht="15" customHeight="1" x14ac:dyDescent="0.25">
      <c r="A1022" s="288" t="s">
        <v>1089</v>
      </c>
      <c r="B1022" s="241" t="str">
        <f>HYPERLINK(CONCATENATE($AT$3,BK1022,$AU$3),$AV$3)</f>
        <v>S</v>
      </c>
      <c r="C1022" s="242" t="str">
        <f>HYPERLINK(CONCATENATE($AT$4,BK1022,$AU$4,BL1022),$AV$4)</f>
        <v>A</v>
      </c>
      <c r="D1022" s="243" t="s">
        <v>5638</v>
      </c>
      <c r="E1022" s="244" t="s">
        <v>5625</v>
      </c>
      <c r="F1022" s="290">
        <v>4</v>
      </c>
      <c r="G1022" s="291">
        <v>3.2</v>
      </c>
      <c r="H1022" s="283">
        <v>600</v>
      </c>
      <c r="I1022" s="284">
        <v>600</v>
      </c>
      <c r="J1022" s="246">
        <v>2</v>
      </c>
      <c r="K1022" s="247" t="s">
        <v>7627</v>
      </c>
      <c r="L1022" s="248">
        <v>112619</v>
      </c>
      <c r="M1022" s="249">
        <f>15*(LEFT(TEXT($L1022,"000000"),2)+(MID(TEXT($L1022,"000000"),3,2)/60)+(RIGHT(TEXT($L1022,"000000"),2)/3600))</f>
        <v>171.57916666666668</v>
      </c>
      <c r="N1022" s="250">
        <v>210521</v>
      </c>
      <c r="O1022" s="251">
        <f>IF($N1022&gt;0,(LEFT(TEXT($N1022,"000000"),2)+(MID(TEXT($N1022,"000000"),3,2)/60)+(RIGHT(TEXT($N1022,"000000"),2)/3600)),-(MID(TEXT($N1022,"000000"),2,2)+(MID(TEXT($N1022,"000000"),4,2)/60)+(RIGHT(TEXT($N1022,"000000"),2)/3600)))</f>
        <v>21.089166666666664</v>
      </c>
      <c r="P1022" s="252" t="s">
        <v>183</v>
      </c>
      <c r="Q1022" s="253"/>
      <c r="R1022" s="321"/>
      <c r="S1022" s="272" t="s">
        <v>3293</v>
      </c>
      <c r="T1022" s="273">
        <v>12.8</v>
      </c>
      <c r="U1022" s="289">
        <v>24</v>
      </c>
      <c r="V1022" s="280"/>
      <c r="W1022" s="244"/>
      <c r="X1022" s="244"/>
      <c r="Y1022" s="362"/>
      <c r="Z1022" s="257">
        <f>altaz(J2000_Bas,$O1022,$M1022,DecLat,DecLong,1)</f>
        <v>-8.3581012537668933</v>
      </c>
      <c r="AA1022" s="257">
        <f>altaz((J2000_Bas+(2*0.04167)),$O1022,$M1022,DecLat,DecLong,1)</f>
        <v>-27.764411547853925</v>
      </c>
      <c r="AB1022" s="257">
        <f>altaz((J2000_Bas+(4*0.04167)),$O1022,$M1022,DecLat,DecLong,1)</f>
        <v>-37.652816013900399</v>
      </c>
      <c r="AC1022" s="257">
        <f>altaz((J2000_Bas+(6*0.04167)),$O1022,$M1022,DecLat,DecLong,1)</f>
        <v>-32.778779157321615</v>
      </c>
      <c r="AD1022" s="258">
        <f>1+ transit((J2000_Bas-1),$O1022,$M1022,DecLat,DecLong)/360 + (GMTOffset/24) + (IF(DST="Y", 1, 0)/24)</f>
        <v>1.4695087092651247</v>
      </c>
      <c r="AE1022" s="259">
        <f>DATE(2001,9,21)+(M1022/360)*365 - (360*((DecLong/360)- (GMTOffset/24) ))</f>
        <v>37333.962210648147</v>
      </c>
      <c r="AF1022" s="260">
        <f>IF(DecLat&gt;0,IF((90 - (DecLat-O1022))&gt;90, (90 - (O1022-DecLat)), (90 - (DecLat-O1022))),IF((90 + (DecLat-O1022))&gt;90, (90 + (O1022-DecLat)), (90 + (DecLat-O1022))))</f>
        <v>80.089166666666671</v>
      </c>
      <c r="AG1022" s="257">
        <f>angularseperation(MoonRA,MoonDec,$M1022,$O1022)</f>
        <v>89.216865751940787</v>
      </c>
      <c r="AH1022" s="261">
        <f ca="1">MIN(100,IF($O$5&gt;80,0+30*($AG1022/100),IF($O$5&gt;70,0+50*($AG1022/100),IF($O$5&gt;60,5+50*($AG1022/100),IF($O$5&gt;50,10+60*($AG1022/100),IF($O$5&gt;40,15+70*($AG1022/100),IF($O$5&gt;30,20+70*($AG1022/100),IF($O$5&gt;20,40+55*($AG1022/100),(80+(20-$O$5)+30*($AG1022/100))))))))))</f>
        <v>100</v>
      </c>
      <c r="AI1022" s="263"/>
      <c r="AJ1022" s="263"/>
      <c r="AK1022" s="263"/>
      <c r="AL1022" s="263"/>
      <c r="AM1022" s="264"/>
      <c r="AN1022" s="263"/>
      <c r="AO1022" s="263">
        <v>52</v>
      </c>
      <c r="AP1022" s="265"/>
      <c r="AQ1022" s="265"/>
      <c r="AR1022" s="285"/>
      <c r="AS1022" s="263"/>
      <c r="AT1022" s="263"/>
      <c r="AU1022" s="263"/>
      <c r="AV1022" s="264"/>
      <c r="AW1022" s="263"/>
      <c r="AX1022" s="263"/>
      <c r="AY1022" s="263"/>
      <c r="AZ1022" s="263"/>
      <c r="BA1022" s="263"/>
      <c r="BB1022" s="263"/>
      <c r="BC1022" s="263"/>
      <c r="BD1022" s="264"/>
      <c r="BE1022" s="263"/>
      <c r="BF1022" s="263"/>
      <c r="BG1022" s="263"/>
      <c r="BH1022" s="263"/>
      <c r="BI1022" s="263"/>
      <c r="BJ1022" s="404">
        <f>altaz(J2000_Bas,$O1022,$M1022,DecLat,DecLong,2)</f>
        <v>300.83472276871214</v>
      </c>
      <c r="BK1022" s="378" t="s">
        <v>4049</v>
      </c>
      <c r="BL1022" s="379">
        <f>IF((2*G1022)/60&lt;0.2,0.2,(2*G1022)/60)</f>
        <v>0.2</v>
      </c>
      <c r="BM1022" s="380">
        <f>MOD((50000+AD1022-$B$3+(0/24)),1)</f>
        <v>0.68487563896633219</v>
      </c>
      <c r="BN1022" s="381"/>
      <c r="BO1022" s="382">
        <v>1016</v>
      </c>
    </row>
    <row r="1023" spans="1:67" s="24" customFormat="1" ht="15" customHeight="1" x14ac:dyDescent="0.25">
      <c r="A1023" s="288" t="s">
        <v>1090</v>
      </c>
      <c r="B1023" s="241" t="str">
        <f>HYPERLINK(CONCATENATE($AT$3,BK1023,$AU$3),$AV$3)</f>
        <v>S</v>
      </c>
      <c r="C1023" s="242" t="str">
        <f>HYPERLINK(CONCATENATE($AT$4,BK1023,$AU$4,BL1023),$AV$4)</f>
        <v>A</v>
      </c>
      <c r="D1023" s="243" t="s">
        <v>5638</v>
      </c>
      <c r="E1023" s="244" t="s">
        <v>5625</v>
      </c>
      <c r="F1023" s="290">
        <v>4</v>
      </c>
      <c r="G1023" s="282">
        <v>13</v>
      </c>
      <c r="H1023" s="283">
        <v>290</v>
      </c>
      <c r="I1023" s="284">
        <v>1100</v>
      </c>
      <c r="J1023" s="246">
        <v>2</v>
      </c>
      <c r="K1023" s="247" t="s">
        <v>4887</v>
      </c>
      <c r="L1023" s="248">
        <v>112858</v>
      </c>
      <c r="M1023" s="249">
        <f>15*(LEFT(TEXT($L1023,"000000"),2)+(MID(TEXT($L1023,"000000"),3,2)/60)+(RIGHT(TEXT($L1023,"000000"),2)/3600))</f>
        <v>172.24166666666667</v>
      </c>
      <c r="N1023" s="250">
        <v>204635</v>
      </c>
      <c r="O1023" s="251">
        <f>IF($N1023&gt;0,(LEFT(TEXT($N1023,"000000"),2)+(MID(TEXT($N1023,"000000"),3,2)/60)+(RIGHT(TEXT($N1023,"000000"),2)/3600)),-(MID(TEXT($N1023,"000000"),2,2)+(MID(TEXT($N1023,"000000"),4,2)/60)+(RIGHT(TEXT($N1023,"000000"),2)/3600)))</f>
        <v>20.776388888888889</v>
      </c>
      <c r="P1023" s="252" t="s">
        <v>183</v>
      </c>
      <c r="Q1023" s="253"/>
      <c r="R1023" s="321" t="s">
        <v>3430</v>
      </c>
      <c r="S1023" s="272" t="s">
        <v>3293</v>
      </c>
      <c r="T1023" s="273">
        <v>11.6</v>
      </c>
      <c r="U1023" s="289">
        <v>25.8</v>
      </c>
      <c r="V1023" s="280"/>
      <c r="W1023" s="244"/>
      <c r="X1023" s="244"/>
      <c r="Y1023" s="362"/>
      <c r="Z1023" s="257">
        <f>altaz(J2000_Bas,$O1023,$M1023,DecLat,DecLong,1)</f>
        <v>-8.0604239796270836</v>
      </c>
      <c r="AA1023" s="257">
        <f>altaz((J2000_Bas+(2*0.04167)),$O1023,$M1023,DecLat,DecLong,1)</f>
        <v>-27.671437468956931</v>
      </c>
      <c r="AB1023" s="257">
        <f>altaz((J2000_Bas+(4*0.04167)),$O1023,$M1023,DecLat,DecLong,1)</f>
        <v>-37.896646504367425</v>
      </c>
      <c r="AC1023" s="257">
        <f>altaz((J2000_Bas+(6*0.04167)),$O1023,$M1023,DecLat,DecLong,1)</f>
        <v>-33.323262126292917</v>
      </c>
      <c r="AD1023" s="258">
        <f>1+ transit((J2000_Bas-1),$O1023,$M1023,DecLat,DecLong)/360 + (GMTOffset/24) + (IF(DST="Y", 1, 0)/24)</f>
        <v>1.4713489868588747</v>
      </c>
      <c r="AE1023" s="259">
        <f>DATE(2001,9,21)+(M1023/360)*365 - (360*((DecLong/360)- (GMTOffset/24) ))</f>
        <v>37334.633912037039</v>
      </c>
      <c r="AF1023" s="260">
        <f>IF(DecLat&gt;0,IF((90 - (DecLat-O1023))&gt;90, (90 - (O1023-DecLat)), (90 - (DecLat-O1023))),IF((90 + (DecLat-O1023))&gt;90, (90 + (O1023-DecLat)), (90 + (DecLat-O1023))))</f>
        <v>79.776388888888889</v>
      </c>
      <c r="AG1023" s="257">
        <f>angularseperation(MoonRA,MoonDec,$M1023,$O1023)</f>
        <v>88.52439687033538</v>
      </c>
      <c r="AH1023" s="261">
        <f ca="1">MIN(100,IF($O$5&gt;80,0+30*($AG1023/100),IF($O$5&gt;70,0+50*($AG1023/100),IF($O$5&gt;60,5+50*($AG1023/100),IF($O$5&gt;50,10+60*($AG1023/100),IF($O$5&gt;40,15+70*($AG1023/100),IF($O$5&gt;30,20+70*($AG1023/100),IF($O$5&gt;20,40+55*($AG1023/100),(80+(20-$O$5)+30*($AG1023/100))))))))))</f>
        <v>100</v>
      </c>
      <c r="AI1023" s="263">
        <v>3697</v>
      </c>
      <c r="AJ1023" s="263"/>
      <c r="AK1023" s="263"/>
      <c r="AL1023" s="263"/>
      <c r="AM1023" s="264"/>
      <c r="AN1023" s="263"/>
      <c r="AO1023" s="263">
        <v>53</v>
      </c>
      <c r="AP1023" s="265"/>
      <c r="AQ1023" s="265">
        <v>6479</v>
      </c>
      <c r="AR1023" s="285">
        <v>35347</v>
      </c>
      <c r="AS1023" s="263"/>
      <c r="AT1023" s="263"/>
      <c r="AU1023" s="263"/>
      <c r="AV1023" s="264"/>
      <c r="AW1023" s="263"/>
      <c r="AX1023" s="263"/>
      <c r="AY1023" s="263"/>
      <c r="AZ1023" s="263"/>
      <c r="BA1023" s="263"/>
      <c r="BB1023" s="263"/>
      <c r="BC1023" s="263"/>
      <c r="BD1023" s="264"/>
      <c r="BE1023" s="263"/>
      <c r="BF1023" s="263"/>
      <c r="BG1023" s="263"/>
      <c r="BH1023" s="263"/>
      <c r="BI1023" s="263"/>
      <c r="BJ1023" s="404">
        <f>altaz(J2000_Bas,$O1023,$M1023,DecLat,DecLong,2)</f>
        <v>300.20206111333567</v>
      </c>
      <c r="BK1023" s="378" t="s">
        <v>4050</v>
      </c>
      <c r="BL1023" s="379">
        <f>IF((2*G1023)/60&lt;0.2,0.2,(2*G1023)/60)</f>
        <v>0.43333333333333335</v>
      </c>
      <c r="BM1023" s="380">
        <f>MOD((50000+AD1023-$B$3+(0/24)),1)</f>
        <v>0.68671591656311648</v>
      </c>
      <c r="BN1023" s="381"/>
      <c r="BO1023" s="382">
        <v>1017</v>
      </c>
    </row>
    <row r="1024" spans="1:67" s="24" customFormat="1" ht="15" customHeight="1" x14ac:dyDescent="0.25">
      <c r="A1024" s="288" t="s">
        <v>1091</v>
      </c>
      <c r="B1024" s="241" t="str">
        <f>HYPERLINK(CONCATENATE($AT$3,BK1024,$AU$3),$AV$3)</f>
        <v>S</v>
      </c>
      <c r="C1024" s="242" t="str">
        <f>HYPERLINK(CONCATENATE($AT$4,BK1024,$AU$4,BL1024),$AV$4)</f>
        <v>A</v>
      </c>
      <c r="D1024" s="243" t="s">
        <v>5638</v>
      </c>
      <c r="E1024" s="244" t="s">
        <v>5625</v>
      </c>
      <c r="F1024" s="290">
        <v>4</v>
      </c>
      <c r="G1024" s="294">
        <v>0.7</v>
      </c>
      <c r="H1024" s="283">
        <v>70</v>
      </c>
      <c r="I1024" s="284">
        <v>15</v>
      </c>
      <c r="J1024" s="246">
        <v>2</v>
      </c>
      <c r="K1024" s="277" t="s">
        <v>8427</v>
      </c>
      <c r="L1024" s="248">
        <v>112915</v>
      </c>
      <c r="M1024" s="249">
        <f>15*(LEFT(TEXT($L1024,"000000"),2)+(MID(TEXT($L1024,"000000"),3,2)/60)+(RIGHT(TEXT($L1024,"000000"),2)/3600))</f>
        <v>172.31249999999997</v>
      </c>
      <c r="N1024" s="250">
        <v>203443</v>
      </c>
      <c r="O1024" s="251">
        <f>IF($N1024&gt;0,(LEFT(TEXT($N1024,"000000"),2)+(MID(TEXT($N1024,"000000"),3,2)/60)+(RIGHT(TEXT($N1024,"000000"),2)/3600)),-(MID(TEXT($N1024,"000000"),2,2)+(MID(TEXT($N1024,"000000"),4,2)/60)+(RIGHT(TEXT($N1024,"000000"),2)/3600)))</f>
        <v>20.578611111111112</v>
      </c>
      <c r="P1024" s="252" t="s">
        <v>183</v>
      </c>
      <c r="Q1024" s="253"/>
      <c r="R1024" s="321"/>
      <c r="S1024" s="272" t="s">
        <v>3293</v>
      </c>
      <c r="T1024" s="273">
        <v>14.3</v>
      </c>
      <c r="U1024" s="289">
        <v>22.2</v>
      </c>
      <c r="V1024" s="280"/>
      <c r="W1024" s="244"/>
      <c r="X1024" s="244"/>
      <c r="Y1024" s="362"/>
      <c r="Z1024" s="257">
        <f>altaz(J2000_Bas,$O1024,$M1024,DecLat,DecLong,1)</f>
        <v>-8.1284852870415403</v>
      </c>
      <c r="AA1024" s="257">
        <f>altaz((J2000_Bas+(2*0.04167)),$O1024,$M1024,DecLat,DecLong,1)</f>
        <v>-27.795796192360807</v>
      </c>
      <c r="AB1024" s="257">
        <f>altaz((J2000_Bas+(4*0.04167)),$O1024,$M1024,DecLat,DecLong,1)</f>
        <v>-38.085430532414591</v>
      </c>
      <c r="AC1024" s="257">
        <f>altaz((J2000_Bas+(6*0.04167)),$O1024,$M1024,DecLat,DecLong,1)</f>
        <v>-33.530648598849062</v>
      </c>
      <c r="AD1024" s="258">
        <f>1+ transit((J2000_Bas-1),$O1024,$M1024,DecLat,DecLong)/360 + (GMTOffset/24) + (IF(DST="Y", 1, 0)/24)</f>
        <v>1.4715457460984578</v>
      </c>
      <c r="AE1024" s="259">
        <f>DATE(2001,9,21)+(M1024/360)*365 - (360*((DecLong/360)- (GMTOffset/24) ))</f>
        <v>37334.705729166664</v>
      </c>
      <c r="AF1024" s="260">
        <f>IF(DecLat&gt;0,IF((90 - (DecLat-O1024))&gt;90, (90 - (O1024-DecLat)), (90 - (DecLat-O1024))),IF((90 + (DecLat-O1024))&gt;90, (90 + (O1024-DecLat)), (90 + (DecLat-O1024))))</f>
        <v>79.578611111111115</v>
      </c>
      <c r="AG1024" s="257">
        <f>angularseperation(MoonRA,MoonDec,$M1024,$O1024)</f>
        <v>88.368585477557815</v>
      </c>
      <c r="AH1024" s="261">
        <f ca="1">MIN(100,IF($O$5&gt;80,0+30*($AG1024/100),IF($O$5&gt;70,0+50*($AG1024/100),IF($O$5&gt;60,5+50*($AG1024/100),IF($O$5&gt;50,10+60*($AG1024/100),IF($O$5&gt;40,15+70*($AG1024/100),IF($O$5&gt;30,20+70*($AG1024/100),IF($O$5&gt;20,40+55*($AG1024/100),(80+(20-$O$5)+30*($AG1024/100))))))))))</f>
        <v>100</v>
      </c>
      <c r="AI1024" s="263"/>
      <c r="AJ1024" s="263"/>
      <c r="AK1024" s="263"/>
      <c r="AL1024" s="263"/>
      <c r="AM1024" s="264"/>
      <c r="AN1024" s="263"/>
      <c r="AO1024" s="263">
        <v>54</v>
      </c>
      <c r="AP1024" s="265"/>
      <c r="AQ1024" s="265">
        <v>6487</v>
      </c>
      <c r="AR1024" s="285"/>
      <c r="AS1024" s="263"/>
      <c r="AT1024" s="263"/>
      <c r="AU1024" s="263"/>
      <c r="AV1024" s="264"/>
      <c r="AW1024" s="263"/>
      <c r="AX1024" s="263"/>
      <c r="AY1024" s="263"/>
      <c r="AZ1024" s="263"/>
      <c r="BA1024" s="263"/>
      <c r="BB1024" s="263"/>
      <c r="BC1024" s="263"/>
      <c r="BD1024" s="264"/>
      <c r="BE1024" s="263"/>
      <c r="BF1024" s="263"/>
      <c r="BG1024" s="263"/>
      <c r="BH1024" s="263"/>
      <c r="BI1024" s="263"/>
      <c r="BJ1024" s="404">
        <f>altaz(J2000_Bas,$O1024,$M1024,DecLat,DecLong,2)</f>
        <v>300.00290835554569</v>
      </c>
      <c r="BK1024" s="378" t="s">
        <v>4051</v>
      </c>
      <c r="BL1024" s="379">
        <f>IF((2*G1024)/60&lt;0.2,0.2,(2*G1024)/60)</f>
        <v>0.2</v>
      </c>
      <c r="BM1024" s="380">
        <f>MOD((50000+AD1024-$B$3+(0/24)),1)</f>
        <v>0.68691267580288695</v>
      </c>
      <c r="BN1024" s="381"/>
      <c r="BO1024" s="382">
        <v>1018</v>
      </c>
    </row>
    <row r="1025" spans="1:67" s="24" customFormat="1" ht="15" customHeight="1" x14ac:dyDescent="0.25">
      <c r="A1025" s="288" t="s">
        <v>1092</v>
      </c>
      <c r="B1025" s="241" t="str">
        <f>HYPERLINK(CONCATENATE($AT$3,BK1025,$AU$3),$AV$3)</f>
        <v>S</v>
      </c>
      <c r="C1025" s="242" t="str">
        <f>HYPERLINK(CONCATENATE($AT$4,BK1025,$AU$4,BL1025),$AV$4)</f>
        <v>A</v>
      </c>
      <c r="D1025" s="243" t="s">
        <v>5638</v>
      </c>
      <c r="E1025" s="244" t="s">
        <v>5625</v>
      </c>
      <c r="F1025" s="290">
        <v>5</v>
      </c>
      <c r="G1025" s="291">
        <v>8.8000000000000007</v>
      </c>
      <c r="H1025" s="283">
        <v>290</v>
      </c>
      <c r="I1025" s="284">
        <v>800</v>
      </c>
      <c r="J1025" s="246">
        <v>2</v>
      </c>
      <c r="K1025" s="277" t="s">
        <v>8414</v>
      </c>
      <c r="L1025" s="248">
        <v>114212</v>
      </c>
      <c r="M1025" s="249">
        <f>15*(LEFT(TEXT($L1025,"000000"),2)+(MID(TEXT($L1025,"000000"),3,2)/60)+(RIGHT(TEXT($L1025,"000000"),2)/3600))</f>
        <v>175.55</v>
      </c>
      <c r="N1025" s="250">
        <v>101901</v>
      </c>
      <c r="O1025" s="251">
        <f>IF($N1025&gt;0,(LEFT(TEXT($N1025,"000000"),2)+(MID(TEXT($N1025,"000000"),3,2)/60)+(RIGHT(TEXT($N1025,"000000"),2)/3600)),-(MID(TEXT($N1025,"000000"),2,2)+(MID(TEXT($N1025,"000000"),4,2)/60)+(RIGHT(TEXT($N1025,"000000"),2)/3600)))</f>
        <v>10.316944444444443</v>
      </c>
      <c r="P1025" s="252" t="s">
        <v>183</v>
      </c>
      <c r="Q1025" s="253"/>
      <c r="R1025" s="321" t="s">
        <v>3431</v>
      </c>
      <c r="S1025" s="272" t="s">
        <v>3293</v>
      </c>
      <c r="T1025" s="273">
        <v>12.5</v>
      </c>
      <c r="U1025" s="289">
        <v>25.9</v>
      </c>
      <c r="V1025" s="280"/>
      <c r="W1025" s="244"/>
      <c r="X1025" s="244"/>
      <c r="Y1025" s="362"/>
      <c r="Z1025" s="257">
        <f>altaz(J2000_Bas,$O1025,$M1025,DecLat,DecLong,1)</f>
        <v>-11.679675718522077</v>
      </c>
      <c r="AA1025" s="257">
        <f>altaz((J2000_Bas+(2*0.04167)),$O1025,$M1025,DecLat,DecLong,1)</f>
        <v>-33.974632470506705</v>
      </c>
      <c r="AB1025" s="257">
        <f>altaz((J2000_Bas+(4*0.04167)),$O1025,$M1025,DecLat,DecLong,1)</f>
        <v>-47.714146516445247</v>
      </c>
      <c r="AC1025" s="257">
        <f>altaz((J2000_Bas+(6*0.04167)),$O1025,$M1025,DecLat,DecLong,1)</f>
        <v>-44.154513612125946</v>
      </c>
      <c r="AD1025" s="258">
        <f>1+ transit((J2000_Bas-1),$O1025,$M1025,DecLat,DecLong)/360 + (GMTOffset/24) + (IF(DST="Y", 1, 0)/24)</f>
        <v>1.4805388007547082</v>
      </c>
      <c r="AE1025" s="259">
        <f>DATE(2001,9,21)+(M1025/360)*365 - (360*((DecLong/360)- (GMTOffset/24) ))</f>
        <v>37337.988194444442</v>
      </c>
      <c r="AF1025" s="260">
        <f>IF(DecLat&gt;0,IF((90 - (DecLat-O1025))&gt;90, (90 - (O1025-DecLat)), (90 - (DecLat-O1025))),IF((90 + (DecLat-O1025))&gt;90, (90 + (O1025-DecLat)), (90 + (DecLat-O1025))))</f>
        <v>69.316944444444445</v>
      </c>
      <c r="AG1025" s="257">
        <f>angularseperation(MoonRA,MoonDec,$M1025,$O1025)</f>
        <v>80.536087242757176</v>
      </c>
      <c r="AH1025" s="261">
        <f ca="1">MIN(100,IF($O$5&gt;80,0+30*($AG1025/100),IF($O$5&gt;70,0+50*($AG1025/100),IF($O$5&gt;60,5+50*($AG1025/100),IF($O$5&gt;50,10+60*($AG1025/100),IF($O$5&gt;40,15+70*($AG1025/100),IF($O$5&gt;30,20+70*($AG1025/100),IF($O$5&gt;20,40+55*($AG1025/100),(80+(20-$O$5)+30*($AG1025/100))))))))))</f>
        <v>100</v>
      </c>
      <c r="AI1025" s="263">
        <v>3825</v>
      </c>
      <c r="AJ1025" s="263"/>
      <c r="AK1025" s="263"/>
      <c r="AL1025" s="263"/>
      <c r="AM1025" s="264"/>
      <c r="AN1025" s="263"/>
      <c r="AO1025" s="263">
        <v>58</v>
      </c>
      <c r="AP1025" s="265"/>
      <c r="AQ1025" s="265">
        <v>6668</v>
      </c>
      <c r="AR1025" s="285">
        <v>36348</v>
      </c>
      <c r="AS1025" s="263"/>
      <c r="AT1025" s="263"/>
      <c r="AU1025" s="263"/>
      <c r="AV1025" s="264"/>
      <c r="AW1025" s="263"/>
      <c r="AX1025" s="263"/>
      <c r="AY1025" s="263"/>
      <c r="AZ1025" s="263"/>
      <c r="BA1025" s="263"/>
      <c r="BB1025" s="263"/>
      <c r="BC1025" s="263"/>
      <c r="BD1025" s="264"/>
      <c r="BE1025" s="263"/>
      <c r="BF1025" s="263"/>
      <c r="BG1025" s="263"/>
      <c r="BH1025" s="263"/>
      <c r="BI1025" s="263"/>
      <c r="BJ1025" s="404">
        <f>altaz(J2000_Bas,$O1025,$M1025,DecLat,DecLong,2)</f>
        <v>289.72850623749832</v>
      </c>
      <c r="BK1025" s="378" t="s">
        <v>4055</v>
      </c>
      <c r="BL1025" s="379">
        <f>IF((2*G1025)/60&lt;0.2,0.2,(2*G1025)/60)</f>
        <v>0.29333333333333333</v>
      </c>
      <c r="BM1025" s="380">
        <f>MOD((50000+AD1025-$B$3+(0/24)),1)</f>
        <v>0.69590573045570636</v>
      </c>
      <c r="BN1025" s="381"/>
      <c r="BO1025" s="382">
        <v>1019</v>
      </c>
    </row>
    <row r="1026" spans="1:67" s="24" customFormat="1" ht="15" customHeight="1" x14ac:dyDescent="0.25">
      <c r="A1026" s="288" t="s">
        <v>1093</v>
      </c>
      <c r="B1026" s="241" t="str">
        <f>HYPERLINK(CONCATENATE($AT$3,BK1026,$AU$3),$AV$3)</f>
        <v>S</v>
      </c>
      <c r="C1026" s="242" t="str">
        <f>HYPERLINK(CONCATENATE($AT$4,BK1026,$AU$4,BL1026),$AV$4)</f>
        <v>A</v>
      </c>
      <c r="D1026" s="243" t="s">
        <v>5638</v>
      </c>
      <c r="E1026" s="244" t="s">
        <v>5625</v>
      </c>
      <c r="F1026" s="290">
        <v>5</v>
      </c>
      <c r="G1026" s="291">
        <v>2.1</v>
      </c>
      <c r="H1026" s="283">
        <v>190</v>
      </c>
      <c r="I1026" s="284">
        <v>120</v>
      </c>
      <c r="J1026" s="246">
        <v>2</v>
      </c>
      <c r="K1026" s="277" t="s">
        <v>4630</v>
      </c>
      <c r="L1026" s="248">
        <v>114826</v>
      </c>
      <c r="M1026" s="249">
        <f>15*(LEFT(TEXT($L1026,"000000"),2)+(MID(TEXT($L1026,"000000"),3,2)/60)+(RIGHT(TEXT($L1026,"000000"),2)/3600))</f>
        <v>177.10833333333335</v>
      </c>
      <c r="N1026" s="250">
        <v>124335</v>
      </c>
      <c r="O1026" s="251">
        <f>IF($N1026&gt;0,(LEFT(TEXT($N1026,"000000"),2)+(MID(TEXT($N1026,"000000"),3,2)/60)+(RIGHT(TEXT($N1026,"000000"),2)/3600)),-(MID(TEXT($N1026,"000000"),2,2)+(MID(TEXT($N1026,"000000"),4,2)/60)+(RIGHT(TEXT($N1026,"000000"),2)/3600)))</f>
        <v>12.72638888888889</v>
      </c>
      <c r="P1026" s="252" t="s">
        <v>183</v>
      </c>
      <c r="Q1026" s="253"/>
      <c r="R1026" s="321"/>
      <c r="S1026" s="272" t="s">
        <v>3293</v>
      </c>
      <c r="T1026" s="273">
        <v>12.5</v>
      </c>
      <c r="U1026" s="289">
        <v>22.7</v>
      </c>
      <c r="V1026" s="280"/>
      <c r="W1026" s="244"/>
      <c r="X1026" s="244"/>
      <c r="Y1026" s="362"/>
      <c r="Z1026" s="257">
        <f>altaz(J2000_Bas,$O1026,$M1026,DecLat,DecLong,1)</f>
        <v>-9.0496945342764654</v>
      </c>
      <c r="AA1026" s="257">
        <f>altaz((J2000_Bas+(2*0.04167)),$O1026,$M1026,DecLat,DecLong,1)</f>
        <v>-31.155102959655299</v>
      </c>
      <c r="AB1026" s="257">
        <f>altaz((J2000_Bas+(4*0.04167)),$O1026,$M1026,DecLat,DecLong,1)</f>
        <v>-45.028884287673485</v>
      </c>
      <c r="AC1026" s="257">
        <f>altaz((J2000_Bas+(6*0.04167)),$O1026,$M1026,DecLat,DecLong,1)</f>
        <v>-42.562263682373342</v>
      </c>
      <c r="AD1026" s="258">
        <f>1+ transit((J2000_Bas-1),$O1026,$M1026,DecLat,DecLong)/360 + (GMTOffset/24) + (IF(DST="Y", 1, 0)/24)</f>
        <v>1.4848675040255415</v>
      </c>
      <c r="AE1026" s="259">
        <f>DATE(2001,9,21)+(M1026/360)*365 - (360*((DecLong/360)- (GMTOffset/24) ))</f>
        <v>37339.568171296298</v>
      </c>
      <c r="AF1026" s="260">
        <f>IF(DecLat&gt;0,IF((90 - (DecLat-O1026))&gt;90, (90 - (O1026-DecLat)), (90 - (DecLat-O1026))),IF((90 + (DecLat-O1026))&gt;90, (90 + (O1026-DecLat)), (90 + (DecLat-O1026))))</f>
        <v>71.726388888888891</v>
      </c>
      <c r="AG1026" s="257">
        <f>angularseperation(MoonRA,MoonDec,$M1026,$O1026)</f>
        <v>80.436273515439566</v>
      </c>
      <c r="AH1026" s="261">
        <f ca="1">MIN(100,IF($O$5&gt;80,0+30*($AG1026/100),IF($O$5&gt;70,0+50*($AG1026/100),IF($O$5&gt;60,5+50*($AG1026/100),IF($O$5&gt;50,10+60*($AG1026/100),IF($O$5&gt;40,15+70*($AG1026/100),IF($O$5&gt;30,20+70*($AG1026/100),IF($O$5&gt;20,40+55*($AG1026/100),(80+(20-$O$5)+30*($AG1026/100))))))))))</f>
        <v>100</v>
      </c>
      <c r="AI1026" s="263"/>
      <c r="AJ1026" s="263"/>
      <c r="AK1026" s="263"/>
      <c r="AL1026" s="263"/>
      <c r="AM1026" s="264"/>
      <c r="AN1026" s="263"/>
      <c r="AO1026" s="263">
        <v>59</v>
      </c>
      <c r="AP1026" s="265"/>
      <c r="AQ1026" s="265"/>
      <c r="AR1026" s="285"/>
      <c r="AS1026" s="263"/>
      <c r="AT1026" s="263"/>
      <c r="AU1026" s="263"/>
      <c r="AV1026" s="264"/>
      <c r="AW1026" s="263"/>
      <c r="AX1026" s="263"/>
      <c r="AY1026" s="263"/>
      <c r="AZ1026" s="263"/>
      <c r="BA1026" s="263"/>
      <c r="BB1026" s="263"/>
      <c r="BC1026" s="263"/>
      <c r="BD1026" s="264"/>
      <c r="BE1026" s="263"/>
      <c r="BF1026" s="263"/>
      <c r="BG1026" s="263"/>
      <c r="BH1026" s="263"/>
      <c r="BI1026" s="263"/>
      <c r="BJ1026" s="404">
        <f>altaz(J2000_Bas,$O1026,$M1026,DecLat,DecLong,2)</f>
        <v>290.85135846192514</v>
      </c>
      <c r="BK1026" s="378" t="s">
        <v>4056</v>
      </c>
      <c r="BL1026" s="379">
        <f>IF((2*G1026)/60&lt;0.2,0.2,(2*G1026)/60)</f>
        <v>0.2</v>
      </c>
      <c r="BM1026" s="380">
        <f>MOD((50000+AD1026-$B$3+(0/24)),1)</f>
        <v>0.70023443373065675</v>
      </c>
      <c r="BN1026" s="381"/>
      <c r="BO1026" s="382">
        <v>1020</v>
      </c>
    </row>
    <row r="1027" spans="1:67" s="24" customFormat="1" ht="15" customHeight="1" x14ac:dyDescent="0.25">
      <c r="A1027" s="288" t="s">
        <v>1094</v>
      </c>
      <c r="B1027" s="241" t="str">
        <f>HYPERLINK(CONCATENATE($AT$3,BK1027,$AU$3),$AV$3)</f>
        <v>S</v>
      </c>
      <c r="C1027" s="242" t="str">
        <f>HYPERLINK(CONCATENATE($AT$4,BK1027,$AU$4,BL1027),$AV$4)</f>
        <v>A</v>
      </c>
      <c r="D1027" s="243" t="s">
        <v>5638</v>
      </c>
      <c r="E1027" s="244" t="s">
        <v>5625</v>
      </c>
      <c r="F1027" s="290">
        <v>4</v>
      </c>
      <c r="G1027" s="291">
        <v>2.2999999999999998</v>
      </c>
      <c r="H1027" s="283">
        <v>890</v>
      </c>
      <c r="I1027" s="284">
        <v>600</v>
      </c>
      <c r="J1027" s="246">
        <v>2</v>
      </c>
      <c r="K1027" s="277" t="s">
        <v>3762</v>
      </c>
      <c r="L1027" s="248">
        <v>120305</v>
      </c>
      <c r="M1027" s="249">
        <f>15*(LEFT(TEXT($L1027,"000000"),2)+(MID(TEXT($L1027,"000000"),3,2)/60)+(RIGHT(TEXT($L1027,"000000"),2)/3600))</f>
        <v>180.77083333333334</v>
      </c>
      <c r="N1027" s="250">
        <v>514135</v>
      </c>
      <c r="O1027" s="251">
        <f>IF($N1027&gt;0,(LEFT(TEXT($N1027,"000000"),2)+(MID(TEXT($N1027,"000000"),3,2)/60)+(RIGHT(TEXT($N1027,"000000"),2)/3600)),-(MID(TEXT($N1027,"000000"),2,2)+(MID(TEXT($N1027,"000000"),4,2)/60)+(RIGHT(TEXT($N1027,"000000"),2)/3600)))</f>
        <v>51.693055555555553</v>
      </c>
      <c r="P1027" s="252" t="s">
        <v>37</v>
      </c>
      <c r="Q1027" s="253"/>
      <c r="R1027" s="321"/>
      <c r="S1027" s="272" t="s">
        <v>3293</v>
      </c>
      <c r="T1027" s="273">
        <v>13.5</v>
      </c>
      <c r="U1027" s="289">
        <v>23.8</v>
      </c>
      <c r="V1027" s="280"/>
      <c r="W1027" s="244"/>
      <c r="X1027" s="244"/>
      <c r="Y1027" s="362"/>
      <c r="Z1027" s="257">
        <f>altaz(J2000_Bas,$O1027,$M1027,DecLat,DecLong,1)</f>
        <v>15.340572235398934</v>
      </c>
      <c r="AA1027" s="257">
        <f>altaz((J2000_Bas+(2*0.04167)),$O1027,$M1027,DecLat,DecLong,1)</f>
        <v>1.5111350438764362</v>
      </c>
      <c r="AB1027" s="257">
        <f>altaz((J2000_Bas+(4*0.04167)),$O1027,$M1027,DecLat,DecLong,1)</f>
        <v>-6.3170226613905607</v>
      </c>
      <c r="AC1027" s="257">
        <f>altaz((J2000_Bas+(6*0.04167)),$O1027,$M1027,DecLat,DecLong,1)</f>
        <v>-6.1940714822993428</v>
      </c>
      <c r="AD1027" s="258">
        <f>1+ transit((J2000_Bas-1),$O1027,$M1027,DecLat,DecLong)/360 + (GMTOffset/24) + (IF(DST="Y", 1, 0)/24)</f>
        <v>1.4950411141192912</v>
      </c>
      <c r="AE1027" s="259">
        <f>DATE(2001,9,21)+(M1027/360)*365 - (360*((DecLong/360)- (GMTOffset/24) ))</f>
        <v>37343.281539351854</v>
      </c>
      <c r="AF1027" s="260">
        <f>IF(DecLat&gt;0,IF((90 - (DecLat-O1027))&gt;90, (90 - (O1027-DecLat)), (90 - (DecLat-O1027))),IF((90 + (DecLat-O1027))&gt;90, (90 + (O1027-DecLat)), (90 + (DecLat-O1027))))</f>
        <v>69.30694444444444</v>
      </c>
      <c r="AG1027" s="257">
        <f>angularseperation(MoonRA,MoonDec,$M1027,$O1027)</f>
        <v>98.901841496362323</v>
      </c>
      <c r="AH1027" s="261">
        <f ca="1">MIN(100,IF($O$5&gt;80,0+30*($AG1027/100),IF($O$5&gt;70,0+50*($AG1027/100),IF($O$5&gt;60,5+50*($AG1027/100),IF($O$5&gt;50,10+60*($AG1027/100),IF($O$5&gt;40,15+70*($AG1027/100),IF($O$5&gt;30,20+70*($AG1027/100),IF($O$5&gt;20,40+55*($AG1027/100),(80+(20-$O$5)+30*($AG1027/100))))))))))</f>
        <v>100</v>
      </c>
      <c r="AI1027" s="263"/>
      <c r="AJ1027" s="263"/>
      <c r="AK1027" s="263"/>
      <c r="AL1027" s="263"/>
      <c r="AM1027" s="264"/>
      <c r="AN1027" s="263"/>
      <c r="AO1027" s="263">
        <v>60</v>
      </c>
      <c r="AP1027" s="265"/>
      <c r="AQ1027" s="265"/>
      <c r="AR1027" s="285"/>
      <c r="AS1027" s="263"/>
      <c r="AT1027" s="263"/>
      <c r="AU1027" s="263"/>
      <c r="AV1027" s="264"/>
      <c r="AW1027" s="263"/>
      <c r="AX1027" s="263"/>
      <c r="AY1027" s="263"/>
      <c r="AZ1027" s="263"/>
      <c r="BA1027" s="263"/>
      <c r="BB1027" s="263"/>
      <c r="BC1027" s="263"/>
      <c r="BD1027" s="264"/>
      <c r="BE1027" s="263"/>
      <c r="BF1027" s="263"/>
      <c r="BG1027" s="263"/>
      <c r="BH1027" s="263"/>
      <c r="BI1027" s="263"/>
      <c r="BJ1027" s="404">
        <f>altaz(J2000_Bas,$O1027,$M1027,DecLat,DecLong,2)</f>
        <v>321.66956024703296</v>
      </c>
      <c r="BK1027" s="378" t="s">
        <v>4057</v>
      </c>
      <c r="BL1027" s="379">
        <f>IF((2*G1027)/60&lt;0.2,0.2,(2*G1027)/60)</f>
        <v>0.2</v>
      </c>
      <c r="BM1027" s="380">
        <f>MOD((50000+AD1027-$B$3+(0/24)),1)</f>
        <v>0.71040804382209899</v>
      </c>
      <c r="BN1027" s="381"/>
      <c r="BO1027" s="382">
        <v>1021</v>
      </c>
    </row>
    <row r="1028" spans="1:67" s="24" customFormat="1" ht="15" customHeight="1" x14ac:dyDescent="0.25">
      <c r="A1028" s="288" t="s">
        <v>1095</v>
      </c>
      <c r="B1028" s="241" t="str">
        <f>HYPERLINK(CONCATENATE($AT$3,BK1028,$AU$3),$AV$3)</f>
        <v>S</v>
      </c>
      <c r="C1028" s="242" t="str">
        <f>HYPERLINK(CONCATENATE($AT$4,BK1028,$AU$4,BL1028),$AV$4)</f>
        <v>A</v>
      </c>
      <c r="D1028" s="243" t="s">
        <v>5638</v>
      </c>
      <c r="E1028" s="244" t="s">
        <v>5625</v>
      </c>
      <c r="F1028" s="290">
        <v>4</v>
      </c>
      <c r="G1028" s="291">
        <v>3.8</v>
      </c>
      <c r="H1028" s="283">
        <v>180</v>
      </c>
      <c r="I1028" s="284">
        <v>200</v>
      </c>
      <c r="J1028" s="246">
        <v>4</v>
      </c>
      <c r="K1028" s="247" t="s">
        <v>8465</v>
      </c>
      <c r="L1028" s="248">
        <v>121224</v>
      </c>
      <c r="M1028" s="249">
        <f>15*(LEFT(TEXT($L1028,"000000"),2)+(MID(TEXT($L1028,"000000"),3,2)/60)+(RIGHT(TEXT($L1028,"000000"),2)/3600))</f>
        <v>183.09999999999997</v>
      </c>
      <c r="N1028" s="250">
        <v>291040</v>
      </c>
      <c r="O1028" s="251">
        <f>IF($N1028&gt;0,(LEFT(TEXT($N1028,"000000"),2)+(MID(TEXT($N1028,"000000"),3,2)/60)+(RIGHT(TEXT($N1028,"000000"),2)/3600)),-(MID(TEXT($N1028,"000000"),2,2)+(MID(TEXT($N1028,"000000"),4,2)/60)+(RIGHT(TEXT($N1028,"000000"),2)/3600)))</f>
        <v>29.177777777777781</v>
      </c>
      <c r="P1028" s="252" t="s">
        <v>190</v>
      </c>
      <c r="Q1028" s="253" t="s">
        <v>1096</v>
      </c>
      <c r="R1028" s="292" t="s">
        <v>3432</v>
      </c>
      <c r="S1028" s="272" t="s">
        <v>3293</v>
      </c>
      <c r="T1028" s="273">
        <v>9.9</v>
      </c>
      <c r="U1028" s="289">
        <v>21.4</v>
      </c>
      <c r="V1028" s="280"/>
      <c r="W1028" s="244"/>
      <c r="X1028" s="244"/>
      <c r="Y1028" s="362"/>
      <c r="Z1028" s="257">
        <f>altaz(J2000_Bas,$O1028,$M1028,DecLat,DecLong,1)</f>
        <v>4.8172319334621942</v>
      </c>
      <c r="AA1028" s="257">
        <f>altaz((J2000_Bas+(2*0.04167)),$O1028,$M1028,DecLat,DecLong,1)</f>
        <v>-15.022285545679036</v>
      </c>
      <c r="AB1028" s="257">
        <f>altaz((J2000_Bas+(4*0.04167)),$O1028,$M1028,DecLat,DecLong,1)</f>
        <v>-27.702597111339728</v>
      </c>
      <c r="AC1028" s="257">
        <f>altaz((J2000_Bas+(6*0.04167)),$O1028,$M1028,DecLat,DecLong,1)</f>
        <v>-28.533149254329114</v>
      </c>
      <c r="AD1028" s="258">
        <f>1+ transit((J2000_Bas-1),$O1028,$M1028,DecLat,DecLong)/360 + (GMTOffset/24) + (IF(DST="Y", 1, 0)/24)</f>
        <v>1.501511020879708</v>
      </c>
      <c r="AE1028" s="259">
        <f>DATE(2001,9,21)+(M1028/360)*365 - (360*((DecLong/360)- (GMTOffset/24) ))</f>
        <v>37345.643055555556</v>
      </c>
      <c r="AF1028" s="260">
        <f>IF(DecLat&gt;0,IF((90 - (DecLat-O1028))&gt;90, (90 - (O1028-DecLat)), (90 - (DecLat-O1028))),IF((90 + (DecLat-O1028))&gt;90, (90 + (O1028-DecLat)), (90 + (DecLat-O1028))))</f>
        <v>88.177777777777777</v>
      </c>
      <c r="AG1028" s="257">
        <f>angularseperation(MoonRA,MoonDec,$M1028,$O1028)</f>
        <v>84.695099218607695</v>
      </c>
      <c r="AH1028" s="261">
        <f ca="1">MIN(100,IF($O$5&gt;80,0+30*($AG1028/100),IF($O$5&gt;70,0+50*($AG1028/100),IF($O$5&gt;60,5+50*($AG1028/100),IF($O$5&gt;50,10+60*($AG1028/100),IF($O$5&gt;40,15+70*($AG1028/100),IF($O$5&gt;30,20+70*($AG1028/100),IF($O$5&gt;20,40+55*($AG1028/100),(80+(20-$O$5)+30*($AG1028/100))))))))))</f>
        <v>100</v>
      </c>
      <c r="AI1028" s="262">
        <v>4169</v>
      </c>
      <c r="AJ1028" s="262"/>
      <c r="AK1028" s="262"/>
      <c r="AL1028" s="263"/>
      <c r="AM1028" s="264"/>
      <c r="AN1028" s="263"/>
      <c r="AO1028" s="263">
        <v>61</v>
      </c>
      <c r="AP1028" s="265"/>
      <c r="AQ1028" s="266">
        <v>7202</v>
      </c>
      <c r="AR1028" s="267">
        <v>38892</v>
      </c>
      <c r="AS1028" s="263"/>
      <c r="AT1028" s="263"/>
      <c r="AU1028" s="263"/>
      <c r="AV1028" s="264"/>
      <c r="AW1028" s="263"/>
      <c r="AX1028" s="263"/>
      <c r="AY1028" s="263"/>
      <c r="AZ1028" s="263"/>
      <c r="BA1028" s="263"/>
      <c r="BB1028" s="263"/>
      <c r="BC1028" s="263"/>
      <c r="BD1028" s="264"/>
      <c r="BE1028" s="263"/>
      <c r="BF1028" s="263"/>
      <c r="BG1028" s="263">
        <v>54</v>
      </c>
      <c r="BH1028" s="263"/>
      <c r="BI1028" s="263"/>
      <c r="BJ1028" s="404">
        <f>altaz(J2000_Bas,$O1028,$M1028,DecLat,DecLong,2)</f>
        <v>301.34143222606315</v>
      </c>
      <c r="BK1028" s="378" t="s">
        <v>4058</v>
      </c>
      <c r="BL1028" s="379">
        <f>IF((2*G1028)/60&lt;0.2,0.2,(2*G1028)/60)</f>
        <v>0.2</v>
      </c>
      <c r="BM1028" s="380">
        <f>MOD((50000+AD1028-$B$3+(0/24)),1)</f>
        <v>0.71687795058096526</v>
      </c>
      <c r="BN1028" s="381"/>
      <c r="BO1028" s="382">
        <v>1022</v>
      </c>
    </row>
    <row r="1029" spans="1:67" s="24" customFormat="1" ht="15" customHeight="1" x14ac:dyDescent="0.25">
      <c r="A1029" s="288" t="s">
        <v>1097</v>
      </c>
      <c r="B1029" s="241" t="str">
        <f>HYPERLINK(CONCATENATE($AT$3,BK1029,$AU$3),$AV$3)</f>
        <v>S</v>
      </c>
      <c r="C1029" s="242" t="str">
        <f>HYPERLINK(CONCATENATE($AT$4,BK1029,$AU$4,BL1029),$AV$4)</f>
        <v>A</v>
      </c>
      <c r="D1029" s="243" t="s">
        <v>5638</v>
      </c>
      <c r="E1029" s="244" t="s">
        <v>5625</v>
      </c>
      <c r="F1029" s="290">
        <v>4</v>
      </c>
      <c r="G1029" s="291">
        <v>3.7</v>
      </c>
      <c r="H1029" s="283">
        <v>200</v>
      </c>
      <c r="I1029" s="284">
        <v>220</v>
      </c>
      <c r="J1029" s="295">
        <v>2</v>
      </c>
      <c r="K1029" s="277" t="s">
        <v>7628</v>
      </c>
      <c r="L1029" s="248">
        <v>125308</v>
      </c>
      <c r="M1029" s="249">
        <f>15*(LEFT(TEXT($L1029,"000000"),2)+(MID(TEXT($L1029,"000000"),3,2)/60)+(RIGHT(TEXT($L1029,"000000"),2)/3600))</f>
        <v>193.28333333333333</v>
      </c>
      <c r="N1029" s="250">
        <v>-91326</v>
      </c>
      <c r="O1029" s="251">
        <f>IF($N1029&gt;0,(LEFT(TEXT($N1029,"000000"),2)+(MID(TEXT($N1029,"000000"),3,2)/60)+(RIGHT(TEXT($N1029,"000000"),2)/3600)),-(MID(TEXT($N1029,"000000"),2,2)+(MID(TEXT($N1029,"000000"),4,2)/60)+(RIGHT(TEXT($N1029,"000000"),2)/3600)))</f>
        <v>-9.2238888888888884</v>
      </c>
      <c r="P1029" s="252" t="s">
        <v>61</v>
      </c>
      <c r="Q1029" s="253"/>
      <c r="R1029" s="321"/>
      <c r="S1029" s="272" t="s">
        <v>3293</v>
      </c>
      <c r="T1029" s="273">
        <v>11.6</v>
      </c>
      <c r="U1029" s="289">
        <v>23.1</v>
      </c>
      <c r="V1029" s="280"/>
      <c r="W1029" s="244"/>
      <c r="X1029" s="244"/>
      <c r="Y1029" s="362"/>
      <c r="Z1029" s="257">
        <f>altaz(J2000_Bas,$O1029,$M1029,DecLat,DecLong,1)</f>
        <v>-7.0478063454419377</v>
      </c>
      <c r="AA1029" s="257">
        <f>altaz((J2000_Bas+(2*0.04167)),$O1029,$M1029,DecLat,DecLong,1)</f>
        <v>-32.747310808440716</v>
      </c>
      <c r="AB1029" s="257">
        <f>altaz((J2000_Bas+(4*0.04167)),$O1029,$M1029,DecLat,DecLong,1)</f>
        <v>-56.686006979358396</v>
      </c>
      <c r="AC1029" s="257">
        <f>altaz((J2000_Bas+(6*0.04167)),$O1029,$M1029,DecLat,DecLong,1)</f>
        <v>-68.04869388757524</v>
      </c>
      <c r="AD1029" s="258">
        <f>1+ transit((J2000_Bas-1),$O1029,$M1029,DecLat,DecLong)/360 + (GMTOffset/24) + (IF(DST="Y", 1, 0)/24)</f>
        <v>1.5297980550880412</v>
      </c>
      <c r="AE1029" s="259">
        <f>DATE(2001,9,21)+(M1029/360)*365 - (360*((DecLong/360)- (GMTOffset/24) ))</f>
        <v>37355.967824074076</v>
      </c>
      <c r="AF1029" s="260">
        <f>IF(DecLat&gt;0,IF((90 - (DecLat-O1029))&gt;90, (90 - (O1029-DecLat)), (90 - (DecLat-O1029))),IF((90 + (DecLat-O1029))&gt;90, (90 + (O1029-DecLat)), (90 + (DecLat-O1029))))</f>
        <v>49.776111111111113</v>
      </c>
      <c r="AG1029" s="257">
        <f>angularseperation(MoonRA,MoonDec,$M1029,$O1029)</f>
        <v>55.601792913963074</v>
      </c>
      <c r="AH1029" s="261">
        <f ca="1">MIN(100,IF($O$5&gt;80,0+30*($AG1029/100),IF($O$5&gt;70,0+50*($AG1029/100),IF($O$5&gt;60,5+50*($AG1029/100),IF($O$5&gt;50,10+60*($AG1029/100),IF($O$5&gt;40,15+70*($AG1029/100),IF($O$5&gt;30,20+70*($AG1029/100),IF($O$5&gt;20,40+55*($AG1029/100),(80+(20-$O$5)+30*($AG1029/100))))))))))</f>
        <v>99.951598218339342</v>
      </c>
      <c r="AI1029" s="263"/>
      <c r="AJ1029" s="263"/>
      <c r="AK1029" s="263"/>
      <c r="AL1029" s="263"/>
      <c r="AM1029" s="264"/>
      <c r="AN1029" s="263"/>
      <c r="AO1029" s="263">
        <v>62</v>
      </c>
      <c r="AP1029" s="265"/>
      <c r="AQ1029" s="265"/>
      <c r="AR1029" s="285"/>
      <c r="AS1029" s="263"/>
      <c r="AT1029" s="263"/>
      <c r="AU1029" s="263"/>
      <c r="AV1029" s="264"/>
      <c r="AW1029" s="263"/>
      <c r="AX1029" s="263"/>
      <c r="AY1029" s="263"/>
      <c r="AZ1029" s="263"/>
      <c r="BA1029" s="263"/>
      <c r="BB1029" s="263"/>
      <c r="BC1029" s="263"/>
      <c r="BD1029" s="264"/>
      <c r="BE1029" s="263"/>
      <c r="BF1029" s="263"/>
      <c r="BG1029" s="263"/>
      <c r="BH1029" s="263"/>
      <c r="BI1029" s="263"/>
      <c r="BJ1029" s="404">
        <f>altaz(J2000_Bas,$O1029,$M1029,DecLat,DecLong,2)</f>
        <v>263.44590433775306</v>
      </c>
      <c r="BK1029" s="378" t="s">
        <v>4059</v>
      </c>
      <c r="BL1029" s="379">
        <f>IF((2*G1029)/60&lt;0.2,0.2,(2*G1029)/60)</f>
        <v>0.2</v>
      </c>
      <c r="BM1029" s="380">
        <f>MOD((50000+AD1029-$B$3+(0/24)),1)</f>
        <v>0.74516498479351867</v>
      </c>
      <c r="BN1029" s="381"/>
      <c r="BO1029" s="382">
        <v>1023</v>
      </c>
    </row>
    <row r="1030" spans="1:67" s="24" customFormat="1" ht="15" customHeight="1" x14ac:dyDescent="0.25">
      <c r="A1030" s="288" t="s">
        <v>1098</v>
      </c>
      <c r="B1030" s="241" t="str">
        <f>HYPERLINK(CONCATENATE($AT$3,BK1030,$AU$3),$AV$3)</f>
        <v>S</v>
      </c>
      <c r="C1030" s="242" t="str">
        <f>HYPERLINK(CONCATENATE($AT$4,BK1030,$AU$4,BL1030),$AV$4)</f>
        <v>A</v>
      </c>
      <c r="D1030" s="243" t="s">
        <v>5638</v>
      </c>
      <c r="E1030" s="244" t="s">
        <v>5625</v>
      </c>
      <c r="F1030" s="290">
        <v>4</v>
      </c>
      <c r="G1030" s="291">
        <v>2.9</v>
      </c>
      <c r="H1030" s="283">
        <v>240</v>
      </c>
      <c r="I1030" s="284">
        <v>200</v>
      </c>
      <c r="J1030" s="295">
        <v>2</v>
      </c>
      <c r="K1030" s="247" t="s">
        <v>4667</v>
      </c>
      <c r="L1030" s="248">
        <v>130210</v>
      </c>
      <c r="M1030" s="249">
        <f>15*(LEFT(TEXT($L1030,"000000"),2)+(MID(TEXT($L1030,"000000"),3,2)/60)+(RIGHT(TEXT($L1030,"000000"),2)/3600))</f>
        <v>195.54166666666669</v>
      </c>
      <c r="N1030" s="250">
        <v>-324605</v>
      </c>
      <c r="O1030" s="251">
        <f>IF($N1030&gt;0,(LEFT(TEXT($N1030,"000000"),2)+(MID(TEXT($N1030,"000000"),3,2)/60)+(RIGHT(TEXT($N1030,"000000"),2)/3600)),-(MID(TEXT($N1030,"000000"),2,2)+(MID(TEXT($N1030,"000000"),4,2)/60)+(RIGHT(TEXT($N1030,"000000"),2)/3600)))</f>
        <v>-32.768055555555556</v>
      </c>
      <c r="P1030" s="252" t="s">
        <v>927</v>
      </c>
      <c r="Q1030" s="253"/>
      <c r="R1030" s="292"/>
      <c r="S1030" s="272" t="s">
        <v>3293</v>
      </c>
      <c r="T1030" s="273">
        <v>13.1</v>
      </c>
      <c r="U1030" s="289">
        <v>24</v>
      </c>
      <c r="V1030" s="280"/>
      <c r="W1030" s="244"/>
      <c r="X1030" s="244"/>
      <c r="Y1030" s="362"/>
      <c r="Z1030" s="257">
        <f>altaz(J2000_Bas,$O1030,$M1030,DecLat,DecLong,1)</f>
        <v>-16.532407811439292</v>
      </c>
      <c r="AA1030" s="257">
        <f>altaz((J2000_Bas+(2*0.04167)),$O1030,$M1030,DecLat,DecLong,1)</f>
        <v>-40.170768318947893</v>
      </c>
      <c r="AB1030" s="257">
        <f>altaz((J2000_Bas+(4*0.04167)),$O1030,$M1030,DecLat,DecLong,1)</f>
        <v>-65.078344665170604</v>
      </c>
      <c r="AC1030" s="257">
        <f>altaz((J2000_Bas+(6*0.04167)),$O1030,$M1030,DecLat,DecLong,1)</f>
        <v>-88.130740774076756</v>
      </c>
      <c r="AD1030" s="258">
        <f>1+ transit((J2000_Bas-1),$O1030,$M1030,DecLat,DecLong)/360 + (GMTOffset/24) + (IF(DST="Y", 1, 0)/24)</f>
        <v>1.5360712026088748</v>
      </c>
      <c r="AE1030" s="259">
        <f>DATE(2001,9,21)+(M1030/360)*365 - (360*((DecLong/360)- (GMTOffset/24) ))</f>
        <v>37358.257523148146</v>
      </c>
      <c r="AF1030" s="260">
        <f>IF(DecLat&gt;0,IF((90 - (DecLat-O1030))&gt;90, (90 - (O1030-DecLat)), (90 - (DecLat-O1030))),IF((90 + (DecLat-O1030))&gt;90, (90 + (O1030-DecLat)), (90 + (DecLat-O1030))))</f>
        <v>26.231944444444444</v>
      </c>
      <c r="AG1030" s="257">
        <f>angularseperation(MoonRA,MoonDec,$M1030,$O1030)</f>
        <v>46.398535108678161</v>
      </c>
      <c r="AH1030" s="261">
        <f ca="1">MIN(100,IF($O$5&gt;80,0+30*($AG1030/100),IF($O$5&gt;70,0+50*($AG1030/100),IF($O$5&gt;60,5+50*($AG1030/100),IF($O$5&gt;50,10+60*($AG1030/100),IF($O$5&gt;40,15+70*($AG1030/100),IF($O$5&gt;30,20+70*($AG1030/100),IF($O$5&gt;20,40+55*($AG1030/100),(80+(20-$O$5)+30*($AG1030/100))))))))))</f>
        <v>97.190620876753883</v>
      </c>
      <c r="AI1030" s="262"/>
      <c r="AJ1030" s="262"/>
      <c r="AK1030" s="262"/>
      <c r="AL1030" s="263"/>
      <c r="AM1030" s="264"/>
      <c r="AN1030" s="263"/>
      <c r="AO1030" s="263">
        <v>63</v>
      </c>
      <c r="AP1030" s="265"/>
      <c r="AQ1030" s="266"/>
      <c r="AR1030" s="267"/>
      <c r="AS1030" s="263"/>
      <c r="AT1030" s="263"/>
      <c r="AU1030" s="263"/>
      <c r="AV1030" s="264"/>
      <c r="AW1030" s="263"/>
      <c r="AX1030" s="263"/>
      <c r="AY1030" s="263"/>
      <c r="AZ1030" s="263"/>
      <c r="BA1030" s="263"/>
      <c r="BB1030" s="263"/>
      <c r="BC1030" s="263"/>
      <c r="BD1030" s="264"/>
      <c r="BE1030" s="263"/>
      <c r="BF1030" s="263"/>
      <c r="BG1030" s="263"/>
      <c r="BH1030" s="263"/>
      <c r="BI1030" s="263"/>
      <c r="BJ1030" s="404">
        <f>altaz(J2000_Bas,$O1030,$M1030,DecLat,DecLong,2)</f>
        <v>241.29468289525366</v>
      </c>
      <c r="BK1030" s="378" t="s">
        <v>4060</v>
      </c>
      <c r="BL1030" s="379">
        <f>IF((2*G1030)/60&lt;0.2,0.2,(2*G1030)/60)</f>
        <v>0.2</v>
      </c>
      <c r="BM1030" s="380">
        <f>MOD((50000+AD1030-$B$3+(0/24)),1)</f>
        <v>0.75143813231261447</v>
      </c>
      <c r="BN1030" s="381"/>
      <c r="BO1030" s="382">
        <v>1024</v>
      </c>
    </row>
    <row r="1031" spans="1:67" s="24" customFormat="1" ht="15" customHeight="1" x14ac:dyDescent="0.25">
      <c r="A1031" s="288" t="s">
        <v>1099</v>
      </c>
      <c r="B1031" s="241" t="str">
        <f>HYPERLINK(CONCATENATE($AT$3,BK1031,$AU$3),$AV$3)</f>
        <v>S</v>
      </c>
      <c r="C1031" s="242" t="str">
        <f>HYPERLINK(CONCATENATE($AT$4,BK1031,$AU$4,BL1031),$AV$4)</f>
        <v>A</v>
      </c>
      <c r="D1031" s="243" t="s">
        <v>5638</v>
      </c>
      <c r="E1031" s="244" t="s">
        <v>5625</v>
      </c>
      <c r="F1031" s="290">
        <v>4</v>
      </c>
      <c r="G1031" s="291">
        <v>1.7</v>
      </c>
      <c r="H1031" s="283">
        <v>490</v>
      </c>
      <c r="I1031" s="284">
        <v>250</v>
      </c>
      <c r="J1031" s="295">
        <v>2</v>
      </c>
      <c r="K1031" s="277" t="s">
        <v>4619</v>
      </c>
      <c r="L1031" s="248">
        <v>132543</v>
      </c>
      <c r="M1031" s="249">
        <f>15*(LEFT(TEXT($L1031,"000000"),2)+(MID(TEXT($L1031,"000000"),3,2)/60)+(RIGHT(TEXT($L1031,"000000"),2)/3600))</f>
        <v>201.42916666666665</v>
      </c>
      <c r="N1031" s="250">
        <v>-35128</v>
      </c>
      <c r="O1031" s="251">
        <f>IF($N1031&gt;0,(LEFT(TEXT($N1031,"000000"),2)+(MID(TEXT($N1031,"000000"),3,2)/60)+(RIGHT(TEXT($N1031,"000000"),2)/3600)),-(MID(TEXT($N1031,"000000"),2,2)+(MID(TEXT($N1031,"000000"),4,2)/60)+(RIGHT(TEXT($N1031,"000000"),2)/3600)))</f>
        <v>-3.8577777777777778</v>
      </c>
      <c r="P1031" s="252" t="s">
        <v>61</v>
      </c>
      <c r="Q1031" s="253"/>
      <c r="R1031" s="321"/>
      <c r="S1031" s="272" t="s">
        <v>3293</v>
      </c>
      <c r="T1031" s="273">
        <v>13.7</v>
      </c>
      <c r="U1031" s="289">
        <v>23.5</v>
      </c>
      <c r="V1031" s="280"/>
      <c r="W1031" s="244"/>
      <c r="X1031" s="244"/>
      <c r="Y1031" s="362"/>
      <c r="Z1031" s="257">
        <f>altaz(J2000_Bas,$O1031,$M1031,DecLat,DecLong,1)</f>
        <v>2.6495202804748197</v>
      </c>
      <c r="AA1031" s="257">
        <f>altaz((J2000_Bas+(2*0.04167)),$O1031,$M1031,DecLat,DecLong,1)</f>
        <v>-23.044914419224906</v>
      </c>
      <c r="AB1031" s="257">
        <f>altaz((J2000_Bas+(4*0.04167)),$O1031,$M1031,DecLat,DecLong,1)</f>
        <v>-47.138481239736421</v>
      </c>
      <c r="AC1031" s="257">
        <f>altaz((J2000_Bas+(6*0.04167)),$O1031,$M1031,DecLat,DecLong,1)</f>
        <v>-62.423515775341464</v>
      </c>
      <c r="AD1031" s="258">
        <f>1+ transit((J2000_Bas-1),$O1031,$M1031,DecLat,DecLong)/360 + (GMTOffset/24) + (IF(DST="Y", 1, 0)/24)</f>
        <v>1.5524253676401247</v>
      </c>
      <c r="AE1031" s="259">
        <f>DATE(2001,9,21)+(M1031/360)*365 - (360*((DecLong/360)- (GMTOffset/24) ))</f>
        <v>37364.226793981485</v>
      </c>
      <c r="AF1031" s="260">
        <f>IF(DecLat&gt;0,IF((90 - (DecLat-O1031))&gt;90, (90 - (O1031-DecLat)), (90 - (DecLat-O1031))),IF((90 + (DecLat-O1031))&gt;90, (90 + (O1031-DecLat)), (90 + (DecLat-O1031))))</f>
        <v>55.142222222222223</v>
      </c>
      <c r="AG1031" s="257">
        <f>angularseperation(MoonRA,MoonDec,$M1031,$O1031)</f>
        <v>51.156881572393303</v>
      </c>
      <c r="AH1031" s="261">
        <f ca="1">MIN(100,IF($O$5&gt;80,0+30*($AG1031/100),IF($O$5&gt;70,0+50*($AG1031/100),IF($O$5&gt;60,5+50*($AG1031/100),IF($O$5&gt;50,10+60*($AG1031/100),IF($O$5&gt;40,15+70*($AG1031/100),IF($O$5&gt;30,20+70*($AG1031/100),IF($O$5&gt;20,40+55*($AG1031/100),(80+(20-$O$5)+30*($AG1031/100))))))))))</f>
        <v>98.618124815868413</v>
      </c>
      <c r="AI1031" s="263"/>
      <c r="AJ1031" s="263"/>
      <c r="AK1031" s="263"/>
      <c r="AL1031" s="263"/>
      <c r="AM1031" s="264"/>
      <c r="AN1031" s="263"/>
      <c r="AO1031" s="263">
        <v>64</v>
      </c>
      <c r="AP1031" s="265"/>
      <c r="AQ1031" s="265"/>
      <c r="AR1031" s="285"/>
      <c r="AS1031" s="263"/>
      <c r="AT1031" s="263"/>
      <c r="AU1031" s="263"/>
      <c r="AV1031" s="264"/>
      <c r="AW1031" s="263"/>
      <c r="AX1031" s="263"/>
      <c r="AY1031" s="263"/>
      <c r="AZ1031" s="263"/>
      <c r="BA1031" s="263"/>
      <c r="BB1031" s="263"/>
      <c r="BC1031" s="263"/>
      <c r="BD1031" s="264"/>
      <c r="BE1031" s="263"/>
      <c r="BF1031" s="263"/>
      <c r="BG1031" s="263"/>
      <c r="BH1031" s="263"/>
      <c r="BI1031" s="263"/>
      <c r="BJ1031" s="404">
        <f>altaz(J2000_Bas,$O1031,$M1031,DecLat,DecLong,2)</f>
        <v>263.8932913109245</v>
      </c>
      <c r="BK1031" s="378" t="s">
        <v>4061</v>
      </c>
      <c r="BL1031" s="379">
        <f>IF((2*G1031)/60&lt;0.2,0.2,(2*G1031)/60)</f>
        <v>0.2</v>
      </c>
      <c r="BM1031" s="380">
        <f>MOD((50000+AD1031-$B$3+(0/24)),1)</f>
        <v>0.76779229734529508</v>
      </c>
      <c r="BN1031" s="381"/>
      <c r="BO1031" s="382">
        <v>1025</v>
      </c>
    </row>
    <row r="1032" spans="1:67" s="24" customFormat="1" ht="15" customHeight="1" x14ac:dyDescent="0.25">
      <c r="A1032" s="288" t="s">
        <v>1100</v>
      </c>
      <c r="B1032" s="241" t="str">
        <f>HYPERLINK(CONCATENATE($AT$3,BK1032,$AU$3),$AV$3)</f>
        <v>S</v>
      </c>
      <c r="C1032" s="242" t="str">
        <f>HYPERLINK(CONCATENATE($AT$4,BK1032,$AU$4,BL1032),$AV$4)</f>
        <v>A</v>
      </c>
      <c r="D1032" s="243" t="s">
        <v>5638</v>
      </c>
      <c r="E1032" s="244" t="s">
        <v>5625</v>
      </c>
      <c r="F1032" s="290">
        <v>5</v>
      </c>
      <c r="G1032" s="291">
        <v>1.7</v>
      </c>
      <c r="H1032" s="283">
        <v>660</v>
      </c>
      <c r="I1032" s="284">
        <v>320</v>
      </c>
      <c r="J1032" s="295">
        <v>2</v>
      </c>
      <c r="K1032" s="277" t="s">
        <v>7629</v>
      </c>
      <c r="L1032" s="248">
        <v>132954</v>
      </c>
      <c r="M1032" s="249">
        <f>15*(LEFT(TEXT($L1032,"000000"),2)+(MID(TEXT($L1032,"000000"),3,2)/60)+(RIGHT(TEXT($L1032,"000000"),2)/3600))</f>
        <v>202.47499999999999</v>
      </c>
      <c r="N1032" s="250">
        <v>-292958</v>
      </c>
      <c r="O1032" s="251">
        <f>IF($N1032&gt;0,(LEFT(TEXT($N1032,"000000"),2)+(MID(TEXT($N1032,"000000"),3,2)/60)+(RIGHT(TEXT($N1032,"000000"),2)/3600)),-(MID(TEXT($N1032,"000000"),2,2)+(MID(TEXT($N1032,"000000"),4,2)/60)+(RIGHT(TEXT($N1032,"000000"),2)/3600)))</f>
        <v>-29.499444444444446</v>
      </c>
      <c r="P1032" s="252" t="s">
        <v>103</v>
      </c>
      <c r="Q1032" s="253"/>
      <c r="R1032" s="321"/>
      <c r="S1032" s="272" t="s">
        <v>3293</v>
      </c>
      <c r="T1032" s="273">
        <v>12.7</v>
      </c>
      <c r="U1032" s="289">
        <v>22.5</v>
      </c>
      <c r="V1032" s="280"/>
      <c r="W1032" s="244"/>
      <c r="X1032" s="244"/>
      <c r="Y1032" s="362"/>
      <c r="Z1032" s="257">
        <f>altaz(J2000_Bas,$O1032,$M1032,DecLat,DecLong,1)</f>
        <v>-9.7596401253142826</v>
      </c>
      <c r="AA1032" s="257">
        <f>altaz((J2000_Bas+(2*0.04167)),$O1032,$M1032,DecLat,DecLong,1)</f>
        <v>-33.534290898020714</v>
      </c>
      <c r="AB1032" s="257">
        <f>altaz((J2000_Bas+(4*0.04167)),$O1032,$M1032,DecLat,DecLong,1)</f>
        <v>-58.742681572078119</v>
      </c>
      <c r="AC1032" s="257">
        <f>altaz((J2000_Bas+(6*0.04167)),$O1032,$M1032,DecLat,DecLong,1)</f>
        <v>-84.423319983968355</v>
      </c>
      <c r="AD1032" s="258">
        <f>1+ transit((J2000_Bas-1),$O1032,$M1032,DecLat,DecLong)/360 + (GMTOffset/24) + (IF(DST="Y", 1, 0)/24)</f>
        <v>1.555330459942208</v>
      </c>
      <c r="AE1032" s="259">
        <f>DATE(2001,9,21)+(M1032/360)*365 - (360*((DecLong/360)- (GMTOffset/24) ))</f>
        <v>37365.287152777775</v>
      </c>
      <c r="AF1032" s="260">
        <f>IF(DecLat&gt;0,IF((90 - (DecLat-O1032))&gt;90, (90 - (O1032-DecLat)), (90 - (DecLat-O1032))),IF((90 + (DecLat-O1032))&gt;90, (90 + (O1032-DecLat)), (90 + (DecLat-O1032))))</f>
        <v>29.50055555555555</v>
      </c>
      <c r="AG1032" s="257">
        <f>angularseperation(MoonRA,MoonDec,$M1032,$O1032)</f>
        <v>40.975662729041588</v>
      </c>
      <c r="AH1032" s="261">
        <f ca="1">MIN(100,IF($O$5&gt;80,0+30*($AG1032/100),IF($O$5&gt;70,0+50*($AG1032/100),IF($O$5&gt;60,5+50*($AG1032/100),IF($O$5&gt;50,10+60*($AG1032/100),IF($O$5&gt;40,15+70*($AG1032/100),IF($O$5&gt;30,20+70*($AG1032/100),IF($O$5&gt;20,40+55*($AG1032/100),(80+(20-$O$5)+30*($AG1032/100))))))))))</f>
        <v>95.563759162862908</v>
      </c>
      <c r="AI1032" s="263"/>
      <c r="AJ1032" s="263"/>
      <c r="AK1032" s="263"/>
      <c r="AL1032" s="263"/>
      <c r="AM1032" s="264"/>
      <c r="AN1032" s="263"/>
      <c r="AO1032" s="263">
        <v>65</v>
      </c>
      <c r="AP1032" s="265"/>
      <c r="AQ1032" s="265"/>
      <c r="AR1032" s="285"/>
      <c r="AS1032" s="263"/>
      <c r="AT1032" s="263"/>
      <c r="AU1032" s="263"/>
      <c r="AV1032" s="264"/>
      <c r="AW1032" s="263"/>
      <c r="AX1032" s="263"/>
      <c r="AY1032" s="263"/>
      <c r="AZ1032" s="263"/>
      <c r="BA1032" s="263"/>
      <c r="BB1032" s="263"/>
      <c r="BC1032" s="263"/>
      <c r="BD1032" s="264"/>
      <c r="BE1032" s="263"/>
      <c r="BF1032" s="263"/>
      <c r="BG1032" s="263"/>
      <c r="BH1032" s="263"/>
      <c r="BI1032" s="263"/>
      <c r="BJ1032" s="404">
        <f>altaz(J2000_Bas,$O1032,$M1032,DecLat,DecLong,2)</f>
        <v>241.34377829868319</v>
      </c>
      <c r="BK1032" s="378" t="s">
        <v>4062</v>
      </c>
      <c r="BL1032" s="379">
        <f>IF((2*G1032)/60&lt;0.2,0.2,(2*G1032)/60)</f>
        <v>0.2</v>
      </c>
      <c r="BM1032" s="380">
        <f>MOD((50000+AD1032-$B$3+(0/24)),1)</f>
        <v>0.77069738964928547</v>
      </c>
      <c r="BN1032" s="381"/>
      <c r="BO1032" s="382">
        <v>1026</v>
      </c>
    </row>
    <row r="1033" spans="1:67" s="24" customFormat="1" ht="15" customHeight="1" x14ac:dyDescent="0.25">
      <c r="A1033" s="288" t="s">
        <v>1101</v>
      </c>
      <c r="B1033" s="241" t="str">
        <f>HYPERLINK(CONCATENATE($AT$3,BK1033,$AU$3),$AV$3)</f>
        <v>S</v>
      </c>
      <c r="C1033" s="242" t="str">
        <f>HYPERLINK(CONCATENATE($AT$4,BK1033,$AU$4,BL1033),$AV$4)</f>
        <v>A</v>
      </c>
      <c r="D1033" s="243" t="s">
        <v>5638</v>
      </c>
      <c r="E1033" s="244" t="s">
        <v>5625</v>
      </c>
      <c r="F1033" s="290">
        <v>4</v>
      </c>
      <c r="G1033" s="291">
        <v>1</v>
      </c>
      <c r="H1033" s="283">
        <v>960</v>
      </c>
      <c r="I1033" s="284">
        <v>300</v>
      </c>
      <c r="J1033" s="295">
        <v>2</v>
      </c>
      <c r="K1033" s="277" t="s">
        <v>7631</v>
      </c>
      <c r="L1033" s="248">
        <v>133833</v>
      </c>
      <c r="M1033" s="249">
        <f>15*(LEFT(TEXT($L1033,"000000"),2)+(MID(TEXT($L1033,"000000"),3,2)/60)+(RIGHT(TEXT($L1033,"000000"),2)/3600))</f>
        <v>204.63749999999999</v>
      </c>
      <c r="N1033" s="250">
        <v>571816</v>
      </c>
      <c r="O1033" s="251">
        <f>IF($N1033&gt;0,(LEFT(TEXT($N1033,"000000"),2)+(MID(TEXT($N1033,"000000"),3,2)/60)+(RIGHT(TEXT($N1033,"000000"),2)/3600)),-(MID(TEXT($N1033,"000000"),2,2)+(MID(TEXT($N1033,"000000"),4,2)/60)+(RIGHT(TEXT($N1033,"000000"),2)/3600)))</f>
        <v>57.304444444444442</v>
      </c>
      <c r="P1033" s="252" t="s">
        <v>37</v>
      </c>
      <c r="Q1033" s="253"/>
      <c r="R1033" s="321"/>
      <c r="S1033" s="272" t="s">
        <v>3293</v>
      </c>
      <c r="T1033" s="273">
        <v>13.8</v>
      </c>
      <c r="U1033" s="289">
        <v>22.4</v>
      </c>
      <c r="V1033" s="280"/>
      <c r="W1033" s="244"/>
      <c r="X1033" s="244"/>
      <c r="Y1033" s="362"/>
      <c r="Z1033" s="257">
        <f>altaz(J2000_Bas,$O1033,$M1033,DecLat,DecLong,1)</f>
        <v>30.195245300107924</v>
      </c>
      <c r="AA1033" s="257">
        <f>altaz((J2000_Bas+(2*0.04167)),$O1033,$M1033,DecLat,DecLong,1)</f>
        <v>15.314231406666538</v>
      </c>
      <c r="AB1033" s="257">
        <f>altaz((J2000_Bas+(4*0.04167)),$O1033,$M1033,DecLat,DecLong,1)</f>
        <v>4.0654571615162727</v>
      </c>
      <c r="AC1033" s="257">
        <f>altaz((J2000_Bas+(6*0.04167)),$O1033,$M1033,DecLat,DecLong,1)</f>
        <v>-1.4121229536307289</v>
      </c>
      <c r="AD1033" s="258">
        <f>1+ transit((J2000_Bas-1),$O1033,$M1033,DecLat,DecLong)/360 + (GMTOffset/24) + (IF(DST="Y", 1, 0)/24)</f>
        <v>1.5613374037859582</v>
      </c>
      <c r="AE1033" s="259">
        <f>DATE(2001,9,21)+(M1033/360)*365 - (360*((DecLong/360)- (GMTOffset/24) ))</f>
        <v>37367.479687500003</v>
      </c>
      <c r="AF1033" s="260">
        <f>IF(DecLat&gt;0,IF((90 - (DecLat-O1033))&gt;90, (90 - (O1033-DecLat)), (90 - (DecLat-O1033))),IF((90 + (DecLat-O1033))&gt;90, (90 + (O1033-DecLat)), (90 + (DecLat-O1033))))</f>
        <v>63.695555555555558</v>
      </c>
      <c r="AG1033" s="257">
        <f>angularseperation(MoonRA,MoonDec,$M1033,$O1033)</f>
        <v>92.334986472741306</v>
      </c>
      <c r="AH1033" s="261">
        <f ca="1">MIN(100,IF($O$5&gt;80,0+30*($AG1033/100),IF($O$5&gt;70,0+50*($AG1033/100),IF($O$5&gt;60,5+50*($AG1033/100),IF($O$5&gt;50,10+60*($AG1033/100),IF($O$5&gt;40,15+70*($AG1033/100),IF($O$5&gt;30,20+70*($AG1033/100),IF($O$5&gt;20,40+55*($AG1033/100),(80+(20-$O$5)+30*($AG1033/100))))))))))</f>
        <v>100</v>
      </c>
      <c r="AI1033" s="263"/>
      <c r="AJ1033" s="263"/>
      <c r="AK1033" s="263"/>
      <c r="AL1033" s="263"/>
      <c r="AM1033" s="264"/>
      <c r="AN1033" s="263"/>
      <c r="AO1033" s="263">
        <v>66</v>
      </c>
      <c r="AP1033" s="265"/>
      <c r="AQ1033" s="265"/>
      <c r="AR1033" s="285"/>
      <c r="AS1033" s="263"/>
      <c r="AT1033" s="263"/>
      <c r="AU1033" s="263"/>
      <c r="AV1033" s="264"/>
      <c r="AW1033" s="263"/>
      <c r="AX1033" s="263"/>
      <c r="AY1033" s="263"/>
      <c r="AZ1033" s="263"/>
      <c r="BA1033" s="263"/>
      <c r="BB1033" s="263"/>
      <c r="BC1033" s="263"/>
      <c r="BD1033" s="264"/>
      <c r="BE1033" s="263"/>
      <c r="BF1033" s="263"/>
      <c r="BG1033" s="263"/>
      <c r="BH1033" s="263"/>
      <c r="BI1033" s="263"/>
      <c r="BJ1033" s="404">
        <f>altaz(J2000_Bas,$O1033,$M1033,DecLat,DecLong,2)</f>
        <v>321.83781021589294</v>
      </c>
      <c r="BK1033" s="378" t="s">
        <v>4063</v>
      </c>
      <c r="BL1033" s="379">
        <f>IF((2*G1033)/60&lt;0.2,0.2,(2*G1033)/60)</f>
        <v>0.2</v>
      </c>
      <c r="BM1033" s="380">
        <f>MOD((50000+AD1033-$B$3+(0/24)),1)</f>
        <v>0.77670433348976076</v>
      </c>
      <c r="BN1033" s="381" t="s">
        <v>9088</v>
      </c>
      <c r="BO1033" s="382">
        <v>1027</v>
      </c>
    </row>
    <row r="1034" spans="1:67" s="24" customFormat="1" ht="15" customHeight="1" x14ac:dyDescent="0.25">
      <c r="A1034" s="288" t="s">
        <v>1102</v>
      </c>
      <c r="B1034" s="241" t="str">
        <f>HYPERLINK(CONCATENATE($AT$3,BK1034,$AU$3),$AV$3)</f>
        <v>S</v>
      </c>
      <c r="C1034" s="242" t="str">
        <f>HYPERLINK(CONCATENATE($AT$4,BK1034,$AU$4,BL1034),$AV$4)</f>
        <v>A</v>
      </c>
      <c r="D1034" s="243" t="s">
        <v>5638</v>
      </c>
      <c r="E1034" s="244" t="s">
        <v>5625</v>
      </c>
      <c r="F1034" s="290">
        <v>4</v>
      </c>
      <c r="G1034" s="291">
        <v>3.3</v>
      </c>
      <c r="H1034" s="283">
        <v>340</v>
      </c>
      <c r="I1034" s="284">
        <v>340</v>
      </c>
      <c r="J1034" s="295">
        <v>2</v>
      </c>
      <c r="K1034" s="277" t="s">
        <v>7630</v>
      </c>
      <c r="L1034" s="248">
        <v>134903</v>
      </c>
      <c r="M1034" s="249">
        <f>15*(LEFT(TEXT($L1034,"000000"),2)+(MID(TEXT($L1034,"000000"),3,2)/60)+(RIGHT(TEXT($L1034,"000000"),2)/3600))</f>
        <v>207.26249999999999</v>
      </c>
      <c r="N1034" s="250">
        <v>-71219</v>
      </c>
      <c r="O1034" s="251">
        <f>IF($N1034&gt;0,(LEFT(TEXT($N1034,"000000"),2)+(MID(TEXT($N1034,"000000"),3,2)/60)+(RIGHT(TEXT($N1034,"000000"),2)/3600)),-(MID(TEXT($N1034,"000000"),2,2)+(MID(TEXT($N1034,"000000"),4,2)/60)+(RIGHT(TEXT($N1034,"000000"),2)/3600)))</f>
        <v>-7.2052777777777779</v>
      </c>
      <c r="P1034" s="252" t="s">
        <v>61</v>
      </c>
      <c r="Q1034" s="253"/>
      <c r="R1034" s="321"/>
      <c r="S1034" s="272" t="s">
        <v>3293</v>
      </c>
      <c r="T1034" s="273">
        <v>11.6</v>
      </c>
      <c r="U1034" s="289">
        <v>22.8</v>
      </c>
      <c r="V1034" s="280"/>
      <c r="W1034" s="244"/>
      <c r="X1034" s="244"/>
      <c r="Y1034" s="362"/>
      <c r="Z1034" s="257">
        <f>altaz(J2000_Bas,$O1034,$M1034,DecLat,DecLong,1)</f>
        <v>5.8226601270949221</v>
      </c>
      <c r="AA1034" s="257">
        <f>altaz((J2000_Bas+(2*0.04167)),$O1034,$M1034,DecLat,DecLong,1)</f>
        <v>-19.815917170907976</v>
      </c>
      <c r="AB1034" s="257">
        <f>altaz((J2000_Bas+(4*0.04167)),$O1034,$M1034,DecLat,DecLong,1)</f>
        <v>-44.87136263758628</v>
      </c>
      <c r="AC1034" s="257">
        <f>altaz((J2000_Bas+(6*0.04167)),$O1034,$M1034,DecLat,DecLong,1)</f>
        <v>-64.073406343201853</v>
      </c>
      <c r="AD1034" s="258">
        <f>1+ transit((J2000_Bas-1),$O1034,$M1034,DecLat,DecLong)/360 + (GMTOffset/24) + (IF(DST="Y", 1, 0)/24)</f>
        <v>1.5686290697234579</v>
      </c>
      <c r="AE1034" s="259">
        <f>DATE(2001,9,21)+(M1034/360)*365 - (360*((DecLong/360)- (GMTOffset/24) ))</f>
        <v>37370.141145833331</v>
      </c>
      <c r="AF1034" s="260">
        <f>IF(DecLat&gt;0,IF((90 - (DecLat-O1034))&gt;90, (90 - (O1034-DecLat)), (90 - (DecLat-O1034))),IF((90 + (DecLat-O1034))&gt;90, (90 + (O1034-DecLat)), (90 + (DecLat-O1034))))</f>
        <v>51.794722222222219</v>
      </c>
      <c r="AG1034" s="257">
        <f>angularseperation(MoonRA,MoonDec,$M1034,$O1034)</f>
        <v>44.45964632322962</v>
      </c>
      <c r="AH1034" s="261">
        <f ca="1">MIN(100,IF($O$5&gt;80,0+30*($AG1034/100),IF($O$5&gt;70,0+50*($AG1034/100),IF($O$5&gt;60,5+50*($AG1034/100),IF($O$5&gt;50,10+60*($AG1034/100),IF($O$5&gt;40,15+70*($AG1034/100),IF($O$5&gt;30,20+70*($AG1034/100),IF($O$5&gt;20,40+55*($AG1034/100),(80+(20-$O$5)+30*($AG1034/100))))))))))</f>
        <v>96.608954241119307</v>
      </c>
      <c r="AI1034" s="263"/>
      <c r="AJ1034" s="263"/>
      <c r="AK1034" s="263"/>
      <c r="AL1034" s="263"/>
      <c r="AM1034" s="264"/>
      <c r="AN1034" s="263"/>
      <c r="AO1034" s="263">
        <v>67</v>
      </c>
      <c r="AP1034" s="265"/>
      <c r="AQ1034" s="265"/>
      <c r="AR1034" s="285"/>
      <c r="AS1034" s="263"/>
      <c r="AT1034" s="263"/>
      <c r="AU1034" s="263"/>
      <c r="AV1034" s="264"/>
      <c r="AW1034" s="263"/>
      <c r="AX1034" s="263"/>
      <c r="AY1034" s="263"/>
      <c r="AZ1034" s="263"/>
      <c r="BA1034" s="263"/>
      <c r="BB1034" s="263"/>
      <c r="BC1034" s="263"/>
      <c r="BD1034" s="264"/>
      <c r="BE1034" s="263"/>
      <c r="BF1034" s="263"/>
      <c r="BG1034" s="263"/>
      <c r="BH1034" s="263"/>
      <c r="BI1034" s="263"/>
      <c r="BJ1034" s="404">
        <f>altaz(J2000_Bas,$O1034,$M1034,DecLat,DecLong,2)</f>
        <v>257.97393203227438</v>
      </c>
      <c r="BK1034" s="378" t="s">
        <v>4064</v>
      </c>
      <c r="BL1034" s="379">
        <f>IF((2*G1034)/60&lt;0.2,0.2,(2*G1034)/60)</f>
        <v>0.2</v>
      </c>
      <c r="BM1034" s="380">
        <f>MOD((50000+AD1034-$B$3+(0/24)),1)</f>
        <v>0.78399599943077192</v>
      </c>
      <c r="BN1034" s="381" t="s">
        <v>9218</v>
      </c>
      <c r="BO1034" s="382">
        <v>1028</v>
      </c>
    </row>
    <row r="1035" spans="1:67" s="24" customFormat="1" ht="15" customHeight="1" x14ac:dyDescent="0.25">
      <c r="A1035" s="288" t="s">
        <v>1103</v>
      </c>
      <c r="B1035" s="241" t="str">
        <f>HYPERLINK(CONCATENATE($AT$3,BK1035,$AU$3),$AV$3)</f>
        <v>S</v>
      </c>
      <c r="C1035" s="242" t="str">
        <f>HYPERLINK(CONCATENATE($AT$4,BK1035,$AU$4,BL1035),$AV$4)</f>
        <v>A</v>
      </c>
      <c r="D1035" s="243" t="s">
        <v>5638</v>
      </c>
      <c r="E1035" s="244" t="s">
        <v>5625</v>
      </c>
      <c r="F1035" s="290">
        <v>5</v>
      </c>
      <c r="G1035" s="291">
        <v>9.1</v>
      </c>
      <c r="H1035" s="283">
        <v>100</v>
      </c>
      <c r="I1035" s="284">
        <v>260</v>
      </c>
      <c r="J1035" s="295">
        <v>3</v>
      </c>
      <c r="K1035" s="247" t="s">
        <v>6233</v>
      </c>
      <c r="L1035" s="248">
        <v>135341</v>
      </c>
      <c r="M1035" s="249">
        <f>15*(LEFT(TEXT($L1035,"000000"),2)+(MID(TEXT($L1035,"000000"),3,2)/60)+(RIGHT(TEXT($L1035,"000000"),2)/3600))</f>
        <v>208.42083333333332</v>
      </c>
      <c r="N1035" s="250">
        <v>402907</v>
      </c>
      <c r="O1035" s="251">
        <f>IF($N1035&gt;0,(LEFT(TEXT($N1035,"000000"),2)+(MID(TEXT($N1035,"000000"),3,2)/60)+(RIGHT(TEXT($N1035,"000000"),2)/3600)),-(MID(TEXT($N1035,"000000"),2,2)+(MID(TEXT($N1035,"000000"),4,2)/60)+(RIGHT(TEXT($N1035,"000000"),2)/3600)))</f>
        <v>40.485277777777782</v>
      </c>
      <c r="P1035" s="252" t="s">
        <v>242</v>
      </c>
      <c r="Q1035" s="253"/>
      <c r="R1035" s="292"/>
      <c r="S1035" s="272" t="s">
        <v>3293</v>
      </c>
      <c r="T1035" s="273">
        <v>9.5</v>
      </c>
      <c r="U1035" s="289">
        <v>22.9</v>
      </c>
      <c r="V1035" s="280"/>
      <c r="W1035" s="244"/>
      <c r="X1035" s="244"/>
      <c r="Y1035" s="362"/>
      <c r="Z1035" s="257">
        <f>altaz(J2000_Bas,$O1035,$M1035,DecLat,DecLong,1)</f>
        <v>28.332417625667212</v>
      </c>
      <c r="AA1035" s="257">
        <f>altaz((J2000_Bas+(2*0.04167)),$O1035,$M1035,DecLat,DecLong,1)</f>
        <v>7.8479119268377291</v>
      </c>
      <c r="AB1035" s="257">
        <f>altaz((J2000_Bas+(4*0.04167)),$O1035,$M1035,DecLat,DecLong,1)</f>
        <v>-8.5222429476001249</v>
      </c>
      <c r="AC1035" s="257">
        <f>altaz((J2000_Bas+(6*0.04167)),$O1035,$M1035,DecLat,DecLong,1)</f>
        <v>-17.632464912848818</v>
      </c>
      <c r="AD1035" s="258">
        <f>1+ transit((J2000_Bas-1),$O1035,$M1035,DecLat,DecLong)/360 + (GMTOffset/24) + (IF(DST="Y", 1, 0)/24)</f>
        <v>1.5718466619942915</v>
      </c>
      <c r="AE1035" s="259">
        <f>DATE(2001,9,21)+(M1035/360)*365 - (360*((DecLong/360)- (GMTOffset/24) ))</f>
        <v>37371.315567129626</v>
      </c>
      <c r="AF1035" s="260">
        <f>IF(DecLat&gt;0,IF((90 - (DecLat-O1035))&gt;90, (90 - (O1035-DecLat)), (90 - (DecLat-O1035))),IF((90 + (DecLat-O1035))&gt;90, (90 + (O1035-DecLat)), (90 + (DecLat-O1035))))</f>
        <v>80.514722222222218</v>
      </c>
      <c r="AG1035" s="257">
        <f>angularseperation(MoonRA,MoonDec,$M1035,$O1035)</f>
        <v>77.476113267843289</v>
      </c>
      <c r="AH1035" s="261">
        <f ca="1">MIN(100,IF($O$5&gt;80,0+30*($AG1035/100),IF($O$5&gt;70,0+50*($AG1035/100),IF($O$5&gt;60,5+50*($AG1035/100),IF($O$5&gt;50,10+60*($AG1035/100),IF($O$5&gt;40,15+70*($AG1035/100),IF($O$5&gt;30,20+70*($AG1035/100),IF($O$5&gt;20,40+55*($AG1035/100),(80+(20-$O$5)+30*($AG1035/100))))))))))</f>
        <v>100</v>
      </c>
      <c r="AI1035" s="262">
        <v>5353</v>
      </c>
      <c r="AJ1035" s="262"/>
      <c r="AK1035" s="262"/>
      <c r="AL1035" s="263"/>
      <c r="AM1035" s="264"/>
      <c r="AN1035" s="263"/>
      <c r="AO1035" s="263">
        <v>68</v>
      </c>
      <c r="AP1035" s="265"/>
      <c r="AQ1035" s="266"/>
      <c r="AR1035" s="267"/>
      <c r="AS1035" s="263"/>
      <c r="AT1035" s="263"/>
      <c r="AU1035" s="263"/>
      <c r="AV1035" s="264"/>
      <c r="AW1035" s="263"/>
      <c r="AX1035" s="263"/>
      <c r="AY1035" s="263"/>
      <c r="AZ1035" s="263"/>
      <c r="BA1035" s="263"/>
      <c r="BB1035" s="263"/>
      <c r="BC1035" s="263"/>
      <c r="BD1035" s="264"/>
      <c r="BE1035" s="263"/>
      <c r="BF1035" s="263"/>
      <c r="BG1035" s="263"/>
      <c r="BH1035" s="263"/>
      <c r="BI1035" s="263"/>
      <c r="BJ1035" s="404">
        <f>altaz(J2000_Bas,$O1035,$M1035,DecLat,DecLong,2)</f>
        <v>302.44935721930813</v>
      </c>
      <c r="BK1035" s="378" t="s">
        <v>4065</v>
      </c>
      <c r="BL1035" s="379">
        <f>IF((2*G1035)/60&lt;0.2,0.2,(2*G1035)/60)</f>
        <v>0.30333333333333334</v>
      </c>
      <c r="BM1035" s="380">
        <f>MOD((50000+AD1035-$B$3+(0/24)),1)</f>
        <v>0.78721359169867355</v>
      </c>
      <c r="BN1035" s="381"/>
      <c r="BO1035" s="382">
        <v>1029</v>
      </c>
    </row>
    <row r="1036" spans="1:67" s="24" customFormat="1" ht="15" customHeight="1" x14ac:dyDescent="0.25">
      <c r="A1036" s="288" t="s">
        <v>1104</v>
      </c>
      <c r="B1036" s="241" t="str">
        <f>HYPERLINK(CONCATENATE($AT$3,BK1036,$AU$3),$AV$3)</f>
        <v>S</v>
      </c>
      <c r="C1036" s="242" t="str">
        <f>HYPERLINK(CONCATENATE($AT$4,BK1036,$AU$4,BL1036),$AV$4)</f>
        <v>A</v>
      </c>
      <c r="D1036" s="243" t="s">
        <v>5638</v>
      </c>
      <c r="E1036" s="244" t="s">
        <v>5625</v>
      </c>
      <c r="F1036" s="290">
        <v>4</v>
      </c>
      <c r="G1036" s="291">
        <v>1.9</v>
      </c>
      <c r="H1036" s="283">
        <v>410</v>
      </c>
      <c r="I1036" s="284">
        <v>240</v>
      </c>
      <c r="J1036" s="295">
        <v>2</v>
      </c>
      <c r="K1036" s="247" t="s">
        <v>3763</v>
      </c>
      <c r="L1036" s="248">
        <v>135531</v>
      </c>
      <c r="M1036" s="249">
        <f>15*(LEFT(TEXT($L1036,"000000"),2)+(MID(TEXT($L1036,"000000"),3,2)/60)+(RIGHT(TEXT($L1036,"000000"),2)/3600))</f>
        <v>208.87916666666666</v>
      </c>
      <c r="N1036" s="250">
        <v>250346</v>
      </c>
      <c r="O1036" s="251">
        <f>IF($N1036&gt;0,(LEFT(TEXT($N1036,"000000"),2)+(MID(TEXT($N1036,"000000"),3,2)/60)+(RIGHT(TEXT($N1036,"000000"),2)/3600)),-(MID(TEXT($N1036,"000000"),2,2)+(MID(TEXT($N1036,"000000"),4,2)/60)+(RIGHT(TEXT($N1036,"000000"),2)/3600)))</f>
        <v>25.062777777777779</v>
      </c>
      <c r="P1036" s="252" t="s">
        <v>260</v>
      </c>
      <c r="Q1036" s="253"/>
      <c r="R1036" s="292"/>
      <c r="S1036" s="272" t="s">
        <v>3293</v>
      </c>
      <c r="T1036" s="273">
        <v>12.5</v>
      </c>
      <c r="U1036" s="289">
        <v>22.2</v>
      </c>
      <c r="V1036" s="280"/>
      <c r="W1036" s="244"/>
      <c r="X1036" s="244"/>
      <c r="Y1036" s="362"/>
      <c r="Z1036" s="257">
        <f>altaz(J2000_Bas,$O1036,$M1036,DecLat,DecLong,1)</f>
        <v>23.029852410079954</v>
      </c>
      <c r="AA1036" s="257">
        <f>altaz((J2000_Bas+(2*0.04167)),$O1036,$M1036,DecLat,DecLong,1)</f>
        <v>-0.66082324812087545</v>
      </c>
      <c r="AB1036" s="257">
        <f>altaz((J2000_Bas+(4*0.04167)),$O1036,$M1036,DecLat,DecLong,1)</f>
        <v>-20.633414986511362</v>
      </c>
      <c r="AC1036" s="257">
        <f>altaz((J2000_Bas+(6*0.04167)),$O1036,$M1036,DecLat,DecLong,1)</f>
        <v>-32.650748337213649</v>
      </c>
      <c r="AD1036" s="258">
        <f>1+ transit((J2000_Bas-1),$O1036,$M1036,DecLat,DecLong)/360 + (GMTOffset/24) + (IF(DST="Y", 1, 0)/24)</f>
        <v>1.5731198100151247</v>
      </c>
      <c r="AE1036" s="259">
        <f>DATE(2001,9,21)+(M1036/360)*365 - (360*((DecLong/360)- (GMTOffset/24) ))</f>
        <v>37371.780266203707</v>
      </c>
      <c r="AF1036" s="260">
        <f>IF(DecLat&gt;0,IF((90 - (DecLat-O1036))&gt;90, (90 - (O1036-DecLat)), (90 - (DecLat-O1036))),IF((90 + (DecLat-O1036))&gt;90, (90 + (O1036-DecLat)), (90 + (DecLat-O1036))))</f>
        <v>84.062777777777782</v>
      </c>
      <c r="AG1036" s="257">
        <f>angularseperation(MoonRA,MoonDec,$M1036,$O1036)</f>
        <v>65.060703336328743</v>
      </c>
      <c r="AH1036" s="261">
        <f ca="1">MIN(100,IF($O$5&gt;80,0+30*($AG1036/100),IF($O$5&gt;70,0+50*($AG1036/100),IF($O$5&gt;60,5+50*($AG1036/100),IF($O$5&gt;50,10+60*($AG1036/100),IF($O$5&gt;40,15+70*($AG1036/100),IF($O$5&gt;30,20+70*($AG1036/100),IF($O$5&gt;20,40+55*($AG1036/100),(80+(20-$O$5)+30*($AG1036/100))))))))))</f>
        <v>100</v>
      </c>
      <c r="AI1036" s="262"/>
      <c r="AJ1036" s="262"/>
      <c r="AK1036" s="262"/>
      <c r="AL1036" s="263"/>
      <c r="AM1036" s="264"/>
      <c r="AN1036" s="263"/>
      <c r="AO1036" s="263">
        <v>69</v>
      </c>
      <c r="AP1036" s="265"/>
      <c r="AQ1036" s="266">
        <v>8842</v>
      </c>
      <c r="AR1036" s="267"/>
      <c r="AS1036" s="263"/>
      <c r="AT1036" s="263"/>
      <c r="AU1036" s="263"/>
      <c r="AV1036" s="264"/>
      <c r="AW1036" s="263"/>
      <c r="AX1036" s="263"/>
      <c r="AY1036" s="263"/>
      <c r="AZ1036" s="263"/>
      <c r="BA1036" s="263"/>
      <c r="BB1036" s="263"/>
      <c r="BC1036" s="263"/>
      <c r="BD1036" s="264"/>
      <c r="BE1036" s="263"/>
      <c r="BF1036" s="263"/>
      <c r="BG1036" s="263"/>
      <c r="BH1036" s="263"/>
      <c r="BI1036" s="263"/>
      <c r="BJ1036" s="404">
        <f>altaz(J2000_Bas,$O1036,$M1036,DecLat,DecLong,2)</f>
        <v>286.35435065654121</v>
      </c>
      <c r="BK1036" s="378" t="s">
        <v>4066</v>
      </c>
      <c r="BL1036" s="379">
        <f>IF((2*G1036)/60&lt;0.2,0.2,(2*G1036)/60)</f>
        <v>0.2</v>
      </c>
      <c r="BM1036" s="380">
        <f>MOD((50000+AD1036-$B$3+(0/24)),1)</f>
        <v>0.78848673972242977</v>
      </c>
      <c r="BN1036" s="381"/>
      <c r="BO1036" s="382">
        <v>1030</v>
      </c>
    </row>
    <row r="1037" spans="1:67" s="24" customFormat="1" ht="15" customHeight="1" x14ac:dyDescent="0.25">
      <c r="A1037" s="288" t="s">
        <v>1105</v>
      </c>
      <c r="B1037" s="241" t="str">
        <f>HYPERLINK(CONCATENATE($AT$3,BK1037,$AU$3),$AV$3)</f>
        <v>S</v>
      </c>
      <c r="C1037" s="242" t="str">
        <f>HYPERLINK(CONCATENATE($AT$4,BK1037,$AU$4,BL1037),$AV$4)</f>
        <v>A</v>
      </c>
      <c r="D1037" s="243" t="s">
        <v>5638</v>
      </c>
      <c r="E1037" s="244" t="s">
        <v>5625</v>
      </c>
      <c r="F1037" s="293">
        <v>6</v>
      </c>
      <c r="G1037" s="291">
        <v>3.4</v>
      </c>
      <c r="H1037" s="283">
        <v>380</v>
      </c>
      <c r="I1037" s="284">
        <v>390</v>
      </c>
      <c r="J1037" s="295">
        <v>2</v>
      </c>
      <c r="K1037" s="277" t="s">
        <v>3438</v>
      </c>
      <c r="L1037" s="248">
        <v>140413</v>
      </c>
      <c r="M1037" s="249">
        <f>15*(LEFT(TEXT($L1037,"000000"),2)+(MID(TEXT($L1037,"000000"),3,2)/60)+(RIGHT(TEXT($L1037,"000000"),2)/3600))</f>
        <v>211.05416666666665</v>
      </c>
      <c r="N1037" s="250">
        <v>331940</v>
      </c>
      <c r="O1037" s="251">
        <f>IF($N1037&gt;0,(LEFT(TEXT($N1037,"000000"),2)+(MID(TEXT($N1037,"000000"),3,2)/60)+(RIGHT(TEXT($N1037,"000000"),2)/3600)),-(MID(TEXT($N1037,"000000"),2,2)+(MID(TEXT($N1037,"000000"),4,2)/60)+(RIGHT(TEXT($N1037,"000000"),2)/3600)))</f>
        <v>33.327777777777783</v>
      </c>
      <c r="P1037" s="252" t="s">
        <v>242</v>
      </c>
      <c r="Q1037" s="253"/>
      <c r="R1037" s="321"/>
      <c r="S1037" s="272" t="s">
        <v>3293</v>
      </c>
      <c r="T1037" s="273">
        <v>12.1</v>
      </c>
      <c r="U1037" s="289">
        <v>23.4</v>
      </c>
      <c r="V1037" s="280"/>
      <c r="W1037" s="244"/>
      <c r="X1037" s="244"/>
      <c r="Y1037" s="362"/>
      <c r="Z1037" s="257">
        <f>altaz(J2000_Bas,$O1037,$M1037,DecLat,DecLong,1)</f>
        <v>27.967091435956895</v>
      </c>
      <c r="AA1037" s="257">
        <f>altaz((J2000_Bas+(2*0.04167)),$O1037,$M1037,DecLat,DecLong,1)</f>
        <v>5.5786500641648047</v>
      </c>
      <c r="AB1037" s="257">
        <f>altaz((J2000_Bas+(4*0.04167)),$O1037,$M1037,DecLat,DecLong,1)</f>
        <v>-12.972914713881361</v>
      </c>
      <c r="AC1037" s="257">
        <f>altaz((J2000_Bas+(6*0.04167)),$O1037,$M1037,DecLat,DecLong,1)</f>
        <v>-24.171408397584511</v>
      </c>
      <c r="AD1037" s="258">
        <f>1+ transit((J2000_Bas-1),$O1037,$M1037,DecLat,DecLong)/360 + (GMTOffset/24) + (IF(DST="Y", 1, 0)/24)</f>
        <v>1.5791614760776247</v>
      </c>
      <c r="AE1037" s="259">
        <f>DATE(2001,9,21)+(M1037/360)*365 - (360*((DecLong/360)- (GMTOffset/24) ))</f>
        <v>37373.985474537039</v>
      </c>
      <c r="AF1037" s="260">
        <f>IF(DecLat&gt;0,IF((90 - (DecLat-O1037))&gt;90, (90 - (O1037-DecLat)), (90 - (DecLat-O1037))),IF((90 + (DecLat-O1037))&gt;90, (90 + (O1037-DecLat)), (90 + (DecLat-O1037))))</f>
        <v>87.672222222222217</v>
      </c>
      <c r="AG1037" s="257">
        <f>angularseperation(MoonRA,MoonDec,$M1037,$O1037)</f>
        <v>70.454470404414806</v>
      </c>
      <c r="AH1037" s="261">
        <f ca="1">MIN(100,IF($O$5&gt;80,0+30*($AG1037/100),IF($O$5&gt;70,0+50*($AG1037/100),IF($O$5&gt;60,5+50*($AG1037/100),IF($O$5&gt;50,10+60*($AG1037/100),IF($O$5&gt;40,15+70*($AG1037/100),IF($O$5&gt;30,20+70*($AG1037/100),IF($O$5&gt;20,40+55*($AG1037/100),(80+(20-$O$5)+30*($AG1037/100))))))))))</f>
        <v>100</v>
      </c>
      <c r="AI1037" s="263"/>
      <c r="AJ1037" s="263"/>
      <c r="AK1037" s="263"/>
      <c r="AL1037" s="263"/>
      <c r="AM1037" s="264"/>
      <c r="AN1037" s="263"/>
      <c r="AO1037" s="263">
        <v>70</v>
      </c>
      <c r="AP1037" s="265"/>
      <c r="AQ1037" s="265"/>
      <c r="AR1037" s="285"/>
      <c r="AS1037" s="263"/>
      <c r="AT1037" s="263"/>
      <c r="AU1037" s="263"/>
      <c r="AV1037" s="264"/>
      <c r="AW1037" s="263"/>
      <c r="AX1037" s="263"/>
      <c r="AY1037" s="263"/>
      <c r="AZ1037" s="263"/>
      <c r="BA1037" s="263"/>
      <c r="BB1037" s="263"/>
      <c r="BC1037" s="263"/>
      <c r="BD1037" s="264"/>
      <c r="BE1037" s="263"/>
      <c r="BF1037" s="263"/>
      <c r="BG1037" s="263"/>
      <c r="BH1037" s="263"/>
      <c r="BI1037" s="263"/>
      <c r="BJ1037" s="404">
        <f>altaz(J2000_Bas,$O1037,$M1037,DecLat,DecLong,2)</f>
        <v>293.99730480914781</v>
      </c>
      <c r="BK1037" s="378" t="s">
        <v>4067</v>
      </c>
      <c r="BL1037" s="379">
        <f>IF((2*G1037)/60&lt;0.2,0.2,(2*G1037)/60)</f>
        <v>0.2</v>
      </c>
      <c r="BM1037" s="380">
        <f>MOD((50000+AD1037-$B$3+(0/24)),1)</f>
        <v>0.7945284057786921</v>
      </c>
      <c r="BN1037" s="381"/>
      <c r="BO1037" s="382">
        <v>1031</v>
      </c>
    </row>
    <row r="1038" spans="1:67" s="24" customFormat="1" ht="15" customHeight="1" x14ac:dyDescent="0.25">
      <c r="A1038" s="288" t="s">
        <v>1106</v>
      </c>
      <c r="B1038" s="241" t="str">
        <f>HYPERLINK(CONCATENATE($AT$3,BK1038,$AU$3),$AV$3)</f>
        <v>S</v>
      </c>
      <c r="C1038" s="242" t="str">
        <f>HYPERLINK(CONCATENATE($AT$4,BK1038,$AU$4,BL1038),$AV$4)</f>
        <v>A</v>
      </c>
      <c r="D1038" s="243" t="s">
        <v>5638</v>
      </c>
      <c r="E1038" s="244" t="s">
        <v>5625</v>
      </c>
      <c r="F1038" s="290">
        <v>4</v>
      </c>
      <c r="G1038" s="291">
        <v>5</v>
      </c>
      <c r="H1038" s="283">
        <v>430</v>
      </c>
      <c r="I1038" s="284">
        <v>600</v>
      </c>
      <c r="J1038" s="295">
        <v>2</v>
      </c>
      <c r="K1038" s="277" t="s">
        <v>4656</v>
      </c>
      <c r="L1038" s="248">
        <v>141104</v>
      </c>
      <c r="M1038" s="249">
        <f>15*(LEFT(TEXT($L1038,"000000"),2)+(MID(TEXT($L1038,"000000"),3,2)/60)+(RIGHT(TEXT($L1038,"000000"),2)/3600))</f>
        <v>212.76666666666668</v>
      </c>
      <c r="N1038" s="250">
        <v>252906</v>
      </c>
      <c r="O1038" s="251">
        <f>IF($N1038&gt;0,(LEFT(TEXT($N1038,"000000"),2)+(MID(TEXT($N1038,"000000"),3,2)/60)+(RIGHT(TEXT($N1038,"000000"),2)/3600)),-(MID(TEXT($N1038,"000000"),2,2)+(MID(TEXT($N1038,"000000"),4,2)/60)+(RIGHT(TEXT($N1038,"000000"),2)/3600)))</f>
        <v>25.484999999999999</v>
      </c>
      <c r="P1038" s="252" t="s">
        <v>260</v>
      </c>
      <c r="Q1038" s="253"/>
      <c r="R1038" s="321"/>
      <c r="S1038" s="272" t="s">
        <v>3293</v>
      </c>
      <c r="T1038" s="273">
        <v>12.8</v>
      </c>
      <c r="U1038" s="289">
        <v>24.9</v>
      </c>
      <c r="V1038" s="280"/>
      <c r="W1038" s="244"/>
      <c r="X1038" s="244"/>
      <c r="Y1038" s="362"/>
      <c r="Z1038" s="257">
        <f>altaz(J2000_Bas,$O1038,$M1038,DecLat,DecLong,1)</f>
        <v>26.409590835497987</v>
      </c>
      <c r="AA1038" s="257">
        <f>altaz((J2000_Bas+(2*0.04167)),$O1038,$M1038,DecLat,DecLong,1)</f>
        <v>2.4836570041084607</v>
      </c>
      <c r="AB1038" s="257">
        <f>altaz((J2000_Bas+(4*0.04167)),$O1038,$M1038,DecLat,DecLong,1)</f>
        <v>-18.064331725904786</v>
      </c>
      <c r="AC1038" s="257">
        <f>altaz((J2000_Bas+(6*0.04167)),$O1038,$M1038,DecLat,DecLong,1)</f>
        <v>-31.349127917537533</v>
      </c>
      <c r="AD1038" s="258">
        <f>1+ transit((J2000_Bas-1),$O1038,$M1038,DecLat,DecLong)/360 + (GMTOffset/24) + (IF(DST="Y", 1, 0)/24)</f>
        <v>1.5839184200463747</v>
      </c>
      <c r="AE1038" s="259">
        <f>DATE(2001,9,21)+(M1038/360)*365 - (360*((DecLong/360)- (GMTOffset/24) ))</f>
        <v>37375.721759259257</v>
      </c>
      <c r="AF1038" s="260">
        <f>IF(DecLat&gt;0,IF((90 - (DecLat-O1038))&gt;90, (90 - (O1038-DecLat)), (90 - (DecLat-O1038))),IF((90 + (DecLat-O1038))&gt;90, (90 + (O1038-DecLat)), (90 + (DecLat-O1038))))</f>
        <v>84.484999999999999</v>
      </c>
      <c r="AG1038" s="257">
        <f>angularseperation(MoonRA,MoonDec,$M1038,$O1038)</f>
        <v>63.232634506976837</v>
      </c>
      <c r="AH1038" s="261">
        <f ca="1">MIN(100,IF($O$5&gt;80,0+30*($AG1038/100),IF($O$5&gt;70,0+50*($AG1038/100),IF($O$5&gt;60,5+50*($AG1038/100),IF($O$5&gt;50,10+60*($AG1038/100),IF($O$5&gt;40,15+70*($AG1038/100),IF($O$5&gt;30,20+70*($AG1038/100),IF($O$5&gt;20,40+55*($AG1038/100),(80+(20-$O$5)+30*($AG1038/100))))))))))</f>
        <v>100</v>
      </c>
      <c r="AI1038" s="263"/>
      <c r="AJ1038" s="263"/>
      <c r="AK1038" s="263"/>
      <c r="AL1038" s="263"/>
      <c r="AM1038" s="264"/>
      <c r="AN1038" s="263"/>
      <c r="AO1038" s="263">
        <v>71</v>
      </c>
      <c r="AP1038" s="265"/>
      <c r="AQ1038" s="265">
        <v>9073</v>
      </c>
      <c r="AR1038" s="285"/>
      <c r="AS1038" s="263"/>
      <c r="AT1038" s="263"/>
      <c r="AU1038" s="263"/>
      <c r="AV1038" s="264"/>
      <c r="AW1038" s="263"/>
      <c r="AX1038" s="263"/>
      <c r="AY1038" s="263"/>
      <c r="AZ1038" s="263"/>
      <c r="BA1038" s="263"/>
      <c r="BB1038" s="263"/>
      <c r="BC1038" s="263"/>
      <c r="BD1038" s="264"/>
      <c r="BE1038" s="263"/>
      <c r="BF1038" s="263"/>
      <c r="BG1038" s="263"/>
      <c r="BH1038" s="263"/>
      <c r="BI1038" s="263"/>
      <c r="BJ1038" s="404">
        <f>altaz(J2000_Bas,$O1038,$M1038,DecLat,DecLong,2)</f>
        <v>285.19288487717688</v>
      </c>
      <c r="BK1038" s="378" t="s">
        <v>4068</v>
      </c>
      <c r="BL1038" s="379">
        <f>IF((2*G1038)/60&lt;0.2,0.2,(2*G1038)/60)</f>
        <v>0.2</v>
      </c>
      <c r="BM1038" s="380">
        <f>MOD((50000+AD1038-$B$3+(0/24)),1)</f>
        <v>0.79928534974897048</v>
      </c>
      <c r="BN1038" s="381"/>
      <c r="BO1038" s="382">
        <v>1032</v>
      </c>
    </row>
    <row r="1039" spans="1:67" s="24" customFormat="1" ht="15" customHeight="1" x14ac:dyDescent="0.25">
      <c r="A1039" s="288" t="s">
        <v>1107</v>
      </c>
      <c r="B1039" s="241" t="str">
        <f>HYPERLINK(CONCATENATE($AT$3,BK1039,$AU$3),$AV$3)</f>
        <v>S</v>
      </c>
      <c r="C1039" s="242" t="str">
        <f>HYPERLINK(CONCATENATE($AT$4,BK1039,$AU$4,BL1039),$AV$4)</f>
        <v>A</v>
      </c>
      <c r="D1039" s="243" t="s">
        <v>5638</v>
      </c>
      <c r="E1039" s="244" t="s">
        <v>5625</v>
      </c>
      <c r="F1039" s="290">
        <v>5</v>
      </c>
      <c r="G1039" s="291">
        <v>1.9</v>
      </c>
      <c r="H1039" s="283">
        <v>570</v>
      </c>
      <c r="I1039" s="284">
        <v>340</v>
      </c>
      <c r="J1039" s="295">
        <v>2</v>
      </c>
      <c r="K1039" s="277" t="s">
        <v>7632</v>
      </c>
      <c r="L1039" s="248">
        <v>151928</v>
      </c>
      <c r="M1039" s="249">
        <f>15*(LEFT(TEXT($L1039,"000000"),2)+(MID(TEXT($L1039,"000000"),3,2)/60)+(RIGHT(TEXT($L1039,"000000"),2)/3600))</f>
        <v>229.86666666666665</v>
      </c>
      <c r="N1039" s="250">
        <v>205337</v>
      </c>
      <c r="O1039" s="251">
        <f>IF($N1039&gt;0,(LEFT(TEXT($N1039,"000000"),2)+(MID(TEXT($N1039,"000000"),3,2)/60)+(RIGHT(TEXT($N1039,"000000"),2)/3600)),-(MID(TEXT($N1039,"000000"),2,2)+(MID(TEXT($N1039,"000000"),4,2)/60)+(RIGHT(TEXT($N1039,"000000"),2)/3600)))</f>
        <v>20.89361111111111</v>
      </c>
      <c r="P1039" s="252" t="s">
        <v>115</v>
      </c>
      <c r="Q1039" s="253"/>
      <c r="R1039" s="321"/>
      <c r="S1039" s="272" t="s">
        <v>3293</v>
      </c>
      <c r="T1039" s="273">
        <v>12.1</v>
      </c>
      <c r="U1039" s="289">
        <v>22.1</v>
      </c>
      <c r="V1039" s="280"/>
      <c r="W1039" s="244"/>
      <c r="X1039" s="244"/>
      <c r="Y1039" s="362"/>
      <c r="Z1039" s="257">
        <f>altaz(J2000_Bas,$O1039,$M1039,DecLat,DecLong,1)</f>
        <v>39.043264858035933</v>
      </c>
      <c r="AA1039" s="257">
        <f>altaz((J2000_Bas+(2*0.04167)),$O1039,$M1039,DecLat,DecLong,1)</f>
        <v>13.678079341120847</v>
      </c>
      <c r="AB1039" s="257">
        <f>altaz((J2000_Bas+(4*0.04167)),$O1039,$M1039,DecLat,DecLong,1)</f>
        <v>-9.857379612587982</v>
      </c>
      <c r="AC1039" s="257">
        <f>altaz((J2000_Bas+(6*0.04167)),$O1039,$M1039,DecLat,DecLong,1)</f>
        <v>-28.897607853047667</v>
      </c>
      <c r="AD1039" s="258">
        <f>1+ transit((J2000_Bas-1),$O1039,$M1039,DecLat,DecLong)/360 + (GMTOffset/24) + (IF(DST="Y", 1, 0)/24)</f>
        <v>1.6314184152963747</v>
      </c>
      <c r="AE1039" s="259">
        <f>DATE(2001,9,21)+(M1039/360)*365 - (360*((DecLong/360)- (GMTOffset/24) ))</f>
        <v>37393.059259259258</v>
      </c>
      <c r="AF1039" s="260">
        <f>IF(DecLat&gt;0,IF((90 - (DecLat-O1039))&gt;90, (90 - (O1039-DecLat)), (90 - (DecLat-O1039))),IF((90 + (DecLat-O1039))&gt;90, (90 + (O1039-DecLat)), (90 + (DecLat-O1039))))</f>
        <v>79.893611111111113</v>
      </c>
      <c r="AG1039" s="257">
        <f>angularseperation(MoonRA,MoonDec,$M1039,$O1039)</f>
        <v>51.514836298177762</v>
      </c>
      <c r="AH1039" s="261">
        <f ca="1">MIN(100,IF($O$5&gt;80,0+30*($AG1039/100),IF($O$5&gt;70,0+50*($AG1039/100),IF($O$5&gt;60,5+50*($AG1039/100),IF($O$5&gt;50,10+60*($AG1039/100),IF($O$5&gt;40,15+70*($AG1039/100),IF($O$5&gt;30,20+70*($AG1039/100),IF($O$5&gt;20,40+55*($AG1039/100),(80+(20-$O$5)+30*($AG1039/100))))))))))</f>
        <v>98.725511233603754</v>
      </c>
      <c r="AI1039" s="263"/>
      <c r="AJ1039" s="263"/>
      <c r="AK1039" s="263"/>
      <c r="AL1039" s="263"/>
      <c r="AM1039" s="264"/>
      <c r="AN1039" s="263"/>
      <c r="AO1039" s="263">
        <v>74</v>
      </c>
      <c r="AP1039" s="265"/>
      <c r="AQ1039" s="265"/>
      <c r="AR1039" s="285"/>
      <c r="AS1039" s="263"/>
      <c r="AT1039" s="263"/>
      <c r="AU1039" s="263"/>
      <c r="AV1039" s="264"/>
      <c r="AW1039" s="263"/>
      <c r="AX1039" s="263"/>
      <c r="AY1039" s="263"/>
      <c r="AZ1039" s="263"/>
      <c r="BA1039" s="263"/>
      <c r="BB1039" s="263"/>
      <c r="BC1039" s="263"/>
      <c r="BD1039" s="264"/>
      <c r="BE1039" s="263"/>
      <c r="BF1039" s="263"/>
      <c r="BG1039" s="263"/>
      <c r="BH1039" s="263"/>
      <c r="BI1039" s="263"/>
      <c r="BJ1039" s="404">
        <f>altaz(J2000_Bas,$O1039,$M1039,DecLat,DecLong,2)</f>
        <v>272.77299877124665</v>
      </c>
      <c r="BK1039" s="378" t="s">
        <v>4071</v>
      </c>
      <c r="BL1039" s="379">
        <f>IF((2*G1039)/60&lt;0.2,0.2,(2*G1039)/60)</f>
        <v>0.2</v>
      </c>
      <c r="BM1039" s="380">
        <f>MOD((50000+AD1039-$B$3+(0/24)),1)</f>
        <v>0.84678534499835223</v>
      </c>
      <c r="BN1039" s="381"/>
      <c r="BO1039" s="382">
        <v>1033</v>
      </c>
    </row>
    <row r="1040" spans="1:67" s="24" customFormat="1" ht="15" customHeight="1" x14ac:dyDescent="0.25">
      <c r="A1040" s="288" t="s">
        <v>1108</v>
      </c>
      <c r="B1040" s="241" t="str">
        <f>HYPERLINK(CONCATENATE($AT$3,BK1040,$AU$3),$AV$3)</f>
        <v>S</v>
      </c>
      <c r="C1040" s="242" t="str">
        <f>HYPERLINK(CONCATENATE($AT$4,BK1040,$AU$4,BL1040),$AV$4)</f>
        <v>A</v>
      </c>
      <c r="D1040" s="243" t="s">
        <v>5638</v>
      </c>
      <c r="E1040" s="244" t="s">
        <v>5625</v>
      </c>
      <c r="F1040" s="293">
        <v>6</v>
      </c>
      <c r="G1040" s="291">
        <v>2.2000000000000002</v>
      </c>
      <c r="H1040" s="283">
        <v>580</v>
      </c>
      <c r="I1040" s="284">
        <v>370</v>
      </c>
      <c r="J1040" s="295">
        <v>2</v>
      </c>
      <c r="K1040" s="247" t="s">
        <v>7633</v>
      </c>
      <c r="L1040" s="248">
        <v>152134</v>
      </c>
      <c r="M1040" s="249">
        <f>15*(LEFT(TEXT($L1040,"000000"),2)+(MID(TEXT($L1040,"000000"),3,2)/60)+(RIGHT(TEXT($L1040,"000000"),2)/3600))</f>
        <v>230.39166666666665</v>
      </c>
      <c r="N1040" s="250">
        <v>211100</v>
      </c>
      <c r="O1040" s="251">
        <f>IF($N1040&gt;0,(LEFT(TEXT($N1040,"000000"),2)+(MID(TEXT($N1040,"000000"),3,2)/60)+(RIGHT(TEXT($N1040,"000000"),2)/3600)),-(MID(TEXT($N1040,"000000"),2,2)+(MID(TEXT($N1040,"000000"),4,2)/60)+(RIGHT(TEXT($N1040,"000000"),2)/3600)))</f>
        <v>21.183333333333334</v>
      </c>
      <c r="P1040" s="252" t="s">
        <v>115</v>
      </c>
      <c r="Q1040" s="253"/>
      <c r="R1040" s="292"/>
      <c r="S1040" s="272" t="s">
        <v>3293</v>
      </c>
      <c r="T1040" s="273">
        <v>12.4</v>
      </c>
      <c r="U1040" s="289">
        <v>22.7</v>
      </c>
      <c r="V1040" s="280"/>
      <c r="W1040" s="244"/>
      <c r="X1040" s="244"/>
      <c r="Y1040" s="362"/>
      <c r="Z1040" s="257">
        <f>altaz(J2000_Bas,$O1040,$M1040,DecLat,DecLong,1)</f>
        <v>39.608114106711881</v>
      </c>
      <c r="AA1040" s="257">
        <f>altaz((J2000_Bas+(2*0.04167)),$O1040,$M1040,DecLat,DecLong,1)</f>
        <v>14.246840256158809</v>
      </c>
      <c r="AB1040" s="257">
        <f>altaz((J2000_Bas+(4*0.04167)),$O1040,$M1040,DecLat,DecLong,1)</f>
        <v>-9.2937448633670616</v>
      </c>
      <c r="AC1040" s="257">
        <f>altaz((J2000_Bas+(6*0.04167)),$O1040,$M1040,DecLat,DecLong,1)</f>
        <v>-28.387837304476808</v>
      </c>
      <c r="AD1040" s="258">
        <f>1+ transit((J2000_Bas-1),$O1040,$M1040,DecLat,DecLong)/360 + (GMTOffset/24) + (IF(DST="Y", 1, 0)/24)</f>
        <v>1.6328767484838747</v>
      </c>
      <c r="AE1040" s="259">
        <f>DATE(2001,9,21)+(M1040/360)*365 - (360*((DecLong/360)- (GMTOffset/24) ))</f>
        <v>37393.591550925928</v>
      </c>
      <c r="AF1040" s="260">
        <f>IF(DecLat&gt;0,IF((90 - (DecLat-O1040))&gt;90, (90 - (O1040-DecLat)), (90 - (DecLat-O1040))),IF((90 + (DecLat-O1040))&gt;90, (90 + (O1040-DecLat)), (90 + (DecLat-O1040))))</f>
        <v>80.183333333333337</v>
      </c>
      <c r="AG1040" s="257">
        <f>angularseperation(MoonRA,MoonDec,$M1040,$O1040)</f>
        <v>51.601359290356449</v>
      </c>
      <c r="AH1040" s="261">
        <f ca="1">MIN(100,IF($O$5&gt;80,0+30*($AG1040/100),IF($O$5&gt;70,0+50*($AG1040/100),IF($O$5&gt;60,5+50*($AG1040/100),IF($O$5&gt;50,10+60*($AG1040/100),IF($O$5&gt;40,15+70*($AG1040/100),IF($O$5&gt;30,20+70*($AG1040/100),IF($O$5&gt;20,40+55*($AG1040/100),(80+(20-$O$5)+30*($AG1040/100))))))))))</f>
        <v>98.751468131257369</v>
      </c>
      <c r="AI1040" s="262"/>
      <c r="AJ1040" s="262"/>
      <c r="AK1040" s="262"/>
      <c r="AL1040" s="263"/>
      <c r="AM1040" s="264"/>
      <c r="AN1040" s="263"/>
      <c r="AO1040" s="263">
        <v>75</v>
      </c>
      <c r="AP1040" s="265"/>
      <c r="AQ1040" s="266"/>
      <c r="AR1040" s="267"/>
      <c r="AS1040" s="263"/>
      <c r="AT1040" s="263"/>
      <c r="AU1040" s="263"/>
      <c r="AV1040" s="264"/>
      <c r="AW1040" s="263"/>
      <c r="AX1040" s="263"/>
      <c r="AY1040" s="263"/>
      <c r="AZ1040" s="263"/>
      <c r="BA1040" s="263"/>
      <c r="BB1040" s="263"/>
      <c r="BC1040" s="263"/>
      <c r="BD1040" s="264"/>
      <c r="BE1040" s="263"/>
      <c r="BF1040" s="263"/>
      <c r="BG1040" s="263"/>
      <c r="BH1040" s="263"/>
      <c r="BI1040" s="263"/>
      <c r="BJ1040" s="404">
        <f>altaz(J2000_Bas,$O1040,$M1040,DecLat,DecLong,2)</f>
        <v>272.86428677252843</v>
      </c>
      <c r="BK1040" s="378" t="s">
        <v>4072</v>
      </c>
      <c r="BL1040" s="379">
        <f>IF((2*G1040)/60&lt;0.2,0.2,(2*G1040)/60)</f>
        <v>0.2</v>
      </c>
      <c r="BM1040" s="380">
        <f>MOD((50000+AD1040-$B$3+(0/24)),1)</f>
        <v>0.84824367818509927</v>
      </c>
      <c r="BN1040" s="381"/>
      <c r="BO1040" s="382">
        <v>1034</v>
      </c>
    </row>
    <row r="1041" spans="1:67" s="24" customFormat="1" ht="15" customHeight="1" x14ac:dyDescent="0.25">
      <c r="A1041" s="288" t="s">
        <v>1109</v>
      </c>
      <c r="B1041" s="241" t="str">
        <f>HYPERLINK(CONCATENATE($AT$3,BK1041,$AU$3),$AV$3)</f>
        <v>S</v>
      </c>
      <c r="C1041" s="242" t="str">
        <f>HYPERLINK(CONCATENATE($AT$4,BK1041,$AU$4,BL1041),$AV$4)</f>
        <v>A</v>
      </c>
      <c r="D1041" s="243" t="s">
        <v>5638</v>
      </c>
      <c r="E1041" s="244" t="s">
        <v>5625</v>
      </c>
      <c r="F1041" s="290">
        <v>5</v>
      </c>
      <c r="G1041" s="291">
        <v>3.3</v>
      </c>
      <c r="H1041" s="283">
        <v>470</v>
      </c>
      <c r="I1041" s="284">
        <v>470</v>
      </c>
      <c r="J1041" s="295">
        <v>2</v>
      </c>
      <c r="K1041" s="247" t="s">
        <v>7634</v>
      </c>
      <c r="L1041" s="248">
        <v>153142</v>
      </c>
      <c r="M1041" s="249">
        <f>15*(LEFT(TEXT($L1041,"000000"),2)+(MID(TEXT($L1041,"000000"),3,2)/60)+(RIGHT(TEXT($L1041,"000000"),2)/3600))</f>
        <v>232.92500000000001</v>
      </c>
      <c r="N1041" s="250">
        <v>71829</v>
      </c>
      <c r="O1041" s="251">
        <f>IF($N1041&gt;0,(LEFT(TEXT($N1041,"000000"),2)+(MID(TEXT($N1041,"000000"),3,2)/60)+(RIGHT(TEXT($N1041,"000000"),2)/3600)),-(MID(TEXT($N1041,"000000"),2,2)+(MID(TEXT($N1041,"000000"),4,2)/60)+(RIGHT(TEXT($N1041,"000000"),2)/3600)))</f>
        <v>7.3080555555555557</v>
      </c>
      <c r="P1041" s="252" t="s">
        <v>115</v>
      </c>
      <c r="Q1041" s="253"/>
      <c r="R1041" s="292"/>
      <c r="S1041" s="272" t="s">
        <v>3293</v>
      </c>
      <c r="T1041" s="273">
        <v>12.3</v>
      </c>
      <c r="U1041" s="289">
        <v>23.5</v>
      </c>
      <c r="V1041" s="280"/>
      <c r="W1041" s="244"/>
      <c r="X1041" s="244"/>
      <c r="Y1041" s="362"/>
      <c r="Z1041" s="257">
        <f>altaz(J2000_Bas,$O1041,$M1041,DecLat,DecLong,1)</f>
        <v>35.187929703925839</v>
      </c>
      <c r="AA1041" s="257">
        <f>altaz((J2000_Bas+(2*0.04167)),$O1041,$M1041,DecLat,DecLong,1)</f>
        <v>9.5983210556547167</v>
      </c>
      <c r="AB1041" s="257">
        <f>altaz((J2000_Bas+(4*0.04167)),$O1041,$M1041,DecLat,DecLong,1)</f>
        <v>-15.667429057245103</v>
      </c>
      <c r="AC1041" s="257">
        <f>altaz((J2000_Bas+(6*0.04167)),$O1041,$M1041,DecLat,DecLong,1)</f>
        <v>-38.056275293777283</v>
      </c>
      <c r="AD1041" s="258">
        <f>1+ transit((J2000_Bas-1),$O1041,$M1041,DecLat,DecLong)/360 + (GMTOffset/24) + (IF(DST="Y", 1, 0)/24)</f>
        <v>1.6399137848172078</v>
      </c>
      <c r="AE1041" s="259">
        <f>DATE(2001,9,21)+(M1041/360)*365 - (360*((DecLong/360)- (GMTOffset/24) ))</f>
        <v>37396.160069444442</v>
      </c>
      <c r="AF1041" s="260">
        <f>IF(DecLat&gt;0,IF((90 - (DecLat-O1041))&gt;90, (90 - (O1041-DecLat)), (90 - (DecLat-O1041))),IF((90 + (DecLat-O1041))&gt;90, (90 + (O1041-DecLat)), (90 + (DecLat-O1041))))</f>
        <v>66.308055555555555</v>
      </c>
      <c r="AG1041" s="257">
        <f>angularseperation(MoonRA,MoonDec,$M1041,$O1041)</f>
        <v>37.849846123736654</v>
      </c>
      <c r="AH1041" s="261">
        <f ca="1">MIN(100,IF($O$5&gt;80,0+30*($AG1041/100),IF($O$5&gt;70,0+50*($AG1041/100),IF($O$5&gt;60,5+50*($AG1041/100),IF($O$5&gt;50,10+60*($AG1041/100),IF($O$5&gt;40,15+70*($AG1041/100),IF($O$5&gt;30,20+70*($AG1041/100),IF($O$5&gt;20,40+55*($AG1041/100),(80+(20-$O$5)+30*($AG1041/100))))))))))</f>
        <v>94.626014181271415</v>
      </c>
      <c r="AI1041" s="262"/>
      <c r="AJ1041" s="262"/>
      <c r="AK1041" s="262"/>
      <c r="AL1041" s="263"/>
      <c r="AM1041" s="264"/>
      <c r="AN1041" s="263"/>
      <c r="AO1041" s="263">
        <v>76</v>
      </c>
      <c r="AP1041" s="265"/>
      <c r="AQ1041" s="266"/>
      <c r="AR1041" s="267"/>
      <c r="AS1041" s="263"/>
      <c r="AT1041" s="263"/>
      <c r="AU1041" s="263"/>
      <c r="AV1041" s="264"/>
      <c r="AW1041" s="263"/>
      <c r="AX1041" s="263"/>
      <c r="AY1041" s="263"/>
      <c r="AZ1041" s="263"/>
      <c r="BA1041" s="263"/>
      <c r="BB1041" s="263"/>
      <c r="BC1041" s="263"/>
      <c r="BD1041" s="264"/>
      <c r="BE1041" s="263"/>
      <c r="BF1041" s="263"/>
      <c r="BG1041" s="263"/>
      <c r="BH1041" s="263"/>
      <c r="BI1041" s="263"/>
      <c r="BJ1041" s="404">
        <f>altaz(J2000_Bas,$O1041,$M1041,DecLat,DecLong,2)</f>
        <v>255.99010762537978</v>
      </c>
      <c r="BK1041" s="378" t="s">
        <v>4073</v>
      </c>
      <c r="BL1041" s="379">
        <f>IF((2*G1041)/60&lt;0.2,0.2,(2*G1041)/60)</f>
        <v>0.2</v>
      </c>
      <c r="BM1041" s="380">
        <f>MOD((50000+AD1041-$B$3+(0/24)),1)</f>
        <v>0.85528071452426957</v>
      </c>
      <c r="BN1041" s="381"/>
      <c r="BO1041" s="382">
        <v>1035</v>
      </c>
    </row>
    <row r="1042" spans="1:67" s="24" customFormat="1" ht="15" customHeight="1" x14ac:dyDescent="0.25">
      <c r="A1042" s="288" t="s">
        <v>1110</v>
      </c>
      <c r="B1042" s="241" t="str">
        <f>HYPERLINK(CONCATENATE($AT$3,BK1042,$AU$3),$AV$3)</f>
        <v>S</v>
      </c>
      <c r="C1042" s="242" t="str">
        <f>HYPERLINK(CONCATENATE($AT$4,BK1042,$AU$4,BL1042),$AV$4)</f>
        <v>A</v>
      </c>
      <c r="D1042" s="243" t="s">
        <v>5638</v>
      </c>
      <c r="E1042" s="244" t="s">
        <v>5625</v>
      </c>
      <c r="F1042" s="290">
        <v>4</v>
      </c>
      <c r="G1042" s="294">
        <v>0.8</v>
      </c>
      <c r="H1042" s="283">
        <v>490</v>
      </c>
      <c r="I1042" s="284">
        <v>115</v>
      </c>
      <c r="J1042" s="295">
        <v>2</v>
      </c>
      <c r="K1042" s="277" t="s">
        <v>3765</v>
      </c>
      <c r="L1042" s="248">
        <v>154917</v>
      </c>
      <c r="M1042" s="249">
        <f>15*(LEFT(TEXT($L1042,"000000"),2)+(MID(TEXT($L1042,"000000"),3,2)/60)+(RIGHT(TEXT($L1042,"000000"),2)/3600))</f>
        <v>237.32083333333333</v>
      </c>
      <c r="N1042" s="250">
        <v>214942</v>
      </c>
      <c r="O1042" s="251">
        <f>IF($N1042&gt;0,(LEFT(TEXT($N1042,"000000"),2)+(MID(TEXT($N1042,"000000"),3,2)/60)+(RIGHT(TEXT($N1042,"000000"),2)/3600)),-(MID(TEXT($N1042,"000000"),2,2)+(MID(TEXT($N1042,"000000"),4,2)/60)+(RIGHT(TEXT($N1042,"000000"),2)/3600)))</f>
        <v>21.828333333333333</v>
      </c>
      <c r="P1042" s="252" t="s">
        <v>115</v>
      </c>
      <c r="Q1042" s="253"/>
      <c r="R1042" s="292"/>
      <c r="S1042" s="272" t="s">
        <v>3293</v>
      </c>
      <c r="T1042" s="273">
        <v>13.8</v>
      </c>
      <c r="U1042" s="289">
        <v>21.9</v>
      </c>
      <c r="V1042" s="280"/>
      <c r="W1042" s="244"/>
      <c r="X1042" s="244"/>
      <c r="Y1042" s="362"/>
      <c r="Z1042" s="257">
        <f>altaz(J2000_Bas,$O1042,$M1042,DecLat,DecLong,1)</f>
        <v>45.796252017134876</v>
      </c>
      <c r="AA1042" s="257">
        <f>altaz((J2000_Bas+(2*0.04167)),$O1042,$M1042,DecLat,DecLong,1)</f>
        <v>20.274478312728998</v>
      </c>
      <c r="AB1042" s="257">
        <f>altaz((J2000_Bas+(4*0.04167)),$O1042,$M1042,DecLat,DecLong,1)</f>
        <v>-3.7609534320779217</v>
      </c>
      <c r="AC1042" s="257">
        <f>altaz((J2000_Bas+(6*0.04167)),$O1042,$M1042,DecLat,DecLong,1)</f>
        <v>-24.106645315622035</v>
      </c>
      <c r="AD1042" s="258">
        <f>1+ transit((J2000_Bas-1),$O1042,$M1042,DecLat,DecLong)/360 + (GMTOffset/24) + (IF(DST="Y", 1, 0)/24)</f>
        <v>1.6521244317442914</v>
      </c>
      <c r="AE1042" s="259">
        <f>DATE(2001,9,21)+(M1042/360)*365 - (360*((DecLong/360)- (GMTOffset/24) ))</f>
        <v>37400.616956018515</v>
      </c>
      <c r="AF1042" s="260">
        <f>IF(DecLat&gt;0,IF((90 - (DecLat-O1042))&gt;90, (90 - (O1042-DecLat)), (90 - (DecLat-O1042))),IF((90 + (DecLat-O1042))&gt;90, (90 + (O1042-DecLat)), (90 + (DecLat-O1042))))</f>
        <v>80.828333333333333</v>
      </c>
      <c r="AG1042" s="257">
        <f>angularseperation(MoonRA,MoonDec,$M1042,$O1042)</f>
        <v>50.253902294432862</v>
      </c>
      <c r="AH1042" s="261">
        <f ca="1">MIN(100,IF($O$5&gt;80,0+30*($AG1042/100),IF($O$5&gt;70,0+50*($AG1042/100),IF($O$5&gt;60,5+50*($AG1042/100),IF($O$5&gt;50,10+60*($AG1042/100),IF($O$5&gt;40,15+70*($AG1042/100),IF($O$5&gt;30,20+70*($AG1042/100),IF($O$5&gt;20,40+55*($AG1042/100),(80+(20-$O$5)+30*($AG1042/100))))))))))</f>
        <v>98.347231032480281</v>
      </c>
      <c r="AI1042" s="262"/>
      <c r="AJ1042" s="262"/>
      <c r="AK1042" s="262"/>
      <c r="AL1042" s="263"/>
      <c r="AM1042" s="264"/>
      <c r="AN1042" s="263"/>
      <c r="AO1042" s="263">
        <v>77</v>
      </c>
      <c r="AP1042" s="265"/>
      <c r="AQ1042" s="266">
        <v>10049</v>
      </c>
      <c r="AR1042" s="267"/>
      <c r="AS1042" s="263"/>
      <c r="AT1042" s="263"/>
      <c r="AU1042" s="263"/>
      <c r="AV1042" s="264"/>
      <c r="AW1042" s="263"/>
      <c r="AX1042" s="263"/>
      <c r="AY1042" s="263"/>
      <c r="AZ1042" s="263"/>
      <c r="BA1042" s="263"/>
      <c r="BB1042" s="263"/>
      <c r="BC1042" s="263"/>
      <c r="BD1042" s="264"/>
      <c r="BE1042" s="263"/>
      <c r="BF1042" s="263"/>
      <c r="BG1042" s="263"/>
      <c r="BH1042" s="263"/>
      <c r="BI1042" s="263"/>
      <c r="BJ1042" s="404">
        <f>altaz(J2000_Bas,$O1042,$M1042,DecLat,DecLong,2)</f>
        <v>270.250626290539</v>
      </c>
      <c r="BK1042" s="378" t="s">
        <v>4074</v>
      </c>
      <c r="BL1042" s="379">
        <f>IF((2*G1042)/60&lt;0.2,0.2,(2*G1042)/60)</f>
        <v>0.2</v>
      </c>
      <c r="BM1042" s="380">
        <f>MOD((50000+AD1042-$B$3+(0/24)),1)</f>
        <v>0.86749136144499062</v>
      </c>
      <c r="BN1042" s="381"/>
      <c r="BO1042" s="382">
        <v>1036</v>
      </c>
    </row>
    <row r="1043" spans="1:67" s="24" customFormat="1" ht="15" customHeight="1" x14ac:dyDescent="0.25">
      <c r="A1043" s="288" t="s">
        <v>1111</v>
      </c>
      <c r="B1043" s="241" t="str">
        <f>HYPERLINK(CONCATENATE($AT$3,BK1043,$AU$3),$AV$3)</f>
        <v>S</v>
      </c>
      <c r="C1043" s="242" t="str">
        <f>HYPERLINK(CONCATENATE($AT$4,BK1043,$AU$4,BL1043),$AV$4)</f>
        <v>A</v>
      </c>
      <c r="D1043" s="243" t="s">
        <v>5638</v>
      </c>
      <c r="E1043" s="244" t="s">
        <v>5625</v>
      </c>
      <c r="F1043" s="290">
        <v>4</v>
      </c>
      <c r="G1043" s="291">
        <v>3.5</v>
      </c>
      <c r="H1043" s="283">
        <v>400</v>
      </c>
      <c r="I1043" s="284">
        <v>410</v>
      </c>
      <c r="J1043" s="295">
        <v>2</v>
      </c>
      <c r="K1043" s="247" t="s">
        <v>7635</v>
      </c>
      <c r="L1043" s="248">
        <v>154828</v>
      </c>
      <c r="M1043" s="249">
        <f>15*(LEFT(TEXT($L1043,"000000"),2)+(MID(TEXT($L1043,"000000"),3,2)/60)+(RIGHT(TEXT($L1043,"000000"),2)/3600))</f>
        <v>237.11666666666667</v>
      </c>
      <c r="N1043" s="250">
        <v>681228</v>
      </c>
      <c r="O1043" s="251">
        <f>IF($N1043&gt;0,(LEFT(TEXT($N1043,"000000"),2)+(MID(TEXT($N1043,"000000"),3,2)/60)+(RIGHT(TEXT($N1043,"000000"),2)/3600)),-(MID(TEXT($N1043,"000000"),2,2)+(MID(TEXT($N1043,"000000"),4,2)/60)+(RIGHT(TEXT($N1043,"000000"),2)/3600)))</f>
        <v>68.207777777777778</v>
      </c>
      <c r="P1043" s="252" t="s">
        <v>34</v>
      </c>
      <c r="Q1043" s="253"/>
      <c r="R1043" s="292"/>
      <c r="S1043" s="272" t="s">
        <v>3293</v>
      </c>
      <c r="T1043" s="273">
        <v>12.7</v>
      </c>
      <c r="U1043" s="289">
        <v>24</v>
      </c>
      <c r="V1043" s="280"/>
      <c r="W1043" s="244"/>
      <c r="X1043" s="244"/>
      <c r="Y1043" s="362"/>
      <c r="Z1043" s="257">
        <f>altaz(J2000_Bas,$O1043,$M1043,DecLat,DecLong,1)</f>
        <v>43.430785064254543</v>
      </c>
      <c r="AA1043" s="257">
        <f>altaz((J2000_Bas+(2*0.04167)),$O1043,$M1043,DecLat,DecLong,1)</f>
        <v>32.623131036199446</v>
      </c>
      <c r="AB1043" s="257">
        <f>altaz((J2000_Bas+(4*0.04167)),$O1043,$M1043,DecLat,DecLong,1)</f>
        <v>21.983612163446328</v>
      </c>
      <c r="AC1043" s="257">
        <f>altaz((J2000_Bas+(6*0.04167)),$O1043,$M1043,DecLat,DecLong,1)</f>
        <v>13.742732641742382</v>
      </c>
      <c r="AD1043" s="258">
        <f>1+ transit((J2000_Bas-1),$O1043,$M1043,DecLat,DecLong)/360 + (GMTOffset/24) + (IF(DST="Y", 1, 0)/24)</f>
        <v>1.6515573021713748</v>
      </c>
      <c r="AE1043" s="259">
        <f>DATE(2001,9,21)+(M1043/360)*365 - (360*((DecLong/360)- (GMTOffset/24) ))</f>
        <v>37400.409953703704</v>
      </c>
      <c r="AF1043" s="260">
        <f>IF(DecLat&gt;0,IF((90 - (DecLat-O1043))&gt;90, (90 - (O1043-DecLat)), (90 - (DecLat-O1043))),IF((90 + (DecLat-O1043))&gt;90, (90 + (O1043-DecLat)), (90 + (DecLat-O1043))))</f>
        <v>52.792222222222222</v>
      </c>
      <c r="AG1043" s="257">
        <f>angularseperation(MoonRA,MoonDec,$M1043,$O1043)</f>
        <v>95.716321731216695</v>
      </c>
      <c r="AH1043" s="261">
        <f ca="1">MIN(100,IF($O$5&gt;80,0+30*($AG1043/100),IF($O$5&gt;70,0+50*($AG1043/100),IF($O$5&gt;60,5+50*($AG1043/100),IF($O$5&gt;50,10+60*($AG1043/100),IF($O$5&gt;40,15+70*($AG1043/100),IF($O$5&gt;30,20+70*($AG1043/100),IF($O$5&gt;20,40+55*($AG1043/100),(80+(20-$O$5)+30*($AG1043/100))))))))))</f>
        <v>100</v>
      </c>
      <c r="AI1043" s="262"/>
      <c r="AJ1043" s="262"/>
      <c r="AK1043" s="262"/>
      <c r="AL1043" s="263"/>
      <c r="AM1043" s="264"/>
      <c r="AN1043" s="263"/>
      <c r="AO1043" s="263">
        <v>78</v>
      </c>
      <c r="AP1043" s="265"/>
      <c r="AQ1043" s="266">
        <v>10057</v>
      </c>
      <c r="AR1043" s="267"/>
      <c r="AS1043" s="263"/>
      <c r="AT1043" s="263"/>
      <c r="AU1043" s="263"/>
      <c r="AV1043" s="264"/>
      <c r="AW1043" s="263"/>
      <c r="AX1043" s="263"/>
      <c r="AY1043" s="263"/>
      <c r="AZ1043" s="263"/>
      <c r="BA1043" s="263"/>
      <c r="BB1043" s="263"/>
      <c r="BC1043" s="263"/>
      <c r="BD1043" s="264"/>
      <c r="BE1043" s="263"/>
      <c r="BF1043" s="263"/>
      <c r="BG1043" s="263"/>
      <c r="BH1043" s="263"/>
      <c r="BI1043" s="263"/>
      <c r="BJ1043" s="404">
        <f>altaz(J2000_Bas,$O1043,$M1043,DecLat,DecLong,2)</f>
        <v>337.34725433102227</v>
      </c>
      <c r="BK1043" s="378" t="s">
        <v>4075</v>
      </c>
      <c r="BL1043" s="379">
        <f>IF((2*G1043)/60&lt;0.2,0.2,(2*G1043)/60)</f>
        <v>0.2</v>
      </c>
      <c r="BM1043" s="380">
        <f>MOD((50000+AD1043-$B$3+(0/24)),1)</f>
        <v>0.86692423187196255</v>
      </c>
      <c r="BN1043" s="381"/>
      <c r="BO1043" s="382">
        <v>1037</v>
      </c>
    </row>
    <row r="1044" spans="1:67" s="24" customFormat="1" ht="15" customHeight="1" x14ac:dyDescent="0.25">
      <c r="A1044" s="288" t="s">
        <v>4293</v>
      </c>
      <c r="B1044" s="241" t="str">
        <f>HYPERLINK(CONCATENATE($AT$3,BK1044,$AU$3),$AV$3)</f>
        <v>S</v>
      </c>
      <c r="C1044" s="242" t="str">
        <f>HYPERLINK(CONCATENATE($AT$4,BK1044,$AU$4,BL1044),$AV$4)</f>
        <v>A</v>
      </c>
      <c r="D1044" s="243" t="s">
        <v>5638</v>
      </c>
      <c r="E1044" s="244" t="s">
        <v>5625</v>
      </c>
      <c r="F1044" s="290">
        <v>5</v>
      </c>
      <c r="G1044" s="291">
        <v>2.5</v>
      </c>
      <c r="H1044" s="283">
        <v>200</v>
      </c>
      <c r="I1044" s="284">
        <v>150</v>
      </c>
      <c r="J1044" s="295">
        <v>4</v>
      </c>
      <c r="K1044" s="247" t="s">
        <v>8466</v>
      </c>
      <c r="L1044" s="248">
        <v>155913</v>
      </c>
      <c r="M1044" s="249">
        <f>15*(LEFT(TEXT($L1044,"000000"),2)+(MID(TEXT($L1044,"000000"),3,2)/60)+(RIGHT(TEXT($L1044,"000000"),2)/3600))</f>
        <v>239.80416666666665</v>
      </c>
      <c r="N1044" s="250">
        <v>204548</v>
      </c>
      <c r="O1044" s="251">
        <f>IF($N1044&gt;0,(LEFT(TEXT($N1044,"000000"),2)+(MID(TEXT($N1044,"000000"),3,2)/60)+(RIGHT(TEXT($N1044,"000000"),2)/3600)),-(MID(TEXT($N1044,"000000"),2,2)+(MID(TEXT($N1044,"000000"),4,2)/60)+(RIGHT(TEXT($N1044,"000000"),2)/3600)))</f>
        <v>20.763333333333332</v>
      </c>
      <c r="P1044" s="252" t="s">
        <v>115</v>
      </c>
      <c r="Q1044" s="253" t="s">
        <v>2461</v>
      </c>
      <c r="R1044" s="292" t="s">
        <v>3256</v>
      </c>
      <c r="S1044" s="272" t="s">
        <v>3293</v>
      </c>
      <c r="T1044" s="273">
        <v>11.3</v>
      </c>
      <c r="U1044" s="289">
        <v>20.5</v>
      </c>
      <c r="V1044" s="280"/>
      <c r="W1044" s="244"/>
      <c r="X1044" s="244"/>
      <c r="Y1044" s="362"/>
      <c r="Z1044" s="257">
        <f>altaz(J2000_Bas,$O1044,$M1044,DecLat,DecLong,1)</f>
        <v>47.506282999783494</v>
      </c>
      <c r="AA1044" s="257">
        <f>altaz((J2000_Bas+(2*0.04167)),$O1044,$M1044,DecLat,DecLong,1)</f>
        <v>21.878612022270055</v>
      </c>
      <c r="AB1044" s="257">
        <f>altaz((J2000_Bas+(4*0.04167)),$O1044,$M1044,DecLat,DecLong,1)</f>
        <v>-2.4802349135258086</v>
      </c>
      <c r="AC1044" s="257">
        <f>altaz((J2000_Bas+(6*0.04167)),$O1044,$M1044,DecLat,DecLong,1)</f>
        <v>-23.474328816820297</v>
      </c>
      <c r="AD1044" s="258">
        <f>1+ transit((J2000_Bas-1),$O1044,$M1044,DecLat,DecLong)/360 + (GMTOffset/24) + (IF(DST="Y", 1, 0)/24)</f>
        <v>1.6590225792026245</v>
      </c>
      <c r="AE1044" s="259">
        <f>DATE(2001,9,21)+(M1044/360)*365 - (360*((DecLong/360)- (GMTOffset/24) ))</f>
        <v>37403.134780092594</v>
      </c>
      <c r="AF1044" s="260">
        <f>IF(DecLat&gt;0,IF((90 - (DecLat-O1044))&gt;90, (90 - (O1044-DecLat)), (90 - (DecLat-O1044))),IF((90 + (DecLat-O1044))&gt;90, (90 + (O1044-DecLat)), (90 + (DecLat-O1044))))</f>
        <v>79.763333333333335</v>
      </c>
      <c r="AG1044" s="257">
        <f>angularseperation(MoonRA,MoonDec,$M1044,$O1044)</f>
        <v>48.712439850208433</v>
      </c>
      <c r="AH1044" s="261">
        <f ca="1">MIN(100,IF($O$5&gt;80,0+30*($AG1044/100),IF($O$5&gt;70,0+50*($AG1044/100),IF($O$5&gt;60,5+50*($AG1044/100),IF($O$5&gt;50,10+60*($AG1044/100),IF($O$5&gt;40,15+70*($AG1044/100),IF($O$5&gt;30,20+70*($AG1044/100),IF($O$5&gt;20,40+55*($AG1044/100),(80+(20-$O$5)+30*($AG1044/100))))))))))</f>
        <v>97.884792299212961</v>
      </c>
      <c r="AI1044" s="262">
        <v>6027</v>
      </c>
      <c r="AJ1044" s="262"/>
      <c r="AK1044" s="262"/>
      <c r="AL1044" s="263"/>
      <c r="AM1044" s="264"/>
      <c r="AN1044" s="263"/>
      <c r="AO1044" s="263">
        <v>79</v>
      </c>
      <c r="AP1044" s="265"/>
      <c r="AQ1044" s="266">
        <v>10116</v>
      </c>
      <c r="AR1044" s="267">
        <v>56579</v>
      </c>
      <c r="AS1044" s="263"/>
      <c r="AT1044" s="263"/>
      <c r="AU1044" s="263"/>
      <c r="AV1044" s="264"/>
      <c r="AW1044" s="263"/>
      <c r="AX1044" s="263"/>
      <c r="AY1044" s="263"/>
      <c r="AZ1044" s="263"/>
      <c r="BA1044" s="263"/>
      <c r="BB1044" s="263"/>
      <c r="BC1044" s="263"/>
      <c r="BD1044" s="264"/>
      <c r="BE1044" s="263"/>
      <c r="BF1044" s="263"/>
      <c r="BG1044" s="263"/>
      <c r="BH1044" s="263">
        <v>56</v>
      </c>
      <c r="BI1044" s="263"/>
      <c r="BJ1044" s="404">
        <f>altaz(J2000_Bas,$O1044,$M1044,DecLat,DecLong,2)</f>
        <v>267.50012729425896</v>
      </c>
      <c r="BK1044" s="378" t="s">
        <v>4076</v>
      </c>
      <c r="BL1044" s="379">
        <f>IF((2*G1044)/60&lt;0.2,0.2,(2*G1044)/60)</f>
        <v>0.2</v>
      </c>
      <c r="BM1044" s="380">
        <f>MOD((50000+AD1044-$B$3+(0/24)),1)</f>
        <v>0.87438950890646083</v>
      </c>
      <c r="BN1044" s="381"/>
      <c r="BO1044" s="382">
        <v>1038</v>
      </c>
    </row>
    <row r="1045" spans="1:67" s="24" customFormat="1" ht="15" customHeight="1" x14ac:dyDescent="0.25">
      <c r="A1045" s="288" t="s">
        <v>1112</v>
      </c>
      <c r="B1045" s="241" t="str">
        <f>HYPERLINK(CONCATENATE($AT$3,BK1045,$AU$3),$AV$3)</f>
        <v>S</v>
      </c>
      <c r="C1045" s="242" t="str">
        <f>HYPERLINK(CONCATENATE($AT$4,BK1045,$AU$4,BL1045),$AV$4)</f>
        <v>A</v>
      </c>
      <c r="D1045" s="243" t="s">
        <v>5638</v>
      </c>
      <c r="E1045" s="244" t="s">
        <v>5625</v>
      </c>
      <c r="F1045" s="290">
        <v>4</v>
      </c>
      <c r="G1045" s="291">
        <v>1.7</v>
      </c>
      <c r="H1045" s="283">
        <v>420</v>
      </c>
      <c r="I1045" s="284">
        <v>220</v>
      </c>
      <c r="J1045" s="295">
        <v>2</v>
      </c>
      <c r="K1045" s="247" t="s">
        <v>7636</v>
      </c>
      <c r="L1045" s="248">
        <v>155912</v>
      </c>
      <c r="M1045" s="249">
        <f>15*(LEFT(TEXT($L1045,"000000"),2)+(MID(TEXT($L1045,"000000"),3,2)/60)+(RIGHT(TEXT($L1045,"000000"),2)/3600))</f>
        <v>239.79999999999998</v>
      </c>
      <c r="N1045" s="250">
        <v>651333</v>
      </c>
      <c r="O1045" s="251">
        <f>IF($N1045&gt;0,(LEFT(TEXT($N1045,"000000"),2)+(MID(TEXT($N1045,"000000"),3,2)/60)+(RIGHT(TEXT($N1045,"000000"),2)/3600)),-(MID(TEXT($N1045,"000000"),2,2)+(MID(TEXT($N1045,"000000"),4,2)/60)+(RIGHT(TEXT($N1045,"000000"),2)/3600)))</f>
        <v>65.225833333333341</v>
      </c>
      <c r="P1045" s="252" t="s">
        <v>34</v>
      </c>
      <c r="Q1045" s="253"/>
      <c r="R1045" s="292"/>
      <c r="S1045" s="272" t="s">
        <v>3293</v>
      </c>
      <c r="T1045" s="273">
        <v>12.6</v>
      </c>
      <c r="U1045" s="289">
        <v>22.4</v>
      </c>
      <c r="V1045" s="280"/>
      <c r="W1045" s="244"/>
      <c r="X1045" s="244"/>
      <c r="Y1045" s="362"/>
      <c r="Z1045" s="257">
        <f>altaz(J2000_Bas,$O1045,$M1045,DecLat,DecLong,1)</f>
        <v>45.74459881758532</v>
      </c>
      <c r="AA1045" s="257">
        <f>altaz((J2000_Bas+(2*0.04167)),$O1045,$M1045,DecLat,DecLong,1)</f>
        <v>33.558306140809044</v>
      </c>
      <c r="AB1045" s="257">
        <f>altaz((J2000_Bas+(4*0.04167)),$O1045,$M1045,DecLat,DecLong,1)</f>
        <v>21.493353209634485</v>
      </c>
      <c r="AC1045" s="257">
        <f>altaz((J2000_Bas+(6*0.04167)),$O1045,$M1045,DecLat,DecLong,1)</f>
        <v>11.962949583918236</v>
      </c>
      <c r="AD1045" s="258">
        <f>1+ transit((J2000_Bas-1),$O1045,$M1045,DecLat,DecLong)/360 + (GMTOffset/24) + (IF(DST="Y", 1, 0)/24)</f>
        <v>1.659011005129708</v>
      </c>
      <c r="AE1045" s="259">
        <f>DATE(2001,9,21)+(M1045/360)*365 - (360*((DecLong/360)- (GMTOffset/24) ))</f>
        <v>37403.130555555559</v>
      </c>
      <c r="AF1045" s="260">
        <f>IF(DecLat&gt;0,IF((90 - (DecLat-O1045))&gt;90, (90 - (O1045-DecLat)), (90 - (DecLat-O1045))),IF((90 + (DecLat-O1045))&gt;90, (90 + (O1045-DecLat)), (90 + (DecLat-O1045))))</f>
        <v>55.774166666666659</v>
      </c>
      <c r="AG1045" s="257">
        <f>angularseperation(MoonRA,MoonDec,$M1045,$O1045)</f>
        <v>92.599792451588598</v>
      </c>
      <c r="AH1045" s="261">
        <f ca="1">MIN(100,IF($O$5&gt;80,0+30*($AG1045/100),IF($O$5&gt;70,0+50*($AG1045/100),IF($O$5&gt;60,5+50*($AG1045/100),IF($O$5&gt;50,10+60*($AG1045/100),IF($O$5&gt;40,15+70*($AG1045/100),IF($O$5&gt;30,20+70*($AG1045/100),IF($O$5&gt;20,40+55*($AG1045/100),(80+(20-$O$5)+30*($AG1045/100))))))))))</f>
        <v>100</v>
      </c>
      <c r="AI1045" s="262"/>
      <c r="AJ1045" s="262"/>
      <c r="AK1045" s="262"/>
      <c r="AL1045" s="263"/>
      <c r="AM1045" s="264"/>
      <c r="AN1045" s="263"/>
      <c r="AO1045" s="263">
        <v>80</v>
      </c>
      <c r="AP1045" s="265"/>
      <c r="AQ1045" s="266"/>
      <c r="AR1045" s="267"/>
      <c r="AS1045" s="263"/>
      <c r="AT1045" s="263"/>
      <c r="AU1045" s="263"/>
      <c r="AV1045" s="264"/>
      <c r="AW1045" s="263"/>
      <c r="AX1045" s="263"/>
      <c r="AY1045" s="263"/>
      <c r="AZ1045" s="263"/>
      <c r="BA1045" s="263"/>
      <c r="BB1045" s="263"/>
      <c r="BC1045" s="263"/>
      <c r="BD1045" s="264"/>
      <c r="BE1045" s="263"/>
      <c r="BF1045" s="263"/>
      <c r="BG1045" s="263"/>
      <c r="BH1045" s="263"/>
      <c r="BI1045" s="263"/>
      <c r="BJ1045" s="404">
        <f>altaz(J2000_Bas,$O1045,$M1045,DecLat,DecLong,2)</f>
        <v>334.31555875242208</v>
      </c>
      <c r="BK1045" s="378" t="s">
        <v>4077</v>
      </c>
      <c r="BL1045" s="379">
        <f>IF((2*G1045)/60&lt;0.2,0.2,(2*G1045)/60)</f>
        <v>0.2</v>
      </c>
      <c r="BM1045" s="380">
        <f>MOD((50000+AD1045-$B$3+(0/24)),1)</f>
        <v>0.87437793483695714</v>
      </c>
      <c r="BN1045" s="381"/>
      <c r="BO1045" s="382">
        <v>1039</v>
      </c>
    </row>
    <row r="1046" spans="1:67" s="24" customFormat="1" ht="15" customHeight="1" x14ac:dyDescent="0.25">
      <c r="A1046" s="288" t="s">
        <v>1113</v>
      </c>
      <c r="B1046" s="241" t="str">
        <f>HYPERLINK(CONCATENATE($AT$3,BK1046,$AU$3),$AV$3)</f>
        <v>S</v>
      </c>
      <c r="C1046" s="242" t="str">
        <f>HYPERLINK(CONCATENATE($AT$4,BK1046,$AU$4,BL1046),$AV$4)</f>
        <v>A</v>
      </c>
      <c r="D1046" s="243" t="s">
        <v>5638</v>
      </c>
      <c r="E1046" s="244" t="s">
        <v>5625</v>
      </c>
      <c r="F1046" s="290">
        <v>4</v>
      </c>
      <c r="G1046" s="294">
        <v>0.9</v>
      </c>
      <c r="H1046" s="283">
        <v>680</v>
      </c>
      <c r="I1046" s="284">
        <v>185</v>
      </c>
      <c r="J1046" s="295">
        <v>2</v>
      </c>
      <c r="K1046" s="277" t="s">
        <v>3766</v>
      </c>
      <c r="L1046" s="248">
        <v>161813</v>
      </c>
      <c r="M1046" s="249">
        <f>15*(LEFT(TEXT($L1046,"000000"),2)+(MID(TEXT($L1046,"000000"),3,2)/60)+(RIGHT(TEXT($L1046,"000000"),2)/3600))</f>
        <v>244.5541666666667</v>
      </c>
      <c r="N1046" s="250">
        <v>124739</v>
      </c>
      <c r="O1046" s="251">
        <f>IF($N1046&gt;0,(LEFT(TEXT($N1046,"000000"),2)+(MID(TEXT($N1046,"000000"),3,2)/60)+(RIGHT(TEXT($N1046,"000000"),2)/3600)),-(MID(TEXT($N1046,"000000"),2,2)+(MID(TEXT($N1046,"000000"),4,2)/60)+(RIGHT(TEXT($N1046,"000000"),2)/3600)))</f>
        <v>12.794166666666667</v>
      </c>
      <c r="P1046" s="252" t="s">
        <v>111</v>
      </c>
      <c r="Q1046" s="253"/>
      <c r="R1046" s="321"/>
      <c r="S1046" s="272" t="s">
        <v>3293</v>
      </c>
      <c r="T1046" s="273">
        <v>13.3</v>
      </c>
      <c r="U1046" s="289">
        <v>21.7</v>
      </c>
      <c r="V1046" s="280"/>
      <c r="W1046" s="244"/>
      <c r="X1046" s="244"/>
      <c r="Y1046" s="362"/>
      <c r="Z1046" s="257">
        <f>altaz(J2000_Bas,$O1046,$M1046,DecLat,DecLong,1)</f>
        <v>47.78203643395122</v>
      </c>
      <c r="AA1046" s="257">
        <f>altaz((J2000_Bas+(2*0.04167)),$O1046,$M1046,DecLat,DecLong,1)</f>
        <v>22.26113435273945</v>
      </c>
      <c r="AB1046" s="257">
        <f>altaz((J2000_Bas+(4*0.04167)),$O1046,$M1046,DecLat,DecLong,1)</f>
        <v>-3.1112058674792147</v>
      </c>
      <c r="AC1046" s="257">
        <f>altaz((J2000_Bas+(6*0.04167)),$O1046,$M1046,DecLat,DecLong,1)</f>
        <v>-26.233117018580614</v>
      </c>
      <c r="AD1046" s="258">
        <f>1+ transit((J2000_Bas-1),$O1046,$M1046,DecLat,DecLong)/360 + (GMTOffset/24) + (IF(DST="Y", 1, 0)/24)</f>
        <v>1.6722170223276247</v>
      </c>
      <c r="AE1046" s="259">
        <f>DATE(2001,9,21)+(M1046/360)*365 - (360*((DecLong/360)- (GMTOffset/24) ))</f>
        <v>37407.950752314813</v>
      </c>
      <c r="AF1046" s="260">
        <f>IF(DecLat&gt;0,IF((90 - (DecLat-O1046))&gt;90, (90 - (O1046-DecLat)), (90 - (DecLat-O1046))),IF((90 + (DecLat-O1046))&gt;90, (90 + (O1046-DecLat)), (90 + (DecLat-O1046))))</f>
        <v>71.794166666666669</v>
      </c>
      <c r="AG1046" s="257">
        <f>angularseperation(MoonRA,MoonDec,$M1046,$O1046)</f>
        <v>40.137100951755144</v>
      </c>
      <c r="AH1046" s="261">
        <f ca="1">MIN(100,IF($O$5&gt;80,0+30*($AG1046/100),IF($O$5&gt;70,0+50*($AG1046/100),IF($O$5&gt;60,5+50*($AG1046/100),IF($O$5&gt;50,10+60*($AG1046/100),IF($O$5&gt;40,15+70*($AG1046/100),IF($O$5&gt;30,20+70*($AG1046/100),IF($O$5&gt;20,40+55*($AG1046/100),(80+(20-$O$5)+30*($AG1046/100))))))))))</f>
        <v>95.312190629676977</v>
      </c>
      <c r="AI1046" s="263"/>
      <c r="AJ1046" s="263"/>
      <c r="AK1046" s="263"/>
      <c r="AL1046" s="263"/>
      <c r="AM1046" s="264"/>
      <c r="AN1046" s="263"/>
      <c r="AO1046" s="263">
        <v>81</v>
      </c>
      <c r="AP1046" s="265"/>
      <c r="AQ1046" s="265">
        <v>10319</v>
      </c>
      <c r="AR1046" s="285"/>
      <c r="AS1046" s="263"/>
      <c r="AT1046" s="263"/>
      <c r="AU1046" s="263"/>
      <c r="AV1046" s="264"/>
      <c r="AW1046" s="263"/>
      <c r="AX1046" s="263"/>
      <c r="AY1046" s="263"/>
      <c r="AZ1046" s="263"/>
      <c r="BA1046" s="263"/>
      <c r="BB1046" s="263"/>
      <c r="BC1046" s="263"/>
      <c r="BD1046" s="264"/>
      <c r="BE1046" s="263"/>
      <c r="BF1046" s="263"/>
      <c r="BG1046" s="263"/>
      <c r="BH1046" s="263"/>
      <c r="BI1046" s="263"/>
      <c r="BJ1046" s="404">
        <f>altaz(J2000_Bas,$O1046,$M1046,DecLat,DecLong,2)</f>
        <v>253.87325546464001</v>
      </c>
      <c r="BK1046" s="378" t="s">
        <v>4078</v>
      </c>
      <c r="BL1046" s="379">
        <f>IF((2*G1046)/60&lt;0.2,0.2,(2*G1046)/60)</f>
        <v>0.2</v>
      </c>
      <c r="BM1046" s="380">
        <f>MOD((50000+AD1046-$B$3+(0/24)),1)</f>
        <v>0.8875839520333102</v>
      </c>
      <c r="BN1046" s="381"/>
      <c r="BO1046" s="382">
        <v>1040</v>
      </c>
    </row>
    <row r="1047" spans="1:67" s="24" customFormat="1" ht="15" customHeight="1" x14ac:dyDescent="0.25">
      <c r="A1047" s="288" t="s">
        <v>1114</v>
      </c>
      <c r="B1047" s="241" t="str">
        <f>HYPERLINK(CONCATENATE($AT$3,BK1047,$AU$3),$AV$3)</f>
        <v>S</v>
      </c>
      <c r="C1047" s="242" t="str">
        <f>HYPERLINK(CONCATENATE($AT$4,BK1047,$AU$4,BL1047),$AV$4)</f>
        <v>A</v>
      </c>
      <c r="D1047" s="243" t="s">
        <v>5638</v>
      </c>
      <c r="E1047" s="244" t="s">
        <v>5625</v>
      </c>
      <c r="F1047" s="290">
        <v>4</v>
      </c>
      <c r="G1047" s="291">
        <v>3.1</v>
      </c>
      <c r="H1047" s="283">
        <v>520</v>
      </c>
      <c r="I1047" s="284">
        <v>500</v>
      </c>
      <c r="J1047" s="295">
        <v>2</v>
      </c>
      <c r="K1047" s="247" t="s">
        <v>8428</v>
      </c>
      <c r="L1047" s="248">
        <v>162822</v>
      </c>
      <c r="M1047" s="249">
        <f>15*(LEFT(TEXT($L1047,"000000"),2)+(MID(TEXT($L1047,"000000"),3,2)/60)+(RIGHT(TEXT($L1047,"000000"),2)/3600))</f>
        <v>247.09166666666664</v>
      </c>
      <c r="N1047" s="250">
        <v>324925</v>
      </c>
      <c r="O1047" s="251">
        <f>IF($N1047&gt;0,(LEFT(TEXT($N1047,"000000"),2)+(MID(TEXT($N1047,"000000"),3,2)/60)+(RIGHT(TEXT($N1047,"000000"),2)/3600)),-(MID(TEXT($N1047,"000000"),2,2)+(MID(TEXT($N1047,"000000"),4,2)/60)+(RIGHT(TEXT($N1047,"000000"),2)/3600)))</f>
        <v>32.823611111111113</v>
      </c>
      <c r="P1047" s="252" t="s">
        <v>111</v>
      </c>
      <c r="Q1047" s="253"/>
      <c r="R1047" s="292" t="s">
        <v>3433</v>
      </c>
      <c r="S1047" s="272" t="s">
        <v>3293</v>
      </c>
      <c r="T1047" s="273">
        <v>12.3</v>
      </c>
      <c r="U1047" s="289">
        <v>23.3</v>
      </c>
      <c r="V1047" s="280"/>
      <c r="W1047" s="244"/>
      <c r="X1047" s="244"/>
      <c r="Y1047" s="362"/>
      <c r="Z1047" s="257">
        <f>altaz(J2000_Bas,$O1047,$M1047,DecLat,DecLong,1)</f>
        <v>57.105526388332514</v>
      </c>
      <c r="AA1047" s="257">
        <f>altaz((J2000_Bas+(2*0.04167)),$O1047,$M1047,DecLat,DecLong,1)</f>
        <v>32.504730382949496</v>
      </c>
      <c r="AB1047" s="257">
        <f>altaz((J2000_Bas+(4*0.04167)),$O1047,$M1047,DecLat,DecLong,1)</f>
        <v>9.5264456565689919</v>
      </c>
      <c r="AC1047" s="257">
        <f>altaz((J2000_Bas+(6*0.04167)),$O1047,$M1047,DecLat,DecLong,1)</f>
        <v>-10.121507529457842</v>
      </c>
      <c r="AD1047" s="258">
        <f>1+ transit((J2000_Bas-1),$O1047,$M1047,DecLat,DecLong)/360 + (GMTOffset/24) + (IF(DST="Y", 1, 0)/24)</f>
        <v>1.6792656327338746</v>
      </c>
      <c r="AE1047" s="259">
        <f>DATE(2001,9,21)+(M1047/360)*365 - (360*((DecLong/360)- (GMTOffset/24) ))</f>
        <v>37410.523495370369</v>
      </c>
      <c r="AF1047" s="260">
        <f>IF(DecLat&gt;0,IF((90 - (DecLat-O1047))&gt;90, (90 - (O1047-DecLat)), (90 - (DecLat-O1047))),IF((90 + (DecLat-O1047))&gt;90, (90 + (O1047-DecLat)), (90 + (DecLat-O1047))))</f>
        <v>88.17638888888888</v>
      </c>
      <c r="AG1047" s="257">
        <f>angularseperation(MoonRA,MoonDec,$M1047,$O1047)</f>
        <v>59.942584683986865</v>
      </c>
      <c r="AH1047" s="261">
        <f ca="1">MIN(100,IF($O$5&gt;80,0+30*($AG1047/100),IF($O$5&gt;70,0+50*($AG1047/100),IF($O$5&gt;60,5+50*($AG1047/100),IF($O$5&gt;50,10+60*($AG1047/100),IF($O$5&gt;40,15+70*($AG1047/100),IF($O$5&gt;30,20+70*($AG1047/100),IF($O$5&gt;20,40+55*($AG1047/100),(80+(20-$O$5)+30*($AG1047/100))))))))))</f>
        <v>100</v>
      </c>
      <c r="AI1047" s="262">
        <v>6162</v>
      </c>
      <c r="AJ1047" s="262"/>
      <c r="AK1047" s="262"/>
      <c r="AL1047" s="263"/>
      <c r="AM1047" s="264"/>
      <c r="AN1047" s="263"/>
      <c r="AO1047" s="263">
        <v>82</v>
      </c>
      <c r="AP1047" s="265"/>
      <c r="AQ1047" s="266">
        <v>10403</v>
      </c>
      <c r="AR1047" s="267">
        <v>58238</v>
      </c>
      <c r="AS1047" s="263"/>
      <c r="AT1047" s="263"/>
      <c r="AU1047" s="263"/>
      <c r="AV1047" s="264"/>
      <c r="AW1047" s="263"/>
      <c r="AX1047" s="263"/>
      <c r="AY1047" s="263"/>
      <c r="AZ1047" s="263"/>
      <c r="BA1047" s="263"/>
      <c r="BB1047" s="263"/>
      <c r="BC1047" s="263"/>
      <c r="BD1047" s="264"/>
      <c r="BE1047" s="263"/>
      <c r="BF1047" s="263"/>
      <c r="BG1047" s="263"/>
      <c r="BH1047" s="263"/>
      <c r="BI1047" s="263"/>
      <c r="BJ1047" s="404">
        <f>altaz(J2000_Bas,$O1047,$M1047,DecLat,DecLong,2)</f>
        <v>283.61615308216494</v>
      </c>
      <c r="BK1047" s="378" t="s">
        <v>4079</v>
      </c>
      <c r="BL1047" s="379">
        <f>IF((2*G1047)/60&lt;0.2,0.2,(2*G1047)/60)</f>
        <v>0.2</v>
      </c>
      <c r="BM1047" s="380">
        <f>MOD((50000+AD1047-$B$3+(0/24)),1)</f>
        <v>0.89463256243470823</v>
      </c>
      <c r="BN1047" s="381"/>
      <c r="BO1047" s="382">
        <v>1041</v>
      </c>
    </row>
    <row r="1048" spans="1:67" s="24" customFormat="1" ht="15" customHeight="1" x14ac:dyDescent="0.25">
      <c r="A1048" s="288" t="s">
        <v>1115</v>
      </c>
      <c r="B1048" s="241" t="str">
        <f>HYPERLINK(CONCATENATE($AT$3,BK1048,$AU$3),$AV$3)</f>
        <v>S</v>
      </c>
      <c r="C1048" s="242" t="str">
        <f>HYPERLINK(CONCATENATE($AT$4,BK1048,$AU$4,BL1048),$AV$4)</f>
        <v>A</v>
      </c>
      <c r="D1048" s="243" t="s">
        <v>5638</v>
      </c>
      <c r="E1048" s="244" t="s">
        <v>5625</v>
      </c>
      <c r="F1048" s="290">
        <v>4</v>
      </c>
      <c r="G1048" s="291">
        <v>1.9</v>
      </c>
      <c r="H1048" s="283">
        <v>720</v>
      </c>
      <c r="I1048" s="284">
        <v>400</v>
      </c>
      <c r="J1048" s="295">
        <v>2</v>
      </c>
      <c r="K1048" s="277" t="s">
        <v>8467</v>
      </c>
      <c r="L1048" s="248">
        <v>163541</v>
      </c>
      <c r="M1048" s="249">
        <f>15*(LEFT(TEXT($L1048,"000000"),2)+(MID(TEXT($L1048,"000000"),3,2)/60)+(RIGHT(TEXT($L1048,"000000"),2)/3600))</f>
        <v>248.92083333333329</v>
      </c>
      <c r="N1048" s="250">
        <v>61612</v>
      </c>
      <c r="O1048" s="251">
        <f>IF($N1048&gt;0,(LEFT(TEXT($N1048,"000000"),2)+(MID(TEXT($N1048,"000000"),3,2)/60)+(RIGHT(TEXT($N1048,"000000"),2)/3600)),-(MID(TEXT($N1048,"000000"),2,2)+(MID(TEXT($N1048,"000000"),4,2)/60)+(RIGHT(TEXT($N1048,"000000"),2)/3600)))</f>
        <v>6.27</v>
      </c>
      <c r="P1048" s="252" t="s">
        <v>111</v>
      </c>
      <c r="Q1048" s="253"/>
      <c r="R1048" s="321"/>
      <c r="S1048" s="272" t="s">
        <v>3293</v>
      </c>
      <c r="T1048" s="273">
        <v>13.8</v>
      </c>
      <c r="U1048" s="289">
        <v>23.8</v>
      </c>
      <c r="V1048" s="280"/>
      <c r="W1048" s="244"/>
      <c r="X1048" s="244"/>
      <c r="Y1048" s="362"/>
      <c r="Z1048" s="257">
        <f>altaz(J2000_Bas,$O1048,$M1048,DecLat,DecLong,1)</f>
        <v>47.390594048286097</v>
      </c>
      <c r="AA1048" s="257">
        <f>altaz((J2000_Bas+(2*0.04167)),$O1048,$M1048,DecLat,DecLong,1)</f>
        <v>22.761091807965393</v>
      </c>
      <c r="AB1048" s="257">
        <f>altaz((J2000_Bas+(4*0.04167)),$O1048,$M1048,DecLat,DecLong,1)</f>
        <v>-2.9400060318363979</v>
      </c>
      <c r="AC1048" s="257">
        <f>altaz((J2000_Bas+(6*0.04167)),$O1048,$M1048,DecLat,DecLong,1)</f>
        <v>-27.419117991725919</v>
      </c>
      <c r="AD1048" s="258">
        <f>1+ transit((J2000_Bas-1),$O1048,$M1048,DecLat,DecLong)/360 + (GMTOffset/24) + (IF(DST="Y", 1, 0)/24)</f>
        <v>1.6843466507442912</v>
      </c>
      <c r="AE1048" s="259">
        <f>DATE(2001,9,21)+(M1048/360)*365 - (360*((DecLong/360)- (GMTOffset/24) ))</f>
        <v>37412.378067129626</v>
      </c>
      <c r="AF1048" s="260">
        <f>IF(DecLat&gt;0,IF((90 - (DecLat-O1048))&gt;90, (90 - (O1048-DecLat)), (90 - (DecLat-O1048))),IF((90 + (DecLat-O1048))&gt;90, (90 + (O1048-DecLat)), (90 + (DecLat-O1048))))</f>
        <v>65.27</v>
      </c>
      <c r="AG1048" s="257">
        <f>angularseperation(MoonRA,MoonDec,$M1048,$O1048)</f>
        <v>33.355541206009022</v>
      </c>
      <c r="AH1048" s="261">
        <f ca="1">MIN(100,IF($O$5&gt;80,0+30*($AG1048/100),IF($O$5&gt;70,0+50*($AG1048/100),IF($O$5&gt;60,5+50*($AG1048/100),IF($O$5&gt;50,10+60*($AG1048/100),IF($O$5&gt;40,15+70*($AG1048/100),IF($O$5&gt;30,20+70*($AG1048/100),IF($O$5&gt;20,40+55*($AG1048/100),(80+(20-$O$5)+30*($AG1048/100))))))))))</f>
        <v>93.277722705953138</v>
      </c>
      <c r="AI1048" s="263"/>
      <c r="AJ1048" s="263"/>
      <c r="AK1048" s="263"/>
      <c r="AL1048" s="263"/>
      <c r="AM1048" s="264"/>
      <c r="AN1048" s="263"/>
      <c r="AO1048" s="263">
        <v>83</v>
      </c>
      <c r="AP1048" s="265"/>
      <c r="AQ1048" s="265"/>
      <c r="AR1048" s="285"/>
      <c r="AS1048" s="263"/>
      <c r="AT1048" s="263"/>
      <c r="AU1048" s="263"/>
      <c r="AV1048" s="264"/>
      <c r="AW1048" s="263"/>
      <c r="AX1048" s="263"/>
      <c r="AY1048" s="263"/>
      <c r="AZ1048" s="263"/>
      <c r="BA1048" s="263"/>
      <c r="BB1048" s="263"/>
      <c r="BC1048" s="263"/>
      <c r="BD1048" s="264"/>
      <c r="BE1048" s="263"/>
      <c r="BF1048" s="263"/>
      <c r="BG1048" s="263"/>
      <c r="BH1048" s="263"/>
      <c r="BI1048" s="263"/>
      <c r="BJ1048" s="404">
        <f>altaz(J2000_Bas,$O1048,$M1048,DecLat,DecLong,2)</f>
        <v>242.28892430027454</v>
      </c>
      <c r="BK1048" s="378" t="s">
        <v>4080</v>
      </c>
      <c r="BL1048" s="379">
        <f>IF((2*G1048)/60&lt;0.2,0.2,(2*G1048)/60)</f>
        <v>0.2</v>
      </c>
      <c r="BM1048" s="380">
        <f>MOD((50000+AD1048-$B$3+(0/24)),1)</f>
        <v>0.89971358044567751</v>
      </c>
      <c r="BN1048" s="381"/>
      <c r="BO1048" s="382">
        <v>1042</v>
      </c>
    </row>
    <row r="1049" spans="1:67" s="24" customFormat="1" ht="15" customHeight="1" x14ac:dyDescent="0.25">
      <c r="A1049" s="288" t="s">
        <v>1116</v>
      </c>
      <c r="B1049" s="241" t="str">
        <f>HYPERLINK(CONCATENATE($AT$3,BK1049,$AU$3),$AV$3)</f>
        <v>S</v>
      </c>
      <c r="C1049" s="242" t="str">
        <f>HYPERLINK(CONCATENATE($AT$4,BK1049,$AU$4,BL1049),$AV$4)</f>
        <v>A</v>
      </c>
      <c r="D1049" s="243" t="s">
        <v>5638</v>
      </c>
      <c r="E1049" s="244" t="s">
        <v>5625</v>
      </c>
      <c r="F1049" s="293">
        <v>6</v>
      </c>
      <c r="G1049" s="291">
        <v>2.4</v>
      </c>
      <c r="H1049" s="283">
        <v>780</v>
      </c>
      <c r="I1049" s="284">
        <v>520</v>
      </c>
      <c r="J1049" s="295">
        <v>2</v>
      </c>
      <c r="K1049" s="247" t="s">
        <v>7637</v>
      </c>
      <c r="L1049" s="248">
        <v>164408</v>
      </c>
      <c r="M1049" s="249">
        <f>15*(LEFT(TEXT($L1049,"000000"),2)+(MID(TEXT($L1049,"000000"),3,2)/60)+(RIGHT(TEXT($L1049,"000000"),2)/3600))</f>
        <v>251.03333333333336</v>
      </c>
      <c r="N1049" s="250">
        <v>775010</v>
      </c>
      <c r="O1049" s="251">
        <f>IF($N1049&gt;0,(LEFT(TEXT($N1049,"000000"),2)+(MID(TEXT($N1049,"000000"),3,2)/60)+(RIGHT(TEXT($N1049,"000000"),2)/3600)),-(MID(TEXT($N1049,"000000"),2,2)+(MID(TEXT($N1049,"000000"),4,2)/60)+(RIGHT(TEXT($N1049,"000000"),2)/3600)))</f>
        <v>77.836111111111109</v>
      </c>
      <c r="P1049" s="252" t="s">
        <v>208</v>
      </c>
      <c r="Q1049" s="253"/>
      <c r="R1049" s="292"/>
      <c r="S1049" s="272" t="s">
        <v>3293</v>
      </c>
      <c r="T1049" s="273">
        <v>13.5</v>
      </c>
      <c r="U1049" s="289">
        <v>24</v>
      </c>
      <c r="V1049" s="280"/>
      <c r="W1049" s="244"/>
      <c r="X1049" s="244"/>
      <c r="Y1049" s="362"/>
      <c r="Z1049" s="257">
        <f>altaz(J2000_Bas,$O1049,$M1049,DecLat,DecLong,1)</f>
        <v>40.653250819421856</v>
      </c>
      <c r="AA1049" s="257">
        <f>altaz((J2000_Bas+(2*0.04167)),$O1049,$M1049,DecLat,DecLong,1)</f>
        <v>35.426017247244083</v>
      </c>
      <c r="AB1049" s="257">
        <f>altaz((J2000_Bas+(4*0.04167)),$O1049,$M1049,DecLat,DecLong,1)</f>
        <v>29.163204036236447</v>
      </c>
      <c r="AC1049" s="257">
        <f>altaz((J2000_Bas+(6*0.04167)),$O1049,$M1049,DecLat,DecLong,1)</f>
        <v>23.534731309997628</v>
      </c>
      <c r="AD1049" s="258">
        <f>1+ transit((J2000_Bas-1),$O1049,$M1049,DecLat,DecLong)/360 + (GMTOffset/24) + (IF(DST="Y", 1, 0)/24)</f>
        <v>1.6902147057130417</v>
      </c>
      <c r="AE1049" s="259">
        <f>DATE(2001,9,21)+(M1049/360)*365 - (360*((DecLong/360)- (GMTOffset/24) ))</f>
        <v>37414.519907407404</v>
      </c>
      <c r="AF1049" s="260">
        <f>IF(DecLat&gt;0,IF((90 - (DecLat-O1049))&gt;90, (90 - (O1049-DecLat)), (90 - (DecLat-O1049))),IF((90 + (DecLat-O1049))&gt;90, (90 + (O1049-DecLat)), (90 + (DecLat-O1049))))</f>
        <v>43.163888888888891</v>
      </c>
      <c r="AG1049" s="257">
        <f>angularseperation(MoonRA,MoonDec,$M1049,$O1049)</f>
        <v>104.92564104759933</v>
      </c>
      <c r="AH1049" s="261">
        <f ca="1">MIN(100,IF($O$5&gt;80,0+30*($AG1049/100),IF($O$5&gt;70,0+50*($AG1049/100),IF($O$5&gt;60,5+50*($AG1049/100),IF($O$5&gt;50,10+60*($AG1049/100),IF($O$5&gt;40,15+70*($AG1049/100),IF($O$5&gt;30,20+70*($AG1049/100),IF($O$5&gt;20,40+55*($AG1049/100),(80+(20-$O$5)+30*($AG1049/100))))))))))</f>
        <v>100</v>
      </c>
      <c r="AI1049" s="262"/>
      <c r="AJ1049" s="262"/>
      <c r="AK1049" s="262"/>
      <c r="AL1049" s="263"/>
      <c r="AM1049" s="264"/>
      <c r="AN1049" s="263"/>
      <c r="AO1049" s="263">
        <v>84</v>
      </c>
      <c r="AP1049" s="265"/>
      <c r="AQ1049" s="266"/>
      <c r="AR1049" s="267"/>
      <c r="AS1049" s="263"/>
      <c r="AT1049" s="263"/>
      <c r="AU1049" s="263"/>
      <c r="AV1049" s="264"/>
      <c r="AW1049" s="263"/>
      <c r="AX1049" s="263"/>
      <c r="AY1049" s="263"/>
      <c r="AZ1049" s="263"/>
      <c r="BA1049" s="263"/>
      <c r="BB1049" s="263"/>
      <c r="BC1049" s="263"/>
      <c r="BD1049" s="264"/>
      <c r="BE1049" s="263"/>
      <c r="BF1049" s="263"/>
      <c r="BG1049" s="263"/>
      <c r="BH1049" s="263"/>
      <c r="BI1049" s="263"/>
      <c r="BJ1049" s="404">
        <f>altaz(J2000_Bas,$O1049,$M1049,DecLat,DecLong,2)</f>
        <v>350.84065303419538</v>
      </c>
      <c r="BK1049" s="378" t="s">
        <v>4081</v>
      </c>
      <c r="BL1049" s="379">
        <f>IF((2*G1049)/60&lt;0.2,0.2,(2*G1049)/60)</f>
        <v>0.2</v>
      </c>
      <c r="BM1049" s="380">
        <f>MOD((50000+AD1049-$B$3+(0/24)),1)</f>
        <v>0.90558163541572867</v>
      </c>
      <c r="BN1049" s="381"/>
      <c r="BO1049" s="382">
        <v>1043</v>
      </c>
    </row>
    <row r="1050" spans="1:67" s="24" customFormat="1" ht="15" customHeight="1" x14ac:dyDescent="0.25">
      <c r="A1050" s="288" t="s">
        <v>1117</v>
      </c>
      <c r="B1050" s="241" t="str">
        <f>HYPERLINK(CONCATENATE($AT$3,BK1050,$AU$3),$AV$3)</f>
        <v>S</v>
      </c>
      <c r="C1050" s="242" t="str">
        <f>HYPERLINK(CONCATENATE($AT$4,BK1050,$AU$4,BL1050),$AV$4)</f>
        <v>A</v>
      </c>
      <c r="D1050" s="243" t="s">
        <v>5638</v>
      </c>
      <c r="E1050" s="244" t="s">
        <v>5625</v>
      </c>
      <c r="F1050" s="290">
        <v>4</v>
      </c>
      <c r="G1050" s="291">
        <v>1.3</v>
      </c>
      <c r="H1050" s="283">
        <v>520</v>
      </c>
      <c r="I1050" s="284">
        <v>210</v>
      </c>
      <c r="J1050" s="295">
        <v>2</v>
      </c>
      <c r="K1050" s="277" t="s">
        <v>7638</v>
      </c>
      <c r="L1050" s="248">
        <v>185022</v>
      </c>
      <c r="M1050" s="249">
        <f>15*(LEFT(TEXT($L1050,"000000"),2)+(MID(TEXT($L1050,"000000"),3,2)/60)+(RIGHT(TEXT($L1050,"000000"),2)/3600))</f>
        <v>282.59166666666664</v>
      </c>
      <c r="N1050" s="250">
        <v>732100</v>
      </c>
      <c r="O1050" s="251">
        <f>IF($N1050&gt;0,(LEFT(TEXT($N1050,"000000"),2)+(MID(TEXT($N1050,"000000"),3,2)/60)+(RIGHT(TEXT($N1050,"000000"),2)/3600)),-(MID(TEXT($N1050,"000000"),2,2)+(MID(TEXT($N1050,"000000"),4,2)/60)+(RIGHT(TEXT($N1050,"000000"),2)/3600)))</f>
        <v>73.349999999999994</v>
      </c>
      <c r="P1050" s="252" t="s">
        <v>34</v>
      </c>
      <c r="Q1050" s="253"/>
      <c r="R1050" s="292"/>
      <c r="S1050" s="272" t="s">
        <v>3293</v>
      </c>
      <c r="T1050" s="273">
        <v>12.8</v>
      </c>
      <c r="U1050" s="289">
        <v>22</v>
      </c>
      <c r="V1050" s="280"/>
      <c r="W1050" s="244"/>
      <c r="X1050" s="244"/>
      <c r="Y1050" s="362"/>
      <c r="Z1050" s="257">
        <f>altaz(J2000_Bas,$O1050,$M1050,DecLat,DecLong,1)</f>
        <v>47.613008082920928</v>
      </c>
      <c r="AA1050" s="257">
        <f>altaz((J2000_Bas+(2*0.04167)),$O1050,$M1050,DecLat,DecLong,1)</f>
        <v>44.287295987422745</v>
      </c>
      <c r="AB1050" s="257">
        <f>altaz((J2000_Bas+(4*0.04167)),$O1050,$M1050,DecLat,DecLong,1)</f>
        <v>37.065152891058354</v>
      </c>
      <c r="AC1050" s="257">
        <f>altaz((J2000_Bas+(6*0.04167)),$O1050,$M1050,DecLat,DecLong,1)</f>
        <v>28.538318019554385</v>
      </c>
      <c r="AD1050" s="258">
        <f>1+ transit((J2000_Bas-1),$O1050,$M1050,DecLat,DecLong)/360 + (GMTOffset/24) + (IF(DST="Y", 1, 0)/24)</f>
        <v>1.7778767339838746</v>
      </c>
      <c r="AE1050" s="259">
        <f>DATE(2001,9,21)+(M1050/360)*365 - (360*((DecLong/360)- (GMTOffset/24) ))</f>
        <v>37446.516550925924</v>
      </c>
      <c r="AF1050" s="260">
        <f>IF(DecLat&gt;0,IF((90 - (DecLat-O1050))&gt;90, (90 - (O1050-DecLat)), (90 - (DecLat-O1050))),IF((90 + (DecLat-O1050))&gt;90, (90 + (O1050-DecLat)), (90 + (DecLat-O1050))))</f>
        <v>47.650000000000006</v>
      </c>
      <c r="AG1050" s="257">
        <f>angularseperation(MoonRA,MoonDec,$M1050,$O1050)</f>
        <v>102.89189857691457</v>
      </c>
      <c r="AH1050" s="261">
        <f ca="1">MIN(100,IF($O$5&gt;80,0+30*($AG1050/100),IF($O$5&gt;70,0+50*($AG1050/100),IF($O$5&gt;60,5+50*($AG1050/100),IF($O$5&gt;50,10+60*($AG1050/100),IF($O$5&gt;40,15+70*($AG1050/100),IF($O$5&gt;30,20+70*($AG1050/100),IF($O$5&gt;20,40+55*($AG1050/100),(80+(20-$O$5)+30*($AG1050/100))))))))))</f>
        <v>100</v>
      </c>
      <c r="AI1050" s="262"/>
      <c r="AJ1050" s="262"/>
      <c r="AK1050" s="262"/>
      <c r="AL1050" s="263"/>
      <c r="AM1050" s="264"/>
      <c r="AN1050" s="263"/>
      <c r="AO1050" s="263">
        <v>85</v>
      </c>
      <c r="AP1050" s="265"/>
      <c r="AQ1050" s="266"/>
      <c r="AR1050" s="267"/>
      <c r="AS1050" s="263"/>
      <c r="AT1050" s="263"/>
      <c r="AU1050" s="263"/>
      <c r="AV1050" s="264"/>
      <c r="AW1050" s="263"/>
      <c r="AX1050" s="263"/>
      <c r="AY1050" s="263"/>
      <c r="AZ1050" s="263"/>
      <c r="BA1050" s="263"/>
      <c r="BB1050" s="263"/>
      <c r="BC1050" s="263"/>
      <c r="BD1050" s="264"/>
      <c r="BE1050" s="263"/>
      <c r="BF1050" s="263"/>
      <c r="BG1050" s="263"/>
      <c r="BH1050" s="263"/>
      <c r="BI1050" s="263"/>
      <c r="BJ1050" s="404">
        <f>altaz(J2000_Bas,$O1050,$M1050,DecLat,DecLong,2)</f>
        <v>358.55095607490756</v>
      </c>
      <c r="BK1050" s="378" t="s">
        <v>4082</v>
      </c>
      <c r="BL1050" s="379">
        <f>IF((2*G1050)/60&lt;0.2,0.2,(2*G1050)/60)</f>
        <v>0.2</v>
      </c>
      <c r="BM1050" s="380">
        <f>MOD((50000+AD1050-$B$3+(0/24)),1)</f>
        <v>0.99324366368819028</v>
      </c>
      <c r="BN1050" s="381"/>
      <c r="BO1050" s="382">
        <v>1044</v>
      </c>
    </row>
    <row r="1051" spans="1:67" s="24" customFormat="1" ht="15" customHeight="1" x14ac:dyDescent="0.25">
      <c r="A1051" s="288" t="s">
        <v>1118</v>
      </c>
      <c r="B1051" s="241" t="str">
        <f>HYPERLINK(CONCATENATE($AT$3,BK1051,$AU$3),$AV$3)</f>
        <v>S</v>
      </c>
      <c r="C1051" s="242" t="str">
        <f>HYPERLINK(CONCATENATE($AT$4,BK1051,$AU$4,BL1051),$AV$4)</f>
        <v>A</v>
      </c>
      <c r="D1051" s="243" t="s">
        <v>5638</v>
      </c>
      <c r="E1051" s="244" t="s">
        <v>5625</v>
      </c>
      <c r="F1051" s="290">
        <v>4</v>
      </c>
      <c r="G1051" s="291">
        <v>4</v>
      </c>
      <c r="H1051" s="283">
        <v>290</v>
      </c>
      <c r="I1051" s="284">
        <v>340</v>
      </c>
      <c r="J1051" s="295">
        <v>2</v>
      </c>
      <c r="K1051" s="277" t="s">
        <v>7639</v>
      </c>
      <c r="L1051" s="248">
        <v>195159</v>
      </c>
      <c r="M1051" s="249">
        <f>15*(LEFT(TEXT($L1051,"000000"),2)+(MID(TEXT($L1051,"000000"),3,2)/60)+(RIGHT(TEXT($L1051,"000000"),2)/3600))</f>
        <v>297.99583333333339</v>
      </c>
      <c r="N1051" s="250">
        <v>-304934</v>
      </c>
      <c r="O1051" s="251">
        <f>IF($N1051&gt;0,(LEFT(TEXT($N1051,"000000"),2)+(MID(TEXT($N1051,"000000"),3,2)/60)+(RIGHT(TEXT($N1051,"000000"),2)/3600)),-(MID(TEXT($N1051,"000000"),2,2)+(MID(TEXT($N1051,"000000"),4,2)/60)+(RIGHT(TEXT($N1051,"000000"),2)/3600)))</f>
        <v>-30.826111111111111</v>
      </c>
      <c r="P1051" s="252" t="s">
        <v>119</v>
      </c>
      <c r="Q1051" s="253"/>
      <c r="R1051" s="292"/>
      <c r="S1051" s="272" t="s">
        <v>3293</v>
      </c>
      <c r="T1051" s="273">
        <v>12.3</v>
      </c>
      <c r="U1051" s="289">
        <v>23.9</v>
      </c>
      <c r="V1051" s="280"/>
      <c r="W1051" s="244"/>
      <c r="X1051" s="244"/>
      <c r="Y1051" s="362"/>
      <c r="Z1051" s="257">
        <f>altaz(J2000_Bas,$O1051,$M1051,DecLat,DecLong,1)</f>
        <v>27.134591692148771</v>
      </c>
      <c r="AA1051" s="257">
        <f>altaz((J2000_Bas+(2*0.04167)),$O1051,$M1051,DecLat,DecLong,1)</f>
        <v>25.833641679511576</v>
      </c>
      <c r="AB1051" s="257">
        <f>altaz((J2000_Bas+(4*0.04167)),$O1051,$M1051,DecLat,DecLong,1)</f>
        <v>13.116032394478889</v>
      </c>
      <c r="AC1051" s="257">
        <f>altaz((J2000_Bas+(6*0.04167)),$O1051,$M1051,DecLat,DecLong,1)</f>
        <v>-6.5551338436304869</v>
      </c>
      <c r="AD1051" s="258">
        <f>1+ transit((J2000_Bas-1),$O1051,$M1051,DecLat,DecLong)/360 + (GMTOffset/24) + (IF(DST="Y", 1, 0)/24)</f>
        <v>1.8206660815567914</v>
      </c>
      <c r="AE1051" s="259">
        <f>DATE(2001,9,21)+(M1051/360)*365 - (360*((DecLong/360)- (GMTOffset/24) ))</f>
        <v>37462.134664351855</v>
      </c>
      <c r="AF1051" s="260">
        <f>IF(DecLat&gt;0,IF((90 - (DecLat-O1051))&gt;90, (90 - (O1051-DecLat)), (90 - (DecLat-O1051))),IF((90 + (DecLat-O1051))&gt;90, (90 + (O1051-DecLat)), (90 + (DecLat-O1051))))</f>
        <v>28.173888888888889</v>
      </c>
      <c r="AG1051" s="257">
        <f>angularseperation(MoonRA,MoonDec,$M1051,$O1051)</f>
        <v>42.491390143710795</v>
      </c>
      <c r="AH1051" s="261">
        <f ca="1">MIN(100,IF($O$5&gt;80,0+30*($AG1051/100),IF($O$5&gt;70,0+50*($AG1051/100),IF($O$5&gt;60,5+50*($AG1051/100),IF($O$5&gt;50,10+60*($AG1051/100),IF($O$5&gt;40,15+70*($AG1051/100),IF($O$5&gt;30,20+70*($AG1051/100),IF($O$5&gt;20,40+55*($AG1051/100),(80+(20-$O$5)+30*($AG1051/100))))))))))</f>
        <v>96.018477387263658</v>
      </c>
      <c r="AI1051" s="262"/>
      <c r="AJ1051" s="262"/>
      <c r="AK1051" s="262"/>
      <c r="AL1051" s="263"/>
      <c r="AM1051" s="264"/>
      <c r="AN1051" s="263"/>
      <c r="AO1051" s="263">
        <v>86</v>
      </c>
      <c r="AP1051" s="265"/>
      <c r="AQ1051" s="266"/>
      <c r="AR1051" s="267"/>
      <c r="AS1051" s="263"/>
      <c r="AT1051" s="263"/>
      <c r="AU1051" s="263"/>
      <c r="AV1051" s="264"/>
      <c r="AW1051" s="263"/>
      <c r="AX1051" s="263"/>
      <c r="AY1051" s="263"/>
      <c r="AZ1051" s="263"/>
      <c r="BA1051" s="263"/>
      <c r="BB1051" s="263"/>
      <c r="BC1051" s="263"/>
      <c r="BD1051" s="264"/>
      <c r="BE1051" s="263"/>
      <c r="BF1051" s="263"/>
      <c r="BG1051" s="263"/>
      <c r="BH1051" s="263"/>
      <c r="BI1051" s="263"/>
      <c r="BJ1051" s="404">
        <f>altaz(J2000_Bas,$O1051,$M1051,DecLat,DecLong,2)</f>
        <v>168.43332884184747</v>
      </c>
      <c r="BK1051" s="378" t="s">
        <v>4083</v>
      </c>
      <c r="BL1051" s="379">
        <f>IF((2*G1051)/60&lt;0.2,0.2,(2*G1051)/60)</f>
        <v>0.2</v>
      </c>
      <c r="BM1051" s="380">
        <f>MOD((50000+AD1051-$B$3+(0/24)),1)</f>
        <v>3.6033011259860359E-2</v>
      </c>
      <c r="BN1051" s="381"/>
      <c r="BO1051" s="382">
        <v>1045</v>
      </c>
    </row>
    <row r="1052" spans="1:67" s="24" customFormat="1" ht="15" customHeight="1" x14ac:dyDescent="0.25">
      <c r="A1052" s="288" t="s">
        <v>1119</v>
      </c>
      <c r="B1052" s="241" t="str">
        <f>HYPERLINK(CONCATENATE($AT$3,BK1052,$AU$3),$AV$3)</f>
        <v>S</v>
      </c>
      <c r="C1052" s="242" t="str">
        <f>HYPERLINK(CONCATENATE($AT$4,BK1052,$AU$4,BL1052),$AV$4)</f>
        <v>A</v>
      </c>
      <c r="D1052" s="243" t="s">
        <v>5638</v>
      </c>
      <c r="E1052" s="244" t="s">
        <v>5625</v>
      </c>
      <c r="F1052" s="290">
        <v>4</v>
      </c>
      <c r="G1052" s="291">
        <v>1.5</v>
      </c>
      <c r="H1052" s="283">
        <v>400</v>
      </c>
      <c r="I1052" s="284">
        <v>175</v>
      </c>
      <c r="J1052" s="295">
        <v>2</v>
      </c>
      <c r="K1052" s="247" t="s">
        <v>3767</v>
      </c>
      <c r="L1052" s="248">
        <v>204812</v>
      </c>
      <c r="M1052" s="249">
        <f>15*(LEFT(TEXT($L1052,"000000"),2)+(MID(TEXT($L1052,"000000"),3,2)/60)+(RIGHT(TEXT($L1052,"000000"),2)/3600))</f>
        <v>312.05</v>
      </c>
      <c r="N1052" s="250">
        <v>-195027</v>
      </c>
      <c r="O1052" s="251">
        <f>IF($N1052&gt;0,(LEFT(TEXT($N1052,"000000"),2)+(MID(TEXT($N1052,"000000"),3,2)/60)+(RIGHT(TEXT($N1052,"000000"),2)/3600)),-(MID(TEXT($N1052,"000000"),2,2)+(MID(TEXT($N1052,"000000"),4,2)/60)+(RIGHT(TEXT($N1052,"000000"),2)/3600)))</f>
        <v>-19.840833333333332</v>
      </c>
      <c r="P1052" s="252" t="s">
        <v>1120</v>
      </c>
      <c r="Q1052" s="253"/>
      <c r="R1052" s="292"/>
      <c r="S1052" s="272" t="s">
        <v>3293</v>
      </c>
      <c r="T1052" s="273">
        <v>12.4</v>
      </c>
      <c r="U1052" s="289">
        <v>21.9</v>
      </c>
      <c r="V1052" s="280"/>
      <c r="W1052" s="244"/>
      <c r="X1052" s="244"/>
      <c r="Y1052" s="362"/>
      <c r="Z1052" s="257">
        <f>altaz(J2000_Bas,$O1052,$M1052,DecLat,DecLong,1)</f>
        <v>33.338445283829813</v>
      </c>
      <c r="AA1052" s="257">
        <f>altaz((J2000_Bas+(2*0.04167)),$O1052,$M1052,DecLat,DecLong,1)</f>
        <v>39.011482950182582</v>
      </c>
      <c r="AB1052" s="257">
        <f>altaz((J2000_Bas+(4*0.04167)),$O1052,$M1052,DecLat,DecLong,1)</f>
        <v>29.516428791194564</v>
      </c>
      <c r="AC1052" s="257">
        <f>altaz((J2000_Bas+(6*0.04167)),$O1052,$M1052,DecLat,DecLong,1)</f>
        <v>10.138767219827217</v>
      </c>
      <c r="AD1052" s="258">
        <f>1+ transit((J2000_Bas-1),$O1052,$M1052,DecLat,DecLong)/360 + (GMTOffset/24) + (IF(DST="Y", 1, 0)/24)</f>
        <v>1.859705429504708</v>
      </c>
      <c r="AE1052" s="259">
        <f>DATE(2001,9,21)+(M1052/360)*365 - (360*((DecLong/360)- (GMTOffset/24) ))</f>
        <v>37476.384027777778</v>
      </c>
      <c r="AF1052" s="260">
        <f>IF(DecLat&gt;0,IF((90 - (DecLat-O1052))&gt;90, (90 - (O1052-DecLat)), (90 - (DecLat-O1052))),IF((90 + (DecLat-O1052))&gt;90, (90 + (O1052-DecLat)), (90 + (DecLat-O1052))))</f>
        <v>39.159166666666664</v>
      </c>
      <c r="AG1052" s="257">
        <f>angularseperation(MoonRA,MoonDec,$M1052,$O1052)</f>
        <v>57.504001053827388</v>
      </c>
      <c r="AH1052" s="261">
        <f ca="1">MIN(100,IF($O$5&gt;80,0+30*($AG1052/100),IF($O$5&gt;70,0+50*($AG1052/100),IF($O$5&gt;60,5+50*($AG1052/100),IF($O$5&gt;50,10+60*($AG1052/100),IF($O$5&gt;40,15+70*($AG1052/100),IF($O$5&gt;30,20+70*($AG1052/100),IF($O$5&gt;20,40+55*($AG1052/100),(80+(20-$O$5)+30*($AG1052/100))))))))))</f>
        <v>100</v>
      </c>
      <c r="AI1052" s="262"/>
      <c r="AJ1052" s="262"/>
      <c r="AK1052" s="262"/>
      <c r="AL1052" s="263"/>
      <c r="AM1052" s="264"/>
      <c r="AN1052" s="263"/>
      <c r="AO1052" s="263">
        <v>87</v>
      </c>
      <c r="AP1052" s="265"/>
      <c r="AQ1052" s="266"/>
      <c r="AR1052" s="267"/>
      <c r="AS1052" s="263"/>
      <c r="AT1052" s="263"/>
      <c r="AU1052" s="263"/>
      <c r="AV1052" s="264"/>
      <c r="AW1052" s="263"/>
      <c r="AX1052" s="263"/>
      <c r="AY1052" s="263"/>
      <c r="AZ1052" s="263"/>
      <c r="BA1052" s="263"/>
      <c r="BB1052" s="263"/>
      <c r="BC1052" s="263"/>
      <c r="BD1052" s="264"/>
      <c r="BE1052" s="263"/>
      <c r="BF1052" s="263"/>
      <c r="BG1052" s="263"/>
      <c r="BH1052" s="263"/>
      <c r="BI1052" s="263"/>
      <c r="BJ1052" s="404">
        <f>altaz(J2000_Bas,$O1052,$M1052,DecLat,DecLong,2)</f>
        <v>150.36925434875056</v>
      </c>
      <c r="BK1052" s="378" t="s">
        <v>4084</v>
      </c>
      <c r="BL1052" s="379">
        <f>IF((2*G1052)/60&lt;0.2,0.2,(2*G1052)/60)</f>
        <v>0.2</v>
      </c>
      <c r="BM1052" s="380">
        <f>MOD((50000+AD1052-$B$3+(0/24)),1)</f>
        <v>7.5072359206387773E-2</v>
      </c>
      <c r="BN1052" s="381"/>
      <c r="BO1052" s="382">
        <v>1046</v>
      </c>
    </row>
    <row r="1053" spans="1:67" s="24" customFormat="1" ht="15" customHeight="1" x14ac:dyDescent="0.25">
      <c r="A1053" s="288" t="s">
        <v>1121</v>
      </c>
      <c r="B1053" s="241" t="str">
        <f>HYPERLINK(CONCATENATE($AT$3,BK1053,$AU$3),$AV$3)</f>
        <v>S</v>
      </c>
      <c r="C1053" s="242" t="str">
        <f>HYPERLINK(CONCATENATE($AT$4,BK1053,$AU$4,BL1053),$AV$4)</f>
        <v>A</v>
      </c>
      <c r="D1053" s="243" t="s">
        <v>5638</v>
      </c>
      <c r="E1053" s="244" t="s">
        <v>5625</v>
      </c>
      <c r="F1053" s="290">
        <v>4</v>
      </c>
      <c r="G1053" s="291">
        <v>5.2</v>
      </c>
      <c r="H1053" s="283">
        <v>280</v>
      </c>
      <c r="I1053" s="284">
        <v>450</v>
      </c>
      <c r="J1053" s="295">
        <v>2</v>
      </c>
      <c r="K1053" s="247" t="s">
        <v>7640</v>
      </c>
      <c r="L1053" s="248">
        <v>205223</v>
      </c>
      <c r="M1053" s="249">
        <f>15*(LEFT(TEXT($L1053,"000000"),2)+(MID(TEXT($L1053,"000000"),3,2)/60)+(RIGHT(TEXT($L1053,"000000"),2)/3600))</f>
        <v>313.09583333333336</v>
      </c>
      <c r="N1053" s="250">
        <v>-54529</v>
      </c>
      <c r="O1053" s="251">
        <f>IF($N1053&gt;0,(LEFT(TEXT($N1053,"000000"),2)+(MID(TEXT($N1053,"000000"),3,2)/60)+(RIGHT(TEXT($N1053,"000000"),2)/3600)),-(MID(TEXT($N1053,"000000"),2,2)+(MID(TEXT($N1053,"000000"),4,2)/60)+(RIGHT(TEXT($N1053,"000000"),2)/3600)))</f>
        <v>-5.7580555555555559</v>
      </c>
      <c r="P1053" s="252" t="s">
        <v>3119</v>
      </c>
      <c r="Q1053" s="253"/>
      <c r="R1053" s="292" t="s">
        <v>3434</v>
      </c>
      <c r="S1053" s="272" t="s">
        <v>3293</v>
      </c>
      <c r="T1053" s="273">
        <v>11.3</v>
      </c>
      <c r="U1053" s="289">
        <v>23.5</v>
      </c>
      <c r="V1053" s="280"/>
      <c r="W1053" s="244"/>
      <c r="X1053" s="244"/>
      <c r="Y1053" s="362"/>
      <c r="Z1053" s="257">
        <f>altaz(J2000_Bas,$O1053,$M1053,DecLat,DecLong,1)</f>
        <v>45.038727460399279</v>
      </c>
      <c r="AA1053" s="257">
        <f>altaz((J2000_Bas+(2*0.04167)),$O1053,$M1053,DecLat,DecLong,1)</f>
        <v>53.130831008760858</v>
      </c>
      <c r="AB1053" s="257">
        <f>altaz((J2000_Bas+(4*0.04167)),$O1053,$M1053,DecLat,DecLong,1)</f>
        <v>41.526418504478613</v>
      </c>
      <c r="AC1053" s="257">
        <f>altaz((J2000_Bas+(6*0.04167)),$O1053,$M1053,DecLat,DecLong,1)</f>
        <v>19.474085222574828</v>
      </c>
      <c r="AD1053" s="258">
        <f>1+ transit((J2000_Bas-1),$O1053,$M1053,DecLat,DecLong)/360 + (GMTOffset/24) + (IF(DST="Y", 1, 0)/24)</f>
        <v>1.8626105218067914</v>
      </c>
      <c r="AE1053" s="259">
        <f>DATE(2001,9,21)+(M1053/360)*365 - (360*((DecLong/360)- (GMTOffset/24) ))</f>
        <v>37477.444386574076</v>
      </c>
      <c r="AF1053" s="260">
        <f>IF(DecLat&gt;0,IF((90 - (DecLat-O1053))&gt;90, (90 - (O1053-DecLat)), (90 - (DecLat-O1053))),IF((90 + (DecLat-O1053))&gt;90, (90 + (O1053-DecLat)), (90 + (DecLat-O1053))))</f>
        <v>53.241944444444442</v>
      </c>
      <c r="AG1053" s="257">
        <f>angularseperation(MoonRA,MoonDec,$M1053,$O1053)</f>
        <v>64.148668860771991</v>
      </c>
      <c r="AH1053" s="261">
        <f ca="1">MIN(100,IF($O$5&gt;80,0+30*($AG1053/100),IF($O$5&gt;70,0+50*($AG1053/100),IF($O$5&gt;60,5+50*($AG1053/100),IF($O$5&gt;50,10+60*($AG1053/100),IF($O$5&gt;40,15+70*($AG1053/100),IF($O$5&gt;30,20+70*($AG1053/100),IF($O$5&gt;20,40+55*($AG1053/100),(80+(20-$O$5)+30*($AG1053/100))))))))))</f>
        <v>100</v>
      </c>
      <c r="AI1053" s="262">
        <v>6978</v>
      </c>
      <c r="AJ1053" s="262"/>
      <c r="AK1053" s="262"/>
      <c r="AL1053" s="263"/>
      <c r="AM1053" s="264"/>
      <c r="AN1053" s="263"/>
      <c r="AO1053" s="263">
        <v>88</v>
      </c>
      <c r="AP1053" s="265"/>
      <c r="AQ1053" s="266"/>
      <c r="AR1053" s="267">
        <v>65631</v>
      </c>
      <c r="AS1053" s="263"/>
      <c r="AT1053" s="263"/>
      <c r="AU1053" s="263"/>
      <c r="AV1053" s="264"/>
      <c r="AW1053" s="263"/>
      <c r="AX1053" s="263"/>
      <c r="AY1053" s="263"/>
      <c r="AZ1053" s="263"/>
      <c r="BA1053" s="263"/>
      <c r="BB1053" s="263"/>
      <c r="BC1053" s="263"/>
      <c r="BD1053" s="264"/>
      <c r="BE1053" s="263"/>
      <c r="BF1053" s="263"/>
      <c r="BG1053" s="263"/>
      <c r="BH1053" s="263"/>
      <c r="BI1053" s="263"/>
      <c r="BJ1053" s="404">
        <f>altaz(J2000_Bas,$O1053,$M1053,DecLat,DecLong,2)</f>
        <v>140.11324244105282</v>
      </c>
      <c r="BK1053" s="378" t="s">
        <v>4085</v>
      </c>
      <c r="BL1053" s="379">
        <f>IF((2*G1053)/60&lt;0.2,0.2,(2*G1053)/60)</f>
        <v>0.2</v>
      </c>
      <c r="BM1053" s="380">
        <f>MOD((50000+AD1053-$B$3+(0/24)),1)</f>
        <v>7.797745151037816E-2</v>
      </c>
      <c r="BN1053" s="381"/>
      <c r="BO1053" s="382">
        <v>1047</v>
      </c>
    </row>
    <row r="1054" spans="1:67" s="24" customFormat="1" ht="15" customHeight="1" x14ac:dyDescent="0.25">
      <c r="A1054" s="288" t="s">
        <v>1122</v>
      </c>
      <c r="B1054" s="241" t="str">
        <f>HYPERLINK(CONCATENATE($AT$3,BK1054,$AU$3),$AV$3)</f>
        <v>S</v>
      </c>
      <c r="C1054" s="242" t="str">
        <f>HYPERLINK(CONCATENATE($AT$4,BK1054,$AU$4,BL1054),$AV$4)</f>
        <v>A</v>
      </c>
      <c r="D1054" s="243" t="s">
        <v>5638</v>
      </c>
      <c r="E1054" s="244" t="s">
        <v>5625</v>
      </c>
      <c r="F1054" s="290">
        <v>4</v>
      </c>
      <c r="G1054" s="291">
        <v>4.8</v>
      </c>
      <c r="H1054" s="283">
        <v>410</v>
      </c>
      <c r="I1054" s="284">
        <v>600</v>
      </c>
      <c r="J1054" s="295">
        <v>2</v>
      </c>
      <c r="K1054" s="247" t="s">
        <v>7641</v>
      </c>
      <c r="L1054" s="248">
        <v>212011</v>
      </c>
      <c r="M1054" s="249">
        <f>15*(LEFT(TEXT($L1054,"000000"),2)+(MID(TEXT($L1054,"000000"),3,2)/60)+(RIGHT(TEXT($L1054,"000000"),2)/3600))</f>
        <v>320.04583333333329</v>
      </c>
      <c r="N1054" s="250">
        <v>-35433</v>
      </c>
      <c r="O1054" s="251">
        <f>IF($N1054&gt;0,(LEFT(TEXT($N1054,"000000"),2)+(MID(TEXT($N1054,"000000"),3,2)/60)+(RIGHT(TEXT($N1054,"000000"),2)/3600)),-(MID(TEXT($N1054,"000000"),2,2)+(MID(TEXT($N1054,"000000"),4,2)/60)+(RIGHT(TEXT($N1054,"000000"),2)/3600)))</f>
        <v>-3.9091666666666667</v>
      </c>
      <c r="P1054" s="252" t="s">
        <v>3119</v>
      </c>
      <c r="Q1054" s="253"/>
      <c r="R1054" s="292"/>
      <c r="S1054" s="272" t="s">
        <v>3293</v>
      </c>
      <c r="T1054" s="273">
        <v>13.7</v>
      </c>
      <c r="U1054" s="289">
        <v>25.7</v>
      </c>
      <c r="V1054" s="280"/>
      <c r="W1054" s="244"/>
      <c r="X1054" s="244"/>
      <c r="Y1054" s="362"/>
      <c r="Z1054" s="257">
        <f>altaz(J2000_Bas,$O1054,$M1054,DecLat,DecLong,1)</f>
        <v>42.337546934009026</v>
      </c>
      <c r="AA1054" s="257">
        <f>altaz((J2000_Bas+(2*0.04167)),$O1054,$M1054,DecLat,DecLong,1)</f>
        <v>54.887075215278969</v>
      </c>
      <c r="AB1054" s="257">
        <f>altaz((J2000_Bas+(4*0.04167)),$O1054,$M1054,DecLat,DecLong,1)</f>
        <v>47.112066313727269</v>
      </c>
      <c r="AC1054" s="257">
        <f>altaz((J2000_Bas+(6*0.04167)),$O1054,$M1054,DecLat,DecLong,1)</f>
        <v>26.13495825500944</v>
      </c>
      <c r="AD1054" s="258">
        <f>1+ transit((J2000_Bas-1),$O1054,$M1054,DecLat,DecLong)/360 + (GMTOffset/24) + (IF(DST="Y", 1, 0)/24)</f>
        <v>1.8819160754317916</v>
      </c>
      <c r="AE1054" s="259">
        <f>DATE(2001,9,21)+(M1054/360)*365 - (360*((DecLong/360)- (GMTOffset/24) ))</f>
        <v>37484.490914351853</v>
      </c>
      <c r="AF1054" s="260">
        <f>IF(DecLat&gt;0,IF((90 - (DecLat-O1054))&gt;90, (90 - (O1054-DecLat)), (90 - (DecLat-O1054))),IF((90 + (DecLat-O1054))&gt;90, (90 + (O1054-DecLat)), (90 + (DecLat-O1054))))</f>
        <v>55.090833333333336</v>
      </c>
      <c r="AG1054" s="257">
        <f>angularseperation(MoonRA,MoonDec,$M1054,$O1054)</f>
        <v>71.149247174971975</v>
      </c>
      <c r="AH1054" s="261">
        <f ca="1">MIN(100,IF($O$5&gt;80,0+30*($AG1054/100),IF($O$5&gt;70,0+50*($AG1054/100),IF($O$5&gt;60,5+50*($AG1054/100),IF($O$5&gt;50,10+60*($AG1054/100),IF($O$5&gt;40,15+70*($AG1054/100),IF($O$5&gt;30,20+70*($AG1054/100),IF($O$5&gt;20,40+55*($AG1054/100),(80+(20-$O$5)+30*($AG1054/100))))))))))</f>
        <v>100</v>
      </c>
      <c r="AI1054" s="262"/>
      <c r="AJ1054" s="262"/>
      <c r="AK1054" s="262"/>
      <c r="AL1054" s="263"/>
      <c r="AM1054" s="264"/>
      <c r="AN1054" s="263"/>
      <c r="AO1054" s="263">
        <v>89</v>
      </c>
      <c r="AP1054" s="265"/>
      <c r="AQ1054" s="266"/>
      <c r="AR1054" s="267"/>
      <c r="AS1054" s="263"/>
      <c r="AT1054" s="263"/>
      <c r="AU1054" s="263"/>
      <c r="AV1054" s="264"/>
      <c r="AW1054" s="263"/>
      <c r="AX1054" s="263"/>
      <c r="AY1054" s="263"/>
      <c r="AZ1054" s="263"/>
      <c r="BA1054" s="263"/>
      <c r="BB1054" s="263"/>
      <c r="BC1054" s="263"/>
      <c r="BD1054" s="264"/>
      <c r="BE1054" s="263"/>
      <c r="BF1054" s="263"/>
      <c r="BG1054" s="263"/>
      <c r="BH1054" s="263"/>
      <c r="BI1054" s="263"/>
      <c r="BJ1054" s="404">
        <f>altaz(J2000_Bas,$O1054,$M1054,DecLat,DecLong,2)</f>
        <v>130.92412275741125</v>
      </c>
      <c r="BK1054" s="378" t="s">
        <v>4086</v>
      </c>
      <c r="BL1054" s="379">
        <f>IF((2*G1054)/60&lt;0.2,0.2,(2*G1054)/60)</f>
        <v>0.2</v>
      </c>
      <c r="BM1054" s="380">
        <f>MOD((50000+AD1054-$B$3+(0/24)),1)</f>
        <v>9.7283005132339895E-2</v>
      </c>
      <c r="BN1054" s="381"/>
      <c r="BO1054" s="382">
        <v>1048</v>
      </c>
    </row>
    <row r="1055" spans="1:67" s="24" customFormat="1" ht="15" customHeight="1" x14ac:dyDescent="0.25">
      <c r="A1055" s="288" t="s">
        <v>1123</v>
      </c>
      <c r="B1055" s="241" t="str">
        <f>HYPERLINK(CONCATENATE($AT$3,BK1055,$AU$3),$AV$3)</f>
        <v>S</v>
      </c>
      <c r="C1055" s="242" t="str">
        <f>HYPERLINK(CONCATENATE($AT$4,BK1055,$AU$4,BL1055),$AV$4)</f>
        <v>A</v>
      </c>
      <c r="D1055" s="243" t="s">
        <v>5638</v>
      </c>
      <c r="E1055" s="244" t="s">
        <v>5625</v>
      </c>
      <c r="F1055" s="290">
        <v>4</v>
      </c>
      <c r="G1055" s="291">
        <v>7.4</v>
      </c>
      <c r="H1055" s="283">
        <v>120</v>
      </c>
      <c r="I1055" s="284">
        <v>280</v>
      </c>
      <c r="J1055" s="295">
        <v>2</v>
      </c>
      <c r="K1055" s="277" t="s">
        <v>3768</v>
      </c>
      <c r="L1055" s="248">
        <v>220209</v>
      </c>
      <c r="M1055" s="249">
        <f>15*(LEFT(TEXT($L1055,"000000"),2)+(MID(TEXT($L1055,"000000"),3,2)/60)+(RIGHT(TEXT($L1055,"000000"),2)/3600))</f>
        <v>330.53750000000002</v>
      </c>
      <c r="N1055" s="250">
        <v>-315925</v>
      </c>
      <c r="O1055" s="251">
        <f>IF($N1055&gt;0,(LEFT(TEXT($N1055,"000000"),2)+(MID(TEXT($N1055,"000000"),3,2)/60)+(RIGHT(TEXT($N1055,"000000"),2)/3600)),-(MID(TEXT($N1055,"000000"),2,2)+(MID(TEXT($N1055,"000000"),4,2)/60)+(RIGHT(TEXT($N1055,"000000"),2)/3600)))</f>
        <v>-31.990277777777777</v>
      </c>
      <c r="P1055" s="252" t="s">
        <v>232</v>
      </c>
      <c r="Q1055" s="253"/>
      <c r="R1055" s="292" t="s">
        <v>3435</v>
      </c>
      <c r="S1055" s="272" t="s">
        <v>3293</v>
      </c>
      <c r="T1055" s="273">
        <v>9.1</v>
      </c>
      <c r="U1055" s="289">
        <v>22.1</v>
      </c>
      <c r="V1055" s="280"/>
      <c r="W1055" s="244"/>
      <c r="X1055" s="244"/>
      <c r="Y1055" s="362"/>
      <c r="Z1055" s="257">
        <f>altaz(J2000_Bas,$O1055,$M1055,DecLat,DecLong,1)</f>
        <v>14.203441870178001</v>
      </c>
      <c r="AA1055" s="257">
        <f>altaz((J2000_Bas+(2*0.04167)),$O1055,$M1055,DecLat,DecLong,1)</f>
        <v>25.540099170598047</v>
      </c>
      <c r="AB1055" s="257">
        <f>altaz((J2000_Bas+(4*0.04167)),$O1055,$M1055,DecLat,DecLong,1)</f>
        <v>25.292793009154085</v>
      </c>
      <c r="AC1055" s="257">
        <f>altaz((J2000_Bas+(6*0.04167)),$O1055,$M1055,DecLat,DecLong,1)</f>
        <v>13.57514064878292</v>
      </c>
      <c r="AD1055" s="258">
        <f>1+ transit((J2000_Bas-1),$O1055,$M1055,DecLat,DecLong)/360 + (GMTOffset/24) + (IF(DST="Y", 1, 0)/24)</f>
        <v>1.9110595910359585</v>
      </c>
      <c r="AE1055" s="259">
        <f>DATE(2001,9,21)+(M1055/360)*365 - (360*((DecLong/360)- (GMTOffset/24) ))</f>
        <v>37495.128298611111</v>
      </c>
      <c r="AF1055" s="260">
        <f>IF(DecLat&gt;0,IF((90 - (DecLat-O1055))&gt;90, (90 - (O1055-DecLat)), (90 - (DecLat-O1055))),IF((90 + (DecLat-O1055))&gt;90, (90 + (O1055-DecLat)), (90 + (DecLat-O1055))))</f>
        <v>27.009722222222223</v>
      </c>
      <c r="AG1055" s="257">
        <f>angularseperation(MoonRA,MoonDec,$M1055,$O1055)</f>
        <v>69.176848325995863</v>
      </c>
      <c r="AH1055" s="261">
        <f ca="1">MIN(100,IF($O$5&gt;80,0+30*($AG1055/100),IF($O$5&gt;70,0+50*($AG1055/100),IF($O$5&gt;60,5+50*($AG1055/100),IF($O$5&gt;50,10+60*($AG1055/100),IF($O$5&gt;40,15+70*($AG1055/100),IF($O$5&gt;30,20+70*($AG1055/100),IF($O$5&gt;20,40+55*($AG1055/100),(80+(20-$O$5)+30*($AG1055/100))))))))))</f>
        <v>100</v>
      </c>
      <c r="AI1055" s="262">
        <v>7172</v>
      </c>
      <c r="AJ1055" s="262"/>
      <c r="AK1055" s="262"/>
      <c r="AL1055" s="263"/>
      <c r="AM1055" s="264"/>
      <c r="AN1055" s="263"/>
      <c r="AO1055" s="263">
        <v>90</v>
      </c>
      <c r="AP1055" s="265"/>
      <c r="AQ1055" s="266"/>
      <c r="AR1055" s="267">
        <v>67883</v>
      </c>
      <c r="AS1055" s="263"/>
      <c r="AT1055" s="263"/>
      <c r="AU1055" s="263"/>
      <c r="AV1055" s="264"/>
      <c r="AW1055" s="263"/>
      <c r="AX1055" s="263"/>
      <c r="AY1055" s="263"/>
      <c r="AZ1055" s="263"/>
      <c r="BA1055" s="263"/>
      <c r="BB1055" s="263"/>
      <c r="BC1055" s="263"/>
      <c r="BD1055" s="264"/>
      <c r="BE1055" s="263"/>
      <c r="BF1055" s="263"/>
      <c r="BG1055" s="263"/>
      <c r="BH1055" s="263"/>
      <c r="BI1055" s="263"/>
      <c r="BJ1055" s="404">
        <f>altaz(J2000_Bas,$O1055,$M1055,DecLat,DecLong,2)</f>
        <v>142.1502416467676</v>
      </c>
      <c r="BK1055" s="378" t="s">
        <v>4087</v>
      </c>
      <c r="BL1055" s="379">
        <f>IF((2*G1055)/60&lt;0.2,0.2,(2*G1055)/60)</f>
        <v>0.24666666666666667</v>
      </c>
      <c r="BM1055" s="380">
        <f>MOD((50000+AD1055-$B$3+(0/24)),1)</f>
        <v>0.12642652074282523</v>
      </c>
      <c r="BN1055" s="381" t="s">
        <v>9218</v>
      </c>
      <c r="BO1055" s="382">
        <v>1049</v>
      </c>
    </row>
    <row r="1056" spans="1:67" s="24" customFormat="1" ht="15" customHeight="1" x14ac:dyDescent="0.25">
      <c r="A1056" s="288" t="s">
        <v>1124</v>
      </c>
      <c r="B1056" s="241" t="str">
        <f>HYPERLINK(CONCATENATE($AT$3,BK1056,$AU$3),$AV$3)</f>
        <v>S</v>
      </c>
      <c r="C1056" s="242" t="str">
        <f>HYPERLINK(CONCATENATE($AT$4,BK1056,$AU$4,BL1056),$AV$4)</f>
        <v>A</v>
      </c>
      <c r="D1056" s="243" t="s">
        <v>5638</v>
      </c>
      <c r="E1056" s="244" t="s">
        <v>5625</v>
      </c>
      <c r="F1056" s="290">
        <v>4</v>
      </c>
      <c r="G1056" s="291">
        <v>5.2</v>
      </c>
      <c r="H1056" s="283">
        <v>320</v>
      </c>
      <c r="I1056" s="284">
        <v>500</v>
      </c>
      <c r="J1056" s="295">
        <v>2</v>
      </c>
      <c r="K1056" s="247" t="s">
        <v>3769</v>
      </c>
      <c r="L1056" s="248">
        <v>220912</v>
      </c>
      <c r="M1056" s="249">
        <f>15*(LEFT(TEXT($L1056,"000000"),2)+(MID(TEXT($L1056,"000000"),3,2)/60)+(RIGHT(TEXT($L1056,"000000"),2)/3600))</f>
        <v>332.3</v>
      </c>
      <c r="N1056" s="250">
        <v>-274634</v>
      </c>
      <c r="O1056" s="251">
        <f>IF($N1056&gt;0,(LEFT(TEXT($N1056,"000000"),2)+(MID(TEXT($N1056,"000000"),3,2)/60)+(RIGHT(TEXT($N1056,"000000"),2)/3600)),-(MID(TEXT($N1056,"000000"),2,2)+(MID(TEXT($N1056,"000000"),4,2)/60)+(RIGHT(TEXT($N1056,"000000"),2)/3600)))</f>
        <v>-27.77611111111111</v>
      </c>
      <c r="P1056" s="252" t="s">
        <v>232</v>
      </c>
      <c r="Q1056" s="253"/>
      <c r="R1056" s="292" t="s">
        <v>3436</v>
      </c>
      <c r="S1056" s="272" t="s">
        <v>3293</v>
      </c>
      <c r="T1056" s="273">
        <v>11.7</v>
      </c>
      <c r="U1056" s="289">
        <v>23.9</v>
      </c>
      <c r="V1056" s="280"/>
      <c r="W1056" s="244"/>
      <c r="X1056" s="244"/>
      <c r="Y1056" s="362"/>
      <c r="Z1056" s="257">
        <f>altaz(J2000_Bas,$O1056,$M1056,DecLat,DecLong,1)</f>
        <v>16.497517669647547</v>
      </c>
      <c r="AA1056" s="257">
        <f>altaz((J2000_Bas+(2*0.04167)),$O1056,$M1056,DecLat,DecLong,1)</f>
        <v>29.223845777721969</v>
      </c>
      <c r="AB1056" s="257">
        <f>altaz((J2000_Bas+(4*0.04167)),$O1056,$M1056,DecLat,DecLong,1)</f>
        <v>29.753188407909953</v>
      </c>
      <c r="AC1056" s="257">
        <f>altaz((J2000_Bas+(6*0.04167)),$O1056,$M1056,DecLat,DecLong,1)</f>
        <v>17.814292383132038</v>
      </c>
      <c r="AD1056" s="258">
        <f>1+ transit((J2000_Bas-1),$O1056,$M1056,DecLat,DecLong)/360 + (GMTOffset/24) + (IF(DST="Y", 1, 0)/24)</f>
        <v>1.9159554238797083</v>
      </c>
      <c r="AE1056" s="259">
        <f>DATE(2001,9,21)+(M1056/360)*365 - (360*((DecLong/360)- (GMTOffset/24) ))</f>
        <v>37496.915277777778</v>
      </c>
      <c r="AF1056" s="260">
        <f>IF(DecLat&gt;0,IF((90 - (DecLat-O1056))&gt;90, (90 - (O1056-DecLat)), (90 - (DecLat-O1056))),IF((90 + (DecLat-O1056))&gt;90, (90 + (O1056-DecLat)), (90 + (DecLat-O1056))))</f>
        <v>31.223888888888894</v>
      </c>
      <c r="AG1056" s="257">
        <f>angularseperation(MoonRA,MoonDec,$M1056,$O1056)</f>
        <v>72.098188069515828</v>
      </c>
      <c r="AH1056" s="261">
        <f ca="1">MIN(100,IF($O$5&gt;80,0+30*($AG1056/100),IF($O$5&gt;70,0+50*($AG1056/100),IF($O$5&gt;60,5+50*($AG1056/100),IF($O$5&gt;50,10+60*($AG1056/100),IF($O$5&gt;40,15+70*($AG1056/100),IF($O$5&gt;30,20+70*($AG1056/100),IF($O$5&gt;20,40+55*($AG1056/100),(80+(20-$O$5)+30*($AG1056/100))))))))))</f>
        <v>100</v>
      </c>
      <c r="AI1056" s="262">
        <v>7214</v>
      </c>
      <c r="AJ1056" s="262"/>
      <c r="AK1056" s="262"/>
      <c r="AL1056" s="263"/>
      <c r="AM1056" s="264"/>
      <c r="AN1056" s="263"/>
      <c r="AO1056" s="263">
        <v>91</v>
      </c>
      <c r="AP1056" s="265"/>
      <c r="AQ1056" s="266"/>
      <c r="AR1056" s="267">
        <v>68152</v>
      </c>
      <c r="AS1056" s="263"/>
      <c r="AT1056" s="263"/>
      <c r="AU1056" s="263"/>
      <c r="AV1056" s="264"/>
      <c r="AW1056" s="263"/>
      <c r="AX1056" s="263"/>
      <c r="AY1056" s="263"/>
      <c r="AZ1056" s="263"/>
      <c r="BA1056" s="263"/>
      <c r="BB1056" s="263"/>
      <c r="BC1056" s="263"/>
      <c r="BD1056" s="264"/>
      <c r="BE1056" s="263"/>
      <c r="BF1056" s="263"/>
      <c r="BG1056" s="263"/>
      <c r="BH1056" s="263"/>
      <c r="BI1056" s="263"/>
      <c r="BJ1056" s="404">
        <f>altaz(J2000_Bas,$O1056,$M1056,DecLat,DecLong,2)</f>
        <v>138.15647569778267</v>
      </c>
      <c r="BK1056" s="378" t="s">
        <v>4088</v>
      </c>
      <c r="BL1056" s="379">
        <f>IF((2*G1056)/60&lt;0.2,0.2,(2*G1056)/60)</f>
        <v>0.2</v>
      </c>
      <c r="BM1056" s="380">
        <f>MOD((50000+AD1056-$B$3+(0/24)),1)</f>
        <v>0.13132235358352773</v>
      </c>
      <c r="BN1056" s="381"/>
      <c r="BO1056" s="382">
        <v>1050</v>
      </c>
    </row>
    <row r="1057" spans="1:67" s="24" customFormat="1" ht="15" customHeight="1" x14ac:dyDescent="0.25">
      <c r="A1057" s="288" t="s">
        <v>1125</v>
      </c>
      <c r="B1057" s="241" t="str">
        <f>HYPERLINK(CONCATENATE($AT$3,BK1057,$AU$3),$AV$3)</f>
        <v>S</v>
      </c>
      <c r="C1057" s="242" t="str">
        <f>HYPERLINK(CONCATENATE($AT$4,BK1057,$AU$4,BL1057),$AV$4)</f>
        <v>A</v>
      </c>
      <c r="D1057" s="243" t="s">
        <v>5638</v>
      </c>
      <c r="E1057" s="244" t="s">
        <v>5625</v>
      </c>
      <c r="F1057" s="290">
        <v>5</v>
      </c>
      <c r="G1057" s="291">
        <v>5.2</v>
      </c>
      <c r="H1057" s="283">
        <v>320</v>
      </c>
      <c r="I1057" s="284">
        <v>500</v>
      </c>
      <c r="J1057" s="295">
        <v>2</v>
      </c>
      <c r="K1057" s="247" t="s">
        <v>7642</v>
      </c>
      <c r="L1057" s="248">
        <v>234727</v>
      </c>
      <c r="M1057" s="249">
        <f>15*(LEFT(TEXT($L1057,"000000"),2)+(MID(TEXT($L1057,"000000"),3,2)/60)+(RIGHT(TEXT($L1057,"000000"),2)/3600))</f>
        <v>356.86250000000001</v>
      </c>
      <c r="N1057" s="250">
        <v>-21820</v>
      </c>
      <c r="O1057" s="251">
        <f>IF($N1057&gt;0,(LEFT(TEXT($N1057,"000000"),2)+(MID(TEXT($N1057,"000000"),3,2)/60)+(RIGHT(TEXT($N1057,"000000"),2)/3600)),-(MID(TEXT($N1057,"000000"),2,2)+(MID(TEXT($N1057,"000000"),4,2)/60)+(RIGHT(TEXT($N1057,"000000"),2)/3600)))</f>
        <v>-2.3055555555555554</v>
      </c>
      <c r="P1057" s="252" t="s">
        <v>158</v>
      </c>
      <c r="Q1057" s="253"/>
      <c r="R1057" s="292"/>
      <c r="S1057" s="272" t="s">
        <v>3293</v>
      </c>
      <c r="T1057" s="273">
        <v>11.5</v>
      </c>
      <c r="U1057" s="289">
        <v>23.7</v>
      </c>
      <c r="V1057" s="280"/>
      <c r="W1057" s="244"/>
      <c r="X1057" s="244"/>
      <c r="Y1057" s="362"/>
      <c r="Z1057" s="257">
        <f>altaz(J2000_Bas,$O1057,$M1057,DecLat,DecLong,1)</f>
        <v>15.07604765951654</v>
      </c>
      <c r="AA1057" s="257">
        <f>altaz((J2000_Bas+(2*0.04167)),$O1057,$M1057,DecLat,DecLong,1)</f>
        <v>38.892984245457633</v>
      </c>
      <c r="AB1057" s="257">
        <f>altaz((J2000_Bas+(4*0.04167)),$O1057,$M1057,DecLat,DecLong,1)</f>
        <v>55.173785850901666</v>
      </c>
      <c r="AC1057" s="257">
        <f>altaz((J2000_Bas+(6*0.04167)),$O1057,$M1057,DecLat,DecLong,1)</f>
        <v>51.920600465277673</v>
      </c>
      <c r="AD1057" s="258">
        <f>1+ transit((J2000_Bas-1),$O1057,$M1057,DecLat,DecLong)/360 + (GMTOffset/24) + (IF(DST="Y", 1, 0)/24)</f>
        <v>1.9841845837234582</v>
      </c>
      <c r="AE1057" s="259">
        <f>DATE(2001,9,21)+(M1057/360)*365 - (360*((DecLong/360)- (GMTOffset/24) ))</f>
        <v>37521.818923611114</v>
      </c>
      <c r="AF1057" s="260">
        <f>IF(DecLat&gt;0,IF((90 - (DecLat-O1057))&gt;90, (90 - (O1057-DecLat)), (90 - (DecLat-O1057))),IF((90 + (DecLat-O1057))&gt;90, (90 + (O1057-DecLat)), (90 + (DecLat-O1057))))</f>
        <v>56.694444444444443</v>
      </c>
      <c r="AG1057" s="257">
        <f>angularseperation(MoonRA,MoonDec,$M1057,$O1057)</f>
        <v>104.53565950160319</v>
      </c>
      <c r="AH1057" s="261">
        <f ca="1">MIN(100,IF($O$5&gt;80,0+30*($AG1057/100),IF($O$5&gt;70,0+50*($AG1057/100),IF($O$5&gt;60,5+50*($AG1057/100),IF($O$5&gt;50,10+60*($AG1057/100),IF($O$5&gt;40,15+70*($AG1057/100),IF($O$5&gt;30,20+70*($AG1057/100),IF($O$5&gt;20,40+55*($AG1057/100),(80+(20-$O$5)+30*($AG1057/100))))))))))</f>
        <v>100</v>
      </c>
      <c r="AI1057" s="262"/>
      <c r="AJ1057" s="262"/>
      <c r="AK1057" s="262"/>
      <c r="AL1057" s="263"/>
      <c r="AM1057" s="264"/>
      <c r="AN1057" s="263"/>
      <c r="AO1057" s="263">
        <v>97</v>
      </c>
      <c r="AP1057" s="265"/>
      <c r="AQ1057" s="266"/>
      <c r="AR1057" s="267"/>
      <c r="AS1057" s="263"/>
      <c r="AT1057" s="263"/>
      <c r="AU1057" s="263"/>
      <c r="AV1057" s="264"/>
      <c r="AW1057" s="263"/>
      <c r="AX1057" s="263"/>
      <c r="AY1057" s="263"/>
      <c r="AZ1057" s="263"/>
      <c r="BA1057" s="263"/>
      <c r="BB1057" s="263"/>
      <c r="BC1057" s="263"/>
      <c r="BD1057" s="264"/>
      <c r="BE1057" s="263"/>
      <c r="BF1057" s="263"/>
      <c r="BG1057" s="263"/>
      <c r="BH1057" s="263"/>
      <c r="BI1057" s="263"/>
      <c r="BJ1057" s="404">
        <f>altaz(J2000_Bas,$O1057,$M1057,DecLat,DecLong,2)</f>
        <v>102.14932398099727</v>
      </c>
      <c r="BK1057" s="378" t="s">
        <v>4094</v>
      </c>
      <c r="BL1057" s="379">
        <f>IF((2*G1057)/60&lt;0.2,0.2,(2*G1057)/60)</f>
        <v>0.2</v>
      </c>
      <c r="BM1057" s="380">
        <f>MOD((50000+AD1057-$B$3+(0/24)),1)</f>
        <v>0.19955151342583122</v>
      </c>
      <c r="BN1057" s="381"/>
      <c r="BO1057" s="382">
        <v>1051</v>
      </c>
    </row>
    <row r="1058" spans="1:67" s="24" customFormat="1" ht="15" customHeight="1" x14ac:dyDescent="0.25">
      <c r="A1058" s="288" t="s">
        <v>1126</v>
      </c>
      <c r="B1058" s="241" t="str">
        <f>HYPERLINK(CONCATENATE($AT$3,BK1058,$AU$3),$AV$3)</f>
        <v>S</v>
      </c>
      <c r="C1058" s="242" t="str">
        <f>HYPERLINK(CONCATENATE($AT$4,BK1058,$AU$4,BL1058),$AV$4)</f>
        <v>A</v>
      </c>
      <c r="D1058" s="243" t="s">
        <v>5638</v>
      </c>
      <c r="E1058" s="244" t="s">
        <v>5625</v>
      </c>
      <c r="F1058" s="290">
        <v>4</v>
      </c>
      <c r="G1058" s="291">
        <v>2.4</v>
      </c>
      <c r="H1058" s="283">
        <v>410</v>
      </c>
      <c r="I1058" s="284">
        <v>300</v>
      </c>
      <c r="J1058" s="295">
        <v>2</v>
      </c>
      <c r="K1058" s="247" t="s">
        <v>7643</v>
      </c>
      <c r="L1058" s="248">
        <v>44</v>
      </c>
      <c r="M1058" s="249">
        <f>15*(LEFT(TEXT($L1058,"000000"),2)+(MID(TEXT($L1058,"000000"),3,2)/60)+(RIGHT(TEXT($L1058,"000000"),2)/3600))</f>
        <v>0.18333333333333335</v>
      </c>
      <c r="N1058" s="250">
        <v>282320</v>
      </c>
      <c r="O1058" s="251">
        <f>IF($N1058&gt;0,(LEFT(TEXT($N1058,"000000"),2)+(MID(TEXT($N1058,"000000"),3,2)/60)+(RIGHT(TEXT($N1058,"000000"),2)/3600)),-(MID(TEXT($N1058,"000000"),2,2)+(MID(TEXT($N1058,"000000"),4,2)/60)+(RIGHT(TEXT($N1058,"000000"),2)/3600)))</f>
        <v>28.388888888888889</v>
      </c>
      <c r="P1058" s="252" t="s">
        <v>39</v>
      </c>
      <c r="Q1058" s="253"/>
      <c r="R1058" s="292"/>
      <c r="S1058" s="272" t="s">
        <v>3293</v>
      </c>
      <c r="T1058" s="273">
        <v>12.2</v>
      </c>
      <c r="U1058" s="289">
        <v>22.7</v>
      </c>
      <c r="V1058" s="280"/>
      <c r="W1058" s="244"/>
      <c r="X1058" s="244"/>
      <c r="Y1058" s="362"/>
      <c r="Z1058" s="257">
        <f>altaz(J2000_Bas,$O1058,$M1058,DecLat,DecLong,1)</f>
        <v>26.772141879952631</v>
      </c>
      <c r="AA1058" s="257">
        <f>altaz((J2000_Bas+(2*0.04167)),$O1058,$M1058,DecLat,DecLong,1)</f>
        <v>51.854072198831233</v>
      </c>
      <c r="AB1058" s="257">
        <f>altaz((J2000_Bas+(4*0.04167)),$O1058,$M1058,DecLat,DecLong,1)</f>
        <v>77.560816537033489</v>
      </c>
      <c r="AC1058" s="257">
        <f>altaz((J2000_Bas+(6*0.04167)),$O1058,$M1058,DecLat,DecLong,1)</f>
        <v>75.809179312388679</v>
      </c>
      <c r="AD1058" s="258">
        <f>1+ transit((J2000_Bas-1),$O1058,$M1058,DecLat,DecLong)/360 + (GMTOffset/24) + (IF(DST="Y", 1, 0)/24)</f>
        <v>0.9934092198380412</v>
      </c>
      <c r="AE1058" s="259">
        <f>DATE(2001,9,21)+(M1058/360)*365 - (360*((DecLong/360)- (GMTOffset/24) ))</f>
        <v>37160.185879629629</v>
      </c>
      <c r="AF1058" s="260">
        <f>IF(DecLat&gt;0,IF((90 - (DecLat-O1058))&gt;90, (90 - (O1058-DecLat)), (90 - (DecLat-O1058))),IF((90 + (DecLat-O1058))&gt;90, (90 + (O1058-DecLat)), (90 + (DecLat-O1058))))</f>
        <v>87.388888888888886</v>
      </c>
      <c r="AG1058" s="257">
        <f>angularseperation(MoonRA,MoonDec,$M1058,$O1058)</f>
        <v>119.76364478571692</v>
      </c>
      <c r="AH1058" s="261">
        <f ca="1">MIN(100,IF($O$5&gt;80,0+30*($AG1058/100),IF($O$5&gt;70,0+50*($AG1058/100),IF($O$5&gt;60,5+50*($AG1058/100),IF($O$5&gt;50,10+60*($AG1058/100),IF($O$5&gt;40,15+70*($AG1058/100),IF($O$5&gt;30,20+70*($AG1058/100),IF($O$5&gt;20,40+55*($AG1058/100),(80+(20-$O$5)+30*($AG1058/100))))))))))</f>
        <v>100</v>
      </c>
      <c r="AI1058" s="262"/>
      <c r="AJ1058" s="262"/>
      <c r="AK1058" s="262"/>
      <c r="AL1058" s="263"/>
      <c r="AM1058" s="264"/>
      <c r="AN1058" s="263"/>
      <c r="AO1058" s="263">
        <v>99</v>
      </c>
      <c r="AP1058" s="265"/>
      <c r="AQ1058" s="266">
        <v>12896</v>
      </c>
      <c r="AR1058" s="267"/>
      <c r="AS1058" s="263"/>
      <c r="AT1058" s="263"/>
      <c r="AU1058" s="263"/>
      <c r="AV1058" s="264"/>
      <c r="AW1058" s="263"/>
      <c r="AX1058" s="263"/>
      <c r="AY1058" s="263"/>
      <c r="AZ1058" s="263"/>
      <c r="BA1058" s="263"/>
      <c r="BB1058" s="263"/>
      <c r="BC1058" s="263"/>
      <c r="BD1058" s="264"/>
      <c r="BE1058" s="263"/>
      <c r="BF1058" s="263"/>
      <c r="BG1058" s="263"/>
      <c r="BH1058" s="263"/>
      <c r="BI1058" s="263"/>
      <c r="BJ1058" s="404">
        <f>altaz(J2000_Bas,$O1058,$M1058,DecLat,DecLong,2)</f>
        <v>71.450244181925996</v>
      </c>
      <c r="BK1058" s="378" t="s">
        <v>4096</v>
      </c>
      <c r="BL1058" s="379">
        <f>IF((2*G1058)/60&lt;0.2,0.2,(2*G1058)/60)</f>
        <v>0.2</v>
      </c>
      <c r="BM1058" s="380">
        <f>MOD((50000+AD1058-$B$3+(0/24)),1)</f>
        <v>0.20877614954224555</v>
      </c>
      <c r="BN1058" s="381"/>
      <c r="BO1058" s="382">
        <v>1052</v>
      </c>
    </row>
    <row r="1059" spans="1:67" s="24" customFormat="1" ht="15" customHeight="1" x14ac:dyDescent="0.25">
      <c r="A1059" s="288" t="s">
        <v>1127</v>
      </c>
      <c r="B1059" s="241" t="str">
        <f>HYPERLINK(CONCATENATE($AT$3,BK1059,$AU$3),$AV$3)</f>
        <v>S</v>
      </c>
      <c r="C1059" s="242" t="str">
        <f>HYPERLINK(CONCATENATE($AT$4,BK1059,$AU$4,BL1059),$AV$4)</f>
        <v>A</v>
      </c>
      <c r="D1059" s="243" t="s">
        <v>5638</v>
      </c>
      <c r="E1059" s="244" t="s">
        <v>5625</v>
      </c>
      <c r="F1059" s="290">
        <v>4</v>
      </c>
      <c r="G1059" s="291">
        <v>3.6</v>
      </c>
      <c r="H1059" s="283">
        <v>250</v>
      </c>
      <c r="I1059" s="284">
        <v>250</v>
      </c>
      <c r="J1059" s="295">
        <v>2</v>
      </c>
      <c r="K1059" s="247" t="s">
        <v>7644</v>
      </c>
      <c r="L1059" s="248">
        <v>121</v>
      </c>
      <c r="M1059" s="249">
        <f>15*(LEFT(TEXT($L1059,"000000"),2)+(MID(TEXT($L1059,"000000"),3,2)/60)+(RIGHT(TEXT($L1059,"000000"),2)/3600))</f>
        <v>0.33749999999999997</v>
      </c>
      <c r="N1059" s="250">
        <v>130757</v>
      </c>
      <c r="O1059" s="251">
        <f>IF($N1059&gt;0,(LEFT(TEXT($N1059,"000000"),2)+(MID(TEXT($N1059,"000000"),3,2)/60)+(RIGHT(TEXT($N1059,"000000"),2)/3600)),-(MID(TEXT($N1059,"000000"),2,2)+(MID(TEXT($N1059,"000000"),4,2)/60)+(RIGHT(TEXT($N1059,"000000"),2)/3600)))</f>
        <v>13.1325</v>
      </c>
      <c r="P1059" s="252" t="s">
        <v>39</v>
      </c>
      <c r="Q1059" s="253"/>
      <c r="R1059" s="292" t="s">
        <v>3437</v>
      </c>
      <c r="S1059" s="272" t="s">
        <v>3293</v>
      </c>
      <c r="T1059" s="273">
        <v>11.5</v>
      </c>
      <c r="U1059" s="289">
        <v>22.9</v>
      </c>
      <c r="V1059" s="280"/>
      <c r="W1059" s="244"/>
      <c r="X1059" s="244"/>
      <c r="Y1059" s="362"/>
      <c r="Z1059" s="257">
        <f>altaz(J2000_Bas,$O1059,$M1059,DecLat,DecLong,1)</f>
        <v>20.023964422150872</v>
      </c>
      <c r="AA1059" s="257">
        <f>altaz((J2000_Bas+(2*0.04167)),$O1059,$M1059,DecLat,DecLong,1)</f>
        <v>45.638961459625499</v>
      </c>
      <c r="AB1059" s="257">
        <f>altaz((J2000_Bas+(4*0.04167)),$O1059,$M1059,DecLat,DecLong,1)</f>
        <v>67.878172213490558</v>
      </c>
      <c r="AC1059" s="257">
        <f>altaz((J2000_Bas+(6*0.04167)),$O1059,$M1059,DecLat,DecLong,1)</f>
        <v>66.890617265727457</v>
      </c>
      <c r="AD1059" s="258">
        <f>1+ transit((J2000_Bas-1),$O1059,$M1059,DecLat,DecLong)/360 + (GMTOffset/24) + (IF(DST="Y", 1, 0)/24)</f>
        <v>0.99383746053595778</v>
      </c>
      <c r="AE1059" s="259">
        <f>DATE(2001,9,21)+(M1059/360)*365 - (360*((DecLong/360)- (GMTOffset/24) ))</f>
        <v>37160.342187499999</v>
      </c>
      <c r="AF1059" s="260">
        <f>IF(DecLat&gt;0,IF((90 - (DecLat-O1059))&gt;90, (90 - (O1059-DecLat)), (90 - (DecLat-O1059))),IF((90 + (DecLat-O1059))&gt;90, (90 + (O1059-DecLat)), (90 + (DecLat-O1059))))</f>
        <v>72.132499999999993</v>
      </c>
      <c r="AG1059" s="257">
        <f>angularseperation(MoonRA,MoonDec,$M1059,$O1059)</f>
        <v>114.55206001850944</v>
      </c>
      <c r="AH1059" s="261">
        <f ca="1">MIN(100,IF($O$5&gt;80,0+30*($AG1059/100),IF($O$5&gt;70,0+50*($AG1059/100),IF($O$5&gt;60,5+50*($AG1059/100),IF($O$5&gt;50,10+60*($AG1059/100),IF($O$5&gt;40,15+70*($AG1059/100),IF($O$5&gt;30,20+70*($AG1059/100),IF($O$5&gt;20,40+55*($AG1059/100),(80+(20-$O$5)+30*($AG1059/100))))))))))</f>
        <v>100</v>
      </c>
      <c r="AI1059" s="262">
        <v>7803</v>
      </c>
      <c r="AJ1059" s="262"/>
      <c r="AK1059" s="262"/>
      <c r="AL1059" s="263"/>
      <c r="AM1059" s="264"/>
      <c r="AN1059" s="263"/>
      <c r="AO1059" s="263">
        <v>100</v>
      </c>
      <c r="AP1059" s="265"/>
      <c r="AQ1059" s="266">
        <v>12906</v>
      </c>
      <c r="AR1059" s="267">
        <v>101</v>
      </c>
      <c r="AS1059" s="263"/>
      <c r="AT1059" s="263"/>
      <c r="AU1059" s="263"/>
      <c r="AV1059" s="264"/>
      <c r="AW1059" s="263"/>
      <c r="AX1059" s="263"/>
      <c r="AY1059" s="263"/>
      <c r="AZ1059" s="263"/>
      <c r="BA1059" s="263"/>
      <c r="BB1059" s="263"/>
      <c r="BC1059" s="263"/>
      <c r="BD1059" s="264"/>
      <c r="BE1059" s="263"/>
      <c r="BF1059" s="263"/>
      <c r="BG1059" s="263"/>
      <c r="BH1059" s="263"/>
      <c r="BI1059" s="263"/>
      <c r="BJ1059" s="404">
        <f>altaz(J2000_Bas,$O1059,$M1059,DecLat,DecLong,2)</f>
        <v>86.380074387149307</v>
      </c>
      <c r="BK1059" s="378" t="s">
        <v>4097</v>
      </c>
      <c r="BL1059" s="379">
        <f>IF((2*G1059)/60&lt;0.2,0.2,(2*G1059)/60)</f>
        <v>0.2</v>
      </c>
      <c r="BM1059" s="380">
        <f>MOD((50000+AD1059-$B$3+(0/24)),1)</f>
        <v>0.20920439023757353</v>
      </c>
      <c r="BN1059" s="381"/>
      <c r="BO1059" s="382">
        <v>1053</v>
      </c>
    </row>
    <row r="1060" spans="1:67" s="24" customFormat="1" ht="15" customHeight="1" x14ac:dyDescent="0.25">
      <c r="A1060" s="288" t="s">
        <v>1128</v>
      </c>
      <c r="B1060" s="241" t="str">
        <f>HYPERLINK(CONCATENATE($AT$3,BK1060,$AU$3),$AV$3)</f>
        <v>S</v>
      </c>
      <c r="C1060" s="242" t="str">
        <f>HYPERLINK(CONCATENATE($AT$4,BK1060,$AU$4,BL1060),$AV$4)</f>
        <v>A</v>
      </c>
      <c r="D1060" s="243" t="s">
        <v>5335</v>
      </c>
      <c r="E1060" s="244" t="s">
        <v>31</v>
      </c>
      <c r="F1060" s="269"/>
      <c r="G1060" s="273">
        <v>3</v>
      </c>
      <c r="H1060" s="271">
        <v>1300</v>
      </c>
      <c r="I1060" s="245">
        <v>1.2</v>
      </c>
      <c r="J1060" s="295">
        <v>2</v>
      </c>
      <c r="K1060" s="247" t="s">
        <v>4544</v>
      </c>
      <c r="L1060" s="248">
        <v>53130</v>
      </c>
      <c r="M1060" s="249">
        <f>15*(LEFT(TEXT($L1060,"000000"),2)+(MID(TEXT($L1060,"000000"),3,2)/60)+(RIGHT(TEXT($L1060,"000000"),2)/3600))</f>
        <v>82.875</v>
      </c>
      <c r="N1060" s="286">
        <v>120910</v>
      </c>
      <c r="O1060" s="251">
        <f>IF($N1060&gt;0,(LEFT(TEXT($N1060,"000000"),2)+(MID(TEXT($N1060,"000000"),3,2)/60)+(RIGHT(TEXT($N1060,"000000"),2)/3600)),-(MID(TEXT($N1060,"000000"),2,2)+(MID(TEXT($N1060,"000000"),4,2)/60)+(RIGHT(TEXT($N1060,"000000"),2)/3600)))</f>
        <v>12.152777777777779</v>
      </c>
      <c r="P1060" s="252" t="s">
        <v>41</v>
      </c>
      <c r="Q1060" s="253"/>
      <c r="R1060" s="247" t="s">
        <v>4543</v>
      </c>
      <c r="S1060" s="272" t="s">
        <v>4431</v>
      </c>
      <c r="T1060" s="273"/>
      <c r="U1060" s="274"/>
      <c r="V1060" s="256"/>
      <c r="W1060" s="244"/>
      <c r="X1060" s="244"/>
      <c r="Y1060" s="362"/>
      <c r="Z1060" s="257">
        <f>altaz(J2000_Bas,$O1060,$M1060,DecLat,DecLong,1)</f>
        <v>-41.466936901280356</v>
      </c>
      <c r="AA1060" s="257">
        <f>altaz((J2000_Bas+(2*0.04167)),$O1060,$M1060,DecLat,DecLong,1)</f>
        <v>-23.165517145691517</v>
      </c>
      <c r="AB1060" s="257">
        <f>altaz((J2000_Bas+(4*0.04167)),$O1060,$M1060,DecLat,DecLong,1)</f>
        <v>0.608062199312008</v>
      </c>
      <c r="AC1060" s="257">
        <f>altaz((J2000_Bas+(6*0.04167)),$O1060,$M1060,DecLat,DecLong,1)</f>
        <v>26.165598530830692</v>
      </c>
      <c r="AD1060" s="258">
        <f>1+ transit((J2000_Bas-1),$O1060,$M1060,DecLat,DecLong)/360 + (GMTOffset/24) + (IF(DST="Y", 1, 0)/24)</f>
        <v>1.2231082709422081</v>
      </c>
      <c r="AE1060" s="259">
        <f>DATE(2001,9,21)+(M1060/360)*365 - (360*((DecLong/360)- (GMTOffset/24) ))</f>
        <v>37244.026041666664</v>
      </c>
      <c r="AF1060" s="260">
        <f>IF(DecLat&gt;0,IF((90 - (DecLat-O1060))&gt;90, (90 - (O1060-DecLat)), (90 - (DecLat-O1060))),IF((90 + (DecLat-O1060))&gt;90, (90 + (O1060-DecLat)), (90 + (DecLat-O1060))))</f>
        <v>71.152777777777771</v>
      </c>
      <c r="AG1060" s="257">
        <f>angularseperation(MoonRA,MoonDec,$M1060,$O1060)</f>
        <v>160.3411318464542</v>
      </c>
      <c r="AH1060" s="261">
        <f ca="1">MIN(100,IF($O$5&gt;80,0+30*($AG1060/100),IF($O$5&gt;70,0+50*($AG1060/100),IF($O$5&gt;60,5+50*($AG1060/100),IF($O$5&gt;50,10+60*($AG1060/100),IF($O$5&gt;40,15+70*($AG1060/100),IF($O$5&gt;30,20+70*($AG1060/100),IF($O$5&gt;20,40+55*($AG1060/100),(80+(20-$O$5)+30*($AG1060/100))))))))))</f>
        <v>100</v>
      </c>
      <c r="AI1060" s="262"/>
      <c r="AJ1060" s="262"/>
      <c r="AK1060" s="262"/>
      <c r="AL1060" s="263"/>
      <c r="AM1060" s="264"/>
      <c r="AN1060" s="263"/>
      <c r="AO1060" s="263"/>
      <c r="AP1060" s="265"/>
      <c r="AQ1060" s="266"/>
      <c r="AR1060" s="267"/>
      <c r="AS1060" s="263"/>
      <c r="AT1060" s="263"/>
      <c r="AU1060" s="263"/>
      <c r="AV1060" s="264"/>
      <c r="AW1060" s="263"/>
      <c r="AX1060" s="263"/>
      <c r="AY1060" s="263"/>
      <c r="AZ1060" s="263"/>
      <c r="BA1060" s="263"/>
      <c r="BB1060" s="263"/>
      <c r="BC1060" s="263"/>
      <c r="BD1060" s="264"/>
      <c r="BE1060" s="263"/>
      <c r="BF1060" s="263"/>
      <c r="BG1060" s="263"/>
      <c r="BH1060" s="263"/>
      <c r="BI1060" s="263"/>
      <c r="BJ1060" s="404">
        <f>altaz(J2000_Bas,$O1060,$M1060,DecLat,DecLong,2)</f>
        <v>30.825383299369612</v>
      </c>
      <c r="BK1060" s="378" t="s">
        <v>1128</v>
      </c>
      <c r="BL1060" s="379">
        <f>IF((2*G1060)/60&lt;0.2,0.2,(2*G1060)/60)</f>
        <v>0.2</v>
      </c>
      <c r="BM1060" s="380">
        <f>MOD((50000+AD1060-$B$3+(0/24)),1)</f>
        <v>0.43847520064446144</v>
      </c>
      <c r="BN1060" s="381"/>
      <c r="BO1060" s="382">
        <v>1054</v>
      </c>
    </row>
    <row r="1061" spans="1:67" s="24" customFormat="1" ht="15" customHeight="1" x14ac:dyDescent="0.25">
      <c r="A1061" s="288" t="s">
        <v>1129</v>
      </c>
      <c r="B1061" s="241" t="str">
        <f>HYPERLINK(CONCATENATE($AT$3,BK1061,$AU$3),$AV$3)</f>
        <v>S</v>
      </c>
      <c r="C1061" s="242" t="str">
        <f>HYPERLINK(CONCATENATE($AT$4,BK1061,$AU$4,BL1061),$AV$4)</f>
        <v>A</v>
      </c>
      <c r="D1061" s="243" t="s">
        <v>5638</v>
      </c>
      <c r="E1061" s="244" t="s">
        <v>5192</v>
      </c>
      <c r="F1061" s="269" t="s">
        <v>9087</v>
      </c>
      <c r="G1061" s="270">
        <v>0.75</v>
      </c>
      <c r="H1061" s="283">
        <v>600</v>
      </c>
      <c r="I1061" s="246">
        <v>130</v>
      </c>
      <c r="J1061" s="295">
        <v>2</v>
      </c>
      <c r="K1061" s="247" t="s">
        <v>4545</v>
      </c>
      <c r="L1061" s="248">
        <v>151714</v>
      </c>
      <c r="M1061" s="249">
        <f>15*(LEFT(TEXT($L1061,"000000"),2)+(MID(TEXT($L1061,"000000"),3,2)/60)+(RIGHT(TEXT($L1061,"000000"),2)/3600))</f>
        <v>229.30833333333334</v>
      </c>
      <c r="N1061" s="250">
        <v>213508</v>
      </c>
      <c r="O1061" s="251">
        <f>IF($N1061&gt;0,(LEFT(TEXT($N1061,"000000"),2)+(MID(TEXT($N1061,"000000"),3,2)/60)+(RIGHT(TEXT($N1061,"000000"),2)/3600)),-(MID(TEXT($N1061,"000000"),2,2)+(MID(TEXT($N1061,"000000"),4,2)/60)+(RIGHT(TEXT($N1061,"000000"),2)/3600)))</f>
        <v>21.585555555555555</v>
      </c>
      <c r="P1061" s="252" t="s">
        <v>115</v>
      </c>
      <c r="Q1061" s="253" t="s">
        <v>1129</v>
      </c>
      <c r="R1061" s="247" t="s">
        <v>3293</v>
      </c>
      <c r="S1061" s="272" t="s">
        <v>3293</v>
      </c>
      <c r="T1061" s="273">
        <v>15.1</v>
      </c>
      <c r="U1061" s="274"/>
      <c r="V1061" s="280">
        <v>0</v>
      </c>
      <c r="W1061" s="244"/>
      <c r="X1061" s="244"/>
      <c r="Y1061" s="362"/>
      <c r="Z1061" s="257">
        <f>altaz(J2000_Bas,$O1061,$M1061,DecLat,DecLong,1)</f>
        <v>38.839750618793943</v>
      </c>
      <c r="AA1061" s="257">
        <f>altaz((J2000_Bas+(2*0.04167)),$O1061,$M1061,DecLat,DecLong,1)</f>
        <v>13.548247479831501</v>
      </c>
      <c r="AB1061" s="257">
        <f>altaz((J2000_Bas+(4*0.04167)),$O1061,$M1061,DecLat,DecLong,1)</f>
        <v>-9.8275258287926679</v>
      </c>
      <c r="AC1061" s="257">
        <f>altaz((J2000_Bas+(6*0.04167)),$O1061,$M1061,DecLat,DecLong,1)</f>
        <v>-28.593553902601151</v>
      </c>
      <c r="AD1061" s="258">
        <f>1+ transit((J2000_Bas-1),$O1061,$M1061,DecLat,DecLong)/360 + (GMTOffset/24) + (IF(DST="Y", 1, 0)/24)</f>
        <v>1.6298674895255414</v>
      </c>
      <c r="AE1061" s="259">
        <f>DATE(2001,9,21)+(M1061/360)*365 - (360*((DecLong/360)- (GMTOffset/24) ))</f>
        <v>37392.493171296293</v>
      </c>
      <c r="AF1061" s="260">
        <f>IF(DecLat&gt;0,IF((90 - (DecLat-O1061))&gt;90, (90 - (O1061-DecLat)), (90 - (DecLat-O1061))),IF((90 + (DecLat-O1061))&gt;90, (90 + (O1061-DecLat)), (90 + (DecLat-O1061))))</f>
        <v>80.585555555555558</v>
      </c>
      <c r="AG1061" s="257">
        <f>angularseperation(MoonRA,MoonDec,$M1061,$O1061)</f>
        <v>52.352712440706689</v>
      </c>
      <c r="AH1061" s="261">
        <f ca="1">MIN(100,IF($O$5&gt;80,0+30*($AG1061/100),IF($O$5&gt;70,0+50*($AG1061/100),IF($O$5&gt;60,5+50*($AG1061/100),IF($O$5&gt;50,10+60*($AG1061/100),IF($O$5&gt;40,15+70*($AG1061/100),IF($O$5&gt;30,20+70*($AG1061/100),IF($O$5&gt;20,40+55*($AG1061/100),(80+(20-$O$5)+30*($AG1061/100))))))))))</f>
        <v>98.976874076362435</v>
      </c>
      <c r="AI1061" s="262"/>
      <c r="AJ1061" s="262"/>
      <c r="AK1061" s="262"/>
      <c r="AL1061" s="263"/>
      <c r="AM1061" s="264"/>
      <c r="AN1061" s="263"/>
      <c r="AO1061" s="263"/>
      <c r="AP1061" s="265"/>
      <c r="AQ1061" s="266"/>
      <c r="AR1061" s="267">
        <v>54559</v>
      </c>
      <c r="AS1061" s="263"/>
      <c r="AT1061" s="263"/>
      <c r="AU1061" s="263"/>
      <c r="AV1061" s="264"/>
      <c r="AW1061" s="263"/>
      <c r="AX1061" s="263"/>
      <c r="AY1061" s="263"/>
      <c r="AZ1061" s="263"/>
      <c r="BA1061" s="263"/>
      <c r="BB1061" s="263"/>
      <c r="BC1061" s="263"/>
      <c r="BD1061" s="264"/>
      <c r="BE1061" s="263"/>
      <c r="BF1061" s="263"/>
      <c r="BG1061" s="263"/>
      <c r="BH1061" s="263">
        <v>53</v>
      </c>
      <c r="BI1061" s="263"/>
      <c r="BJ1061" s="404">
        <f>altaz(J2000_Bas,$O1061,$M1061,DecLat,DecLong,2)</f>
        <v>273.85497160803612</v>
      </c>
      <c r="BK1061" s="378" t="s">
        <v>1129</v>
      </c>
      <c r="BL1061" s="379">
        <f>IF((2*G1061)/60&lt;0.2,0.2,(2*G1061)/60)</f>
        <v>0.2</v>
      </c>
      <c r="BM1061" s="380">
        <f>MOD((50000+AD1061-$B$3+(0/24)),1)</f>
        <v>0.8452344192264718</v>
      </c>
      <c r="BN1061" s="381"/>
      <c r="BO1061" s="382">
        <v>1055</v>
      </c>
    </row>
    <row r="1062" spans="1:67" s="24" customFormat="1" ht="15" customHeight="1" x14ac:dyDescent="0.25">
      <c r="A1062" s="288" t="s">
        <v>1131</v>
      </c>
      <c r="B1062" s="241" t="str">
        <f>HYPERLINK(CONCATENATE($AT$3,BK1062,$AU$3),$AV$3)</f>
        <v>S</v>
      </c>
      <c r="C1062" s="242" t="str">
        <f>HYPERLINK(CONCATENATE($AT$4,BK1062,$AU$4,BL1062),$AV$4)</f>
        <v>A</v>
      </c>
      <c r="D1062" s="243" t="s">
        <v>5335</v>
      </c>
      <c r="E1062" s="244" t="s">
        <v>5184</v>
      </c>
      <c r="F1062" s="269"/>
      <c r="G1062" s="273">
        <v>4</v>
      </c>
      <c r="H1062" s="271">
        <v>21000</v>
      </c>
      <c r="I1062" s="281">
        <v>25</v>
      </c>
      <c r="J1062" s="295">
        <v>2</v>
      </c>
      <c r="K1062" s="247" t="s">
        <v>4635</v>
      </c>
      <c r="L1062" s="248">
        <v>173106</v>
      </c>
      <c r="M1062" s="249">
        <f>15*(LEFT(TEXT($L1062,"000000"),2)+(MID(TEXT($L1062,"000000"),3,2)/60)+(RIGHT(TEXT($L1062,"000000"),2)/3600))</f>
        <v>262.77499999999998</v>
      </c>
      <c r="N1062" s="250">
        <v>-295900</v>
      </c>
      <c r="O1062" s="251">
        <f>IF($N1062&gt;0,(LEFT(TEXT($N1062,"000000"),2)+(MID(TEXT($N1062,"000000"),3,2)/60)+(RIGHT(TEXT($N1062,"000000"),2)/3600)),-(MID(TEXT($N1062,"000000"),2,2)+(MID(TEXT($N1062,"000000"),4,2)/60)+(RIGHT(TEXT($N1062,"000000"),2)/3600)))</f>
        <v>-29.983333333333334</v>
      </c>
      <c r="P1062" s="252" t="s">
        <v>113</v>
      </c>
      <c r="Q1062" s="253" t="s">
        <v>7119</v>
      </c>
      <c r="R1062" s="247" t="s">
        <v>3293</v>
      </c>
      <c r="S1062" s="272" t="s">
        <v>3293</v>
      </c>
      <c r="T1062" s="273"/>
      <c r="U1062" s="274"/>
      <c r="V1062" s="256"/>
      <c r="W1062" s="244"/>
      <c r="X1062" s="244"/>
      <c r="Y1062" s="362"/>
      <c r="Z1062" s="257">
        <f>altaz(J2000_Bas,$O1062,$M1062,DecLat,DecLong,1)</f>
        <v>25.143363805484892</v>
      </c>
      <c r="AA1062" s="257">
        <f>altaz((J2000_Bas+(2*0.04167)),$O1062,$M1062,DecLat,DecLong,1)</f>
        <v>10.730696025958984</v>
      </c>
      <c r="AB1062" s="257">
        <f>altaz((J2000_Bas+(4*0.04167)),$O1062,$M1062,DecLat,DecLong,1)</f>
        <v>-9.9047939375920713</v>
      </c>
      <c r="AC1062" s="257">
        <f>altaz((J2000_Bas+(6*0.04167)),$O1062,$M1062,DecLat,DecLong,1)</f>
        <v>-33.588138922726458</v>
      </c>
      <c r="AD1062" s="258">
        <f>1+ transit((J2000_Bas-1),$O1062,$M1062,DecLat,DecLong)/360 + (GMTOffset/24) + (IF(DST="Y", 1, 0)/24)</f>
        <v>1.7228304431922079</v>
      </c>
      <c r="AE1062" s="259">
        <f>DATE(2001,9,21)+(M1062/360)*365 - (360*((DecLong/360)- (GMTOffset/24) ))</f>
        <v>37426.42465277778</v>
      </c>
      <c r="AF1062" s="260">
        <f>IF(DecLat&gt;0,IF((90 - (DecLat-O1062))&gt;90, (90 - (O1062-DecLat)), (90 - (DecLat-O1062))),IF((90 + (DecLat-O1062))&gt;90, (90 + (O1062-DecLat)), (90 + (DecLat-O1062))))</f>
        <v>29.016666666666666</v>
      </c>
      <c r="AG1062" s="257">
        <f>angularseperation(MoonRA,MoonDec,$M1062,$O1062)</f>
        <v>12.229215647052895</v>
      </c>
      <c r="AH1062" s="261">
        <f ca="1">MIN(100,IF($O$5&gt;80,0+30*($AG1062/100),IF($O$5&gt;70,0+50*($AG1062/100),IF($O$5&gt;60,5+50*($AG1062/100),IF($O$5&gt;50,10+60*($AG1062/100),IF($O$5&gt;40,15+70*($AG1062/100),IF($O$5&gt;30,20+70*($AG1062/100),IF($O$5&gt;20,40+55*($AG1062/100),(80+(20-$O$5)+30*($AG1062/100))))))))))</f>
        <v>86.939825038266292</v>
      </c>
      <c r="AI1062" s="262"/>
      <c r="AJ1062" s="262"/>
      <c r="AK1062" s="262"/>
      <c r="AL1062" s="263"/>
      <c r="AM1062" s="264"/>
      <c r="AN1062" s="263"/>
      <c r="AO1062" s="263"/>
      <c r="AP1062" s="265"/>
      <c r="AQ1062" s="266"/>
      <c r="AR1062" s="267"/>
      <c r="AS1062" s="263"/>
      <c r="AT1062" s="263"/>
      <c r="AU1062" s="263"/>
      <c r="AV1062" s="264"/>
      <c r="AW1062" s="263"/>
      <c r="AX1062" s="263"/>
      <c r="AY1062" s="263"/>
      <c r="AZ1062" s="263"/>
      <c r="BA1062" s="263"/>
      <c r="BB1062" s="263"/>
      <c r="BC1062" s="263"/>
      <c r="BD1062" s="264"/>
      <c r="BE1062" s="263"/>
      <c r="BF1062" s="263"/>
      <c r="BG1062" s="263"/>
      <c r="BH1062" s="263"/>
      <c r="BI1062" s="263"/>
      <c r="BJ1062" s="404">
        <f>altaz(J2000_Bas,$O1062,$M1062,DecLat,DecLong,2)</f>
        <v>202.17029360144312</v>
      </c>
      <c r="BK1062" s="378" t="s">
        <v>4547</v>
      </c>
      <c r="BL1062" s="379">
        <f>IF((2*G1062)/60&lt;0.2,0.2,(2*G1062)/60)</f>
        <v>0.2</v>
      </c>
      <c r="BM1062" s="380">
        <f>MOD((50000+AD1062-$B$3+(0/24)),1)</f>
        <v>0.93819737289595651</v>
      </c>
      <c r="BN1062" s="381"/>
      <c r="BO1062" s="382">
        <v>1056</v>
      </c>
    </row>
    <row r="1063" spans="1:67" s="24" customFormat="1" ht="15" customHeight="1" x14ac:dyDescent="0.25">
      <c r="A1063" s="288" t="s">
        <v>1132</v>
      </c>
      <c r="B1063" s="241" t="str">
        <f>HYPERLINK(CONCATENATE($AT$3,BK1063,$AU$3),$AV$3)</f>
        <v>S</v>
      </c>
      <c r="C1063" s="242" t="str">
        <f>HYPERLINK(CONCATENATE($AT$4,BK1063,$AU$4,BL1063),$AV$4)</f>
        <v>A</v>
      </c>
      <c r="D1063" s="243" t="s">
        <v>5335</v>
      </c>
      <c r="E1063" s="244" t="s">
        <v>31</v>
      </c>
      <c r="F1063" s="269"/>
      <c r="G1063" s="273">
        <v>3</v>
      </c>
      <c r="H1063" s="271">
        <v>500</v>
      </c>
      <c r="I1063" s="308">
        <v>0.45</v>
      </c>
      <c r="J1063" s="246">
        <v>4</v>
      </c>
      <c r="K1063" s="247" t="s">
        <v>7255</v>
      </c>
      <c r="L1063" s="248">
        <v>43554</v>
      </c>
      <c r="M1063" s="249">
        <f>15*(LEFT(TEXT($L1063,"000000"),2)+(MID(TEXT($L1063,"000000"),3,2)/60)+(RIGHT(TEXT($L1063,"000000"),2)/3600))</f>
        <v>68.974999999999994</v>
      </c>
      <c r="N1063" s="250">
        <v>225414</v>
      </c>
      <c r="O1063" s="251">
        <f>IF($N1063&gt;0,(LEFT(TEXT($N1063,"000000"),2)+(MID(TEXT($N1063,"000000"),3,2)/60)+(RIGHT(TEXT($N1063,"000000"),2)/3600)),-(MID(TEXT($N1063,"000000"),2,2)+(MID(TEXT($N1063,"000000"),4,2)/60)+(RIGHT(TEXT($N1063,"000000"),2)/3600)))</f>
        <v>22.903888888888886</v>
      </c>
      <c r="P1063" s="252" t="s">
        <v>56</v>
      </c>
      <c r="Q1063" s="253"/>
      <c r="R1063" s="253" t="s">
        <v>1133</v>
      </c>
      <c r="S1063" s="272" t="s">
        <v>3293</v>
      </c>
      <c r="T1063" s="273"/>
      <c r="U1063" s="274"/>
      <c r="V1063" s="256"/>
      <c r="W1063" s="244"/>
      <c r="X1063" s="244"/>
      <c r="Y1063" s="362"/>
      <c r="Z1063" s="257">
        <f>altaz(J2000_Bas,$O1063,$M1063,DecLat,DecLong,1)</f>
        <v>-25.462321949542673</v>
      </c>
      <c r="AA1063" s="257">
        <f>altaz((J2000_Bas+(2*0.04167)),$O1063,$M1063,DecLat,DecLong,1)</f>
        <v>-6.1220650323985426</v>
      </c>
      <c r="AB1063" s="257">
        <f>altaz((J2000_Bas+(4*0.04167)),$O1063,$M1063,DecLat,DecLong,1)</f>
        <v>17.419315750275302</v>
      </c>
      <c r="AC1063" s="257">
        <f>altaz((J2000_Bas+(6*0.04167)),$O1063,$M1063,DecLat,DecLong,1)</f>
        <v>42.743790726566822</v>
      </c>
      <c r="AD1063" s="258">
        <f>1+ transit((J2000_Bas-1),$O1063,$M1063,DecLat,DecLong)/360 + (GMTOffset/24) + (IF(DST="Y", 1, 0)/24)</f>
        <v>1.1844971636922079</v>
      </c>
      <c r="AE1063" s="259">
        <f>DATE(2001,9,21)+(M1063/360)*365 - (360*((DecLong/360)- (GMTOffset/24) ))</f>
        <v>37229.932986111111</v>
      </c>
      <c r="AF1063" s="260">
        <f>IF(DecLat&gt;0,IF((90 - (DecLat-O1063))&gt;90, (90 - (O1063-DecLat)), (90 - (DecLat-O1063))),IF((90 + (DecLat-O1063))&gt;90, (90 + (O1063-DecLat)), (90 + (DecLat-O1063))))</f>
        <v>81.903888888888886</v>
      </c>
      <c r="AG1063" s="257">
        <f>angularseperation(MoonRA,MoonDec,$M1063,$O1063)</f>
        <v>175.81280666779699</v>
      </c>
      <c r="AH1063" s="261">
        <f ca="1">MIN(100,IF($O$5&gt;80,0+30*($AG1063/100),IF($O$5&gt;70,0+50*($AG1063/100),IF($O$5&gt;60,5+50*($AG1063/100),IF($O$5&gt;50,10+60*($AG1063/100),IF($O$5&gt;40,15+70*($AG1063/100),IF($O$5&gt;30,20+70*($AG1063/100),IF($O$5&gt;20,40+55*($AG1063/100),(80+(20-$O$5)+30*($AG1063/100))))))))))</f>
        <v>100</v>
      </c>
      <c r="AI1063" s="262"/>
      <c r="AJ1063" s="262"/>
      <c r="AK1063" s="262"/>
      <c r="AL1063" s="263"/>
      <c r="AM1063" s="264"/>
      <c r="AN1063" s="263"/>
      <c r="AO1063" s="263"/>
      <c r="AP1063" s="265"/>
      <c r="AQ1063" s="266"/>
      <c r="AR1063" s="267"/>
      <c r="AS1063" s="263"/>
      <c r="AT1063" s="263"/>
      <c r="AU1063" s="263"/>
      <c r="AV1063" s="264"/>
      <c r="AW1063" s="263"/>
      <c r="AX1063" s="263"/>
      <c r="AY1063" s="263"/>
      <c r="AZ1063" s="263"/>
      <c r="BA1063" s="263"/>
      <c r="BB1063" s="263"/>
      <c r="BC1063" s="263"/>
      <c r="BD1063" s="264"/>
      <c r="BE1063" s="263"/>
      <c r="BF1063" s="263"/>
      <c r="BG1063" s="263"/>
      <c r="BH1063" s="263">
        <v>3</v>
      </c>
      <c r="BI1063" s="263"/>
      <c r="BJ1063" s="404">
        <f>altaz(J2000_Bas,$O1063,$M1063,DecLat,DecLong,2)</f>
        <v>37.908317062694557</v>
      </c>
      <c r="BK1063" s="378" t="s">
        <v>1132</v>
      </c>
      <c r="BL1063" s="379">
        <f>IF((2*G1063)/60&lt;0.2,0.2,(2*G1063)/60)</f>
        <v>0.2</v>
      </c>
      <c r="BM1063" s="380">
        <f>MOD((50000+AD1063-$B$3+(0/24)),1)</f>
        <v>0.39986409339326201</v>
      </c>
      <c r="BN1063" s="381" t="s">
        <v>9232</v>
      </c>
      <c r="BO1063" s="382">
        <v>1057</v>
      </c>
    </row>
    <row r="1064" spans="1:67" s="24" customFormat="1" ht="15" customHeight="1" x14ac:dyDescent="0.25">
      <c r="A1064" s="288" t="s">
        <v>1134</v>
      </c>
      <c r="B1064" s="241" t="str">
        <f>HYPERLINK(CONCATENATE($AT$3,BK1064,$AU$3),$AV$3)</f>
        <v>S</v>
      </c>
      <c r="C1064" s="242" t="str">
        <f>HYPERLINK(CONCATENATE($AT$4,BK1064,$AU$4,BL1064),$AV$4)</f>
        <v>A</v>
      </c>
      <c r="D1064" s="243" t="s">
        <v>5187</v>
      </c>
      <c r="E1064" s="244" t="s">
        <v>5181</v>
      </c>
      <c r="F1064" s="269" t="s">
        <v>8679</v>
      </c>
      <c r="G1064" s="270">
        <v>0.5</v>
      </c>
      <c r="H1064" s="271">
        <v>9000</v>
      </c>
      <c r="I1064" s="245">
        <v>1.4</v>
      </c>
      <c r="J1064" s="246">
        <v>3</v>
      </c>
      <c r="K1064" s="247" t="s">
        <v>4626</v>
      </c>
      <c r="L1064" s="248">
        <v>213306</v>
      </c>
      <c r="M1064" s="249">
        <f>15*(LEFT(TEXT($L1064,"000000"),2)+(MID(TEXT($L1064,"000000"),3,2)/60)+(RIGHT(TEXT($L1064,"000000"),2)/3600))</f>
        <v>323.27499999999998</v>
      </c>
      <c r="N1064" s="250">
        <v>393800</v>
      </c>
      <c r="O1064" s="251">
        <f>IF($N1064&gt;0,(LEFT(TEXT($N1064,"000000"),2)+(MID(TEXT($N1064,"000000"),3,2)/60)+(RIGHT(TEXT($N1064,"000000"),2)/3600)),-(MID(TEXT($N1064,"000000"),2,2)+(MID(TEXT($N1064,"000000"),4,2)/60)+(RIGHT(TEXT($N1064,"000000"),2)/3600)))</f>
        <v>39.633333333333333</v>
      </c>
      <c r="P1064" s="252" t="s">
        <v>60</v>
      </c>
      <c r="Q1064" s="253" t="s">
        <v>6938</v>
      </c>
      <c r="R1064" s="247" t="s">
        <v>3293</v>
      </c>
      <c r="S1064" s="272" t="s">
        <v>3293</v>
      </c>
      <c r="T1064" s="273">
        <v>12</v>
      </c>
      <c r="U1064" s="274"/>
      <c r="V1064" s="256"/>
      <c r="W1064" s="244"/>
      <c r="X1064" s="244"/>
      <c r="Y1064" s="362"/>
      <c r="Z1064" s="257">
        <f>altaz(J2000_Bas,$O1064,$M1064,DecLat,DecLong,1)</f>
        <v>58.632451487585321</v>
      </c>
      <c r="AA1064" s="257">
        <f>altaz((J2000_Bas+(2*0.04167)),$O1064,$M1064,DecLat,DecLong,1)</f>
        <v>79.571441534659911</v>
      </c>
      <c r="AB1064" s="257">
        <f>altaz((J2000_Bas+(4*0.04167)),$O1064,$M1064,DecLat,DecLong,1)</f>
        <v>69.497223670557574</v>
      </c>
      <c r="AC1064" s="257">
        <f>altaz((J2000_Bas+(6*0.04167)),$O1064,$M1064,DecLat,DecLong,1)</f>
        <v>46.550725763586208</v>
      </c>
      <c r="AD1064" s="258">
        <f>1+ transit((J2000_Bas-1),$O1064,$M1064,DecLat,DecLong)/360 + (GMTOffset/24) + (IF(DST="Y", 1, 0)/24)</f>
        <v>1.8908859819422081</v>
      </c>
      <c r="AE1064" s="259">
        <f>DATE(2001,9,21)+(M1064/360)*365 - (360*((DecLong/360)- (GMTOffset/24) ))</f>
        <v>37487.764930555553</v>
      </c>
      <c r="AF1064" s="260">
        <f>IF(DecLat&gt;0,IF((90 - (DecLat-O1064))&gt;90, (90 - (O1064-DecLat)), (90 - (DecLat-O1064))),IF((90 + (DecLat-O1064))&gt;90, (90 + (O1064-DecLat)), (90 + (DecLat-O1064))))</f>
        <v>81.366666666666674</v>
      </c>
      <c r="AG1064" s="257">
        <f>angularseperation(MoonRA,MoonDec,$M1064,$O1064)</f>
        <v>95.842902313992724</v>
      </c>
      <c r="AH1064" s="261">
        <f ca="1">MIN(100,IF($O$5&gt;80,0+30*($AG1064/100),IF($O$5&gt;70,0+50*($AG1064/100),IF($O$5&gt;60,5+50*($AG1064/100),IF($O$5&gt;50,10+60*($AG1064/100),IF($O$5&gt;40,15+70*($AG1064/100),IF($O$5&gt;30,20+70*($AG1064/100),IF($O$5&gt;20,40+55*($AG1064/100),(80+(20-$O$5)+30*($AG1064/100))))))))))</f>
        <v>100</v>
      </c>
      <c r="AI1064" s="262"/>
      <c r="AJ1064" s="262"/>
      <c r="AK1064" s="262"/>
      <c r="AL1064" s="263"/>
      <c r="AM1064" s="264"/>
      <c r="AN1064" s="263"/>
      <c r="AO1064" s="263"/>
      <c r="AP1064" s="265"/>
      <c r="AQ1064" s="266"/>
      <c r="AR1064" s="267"/>
      <c r="AS1064" s="263"/>
      <c r="AT1064" s="263"/>
      <c r="AU1064" s="263"/>
      <c r="AV1064" s="264"/>
      <c r="AW1064" s="263"/>
      <c r="AX1064" s="263"/>
      <c r="AY1064" s="263"/>
      <c r="AZ1064" s="263"/>
      <c r="BA1064" s="263"/>
      <c r="BB1064" s="263"/>
      <c r="BC1064" s="263"/>
      <c r="BD1064" s="264"/>
      <c r="BE1064" s="263"/>
      <c r="BF1064" s="263"/>
      <c r="BG1064" s="263"/>
      <c r="BH1064" s="263"/>
      <c r="BI1064" s="263"/>
      <c r="BJ1064" s="404">
        <f>altaz(J2000_Bas,$O1064,$M1064,DecLat,DecLong,2)</f>
        <v>63.63975453921794</v>
      </c>
      <c r="BK1064" s="378" t="s">
        <v>4118</v>
      </c>
      <c r="BL1064" s="379">
        <f>IF((2*G1064)/60&lt;0.2,0.2,(2*G1064)/60)</f>
        <v>0.2</v>
      </c>
      <c r="BM1064" s="380">
        <f>MOD((50000+AD1064-$B$3+(0/24)),1)</f>
        <v>0.10625291164615192</v>
      </c>
      <c r="BN1064" s="381" t="s">
        <v>9121</v>
      </c>
      <c r="BO1064" s="382">
        <v>1058</v>
      </c>
    </row>
    <row r="1065" spans="1:67" s="24" customFormat="1" ht="15" customHeight="1" x14ac:dyDescent="0.25">
      <c r="A1065" s="288" t="s">
        <v>1135</v>
      </c>
      <c r="B1065" s="241" t="str">
        <f>HYPERLINK(CONCATENATE($AT$3,BK1065,$AU$3),$AV$3)</f>
        <v>S</v>
      </c>
      <c r="C1065" s="242" t="str">
        <f>HYPERLINK(CONCATENATE($AT$4,BK1065,$AU$4,BL1065),$AV$4)</f>
        <v>A</v>
      </c>
      <c r="D1065" s="243" t="s">
        <v>5638</v>
      </c>
      <c r="E1065" s="244" t="s">
        <v>5336</v>
      </c>
      <c r="F1065" s="269"/>
      <c r="G1065" s="282">
        <v>10</v>
      </c>
      <c r="H1065" s="271" t="s">
        <v>6500</v>
      </c>
      <c r="I1065" s="307" t="s">
        <v>6500</v>
      </c>
      <c r="J1065" s="246">
        <v>0</v>
      </c>
      <c r="K1065" s="247" t="s">
        <v>4634</v>
      </c>
      <c r="L1065" s="248">
        <v>123649</v>
      </c>
      <c r="M1065" s="249">
        <f>15*(LEFT(TEXT($L1065,"000000"),2)+(MID(TEXT($L1065,"000000"),3,2)/60)+(RIGHT(TEXT($L1065,"000000"),2)/3600))</f>
        <v>189.20416666666665</v>
      </c>
      <c r="N1065" s="250">
        <v>621258</v>
      </c>
      <c r="O1065" s="251">
        <f>IF($N1065&gt;0,(LEFT(TEXT($N1065,"000000"),2)+(MID(TEXT($N1065,"000000"),3,2)/60)+(RIGHT(TEXT($N1065,"000000"),2)/3600)),-(MID(TEXT($N1065,"000000"),2,2)+(MID(TEXT($N1065,"000000"),4,2)/60)+(RIGHT(TEXT($N1065,"000000"),2)/3600)))</f>
        <v>62.216111111111111</v>
      </c>
      <c r="P1065" s="252" t="s">
        <v>37</v>
      </c>
      <c r="Q1065" s="253" t="s">
        <v>1135</v>
      </c>
      <c r="R1065" s="247" t="s">
        <v>3293</v>
      </c>
      <c r="S1065" s="272" t="s">
        <v>3293</v>
      </c>
      <c r="T1065" s="273"/>
      <c r="U1065" s="274"/>
      <c r="V1065" s="280"/>
      <c r="W1065" s="244"/>
      <c r="X1065" s="244"/>
      <c r="Y1065" s="362"/>
      <c r="Z1065" s="257">
        <f>altaz(J2000_Bas,$O1065,$M1065,DecLat,DecLong,1)</f>
        <v>24.101967090636503</v>
      </c>
      <c r="AA1065" s="257">
        <f>altaz((J2000_Bas+(2*0.04167)),$O1065,$M1065,DecLat,DecLong,1)</f>
        <v>12.465540762800128</v>
      </c>
      <c r="AB1065" s="257">
        <f>altaz((J2000_Bas+(4*0.04167)),$O1065,$M1065,DecLat,DecLong,1)</f>
        <v>5.0458943715049474</v>
      </c>
      <c r="AC1065" s="257">
        <f>altaz((J2000_Bas+(6*0.04167)),$O1065,$M1065,DecLat,DecLong,1)</f>
        <v>3.3895861923142352</v>
      </c>
      <c r="AD1065" s="258">
        <f>1+ transit((J2000_Bas-1),$O1065,$M1065,DecLat,DecLong)/360 + (GMTOffset/24) + (IF(DST="Y", 1, 0)/24)</f>
        <v>1.5184670377026246</v>
      </c>
      <c r="AE1065" s="259">
        <f>DATE(2001,9,21)+(M1065/360)*365 - (360*((DecLong/360)- (GMTOffset/24) ))</f>
        <v>37351.832002314812</v>
      </c>
      <c r="AF1065" s="260">
        <f>IF(DecLat&gt;0,IF((90 - (DecLat-O1065))&gt;90, (90 - (O1065-DecLat)), (90 - (DecLat-O1065))),IF((90 + (DecLat-O1065))&gt;90, (90 + (O1065-DecLat)), (90 + (DecLat-O1065))))</f>
        <v>58.783888888888889</v>
      </c>
      <c r="AG1065" s="257">
        <f>angularseperation(MoonRA,MoonDec,$M1065,$O1065)</f>
        <v>101.27590916209346</v>
      </c>
      <c r="AH1065" s="261">
        <f ca="1">MIN(100,IF($O$5&gt;80,0+30*($AG1065/100),IF($O$5&gt;70,0+50*($AG1065/100),IF($O$5&gt;60,5+50*($AG1065/100),IF($O$5&gt;50,10+60*($AG1065/100),IF($O$5&gt;40,15+70*($AG1065/100),IF($O$5&gt;30,20+70*($AG1065/100),IF($O$5&gt;20,40+55*($AG1065/100),(80+(20-$O$5)+30*($AG1065/100))))))))))</f>
        <v>100</v>
      </c>
      <c r="AI1065" s="262"/>
      <c r="AJ1065" s="262"/>
      <c r="AK1065" s="262"/>
      <c r="AL1065" s="263"/>
      <c r="AM1065" s="264"/>
      <c r="AN1065" s="263"/>
      <c r="AO1065" s="263"/>
      <c r="AP1065" s="265"/>
      <c r="AQ1065" s="266"/>
      <c r="AR1065" s="267"/>
      <c r="AS1065" s="263"/>
      <c r="AT1065" s="263"/>
      <c r="AU1065" s="263"/>
      <c r="AV1065" s="264"/>
      <c r="AW1065" s="263"/>
      <c r="AX1065" s="263"/>
      <c r="AY1065" s="263"/>
      <c r="AZ1065" s="263"/>
      <c r="BA1065" s="263"/>
      <c r="BB1065" s="263"/>
      <c r="BC1065" s="263"/>
      <c r="BD1065" s="264"/>
      <c r="BE1065" s="263"/>
      <c r="BF1065" s="263"/>
      <c r="BG1065" s="263"/>
      <c r="BH1065" s="263"/>
      <c r="BI1065" s="263"/>
      <c r="BJ1065" s="404">
        <f>altaz(J2000_Bas,$O1065,$M1065,DecLat,DecLong,2)</f>
        <v>329.53138683453739</v>
      </c>
      <c r="BK1065" s="378" t="s">
        <v>1135</v>
      </c>
      <c r="BL1065" s="379">
        <f>IF((2*G1065)/60&lt;0.2,0.2,(2*G1065)/60)</f>
        <v>0.33333333333333331</v>
      </c>
      <c r="BM1065" s="380">
        <f>MOD((50000+AD1065-$B$3+(0/24)),1)</f>
        <v>0.73383396740973694</v>
      </c>
      <c r="BN1065" s="381"/>
      <c r="BO1065" s="382">
        <v>1059</v>
      </c>
    </row>
    <row r="1066" spans="1:67" s="24" customFormat="1" ht="15" customHeight="1" x14ac:dyDescent="0.25">
      <c r="A1066" s="288" t="s">
        <v>1136</v>
      </c>
      <c r="B1066" s="241" t="str">
        <f>HYPERLINK(CONCATENATE($AT$3,BK1066,$AU$3),$AV$3)</f>
        <v>S</v>
      </c>
      <c r="C1066" s="242" t="str">
        <f>HYPERLINK(CONCATENATE($AT$4,BK1066,$AU$4,BL1066),$AV$4)</f>
        <v>A</v>
      </c>
      <c r="D1066" s="243" t="s">
        <v>5638</v>
      </c>
      <c r="E1066" s="244" t="s">
        <v>13</v>
      </c>
      <c r="F1066" s="269"/>
      <c r="G1066" s="273">
        <v>5.0999999999999996</v>
      </c>
      <c r="H1066" s="289">
        <v>2</v>
      </c>
      <c r="I1066" s="279">
        <v>3</v>
      </c>
      <c r="J1066" s="246">
        <v>2</v>
      </c>
      <c r="K1066" s="247" t="s">
        <v>4548</v>
      </c>
      <c r="L1066" s="248">
        <v>2024</v>
      </c>
      <c r="M1066" s="249">
        <f>15*(LEFT(TEXT($L1066,"000000"),2)+(MID(TEXT($L1066,"000000"),3,2)/60)+(RIGHT(TEXT($L1066,"000000"),2)/3600))</f>
        <v>5.0999999999999996</v>
      </c>
      <c r="N1066" s="250">
        <v>591734</v>
      </c>
      <c r="O1066" s="251">
        <f>IF($N1066&gt;0,(LEFT(TEXT($N1066,"000000"),2)+(MID(TEXT($N1066,"000000"),3,2)/60)+(RIGHT(TEXT($N1066,"000000"),2)/3600)),-(MID(TEXT($N1066,"000000"),2,2)+(MID(TEXT($N1066,"000000"),4,2)/60)+(RIGHT(TEXT($N1066,"000000"),2)/3600)))</f>
        <v>59.292777777777779</v>
      </c>
      <c r="P1066" s="252" t="s">
        <v>49</v>
      </c>
      <c r="Q1066" s="253"/>
      <c r="R1066" s="247" t="s">
        <v>3293</v>
      </c>
      <c r="S1066" s="272" t="s">
        <v>3293</v>
      </c>
      <c r="T1066" s="273">
        <v>10.4</v>
      </c>
      <c r="U1066" s="289">
        <v>22.89</v>
      </c>
      <c r="V1066" s="280"/>
      <c r="W1066" s="244"/>
      <c r="X1066" s="244"/>
      <c r="Y1066" s="362"/>
      <c r="Z1066" s="257">
        <f>altaz(J2000_Bas,$O1066,$M1066,DecLat,DecLong,1)</f>
        <v>31.709510056968668</v>
      </c>
      <c r="AA1066" s="257">
        <f>altaz((J2000_Bas+(2*0.04167)),$O1066,$M1066,DecLat,DecLong,1)</f>
        <v>46.879309851128291</v>
      </c>
      <c r="AB1066" s="257">
        <f>altaz((J2000_Bas+(4*0.04167)),$O1066,$M1066,DecLat,DecLong,1)</f>
        <v>58.966707913958537</v>
      </c>
      <c r="AC1066" s="257">
        <f>altaz((J2000_Bas+(6*0.04167)),$O1066,$M1066,DecLat,DecLong,1)</f>
        <v>60.723005499865749</v>
      </c>
      <c r="AD1066" s="258">
        <f>1+ transit((J2000_Bas-1),$O1066,$M1066,DecLat,DecLong)/360 + (GMTOffset/24) + (IF(DST="Y", 1, 0)/24)</f>
        <v>1.0070666258797081</v>
      </c>
      <c r="AE1066" s="259">
        <f>DATE(2001,9,21)+(M1066/360)*365 - (360*((DecLong/360)- (GMTOffset/24) ))</f>
        <v>37165.17083333333</v>
      </c>
      <c r="AF1066" s="260">
        <f>IF(DecLat&gt;0,IF((90 - (DecLat-O1066))&gt;90, (90 - (O1066-DecLat)), (90 - (DecLat-O1066))),IF((90 + (DecLat-O1066))&gt;90, (90 + (O1066-DecLat)), (90 + (DecLat-O1066))))</f>
        <v>61.707222222222221</v>
      </c>
      <c r="AG1066" s="257">
        <f>angularseperation(MoonRA,MoonDec,$M1066,$O1066)</f>
        <v>126.13951495396486</v>
      </c>
      <c r="AH1066" s="261">
        <f ca="1">MIN(100,IF($O$5&gt;80,0+30*($AG1066/100),IF($O$5&gt;70,0+50*($AG1066/100),IF($O$5&gt;60,5+50*($AG1066/100),IF($O$5&gt;50,10+60*($AG1066/100),IF($O$5&gt;40,15+70*($AG1066/100),IF($O$5&gt;30,20+70*($AG1066/100),IF($O$5&gt;20,40+55*($AG1066/100),(80+(20-$O$5)+30*($AG1066/100))))))))))</f>
        <v>100</v>
      </c>
      <c r="AI1066" s="262"/>
      <c r="AJ1066" s="262">
        <v>10</v>
      </c>
      <c r="AK1066" s="262"/>
      <c r="AL1066" s="263"/>
      <c r="AM1066" s="264"/>
      <c r="AN1066" s="263"/>
      <c r="AO1066" s="263"/>
      <c r="AP1066" s="265"/>
      <c r="AQ1066" s="266">
        <v>192</v>
      </c>
      <c r="AR1066" s="267">
        <v>1305</v>
      </c>
      <c r="AS1066" s="263"/>
      <c r="AT1066" s="263"/>
      <c r="AU1066" s="263"/>
      <c r="AV1066" s="264"/>
      <c r="AW1066" s="263"/>
      <c r="AX1066" s="263"/>
      <c r="AY1066" s="263"/>
      <c r="AZ1066" s="263"/>
      <c r="BA1066" s="263"/>
      <c r="BB1066" s="263"/>
      <c r="BC1066" s="263"/>
      <c r="BD1066" s="264"/>
      <c r="BE1066" s="263"/>
      <c r="BF1066" s="263"/>
      <c r="BG1066" s="263"/>
      <c r="BH1066" s="263"/>
      <c r="BI1066" s="263"/>
      <c r="BJ1066" s="404">
        <f>altaz(J2000_Bas,$O1066,$M1066,DecLat,DecLong,2)</f>
        <v>36.115893471150535</v>
      </c>
      <c r="BK1066" s="378" t="s">
        <v>1136</v>
      </c>
      <c r="BL1066" s="379">
        <f>IF((2*G1066)/60&lt;0.2,0.2,(2*G1066)/60)</f>
        <v>0.2</v>
      </c>
      <c r="BM1066" s="380">
        <f>MOD((50000+AD1066-$B$3+(0/24)),1)</f>
        <v>0.22243355558020994</v>
      </c>
      <c r="BN1066" s="381" t="s">
        <v>9235</v>
      </c>
      <c r="BO1066" s="382">
        <v>1060</v>
      </c>
    </row>
    <row r="1067" spans="1:67" s="24" customFormat="1" ht="15" customHeight="1" x14ac:dyDescent="0.25">
      <c r="A1067" s="288" t="s">
        <v>1137</v>
      </c>
      <c r="B1067" s="241" t="str">
        <f>HYPERLINK(CONCATENATE($AT$3,BK1067,$AU$3),$AV$3)</f>
        <v>S</v>
      </c>
      <c r="C1067" s="242" t="str">
        <f>HYPERLINK(CONCATENATE($AT$4,BK1067,$AU$4,BL1067),$AV$4)</f>
        <v>A</v>
      </c>
      <c r="D1067" s="243" t="s">
        <v>5187</v>
      </c>
      <c r="E1067" s="244" t="s">
        <v>5183</v>
      </c>
      <c r="F1067" s="269" t="s">
        <v>5180</v>
      </c>
      <c r="G1067" s="273">
        <v>9</v>
      </c>
      <c r="H1067" s="271">
        <v>600</v>
      </c>
      <c r="I1067" s="245">
        <v>1.5</v>
      </c>
      <c r="J1067" s="246">
        <v>4</v>
      </c>
      <c r="K1067" s="277" t="s">
        <v>5004</v>
      </c>
      <c r="L1067" s="248">
        <v>5929</v>
      </c>
      <c r="M1067" s="249">
        <f>15*(LEFT(TEXT($L1067,"000000"),2)+(MID(TEXT($L1067,"000000"),3,2)/60)+(RIGHT(TEXT($L1067,"000000"),2)/3600))</f>
        <v>14.870833333333334</v>
      </c>
      <c r="N1067" s="250">
        <v>605442</v>
      </c>
      <c r="O1067" s="251">
        <f>IF($N1067&gt;0,(LEFT(TEXT($N1067,"000000"),2)+(MID(TEXT($N1067,"000000"),3,2)/60)+(RIGHT(TEXT($N1067,"000000"),2)/3600)),-(MID(TEXT($N1067,"000000"),2,2)+(MID(TEXT($N1067,"000000"),4,2)/60)+(RIGHT(TEXT($N1067,"000000"),2)/3600)))</f>
        <v>60.911666666666662</v>
      </c>
      <c r="P1067" s="252" t="s">
        <v>49</v>
      </c>
      <c r="Q1067" s="253"/>
      <c r="R1067" s="277" t="s">
        <v>4550</v>
      </c>
      <c r="S1067" s="272" t="s">
        <v>4549</v>
      </c>
      <c r="T1067" s="273"/>
      <c r="U1067" s="274"/>
      <c r="V1067" s="256"/>
      <c r="W1067" s="244"/>
      <c r="X1067" s="244"/>
      <c r="Y1067" s="362"/>
      <c r="Z1067" s="257">
        <f>altaz(J2000_Bas,$O1067,$M1067,DecLat,DecLong,1)</f>
        <v>27.277984603025871</v>
      </c>
      <c r="AA1067" s="257">
        <f>altaz((J2000_Bas+(2*0.04167)),$O1067,$M1067,DecLat,DecLong,1)</f>
        <v>41.762921831432294</v>
      </c>
      <c r="AB1067" s="257">
        <f>altaz((J2000_Bas+(4*0.04167)),$O1067,$M1067,DecLat,DecLong,1)</f>
        <v>54.647015798531363</v>
      </c>
      <c r="AC1067" s="257">
        <f>altaz((J2000_Bas+(6*0.04167)),$O1067,$M1067,DecLat,DecLong,1)</f>
        <v>60.074339570719573</v>
      </c>
      <c r="AD1067" s="258">
        <f>1+ transit((J2000_Bas-1),$O1067,$M1067,DecLat,DecLong)/360 + (GMTOffset/24) + (IF(DST="Y", 1, 0)/24)</f>
        <v>1.0342078268692914</v>
      </c>
      <c r="AE1067" s="259">
        <f>DATE(2001,9,21)+(M1067/360)*365 - (360*((DecLong/360)- (GMTOffset/24) ))</f>
        <v>37175.077372685184</v>
      </c>
      <c r="AF1067" s="260">
        <f>IF(DecLat&gt;0,IF((90 - (DecLat-O1067))&gt;90, (90 - (O1067-DecLat)), (90 - (DecLat-O1067))),IF((90 + (DecLat-O1067))&gt;90, (90 + (O1067-DecLat)), (90 + (DecLat-O1067))))</f>
        <v>60.088333333333338</v>
      </c>
      <c r="AG1067" s="257">
        <f>angularseperation(MoonRA,MoonDec,$M1067,$O1067)</f>
        <v>130.54297927214571</v>
      </c>
      <c r="AH1067" s="261">
        <f ca="1">MIN(100,IF($O$5&gt;80,0+30*($AG1067/100),IF($O$5&gt;70,0+50*($AG1067/100),IF($O$5&gt;60,5+50*($AG1067/100),IF($O$5&gt;50,10+60*($AG1067/100),IF($O$5&gt;40,15+70*($AG1067/100),IF($O$5&gt;30,20+70*($AG1067/100),IF($O$5&gt;20,40+55*($AG1067/100),(80+(20-$O$5)+30*($AG1067/100))))))))))</f>
        <v>100</v>
      </c>
      <c r="AI1067" s="262"/>
      <c r="AJ1067" s="262">
        <v>63</v>
      </c>
      <c r="AK1067" s="262"/>
      <c r="AL1067" s="263"/>
      <c r="AM1067" s="264"/>
      <c r="AN1067" s="263"/>
      <c r="AO1067" s="263"/>
      <c r="AP1067" s="265"/>
      <c r="AQ1067" s="266"/>
      <c r="AR1067" s="267"/>
      <c r="AS1067" s="263"/>
      <c r="AT1067" s="263"/>
      <c r="AU1067" s="263"/>
      <c r="AV1067" s="264"/>
      <c r="AW1067" s="263"/>
      <c r="AX1067" s="263"/>
      <c r="AY1067" s="263"/>
      <c r="AZ1067" s="263"/>
      <c r="BA1067" s="263"/>
      <c r="BB1067" s="263">
        <v>185</v>
      </c>
      <c r="BC1067" s="263"/>
      <c r="BD1067" s="264"/>
      <c r="BE1067" s="263"/>
      <c r="BF1067" s="263"/>
      <c r="BG1067" s="263">
        <v>4</v>
      </c>
      <c r="BH1067" s="263"/>
      <c r="BI1067" s="263"/>
      <c r="BJ1067" s="404">
        <f>altaz(J2000_Bas,$O1067,$M1067,DecLat,DecLong,2)</f>
        <v>33.153173943988698</v>
      </c>
      <c r="BK1067" s="378" t="s">
        <v>1137</v>
      </c>
      <c r="BL1067" s="379">
        <f>IF((2*G1067)/60&lt;0.2,0.2,(2*G1067)/60)</f>
        <v>0.3</v>
      </c>
      <c r="BM1067" s="380">
        <f>MOD((50000+AD1067-$B$3+(0/24)),1)</f>
        <v>0.24957475656992756</v>
      </c>
      <c r="BN1067" s="381"/>
      <c r="BO1067" s="382">
        <v>1061</v>
      </c>
    </row>
    <row r="1068" spans="1:67" s="24" customFormat="1" ht="15" customHeight="1" x14ac:dyDescent="0.25">
      <c r="A1068" s="288" t="s">
        <v>3130</v>
      </c>
      <c r="B1068" s="241" t="str">
        <f>HYPERLINK(CONCATENATE($AT$3,BK1068,$AU$3),$AV$3)</f>
        <v>S</v>
      </c>
      <c r="C1068" s="242" t="str">
        <f>HYPERLINK(CONCATENATE($AT$4,BK1068,$AU$4,BL1068),$AV$4)</f>
        <v>A</v>
      </c>
      <c r="D1068" s="243" t="s">
        <v>5638</v>
      </c>
      <c r="E1068" s="244" t="s">
        <v>5193</v>
      </c>
      <c r="F1068" s="269" t="s">
        <v>4287</v>
      </c>
      <c r="G1068" s="273">
        <v>1.4</v>
      </c>
      <c r="H1068" s="283">
        <v>160</v>
      </c>
      <c r="I1068" s="246">
        <v>70</v>
      </c>
      <c r="J1068" s="246">
        <v>2</v>
      </c>
      <c r="K1068" s="277" t="s">
        <v>8429</v>
      </c>
      <c r="L1068" s="248">
        <v>15510</v>
      </c>
      <c r="M1068" s="249">
        <f>15*(LEFT(TEXT($L1068,"000000"),2)+(MID(TEXT($L1068,"000000"),3,2)/60)+(RIGHT(TEXT($L1068,"000000"),2)/3600))</f>
        <v>28.791666666666664</v>
      </c>
      <c r="N1068" s="250">
        <v>351648</v>
      </c>
      <c r="O1068" s="251">
        <f>IF($N1068&gt;0,(LEFT(TEXT($N1068,"000000"),2)+(MID(TEXT($N1068,"000000"),3,2)/60)+(RIGHT(TEXT($N1068,"000000"),2)/3600)),-(MID(TEXT($N1068,"000000"),2,2)+(MID(TEXT($N1068,"000000"),4,2)/60)+(RIGHT(TEXT($N1068,"000000"),2)/3600)))</f>
        <v>35.28</v>
      </c>
      <c r="P1068" s="252" t="s">
        <v>314</v>
      </c>
      <c r="Q1068" s="253"/>
      <c r="R1068" s="277" t="s">
        <v>3293</v>
      </c>
      <c r="S1068" s="272" t="s">
        <v>3293</v>
      </c>
      <c r="T1068" s="273">
        <v>13</v>
      </c>
      <c r="U1068" s="289">
        <v>21.59</v>
      </c>
      <c r="V1068" s="280"/>
      <c r="W1068" s="244"/>
      <c r="X1068" s="244"/>
      <c r="Y1068" s="362"/>
      <c r="Z1068" s="257">
        <f>altaz(J2000_Bas,$O1068,$M1068,DecLat,DecLong,1)</f>
        <v>8.1969515417038483</v>
      </c>
      <c r="AA1068" s="257">
        <f>altaz((J2000_Bas+(2*0.04167)),$O1068,$M1068,DecLat,DecLong,1)</f>
        <v>30.364841259047793</v>
      </c>
      <c r="AB1068" s="257">
        <f>altaz((J2000_Bas+(4*0.04167)),$O1068,$M1068,DecLat,DecLong,1)</f>
        <v>54.329418388129341</v>
      </c>
      <c r="AC1068" s="257">
        <f>altaz((J2000_Bas+(6*0.04167)),$O1068,$M1068,DecLat,DecLong,1)</f>
        <v>78.675535814853134</v>
      </c>
      <c r="AD1068" s="258">
        <f>1+ transit((J2000_Bas-1),$O1068,$M1068,DecLat,DecLong)/360 + (GMTOffset/24) + (IF(DST="Y", 1, 0)/24)</f>
        <v>1.0728768044838748</v>
      </c>
      <c r="AE1068" s="259">
        <f>DATE(2001,9,21)+(M1068/360)*365 - (360*((DecLong/360)- (GMTOffset/24) ))</f>
        <v>37189.191550925927</v>
      </c>
      <c r="AF1068" s="260">
        <f>IF(DecLat&gt;0,IF((90 - (DecLat-O1068))&gt;90, (90 - (O1068-DecLat)), (90 - (DecLat-O1068))),IF((90 + (DecLat-O1068))&gt;90, (90 + (O1068-DecLat)), (90 + (DecLat-O1068))))</f>
        <v>85.72</v>
      </c>
      <c r="AG1068" s="257">
        <f>angularseperation(MoonRA,MoonDec,$M1068,$O1068)</f>
        <v>144.69177669158395</v>
      </c>
      <c r="AH1068" s="261">
        <f ca="1">MIN(100,IF($O$5&gt;80,0+30*($AG1068/100),IF($O$5&gt;70,0+50*($AG1068/100),IF($O$5&gt;60,5+50*($AG1068/100),IF($O$5&gt;50,10+60*($AG1068/100),IF($O$5&gt;40,15+70*($AG1068/100),IF($O$5&gt;30,20+70*($AG1068/100),IF($O$5&gt;20,40+55*($AG1068/100),(80+(20-$O$5)+30*($AG1068/100))))))))))</f>
        <v>100</v>
      </c>
      <c r="AI1068" s="263"/>
      <c r="AJ1068" s="263">
        <v>171</v>
      </c>
      <c r="AK1068" s="263"/>
      <c r="AL1068" s="263"/>
      <c r="AM1068" s="264"/>
      <c r="AN1068" s="263"/>
      <c r="AO1068" s="263"/>
      <c r="AP1068" s="265"/>
      <c r="AQ1068" s="265">
        <v>1388</v>
      </c>
      <c r="AR1068" s="285">
        <v>7139</v>
      </c>
      <c r="AS1068" s="263"/>
      <c r="AT1068" s="263"/>
      <c r="AU1068" s="263"/>
      <c r="AV1068" s="264"/>
      <c r="AW1068" s="263"/>
      <c r="AX1068" s="263"/>
      <c r="AY1068" s="263"/>
      <c r="AZ1068" s="263"/>
      <c r="BA1068" s="263"/>
      <c r="BB1068" s="263"/>
      <c r="BC1068" s="263"/>
      <c r="BD1068" s="264"/>
      <c r="BE1068" s="263"/>
      <c r="BF1068" s="263"/>
      <c r="BG1068" s="263"/>
      <c r="BH1068" s="263"/>
      <c r="BI1068" s="263"/>
      <c r="BJ1068" s="404">
        <f>altaz(J2000_Bas,$O1068,$M1068,DecLat,DecLong,2)</f>
        <v>53.543110877708145</v>
      </c>
      <c r="BK1068" s="378" t="s">
        <v>3130</v>
      </c>
      <c r="BL1068" s="379">
        <f>IF((2*G1068)/60&lt;0.2,0.2,(2*G1068)/60)</f>
        <v>0.2</v>
      </c>
      <c r="BM1068" s="380">
        <f>MOD((50000+AD1068-$B$3+(0/24)),1)</f>
        <v>0.28824373419047333</v>
      </c>
      <c r="BN1068" s="381"/>
      <c r="BO1068" s="382">
        <v>1062</v>
      </c>
    </row>
    <row r="1069" spans="1:67" s="24" customFormat="1" ht="15" customHeight="1" x14ac:dyDescent="0.25">
      <c r="A1069" s="288" t="s">
        <v>3161</v>
      </c>
      <c r="B1069" s="241" t="str">
        <f>HYPERLINK(CONCATENATE($AT$3,BK1069,$AU$3),$AV$3)</f>
        <v>S</v>
      </c>
      <c r="C1069" s="242" t="str">
        <f>HYPERLINK(CONCATENATE($AT$4,BK1069,$AU$4,BL1069),$AV$4)</f>
        <v>A</v>
      </c>
      <c r="D1069" s="243" t="s">
        <v>5638</v>
      </c>
      <c r="E1069" s="244" t="s">
        <v>5192</v>
      </c>
      <c r="F1069" s="269" t="s">
        <v>8908</v>
      </c>
      <c r="G1069" s="273">
        <v>2</v>
      </c>
      <c r="H1069" s="283">
        <v>230</v>
      </c>
      <c r="I1069" s="246">
        <v>150</v>
      </c>
      <c r="J1069" s="246">
        <v>3</v>
      </c>
      <c r="K1069" s="277" t="s">
        <v>4646</v>
      </c>
      <c r="L1069" s="248">
        <v>20527</v>
      </c>
      <c r="M1069" s="249">
        <f>15*(LEFT(TEXT($L1069,"000000"),2)+(MID(TEXT($L1069,"000000"),3,2)/60)+(RIGHT(TEXT($L1069,"000000"),2)/3600))</f>
        <v>31.362500000000001</v>
      </c>
      <c r="N1069" s="250">
        <v>311030</v>
      </c>
      <c r="O1069" s="251">
        <f>IF($N1069&gt;0,(LEFT(TEXT($N1069,"000000"),2)+(MID(TEXT($N1069,"000000"),3,2)/60)+(RIGHT(TEXT($N1069,"000000"),2)/3600)),-(MID(TEXT($N1069,"000000"),2,2)+(MID(TEXT($N1069,"000000"),4,2)/60)+(RIGHT(TEXT($N1069,"000000"),2)/3600)))</f>
        <v>31.175000000000001</v>
      </c>
      <c r="P1069" s="252" t="s">
        <v>314</v>
      </c>
      <c r="Q1069" s="253"/>
      <c r="R1069" s="277" t="s">
        <v>3293</v>
      </c>
      <c r="S1069" s="272" t="s">
        <v>3293</v>
      </c>
      <c r="T1069" s="273">
        <v>13.5</v>
      </c>
      <c r="U1069" s="289">
        <v>22.89</v>
      </c>
      <c r="V1069" s="280">
        <v>45</v>
      </c>
      <c r="W1069" s="244"/>
      <c r="X1069" s="244"/>
      <c r="Y1069" s="362"/>
      <c r="Z1069" s="257">
        <f>altaz(J2000_Bas,$O1069,$M1069,DecLat,DecLong,1)</f>
        <v>4.14909068704908</v>
      </c>
      <c r="AA1069" s="257">
        <f>altaz((J2000_Bas+(2*0.04167)),$O1069,$M1069,DecLat,DecLong,1)</f>
        <v>26.937533914066385</v>
      </c>
      <c r="AB1069" s="257">
        <f>altaz((J2000_Bas+(4*0.04167)),$O1069,$M1069,DecLat,DecLong,1)</f>
        <v>51.578700220098945</v>
      </c>
      <c r="AC1069" s="257">
        <f>altaz((J2000_Bas+(6*0.04167)),$O1069,$M1069,DecLat,DecLong,1)</f>
        <v>77.072185374646295</v>
      </c>
      <c r="AD1069" s="258">
        <f>1+ transit((J2000_Bas-1),$O1069,$M1069,DecLat,DecLong)/360 + (GMTOffset/24) + (IF(DST="Y", 1, 0)/24)</f>
        <v>1.080018007473458</v>
      </c>
      <c r="AE1069" s="259">
        <f>DATE(2001,9,21)+(M1069/360)*365 - (360*((DecLong/360)- (GMTOffset/24) ))</f>
        <v>37191.798090277778</v>
      </c>
      <c r="AF1069" s="260">
        <f>IF(DecLat&gt;0,IF((90 - (DecLat-O1069))&gt;90, (90 - (O1069-DecLat)), (90 - (DecLat-O1069))),IF((90 + (DecLat-O1069))&gt;90, (90 + (O1069-DecLat)), (90 + (DecLat-O1069))))</f>
        <v>89.825000000000003</v>
      </c>
      <c r="AG1069" s="257">
        <f>angularseperation(MoonRA,MoonDec,$M1069,$O1069)</f>
        <v>146.8196175532571</v>
      </c>
      <c r="AH1069" s="261">
        <f ca="1">MIN(100,IF($O$5&gt;80,0+30*($AG1069/100),IF($O$5&gt;70,0+50*($AG1069/100),IF($O$5&gt;60,5+50*($AG1069/100),IF($O$5&gt;50,10+60*($AG1069/100),IF($O$5&gt;40,15+70*($AG1069/100),IF($O$5&gt;30,20+70*($AG1069/100),IF($O$5&gt;20,40+55*($AG1069/100),(80+(20-$O$5)+30*($AG1069/100))))))))))</f>
        <v>100</v>
      </c>
      <c r="AI1069" s="263"/>
      <c r="AJ1069" s="263">
        <v>200</v>
      </c>
      <c r="AK1069" s="263"/>
      <c r="AL1069" s="263"/>
      <c r="AM1069" s="264"/>
      <c r="AN1069" s="263"/>
      <c r="AO1069" s="263"/>
      <c r="AP1069" s="265"/>
      <c r="AQ1069" s="265">
        <v>1577</v>
      </c>
      <c r="AR1069" s="285">
        <v>7967</v>
      </c>
      <c r="AS1069" s="263"/>
      <c r="AT1069" s="263"/>
      <c r="AU1069" s="263"/>
      <c r="AV1069" s="264"/>
      <c r="AW1069" s="263"/>
      <c r="AX1069" s="263"/>
      <c r="AY1069" s="263"/>
      <c r="AZ1069" s="263"/>
      <c r="BA1069" s="263"/>
      <c r="BB1069" s="263"/>
      <c r="BC1069" s="263"/>
      <c r="BD1069" s="264"/>
      <c r="BE1069" s="263"/>
      <c r="BF1069" s="263"/>
      <c r="BG1069" s="263"/>
      <c r="BH1069" s="263"/>
      <c r="BI1069" s="263"/>
      <c r="BJ1069" s="404">
        <f>altaz(J2000_Bas,$O1069,$M1069,DecLat,DecLong,2)</f>
        <v>55.811917078933753</v>
      </c>
      <c r="BK1069" s="378" t="s">
        <v>3161</v>
      </c>
      <c r="BL1069" s="379">
        <f>IF((2*G1069)/60&lt;0.2,0.2,(2*G1069)/60)</f>
        <v>0.2</v>
      </c>
      <c r="BM1069" s="380">
        <f>MOD((50000+AD1069-$B$3+(0/24)),1)</f>
        <v>0.29538493717700476</v>
      </c>
      <c r="BN1069" s="381"/>
      <c r="BO1069" s="382">
        <v>1063</v>
      </c>
    </row>
    <row r="1070" spans="1:67" s="24" customFormat="1" ht="15" customHeight="1" x14ac:dyDescent="0.25">
      <c r="A1070" s="288" t="s">
        <v>1138</v>
      </c>
      <c r="B1070" s="241" t="str">
        <f>HYPERLINK(CONCATENATE($AT$3,BK1070,$AU$3),$AV$3)</f>
        <v>S</v>
      </c>
      <c r="C1070" s="242" t="str">
        <f>HYPERLINK(CONCATENATE($AT$4,BK1070,$AU$4,BL1070),$AV$4)</f>
        <v>A</v>
      </c>
      <c r="D1070" s="243" t="s">
        <v>5638</v>
      </c>
      <c r="E1070" s="244" t="s">
        <v>5193</v>
      </c>
      <c r="F1070" s="269" t="s">
        <v>4287</v>
      </c>
      <c r="G1070" s="273">
        <v>2.2000000000000002</v>
      </c>
      <c r="H1070" s="283">
        <v>500.37426000000011</v>
      </c>
      <c r="I1070" s="246">
        <v>300</v>
      </c>
      <c r="J1070" s="246">
        <v>2</v>
      </c>
      <c r="K1070" s="247" t="s">
        <v>4639</v>
      </c>
      <c r="L1070" s="248">
        <v>22746</v>
      </c>
      <c r="M1070" s="249">
        <f>15*(LEFT(TEXT($L1070,"000000"),2)+(MID(TEXT($L1070,"000000"),3,2)/60)+(RIGHT(TEXT($L1070,"000000"),2)/3600))</f>
        <v>36.94166666666667</v>
      </c>
      <c r="N1070" s="250">
        <v>281232</v>
      </c>
      <c r="O1070" s="251">
        <f>IF($N1070&gt;0,(LEFT(TEXT($N1070,"000000"),2)+(MID(TEXT($N1070,"000000"),3,2)/60)+(RIGHT(TEXT($N1070,"000000"),2)/3600)),-(MID(TEXT($N1070,"000000"),2,2)+(MID(TEXT($N1070,"000000"),4,2)/60)+(RIGHT(TEXT($N1070,"000000"),2)/3600)))</f>
        <v>28.20888888888889</v>
      </c>
      <c r="P1070" s="252" t="s">
        <v>314</v>
      </c>
      <c r="Q1070" s="253"/>
      <c r="R1070" s="247" t="s">
        <v>3293</v>
      </c>
      <c r="S1070" s="272" t="s">
        <v>4551</v>
      </c>
      <c r="T1070" s="273">
        <v>14.2</v>
      </c>
      <c r="U1070" s="289">
        <v>23.89</v>
      </c>
      <c r="V1070" s="280"/>
      <c r="W1070" s="244"/>
      <c r="X1070" s="244"/>
      <c r="Y1070" s="362"/>
      <c r="Z1070" s="257">
        <f>altaz(J2000_Bas,$O1070,$M1070,DecLat,DecLong,1)</f>
        <v>-1.5182240442154407</v>
      </c>
      <c r="AA1070" s="257">
        <f>altaz((J2000_Bas+(2*0.04167)),$O1070,$M1070,DecLat,DecLong,1)</f>
        <v>21.315970196435885</v>
      </c>
      <c r="AB1070" s="257">
        <f>altaz((J2000_Bas+(4*0.04167)),$O1070,$M1070,DecLat,DecLong,1)</f>
        <v>46.151135218414822</v>
      </c>
      <c r="AC1070" s="257">
        <f>altaz((J2000_Bas+(6*0.04167)),$O1070,$M1070,DecLat,DecLong,1)</f>
        <v>71.826898203034318</v>
      </c>
      <c r="AD1070" s="258">
        <f>1+ transit((J2000_Bas-1),$O1070,$M1070,DecLat,DecLong)/360 + (GMTOffset/24) + (IF(DST="Y", 1, 0)/24)</f>
        <v>1.0955156911088746</v>
      </c>
      <c r="AE1070" s="259">
        <f>DATE(2001,9,21)+(M1070/360)*365 - (360*((DecLong/360)- (GMTOffset/24) ))</f>
        <v>37197.454745370371</v>
      </c>
      <c r="AF1070" s="260">
        <f>IF(DecLat&gt;0,IF((90 - (DecLat-O1070))&gt;90, (90 - (O1070-DecLat)), (90 - (DecLat-O1070))),IF((90 + (DecLat-O1070))&gt;90, (90 + (O1070-DecLat)), (90 + (DecLat-O1070))))</f>
        <v>87.208888888888893</v>
      </c>
      <c r="AG1070" s="257">
        <f>angularseperation(MoonRA,MoonDec,$M1070,$O1070)</f>
        <v>151.4498242351317</v>
      </c>
      <c r="AH1070" s="261">
        <f ca="1">MIN(100,IF($O$5&gt;80,0+30*($AG1070/100),IF($O$5&gt;70,0+50*($AG1070/100),IF($O$5&gt;60,5+50*($AG1070/100),IF($O$5&gt;50,10+60*($AG1070/100),IF($O$5&gt;40,15+70*($AG1070/100),IF($O$5&gt;30,20+70*($AG1070/100),IF($O$5&gt;20,40+55*($AG1070/100),(80+(20-$O$5)+30*($AG1070/100))))))))))</f>
        <v>100</v>
      </c>
      <c r="AI1070" s="262"/>
      <c r="AJ1070" s="262">
        <v>226</v>
      </c>
      <c r="AK1070" s="262"/>
      <c r="AL1070" s="263"/>
      <c r="AM1070" s="264"/>
      <c r="AN1070" s="263"/>
      <c r="AO1070" s="263"/>
      <c r="AP1070" s="265"/>
      <c r="AQ1070" s="266">
        <v>1922</v>
      </c>
      <c r="AR1070" s="267">
        <v>9373</v>
      </c>
      <c r="AS1070" s="263"/>
      <c r="AT1070" s="263"/>
      <c r="AU1070" s="263"/>
      <c r="AV1070" s="264"/>
      <c r="AW1070" s="263"/>
      <c r="AX1070" s="263"/>
      <c r="AY1070" s="263"/>
      <c r="AZ1070" s="263"/>
      <c r="BA1070" s="263"/>
      <c r="BB1070" s="263"/>
      <c r="BC1070" s="263"/>
      <c r="BD1070" s="264"/>
      <c r="BE1070" s="263"/>
      <c r="BF1070" s="263"/>
      <c r="BG1070" s="263"/>
      <c r="BH1070" s="263"/>
      <c r="BI1070" s="263"/>
      <c r="BJ1070" s="404">
        <f>altaz(J2000_Bas,$O1070,$M1070,DecLat,DecLong,2)</f>
        <v>55.418913112406479</v>
      </c>
      <c r="BK1070" s="378" t="s">
        <v>1138</v>
      </c>
      <c r="BL1070" s="379">
        <f>IF((2*G1070)/60&lt;0.2,0.2,(2*G1070)/60)</f>
        <v>0.2</v>
      </c>
      <c r="BM1070" s="380">
        <f>MOD((50000+AD1070-$B$3+(0/24)),1)</f>
        <v>0.31088262081175344</v>
      </c>
      <c r="BN1070" s="381"/>
      <c r="BO1070" s="382">
        <v>1064</v>
      </c>
    </row>
    <row r="1071" spans="1:67" s="24" customFormat="1" ht="15" customHeight="1" x14ac:dyDescent="0.25">
      <c r="A1071" s="288" t="s">
        <v>1139</v>
      </c>
      <c r="B1071" s="241" t="str">
        <f>HYPERLINK(CONCATENATE($AT$3,BK1071,$AU$3),$AV$3)</f>
        <v>S</v>
      </c>
      <c r="C1071" s="242" t="str">
        <f>HYPERLINK(CONCATENATE($AT$4,BK1071,$AU$4,BL1071),$AV$4)</f>
        <v>A</v>
      </c>
      <c r="D1071" s="243" t="s">
        <v>5638</v>
      </c>
      <c r="E1071" s="244" t="s">
        <v>5193</v>
      </c>
      <c r="F1071" s="269" t="s">
        <v>3305</v>
      </c>
      <c r="G1071" s="273">
        <v>2.2000000000000002</v>
      </c>
      <c r="H1071" s="283">
        <v>500</v>
      </c>
      <c r="I1071" s="246">
        <v>300</v>
      </c>
      <c r="J1071" s="246">
        <v>2</v>
      </c>
      <c r="K1071" s="247" t="s">
        <v>4640</v>
      </c>
      <c r="L1071" s="248">
        <v>22804</v>
      </c>
      <c r="M1071" s="249">
        <f>15*(LEFT(TEXT($L1071,"000000"),2)+(MID(TEXT($L1071,"000000"),3,2)/60)+(RIGHT(TEXT($L1071,"000000"),2)/3600))</f>
        <v>37.016666666666673</v>
      </c>
      <c r="N1071" s="286">
        <v>281031</v>
      </c>
      <c r="O1071" s="251">
        <f>IF($N1071&gt;0,(LEFT(TEXT($N1071,"000000"),2)+(MID(TEXT($N1071,"000000"),3,2)/60)+(RIGHT(TEXT($N1071,"000000"),2)/3600)),-(MID(TEXT($N1071,"000000"),2,2)+(MID(TEXT($N1071,"000000"),4,2)/60)+(RIGHT(TEXT($N1071,"000000"),2)/3600)))</f>
        <v>28.175277777777779</v>
      </c>
      <c r="P1071" s="252" t="s">
        <v>314</v>
      </c>
      <c r="Q1071" s="253"/>
      <c r="R1071" s="247" t="s">
        <v>3293</v>
      </c>
      <c r="S1071" s="272" t="s">
        <v>4552</v>
      </c>
      <c r="T1071" s="273">
        <v>14.5</v>
      </c>
      <c r="U1071" s="289">
        <v>23.490000000000002</v>
      </c>
      <c r="V1071" s="280"/>
      <c r="W1071" s="244"/>
      <c r="X1071" s="244"/>
      <c r="Y1071" s="362"/>
      <c r="Z1071" s="257">
        <f>altaz(J2000_Bas,$O1071,$M1071,DecLat,DecLong,1)</f>
        <v>-1.5912867445898018</v>
      </c>
      <c r="AA1071" s="257">
        <f>altaz((J2000_Bas+(2*0.04167)),$O1071,$M1071,DecLat,DecLong,1)</f>
        <v>21.241868855641957</v>
      </c>
      <c r="AB1071" s="257">
        <f>altaz((J2000_Bas+(4*0.04167)),$O1071,$M1071,DecLat,DecLong,1)</f>
        <v>46.078185364817045</v>
      </c>
      <c r="AC1071" s="257">
        <f>altaz((J2000_Bas+(6*0.04167)),$O1071,$M1071,DecLat,DecLong,1)</f>
        <v>71.754650402587004</v>
      </c>
      <c r="AD1071" s="258">
        <f>1+ transit((J2000_Bas-1),$O1071,$M1071,DecLat,DecLong)/360 + (GMTOffset/24) + (IF(DST="Y", 1, 0)/24)</f>
        <v>1.0957240244213746</v>
      </c>
      <c r="AE1071" s="259">
        <f>DATE(2001,9,21)+(M1071/360)*365 - (360*((DecLong/360)- (GMTOffset/24) ))</f>
        <v>37197.530787037038</v>
      </c>
      <c r="AF1071" s="260">
        <f>IF(DecLat&gt;0,IF((90 - (DecLat-O1071))&gt;90, (90 - (O1071-DecLat)), (90 - (DecLat-O1071))),IF((90 + (DecLat-O1071))&gt;90, (90 + (O1071-DecLat)), (90 + (DecLat-O1071))))</f>
        <v>87.175277777777779</v>
      </c>
      <c r="AG1071" s="257">
        <f>angularseperation(MoonRA,MoonDec,$M1071,$O1071)</f>
        <v>151.51241430273242</v>
      </c>
      <c r="AH1071" s="261">
        <f ca="1">MIN(100,IF($O$5&gt;80,0+30*($AG1071/100),IF($O$5&gt;70,0+50*($AG1071/100),IF($O$5&gt;60,5+50*($AG1071/100),IF($O$5&gt;50,10+60*($AG1071/100),IF($O$5&gt;40,15+70*($AG1071/100),IF($O$5&gt;30,20+70*($AG1071/100),IF($O$5&gt;20,40+55*($AG1071/100),(80+(20-$O$5)+30*($AG1071/100))))))))))</f>
        <v>100</v>
      </c>
      <c r="AI1071" s="262"/>
      <c r="AJ1071" s="262">
        <v>227</v>
      </c>
      <c r="AK1071" s="262"/>
      <c r="AL1071" s="263"/>
      <c r="AM1071" s="264"/>
      <c r="AN1071" s="263"/>
      <c r="AO1071" s="263"/>
      <c r="AP1071" s="265"/>
      <c r="AQ1071" s="266">
        <v>1932</v>
      </c>
      <c r="AR1071" s="267">
        <v>9383</v>
      </c>
      <c r="AS1071" s="263"/>
      <c r="AT1071" s="263"/>
      <c r="AU1071" s="263"/>
      <c r="AV1071" s="264"/>
      <c r="AW1071" s="263"/>
      <c r="AX1071" s="263"/>
      <c r="AY1071" s="263"/>
      <c r="AZ1071" s="263"/>
      <c r="BA1071" s="263"/>
      <c r="BB1071" s="263"/>
      <c r="BC1071" s="263"/>
      <c r="BD1071" s="264"/>
      <c r="BE1071" s="263"/>
      <c r="BF1071" s="263"/>
      <c r="BG1071" s="263"/>
      <c r="BH1071" s="263"/>
      <c r="BI1071" s="263"/>
      <c r="BJ1071" s="404">
        <f>altaz(J2000_Bas,$O1071,$M1071,DecLat,DecLong,2)</f>
        <v>55.406215554517317</v>
      </c>
      <c r="BK1071" s="378" t="s">
        <v>1139</v>
      </c>
      <c r="BL1071" s="379">
        <f>IF((2*G1071)/60&lt;0.2,0.2,(2*G1071)/60)</f>
        <v>0.2</v>
      </c>
      <c r="BM1071" s="380">
        <f>MOD((50000+AD1071-$B$3+(0/24)),1)</f>
        <v>0.31109095412830357</v>
      </c>
      <c r="BN1071" s="381"/>
      <c r="BO1071" s="382">
        <v>1065</v>
      </c>
    </row>
    <row r="1072" spans="1:67" s="24" customFormat="1" ht="15" customHeight="1" x14ac:dyDescent="0.25">
      <c r="A1072" s="288" t="s">
        <v>1140</v>
      </c>
      <c r="B1072" s="241" t="str">
        <f>HYPERLINK(CONCATENATE($AT$3,BK1072,$AU$3),$AV$3)</f>
        <v>S</v>
      </c>
      <c r="C1072" s="242" t="str">
        <f>HYPERLINK(CONCATENATE($AT$4,BK1072,$AU$4,BL1072),$AV$4)</f>
        <v>A</v>
      </c>
      <c r="D1072" s="243" t="s">
        <v>5638</v>
      </c>
      <c r="E1072" s="244" t="s">
        <v>5192</v>
      </c>
      <c r="F1072" s="269" t="s">
        <v>8909</v>
      </c>
      <c r="G1072" s="273">
        <v>7</v>
      </c>
      <c r="H1072" s="283">
        <v>30</v>
      </c>
      <c r="I1072" s="246">
        <v>60</v>
      </c>
      <c r="J1072" s="246">
        <v>2</v>
      </c>
      <c r="K1072" s="247" t="s">
        <v>7254</v>
      </c>
      <c r="L1072" s="248">
        <v>23628</v>
      </c>
      <c r="M1072" s="249">
        <f>15*(LEFT(TEXT($L1072,"000000"),2)+(MID(TEXT($L1072,"000000"),3,2)/60)+(RIGHT(TEXT($L1072,"000000"),2)/3600))</f>
        <v>39.116666666666667</v>
      </c>
      <c r="N1072" s="250">
        <v>385808</v>
      </c>
      <c r="O1072" s="251">
        <f>IF($N1072&gt;0,(LEFT(TEXT($N1072,"000000"),2)+(MID(TEXT($N1072,"000000"),3,2)/60)+(RIGHT(TEXT($N1072,"000000"),2)/3600)),-(MID(TEXT($N1072,"000000"),2,2)+(MID(TEXT($N1072,"000000"),4,2)/60)+(RIGHT(TEXT($N1072,"000000"),2)/3600)))</f>
        <v>38.968888888888891</v>
      </c>
      <c r="P1072" s="252" t="s">
        <v>36</v>
      </c>
      <c r="Q1072" s="253"/>
      <c r="R1072" s="247" t="s">
        <v>3293</v>
      </c>
      <c r="S1072" s="272" t="s">
        <v>3293</v>
      </c>
      <c r="T1072" s="273">
        <v>11.1</v>
      </c>
      <c r="U1072" s="289">
        <v>23.09</v>
      </c>
      <c r="V1072" s="280">
        <v>25</v>
      </c>
      <c r="W1072" s="244"/>
      <c r="X1072" s="244"/>
      <c r="Y1072" s="362"/>
      <c r="Z1072" s="257">
        <f>altaz(J2000_Bas,$O1072,$M1072,DecLat,DecLong,1)</f>
        <v>3.5711764143529598</v>
      </c>
      <c r="AA1072" s="257">
        <f>altaz((J2000_Bas+(2*0.04167)),$O1072,$M1072,DecLat,DecLong,1)</f>
        <v>23.877609197601227</v>
      </c>
      <c r="AB1072" s="257">
        <f>altaz((J2000_Bas+(4*0.04167)),$O1072,$M1072,DecLat,DecLong,1)</f>
        <v>46.509583661636661</v>
      </c>
      <c r="AC1072" s="257">
        <f>altaz((J2000_Bas+(6*0.04167)),$O1072,$M1072,DecLat,DecLong,1)</f>
        <v>69.717951432350205</v>
      </c>
      <c r="AD1072" s="258">
        <f>1+ transit((J2000_Bas-1),$O1072,$M1072,DecLat,DecLong)/360 + (GMTOffset/24) + (IF(DST="Y", 1, 0)/24)</f>
        <v>1.1015573571713746</v>
      </c>
      <c r="AE1072" s="259">
        <f>DATE(2001,9,21)+(M1072/360)*365 - (360*((DecLong/360)- (GMTOffset/24) ))</f>
        <v>37199.659953703704</v>
      </c>
      <c r="AF1072" s="260">
        <f>IF(DecLat&gt;0,IF((90 - (DecLat-O1072))&gt;90, (90 - (O1072-DecLat)), (90 - (DecLat-O1072))),IF((90 + (DecLat-O1072))&gt;90, (90 + (O1072-DecLat)), (90 + (DecLat-O1072))))</f>
        <v>82.031111111111102</v>
      </c>
      <c r="AG1072" s="257">
        <f>angularseperation(MoonRA,MoonDec,$M1072,$O1072)</f>
        <v>152.25948759943068</v>
      </c>
      <c r="AH1072" s="261">
        <f ca="1">MIN(100,IF($O$5&gt;80,0+30*($AG1072/100),IF($O$5&gt;70,0+50*($AG1072/100),IF($O$5&gt;60,5+50*($AG1072/100),IF($O$5&gt;50,10+60*($AG1072/100),IF($O$5&gt;40,15+70*($AG1072/100),IF($O$5&gt;30,20+70*($AG1072/100),IF($O$5&gt;20,40+55*($AG1072/100),(80+(20-$O$5)+30*($AG1072/100))))))))))</f>
        <v>100</v>
      </c>
      <c r="AI1072" s="262"/>
      <c r="AJ1072" s="262">
        <v>239</v>
      </c>
      <c r="AK1072" s="262"/>
      <c r="AL1072" s="263"/>
      <c r="AM1072" s="264"/>
      <c r="AN1072" s="263"/>
      <c r="AO1072" s="263"/>
      <c r="AP1072" s="265"/>
      <c r="AQ1072" s="266">
        <v>2080</v>
      </c>
      <c r="AR1072" s="267">
        <v>9899</v>
      </c>
      <c r="AS1072" s="263"/>
      <c r="AT1072" s="263"/>
      <c r="AU1072" s="263"/>
      <c r="AV1072" s="264"/>
      <c r="AW1072" s="263"/>
      <c r="AX1072" s="263"/>
      <c r="AY1072" s="263"/>
      <c r="AZ1072" s="263"/>
      <c r="BA1072" s="263"/>
      <c r="BB1072" s="263"/>
      <c r="BC1072" s="263"/>
      <c r="BD1072" s="264"/>
      <c r="BE1072" s="263"/>
      <c r="BF1072" s="263"/>
      <c r="BG1072" s="263"/>
      <c r="BH1072" s="263"/>
      <c r="BI1072" s="263"/>
      <c r="BJ1072" s="404">
        <f>altaz(J2000_Bas,$O1072,$M1072,DecLat,DecLong,2)</f>
        <v>45.763492697955023</v>
      </c>
      <c r="BK1072" s="378" t="s">
        <v>1140</v>
      </c>
      <c r="BL1072" s="379">
        <f>IF((2*G1072)/60&lt;0.2,0.2,(2*G1072)/60)</f>
        <v>0.23333333333333334</v>
      </c>
      <c r="BM1072" s="380">
        <f>MOD((50000+AD1072-$B$3+(0/24)),1)</f>
        <v>0.31692428687529173</v>
      </c>
      <c r="BN1072" s="381"/>
      <c r="BO1072" s="382">
        <v>1066</v>
      </c>
    </row>
    <row r="1073" spans="1:67" s="24" customFormat="1" ht="15" customHeight="1" x14ac:dyDescent="0.25">
      <c r="A1073" s="288" t="s">
        <v>3133</v>
      </c>
      <c r="B1073" s="241" t="str">
        <f>HYPERLINK(CONCATENATE($AT$3,BK1073,$AU$3),$AV$3)</f>
        <v>S</v>
      </c>
      <c r="C1073" s="242" t="str">
        <f>HYPERLINK(CONCATENATE($AT$4,BK1073,$AU$4,BL1073),$AV$4)</f>
        <v>A</v>
      </c>
      <c r="D1073" s="243" t="s">
        <v>5638</v>
      </c>
      <c r="E1073" s="244" t="s">
        <v>5192</v>
      </c>
      <c r="F1073" s="269" t="s">
        <v>8886</v>
      </c>
      <c r="G1073" s="273">
        <v>1</v>
      </c>
      <c r="H1073" s="283">
        <v>125</v>
      </c>
      <c r="I1073" s="246">
        <v>35</v>
      </c>
      <c r="J1073" s="246">
        <v>2</v>
      </c>
      <c r="K1073" s="277" t="s">
        <v>4553</v>
      </c>
      <c r="L1073" s="248">
        <v>25951</v>
      </c>
      <c r="M1073" s="249">
        <f>15*(LEFT(TEXT($L1073,"000000"),2)+(MID(TEXT($L1073,"000000"),3,2)/60)+(RIGHT(TEXT($L1073,"000000"),2)/3600))</f>
        <v>44.962499999999999</v>
      </c>
      <c r="N1073" s="250">
        <v>24612</v>
      </c>
      <c r="O1073" s="251">
        <f>IF($N1073&gt;0,(LEFT(TEXT($N1073,"000000"),2)+(MID(TEXT($N1073,"000000"),3,2)/60)+(RIGHT(TEXT($N1073,"000000"),2)/3600)),-(MID(TEXT($N1073,"000000"),2,2)+(MID(TEXT($N1073,"000000"),4,2)/60)+(RIGHT(TEXT($N1073,"000000"),2)/3600)))</f>
        <v>2.77</v>
      </c>
      <c r="P1073" s="252" t="s">
        <v>75</v>
      </c>
      <c r="Q1073" s="253"/>
      <c r="R1073" s="277" t="s">
        <v>3293</v>
      </c>
      <c r="S1073" s="272" t="s">
        <v>3293</v>
      </c>
      <c r="T1073" s="273">
        <v>15.5</v>
      </c>
      <c r="U1073" s="289">
        <v>21.990000000000002</v>
      </c>
      <c r="V1073" s="280">
        <v>40</v>
      </c>
      <c r="W1073" s="244"/>
      <c r="X1073" s="244"/>
      <c r="Y1073" s="362"/>
      <c r="Z1073" s="257">
        <f>altaz(J2000_Bas,$O1073,$M1073,DecLat,DecLong,1)</f>
        <v>-22.933515009698709</v>
      </c>
      <c r="AA1073" s="257">
        <f>altaz((J2000_Bas+(2*0.04167)),$O1073,$M1073,DecLat,DecLong,1)</f>
        <v>2.3896353195316036</v>
      </c>
      <c r="AB1073" s="257">
        <f>altaz((J2000_Bas+(4*0.04167)),$O1073,$M1073,DecLat,DecLong,1)</f>
        <v>27.938587232128643</v>
      </c>
      <c r="AC1073" s="257">
        <f>altaz((J2000_Bas+(6*0.04167)),$O1073,$M1073,DecLat,DecLong,1)</f>
        <v>50.880149822666716</v>
      </c>
      <c r="AD1073" s="258">
        <f>1+ transit((J2000_Bas-1),$O1073,$M1073,DecLat,DecLong)/360 + (GMTOffset/24) + (IF(DST="Y", 1, 0)/24)</f>
        <v>1.117795781473458</v>
      </c>
      <c r="AE1073" s="259">
        <f>DATE(2001,9,21)+(M1073/360)*365 - (360*((DecLong/360)- (GMTOffset/24) ))</f>
        <v>37205.58697916667</v>
      </c>
      <c r="AF1073" s="260">
        <f>IF(DecLat&gt;0,IF((90 - (DecLat-O1073))&gt;90, (90 - (O1073-DecLat)), (90 - (DecLat-O1073))),IF((90 + (DecLat-O1073))&gt;90, (90 + (O1073-DecLat)), (90 + (DecLat-O1073))))</f>
        <v>61.769999999999996</v>
      </c>
      <c r="AG1073" s="257">
        <f>angularseperation(MoonRA,MoonDec,$M1073,$O1073)</f>
        <v>146.37135832451159</v>
      </c>
      <c r="AH1073" s="261">
        <f ca="1">MIN(100,IF($O$5&gt;80,0+30*($AG1073/100),IF($O$5&gt;70,0+50*($AG1073/100),IF($O$5&gt;60,5+50*($AG1073/100),IF($O$5&gt;50,10+60*($AG1073/100),IF($O$5&gt;40,15+70*($AG1073/100),IF($O$5&gt;30,20+70*($AG1073/100),IF($O$5&gt;20,40+55*($AG1073/100),(80+(20-$O$5)+30*($AG1073/100))))))))))</f>
        <v>100</v>
      </c>
      <c r="AI1073" s="263"/>
      <c r="AJ1073" s="263">
        <v>277</v>
      </c>
      <c r="AK1073" s="263"/>
      <c r="AL1073" s="263"/>
      <c r="AM1073" s="264"/>
      <c r="AN1073" s="263"/>
      <c r="AO1073" s="263"/>
      <c r="AP1073" s="265"/>
      <c r="AQ1073" s="265">
        <v>2460</v>
      </c>
      <c r="AR1073" s="285">
        <v>11336</v>
      </c>
      <c r="AS1073" s="263"/>
      <c r="AT1073" s="263"/>
      <c r="AU1073" s="263"/>
      <c r="AV1073" s="264"/>
      <c r="AW1073" s="263"/>
      <c r="AX1073" s="263"/>
      <c r="AY1073" s="263"/>
      <c r="AZ1073" s="263"/>
      <c r="BA1073" s="263"/>
      <c r="BB1073" s="263"/>
      <c r="BC1073" s="263"/>
      <c r="BD1073" s="264"/>
      <c r="BE1073" s="263"/>
      <c r="BF1073" s="263"/>
      <c r="BG1073" s="263"/>
      <c r="BH1073" s="263"/>
      <c r="BI1073" s="263"/>
      <c r="BJ1073" s="404">
        <f>altaz(J2000_Bas,$O1073,$M1073,DecLat,DecLong,2)</f>
        <v>71.612244165982005</v>
      </c>
      <c r="BK1073" s="378" t="s">
        <v>3133</v>
      </c>
      <c r="BL1073" s="379">
        <f>IF((2*G1073)/60&lt;0.2,0.2,(2*G1073)/60)</f>
        <v>0.2</v>
      </c>
      <c r="BM1073" s="380">
        <f>MOD((50000+AD1073-$B$3+(0/24)),1)</f>
        <v>0.3331627111765556</v>
      </c>
      <c r="BN1073" s="381"/>
      <c r="BO1073" s="382">
        <v>1067</v>
      </c>
    </row>
    <row r="1074" spans="1:67" s="24" customFormat="1" ht="15" customHeight="1" x14ac:dyDescent="0.25">
      <c r="A1074" s="288" t="s">
        <v>1141</v>
      </c>
      <c r="B1074" s="241" t="str">
        <f>HYPERLINK(CONCATENATE($AT$3,BK1074,$AU$3),$AV$3)</f>
        <v>S</v>
      </c>
      <c r="C1074" s="242" t="str">
        <f>HYPERLINK(CONCATENATE($AT$4,BK1074,$AU$4,BL1074),$AV$4)</f>
        <v>A</v>
      </c>
      <c r="D1074" s="243" t="s">
        <v>5187</v>
      </c>
      <c r="E1074" s="244" t="s">
        <v>5181</v>
      </c>
      <c r="F1074" s="269" t="s">
        <v>5753</v>
      </c>
      <c r="G1074" s="270">
        <v>0.75</v>
      </c>
      <c r="H1074" s="271">
        <v>5000</v>
      </c>
      <c r="I1074" s="245">
        <v>1.1000000000000001</v>
      </c>
      <c r="J1074" s="246">
        <v>2</v>
      </c>
      <c r="K1074" s="247" t="s">
        <v>7253</v>
      </c>
      <c r="L1074" s="248">
        <v>31019</v>
      </c>
      <c r="M1074" s="249">
        <f>15*(LEFT(TEXT($L1074,"000000"),2)+(MID(TEXT($L1074,"000000"),3,2)/60)+(RIGHT(TEXT($L1074,"000000"),2)/3600))</f>
        <v>47.579166666666666</v>
      </c>
      <c r="N1074" s="250">
        <v>611901</v>
      </c>
      <c r="O1074" s="251">
        <f>IF($N1074&gt;0,(LEFT(TEXT($N1074,"000000"),2)+(MID(TEXT($N1074,"000000"),3,2)/60)+(RIGHT(TEXT($N1074,"000000"),2)/3600)),-(MID(TEXT($N1074,"000000"),2,2)+(MID(TEXT($N1074,"000000"),4,2)/60)+(RIGHT(TEXT($N1074,"000000"),2)/3600)))</f>
        <v>61.316944444444445</v>
      </c>
      <c r="P1074" s="252" t="s">
        <v>49</v>
      </c>
      <c r="Q1074" s="253"/>
      <c r="R1074" s="247" t="s">
        <v>3293</v>
      </c>
      <c r="S1074" s="272" t="s">
        <v>3293</v>
      </c>
      <c r="T1074" s="273">
        <v>13.2</v>
      </c>
      <c r="U1074" s="274"/>
      <c r="V1074" s="256"/>
      <c r="W1074" s="244"/>
      <c r="X1074" s="244"/>
      <c r="Y1074" s="362"/>
      <c r="Z1074" s="257">
        <f>altaz(J2000_Bas,$O1074,$M1074,DecLat,DecLong,1)</f>
        <v>13.674605165306049</v>
      </c>
      <c r="AA1074" s="257">
        <f>altaz((J2000_Bas+(2*0.04167)),$O1074,$M1074,DecLat,DecLong,1)</f>
        <v>26.175670203315939</v>
      </c>
      <c r="AB1074" s="257">
        <f>altaz((J2000_Bas+(4*0.04167)),$O1074,$M1074,DecLat,DecLong,1)</f>
        <v>40.445781932915935</v>
      </c>
      <c r="AC1074" s="257">
        <f>altaz((J2000_Bas+(6*0.04167)),$O1074,$M1074,DecLat,DecLong,1)</f>
        <v>53.444836352371361</v>
      </c>
      <c r="AD1074" s="258">
        <f>1+ transit((J2000_Bas-1),$O1074,$M1074,DecLat,DecLong)/360 + (GMTOffset/24) + (IF(DST="Y", 1, 0)/24)</f>
        <v>1.1250642992651245</v>
      </c>
      <c r="AE1074" s="259">
        <f>DATE(2001,9,21)+(M1074/360)*365 - (360*((DecLong/360)- (GMTOffset/24) ))</f>
        <v>37208.239988425928</v>
      </c>
      <c r="AF1074" s="260">
        <f>IF(DecLat&gt;0,IF((90 - (DecLat-O1074))&gt;90, (90 - (O1074-DecLat)), (90 - (DecLat-O1074))),IF((90 + (DecLat-O1074))&gt;90, (90 + (O1074-DecLat)), (90 + (DecLat-O1074))))</f>
        <v>59.683055555555555</v>
      </c>
      <c r="AG1074" s="257">
        <f>angularseperation(MoonRA,MoonDec,$M1074,$O1074)</f>
        <v>142.80445955751634</v>
      </c>
      <c r="AH1074" s="261">
        <f ca="1">MIN(100,IF($O$5&gt;80,0+30*($AG1074/100),IF($O$5&gt;70,0+50*($AG1074/100),IF($O$5&gt;60,5+50*($AG1074/100),IF($O$5&gt;50,10+60*($AG1074/100),IF($O$5&gt;40,15+70*($AG1074/100),IF($O$5&gt;30,20+70*($AG1074/100),IF($O$5&gt;20,40+55*($AG1074/100),(80+(20-$O$5)+30*($AG1074/100))))))))))</f>
        <v>100</v>
      </c>
      <c r="AI1074" s="262"/>
      <c r="AJ1074" s="262">
        <v>289</v>
      </c>
      <c r="AK1074" s="262"/>
      <c r="AL1074" s="263"/>
      <c r="AM1074" s="264"/>
      <c r="AN1074" s="263"/>
      <c r="AO1074" s="263"/>
      <c r="AP1074" s="265"/>
      <c r="AQ1074" s="266"/>
      <c r="AR1074" s="267"/>
      <c r="AS1074" s="263"/>
      <c r="AT1074" s="263">
        <v>3</v>
      </c>
      <c r="AU1074" s="263"/>
      <c r="AV1074" s="264"/>
      <c r="AW1074" s="263"/>
      <c r="AX1074" s="263"/>
      <c r="AY1074" s="263"/>
      <c r="AZ1074" s="263"/>
      <c r="BA1074" s="263"/>
      <c r="BB1074" s="263"/>
      <c r="BC1074" s="263"/>
      <c r="BD1074" s="264"/>
      <c r="BE1074" s="263"/>
      <c r="BF1074" s="263"/>
      <c r="BG1074" s="263"/>
      <c r="BH1074" s="263"/>
      <c r="BI1074" s="263"/>
      <c r="BJ1074" s="404">
        <f>altaz(J2000_Bas,$O1074,$M1074,DecLat,DecLong,2)</f>
        <v>24.887007681947619</v>
      </c>
      <c r="BK1074" s="378" t="s">
        <v>1141</v>
      </c>
      <c r="BL1074" s="379">
        <f>IF((2*G1074)/60&lt;0.2,0.2,(2*G1074)/60)</f>
        <v>0.2</v>
      </c>
      <c r="BM1074" s="380">
        <f>MOD((50000+AD1074-$B$3+(0/24)),1)</f>
        <v>0.34043122897128342</v>
      </c>
      <c r="BN1074" s="381"/>
      <c r="BO1074" s="382">
        <v>1068</v>
      </c>
    </row>
    <row r="1075" spans="1:67" s="24" customFormat="1" ht="15" customHeight="1" x14ac:dyDescent="0.25">
      <c r="A1075" s="288" t="s">
        <v>1142</v>
      </c>
      <c r="B1075" s="241" t="str">
        <f>HYPERLINK(CONCATENATE($AT$3,BK1075,$AU$3),$AV$3)</f>
        <v>S</v>
      </c>
      <c r="C1075" s="242" t="str">
        <f>HYPERLINK(CONCATENATE($AT$4,BK1075,$AU$4,BL1075),$AV$4)</f>
        <v>A</v>
      </c>
      <c r="D1075" s="243" t="s">
        <v>5638</v>
      </c>
      <c r="E1075" s="244" t="s">
        <v>5192</v>
      </c>
      <c r="F1075" s="269" t="s">
        <v>8668</v>
      </c>
      <c r="G1075" s="273">
        <v>1.5</v>
      </c>
      <c r="H1075" s="283">
        <v>190</v>
      </c>
      <c r="I1075" s="246">
        <v>80</v>
      </c>
      <c r="J1075" s="246">
        <v>3</v>
      </c>
      <c r="K1075" s="247" t="s">
        <v>4554</v>
      </c>
      <c r="L1075" s="248">
        <v>31647</v>
      </c>
      <c r="M1075" s="249">
        <f>15*(LEFT(TEXT($L1075,"000000"),2)+(MID(TEXT($L1075,"000000"),3,2)/60)+(RIGHT(TEXT($L1075,"000000"),2)/3600))</f>
        <v>49.195833333333333</v>
      </c>
      <c r="N1075" s="250">
        <v>400013</v>
      </c>
      <c r="O1075" s="251">
        <f>IF($N1075&gt;0,(LEFT(TEXT($N1075,"000000"),2)+(MID(TEXT($N1075,"000000"),3,2)/60)+(RIGHT(TEXT($N1075,"000000"),2)/3600)),-(MID(TEXT($N1075,"000000"),2,2)+(MID(TEXT($N1075,"000000"),4,2)/60)+(RIGHT(TEXT($N1075,"000000"),2)/3600)))</f>
        <v>40.003611111111113</v>
      </c>
      <c r="P1075" s="252" t="s">
        <v>43</v>
      </c>
      <c r="Q1075" s="253"/>
      <c r="R1075" s="247" t="s">
        <v>3293</v>
      </c>
      <c r="S1075" s="272" t="s">
        <v>3293</v>
      </c>
      <c r="T1075" s="273">
        <v>14.1</v>
      </c>
      <c r="U1075" s="289">
        <v>22.19</v>
      </c>
      <c r="V1075" s="280">
        <v>88</v>
      </c>
      <c r="W1075" s="244"/>
      <c r="X1075" s="244"/>
      <c r="Y1075" s="362"/>
      <c r="Z1075" s="257">
        <f>altaz(J2000_Bas,$O1075,$M1075,DecLat,DecLong,1)</f>
        <v>-1.6260638626670498</v>
      </c>
      <c r="AA1075" s="257">
        <f>altaz((J2000_Bas+(2*0.04167)),$O1075,$M1075,DecLat,DecLong,1)</f>
        <v>17.186204718391895</v>
      </c>
      <c r="AB1075" s="257">
        <f>altaz((J2000_Bas+(4*0.04167)),$O1075,$M1075,DecLat,DecLong,1)</f>
        <v>38.970920643790386</v>
      </c>
      <c r="AC1075" s="257">
        <f>altaz((J2000_Bas+(6*0.04167)),$O1075,$M1075,DecLat,DecLong,1)</f>
        <v>61.90007122486363</v>
      </c>
      <c r="AD1075" s="258">
        <f>1+ transit((J2000_Bas-1),$O1075,$M1075,DecLat,DecLong)/360 + (GMTOffset/24) + (IF(DST="Y", 1, 0)/24)</f>
        <v>1.1295550395567913</v>
      </c>
      <c r="AE1075" s="259">
        <f>DATE(2001,9,21)+(M1075/360)*365 - (360*((DecLong/360)- (GMTOffset/24) ))</f>
        <v>37209.879108796296</v>
      </c>
      <c r="AF1075" s="260">
        <f>IF(DecLat&gt;0,IF((90 - (DecLat-O1075))&gt;90, (90 - (O1075-DecLat)), (90 - (DecLat-O1075))),IF((90 + (DecLat-O1075))&gt;90, (90 + (O1075-DecLat)), (90 + (DecLat-O1075))))</f>
        <v>80.996388888888887</v>
      </c>
      <c r="AG1075" s="257">
        <f>angularseperation(MoonRA,MoonDec,$M1075,$O1075)</f>
        <v>158.96597581483496</v>
      </c>
      <c r="AH1075" s="261">
        <f ca="1">MIN(100,IF($O$5&gt;80,0+30*($AG1075/100),IF($O$5&gt;70,0+50*($AG1075/100),IF($O$5&gt;60,5+50*($AG1075/100),IF($O$5&gt;50,10+60*($AG1075/100),IF($O$5&gt;40,15+70*($AG1075/100),IF($O$5&gt;30,20+70*($AG1075/100),IF($O$5&gt;20,40+55*($AG1075/100),(80+(20-$O$5)+30*($AG1075/100))))))))))</f>
        <v>100</v>
      </c>
      <c r="AI1075" s="262"/>
      <c r="AJ1075" s="262">
        <v>311</v>
      </c>
      <c r="AK1075" s="262"/>
      <c r="AL1075" s="263"/>
      <c r="AM1075" s="264"/>
      <c r="AN1075" s="263"/>
      <c r="AO1075" s="263"/>
      <c r="AP1075" s="265"/>
      <c r="AQ1075" s="266">
        <v>2625</v>
      </c>
      <c r="AR1075" s="267">
        <v>12177</v>
      </c>
      <c r="AS1075" s="263"/>
      <c r="AT1075" s="263"/>
      <c r="AU1075" s="263"/>
      <c r="AV1075" s="264"/>
      <c r="AW1075" s="263"/>
      <c r="AX1075" s="263"/>
      <c r="AY1075" s="263"/>
      <c r="AZ1075" s="263"/>
      <c r="BA1075" s="263"/>
      <c r="BB1075" s="263"/>
      <c r="BC1075" s="263"/>
      <c r="BD1075" s="264"/>
      <c r="BE1075" s="263"/>
      <c r="BF1075" s="263"/>
      <c r="BG1075" s="263"/>
      <c r="BH1075" s="263"/>
      <c r="BI1075" s="263"/>
      <c r="BJ1075" s="404">
        <f>altaz(J2000_Bas,$O1075,$M1075,DecLat,DecLong,2)</f>
        <v>39.886788221001183</v>
      </c>
      <c r="BK1075" s="378" t="s">
        <v>1142</v>
      </c>
      <c r="BL1075" s="379">
        <f>IF((2*G1075)/60&lt;0.2,0.2,(2*G1075)/60)</f>
        <v>0.2</v>
      </c>
      <c r="BM1075" s="380">
        <f>MOD((50000+AD1075-$B$3+(0/24)),1)</f>
        <v>0.34492196926294127</v>
      </c>
      <c r="BN1075" s="381" t="s">
        <v>9218</v>
      </c>
      <c r="BO1075" s="382">
        <v>1069</v>
      </c>
    </row>
    <row r="1076" spans="1:67" s="24" customFormat="1" ht="15" customHeight="1" x14ac:dyDescent="0.25">
      <c r="A1076" s="288" t="s">
        <v>1143</v>
      </c>
      <c r="B1076" s="241" t="str">
        <f>HYPERLINK(CONCATENATE($AT$3,BK1076,$AU$3),$AV$3)</f>
        <v>S</v>
      </c>
      <c r="C1076" s="242" t="str">
        <f>HYPERLINK(CONCATENATE($AT$4,BK1076,$AU$4,BL1076),$AV$4)</f>
        <v>A</v>
      </c>
      <c r="D1076" s="243" t="s">
        <v>5638</v>
      </c>
      <c r="E1076" s="244" t="s">
        <v>5337</v>
      </c>
      <c r="F1076" s="269" t="s">
        <v>3316</v>
      </c>
      <c r="G1076" s="273">
        <v>3</v>
      </c>
      <c r="H1076" s="283">
        <v>115</v>
      </c>
      <c r="I1076" s="246">
        <v>100</v>
      </c>
      <c r="J1076" s="246">
        <v>2</v>
      </c>
      <c r="K1076" s="247" t="s">
        <v>8430</v>
      </c>
      <c r="L1076" s="248">
        <v>34517</v>
      </c>
      <c r="M1076" s="249">
        <f>15*(LEFT(TEXT($L1076,"000000"),2)+(MID(TEXT($L1076,"000000"),3,2)/60)+(RIGHT(TEXT($L1076,"000000"),2)/3600))</f>
        <v>56.320833333333333</v>
      </c>
      <c r="N1076" s="250">
        <v>763815</v>
      </c>
      <c r="O1076" s="251">
        <f>IF($N1076&gt;0,(LEFT(TEXT($N1076,"000000"),2)+(MID(TEXT($N1076,"000000"),3,2)/60)+(RIGHT(TEXT($N1076,"000000"),2)/3600)),-(MID(TEXT($N1076,"000000"),2,2)+(MID(TEXT($N1076,"000000"),4,2)/60)+(RIGHT(TEXT($N1076,"000000"),2)/3600)))</f>
        <v>76.637500000000003</v>
      </c>
      <c r="P1076" s="252" t="s">
        <v>226</v>
      </c>
      <c r="Q1076" s="253"/>
      <c r="R1076" s="247" t="s">
        <v>3293</v>
      </c>
      <c r="S1076" s="272" t="s">
        <v>3293</v>
      </c>
      <c r="T1076" s="273">
        <v>11.3</v>
      </c>
      <c r="U1076" s="289">
        <v>21.79</v>
      </c>
      <c r="V1076" s="280"/>
      <c r="W1076" s="244"/>
      <c r="X1076" s="244"/>
      <c r="Y1076" s="362"/>
      <c r="Z1076" s="257">
        <f>altaz(J2000_Bas,$O1076,$M1076,DecLat,DecLong,1)</f>
        <v>21.895626764030379</v>
      </c>
      <c r="AA1076" s="257">
        <f>altaz((J2000_Bas+(2*0.04167)),$O1076,$M1076,DecLat,DecLong,1)</f>
        <v>27.768447273916994</v>
      </c>
      <c r="AB1076" s="257">
        <f>altaz((J2000_Bas+(4*0.04167)),$O1076,$M1076,DecLat,DecLong,1)</f>
        <v>34.636250729048058</v>
      </c>
      <c r="AC1076" s="257">
        <f>altaz((J2000_Bas+(6*0.04167)),$O1076,$M1076,DecLat,DecLong,1)</f>
        <v>40.745869934984995</v>
      </c>
      <c r="AD1076" s="258">
        <f>1+ transit((J2000_Bas-1),$O1076,$M1076,DecLat,DecLong)/360 + (GMTOffset/24) + (IF(DST="Y", 1, 0)/24)</f>
        <v>1.1493467042442913</v>
      </c>
      <c r="AE1076" s="259">
        <f>DATE(2001,9,21)+(M1076/360)*365 - (360*((DecLong/360)- (GMTOffset/24) ))</f>
        <v>37217.103067129632</v>
      </c>
      <c r="AF1076" s="260">
        <f>IF(DecLat&gt;0,IF((90 - (DecLat-O1076))&gt;90, (90 - (O1076-DecLat)), (90 - (DecLat-O1076))),IF((90 + (DecLat-O1076))&gt;90, (90 + (O1076-DecLat)), (90 + (DecLat-O1076))))</f>
        <v>44.362499999999997</v>
      </c>
      <c r="AG1076" s="257">
        <f>angularseperation(MoonRA,MoonDec,$M1076,$O1076)</f>
        <v>130.05545457848197</v>
      </c>
      <c r="AH1076" s="261">
        <f ca="1">MIN(100,IF($O$5&gt;80,0+30*($AG1076/100),IF($O$5&gt;70,0+50*($AG1076/100),IF($O$5&gt;60,5+50*($AG1076/100),IF($O$5&gt;50,10+60*($AG1076/100),IF($O$5&gt;40,15+70*($AG1076/100),IF($O$5&gt;30,20+70*($AG1076/100),IF($O$5&gt;20,40+55*($AG1076/100),(80+(20-$O$5)+30*($AG1076/100))))))))))</f>
        <v>100</v>
      </c>
      <c r="AI1076" s="262"/>
      <c r="AJ1076" s="262">
        <v>334</v>
      </c>
      <c r="AK1076" s="262"/>
      <c r="AL1076" s="263"/>
      <c r="AM1076" s="264"/>
      <c r="AN1076" s="263"/>
      <c r="AO1076" s="263"/>
      <c r="AP1076" s="265"/>
      <c r="AQ1076" s="266">
        <v>2824</v>
      </c>
      <c r="AR1076" s="267">
        <v>13759</v>
      </c>
      <c r="AS1076" s="263"/>
      <c r="AT1076" s="263"/>
      <c r="AU1076" s="263"/>
      <c r="AV1076" s="264"/>
      <c r="AW1076" s="263"/>
      <c r="AX1076" s="263"/>
      <c r="AY1076" s="263"/>
      <c r="AZ1076" s="263"/>
      <c r="BA1076" s="263"/>
      <c r="BB1076" s="263"/>
      <c r="BC1076" s="263"/>
      <c r="BD1076" s="264"/>
      <c r="BE1076" s="263"/>
      <c r="BF1076" s="263"/>
      <c r="BG1076" s="263"/>
      <c r="BH1076" s="263"/>
      <c r="BI1076" s="263"/>
      <c r="BJ1076" s="404">
        <f>altaz(J2000_Bas,$O1076,$M1076,DecLat,DecLong,2)</f>
        <v>10.947712818961406</v>
      </c>
      <c r="BK1076" s="378" t="s">
        <v>1143</v>
      </c>
      <c r="BL1076" s="379">
        <f>IF((2*G1076)/60&lt;0.2,0.2,(2*G1076)/60)</f>
        <v>0.2</v>
      </c>
      <c r="BM1076" s="380">
        <f>MOD((50000+AD1076-$B$3+(0/24)),1)</f>
        <v>0.36471363394957734</v>
      </c>
      <c r="BN1076" s="381" t="s">
        <v>9281</v>
      </c>
      <c r="BO1076" s="382">
        <v>1070</v>
      </c>
    </row>
    <row r="1077" spans="1:67" s="24" customFormat="1" ht="15" customHeight="1" x14ac:dyDescent="0.25">
      <c r="A1077" s="288" t="s">
        <v>1144</v>
      </c>
      <c r="B1077" s="241" t="str">
        <f>HYPERLINK(CONCATENATE($AT$3,BK1077,$AU$3),$AV$3)</f>
        <v>S</v>
      </c>
      <c r="C1077" s="242" t="str">
        <f>HYPERLINK(CONCATENATE($AT$4,BK1077,$AU$4,BL1077),$AV$4)</f>
        <v>A</v>
      </c>
      <c r="D1077" s="243" t="s">
        <v>5638</v>
      </c>
      <c r="E1077" s="244" t="s">
        <v>5192</v>
      </c>
      <c r="F1077" s="269" t="s">
        <v>8910</v>
      </c>
      <c r="G1077" s="276">
        <v>20</v>
      </c>
      <c r="H1077" s="283">
        <v>11</v>
      </c>
      <c r="I1077" s="246">
        <v>65</v>
      </c>
      <c r="J1077" s="246">
        <v>4</v>
      </c>
      <c r="K1077" s="277" t="s">
        <v>4555</v>
      </c>
      <c r="L1077" s="248">
        <v>34649</v>
      </c>
      <c r="M1077" s="249">
        <f>15*(LEFT(TEXT($L1077,"000000"),2)+(MID(TEXT($L1077,"000000"),3,2)/60)+(RIGHT(TEXT($L1077,"000000"),2)/3600))</f>
        <v>56.704166666666666</v>
      </c>
      <c r="N1077" s="250">
        <v>680546</v>
      </c>
      <c r="O1077" s="251">
        <f>IF($N1077&gt;0,(LEFT(TEXT($N1077,"000000"),2)+(MID(TEXT($N1077,"000000"),3,2)/60)+(RIGHT(TEXT($N1077,"000000"),2)/3600)),-(MID(TEXT($N1077,"000000"),2,2)+(MID(TEXT($N1077,"000000"),4,2)/60)+(RIGHT(TEXT($N1077,"000000"),2)/3600)))</f>
        <v>68.096111111111099</v>
      </c>
      <c r="P1077" s="252" t="s">
        <v>226</v>
      </c>
      <c r="Q1077" s="253" t="s">
        <v>1145</v>
      </c>
      <c r="R1077" s="277" t="s">
        <v>7329</v>
      </c>
      <c r="S1077" s="272" t="s">
        <v>3293</v>
      </c>
      <c r="T1077" s="273">
        <v>8.4</v>
      </c>
      <c r="U1077" s="289">
        <v>23.79</v>
      </c>
      <c r="V1077" s="280">
        <v>5</v>
      </c>
      <c r="W1077" s="244"/>
      <c r="X1077" s="244"/>
      <c r="Y1077" s="362"/>
      <c r="Z1077" s="257">
        <f>altaz(J2000_Bas,$O1077,$M1077,DecLat,DecLong,1)</f>
        <v>15.624517940007269</v>
      </c>
      <c r="AA1077" s="257">
        <f>altaz((J2000_Bas+(2*0.04167)),$O1077,$M1077,DecLat,DecLong,1)</f>
        <v>24.767883401871963</v>
      </c>
      <c r="AB1077" s="257">
        <f>altaz((J2000_Bas+(4*0.04167)),$O1077,$M1077,DecLat,DecLong,1)</f>
        <v>35.762563114567961</v>
      </c>
      <c r="AC1077" s="257">
        <f>altaz((J2000_Bas+(6*0.04167)),$O1077,$M1077,DecLat,DecLong,1)</f>
        <v>46.153588675917945</v>
      </c>
      <c r="AD1077" s="258">
        <f>1+ transit((J2000_Bas-1),$O1077,$M1077,DecLat,DecLong)/360 + (GMTOffset/24) + (IF(DST="Y", 1, 0)/24)</f>
        <v>1.1504115189526247</v>
      </c>
      <c r="AE1077" s="259">
        <f>DATE(2001,9,21)+(M1077/360)*365 - (360*((DecLong/360)- (GMTOffset/24) ))</f>
        <v>37217.491724537038</v>
      </c>
      <c r="AF1077" s="260">
        <f>IF(DecLat&gt;0,IF((90 - (DecLat-O1077))&gt;90, (90 - (O1077-DecLat)), (90 - (DecLat-O1077))),IF((90 + (DecLat-O1077))&gt;90, (90 + (O1077-DecLat)), (90 + (DecLat-O1077))))</f>
        <v>52.903888888888901</v>
      </c>
      <c r="AG1077" s="257">
        <f>angularseperation(MoonRA,MoonDec,$M1077,$O1077)</f>
        <v>138.30114172945923</v>
      </c>
      <c r="AH1077" s="261">
        <f ca="1">MIN(100,IF($O$5&gt;80,0+30*($AG1077/100),IF($O$5&gt;70,0+50*($AG1077/100),IF($O$5&gt;60,5+50*($AG1077/100),IF($O$5&gt;50,10+60*($AG1077/100),IF($O$5&gt;40,15+70*($AG1077/100),IF($O$5&gt;30,20+70*($AG1077/100),IF($O$5&gt;20,40+55*($AG1077/100),(80+(20-$O$5)+30*($AG1077/100))))))))))</f>
        <v>100</v>
      </c>
      <c r="AI1077" s="262"/>
      <c r="AJ1077" s="262">
        <v>342</v>
      </c>
      <c r="AK1077" s="262"/>
      <c r="AL1077" s="263"/>
      <c r="AM1077" s="264">
        <v>5</v>
      </c>
      <c r="AN1077" s="263"/>
      <c r="AO1077" s="263"/>
      <c r="AP1077" s="265"/>
      <c r="AQ1077" s="266">
        <v>2847</v>
      </c>
      <c r="AR1077" s="267">
        <v>13826</v>
      </c>
      <c r="AS1077" s="263"/>
      <c r="AT1077" s="263"/>
      <c r="AU1077" s="263"/>
      <c r="AV1077" s="264"/>
      <c r="AW1077" s="263"/>
      <c r="AX1077" s="263"/>
      <c r="AY1077" s="263"/>
      <c r="AZ1077" s="263"/>
      <c r="BA1077" s="263"/>
      <c r="BB1077" s="263"/>
      <c r="BC1077" s="263"/>
      <c r="BD1077" s="264"/>
      <c r="BE1077" s="263"/>
      <c r="BF1077" s="263"/>
      <c r="BG1077" s="263"/>
      <c r="BH1077" s="263"/>
      <c r="BI1077" s="263"/>
      <c r="BJ1077" s="404">
        <f>altaz(J2000_Bas,$O1077,$M1077,DecLat,DecLong,2)</f>
        <v>17.077672444027499</v>
      </c>
      <c r="BK1077" s="378" t="s">
        <v>1144</v>
      </c>
      <c r="BL1077" s="379">
        <f>IF((2*G1077)/60&lt;0.2,0.2,(2*G1077)/60)</f>
        <v>0.66666666666666663</v>
      </c>
      <c r="BM1077" s="380">
        <f>MOD((50000+AD1077-$B$3+(0/24)),1)</f>
        <v>0.36577844865678344</v>
      </c>
      <c r="BN1077" s="381"/>
      <c r="BO1077" s="382">
        <v>1071</v>
      </c>
    </row>
    <row r="1078" spans="1:67" s="24" customFormat="1" ht="15" customHeight="1" x14ac:dyDescent="0.25">
      <c r="A1078" s="301" t="s">
        <v>1146</v>
      </c>
      <c r="B1078" s="241" t="str">
        <f>HYPERLINK(CONCATENATE($AT$3,BK1078,$AU$3),$AV$3)</f>
        <v>S</v>
      </c>
      <c r="C1078" s="242" t="str">
        <f>HYPERLINK(CONCATENATE($AT$4,BK1078,$AU$4,BL1078),$AV$4)</f>
        <v>A</v>
      </c>
      <c r="D1078" s="243" t="s">
        <v>5187</v>
      </c>
      <c r="E1078" s="244" t="s">
        <v>5186</v>
      </c>
      <c r="F1078" s="269" t="s">
        <v>4680</v>
      </c>
      <c r="G1078" s="276">
        <v>25</v>
      </c>
      <c r="H1078" s="271">
        <v>1100</v>
      </c>
      <c r="I1078" s="245">
        <v>8</v>
      </c>
      <c r="J1078" s="246">
        <v>3</v>
      </c>
      <c r="K1078" s="247" t="s">
        <v>9432</v>
      </c>
      <c r="L1078" s="248">
        <v>34434</v>
      </c>
      <c r="M1078" s="249">
        <f>15*(LEFT(TEXT($L1078,"000000"),2)+(MID(TEXT($L1078,"000000"),3,2)/60)+(RIGHT(TEXT($L1078,"000000"),2)/3600))</f>
        <v>56.141666666666673</v>
      </c>
      <c r="N1078" s="250">
        <v>320946</v>
      </c>
      <c r="O1078" s="251">
        <f>IF($N1078&gt;0,(LEFT(TEXT($N1078,"000000"),2)+(MID(TEXT($N1078,"000000"),3,2)/60)+(RIGHT(TEXT($N1078,"000000"),2)/3600)),-(MID(TEXT($N1078,"000000"),2,2)+(MID(TEXT($N1078,"000000"),4,2)/60)+(RIGHT(TEXT($N1078,"000000"),2)/3600)))</f>
        <v>32.162777777777777</v>
      </c>
      <c r="P1078" s="252" t="s">
        <v>43</v>
      </c>
      <c r="Q1078" s="253"/>
      <c r="R1078" s="247"/>
      <c r="S1078" s="272" t="s">
        <v>4556</v>
      </c>
      <c r="T1078" s="273">
        <v>7.3</v>
      </c>
      <c r="U1078" s="274"/>
      <c r="V1078" s="256"/>
      <c r="W1078" s="244"/>
      <c r="X1078" s="244"/>
      <c r="Y1078" s="362"/>
      <c r="Z1078" s="257">
        <f>altaz(J2000_Bas,$O1078,$M1078,DecLat,DecLong,1)</f>
        <v>-11.1630888943975</v>
      </c>
      <c r="AA1078" s="257">
        <f>altaz((J2000_Bas+(2*0.04167)),$O1078,$M1078,DecLat,DecLong,1)</f>
        <v>8.4812169729631499</v>
      </c>
      <c r="AB1078" s="257">
        <f>altaz((J2000_Bas+(4*0.04167)),$O1078,$M1078,DecLat,DecLong,1)</f>
        <v>31.513842647645824</v>
      </c>
      <c r="AC1078" s="257">
        <f>altaz((J2000_Bas+(6*0.04167)),$O1078,$M1078,DecLat,DecLong,1)</f>
        <v>56.197649837412989</v>
      </c>
      <c r="AD1078" s="258">
        <f>1+ transit((J2000_Bas-1),$O1078,$M1078,DecLat,DecLong)/360 + (GMTOffset/24) + (IF(DST="Y", 1, 0)/24)</f>
        <v>1.1488490191088747</v>
      </c>
      <c r="AE1078" s="259">
        <f>DATE(2001,9,21)+(M1078/360)*365 - (360*((DecLong/360)- (GMTOffset/24) ))</f>
        <v>37216.921412037038</v>
      </c>
      <c r="AF1078" s="260">
        <f>IF(DecLat&gt;0,IF((90 - (DecLat-O1078))&gt;90, (90 - (O1078-DecLat)), (90 - (DecLat-O1078))),IF((90 + (DecLat-O1078))&gt;90, (90 + (O1078-DecLat)), (90 + (DecLat-O1078))))</f>
        <v>88.837222222222223</v>
      </c>
      <c r="AG1078" s="257">
        <f>angularseperation(MoonRA,MoonDec,$M1078,$O1078)</f>
        <v>167.54317793952794</v>
      </c>
      <c r="AH1078" s="261">
        <f ca="1">MIN(100,IF($O$5&gt;80,0+30*($AG1078/100),IF($O$5&gt;70,0+50*($AG1078/100),IF($O$5&gt;60,5+50*($AG1078/100),IF($O$5&gt;50,10+60*($AG1078/100),IF($O$5&gt;40,15+70*($AG1078/100),IF($O$5&gt;30,20+70*($AG1078/100),IF($O$5&gt;20,40+55*($AG1078/100),(80+(20-$O$5)+30*($AG1078/100))))))))))</f>
        <v>100</v>
      </c>
      <c r="AI1078" s="262"/>
      <c r="AJ1078" s="262">
        <v>348</v>
      </c>
      <c r="AK1078" s="262"/>
      <c r="AL1078" s="263"/>
      <c r="AM1078" s="264"/>
      <c r="AN1078" s="263"/>
      <c r="AO1078" s="263"/>
      <c r="AP1078" s="265"/>
      <c r="AQ1078" s="266"/>
      <c r="AR1078" s="267"/>
      <c r="AS1078" s="263"/>
      <c r="AT1078" s="263"/>
      <c r="AU1078" s="263"/>
      <c r="AV1078" s="264"/>
      <c r="AW1078" s="263"/>
      <c r="AX1078" s="263"/>
      <c r="AY1078" s="263"/>
      <c r="AZ1078" s="263"/>
      <c r="BA1078" s="263"/>
      <c r="BB1078" s="263"/>
      <c r="BC1078" s="263"/>
      <c r="BD1078" s="264">
        <v>19</v>
      </c>
      <c r="BE1078" s="263"/>
      <c r="BF1078" s="263"/>
      <c r="BG1078" s="263"/>
      <c r="BH1078" s="263"/>
      <c r="BI1078" s="263">
        <v>19</v>
      </c>
      <c r="BJ1078" s="404">
        <f>altaz(J2000_Bas,$O1078,$M1078,DecLat,DecLong,2)</f>
        <v>41.272778638078513</v>
      </c>
      <c r="BK1078" s="378" t="s">
        <v>1146</v>
      </c>
      <c r="BL1078" s="379">
        <f>IF((2*G1078)/60&lt;0.2,0.2,(2*G1078)/60)</f>
        <v>0.83333333333333337</v>
      </c>
      <c r="BM1078" s="380">
        <f>MOD((50000+AD1078-$B$3+(0/24)),1)</f>
        <v>0.36421594881539932</v>
      </c>
      <c r="BN1078" s="381"/>
      <c r="BO1078" s="382">
        <v>1072</v>
      </c>
    </row>
    <row r="1079" spans="1:67" s="24" customFormat="1" ht="15" customHeight="1" x14ac:dyDescent="0.25">
      <c r="A1079" s="288" t="s">
        <v>1147</v>
      </c>
      <c r="B1079" s="241" t="str">
        <f>HYPERLINK(CONCATENATE($AT$3,BK1079,$AU$3),$AV$3)</f>
        <v>S</v>
      </c>
      <c r="C1079" s="242" t="str">
        <f>HYPERLINK(CONCATENATE($AT$4,BK1079,$AU$4,BL1079),$AV$4)</f>
        <v>A</v>
      </c>
      <c r="D1079" s="243" t="s">
        <v>5187</v>
      </c>
      <c r="E1079" s="244" t="s">
        <v>5181</v>
      </c>
      <c r="F1079" s="269" t="s">
        <v>4801</v>
      </c>
      <c r="G1079" s="270">
        <v>0.17</v>
      </c>
      <c r="H1079" s="271">
        <v>18000</v>
      </c>
      <c r="I1079" s="245">
        <v>1</v>
      </c>
      <c r="J1079" s="246">
        <v>1</v>
      </c>
      <c r="K1079" s="247" t="s">
        <v>4670</v>
      </c>
      <c r="L1079" s="248">
        <v>34733</v>
      </c>
      <c r="M1079" s="249">
        <f>15*(LEFT(TEXT($L1079,"000000"),2)+(MID(TEXT($L1079,"000000"),3,2)/60)+(RIGHT(TEXT($L1079,"000000"),2)/3600))</f>
        <v>56.887500000000003</v>
      </c>
      <c r="N1079" s="250">
        <v>350248</v>
      </c>
      <c r="O1079" s="251">
        <f>IF($N1079&gt;0,(LEFT(TEXT($N1079,"000000"),2)+(MID(TEXT($N1079,"000000"),3,2)/60)+(RIGHT(TEXT($N1079,"000000"),2)/3600)),-(MID(TEXT($N1079,"000000"),2,2)+(MID(TEXT($N1079,"000000"),4,2)/60)+(RIGHT(TEXT($N1079,"000000"),2)/3600)))</f>
        <v>35.046666666666667</v>
      </c>
      <c r="P1079" s="252" t="s">
        <v>43</v>
      </c>
      <c r="Q1079" s="253"/>
      <c r="R1079" s="247" t="s">
        <v>3293</v>
      </c>
      <c r="S1079" s="272" t="s">
        <v>3293</v>
      </c>
      <c r="T1079" s="273">
        <v>11.9</v>
      </c>
      <c r="U1079" s="274"/>
      <c r="V1079" s="256"/>
      <c r="W1079" s="244"/>
      <c r="X1079" s="244"/>
      <c r="Y1079" s="362"/>
      <c r="Z1079" s="257">
        <f>altaz(J2000_Bas,$O1079,$M1079,DecLat,DecLong,1)</f>
        <v>-9.4139906931330017</v>
      </c>
      <c r="AA1079" s="257">
        <f>altaz((J2000_Bas+(2*0.04167)),$O1079,$M1079,DecLat,DecLong,1)</f>
        <v>9.4541617681297669</v>
      </c>
      <c r="AB1079" s="257">
        <f>altaz((J2000_Bas+(4*0.04167)),$O1079,$M1079,DecLat,DecLong,1)</f>
        <v>31.837579818131573</v>
      </c>
      <c r="AC1079" s="257">
        <f>altaz((J2000_Bas+(6*0.04167)),$O1079,$M1079,DecLat,DecLong,1)</f>
        <v>55.927214087296385</v>
      </c>
      <c r="AD1079" s="258">
        <f>1+ transit((J2000_Bas-1),$O1079,$M1079,DecLat,DecLong)/360 + (GMTOffset/24) + (IF(DST="Y", 1, 0)/24)</f>
        <v>1.1509207781609581</v>
      </c>
      <c r="AE1079" s="259">
        <f>DATE(2001,9,21)+(M1079/360)*365 - (360*((DecLong/360)- (GMTOffset/24) ))</f>
        <v>37217.677604166667</v>
      </c>
      <c r="AF1079" s="260">
        <f>IF(DecLat&gt;0,IF((90 - (DecLat-O1079))&gt;90, (90 - (O1079-DecLat)), (90 - (DecLat-O1079))),IF((90 + (DecLat-O1079))&gt;90, (90 + (O1079-DecLat)), (90 + (DecLat-O1079))))</f>
        <v>85.953333333333333</v>
      </c>
      <c r="AG1079" s="257">
        <f>angularseperation(MoonRA,MoonDec,$M1079,$O1079)</f>
        <v>166.77504161969824</v>
      </c>
      <c r="AH1079" s="261">
        <f ca="1">MIN(100,IF($O$5&gt;80,0+30*($AG1079/100),IF($O$5&gt;70,0+50*($AG1079/100),IF($O$5&gt;60,5+50*($AG1079/100),IF($O$5&gt;50,10+60*($AG1079/100),IF($O$5&gt;40,15+70*($AG1079/100),IF($O$5&gt;30,20+70*($AG1079/100),IF($O$5&gt;20,40+55*($AG1079/100),(80+(20-$O$5)+30*($AG1079/100))))))))))</f>
        <v>100</v>
      </c>
      <c r="AI1079" s="262"/>
      <c r="AJ1079" s="262">
        <v>351</v>
      </c>
      <c r="AK1079" s="262"/>
      <c r="AL1079" s="263"/>
      <c r="AM1079" s="264"/>
      <c r="AN1079" s="263"/>
      <c r="AO1079" s="263"/>
      <c r="AP1079" s="265"/>
      <c r="AQ1079" s="266"/>
      <c r="AR1079" s="267"/>
      <c r="AS1079" s="263"/>
      <c r="AT1079" s="263"/>
      <c r="AU1079" s="263"/>
      <c r="AV1079" s="264"/>
      <c r="AW1079" s="263"/>
      <c r="AX1079" s="263"/>
      <c r="AY1079" s="263"/>
      <c r="AZ1079" s="263"/>
      <c r="BA1079" s="263"/>
      <c r="BB1079" s="263"/>
      <c r="BC1079" s="263"/>
      <c r="BD1079" s="264"/>
      <c r="BE1079" s="263"/>
      <c r="BF1079" s="263"/>
      <c r="BG1079" s="263"/>
      <c r="BH1079" s="263"/>
      <c r="BI1079" s="263"/>
      <c r="BJ1079" s="404">
        <f>altaz(J2000_Bas,$O1079,$M1079,DecLat,DecLong,2)</f>
        <v>38.858317045515534</v>
      </c>
      <c r="BK1079" s="378" t="s">
        <v>1147</v>
      </c>
      <c r="BL1079" s="379">
        <f>IF((2*G1079)/60&lt;0.2,0.2,(2*G1079)/60)</f>
        <v>0.2</v>
      </c>
      <c r="BM1079" s="380">
        <f>MOD((50000+AD1079-$B$3+(0/24)),1)</f>
        <v>0.36628770786774112</v>
      </c>
      <c r="BN1079" s="381"/>
      <c r="BO1079" s="382">
        <v>1073</v>
      </c>
    </row>
    <row r="1080" spans="1:67" s="24" customFormat="1" ht="15" customHeight="1" x14ac:dyDescent="0.25">
      <c r="A1080" s="288" t="s">
        <v>3132</v>
      </c>
      <c r="B1080" s="241" t="str">
        <f>HYPERLINK(CONCATENATE($AT$3,BK1080,$AU$3),$AV$3)</f>
        <v>S</v>
      </c>
      <c r="C1080" s="242" t="str">
        <f>HYPERLINK(CONCATENATE($AT$4,BK1080,$AU$4,BL1080),$AV$4)</f>
        <v>A</v>
      </c>
      <c r="D1080" s="243" t="s">
        <v>5638</v>
      </c>
      <c r="E1080" s="244" t="s">
        <v>5192</v>
      </c>
      <c r="F1080" s="269" t="s">
        <v>8712</v>
      </c>
      <c r="G1080" s="273">
        <v>1</v>
      </c>
      <c r="H1080" s="283">
        <v>70</v>
      </c>
      <c r="I1080" s="246">
        <v>20</v>
      </c>
      <c r="J1080" s="246">
        <v>2</v>
      </c>
      <c r="K1080" s="277" t="s">
        <v>4672</v>
      </c>
      <c r="L1080" s="248">
        <v>45722</v>
      </c>
      <c r="M1080" s="249">
        <f>15*(LEFT(TEXT($L1080,"000000"),2)+(MID(TEXT($L1080,"000000"),3,2)/60)+(RIGHT(TEXT($L1080,"000000"),2)/3600))</f>
        <v>74.341666666666669</v>
      </c>
      <c r="N1080" s="250">
        <v>781118</v>
      </c>
      <c r="O1080" s="251">
        <f>IF($N1080&gt;0,(LEFT(TEXT($N1080,"000000"),2)+(MID(TEXT($N1080,"000000"),3,2)/60)+(RIGHT(TEXT($N1080,"000000"),2)/3600)),-(MID(TEXT($N1080,"000000"),2,2)+(MID(TEXT($N1080,"000000"),4,2)/60)+(RIGHT(TEXT($N1080,"000000"),2)/3600)))</f>
        <v>78.188333333333333</v>
      </c>
      <c r="P1080" s="252" t="s">
        <v>226</v>
      </c>
      <c r="Q1080" s="253"/>
      <c r="R1080" s="277" t="s">
        <v>3293</v>
      </c>
      <c r="S1080" s="272" t="s">
        <v>3293</v>
      </c>
      <c r="T1080" s="273">
        <v>12.7</v>
      </c>
      <c r="U1080" s="289">
        <v>21.69</v>
      </c>
      <c r="V1080" s="280">
        <v>5</v>
      </c>
      <c r="W1080" s="244"/>
      <c r="X1080" s="244"/>
      <c r="Y1080" s="362"/>
      <c r="Z1080" s="257">
        <f>altaz(J2000_Bas,$O1080,$M1080,DecLat,DecLong,1)</f>
        <v>20.780450000959068</v>
      </c>
      <c r="AA1080" s="257">
        <f>altaz((J2000_Bas+(2*0.04167)),$O1080,$M1080,DecLat,DecLong,1)</f>
        <v>24.902322892548906</v>
      </c>
      <c r="AB1080" s="257">
        <f>altaz((J2000_Bas+(4*0.04167)),$O1080,$M1080,DecLat,DecLong,1)</f>
        <v>30.64623071248846</v>
      </c>
      <c r="AC1080" s="257">
        <f>altaz((J2000_Bas+(6*0.04167)),$O1080,$M1080,DecLat,DecLong,1)</f>
        <v>36.647431937146862</v>
      </c>
      <c r="AD1080" s="258">
        <f>1+ transit((J2000_Bas-1),$O1080,$M1080,DecLat,DecLong)/360 + (GMTOffset/24) + (IF(DST="Y", 1, 0)/24)</f>
        <v>1.1994045696088746</v>
      </c>
      <c r="AE1080" s="259">
        <f>DATE(2001,9,21)+(M1080/360)*365 - (360*((DecLong/360)- (GMTOffset/24) ))</f>
        <v>37235.374189814815</v>
      </c>
      <c r="AF1080" s="260">
        <f>IF(DecLat&gt;0,IF((90 - (DecLat-O1080))&gt;90, (90 - (O1080-DecLat)), (90 - (DecLat-O1080))),IF((90 + (DecLat-O1080))&gt;90, (90 + (O1080-DecLat)), (90 + (DecLat-O1080))))</f>
        <v>42.811666666666667</v>
      </c>
      <c r="AG1080" s="257">
        <f>angularseperation(MoonRA,MoonDec,$M1080,$O1080)</f>
        <v>128.84266898393409</v>
      </c>
      <c r="AH1080" s="261">
        <f ca="1">MIN(100,IF($O$5&gt;80,0+30*($AG1080/100),IF($O$5&gt;70,0+50*($AG1080/100),IF($O$5&gt;60,5+50*($AG1080/100),IF($O$5&gt;50,10+60*($AG1080/100),IF($O$5&gt;40,15+70*($AG1080/100),IF($O$5&gt;30,20+70*($AG1080/100),IF($O$5&gt;20,40+55*($AG1080/100),(80+(20-$O$5)+30*($AG1080/100))))))))))</f>
        <v>100</v>
      </c>
      <c r="AI1080" s="263"/>
      <c r="AJ1080" s="263">
        <v>391</v>
      </c>
      <c r="AK1080" s="263"/>
      <c r="AL1080" s="263"/>
      <c r="AM1080" s="264"/>
      <c r="AN1080" s="263"/>
      <c r="AO1080" s="263"/>
      <c r="AP1080" s="265"/>
      <c r="AQ1080" s="265">
        <v>3190</v>
      </c>
      <c r="AR1080" s="285">
        <v>16402</v>
      </c>
      <c r="AS1080" s="263"/>
      <c r="AT1080" s="263"/>
      <c r="AU1080" s="263"/>
      <c r="AV1080" s="264"/>
      <c r="AW1080" s="263"/>
      <c r="AX1080" s="263"/>
      <c r="AY1080" s="263"/>
      <c r="AZ1080" s="263"/>
      <c r="BA1080" s="263"/>
      <c r="BB1080" s="263"/>
      <c r="BC1080" s="263"/>
      <c r="BD1080" s="264"/>
      <c r="BE1080" s="263"/>
      <c r="BF1080" s="263"/>
      <c r="BG1080" s="263"/>
      <c r="BH1080" s="263"/>
      <c r="BI1080" s="263"/>
      <c r="BJ1080" s="404">
        <f>altaz(J2000_Bas,$O1080,$M1080,DecLat,DecLong,2)</f>
        <v>6.5989390177742724</v>
      </c>
      <c r="BK1080" s="378" t="s">
        <v>3132</v>
      </c>
      <c r="BL1080" s="379">
        <f>IF((2*G1080)/60&lt;0.2,0.2,(2*G1080)/60)</f>
        <v>0.2</v>
      </c>
      <c r="BM1080" s="380">
        <f>MOD((50000+AD1080-$B$3+(0/24)),1)</f>
        <v>0.41477149931597523</v>
      </c>
      <c r="BN1080" s="381"/>
      <c r="BO1080" s="382">
        <v>1074</v>
      </c>
    </row>
    <row r="1081" spans="1:67" s="24" customFormat="1" ht="15" customHeight="1" x14ac:dyDescent="0.25">
      <c r="A1081" s="288" t="s">
        <v>1148</v>
      </c>
      <c r="B1081" s="241" t="str">
        <f>HYPERLINK(CONCATENATE($AT$3,BK1081,$AU$3),$AV$3)</f>
        <v>S</v>
      </c>
      <c r="C1081" s="242" t="str">
        <f>HYPERLINK(CONCATENATE($AT$4,BK1081,$AU$4,BL1081),$AV$4)</f>
        <v>A</v>
      </c>
      <c r="D1081" s="243" t="s">
        <v>5187</v>
      </c>
      <c r="E1081" s="244" t="s">
        <v>5183</v>
      </c>
      <c r="F1081" s="269" t="s">
        <v>9159</v>
      </c>
      <c r="G1081" s="276">
        <v>60</v>
      </c>
      <c r="H1081" s="271">
        <v>1500</v>
      </c>
      <c r="I1081" s="281">
        <v>25</v>
      </c>
      <c r="J1081" s="246">
        <v>4</v>
      </c>
      <c r="K1081" s="277" t="s">
        <v>8415</v>
      </c>
      <c r="L1081" s="248">
        <v>51629</v>
      </c>
      <c r="M1081" s="249">
        <f>15*(LEFT(TEXT($L1081,"000000"),2)+(MID(TEXT($L1081,"000000"),3,2)/60)+(RIGHT(TEXT($L1081,"000000"),2)/3600))</f>
        <v>79.120833333333337</v>
      </c>
      <c r="N1081" s="250">
        <v>342124</v>
      </c>
      <c r="O1081" s="251">
        <f>IF($N1081&gt;0,(LEFT(TEXT($N1081,"000000"),2)+(MID(TEXT($N1081,"000000"),3,2)/60)+(RIGHT(TEXT($N1081,"000000"),2)/3600)),-(MID(TEXT($N1081,"000000"),2,2)+(MID(TEXT($N1081,"000000"),4,2)/60)+(RIGHT(TEXT($N1081,"000000"),2)/3600)))</f>
        <v>34.356666666666669</v>
      </c>
      <c r="P1081" s="252" t="s">
        <v>62</v>
      </c>
      <c r="Q1081" s="253" t="s">
        <v>6990</v>
      </c>
      <c r="R1081" s="277" t="s">
        <v>7355</v>
      </c>
      <c r="S1081" s="272" t="s">
        <v>4557</v>
      </c>
      <c r="T1081" s="273"/>
      <c r="U1081" s="274"/>
      <c r="V1081" s="256"/>
      <c r="W1081" s="244"/>
      <c r="X1081" s="244"/>
      <c r="Y1081" s="362"/>
      <c r="Z1081" s="257">
        <f>altaz(J2000_Bas,$O1081,$M1081,DecLat,DecLong,1)</f>
        <v>-19.907529618978582</v>
      </c>
      <c r="AA1081" s="257">
        <f>altaz((J2000_Bas+(2*0.04167)),$O1081,$M1081,DecLat,DecLong,1)</f>
        <v>-5.4565873154432021</v>
      </c>
      <c r="AB1081" s="257">
        <f>altaz((J2000_Bas+(4*0.04167)),$O1081,$M1081,DecLat,DecLong,1)</f>
        <v>14.729224857924914</v>
      </c>
      <c r="AC1081" s="257">
        <f>altaz((J2000_Bas+(6*0.04167)),$O1081,$M1081,DecLat,DecLong,1)</f>
        <v>37.835973586944426</v>
      </c>
      <c r="AD1081" s="258">
        <f>1+ transit((J2000_Bas-1),$O1081,$M1081,DecLat,DecLong)/360 + (GMTOffset/24) + (IF(DST="Y", 1, 0)/24)</f>
        <v>1.2126800312442914</v>
      </c>
      <c r="AE1081" s="259">
        <f>DATE(2001,9,21)+(M1081/360)*365 - (360*((DecLong/360)- (GMTOffset/24) ))</f>
        <v>37240.219733796293</v>
      </c>
      <c r="AF1081" s="260">
        <f>IF(DecLat&gt;0,IF((90 - (DecLat-O1081))&gt;90, (90 - (O1081-DecLat)), (90 - (DecLat-O1081))),IF((90 + (DecLat-O1081))&gt;90, (90 + (O1081-DecLat)), (90 + (DecLat-O1081))))</f>
        <v>86.643333333333331</v>
      </c>
      <c r="AG1081" s="257">
        <f>angularseperation(MoonRA,MoonDec,$M1081,$O1081)</f>
        <v>168.83001817034798</v>
      </c>
      <c r="AH1081" s="261">
        <f ca="1">MIN(100,IF($O$5&gt;80,0+30*($AG1081/100),IF($O$5&gt;70,0+50*($AG1081/100),IF($O$5&gt;60,5+50*($AG1081/100),IF($O$5&gt;50,10+60*($AG1081/100),IF($O$5&gt;40,15+70*($AG1081/100),IF($O$5&gt;30,20+70*($AG1081/100),IF($O$5&gt;20,40+55*($AG1081/100),(80+(20-$O$5)+30*($AG1081/100))))))))))</f>
        <v>100</v>
      </c>
      <c r="AI1081" s="262"/>
      <c r="AJ1081" s="262">
        <v>405</v>
      </c>
      <c r="AK1081" s="262"/>
      <c r="AL1081" s="263"/>
      <c r="AM1081" s="264">
        <v>31</v>
      </c>
      <c r="AN1081" s="263"/>
      <c r="AO1081" s="263"/>
      <c r="AP1081" s="265"/>
      <c r="AQ1081" s="266"/>
      <c r="AR1081" s="267"/>
      <c r="AS1081" s="263"/>
      <c r="AT1081" s="263"/>
      <c r="AU1081" s="263"/>
      <c r="AV1081" s="264"/>
      <c r="AW1081" s="263"/>
      <c r="AX1081" s="263"/>
      <c r="AY1081" s="263">
        <v>795</v>
      </c>
      <c r="AZ1081" s="263"/>
      <c r="BA1081" s="263"/>
      <c r="BB1081" s="263">
        <v>229</v>
      </c>
      <c r="BC1081" s="263"/>
      <c r="BD1081" s="264">
        <v>34</v>
      </c>
      <c r="BE1081" s="263"/>
      <c r="BF1081" s="263"/>
      <c r="BG1081" s="263"/>
      <c r="BH1081" s="263"/>
      <c r="BI1081" s="263"/>
      <c r="BJ1081" s="404">
        <f>altaz(J2000_Bas,$O1081,$M1081,DecLat,DecLong,2)</f>
        <v>23.390277173438676</v>
      </c>
      <c r="BK1081" s="378" t="s">
        <v>1148</v>
      </c>
      <c r="BL1081" s="379">
        <f>IF((2*G1081)/60&lt;0.2,0.2,(2*G1081)/60)</f>
        <v>2</v>
      </c>
      <c r="BM1081" s="380">
        <f>MOD((50000+AD1081-$B$3+(0/24)),1)</f>
        <v>0.42804696095117833</v>
      </c>
      <c r="BN1081" s="381"/>
      <c r="BO1081" s="382">
        <v>1075</v>
      </c>
    </row>
    <row r="1082" spans="1:67" s="24" customFormat="1" ht="15" customHeight="1" x14ac:dyDescent="0.25">
      <c r="A1082" s="288" t="s">
        <v>1149</v>
      </c>
      <c r="B1082" s="241" t="str">
        <f>HYPERLINK(CONCATENATE($AT$3,BK1082,$AU$3),$AV$3)</f>
        <v>S</v>
      </c>
      <c r="C1082" s="242" t="str">
        <f>HYPERLINK(CONCATENATE($AT$4,BK1082,$AU$4,BL1082),$AV$4)</f>
        <v>A</v>
      </c>
      <c r="D1082" s="243" t="s">
        <v>5187</v>
      </c>
      <c r="E1082" s="244" t="s">
        <v>5183</v>
      </c>
      <c r="F1082" s="269" t="s">
        <v>9165</v>
      </c>
      <c r="G1082" s="276">
        <v>30</v>
      </c>
      <c r="H1082" s="271">
        <v>12000</v>
      </c>
      <c r="I1082" s="281">
        <v>100</v>
      </c>
      <c r="J1082" s="246">
        <v>4</v>
      </c>
      <c r="K1082" s="247" t="s">
        <v>4641</v>
      </c>
      <c r="L1082" s="248">
        <v>52244</v>
      </c>
      <c r="M1082" s="249">
        <f>15*(LEFT(TEXT($L1082,"000000"),2)+(MID(TEXT($L1082,"000000"),3,2)/60)+(RIGHT(TEXT($L1082,"000000"),2)/3600))</f>
        <v>80.683333333333323</v>
      </c>
      <c r="N1082" s="250">
        <v>332500</v>
      </c>
      <c r="O1082" s="251">
        <f>IF($N1082&gt;0,(LEFT(TEXT($N1082,"000000"),2)+(MID(TEXT($N1082,"000000"),3,2)/60)+(RIGHT(TEXT($N1082,"000000"),2)/3600)),-(MID(TEXT($N1082,"000000"),2,2)+(MID(TEXT($N1082,"000000"),4,2)/60)+(RIGHT(TEXT($N1082,"000000"),2)/3600)))</f>
        <v>33.416666666666664</v>
      </c>
      <c r="P1082" s="252" t="s">
        <v>62</v>
      </c>
      <c r="Q1082" s="253" t="s">
        <v>7082</v>
      </c>
      <c r="R1082" s="277" t="s">
        <v>3293</v>
      </c>
      <c r="S1082" s="272" t="s">
        <v>4558</v>
      </c>
      <c r="T1082" s="273"/>
      <c r="U1082" s="274"/>
      <c r="V1082" s="256"/>
      <c r="W1082" s="244"/>
      <c r="X1082" s="244"/>
      <c r="Y1082" s="362"/>
      <c r="Z1082" s="257">
        <f>altaz(J2000_Bas,$O1082,$M1082,DecLat,DecLong,1)</f>
        <v>-21.290369915646508</v>
      </c>
      <c r="AA1082" s="257">
        <f>altaz((J2000_Bas+(2*0.04167)),$O1082,$M1082,DecLat,DecLong,1)</f>
        <v>-7.04162633985921</v>
      </c>
      <c r="AB1082" s="257">
        <f>altaz((J2000_Bas+(4*0.04167)),$O1082,$M1082,DecLat,DecLong,1)</f>
        <v>13.141933236144975</v>
      </c>
      <c r="AC1082" s="257">
        <f>altaz((J2000_Bas+(6*0.04167)),$O1082,$M1082,DecLat,DecLong,1)</f>
        <v>36.333320242862428</v>
      </c>
      <c r="AD1082" s="258">
        <f>1+ transit((J2000_Bas-1),$O1082,$M1082,DecLat,DecLong)/360 + (GMTOffset/24) + (IF(DST="Y", 1, 0)/24)</f>
        <v>1.2170203085880413</v>
      </c>
      <c r="AE1082" s="259">
        <f>DATE(2001,9,21)+(M1082/360)*365 - (360*((DecLong/360)- (GMTOffset/24) ))</f>
        <v>37241.803935185184</v>
      </c>
      <c r="AF1082" s="260">
        <f>IF(DecLat&gt;0,IF((90 - (DecLat-O1082))&gt;90, (90 - (O1082-DecLat)), (90 - (DecLat-O1082))),IF((90 + (DecLat-O1082))&gt;90, (90 + (O1082-DecLat)), (90 + (DecLat-O1082))))</f>
        <v>87.583333333333343</v>
      </c>
      <c r="AG1082" s="257">
        <f>angularseperation(MoonRA,MoonDec,$M1082,$O1082)</f>
        <v>168.27393223465296</v>
      </c>
      <c r="AH1082" s="261">
        <f ca="1">MIN(100,IF($O$5&gt;80,0+30*($AG1082/100),IF($O$5&gt;70,0+50*($AG1082/100),IF($O$5&gt;60,5+50*($AG1082/100),IF($O$5&gt;50,10+60*($AG1082/100),IF($O$5&gt;40,15+70*($AG1082/100),IF($O$5&gt;30,20+70*($AG1082/100),IF($O$5&gt;20,40+55*($AG1082/100),(80+(20-$O$5)+30*($AG1082/100))))))))))</f>
        <v>100</v>
      </c>
      <c r="AI1082" s="262"/>
      <c r="AJ1082" s="262">
        <v>410</v>
      </c>
      <c r="AK1082" s="262"/>
      <c r="AL1082" s="263"/>
      <c r="AM1082" s="264"/>
      <c r="AN1082" s="263"/>
      <c r="AO1082" s="263"/>
      <c r="AP1082" s="265"/>
      <c r="AQ1082" s="266"/>
      <c r="AR1082" s="267"/>
      <c r="AS1082" s="263"/>
      <c r="AT1082" s="263"/>
      <c r="AU1082" s="263"/>
      <c r="AV1082" s="264"/>
      <c r="AW1082" s="263"/>
      <c r="AX1082" s="263"/>
      <c r="AY1082" s="263"/>
      <c r="AZ1082" s="263"/>
      <c r="BA1082" s="263"/>
      <c r="BB1082" s="263">
        <v>236</v>
      </c>
      <c r="BC1082" s="263"/>
      <c r="BD1082" s="264"/>
      <c r="BE1082" s="263"/>
      <c r="BF1082" s="263"/>
      <c r="BG1082" s="263">
        <v>28</v>
      </c>
      <c r="BH1082" s="263"/>
      <c r="BI1082" s="263"/>
      <c r="BJ1082" s="404">
        <f>altaz(J2000_Bas,$O1082,$M1082,DecLat,DecLong,2)</f>
        <v>22.526512087993176</v>
      </c>
      <c r="BK1082" s="378" t="s">
        <v>1149</v>
      </c>
      <c r="BL1082" s="379">
        <f>IF((2*G1082)/60&lt;0.2,0.2,(2*G1082)/60)</f>
        <v>1</v>
      </c>
      <c r="BM1082" s="380">
        <f>MOD((50000+AD1082-$B$3+(0/24)),1)</f>
        <v>0.43238723829563241</v>
      </c>
      <c r="BN1082" s="381"/>
      <c r="BO1082" s="382">
        <v>1076</v>
      </c>
    </row>
    <row r="1083" spans="1:67" s="24" customFormat="1" ht="15" customHeight="1" x14ac:dyDescent="0.25">
      <c r="A1083" s="288" t="s">
        <v>1150</v>
      </c>
      <c r="B1083" s="241" t="str">
        <f>HYPERLINK(CONCATENATE($AT$3,BK1083,$AU$3),$AV$3)</f>
        <v>S</v>
      </c>
      <c r="C1083" s="242" t="str">
        <f>HYPERLINK(CONCATENATE($AT$4,BK1083,$AU$4,BL1083),$AV$4)</f>
        <v>A</v>
      </c>
      <c r="D1083" s="243" t="s">
        <v>5638</v>
      </c>
      <c r="E1083" s="244" t="s">
        <v>5337</v>
      </c>
      <c r="F1083" s="269" t="s">
        <v>3310</v>
      </c>
      <c r="G1083" s="273">
        <v>1</v>
      </c>
      <c r="H1083" s="283">
        <v>200</v>
      </c>
      <c r="I1083" s="246">
        <v>60</v>
      </c>
      <c r="J1083" s="246">
        <v>3</v>
      </c>
      <c r="K1083" s="247" t="s">
        <v>8431</v>
      </c>
      <c r="L1083" s="248">
        <v>52157</v>
      </c>
      <c r="M1083" s="249">
        <f>15*(LEFT(TEXT($L1083,"000000"),2)+(MID(TEXT($L1083,"000000"),3,2)/60)+(RIGHT(TEXT($L1083,"000000"),2)/3600))</f>
        <v>80.487499999999997</v>
      </c>
      <c r="N1083" s="250">
        <v>32910</v>
      </c>
      <c r="O1083" s="251">
        <f>IF($N1083&gt;0,(LEFT(TEXT($N1083,"000000"),2)+(MID(TEXT($N1083,"000000"),3,2)/60)+(RIGHT(TEXT($N1083,"000000"),2)/3600)),-(MID(TEXT($N1083,"000000"),2,2)+(MID(TEXT($N1083,"000000"),4,2)/60)+(RIGHT(TEXT($N1083,"000000"),2)/3600)))</f>
        <v>3.4861111111111112</v>
      </c>
      <c r="P1083" s="252" t="s">
        <v>41</v>
      </c>
      <c r="Q1083" s="253"/>
      <c r="R1083" s="247" t="s">
        <v>4559</v>
      </c>
      <c r="S1083" s="272" t="s">
        <v>3293</v>
      </c>
      <c r="T1083" s="273">
        <v>13.7</v>
      </c>
      <c r="U1083" s="289">
        <v>22.09</v>
      </c>
      <c r="V1083" s="280"/>
      <c r="W1083" s="244"/>
      <c r="X1083" s="244"/>
      <c r="Y1083" s="362"/>
      <c r="Z1083" s="257">
        <f>altaz(J2000_Bas,$O1083,$M1083,DecLat,DecLong,1)</f>
        <v>-47.801313493339293</v>
      </c>
      <c r="AA1083" s="257">
        <f>altaz((J2000_Bas+(2*0.04167)),$O1083,$M1083,DecLat,DecLong,1)</f>
        <v>-26.876023528215921</v>
      </c>
      <c r="AB1083" s="257">
        <f>altaz((J2000_Bas+(4*0.04167)),$O1083,$M1083,DecLat,DecLong,1)</f>
        <v>-1.8949870132563473</v>
      </c>
      <c r="AC1083" s="257">
        <f>altaz((J2000_Bas+(6*0.04167)),$O1083,$M1083,DecLat,DecLong,1)</f>
        <v>23.782960075876908</v>
      </c>
      <c r="AD1083" s="258">
        <f>1+ transit((J2000_Bas-1),$O1083,$M1083,DecLat,DecLong)/360 + (GMTOffset/24) + (IF(DST="Y", 1, 0)/24)</f>
        <v>1.216476327160958</v>
      </c>
      <c r="AE1083" s="259">
        <f>DATE(2001,9,21)+(M1083/360)*365 - (360*((DecLong/360)- (GMTOffset/24) ))</f>
        <v>37241.605381944442</v>
      </c>
      <c r="AF1083" s="260">
        <f>IF(DecLat&gt;0,IF((90 - (DecLat-O1083))&gt;90, (90 - (O1083-DecLat)), (90 - (DecLat-O1083))),IF((90 + (DecLat-O1083))&gt;90, (90 + (O1083-DecLat)), (90 + (DecLat-O1083))))</f>
        <v>62.486111111111114</v>
      </c>
      <c r="AG1083" s="257">
        <f>angularseperation(MoonRA,MoonDec,$M1083,$O1083)</f>
        <v>154.06806989120426</v>
      </c>
      <c r="AH1083" s="261">
        <f ca="1">MIN(100,IF($O$5&gt;80,0+30*($AG1083/100),IF($O$5&gt;70,0+50*($AG1083/100),IF($O$5&gt;60,5+50*($AG1083/100),IF($O$5&gt;50,10+60*($AG1083/100),IF($O$5&gt;40,15+70*($AG1083/100),IF($O$5&gt;30,20+70*($AG1083/100),IF($O$5&gt;20,40+55*($AG1083/100),(80+(20-$O$5)+30*($AG1083/100))))))))))</f>
        <v>100</v>
      </c>
      <c r="AI1083" s="262"/>
      <c r="AJ1083" s="262">
        <v>412</v>
      </c>
      <c r="AK1083" s="262"/>
      <c r="AL1083" s="263"/>
      <c r="AM1083" s="264"/>
      <c r="AN1083" s="263"/>
      <c r="AO1083" s="263"/>
      <c r="AP1083" s="265"/>
      <c r="AQ1083" s="266"/>
      <c r="AR1083" s="267">
        <v>17180</v>
      </c>
      <c r="AS1083" s="263"/>
      <c r="AT1083" s="263"/>
      <c r="AU1083" s="263"/>
      <c r="AV1083" s="264"/>
      <c r="AW1083" s="263"/>
      <c r="AX1083" s="263"/>
      <c r="AY1083" s="263"/>
      <c r="AZ1083" s="263"/>
      <c r="BA1083" s="263"/>
      <c r="BB1083" s="263"/>
      <c r="BC1083" s="263"/>
      <c r="BD1083" s="264"/>
      <c r="BE1083" s="263"/>
      <c r="BF1083" s="263"/>
      <c r="BG1083" s="263"/>
      <c r="BH1083" s="263"/>
      <c r="BI1083" s="263"/>
      <c r="BJ1083" s="404">
        <f>altaz(J2000_Bas,$O1083,$M1083,DecLat,DecLong,2)</f>
        <v>39.798702336374085</v>
      </c>
      <c r="BK1083" s="378" t="s">
        <v>1150</v>
      </c>
      <c r="BL1083" s="379">
        <f>IF((2*G1083)/60&lt;0.2,0.2,(2*G1083)/60)</f>
        <v>0.2</v>
      </c>
      <c r="BM1083" s="380">
        <f>MOD((50000+AD1083-$B$3+(0/24)),1)</f>
        <v>0.43184325686161174</v>
      </c>
      <c r="BN1083" s="381"/>
      <c r="BO1083" s="382">
        <v>1077</v>
      </c>
    </row>
    <row r="1084" spans="1:67" s="24" customFormat="1" ht="15" customHeight="1" x14ac:dyDescent="0.25">
      <c r="A1084" s="288" t="s">
        <v>1151</v>
      </c>
      <c r="B1084" s="241" t="str">
        <f>HYPERLINK(CONCATENATE($AT$3,BK1084,$AU$3),$AV$3)</f>
        <v>S</v>
      </c>
      <c r="C1084" s="242" t="str">
        <f>HYPERLINK(CONCATENATE($AT$4,BK1084,$AU$4,BL1084),$AV$4)</f>
        <v>A</v>
      </c>
      <c r="D1084" s="243" t="s">
        <v>5638</v>
      </c>
      <c r="E1084" s="244" t="s">
        <v>5192</v>
      </c>
      <c r="F1084" s="269" t="s">
        <v>3306</v>
      </c>
      <c r="G1084" s="270">
        <v>0.6</v>
      </c>
      <c r="H1084" s="283">
        <v>200</v>
      </c>
      <c r="I1084" s="246">
        <v>35</v>
      </c>
      <c r="J1084" s="246">
        <v>2</v>
      </c>
      <c r="K1084" s="247" t="s">
        <v>4560</v>
      </c>
      <c r="L1084" s="248">
        <v>52155</v>
      </c>
      <c r="M1084" s="249">
        <f>15*(LEFT(TEXT($L1084,"000000"),2)+(MID(TEXT($L1084,"000000"),3,2)/60)+(RIGHT(TEXT($L1084,"000000"),2)/3600))</f>
        <v>80.479166666666657</v>
      </c>
      <c r="N1084" s="286">
        <v>32030</v>
      </c>
      <c r="O1084" s="251">
        <f>IF($N1084&gt;0,(LEFT(TEXT($N1084,"000000"),2)+(MID(TEXT($N1084,"000000"),3,2)/60)+(RIGHT(TEXT($N1084,"000000"),2)/3600)),-(MID(TEXT($N1084,"000000"),2,2)+(MID(TEXT($N1084,"000000"),4,2)/60)+(RIGHT(TEXT($N1084,"000000"),2)/3600)))</f>
        <v>3.3416666666666668</v>
      </c>
      <c r="P1084" s="252" t="s">
        <v>41</v>
      </c>
      <c r="Q1084" s="253"/>
      <c r="R1084" s="247" t="s">
        <v>3293</v>
      </c>
      <c r="S1084" s="272" t="s">
        <v>3293</v>
      </c>
      <c r="T1084" s="273">
        <v>15</v>
      </c>
      <c r="U1084" s="289">
        <v>20.69</v>
      </c>
      <c r="V1084" s="280">
        <v>65</v>
      </c>
      <c r="W1084" s="244"/>
      <c r="X1084" s="244"/>
      <c r="Y1084" s="362"/>
      <c r="Z1084" s="257">
        <f>altaz(J2000_Bas,$O1084,$M1084,DecLat,DecLong,1)</f>
        <v>-47.917333590415794</v>
      </c>
      <c r="AA1084" s="257">
        <f>altaz((J2000_Bas+(2*0.04167)),$O1084,$M1084,DecLat,DecLong,1)</f>
        <v>-26.957381079958012</v>
      </c>
      <c r="AB1084" s="257">
        <f>altaz((J2000_Bas+(4*0.04167)),$O1084,$M1084,DecLat,DecLong,1)</f>
        <v>-1.9627318514826433</v>
      </c>
      <c r="AC1084" s="257">
        <f>altaz((J2000_Bas+(6*0.04167)),$O1084,$M1084,DecLat,DecLong,1)</f>
        <v>23.712345482586464</v>
      </c>
      <c r="AD1084" s="258">
        <f>1+ transit((J2000_Bas-1),$O1084,$M1084,DecLat,DecLong)/360 + (GMTOffset/24) + (IF(DST="Y", 1, 0)/24)</f>
        <v>1.2164531790151247</v>
      </c>
      <c r="AE1084" s="259">
        <f>DATE(2001,9,21)+(M1084/360)*365 - (360*((DecLong/360)- (GMTOffset/24) ))</f>
        <v>37241.596932870372</v>
      </c>
      <c r="AF1084" s="260">
        <f>IF(DecLat&gt;0,IF((90 - (DecLat-O1084))&gt;90, (90 - (O1084-DecLat)), (90 - (DecLat-O1084))),IF((90 + (DecLat-O1084))&gt;90, (90 + (O1084-DecLat)), (90 + (DecLat-O1084))))</f>
        <v>62.341666666666669</v>
      </c>
      <c r="AG1084" s="257">
        <f>angularseperation(MoonRA,MoonDec,$M1084,$O1084)</f>
        <v>153.93872666431145</v>
      </c>
      <c r="AH1084" s="261">
        <f ca="1">MIN(100,IF($O$5&gt;80,0+30*($AG1084/100),IF($O$5&gt;70,0+50*($AG1084/100),IF($O$5&gt;60,5+50*($AG1084/100),IF($O$5&gt;50,10+60*($AG1084/100),IF($O$5&gt;40,15+70*($AG1084/100),IF($O$5&gt;30,20+70*($AG1084/100),IF($O$5&gt;20,40+55*($AG1084/100),(80+(20-$O$5)+30*($AG1084/100))))))))))</f>
        <v>100</v>
      </c>
      <c r="AI1084" s="262"/>
      <c r="AJ1084" s="262">
        <v>414</v>
      </c>
      <c r="AK1084" s="262"/>
      <c r="AL1084" s="263"/>
      <c r="AM1084" s="264"/>
      <c r="AN1084" s="263"/>
      <c r="AO1084" s="263"/>
      <c r="AP1084" s="265"/>
      <c r="AQ1084" s="266"/>
      <c r="AR1084" s="267">
        <v>17179</v>
      </c>
      <c r="AS1084" s="263"/>
      <c r="AT1084" s="263"/>
      <c r="AU1084" s="263"/>
      <c r="AV1084" s="264"/>
      <c r="AW1084" s="263"/>
      <c r="AX1084" s="263"/>
      <c r="AY1084" s="263"/>
      <c r="AZ1084" s="263"/>
      <c r="BA1084" s="263"/>
      <c r="BB1084" s="263"/>
      <c r="BC1084" s="263"/>
      <c r="BD1084" s="264"/>
      <c r="BE1084" s="263"/>
      <c r="BF1084" s="263"/>
      <c r="BG1084" s="263"/>
      <c r="BH1084" s="263"/>
      <c r="BI1084" s="263"/>
      <c r="BJ1084" s="404">
        <f>altaz(J2000_Bas,$O1084,$M1084,DecLat,DecLong,2)</f>
        <v>39.927541497686377</v>
      </c>
      <c r="BK1084" s="378" t="s">
        <v>1151</v>
      </c>
      <c r="BL1084" s="379">
        <f>IF((2*G1084)/60&lt;0.2,0.2,(2*G1084)/60)</f>
        <v>0.2</v>
      </c>
      <c r="BM1084" s="380">
        <f>MOD((50000+AD1084-$B$3+(0/24)),1)</f>
        <v>0.43182010872260435</v>
      </c>
      <c r="BN1084" s="381"/>
      <c r="BO1084" s="382">
        <v>1078</v>
      </c>
    </row>
    <row r="1085" spans="1:67" s="24" customFormat="1" ht="15" customHeight="1" x14ac:dyDescent="0.25">
      <c r="A1085" s="288" t="s">
        <v>1152</v>
      </c>
      <c r="B1085" s="241" t="str">
        <f>HYPERLINK(CONCATENATE($AT$3,BK1085,$AU$3),$AV$3)</f>
        <v>S</v>
      </c>
      <c r="C1085" s="242" t="str">
        <f>HYPERLINK(CONCATENATE($AT$4,BK1085,$AU$4,BL1085),$AV$4)</f>
        <v>A</v>
      </c>
      <c r="D1085" s="243" t="s">
        <v>5187</v>
      </c>
      <c r="E1085" s="244" t="s">
        <v>5183</v>
      </c>
      <c r="F1085" s="269" t="s">
        <v>9163</v>
      </c>
      <c r="G1085" s="276">
        <v>11</v>
      </c>
      <c r="H1085" s="271">
        <v>7000</v>
      </c>
      <c r="I1085" s="281">
        <v>22</v>
      </c>
      <c r="J1085" s="246">
        <v>4</v>
      </c>
      <c r="K1085" s="247" t="s">
        <v>4625</v>
      </c>
      <c r="L1085" s="248">
        <v>52806</v>
      </c>
      <c r="M1085" s="249">
        <f>15*(LEFT(TEXT($L1085,"000000"),2)+(MID(TEXT($L1085,"000000"),3,2)/60)+(RIGHT(TEXT($L1085,"000000"),2)/3600))</f>
        <v>82.025000000000006</v>
      </c>
      <c r="N1085" s="250">
        <v>342524</v>
      </c>
      <c r="O1085" s="251">
        <f>IF($N1085&gt;0,(LEFT(TEXT($N1085,"000000"),2)+(MID(TEXT($N1085,"000000"),3,2)/60)+(RIGHT(TEXT($N1085,"000000"),2)/3600)),-(MID(TEXT($N1085,"000000"),2,2)+(MID(TEXT($N1085,"000000"),4,2)/60)+(RIGHT(TEXT($N1085,"000000"),2)/3600)))</f>
        <v>34.423333333333332</v>
      </c>
      <c r="P1085" s="252" t="s">
        <v>62</v>
      </c>
      <c r="Q1085" s="253" t="s">
        <v>7077</v>
      </c>
      <c r="R1085" s="247" t="s">
        <v>4562</v>
      </c>
      <c r="S1085" s="272" t="s">
        <v>4561</v>
      </c>
      <c r="T1085" s="273"/>
      <c r="U1085" s="274"/>
      <c r="V1085" s="256"/>
      <c r="W1085" s="244"/>
      <c r="X1085" s="244"/>
      <c r="Y1085" s="362"/>
      <c r="Z1085" s="257">
        <f>altaz(J2000_Bas,$O1085,$M1085,DecLat,DecLong,1)</f>
        <v>-20.786942839109788</v>
      </c>
      <c r="AA1085" s="257">
        <f>altaz((J2000_Bas+(2*0.04167)),$O1085,$M1085,DecLat,DecLong,1)</f>
        <v>-7.1130634262017978</v>
      </c>
      <c r="AB1085" s="257">
        <f>altaz((J2000_Bas+(4*0.04167)),$O1085,$M1085,DecLat,DecLong,1)</f>
        <v>12.652959851072684</v>
      </c>
      <c r="AC1085" s="257">
        <f>altaz((J2000_Bas+(6*0.04167)),$O1085,$M1085,DecLat,DecLong,1)</f>
        <v>35.545253960627278</v>
      </c>
      <c r="AD1085" s="258">
        <f>1+ transit((J2000_Bas-1),$O1085,$M1085,DecLat,DecLong)/360 + (GMTOffset/24) + (IF(DST="Y", 1, 0)/24)</f>
        <v>1.220747160067208</v>
      </c>
      <c r="AE1085" s="259">
        <f>DATE(2001,9,21)+(M1085/360)*365 - (360*((DecLong/360)- (GMTOffset/24) ))</f>
        <v>37243.164236111108</v>
      </c>
      <c r="AF1085" s="260">
        <f>IF(DecLat&gt;0,IF((90 - (DecLat-O1085))&gt;90, (90 - (O1085-DecLat)), (90 - (DecLat-O1085))),IF((90 + (DecLat-O1085))&gt;90, (90 + (O1085-DecLat)), (90 + (DecLat-O1085))))</f>
        <v>86.576666666666668</v>
      </c>
      <c r="AG1085" s="257">
        <f>angularseperation(MoonRA,MoonDec,$M1085,$O1085)</f>
        <v>166.80635467881751</v>
      </c>
      <c r="AH1085" s="261">
        <f ca="1">MIN(100,IF($O$5&gt;80,0+30*($AG1085/100),IF($O$5&gt;70,0+50*($AG1085/100),IF($O$5&gt;60,5+50*($AG1085/100),IF($O$5&gt;50,10+60*($AG1085/100),IF($O$5&gt;40,15+70*($AG1085/100),IF($O$5&gt;30,20+70*($AG1085/100),IF($O$5&gt;20,40+55*($AG1085/100),(80+(20-$O$5)+30*($AG1085/100))))))))))</f>
        <v>100</v>
      </c>
      <c r="AI1085" s="262"/>
      <c r="AJ1085" s="262">
        <v>417</v>
      </c>
      <c r="AK1085" s="262"/>
      <c r="AL1085" s="263"/>
      <c r="AM1085" s="264"/>
      <c r="AN1085" s="263"/>
      <c r="AO1085" s="263"/>
      <c r="AP1085" s="265"/>
      <c r="AQ1085" s="266"/>
      <c r="AR1085" s="267"/>
      <c r="AS1085" s="263"/>
      <c r="AT1085" s="263"/>
      <c r="AU1085" s="263"/>
      <c r="AV1085" s="264"/>
      <c r="AW1085" s="263"/>
      <c r="AX1085" s="263"/>
      <c r="AY1085" s="263">
        <v>804</v>
      </c>
      <c r="AZ1085" s="263"/>
      <c r="BA1085" s="263"/>
      <c r="BB1085" s="263">
        <v>234</v>
      </c>
      <c r="BC1085" s="263"/>
      <c r="BD1085" s="264"/>
      <c r="BE1085" s="263"/>
      <c r="BF1085" s="263">
        <v>22</v>
      </c>
      <c r="BG1085" s="263"/>
      <c r="BH1085" s="263"/>
      <c r="BI1085" s="263"/>
      <c r="BJ1085" s="404">
        <f>altaz(J2000_Bas,$O1085,$M1085,DecLat,DecLong,2)</f>
        <v>21.011517912982853</v>
      </c>
      <c r="BK1085" s="378" t="s">
        <v>1152</v>
      </c>
      <c r="BL1085" s="379">
        <f>IF((2*G1085)/60&lt;0.2,0.2,(2*G1085)/60)</f>
        <v>0.36666666666666664</v>
      </c>
      <c r="BM1085" s="380">
        <f>MOD((50000+AD1085-$B$3+(0/24)),1)</f>
        <v>0.43611408977449173</v>
      </c>
      <c r="BN1085" s="381"/>
      <c r="BO1085" s="382">
        <v>1079</v>
      </c>
    </row>
    <row r="1086" spans="1:67" s="24" customFormat="1" ht="15" customHeight="1" x14ac:dyDescent="0.25">
      <c r="A1086" s="288" t="s">
        <v>1153</v>
      </c>
      <c r="B1086" s="241" t="str">
        <f>HYPERLINK(CONCATENATE($AT$3,BK1086,$AU$3),$AV$3)</f>
        <v>S</v>
      </c>
      <c r="C1086" s="242" t="str">
        <f>HYPERLINK(CONCATENATE($AT$4,BK1086,$AU$4,BL1086),$AV$4)</f>
        <v>A</v>
      </c>
      <c r="D1086" s="243" t="s">
        <v>5187</v>
      </c>
      <c r="E1086" s="244" t="s">
        <v>5181</v>
      </c>
      <c r="F1086" s="269" t="s">
        <v>4796</v>
      </c>
      <c r="G1086" s="270">
        <v>0.2</v>
      </c>
      <c r="H1086" s="271">
        <v>5000</v>
      </c>
      <c r="I1086" s="308">
        <v>0.3</v>
      </c>
      <c r="J1086" s="246">
        <v>1</v>
      </c>
      <c r="K1086" s="277" t="s">
        <v>4563</v>
      </c>
      <c r="L1086" s="248">
        <v>52728</v>
      </c>
      <c r="M1086" s="249">
        <f>15*(LEFT(TEXT($L1086,"000000"),2)+(MID(TEXT($L1086,"000000"),3,2)/60)+(RIGHT(TEXT($L1086,"000000"),2)/3600))</f>
        <v>81.866666666666674</v>
      </c>
      <c r="N1086" s="250">
        <v>-124150</v>
      </c>
      <c r="O1086" s="251">
        <f>IF($N1086&gt;0,(LEFT(TEXT($N1086,"000000"),2)+(MID(TEXT($N1086,"000000"),3,2)/60)+(RIGHT(TEXT($N1086,"000000"),2)/3600)),-(MID(TEXT($N1086,"000000"),2,2)+(MID(TEXT($N1086,"000000"),4,2)/60)+(RIGHT(TEXT($N1086,"000000"),2)/3600)))</f>
        <v>-12.697222222222223</v>
      </c>
      <c r="P1086" s="252" t="s">
        <v>70</v>
      </c>
      <c r="Q1086" s="253" t="s">
        <v>7079</v>
      </c>
      <c r="R1086" s="277" t="s">
        <v>3293</v>
      </c>
      <c r="S1086" s="272" t="s">
        <v>3293</v>
      </c>
      <c r="T1086" s="273">
        <v>9.3000000000000007</v>
      </c>
      <c r="U1086" s="274"/>
      <c r="V1086" s="256"/>
      <c r="W1086" s="244"/>
      <c r="X1086" s="244"/>
      <c r="Y1086" s="362"/>
      <c r="Z1086" s="257">
        <f>altaz(J2000_Bas,$O1086,$M1086,DecLat,DecLong,1)</f>
        <v>-61.200069695137053</v>
      </c>
      <c r="AA1086" s="257">
        <f>altaz((J2000_Bas+(2*0.04167)),$O1086,$M1086,DecLat,DecLong,1)</f>
        <v>-37.020939861578313</v>
      </c>
      <c r="AB1086" s="257">
        <f>altaz((J2000_Bas+(4*0.04167)),$O1086,$M1086,DecLat,DecLong,1)</f>
        <v>-11.313851910319221</v>
      </c>
      <c r="AC1086" s="257">
        <f>altaz((J2000_Bas+(6*0.04167)),$O1086,$M1086,DecLat,DecLong,1)</f>
        <v>13.420563994368202</v>
      </c>
      <c r="AD1086" s="258">
        <f>1+ transit((J2000_Bas-1),$O1086,$M1086,DecLat,DecLong)/360 + (GMTOffset/24) + (IF(DST="Y", 1, 0)/24)</f>
        <v>1.2203073452963746</v>
      </c>
      <c r="AE1086" s="259">
        <f>DATE(2001,9,21)+(M1086/360)*365 - (360*((DecLong/360)- (GMTOffset/24) ))</f>
        <v>37243.003703703704</v>
      </c>
      <c r="AF1086" s="260">
        <f>IF(DecLat&gt;0,IF((90 - (DecLat-O1086))&gt;90, (90 - (O1086-DecLat)), (90 - (DecLat-O1086))),IF((90 + (DecLat-O1086))&gt;90, (90 + (O1086-DecLat)), (90 + (DecLat-O1086))))</f>
        <v>46.302777777777777</v>
      </c>
      <c r="AG1086" s="257">
        <f>angularseperation(MoonRA,MoonDec,$M1086,$O1086)</f>
        <v>138.37362645826141</v>
      </c>
      <c r="AH1086" s="261">
        <f ca="1">MIN(100,IF($O$5&gt;80,0+30*($AG1086/100),IF($O$5&gt;70,0+50*($AG1086/100),IF($O$5&gt;60,5+50*($AG1086/100),IF($O$5&gt;50,10+60*($AG1086/100),IF($O$5&gt;40,15+70*($AG1086/100),IF($O$5&gt;30,20+70*($AG1086/100),IF($O$5&gt;20,40+55*($AG1086/100),(80+(20-$O$5)+30*($AG1086/100))))))))))</f>
        <v>100</v>
      </c>
      <c r="AI1086" s="262"/>
      <c r="AJ1086" s="262">
        <v>418</v>
      </c>
      <c r="AK1086" s="262"/>
      <c r="AL1086" s="263"/>
      <c r="AM1086" s="264"/>
      <c r="AN1086" s="263"/>
      <c r="AO1086" s="263"/>
      <c r="AP1086" s="265"/>
      <c r="AQ1086" s="266"/>
      <c r="AR1086" s="267"/>
      <c r="AS1086" s="263"/>
      <c r="AT1086" s="263">
        <v>8</v>
      </c>
      <c r="AU1086" s="263"/>
      <c r="AV1086" s="264"/>
      <c r="AW1086" s="263"/>
      <c r="AX1086" s="263"/>
      <c r="AY1086" s="263"/>
      <c r="AZ1086" s="263"/>
      <c r="BA1086" s="263"/>
      <c r="BB1086" s="263"/>
      <c r="BC1086" s="263"/>
      <c r="BD1086" s="264"/>
      <c r="BE1086" s="263">
        <v>28</v>
      </c>
      <c r="BF1086" s="263"/>
      <c r="BG1086" s="263"/>
      <c r="BH1086" s="263"/>
      <c r="BI1086" s="263"/>
      <c r="BJ1086" s="404">
        <f>altaz(J2000_Bas,$O1086,$M1086,DecLat,DecLong,2)</f>
        <v>55.896483826999606</v>
      </c>
      <c r="BK1086" s="378" t="s">
        <v>1153</v>
      </c>
      <c r="BL1086" s="379">
        <f>IF((2*G1086)/60&lt;0.2,0.2,(2*G1086)/60)</f>
        <v>0.2</v>
      </c>
      <c r="BM1086" s="380">
        <f>MOD((50000+AD1086-$B$3+(0/24)),1)</f>
        <v>0.43567427500238409</v>
      </c>
      <c r="BN1086" s="381"/>
      <c r="BO1086" s="382">
        <v>1080</v>
      </c>
    </row>
    <row r="1087" spans="1:67" s="24" customFormat="1" ht="15" customHeight="1" x14ac:dyDescent="0.25">
      <c r="A1087" s="288" t="s">
        <v>1154</v>
      </c>
      <c r="B1087" s="241" t="str">
        <f>HYPERLINK(CONCATENATE($AT$3,BK1087,$AU$3),$AV$3)</f>
        <v>S</v>
      </c>
      <c r="C1087" s="242" t="str">
        <f>HYPERLINK(CONCATENATE($AT$4,BK1087,$AU$4,BL1087),$AV$4)</f>
        <v>A</v>
      </c>
      <c r="D1087" s="243" t="s">
        <v>5638</v>
      </c>
      <c r="E1087" s="244" t="s">
        <v>5192</v>
      </c>
      <c r="F1087" s="269" t="s">
        <v>8886</v>
      </c>
      <c r="G1087" s="273">
        <v>2</v>
      </c>
      <c r="H1087" s="283">
        <v>165</v>
      </c>
      <c r="I1087" s="246">
        <v>100</v>
      </c>
      <c r="J1087" s="246">
        <v>3</v>
      </c>
      <c r="K1087" s="247" t="s">
        <v>4564</v>
      </c>
      <c r="L1087" s="248">
        <v>53209</v>
      </c>
      <c r="M1087" s="249">
        <f>15*(LEFT(TEXT($L1087,"000000"),2)+(MID(TEXT($L1087,"000000"),3,2)/60)+(RIGHT(TEXT($L1087,"000000"),2)/3600))</f>
        <v>83.037500000000009</v>
      </c>
      <c r="N1087" s="250">
        <v>-75505</v>
      </c>
      <c r="O1087" s="251">
        <f>IF($N1087&gt;0,(LEFT(TEXT($N1087,"000000"),2)+(MID(TEXT($N1087,"000000"),3,2)/60)+(RIGHT(TEXT($N1087,"000000"),2)/3600)),-(MID(TEXT($N1087,"000000"),2,2)+(MID(TEXT($N1087,"000000"),4,2)/60)+(RIGHT(TEXT($N1087,"000000"),2)/3600)))</f>
        <v>-7.9180555555555561</v>
      </c>
      <c r="P1087" s="252" t="s">
        <v>41</v>
      </c>
      <c r="Q1087" s="253"/>
      <c r="R1087" s="247" t="s">
        <v>3293</v>
      </c>
      <c r="S1087" s="272" t="s">
        <v>3293</v>
      </c>
      <c r="T1087" s="273">
        <v>15</v>
      </c>
      <c r="U1087" s="289">
        <v>25.39</v>
      </c>
      <c r="V1087" s="280">
        <v>40</v>
      </c>
      <c r="W1087" s="244"/>
      <c r="X1087" s="244"/>
      <c r="Y1087" s="362"/>
      <c r="Z1087" s="257">
        <f>altaz(J2000_Bas,$O1087,$M1087,DecLat,DecLong,1)</f>
        <v>-58.501720740407038</v>
      </c>
      <c r="AA1087" s="257">
        <f>altaz((J2000_Bas+(2*0.04167)),$O1087,$M1087,DecLat,DecLong,1)</f>
        <v>-35.542028106854644</v>
      </c>
      <c r="AB1087" s="257">
        <f>altaz((J2000_Bas+(4*0.04167)),$O1087,$M1087,DecLat,DecLong,1)</f>
        <v>-9.9298440109279991</v>
      </c>
      <c r="AC1087" s="257">
        <f>altaz((J2000_Bas+(6*0.04167)),$O1087,$M1087,DecLat,DecLong,1)</f>
        <v>15.293302794583687</v>
      </c>
      <c r="AD1087" s="258">
        <f>1+ transit((J2000_Bas-1),$O1087,$M1087,DecLat,DecLong)/360 + (GMTOffset/24) + (IF(DST="Y", 1, 0)/24)</f>
        <v>1.2235596597859579</v>
      </c>
      <c r="AE1087" s="259">
        <f>DATE(2001,9,21)+(M1087/360)*365 - (360*((DecLong/360)- (GMTOffset/24) ))</f>
        <v>37244.190798611111</v>
      </c>
      <c r="AF1087" s="260">
        <f>IF(DecLat&gt;0,IF((90 - (DecLat-O1087))&gt;90, (90 - (O1087-DecLat)), (90 - (DecLat-O1087))),IF((90 + (DecLat-O1087))&gt;90, (90 + (O1087-DecLat)), (90 + (DecLat-O1087))))</f>
        <v>51.081944444444446</v>
      </c>
      <c r="AG1087" s="257">
        <f>angularseperation(MoonRA,MoonDec,$M1087,$O1087)</f>
        <v>142.53183588893117</v>
      </c>
      <c r="AH1087" s="261">
        <f ca="1">MIN(100,IF($O$5&gt;80,0+30*($AG1087/100),IF($O$5&gt;70,0+50*($AG1087/100),IF($O$5&gt;60,5+50*($AG1087/100),IF($O$5&gt;50,10+60*($AG1087/100),IF($O$5&gt;40,15+70*($AG1087/100),IF($O$5&gt;30,20+70*($AG1087/100),IF($O$5&gt;20,40+55*($AG1087/100),(80+(20-$O$5)+30*($AG1087/100))))))))))</f>
        <v>100</v>
      </c>
      <c r="AI1087" s="262"/>
      <c r="AJ1087" s="262">
        <v>421</v>
      </c>
      <c r="AK1087" s="262"/>
      <c r="AL1087" s="263"/>
      <c r="AM1087" s="264"/>
      <c r="AN1087" s="263"/>
      <c r="AO1087" s="263"/>
      <c r="AP1087" s="265"/>
      <c r="AQ1087" s="266"/>
      <c r="AR1087" s="267">
        <v>17407</v>
      </c>
      <c r="AS1087" s="263"/>
      <c r="AT1087" s="263"/>
      <c r="AU1087" s="263"/>
      <c r="AV1087" s="264"/>
      <c r="AW1087" s="263"/>
      <c r="AX1087" s="263"/>
      <c r="AY1087" s="263"/>
      <c r="AZ1087" s="263"/>
      <c r="BA1087" s="263"/>
      <c r="BB1087" s="263"/>
      <c r="BC1087" s="263"/>
      <c r="BD1087" s="264"/>
      <c r="BE1087" s="263"/>
      <c r="BF1087" s="263"/>
      <c r="BG1087" s="263"/>
      <c r="BH1087" s="263"/>
      <c r="BI1087" s="263"/>
      <c r="BJ1087" s="404">
        <f>altaz(J2000_Bas,$O1087,$M1087,DecLat,DecLong,2)</f>
        <v>47.702231883333987</v>
      </c>
      <c r="BK1087" s="378" t="s">
        <v>1154</v>
      </c>
      <c r="BL1087" s="379">
        <f>IF((2*G1087)/60&lt;0.2,0.2,(2*G1087)/60)</f>
        <v>0.2</v>
      </c>
      <c r="BM1087" s="380">
        <f>MOD((50000+AD1087-$B$3+(0/24)),1)</f>
        <v>0.43892658949334873</v>
      </c>
      <c r="BN1087" s="381"/>
      <c r="BO1087" s="382">
        <v>1081</v>
      </c>
    </row>
    <row r="1088" spans="1:67" s="24" customFormat="1" ht="15" customHeight="1" x14ac:dyDescent="0.25">
      <c r="A1088" s="288" t="s">
        <v>1155</v>
      </c>
      <c r="B1088" s="241" t="str">
        <f>HYPERLINK(CONCATENATE($AT$3,BK1088,$AU$3),$AV$3)</f>
        <v>S</v>
      </c>
      <c r="C1088" s="242" t="str">
        <f>HYPERLINK(CONCATENATE($AT$4,BK1088,$AU$4,BL1088),$AV$4)</f>
        <v>A</v>
      </c>
      <c r="D1088" s="243" t="s">
        <v>5187</v>
      </c>
      <c r="E1088" s="244" t="s">
        <v>5186</v>
      </c>
      <c r="F1088" s="269"/>
      <c r="G1088" s="273">
        <v>5</v>
      </c>
      <c r="H1088" s="271">
        <v>1300</v>
      </c>
      <c r="I1088" s="245">
        <v>2</v>
      </c>
      <c r="J1088" s="246">
        <v>3</v>
      </c>
      <c r="K1088" s="277" t="s">
        <v>4565</v>
      </c>
      <c r="L1088" s="248">
        <v>53631</v>
      </c>
      <c r="M1088" s="249">
        <f>15*(LEFT(TEXT($L1088,"000000"),2)+(MID(TEXT($L1088,"000000"),3,2)/60)+(RIGHT(TEXT($L1088,"000000"),2)/3600))</f>
        <v>84.129166666666649</v>
      </c>
      <c r="N1088" s="250">
        <v>-1754</v>
      </c>
      <c r="O1088" s="251">
        <f>IF($N1088&gt;0,(LEFT(TEXT($N1088,"000000"),2)+(MID(TEXT($N1088,"000000"),3,2)/60)+(RIGHT(TEXT($N1088,"000000"),2)/3600)),-(MID(TEXT($N1088,"000000"),2,2)+(MID(TEXT($N1088,"000000"),4,2)/60)+(RIGHT(TEXT($N1088,"000000"),2)/3600)))</f>
        <v>-0.29833333333333334</v>
      </c>
      <c r="P1088" s="252" t="s">
        <v>41</v>
      </c>
      <c r="Q1088" s="253" t="s">
        <v>7031</v>
      </c>
      <c r="R1088" s="277" t="s">
        <v>3293</v>
      </c>
      <c r="S1088" s="272" t="s">
        <v>3293</v>
      </c>
      <c r="T1088" s="273"/>
      <c r="U1088" s="274"/>
      <c r="V1088" s="256"/>
      <c r="W1088" s="244"/>
      <c r="X1088" s="244"/>
      <c r="Y1088" s="362"/>
      <c r="Z1088" s="257">
        <f>altaz(J2000_Bas,$O1088,$M1088,DecLat,DecLong,1)</f>
        <v>-52.951886461259242</v>
      </c>
      <c r="AA1088" s="257">
        <f>altaz((J2000_Bas+(2*0.04167)),$O1088,$M1088,DecLat,DecLong,1)</f>
        <v>-32.065906361663593</v>
      </c>
      <c r="AB1088" s="257">
        <f>altaz((J2000_Bas+(4*0.04167)),$O1088,$M1088,DecLat,DecLong,1)</f>
        <v>-6.9696974276882493</v>
      </c>
      <c r="AC1088" s="257">
        <f>altaz((J2000_Bas+(6*0.04167)),$O1088,$M1088,DecLat,DecLong,1)</f>
        <v>18.673599834603351</v>
      </c>
      <c r="AD1088" s="258">
        <f>1+ transit((J2000_Bas-1),$O1088,$M1088,DecLat,DecLong)/360 + (GMTOffset/24) + (IF(DST="Y", 1, 0)/24)</f>
        <v>1.2265920668901247</v>
      </c>
      <c r="AE1088" s="259">
        <f>DATE(2001,9,21)+(M1088/360)*365 - (360*((DecLong/360)- (GMTOffset/24) ))</f>
        <v>37245.297627314816</v>
      </c>
      <c r="AF1088" s="260">
        <f>IF(DecLat&gt;0,IF((90 - (DecLat-O1088))&gt;90, (90 - (O1088-DecLat)), (90 - (DecLat-O1088))),IF((90 + (DecLat-O1088))&gt;90, (90 + (O1088-DecLat)), (90 + (DecLat-O1088))))</f>
        <v>58.701666666666668</v>
      </c>
      <c r="AG1088" s="257">
        <f>angularseperation(MoonRA,MoonDec,$M1088,$O1088)</f>
        <v>149.10069213486221</v>
      </c>
      <c r="AH1088" s="261">
        <f ca="1">MIN(100,IF($O$5&gt;80,0+30*($AG1088/100),IF($O$5&gt;70,0+50*($AG1088/100),IF($O$5&gt;60,5+50*($AG1088/100),IF($O$5&gt;50,10+60*($AG1088/100),IF($O$5&gt;40,15+70*($AG1088/100),IF($O$5&gt;30,20+70*($AG1088/100),IF($O$5&gt;20,40+55*($AG1088/100),(80+(20-$O$5)+30*($AG1088/100))))))))))</f>
        <v>100</v>
      </c>
      <c r="AI1088" s="262"/>
      <c r="AJ1088" s="262">
        <v>426</v>
      </c>
      <c r="AK1088" s="262"/>
      <c r="AL1088" s="263"/>
      <c r="AM1088" s="264"/>
      <c r="AN1088" s="263"/>
      <c r="AO1088" s="263"/>
      <c r="AP1088" s="265"/>
      <c r="AQ1088" s="266"/>
      <c r="AR1088" s="267"/>
      <c r="AS1088" s="263"/>
      <c r="AT1088" s="263"/>
      <c r="AU1088" s="263"/>
      <c r="AV1088" s="264"/>
      <c r="AW1088" s="263"/>
      <c r="AX1088" s="263"/>
      <c r="AY1088" s="263"/>
      <c r="AZ1088" s="263"/>
      <c r="BA1088" s="263"/>
      <c r="BB1088" s="263"/>
      <c r="BC1088" s="263"/>
      <c r="BD1088" s="264"/>
      <c r="BE1088" s="263"/>
      <c r="BF1088" s="263"/>
      <c r="BG1088" s="263"/>
      <c r="BH1088" s="263"/>
      <c r="BI1088" s="263"/>
      <c r="BJ1088" s="404">
        <f>altaz(J2000_Bas,$O1088,$M1088,DecLat,DecLong,2)</f>
        <v>38.196472437254016</v>
      </c>
      <c r="BK1088" s="378" t="s">
        <v>1155</v>
      </c>
      <c r="BL1088" s="379">
        <f>IF((2*G1088)/60&lt;0.2,0.2,(2*G1088)/60)</f>
        <v>0.2</v>
      </c>
      <c r="BM1088" s="380">
        <f>MOD((50000+AD1088-$B$3+(0/24)),1)</f>
        <v>0.44195899659098359</v>
      </c>
      <c r="BN1088" s="381"/>
      <c r="BO1088" s="382">
        <v>1082</v>
      </c>
    </row>
    <row r="1089" spans="1:67" s="24" customFormat="1" ht="15" customHeight="1" x14ac:dyDescent="0.25">
      <c r="A1089" s="288" t="s">
        <v>1156</v>
      </c>
      <c r="B1089" s="241" t="str">
        <f>HYPERLINK(CONCATENATE($AT$3,BK1089,$AU$3),$AV$3)</f>
        <v>S</v>
      </c>
      <c r="C1089" s="242" t="str">
        <f>HYPERLINK(CONCATENATE($AT$4,BK1089,$AU$4,BL1089),$AV$4)</f>
        <v>A</v>
      </c>
      <c r="D1089" s="243" t="s">
        <v>5187</v>
      </c>
      <c r="E1089" s="244" t="s">
        <v>5179</v>
      </c>
      <c r="F1089" s="269">
        <v>4</v>
      </c>
      <c r="G1089" s="273">
        <v>12</v>
      </c>
      <c r="H1089" s="271">
        <v>1600</v>
      </c>
      <c r="I1089" s="245">
        <v>2</v>
      </c>
      <c r="J1089" s="246">
        <v>5</v>
      </c>
      <c r="K1089" s="277" t="s">
        <v>5957</v>
      </c>
      <c r="L1089" s="248">
        <v>54059</v>
      </c>
      <c r="M1089" s="249">
        <f>15*(LEFT(TEXT($L1089,"000000"),2)+(MID(TEXT($L1089,"000000"),3,2)/60)+(RIGHT(TEXT($L1089,"000000"),2)/3600))</f>
        <v>85.245833333333337</v>
      </c>
      <c r="N1089" s="250">
        <v>-22730</v>
      </c>
      <c r="O1089" s="251">
        <f>IF($N1089&gt;0,(LEFT(TEXT($N1089,"000000"),2)+(MID(TEXT($N1089,"000000"),3,2)/60)+(RIGHT(TEXT($N1089,"000000"),2)/3600)),-(MID(TEXT($N1089,"000000"),2,2)+(MID(TEXT($N1089,"000000"),4,2)/60)+(RIGHT(TEXT($N1089,"000000"),2)/3600)))</f>
        <v>-2.4583333333333335</v>
      </c>
      <c r="P1089" s="252" t="s">
        <v>41</v>
      </c>
      <c r="Q1089" s="253" t="s">
        <v>7006</v>
      </c>
      <c r="R1089" s="277" t="s">
        <v>5427</v>
      </c>
      <c r="S1089" s="272" t="s">
        <v>1695</v>
      </c>
      <c r="T1089" s="273"/>
      <c r="U1089" s="274"/>
      <c r="V1089" s="256"/>
      <c r="W1089" s="244"/>
      <c r="X1089" s="244"/>
      <c r="Y1089" s="362"/>
      <c r="Z1089" s="257">
        <f>altaz(J2000_Bas,$O1089,$M1089,DecLat,DecLong,1)</f>
        <v>-55.374654203633291</v>
      </c>
      <c r="AA1089" s="257">
        <f>altaz((J2000_Bas+(2*0.04167)),$O1089,$M1089,DecLat,DecLong,1)</f>
        <v>-34.254425226316776</v>
      </c>
      <c r="AB1089" s="257">
        <f>altaz((J2000_Bas+(4*0.04167)),$O1089,$M1089,DecLat,DecLong,1)</f>
        <v>-9.0416627657159623</v>
      </c>
      <c r="AC1089" s="257">
        <f>altaz((J2000_Bas+(6*0.04167)),$O1089,$M1089,DecLat,DecLong,1)</f>
        <v>16.556015245778177</v>
      </c>
      <c r="AD1089" s="258">
        <f>1+ transit((J2000_Bas-1),$O1089,$M1089,DecLat,DecLong)/360 + (GMTOffset/24) + (IF(DST="Y", 1, 0)/24)</f>
        <v>1.2296939184317914</v>
      </c>
      <c r="AE1089" s="259">
        <f>DATE(2001,9,21)+(M1089/360)*365 - (360*((DecLong/360)- (GMTOffset/24) ))</f>
        <v>37246.429803240739</v>
      </c>
      <c r="AF1089" s="260">
        <f>IF(DecLat&gt;0,IF((90 - (DecLat-O1089))&gt;90, (90 - (O1089-DecLat)), (90 - (DecLat-O1089))),IF((90 + (DecLat-O1089))&gt;90, (90 + (O1089-DecLat)), (90 + (DecLat-O1089))))</f>
        <v>56.541666666666664</v>
      </c>
      <c r="AG1089" s="257">
        <f>angularseperation(MoonRA,MoonDec,$M1089,$O1089)</f>
        <v>146.66955957079446</v>
      </c>
      <c r="AH1089" s="261">
        <f ca="1">MIN(100,IF($O$5&gt;80,0+30*($AG1089/100),IF($O$5&gt;70,0+50*($AG1089/100),IF($O$5&gt;60,5+50*($AG1089/100),IF($O$5&gt;50,10+60*($AG1089/100),IF($O$5&gt;40,15+70*($AG1089/100),IF($O$5&gt;30,20+70*($AG1089/100),IF($O$5&gt;20,40+55*($AG1089/100),(80+(20-$O$5)+30*($AG1089/100))))))))))</f>
        <v>100</v>
      </c>
      <c r="AI1089" s="262"/>
      <c r="AJ1089" s="262">
        <v>434</v>
      </c>
      <c r="AK1089" s="262"/>
      <c r="AL1089" s="263"/>
      <c r="AM1089" s="264"/>
      <c r="AN1089" s="263"/>
      <c r="AO1089" s="263"/>
      <c r="AP1089" s="265"/>
      <c r="AQ1089" s="266"/>
      <c r="AR1089" s="267"/>
      <c r="AS1089" s="263"/>
      <c r="AT1089" s="263"/>
      <c r="AU1089" s="263"/>
      <c r="AV1089" s="264"/>
      <c r="AW1089" s="263">
        <v>33</v>
      </c>
      <c r="AX1089" s="263"/>
      <c r="AY1089" s="263"/>
      <c r="AZ1089" s="263"/>
      <c r="BA1089" s="263"/>
      <c r="BB1089" s="263"/>
      <c r="BC1089" s="263"/>
      <c r="BD1089" s="264"/>
      <c r="BE1089" s="263"/>
      <c r="BF1089" s="263"/>
      <c r="BG1089" s="263">
        <v>30</v>
      </c>
      <c r="BH1089" s="263"/>
      <c r="BI1089" s="263"/>
      <c r="BJ1089" s="404">
        <f>altaz(J2000_Bas,$O1089,$M1089,DecLat,DecLong,2)</f>
        <v>38.546150464636497</v>
      </c>
      <c r="BK1089" s="378" t="s">
        <v>1156</v>
      </c>
      <c r="BL1089" s="379">
        <f>IF((2*G1089)/60&lt;0.2,0.2,(2*G1089)/60)</f>
        <v>0.4</v>
      </c>
      <c r="BM1089" s="380">
        <f>MOD((50000+AD1089-$B$3+(0/24)),1)</f>
        <v>0.44506084813474445</v>
      </c>
      <c r="BN1089" s="381"/>
      <c r="BO1089" s="382">
        <v>1083</v>
      </c>
    </row>
    <row r="1090" spans="1:67" s="24" customFormat="1" ht="15" customHeight="1" x14ac:dyDescent="0.25">
      <c r="A1090" s="288" t="s">
        <v>1157</v>
      </c>
      <c r="B1090" s="241" t="str">
        <f>HYPERLINK(CONCATENATE($AT$3,BK1090,$AU$3),$AV$3)</f>
        <v>S</v>
      </c>
      <c r="C1090" s="242" t="str">
        <f>HYPERLINK(CONCATENATE($AT$4,BK1090,$AU$4,BL1090),$AV$4)</f>
        <v>A</v>
      </c>
      <c r="D1090" s="243" t="s">
        <v>5187</v>
      </c>
      <c r="E1090" s="244" t="s">
        <v>16</v>
      </c>
      <c r="F1090" s="269"/>
      <c r="G1090" s="276">
        <v>60</v>
      </c>
      <c r="H1090" s="271">
        <v>5000</v>
      </c>
      <c r="I1090" s="281">
        <v>85</v>
      </c>
      <c r="J1090" s="246">
        <v>5</v>
      </c>
      <c r="K1090" s="277" t="s">
        <v>4597</v>
      </c>
      <c r="L1090" s="248">
        <v>61636</v>
      </c>
      <c r="M1090" s="249">
        <f>15*(LEFT(TEXT($L1090,"000000"),2)+(MID(TEXT($L1090,"000000"),3,2)/60)+(RIGHT(TEXT($L1090,"000000"),2)/3600))</f>
        <v>94.149999999999991</v>
      </c>
      <c r="N1090" s="286">
        <v>223100</v>
      </c>
      <c r="O1090" s="251">
        <f>IF($N1090&gt;0,(LEFT(TEXT($N1090,"000000"),2)+(MID(TEXT($N1090,"000000"),3,2)/60)+(RIGHT(TEXT($N1090,"000000"),2)/3600)),-(MID(TEXT($N1090,"000000"),2,2)+(MID(TEXT($N1090,"000000"),4,2)/60)+(RIGHT(TEXT($N1090,"000000"),2)/3600)))</f>
        <v>22.516666666666666</v>
      </c>
      <c r="P1090" s="252" t="s">
        <v>85</v>
      </c>
      <c r="Q1090" s="253" t="s">
        <v>7013</v>
      </c>
      <c r="R1090" s="277" t="s">
        <v>4566</v>
      </c>
      <c r="S1090" s="272" t="s">
        <v>4473</v>
      </c>
      <c r="T1090" s="273"/>
      <c r="U1090" s="274"/>
      <c r="V1090" s="256"/>
      <c r="W1090" s="244"/>
      <c r="X1090" s="244"/>
      <c r="Y1090" s="362"/>
      <c r="Z1090" s="257">
        <f>altaz(J2000_Bas,$O1090,$M1090,DecLat,DecLong,1)</f>
        <v>-35.289395846979268</v>
      </c>
      <c r="AA1090" s="257">
        <f>altaz((J2000_Bas+(2*0.04167)),$O1090,$M1090,DecLat,DecLong,1)</f>
        <v>-23.065645311983044</v>
      </c>
      <c r="AB1090" s="257">
        <f>altaz((J2000_Bas+(4*0.04167)),$O1090,$M1090,DecLat,DecLong,1)</f>
        <v>-2.7034538118200042</v>
      </c>
      <c r="AC1090" s="257">
        <f>altaz((J2000_Bas+(6*0.04167)),$O1090,$M1090,DecLat,DecLong,1)</f>
        <v>21.303029711141505</v>
      </c>
      <c r="AD1090" s="258">
        <f>1+ transit((J2000_Bas-1),$O1090,$M1090,DecLat,DecLong)/360 + (GMTOffset/24) + (IF(DST="Y", 1, 0)/24)</f>
        <v>1.2544277122547081</v>
      </c>
      <c r="AE1090" s="259">
        <f>DATE(2001,9,21)+(M1090/360)*365 - (360*((DecLong/360)- (GMTOffset/24) ))</f>
        <v>37255.457638888889</v>
      </c>
      <c r="AF1090" s="260">
        <f>IF(DecLat&gt;0,IF((90 - (DecLat-O1090))&gt;90, (90 - (O1090-DecLat)), (90 - (DecLat-O1090))),IF((90 + (DecLat-O1090))&gt;90, (90 + (O1090-DecLat)), (90 + (DecLat-O1090))))</f>
        <v>81.516666666666666</v>
      </c>
      <c r="AG1090" s="257">
        <f>angularseperation(MoonRA,MoonDec,$M1090,$O1090)</f>
        <v>156.97322901430564</v>
      </c>
      <c r="AH1090" s="261">
        <f ca="1">MIN(100,IF($O$5&gt;80,0+30*($AG1090/100),IF($O$5&gt;70,0+50*($AG1090/100),IF($O$5&gt;60,5+50*($AG1090/100),IF($O$5&gt;50,10+60*($AG1090/100),IF($O$5&gt;40,15+70*($AG1090/100),IF($O$5&gt;30,20+70*($AG1090/100),IF($O$5&gt;20,40+55*($AG1090/100),(80+(20-$O$5)+30*($AG1090/100))))))))))</f>
        <v>100</v>
      </c>
      <c r="AI1090" s="262"/>
      <c r="AJ1090" s="262">
        <v>443</v>
      </c>
      <c r="AK1090" s="262"/>
      <c r="AL1090" s="263"/>
      <c r="AM1090" s="264"/>
      <c r="AN1090" s="263"/>
      <c r="AO1090" s="263"/>
      <c r="AP1090" s="265"/>
      <c r="AQ1090" s="266"/>
      <c r="AR1090" s="267"/>
      <c r="AS1090" s="263"/>
      <c r="AT1090" s="263"/>
      <c r="AU1090" s="263"/>
      <c r="AV1090" s="264"/>
      <c r="AW1090" s="263"/>
      <c r="AX1090" s="263"/>
      <c r="AY1090" s="263">
        <v>844</v>
      </c>
      <c r="AZ1090" s="263"/>
      <c r="BA1090" s="263"/>
      <c r="BB1090" s="263">
        <v>248</v>
      </c>
      <c r="BC1090" s="268" t="s">
        <v>3060</v>
      </c>
      <c r="BD1090" s="264"/>
      <c r="BE1090" s="263"/>
      <c r="BF1090" s="263"/>
      <c r="BG1090" s="263">
        <v>36</v>
      </c>
      <c r="BH1090" s="263"/>
      <c r="BI1090" s="263"/>
      <c r="BJ1090" s="404">
        <f>altaz(J2000_Bas,$O1090,$M1090,DecLat,DecLong,2)</f>
        <v>13.441456700644613</v>
      </c>
      <c r="BK1090" s="378" t="s">
        <v>1157</v>
      </c>
      <c r="BL1090" s="379">
        <f>IF((2*G1090)/60&lt;0.2,0.2,(2*G1090)/60)</f>
        <v>2</v>
      </c>
      <c r="BM1090" s="380">
        <f>MOD((50000+AD1090-$B$3+(0/24)),1)</f>
        <v>0.46979464196192566</v>
      </c>
      <c r="BN1090" s="381"/>
      <c r="BO1090" s="382">
        <v>1084</v>
      </c>
    </row>
    <row r="1091" spans="1:67" s="24" customFormat="1" ht="15" customHeight="1" x14ac:dyDescent="0.25">
      <c r="A1091" s="301" t="s">
        <v>1158</v>
      </c>
      <c r="B1091" s="241" t="str">
        <f>HYPERLINK(CONCATENATE($AT$3,BK1091,$AU$3),$AV$3)</f>
        <v>S</v>
      </c>
      <c r="C1091" s="242" t="str">
        <f>HYPERLINK(CONCATENATE($AT$4,BK1091,$AU$4,BL1091),$AV$4)</f>
        <v>A</v>
      </c>
      <c r="D1091" s="243" t="s">
        <v>5187</v>
      </c>
      <c r="E1091" s="244" t="s">
        <v>5186</v>
      </c>
      <c r="F1091" s="269"/>
      <c r="G1091" s="276">
        <v>10</v>
      </c>
      <c r="H1091" s="271" t="s">
        <v>6500</v>
      </c>
      <c r="I1091" s="244" t="s">
        <v>6500</v>
      </c>
      <c r="J1091" s="246">
        <v>2</v>
      </c>
      <c r="K1091" s="247" t="s">
        <v>4598</v>
      </c>
      <c r="L1091" s="248">
        <v>61834</v>
      </c>
      <c r="M1091" s="249">
        <f>15*(LEFT(TEXT($L1091,"000000"),2)+(MID(TEXT($L1091,"000000"),3,2)/60)+(RIGHT(TEXT($L1091,"000000"),2)/3600))</f>
        <v>94.641666666666666</v>
      </c>
      <c r="N1091" s="286">
        <v>231848</v>
      </c>
      <c r="O1091" s="251">
        <f>IF($N1091&gt;0,(LEFT(TEXT($N1091,"000000"),2)+(MID(TEXT($N1091,"000000"),3,2)/60)+(RIGHT(TEXT($N1091,"000000"),2)/3600)),-(MID(TEXT($N1091,"000000"),2,2)+(MID(TEXT($N1091,"000000"),4,2)/60)+(RIGHT(TEXT($N1091,"000000"),2)/3600)))</f>
        <v>23.313333333333333</v>
      </c>
      <c r="P1091" s="252" t="s">
        <v>85</v>
      </c>
      <c r="Q1091" s="253"/>
      <c r="R1091" s="247" t="s">
        <v>3293</v>
      </c>
      <c r="S1091" s="272" t="s">
        <v>4567</v>
      </c>
      <c r="T1091" s="273"/>
      <c r="U1091" s="274"/>
      <c r="V1091" s="256"/>
      <c r="W1091" s="244"/>
      <c r="X1091" s="244"/>
      <c r="Y1091" s="362"/>
      <c r="Z1091" s="257">
        <f>altaz(J2000_Bas,$O1091,$M1091,DecLat,DecLong,1)</f>
        <v>-34.605854524959859</v>
      </c>
      <c r="AA1091" s="257">
        <f>altaz((J2000_Bas+(2*0.04167)),$O1091,$M1091,DecLat,DecLong,1)</f>
        <v>-22.720133961630886</v>
      </c>
      <c r="AB1091" s="257">
        <f>altaz((J2000_Bas+(4*0.04167)),$O1091,$M1091,DecLat,DecLong,1)</f>
        <v>-2.6109740839086704</v>
      </c>
      <c r="AC1091" s="257">
        <f>altaz((J2000_Bas+(6*0.04167)),$O1091,$M1091,DecLat,DecLong,1)</f>
        <v>21.242290273970767</v>
      </c>
      <c r="AD1091" s="258">
        <f>1+ transit((J2000_Bas-1),$O1091,$M1091,DecLat,DecLong)/360 + (GMTOffset/24) + (IF(DST="Y", 1, 0)/24)</f>
        <v>1.2557934528588748</v>
      </c>
      <c r="AE1091" s="259">
        <f>DATE(2001,9,21)+(M1091/360)*365 - (360*((DecLong/360)- (GMTOffset/24) ))</f>
        <v>37255.956134259257</v>
      </c>
      <c r="AF1091" s="260">
        <f>IF(DecLat&gt;0,IF((90 - (DecLat-O1091))&gt;90, (90 - (O1091-DecLat)), (90 - (DecLat-O1091))),IF((90 + (DecLat-O1091))&gt;90, (90 + (O1091-DecLat)), (90 + (DecLat-O1091))))</f>
        <v>82.313333333333333</v>
      </c>
      <c r="AG1091" s="257">
        <f>angularseperation(MoonRA,MoonDec,$M1091,$O1091)</f>
        <v>156.75114051282927</v>
      </c>
      <c r="AH1091" s="261">
        <f ca="1">MIN(100,IF($O$5&gt;80,0+30*($AG1091/100),IF($O$5&gt;70,0+50*($AG1091/100),IF($O$5&gt;60,5+50*($AG1091/100),IF($O$5&gt;50,10+60*($AG1091/100),IF($O$5&gt;40,15+70*($AG1091/100),IF($O$5&gt;30,20+70*($AG1091/100),IF($O$5&gt;20,40+55*($AG1091/100),(80+(20-$O$5)+30*($AG1091/100))))))))))</f>
        <v>100</v>
      </c>
      <c r="AI1091" s="262"/>
      <c r="AJ1091" s="262">
        <v>444</v>
      </c>
      <c r="AK1091" s="262"/>
      <c r="AL1091" s="263"/>
      <c r="AM1091" s="264"/>
      <c r="AN1091" s="263"/>
      <c r="AO1091" s="263"/>
      <c r="AP1091" s="265"/>
      <c r="AQ1091" s="266"/>
      <c r="AR1091" s="267"/>
      <c r="AS1091" s="263"/>
      <c r="AT1091" s="263"/>
      <c r="AU1091" s="263"/>
      <c r="AV1091" s="264"/>
      <c r="AW1091" s="263"/>
      <c r="AX1091" s="263"/>
      <c r="AY1091" s="263"/>
      <c r="AZ1091" s="263"/>
      <c r="BA1091" s="263"/>
      <c r="BB1091" s="263"/>
      <c r="BC1091" s="263"/>
      <c r="BD1091" s="264"/>
      <c r="BE1091" s="263"/>
      <c r="BF1091" s="263"/>
      <c r="BG1091" s="263"/>
      <c r="BH1091" s="263"/>
      <c r="BI1091" s="263"/>
      <c r="BJ1091" s="404">
        <f>altaz(J2000_Bas,$O1091,$M1091,DecLat,DecLong,2)</f>
        <v>12.696816312520539</v>
      </c>
      <c r="BK1091" s="378" t="s">
        <v>1158</v>
      </c>
      <c r="BL1091" s="379">
        <f>IF((2*G1091)/60&lt;0.2,0.2,(2*G1091)/60)</f>
        <v>0.33333333333333331</v>
      </c>
      <c r="BM1091" s="380">
        <f>MOD((50000+AD1091-$B$3+(0/24)),1)</f>
        <v>0.47116038256353932</v>
      </c>
      <c r="BN1091" s="381"/>
      <c r="BO1091" s="382">
        <v>1085</v>
      </c>
    </row>
    <row r="1092" spans="1:67" s="24" customFormat="1" ht="15" customHeight="1" x14ac:dyDescent="0.25">
      <c r="A1092" s="288" t="s">
        <v>1159</v>
      </c>
      <c r="B1092" s="241" t="str">
        <f>HYPERLINK(CONCATENATE($AT$3,BK1092,$AU$3),$AV$3)</f>
        <v>S</v>
      </c>
      <c r="C1092" s="242" t="str">
        <f>HYPERLINK(CONCATENATE($AT$4,BK1092,$AU$4,BL1092),$AV$4)</f>
        <v>A</v>
      </c>
      <c r="D1092" s="243" t="s">
        <v>5187</v>
      </c>
      <c r="E1092" s="244" t="s">
        <v>5186</v>
      </c>
      <c r="F1092" s="269"/>
      <c r="G1092" s="276">
        <v>60</v>
      </c>
      <c r="H1092" s="271" t="s">
        <v>6500</v>
      </c>
      <c r="I1092" s="244" t="s">
        <v>6500</v>
      </c>
      <c r="J1092" s="246">
        <v>3</v>
      </c>
      <c r="K1092" s="247" t="s">
        <v>9354</v>
      </c>
      <c r="L1092" s="248">
        <v>63107</v>
      </c>
      <c r="M1092" s="249">
        <f>15*(LEFT(TEXT($L1092,"000000"),2)+(MID(TEXT($L1092,"000000"),3,2)/60)+(RIGHT(TEXT($L1092,"000000"),2)/3600))</f>
        <v>97.779166666666669</v>
      </c>
      <c r="N1092" s="250">
        <v>95200</v>
      </c>
      <c r="O1092" s="251">
        <f>IF($N1092&gt;0,(LEFT(TEXT($N1092,"000000"),2)+(MID(TEXT($N1092,"000000"),3,2)/60)+(RIGHT(TEXT($N1092,"000000"),2)/3600)),-(MID(TEXT($N1092,"000000"),2,2)+(MID(TEXT($N1092,"000000"),4,2)/60)+(RIGHT(TEXT($N1092,"000000"),2)/3600)))</f>
        <v>9.8666666666666671</v>
      </c>
      <c r="P1092" s="252" t="s">
        <v>47</v>
      </c>
      <c r="Q1092" s="253"/>
      <c r="R1092" s="247" t="s">
        <v>3202</v>
      </c>
      <c r="S1092" s="272" t="s">
        <v>4568</v>
      </c>
      <c r="T1092" s="273"/>
      <c r="U1092" s="274"/>
      <c r="V1092" s="256"/>
      <c r="W1092" s="244"/>
      <c r="X1092" s="244"/>
      <c r="Y1092" s="362"/>
      <c r="Z1092" s="257">
        <f>altaz(J2000_Bas,$O1092,$M1092,DecLat,DecLong,1)</f>
        <v>-48.37868125933781</v>
      </c>
      <c r="AA1092" s="257">
        <f>altaz((J2000_Bas+(2*0.04167)),$O1092,$M1092,DecLat,DecLong,1)</f>
        <v>-35.058123101931365</v>
      </c>
      <c r="AB1092" s="257">
        <f>altaz((J2000_Bas+(4*0.04167)),$O1092,$M1092,DecLat,DecLong,1)</f>
        <v>-12.869103539056752</v>
      </c>
      <c r="AC1092" s="257">
        <f>altaz((J2000_Bas+(6*0.04167)),$O1092,$M1092,DecLat,DecLong,1)</f>
        <v>12.283225757699682</v>
      </c>
      <c r="AD1092" s="258">
        <f>1+ transit((J2000_Bas-1),$O1092,$M1092,DecLat,DecLong)/360 + (GMTOffset/24) + (IF(DST="Y", 1, 0)/24)</f>
        <v>1.2645087297651247</v>
      </c>
      <c r="AE1092" s="259">
        <f>DATE(2001,9,21)+(M1092/360)*365 - (360*((DecLong/360)- (GMTOffset/24) ))</f>
        <v>37259.13721064815</v>
      </c>
      <c r="AF1092" s="260">
        <f>IF(DecLat&gt;0,IF((90 - (DecLat-O1092))&gt;90, (90 - (O1092-DecLat)), (90 - (DecLat-O1092))),IF((90 + (DecLat-O1092))&gt;90, (90 + (O1092-DecLat)), (90 + (DecLat-O1092))))</f>
        <v>68.866666666666674</v>
      </c>
      <c r="AG1092" s="257">
        <f>angularseperation(MoonRA,MoonDec,$M1092,$O1092)</f>
        <v>148.06167517134617</v>
      </c>
      <c r="AH1092" s="261">
        <f ca="1">MIN(100,IF($O$5&gt;80,0+30*($AG1092/100),IF($O$5&gt;70,0+50*($AG1092/100),IF($O$5&gt;60,5+50*($AG1092/100),IF($O$5&gt;50,10+60*($AG1092/100),IF($O$5&gt;40,15+70*($AG1092/100),IF($O$5&gt;30,20+70*($AG1092/100),IF($O$5&gt;20,40+55*($AG1092/100),(80+(20-$O$5)+30*($AG1092/100))))))))))</f>
        <v>100</v>
      </c>
      <c r="AI1092" s="262"/>
      <c r="AJ1092" s="262">
        <v>447</v>
      </c>
      <c r="AK1092" s="262"/>
      <c r="AL1092" s="263"/>
      <c r="AM1092" s="264"/>
      <c r="AN1092" s="263"/>
      <c r="AO1092" s="263"/>
      <c r="AP1092" s="265"/>
      <c r="AQ1092" s="266"/>
      <c r="AR1092" s="267"/>
      <c r="AS1092" s="263"/>
      <c r="AT1092" s="263"/>
      <c r="AU1092" s="263"/>
      <c r="AV1092" s="264"/>
      <c r="AW1092" s="263"/>
      <c r="AX1092" s="263"/>
      <c r="AY1092" s="263"/>
      <c r="AZ1092" s="263"/>
      <c r="BA1092" s="263"/>
      <c r="BB1092" s="263"/>
      <c r="BC1092" s="263"/>
      <c r="BD1092" s="264"/>
      <c r="BE1092" s="263"/>
      <c r="BF1092" s="263"/>
      <c r="BG1092" s="263"/>
      <c r="BH1092" s="263"/>
      <c r="BI1092" s="263">
        <v>44</v>
      </c>
      <c r="BJ1092" s="404">
        <f>altaz(J2000_Bas,$O1092,$M1092,DecLat,DecLong,2)</f>
        <v>12.249051699720971</v>
      </c>
      <c r="BK1092" s="378" t="s">
        <v>1159</v>
      </c>
      <c r="BL1092" s="379">
        <f>IF((2*G1092)/60&lt;0.2,0.2,(2*G1092)/60)</f>
        <v>2</v>
      </c>
      <c r="BM1092" s="380">
        <f>MOD((50000+AD1092-$B$3+(0/24)),1)</f>
        <v>0.47987565946823452</v>
      </c>
      <c r="BN1092" s="381"/>
      <c r="BO1092" s="382">
        <v>1086</v>
      </c>
    </row>
    <row r="1093" spans="1:67" s="24" customFormat="1" ht="15" customHeight="1" x14ac:dyDescent="0.25">
      <c r="A1093" s="288" t="s">
        <v>1160</v>
      </c>
      <c r="B1093" s="241" t="str">
        <f>HYPERLINK(CONCATENATE($AT$3,BK1093,$AU$3),$AV$3)</f>
        <v>S</v>
      </c>
      <c r="C1093" s="242" t="str">
        <f>HYPERLINK(CONCATENATE($AT$4,BK1093,$AU$4,BL1093),$AV$4)</f>
        <v>A</v>
      </c>
      <c r="D1093" s="243" t="s">
        <v>5638</v>
      </c>
      <c r="E1093" s="244" t="s">
        <v>5192</v>
      </c>
      <c r="F1093" s="269" t="s">
        <v>8895</v>
      </c>
      <c r="G1093" s="273">
        <v>3</v>
      </c>
      <c r="H1093" s="283">
        <v>100</v>
      </c>
      <c r="I1093" s="246">
        <v>90</v>
      </c>
      <c r="J1093" s="246">
        <v>2</v>
      </c>
      <c r="K1093" s="247" t="s">
        <v>4594</v>
      </c>
      <c r="L1093" s="248">
        <v>73019</v>
      </c>
      <c r="M1093" s="249">
        <f>15*(LEFT(TEXT($L1093,"000000"),2)+(MID(TEXT($L1093,"000000"),3,2)/60)+(RIGHT(TEXT($L1093,"000000"),2)/3600))</f>
        <v>112.57916666666667</v>
      </c>
      <c r="N1093" s="286">
        <v>795221</v>
      </c>
      <c r="O1093" s="251">
        <f>IF($N1093&gt;0,(LEFT(TEXT($N1093,"000000"),2)+(MID(TEXT($N1093,"000000"),3,2)/60)+(RIGHT(TEXT($N1093,"000000"),2)/3600)),-(MID(TEXT($N1093,"000000"),2,2)+(MID(TEXT($N1093,"000000"),4,2)/60)+(RIGHT(TEXT($N1093,"000000"),2)/3600)))</f>
        <v>79.872499999999988</v>
      </c>
      <c r="P1093" s="252" t="s">
        <v>226</v>
      </c>
      <c r="Q1093" s="253"/>
      <c r="R1093" s="247" t="s">
        <v>3293</v>
      </c>
      <c r="S1093" s="272" t="s">
        <v>3293</v>
      </c>
      <c r="T1093" s="273">
        <v>12.6</v>
      </c>
      <c r="U1093" s="289">
        <v>22.89</v>
      </c>
      <c r="V1093" s="280">
        <v>70</v>
      </c>
      <c r="W1093" s="244"/>
      <c r="X1093" s="244"/>
      <c r="Y1093" s="362"/>
      <c r="Z1093" s="257">
        <f>altaz(J2000_Bas,$O1093,$M1093,DecLat,DecLong,1)</f>
        <v>20.933329365442493</v>
      </c>
      <c r="AA1093" s="257">
        <f>altaz((J2000_Bas+(2*0.04167)),$O1093,$M1093,DecLat,DecLong,1)</f>
        <v>21.641566155850747</v>
      </c>
      <c r="AB1093" s="257">
        <f>altaz((J2000_Bas+(4*0.04167)),$O1093,$M1093,DecLat,DecLong,1)</f>
        <v>24.680331738276557</v>
      </c>
      <c r="AC1093" s="257">
        <f>altaz((J2000_Bas+(6*0.04167)),$O1093,$M1093,DecLat,DecLong,1)</f>
        <v>29.36778051260951</v>
      </c>
      <c r="AD1093" s="258">
        <f>1+ transit((J2000_Bas-1),$O1093,$M1093,DecLat,DecLong)/360 + (GMTOffset/24) + (IF(DST="Y", 1, 0)/24)</f>
        <v>1.3056198367651246</v>
      </c>
      <c r="AE1093" s="259">
        <f>DATE(2001,9,21)+(M1093/360)*365 - (360*((DecLong/360)- (GMTOffset/24) ))</f>
        <v>37274.142766203702</v>
      </c>
      <c r="AF1093" s="260">
        <f>IF(DecLat&gt;0,IF((90 - (DecLat-O1093))&gt;90, (90 - (O1093-DecLat)), (90 - (DecLat-O1093))),IF((90 + (DecLat-O1093))&gt;90, (90 + (O1093-DecLat)), (90 + (DecLat-O1093))))</f>
        <v>41.127500000000012</v>
      </c>
      <c r="AG1093" s="257">
        <f>angularseperation(MoonRA,MoonDec,$M1093,$O1093)</f>
        <v>124.19917512370615</v>
      </c>
      <c r="AH1093" s="261">
        <f ca="1">MIN(100,IF($O$5&gt;80,0+30*($AG1093/100),IF($O$5&gt;70,0+50*($AG1093/100),IF($O$5&gt;60,5+50*($AG1093/100),IF($O$5&gt;50,10+60*($AG1093/100),IF($O$5&gt;40,15+70*($AG1093/100),IF($O$5&gt;30,20+70*($AG1093/100),IF($O$5&gt;20,40+55*($AG1093/100),(80+(20-$O$5)+30*($AG1093/100))))))))))</f>
        <v>100</v>
      </c>
      <c r="AI1093" s="262"/>
      <c r="AJ1093" s="262">
        <v>467</v>
      </c>
      <c r="AK1093" s="262"/>
      <c r="AL1093" s="263"/>
      <c r="AM1093" s="264"/>
      <c r="AN1093" s="263"/>
      <c r="AO1093" s="263"/>
      <c r="AP1093" s="265"/>
      <c r="AQ1093" s="266">
        <v>3834</v>
      </c>
      <c r="AR1093" s="267">
        <v>21164</v>
      </c>
      <c r="AS1093" s="263"/>
      <c r="AT1093" s="263"/>
      <c r="AU1093" s="263"/>
      <c r="AV1093" s="264"/>
      <c r="AW1093" s="263"/>
      <c r="AX1093" s="263"/>
      <c r="AY1093" s="263"/>
      <c r="AZ1093" s="263"/>
      <c r="BA1093" s="263"/>
      <c r="BB1093" s="263"/>
      <c r="BC1093" s="263"/>
      <c r="BD1093" s="264"/>
      <c r="BE1093" s="263"/>
      <c r="BF1093" s="263"/>
      <c r="BG1093" s="263"/>
      <c r="BH1093" s="263"/>
      <c r="BI1093" s="263"/>
      <c r="BJ1093" s="404">
        <f>altaz(J2000_Bas,$O1093,$M1093,DecLat,DecLong,2)</f>
        <v>358.76448664758755</v>
      </c>
      <c r="BK1093" s="378" t="s">
        <v>1160</v>
      </c>
      <c r="BL1093" s="379">
        <f>IF((2*G1093)/60&lt;0.2,0.2,(2*G1093)/60)</f>
        <v>0.2</v>
      </c>
      <c r="BM1093" s="380">
        <f>MOD((50000+AD1093-$B$3+(0/24)),1)</f>
        <v>0.52098676646710373</v>
      </c>
      <c r="BN1093" s="381"/>
      <c r="BO1093" s="382">
        <v>1087</v>
      </c>
    </row>
    <row r="1094" spans="1:67" s="24" customFormat="1" ht="15" customHeight="1" x14ac:dyDescent="0.25">
      <c r="A1094" s="288" t="s">
        <v>1161</v>
      </c>
      <c r="B1094" s="241" t="str">
        <f>HYPERLINK(CONCATENATE($AT$3,BK1094,$AU$3),$AV$3)</f>
        <v>S</v>
      </c>
      <c r="C1094" s="242" t="str">
        <f>HYPERLINK(CONCATENATE($AT$4,BK1094,$AU$4,BL1094),$AV$4)</f>
        <v>A</v>
      </c>
      <c r="D1094" s="243" t="s">
        <v>5638</v>
      </c>
      <c r="E1094" s="244" t="s">
        <v>5192</v>
      </c>
      <c r="F1094" s="269" t="s">
        <v>8690</v>
      </c>
      <c r="G1094" s="273">
        <v>2.2999999999999998</v>
      </c>
      <c r="H1094" s="283">
        <v>170</v>
      </c>
      <c r="I1094" s="246">
        <v>120</v>
      </c>
      <c r="J1094" s="246">
        <v>2</v>
      </c>
      <c r="K1094" s="247" t="s">
        <v>4595</v>
      </c>
      <c r="L1094" s="248">
        <v>85342</v>
      </c>
      <c r="M1094" s="249">
        <f>15*(LEFT(TEXT($L1094,"000000"),2)+(MID(TEXT($L1094,"000000"),3,2)/60)+(RIGHT(TEXT($L1094,"000000"),2)/3600))</f>
        <v>133.42499999999998</v>
      </c>
      <c r="N1094" s="250">
        <v>732927</v>
      </c>
      <c r="O1094" s="251">
        <f>IF($N1094&gt;0,(LEFT(TEXT($N1094,"000000"),2)+(MID(TEXT($N1094,"000000"),3,2)/60)+(RIGHT(TEXT($N1094,"000000"),2)/3600)),-(MID(TEXT($N1094,"000000"),2,2)+(MID(TEXT($N1094,"000000"),4,2)/60)+(RIGHT(TEXT($N1094,"000000"),2)/3600)))</f>
        <v>73.490833333333327</v>
      </c>
      <c r="P1094" s="252" t="s">
        <v>226</v>
      </c>
      <c r="Q1094" s="253"/>
      <c r="R1094" s="247" t="s">
        <v>3293</v>
      </c>
      <c r="S1094" s="272" t="s">
        <v>3293</v>
      </c>
      <c r="T1094" s="273">
        <v>11.7</v>
      </c>
      <c r="U1094" s="289">
        <v>21.69</v>
      </c>
      <c r="V1094" s="280">
        <v>25</v>
      </c>
      <c r="W1094" s="244"/>
      <c r="X1094" s="244"/>
      <c r="Y1094" s="362"/>
      <c r="Z1094" s="257">
        <f>altaz(J2000_Bas,$O1094,$M1094,DecLat,DecLong,1)</f>
        <v>16.11670966675457</v>
      </c>
      <c r="AA1094" s="257">
        <f>altaz((J2000_Bas+(2*0.04167)),$O1094,$M1094,DecLat,DecLong,1)</f>
        <v>14.506390792218729</v>
      </c>
      <c r="AB1094" s="257">
        <f>altaz((J2000_Bas+(4*0.04167)),$O1094,$M1094,DecLat,DecLong,1)</f>
        <v>16.794344091786765</v>
      </c>
      <c r="AC1094" s="257">
        <f>altaz((J2000_Bas+(6*0.04167)),$O1094,$M1094,DecLat,DecLong,1)</f>
        <v>22.493801944548046</v>
      </c>
      <c r="AD1094" s="258">
        <f>1+ transit((J2000_Bas-1),$O1094,$M1094,DecLat,DecLong)/360 + (GMTOffset/24) + (IF(DST="Y", 1, 0)/24)</f>
        <v>1.363524923567208</v>
      </c>
      <c r="AE1094" s="259">
        <f>DATE(2001,9,21)+(M1094/360)*365 - (360*((DecLong/360)- (GMTOffset/24) ))</f>
        <v>37295.278124999997</v>
      </c>
      <c r="AF1094" s="260">
        <f>IF(DecLat&gt;0,IF((90 - (DecLat-O1094))&gt;90, (90 - (O1094-DecLat)), (90 - (DecLat-O1094))),IF((90 + (DecLat-O1094))&gt;90, (90 + (O1094-DecLat)), (90 + (DecLat-O1094))))</f>
        <v>47.509166666666673</v>
      </c>
      <c r="AG1094" s="257">
        <f>angularseperation(MoonRA,MoonDec,$M1094,$O1094)</f>
        <v>123.14168775996286</v>
      </c>
      <c r="AH1094" s="261">
        <f ca="1">MIN(100,IF($O$5&gt;80,0+30*($AG1094/100),IF($O$5&gt;70,0+50*($AG1094/100),IF($O$5&gt;60,5+50*($AG1094/100),IF($O$5&gt;50,10+60*($AG1094/100),IF($O$5&gt;40,15+70*($AG1094/100),IF($O$5&gt;30,20+70*($AG1094/100),IF($O$5&gt;20,40+55*($AG1094/100),(80+(20-$O$5)+30*($AG1094/100))))))))))</f>
        <v>100</v>
      </c>
      <c r="AI1094" s="262"/>
      <c r="AJ1094" s="262">
        <v>520</v>
      </c>
      <c r="AK1094" s="262"/>
      <c r="AL1094" s="263"/>
      <c r="AM1094" s="264"/>
      <c r="AN1094" s="263"/>
      <c r="AO1094" s="263"/>
      <c r="AP1094" s="265"/>
      <c r="AQ1094" s="266">
        <v>4630</v>
      </c>
      <c r="AR1094" s="267">
        <v>24970</v>
      </c>
      <c r="AS1094" s="263"/>
      <c r="AT1094" s="263"/>
      <c r="AU1094" s="263"/>
      <c r="AV1094" s="264"/>
      <c r="AW1094" s="263"/>
      <c r="AX1094" s="263"/>
      <c r="AY1094" s="263"/>
      <c r="AZ1094" s="263"/>
      <c r="BA1094" s="263"/>
      <c r="BB1094" s="263"/>
      <c r="BC1094" s="263"/>
      <c r="BD1094" s="264"/>
      <c r="BE1094" s="263"/>
      <c r="BF1094" s="263"/>
      <c r="BG1094" s="263"/>
      <c r="BH1094" s="263"/>
      <c r="BI1094" s="263"/>
      <c r="BJ1094" s="404">
        <f>altaz(J2000_Bas,$O1094,$M1094,DecLat,DecLong,2)</f>
        <v>352.17043112431588</v>
      </c>
      <c r="BK1094" s="378" t="s">
        <v>1161</v>
      </c>
      <c r="BL1094" s="379">
        <f>IF((2*G1094)/60&lt;0.2,0.2,(2*G1094)/60)</f>
        <v>0.2</v>
      </c>
      <c r="BM1094" s="380">
        <f>MOD((50000+AD1094-$B$3+(0/24)),1)</f>
        <v>0.5788918532707612</v>
      </c>
      <c r="BN1094" s="381"/>
      <c r="BO1094" s="382">
        <v>1088</v>
      </c>
    </row>
    <row r="1095" spans="1:67" s="24" customFormat="1" ht="15" customHeight="1" x14ac:dyDescent="0.25">
      <c r="A1095" s="288" t="s">
        <v>1162</v>
      </c>
      <c r="B1095" s="241" t="str">
        <f>HYPERLINK(CONCATENATE($AT$3,BK1095,$AU$3),$AV$3)</f>
        <v>S</v>
      </c>
      <c r="C1095" s="242" t="str">
        <f>HYPERLINK(CONCATENATE($AT$4,BK1095,$AU$4,BL1095),$AV$4)</f>
        <v>A</v>
      </c>
      <c r="D1095" s="243" t="s">
        <v>5638</v>
      </c>
      <c r="E1095" s="244" t="s">
        <v>5192</v>
      </c>
      <c r="F1095" s="269" t="s">
        <v>8713</v>
      </c>
      <c r="G1095" s="273">
        <v>3.7</v>
      </c>
      <c r="H1095" s="283">
        <v>100</v>
      </c>
      <c r="I1095" s="246">
        <v>100</v>
      </c>
      <c r="J1095" s="246">
        <v>2</v>
      </c>
      <c r="K1095" s="277" t="s">
        <v>4596</v>
      </c>
      <c r="L1095" s="248">
        <v>91833</v>
      </c>
      <c r="M1095" s="249">
        <f>15*(LEFT(TEXT($L1095,"000000"),2)+(MID(TEXT($L1095,"000000"),3,2)/60)+(RIGHT(TEXT($L1095,"000000"),2)/3600))</f>
        <v>139.63750000000002</v>
      </c>
      <c r="N1095" s="250">
        <v>734534</v>
      </c>
      <c r="O1095" s="251">
        <f>IF($N1095&gt;0,(LEFT(TEXT($N1095,"000000"),2)+(MID(TEXT($N1095,"000000"),3,2)/60)+(RIGHT(TEXT($N1095,"000000"),2)/3600)),-(MID(TEXT($N1095,"000000"),2,2)+(MID(TEXT($N1095,"000000"),4,2)/60)+(RIGHT(TEXT($N1095,"000000"),2)/3600)))</f>
        <v>73.759444444444441</v>
      </c>
      <c r="P1095" s="252" t="s">
        <v>226</v>
      </c>
      <c r="Q1095" s="253"/>
      <c r="R1095" s="277" t="s">
        <v>3293</v>
      </c>
      <c r="S1095" s="272" t="s">
        <v>3293</v>
      </c>
      <c r="T1095" s="273">
        <v>11.9</v>
      </c>
      <c r="U1095" s="289">
        <v>22.29</v>
      </c>
      <c r="V1095" s="280">
        <v>70</v>
      </c>
      <c r="W1095" s="244"/>
      <c r="X1095" s="244"/>
      <c r="Y1095" s="362"/>
      <c r="Z1095" s="257">
        <f>altaz(J2000_Bas,$O1095,$M1095,DecLat,DecLong,1)</f>
        <v>17.151242682876028</v>
      </c>
      <c r="AA1095" s="257">
        <f>altaz((J2000_Bas+(2*0.04167)),$O1095,$M1095,DecLat,DecLong,1)</f>
        <v>14.786706418061103</v>
      </c>
      <c r="AB1095" s="257">
        <f>altaz((J2000_Bas+(4*0.04167)),$O1095,$M1095,DecLat,DecLong,1)</f>
        <v>16.260925900570939</v>
      </c>
      <c r="AC1095" s="257">
        <f>altaz((J2000_Bas+(6*0.04167)),$O1095,$M1095,DecLat,DecLong,1)</f>
        <v>21.259201928463302</v>
      </c>
      <c r="AD1095" s="258">
        <f>1+ transit((J2000_Bas-1),$O1095,$M1095,DecLat,DecLong)/360 + (GMTOffset/24) + (IF(DST="Y", 1, 0)/24)</f>
        <v>1.3807818662859581</v>
      </c>
      <c r="AE1095" s="259">
        <f>DATE(2001,9,21)+(M1095/360)*365 - (360*((DecLong/360)- (GMTOffset/24) ))</f>
        <v>37301.576909722222</v>
      </c>
      <c r="AF1095" s="260">
        <f>IF(DecLat&gt;0,IF((90 - (DecLat-O1095))&gt;90, (90 - (O1095-DecLat)), (90 - (DecLat-O1095))),IF((90 + (DecLat-O1095))&gt;90, (90 + (O1095-DecLat)), (90 + (DecLat-O1095))))</f>
        <v>47.240555555555559</v>
      </c>
      <c r="AG1095" s="257">
        <f>angularseperation(MoonRA,MoonDec,$M1095,$O1095)</f>
        <v>121.37758381485169</v>
      </c>
      <c r="AH1095" s="261">
        <f ca="1">MIN(100,IF($O$5&gt;80,0+30*($AG1095/100),IF($O$5&gt;70,0+50*($AG1095/100),IF($O$5&gt;60,5+50*($AG1095/100),IF($O$5&gt;50,10+60*($AG1095/100),IF($O$5&gt;40,15+70*($AG1095/100),IF($O$5&gt;30,20+70*($AG1095/100),IF($O$5&gt;20,40+55*($AG1095/100),(80+(20-$O$5)+30*($AG1095/100))))))))))</f>
        <v>100</v>
      </c>
      <c r="AI1095" s="263"/>
      <c r="AJ1095" s="263">
        <v>529</v>
      </c>
      <c r="AK1095" s="263"/>
      <c r="AL1095" s="263"/>
      <c r="AM1095" s="264"/>
      <c r="AN1095" s="263"/>
      <c r="AO1095" s="263"/>
      <c r="AP1095" s="265"/>
      <c r="AQ1095" s="265">
        <v>4888</v>
      </c>
      <c r="AR1095" s="285">
        <v>26295</v>
      </c>
      <c r="AS1095" s="263"/>
      <c r="AT1095" s="263"/>
      <c r="AU1095" s="263"/>
      <c r="AV1095" s="264"/>
      <c r="AW1095" s="263"/>
      <c r="AX1095" s="263"/>
      <c r="AY1095" s="263"/>
      <c r="AZ1095" s="263"/>
      <c r="BA1095" s="263"/>
      <c r="BB1095" s="263"/>
      <c r="BC1095" s="263"/>
      <c r="BD1095" s="264"/>
      <c r="BE1095" s="263"/>
      <c r="BF1095" s="263"/>
      <c r="BG1095" s="263"/>
      <c r="BH1095" s="263"/>
      <c r="BI1095" s="263"/>
      <c r="BJ1095" s="404">
        <f>altaz(J2000_Bas,$O1095,$M1095,DecLat,DecLong,2)</f>
        <v>350.6701077694068</v>
      </c>
      <c r="BK1095" s="378" t="s">
        <v>1162</v>
      </c>
      <c r="BL1095" s="379">
        <f>IF((2*G1095)/60&lt;0.2,0.2,(2*G1095)/60)</f>
        <v>0.2</v>
      </c>
      <c r="BM1095" s="380">
        <f>MOD((50000+AD1095-$B$3+(0/24)),1)</f>
        <v>0.59614879598666448</v>
      </c>
      <c r="BN1095" s="381"/>
      <c r="BO1095" s="382">
        <v>1089</v>
      </c>
    </row>
    <row r="1096" spans="1:67" s="24" customFormat="1" ht="15" customHeight="1" x14ac:dyDescent="0.25">
      <c r="A1096" s="288" t="s">
        <v>3163</v>
      </c>
      <c r="B1096" s="241" t="str">
        <f>HYPERLINK(CONCATENATE($AT$3,BK1096,$AU$3),$AV$3)</f>
        <v>S</v>
      </c>
      <c r="C1096" s="242" t="str">
        <f>HYPERLINK(CONCATENATE($AT$4,BK1096,$AU$4,BL1096),$AV$4)</f>
        <v>A</v>
      </c>
      <c r="D1096" s="243" t="s">
        <v>5638</v>
      </c>
      <c r="E1096" s="244" t="s">
        <v>5193</v>
      </c>
      <c r="F1096" s="269" t="s">
        <v>3303</v>
      </c>
      <c r="G1096" s="270">
        <v>0.8</v>
      </c>
      <c r="H1096" s="283">
        <v>500</v>
      </c>
      <c r="I1096" s="246">
        <v>110</v>
      </c>
      <c r="J1096" s="246">
        <v>2</v>
      </c>
      <c r="K1096" s="247" t="s">
        <v>6150</v>
      </c>
      <c r="L1096" s="248">
        <v>105816</v>
      </c>
      <c r="M1096" s="249">
        <f>15*(LEFT(TEXT($L1096,"000000"),2)+(MID(TEXT($L1096,"000000"),3,2)/60)+(RIGHT(TEXT($L1096,"000000"),2)/3600))</f>
        <v>164.56666666666669</v>
      </c>
      <c r="N1096" s="250">
        <v>81424</v>
      </c>
      <c r="O1096" s="251">
        <f>IF($N1096&gt;0,(LEFT(TEXT($N1096,"000000"),2)+(MID(TEXT($N1096,"000000"),3,2)/60)+(RIGHT(TEXT($N1096,"000000"),2)/3600)),-(MID(TEXT($N1096,"000000"),2,2)+(MID(TEXT($N1096,"000000"),4,2)/60)+(RIGHT(TEXT($N1096,"000000"),2)/3600)))</f>
        <v>8.2399999999999984</v>
      </c>
      <c r="P1096" s="252" t="s">
        <v>226</v>
      </c>
      <c r="Q1096" s="253"/>
      <c r="R1096" s="277" t="s">
        <v>3293</v>
      </c>
      <c r="S1096" s="272" t="s">
        <v>3293</v>
      </c>
      <c r="T1096" s="273">
        <v>13.4</v>
      </c>
      <c r="U1096" s="289">
        <v>21.19</v>
      </c>
      <c r="V1096" s="280"/>
      <c r="W1096" s="244"/>
      <c r="X1096" s="244"/>
      <c r="Y1096" s="362"/>
      <c r="Z1096" s="257">
        <f>altaz(J2000_Bas,$O1096,$M1096,DecLat,DecLong,1)</f>
        <v>-21.630605097938297</v>
      </c>
      <c r="AA1096" s="257">
        <f>altaz((J2000_Bas+(2*0.04167)),$O1096,$M1096,DecLat,DecLong,1)</f>
        <v>-42.20971685337566</v>
      </c>
      <c r="AB1096" s="257">
        <f>altaz((J2000_Bas+(4*0.04167)),$O1096,$M1096,DecLat,DecLong,1)</f>
        <v>-50.729862631411841</v>
      </c>
      <c r="AC1096" s="257">
        <f>altaz((J2000_Bas+(6*0.04167)),$O1096,$M1096,DecLat,DecLong,1)</f>
        <v>-40.392812503105162</v>
      </c>
      <c r="AD1096" s="258">
        <f>1+ transit((J2000_Bas-1),$O1096,$M1096,DecLat,DecLong)/360 + (GMTOffset/24) + (IF(DST="Y", 1, 0)/24)</f>
        <v>1.4500295445463747</v>
      </c>
      <c r="AE1096" s="259">
        <f>DATE(2001,9,21)+(M1096/360)*365 - (360*((DecLong/360)- (GMTOffset/24) ))</f>
        <v>37326.852314814816</v>
      </c>
      <c r="AF1096" s="260">
        <f>IF(DecLat&gt;0,IF((90 - (DecLat-O1096))&gt;90, (90 - (O1096-DecLat)), (90 - (DecLat-O1096))),IF((90 + (DecLat-O1096))&gt;90, (90 + (O1096-DecLat)), (90 + (DecLat-O1096))))</f>
        <v>67.239999999999995</v>
      </c>
      <c r="AG1096" s="257">
        <f>angularseperation(MoonRA,MoonDec,$M1096,$O1096)</f>
        <v>89.053546835076673</v>
      </c>
      <c r="AH1096" s="261">
        <f ca="1">MIN(100,IF($O$5&gt;80,0+30*($AG1096/100),IF($O$5&gt;70,0+50*($AG1096/100),IF($O$5&gt;60,5+50*($AG1096/100),IF($O$5&gt;50,10+60*($AG1096/100),IF($O$5&gt;40,15+70*($AG1096/100),IF($O$5&gt;30,20+70*($AG1096/100),IF($O$5&gt;20,40+55*($AG1096/100),(80+(20-$O$5)+30*($AG1096/100))))))))))</f>
        <v>100</v>
      </c>
      <c r="AI1096" s="263"/>
      <c r="AJ1096" s="263">
        <v>658</v>
      </c>
      <c r="AK1096" s="263"/>
      <c r="AL1096" s="263"/>
      <c r="AM1096" s="264"/>
      <c r="AN1096" s="263"/>
      <c r="AO1096" s="263"/>
      <c r="AP1096" s="265"/>
      <c r="AQ1096" s="265"/>
      <c r="AR1096" s="285">
        <v>33004</v>
      </c>
      <c r="AS1096" s="263"/>
      <c r="AT1096" s="263"/>
      <c r="AU1096" s="263"/>
      <c r="AV1096" s="264"/>
      <c r="AW1096" s="263"/>
      <c r="AX1096" s="263"/>
      <c r="AY1096" s="263"/>
      <c r="AZ1096" s="263"/>
      <c r="BA1096" s="263"/>
      <c r="BB1096" s="263"/>
      <c r="BC1096" s="263"/>
      <c r="BD1096" s="264"/>
      <c r="BE1096" s="263"/>
      <c r="BF1096" s="263"/>
      <c r="BG1096" s="263"/>
      <c r="BH1096" s="263"/>
      <c r="BI1096" s="263"/>
      <c r="BJ1096" s="404">
        <f>altaz(J2000_Bas,$O1096,$M1096,DecLat,DecLong,2)</f>
        <v>294.71702644134689</v>
      </c>
      <c r="BK1096" s="378" t="s">
        <v>3163</v>
      </c>
      <c r="BL1096" s="379">
        <f>IF((2*G1096)/60&lt;0.2,0.2,(2*G1096)/60)</f>
        <v>0.2</v>
      </c>
      <c r="BM1096" s="380">
        <f>MOD((50000+AD1096-$B$3+(0/24)),1)</f>
        <v>0.66539647425088333</v>
      </c>
      <c r="BN1096" s="381"/>
      <c r="BO1096" s="382">
        <v>1090</v>
      </c>
    </row>
    <row r="1097" spans="1:67" s="24" customFormat="1" ht="15" customHeight="1" x14ac:dyDescent="0.25">
      <c r="A1097" s="288" t="s">
        <v>1163</v>
      </c>
      <c r="B1097" s="241" t="str">
        <f>HYPERLINK(CONCATENATE($AT$3,BK1097,$AU$3),$AV$3)</f>
        <v>S</v>
      </c>
      <c r="C1097" s="242" t="str">
        <f>HYPERLINK(CONCATENATE($AT$4,BK1097,$AU$4,BL1097),$AV$4)</f>
        <v>A</v>
      </c>
      <c r="D1097" s="243" t="s">
        <v>5638</v>
      </c>
      <c r="E1097" s="244" t="s">
        <v>5192</v>
      </c>
      <c r="F1097" s="269" t="s">
        <v>8688</v>
      </c>
      <c r="G1097" s="273">
        <v>3</v>
      </c>
      <c r="H1097" s="283">
        <v>177.56415000000001</v>
      </c>
      <c r="I1097" s="246">
        <v>160</v>
      </c>
      <c r="J1097" s="246">
        <v>2</v>
      </c>
      <c r="K1097" s="247" t="s">
        <v>6151</v>
      </c>
      <c r="L1097" s="248">
        <v>110925</v>
      </c>
      <c r="M1097" s="249">
        <f>15*(LEFT(TEXT($L1097,"000000"),2)+(MID(TEXT($L1097,"000000"),3,2)/60)+(RIGHT(TEXT($L1097,"000000"),2)/3600))</f>
        <v>167.35416666666669</v>
      </c>
      <c r="N1097" s="250">
        <v>-555</v>
      </c>
      <c r="O1097" s="251">
        <f>IF($N1097&gt;0,(LEFT(TEXT($N1097,"000000"),2)+(MID(TEXT($N1097,"000000"),3,2)/60)+(RIGHT(TEXT($N1097,"000000"),2)/3600)),-(MID(TEXT($N1097,"000000"),2,2)+(MID(TEXT($N1097,"000000"),4,2)/60)+(RIGHT(TEXT($N1097,"000000"),2)/3600)))</f>
        <v>-9.8611111111111108E-2</v>
      </c>
      <c r="P1097" s="252" t="s">
        <v>183</v>
      </c>
      <c r="Q1097" s="253"/>
      <c r="R1097" s="277" t="s">
        <v>3293</v>
      </c>
      <c r="S1097" s="272" t="s">
        <v>3293</v>
      </c>
      <c r="T1097" s="273">
        <v>13.4</v>
      </c>
      <c r="U1097" s="289">
        <v>22.29</v>
      </c>
      <c r="V1097" s="280">
        <v>75</v>
      </c>
      <c r="W1097" s="244"/>
      <c r="X1097" s="244"/>
      <c r="Y1097" s="362"/>
      <c r="Z1097" s="257">
        <f>altaz(J2000_Bas,$O1097,$M1097,DecLat,DecLong,1)</f>
        <v>-24.320548849154182</v>
      </c>
      <c r="AA1097" s="257">
        <f>altaz((J2000_Bas+(2*0.04167)),$O1097,$M1097,DecLat,DecLong,1)</f>
        <v>-47.185332253156631</v>
      </c>
      <c r="AB1097" s="257">
        <f>altaz((J2000_Bas+(4*0.04167)),$O1097,$M1097,DecLat,DecLong,1)</f>
        <v>-59.078252781530402</v>
      </c>
      <c r="AC1097" s="257">
        <f>altaz((J2000_Bas+(6*0.04167)),$O1097,$M1097,DecLat,DecLong,1)</f>
        <v>-48.702224290819721</v>
      </c>
      <c r="AD1097" s="258">
        <f>1+ transit((J2000_Bas-1),$O1097,$M1097,DecLat,DecLong)/360 + (GMTOffset/24) + (IF(DST="Y", 1, 0)/24)</f>
        <v>1.4577725993276249</v>
      </c>
      <c r="AE1097" s="259">
        <f>DATE(2001,9,21)+(M1097/360)*365 - (360*((DecLong/360)- (GMTOffset/24) ))</f>
        <v>37329.678530092591</v>
      </c>
      <c r="AF1097" s="260">
        <f>IF(DecLat&gt;0,IF((90 - (DecLat-O1097))&gt;90, (90 - (O1097-DecLat)), (90 - (DecLat-O1097))),IF((90 + (DecLat-O1097))&gt;90, (90 + (O1097-DecLat)), (90 + (DecLat-O1097))))</f>
        <v>58.901388888888889</v>
      </c>
      <c r="AG1097" s="257">
        <f>angularseperation(MoonRA,MoonDec,$M1097,$O1097)</f>
        <v>82.737127324255113</v>
      </c>
      <c r="AH1097" s="261">
        <f ca="1">MIN(100,IF($O$5&gt;80,0+30*($AG1097/100),IF($O$5&gt;70,0+50*($AG1097/100),IF($O$5&gt;60,5+50*($AG1097/100),IF($O$5&gt;50,10+60*($AG1097/100),IF($O$5&gt;40,15+70*($AG1097/100),IF($O$5&gt;30,20+70*($AG1097/100),IF($O$5&gt;20,40+55*($AG1097/100),(80+(20-$O$5)+30*($AG1097/100))))))))))</f>
        <v>100</v>
      </c>
      <c r="AI1097" s="263"/>
      <c r="AJ1097" s="263">
        <v>673</v>
      </c>
      <c r="AK1097" s="263"/>
      <c r="AL1097" s="263"/>
      <c r="AM1097" s="264"/>
      <c r="AN1097" s="263"/>
      <c r="AO1097" s="263"/>
      <c r="AP1097" s="265"/>
      <c r="AQ1097" s="265">
        <v>6200</v>
      </c>
      <c r="AR1097" s="285">
        <v>33817</v>
      </c>
      <c r="AS1097" s="263"/>
      <c r="AT1097" s="263"/>
      <c r="AU1097" s="263"/>
      <c r="AV1097" s="264"/>
      <c r="AW1097" s="263"/>
      <c r="AX1097" s="263"/>
      <c r="AY1097" s="263"/>
      <c r="AZ1097" s="263"/>
      <c r="BA1097" s="263"/>
      <c r="BB1097" s="263"/>
      <c r="BC1097" s="263"/>
      <c r="BD1097" s="264"/>
      <c r="BE1097" s="263"/>
      <c r="BF1097" s="263"/>
      <c r="BG1097" s="263"/>
      <c r="BH1097" s="263"/>
      <c r="BI1097" s="263"/>
      <c r="BJ1097" s="404">
        <f>altaz(J2000_Bas,$O1097,$M1097,DecLat,DecLong,2)</f>
        <v>285.62589058460026</v>
      </c>
      <c r="BK1097" s="378" t="s">
        <v>1163</v>
      </c>
      <c r="BL1097" s="379">
        <f>IF((2*G1097)/60&lt;0.2,0.2,(2*G1097)/60)</f>
        <v>0.2</v>
      </c>
      <c r="BM1097" s="380">
        <f>MOD((50000+AD1097-$B$3+(0/24)),1)</f>
        <v>0.67313952903350582</v>
      </c>
      <c r="BN1097" s="381"/>
      <c r="BO1097" s="382">
        <v>1091</v>
      </c>
    </row>
    <row r="1098" spans="1:67" s="24" customFormat="1" ht="15" customHeight="1" x14ac:dyDescent="0.25">
      <c r="A1098" s="288" t="s">
        <v>3190</v>
      </c>
      <c r="B1098" s="241" t="str">
        <f>HYPERLINK(CONCATENATE($AT$3,BK1098,$AU$3),$AV$3)</f>
        <v>S</v>
      </c>
      <c r="C1098" s="242" t="str">
        <f>HYPERLINK(CONCATENATE($AT$4,BK1098,$AU$4,BL1098),$AV$4)</f>
        <v>A</v>
      </c>
      <c r="D1098" s="243" t="s">
        <v>5638</v>
      </c>
      <c r="E1098" s="244" t="s">
        <v>5192</v>
      </c>
      <c r="F1098" s="269" t="s">
        <v>8895</v>
      </c>
      <c r="G1098" s="273">
        <v>2</v>
      </c>
      <c r="H1098" s="283">
        <v>40</v>
      </c>
      <c r="I1098" s="246">
        <v>25</v>
      </c>
      <c r="J1098" s="246">
        <v>2</v>
      </c>
      <c r="K1098" s="277" t="s">
        <v>4571</v>
      </c>
      <c r="L1098" s="248">
        <v>115834</v>
      </c>
      <c r="M1098" s="249">
        <f>15*(LEFT(TEXT($L1098,"000000"),2)+(MID(TEXT($L1098,"000000"),3,2)/60)+(RIGHT(TEXT($L1098,"000000"),2)/3600))</f>
        <v>179.64166666666665</v>
      </c>
      <c r="N1098" s="250">
        <v>424400</v>
      </c>
      <c r="O1098" s="251">
        <f>IF($N1098&gt;0,(LEFT(TEXT($N1098,"000000"),2)+(MID(TEXT($N1098,"000000"),3,2)/60)+(RIGHT(TEXT($N1098,"000000"),2)/3600)),-(MID(TEXT($N1098,"000000"),2,2)+(MID(TEXT($N1098,"000000"),4,2)/60)+(RIGHT(TEXT($N1098,"000000"),2)/3600)))</f>
        <v>42.733333333333334</v>
      </c>
      <c r="P1098" s="252" t="s">
        <v>3143</v>
      </c>
      <c r="Q1098" s="253"/>
      <c r="R1098" s="277" t="s">
        <v>3293</v>
      </c>
      <c r="S1098" s="272" t="s">
        <v>4569</v>
      </c>
      <c r="T1098" s="273">
        <v>12.4</v>
      </c>
      <c r="U1098" s="289">
        <v>22.69</v>
      </c>
      <c r="V1098" s="280">
        <v>15</v>
      </c>
      <c r="W1098" s="244"/>
      <c r="X1098" s="244"/>
      <c r="Y1098" s="362"/>
      <c r="Z1098" s="257">
        <f>altaz(J2000_Bas,$O1098,$M1098,DecLat,DecLong,1)</f>
        <v>9.9126024244882345</v>
      </c>
      <c r="AA1098" s="257">
        <f>altaz((J2000_Bas+(2*0.04167)),$O1098,$M1098,DecLat,DecLong,1)</f>
        <v>-6.1302930819299224</v>
      </c>
      <c r="AB1098" s="257">
        <f>altaz((J2000_Bas+(4*0.04167)),$O1098,$M1098,DecLat,DecLong,1)</f>
        <v>-15.235627356569234</v>
      </c>
      <c r="AC1098" s="257">
        <f>altaz((J2000_Bas+(6*0.04167)),$O1098,$M1098,DecLat,DecLong,1)</f>
        <v>-14.703798138469699</v>
      </c>
      <c r="AD1098" s="258">
        <f>1+ transit((J2000_Bas-1),$O1098,$M1098,DecLat,DecLong)/360 + (GMTOffset/24) + (IF(DST="Y", 1, 0)/24)</f>
        <v>1.4919045403588747</v>
      </c>
      <c r="AE1098" s="259">
        <f>DATE(2001,9,21)+(M1098/360)*365 - (360*((DecLong/360)- (GMTOffset/24) ))</f>
        <v>37342.136689814812</v>
      </c>
      <c r="AF1098" s="260">
        <f>IF(DecLat&gt;0,IF((90 - (DecLat-O1098))&gt;90, (90 - (O1098-DecLat)), (90 - (DecLat-O1098))),IF((90 + (DecLat-O1098))&gt;90, (90 + (O1098-DecLat)), (90 + (DecLat-O1098))))</f>
        <v>78.266666666666666</v>
      </c>
      <c r="AG1098" s="257">
        <f>angularseperation(MoonRA,MoonDec,$M1098,$O1098)</f>
        <v>94.646362823637531</v>
      </c>
      <c r="AH1098" s="261">
        <f ca="1">MIN(100,IF($O$5&gt;80,0+30*($AG1098/100),IF($O$5&gt;70,0+50*($AG1098/100),IF($O$5&gt;60,5+50*($AG1098/100),IF($O$5&gt;50,10+60*($AG1098/100),IF($O$5&gt;40,15+70*($AG1098/100),IF($O$5&gt;30,20+70*($AG1098/100),IF($O$5&gt;20,40+55*($AG1098/100),(80+(20-$O$5)+30*($AG1098/100))))))))))</f>
        <v>100</v>
      </c>
      <c r="AI1098" s="263"/>
      <c r="AJ1098" s="263">
        <v>749</v>
      </c>
      <c r="AK1098" s="263"/>
      <c r="AL1098" s="263"/>
      <c r="AM1098" s="264"/>
      <c r="AN1098" s="263"/>
      <c r="AO1098" s="263"/>
      <c r="AP1098" s="265"/>
      <c r="AQ1098" s="265">
        <v>6962</v>
      </c>
      <c r="AR1098" s="285">
        <v>37692</v>
      </c>
      <c r="AS1098" s="263"/>
      <c r="AT1098" s="263"/>
      <c r="AU1098" s="263"/>
      <c r="AV1098" s="264"/>
      <c r="AW1098" s="263"/>
      <c r="AX1098" s="263"/>
      <c r="AY1098" s="263"/>
      <c r="AZ1098" s="263"/>
      <c r="BA1098" s="263"/>
      <c r="BB1098" s="263"/>
      <c r="BC1098" s="263"/>
      <c r="BD1098" s="264"/>
      <c r="BE1098" s="263"/>
      <c r="BF1098" s="263"/>
      <c r="BG1098" s="263"/>
      <c r="BH1098" s="263"/>
      <c r="BI1098" s="263"/>
      <c r="BJ1098" s="404">
        <f>altaz(J2000_Bas,$O1098,$M1098,DecLat,DecLong,2)</f>
        <v>314.31932804163614</v>
      </c>
      <c r="BK1098" s="378" t="s">
        <v>3190</v>
      </c>
      <c r="BL1098" s="379">
        <f>IF((2*G1098)/60&lt;0.2,0.2,(2*G1098)/60)</f>
        <v>0.2</v>
      </c>
      <c r="BM1098" s="380">
        <f>MOD((50000+AD1098-$B$3+(0/24)),1)</f>
        <v>0.70727147006255109</v>
      </c>
      <c r="BN1098" s="381"/>
      <c r="BO1098" s="382">
        <v>1092</v>
      </c>
    </row>
    <row r="1099" spans="1:67" s="24" customFormat="1" ht="15" customHeight="1" x14ac:dyDescent="0.25">
      <c r="A1099" s="288" t="s">
        <v>3274</v>
      </c>
      <c r="B1099" s="241" t="str">
        <f>HYPERLINK(CONCATENATE($AT$3,BK1099,$AU$3),$AV$3)</f>
        <v>S</v>
      </c>
      <c r="C1099" s="242" t="str">
        <f>HYPERLINK(CONCATENATE($AT$4,BK1099,$AU$4,BL1099),$AV$4)</f>
        <v>A</v>
      </c>
      <c r="D1099" s="243" t="s">
        <v>5638</v>
      </c>
      <c r="E1099" s="244" t="s">
        <v>5192</v>
      </c>
      <c r="F1099" s="269" t="s">
        <v>8690</v>
      </c>
      <c r="G1099" s="273">
        <v>2.2000000000000002</v>
      </c>
      <c r="H1099" s="283">
        <v>60</v>
      </c>
      <c r="I1099" s="246">
        <v>40</v>
      </c>
      <c r="J1099" s="246">
        <v>2</v>
      </c>
      <c r="K1099" s="277" t="s">
        <v>8040</v>
      </c>
      <c r="L1099" s="248">
        <v>115853</v>
      </c>
      <c r="M1099" s="249">
        <f>15*(LEFT(TEXT($L1099,"000000"),2)+(MID(TEXT($L1099,"000000"),3,2)/60)+(RIGHT(TEXT($L1099,"000000"),2)/3600))</f>
        <v>179.72083333333333</v>
      </c>
      <c r="N1099" s="250">
        <v>424322</v>
      </c>
      <c r="O1099" s="251">
        <f>IF($N1099&gt;0,(LEFT(TEXT($N1099,"000000"),2)+(MID(TEXT($N1099,"000000"),3,2)/60)+(RIGHT(TEXT($N1099,"000000"),2)/3600)),-(MID(TEXT($N1099,"000000"),2,2)+(MID(TEXT($N1099,"000000"),4,2)/60)+(RIGHT(TEXT($N1099,"000000"),2)/3600)))</f>
        <v>42.722777777777779</v>
      </c>
      <c r="P1099" s="252" t="s">
        <v>3143</v>
      </c>
      <c r="Q1099" s="253"/>
      <c r="R1099" s="277" t="s">
        <v>3293</v>
      </c>
      <c r="S1099" s="272" t="s">
        <v>4570</v>
      </c>
      <c r="T1099" s="273">
        <v>12.2</v>
      </c>
      <c r="U1099" s="289">
        <v>21.89</v>
      </c>
      <c r="V1099" s="280">
        <v>20</v>
      </c>
      <c r="W1099" s="244"/>
      <c r="X1099" s="244"/>
      <c r="Y1099" s="362"/>
      <c r="Z1099" s="257">
        <f>altaz(J2000_Bas,$O1099,$M1099,DecLat,DecLong,1)</f>
        <v>9.955363948892229</v>
      </c>
      <c r="AA1099" s="257">
        <f>altaz((J2000_Bas+(2*0.04167)),$O1099,$M1099,DecLat,DecLong,1)</f>
        <v>-6.1042119020422572</v>
      </c>
      <c r="AB1099" s="257">
        <f>altaz((J2000_Bas+(4*0.04167)),$O1099,$M1099,DecLat,DecLong,1)</f>
        <v>-15.233884084949397</v>
      </c>
      <c r="AC1099" s="257">
        <f>altaz((J2000_Bas+(6*0.04167)),$O1099,$M1099,DecLat,DecLong,1)</f>
        <v>-14.728713267012324</v>
      </c>
      <c r="AD1099" s="258">
        <f>1+ transit((J2000_Bas-1),$O1099,$M1099,DecLat,DecLong)/360 + (GMTOffset/24) + (IF(DST="Y", 1, 0)/24)</f>
        <v>1.4921244477442912</v>
      </c>
      <c r="AE1099" s="259">
        <f>DATE(2001,9,21)+(M1099/360)*365 - (360*((DecLong/360)- (GMTOffset/24) ))</f>
        <v>37342.216956018521</v>
      </c>
      <c r="AF1099" s="260">
        <f>IF(DecLat&gt;0,IF((90 - (DecLat-O1099))&gt;90, (90 - (O1099-DecLat)), (90 - (DecLat-O1099))),IF((90 + (DecLat-O1099))&gt;90, (90 + (O1099-DecLat)), (90 + (DecLat-O1099))))</f>
        <v>78.277222222222221</v>
      </c>
      <c r="AG1099" s="257">
        <f>angularseperation(MoonRA,MoonDec,$M1099,$O1099)</f>
        <v>94.591911349478494</v>
      </c>
      <c r="AH1099" s="261">
        <f ca="1">MIN(100,IF($O$5&gt;80,0+30*($AG1099/100),IF($O$5&gt;70,0+50*($AG1099/100),IF($O$5&gt;60,5+50*($AG1099/100),IF($O$5&gt;50,10+60*($AG1099/100),IF($O$5&gt;40,15+70*($AG1099/100),IF($O$5&gt;30,20+70*($AG1099/100),IF($O$5&gt;20,40+55*($AG1099/100),(80+(20-$O$5)+30*($AG1099/100))))))))))</f>
        <v>100</v>
      </c>
      <c r="AI1099" s="263"/>
      <c r="AJ1099" s="263">
        <v>750</v>
      </c>
      <c r="AK1099" s="263"/>
      <c r="AL1099" s="263"/>
      <c r="AM1099" s="264"/>
      <c r="AN1099" s="263"/>
      <c r="AO1099" s="263"/>
      <c r="AP1099" s="265"/>
      <c r="AQ1099" s="265">
        <v>6973</v>
      </c>
      <c r="AR1099" s="285">
        <v>37719</v>
      </c>
      <c r="AS1099" s="263"/>
      <c r="AT1099" s="263"/>
      <c r="AU1099" s="263"/>
      <c r="AV1099" s="264"/>
      <c r="AW1099" s="263"/>
      <c r="AX1099" s="263"/>
      <c r="AY1099" s="263"/>
      <c r="AZ1099" s="263"/>
      <c r="BA1099" s="263"/>
      <c r="BB1099" s="263"/>
      <c r="BC1099" s="263"/>
      <c r="BD1099" s="264"/>
      <c r="BE1099" s="263"/>
      <c r="BF1099" s="263"/>
      <c r="BG1099" s="263"/>
      <c r="BH1099" s="263"/>
      <c r="BI1099" s="263"/>
      <c r="BJ1099" s="404">
        <f>altaz(J2000_Bas,$O1099,$M1099,DecLat,DecLong,2)</f>
        <v>314.27790489837457</v>
      </c>
      <c r="BK1099" s="378" t="s">
        <v>3274</v>
      </c>
      <c r="BL1099" s="379">
        <f>IF((2*G1099)/60&lt;0.2,0.2,(2*G1099)/60)</f>
        <v>0.2</v>
      </c>
      <c r="BM1099" s="380">
        <f>MOD((50000+AD1099-$B$3+(0/24)),1)</f>
        <v>0.70749137744860491</v>
      </c>
      <c r="BN1099" s="381"/>
      <c r="BO1099" s="382">
        <v>1093</v>
      </c>
    </row>
    <row r="1100" spans="1:67" s="24" customFormat="1" ht="15" customHeight="1" x14ac:dyDescent="0.25">
      <c r="A1100" s="287" t="s">
        <v>1164</v>
      </c>
      <c r="B1100" s="241" t="str">
        <f>HYPERLINK(CONCATENATE($AT$3,BK1100,$AU$3),$AV$3)</f>
        <v>S</v>
      </c>
      <c r="C1100" s="242" t="str">
        <f>HYPERLINK(CONCATENATE($AT$4,BK1100,$AU$4,BL1100),$AV$4)</f>
        <v>A</v>
      </c>
      <c r="D1100" s="243" t="s">
        <v>5638</v>
      </c>
      <c r="E1100" s="244" t="s">
        <v>5192</v>
      </c>
      <c r="F1100" s="269" t="s">
        <v>8911</v>
      </c>
      <c r="G1100" s="270">
        <v>0.7</v>
      </c>
      <c r="H1100" s="283">
        <v>314.17631999999998</v>
      </c>
      <c r="I1100" s="246">
        <v>70</v>
      </c>
      <c r="J1100" s="246">
        <v>2</v>
      </c>
      <c r="K1100" s="247" t="s">
        <v>6152</v>
      </c>
      <c r="L1100" s="248">
        <v>122659</v>
      </c>
      <c r="M1100" s="249">
        <f>15*(LEFT(TEXT($L1100,"000000"),2)+(MID(TEXT($L1100,"000000"),3,2)/60)+(RIGHT(TEXT($L1100,"000000"),2)/3600))</f>
        <v>186.74583333333334</v>
      </c>
      <c r="N1100" s="250">
        <v>223822</v>
      </c>
      <c r="O1100" s="251">
        <f>IF($N1100&gt;0,(LEFT(TEXT($N1100,"000000"),2)+(MID(TEXT($N1100,"000000"),3,2)/60)+(RIGHT(TEXT($N1100,"000000"),2)/3600)),-(MID(TEXT($N1100,"000000"),2,2)+(MID(TEXT($N1100,"000000"),4,2)/60)+(RIGHT(TEXT($N1100,"000000"),2)/3600)))</f>
        <v>22.639444444444443</v>
      </c>
      <c r="P1100" s="252" t="s">
        <v>190</v>
      </c>
      <c r="Q1100" s="253"/>
      <c r="R1100" s="277" t="s">
        <v>3293</v>
      </c>
      <c r="S1100" s="272" t="s">
        <v>3293</v>
      </c>
      <c r="T1100" s="273">
        <v>13.1</v>
      </c>
      <c r="U1100" s="289">
        <v>22.09</v>
      </c>
      <c r="V1100" s="280">
        <v>25</v>
      </c>
      <c r="W1100" s="244"/>
      <c r="X1100" s="244"/>
      <c r="Y1100" s="362"/>
      <c r="Z1100" s="257">
        <f>altaz(J2000_Bas,$O1100,$M1100,DecLat,DecLong,1)</f>
        <v>4.0711384273493803</v>
      </c>
      <c r="AA1100" s="257">
        <f>altaz((J2000_Bas+(2*0.04167)),$O1100,$M1100,DecLat,DecLong,1)</f>
        <v>-17.653930198239465</v>
      </c>
      <c r="AB1100" s="257">
        <f>altaz((J2000_Bas+(4*0.04167)),$O1100,$M1100,DecLat,DecLong,1)</f>
        <v>-32.847562288027476</v>
      </c>
      <c r="AC1100" s="257">
        <f>altaz((J2000_Bas+(6*0.04167)),$O1100,$M1100,DecLat,DecLong,1)</f>
        <v>-35.590711110106412</v>
      </c>
      <c r="AD1100" s="258">
        <f>1+ transit((J2000_Bas-1),$O1100,$M1100,DecLat,DecLong)/360 + (GMTOffset/24) + (IF(DST="Y", 1, 0)/24)</f>
        <v>1.5116383346817914</v>
      </c>
      <c r="AE1100" s="259">
        <f>DATE(2001,9,21)+(M1100/360)*365 - (360*((DecLong/360)- (GMTOffset/24) ))</f>
        <v>37349.339525462965</v>
      </c>
      <c r="AF1100" s="260">
        <f>IF(DecLat&gt;0,IF((90 - (DecLat-O1100))&gt;90, (90 - (O1100-DecLat)), (90 - (DecLat-O1100))),IF((90 + (DecLat-O1100))&gt;90, (90 + (O1100-DecLat)), (90 + (DecLat-O1100))))</f>
        <v>81.63944444444445</v>
      </c>
      <c r="AG1100" s="257">
        <f>angularseperation(MoonRA,MoonDec,$M1100,$O1100)</f>
        <v>78.215774798690134</v>
      </c>
      <c r="AH1100" s="261">
        <f ca="1">MIN(100,IF($O$5&gt;80,0+30*($AG1100/100),IF($O$5&gt;70,0+50*($AG1100/100),IF($O$5&gt;60,5+50*($AG1100/100),IF($O$5&gt;50,10+60*($AG1100/100),IF($O$5&gt;40,15+70*($AG1100/100),IF($O$5&gt;30,20+70*($AG1100/100),IF($O$5&gt;20,40+55*($AG1100/100),(80+(20-$O$5)+30*($AG1100/100))))))))))</f>
        <v>100</v>
      </c>
      <c r="AI1100" s="263"/>
      <c r="AJ1100" s="263">
        <v>791</v>
      </c>
      <c r="AK1100" s="263"/>
      <c r="AL1100" s="263"/>
      <c r="AM1100" s="264"/>
      <c r="AN1100" s="263"/>
      <c r="AO1100" s="263"/>
      <c r="AP1100" s="265"/>
      <c r="AQ1100" s="265">
        <v>7555</v>
      </c>
      <c r="AR1100" s="285">
        <v>40783</v>
      </c>
      <c r="AS1100" s="263"/>
      <c r="AT1100" s="263"/>
      <c r="AU1100" s="263"/>
      <c r="AV1100" s="264"/>
      <c r="AW1100" s="263"/>
      <c r="AX1100" s="263"/>
      <c r="AY1100" s="263"/>
      <c r="AZ1100" s="263"/>
      <c r="BA1100" s="263"/>
      <c r="BB1100" s="263"/>
      <c r="BC1100" s="263"/>
      <c r="BD1100" s="264"/>
      <c r="BE1100" s="263"/>
      <c r="BF1100" s="263"/>
      <c r="BG1100" s="263"/>
      <c r="BH1100" s="263"/>
      <c r="BI1100" s="263"/>
      <c r="BJ1100" s="404">
        <f>altaz(J2000_Bas,$O1100,$M1100,DecLat,DecLong,2)</f>
        <v>294.04431808809647</v>
      </c>
      <c r="BK1100" s="378" t="s">
        <v>1164</v>
      </c>
      <c r="BL1100" s="379">
        <f>IF((2*G1100)/60&lt;0.2,0.2,(2*G1100)/60)</f>
        <v>0.2</v>
      </c>
      <c r="BM1100" s="380">
        <f>MOD((50000+AD1100-$B$3+(0/24)),1)</f>
        <v>0.72700526438711677</v>
      </c>
      <c r="BN1100" s="381"/>
      <c r="BO1100" s="382">
        <v>1094</v>
      </c>
    </row>
    <row r="1101" spans="1:67" s="24" customFormat="1" ht="15" customHeight="1" x14ac:dyDescent="0.25">
      <c r="A1101" s="288" t="s">
        <v>3144</v>
      </c>
      <c r="B1101" s="241" t="str">
        <f>HYPERLINK(CONCATENATE($AT$3,BK1101,$AU$3),$AV$3)</f>
        <v>S</v>
      </c>
      <c r="C1101" s="242" t="str">
        <f>HYPERLINK(CONCATENATE($AT$4,BK1101,$AU$4,BL1101),$AV$4)</f>
        <v>A</v>
      </c>
      <c r="D1101" s="243" t="s">
        <v>5638</v>
      </c>
      <c r="E1101" s="244" t="s">
        <v>5337</v>
      </c>
      <c r="F1101" s="269" t="s">
        <v>3310</v>
      </c>
      <c r="G1101" s="270">
        <v>0.6</v>
      </c>
      <c r="H1101" s="283">
        <v>770</v>
      </c>
      <c r="I1101" s="246">
        <v>140</v>
      </c>
      <c r="J1101" s="246">
        <v>3</v>
      </c>
      <c r="K1101" s="277" t="s">
        <v>8511</v>
      </c>
      <c r="L1101" s="248">
        <v>142819</v>
      </c>
      <c r="M1101" s="249">
        <f>15*(LEFT(TEXT($L1101,"000000"),2)+(MID(TEXT($L1101,"000000"),3,2)/60)+(RIGHT(TEXT($L1101,"000000"),2)/3600))</f>
        <v>217.07916666666668</v>
      </c>
      <c r="N1101" s="250">
        <v>152506</v>
      </c>
      <c r="O1101" s="251">
        <f>IF($N1101&gt;0,(LEFT(TEXT($N1101,"000000"),2)+(MID(TEXT($N1101,"000000"),3,2)/60)+(RIGHT(TEXT($N1101,"000000"),2)/3600)),-(MID(TEXT($N1101,"000000"),2,2)+(MID(TEXT($N1101,"000000"),4,2)/60)+(RIGHT(TEXT($N1101,"000000"),2)/3600)))</f>
        <v>15.418333333333333</v>
      </c>
      <c r="P1101" s="252" t="s">
        <v>260</v>
      </c>
      <c r="Q1101" s="253"/>
      <c r="R1101" s="277" t="s">
        <v>3293</v>
      </c>
      <c r="S1101" s="272" t="s">
        <v>3293</v>
      </c>
      <c r="T1101" s="273">
        <v>14.8</v>
      </c>
      <c r="U1101" s="289">
        <v>21.79</v>
      </c>
      <c r="V1101" s="280"/>
      <c r="W1101" s="244"/>
      <c r="X1101" s="244"/>
      <c r="Y1101" s="362"/>
      <c r="Z1101" s="257">
        <f>altaz(J2000_Bas,$O1101,$M1101,DecLat,DecLong,1)</f>
        <v>25.727187712411062</v>
      </c>
      <c r="AA1101" s="257">
        <f>altaz((J2000_Bas+(2*0.04167)),$O1101,$M1101,DecLat,DecLong,1)</f>
        <v>0.43268651653752388</v>
      </c>
      <c r="AB1101" s="257">
        <f>altaz((J2000_Bas+(4*0.04167)),$O1101,$M1101,DecLat,DecLong,1)</f>
        <v>-22.589435401097482</v>
      </c>
      <c r="AC1101" s="257">
        <f>altaz((J2000_Bas+(6*0.04167)),$O1101,$M1101,DecLat,DecLong,1)</f>
        <v>-39.450821462095682</v>
      </c>
      <c r="AD1101" s="258">
        <f>1+ transit((J2000_Bas-1),$O1101,$M1101,DecLat,DecLong)/360 + (GMTOffset/24) + (IF(DST="Y", 1, 0)/24)</f>
        <v>1.5958975855151247</v>
      </c>
      <c r="AE1101" s="259">
        <f>DATE(2001,9,21)+(M1101/360)*365 - (360*((DecLong/360)- (GMTOffset/24) ))</f>
        <v>37380.094155092593</v>
      </c>
      <c r="AF1101" s="260">
        <f>IF(DecLat&gt;0,IF((90 - (DecLat-O1101))&gt;90, (90 - (O1101-DecLat)), (90 - (DecLat-O1101))),IF((90 + (DecLat-O1101))&gt;90, (90 + (O1101-DecLat)), (90 + (DecLat-O1101))))</f>
        <v>74.418333333333337</v>
      </c>
      <c r="AG1101" s="257">
        <f>angularseperation(MoonRA,MoonDec,$M1101,$O1101)</f>
        <v>52.732713159950229</v>
      </c>
      <c r="AH1101" s="261">
        <f ca="1">MIN(100,IF($O$5&gt;80,0+30*($AG1101/100),IF($O$5&gt;70,0+50*($AG1101/100),IF($O$5&gt;60,5+50*($AG1101/100),IF($O$5&gt;50,10+60*($AG1101/100),IF($O$5&gt;40,15+70*($AG1101/100),IF($O$5&gt;30,20+70*($AG1101/100),IF($O$5&gt;20,40+55*($AG1101/100),(80+(20-$O$5)+30*($AG1101/100))))))))))</f>
        <v>99.090874292135496</v>
      </c>
      <c r="AI1101" s="263"/>
      <c r="AJ1101" s="263">
        <v>1015</v>
      </c>
      <c r="AK1101" s="263"/>
      <c r="AL1101" s="263"/>
      <c r="AM1101" s="264"/>
      <c r="AN1101" s="263"/>
      <c r="AO1101" s="263"/>
      <c r="AP1101" s="265"/>
      <c r="AQ1101" s="265"/>
      <c r="AR1101" s="285">
        <v>51686</v>
      </c>
      <c r="AS1101" s="263"/>
      <c r="AT1101" s="263"/>
      <c r="AU1101" s="263"/>
      <c r="AV1101" s="264"/>
      <c r="AW1101" s="263"/>
      <c r="AX1101" s="263"/>
      <c r="AY1101" s="263"/>
      <c r="AZ1101" s="263"/>
      <c r="BA1101" s="263"/>
      <c r="BB1101" s="263"/>
      <c r="BC1101" s="263"/>
      <c r="BD1101" s="264"/>
      <c r="BE1101" s="263"/>
      <c r="BF1101" s="263"/>
      <c r="BG1101" s="263"/>
      <c r="BH1101" s="263"/>
      <c r="BI1101" s="263"/>
      <c r="BJ1101" s="404">
        <f>altaz(J2000_Bas,$O1101,$M1101,DecLat,DecLong,2)</f>
        <v>273.1396768428923</v>
      </c>
      <c r="BK1101" s="378" t="s">
        <v>3144</v>
      </c>
      <c r="BL1101" s="379">
        <f>IF((2*G1101)/60&lt;0.2,0.2,(2*G1101)/60)</f>
        <v>0.2</v>
      </c>
      <c r="BM1101" s="380">
        <f>MOD((50000+AD1101-$B$3+(0/24)),1)</f>
        <v>0.81126451522140997</v>
      </c>
      <c r="BN1101" s="381"/>
      <c r="BO1101" s="382">
        <v>1095</v>
      </c>
    </row>
    <row r="1102" spans="1:67" s="24" customFormat="1" ht="15" customHeight="1" x14ac:dyDescent="0.25">
      <c r="A1102" s="288" t="s">
        <v>1165</v>
      </c>
      <c r="B1102" s="241" t="str">
        <f>HYPERLINK(CONCATENATE($AT$3,BK1102,$AU$3),$AV$3)</f>
        <v>S</v>
      </c>
      <c r="C1102" s="242" t="str">
        <f>HYPERLINK(CONCATENATE($AT$4,BK1102,$AU$4,BL1102),$AV$4)</f>
        <v>A</v>
      </c>
      <c r="D1102" s="243" t="s">
        <v>5638</v>
      </c>
      <c r="E1102" s="244" t="s">
        <v>5192</v>
      </c>
      <c r="F1102" s="269" t="s">
        <v>8701</v>
      </c>
      <c r="G1102" s="273">
        <v>3</v>
      </c>
      <c r="H1102" s="283">
        <v>160</v>
      </c>
      <c r="I1102" s="246">
        <v>135</v>
      </c>
      <c r="J1102" s="246">
        <v>2</v>
      </c>
      <c r="K1102" s="247" t="s">
        <v>8041</v>
      </c>
      <c r="L1102" s="248">
        <v>143227</v>
      </c>
      <c r="M1102" s="249">
        <f>15*(LEFT(TEXT($L1102,"000000"),2)+(MID(TEXT($L1102,"000000"),3,2)/60)+(RIGHT(TEXT($L1102,"000000"),2)/3600))</f>
        <v>218.11250000000001</v>
      </c>
      <c r="N1102" s="250">
        <v>495415</v>
      </c>
      <c r="O1102" s="251">
        <f>IF($N1102&gt;0,(LEFT(TEXT($N1102,"000000"),2)+(MID(TEXT($N1102,"000000"),3,2)/60)+(RIGHT(TEXT($N1102,"000000"),2)/3600)),-(MID(TEXT($N1102,"000000"),2,2)+(MID(TEXT($N1102,"000000"),4,2)/60)+(RIGHT(TEXT($N1102,"000000"),2)/3600)))</f>
        <v>49.904166666666669</v>
      </c>
      <c r="P1102" s="252" t="s">
        <v>260</v>
      </c>
      <c r="Q1102" s="253"/>
      <c r="R1102" s="247" t="s">
        <v>3293</v>
      </c>
      <c r="S1102" s="272" t="s">
        <v>2102</v>
      </c>
      <c r="T1102" s="273">
        <v>12.4</v>
      </c>
      <c r="U1102" s="289">
        <v>21.39</v>
      </c>
      <c r="V1102" s="280">
        <v>84</v>
      </c>
      <c r="W1102" s="244"/>
      <c r="X1102" s="244"/>
      <c r="Y1102" s="362"/>
      <c r="Z1102" s="257">
        <f>altaz(J2000_Bas,$O1102,$M1102,DecLat,DecLong,1)</f>
        <v>36.997455453737722</v>
      </c>
      <c r="AA1102" s="257">
        <f>altaz((J2000_Bas+(2*0.04167)),$O1102,$M1102,DecLat,DecLong,1)</f>
        <v>18.505495159026324</v>
      </c>
      <c r="AB1102" s="257">
        <f>altaz((J2000_Bas+(4*0.04167)),$O1102,$M1102,DecLat,DecLong,1)</f>
        <v>3.0752590990577753</v>
      </c>
      <c r="AC1102" s="257">
        <f>altaz((J2000_Bas+(6*0.04167)),$O1102,$M1102,DecLat,DecLong,1)</f>
        <v>-6.7999813711771964</v>
      </c>
      <c r="AD1102" s="258">
        <f>1+ transit((J2000_Bas-1),$O1102,$M1102,DecLat,DecLong)/360 + (GMTOffset/24) + (IF(DST="Y", 1, 0)/24)</f>
        <v>1.598767955598458</v>
      </c>
      <c r="AE1102" s="259">
        <f>DATE(2001,9,21)+(M1102/360)*365 - (360*((DecLong/360)- (GMTOffset/24) ))</f>
        <v>37381.141840277778</v>
      </c>
      <c r="AF1102" s="260">
        <f>IF(DecLat&gt;0,IF((90 - (DecLat-O1102))&gt;90, (90 - (O1102-DecLat)), (90 - (DecLat-O1102))),IF((90 + (DecLat-O1102))&gt;90, (90 + (O1102-DecLat)), (90 + (DecLat-O1102))))</f>
        <v>71.095833333333331</v>
      </c>
      <c r="AG1102" s="257">
        <f>angularseperation(MoonRA,MoonDec,$M1102,$O1102)</f>
        <v>81.803033777310688</v>
      </c>
      <c r="AH1102" s="261">
        <f ca="1">MIN(100,IF($O$5&gt;80,0+30*($AG1102/100),IF($O$5&gt;70,0+50*($AG1102/100),IF($O$5&gt;60,5+50*($AG1102/100),IF($O$5&gt;50,10+60*($AG1102/100),IF($O$5&gt;40,15+70*($AG1102/100),IF($O$5&gt;30,20+70*($AG1102/100),IF($O$5&gt;20,40+55*($AG1102/100),(80+(20-$O$5)+30*($AG1102/100))))))))))</f>
        <v>100</v>
      </c>
      <c r="AI1102" s="262"/>
      <c r="AJ1102" s="262">
        <v>1029</v>
      </c>
      <c r="AK1102" s="262"/>
      <c r="AL1102" s="263"/>
      <c r="AM1102" s="264"/>
      <c r="AN1102" s="263"/>
      <c r="AO1102" s="263"/>
      <c r="AP1102" s="265"/>
      <c r="AQ1102" s="266">
        <v>9361</v>
      </c>
      <c r="AR1102" s="267">
        <v>51955</v>
      </c>
      <c r="AS1102" s="263"/>
      <c r="AT1102" s="263"/>
      <c r="AU1102" s="263"/>
      <c r="AV1102" s="264"/>
      <c r="AW1102" s="263"/>
      <c r="AX1102" s="263"/>
      <c r="AY1102" s="263"/>
      <c r="AZ1102" s="263"/>
      <c r="BA1102" s="263"/>
      <c r="BB1102" s="263"/>
      <c r="BC1102" s="263"/>
      <c r="BD1102" s="264"/>
      <c r="BE1102" s="263"/>
      <c r="BF1102" s="263"/>
      <c r="BG1102" s="263"/>
      <c r="BH1102" s="263"/>
      <c r="BI1102" s="263"/>
      <c r="BJ1102" s="404">
        <f>altaz(J2000_Bas,$O1102,$M1102,DecLat,DecLong,2)</f>
        <v>311.65749697425053</v>
      </c>
      <c r="BK1102" s="378" t="s">
        <v>1165</v>
      </c>
      <c r="BL1102" s="379">
        <f>IF((2*G1102)/60&lt;0.2,0.2,(2*G1102)/60)</f>
        <v>0.2</v>
      </c>
      <c r="BM1102" s="380">
        <f>MOD((50000+AD1102-$B$3+(0/24)),1)</f>
        <v>0.81413488530233735</v>
      </c>
      <c r="BN1102" s="381"/>
      <c r="BO1102" s="382">
        <v>1096</v>
      </c>
    </row>
    <row r="1103" spans="1:67" s="24" customFormat="1" ht="15" customHeight="1" x14ac:dyDescent="0.25">
      <c r="A1103" s="288" t="s">
        <v>3145</v>
      </c>
      <c r="B1103" s="241" t="str">
        <f>HYPERLINK(CONCATENATE($AT$3,BK1103,$AU$3),$AV$3)</f>
        <v>S</v>
      </c>
      <c r="C1103" s="242" t="str">
        <f>HYPERLINK(CONCATENATE($AT$4,BK1103,$AU$4,BL1103),$AV$4)</f>
        <v>A</v>
      </c>
      <c r="D1103" s="243" t="s">
        <v>5638</v>
      </c>
      <c r="E1103" s="244" t="s">
        <v>5192</v>
      </c>
      <c r="F1103" s="269" t="s">
        <v>8894</v>
      </c>
      <c r="G1103" s="273">
        <v>2.2000000000000002</v>
      </c>
      <c r="H1103" s="283">
        <v>130</v>
      </c>
      <c r="I1103" s="246">
        <v>85</v>
      </c>
      <c r="J1103" s="246">
        <v>2</v>
      </c>
      <c r="K1103" s="277" t="s">
        <v>4572</v>
      </c>
      <c r="L1103" s="248">
        <v>155832</v>
      </c>
      <c r="M1103" s="249">
        <f>15*(LEFT(TEXT($L1103,"000000"),2)+(MID(TEXT($L1103,"000000"),3,2)/60)+(RIGHT(TEXT($L1103,"000000"),2)/3600))</f>
        <v>239.63333333333333</v>
      </c>
      <c r="N1103" s="250">
        <v>172630</v>
      </c>
      <c r="O1103" s="251">
        <f>IF($N1103&gt;0,(LEFT(TEXT($N1103,"000000"),2)+(MID(TEXT($N1103,"000000"),3,2)/60)+(RIGHT(TEXT($N1103,"000000"),2)/3600)),-(MID(TEXT($N1103,"000000"),2,2)+(MID(TEXT($N1103,"000000"),4,2)/60)+(RIGHT(TEXT($N1103,"000000"),2)/3600)))</f>
        <v>17.441666666666666</v>
      </c>
      <c r="P1103" s="252" t="s">
        <v>115</v>
      </c>
      <c r="Q1103" s="253"/>
      <c r="R1103" s="277" t="s">
        <v>3293</v>
      </c>
      <c r="S1103" s="272" t="s">
        <v>3293</v>
      </c>
      <c r="T1103" s="273">
        <v>13</v>
      </c>
      <c r="U1103" s="289">
        <v>22.490000000000002</v>
      </c>
      <c r="V1103" s="280">
        <v>70</v>
      </c>
      <c r="W1103" s="244"/>
      <c r="X1103" s="244"/>
      <c r="Y1103" s="362"/>
      <c r="Z1103" s="257">
        <f>altaz(J2000_Bas,$O1103,$M1103,DecLat,DecLong,1)</f>
        <v>45.94175413005744</v>
      </c>
      <c r="AA1103" s="257">
        <f>altaz((J2000_Bas+(2*0.04167)),$O1103,$M1103,DecLat,DecLong,1)</f>
        <v>20.23777847722339</v>
      </c>
      <c r="AB1103" s="257">
        <f>altaz((J2000_Bas+(4*0.04167)),$O1103,$M1103,DecLat,DecLong,1)</f>
        <v>-4.4969461419209935</v>
      </c>
      <c r="AC1103" s="257">
        <f>altaz((J2000_Bas+(6*0.04167)),$O1103,$M1103,DecLat,DecLong,1)</f>
        <v>-26.104616087442523</v>
      </c>
      <c r="AD1103" s="258">
        <f>1+ transit((J2000_Bas-1),$O1103,$M1103,DecLat,DecLong)/360 + (GMTOffset/24) + (IF(DST="Y", 1, 0)/24)</f>
        <v>1.6585480422130414</v>
      </c>
      <c r="AE1103" s="259">
        <f>DATE(2001,9,21)+(M1103/360)*365 - (360*((DecLong/360)- (GMTOffset/24) ))</f>
        <v>37402.961574074077</v>
      </c>
      <c r="AF1103" s="260">
        <f>IF(DecLat&gt;0,IF((90 - (DecLat-O1103))&gt;90, (90 - (O1103-DecLat)), (90 - (DecLat-O1103))),IF((90 + (DecLat-O1103))&gt;90, (90 + (O1103-DecLat)), (90 + (DecLat-O1103))))</f>
        <v>76.441666666666663</v>
      </c>
      <c r="AG1103" s="257">
        <f>angularseperation(MoonRA,MoonDec,$M1103,$O1103)</f>
        <v>45.49118299544886</v>
      </c>
      <c r="AH1103" s="261">
        <f ca="1">MIN(100,IF($O$5&gt;80,0+30*($AG1103/100),IF($O$5&gt;70,0+50*($AG1103/100),IF($O$5&gt;60,5+50*($AG1103/100),IF($O$5&gt;50,10+60*($AG1103/100),IF($O$5&gt;40,15+70*($AG1103/100),IF($O$5&gt;30,20+70*($AG1103/100),IF($O$5&gt;20,40+55*($AG1103/100),(80+(20-$O$5)+30*($AG1103/100))))))))))</f>
        <v>96.918415242785088</v>
      </c>
      <c r="AI1103" s="263"/>
      <c r="AJ1103" s="263">
        <v>1151</v>
      </c>
      <c r="AK1103" s="263"/>
      <c r="AL1103" s="263"/>
      <c r="AM1103" s="264"/>
      <c r="AN1103" s="263"/>
      <c r="AO1103" s="263"/>
      <c r="AP1103" s="265"/>
      <c r="AQ1103" s="265">
        <v>10113</v>
      </c>
      <c r="AR1103" s="285">
        <v>56537</v>
      </c>
      <c r="AS1103" s="263"/>
      <c r="AT1103" s="263"/>
      <c r="AU1103" s="263"/>
      <c r="AV1103" s="264"/>
      <c r="AW1103" s="263"/>
      <c r="AX1103" s="263"/>
      <c r="AY1103" s="263"/>
      <c r="AZ1103" s="263"/>
      <c r="BA1103" s="263"/>
      <c r="BB1103" s="263"/>
      <c r="BC1103" s="263"/>
      <c r="BD1103" s="264"/>
      <c r="BE1103" s="263"/>
      <c r="BF1103" s="263"/>
      <c r="BG1103" s="263"/>
      <c r="BH1103" s="263"/>
      <c r="BI1103" s="263"/>
      <c r="BJ1103" s="404">
        <f>altaz(J2000_Bas,$O1103,$M1103,DecLat,DecLong,2)</f>
        <v>263.21816262462443</v>
      </c>
      <c r="BK1103" s="378" t="s">
        <v>3145</v>
      </c>
      <c r="BL1103" s="379">
        <f>IF((2*G1103)/60&lt;0.2,0.2,(2*G1103)/60)</f>
        <v>0.2</v>
      </c>
      <c r="BM1103" s="380">
        <f>MOD((50000+AD1103-$B$3+(0/24)),1)</f>
        <v>0.87391497191856615</v>
      </c>
      <c r="BN1103" s="381"/>
      <c r="BO1103" s="382">
        <v>1097</v>
      </c>
    </row>
    <row r="1104" spans="1:67" s="24" customFormat="1" ht="15" customHeight="1" x14ac:dyDescent="0.25">
      <c r="A1104" s="288" t="s">
        <v>7569</v>
      </c>
      <c r="B1104" s="241" t="str">
        <f>HYPERLINK(CONCATENATE($AT$3,BK1104,$AU$3),$AV$3)</f>
        <v>S</v>
      </c>
      <c r="C1104" s="242" t="str">
        <f>HYPERLINK(CONCATENATE($AT$4,BK1104,$AU$4,BL1104),$AV$4)</f>
        <v>A</v>
      </c>
      <c r="D1104" s="243" t="s">
        <v>5638</v>
      </c>
      <c r="E1104" s="244" t="s">
        <v>5625</v>
      </c>
      <c r="F1104" s="290">
        <v>4</v>
      </c>
      <c r="G1104" s="294">
        <v>0.8</v>
      </c>
      <c r="H1104" s="283">
        <v>500</v>
      </c>
      <c r="I1104" s="284">
        <v>120</v>
      </c>
      <c r="J1104" s="295">
        <v>2</v>
      </c>
      <c r="K1104" s="247" t="s">
        <v>4618</v>
      </c>
      <c r="L1104" s="248">
        <v>160356</v>
      </c>
      <c r="M1104" s="249">
        <f>15*(LEFT(TEXT($L1104,"000000"),2)+(MID(TEXT($L1104,"000000"),3,2)/60)+(RIGHT(TEXT($L1104,"000000"),2)/3600))</f>
        <v>240.98333333333332</v>
      </c>
      <c r="N1104" s="250">
        <v>145407</v>
      </c>
      <c r="O1104" s="251">
        <f>IF($N1104&gt;0,(LEFT(TEXT($N1104,"000000"),2)+(MID(TEXT($N1104,"000000"),3,2)/60)+(RIGHT(TEXT($N1104,"000000"),2)/3600)),-(MID(TEXT($N1104,"000000"),2,2)+(MID(TEXT($N1104,"000000"),4,2)/60)+(RIGHT(TEXT($N1104,"000000"),2)/3600)))</f>
        <v>14.901944444444444</v>
      </c>
      <c r="P1104" s="252" t="s">
        <v>115</v>
      </c>
      <c r="Q1104" s="253"/>
      <c r="R1104" s="247" t="s">
        <v>3293</v>
      </c>
      <c r="S1104" s="272" t="s">
        <v>3293</v>
      </c>
      <c r="T1104" s="273">
        <v>14.5</v>
      </c>
      <c r="U1104" s="289">
        <v>22.69</v>
      </c>
      <c r="V1104" s="280"/>
      <c r="W1104" s="244"/>
      <c r="X1104" s="244"/>
      <c r="Y1104" s="362"/>
      <c r="Z1104" s="257">
        <f>altaz(J2000_Bas,$O1104,$M1104,DecLat,DecLong,1)</f>
        <v>45.887673881666409</v>
      </c>
      <c r="AA1104" s="257">
        <f>altaz((J2000_Bas+(2*0.04167)),$O1104,$M1104,DecLat,DecLong,1)</f>
        <v>20.205570825182321</v>
      </c>
      <c r="AB1104" s="257">
        <f>altaz((J2000_Bas+(4*0.04167)),$O1104,$M1104,DecLat,DecLong,1)</f>
        <v>-4.8512536777185655</v>
      </c>
      <c r="AC1104" s="257">
        <f>altaz((J2000_Bas+(6*0.04167)),$O1104,$M1104,DecLat,DecLong,1)</f>
        <v>-27.132970759609591</v>
      </c>
      <c r="AD1104" s="258">
        <f>1+ transit((J2000_Bas-1),$O1104,$M1104,DecLat,DecLong)/360 + (GMTOffset/24) + (IF(DST="Y", 1, 0)/24)</f>
        <v>1.6622980418380413</v>
      </c>
      <c r="AE1104" s="259">
        <f>DATE(2001,9,21)+(M1104/360)*365 - (360*((DecLong/360)- (GMTOffset/24) ))</f>
        <v>37404.330324074072</v>
      </c>
      <c r="AF1104" s="260">
        <f>IF(DecLat&gt;0,IF((90 - (DecLat-O1104))&gt;90, (90 - (O1104-DecLat)), (90 - (DecLat-O1104))),IF((90 + (DecLat-O1104))&gt;90, (90 + (O1104-DecLat)), (90 + (DecLat-O1104))))</f>
        <v>73.901944444444439</v>
      </c>
      <c r="AG1104" s="257">
        <f>angularseperation(MoonRA,MoonDec,$M1104,$O1104)</f>
        <v>42.744684870999038</v>
      </c>
      <c r="AH1104" s="261">
        <f ca="1">MIN(100,IF($O$5&gt;80,0+30*($AG1104/100),IF($O$5&gt;70,0+50*($AG1104/100),IF($O$5&gt;60,5+50*($AG1104/100),IF($O$5&gt;50,10+60*($AG1104/100),IF($O$5&gt;40,15+70*($AG1104/100),IF($O$5&gt;30,20+70*($AG1104/100),IF($O$5&gt;20,40+55*($AG1104/100),(80+(20-$O$5)+30*($AG1104/100))))))))))</f>
        <v>96.094465805450142</v>
      </c>
      <c r="AI1104" s="262"/>
      <c r="AJ1104" s="262">
        <v>1168</v>
      </c>
      <c r="AK1104" s="262"/>
      <c r="AL1104" s="263"/>
      <c r="AM1104" s="264"/>
      <c r="AN1104" s="263"/>
      <c r="AO1104" s="263"/>
      <c r="AP1104" s="265"/>
      <c r="AQ1104" s="266"/>
      <c r="AR1104" s="267">
        <v>56901</v>
      </c>
      <c r="AS1104" s="263"/>
      <c r="AT1104" s="263"/>
      <c r="AU1104" s="263"/>
      <c r="AV1104" s="264"/>
      <c r="AW1104" s="263"/>
      <c r="AX1104" s="263"/>
      <c r="AY1104" s="263"/>
      <c r="AZ1104" s="263"/>
      <c r="BA1104" s="263"/>
      <c r="BB1104" s="263"/>
      <c r="BC1104" s="263"/>
      <c r="BD1104" s="264"/>
      <c r="BE1104" s="263"/>
      <c r="BF1104" s="263"/>
      <c r="BG1104" s="263"/>
      <c r="BH1104" s="263"/>
      <c r="BI1104" s="263"/>
      <c r="BJ1104" s="404">
        <f>altaz(J2000_Bas,$O1104,$M1104,DecLat,DecLong,2)</f>
        <v>259.11988856668887</v>
      </c>
      <c r="BK1104" s="378" t="s">
        <v>1166</v>
      </c>
      <c r="BL1104" s="379">
        <f>IF((2*G1104)/60&lt;0.2,0.2,(2*G1104)/60)</f>
        <v>0.2</v>
      </c>
      <c r="BM1104" s="380">
        <f>MOD((50000+AD1104-$B$3+(0/24)),1)</f>
        <v>0.87766497154370882</v>
      </c>
      <c r="BN1104" s="381"/>
      <c r="BO1104" s="382">
        <v>1098</v>
      </c>
    </row>
    <row r="1105" spans="1:67" s="24" customFormat="1" ht="15" customHeight="1" x14ac:dyDescent="0.25">
      <c r="A1105" s="288" t="s">
        <v>1167</v>
      </c>
      <c r="B1105" s="241" t="str">
        <f>HYPERLINK(CONCATENATE($AT$3,BK1105,$AU$3),$AV$3)</f>
        <v>S</v>
      </c>
      <c r="C1105" s="242" t="str">
        <f>HYPERLINK(CONCATENATE($AT$4,BK1105,$AU$4,BL1105),$AV$4)</f>
        <v>A</v>
      </c>
      <c r="D1105" s="243" t="s">
        <v>5638</v>
      </c>
      <c r="E1105" s="244" t="s">
        <v>5337</v>
      </c>
      <c r="F1105" s="269" t="s">
        <v>3316</v>
      </c>
      <c r="G1105" s="270">
        <v>0.7</v>
      </c>
      <c r="H1105" s="283">
        <v>500</v>
      </c>
      <c r="I1105" s="246">
        <v>100</v>
      </c>
      <c r="J1105" s="246">
        <v>2</v>
      </c>
      <c r="K1105" s="247" t="s">
        <v>4573</v>
      </c>
      <c r="L1105" s="248">
        <v>160537</v>
      </c>
      <c r="M1105" s="249">
        <f>15*(LEFT(TEXT($L1105,"000000"),2)+(MID(TEXT($L1105,"000000"),3,2)/60)+(RIGHT(TEXT($L1105,"000000"),2)/3600))</f>
        <v>241.40416666666664</v>
      </c>
      <c r="N1105" s="250">
        <v>174806</v>
      </c>
      <c r="O1105" s="251">
        <f>IF($N1105&gt;0,(LEFT(TEXT($N1105,"000000"),2)+(MID(TEXT($N1105,"000000"),3,2)/60)+(RIGHT(TEXT($N1105,"000000"),2)/3600)),-(MID(TEXT($N1105,"000000"),2,2)+(MID(TEXT($N1105,"000000"),4,2)/60)+(RIGHT(TEXT($N1105,"000000"),2)/3600)))</f>
        <v>17.801666666666666</v>
      </c>
      <c r="P1105" s="252" t="s">
        <v>111</v>
      </c>
      <c r="Q1105" s="253"/>
      <c r="R1105" s="247" t="s">
        <v>3293</v>
      </c>
      <c r="S1105" s="272" t="s">
        <v>3293</v>
      </c>
      <c r="T1105" s="273">
        <v>14.2</v>
      </c>
      <c r="U1105" s="289">
        <v>21.79</v>
      </c>
      <c r="V1105" s="280"/>
      <c r="W1105" s="244"/>
      <c r="X1105" s="244"/>
      <c r="Y1105" s="362"/>
      <c r="Z1105" s="257">
        <f>altaz(J2000_Bas,$O1105,$M1105,DecLat,DecLong,1)</f>
        <v>47.610402381744088</v>
      </c>
      <c r="AA1105" s="257">
        <f>altaz((J2000_Bas+(2*0.04167)),$O1105,$M1105,DecLat,DecLong,1)</f>
        <v>21.903613060601842</v>
      </c>
      <c r="AB1105" s="257">
        <f>altaz((J2000_Bas+(4*0.04167)),$O1105,$M1105,DecLat,DecLong,1)</f>
        <v>-2.8986916621203944</v>
      </c>
      <c r="AC1105" s="257">
        <f>altaz((J2000_Bas+(6*0.04167)),$O1105,$M1105,DecLat,DecLong,1)</f>
        <v>-24.717085565432615</v>
      </c>
      <c r="AD1105" s="258">
        <f>1+ transit((J2000_Bas-1),$O1105,$M1105,DecLat,DecLong)/360 + (GMTOffset/24) + (IF(DST="Y", 1, 0)/24)</f>
        <v>1.6634670232026247</v>
      </c>
      <c r="AE1105" s="259">
        <f>DATE(2001,9,21)+(M1105/360)*365 - (360*((DecLong/360)- (GMTOffset/24) ))</f>
        <v>37404.757002314815</v>
      </c>
      <c r="AF1105" s="260">
        <f>IF(DecLat&gt;0,IF((90 - (DecLat-O1105))&gt;90, (90 - (O1105-DecLat)), (90 - (DecLat-O1105))),IF((90 + (DecLat-O1105))&gt;90, (90 + (O1105-DecLat)), (90 + (DecLat-O1105))))</f>
        <v>76.801666666666662</v>
      </c>
      <c r="AG1105" s="257">
        <f>angularseperation(MoonRA,MoonDec,$M1105,$O1105)</f>
        <v>45.525148969739995</v>
      </c>
      <c r="AH1105" s="261">
        <f ca="1">MIN(100,IF($O$5&gt;80,0+30*($AG1105/100),IF($O$5&gt;70,0+50*($AG1105/100),IF($O$5&gt;60,5+50*($AG1105/100),IF($O$5&gt;50,10+60*($AG1105/100),IF($O$5&gt;40,15+70*($AG1105/100),IF($O$5&gt;30,20+70*($AG1105/100),IF($O$5&gt;20,40+55*($AG1105/100),(80+(20-$O$5)+30*($AG1105/100))))))))))</f>
        <v>96.928605035072422</v>
      </c>
      <c r="AI1105" s="262"/>
      <c r="AJ1105" s="262">
        <v>1182</v>
      </c>
      <c r="AK1105" s="262"/>
      <c r="AL1105" s="263"/>
      <c r="AM1105" s="264"/>
      <c r="AN1105" s="263"/>
      <c r="AO1105" s="263"/>
      <c r="AP1105" s="265"/>
      <c r="AQ1105" s="266">
        <v>10192</v>
      </c>
      <c r="AR1105" s="267">
        <v>57084</v>
      </c>
      <c r="AS1105" s="263"/>
      <c r="AT1105" s="263"/>
      <c r="AU1105" s="263"/>
      <c r="AV1105" s="264"/>
      <c r="AW1105" s="263"/>
      <c r="AX1105" s="263"/>
      <c r="AY1105" s="263"/>
      <c r="AZ1105" s="263"/>
      <c r="BA1105" s="263"/>
      <c r="BB1105" s="263"/>
      <c r="BC1105" s="263"/>
      <c r="BD1105" s="264"/>
      <c r="BE1105" s="263"/>
      <c r="BF1105" s="263"/>
      <c r="BG1105" s="263"/>
      <c r="BH1105" s="263"/>
      <c r="BI1105" s="263"/>
      <c r="BJ1105" s="404">
        <f>altaz(J2000_Bas,$O1105,$M1105,DecLat,DecLong,2)</f>
        <v>262.57551341541034</v>
      </c>
      <c r="BK1105" s="378" t="s">
        <v>1167</v>
      </c>
      <c r="BL1105" s="379">
        <f>IF((2*G1105)/60&lt;0.2,0.2,(2*G1105)/60)</f>
        <v>0.2</v>
      </c>
      <c r="BM1105" s="380">
        <f>MOD((50000+AD1105-$B$3+(0/24)),1)</f>
        <v>0.878833952905552</v>
      </c>
      <c r="BN1105" s="381" t="s">
        <v>9281</v>
      </c>
      <c r="BO1105" s="382">
        <v>1099</v>
      </c>
    </row>
    <row r="1106" spans="1:67" s="24" customFormat="1" ht="15" customHeight="1" x14ac:dyDescent="0.25">
      <c r="A1106" s="288" t="s">
        <v>7655</v>
      </c>
      <c r="B1106" s="241" t="str">
        <f>HYPERLINK(CONCATENATE($AT$3,BK1106,$AU$3),$AV$3)</f>
        <v>S</v>
      </c>
      <c r="C1106" s="242" t="str">
        <f>HYPERLINK(CONCATENATE($AT$4,BK1106,$AU$4,BL1106),$AV$4)</f>
        <v>A</v>
      </c>
      <c r="D1106" s="243" t="s">
        <v>5638</v>
      </c>
      <c r="E1106" s="244" t="s">
        <v>5178</v>
      </c>
      <c r="F1106" s="269"/>
      <c r="G1106" s="270">
        <v>0.6</v>
      </c>
      <c r="H1106" s="283">
        <v>650</v>
      </c>
      <c r="I1106" s="246">
        <v>110</v>
      </c>
      <c r="J1106" s="246">
        <v>1</v>
      </c>
      <c r="K1106" s="247" t="s">
        <v>4574</v>
      </c>
      <c r="L1106" s="248">
        <v>172326</v>
      </c>
      <c r="M1106" s="249">
        <f>15*(LEFT(TEXT($L1106,"000000"),2)+(MID(TEXT($L1106,"000000"),3,2)/60)+(RIGHT(TEXT($L1106,"000000"),2)/3600))</f>
        <v>260.85833333333329</v>
      </c>
      <c r="N1106" s="250">
        <v>711546</v>
      </c>
      <c r="O1106" s="251">
        <f>IF($N1106&gt;0,(LEFT(TEXT($N1106,"000000"),2)+(MID(TEXT($N1106,"000000"),3,2)/60)+(RIGHT(TEXT($N1106,"000000"),2)/3600)),-(MID(TEXT($N1106,"000000"),2,2)+(MID(TEXT($N1106,"000000"),4,2)/60)+(RIGHT(TEXT($N1106,"000000"),2)/3600)))</f>
        <v>71.262777777777771</v>
      </c>
      <c r="P1106" s="252" t="s">
        <v>34</v>
      </c>
      <c r="Q1106" s="253"/>
      <c r="R1106" s="247" t="s">
        <v>3293</v>
      </c>
      <c r="S1106" s="272" t="s">
        <v>3293</v>
      </c>
      <c r="T1106" s="273">
        <v>15</v>
      </c>
      <c r="U1106" s="289">
        <v>23.29</v>
      </c>
      <c r="V1106" s="280"/>
      <c r="W1106" s="244"/>
      <c r="X1106" s="244"/>
      <c r="Y1106" s="362"/>
      <c r="Z1106" s="257">
        <f>altaz(J2000_Bas,$O1106,$M1106,DecLat,DecLong,1)</f>
        <v>47.47620471448603</v>
      </c>
      <c r="AA1106" s="257">
        <f>altaz((J2000_Bas+(2*0.04167)),$O1106,$M1106,DecLat,DecLong,1)</f>
        <v>40.148588520854098</v>
      </c>
      <c r="AB1106" s="257">
        <f>altaz((J2000_Bas+(4*0.04167)),$O1106,$M1106,DecLat,DecLong,1)</f>
        <v>30.679774707490697</v>
      </c>
      <c r="AC1106" s="257">
        <f>altaz((J2000_Bas+(6*0.04167)),$O1106,$M1106,DecLat,DecLong,1)</f>
        <v>21.693740736027756</v>
      </c>
      <c r="AD1106" s="258">
        <f>1+ transit((J2000_Bas-1),$O1106,$M1106,DecLat,DecLong)/360 + (GMTOffset/24) + (IF(DST="Y", 1, 0)/24)</f>
        <v>1.7175063696505413</v>
      </c>
      <c r="AE1106" s="259">
        <f>DATE(2001,9,21)+(M1106/360)*365 - (360*((DecLong/360)- (GMTOffset/24) ))</f>
        <v>37424.481365740743</v>
      </c>
      <c r="AF1106" s="260">
        <f>IF(DecLat&gt;0,IF((90 - (DecLat-O1106))&gt;90, (90 - (O1106-DecLat)), (90 - (DecLat-O1106))),IF((90 + (DecLat-O1106))&gt;90, (90 + (O1106-DecLat)), (90 + (DecLat-O1106))))</f>
        <v>49.737222222222229</v>
      </c>
      <c r="AG1106" s="257">
        <f>angularseperation(MoonRA,MoonDec,$M1106,$O1106)</f>
        <v>98.686253307134535</v>
      </c>
      <c r="AH1106" s="261">
        <f ca="1">MIN(100,IF($O$5&gt;80,0+30*($AG1106/100),IF($O$5&gt;70,0+50*($AG1106/100),IF($O$5&gt;60,5+50*($AG1106/100),IF($O$5&gt;50,10+60*($AG1106/100),IF($O$5&gt;40,15+70*($AG1106/100),IF($O$5&gt;30,20+70*($AG1106/100),IF($O$5&gt;20,40+55*($AG1106/100),(80+(20-$O$5)+30*($AG1106/100))))))))))</f>
        <v>100</v>
      </c>
      <c r="AI1106" s="262"/>
      <c r="AJ1106" s="262">
        <v>1261</v>
      </c>
      <c r="AK1106" s="262"/>
      <c r="AL1106" s="263"/>
      <c r="AM1106" s="264"/>
      <c r="AN1106" s="263"/>
      <c r="AO1106" s="263"/>
      <c r="AP1106" s="265"/>
      <c r="AQ1106" s="266"/>
      <c r="AR1106" s="267">
        <v>60185</v>
      </c>
      <c r="AS1106" s="263"/>
      <c r="AT1106" s="263"/>
      <c r="AU1106" s="263"/>
      <c r="AV1106" s="264"/>
      <c r="AW1106" s="263"/>
      <c r="AX1106" s="263"/>
      <c r="AY1106" s="263"/>
      <c r="AZ1106" s="263"/>
      <c r="BA1106" s="263"/>
      <c r="BB1106" s="263"/>
      <c r="BC1106" s="263"/>
      <c r="BD1106" s="264"/>
      <c r="BE1106" s="263"/>
      <c r="BF1106" s="263"/>
      <c r="BG1106" s="263"/>
      <c r="BH1106" s="263"/>
      <c r="BI1106" s="263"/>
      <c r="BJ1106" s="404">
        <f>altaz(J2000_Bas,$O1106,$M1106,DecLat,DecLong,2)</f>
        <v>348.3496427757247</v>
      </c>
      <c r="BK1106" s="378" t="s">
        <v>1168</v>
      </c>
      <c r="BL1106" s="379">
        <f>IF((2*G1106)/60&lt;0.2,0.2,(2*G1106)/60)</f>
        <v>0.2</v>
      </c>
      <c r="BM1106" s="380">
        <f>MOD((50000+AD1106-$B$3+(0/24)),1)</f>
        <v>0.93287329935265006</v>
      </c>
      <c r="BN1106" s="381"/>
      <c r="BO1106" s="382">
        <v>1100</v>
      </c>
    </row>
    <row r="1107" spans="1:67" s="24" customFormat="1" ht="15" customHeight="1" x14ac:dyDescent="0.25">
      <c r="A1107" s="287" t="s">
        <v>1169</v>
      </c>
      <c r="B1107" s="241" t="str">
        <f>HYPERLINK(CONCATENATE($AT$3,BK1107,$AU$3),$AV$3)</f>
        <v>S</v>
      </c>
      <c r="C1107" s="242" t="str">
        <f>HYPERLINK(CONCATENATE($AT$4,BK1107,$AU$4,BL1107),$AV$4)</f>
        <v>A</v>
      </c>
      <c r="D1107" s="243" t="s">
        <v>5335</v>
      </c>
      <c r="E1107" s="244" t="s">
        <v>5184</v>
      </c>
      <c r="F1107" s="269" t="s">
        <v>3308</v>
      </c>
      <c r="G1107" s="273">
        <v>7.1</v>
      </c>
      <c r="H1107" s="283">
        <v>17600</v>
      </c>
      <c r="I1107" s="246">
        <v>40</v>
      </c>
      <c r="J1107" s="246">
        <v>2</v>
      </c>
      <c r="K1107" s="247" t="s">
        <v>6153</v>
      </c>
      <c r="L1107" s="248">
        <v>181045</v>
      </c>
      <c r="M1107" s="249">
        <f>15*(LEFT(TEXT($L1107,"000000"),2)+(MID(TEXT($L1107,"000000"),3,2)/60)+(RIGHT(TEXT($L1107,"000000"),2)/3600))</f>
        <v>272.6875</v>
      </c>
      <c r="N1107" s="250">
        <v>-71246</v>
      </c>
      <c r="O1107" s="251">
        <f>IF($N1107&gt;0,(LEFT(TEXT($N1107,"000000"),2)+(MID(TEXT($N1107,"000000"),3,2)/60)+(RIGHT(TEXT($N1107,"000000"),2)/3600)),-(MID(TEXT($N1107,"000000"),2,2)+(MID(TEXT($N1107,"000000"),4,2)/60)+(RIGHT(TEXT($N1107,"000000"),2)/3600)))</f>
        <v>-7.2127777777777782</v>
      </c>
      <c r="P1107" s="252" t="s">
        <v>115</v>
      </c>
      <c r="Q1107" s="253"/>
      <c r="R1107" s="277" t="s">
        <v>6154</v>
      </c>
      <c r="S1107" s="272" t="s">
        <v>3293</v>
      </c>
      <c r="T1107" s="273">
        <v>10.3</v>
      </c>
      <c r="U1107" s="274"/>
      <c r="V1107" s="280"/>
      <c r="W1107" s="244"/>
      <c r="X1107" s="244"/>
      <c r="Y1107" s="362"/>
      <c r="Z1107" s="257">
        <f>altaz(J2000_Bas,$O1107,$M1107,DecLat,DecLong,1)</f>
        <v>49.71689484516304</v>
      </c>
      <c r="AA1107" s="257">
        <f>altaz((J2000_Bas+(2*0.04167)),$O1107,$M1107,DecLat,DecLong,1)</f>
        <v>33.587217225224933</v>
      </c>
      <c r="AB1107" s="257">
        <f>altaz((J2000_Bas+(4*0.04167)),$O1107,$M1107,DecLat,DecLong,1)</f>
        <v>10.199810098063697</v>
      </c>
      <c r="AC1107" s="257">
        <f>altaz((J2000_Bas+(6*0.04167)),$O1107,$M1107,DecLat,DecLong,1)</f>
        <v>-15.31798372268381</v>
      </c>
      <c r="AD1107" s="258">
        <f>1+ transit((J2000_Bas-1),$O1107,$M1107,DecLat,DecLong)/360 + (GMTOffset/24) + (IF(DST="Y", 1, 0)/24)</f>
        <v>1.7503651626609582</v>
      </c>
      <c r="AE1107" s="259">
        <f>DATE(2001,9,21)+(M1107/360)*365 - (360*((DecLong/360)- (GMTOffset/24) ))</f>
        <v>37436.474826388891</v>
      </c>
      <c r="AF1107" s="260">
        <f>IF(DecLat&gt;0,IF((90 - (DecLat-O1107))&gt;90, (90 - (O1107-DecLat)), (90 - (DecLat-O1107))),IF((90 + (DecLat-O1107))&gt;90, (90 + (O1107-DecLat)), (90 + (DecLat-O1107))))</f>
        <v>51.787222222222219</v>
      </c>
      <c r="AG1107" s="257">
        <f>angularseperation(MoonRA,MoonDec,$M1107,$O1107)</f>
        <v>29.826878130298599</v>
      </c>
      <c r="AH1107" s="261">
        <f ca="1">MIN(100,IF($O$5&gt;80,0+30*($AG1107/100),IF($O$5&gt;70,0+50*($AG1107/100),IF($O$5&gt;60,5+50*($AG1107/100),IF($O$5&gt;50,10+60*($AG1107/100),IF($O$5&gt;40,15+70*($AG1107/100),IF($O$5&gt;30,20+70*($AG1107/100),IF($O$5&gt;20,40+55*($AG1107/100),(80+(20-$O$5)+30*($AG1107/100))))))))))</f>
        <v>92.219123783240008</v>
      </c>
      <c r="AI1107" s="263"/>
      <c r="AJ1107" s="263">
        <v>1276</v>
      </c>
      <c r="AK1107" s="263"/>
      <c r="AL1107" s="263"/>
      <c r="AM1107" s="264"/>
      <c r="AN1107" s="263"/>
      <c r="AO1107" s="263"/>
      <c r="AP1107" s="265"/>
      <c r="AQ1107" s="265"/>
      <c r="AR1107" s="285"/>
      <c r="AS1107" s="263"/>
      <c r="AT1107" s="263"/>
      <c r="AU1107" s="263"/>
      <c r="AV1107" s="264"/>
      <c r="AW1107" s="263"/>
      <c r="AX1107" s="263"/>
      <c r="AY1107" s="263"/>
      <c r="AZ1107" s="263"/>
      <c r="BA1107" s="263"/>
      <c r="BB1107" s="263"/>
      <c r="BC1107" s="263"/>
      <c r="BD1107" s="264"/>
      <c r="BE1107" s="263"/>
      <c r="BF1107" s="263"/>
      <c r="BG1107" s="263"/>
      <c r="BH1107" s="263"/>
      <c r="BI1107" s="263"/>
      <c r="BJ1107" s="404">
        <f>altaz(J2000_Bas,$O1107,$M1107,DecLat,DecLong,2)</f>
        <v>200.69429440700645</v>
      </c>
      <c r="BK1107" s="378" t="s">
        <v>1169</v>
      </c>
      <c r="BL1107" s="379">
        <f>IF((2*G1107)/60&lt;0.2,0.2,(2*G1107)/60)</f>
        <v>0.23666666666666666</v>
      </c>
      <c r="BM1107" s="380">
        <f>MOD((50000+AD1107-$B$3+(0/24)),1)</f>
        <v>0.96573209236521507</v>
      </c>
      <c r="BN1107" s="381"/>
      <c r="BO1107" s="382">
        <v>1101</v>
      </c>
    </row>
    <row r="1108" spans="1:67" s="24" customFormat="1" ht="15" customHeight="1" x14ac:dyDescent="0.25">
      <c r="A1108" s="288" t="s">
        <v>1170</v>
      </c>
      <c r="B1108" s="241" t="str">
        <f>HYPERLINK(CONCATENATE($AT$3,BK1108,$AU$3),$AV$3)</f>
        <v>S</v>
      </c>
      <c r="C1108" s="242" t="str">
        <f>HYPERLINK(CONCATENATE($AT$4,BK1108,$AU$4,BL1108),$AV$4)</f>
        <v>A</v>
      </c>
      <c r="D1108" s="243" t="s">
        <v>5638</v>
      </c>
      <c r="E1108" s="244" t="s">
        <v>3259</v>
      </c>
      <c r="F1108" s="269"/>
      <c r="G1108" s="273">
        <v>1.5</v>
      </c>
      <c r="H1108" s="283">
        <v>89.752859999999998</v>
      </c>
      <c r="I1108" s="246">
        <v>40</v>
      </c>
      <c r="J1108" s="246">
        <v>2</v>
      </c>
      <c r="K1108" s="247" t="s">
        <v>4575</v>
      </c>
      <c r="L1108" s="248">
        <v>183352</v>
      </c>
      <c r="M1108" s="249">
        <f>15*(LEFT(TEXT($L1108,"000000"),2)+(MID(TEXT($L1108,"000000"),3,2)/60)+(RIGHT(TEXT($L1108,"000000"),2)/3600))</f>
        <v>278.46666666666664</v>
      </c>
      <c r="N1108" s="250">
        <v>491643</v>
      </c>
      <c r="O1108" s="251">
        <f>IF($N1108&gt;0,(LEFT(TEXT($N1108,"000000"),2)+(MID(TEXT($N1108,"000000"),3,2)/60)+(RIGHT(TEXT($N1108,"000000"),2)/3600)),-(MID(TEXT($N1108,"000000"),2,2)+(MID(TEXT($N1108,"000000"),4,2)/60)+(RIGHT(TEXT($N1108,"000000"),2)/3600)))</f>
        <v>49.278611111111111</v>
      </c>
      <c r="P1108" s="252" t="s">
        <v>34</v>
      </c>
      <c r="Q1108" s="253"/>
      <c r="R1108" s="247" t="s">
        <v>3293</v>
      </c>
      <c r="S1108" s="272" t="s">
        <v>3293</v>
      </c>
      <c r="T1108" s="273">
        <v>13</v>
      </c>
      <c r="U1108" s="289">
        <v>22.79</v>
      </c>
      <c r="V1108" s="280"/>
      <c r="W1108" s="244"/>
      <c r="X1108" s="244"/>
      <c r="Y1108" s="362"/>
      <c r="Z1108" s="257">
        <f>altaz(J2000_Bas,$O1108,$M1108,DecLat,DecLong,1)</f>
        <v>70.858677748509976</v>
      </c>
      <c r="AA1108" s="257">
        <f>altaz((J2000_Bas+(2*0.04167)),$O1108,$M1108,DecLat,DecLong,1)</f>
        <v>56.436009051271107</v>
      </c>
      <c r="AB1108" s="257">
        <f>altaz((J2000_Bas+(4*0.04167)),$O1108,$M1108,DecLat,DecLong,1)</f>
        <v>37.048363479953103</v>
      </c>
      <c r="AC1108" s="257">
        <f>altaz((J2000_Bas+(6*0.04167)),$O1108,$M1108,DecLat,DecLong,1)</f>
        <v>18.333718827794613</v>
      </c>
      <c r="AD1108" s="258">
        <f>1+ transit((J2000_Bas-1),$O1108,$M1108,DecLat,DecLong)/360 + (GMTOffset/24) + (IF(DST="Y", 1, 0)/24)</f>
        <v>1.7664184017963744</v>
      </c>
      <c r="AE1108" s="259">
        <f>DATE(2001,9,21)+(M1108/360)*365 - (360*((DecLong/360)- (GMTOffset/24) ))</f>
        <v>37442.33425925926</v>
      </c>
      <c r="AF1108" s="260">
        <f>IF(DecLat&gt;0,IF((90 - (DecLat-O1108))&gt;90, (90 - (O1108-DecLat)), (90 - (DecLat-O1108))),IF((90 + (DecLat-O1108))&gt;90, (90 + (O1108-DecLat)), (90 + (DecLat-O1108))))</f>
        <v>71.721388888888896</v>
      </c>
      <c r="AG1108" s="257">
        <f>angularseperation(MoonRA,MoonDec,$M1108,$O1108)</f>
        <v>80.686273755983265</v>
      </c>
      <c r="AH1108" s="261">
        <f ca="1">MIN(100,IF($O$5&gt;80,0+30*($AG1108/100),IF($O$5&gt;70,0+50*($AG1108/100),IF($O$5&gt;60,5+50*($AG1108/100),IF($O$5&gt;50,10+60*($AG1108/100),IF($O$5&gt;40,15+70*($AG1108/100),IF($O$5&gt;30,20+70*($AG1108/100),IF($O$5&gt;20,40+55*($AG1108/100),(80+(20-$O$5)+30*($AG1108/100))))))))))</f>
        <v>100</v>
      </c>
      <c r="AI1108" s="262"/>
      <c r="AJ1108" s="263">
        <v>1291</v>
      </c>
      <c r="AK1108" s="263"/>
      <c r="AL1108" s="263"/>
      <c r="AM1108" s="264"/>
      <c r="AN1108" s="263"/>
      <c r="AO1108" s="263"/>
      <c r="AP1108" s="265"/>
      <c r="AQ1108" s="266">
        <v>11283</v>
      </c>
      <c r="AR1108" s="267">
        <v>62049</v>
      </c>
      <c r="AS1108" s="263"/>
      <c r="AT1108" s="263"/>
      <c r="AU1108" s="263"/>
      <c r="AV1108" s="264"/>
      <c r="AW1108" s="263"/>
      <c r="AX1108" s="263"/>
      <c r="AY1108" s="263"/>
      <c r="AZ1108" s="263"/>
      <c r="BA1108" s="263"/>
      <c r="BB1108" s="263"/>
      <c r="BC1108" s="263"/>
      <c r="BD1108" s="264"/>
      <c r="BE1108" s="263"/>
      <c r="BF1108" s="263"/>
      <c r="BG1108" s="263"/>
      <c r="BH1108" s="263"/>
      <c r="BI1108" s="263"/>
      <c r="BJ1108" s="404">
        <f>altaz(J2000_Bas,$O1108,$M1108,DecLat,DecLong,2)</f>
        <v>344.87474440832602</v>
      </c>
      <c r="BK1108" s="378" t="s">
        <v>1170</v>
      </c>
      <c r="BL1108" s="379">
        <f>IF((2*G1108)/60&lt;0.2,0.2,(2*G1108)/60)</f>
        <v>0.2</v>
      </c>
      <c r="BM1108" s="380">
        <f>MOD((50000+AD1108-$B$3+(0/24)),1)</f>
        <v>0.98178533150348812</v>
      </c>
      <c r="BN1108" s="381" t="s">
        <v>9221</v>
      </c>
      <c r="BO1108" s="382">
        <v>1102</v>
      </c>
    </row>
    <row r="1109" spans="1:67" s="24" customFormat="1" ht="15" customHeight="1" x14ac:dyDescent="0.25">
      <c r="A1109" s="288" t="s">
        <v>1171</v>
      </c>
      <c r="B1109" s="241" t="str">
        <f>HYPERLINK(CONCATENATE($AT$3,BK1109,$AU$3),$AV$3)</f>
        <v>S</v>
      </c>
      <c r="C1109" s="242" t="str">
        <f>HYPERLINK(CONCATENATE($AT$4,BK1109,$AU$4,BL1109),$AV$4)</f>
        <v>A</v>
      </c>
      <c r="D1109" s="243" t="s">
        <v>5187</v>
      </c>
      <c r="E1109" s="244" t="s">
        <v>5181</v>
      </c>
      <c r="F1109" s="269" t="s">
        <v>5218</v>
      </c>
      <c r="G1109" s="273">
        <v>2</v>
      </c>
      <c r="H1109" s="271">
        <v>3400</v>
      </c>
      <c r="I1109" s="245">
        <v>2</v>
      </c>
      <c r="J1109" s="246">
        <v>3</v>
      </c>
      <c r="K1109" s="247" t="s">
        <v>6384</v>
      </c>
      <c r="L1109" s="248">
        <v>185437</v>
      </c>
      <c r="M1109" s="249">
        <f>15*(LEFT(TEXT($L1109,"000000"),2)+(MID(TEXT($L1109,"000000"),3,2)/60)+(RIGHT(TEXT($L1109,"000000"),2)/3600))</f>
        <v>283.65416666666664</v>
      </c>
      <c r="N1109" s="250">
        <v>-84936</v>
      </c>
      <c r="O1109" s="251">
        <f>IF($N1109&gt;0,(LEFT(TEXT($N1109,"000000"),2)+(MID(TEXT($N1109,"000000"),3,2)/60)+(RIGHT(TEXT($N1109,"000000"),2)/3600)),-(MID(TEXT($N1109,"000000"),2,2)+(MID(TEXT($N1109,"000000"),4,2)/60)+(RIGHT(TEXT($N1109,"000000"),2)/3600)))</f>
        <v>-8.8266666666666662</v>
      </c>
      <c r="P1109" s="252" t="s">
        <v>121</v>
      </c>
      <c r="Q1109" s="253"/>
      <c r="R1109" s="247" t="s">
        <v>3293</v>
      </c>
      <c r="S1109" s="272" t="s">
        <v>3293</v>
      </c>
      <c r="T1109" s="273">
        <v>12.5</v>
      </c>
      <c r="U1109" s="274"/>
      <c r="V1109" s="256"/>
      <c r="W1109" s="244"/>
      <c r="X1109" s="244"/>
      <c r="Y1109" s="362"/>
      <c r="Z1109" s="257">
        <f>altaz(J2000_Bas,$O1109,$M1109,DecLat,DecLong,1)</f>
        <v>50.109733079916261</v>
      </c>
      <c r="AA1109" s="257">
        <f>altaz((J2000_Bas+(2*0.04167)),$O1109,$M1109,DecLat,DecLong,1)</f>
        <v>39.484335781616238</v>
      </c>
      <c r="AB1109" s="257">
        <f>altaz((J2000_Bas+(4*0.04167)),$O1109,$M1109,DecLat,DecLong,1)</f>
        <v>18.170628746648237</v>
      </c>
      <c r="AC1109" s="257">
        <f>altaz((J2000_Bas+(6*0.04167)),$O1109,$M1109,DecLat,DecLong,1)</f>
        <v>-6.7469466627192505</v>
      </c>
      <c r="AD1109" s="258">
        <f>1+ transit((J2000_Bas-1),$O1109,$M1109,DecLat,DecLong)/360 + (GMTOffset/24) + (IF(DST="Y", 1, 0)/24)</f>
        <v>1.7808281225776248</v>
      </c>
      <c r="AE1109" s="259">
        <f>DATE(2001,9,21)+(M1109/360)*365 - (360*((DecLong/360)- (GMTOffset/24) ))</f>
        <v>37447.593807870369</v>
      </c>
      <c r="AF1109" s="260">
        <f>IF(DecLat&gt;0,IF((90 - (DecLat-O1109))&gt;90, (90 - (O1109-DecLat)), (90 - (DecLat-O1109))),IF((90 + (DecLat-O1109))&gt;90, (90 + (O1109-DecLat)), (90 + (DecLat-O1109))))</f>
        <v>50.173333333333332</v>
      </c>
      <c r="AG1109" s="257">
        <f>angularseperation(MoonRA,MoonDec,$M1109,$O1109)</f>
        <v>37.279719498023404</v>
      </c>
      <c r="AH1109" s="261">
        <f ca="1">MIN(100,IF($O$5&gt;80,0+30*($AG1109/100),IF($O$5&gt;70,0+50*($AG1109/100),IF($O$5&gt;60,5+50*($AG1109/100),IF($O$5&gt;50,10+60*($AG1109/100),IF($O$5&gt;40,15+70*($AG1109/100),IF($O$5&gt;30,20+70*($AG1109/100),IF($O$5&gt;20,40+55*($AG1109/100),(80+(20-$O$5)+30*($AG1109/100))))))))))</f>
        <v>94.454976193557457</v>
      </c>
      <c r="AI1109" s="262"/>
      <c r="AJ1109" s="263">
        <v>1295</v>
      </c>
      <c r="AK1109" s="263"/>
      <c r="AL1109" s="263"/>
      <c r="AM1109" s="264"/>
      <c r="AN1109" s="263"/>
      <c r="AO1109" s="263"/>
      <c r="AP1109" s="265"/>
      <c r="AQ1109" s="266"/>
      <c r="AR1109" s="267"/>
      <c r="AS1109" s="263"/>
      <c r="AT1109" s="263"/>
      <c r="AU1109" s="263"/>
      <c r="AV1109" s="264"/>
      <c r="AW1109" s="263"/>
      <c r="AX1109" s="263"/>
      <c r="AY1109" s="263"/>
      <c r="AZ1109" s="263"/>
      <c r="BA1109" s="263"/>
      <c r="BB1109" s="263"/>
      <c r="BC1109" s="263"/>
      <c r="BD1109" s="264"/>
      <c r="BE1109" s="263"/>
      <c r="BF1109" s="263"/>
      <c r="BG1109" s="263"/>
      <c r="BH1109" s="263"/>
      <c r="BI1109" s="263"/>
      <c r="BJ1109" s="404">
        <f>altaz(J2000_Bas,$O1109,$M1109,DecLat,DecLong,2)</f>
        <v>183.61994731874776</v>
      </c>
      <c r="BK1109" s="378" t="s">
        <v>1171</v>
      </c>
      <c r="BL1109" s="379">
        <f>IF((2*G1109)/60&lt;0.2,0.2,(2*G1109)/60)</f>
        <v>0.2</v>
      </c>
      <c r="BM1109" s="380">
        <f>MOD((50000+AD1109-$B$3+(0/24)),1)</f>
        <v>0.99619505228474736</v>
      </c>
      <c r="BN1109" s="381" t="s">
        <v>9246</v>
      </c>
      <c r="BO1109" s="382">
        <v>1103</v>
      </c>
    </row>
    <row r="1110" spans="1:67" s="24" customFormat="1" ht="15" customHeight="1" x14ac:dyDescent="0.25">
      <c r="A1110" s="288" t="s">
        <v>1172</v>
      </c>
      <c r="B1110" s="241" t="str">
        <f>HYPERLINK(CONCATENATE($AT$3,BK1110,$AU$3),$AV$3)</f>
        <v>S</v>
      </c>
      <c r="C1110" s="242" t="str">
        <f>HYPERLINK(CONCATENATE($AT$4,BK1110,$AU$4,BL1110),$AV$4)</f>
        <v>A</v>
      </c>
      <c r="D1110" s="243" t="s">
        <v>5187</v>
      </c>
      <c r="E1110" s="244" t="s">
        <v>5183</v>
      </c>
      <c r="F1110" s="269" t="s">
        <v>9159</v>
      </c>
      <c r="G1110" s="276">
        <v>120</v>
      </c>
      <c r="H1110" s="271">
        <v>4000</v>
      </c>
      <c r="I1110" s="281">
        <v>135</v>
      </c>
      <c r="J1110" s="246">
        <v>4</v>
      </c>
      <c r="K1110" s="247" t="s">
        <v>4585</v>
      </c>
      <c r="L1110" s="248">
        <v>202314</v>
      </c>
      <c r="M1110" s="249">
        <f>15*(LEFT(TEXT($L1110,"000000"),2)+(MID(TEXT($L1110,"000000"),3,2)/60)+(RIGHT(TEXT($L1110,"000000"),2)/3600))</f>
        <v>305.80833333333328</v>
      </c>
      <c r="N1110" s="250">
        <v>401524</v>
      </c>
      <c r="O1110" s="251">
        <f>IF($N1110&gt;0,(LEFT(TEXT($N1110,"000000"),2)+(MID(TEXT($N1110,"000000"),3,2)/60)+(RIGHT(TEXT($N1110,"000000"),2)/3600)),-(MID(TEXT($N1110,"000000"),2,2)+(MID(TEXT($N1110,"000000"),4,2)/60)+(RIGHT(TEXT($N1110,"000000"),2)/3600)))</f>
        <v>40.256666666666668</v>
      </c>
      <c r="P1110" s="252" t="s">
        <v>60</v>
      </c>
      <c r="Q1110" s="253" t="s">
        <v>6950</v>
      </c>
      <c r="R1110" s="247" t="s">
        <v>3367</v>
      </c>
      <c r="S1110" s="272" t="s">
        <v>4584</v>
      </c>
      <c r="T1110" s="273"/>
      <c r="U1110" s="274"/>
      <c r="V1110" s="256"/>
      <c r="W1110" s="244"/>
      <c r="X1110" s="244"/>
      <c r="Y1110" s="362"/>
      <c r="Z1110" s="257">
        <f>altaz(J2000_Bas,$O1110,$M1110,DecLat,DecLong,1)</f>
        <v>71.492576271022685</v>
      </c>
      <c r="AA1110" s="257">
        <f>altaz((J2000_Bas+(2*0.04167)),$O1110,$M1110,DecLat,DecLong,1)</f>
        <v>77.54857589011479</v>
      </c>
      <c r="AB1110" s="257">
        <f>altaz((J2000_Bas+(4*0.04167)),$O1110,$M1110,DecLat,DecLong,1)</f>
        <v>56.228180380140145</v>
      </c>
      <c r="AC1110" s="257">
        <f>altaz((J2000_Bas+(6*0.04167)),$O1110,$M1110,DecLat,DecLong,1)</f>
        <v>33.486841046841064</v>
      </c>
      <c r="AD1110" s="258">
        <f>1+ transit((J2000_Bas-1),$O1110,$M1110,DecLat,DecLong)/360 + (GMTOffset/24) + (IF(DST="Y", 1, 0)/24)</f>
        <v>1.8423674682755411</v>
      </c>
      <c r="AE1110" s="259">
        <f>DATE(2001,9,21)+(M1110/360)*365 - (360*((DecLong/360)- (GMTOffset/24) ))</f>
        <v>37470.055671296293</v>
      </c>
      <c r="AF1110" s="260">
        <f>IF(DecLat&gt;0,IF((90 - (DecLat-O1110))&gt;90, (90 - (O1110-DecLat)), (90 - (DecLat-O1110))),IF((90 + (DecLat-O1110))&gt;90, (90 + (O1110-DecLat)), (90 + (DecLat-O1110))))</f>
        <v>80.743333333333339</v>
      </c>
      <c r="AG1110" s="257">
        <f>angularseperation(MoonRA,MoonDec,$M1110,$O1110)</f>
        <v>85.402944844005773</v>
      </c>
      <c r="AH1110" s="261">
        <f ca="1">MIN(100,IF($O$5&gt;80,0+30*($AG1110/100),IF($O$5&gt;70,0+50*($AG1110/100),IF($O$5&gt;60,5+50*($AG1110/100),IF($O$5&gt;50,10+60*($AG1110/100),IF($O$5&gt;40,15+70*($AG1110/100),IF($O$5&gt;30,20+70*($AG1110/100),IF($O$5&gt;20,40+55*($AG1110/100),(80+(20-$O$5)+30*($AG1110/100))))))))))</f>
        <v>100</v>
      </c>
      <c r="AI1110" s="262"/>
      <c r="AJ1110" s="263">
        <v>1318</v>
      </c>
      <c r="AK1110" s="263"/>
      <c r="AL1110" s="263"/>
      <c r="AM1110" s="264"/>
      <c r="AN1110" s="263"/>
      <c r="AO1110" s="263"/>
      <c r="AP1110" s="265"/>
      <c r="AQ1110" s="266"/>
      <c r="AR1110" s="267"/>
      <c r="AS1110" s="263"/>
      <c r="AT1110" s="263"/>
      <c r="AU1110" s="263"/>
      <c r="AV1110" s="264"/>
      <c r="AW1110" s="263"/>
      <c r="AX1110" s="263"/>
      <c r="AY1110" s="263">
        <v>234</v>
      </c>
      <c r="AZ1110" s="263"/>
      <c r="BA1110" s="263"/>
      <c r="BB1110" s="263">
        <v>108</v>
      </c>
      <c r="BC1110" s="263"/>
      <c r="BD1110" s="264"/>
      <c r="BE1110" s="263"/>
      <c r="BF1110" s="263">
        <v>97</v>
      </c>
      <c r="BG1110" s="263"/>
      <c r="BH1110" s="263"/>
      <c r="BI1110" s="263"/>
      <c r="BJ1110" s="404">
        <f>altaz(J2000_Bas,$O1110,$M1110,DecLat,DecLong,2)</f>
        <v>54.549498060294859</v>
      </c>
      <c r="BK1110" s="378" t="s">
        <v>1172</v>
      </c>
      <c r="BL1110" s="379">
        <f>IF((2*G1110)/60&lt;0.2,0.2,(2*G1110)/60)</f>
        <v>4</v>
      </c>
      <c r="BM1110" s="380">
        <f>MOD((50000+AD1110-$B$3+(0/24)),1)</f>
        <v>5.7734397982130758E-2</v>
      </c>
      <c r="BN1110" s="381"/>
      <c r="BO1110" s="382">
        <v>1104</v>
      </c>
    </row>
    <row r="1111" spans="1:67" s="24" customFormat="1" ht="15" customHeight="1" x14ac:dyDescent="0.25">
      <c r="A1111" s="288" t="s">
        <v>1173</v>
      </c>
      <c r="B1111" s="241" t="str">
        <f>HYPERLINK(CONCATENATE($AT$3,BK1111,$AU$3),$AV$3)</f>
        <v>S</v>
      </c>
      <c r="C1111" s="242" t="str">
        <f>HYPERLINK(CONCATENATE($AT$4,BK1111,$AU$4,BL1111),$AV$4)</f>
        <v>A</v>
      </c>
      <c r="D1111" s="243" t="s">
        <v>5187</v>
      </c>
      <c r="E1111" s="244" t="s">
        <v>5183</v>
      </c>
      <c r="F1111" s="269" t="s">
        <v>5180</v>
      </c>
      <c r="G1111" s="276">
        <v>120</v>
      </c>
      <c r="H1111" s="271">
        <v>4000</v>
      </c>
      <c r="I1111" s="281">
        <v>135</v>
      </c>
      <c r="J1111" s="246">
        <v>2</v>
      </c>
      <c r="K1111" s="247" t="s">
        <v>9378</v>
      </c>
      <c r="L1111" s="248">
        <v>201708</v>
      </c>
      <c r="M1111" s="249">
        <f>15*(LEFT(TEXT($L1111,"000000"),2)+(MID(TEXT($L1111,"000000"),3,2)/60)+(RIGHT(TEXT($L1111,"000000"),2)/3600))</f>
        <v>304.28333333333336</v>
      </c>
      <c r="N1111" s="250">
        <v>415727</v>
      </c>
      <c r="O1111" s="251">
        <f>IF($N1111&gt;0,(LEFT(TEXT($N1111,"000000"),2)+(MID(TEXT($N1111,"000000"),3,2)/60)+(RIGHT(TEXT($N1111,"000000"),2)/3600)),-(MID(TEXT($N1111,"000000"),2,2)+(MID(TEXT($N1111,"000000"),4,2)/60)+(RIGHT(TEXT($N1111,"000000"),2)/3600)))</f>
        <v>41.957500000000003</v>
      </c>
      <c r="P1111" s="252" t="s">
        <v>60</v>
      </c>
      <c r="Q1111" s="253"/>
      <c r="R1111" s="247" t="s">
        <v>3293</v>
      </c>
      <c r="S1111" s="272" t="s">
        <v>4586</v>
      </c>
      <c r="T1111" s="273"/>
      <c r="U1111" s="274"/>
      <c r="V1111" s="256"/>
      <c r="W1111" s="244"/>
      <c r="X1111" s="244"/>
      <c r="Y1111" s="362"/>
      <c r="Z1111" s="257">
        <f>altaz(J2000_Bas,$O1111,$M1111,DecLat,DecLong,1)</f>
        <v>71.731573181448425</v>
      </c>
      <c r="AA1111" s="257">
        <f>altaz((J2000_Bas+(2*0.04167)),$O1111,$M1111,DecLat,DecLong,1)</f>
        <v>75.532444984540504</v>
      </c>
      <c r="AB1111" s="257">
        <f>altaz((J2000_Bas+(4*0.04167)),$O1111,$M1111,DecLat,DecLong,1)</f>
        <v>54.972097756876096</v>
      </c>
      <c r="AC1111" s="257">
        <f>altaz((J2000_Bas+(6*0.04167)),$O1111,$M1111,DecLat,DecLong,1)</f>
        <v>32.792982298086862</v>
      </c>
      <c r="AD1111" s="258">
        <f>1+ transit((J2000_Bas-1),$O1111,$M1111,DecLat,DecLong)/360 + (GMTOffset/24) + (IF(DST="Y", 1, 0)/24)</f>
        <v>1.8381313575880414</v>
      </c>
      <c r="AE1111" s="259">
        <f>DATE(2001,9,21)+(M1111/360)*365 - (360*((DecLong/360)- (GMTOffset/24) ))</f>
        <v>37468.50949074074</v>
      </c>
      <c r="AF1111" s="260">
        <f>IF(DecLat&gt;0,IF((90 - (DecLat-O1111))&gt;90, (90 - (O1111-DecLat)), (90 - (DecLat-O1111))),IF((90 + (DecLat-O1111))&gt;90, (90 + (O1111-DecLat)), (90 + (DecLat-O1111))))</f>
        <v>79.04249999999999</v>
      </c>
      <c r="AG1111" s="257">
        <f>angularseperation(MoonRA,MoonDec,$M1111,$O1111)</f>
        <v>85.700730753255115</v>
      </c>
      <c r="AH1111" s="261">
        <f ca="1">MIN(100,IF($O$5&gt;80,0+30*($AG1111/100),IF($O$5&gt;70,0+50*($AG1111/100),IF($O$5&gt;60,5+50*($AG1111/100),IF($O$5&gt;50,10+60*($AG1111/100),IF($O$5&gt;40,15+70*($AG1111/100),IF($O$5&gt;30,20+70*($AG1111/100),IF($O$5&gt;20,40+55*($AG1111/100),(80+(20-$O$5)+30*($AG1111/100))))))))))</f>
        <v>100</v>
      </c>
      <c r="AI1111" s="262"/>
      <c r="AJ1111" s="263">
        <v>1318</v>
      </c>
      <c r="AK1111" s="263"/>
      <c r="AL1111" s="263"/>
      <c r="AM1111" s="264"/>
      <c r="AN1111" s="263"/>
      <c r="AO1111" s="263"/>
      <c r="AP1111" s="265"/>
      <c r="AQ1111" s="266"/>
      <c r="AR1111" s="267"/>
      <c r="AS1111" s="263"/>
      <c r="AT1111" s="263"/>
      <c r="AU1111" s="263"/>
      <c r="AV1111" s="264"/>
      <c r="AW1111" s="263"/>
      <c r="AX1111" s="263"/>
      <c r="AY1111" s="263">
        <v>251</v>
      </c>
      <c r="AZ1111" s="263"/>
      <c r="BA1111" s="263"/>
      <c r="BB1111" s="263"/>
      <c r="BC1111" s="263"/>
      <c r="BD1111" s="264"/>
      <c r="BE1111" s="263"/>
      <c r="BF1111" s="263"/>
      <c r="BG1111" s="263"/>
      <c r="BH1111" s="263"/>
      <c r="BI1111" s="263">
        <v>90</v>
      </c>
      <c r="BJ1111" s="404">
        <f>altaz(J2000_Bas,$O1111,$M1111,DecLat,DecLong,2)</f>
        <v>48.083890173963681</v>
      </c>
      <c r="BK1111" s="378" t="s">
        <v>1173</v>
      </c>
      <c r="BL1111" s="379">
        <f>IF((2*G1111)/60&lt;0.2,0.2,(2*G1111)/60)</f>
        <v>4</v>
      </c>
      <c r="BM1111" s="380">
        <f>MOD((50000+AD1111-$B$3+(0/24)),1)</f>
        <v>5.3498287292313762E-2</v>
      </c>
      <c r="BN1111" s="381"/>
      <c r="BO1111" s="382">
        <v>1105</v>
      </c>
    </row>
    <row r="1112" spans="1:67" s="24" customFormat="1" ht="15" customHeight="1" x14ac:dyDescent="0.25">
      <c r="A1112" s="287" t="s">
        <v>1174</v>
      </c>
      <c r="B1112" s="241" t="str">
        <f>HYPERLINK(CONCATENATE($AT$3,BK1112,$AU$3),$AV$3)</f>
        <v>S</v>
      </c>
      <c r="C1112" s="242" t="str">
        <f>HYPERLINK(CONCATENATE($AT$4,BK1112,$AU$4,BL1112),$AV$4)</f>
        <v>A</v>
      </c>
      <c r="D1112" s="243" t="s">
        <v>5335</v>
      </c>
      <c r="E1112" s="244" t="s">
        <v>5185</v>
      </c>
      <c r="F1112" s="269" t="s">
        <v>6155</v>
      </c>
      <c r="G1112" s="273">
        <v>5</v>
      </c>
      <c r="H1112" s="283">
        <v>12000</v>
      </c>
      <c r="I1112" s="246">
        <v>18</v>
      </c>
      <c r="J1112" s="246">
        <v>2</v>
      </c>
      <c r="K1112" s="247" t="s">
        <v>6156</v>
      </c>
      <c r="L1112" s="248">
        <v>211209</v>
      </c>
      <c r="M1112" s="249">
        <f>15*(LEFT(TEXT($L1112,"000000"),2)+(MID(TEXT($L1112,"000000"),3,2)/60)+(RIGHT(TEXT($L1112,"000000"),2)/3600))</f>
        <v>318.03750000000002</v>
      </c>
      <c r="N1112" s="250">
        <v>474606</v>
      </c>
      <c r="O1112" s="251">
        <f>IF($N1112&gt;0,(LEFT(TEXT($N1112,"000000"),2)+(MID(TEXT($N1112,"000000"),3,2)/60)+(RIGHT(TEXT($N1112,"000000"),2)/3600)),-(MID(TEXT($N1112,"000000"),2,2)+(MID(TEXT($N1112,"000000"),4,2)/60)+(RIGHT(TEXT($N1112,"000000"),2)/3600)))</f>
        <v>47.768333333333331</v>
      </c>
      <c r="P1112" s="252" t="s">
        <v>60</v>
      </c>
      <c r="Q1112" s="253"/>
      <c r="R1112" s="277" t="s">
        <v>3293</v>
      </c>
      <c r="S1112" s="272" t="s">
        <v>3293</v>
      </c>
      <c r="T1112" s="273">
        <v>8.8000000000000007</v>
      </c>
      <c r="U1112" s="274"/>
      <c r="V1112" s="280"/>
      <c r="W1112" s="244"/>
      <c r="X1112" s="244"/>
      <c r="Y1112" s="362"/>
      <c r="Z1112" s="257">
        <f>altaz(J2000_Bas,$O1112,$M1112,DecLat,DecLong,1)</f>
        <v>60.429539256698426</v>
      </c>
      <c r="AA1112" s="257">
        <f>altaz((J2000_Bas+(2*0.04167)),$O1112,$M1112,DecLat,DecLong,1)</f>
        <v>73.165512212518877</v>
      </c>
      <c r="AB1112" s="257">
        <f>altaz((J2000_Bas+(4*0.04167)),$O1112,$M1112,DecLat,DecLong,1)</f>
        <v>62.798821365545216</v>
      </c>
      <c r="AC1112" s="257">
        <f>altaz((J2000_Bas+(6*0.04167)),$O1112,$M1112,DecLat,DecLong,1)</f>
        <v>43.218689811302006</v>
      </c>
      <c r="AD1112" s="258">
        <f>1+ transit((J2000_Bas-1),$O1112,$M1112,DecLat,DecLong)/360 + (GMTOffset/24) + (IF(DST="Y", 1, 0)/24)</f>
        <v>1.8763373722859582</v>
      </c>
      <c r="AE1112" s="259">
        <f>DATE(2001,9,21)+(M1112/360)*365 - (360*((DecLong/360)- (GMTOffset/24) ))</f>
        <v>37482.454687500001</v>
      </c>
      <c r="AF1112" s="260">
        <f>IF(DecLat&gt;0,IF((90 - (DecLat-O1112))&gt;90, (90 - (O1112-DecLat)), (90 - (DecLat-O1112))),IF((90 + (DecLat-O1112))&gt;90, (90 + (O1112-DecLat)), (90 + (DecLat-O1112))))</f>
        <v>73.231666666666669</v>
      </c>
      <c r="AG1112" s="257">
        <f>angularseperation(MoonRA,MoonDec,$M1112,$O1112)</f>
        <v>96.930767203653332</v>
      </c>
      <c r="AH1112" s="261">
        <f ca="1">MIN(100,IF($O$5&gt;80,0+30*($AG1112/100),IF($O$5&gt;70,0+50*($AG1112/100),IF($O$5&gt;60,5+50*($AG1112/100),IF($O$5&gt;50,10+60*($AG1112/100),IF($O$5&gt;40,15+70*($AG1112/100),IF($O$5&gt;30,20+70*($AG1112/100),IF($O$5&gt;20,40+55*($AG1112/100),(80+(20-$O$5)+30*($AG1112/100))))))))))</f>
        <v>100</v>
      </c>
      <c r="AI1112" s="263"/>
      <c r="AJ1112" s="263">
        <v>1369</v>
      </c>
      <c r="AK1112" s="263"/>
      <c r="AL1112" s="263"/>
      <c r="AM1112" s="264"/>
      <c r="AN1112" s="263"/>
      <c r="AO1112" s="263"/>
      <c r="AP1112" s="265"/>
      <c r="AQ1112" s="265"/>
      <c r="AR1112" s="285"/>
      <c r="AS1112" s="263"/>
      <c r="AT1112" s="263"/>
      <c r="AU1112" s="263"/>
      <c r="AV1112" s="264"/>
      <c r="AW1112" s="263"/>
      <c r="AX1112" s="263"/>
      <c r="AY1112" s="263"/>
      <c r="AZ1112" s="263"/>
      <c r="BA1112" s="263"/>
      <c r="BB1112" s="263"/>
      <c r="BC1112" s="263"/>
      <c r="BD1112" s="264"/>
      <c r="BE1112" s="263"/>
      <c r="BF1112" s="263"/>
      <c r="BG1112" s="263"/>
      <c r="BH1112" s="263"/>
      <c r="BI1112" s="263"/>
      <c r="BJ1112" s="404">
        <f>altaz(J2000_Bas,$O1112,$M1112,DecLat,DecLong,2)</f>
        <v>46.256635145394291</v>
      </c>
      <c r="BK1112" s="378" t="s">
        <v>1174</v>
      </c>
      <c r="BL1112" s="379">
        <f>IF((2*G1112)/60&lt;0.2,0.2,(2*G1112)/60)</f>
        <v>0.2</v>
      </c>
      <c r="BM1112" s="380">
        <f>MOD((50000+AD1112-$B$3+(0/24)),1)</f>
        <v>9.1704301987192594E-2</v>
      </c>
      <c r="BN1112" s="381"/>
      <c r="BO1112" s="382">
        <v>1106</v>
      </c>
    </row>
    <row r="1113" spans="1:67" s="24" customFormat="1" ht="15" customHeight="1" x14ac:dyDescent="0.25">
      <c r="A1113" s="288" t="s">
        <v>7568</v>
      </c>
      <c r="B1113" s="241" t="str">
        <f>HYPERLINK(CONCATENATE($AT$3,BK1113,$AU$3),$AV$3)</f>
        <v>S</v>
      </c>
      <c r="C1113" s="242" t="str">
        <f>HYPERLINK(CONCATENATE($AT$4,BK1113,$AU$4,BL1113),$AV$4)</f>
        <v>A</v>
      </c>
      <c r="D1113" s="243" t="s">
        <v>5638</v>
      </c>
      <c r="E1113" s="244" t="s">
        <v>5626</v>
      </c>
      <c r="F1113" s="269">
        <v>5</v>
      </c>
      <c r="G1113" s="291">
        <v>4</v>
      </c>
      <c r="H1113" s="283">
        <v>700</v>
      </c>
      <c r="I1113" s="284">
        <v>800</v>
      </c>
      <c r="J1113" s="246">
        <v>2</v>
      </c>
      <c r="K1113" s="247" t="s">
        <v>4587</v>
      </c>
      <c r="L1113" s="248">
        <v>211514</v>
      </c>
      <c r="M1113" s="249">
        <f>15*(LEFT(TEXT($L1113,"000000"),2)+(MID(TEXT($L1113,"000000"),3,2)/60)+(RIGHT(TEXT($L1113,"000000"),2)/3600))</f>
        <v>318.80833333333334</v>
      </c>
      <c r="N1113" s="250">
        <v>21131</v>
      </c>
      <c r="O1113" s="251">
        <f>IF($N1113&gt;0,(LEFT(TEXT($N1113,"000000"),2)+(MID(TEXT($N1113,"000000"),3,2)/60)+(RIGHT(TEXT($N1113,"000000"),2)/3600)),-(MID(TEXT($N1113,"000000"),2,2)+(MID(TEXT($N1113,"000000"),4,2)/60)+(RIGHT(TEXT($N1113,"000000"),2)/3600)))</f>
        <v>2.1919444444444443</v>
      </c>
      <c r="P1113" s="252" t="s">
        <v>3119</v>
      </c>
      <c r="Q1113" s="253"/>
      <c r="R1113" s="247" t="s">
        <v>3293</v>
      </c>
      <c r="S1113" s="272" t="s">
        <v>3293</v>
      </c>
      <c r="T1113" s="273">
        <v>14.6</v>
      </c>
      <c r="U1113" s="289">
        <v>20.990000000000002</v>
      </c>
      <c r="V1113" s="280"/>
      <c r="W1113" s="244"/>
      <c r="X1113" s="244"/>
      <c r="Y1113" s="362"/>
      <c r="Z1113" s="257">
        <f>altaz(J2000_Bas,$O1113,$M1113,DecLat,DecLong,1)</f>
        <v>47.700045031321913</v>
      </c>
      <c r="AA1113" s="257">
        <f>altaz((J2000_Bas+(2*0.04167)),$O1113,$M1113,DecLat,DecLong,1)</f>
        <v>61.07731469347712</v>
      </c>
      <c r="AB1113" s="257">
        <f>altaz((J2000_Bas+(4*0.04167)),$O1113,$M1113,DecLat,DecLong,1)</f>
        <v>51.29722161385731</v>
      </c>
      <c r="AC1113" s="257">
        <f>altaz((J2000_Bas+(6*0.04167)),$O1113,$M1113,DecLat,DecLong,1)</f>
        <v>28.722889309674983</v>
      </c>
      <c r="AD1113" s="258">
        <f>1+ transit((J2000_Bas-1),$O1113,$M1113,DecLat,DecLong)/360 + (GMTOffset/24) + (IF(DST="Y", 1, 0)/24)</f>
        <v>1.8784785757755411</v>
      </c>
      <c r="AE1113" s="259">
        <f>DATE(2001,9,21)+(M1113/360)*365 - (360*((DecLong/360)- (GMTOffset/24) ))</f>
        <v>37483.236226851855</v>
      </c>
      <c r="AF1113" s="260">
        <f>IF(DecLat&gt;0,IF((90 - (DecLat-O1113))&gt;90, (90 - (O1113-DecLat)), (90 - (DecLat-O1113))),IF((90 + (DecLat-O1113))&gt;90, (90 + (O1113-DecLat)), (90 + (DecLat-O1113))))</f>
        <v>61.191944444444445</v>
      </c>
      <c r="AG1113" s="257">
        <f>angularseperation(MoonRA,MoonDec,$M1113,$O1113)</f>
        <v>72.950664819693841</v>
      </c>
      <c r="AH1113" s="261">
        <f ca="1">MIN(100,IF($O$5&gt;80,0+30*($AG1113/100),IF($O$5&gt;70,0+50*($AG1113/100),IF($O$5&gt;60,5+50*($AG1113/100),IF($O$5&gt;50,10+60*($AG1113/100),IF($O$5&gt;40,15+70*($AG1113/100),IF($O$5&gt;30,20+70*($AG1113/100),IF($O$5&gt;20,40+55*($AG1113/100),(80+(20-$O$5)+30*($AG1113/100))))))))))</f>
        <v>100</v>
      </c>
      <c r="AI1113" s="262"/>
      <c r="AJ1113" s="263">
        <v>1370</v>
      </c>
      <c r="AK1113" s="263"/>
      <c r="AL1113" s="263"/>
      <c r="AM1113" s="264"/>
      <c r="AN1113" s="263"/>
      <c r="AO1113" s="263"/>
      <c r="AP1113" s="265"/>
      <c r="AQ1113" s="266"/>
      <c r="AR1113" s="267">
        <v>66418</v>
      </c>
      <c r="AS1113" s="263"/>
      <c r="AT1113" s="263"/>
      <c r="AU1113" s="263"/>
      <c r="AV1113" s="264"/>
      <c r="AW1113" s="263"/>
      <c r="AX1113" s="263"/>
      <c r="AY1113" s="263"/>
      <c r="AZ1113" s="263"/>
      <c r="BA1113" s="263"/>
      <c r="BB1113" s="263"/>
      <c r="BC1113" s="263"/>
      <c r="BD1113" s="264"/>
      <c r="BE1113" s="263"/>
      <c r="BF1113" s="263"/>
      <c r="BG1113" s="263"/>
      <c r="BH1113" s="263"/>
      <c r="BI1113" s="263"/>
      <c r="BJ1113" s="404">
        <f>altaz(J2000_Bas,$O1113,$M1113,DecLat,DecLong,2)</f>
        <v>126.44411079958638</v>
      </c>
      <c r="BK1113" s="378" t="s">
        <v>1175</v>
      </c>
      <c r="BL1113" s="379">
        <f>IF((2*G1113)/60&lt;0.2,0.2,(2*G1113)/60)</f>
        <v>0.2</v>
      </c>
      <c r="BM1113" s="380">
        <f>MOD((50000+AD1113-$B$3+(0/24)),1)</f>
        <v>9.3845505478384439E-2</v>
      </c>
      <c r="BN1113" s="381"/>
      <c r="BO1113" s="382">
        <v>1107</v>
      </c>
    </row>
    <row r="1114" spans="1:67" s="24" customFormat="1" ht="15" customHeight="1" x14ac:dyDescent="0.25">
      <c r="A1114" s="288" t="s">
        <v>1176</v>
      </c>
      <c r="B1114" s="241" t="str">
        <f>HYPERLINK(CONCATENATE($AT$3,BK1114,$AU$3),$AV$3)</f>
        <v>S</v>
      </c>
      <c r="C1114" s="242" t="str">
        <f>HYPERLINK(CONCATENATE($AT$4,BK1114,$AU$4,BL1114),$AV$4)</f>
        <v>A</v>
      </c>
      <c r="D1114" s="243" t="s">
        <v>5187</v>
      </c>
      <c r="E1114" s="244" t="s">
        <v>5183</v>
      </c>
      <c r="F1114" s="269" t="s">
        <v>9160</v>
      </c>
      <c r="G1114" s="276">
        <v>120</v>
      </c>
      <c r="H1114" s="271">
        <v>3000</v>
      </c>
      <c r="I1114" s="246">
        <v>110</v>
      </c>
      <c r="J1114" s="246">
        <v>5</v>
      </c>
      <c r="K1114" s="247" t="s">
        <v>4588</v>
      </c>
      <c r="L1114" s="248">
        <v>213858</v>
      </c>
      <c r="M1114" s="249">
        <f>15*(LEFT(TEXT($L1114,"000000"),2)+(MID(TEXT($L1114,"000000"),3,2)/60)+(RIGHT(TEXT($L1114,"000000"),2)/3600))</f>
        <v>324.74166666666667</v>
      </c>
      <c r="N1114" s="250">
        <v>572921</v>
      </c>
      <c r="O1114" s="251">
        <f>IF($N1114&gt;0,(LEFT(TEXT($N1114,"000000"),2)+(MID(TEXT($N1114,"000000"),3,2)/60)+(RIGHT(TEXT($N1114,"000000"),2)/3600)),-(MID(TEXT($N1114,"000000"),2,2)+(MID(TEXT($N1114,"000000"),4,2)/60)+(RIGHT(TEXT($N1114,"000000"),2)/3600)))</f>
        <v>57.489166666666669</v>
      </c>
      <c r="P1114" s="252" t="s">
        <v>52</v>
      </c>
      <c r="Q1114" s="253" t="s">
        <v>6980</v>
      </c>
      <c r="R1114" s="247" t="s">
        <v>3293</v>
      </c>
      <c r="S1114" s="272" t="s">
        <v>3293</v>
      </c>
      <c r="T1114" s="273"/>
      <c r="U1114" s="274"/>
      <c r="V1114" s="256"/>
      <c r="W1114" s="244"/>
      <c r="X1114" s="244"/>
      <c r="Y1114" s="362"/>
      <c r="Z1114" s="257">
        <f>altaz(J2000_Bas,$O1114,$M1114,DecLat,DecLong,1)</f>
        <v>52.529656795231475</v>
      </c>
      <c r="AA1114" s="257">
        <f>altaz((J2000_Bas+(2*0.04167)),$O1114,$M1114,DecLat,DecLong,1)</f>
        <v>62.844752726661696</v>
      </c>
      <c r="AB1114" s="257">
        <f>altaz((J2000_Bas+(4*0.04167)),$O1114,$M1114,DecLat,DecLong,1)</f>
        <v>59.674218472411724</v>
      </c>
      <c r="AC1114" s="257">
        <f>altaz((J2000_Bas+(6*0.04167)),$O1114,$M1114,DecLat,DecLong,1)</f>
        <v>46.138945323520232</v>
      </c>
      <c r="AD1114" s="258">
        <f>1+ transit((J2000_Bas-1),$O1114,$M1114,DecLat,DecLong)/360 + (GMTOffset/24) + (IF(DST="Y", 1, 0)/24)</f>
        <v>1.8949600556088748</v>
      </c>
      <c r="AE1114" s="259">
        <f>DATE(2001,9,21)+(M1114/360)*365 - (360*((DecLong/360)- (GMTOffset/24) ))</f>
        <v>37489.251967592594</v>
      </c>
      <c r="AF1114" s="260">
        <f>IF(DecLat&gt;0,IF((90 - (DecLat-O1114))&gt;90, (90 - (O1114-DecLat)), (90 - (DecLat-O1114))),IF((90 + (DecLat-O1114))&gt;90, (90 + (O1114-DecLat)), (90 + (DecLat-O1114))))</f>
        <v>63.510833333333331</v>
      </c>
      <c r="AG1114" s="257">
        <f>angularseperation(MoonRA,MoonDec,$M1114,$O1114)</f>
        <v>105.31549594952453</v>
      </c>
      <c r="AH1114" s="261">
        <f ca="1">MIN(100,IF($O$5&gt;80,0+30*($AG1114/100),IF($O$5&gt;70,0+50*($AG1114/100),IF($O$5&gt;60,5+50*($AG1114/100),IF($O$5&gt;50,10+60*($AG1114/100),IF($O$5&gt;40,15+70*($AG1114/100),IF($O$5&gt;30,20+70*($AG1114/100),IF($O$5&gt;20,40+55*($AG1114/100),(80+(20-$O$5)+30*($AG1114/100))))))))))</f>
        <v>100</v>
      </c>
      <c r="AI1114" s="262"/>
      <c r="AJ1114" s="263">
        <v>1396</v>
      </c>
      <c r="AK1114" s="263"/>
      <c r="AL1114" s="263"/>
      <c r="AM1114" s="264"/>
      <c r="AN1114" s="263"/>
      <c r="AO1114" s="263"/>
      <c r="AP1114" s="265"/>
      <c r="AQ1114" s="266"/>
      <c r="AR1114" s="267"/>
      <c r="AS1114" s="263"/>
      <c r="AT1114" s="263"/>
      <c r="AU1114" s="263"/>
      <c r="AV1114" s="264"/>
      <c r="AW1114" s="263"/>
      <c r="AX1114" s="263"/>
      <c r="AY1114" s="263"/>
      <c r="AZ1114" s="263"/>
      <c r="BA1114" s="263"/>
      <c r="BB1114" s="263">
        <v>131</v>
      </c>
      <c r="BC1114" s="263"/>
      <c r="BD1114" s="264"/>
      <c r="BE1114" s="263">
        <v>105</v>
      </c>
      <c r="BF1114" s="263"/>
      <c r="BG1114" s="263"/>
      <c r="BH1114" s="263"/>
      <c r="BI1114" s="263"/>
      <c r="BJ1114" s="404">
        <f>altaz(J2000_Bas,$O1114,$M1114,DecLat,DecLong,2)</f>
        <v>33.562910422347109</v>
      </c>
      <c r="BK1114" s="378" t="s">
        <v>1176</v>
      </c>
      <c r="BL1114" s="379">
        <f>IF((2*G1114)/60&lt;0.2,0.2,(2*G1114)/60)</f>
        <v>4</v>
      </c>
      <c r="BM1114" s="380">
        <f>MOD((50000+AD1114-$B$3+(0/24)),1)</f>
        <v>0.11032698531198548</v>
      </c>
      <c r="BN1114" s="381" t="s">
        <v>8664</v>
      </c>
      <c r="BO1114" s="382">
        <v>1108</v>
      </c>
    </row>
    <row r="1115" spans="1:67" s="24" customFormat="1" ht="15" customHeight="1" x14ac:dyDescent="0.25">
      <c r="A1115" s="288" t="s">
        <v>1177</v>
      </c>
      <c r="B1115" s="241" t="str">
        <f>HYPERLINK(CONCATENATE($AT$3,BK1115,$AU$3),$AV$3)</f>
        <v>S</v>
      </c>
      <c r="C1115" s="242" t="str">
        <f>HYPERLINK(CONCATENATE($AT$4,BK1115,$AU$4,BL1115),$AV$4)</f>
        <v>A</v>
      </c>
      <c r="D1115" s="243" t="s">
        <v>5638</v>
      </c>
      <c r="E1115" s="244" t="s">
        <v>5192</v>
      </c>
      <c r="F1115" s="269" t="s">
        <v>3306</v>
      </c>
      <c r="G1115" s="270">
        <v>0.8</v>
      </c>
      <c r="H1115" s="283">
        <v>250</v>
      </c>
      <c r="I1115" s="246">
        <v>60</v>
      </c>
      <c r="J1115" s="246">
        <v>2</v>
      </c>
      <c r="K1115" s="277" t="s">
        <v>4589</v>
      </c>
      <c r="L1115" s="248">
        <v>215827</v>
      </c>
      <c r="M1115" s="249">
        <f>15*(LEFT(TEXT($L1115,"000000"),2)+(MID(TEXT($L1115,"000000"),3,2)/60)+(RIGHT(TEXT($L1115,"000000"),2)/3600))</f>
        <v>329.61249999999995</v>
      </c>
      <c r="N1115" s="250">
        <v>-30611</v>
      </c>
      <c r="O1115" s="251">
        <f>IF($N1115&gt;0,(LEFT(TEXT($N1115,"000000"),2)+(MID(TEXT($N1115,"000000"),3,2)/60)+(RIGHT(TEXT($N1115,"000000"),2)/3600)),-(MID(TEXT($N1115,"000000"),2,2)+(MID(TEXT($N1115,"000000"),4,2)/60)+(RIGHT(TEXT($N1115,"000000"),2)/3600)))</f>
        <v>-3.1030555555555557</v>
      </c>
      <c r="P1115" s="252" t="s">
        <v>3119</v>
      </c>
      <c r="Q1115" s="253"/>
      <c r="R1115" s="277" t="s">
        <v>3293</v>
      </c>
      <c r="S1115" s="272" t="s">
        <v>3293</v>
      </c>
      <c r="T1115" s="273">
        <v>15.7</v>
      </c>
      <c r="U1115" s="289">
        <v>22.59</v>
      </c>
      <c r="V1115" s="280"/>
      <c r="W1115" s="244"/>
      <c r="X1115" s="244"/>
      <c r="Y1115" s="362"/>
      <c r="Z1115" s="257">
        <f>altaz(J2000_Bas,$O1115,$M1115,DecLat,DecLong,1)</f>
        <v>36.288009950214978</v>
      </c>
      <c r="AA1115" s="257">
        <f>altaz((J2000_Bas+(2*0.04167)),$O1115,$M1115,DecLat,DecLong,1)</f>
        <v>53.54204577348802</v>
      </c>
      <c r="AB1115" s="257">
        <f>altaz((J2000_Bas+(4*0.04167)),$O1115,$M1115,DecLat,DecLong,1)</f>
        <v>52.42277773943492</v>
      </c>
      <c r="AC1115" s="257">
        <f>altaz((J2000_Bas+(6*0.04167)),$O1115,$M1115,DecLat,DecLong,1)</f>
        <v>34.037143037298364</v>
      </c>
      <c r="AD1115" s="258">
        <f>1+ transit((J2000_Bas-1),$O1115,$M1115,DecLat,DecLong)/360 + (GMTOffset/24) + (IF(DST="Y", 1, 0)/24)</f>
        <v>1.9084901468484581</v>
      </c>
      <c r="AE1115" s="259">
        <f>DATE(2001,9,21)+(M1115/360)*365 - (360*((DecLong/360)- (GMTOffset/24) ))</f>
        <v>37494.190451388888</v>
      </c>
      <c r="AF1115" s="260">
        <f>IF(DecLat&gt;0,IF((90 - (DecLat-O1115))&gt;90, (90 - (O1115-DecLat)), (90 - (DecLat-O1115))),IF((90 + (DecLat-O1115))&gt;90, (90 + (O1115-DecLat)), (90 + (DecLat-O1115))))</f>
        <v>55.896944444444443</v>
      </c>
      <c r="AG1115" s="257">
        <f>angularseperation(MoonRA,MoonDec,$M1115,$O1115)</f>
        <v>80.016810549932984</v>
      </c>
      <c r="AH1115" s="261">
        <f ca="1">MIN(100,IF($O$5&gt;80,0+30*($AG1115/100),IF($O$5&gt;70,0+50*($AG1115/100),IF($O$5&gt;60,5+50*($AG1115/100),IF($O$5&gt;50,10+60*($AG1115/100),IF($O$5&gt;40,15+70*($AG1115/100),IF($O$5&gt;30,20+70*($AG1115/100),IF($O$5&gt;20,40+55*($AG1115/100),(80+(20-$O$5)+30*($AG1115/100))))))))))</f>
        <v>100</v>
      </c>
      <c r="AI1115" s="263"/>
      <c r="AJ1115" s="263">
        <v>1413</v>
      </c>
      <c r="AK1115" s="263"/>
      <c r="AL1115" s="263"/>
      <c r="AM1115" s="264"/>
      <c r="AN1115" s="263"/>
      <c r="AO1115" s="263"/>
      <c r="AP1115" s="265"/>
      <c r="AQ1115" s="265"/>
      <c r="AR1115" s="285"/>
      <c r="AS1115" s="263"/>
      <c r="AT1115" s="263"/>
      <c r="AU1115" s="263"/>
      <c r="AV1115" s="264"/>
      <c r="AW1115" s="263"/>
      <c r="AX1115" s="263"/>
      <c r="AY1115" s="263"/>
      <c r="AZ1115" s="263"/>
      <c r="BA1115" s="263"/>
      <c r="BB1115" s="263"/>
      <c r="BC1115" s="263"/>
      <c r="BD1115" s="264"/>
      <c r="BE1115" s="263"/>
      <c r="BF1115" s="263"/>
      <c r="BG1115" s="263"/>
      <c r="BH1115" s="263"/>
      <c r="BI1115" s="263"/>
      <c r="BJ1115" s="404">
        <f>altaz(J2000_Bas,$O1115,$M1115,DecLat,DecLong,2)</f>
        <v>121.30073505105062</v>
      </c>
      <c r="BK1115" s="378" t="s">
        <v>1177</v>
      </c>
      <c r="BL1115" s="379">
        <f>IF((2*G1115)/60&lt;0.2,0.2,(2*G1115)/60)</f>
        <v>0.2</v>
      </c>
      <c r="BM1115" s="380">
        <f>MOD((50000+AD1115-$B$3+(0/24)),1)</f>
        <v>0.12385707654902944</v>
      </c>
      <c r="BN1115" s="381"/>
      <c r="BO1115" s="382">
        <v>1109</v>
      </c>
    </row>
    <row r="1116" spans="1:67" s="24" customFormat="1" ht="15" customHeight="1" x14ac:dyDescent="0.25">
      <c r="A1116" s="288" t="s">
        <v>3118</v>
      </c>
      <c r="B1116" s="241" t="str">
        <f>HYPERLINK(CONCATENATE($AT$3,BK1116,$AU$3),$AV$3)</f>
        <v>S</v>
      </c>
      <c r="C1116" s="242" t="str">
        <f>HYPERLINK(CONCATENATE($AT$4,BK1116,$AU$4,BL1116),$AV$4)</f>
        <v>A</v>
      </c>
      <c r="D1116" s="243" t="s">
        <v>5638</v>
      </c>
      <c r="E1116" s="244" t="s">
        <v>5337</v>
      </c>
      <c r="F1116" s="269" t="s">
        <v>3310</v>
      </c>
      <c r="G1116" s="270">
        <v>0.5</v>
      </c>
      <c r="H1116" s="283">
        <v>500</v>
      </c>
      <c r="I1116" s="246">
        <v>70</v>
      </c>
      <c r="J1116" s="246">
        <v>2</v>
      </c>
      <c r="K1116" s="277" t="s">
        <v>4590</v>
      </c>
      <c r="L1116" s="248">
        <v>221210</v>
      </c>
      <c r="M1116" s="249">
        <f>15*(LEFT(TEXT($L1116,"000000"),2)+(MID(TEXT($L1116,"000000"),3,2)/60)+(RIGHT(TEXT($L1116,"000000"),2)/3600))</f>
        <v>333.04166666666663</v>
      </c>
      <c r="N1116" s="250">
        <v>-124554</v>
      </c>
      <c r="O1116" s="251">
        <f>IF($N1116&gt;0,(LEFT(TEXT($N1116,"000000"),2)+(MID(TEXT($N1116,"000000"),3,2)/60)+(RIGHT(TEXT($N1116,"000000"),2)/3600)),-(MID(TEXT($N1116,"000000"),2,2)+(MID(TEXT($N1116,"000000"),4,2)/60)+(RIGHT(TEXT($N1116,"000000"),2)/3600)))</f>
        <v>-12.765000000000001</v>
      </c>
      <c r="P1116" s="252" t="s">
        <v>3119</v>
      </c>
      <c r="Q1116" s="253"/>
      <c r="R1116" s="277" t="s">
        <v>3293</v>
      </c>
      <c r="S1116" s="272" t="s">
        <v>3293</v>
      </c>
      <c r="T1116" s="273">
        <v>14.7</v>
      </c>
      <c r="U1116" s="289">
        <v>22.29</v>
      </c>
      <c r="V1116" s="280"/>
      <c r="W1116" s="244"/>
      <c r="X1116" s="244"/>
      <c r="Y1116" s="362"/>
      <c r="Z1116" s="257">
        <f>altaz(J2000_Bas,$O1116,$M1116,DecLat,DecLong,1)</f>
        <v>27.124307422130823</v>
      </c>
      <c r="AA1116" s="257">
        <f>altaz((J2000_Bas+(2*0.04167)),$O1116,$M1116,DecLat,DecLong,1)</f>
        <v>43.302359759842375</v>
      </c>
      <c r="AB1116" s="257">
        <f>altaz((J2000_Bas+(4*0.04167)),$O1116,$M1116,DecLat,DecLong,1)</f>
        <v>44.453309090902401</v>
      </c>
      <c r="AC1116" s="257">
        <f>altaz((J2000_Bas+(6*0.04167)),$O1116,$M1116,DecLat,DecLong,1)</f>
        <v>29.700074021586342</v>
      </c>
      <c r="AD1116" s="258">
        <f>1+ transit((J2000_Bas-1),$O1116,$M1116,DecLat,DecLong)/360 + (GMTOffset/24) + (IF(DST="Y", 1, 0)/24)</f>
        <v>1.9180156088588747</v>
      </c>
      <c r="AE1116" s="259">
        <f>DATE(2001,9,21)+(M1116/360)*365 - (360*((DecLong/360)- (GMTOffset/24) ))</f>
        <v>37497.667245370372</v>
      </c>
      <c r="AF1116" s="260">
        <f>IF(DecLat&gt;0,IF((90 - (DecLat-O1116))&gt;90, (90 - (O1116-DecLat)), (90 - (DecLat-O1116))),IF((90 + (DecLat-O1116))&gt;90, (90 + (O1116-DecLat)), (90 + (DecLat-O1116))))</f>
        <v>46.234999999999999</v>
      </c>
      <c r="AG1116" s="257">
        <f>angularseperation(MoonRA,MoonDec,$M1116,$O1116)</f>
        <v>78.791345704103492</v>
      </c>
      <c r="AH1116" s="261">
        <f ca="1">MIN(100,IF($O$5&gt;80,0+30*($AG1116/100),IF($O$5&gt;70,0+50*($AG1116/100),IF($O$5&gt;60,5+50*($AG1116/100),IF($O$5&gt;50,10+60*($AG1116/100),IF($O$5&gt;40,15+70*($AG1116/100),IF($O$5&gt;30,20+70*($AG1116/100),IF($O$5&gt;20,40+55*($AG1116/100),(80+(20-$O$5)+30*($AG1116/100))))))))))</f>
        <v>100</v>
      </c>
      <c r="AI1116" s="263"/>
      <c r="AJ1116" s="263">
        <v>1433</v>
      </c>
      <c r="AK1116" s="263"/>
      <c r="AL1116" s="263"/>
      <c r="AM1116" s="264"/>
      <c r="AN1116" s="263"/>
      <c r="AO1116" s="263"/>
      <c r="AP1116" s="265"/>
      <c r="AQ1116" s="265"/>
      <c r="AR1116" s="285">
        <v>68267</v>
      </c>
      <c r="AS1116" s="263"/>
      <c r="AT1116" s="263"/>
      <c r="AU1116" s="263"/>
      <c r="AV1116" s="264"/>
      <c r="AW1116" s="263"/>
      <c r="AX1116" s="263"/>
      <c r="AY1116" s="263"/>
      <c r="AZ1116" s="263"/>
      <c r="BA1116" s="263"/>
      <c r="BB1116" s="263"/>
      <c r="BC1116" s="263"/>
      <c r="BD1116" s="264"/>
      <c r="BE1116" s="263"/>
      <c r="BF1116" s="263"/>
      <c r="BG1116" s="263"/>
      <c r="BH1116" s="263"/>
      <c r="BI1116" s="263"/>
      <c r="BJ1116" s="404">
        <f>altaz(J2000_Bas,$O1116,$M1116,DecLat,DecLong,2)</f>
        <v>126.68544985919344</v>
      </c>
      <c r="BK1116" s="378" t="s">
        <v>3118</v>
      </c>
      <c r="BL1116" s="379">
        <f>IF((2*G1116)/60&lt;0.2,0.2,(2*G1116)/60)</f>
        <v>0.2</v>
      </c>
      <c r="BM1116" s="380">
        <f>MOD((50000+AD1116-$B$3+(0/24)),1)</f>
        <v>0.13338253856636584</v>
      </c>
      <c r="BN1116" s="381"/>
      <c r="BO1116" s="382">
        <v>1110</v>
      </c>
    </row>
    <row r="1117" spans="1:67" s="24" customFormat="1" ht="15" customHeight="1" x14ac:dyDescent="0.25">
      <c r="A1117" s="288" t="s">
        <v>1178</v>
      </c>
      <c r="B1117" s="241" t="str">
        <f>HYPERLINK(CONCATENATE($AT$3,BK1117,$AU$3),$AV$3)</f>
        <v>S</v>
      </c>
      <c r="C1117" s="242" t="str">
        <f>HYPERLINK(CONCATENATE($AT$4,BK1117,$AU$4,BL1117),$AV$4)</f>
        <v>A</v>
      </c>
      <c r="D1117" s="243" t="s">
        <v>5638</v>
      </c>
      <c r="E1117" s="244" t="s">
        <v>5192</v>
      </c>
      <c r="F1117" s="269" t="s">
        <v>8912</v>
      </c>
      <c r="G1117" s="273">
        <v>2</v>
      </c>
      <c r="H1117" s="283">
        <v>100</v>
      </c>
      <c r="I1117" s="246">
        <v>60</v>
      </c>
      <c r="J1117" s="246">
        <v>2</v>
      </c>
      <c r="K1117" s="247" t="s">
        <v>4591</v>
      </c>
      <c r="L1117" s="248">
        <v>221629</v>
      </c>
      <c r="M1117" s="249">
        <f>15*(LEFT(TEXT($L1117,"000000"),2)+(MID(TEXT($L1117,"000000"),3,2)/60)+(RIGHT(TEXT($L1117,"000000"),2)/3600))</f>
        <v>334.12083333333328</v>
      </c>
      <c r="N1117" s="250">
        <v>-212553</v>
      </c>
      <c r="O1117" s="251">
        <f>IF($N1117&gt;0,(LEFT(TEXT($N1117,"000000"),2)+(MID(TEXT($N1117,"000000"),3,2)/60)+(RIGHT(TEXT($N1117,"000000"),2)/3600)),-(MID(TEXT($N1117,"000000"),2,2)+(MID(TEXT($N1117,"000000"),4,2)/60)+(RIGHT(TEXT($N1117,"000000"),2)/3600)))</f>
        <v>-21.43138888888889</v>
      </c>
      <c r="P1117" s="252" t="s">
        <v>3119</v>
      </c>
      <c r="Q1117" s="253"/>
      <c r="R1117" s="247" t="s">
        <v>3293</v>
      </c>
      <c r="S1117" s="272" t="s">
        <v>3293</v>
      </c>
      <c r="T1117" s="273">
        <v>11.9</v>
      </c>
      <c r="U1117" s="289">
        <v>22.39</v>
      </c>
      <c r="V1117" s="280">
        <v>45</v>
      </c>
      <c r="W1117" s="244"/>
      <c r="X1117" s="244"/>
      <c r="Y1117" s="362"/>
      <c r="Z1117" s="257">
        <f>altaz(J2000_Bas,$O1117,$M1117,DecLat,DecLong,1)</f>
        <v>20.150432620520487</v>
      </c>
      <c r="AA1117" s="257">
        <f>altaz((J2000_Bas+(2*0.04167)),$O1117,$M1117,DecLat,DecLong,1)</f>
        <v>34.78608109255763</v>
      </c>
      <c r="AB1117" s="257">
        <f>altaz((J2000_Bas+(4*0.04167)),$O1117,$M1117,DecLat,DecLong,1)</f>
        <v>36.308119758730513</v>
      </c>
      <c r="AC1117" s="257">
        <f>altaz((J2000_Bas+(6*0.04167)),$O1117,$M1117,DecLat,DecLong,1)</f>
        <v>23.797346125440463</v>
      </c>
      <c r="AD1117" s="258">
        <f>1+ transit((J2000_Bas-1),$O1117,$M1117,DecLat,DecLong)/360 + (GMTOffset/24) + (IF(DST="Y", 1, 0)/24)</f>
        <v>1.9210132937442912</v>
      </c>
      <c r="AE1117" s="259">
        <f>DATE(2001,9,21)+(M1117/360)*365 - (360*((DecLong/360)- (GMTOffset/24) ))</f>
        <v>37498.761400462965</v>
      </c>
      <c r="AF1117" s="260">
        <f>IF(DecLat&gt;0,IF((90 - (DecLat-O1117))&gt;90, (90 - (O1117-DecLat)), (90 - (DecLat-O1117))),IF((90 + (DecLat-O1117))&gt;90, (90 + (O1117-DecLat)), (90 + (DecLat-O1117))))</f>
        <v>37.56861111111111</v>
      </c>
      <c r="AG1117" s="257">
        <f>angularseperation(MoonRA,MoonDec,$M1117,$O1117)</f>
        <v>76.093565012669913</v>
      </c>
      <c r="AH1117" s="261">
        <f ca="1">MIN(100,IF($O$5&gt;80,0+30*($AG1117/100),IF($O$5&gt;70,0+50*($AG1117/100),IF($O$5&gt;60,5+50*($AG1117/100),IF($O$5&gt;50,10+60*($AG1117/100),IF($O$5&gt;40,15+70*($AG1117/100),IF($O$5&gt;30,20+70*($AG1117/100),IF($O$5&gt;20,40+55*($AG1117/100),(80+(20-$O$5)+30*($AG1117/100))))))))))</f>
        <v>100</v>
      </c>
      <c r="AI1117" s="262"/>
      <c r="AJ1117" s="263">
        <v>1438</v>
      </c>
      <c r="AK1117" s="263"/>
      <c r="AL1117" s="263"/>
      <c r="AM1117" s="264"/>
      <c r="AN1117" s="263"/>
      <c r="AO1117" s="263"/>
      <c r="AP1117" s="265"/>
      <c r="AQ1117" s="266"/>
      <c r="AR1117" s="267">
        <v>68469</v>
      </c>
      <c r="AS1117" s="263"/>
      <c r="AT1117" s="263"/>
      <c r="AU1117" s="263"/>
      <c r="AV1117" s="264"/>
      <c r="AW1117" s="263"/>
      <c r="AX1117" s="263"/>
      <c r="AY1117" s="263"/>
      <c r="AZ1117" s="263"/>
      <c r="BA1117" s="263"/>
      <c r="BB1117" s="263"/>
      <c r="BC1117" s="263"/>
      <c r="BD1117" s="264"/>
      <c r="BE1117" s="263"/>
      <c r="BF1117" s="263"/>
      <c r="BG1117" s="263"/>
      <c r="BH1117" s="263"/>
      <c r="BI1117" s="263"/>
      <c r="BJ1117" s="404">
        <f>altaz(J2000_Bas,$O1117,$M1117,DecLat,DecLong,2)</f>
        <v>132.4191221678696</v>
      </c>
      <c r="BK1117" s="378" t="s">
        <v>1178</v>
      </c>
      <c r="BL1117" s="379">
        <f>IF((2*G1117)/60&lt;0.2,0.2,(2*G1117)/60)</f>
        <v>0.2</v>
      </c>
      <c r="BM1117" s="380">
        <f>MOD((50000+AD1117-$B$3+(0/24)),1)</f>
        <v>0.13638022344821366</v>
      </c>
      <c r="BN1117" s="381"/>
      <c r="BO1117" s="382">
        <v>1111</v>
      </c>
    </row>
    <row r="1118" spans="1:67" s="24" customFormat="1" ht="15" customHeight="1" x14ac:dyDescent="0.25">
      <c r="A1118" s="288" t="s">
        <v>7656</v>
      </c>
      <c r="B1118" s="241" t="str">
        <f>HYPERLINK(CONCATENATE($AT$3,BK1118,$AU$3),$AV$3)</f>
        <v>S</v>
      </c>
      <c r="C1118" s="242" t="str">
        <f>HYPERLINK(CONCATENATE($AT$4,BK1118,$AU$4,BL1118),$AV$4)</f>
        <v>A</v>
      </c>
      <c r="D1118" s="243" t="s">
        <v>5638</v>
      </c>
      <c r="E1118" s="244" t="s">
        <v>5178</v>
      </c>
      <c r="F1118" s="269"/>
      <c r="G1118" s="270">
        <v>0.6</v>
      </c>
      <c r="H1118" s="283">
        <v>320</v>
      </c>
      <c r="I1118" s="246">
        <v>60</v>
      </c>
      <c r="J1118" s="246">
        <v>1</v>
      </c>
      <c r="K1118" s="247" t="s">
        <v>4592</v>
      </c>
      <c r="L1118" s="248">
        <v>230312</v>
      </c>
      <c r="M1118" s="249">
        <f>15*(LEFT(TEXT($L1118,"000000"),2)+(MID(TEXT($L1118,"000000"),3,2)/60)+(RIGHT(TEXT($L1118,"000000"),2)/3600))</f>
        <v>345.8</v>
      </c>
      <c r="N1118" s="250">
        <v>-85927</v>
      </c>
      <c r="O1118" s="251">
        <f>IF($N1118&gt;0,(LEFT(TEXT($N1118,"000000"),2)+(MID(TEXT($N1118,"000000"),3,2)/60)+(RIGHT(TEXT($N1118,"000000"),2)/3600)),-(MID(TEXT($N1118,"000000"),2,2)+(MID(TEXT($N1118,"000000"),4,2)/60)+(RIGHT(TEXT($N1118,"000000"),2)/3600)))</f>
        <v>-8.9908333333333328</v>
      </c>
      <c r="P1118" s="252" t="s">
        <v>3119</v>
      </c>
      <c r="Q1118" s="253"/>
      <c r="R1118" s="247" t="s">
        <v>3293</v>
      </c>
      <c r="S1118" s="272" t="s">
        <v>3293</v>
      </c>
      <c r="T1118" s="273">
        <v>14.6</v>
      </c>
      <c r="U1118" s="289">
        <v>21.990000000000002</v>
      </c>
      <c r="V1118" s="280"/>
      <c r="W1118" s="244"/>
      <c r="X1118" s="244"/>
      <c r="Y1118" s="362"/>
      <c r="Z1118" s="257">
        <f>altaz(J2000_Bas,$O1118,$M1118,DecLat,DecLong,1)</f>
        <v>20.207425198690636</v>
      </c>
      <c r="AA1118" s="257">
        <f>altaz((J2000_Bas+(2*0.04167)),$O1118,$M1118,DecLat,DecLong,1)</f>
        <v>40.906919604231888</v>
      </c>
      <c r="AB1118" s="257">
        <f>altaz((J2000_Bas+(4*0.04167)),$O1118,$M1118,DecLat,DecLong,1)</f>
        <v>50.007578229982336</v>
      </c>
      <c r="AC1118" s="257">
        <f>altaz((J2000_Bas+(6*0.04167)),$O1118,$M1118,DecLat,DecLong,1)</f>
        <v>40.490761397138705</v>
      </c>
      <c r="AD1118" s="258">
        <f>1+ transit((J2000_Bas-1),$O1118,$M1118,DecLat,DecLong)/360 + (GMTOffset/24) + (IF(DST="Y", 1, 0)/24)</f>
        <v>1.9534554201297081</v>
      </c>
      <c r="AE1118" s="259">
        <f>DATE(2001,9,21)+(M1118/360)*365 - (360*((DecLong/360)- (GMTOffset/24) ))</f>
        <v>37510.602777777778</v>
      </c>
      <c r="AF1118" s="260">
        <f>IF(DecLat&gt;0,IF((90 - (DecLat-O1118))&gt;90, (90 - (O1118-DecLat)), (90 - (DecLat-O1118))),IF((90 + (DecLat-O1118))&gt;90, (90 + (O1118-DecLat)), (90 + (DecLat-O1118))))</f>
        <v>50.009166666666665</v>
      </c>
      <c r="AG1118" s="257">
        <f>angularseperation(MoonRA,MoonDec,$M1118,$O1118)</f>
        <v>91.67811028589972</v>
      </c>
      <c r="AH1118" s="261">
        <f ca="1">MIN(100,IF($O$5&gt;80,0+30*($AG1118/100),IF($O$5&gt;70,0+50*($AG1118/100),IF($O$5&gt;60,5+50*($AG1118/100),IF($O$5&gt;50,10+60*($AG1118/100),IF($O$5&gt;40,15+70*($AG1118/100),IF($O$5&gt;30,20+70*($AG1118/100),IF($O$5&gt;20,40+55*($AG1118/100),(80+(20-$O$5)+30*($AG1118/100))))))))))</f>
        <v>100</v>
      </c>
      <c r="AI1118" s="262"/>
      <c r="AJ1118" s="263">
        <v>1464</v>
      </c>
      <c r="AK1118" s="263"/>
      <c r="AL1118" s="263"/>
      <c r="AM1118" s="264"/>
      <c r="AN1118" s="263"/>
      <c r="AO1118" s="263"/>
      <c r="AP1118" s="265"/>
      <c r="AQ1118" s="266"/>
      <c r="AR1118" s="267">
        <v>70345</v>
      </c>
      <c r="AS1118" s="263"/>
      <c r="AT1118" s="263"/>
      <c r="AU1118" s="263"/>
      <c r="AV1118" s="264"/>
      <c r="AW1118" s="263"/>
      <c r="AX1118" s="263"/>
      <c r="AY1118" s="263"/>
      <c r="AZ1118" s="263"/>
      <c r="BA1118" s="263"/>
      <c r="BB1118" s="263"/>
      <c r="BC1118" s="263"/>
      <c r="BD1118" s="264"/>
      <c r="BE1118" s="263"/>
      <c r="BF1118" s="263"/>
      <c r="BG1118" s="263"/>
      <c r="BH1118" s="263"/>
      <c r="BI1118" s="263"/>
      <c r="BJ1118" s="404">
        <f>altaz(J2000_Bas,$O1118,$M1118,DecLat,DecLong,2)</f>
        <v>114.54686316946932</v>
      </c>
      <c r="BK1118" s="378" t="s">
        <v>1180</v>
      </c>
      <c r="BL1118" s="379">
        <f>IF((2*G1118)/60&lt;0.2,0.2,(2*G1118)/60)</f>
        <v>0.2</v>
      </c>
      <c r="BM1118" s="380">
        <f>MOD((50000+AD1118-$B$3+(0/24)),1)</f>
        <v>0.16882234983495437</v>
      </c>
      <c r="BN1118" s="381"/>
      <c r="BO1118" s="382">
        <v>1112</v>
      </c>
    </row>
    <row r="1119" spans="1:67" s="24" customFormat="1" ht="15" customHeight="1" x14ac:dyDescent="0.25">
      <c r="A1119" s="288" t="s">
        <v>7657</v>
      </c>
      <c r="B1119" s="241" t="str">
        <f>HYPERLINK(CONCATENATE($AT$3,BK1119,$AU$3),$AV$3)</f>
        <v>S</v>
      </c>
      <c r="C1119" s="242" t="str">
        <f>HYPERLINK(CONCATENATE($AT$4,BK1119,$AU$4,BL1119),$AV$4)</f>
        <v>A</v>
      </c>
      <c r="D1119" s="243" t="s">
        <v>5638</v>
      </c>
      <c r="E1119" s="244" t="s">
        <v>5178</v>
      </c>
      <c r="F1119" s="269"/>
      <c r="G1119" s="270">
        <v>0.4</v>
      </c>
      <c r="H1119" s="283">
        <v>1000</v>
      </c>
      <c r="I1119" s="246">
        <v>120</v>
      </c>
      <c r="J1119" s="246">
        <v>2</v>
      </c>
      <c r="K1119" s="277" t="s">
        <v>4593</v>
      </c>
      <c r="L1119" s="248">
        <v>235033</v>
      </c>
      <c r="M1119" s="249">
        <f>15*(LEFT(TEXT($L1119,"000000"),2)+(MID(TEXT($L1119,"000000"),3,2)/60)+(RIGHT(TEXT($L1119,"000000"),2)/3600))</f>
        <v>357.63749999999999</v>
      </c>
      <c r="N1119" s="250">
        <v>20418</v>
      </c>
      <c r="O1119" s="251">
        <f>IF($N1119&gt;0,(LEFT(TEXT($N1119,"000000"),2)+(MID(TEXT($N1119,"000000"),3,2)/60)+(RIGHT(TEXT($N1119,"000000"),2)/3600)),-(MID(TEXT($N1119,"000000"),2,2)+(MID(TEXT($N1119,"000000"),4,2)/60)+(RIGHT(TEXT($N1119,"000000"),2)/3600)))</f>
        <v>2.0716666666666668</v>
      </c>
      <c r="P1119" s="252" t="s">
        <v>158</v>
      </c>
      <c r="Q1119" s="253"/>
      <c r="R1119" s="277" t="s">
        <v>3293</v>
      </c>
      <c r="S1119" s="272" t="s">
        <v>3293</v>
      </c>
      <c r="T1119" s="273">
        <v>14.7</v>
      </c>
      <c r="U1119" s="289">
        <v>22.490000000000002</v>
      </c>
      <c r="V1119" s="280"/>
      <c r="W1119" s="244"/>
      <c r="X1119" s="244"/>
      <c r="Y1119" s="362"/>
      <c r="Z1119" s="257">
        <f>altaz(J2000_Bas,$O1119,$M1119,DecLat,DecLong,1)</f>
        <v>16.768821020854844</v>
      </c>
      <c r="AA1119" s="257">
        <f>altaz((J2000_Bas+(2*0.04167)),$O1119,$M1119,DecLat,DecLong,1)</f>
        <v>41.275494853760705</v>
      </c>
      <c r="AB1119" s="257">
        <f>altaz((J2000_Bas+(4*0.04167)),$O1119,$M1119,DecLat,DecLong,1)</f>
        <v>59.107333140562638</v>
      </c>
      <c r="AC1119" s="257">
        <f>altaz((J2000_Bas+(6*0.04167)),$O1119,$M1119,DecLat,DecLong,1)</f>
        <v>56.139231362756846</v>
      </c>
      <c r="AD1119" s="258">
        <f>1+ transit((J2000_Bas-1),$O1119,$M1119,DecLat,DecLong)/360 + (GMTOffset/24) + (IF(DST="Y", 1, 0)/24)</f>
        <v>1.9863373612859581</v>
      </c>
      <c r="AE1119" s="259">
        <f>DATE(2001,9,21)+(M1119/360)*365 - (360*((DecLong/360)- (GMTOffset/24) ))</f>
        <v>37522.604687500003</v>
      </c>
      <c r="AF1119" s="260">
        <f>IF(DecLat&gt;0,IF((90 - (DecLat-O1119))&gt;90, (90 - (O1119-DecLat)), (90 - (DecLat-O1119))),IF((90 + (DecLat-O1119))&gt;90, (90 + (O1119-DecLat)), (90 + (DecLat-O1119))))</f>
        <v>61.071666666666665</v>
      </c>
      <c r="AG1119" s="257">
        <f>angularseperation(MoonRA,MoonDec,$M1119,$O1119)</f>
        <v>107.29219547646979</v>
      </c>
      <c r="AH1119" s="261">
        <f ca="1">MIN(100,IF($O$5&gt;80,0+30*($AG1119/100),IF($O$5&gt;70,0+50*($AG1119/100),IF($O$5&gt;60,5+50*($AG1119/100),IF($O$5&gt;50,10+60*($AG1119/100),IF($O$5&gt;40,15+70*($AG1119/100),IF($O$5&gt;30,20+70*($AG1119/100),IF($O$5&gt;20,40+55*($AG1119/100),(80+(20-$O$5)+30*($AG1119/100))))))))))</f>
        <v>100</v>
      </c>
      <c r="AI1119" s="263"/>
      <c r="AJ1119" s="263">
        <v>1510</v>
      </c>
      <c r="AK1119" s="263"/>
      <c r="AL1119" s="263"/>
      <c r="AM1119" s="264"/>
      <c r="AN1119" s="263"/>
      <c r="AO1119" s="263"/>
      <c r="AP1119" s="265"/>
      <c r="AQ1119" s="265"/>
      <c r="AR1119" s="360">
        <v>1215207</v>
      </c>
      <c r="AS1119" s="263"/>
      <c r="AT1119" s="263"/>
      <c r="AU1119" s="263"/>
      <c r="AV1119" s="264"/>
      <c r="AW1119" s="263"/>
      <c r="AX1119" s="263"/>
      <c r="AY1119" s="263"/>
      <c r="AZ1119" s="263"/>
      <c r="BA1119" s="263"/>
      <c r="BB1119" s="263"/>
      <c r="BC1119" s="263"/>
      <c r="BD1119" s="264"/>
      <c r="BE1119" s="263"/>
      <c r="BF1119" s="263"/>
      <c r="BG1119" s="263"/>
      <c r="BH1119" s="263"/>
      <c r="BI1119" s="263"/>
      <c r="BJ1119" s="404">
        <f>altaz(J2000_Bas,$O1119,$M1119,DecLat,DecLong,2)</f>
        <v>97.874723259386101</v>
      </c>
      <c r="BK1119" s="378" t="s">
        <v>3120</v>
      </c>
      <c r="BL1119" s="379">
        <f>IF((2*G1119)/60&lt;0.2,0.2,(2*G1119)/60)</f>
        <v>0.2</v>
      </c>
      <c r="BM1119" s="380">
        <f>MOD((50000+AD1119-$B$3+(0/24)),1)</f>
        <v>0.20170429098652676</v>
      </c>
      <c r="BN1119" s="381" t="s">
        <v>9088</v>
      </c>
      <c r="BO1119" s="382">
        <v>1113</v>
      </c>
    </row>
    <row r="1120" spans="1:67" s="24" customFormat="1" ht="15" customHeight="1" x14ac:dyDescent="0.25">
      <c r="A1120" s="288" t="s">
        <v>3104</v>
      </c>
      <c r="B1120" s="241" t="str">
        <f>HYPERLINK(CONCATENATE($AT$3,BK1120,$AU$3),$AV$3)</f>
        <v>S</v>
      </c>
      <c r="C1120" s="242" t="str">
        <f>HYPERLINK(CONCATENATE($AT$4,BK1120,$AU$4,BL1120),$AV$4)</f>
        <v>A</v>
      </c>
      <c r="D1120" s="243" t="s">
        <v>5638</v>
      </c>
      <c r="E1120" s="244" t="s">
        <v>5192</v>
      </c>
      <c r="F1120" s="269" t="s">
        <v>8913</v>
      </c>
      <c r="G1120" s="273">
        <v>1.2</v>
      </c>
      <c r="H1120" s="283">
        <v>300</v>
      </c>
      <c r="I1120" s="246">
        <v>110</v>
      </c>
      <c r="J1120" s="246">
        <v>2</v>
      </c>
      <c r="K1120" s="277" t="s">
        <v>4599</v>
      </c>
      <c r="L1120" s="248">
        <v>235604</v>
      </c>
      <c r="M1120" s="249">
        <f>15*(LEFT(TEXT($L1120,"000000"),2)+(MID(TEXT($L1120,"000000"),3,2)/60)+(RIGHT(TEXT($L1120,"000000"),2)/3600))</f>
        <v>359.01666666666665</v>
      </c>
      <c r="N1120" s="250">
        <v>-5918</v>
      </c>
      <c r="O1120" s="251">
        <f>IF($N1120&gt;0,(LEFT(TEXT($N1120,"000000"),2)+(MID(TEXT($N1120,"000000"),3,2)/60)+(RIGHT(TEXT($N1120,"000000"),2)/3600)),-(MID(TEXT($N1120,"000000"),2,2)+(MID(TEXT($N1120,"000000"),4,2)/60)+(RIGHT(TEXT($N1120,"000000"),2)/3600)))</f>
        <v>-0.98833333333333329</v>
      </c>
      <c r="P1120" s="252" t="s">
        <v>158</v>
      </c>
      <c r="Q1120" s="253"/>
      <c r="R1120" s="277" t="s">
        <v>3293</v>
      </c>
      <c r="S1120" s="272" t="s">
        <v>4605</v>
      </c>
      <c r="T1120" s="273">
        <v>14</v>
      </c>
      <c r="U1120" s="289">
        <v>22.09</v>
      </c>
      <c r="V1120" s="280">
        <v>45</v>
      </c>
      <c r="W1120" s="244"/>
      <c r="X1120" s="244"/>
      <c r="Y1120" s="362"/>
      <c r="Z1120" s="257">
        <f>altaz(J2000_Bas,$O1120,$M1120,DecLat,DecLong,1)</f>
        <v>13.974471193035562</v>
      </c>
      <c r="AA1120" s="257">
        <f>altaz((J2000_Bas+(2*0.04167)),$O1120,$M1120,DecLat,DecLong,1)</f>
        <v>38.216464034689295</v>
      </c>
      <c r="AB1120" s="257">
        <f>altaz((J2000_Bas+(4*0.04167)),$O1120,$M1120,DecLat,DecLong,1)</f>
        <v>55.762118017416086</v>
      </c>
      <c r="AC1120" s="257">
        <f>altaz((J2000_Bas+(6*0.04167)),$O1120,$M1120,DecLat,DecLong,1)</f>
        <v>54.061987650310535</v>
      </c>
      <c r="AD1120" s="258">
        <f>1+ transit((J2000_Bas-1),$O1120,$M1120,DecLat,DecLong)/360 + (GMTOffset/24) + (IF(DST="Y", 1, 0)/24)</f>
        <v>1.9901683794213747</v>
      </c>
      <c r="AE1120" s="259">
        <f>DATE(2001,9,21)+(M1120/360)*365 - (360*((DecLong/360)- (GMTOffset/24) ))</f>
        <v>37524.003009259257</v>
      </c>
      <c r="AF1120" s="260">
        <f>IF(DecLat&gt;0,IF((90 - (DecLat-O1120))&gt;90, (90 - (O1120-DecLat)), (90 - (DecLat-O1120))),IF((90 + (DecLat-O1120))&gt;90, (90 + (O1120-DecLat)), (90 + (DecLat-O1120))))</f>
        <v>58.01166666666667</v>
      </c>
      <c r="AG1120" s="257">
        <f>angularseperation(MoonRA,MoonDec,$M1120,$O1120)</f>
        <v>107.05708620004813</v>
      </c>
      <c r="AH1120" s="261">
        <f ca="1">MIN(100,IF($O$5&gt;80,0+30*($AG1120/100),IF($O$5&gt;70,0+50*($AG1120/100),IF($O$5&gt;60,5+50*($AG1120/100),IF($O$5&gt;50,10+60*($AG1120/100),IF($O$5&gt;40,15+70*($AG1120/100),IF($O$5&gt;30,20+70*($AG1120/100),IF($O$5&gt;20,40+55*($AG1120/100),(80+(20-$O$5)+30*($AG1120/100))))))))))</f>
        <v>100</v>
      </c>
      <c r="AI1120" s="263"/>
      <c r="AJ1120" s="263">
        <v>1515</v>
      </c>
      <c r="AK1120" s="263"/>
      <c r="AL1120" s="263"/>
      <c r="AM1120" s="264"/>
      <c r="AN1120" s="263"/>
      <c r="AO1120" s="263"/>
      <c r="AP1120" s="265"/>
      <c r="AQ1120" s="265">
        <v>12848</v>
      </c>
      <c r="AR1120" s="285">
        <v>72922</v>
      </c>
      <c r="AS1120" s="263"/>
      <c r="AT1120" s="263"/>
      <c r="AU1120" s="263"/>
      <c r="AV1120" s="264"/>
      <c r="AW1120" s="263"/>
      <c r="AX1120" s="263"/>
      <c r="AY1120" s="263"/>
      <c r="AZ1120" s="263"/>
      <c r="BA1120" s="263"/>
      <c r="BB1120" s="263"/>
      <c r="BC1120" s="263"/>
      <c r="BD1120" s="264"/>
      <c r="BE1120" s="263"/>
      <c r="BF1120" s="263"/>
      <c r="BG1120" s="263"/>
      <c r="BH1120" s="263"/>
      <c r="BI1120" s="263"/>
      <c r="BJ1120" s="404">
        <f>altaz(J2000_Bas,$O1120,$M1120,DecLat,DecLong,2)</f>
        <v>99.803158942831374</v>
      </c>
      <c r="BK1120" s="378" t="s">
        <v>3104</v>
      </c>
      <c r="BL1120" s="379">
        <f>IF((2*G1120)/60&lt;0.2,0.2,(2*G1120)/60)</f>
        <v>0.2</v>
      </c>
      <c r="BM1120" s="380">
        <f>MOD((50000+AD1120-$B$3+(0/24)),1)</f>
        <v>0.20553530912729912</v>
      </c>
      <c r="BN1120" s="381"/>
      <c r="BO1120" s="382">
        <v>1114</v>
      </c>
    </row>
    <row r="1121" spans="1:67" s="24" customFormat="1" ht="15" customHeight="1" x14ac:dyDescent="0.25">
      <c r="A1121" s="288" t="s">
        <v>3272</v>
      </c>
      <c r="B1121" s="241" t="str">
        <f>HYPERLINK(CONCATENATE($AT$3,BK1121,$AU$3),$AV$3)</f>
        <v>S</v>
      </c>
      <c r="C1121" s="242" t="str">
        <f>HYPERLINK(CONCATENATE($AT$4,BK1121,$AU$4,BL1121),$AV$4)</f>
        <v>A</v>
      </c>
      <c r="D1121" s="243" t="s">
        <v>5638</v>
      </c>
      <c r="E1121" s="244" t="s">
        <v>5192</v>
      </c>
      <c r="F1121" s="269" t="s">
        <v>8714</v>
      </c>
      <c r="G1121" s="273">
        <v>1.1000000000000001</v>
      </c>
      <c r="H1121" s="283">
        <v>320</v>
      </c>
      <c r="I1121" s="246">
        <v>105</v>
      </c>
      <c r="J1121" s="246">
        <v>2</v>
      </c>
      <c r="K1121" s="277" t="s">
        <v>4602</v>
      </c>
      <c r="L1121" s="248">
        <v>235607</v>
      </c>
      <c r="M1121" s="249">
        <f>15*(LEFT(TEXT($L1121,"000000"),2)+(MID(TEXT($L1121,"000000"),3,2)/60)+(RIGHT(TEXT($L1121,"000000"),2)/3600))</f>
        <v>359.02916666666664</v>
      </c>
      <c r="N1121" s="250">
        <v>-5459</v>
      </c>
      <c r="O1121" s="251">
        <f>IF($N1121&gt;0,(LEFT(TEXT($N1121,"000000"),2)+(MID(TEXT($N1121,"000000"),3,2)/60)+(RIGHT(TEXT($N1121,"000000"),2)/3600)),-(MID(TEXT($N1121,"000000"),2,2)+(MID(TEXT($N1121,"000000"),4,2)/60)+(RIGHT(TEXT($N1121,"000000"),2)/3600)))</f>
        <v>-0.91638888888888892</v>
      </c>
      <c r="P1121" s="252" t="s">
        <v>158</v>
      </c>
      <c r="Q1121" s="253"/>
      <c r="R1121" s="277" t="s">
        <v>3293</v>
      </c>
      <c r="S1121" s="272" t="s">
        <v>4604</v>
      </c>
      <c r="T1121" s="273">
        <v>13.1</v>
      </c>
      <c r="U1121" s="289">
        <v>22.990000000000002</v>
      </c>
      <c r="V1121" s="280">
        <v>5</v>
      </c>
      <c r="W1121" s="244"/>
      <c r="X1121" s="244"/>
      <c r="Y1121" s="362"/>
      <c r="Z1121" s="257">
        <f>altaz(J2000_Bas,$O1121,$M1121,DecLat,DecLong,1)</f>
        <v>14.002401720084571</v>
      </c>
      <c r="AA1121" s="257">
        <f>altaz((J2000_Bas+(2*0.04167)),$O1121,$M1121,DecLat,DecLong,1)</f>
        <v>38.255296726085433</v>
      </c>
      <c r="AB1121" s="257">
        <f>altaz((J2000_Bas+(4*0.04167)),$O1121,$M1121,DecLat,DecLong,1)</f>
        <v>55.82556034727444</v>
      </c>
      <c r="AC1121" s="257">
        <f>altaz((J2000_Bas+(6*0.04167)),$O1121,$M1121,DecLat,DecLong,1)</f>
        <v>54.132248523326204</v>
      </c>
      <c r="AD1121" s="258">
        <f>1+ transit((J2000_Bas-1),$O1121,$M1121,DecLat,DecLong)/360 + (GMTOffset/24) + (IF(DST="Y", 1, 0)/24)</f>
        <v>1.9902031016401247</v>
      </c>
      <c r="AE1121" s="259">
        <f>DATE(2001,9,21)+(M1121/360)*365 - (360*((DecLong/360)- (GMTOffset/24) ))</f>
        <v>37524.015682870369</v>
      </c>
      <c r="AF1121" s="260">
        <f>IF(DecLat&gt;0,IF((90 - (DecLat-O1121))&gt;90, (90 - (O1121-DecLat)), (90 - (DecLat-O1121))),IF((90 + (DecLat-O1121))&gt;90, (90 + (O1121-DecLat)), (90 + (DecLat-O1121))))</f>
        <v>58.083611111111111</v>
      </c>
      <c r="AG1121" s="257">
        <f>angularseperation(MoonRA,MoonDec,$M1121,$O1121)</f>
        <v>107.10268007896487</v>
      </c>
      <c r="AH1121" s="261">
        <f ca="1">MIN(100,IF($O$5&gt;80,0+30*($AG1121/100),IF($O$5&gt;70,0+50*($AG1121/100),IF($O$5&gt;60,5+50*($AG1121/100),IF($O$5&gt;50,10+60*($AG1121/100),IF($O$5&gt;40,15+70*($AG1121/100),IF($O$5&gt;30,20+70*($AG1121/100),IF($O$5&gt;20,40+55*($AG1121/100),(80+(20-$O$5)+30*($AG1121/100))))))))))</f>
        <v>100</v>
      </c>
      <c r="AI1121" s="263"/>
      <c r="AJ1121" s="263">
        <v>1516</v>
      </c>
      <c r="AK1121" s="263"/>
      <c r="AL1121" s="263"/>
      <c r="AM1121" s="264"/>
      <c r="AN1121" s="263"/>
      <c r="AO1121" s="263"/>
      <c r="AP1121" s="265"/>
      <c r="AQ1121" s="265">
        <v>12852</v>
      </c>
      <c r="AR1121" s="285">
        <v>72927</v>
      </c>
      <c r="AS1121" s="263"/>
      <c r="AT1121" s="263"/>
      <c r="AU1121" s="263"/>
      <c r="AV1121" s="264"/>
      <c r="AW1121" s="263"/>
      <c r="AX1121" s="263"/>
      <c r="AY1121" s="263"/>
      <c r="AZ1121" s="263"/>
      <c r="BA1121" s="263"/>
      <c r="BB1121" s="263"/>
      <c r="BC1121" s="263"/>
      <c r="BD1121" s="264"/>
      <c r="BE1121" s="263"/>
      <c r="BF1121" s="263"/>
      <c r="BG1121" s="263"/>
      <c r="BH1121" s="263"/>
      <c r="BI1121" s="263"/>
      <c r="BJ1121" s="404">
        <f>altaz(J2000_Bas,$O1121,$M1121,DecLat,DecLong,2)</f>
        <v>99.733627742130579</v>
      </c>
      <c r="BK1121" s="378" t="s">
        <v>3272</v>
      </c>
      <c r="BL1121" s="379">
        <f>IF((2*G1121)/60&lt;0.2,0.2,(2*G1121)/60)</f>
        <v>0.2</v>
      </c>
      <c r="BM1121" s="380">
        <f>MOD((50000+AD1121-$B$3+(0/24)),1)</f>
        <v>0.20557003134308616</v>
      </c>
      <c r="BN1121" s="381"/>
      <c r="BO1121" s="382">
        <v>1115</v>
      </c>
    </row>
    <row r="1122" spans="1:67" s="24" customFormat="1" ht="15" customHeight="1" x14ac:dyDescent="0.25">
      <c r="A1122" s="288" t="s">
        <v>1182</v>
      </c>
      <c r="B1122" s="241" t="str">
        <f>HYPERLINK(CONCATENATE($AT$3,BK1122,$AU$3),$AV$3)</f>
        <v>S</v>
      </c>
      <c r="C1122" s="242" t="str">
        <f>HYPERLINK(CONCATENATE($AT$4,BK1122,$AU$4,BL1122),$AV$4)</f>
        <v>A</v>
      </c>
      <c r="D1122" s="243" t="s">
        <v>5638</v>
      </c>
      <c r="E1122" s="244" t="s">
        <v>5337</v>
      </c>
      <c r="F1122" s="269" t="s">
        <v>3317</v>
      </c>
      <c r="G1122" s="270">
        <v>0.5</v>
      </c>
      <c r="H1122" s="283">
        <v>600</v>
      </c>
      <c r="I1122" s="246">
        <v>85</v>
      </c>
      <c r="J1122" s="246">
        <v>3</v>
      </c>
      <c r="K1122" s="247" t="s">
        <v>8521</v>
      </c>
      <c r="L1122" s="248">
        <v>2735</v>
      </c>
      <c r="M1122" s="249">
        <f>15*(LEFT(TEXT($L1122,"000000"),2)+(MID(TEXT($L1122,"000000"),3,2)/60)+(RIGHT(TEXT($L1122,"000000"),2)/3600))</f>
        <v>6.8958333333333339</v>
      </c>
      <c r="N1122" s="250">
        <v>85238</v>
      </c>
      <c r="O1122" s="251">
        <f>IF($N1122&gt;0,(LEFT(TEXT($N1122,"000000"),2)+(MID(TEXT($N1122,"000000"),3,2)/60)+(RIGHT(TEXT($N1122,"000000"),2)/3600)),-(MID(TEXT($N1122,"000000"),2,2)+(MID(TEXT($N1122,"000000"),4,2)/60)+(RIGHT(TEXT($N1122,"000000"),2)/3600)))</f>
        <v>8.8772222222222226</v>
      </c>
      <c r="P1122" s="252" t="s">
        <v>158</v>
      </c>
      <c r="Q1122" s="253"/>
      <c r="R1122" s="247" t="s">
        <v>3293</v>
      </c>
      <c r="S1122" s="272" t="s">
        <v>3293</v>
      </c>
      <c r="T1122" s="273">
        <v>13.7</v>
      </c>
      <c r="U1122" s="289">
        <v>23.59</v>
      </c>
      <c r="V1122" s="280"/>
      <c r="W1122" s="244"/>
      <c r="X1122" s="244"/>
      <c r="Y1122" s="362"/>
      <c r="Z1122" s="257">
        <f>altaz(J2000_Bas,$O1122,$M1122,DecLat,DecLong,1)</f>
        <v>12.328865606464856</v>
      </c>
      <c r="AA1122" s="257">
        <f>altaz((J2000_Bas+(2*0.04167)),$O1122,$M1122,DecLat,DecLong,1)</f>
        <v>37.926169332884996</v>
      </c>
      <c r="AB1122" s="257">
        <f>altaz((J2000_Bas+(4*0.04167)),$O1122,$M1122,DecLat,DecLong,1)</f>
        <v>60.64282471362737</v>
      </c>
      <c r="AC1122" s="257">
        <f>altaz((J2000_Bas+(6*0.04167)),$O1122,$M1122,DecLat,DecLong,1)</f>
        <v>66.220259297634442</v>
      </c>
      <c r="AD1122" s="258">
        <f>1+ transit((J2000_Bas-1),$O1122,$M1122,DecLat,DecLong)/360 + (GMTOffset/24) + (IF(DST="Y", 1, 0)/24)</f>
        <v>1.0120550513067914</v>
      </c>
      <c r="AE1122" s="259">
        <f>DATE(2001,9,21)+(M1122/360)*365 - (360*((DecLong/360)- (GMTOffset/24) ))</f>
        <v>37166.991608796299</v>
      </c>
      <c r="AF1122" s="260">
        <f>IF(DecLat&gt;0,IF((90 - (DecLat-O1122))&gt;90, (90 - (O1122-DecLat)), (90 - (DecLat-O1122))),IF((90 + (DecLat-O1122))&gt;90, (90 + (O1122-DecLat)), (90 + (DecLat-O1122))))</f>
        <v>67.87722222222223</v>
      </c>
      <c r="AG1122" s="257">
        <f>angularseperation(MoonRA,MoonDec,$M1122,$O1122)</f>
        <v>118.59031690100947</v>
      </c>
      <c r="AH1122" s="261">
        <f ca="1">MIN(100,IF($O$5&gt;80,0+30*($AG1122/100),IF($O$5&gt;70,0+50*($AG1122/100),IF($O$5&gt;60,5+50*($AG1122/100),IF($O$5&gt;50,10+60*($AG1122/100),IF($O$5&gt;40,15+70*($AG1122/100),IF($O$5&gt;30,20+70*($AG1122/100),IF($O$5&gt;20,40+55*($AG1122/100),(80+(20-$O$5)+30*($AG1122/100))))))))))</f>
        <v>100</v>
      </c>
      <c r="AI1122" s="262"/>
      <c r="AJ1122" s="263">
        <v>1551</v>
      </c>
      <c r="AK1122" s="263"/>
      <c r="AL1122" s="263"/>
      <c r="AM1122" s="264"/>
      <c r="AN1122" s="263"/>
      <c r="AO1122" s="263"/>
      <c r="AP1122" s="265"/>
      <c r="AQ1122" s="266">
        <v>268</v>
      </c>
      <c r="AR1122" s="267">
        <v>1700</v>
      </c>
      <c r="AS1122" s="263"/>
      <c r="AT1122" s="263"/>
      <c r="AU1122" s="263"/>
      <c r="AV1122" s="264"/>
      <c r="AW1122" s="263"/>
      <c r="AX1122" s="263"/>
      <c r="AY1122" s="263"/>
      <c r="AZ1122" s="263"/>
      <c r="BA1122" s="263"/>
      <c r="BB1122" s="263"/>
      <c r="BC1122" s="263"/>
      <c r="BD1122" s="264"/>
      <c r="BE1122" s="263"/>
      <c r="BF1122" s="263"/>
      <c r="BG1122" s="263"/>
      <c r="BH1122" s="263"/>
      <c r="BI1122" s="263"/>
      <c r="BJ1122" s="404">
        <f>altaz(J2000_Bas,$O1122,$M1122,DecLat,DecLong,2)</f>
        <v>86.96442314389418</v>
      </c>
      <c r="BK1122" s="378" t="s">
        <v>1182</v>
      </c>
      <c r="BL1122" s="379">
        <f>IF((2*G1122)/60&lt;0.2,0.2,(2*G1122)/60)</f>
        <v>0.2</v>
      </c>
      <c r="BM1122" s="380">
        <f>MOD((50000+AD1122-$B$3+(0/24)),1)</f>
        <v>0.22742198101332178</v>
      </c>
      <c r="BN1122" s="381" t="s">
        <v>9284</v>
      </c>
      <c r="BO1122" s="382">
        <v>1116</v>
      </c>
    </row>
    <row r="1123" spans="1:67" s="24" customFormat="1" ht="15" customHeight="1" x14ac:dyDescent="0.25">
      <c r="A1123" s="288" t="s">
        <v>1183</v>
      </c>
      <c r="B1123" s="241" t="str">
        <f>HYPERLINK(CONCATENATE($AT$3,BK1123,$AU$3),$AV$3)</f>
        <v>S</v>
      </c>
      <c r="C1123" s="242" t="str">
        <f>HYPERLINK(CONCATENATE($AT$4,BK1123,$AU$4,BL1123),$AV$4)</f>
        <v>A</v>
      </c>
      <c r="D1123" s="243" t="s">
        <v>5638</v>
      </c>
      <c r="E1123" s="244" t="s">
        <v>13</v>
      </c>
      <c r="F1123" s="269"/>
      <c r="G1123" s="276">
        <v>13</v>
      </c>
      <c r="H1123" s="289">
        <v>2.5</v>
      </c>
      <c r="I1123" s="244">
        <v>10</v>
      </c>
      <c r="J1123" s="246">
        <v>2</v>
      </c>
      <c r="K1123" s="247" t="s">
        <v>7252</v>
      </c>
      <c r="L1123" s="248">
        <v>10447</v>
      </c>
      <c r="M1123" s="249">
        <f>15*(LEFT(TEXT($L1123,"000000"),2)+(MID(TEXT($L1123,"000000"),3,2)/60)+(RIGHT(TEXT($L1123,"000000"),2)/3600))</f>
        <v>16.195833333333333</v>
      </c>
      <c r="N1123" s="250">
        <v>20707</v>
      </c>
      <c r="O1123" s="251">
        <f>IF($N1123&gt;0,(LEFT(TEXT($N1123,"000000"),2)+(MID(TEXT($N1123,"000000"),3,2)/60)+(RIGHT(TEXT($N1123,"000000"),2)/3600)),-(MID(TEXT($N1123,"000000"),2,2)+(MID(TEXT($N1123,"000000"),4,2)/60)+(RIGHT(TEXT($N1123,"000000"),2)/3600)))</f>
        <v>2.118611111111111</v>
      </c>
      <c r="P1123" s="252" t="s">
        <v>75</v>
      </c>
      <c r="Q1123" s="253"/>
      <c r="R1123" s="247" t="s">
        <v>7372</v>
      </c>
      <c r="S1123" s="272" t="s">
        <v>3293</v>
      </c>
      <c r="T1123" s="273">
        <v>9.9</v>
      </c>
      <c r="U1123" s="289">
        <v>23.89</v>
      </c>
      <c r="V1123" s="280"/>
      <c r="W1123" s="244"/>
      <c r="X1123" s="244"/>
      <c r="Y1123" s="362"/>
      <c r="Z1123" s="257">
        <f>altaz(J2000_Bas,$O1123,$M1123,DecLat,DecLong,1)</f>
        <v>0.92546032600302941</v>
      </c>
      <c r="AA1123" s="257">
        <f>altaz((J2000_Bas+(2*0.04167)),$O1123,$M1123,DecLat,DecLong,1)</f>
        <v>26.482415420778018</v>
      </c>
      <c r="AB1123" s="257">
        <f>altaz((J2000_Bas+(4*0.04167)),$O1123,$M1123,DecLat,DecLong,1)</f>
        <v>49.524267056786535</v>
      </c>
      <c r="AC1123" s="257">
        <f>altaz((J2000_Bas+(6*0.04167)),$O1123,$M1123,DecLat,DecLong,1)</f>
        <v>61.118554603595079</v>
      </c>
      <c r="AD1123" s="258">
        <f>1+ transit((J2000_Bas-1),$O1123,$M1123,DecLat,DecLong)/360 + (GMTOffset/24) + (IF(DST="Y", 1, 0)/24)</f>
        <v>1.0378883820567912</v>
      </c>
      <c r="AE1123" s="259">
        <f>DATE(2001,9,21)+(M1123/360)*365 - (360*((DecLong/360)- (GMTOffset/24) ))</f>
        <v>37176.420775462961</v>
      </c>
      <c r="AF1123" s="260">
        <f>IF(DecLat&gt;0,IF((90 - (DecLat-O1123))&gt;90, (90 - (O1123-DecLat)), (90 - (DecLat-O1123))),IF((90 + (DecLat-O1123))&gt;90, (90 + (O1123-DecLat)), (90 + (DecLat-O1123))))</f>
        <v>61.118611111111107</v>
      </c>
      <c r="AG1123" s="257">
        <f>angularseperation(MoonRA,MoonDec,$M1123,$O1123)</f>
        <v>123.48462667303687</v>
      </c>
      <c r="AH1123" s="261">
        <f ca="1">MIN(100,IF($O$5&gt;80,0+30*($AG1123/100),IF($O$5&gt;70,0+50*($AG1123/100),IF($O$5&gt;60,5+50*($AG1123/100),IF($O$5&gt;50,10+60*($AG1123/100),IF($O$5&gt;40,15+70*($AG1123/100),IF($O$5&gt;30,20+70*($AG1123/100),IF($O$5&gt;20,40+55*($AG1123/100),(80+(20-$O$5)+30*($AG1123/100))))))))))</f>
        <v>100</v>
      </c>
      <c r="AI1123" s="262"/>
      <c r="AJ1123" s="263">
        <v>1613</v>
      </c>
      <c r="AK1123" s="263"/>
      <c r="AL1123" s="263"/>
      <c r="AM1123" s="264">
        <v>51</v>
      </c>
      <c r="AN1123" s="263"/>
      <c r="AO1123" s="263"/>
      <c r="AP1123" s="265"/>
      <c r="AQ1123" s="266">
        <v>668</v>
      </c>
      <c r="AR1123" s="267">
        <v>3844</v>
      </c>
      <c r="AS1123" s="263"/>
      <c r="AT1123" s="263"/>
      <c r="AU1123" s="263"/>
      <c r="AV1123" s="264"/>
      <c r="AW1123" s="263"/>
      <c r="AX1123" s="263"/>
      <c r="AY1123" s="263"/>
      <c r="AZ1123" s="263"/>
      <c r="BA1123" s="263"/>
      <c r="BB1123" s="263"/>
      <c r="BC1123" s="263"/>
      <c r="BD1123" s="264"/>
      <c r="BE1123" s="263"/>
      <c r="BF1123" s="263"/>
      <c r="BG1123" s="263"/>
      <c r="BH1123" s="263"/>
      <c r="BI1123" s="263"/>
      <c r="BJ1123" s="404">
        <f>altaz(J2000_Bas,$O1123,$M1123,DecLat,DecLong,2)</f>
        <v>88.084362487830106</v>
      </c>
      <c r="BK1123" s="378" t="s">
        <v>1183</v>
      </c>
      <c r="BL1123" s="379">
        <f>IF((2*G1123)/60&lt;0.2,0.2,(2*G1123)/60)</f>
        <v>0.43333333333333335</v>
      </c>
      <c r="BM1123" s="380">
        <f>MOD((50000+AD1123-$B$3+(0/24)),1)</f>
        <v>0.25325531176349614</v>
      </c>
      <c r="BN1123" s="381" t="s">
        <v>9235</v>
      </c>
      <c r="BO1123" s="382">
        <v>1117</v>
      </c>
    </row>
    <row r="1124" spans="1:67" s="24" customFormat="1" ht="15" customHeight="1" x14ac:dyDescent="0.25">
      <c r="A1124" s="288" t="s">
        <v>1184</v>
      </c>
      <c r="B1124" s="241" t="str">
        <f>HYPERLINK(CONCATENATE($AT$3,BK1124,$AU$3),$AV$3)</f>
        <v>S</v>
      </c>
      <c r="C1124" s="242" t="str">
        <f>HYPERLINK(CONCATENATE($AT$4,BK1124,$AU$4,BL1124),$AV$4)</f>
        <v>A</v>
      </c>
      <c r="D1124" s="243" t="s">
        <v>5638</v>
      </c>
      <c r="E1124" s="244" t="s">
        <v>3259</v>
      </c>
      <c r="F1124" s="269"/>
      <c r="G1124" s="273">
        <v>6.6</v>
      </c>
      <c r="H1124" s="283">
        <v>23</v>
      </c>
      <c r="I1124" s="246">
        <v>45</v>
      </c>
      <c r="J1124" s="246">
        <v>2</v>
      </c>
      <c r="K1124" s="277" t="s">
        <v>4606</v>
      </c>
      <c r="L1124" s="248">
        <v>14730</v>
      </c>
      <c r="M1124" s="249">
        <f>15*(LEFT(TEXT($L1124,"000000"),2)+(MID(TEXT($L1124,"000000"),3,2)/60)+(RIGHT(TEXT($L1124,"000000"),2)/3600))</f>
        <v>26.874999999999996</v>
      </c>
      <c r="N1124" s="286">
        <v>272000</v>
      </c>
      <c r="O1124" s="251">
        <f>IF($N1124&gt;0,(LEFT(TEXT($N1124,"000000"),2)+(MID(TEXT($N1124,"000000"),3,2)/60)+(RIGHT(TEXT($N1124,"000000"),2)/3600)),-(MID(TEXT($N1124,"000000"),2,2)+(MID(TEXT($N1124,"000000"),4,2)/60)+(RIGHT(TEXT($N1124,"000000"),2)/3600)))</f>
        <v>27.333333333333332</v>
      </c>
      <c r="P1124" s="252" t="s">
        <v>314</v>
      </c>
      <c r="Q1124" s="253" t="s">
        <v>3382</v>
      </c>
      <c r="R1124" s="277" t="s">
        <v>3293</v>
      </c>
      <c r="S1124" s="272" t="s">
        <v>4603</v>
      </c>
      <c r="T1124" s="273">
        <v>12</v>
      </c>
      <c r="U1124" s="289">
        <v>23.59</v>
      </c>
      <c r="V1124" s="280">
        <v>75</v>
      </c>
      <c r="W1124" s="244"/>
      <c r="X1124" s="244"/>
      <c r="Y1124" s="362"/>
      <c r="Z1124" s="257">
        <f>altaz(J2000_Bas,$O1124,$M1124,DecLat,DecLong,1)</f>
        <v>5.3281186910552494</v>
      </c>
      <c r="AA1124" s="257">
        <f>altaz((J2000_Bas+(2*0.04167)),$O1124,$M1124,DecLat,DecLong,1)</f>
        <v>29.147613327401327</v>
      </c>
      <c r="AB1124" s="257">
        <f>altaz((J2000_Bas+(4*0.04167)),$O1124,$M1124,DecLat,DecLong,1)</f>
        <v>54.4641816210301</v>
      </c>
      <c r="AC1124" s="257">
        <f>altaz((J2000_Bas+(6*0.04167)),$O1124,$M1124,DecLat,DecLong,1)</f>
        <v>80.034787873914752</v>
      </c>
      <c r="AD1124" s="258">
        <f>1+ transit((J2000_Bas-1),$O1124,$M1124,DecLat,DecLong)/360 + (GMTOffset/24) + (IF(DST="Y", 1, 0)/24)</f>
        <v>1.0675527309422079</v>
      </c>
      <c r="AE1124" s="259">
        <f>DATE(2001,9,21)+(M1124/360)*365 - (360*((DecLong/360)- (GMTOffset/24) ))</f>
        <v>37187.248263888891</v>
      </c>
      <c r="AF1124" s="260">
        <f>IF(DecLat&gt;0,IF((90 - (DecLat-O1124))&gt;90, (90 - (O1124-DecLat)), (90 - (DecLat-O1124))),IF((90 + (DecLat-O1124))&gt;90, (90 + (O1124-DecLat)), (90 + (DecLat-O1124))))</f>
        <v>86.333333333333329</v>
      </c>
      <c r="AG1124" s="257">
        <f>angularseperation(MoonRA,MoonDec,$M1124,$O1124)</f>
        <v>142.5076023423897</v>
      </c>
      <c r="AH1124" s="261">
        <f ca="1">MIN(100,IF($O$5&gt;80,0+30*($AG1124/100),IF($O$5&gt;70,0+50*($AG1124/100),IF($O$5&gt;60,5+50*($AG1124/100),IF($O$5&gt;50,10+60*($AG1124/100),IF($O$5&gt;40,15+70*($AG1124/100),IF($O$5&gt;30,20+70*($AG1124/100),IF($O$5&gt;20,40+55*($AG1124/100),(80+(20-$O$5)+30*($AG1124/100))))))))))</f>
        <v>100</v>
      </c>
      <c r="AI1124" s="262"/>
      <c r="AJ1124" s="262">
        <v>1727</v>
      </c>
      <c r="AK1124" s="262"/>
      <c r="AL1124" s="263"/>
      <c r="AM1124" s="264"/>
      <c r="AN1124" s="263"/>
      <c r="AO1124" s="263"/>
      <c r="AP1124" s="265"/>
      <c r="AQ1124" s="266">
        <v>1249</v>
      </c>
      <c r="AR1124" s="267">
        <v>6574</v>
      </c>
      <c r="AS1124" s="263"/>
      <c r="AT1124" s="263"/>
      <c r="AU1124" s="263"/>
      <c r="AV1124" s="264"/>
      <c r="AW1124" s="263"/>
      <c r="AX1124" s="263"/>
      <c r="AY1124" s="263"/>
      <c r="AZ1124" s="263"/>
      <c r="BA1124" s="263"/>
      <c r="BB1124" s="263"/>
      <c r="BC1124" s="263"/>
      <c r="BD1124" s="264"/>
      <c r="BE1124" s="263"/>
      <c r="BF1124" s="263"/>
      <c r="BG1124" s="263"/>
      <c r="BH1124" s="263"/>
      <c r="BI1124" s="263"/>
      <c r="BJ1124" s="404">
        <f>altaz(J2000_Bas,$O1124,$M1124,DecLat,DecLong,2)</f>
        <v>61.186122146231952</v>
      </c>
      <c r="BK1124" s="378" t="s">
        <v>1184</v>
      </c>
      <c r="BL1124" s="379">
        <f>IF((2*G1124)/60&lt;0.2,0.2,(2*G1124)/60)</f>
        <v>0.22</v>
      </c>
      <c r="BM1124" s="380">
        <f>MOD((50000+AD1124-$B$3+(0/24)),1)</f>
        <v>0.28291966064716689</v>
      </c>
      <c r="BN1124" s="381"/>
      <c r="BO1124" s="382">
        <v>1118</v>
      </c>
    </row>
    <row r="1125" spans="1:67" s="24" customFormat="1" ht="15" customHeight="1" x14ac:dyDescent="0.25">
      <c r="A1125" s="288" t="s">
        <v>1185</v>
      </c>
      <c r="B1125" s="241" t="str">
        <f>HYPERLINK(CONCATENATE($AT$3,BK1125,$AU$3),$AV$3)</f>
        <v>S</v>
      </c>
      <c r="C1125" s="242" t="str">
        <f>HYPERLINK(CONCATENATE($AT$4,BK1125,$AU$4,BL1125),$AV$4)</f>
        <v>A</v>
      </c>
      <c r="D1125" s="243" t="s">
        <v>5187</v>
      </c>
      <c r="E1125" s="244" t="s">
        <v>5181</v>
      </c>
      <c r="F1125" s="269" t="s">
        <v>4798</v>
      </c>
      <c r="G1125" s="270">
        <v>0.2</v>
      </c>
      <c r="H1125" s="271">
        <v>10000</v>
      </c>
      <c r="I1125" s="308">
        <v>0.6</v>
      </c>
      <c r="J1125" s="246">
        <v>2</v>
      </c>
      <c r="K1125" s="247" t="s">
        <v>7251</v>
      </c>
      <c r="L1125" s="248">
        <v>15736</v>
      </c>
      <c r="M1125" s="249">
        <f>15*(LEFT(TEXT($L1125,"000000"),2)+(MID(TEXT($L1125,"000000"),3,2)/60)+(RIGHT(TEXT($L1125,"000000"),2)/3600))</f>
        <v>29.4</v>
      </c>
      <c r="N1125" s="250">
        <v>631918</v>
      </c>
      <c r="O1125" s="251">
        <f>IF($N1125&gt;0,(LEFT(TEXT($N1125,"000000"),2)+(MID(TEXT($N1125,"000000"),3,2)/60)+(RIGHT(TEXT($N1125,"000000"),2)/3600)),-(MID(TEXT($N1125,"000000"),2,2)+(MID(TEXT($N1125,"000000"),4,2)/60)+(RIGHT(TEXT($N1125,"000000"),2)/3600)))</f>
        <v>63.321666666666673</v>
      </c>
      <c r="P1125" s="252" t="s">
        <v>49</v>
      </c>
      <c r="Q1125" s="253" t="s">
        <v>7005</v>
      </c>
      <c r="R1125" s="247" t="s">
        <v>3293</v>
      </c>
      <c r="S1125" s="272" t="s">
        <v>3293</v>
      </c>
      <c r="T1125" s="273">
        <v>12</v>
      </c>
      <c r="U1125" s="274"/>
      <c r="V1125" s="256"/>
      <c r="W1125" s="244"/>
      <c r="X1125" s="244"/>
      <c r="Y1125" s="362"/>
      <c r="Z1125" s="257">
        <f>altaz(J2000_Bas,$O1125,$M1125,DecLat,DecLong,1)</f>
        <v>21.779542254987419</v>
      </c>
      <c r="AA1125" s="257">
        <f>altaz((J2000_Bas+(2*0.04167)),$O1125,$M1125,DecLat,DecLong,1)</f>
        <v>34.80020270158353</v>
      </c>
      <c r="AB1125" s="257">
        <f>altaz((J2000_Bas+(4*0.04167)),$O1125,$M1125,DecLat,DecLong,1)</f>
        <v>47.784483846896137</v>
      </c>
      <c r="AC1125" s="257">
        <f>altaz((J2000_Bas+(6*0.04167)),$O1125,$M1125,DecLat,DecLong,1)</f>
        <v>56.613506237495713</v>
      </c>
      <c r="AD1125" s="258">
        <f>1+ transit((J2000_Bas-1),$O1125,$M1125,DecLat,DecLong)/360 + (GMTOffset/24) + (IF(DST="Y", 1, 0)/24)</f>
        <v>1.0745666191297081</v>
      </c>
      <c r="AE1125" s="259">
        <f>DATE(2001,9,21)+(M1125/360)*365 - (360*((DecLong/360)- (GMTOffset/24) ))</f>
        <v>37189.808333333334</v>
      </c>
      <c r="AF1125" s="260">
        <f>IF(DecLat&gt;0,IF((90 - (DecLat-O1125))&gt;90, (90 - (O1125-DecLat)), (90 - (DecLat-O1125))),IF((90 + (DecLat-O1125))&gt;90, (90 + (O1125-DecLat)), (90 + (DecLat-O1125))))</f>
        <v>57.678333333333327</v>
      </c>
      <c r="AG1125" s="257">
        <f>angularseperation(MoonRA,MoonDec,$M1125,$O1125)</f>
        <v>135.54150052126124</v>
      </c>
      <c r="AH1125" s="261">
        <f ca="1">MIN(100,IF($O$5&gt;80,0+30*($AG1125/100),IF($O$5&gt;70,0+50*($AG1125/100),IF($O$5&gt;60,5+50*($AG1125/100),IF($O$5&gt;50,10+60*($AG1125/100),IF($O$5&gt;40,15+70*($AG1125/100),IF($O$5&gt;30,20+70*($AG1125/100),IF($O$5&gt;20,40+55*($AG1125/100),(80+(20-$O$5)+30*($AG1125/100))))))))))</f>
        <v>100</v>
      </c>
      <c r="AI1125" s="262"/>
      <c r="AJ1125" s="263">
        <v>1747</v>
      </c>
      <c r="AK1125" s="263"/>
      <c r="AL1125" s="263"/>
      <c r="AM1125" s="264"/>
      <c r="AN1125" s="263"/>
      <c r="AO1125" s="263"/>
      <c r="AP1125" s="265"/>
      <c r="AQ1125" s="266"/>
      <c r="AR1125" s="267"/>
      <c r="AS1125" s="263"/>
      <c r="AT1125" s="263"/>
      <c r="AU1125" s="263"/>
      <c r="AV1125" s="264"/>
      <c r="AW1125" s="263"/>
      <c r="AX1125" s="263"/>
      <c r="AY1125" s="263"/>
      <c r="AZ1125" s="263"/>
      <c r="BA1125" s="263"/>
      <c r="BB1125" s="263"/>
      <c r="BC1125" s="263"/>
      <c r="BD1125" s="264"/>
      <c r="BE1125" s="263"/>
      <c r="BF1125" s="263"/>
      <c r="BG1125" s="263"/>
      <c r="BH1125" s="263"/>
      <c r="BI1125" s="263"/>
      <c r="BJ1125" s="404">
        <f>altaz(J2000_Bas,$O1125,$M1125,DecLat,DecLong,2)</f>
        <v>28.056118950783763</v>
      </c>
      <c r="BK1125" s="378" t="s">
        <v>1185</v>
      </c>
      <c r="BL1125" s="379">
        <f>IF((2*G1125)/60&lt;0.2,0.2,(2*G1125)/60)</f>
        <v>0.2</v>
      </c>
      <c r="BM1125" s="380">
        <f>MOD((50000+AD1125-$B$3+(0/24)),1)</f>
        <v>0.28993354883277789</v>
      </c>
      <c r="BN1125" s="381"/>
      <c r="BO1125" s="382">
        <v>1119</v>
      </c>
    </row>
    <row r="1126" spans="1:67" s="24" customFormat="1" ht="15" customHeight="1" x14ac:dyDescent="0.25">
      <c r="A1126" s="288" t="s">
        <v>1186</v>
      </c>
      <c r="B1126" s="241" t="str">
        <f>HYPERLINK(CONCATENATE($AT$3,BK1126,$AU$3),$AV$3)</f>
        <v>S</v>
      </c>
      <c r="C1126" s="242" t="str">
        <f>HYPERLINK(CONCATENATE($AT$4,BK1126,$AU$4,BL1126),$AV$4)</f>
        <v>A</v>
      </c>
      <c r="D1126" s="243" t="s">
        <v>5187</v>
      </c>
      <c r="E1126" s="244" t="s">
        <v>5183</v>
      </c>
      <c r="F1126" s="269" t="s">
        <v>9162</v>
      </c>
      <c r="G1126" s="276">
        <v>40</v>
      </c>
      <c r="H1126" s="271">
        <v>6000</v>
      </c>
      <c r="I1126" s="281">
        <v>70</v>
      </c>
      <c r="J1126" s="246">
        <v>4</v>
      </c>
      <c r="K1126" s="277" t="s">
        <v>4607</v>
      </c>
      <c r="L1126" s="248">
        <v>22632</v>
      </c>
      <c r="M1126" s="249">
        <f>15*(LEFT(TEXT($L1126,"000000"),2)+(MID(TEXT($L1126,"000000"),3,2)/60)+(RIGHT(TEXT($L1126,"000000"),2)/3600))</f>
        <v>36.63333333333334</v>
      </c>
      <c r="N1126" s="250">
        <v>620239</v>
      </c>
      <c r="O1126" s="251">
        <f>IF($N1126&gt;0,(LEFT(TEXT($N1126,"000000"),2)+(MID(TEXT($N1126,"000000"),3,2)/60)+(RIGHT(TEXT($N1126,"000000"),2)/3600)),-(MID(TEXT($N1126,"000000"),2,2)+(MID(TEXT($N1126,"000000"),4,2)/60)+(RIGHT(TEXT($N1126,"000000"),2)/3600)))</f>
        <v>62.044166666666662</v>
      </c>
      <c r="P1126" s="252" t="s">
        <v>49</v>
      </c>
      <c r="Q1126" s="253" t="s">
        <v>6987</v>
      </c>
      <c r="R1126" s="277" t="s">
        <v>3293</v>
      </c>
      <c r="S1126" s="272" t="s">
        <v>4609</v>
      </c>
      <c r="T1126" s="273"/>
      <c r="U1126" s="274"/>
      <c r="V1126" s="256"/>
      <c r="W1126" s="244"/>
      <c r="X1126" s="244"/>
      <c r="Y1126" s="362"/>
      <c r="Z1126" s="257">
        <f>altaz(J2000_Bas,$O1126,$M1126,DecLat,DecLong,1)</f>
        <v>18.261537324360944</v>
      </c>
      <c r="AA1126" s="257">
        <f>altaz((J2000_Bas+(2*0.04167)),$O1126,$M1126,DecLat,DecLong,1)</f>
        <v>31.395324851269866</v>
      </c>
      <c r="AB1126" s="257">
        <f>altaz((J2000_Bas+(4*0.04167)),$O1126,$M1126,DecLat,DecLong,1)</f>
        <v>45.295335379304149</v>
      </c>
      <c r="AC1126" s="257">
        <f>altaz((J2000_Bas+(6*0.04167)),$O1126,$M1126,DecLat,DecLong,1)</f>
        <v>56.265917838183888</v>
      </c>
      <c r="AD1126" s="258">
        <f>1+ transit((J2000_Bas-1),$O1126,$M1126,DecLat,DecLong)/360 + (GMTOffset/24) + (IF(DST="Y", 1, 0)/24)</f>
        <v>1.0946592097130414</v>
      </c>
      <c r="AE1126" s="259">
        <f>DATE(2001,9,21)+(M1126/360)*365 - (360*((DecLong/360)- (GMTOffset/24) ))</f>
        <v>37197.142129629632</v>
      </c>
      <c r="AF1126" s="260">
        <f>IF(DecLat&gt;0,IF((90 - (DecLat-O1126))&gt;90, (90 - (O1126-DecLat)), (90 - (DecLat-O1126))),IF((90 + (DecLat-O1126))&gt;90, (90 + (O1126-DecLat)), (90 + (DecLat-O1126))))</f>
        <v>58.955833333333338</v>
      </c>
      <c r="AG1126" s="257">
        <f>angularseperation(MoonRA,MoonDec,$M1126,$O1126)</f>
        <v>138.91715636151937</v>
      </c>
      <c r="AH1126" s="261">
        <f ca="1">MIN(100,IF($O$5&gt;80,0+30*($AG1126/100),IF($O$5&gt;70,0+50*($AG1126/100),IF($O$5&gt;60,5+50*($AG1126/100),IF($O$5&gt;50,10+60*($AG1126/100),IF($O$5&gt;40,15+70*($AG1126/100),IF($O$5&gt;30,20+70*($AG1126/100),IF($O$5&gt;20,40+55*($AG1126/100),(80+(20-$O$5)+30*($AG1126/100))))))))))</f>
        <v>100</v>
      </c>
      <c r="AI1126" s="262"/>
      <c r="AJ1126" s="263">
        <v>1795</v>
      </c>
      <c r="AK1126" s="263"/>
      <c r="AL1126" s="263"/>
      <c r="AM1126" s="264"/>
      <c r="AN1126" s="263"/>
      <c r="AO1126" s="263"/>
      <c r="AP1126" s="265"/>
      <c r="AQ1126" s="266"/>
      <c r="AR1126" s="267"/>
      <c r="AS1126" s="263"/>
      <c r="AT1126" s="263"/>
      <c r="AU1126" s="263"/>
      <c r="AV1126" s="264"/>
      <c r="AW1126" s="263"/>
      <c r="AX1126" s="263"/>
      <c r="AY1126" s="263"/>
      <c r="AZ1126" s="263"/>
      <c r="BA1126" s="263"/>
      <c r="BB1126" s="263"/>
      <c r="BC1126" s="263"/>
      <c r="BD1126" s="264"/>
      <c r="BE1126" s="263"/>
      <c r="BF1126" s="263"/>
      <c r="BG1126" s="263">
        <v>10</v>
      </c>
      <c r="BH1126" s="263"/>
      <c r="BI1126" s="263"/>
      <c r="BJ1126" s="404">
        <f>altaz(J2000_Bas,$O1126,$M1126,DecLat,DecLong,2)</f>
        <v>27.515952647295592</v>
      </c>
      <c r="BK1126" s="378" t="s">
        <v>1186</v>
      </c>
      <c r="BL1126" s="379">
        <f>IF((2*G1126)/60&lt;0.2,0.2,(2*G1126)/60)</f>
        <v>1.3333333333333333</v>
      </c>
      <c r="BM1126" s="380">
        <f>MOD((50000+AD1126-$B$3+(0/24)),1)</f>
        <v>0.31002613941382151</v>
      </c>
      <c r="BN1126" s="381"/>
      <c r="BO1126" s="382">
        <v>1120</v>
      </c>
    </row>
    <row r="1127" spans="1:67" s="24" customFormat="1" ht="15" customHeight="1" x14ac:dyDescent="0.25">
      <c r="A1127" s="288" t="s">
        <v>1187</v>
      </c>
      <c r="B1127" s="241" t="str">
        <f>HYPERLINK(CONCATENATE($AT$3,BK1127,$AU$3),$AV$3)</f>
        <v>S</v>
      </c>
      <c r="C1127" s="242" t="str">
        <f>HYPERLINK(CONCATENATE($AT$4,BK1127,$AU$4,BL1127),$AV$4)</f>
        <v>A</v>
      </c>
      <c r="D1127" s="243" t="s">
        <v>5187</v>
      </c>
      <c r="E1127" s="244" t="s">
        <v>5183</v>
      </c>
      <c r="F1127" s="269" t="s">
        <v>9162</v>
      </c>
      <c r="G1127" s="276">
        <v>90</v>
      </c>
      <c r="H1127" s="271">
        <v>7500</v>
      </c>
      <c r="I1127" s="281">
        <v>190</v>
      </c>
      <c r="J1127" s="246">
        <v>5</v>
      </c>
      <c r="K1127" s="247" t="s">
        <v>6383</v>
      </c>
      <c r="L1127" s="248">
        <v>23247</v>
      </c>
      <c r="M1127" s="249">
        <f>15*(LEFT(TEXT($L1127,"000000"),2)+(MID(TEXT($L1127,"000000"),3,2)/60)+(RIGHT(TEXT($L1127,"000000"),2)/3600))</f>
        <v>38.195833333333326</v>
      </c>
      <c r="N1127" s="286">
        <v>612830</v>
      </c>
      <c r="O1127" s="251">
        <f>IF($N1127&gt;0,(LEFT(TEXT($N1127,"000000"),2)+(MID(TEXT($N1127,"000000"),3,2)/60)+(RIGHT(TEXT($N1127,"000000"),2)/3600)),-(MID(TEXT($N1127,"000000"),2,2)+(MID(TEXT($N1127,"000000"),4,2)/60)+(RIGHT(TEXT($N1127,"000000"),2)/3600)))</f>
        <v>61.475000000000001</v>
      </c>
      <c r="P1127" s="252" t="s">
        <v>49</v>
      </c>
      <c r="Q1127" s="253" t="s">
        <v>7002</v>
      </c>
      <c r="R1127" s="247" t="s">
        <v>3801</v>
      </c>
      <c r="S1127" s="272" t="s">
        <v>4608</v>
      </c>
      <c r="T1127" s="273">
        <v>6.5</v>
      </c>
      <c r="U1127" s="274"/>
      <c r="V1127" s="256"/>
      <c r="W1127" s="244"/>
      <c r="X1127" s="244"/>
      <c r="Y1127" s="362"/>
      <c r="Z1127" s="257">
        <f>altaz(J2000_Bas,$O1127,$M1127,DecLat,DecLong,1)</f>
        <v>17.331457842051766</v>
      </c>
      <c r="AA1127" s="257">
        <f>altaz((J2000_Bas+(2*0.04167)),$O1127,$M1127,DecLat,DecLong,1)</f>
        <v>30.578364995303829</v>
      </c>
      <c r="AB1127" s="257">
        <f>altaz((J2000_Bas+(4*0.04167)),$O1127,$M1127,DecLat,DecLong,1)</f>
        <v>44.780452312416081</v>
      </c>
      <c r="AC1127" s="257">
        <f>altaz((J2000_Bas+(6*0.04167)),$O1127,$M1127,DecLat,DecLong,1)</f>
        <v>56.32601342144045</v>
      </c>
      <c r="AD1127" s="258">
        <f>1+ transit((J2000_Bas-1),$O1127,$M1127,DecLat,DecLong)/360 + (GMTOffset/24) + (IF(DST="Y", 1, 0)/24)</f>
        <v>1.0989994870567912</v>
      </c>
      <c r="AE1127" s="259">
        <f>DATE(2001,9,21)+(M1127/360)*365 - (360*((DecLong/360)- (GMTOffset/24) ))</f>
        <v>37198.726331018515</v>
      </c>
      <c r="AF1127" s="260">
        <f>IF(DecLat&gt;0,IF((90 - (DecLat-O1127))&gt;90, (90 - (O1127-DecLat)), (90 - (DecLat-O1127))),IF((90 + (DecLat-O1127))&gt;90, (90 + (O1127-DecLat)), (90 + (DecLat-O1127))))</f>
        <v>59.524999999999999</v>
      </c>
      <c r="AG1127" s="257">
        <f>angularseperation(MoonRA,MoonDec,$M1127,$O1127)</f>
        <v>139.84458785093236</v>
      </c>
      <c r="AH1127" s="261">
        <f ca="1">MIN(100,IF($O$5&gt;80,0+30*($AG1127/100),IF($O$5&gt;70,0+50*($AG1127/100),IF($O$5&gt;60,5+50*($AG1127/100),IF($O$5&gt;50,10+60*($AG1127/100),IF($O$5&gt;40,15+70*($AG1127/100),IF($O$5&gt;30,20+70*($AG1127/100),IF($O$5&gt;20,40+55*($AG1127/100),(80+(20-$O$5)+30*($AG1127/100))))))))))</f>
        <v>100</v>
      </c>
      <c r="AI1127" s="262"/>
      <c r="AJ1127" s="263">
        <v>1805</v>
      </c>
      <c r="AK1127" s="263"/>
      <c r="AL1127" s="263"/>
      <c r="AM1127" s="264"/>
      <c r="AN1127" s="263"/>
      <c r="AO1127" s="263"/>
      <c r="AP1127" s="265"/>
      <c r="AQ1127" s="266"/>
      <c r="AR1127" s="267"/>
      <c r="AS1127" s="263"/>
      <c r="AT1127" s="263"/>
      <c r="AU1127" s="263"/>
      <c r="AV1127" s="264"/>
      <c r="AW1127" s="263"/>
      <c r="AX1127" s="263"/>
      <c r="AY1127" s="263">
        <v>654</v>
      </c>
      <c r="AZ1127" s="263"/>
      <c r="BA1127" s="263"/>
      <c r="BB1127" s="263">
        <v>190</v>
      </c>
      <c r="BC1127" s="263"/>
      <c r="BD1127" s="264"/>
      <c r="BE1127" s="263"/>
      <c r="BF1127" s="263"/>
      <c r="BG1127" s="263">
        <v>11</v>
      </c>
      <c r="BH1127" s="263"/>
      <c r="BI1127" s="263"/>
      <c r="BJ1127" s="404">
        <f>altaz(J2000_Bas,$O1127,$M1127,DecLat,DecLong,2)</f>
        <v>27.593393821855301</v>
      </c>
      <c r="BK1127" s="378" t="s">
        <v>1187</v>
      </c>
      <c r="BL1127" s="379">
        <f>IF((2*G1127)/60&lt;0.2,0.2,(2*G1127)/60)</f>
        <v>3</v>
      </c>
      <c r="BM1127" s="380">
        <f>MOD((50000+AD1127-$B$3+(0/24)),1)</f>
        <v>0.31436641675827559</v>
      </c>
      <c r="BN1127" s="381"/>
      <c r="BO1127" s="382">
        <v>1121</v>
      </c>
    </row>
    <row r="1128" spans="1:67" s="24" customFormat="1" ht="15" customHeight="1" x14ac:dyDescent="0.25">
      <c r="A1128" s="288" t="s">
        <v>1188</v>
      </c>
      <c r="B1128" s="241" t="str">
        <f>HYPERLINK(CONCATENATE($AT$3,BK1128,$AU$3),$AV$3)</f>
        <v>S</v>
      </c>
      <c r="C1128" s="242" t="str">
        <f>HYPERLINK(CONCATENATE($AT$4,BK1128,$AU$4,BL1128),$AV$4)</f>
        <v>A</v>
      </c>
      <c r="D1128" s="243" t="s">
        <v>5638</v>
      </c>
      <c r="E1128" s="244" t="s">
        <v>5182</v>
      </c>
      <c r="F1128" s="269" t="s">
        <v>8903</v>
      </c>
      <c r="G1128" s="273">
        <v>2.5</v>
      </c>
      <c r="H1128" s="283">
        <v>65.159639999999996</v>
      </c>
      <c r="I1128" s="246">
        <v>50</v>
      </c>
      <c r="J1128" s="246">
        <v>2</v>
      </c>
      <c r="K1128" s="247" t="s">
        <v>6157</v>
      </c>
      <c r="L1128" s="248">
        <v>23904</v>
      </c>
      <c r="M1128" s="249">
        <f>15*(LEFT(TEXT($L1128,"000000"),2)+(MID(TEXT($L1128,"000000"),3,2)/60)+(RIGHT(TEXT($L1128,"000000"),2)/3600))</f>
        <v>39.766666666666666</v>
      </c>
      <c r="N1128" s="250">
        <v>-272638</v>
      </c>
      <c r="O1128" s="251">
        <f>IF($N1128&gt;0,(LEFT(TEXT($N1128,"000000"),2)+(MID(TEXT($N1128,"000000"),3,2)/60)+(RIGHT(TEXT($N1128,"000000"),2)/3600)),-(MID(TEXT($N1128,"000000"),2,2)+(MID(TEXT($N1128,"000000"),4,2)/60)+(RIGHT(TEXT($N1128,"000000"),2)/3600)))</f>
        <v>-27.443888888888889</v>
      </c>
      <c r="P1128" s="252" t="s">
        <v>215</v>
      </c>
      <c r="Q1128" s="253"/>
      <c r="R1128" s="277" t="s">
        <v>3293</v>
      </c>
      <c r="S1128" s="272" t="s">
        <v>3293</v>
      </c>
      <c r="T1128" s="273">
        <v>12.8</v>
      </c>
      <c r="U1128" s="289">
        <v>22.39</v>
      </c>
      <c r="V1128" s="280">
        <v>20</v>
      </c>
      <c r="W1128" s="244"/>
      <c r="X1128" s="244"/>
      <c r="Y1128" s="362"/>
      <c r="Z1128" s="257">
        <f>altaz(J2000_Bas,$O1128,$M1128,DecLat,DecLong,1)</f>
        <v>-32.950358538832624</v>
      </c>
      <c r="AA1128" s="257">
        <f>altaz((J2000_Bas+(2*0.04167)),$O1128,$M1128,DecLat,DecLong,1)</f>
        <v>-8.8370422452359421</v>
      </c>
      <c r="AB1128" s="257">
        <f>altaz((J2000_Bas+(4*0.04167)),$O1128,$M1128,DecLat,DecLong,1)</f>
        <v>12.362697478638788</v>
      </c>
      <c r="AC1128" s="257">
        <f>altaz((J2000_Bas+(6*0.04167)),$O1128,$M1128,DecLat,DecLong,1)</f>
        <v>27.399077094920113</v>
      </c>
      <c r="AD1128" s="258">
        <f>1+ transit((J2000_Bas-1),$O1128,$M1128,DecLat,DecLong)/360 + (GMTOffset/24) + (IF(DST="Y", 1, 0)/24)</f>
        <v>1.1033629125463746</v>
      </c>
      <c r="AE1128" s="259">
        <f>DATE(2001,9,21)+(M1128/360)*365 - (360*((DecLong/360)- (GMTOffset/24) ))</f>
        <v>37200.318981481483</v>
      </c>
      <c r="AF1128" s="260">
        <f>IF(DecLat&gt;0,IF((90 - (DecLat-O1128))&gt;90, (90 - (O1128-DecLat)), (90 - (DecLat-O1128))),IF((90 + (DecLat-O1128))&gt;90, (90 + (O1128-DecLat)), (90 + (DecLat-O1128))))</f>
        <v>31.556111111111107</v>
      </c>
      <c r="AG1128" s="257">
        <f>angularseperation(MoonRA,MoonDec,$M1128,$O1128)</f>
        <v>118.55719652134322</v>
      </c>
      <c r="AH1128" s="261">
        <f ca="1">MIN(100,IF($O$5&gt;80,0+30*($AG1128/100),IF($O$5&gt;70,0+50*($AG1128/100),IF($O$5&gt;60,5+50*($AG1128/100),IF($O$5&gt;50,10+60*($AG1128/100),IF($O$5&gt;40,15+70*($AG1128/100),IF($O$5&gt;30,20+70*($AG1128/100),IF($O$5&gt;20,40+55*($AG1128/100),(80+(20-$O$5)+30*($AG1128/100))))))))))</f>
        <v>100</v>
      </c>
      <c r="AI1128" s="263"/>
      <c r="AJ1128" s="263">
        <v>1830</v>
      </c>
      <c r="AK1128" s="263"/>
      <c r="AL1128" s="263"/>
      <c r="AM1128" s="264"/>
      <c r="AN1128" s="263"/>
      <c r="AO1128" s="263"/>
      <c r="AP1128" s="265"/>
      <c r="AQ1128" s="265"/>
      <c r="AR1128" s="285">
        <v>10041</v>
      </c>
      <c r="AS1128" s="263"/>
      <c r="AT1128" s="263"/>
      <c r="AU1128" s="263"/>
      <c r="AV1128" s="264"/>
      <c r="AW1128" s="263"/>
      <c r="AX1128" s="263"/>
      <c r="AY1128" s="263"/>
      <c r="AZ1128" s="263"/>
      <c r="BA1128" s="263"/>
      <c r="BB1128" s="263"/>
      <c r="BC1128" s="263"/>
      <c r="BD1128" s="264"/>
      <c r="BE1128" s="263"/>
      <c r="BF1128" s="263"/>
      <c r="BG1128" s="263"/>
      <c r="BH1128" s="263"/>
      <c r="BI1128" s="263"/>
      <c r="BJ1128" s="404">
        <f>altaz(J2000_Bas,$O1128,$M1128,DecLat,DecLong,2)</f>
        <v>104.55345362371688</v>
      </c>
      <c r="BK1128" s="378" t="s">
        <v>1188</v>
      </c>
      <c r="BL1128" s="379">
        <f>IF((2*G1128)/60&lt;0.2,0.2,(2*G1128)/60)</f>
        <v>0.2</v>
      </c>
      <c r="BM1128" s="380">
        <f>MOD((50000+AD1128-$B$3+(0/24)),1)</f>
        <v>0.31872984224901302</v>
      </c>
      <c r="BN1128" s="381"/>
      <c r="BO1128" s="382">
        <v>1122</v>
      </c>
    </row>
    <row r="1129" spans="1:67" s="24" customFormat="1" ht="15" customHeight="1" x14ac:dyDescent="0.25">
      <c r="A1129" s="288" t="s">
        <v>1189</v>
      </c>
      <c r="B1129" s="241" t="str">
        <f>HYPERLINK(CONCATENATE($AT$3,BK1129,$AU$3),$AV$3)</f>
        <v>S</v>
      </c>
      <c r="C1129" s="242" t="str">
        <f>HYPERLINK(CONCATENATE($AT$4,BK1129,$AU$4,BL1129),$AV$4)</f>
        <v>A</v>
      </c>
      <c r="D1129" s="243" t="s">
        <v>5187</v>
      </c>
      <c r="E1129" s="244" t="s">
        <v>5183</v>
      </c>
      <c r="F1129" s="269" t="s">
        <v>9160</v>
      </c>
      <c r="G1129" s="276">
        <v>90</v>
      </c>
      <c r="H1129" s="283">
        <v>6500</v>
      </c>
      <c r="I1129" s="246">
        <v>180</v>
      </c>
      <c r="J1129" s="246">
        <v>4</v>
      </c>
      <c r="K1129" s="277" t="s">
        <v>4610</v>
      </c>
      <c r="L1129" s="248">
        <v>25118</v>
      </c>
      <c r="M1129" s="249">
        <f>15*(LEFT(TEXT($L1129,"000000"),2)+(MID(TEXT($L1129,"000000"),3,2)/60)+(RIGHT(TEXT($L1129,"000000"),2)/3600))</f>
        <v>42.825000000000003</v>
      </c>
      <c r="N1129" s="250">
        <v>602430</v>
      </c>
      <c r="O1129" s="251">
        <f>IF($N1129&gt;0,(LEFT(TEXT($N1129,"000000"),2)+(MID(TEXT($N1129,"000000"),3,2)/60)+(RIGHT(TEXT($N1129,"000000"),2)/3600)),-(MID(TEXT($N1129,"000000"),2,2)+(MID(TEXT($N1129,"000000"),4,2)/60)+(RIGHT(TEXT($N1129,"000000"),2)/3600)))</f>
        <v>60.408333333333331</v>
      </c>
      <c r="P1129" s="252" t="s">
        <v>49</v>
      </c>
      <c r="Q1129" s="253" t="s">
        <v>7072</v>
      </c>
      <c r="R1129" s="277" t="s">
        <v>3293</v>
      </c>
      <c r="S1129" s="272" t="s">
        <v>3293</v>
      </c>
      <c r="T1129" s="273"/>
      <c r="U1129" s="274"/>
      <c r="V1129" s="280"/>
      <c r="W1129" s="244"/>
      <c r="X1129" s="244"/>
      <c r="Y1129" s="362"/>
      <c r="Z1129" s="257">
        <f>altaz(J2000_Bas,$O1129,$M1129,DecLat,DecLong,1)</f>
        <v>14.884060559536922</v>
      </c>
      <c r="AA1129" s="257">
        <f>altaz((J2000_Bas+(2*0.04167)),$O1129,$M1129,DecLat,DecLong,1)</f>
        <v>28.160743176945093</v>
      </c>
      <c r="AB1129" s="257">
        <f>altaz((J2000_Bas+(4*0.04167)),$O1129,$M1129,DecLat,DecLong,1)</f>
        <v>42.88585996341962</v>
      </c>
      <c r="AC1129" s="257">
        <f>altaz((J2000_Bas+(6*0.04167)),$O1129,$M1129,DecLat,DecLong,1)</f>
        <v>55.735073038587146</v>
      </c>
      <c r="AD1129" s="258">
        <f>1+ transit((J2000_Bas-1),$O1129,$M1129,DecLat,DecLong)/360 + (GMTOffset/24) + (IF(DST="Y", 1, 0)/24)</f>
        <v>1.111858282067208</v>
      </c>
      <c r="AE1129" s="259">
        <f>DATE(2001,9,21)+(M1129/360)*365 - (360*((DecLong/360)- (GMTOffset/24) ))</f>
        <v>37203.419791666667</v>
      </c>
      <c r="AF1129" s="260">
        <f>IF(DecLat&gt;0,IF((90 - (DecLat-O1129))&gt;90, (90 - (O1129-DecLat)), (90 - (DecLat-O1129))),IF((90 + (DecLat-O1129))&gt;90, (90 + (O1129-DecLat)), (90 + (DecLat-O1129))))</f>
        <v>60.591666666666669</v>
      </c>
      <c r="AG1129" s="257">
        <f>angularseperation(MoonRA,MoonDec,$M1129,$O1129)</f>
        <v>142.15427093463583</v>
      </c>
      <c r="AH1129" s="261">
        <f ca="1">MIN(100,IF($O$5&gt;80,0+30*($AG1129/100),IF($O$5&gt;70,0+50*($AG1129/100),IF($O$5&gt;60,5+50*($AG1129/100),IF($O$5&gt;50,10+60*($AG1129/100),IF($O$5&gt;40,15+70*($AG1129/100),IF($O$5&gt;30,20+70*($AG1129/100),IF($O$5&gt;20,40+55*($AG1129/100),(80+(20-$O$5)+30*($AG1129/100))))))))))</f>
        <v>100</v>
      </c>
      <c r="AI1129" s="262"/>
      <c r="AJ1129" s="263">
        <v>1848</v>
      </c>
      <c r="AK1129" s="263"/>
      <c r="AL1129" s="263"/>
      <c r="AM1129" s="264"/>
      <c r="AN1129" s="263"/>
      <c r="AO1129" s="263"/>
      <c r="AP1129" s="265"/>
      <c r="AQ1129" s="266"/>
      <c r="AR1129" s="267"/>
      <c r="AS1129" s="263"/>
      <c r="AT1129" s="263"/>
      <c r="AU1129" s="263"/>
      <c r="AV1129" s="264"/>
      <c r="AW1129" s="263"/>
      <c r="AX1129" s="263"/>
      <c r="AY1129" s="263">
        <v>667</v>
      </c>
      <c r="AZ1129" s="263"/>
      <c r="BA1129" s="263"/>
      <c r="BB1129" s="263">
        <v>199</v>
      </c>
      <c r="BC1129" s="263"/>
      <c r="BD1129" s="264"/>
      <c r="BE1129" s="263"/>
      <c r="BF1129" s="263"/>
      <c r="BG1129" s="263">
        <v>14</v>
      </c>
      <c r="BH1129" s="263"/>
      <c r="BI1129" s="263"/>
      <c r="BJ1129" s="404">
        <f>altaz(J2000_Bas,$O1129,$M1129,DecLat,DecLong,2)</f>
        <v>27.128332067463422</v>
      </c>
      <c r="BK1129" s="378" t="s">
        <v>1189</v>
      </c>
      <c r="BL1129" s="379">
        <f>IF((2*G1129)/60&lt;0.2,0.2,(2*G1129)/60)</f>
        <v>3</v>
      </c>
      <c r="BM1129" s="380">
        <f>MOD((50000+AD1129-$B$3+(0/24)),1)</f>
        <v>0.3272252117676544</v>
      </c>
      <c r="BN1129" s="381"/>
      <c r="BO1129" s="382">
        <v>1123</v>
      </c>
    </row>
    <row r="1130" spans="1:67" s="24" customFormat="1" ht="15" customHeight="1" x14ac:dyDescent="0.25">
      <c r="A1130" s="288" t="s">
        <v>1190</v>
      </c>
      <c r="B1130" s="241" t="str">
        <f>HYPERLINK(CONCATENATE($AT$3,BK1130,$AU$3),$AV$3)</f>
        <v>S</v>
      </c>
      <c r="C1130" s="242" t="str">
        <f>HYPERLINK(CONCATENATE($AT$4,BK1130,$AU$4,BL1130),$AV$4)</f>
        <v>A</v>
      </c>
      <c r="D1130" s="243" t="s">
        <v>5638</v>
      </c>
      <c r="E1130" s="244" t="s">
        <v>3259</v>
      </c>
      <c r="F1130" s="269"/>
      <c r="G1130" s="273">
        <v>3</v>
      </c>
      <c r="H1130" s="283">
        <v>55</v>
      </c>
      <c r="I1130" s="246">
        <v>50</v>
      </c>
      <c r="J1130" s="246">
        <v>2</v>
      </c>
      <c r="K1130" s="247" t="s">
        <v>4611</v>
      </c>
      <c r="L1130" s="248">
        <v>25754</v>
      </c>
      <c r="M1130" s="249">
        <f>15*(LEFT(TEXT($L1130,"000000"),2)+(MID(TEXT($L1130,"000000"),3,2)/60)+(RIGHT(TEXT($L1130,"000000"),2)/3600))</f>
        <v>44.475000000000001</v>
      </c>
      <c r="N1130" s="250">
        <v>-22049</v>
      </c>
      <c r="O1130" s="251">
        <f>IF($N1130&gt;0,(LEFT(TEXT($N1130,"000000"),2)+(MID(TEXT($N1130,"000000"),3,2)/60)+(RIGHT(TEXT($N1130,"000000"),2)/3600)),-(MID(TEXT($N1130,"000000"),2,2)+(MID(TEXT($N1130,"000000"),4,2)/60)+(RIGHT(TEXT($N1130,"000000"),2)/3600)))</f>
        <v>-2.3469444444444445</v>
      </c>
      <c r="P1130" s="252" t="s">
        <v>257</v>
      </c>
      <c r="Q1130" s="253"/>
      <c r="R1130" s="247" t="s">
        <v>3293</v>
      </c>
      <c r="S1130" s="272" t="s">
        <v>3293</v>
      </c>
      <c r="T1130" s="273">
        <v>16</v>
      </c>
      <c r="U1130" s="289">
        <v>23.59</v>
      </c>
      <c r="V1130" s="280">
        <v>65</v>
      </c>
      <c r="W1130" s="244"/>
      <c r="X1130" s="244"/>
      <c r="Y1130" s="362"/>
      <c r="Z1130" s="257">
        <f>altaz(J2000_Bas,$O1130,$M1130,DecLat,DecLong,1)</f>
        <v>-25.428846661420515</v>
      </c>
      <c r="AA1130" s="257">
        <f>altaz((J2000_Bas+(2*0.04167)),$O1130,$M1130,DecLat,DecLong,1)</f>
        <v>0.17213125704355964</v>
      </c>
      <c r="AB1130" s="257">
        <f>altaz((J2000_Bas+(4*0.04167)),$O1130,$M1130,DecLat,DecLong,1)</f>
        <v>25.398182056524696</v>
      </c>
      <c r="AC1130" s="257">
        <f>altaz((J2000_Bas+(6*0.04167)),$O1130,$M1130,DecLat,DecLong,1)</f>
        <v>47.186298856535068</v>
      </c>
      <c r="AD1130" s="258">
        <f>1+ transit((J2000_Bas-1),$O1130,$M1130,DecLat,DecLong)/360 + (GMTOffset/24) + (IF(DST="Y", 1, 0)/24)</f>
        <v>1.1164416149422081</v>
      </c>
      <c r="AE1130" s="259">
        <f>DATE(2001,9,21)+(M1130/360)*365 - (360*((DecLong/360)- (GMTOffset/24) ))</f>
        <v>37205.09270833333</v>
      </c>
      <c r="AF1130" s="260">
        <f>IF(DecLat&gt;0,IF((90 - (DecLat-O1130))&gt;90, (90 - (O1130-DecLat)), (90 - (DecLat-O1130))),IF((90 + (DecLat-O1130))&gt;90, (90 + (O1130-DecLat)), (90 + (DecLat-O1130))))</f>
        <v>56.653055555555554</v>
      </c>
      <c r="AG1130" s="257">
        <f>angularseperation(MoonRA,MoonDec,$M1130,$O1130)</f>
        <v>142.10359748867268</v>
      </c>
      <c r="AH1130" s="261">
        <f ca="1">MIN(100,IF($O$5&gt;80,0+30*($AG1130/100),IF($O$5&gt;70,0+50*($AG1130/100),IF($O$5&gt;60,5+50*($AG1130/100),IF($O$5&gt;50,10+60*($AG1130/100),IF($O$5&gt;40,15+70*($AG1130/100),IF($O$5&gt;30,20+70*($AG1130/100),IF($O$5&gt;20,40+55*($AG1130/100),(80+(20-$O$5)+30*($AG1130/100))))))))))</f>
        <v>100</v>
      </c>
      <c r="AI1130" s="262"/>
      <c r="AJ1130" s="263">
        <v>1870</v>
      </c>
      <c r="AK1130" s="263"/>
      <c r="AL1130" s="263"/>
      <c r="AM1130" s="264"/>
      <c r="AN1130" s="263"/>
      <c r="AO1130" s="263"/>
      <c r="AP1130" s="265"/>
      <c r="AQ1130" s="266"/>
      <c r="AR1130" s="267">
        <v>11202</v>
      </c>
      <c r="AS1130" s="263"/>
      <c r="AT1130" s="263"/>
      <c r="AU1130" s="263"/>
      <c r="AV1130" s="264"/>
      <c r="AW1130" s="263"/>
      <c r="AX1130" s="263"/>
      <c r="AY1130" s="263"/>
      <c r="AZ1130" s="263"/>
      <c r="BA1130" s="263"/>
      <c r="BB1130" s="263"/>
      <c r="BC1130" s="263"/>
      <c r="BD1130" s="264"/>
      <c r="BE1130" s="263"/>
      <c r="BF1130" s="263"/>
      <c r="BG1130" s="263"/>
      <c r="BH1130" s="263"/>
      <c r="BI1130" s="263"/>
      <c r="BJ1130" s="404">
        <f>altaz(J2000_Bas,$O1130,$M1130,DecLat,DecLong,2)</f>
        <v>76.539123686118842</v>
      </c>
      <c r="BK1130" s="378" t="s">
        <v>1190</v>
      </c>
      <c r="BL1130" s="379">
        <f>IF((2*G1130)/60&lt;0.2,0.2,(2*G1130)/60)</f>
        <v>0.2</v>
      </c>
      <c r="BM1130" s="380">
        <f>MOD((50000+AD1130-$B$3+(0/24)),1)</f>
        <v>0.33180854464444565</v>
      </c>
      <c r="BN1130" s="381"/>
      <c r="BO1130" s="382">
        <v>1124</v>
      </c>
    </row>
    <row r="1131" spans="1:67" s="24" customFormat="1" ht="15" customHeight="1" x14ac:dyDescent="0.25">
      <c r="A1131" s="288" t="s">
        <v>1191</v>
      </c>
      <c r="B1131" s="241" t="str">
        <f>HYPERLINK(CONCATENATE($AT$3,BK1131,$AU$3),$AV$3)</f>
        <v>S</v>
      </c>
      <c r="C1131" s="242" t="str">
        <f>HYPERLINK(CONCATENATE($AT$4,BK1131,$AU$4,BL1131),$AV$4)</f>
        <v>A</v>
      </c>
      <c r="D1131" s="243" t="s">
        <v>5187</v>
      </c>
      <c r="E1131" s="244" t="s">
        <v>5181</v>
      </c>
      <c r="F1131" s="269" t="s">
        <v>4801</v>
      </c>
      <c r="G1131" s="270">
        <v>0.1</v>
      </c>
      <c r="H1131" s="283">
        <v>18000</v>
      </c>
      <c r="I1131" s="309">
        <v>0.55000000000000004</v>
      </c>
      <c r="J1131" s="246">
        <v>1</v>
      </c>
      <c r="K1131" s="247" t="s">
        <v>4612</v>
      </c>
      <c r="L1131" s="248">
        <v>35622</v>
      </c>
      <c r="M1131" s="249">
        <f>15*(LEFT(TEXT($L1131,"000000"),2)+(MID(TEXT($L1131,"000000"),3,2)/60)+(RIGHT(TEXT($L1131,"000000"),2)/3600))</f>
        <v>59.091666666666669</v>
      </c>
      <c r="N1131" s="250">
        <v>335230</v>
      </c>
      <c r="O1131" s="251">
        <f>IF($N1131&gt;0,(LEFT(TEXT($N1131,"000000"),2)+(MID(TEXT($N1131,"000000"),3,2)/60)+(RIGHT(TEXT($N1131,"000000"),2)/3600)),-(MID(TEXT($N1131,"000000"),2,2)+(MID(TEXT($N1131,"000000"),4,2)/60)+(RIGHT(TEXT($N1131,"000000"),2)/3600)))</f>
        <v>33.875</v>
      </c>
      <c r="P1131" s="252" t="s">
        <v>43</v>
      </c>
      <c r="Q1131" s="253"/>
      <c r="R1131" s="247" t="s">
        <v>3293</v>
      </c>
      <c r="S1131" s="272" t="s">
        <v>3293</v>
      </c>
      <c r="T1131" s="273">
        <v>12</v>
      </c>
      <c r="U1131" s="274"/>
      <c r="V1131" s="280"/>
      <c r="W1131" s="244"/>
      <c r="X1131" s="244"/>
      <c r="Y1131" s="362"/>
      <c r="Z1131" s="257">
        <f>altaz(J2000_Bas,$O1131,$M1131,DecLat,DecLong,1)</f>
        <v>-11.483820156165239</v>
      </c>
      <c r="AA1131" s="257">
        <f>altaz((J2000_Bas+(2*0.04167)),$O1131,$M1131,DecLat,DecLong,1)</f>
        <v>7.2921409045492265</v>
      </c>
      <c r="AB1131" s="257">
        <f>altaz((J2000_Bas+(4*0.04167)),$O1131,$M1131,DecLat,DecLong,1)</f>
        <v>29.742021488898558</v>
      </c>
      <c r="AC1131" s="257">
        <f>altaz((J2000_Bas+(6*0.04167)),$O1131,$M1131,DecLat,DecLong,1)</f>
        <v>53.993129243095154</v>
      </c>
      <c r="AD1131" s="258">
        <f>1+ transit((J2000_Bas-1),$O1131,$M1131,DecLat,DecLong)/360 + (GMTOffset/24) + (IF(DST="Y", 1, 0)/24)</f>
        <v>1.1570434627338748</v>
      </c>
      <c r="AE1131" s="259">
        <f>DATE(2001,9,21)+(M1131/360)*365 - (360*((DecLong/360)- (GMTOffset/24) ))</f>
        <v>37219.91238425926</v>
      </c>
      <c r="AF1131" s="260">
        <f>IF(DecLat&gt;0,IF((90 - (DecLat-O1131))&gt;90, (90 - (O1131-DecLat)), (90 - (DecLat-O1131))),IF((90 + (DecLat-O1131))&gt;90, (90 + (O1131-DecLat)), (90 + (DecLat-O1131))))</f>
        <v>87.125</v>
      </c>
      <c r="AG1131" s="257">
        <f>angularseperation(MoonRA,MoonDec,$M1131,$O1131)</f>
        <v>168.93644771519462</v>
      </c>
      <c r="AH1131" s="261">
        <f ca="1">MIN(100,IF($O$5&gt;80,0+30*($AG1131/100),IF($O$5&gt;70,0+50*($AG1131/100),IF($O$5&gt;60,5+50*($AG1131/100),IF($O$5&gt;50,10+60*($AG1131/100),IF($O$5&gt;40,15+70*($AG1131/100),IF($O$5&gt;30,20+70*($AG1131/100),IF($O$5&gt;20,40+55*($AG1131/100),(80+(20-$O$5)+30*($AG1131/100))))))))))</f>
        <v>100</v>
      </c>
      <c r="AI1131" s="262"/>
      <c r="AJ1131" s="263">
        <v>2003</v>
      </c>
      <c r="AK1131" s="263"/>
      <c r="AL1131" s="263"/>
      <c r="AM1131" s="264"/>
      <c r="AN1131" s="263"/>
      <c r="AO1131" s="263"/>
      <c r="AP1131" s="265"/>
      <c r="AQ1131" s="266"/>
      <c r="AR1131" s="267"/>
      <c r="AS1131" s="263"/>
      <c r="AT1131" s="263">
        <v>4</v>
      </c>
      <c r="AU1131" s="263"/>
      <c r="AV1131" s="264"/>
      <c r="AW1131" s="263"/>
      <c r="AX1131" s="263"/>
      <c r="AY1131" s="263"/>
      <c r="AZ1131" s="263"/>
      <c r="BA1131" s="263"/>
      <c r="BB1131" s="263"/>
      <c r="BC1131" s="263"/>
      <c r="BD1131" s="264"/>
      <c r="BE1131" s="263"/>
      <c r="BF1131" s="263"/>
      <c r="BG1131" s="263"/>
      <c r="BH1131" s="263"/>
      <c r="BI1131" s="263"/>
      <c r="BJ1131" s="404">
        <f>altaz(J2000_Bas,$O1131,$M1131,DecLat,DecLong,2)</f>
        <v>38.222423129207669</v>
      </c>
      <c r="BK1131" s="378" t="s">
        <v>1191</v>
      </c>
      <c r="BL1131" s="379">
        <f>IF((2*G1131)/60&lt;0.2,0.2,(2*G1131)/60)</f>
        <v>0.2</v>
      </c>
      <c r="BM1131" s="380">
        <f>MOD((50000+AD1131-$B$3+(0/24)),1)</f>
        <v>0.37241039243963314</v>
      </c>
      <c r="BN1131" s="381"/>
      <c r="BO1131" s="382">
        <v>1125</v>
      </c>
    </row>
    <row r="1132" spans="1:67" s="24" customFormat="1" ht="15" customHeight="1" x14ac:dyDescent="0.25">
      <c r="A1132" s="288" t="s">
        <v>1192</v>
      </c>
      <c r="B1132" s="241" t="str">
        <f>HYPERLINK(CONCATENATE($AT$3,BK1132,$AU$3),$AV$3)</f>
        <v>S</v>
      </c>
      <c r="C1132" s="242" t="str">
        <f>HYPERLINK(CONCATENATE($AT$4,BK1132,$AU$4,BL1132),$AV$4)</f>
        <v>A</v>
      </c>
      <c r="D1132" s="243" t="s">
        <v>5187</v>
      </c>
      <c r="E1132" s="244" t="s">
        <v>5186</v>
      </c>
      <c r="F1132" s="269"/>
      <c r="G1132" s="273">
        <v>4</v>
      </c>
      <c r="H1132" s="271" t="s">
        <v>6500</v>
      </c>
      <c r="I1132" s="244" t="s">
        <v>6500</v>
      </c>
      <c r="J1132" s="246">
        <v>2</v>
      </c>
      <c r="K1132" s="247" t="s">
        <v>6159</v>
      </c>
      <c r="L1132" s="248">
        <v>43051</v>
      </c>
      <c r="M1132" s="249">
        <f>15*(LEFT(TEXT($L1132,"000000"),2)+(MID(TEXT($L1132,"000000"),3,2)/60)+(RIGHT(TEXT($L1132,"000000"),2)/3600))</f>
        <v>67.712500000000006</v>
      </c>
      <c r="N1132" s="250">
        <v>352646</v>
      </c>
      <c r="O1132" s="251">
        <f>IF($N1132&gt;0,(LEFT(TEXT($N1132,"000000"),2)+(MID(TEXT($N1132,"000000"),3,2)/60)+(RIGHT(TEXT($N1132,"000000"),2)/3600)),-(MID(TEXT($N1132,"000000"),2,2)+(MID(TEXT($N1132,"000000"),4,2)/60)+(RIGHT(TEXT($N1132,"000000"),2)/3600)))</f>
        <v>35.446111111111108</v>
      </c>
      <c r="P1132" s="252" t="s">
        <v>43</v>
      </c>
      <c r="Q1132" s="253"/>
      <c r="R1132" s="277" t="s">
        <v>3293</v>
      </c>
      <c r="S1132" s="272" t="s">
        <v>1661</v>
      </c>
      <c r="T1132" s="273"/>
      <c r="U1132" s="274"/>
      <c r="V1132" s="280"/>
      <c r="W1132" s="244"/>
      <c r="X1132" s="244"/>
      <c r="Y1132" s="362"/>
      <c r="Z1132" s="257">
        <f>altaz(J2000_Bas,$O1132,$M1132,DecLat,DecLong,1)</f>
        <v>-14.441720494399368</v>
      </c>
      <c r="AA1132" s="257">
        <f>altaz((J2000_Bas+(2*0.04167)),$O1132,$M1132,DecLat,DecLong,1)</f>
        <v>2.3693325076075591</v>
      </c>
      <c r="AB1132" s="257">
        <f>altaz((J2000_Bas+(4*0.04167)),$O1132,$M1132,DecLat,DecLong,1)</f>
        <v>23.666570216378908</v>
      </c>
      <c r="AC1132" s="257">
        <f>altaz((J2000_Bas+(6*0.04167)),$O1132,$M1132,DecLat,DecLong,1)</f>
        <v>47.206716583371545</v>
      </c>
      <c r="AD1132" s="258">
        <f>1+ transit((J2000_Bas-1),$O1132,$M1132,DecLat,DecLong)/360 + (GMTOffset/24) + (IF(DST="Y", 1, 0)/24)</f>
        <v>1.1809902195984581</v>
      </c>
      <c r="AE1132" s="259">
        <f>DATE(2001,9,21)+(M1132/360)*365 - (360*((DecLong/360)- (GMTOffset/24) ))</f>
        <v>37228.652951388889</v>
      </c>
      <c r="AF1132" s="260">
        <f>IF(DecLat&gt;0,IF((90 - (DecLat-O1132))&gt;90, (90 - (O1132-DecLat)), (90 - (DecLat-O1132))),IF((90 + (DecLat-O1132))&gt;90, (90 + (O1132-DecLat)), (90 + (DecLat-O1132))))</f>
        <v>85.553888888888892</v>
      </c>
      <c r="AG1132" s="257">
        <f>angularseperation(MoonRA,MoonDec,$M1132,$O1132)</f>
        <v>171.53678757693791</v>
      </c>
      <c r="AH1132" s="261">
        <f ca="1">MIN(100,IF($O$5&gt;80,0+30*($AG1132/100),IF($O$5&gt;70,0+50*($AG1132/100),IF($O$5&gt;60,5+50*($AG1132/100),IF($O$5&gt;50,10+60*($AG1132/100),IF($O$5&gt;40,15+70*($AG1132/100),IF($O$5&gt;30,20+70*($AG1132/100),IF($O$5&gt;20,40+55*($AG1132/100),(80+(20-$O$5)+30*($AG1132/100))))))))))</f>
        <v>100</v>
      </c>
      <c r="AI1132" s="263"/>
      <c r="AJ1132" s="263">
        <v>2067</v>
      </c>
      <c r="AK1132" s="263"/>
      <c r="AL1132" s="263"/>
      <c r="AM1132" s="264"/>
      <c r="AN1132" s="263"/>
      <c r="AO1132" s="263"/>
      <c r="AP1132" s="265"/>
      <c r="AQ1132" s="265"/>
      <c r="AR1132" s="285"/>
      <c r="AS1132" s="263"/>
      <c r="AT1132" s="263"/>
      <c r="AU1132" s="263"/>
      <c r="AV1132" s="264"/>
      <c r="AW1132" s="263"/>
      <c r="AX1132" s="263"/>
      <c r="AY1132" s="263"/>
      <c r="AZ1132" s="263"/>
      <c r="BA1132" s="263"/>
      <c r="BB1132" s="263"/>
      <c r="BC1132" s="263"/>
      <c r="BD1132" s="264"/>
      <c r="BE1132" s="263"/>
      <c r="BF1132" s="263"/>
      <c r="BG1132" s="263"/>
      <c r="BH1132" s="263"/>
      <c r="BI1132" s="263"/>
      <c r="BJ1132" s="404">
        <f>altaz(J2000_Bas,$O1132,$M1132,DecLat,DecLong,2)</f>
        <v>31.417549996130933</v>
      </c>
      <c r="BK1132" s="378" t="s">
        <v>1192</v>
      </c>
      <c r="BL1132" s="379">
        <f>IF((2*G1132)/60&lt;0.2,0.2,(2*G1132)/60)</f>
        <v>0.2</v>
      </c>
      <c r="BM1132" s="380">
        <f>MOD((50000+AD1132-$B$3+(0/24)),1)</f>
        <v>0.39635714930045651</v>
      </c>
      <c r="BN1132" s="381"/>
      <c r="BO1132" s="382">
        <v>1126</v>
      </c>
    </row>
    <row r="1133" spans="1:67" s="24" customFormat="1" ht="15" customHeight="1" x14ac:dyDescent="0.25">
      <c r="A1133" s="288" t="s">
        <v>1193</v>
      </c>
      <c r="B1133" s="241" t="str">
        <f>HYPERLINK(CONCATENATE($AT$3,BK1133,$AU$3),$AV$3)</f>
        <v>S</v>
      </c>
      <c r="C1133" s="242" t="str">
        <f>HYPERLINK(CONCATENATE($AT$4,BK1133,$AU$4,BL1133),$AV$4)</f>
        <v>A</v>
      </c>
      <c r="D1133" s="243" t="s">
        <v>5187</v>
      </c>
      <c r="E1133" s="244" t="s">
        <v>5186</v>
      </c>
      <c r="F1133" s="269"/>
      <c r="G1133" s="273">
        <v>6</v>
      </c>
      <c r="H1133" s="283">
        <v>500</v>
      </c>
      <c r="I1133" s="309">
        <v>0.9</v>
      </c>
      <c r="J1133" s="246">
        <v>3</v>
      </c>
      <c r="K1133" s="247" t="s">
        <v>4613</v>
      </c>
      <c r="L1133" s="248">
        <v>44000</v>
      </c>
      <c r="M1133" s="249">
        <f>15*(LEFT(TEXT($L1133,"000000"),2)+(MID(TEXT($L1133,"000000"),3,2)/60)+(RIGHT(TEXT($L1133,"000000"),2)/3600))</f>
        <v>70</v>
      </c>
      <c r="N1133" s="250">
        <v>254432</v>
      </c>
      <c r="O1133" s="251">
        <f>IF($N1133&gt;0,(LEFT(TEXT($N1133,"000000"),2)+(MID(TEXT($N1133,"000000"),3,2)/60)+(RIGHT(TEXT($N1133,"000000"),2)/3600)),-(MID(TEXT($N1133,"000000"),2,2)+(MID(TEXT($N1133,"000000"),4,2)/60)+(RIGHT(TEXT($N1133,"000000"),2)/3600)))</f>
        <v>25.742222222222225</v>
      </c>
      <c r="P1133" s="252" t="s">
        <v>56</v>
      </c>
      <c r="Q1133" s="253"/>
      <c r="R1133" s="247" t="s">
        <v>3293</v>
      </c>
      <c r="S1133" s="272" t="s">
        <v>4614</v>
      </c>
      <c r="T1133" s="273"/>
      <c r="U1133" s="274"/>
      <c r="V1133" s="280"/>
      <c r="W1133" s="244"/>
      <c r="X1133" s="244"/>
      <c r="Y1133" s="362"/>
      <c r="Z1133" s="257">
        <f>altaz(J2000_Bas,$O1133,$M1133,DecLat,DecLong,1)</f>
        <v>-23.63620716516666</v>
      </c>
      <c r="AA1133" s="257">
        <f>altaz((J2000_Bas+(2*0.04167)),$O1133,$M1133,DecLat,DecLong,1)</f>
        <v>-5.1218906785639708</v>
      </c>
      <c r="AB1133" s="257">
        <f>altaz((J2000_Bas+(4*0.04167)),$O1133,$M1133,DecLat,DecLong,1)</f>
        <v>17.860480769358855</v>
      </c>
      <c r="AC1133" s="257">
        <f>altaz((J2000_Bas+(6*0.04167)),$O1133,$M1133,DecLat,DecLong,1)</f>
        <v>42.867938104034941</v>
      </c>
      <c r="AD1133" s="258">
        <f>1+ transit((J2000_Bas-1),$O1133,$M1133,DecLat,DecLong)/360 + (GMTOffset/24) + (IF(DST="Y", 1, 0)/24)</f>
        <v>1.1873443856297079</v>
      </c>
      <c r="AE1133" s="259">
        <f>DATE(2001,9,21)+(M1133/360)*365 - (360*((DecLong/360)- (GMTOffset/24) ))</f>
        <v>37230.972222222219</v>
      </c>
      <c r="AF1133" s="260">
        <f>IF(DecLat&gt;0,IF((90 - (DecLat-O1133))&gt;90, (90 - (O1133-DecLat)), (90 - (DecLat-O1133))),IF((90 + (DecLat-O1133))&gt;90, (90 + (O1133-DecLat)), (90 + (DecLat-O1133))))</f>
        <v>84.742222222222225</v>
      </c>
      <c r="AG1133" s="257">
        <f>angularseperation(MoonRA,MoonDec,$M1133,$O1133)</f>
        <v>178.49615376131706</v>
      </c>
      <c r="AH1133" s="261">
        <f ca="1">MIN(100,IF($O$5&gt;80,0+30*($AG1133/100),IF($O$5&gt;70,0+50*($AG1133/100),IF($O$5&gt;60,5+50*($AG1133/100),IF($O$5&gt;50,10+60*($AG1133/100),IF($O$5&gt;40,15+70*($AG1133/100),IF($O$5&gt;30,20+70*($AG1133/100),IF($O$5&gt;20,40+55*($AG1133/100),(80+(20-$O$5)+30*($AG1133/100))))))))))</f>
        <v>100</v>
      </c>
      <c r="AI1133" s="262"/>
      <c r="AJ1133" s="263">
        <v>2087</v>
      </c>
      <c r="AK1133" s="263"/>
      <c r="AL1133" s="263"/>
      <c r="AM1133" s="264"/>
      <c r="AN1133" s="263"/>
      <c r="AO1133" s="263"/>
      <c r="AP1133" s="265"/>
      <c r="AQ1133" s="266"/>
      <c r="AR1133" s="267"/>
      <c r="AS1133" s="263"/>
      <c r="AT1133" s="263"/>
      <c r="AU1133" s="263"/>
      <c r="AV1133" s="264"/>
      <c r="AW1133" s="263"/>
      <c r="AX1133" s="263"/>
      <c r="AY1133" s="263"/>
      <c r="AZ1133" s="263"/>
      <c r="BA1133" s="263"/>
      <c r="BB1133" s="263"/>
      <c r="BC1133" s="263"/>
      <c r="BD1133" s="264"/>
      <c r="BE1133" s="263"/>
      <c r="BF1133" s="263"/>
      <c r="BG1133" s="263"/>
      <c r="BH1133" s="263"/>
      <c r="BI1133" s="263"/>
      <c r="BJ1133" s="404">
        <f>altaz(J2000_Bas,$O1133,$M1133,DecLat,DecLong,2)</f>
        <v>35.307994904990821</v>
      </c>
      <c r="BK1133" s="378" t="s">
        <v>1193</v>
      </c>
      <c r="BL1133" s="379">
        <f>IF((2*G1133)/60&lt;0.2,0.2,(2*G1133)/60)</f>
        <v>0.2</v>
      </c>
      <c r="BM1133" s="380">
        <f>MOD((50000+AD1133-$B$3+(0/24)),1)</f>
        <v>0.40271131533518201</v>
      </c>
      <c r="BN1133" s="381"/>
      <c r="BO1133" s="382">
        <v>1127</v>
      </c>
    </row>
    <row r="1134" spans="1:67" s="24" customFormat="1" ht="15" customHeight="1" x14ac:dyDescent="0.25">
      <c r="A1134" s="288" t="s">
        <v>1194</v>
      </c>
      <c r="B1134" s="241" t="str">
        <f>HYPERLINK(CONCATENATE($AT$3,BK1134,$AU$3),$AV$3)</f>
        <v>S</v>
      </c>
      <c r="C1134" s="242" t="str">
        <f>HYPERLINK(CONCATENATE($AT$4,BK1134,$AU$4,BL1134),$AV$4)</f>
        <v>A</v>
      </c>
      <c r="D1134" s="243" t="s">
        <v>5187</v>
      </c>
      <c r="E1134" s="244" t="s">
        <v>5186</v>
      </c>
      <c r="F1134" s="269"/>
      <c r="G1134" s="276">
        <v>180</v>
      </c>
      <c r="H1134" s="283">
        <v>900</v>
      </c>
      <c r="I1134" s="246">
        <v>50</v>
      </c>
      <c r="J1134" s="246">
        <v>4</v>
      </c>
      <c r="K1134" s="247" t="s">
        <v>5005</v>
      </c>
      <c r="L1134" s="248">
        <v>50454</v>
      </c>
      <c r="M1134" s="249">
        <f>15*(LEFT(TEXT($L1134,"000000"),2)+(MID(TEXT($L1134,"000000"),3,2)/60)+(RIGHT(TEXT($L1134,"000000"),2)/3600))</f>
        <v>76.224999999999994</v>
      </c>
      <c r="N1134" s="250">
        <v>-71500</v>
      </c>
      <c r="O1134" s="251">
        <f>IF($N1134&gt;0,(LEFT(TEXT($N1134,"000000"),2)+(MID(TEXT($N1134,"000000"),3,2)/60)+(RIGHT(TEXT($N1134,"000000"),2)/3600)),-(MID(TEXT($N1134,"000000"),2,2)+(MID(TEXT($N1134,"000000"),4,2)/60)+(RIGHT(TEXT($N1134,"000000"),2)/3600)))</f>
        <v>-7.25</v>
      </c>
      <c r="P1134" s="252" t="s">
        <v>257</v>
      </c>
      <c r="Q1134" s="253" t="s">
        <v>7090</v>
      </c>
      <c r="R1134" s="277" t="s">
        <v>3293</v>
      </c>
      <c r="S1134" s="272" t="s">
        <v>3293</v>
      </c>
      <c r="T1134" s="273"/>
      <c r="U1134" s="274"/>
      <c r="V1134" s="280"/>
      <c r="W1134" s="244"/>
      <c r="X1134" s="244"/>
      <c r="Y1134" s="362"/>
      <c r="Z1134" s="257">
        <f>altaz(J2000_Bas,$O1134,$M1134,DecLat,DecLong,1)</f>
        <v>-53.420958881600278</v>
      </c>
      <c r="AA1134" s="257">
        <f>altaz((J2000_Bas+(2*0.04167)),$O1134,$M1134,DecLat,DecLong,1)</f>
        <v>-29.467158211051593</v>
      </c>
      <c r="AB1134" s="257">
        <f>altaz((J2000_Bas+(4*0.04167)),$O1134,$M1134,DecLat,DecLong,1)</f>
        <v>-3.7721030888810021</v>
      </c>
      <c r="AC1134" s="257">
        <f>altaz((J2000_Bas+(6*0.04167)),$O1134,$M1134,DecLat,DecLong,1)</f>
        <v>21.134684581960169</v>
      </c>
      <c r="AD1134" s="258">
        <f>1+ transit((J2000_Bas-1),$O1134,$M1134,DecLat,DecLong)/360 + (GMTOffset/24) + (IF(DST="Y", 1, 0)/24)</f>
        <v>1.204636050567208</v>
      </c>
      <c r="AE1134" s="259">
        <f>DATE(2001,9,21)+(M1134/360)*365 - (360*((DecLong/360)- (GMTOffset/24) ))</f>
        <v>37237.283680555556</v>
      </c>
      <c r="AF1134" s="260">
        <f>IF(DecLat&gt;0,IF((90 - (DecLat-O1134))&gt;90, (90 - (O1134-DecLat)), (90 - (DecLat-O1134))),IF((90 + (DecLat-O1134))&gt;90, (90 + (O1134-DecLat)), (90 + (DecLat-O1134))))</f>
        <v>51.75</v>
      </c>
      <c r="AG1134" s="257">
        <f>angularseperation(MoonRA,MoonDec,$M1134,$O1134)</f>
        <v>145.00590644613558</v>
      </c>
      <c r="AH1134" s="261">
        <f ca="1">MIN(100,IF($O$5&gt;80,0+30*($AG1134/100),IF($O$5&gt;70,0+50*($AG1134/100),IF($O$5&gt;60,5+50*($AG1134/100),IF($O$5&gt;50,10+60*($AG1134/100),IF($O$5&gt;40,15+70*($AG1134/100),IF($O$5&gt;30,20+70*($AG1134/100),IF($O$5&gt;20,40+55*($AG1134/100),(80+(20-$O$5)+30*($AG1134/100))))))))))</f>
        <v>100</v>
      </c>
      <c r="AI1134" s="262"/>
      <c r="AJ1134" s="263">
        <v>2118</v>
      </c>
      <c r="AK1134" s="263"/>
      <c r="AL1134" s="263"/>
      <c r="AM1134" s="264"/>
      <c r="AN1134" s="263"/>
      <c r="AO1134" s="263"/>
      <c r="AP1134" s="265"/>
      <c r="AQ1134" s="266"/>
      <c r="AR1134" s="267"/>
      <c r="AS1134" s="263"/>
      <c r="AT1134" s="263"/>
      <c r="AU1134" s="263"/>
      <c r="AV1134" s="264"/>
      <c r="AW1134" s="263"/>
      <c r="AX1134" s="263"/>
      <c r="AY1134" s="263"/>
      <c r="AZ1134" s="263"/>
      <c r="BA1134" s="263"/>
      <c r="BB1134" s="263"/>
      <c r="BC1134" s="263"/>
      <c r="BD1134" s="264"/>
      <c r="BE1134" s="263"/>
      <c r="BF1134" s="263"/>
      <c r="BG1134" s="263">
        <v>27</v>
      </c>
      <c r="BH1134" s="263"/>
      <c r="BI1134" s="263"/>
      <c r="BJ1134" s="404">
        <f>altaz(J2000_Bas,$O1134,$M1134,DecLat,DecLong,2)</f>
        <v>55.762620048881551</v>
      </c>
      <c r="BK1134" s="378" t="s">
        <v>1194</v>
      </c>
      <c r="BL1134" s="379">
        <f>IF((2*G1134)/60&lt;0.2,0.2,(2*G1134)/60)</f>
        <v>6</v>
      </c>
      <c r="BM1134" s="380">
        <f>MOD((50000+AD1134-$B$3+(0/24)),1)</f>
        <v>0.42000298027414829</v>
      </c>
      <c r="BN1134" s="381"/>
      <c r="BO1134" s="382">
        <v>1128</v>
      </c>
    </row>
    <row r="1135" spans="1:67" s="24" customFormat="1" ht="15" customHeight="1" x14ac:dyDescent="0.25">
      <c r="A1135" s="288" t="s">
        <v>1195</v>
      </c>
      <c r="B1135" s="241" t="str">
        <f>HYPERLINK(CONCATENATE($AT$3,BK1135,$AU$3),$AV$3)</f>
        <v>S</v>
      </c>
      <c r="C1135" s="242" t="str">
        <f>HYPERLINK(CONCATENATE($AT$4,BK1135,$AU$4,BL1135),$AV$4)</f>
        <v>A</v>
      </c>
      <c r="D1135" s="243" t="s">
        <v>5187</v>
      </c>
      <c r="E1135" s="244" t="s">
        <v>5181</v>
      </c>
      <c r="F1135" s="269" t="s">
        <v>8680</v>
      </c>
      <c r="G1135" s="270">
        <v>0.25</v>
      </c>
      <c r="H1135" s="283">
        <v>3600</v>
      </c>
      <c r="I1135" s="309">
        <v>0.28000000000000003</v>
      </c>
      <c r="J1135" s="246">
        <v>2</v>
      </c>
      <c r="K1135" s="247" t="s">
        <v>4675</v>
      </c>
      <c r="L1135" s="248">
        <v>55624</v>
      </c>
      <c r="M1135" s="249">
        <f>15*(LEFT(TEXT($L1135,"000000"),2)+(MID(TEXT($L1135,"000000"),3,2)/60)+(RIGHT(TEXT($L1135,"000000"),2)/3600))</f>
        <v>89.100000000000009</v>
      </c>
      <c r="N1135" s="250">
        <v>460617</v>
      </c>
      <c r="O1135" s="251">
        <f>IF($N1135&gt;0,(LEFT(TEXT($N1135,"000000"),2)+(MID(TEXT($N1135,"000000"),3,2)/60)+(RIGHT(TEXT($N1135,"000000"),2)/3600)),-(MID(TEXT($N1135,"000000"),2,2)+(MID(TEXT($N1135,"000000"),4,2)/60)+(RIGHT(TEXT($N1135,"000000"),2)/3600)))</f>
        <v>46.104722222222222</v>
      </c>
      <c r="P1135" s="252" t="s">
        <v>62</v>
      </c>
      <c r="Q1135" s="253"/>
      <c r="R1135" s="247" t="s">
        <v>3293</v>
      </c>
      <c r="S1135" s="272" t="s">
        <v>3293</v>
      </c>
      <c r="T1135" s="273">
        <v>10.6</v>
      </c>
      <c r="U1135" s="274"/>
      <c r="V1135" s="280"/>
      <c r="W1135" s="244"/>
      <c r="X1135" s="244"/>
      <c r="Y1135" s="362"/>
      <c r="Z1135" s="257">
        <f>altaz(J2000_Bas,$O1135,$M1135,DecLat,DecLong,1)</f>
        <v>-11.390553400409242</v>
      </c>
      <c r="AA1135" s="257">
        <f>altaz((J2000_Bas+(2*0.04167)),$O1135,$M1135,DecLat,DecLong,1)</f>
        <v>-1.9642197468253619</v>
      </c>
      <c r="AB1135" s="257">
        <f>altaz((J2000_Bas+(4*0.04167)),$O1135,$M1135,DecLat,DecLong,1)</f>
        <v>13.778842701994545</v>
      </c>
      <c r="AC1135" s="257">
        <f>altaz((J2000_Bas+(6*0.04167)),$O1135,$M1135,DecLat,DecLong,1)</f>
        <v>33.123780198646713</v>
      </c>
      <c r="AD1135" s="258">
        <f>1+ transit((J2000_Bas-1),$O1135,$M1135,DecLat,DecLong)/360 + (GMTOffset/24) + (IF(DST="Y", 1, 0)/24)</f>
        <v>1.240399935879708</v>
      </c>
      <c r="AE1135" s="259">
        <f>DATE(2001,9,21)+(M1135/360)*365 - (360*((DecLong/360)- (GMTOffset/24) ))</f>
        <v>37250.337500000001</v>
      </c>
      <c r="AF1135" s="260">
        <f>IF(DecLat&gt;0,IF((90 - (DecLat-O1135))&gt;90, (90 - (O1135-DecLat)), (90 - (DecLat-O1135))),IF((90 + (DecLat-O1135))&gt;90, (90 + (O1135-DecLat)), (90 + (DecLat-O1135))))</f>
        <v>74.895277777777778</v>
      </c>
      <c r="AG1135" s="257">
        <f>angularseperation(MoonRA,MoonDec,$M1135,$O1135)</f>
        <v>155.32550621081015</v>
      </c>
      <c r="AH1135" s="261">
        <f ca="1">MIN(100,IF($O$5&gt;80,0+30*($AG1135/100),IF($O$5&gt;70,0+50*($AG1135/100),IF($O$5&gt;60,5+50*($AG1135/100),IF($O$5&gt;50,10+60*($AG1135/100),IF($O$5&gt;40,15+70*($AG1135/100),IF($O$5&gt;30,20+70*($AG1135/100),IF($O$5&gt;20,40+55*($AG1135/100),(80+(20-$O$5)+30*($AG1135/100))))))))))</f>
        <v>100</v>
      </c>
      <c r="AI1135" s="262"/>
      <c r="AJ1135" s="263">
        <v>2149</v>
      </c>
      <c r="AK1135" s="263"/>
      <c r="AL1135" s="263"/>
      <c r="AM1135" s="264"/>
      <c r="AN1135" s="263"/>
      <c r="AO1135" s="263"/>
      <c r="AP1135" s="265"/>
      <c r="AQ1135" s="266"/>
      <c r="AR1135" s="267"/>
      <c r="AS1135" s="263"/>
      <c r="AT1135" s="263">
        <v>10</v>
      </c>
      <c r="AU1135" s="263"/>
      <c r="AV1135" s="264"/>
      <c r="AW1135" s="263"/>
      <c r="AX1135" s="263"/>
      <c r="AY1135" s="263"/>
      <c r="AZ1135" s="263"/>
      <c r="BA1135" s="263"/>
      <c r="BB1135" s="263"/>
      <c r="BC1135" s="263"/>
      <c r="BD1135" s="264"/>
      <c r="BE1135" s="263"/>
      <c r="BF1135" s="263">
        <v>27</v>
      </c>
      <c r="BG1135" s="263"/>
      <c r="BH1135" s="263"/>
      <c r="BI1135" s="263"/>
      <c r="BJ1135" s="404">
        <f>altaz(J2000_Bas,$O1135,$M1135,DecLat,DecLong,2)</f>
        <v>11.866782708049758</v>
      </c>
      <c r="BK1135" s="378" t="s">
        <v>1195</v>
      </c>
      <c r="BL1135" s="379">
        <f>IF((2*G1135)/60&lt;0.2,0.2,(2*G1135)/60)</f>
        <v>0.2</v>
      </c>
      <c r="BM1135" s="380">
        <f>MOD((50000+AD1135-$B$3+(0/24)),1)</f>
        <v>0.45576686558342772</v>
      </c>
      <c r="BN1135" s="381" t="s">
        <v>9121</v>
      </c>
      <c r="BO1135" s="382">
        <v>1129</v>
      </c>
    </row>
    <row r="1136" spans="1:67" s="24" customFormat="1" ht="15" customHeight="1" x14ac:dyDescent="0.25">
      <c r="A1136" s="288" t="s">
        <v>1196</v>
      </c>
      <c r="B1136" s="241" t="str">
        <f>HYPERLINK(CONCATENATE($AT$3,BK1136,$AU$3),$AV$3)</f>
        <v>S</v>
      </c>
      <c r="C1136" s="242" t="str">
        <f>HYPERLINK(CONCATENATE($AT$4,BK1136,$AU$4,BL1136),$AV$4)</f>
        <v>A</v>
      </c>
      <c r="D1136" s="243" t="s">
        <v>5335</v>
      </c>
      <c r="E1136" s="244" t="s">
        <v>5185</v>
      </c>
      <c r="F1136" s="269" t="s">
        <v>6160</v>
      </c>
      <c r="G1136" s="273">
        <v>7</v>
      </c>
      <c r="H1136" s="283">
        <v>7000</v>
      </c>
      <c r="I1136" s="246">
        <v>15</v>
      </c>
      <c r="J1136" s="246">
        <v>2</v>
      </c>
      <c r="K1136" s="247" t="s">
        <v>9576</v>
      </c>
      <c r="L1136" s="248">
        <v>60448</v>
      </c>
      <c r="M1136" s="249">
        <f>15*(LEFT(TEXT($L1136,"000000"),2)+(MID(TEXT($L1136,"000000"),3,2)/60)+(RIGHT(TEXT($L1136,"000000"),2)/3600))</f>
        <v>91.2</v>
      </c>
      <c r="N1136" s="250">
        <v>240354</v>
      </c>
      <c r="O1136" s="251">
        <f>IF($N1136&gt;0,(LEFT(TEXT($N1136,"000000"),2)+(MID(TEXT($N1136,"000000"),3,2)/60)+(RIGHT(TEXT($N1136,"000000"),2)/3600)),-(MID(TEXT($N1136,"000000"),2,2)+(MID(TEXT($N1136,"000000"),4,2)/60)+(RIGHT(TEXT($N1136,"000000"),2)/3600)))</f>
        <v>24.065000000000001</v>
      </c>
      <c r="P1136" s="252" t="s">
        <v>85</v>
      </c>
      <c r="Q1136" s="253"/>
      <c r="R1136" s="277" t="s">
        <v>3293</v>
      </c>
      <c r="S1136" s="272" t="s">
        <v>4915</v>
      </c>
      <c r="T1136" s="273">
        <v>8.4</v>
      </c>
      <c r="U1136" s="274"/>
      <c r="V1136" s="280"/>
      <c r="W1136" s="244"/>
      <c r="X1136" s="244"/>
      <c r="Y1136" s="362"/>
      <c r="Z1136" s="257">
        <f>altaz(J2000_Bas,$O1136,$M1136,DecLat,DecLong,1)</f>
        <v>-33.138956796442933</v>
      </c>
      <c r="AA1136" s="257">
        <f>altaz((J2000_Bas+(2*0.04167)),$O1136,$M1136,DecLat,DecLong,1)</f>
        <v>-20.151165708430838</v>
      </c>
      <c r="AB1136" s="257">
        <f>altaz((J2000_Bas+(4*0.04167)),$O1136,$M1136,DecLat,DecLong,1)</f>
        <v>0.40546457557423826</v>
      </c>
      <c r="AC1136" s="257">
        <f>altaz((J2000_Bas+(6*0.04167)),$O1136,$M1136,DecLat,DecLong,1)</f>
        <v>24.414154210554166</v>
      </c>
      <c r="AD1136" s="258">
        <f>1+ transit((J2000_Bas-1),$O1136,$M1136,DecLat,DecLong)/360 + (GMTOffset/24) + (IF(DST="Y", 1, 0)/24)</f>
        <v>1.2462332686297082</v>
      </c>
      <c r="AE1136" s="259">
        <f>DATE(2001,9,21)+(M1136/360)*365 - (360*((DecLong/360)- (GMTOffset/24) ))</f>
        <v>37252.466666666667</v>
      </c>
      <c r="AF1136" s="260">
        <f>IF(DecLat&gt;0,IF((90 - (DecLat-O1136))&gt;90, (90 - (O1136-DecLat)), (90 - (DecLat-O1136))),IF((90 + (DecLat-O1136))&gt;90, (90 + (O1136-DecLat)), (90 + (DecLat-O1136))))</f>
        <v>83.064999999999998</v>
      </c>
      <c r="AG1136" s="257">
        <f>angularseperation(MoonRA,MoonDec,$M1136,$O1136)</f>
        <v>159.9909239773429</v>
      </c>
      <c r="AH1136" s="261">
        <f ca="1">MIN(100,IF($O$5&gt;80,0+30*($AG1136/100),IF($O$5&gt;70,0+50*($AG1136/100),IF($O$5&gt;60,5+50*($AG1136/100),IF($O$5&gt;50,10+60*($AG1136/100),IF($O$5&gt;40,15+70*($AG1136/100),IF($O$5&gt;30,20+70*($AG1136/100),IF($O$5&gt;20,40+55*($AG1136/100),(80+(20-$O$5)+30*($AG1136/100))))))))))</f>
        <v>100</v>
      </c>
      <c r="AI1136" s="263"/>
      <c r="AJ1136" s="263">
        <v>2157</v>
      </c>
      <c r="AK1136" s="263"/>
      <c r="AL1136" s="263"/>
      <c r="AM1136" s="264"/>
      <c r="AN1136" s="263"/>
      <c r="AO1136" s="263"/>
      <c r="AP1136" s="265"/>
      <c r="AQ1136" s="265"/>
      <c r="AR1136" s="285"/>
      <c r="AS1136" s="263"/>
      <c r="AT1136" s="263"/>
      <c r="AU1136" s="263"/>
      <c r="AV1136" s="264"/>
      <c r="AW1136" s="263"/>
      <c r="AX1136" s="263"/>
      <c r="AY1136" s="263"/>
      <c r="AZ1136" s="263"/>
      <c r="BA1136" s="263"/>
      <c r="BB1136" s="263"/>
      <c r="BC1136" s="263"/>
      <c r="BD1136" s="264"/>
      <c r="BE1136" s="263"/>
      <c r="BF1136" s="263"/>
      <c r="BG1136" s="263"/>
      <c r="BH1136" s="263"/>
      <c r="BI1136" s="263"/>
      <c r="BJ1136" s="404">
        <f>altaz(J2000_Bas,$O1136,$M1136,DecLat,DecLong,2)</f>
        <v>16.17658292906075</v>
      </c>
      <c r="BK1136" s="378" t="s">
        <v>1196</v>
      </c>
      <c r="BL1136" s="379">
        <f>IF((2*G1136)/60&lt;0.2,0.2,(2*G1136)/60)</f>
        <v>0.23333333333333334</v>
      </c>
      <c r="BM1136" s="380">
        <f>MOD((50000+AD1136-$B$3+(0/24)),1)</f>
        <v>0.46160019833041588</v>
      </c>
      <c r="BN1136" s="381"/>
      <c r="BO1136" s="382">
        <v>1130</v>
      </c>
    </row>
    <row r="1137" spans="1:67" s="24" customFormat="1" ht="15" customHeight="1" x14ac:dyDescent="0.25">
      <c r="A1137" s="288" t="s">
        <v>3202</v>
      </c>
      <c r="B1137" s="241" t="str">
        <f>HYPERLINK(CONCATENATE($AT$3,BK1137,$AU$3),$AV$3)</f>
        <v>S</v>
      </c>
      <c r="C1137" s="242" t="str">
        <f>HYPERLINK(CONCATENATE($AT$4,BK1137,$AU$4,BL1137),$AV$4)</f>
        <v>A</v>
      </c>
      <c r="D1137" s="243" t="s">
        <v>5187</v>
      </c>
      <c r="E1137" s="244" t="s">
        <v>5186</v>
      </c>
      <c r="F1137" s="269"/>
      <c r="G1137" s="276">
        <v>30</v>
      </c>
      <c r="H1137" s="271" t="s">
        <v>6500</v>
      </c>
      <c r="I1137" s="244" t="s">
        <v>6500</v>
      </c>
      <c r="J1137" s="246">
        <v>2</v>
      </c>
      <c r="K1137" s="247" t="s">
        <v>6161</v>
      </c>
      <c r="L1137" s="248">
        <v>63139</v>
      </c>
      <c r="M1137" s="249">
        <f>15*(LEFT(TEXT($L1137,"000000"),2)+(MID(TEXT($L1137,"000000"),3,2)/60)+(RIGHT(TEXT($L1137,"000000"),2)/3600))</f>
        <v>97.912499999999994</v>
      </c>
      <c r="N1137" s="250">
        <v>100802</v>
      </c>
      <c r="O1137" s="251">
        <f>IF($N1137&gt;0,(LEFT(TEXT($N1137,"000000"),2)+(MID(TEXT($N1137,"000000"),3,2)/60)+(RIGHT(TEXT($N1137,"000000"),2)/3600)),-(MID(TEXT($N1137,"000000"),2,2)+(MID(TEXT($N1137,"000000"),4,2)/60)+(RIGHT(TEXT($N1137,"000000"),2)/3600)))</f>
        <v>10.133888888888889</v>
      </c>
      <c r="P1137" s="252" t="s">
        <v>47</v>
      </c>
      <c r="Q1137" s="253"/>
      <c r="R1137" s="277" t="s">
        <v>9301</v>
      </c>
      <c r="S1137" s="272" t="s">
        <v>3293</v>
      </c>
      <c r="T1137" s="273"/>
      <c r="U1137" s="274"/>
      <c r="V1137" s="280"/>
      <c r="W1137" s="244"/>
      <c r="X1137" s="244"/>
      <c r="Y1137" s="362"/>
      <c r="Z1137" s="257">
        <f>altaz(J2000_Bas,$O1137,$M1137,DecLat,DecLong,1)</f>
        <v>-48.139942411998184</v>
      </c>
      <c r="AA1137" s="257">
        <f>altaz((J2000_Bas+(2*0.04167)),$O1137,$M1137,DecLat,DecLong,1)</f>
        <v>-34.939573113567477</v>
      </c>
      <c r="AB1137" s="257">
        <f>altaz((J2000_Bas+(4*0.04167)),$O1137,$M1137,DecLat,DecLong,1)</f>
        <v>-12.822298066209644</v>
      </c>
      <c r="AC1137" s="257">
        <f>altaz((J2000_Bas+(6*0.04167)),$O1137,$M1137,DecLat,DecLong,1)</f>
        <v>12.302035934714381</v>
      </c>
      <c r="AD1137" s="258">
        <f>1+ transit((J2000_Bas-1),$O1137,$M1137,DecLat,DecLong)/360 + (GMTOffset/24) + (IF(DST="Y", 1, 0)/24)</f>
        <v>1.2648791000984578</v>
      </c>
      <c r="AE1137" s="259">
        <f>DATE(2001,9,21)+(M1137/360)*365 - (360*((DecLong/360)- (GMTOffset/24) ))</f>
        <v>37259.27239583333</v>
      </c>
      <c r="AF1137" s="260">
        <f>IF(DecLat&gt;0,IF((90 - (DecLat-O1137))&gt;90, (90 - (O1137-DecLat)), (90 - (DecLat-O1137))),IF((90 + (DecLat-O1137))&gt;90, (90 + (O1137-DecLat)), (90 + (DecLat-O1137))))</f>
        <v>69.13388888888889</v>
      </c>
      <c r="AG1137" s="257">
        <f>angularseperation(MoonRA,MoonDec,$M1137,$O1137)</f>
        <v>148.11383840491942</v>
      </c>
      <c r="AH1137" s="261">
        <f ca="1">MIN(100,IF($O$5&gt;80,0+30*($AG1137/100),IF($O$5&gt;70,0+50*($AG1137/100),IF($O$5&gt;60,5+50*($AG1137/100),IF($O$5&gt;50,10+60*($AG1137/100),IF($O$5&gt;40,15+70*($AG1137/100),IF($O$5&gt;30,20+70*($AG1137/100),IF($O$5&gt;20,40+55*($AG1137/100),(80+(20-$O$5)+30*($AG1137/100))))))))))</f>
        <v>100</v>
      </c>
      <c r="AI1137" s="263"/>
      <c r="AJ1137" s="263">
        <v>2169</v>
      </c>
      <c r="AK1137" s="263"/>
      <c r="AL1137" s="263"/>
      <c r="AM1137" s="264"/>
      <c r="AN1137" s="263"/>
      <c r="AO1137" s="263"/>
      <c r="AP1137" s="265"/>
      <c r="AQ1137" s="265"/>
      <c r="AR1137" s="285"/>
      <c r="AS1137" s="263"/>
      <c r="AT1137" s="263"/>
      <c r="AU1137" s="263"/>
      <c r="AV1137" s="264"/>
      <c r="AW1137" s="263"/>
      <c r="AX1137" s="263"/>
      <c r="AY1137" s="263"/>
      <c r="AZ1137" s="263"/>
      <c r="BA1137" s="263"/>
      <c r="BB1137" s="263"/>
      <c r="BC1137" s="263"/>
      <c r="BD1137" s="264"/>
      <c r="BE1137" s="263"/>
      <c r="BF1137" s="263"/>
      <c r="BG1137" s="263"/>
      <c r="BH1137" s="263"/>
      <c r="BI1137" s="263"/>
      <c r="BJ1137" s="404">
        <f>altaz(J2000_Bas,$O1137,$M1137,DecLat,DecLong,2)</f>
        <v>11.981817482849584</v>
      </c>
      <c r="BK1137" s="378" t="s">
        <v>3202</v>
      </c>
      <c r="BL1137" s="379">
        <f>IF((2*G1137)/60&lt;0.2,0.2,(2*G1137)/60)</f>
        <v>1</v>
      </c>
      <c r="BM1137" s="380">
        <f>MOD((50000+AD1137-$B$3+(0/24)),1)</f>
        <v>0.48024602980149211</v>
      </c>
      <c r="BN1137" s="381"/>
      <c r="BO1137" s="382">
        <v>1131</v>
      </c>
    </row>
    <row r="1138" spans="1:67" s="24" customFormat="1" ht="15" customHeight="1" x14ac:dyDescent="0.25">
      <c r="A1138" s="288" t="s">
        <v>1197</v>
      </c>
      <c r="B1138" s="241" t="str">
        <f>HYPERLINK(CONCATENATE($AT$3,BK1138,$AU$3),$AV$3)</f>
        <v>S</v>
      </c>
      <c r="C1138" s="242" t="str">
        <f>HYPERLINK(CONCATENATE($AT$4,BK1138,$AU$4,BL1138),$AV$4)</f>
        <v>A</v>
      </c>
      <c r="D1138" s="243" t="s">
        <v>5187</v>
      </c>
      <c r="E1138" s="244" t="s">
        <v>5183</v>
      </c>
      <c r="F1138" s="269" t="s">
        <v>9159</v>
      </c>
      <c r="G1138" s="276">
        <v>20</v>
      </c>
      <c r="H1138" s="283">
        <v>3800</v>
      </c>
      <c r="I1138" s="246">
        <v>24</v>
      </c>
      <c r="J1138" s="246">
        <v>3</v>
      </c>
      <c r="K1138" s="247" t="s">
        <v>7175</v>
      </c>
      <c r="L1138" s="248">
        <v>70425</v>
      </c>
      <c r="M1138" s="249">
        <f>15*(LEFT(TEXT($L1138,"000000"),2)+(MID(TEXT($L1138,"000000"),3,2)/60)+(RIGHT(TEXT($L1138,"000000"),2)/3600))</f>
        <v>106.10416666666667</v>
      </c>
      <c r="N1138" s="250">
        <v>-102713</v>
      </c>
      <c r="O1138" s="251">
        <f>IF($N1138&gt;0,(LEFT(TEXT($N1138,"000000"),2)+(MID(TEXT($N1138,"000000"),3,2)/60)+(RIGHT(TEXT($N1138,"000000"),2)/3600)),-(MID(TEXT($N1138,"000000"),2,2)+(MID(TEXT($N1138,"000000"),4,2)/60)+(RIGHT(TEXT($N1138,"000000"),2)/3600)))</f>
        <v>-10.45361111111111</v>
      </c>
      <c r="P1138" s="252" t="s">
        <v>47</v>
      </c>
      <c r="Q1138" s="253" t="s">
        <v>8871</v>
      </c>
      <c r="R1138" s="247" t="s">
        <v>6041</v>
      </c>
      <c r="S1138" s="272"/>
      <c r="T1138" s="273"/>
      <c r="U1138" s="274"/>
      <c r="V1138" s="280"/>
      <c r="W1138" s="244"/>
      <c r="X1138" s="244"/>
      <c r="Y1138" s="362"/>
      <c r="Z1138" s="257">
        <f>altaz(J2000_Bas,$O1138,$M1138,DecLat,DecLong,1)</f>
        <v>-69.453395013972028</v>
      </c>
      <c r="AA1138" s="257">
        <f>altaz((J2000_Bas+(2*0.04167)),$O1138,$M1138,DecLat,DecLong,1)</f>
        <v>-55.444865309685767</v>
      </c>
      <c r="AB1138" s="257">
        <f>altaz((J2000_Bas+(4*0.04167)),$O1138,$M1138,DecLat,DecLong,1)</f>
        <v>-30.934467197998877</v>
      </c>
      <c r="AC1138" s="257">
        <f>altaz((J2000_Bas+(6*0.04167)),$O1138,$M1138,DecLat,DecLong,1)</f>
        <v>-5.2332562015929902</v>
      </c>
      <c r="AD1138" s="258">
        <f>1+ transit((J2000_Bas-1),$O1138,$M1138,DecLat,DecLong)/360 + (GMTOffset/24) + (IF(DST="Y", 1, 0)/24)</f>
        <v>1.2876337274526246</v>
      </c>
      <c r="AE1138" s="259">
        <f>DATE(2001,9,21)+(M1138/360)*365 - (360*((DecLong/360)- (GMTOffset/24) ))</f>
        <v>37267.577835648146</v>
      </c>
      <c r="AF1138" s="260">
        <f>IF(DecLat&gt;0,IF((90 - (DecLat-O1138))&gt;90, (90 - (O1138-DecLat)), (90 - (DecLat-O1138))),IF((90 + (DecLat-O1138))&gt;90, (90 + (O1138-DecLat)), (90 + (DecLat-O1138))))</f>
        <v>48.546388888888892</v>
      </c>
      <c r="AG1138" s="257">
        <f>angularseperation(MoonRA,MoonDec,$M1138,$O1138)</f>
        <v>128.16369630217366</v>
      </c>
      <c r="AH1138" s="261">
        <f ca="1">MIN(100,IF($O$5&gt;80,0+30*($AG1138/100),IF($O$5&gt;70,0+50*($AG1138/100),IF($O$5&gt;60,5+50*($AG1138/100),IF($O$5&gt;50,10+60*($AG1138/100),IF($O$5&gt;40,15+70*($AG1138/100),IF($O$5&gt;30,20+70*($AG1138/100),IF($O$5&gt;20,40+55*($AG1138/100),(80+(20-$O$5)+30*($AG1138/100))))))))))</f>
        <v>100</v>
      </c>
      <c r="AI1138" s="262"/>
      <c r="AJ1138" s="263">
        <v>2177</v>
      </c>
      <c r="AK1138" s="263"/>
      <c r="AL1138" s="263"/>
      <c r="AM1138" s="264"/>
      <c r="AN1138" s="263"/>
      <c r="AO1138" s="263"/>
      <c r="AP1138" s="265"/>
      <c r="AQ1138" s="266"/>
      <c r="AR1138" s="267"/>
      <c r="AS1138" s="263"/>
      <c r="AT1138" s="263"/>
      <c r="AU1138" s="263"/>
      <c r="AV1138" s="264"/>
      <c r="AW1138" s="263"/>
      <c r="AX1138" s="263">
        <v>1</v>
      </c>
      <c r="AY1138" s="263"/>
      <c r="AZ1138" s="263"/>
      <c r="BA1138" s="263">
        <v>2</v>
      </c>
      <c r="BB1138" s="263">
        <v>292</v>
      </c>
      <c r="BC1138" s="263"/>
      <c r="BD1138" s="264">
        <v>93</v>
      </c>
      <c r="BE1138" s="263"/>
      <c r="BF1138" s="263"/>
      <c r="BG1138" s="263"/>
      <c r="BH1138" s="263"/>
      <c r="BI1138" s="263"/>
      <c r="BJ1138" s="404">
        <f>altaz(J2000_Bas,$O1138,$M1138,DecLat,DecLong,2)</f>
        <v>359.71548862246129</v>
      </c>
      <c r="BK1138" s="378" t="s">
        <v>1197</v>
      </c>
      <c r="BL1138" s="379">
        <f>IF((2*G1138)/60&lt;0.2,0.2,(2*G1138)/60)</f>
        <v>0.66666666666666663</v>
      </c>
      <c r="BM1138" s="380">
        <f>MOD((50000+AD1138-$B$3+(0/24)),1)</f>
        <v>0.50300065715418896</v>
      </c>
      <c r="BN1138" s="381"/>
      <c r="BO1138" s="382">
        <v>1132</v>
      </c>
    </row>
    <row r="1139" spans="1:67" s="24" customFormat="1" ht="15" customHeight="1" x14ac:dyDescent="0.25">
      <c r="A1139" s="288" t="s">
        <v>1198</v>
      </c>
      <c r="B1139" s="241" t="str">
        <f>HYPERLINK(CONCATENATE($AT$3,BK1139,$AU$3),$AV$3)</f>
        <v>S</v>
      </c>
      <c r="C1139" s="242" t="str">
        <f>HYPERLINK(CONCATENATE($AT$4,BK1139,$AU$4,BL1139),$AV$4)</f>
        <v>A</v>
      </c>
      <c r="D1139" s="243" t="s">
        <v>5638</v>
      </c>
      <c r="E1139" s="244" t="s">
        <v>5337</v>
      </c>
      <c r="F1139" s="269" t="s">
        <v>3310</v>
      </c>
      <c r="G1139" s="273">
        <v>1.5</v>
      </c>
      <c r="H1139" s="283">
        <v>180</v>
      </c>
      <c r="I1139" s="246">
        <v>80</v>
      </c>
      <c r="J1139" s="246">
        <v>2</v>
      </c>
      <c r="K1139" s="247" t="s">
        <v>8512</v>
      </c>
      <c r="L1139" s="248">
        <v>72926</v>
      </c>
      <c r="M1139" s="249">
        <f>15*(LEFT(TEXT($L1139,"000000"),2)+(MID(TEXT($L1139,"000000"),3,2)/60)+(RIGHT(TEXT($L1139,"000000"),2)/3600))</f>
        <v>112.35833333333333</v>
      </c>
      <c r="N1139" s="250">
        <v>720746</v>
      </c>
      <c r="O1139" s="251">
        <f>IF($N1139&gt;0,(LEFT(TEXT($N1139,"000000"),2)+(MID(TEXT($N1139,"000000"),3,2)/60)+(RIGHT(TEXT($N1139,"000000"),2)/3600)),-(MID(TEXT($N1139,"000000"),2,2)+(MID(TEXT($N1139,"000000"),4,2)/60)+(RIGHT(TEXT($N1139,"000000"),2)/3600)))</f>
        <v>72.129444444444431</v>
      </c>
      <c r="P1139" s="252" t="s">
        <v>226</v>
      </c>
      <c r="Q1139" s="253"/>
      <c r="R1139" s="247" t="s">
        <v>3293</v>
      </c>
      <c r="S1139" s="272" t="s">
        <v>3293</v>
      </c>
      <c r="T1139" s="273">
        <v>14</v>
      </c>
      <c r="U1139" s="289">
        <v>21.59</v>
      </c>
      <c r="V1139" s="280"/>
      <c r="W1139" s="244"/>
      <c r="X1139" s="244"/>
      <c r="Y1139" s="362"/>
      <c r="Z1139" s="257">
        <f>altaz(J2000_Bas,$O1139,$M1139,DecLat,DecLong,1)</f>
        <v>13.224578117863961</v>
      </c>
      <c r="AA1139" s="257">
        <f>altaz((J2000_Bas+(2*0.04167)),$O1139,$M1139,DecLat,DecLong,1)</f>
        <v>14.441353046913795</v>
      </c>
      <c r="AB1139" s="257">
        <f>altaz((J2000_Bas+(4*0.04167)),$O1139,$M1139,DecLat,DecLong,1)</f>
        <v>19.565677008387528</v>
      </c>
      <c r="AC1139" s="257">
        <f>altaz((J2000_Bas+(6*0.04167)),$O1139,$M1139,DecLat,DecLong,1)</f>
        <v>27.530957080055689</v>
      </c>
      <c r="AD1139" s="258">
        <f>1+ transit((J2000_Bas-1),$O1139,$M1139,DecLat,DecLong)/360 + (GMTOffset/24) + (IF(DST="Y", 1, 0)/24)</f>
        <v>1.3050064109005415</v>
      </c>
      <c r="AE1139" s="259">
        <f>DATE(2001,9,21)+(M1139/360)*365 - (360*((DecLong/360)- (GMTOffset/24) ))</f>
        <v>37273.918865740743</v>
      </c>
      <c r="AF1139" s="260">
        <f>IF(DecLat&gt;0,IF((90 - (DecLat-O1139))&gt;90, (90 - (O1139-DecLat)), (90 - (DecLat-O1139))),IF((90 + (DecLat-O1139))&gt;90, (90 + (O1139-DecLat)), (90 + (DecLat-O1139))))</f>
        <v>48.870555555555569</v>
      </c>
      <c r="AG1139" s="257">
        <f>angularseperation(MoonRA,MoonDec,$M1139,$O1139)</f>
        <v>129.25473391279948</v>
      </c>
      <c r="AH1139" s="261">
        <f ca="1">MIN(100,IF($O$5&gt;80,0+30*($AG1139/100),IF($O$5&gt;70,0+50*($AG1139/100),IF($O$5&gt;60,5+50*($AG1139/100),IF($O$5&gt;50,10+60*($AG1139/100),IF($O$5&gt;40,15+70*($AG1139/100),IF($O$5&gt;30,20+70*($AG1139/100),IF($O$5&gt;20,40+55*($AG1139/100),(80+(20-$O$5)+30*($AG1139/100))))))))))</f>
        <v>100</v>
      </c>
      <c r="AI1139" s="262"/>
      <c r="AJ1139" s="263">
        <v>2184</v>
      </c>
      <c r="AK1139" s="263"/>
      <c r="AL1139" s="263"/>
      <c r="AM1139" s="264"/>
      <c r="AN1139" s="263"/>
      <c r="AO1139" s="263"/>
      <c r="AP1139" s="265"/>
      <c r="AQ1139" s="266">
        <v>3852</v>
      </c>
      <c r="AR1139" s="267">
        <v>21123</v>
      </c>
      <c r="AS1139" s="263"/>
      <c r="AT1139" s="263"/>
      <c r="AU1139" s="263"/>
      <c r="AV1139" s="264"/>
      <c r="AW1139" s="263"/>
      <c r="AX1139" s="263"/>
      <c r="AY1139" s="263"/>
      <c r="AZ1139" s="263"/>
      <c r="BA1139" s="263"/>
      <c r="BB1139" s="263"/>
      <c r="BC1139" s="263"/>
      <c r="BD1139" s="264"/>
      <c r="BE1139" s="263"/>
      <c r="BF1139" s="263"/>
      <c r="BG1139" s="263"/>
      <c r="BH1139" s="263"/>
      <c r="BI1139" s="263"/>
      <c r="BJ1139" s="404">
        <f>altaz(J2000_Bas,$O1139,$M1139,DecLat,DecLong,2)</f>
        <v>358.00020939559244</v>
      </c>
      <c r="BK1139" s="378" t="s">
        <v>1198</v>
      </c>
      <c r="BL1139" s="379">
        <f>IF((2*G1139)/60&lt;0.2,0.2,(2*G1139)/60)</f>
        <v>0.2</v>
      </c>
      <c r="BM1139" s="380">
        <f>MOD((50000+AD1139-$B$3+(0/24)),1)</f>
        <v>0.52037334060150897</v>
      </c>
      <c r="BN1139" s="381"/>
      <c r="BO1139" s="382">
        <v>1133</v>
      </c>
    </row>
    <row r="1140" spans="1:67" s="24" customFormat="1" ht="15" customHeight="1" x14ac:dyDescent="0.25">
      <c r="A1140" s="287" t="s">
        <v>5438</v>
      </c>
      <c r="B1140" s="241" t="str">
        <f>HYPERLINK(CONCATENATE($AT$3,BK1140,$AU$3),$AV$3)</f>
        <v>S</v>
      </c>
      <c r="C1140" s="242" t="str">
        <f>HYPERLINK(CONCATENATE($AT$4,BK1140,$AU$4,BL1140),$AV$4)</f>
        <v>A</v>
      </c>
      <c r="D1140" s="243" t="s">
        <v>5187</v>
      </c>
      <c r="E1140" s="244" t="s">
        <v>5186</v>
      </c>
      <c r="F1140" s="269"/>
      <c r="G1140" s="273">
        <v>4</v>
      </c>
      <c r="H1140" s="283">
        <v>300</v>
      </c>
      <c r="I1140" s="309">
        <v>0.35</v>
      </c>
      <c r="J1140" s="246">
        <v>5</v>
      </c>
      <c r="K1140" s="247" t="s">
        <v>5440</v>
      </c>
      <c r="L1140" s="248">
        <v>75648</v>
      </c>
      <c r="M1140" s="249">
        <f>15*(LEFT(TEXT($L1140,"000000"),2)+(MID(TEXT($L1140,"000000"),3,2)/60)+(RIGHT(TEXT($L1140,"000000"),2)/3600))</f>
        <v>119.2</v>
      </c>
      <c r="N1140" s="250">
        <v>-590800</v>
      </c>
      <c r="O1140" s="251">
        <f>IF($N1140&gt;0,(LEFT(TEXT($N1140,"000000"),2)+(MID(TEXT($N1140,"000000"),3,2)/60)+(RIGHT(TEXT($N1140,"000000"),2)/3600)),-(MID(TEXT($N1140,"000000"),2,2)+(MID(TEXT($N1140,"000000"),4,2)/60)+(RIGHT(TEXT($N1140,"000000"),2)/3600)))</f>
        <v>-59.133333333333333</v>
      </c>
      <c r="P1140" s="252" t="s">
        <v>1000</v>
      </c>
      <c r="Q1140" s="253" t="s">
        <v>5439</v>
      </c>
      <c r="R1140" s="277" t="s">
        <v>3293</v>
      </c>
      <c r="S1140" s="272" t="s">
        <v>3293</v>
      </c>
      <c r="T1140" s="273"/>
      <c r="U1140" s="274"/>
      <c r="V1140" s="280"/>
      <c r="W1140" s="244"/>
      <c r="X1140" s="244"/>
      <c r="Y1140" s="362"/>
      <c r="Z1140" s="257">
        <f>altaz(J2000_Bas,$O1140,$M1140,DecLat,DecLong,1)</f>
        <v>-60.486341143102699</v>
      </c>
      <c r="AA1140" s="257">
        <f>altaz((J2000_Bas+(2*0.04167)),$O1140,$M1140,DecLat,DecLong,1)</f>
        <v>-59.64258372160775</v>
      </c>
      <c r="AB1140" s="257">
        <f>altaz((J2000_Bas+(4*0.04167)),$O1140,$M1140,DecLat,DecLong,1)</f>
        <v>-47.916266048949083</v>
      </c>
      <c r="AC1140" s="257">
        <f>altaz((J2000_Bas+(6*0.04167)),$O1140,$M1140,DecLat,DecLong,1)</f>
        <v>-32.7240991853878</v>
      </c>
      <c r="AD1140" s="258">
        <f>1+ transit((J2000_Bas-1),$O1140,$M1140,DecLat,DecLong)/360 + (GMTOffset/24) + (IF(DST="Y", 1, 0)/24)</f>
        <v>1.3240110386297081</v>
      </c>
      <c r="AE1140" s="259">
        <f>DATE(2001,9,21)+(M1140/360)*365 - (360*((DecLong/360)- (GMTOffset/24) ))</f>
        <v>37280.855555555558</v>
      </c>
      <c r="AF1140" s="260">
        <f>IF(DecLat&gt;0,IF((90 - (DecLat-O1140))&gt;90, (90 - (O1140-DecLat)), (90 - (DecLat-O1140))),IF((90 + (DecLat-O1140))&gt;90, (90 + (O1140-DecLat)), (90 + (DecLat-O1140))))</f>
        <v>-0.13333333333332575</v>
      </c>
      <c r="AG1140" s="257">
        <f>angularseperation(MoonRA,MoonDec,$M1140,$O1140)</f>
        <v>84.436914815158033</v>
      </c>
      <c r="AH1140" s="261">
        <f ca="1">MIN(100,IF($O$5&gt;80,0+30*($AG1140/100),IF($O$5&gt;70,0+50*($AG1140/100),IF($O$5&gt;60,5+50*($AG1140/100),IF($O$5&gt;50,10+60*($AG1140/100),IF($O$5&gt;40,15+70*($AG1140/100),IF($O$5&gt;30,20+70*($AG1140/100),IF($O$5&gt;20,40+55*($AG1140/100),(80+(20-$O$5)+30*($AG1140/100))))))))))</f>
        <v>100</v>
      </c>
      <c r="AI1140" s="263"/>
      <c r="AJ1140" s="263">
        <v>2220</v>
      </c>
      <c r="AK1140" s="263"/>
      <c r="AL1140" s="263"/>
      <c r="AM1140" s="264"/>
      <c r="AN1140" s="263"/>
      <c r="AO1140" s="263"/>
      <c r="AP1140" s="265"/>
      <c r="AQ1140" s="265"/>
      <c r="AR1140" s="285"/>
      <c r="AS1140" s="263"/>
      <c r="AT1140" s="263"/>
      <c r="AU1140" s="263"/>
      <c r="AV1140" s="264"/>
      <c r="AW1140" s="263"/>
      <c r="AX1140" s="263"/>
      <c r="AY1140" s="263"/>
      <c r="AZ1140" s="263"/>
      <c r="BA1140" s="263"/>
      <c r="BB1140" s="263"/>
      <c r="BC1140" s="263"/>
      <c r="BD1140" s="264"/>
      <c r="BE1140" s="263"/>
      <c r="BF1140" s="263"/>
      <c r="BG1140" s="263"/>
      <c r="BH1140" s="263"/>
      <c r="BI1140" s="263"/>
      <c r="BJ1140" s="404">
        <f>altaz(J2000_Bas,$O1140,$M1140,DecLat,DecLong,2)</f>
        <v>193.75469746842094</v>
      </c>
      <c r="BK1140" s="378" t="s">
        <v>5438</v>
      </c>
      <c r="BL1140" s="379">
        <f>IF((2*G1140)/60&lt;0.2,0.2,(2*G1140)/60)</f>
        <v>0.2</v>
      </c>
      <c r="BM1140" s="380">
        <f>MOD((50000+AD1140-$B$3+(0/24)),1)</f>
        <v>0.53937796833633911</v>
      </c>
      <c r="BN1140" s="381"/>
      <c r="BO1140" s="382">
        <v>1134</v>
      </c>
    </row>
    <row r="1141" spans="1:67" s="24" customFormat="1" ht="15" customHeight="1" x14ac:dyDescent="0.25">
      <c r="A1141" s="288" t="s">
        <v>1199</v>
      </c>
      <c r="B1141" s="241" t="str">
        <f>HYPERLINK(CONCATENATE($AT$3,BK1141,$AU$3),$AV$3)</f>
        <v>S</v>
      </c>
      <c r="C1141" s="242" t="str">
        <f>HYPERLINK(CONCATENATE($AT$4,BK1141,$AU$4,BL1141),$AV$4)</f>
        <v>A</v>
      </c>
      <c r="D1141" s="243" t="s">
        <v>5638</v>
      </c>
      <c r="E1141" s="244" t="s">
        <v>5192</v>
      </c>
      <c r="F1141" s="269" t="s">
        <v>8691</v>
      </c>
      <c r="G1141" s="273">
        <v>4.7</v>
      </c>
      <c r="H1141" s="283">
        <v>40</v>
      </c>
      <c r="I1141" s="246">
        <v>60</v>
      </c>
      <c r="J1141" s="246">
        <v>2</v>
      </c>
      <c r="K1141" s="247" t="s">
        <v>4676</v>
      </c>
      <c r="L1141" s="248">
        <v>81359</v>
      </c>
      <c r="M1141" s="249">
        <f>15*(LEFT(TEXT($L1141,"000000"),2)+(MID(TEXT($L1141,"000000"),3,2)/60)+(RIGHT(TEXT($L1141,"000000"),2)/3600))</f>
        <v>123.49583333333334</v>
      </c>
      <c r="N1141" s="250">
        <v>454433</v>
      </c>
      <c r="O1141" s="251">
        <f>IF($N1141&gt;0,(LEFT(TEXT($N1141,"000000"),2)+(MID(TEXT($N1141,"000000"),3,2)/60)+(RIGHT(TEXT($N1141,"000000"),2)/3600)),-(MID(TEXT($N1141,"000000"),2,2)+(MID(TEXT($N1141,"000000"),4,2)/60)+(RIGHT(TEXT($N1141,"000000"),2)/3600)))</f>
        <v>45.7425</v>
      </c>
      <c r="P1141" s="252" t="s">
        <v>82</v>
      </c>
      <c r="Q1141" s="253"/>
      <c r="R1141" s="247" t="s">
        <v>3293</v>
      </c>
      <c r="S1141" s="272" t="s">
        <v>3293</v>
      </c>
      <c r="T1141" s="273">
        <v>12.6</v>
      </c>
      <c r="U1141" s="289">
        <v>22.19</v>
      </c>
      <c r="V1141" s="280">
        <v>90</v>
      </c>
      <c r="W1141" s="244"/>
      <c r="X1141" s="244"/>
      <c r="Y1141" s="362"/>
      <c r="Z1141" s="257">
        <f>altaz(J2000_Bas,$O1141,$M1141,DecLat,DecLong,1)</f>
        <v>-11.634191176954655</v>
      </c>
      <c r="AA1141" s="257">
        <f>altaz((J2000_Bas+(2*0.04167)),$O1141,$M1141,DecLat,DecLong,1)</f>
        <v>-12.412057047715408</v>
      </c>
      <c r="AB1141" s="257">
        <f>altaz((J2000_Bas+(4*0.04167)),$O1141,$M1141,DecLat,DecLong,1)</f>
        <v>-4.0670322823474159</v>
      </c>
      <c r="AC1141" s="257">
        <f>altaz((J2000_Bas+(6*0.04167)),$O1141,$M1141,DecLat,DecLong,1)</f>
        <v>11.045441189189907</v>
      </c>
      <c r="AD1141" s="258">
        <f>1+ transit((J2000_Bas-1),$O1141,$M1141,DecLat,DecLong)/360 + (GMTOffset/24) + (IF(DST="Y", 1, 0)/24)</f>
        <v>1.3359439078067912</v>
      </c>
      <c r="AE1141" s="259">
        <f>DATE(2001,9,21)+(M1141/360)*365 - (360*((DecLong/360)- (GMTOffset/24) ))</f>
        <v>37285.211053240739</v>
      </c>
      <c r="AF1141" s="260">
        <f>IF(DecLat&gt;0,IF((90 - (DecLat-O1141))&gt;90, (90 - (O1141-DecLat)), (90 - (DecLat-O1141))),IF((90 + (DecLat-O1141))&gt;90, (90 + (O1141-DecLat)), (90 + (DecLat-O1141))))</f>
        <v>75.257499999999993</v>
      </c>
      <c r="AG1141" s="257">
        <f>angularseperation(MoonRA,MoonDec,$M1141,$O1141)</f>
        <v>133.55734678571906</v>
      </c>
      <c r="AH1141" s="261">
        <f ca="1">MIN(100,IF($O$5&gt;80,0+30*($AG1141/100),IF($O$5&gt;70,0+50*($AG1141/100),IF($O$5&gt;60,5+50*($AG1141/100),IF($O$5&gt;50,10+60*($AG1141/100),IF($O$5&gt;40,15+70*($AG1141/100),IF($O$5&gt;30,20+70*($AG1141/100),IF($O$5&gt;20,40+55*($AG1141/100),(80+(20-$O$5)+30*($AG1141/100))))))))))</f>
        <v>100</v>
      </c>
      <c r="AI1141" s="262"/>
      <c r="AJ1141" s="263">
        <v>2233</v>
      </c>
      <c r="AK1141" s="263"/>
      <c r="AL1141" s="263"/>
      <c r="AM1141" s="264"/>
      <c r="AN1141" s="263"/>
      <c r="AO1141" s="263"/>
      <c r="AP1141" s="265"/>
      <c r="AQ1141" s="266">
        <v>4278</v>
      </c>
      <c r="AR1141" s="267">
        <v>23071</v>
      </c>
      <c r="AS1141" s="263"/>
      <c r="AT1141" s="263"/>
      <c r="AU1141" s="263"/>
      <c r="AV1141" s="264"/>
      <c r="AW1141" s="263"/>
      <c r="AX1141" s="263"/>
      <c r="AY1141" s="263"/>
      <c r="AZ1141" s="263"/>
      <c r="BA1141" s="263"/>
      <c r="BB1141" s="263"/>
      <c r="BC1141" s="263"/>
      <c r="BD1141" s="264"/>
      <c r="BE1141" s="263"/>
      <c r="BF1141" s="263"/>
      <c r="BG1141" s="263"/>
      <c r="BH1141" s="263"/>
      <c r="BI1141" s="263"/>
      <c r="BJ1141" s="404">
        <f>altaz(J2000_Bas,$O1141,$M1141,DecLat,DecLong,2)</f>
        <v>347.63262245604977</v>
      </c>
      <c r="BK1141" s="378" t="s">
        <v>1199</v>
      </c>
      <c r="BL1141" s="379">
        <f>IF((2*G1141)/60&lt;0.2,0.2,(2*G1141)/60)</f>
        <v>0.2</v>
      </c>
      <c r="BM1141" s="380">
        <f>MOD((50000+AD1141-$B$3+(0/24)),1)</f>
        <v>0.55131083750893595</v>
      </c>
      <c r="BN1141" s="381"/>
      <c r="BO1141" s="382">
        <v>1135</v>
      </c>
    </row>
    <row r="1142" spans="1:67" s="24" customFormat="1" ht="15" customHeight="1" x14ac:dyDescent="0.25">
      <c r="A1142" s="288" t="s">
        <v>1200</v>
      </c>
      <c r="B1142" s="241" t="str">
        <f>HYPERLINK(CONCATENATE($AT$3,BK1142,$AU$3),$AV$3)</f>
        <v>S</v>
      </c>
      <c r="C1142" s="242" t="str">
        <f>HYPERLINK(CONCATENATE($AT$4,BK1142,$AU$4,BL1142),$AV$4)</f>
        <v>A</v>
      </c>
      <c r="D1142" s="243" t="s">
        <v>5638</v>
      </c>
      <c r="E1142" s="244" t="s">
        <v>5192</v>
      </c>
      <c r="F1142" s="269" t="s">
        <v>8694</v>
      </c>
      <c r="G1142" s="273">
        <v>1.7</v>
      </c>
      <c r="H1142" s="283">
        <v>200</v>
      </c>
      <c r="I1142" s="246">
        <v>100</v>
      </c>
      <c r="J1142" s="246">
        <v>2</v>
      </c>
      <c r="K1142" s="247" t="s">
        <v>4677</v>
      </c>
      <c r="L1142" s="248">
        <v>81559</v>
      </c>
      <c r="M1142" s="249">
        <f>15*(LEFT(TEXT($L1142,"000000"),2)+(MID(TEXT($L1142,"000000"),3,2)/60)+(RIGHT(TEXT($L1142,"000000"),2)/3600))</f>
        <v>123.99583333333334</v>
      </c>
      <c r="N1142" s="286">
        <v>231158</v>
      </c>
      <c r="O1142" s="251">
        <f>IF($N1142&gt;0,(LEFT(TEXT($N1142,"000000"),2)+(MID(TEXT($N1142,"000000"),3,2)/60)+(RIGHT(TEXT($N1142,"000000"),2)/3600)),-(MID(TEXT($N1142,"000000"),2,2)+(MID(TEXT($N1142,"000000"),4,2)/60)+(RIGHT(TEXT($N1142,"000000"),2)/3600)))</f>
        <v>23.199444444444445</v>
      </c>
      <c r="P1142" s="252" t="s">
        <v>100</v>
      </c>
      <c r="Q1142" s="253"/>
      <c r="R1142" s="247" t="s">
        <v>3293</v>
      </c>
      <c r="S1142" s="272" t="s">
        <v>3293</v>
      </c>
      <c r="T1142" s="273">
        <v>13.2</v>
      </c>
      <c r="U1142" s="289">
        <v>21.29</v>
      </c>
      <c r="V1142" s="280">
        <v>88</v>
      </c>
      <c r="W1142" s="244"/>
      <c r="X1142" s="244"/>
      <c r="Y1142" s="362"/>
      <c r="Z1142" s="257">
        <f>altaz(J2000_Bas,$O1142,$M1142,DecLat,DecLong,1)</f>
        <v>-33.122711552952872</v>
      </c>
      <c r="AA1142" s="257">
        <f>altaz((J2000_Bas+(2*0.04167)),$O1142,$M1142,DecLat,DecLong,1)</f>
        <v>-34.575164107053929</v>
      </c>
      <c r="AB1142" s="257">
        <f>altaz((J2000_Bas+(4*0.04167)),$O1142,$M1142,DecLat,DecLong,1)</f>
        <v>-22.394374550243061</v>
      </c>
      <c r="AC1142" s="257">
        <f>altaz((J2000_Bas+(6*0.04167)),$O1142,$M1142,DecLat,DecLong,1)</f>
        <v>-2.129724810230476</v>
      </c>
      <c r="AD1142" s="258">
        <f>1+ transit((J2000_Bas-1),$O1142,$M1142,DecLat,DecLong)/360 + (GMTOffset/24) + (IF(DST="Y", 1, 0)/24)</f>
        <v>1.3373327965567914</v>
      </c>
      <c r="AE1142" s="259">
        <f>DATE(2001,9,21)+(M1142/360)*365 - (360*((DecLong/360)- (GMTOffset/24) ))</f>
        <v>37285.717997685184</v>
      </c>
      <c r="AF1142" s="260">
        <f>IF(DecLat&gt;0,IF((90 - (DecLat-O1142))&gt;90, (90 - (O1142-DecLat)), (90 - (DecLat-O1142))),IF((90 + (DecLat-O1142))&gt;90, (90 + (O1142-DecLat)), (90 + (DecLat-O1142))))</f>
        <v>82.199444444444453</v>
      </c>
      <c r="AG1142" s="257">
        <f>angularseperation(MoonRA,MoonDec,$M1142,$O1142)</f>
        <v>130.66350188183713</v>
      </c>
      <c r="AH1142" s="261">
        <f ca="1">MIN(100,IF($O$5&gt;80,0+30*($AG1142/100),IF($O$5&gt;70,0+50*($AG1142/100),IF($O$5&gt;60,5+50*($AG1142/100),IF($O$5&gt;50,10+60*($AG1142/100),IF($O$5&gt;40,15+70*($AG1142/100),IF($O$5&gt;30,20+70*($AG1142/100),IF($O$5&gt;20,40+55*($AG1142/100),(80+(20-$O$5)+30*($AG1142/100))))))))))</f>
        <v>100</v>
      </c>
      <c r="AI1142" s="262"/>
      <c r="AJ1142" s="263">
        <v>2247</v>
      </c>
      <c r="AK1142" s="263"/>
      <c r="AL1142" s="263"/>
      <c r="AM1142" s="264"/>
      <c r="AN1142" s="263"/>
      <c r="AO1142" s="263"/>
      <c r="AP1142" s="265"/>
      <c r="AQ1142" s="266">
        <v>4299</v>
      </c>
      <c r="AR1142" s="267">
        <v>23169</v>
      </c>
      <c r="AS1142" s="263"/>
      <c r="AT1142" s="263"/>
      <c r="AU1142" s="263"/>
      <c r="AV1142" s="264"/>
      <c r="AW1142" s="263"/>
      <c r="AX1142" s="263"/>
      <c r="AY1142" s="263"/>
      <c r="AZ1142" s="263"/>
      <c r="BA1142" s="263"/>
      <c r="BB1142" s="263"/>
      <c r="BC1142" s="263"/>
      <c r="BD1142" s="264"/>
      <c r="BE1142" s="263"/>
      <c r="BF1142" s="263"/>
      <c r="BG1142" s="263"/>
      <c r="BH1142" s="263"/>
      <c r="BI1142" s="263"/>
      <c r="BJ1142" s="404">
        <f>altaz(J2000_Bas,$O1142,$M1142,DecLat,DecLong,2)</f>
        <v>340.18311393000801</v>
      </c>
      <c r="BK1142" s="378" t="s">
        <v>1200</v>
      </c>
      <c r="BL1142" s="379">
        <f>IF((2*G1142)/60&lt;0.2,0.2,(2*G1142)/60)</f>
        <v>0.2</v>
      </c>
      <c r="BM1142" s="380">
        <f>MOD((50000+AD1142-$B$3+(0/24)),1)</f>
        <v>0.5526997262641089</v>
      </c>
      <c r="BN1142" s="381"/>
      <c r="BO1142" s="382">
        <v>1136</v>
      </c>
    </row>
    <row r="1143" spans="1:67" s="24" customFormat="1" ht="15" customHeight="1" x14ac:dyDescent="0.25">
      <c r="A1143" s="288" t="s">
        <v>1201</v>
      </c>
      <c r="B1143" s="241" t="str">
        <f>HYPERLINK(CONCATENATE($AT$3,BK1143,$AU$3),$AV$3)</f>
        <v>S</v>
      </c>
      <c r="C1143" s="242" t="str">
        <f>HYPERLINK(CONCATENATE($AT$4,BK1143,$AU$4,BL1143),$AV$4)</f>
        <v>A</v>
      </c>
      <c r="D1143" s="243" t="s">
        <v>5638</v>
      </c>
      <c r="E1143" s="244" t="s">
        <v>5192</v>
      </c>
      <c r="F1143" s="269" t="s">
        <v>3306</v>
      </c>
      <c r="G1143" s="273">
        <v>1.2</v>
      </c>
      <c r="H1143" s="283">
        <v>200</v>
      </c>
      <c r="I1143" s="246">
        <v>70</v>
      </c>
      <c r="J1143" s="246">
        <v>1</v>
      </c>
      <c r="K1143" s="247" t="s">
        <v>4678</v>
      </c>
      <c r="L1143" s="248">
        <v>81605</v>
      </c>
      <c r="M1143" s="249">
        <f>15*(LEFT(TEXT($L1143,"000000"),2)+(MID(TEXT($L1143,"000000"),3,2)/60)+(RIGHT(TEXT($L1143,"000000"),2)/3600))</f>
        <v>124.02083333333334</v>
      </c>
      <c r="N1143" s="250">
        <v>230803</v>
      </c>
      <c r="O1143" s="251">
        <f>IF($N1143&gt;0,(LEFT(TEXT($N1143,"000000"),2)+(MID(TEXT($N1143,"000000"),3,2)/60)+(RIGHT(TEXT($N1143,"000000"),2)/3600)),-(MID(TEXT($N1143,"000000"),2,2)+(MID(TEXT($N1143,"000000"),4,2)/60)+(RIGHT(TEXT($N1143,"000000"),2)/3600)))</f>
        <v>23.134166666666665</v>
      </c>
      <c r="P1143" s="252" t="s">
        <v>100</v>
      </c>
      <c r="Q1143" s="253"/>
      <c r="R1143" s="247" t="s">
        <v>3293</v>
      </c>
      <c r="S1143" s="272" t="s">
        <v>3293</v>
      </c>
      <c r="T1143" s="273">
        <v>14.4</v>
      </c>
      <c r="U1143" s="289">
        <v>22.990000000000002</v>
      </c>
      <c r="V1143" s="280">
        <v>60</v>
      </c>
      <c r="W1143" s="244"/>
      <c r="X1143" s="244"/>
      <c r="Y1143" s="362"/>
      <c r="Z1143" s="257">
        <f>altaz(J2000_Bas,$O1143,$M1143,DecLat,DecLong,1)</f>
        <v>-33.177360512955261</v>
      </c>
      <c r="AA1143" s="257">
        <f>altaz((J2000_Bas+(2*0.04167)),$O1143,$M1143,DecLat,DecLong,1)</f>
        <v>-34.643881846672066</v>
      </c>
      <c r="AB1143" s="257">
        <f>altaz((J2000_Bas+(4*0.04167)),$O1143,$M1143,DecLat,DecLong,1)</f>
        <v>-22.459771287596649</v>
      </c>
      <c r="AC1143" s="257">
        <f>altaz((J2000_Bas+(6*0.04167)),$O1143,$M1143,DecLat,DecLong,1)</f>
        <v>-2.186149127000522</v>
      </c>
      <c r="AD1143" s="258">
        <f>1+ transit((J2000_Bas-1),$O1143,$M1143,DecLat,DecLong)/360 + (GMTOffset/24) + (IF(DST="Y", 1, 0)/24)</f>
        <v>1.3374022409942914</v>
      </c>
      <c r="AE1143" s="259">
        <f>DATE(2001,9,21)+(M1143/360)*365 - (360*((DecLong/360)- (GMTOffset/24) ))</f>
        <v>37285.743344907409</v>
      </c>
      <c r="AF1143" s="260">
        <f>IF(DecLat&gt;0,IF((90 - (DecLat-O1143))&gt;90, (90 - (O1143-DecLat)), (90 - (DecLat-O1143))),IF((90 + (DecLat-O1143))&gt;90, (90 + (O1143-DecLat)), (90 + (DecLat-O1143))))</f>
        <v>82.134166666666658</v>
      </c>
      <c r="AG1143" s="257">
        <f>angularseperation(MoonRA,MoonDec,$M1143,$O1143)</f>
        <v>130.62284695644396</v>
      </c>
      <c r="AH1143" s="261">
        <f ca="1">MIN(100,IF($O$5&gt;80,0+30*($AG1143/100),IF($O$5&gt;70,0+50*($AG1143/100),IF($O$5&gt;60,5+50*($AG1143/100),IF($O$5&gt;50,10+60*($AG1143/100),IF($O$5&gt;40,15+70*($AG1143/100),IF($O$5&gt;30,20+70*($AG1143/100),IF($O$5&gt;20,40+55*($AG1143/100),(80+(20-$O$5)+30*($AG1143/100))))))))))</f>
        <v>100</v>
      </c>
      <c r="AI1143" s="262"/>
      <c r="AJ1143" s="263">
        <v>2248</v>
      </c>
      <c r="AK1143" s="263"/>
      <c r="AL1143" s="263"/>
      <c r="AM1143" s="264"/>
      <c r="AN1143" s="263"/>
      <c r="AO1143" s="263"/>
      <c r="AP1143" s="265"/>
      <c r="AQ1143" s="266"/>
      <c r="AR1143" s="267">
        <v>23176</v>
      </c>
      <c r="AS1143" s="263"/>
      <c r="AT1143" s="263"/>
      <c r="AU1143" s="263"/>
      <c r="AV1143" s="264"/>
      <c r="AW1143" s="263"/>
      <c r="AX1143" s="263"/>
      <c r="AY1143" s="263"/>
      <c r="AZ1143" s="263"/>
      <c r="BA1143" s="263"/>
      <c r="BB1143" s="263"/>
      <c r="BC1143" s="263"/>
      <c r="BD1143" s="264"/>
      <c r="BE1143" s="263"/>
      <c r="BF1143" s="263"/>
      <c r="BG1143" s="263"/>
      <c r="BH1143" s="263"/>
      <c r="BI1143" s="263"/>
      <c r="BJ1143" s="404">
        <f>altaz(J2000_Bas,$O1143,$M1143,DecLat,DecLong,2)</f>
        <v>340.13239841449536</v>
      </c>
      <c r="BK1143" s="378" t="s">
        <v>1201</v>
      </c>
      <c r="BL1143" s="379">
        <f>IF((2*G1143)/60&lt;0.2,0.2,(2*G1143)/60)</f>
        <v>0.2</v>
      </c>
      <c r="BM1143" s="380">
        <f>MOD((50000+AD1143-$B$3+(0/24)),1)</f>
        <v>0.55276917069568299</v>
      </c>
      <c r="BN1143" s="381"/>
      <c r="BO1143" s="382">
        <v>1137</v>
      </c>
    </row>
    <row r="1144" spans="1:67" s="24" customFormat="1" ht="15" customHeight="1" x14ac:dyDescent="0.25">
      <c r="A1144" s="288" t="s">
        <v>7647</v>
      </c>
      <c r="B1144" s="241" t="str">
        <f>HYPERLINK(CONCATENATE($AT$3,BK1144,$AU$3),$AV$3)</f>
        <v>S</v>
      </c>
      <c r="C1144" s="242" t="str">
        <f>HYPERLINK(CONCATENATE($AT$4,BK1144,$AU$4,BL1144),$AV$4)</f>
        <v>A</v>
      </c>
      <c r="D1144" s="243" t="s">
        <v>5638</v>
      </c>
      <c r="E1144" s="244" t="s">
        <v>5194</v>
      </c>
      <c r="F1144" s="293"/>
      <c r="G1144" s="273">
        <v>1.5</v>
      </c>
      <c r="H1144" s="283">
        <v>280</v>
      </c>
      <c r="I1144" s="246">
        <v>130</v>
      </c>
      <c r="J1144" s="295">
        <v>2</v>
      </c>
      <c r="K1144" s="247" t="s">
        <v>5006</v>
      </c>
      <c r="L1144" s="248">
        <v>82620</v>
      </c>
      <c r="M1144" s="249">
        <f>15*(LEFT(TEXT($L1144,"000000"),2)+(MID(TEXT($L1144,"000000"),3,2)/60)+(RIGHT(TEXT($L1144,"000000"),2)/3600))</f>
        <v>126.58333333333334</v>
      </c>
      <c r="N1144" s="250">
        <v>-131811</v>
      </c>
      <c r="O1144" s="251">
        <f>IF($N1144&gt;0,(LEFT(TEXT($N1144,"000000"),2)+(MID(TEXT($N1144,"000000"),3,2)/60)+(RIGHT(TEXT($N1144,"000000"),2)/3600)),-(MID(TEXT($N1144,"000000"),2,2)+(MID(TEXT($N1144,"000000"),4,2)/60)+(RIGHT(TEXT($N1144,"000000"),2)/3600)))</f>
        <v>-13.303055555555556</v>
      </c>
      <c r="P1144" s="252" t="s">
        <v>91</v>
      </c>
      <c r="Q1144" s="253"/>
      <c r="R1144" s="247" t="s">
        <v>3293</v>
      </c>
      <c r="S1144" s="272" t="s">
        <v>3293</v>
      </c>
      <c r="T1144" s="273">
        <v>13.1</v>
      </c>
      <c r="U1144" s="289">
        <v>21.59</v>
      </c>
      <c r="V1144" s="280"/>
      <c r="W1144" s="244"/>
      <c r="X1144" s="244"/>
      <c r="Y1144" s="362"/>
      <c r="Z1144" s="257">
        <f>altaz(J2000_Bas,$O1144,$M1144,DecLat,DecLong,1)</f>
        <v>-64.084487060661473</v>
      </c>
      <c r="AA1144" s="257">
        <f>altaz((J2000_Bas+(2*0.04167)),$O1144,$M1144,DecLat,DecLong,1)</f>
        <v>-70.258880300233329</v>
      </c>
      <c r="AB1144" s="257">
        <f>altaz((J2000_Bas+(4*0.04167)),$O1144,$M1144,DecLat,DecLong,1)</f>
        <v>-49.583825910934785</v>
      </c>
      <c r="AC1144" s="257">
        <f>altaz((J2000_Bas+(6*0.04167)),$O1144,$M1144,DecLat,DecLong,1)</f>
        <v>-24.097014740700079</v>
      </c>
      <c r="AD1144" s="258">
        <f>1+ transit((J2000_Bas-1),$O1144,$M1144,DecLat,DecLong)/360 + (GMTOffset/24) + (IF(DST="Y", 1, 0)/24)</f>
        <v>1.3445202958380416</v>
      </c>
      <c r="AE1144" s="259">
        <f>DATE(2001,9,21)+(M1144/360)*365 - (360*((DecLong/360)- (GMTOffset/24) ))</f>
        <v>37288.341435185182</v>
      </c>
      <c r="AF1144" s="260">
        <f>IF(DecLat&gt;0,IF((90 - (DecLat-O1144))&gt;90, (90 - (O1144-DecLat)), (90 - (DecLat-O1144))),IF((90 + (DecLat-O1144))&gt;90, (90 + (O1144-DecLat)), (90 + (DecLat-O1144))))</f>
        <v>45.696944444444441</v>
      </c>
      <c r="AG1144" s="257">
        <f>angularseperation(MoonRA,MoonDec,$M1144,$O1144)</f>
        <v>111.27215404903622</v>
      </c>
      <c r="AH1144" s="261">
        <f ca="1">MIN(100,IF($O$5&gt;80,0+30*($AG1144/100),IF($O$5&gt;70,0+50*($AG1144/100),IF($O$5&gt;60,5+50*($AG1144/100),IF($O$5&gt;50,10+60*($AG1144/100),IF($O$5&gt;40,15+70*($AG1144/100),IF($O$5&gt;30,20+70*($AG1144/100),IF($O$5&gt;20,40+55*($AG1144/100),(80+(20-$O$5)+30*($AG1144/100))))))))))</f>
        <v>100</v>
      </c>
      <c r="AI1144" s="262"/>
      <c r="AJ1144" s="263">
        <v>2375</v>
      </c>
      <c r="AK1144" s="263"/>
      <c r="AL1144" s="263"/>
      <c r="AM1144" s="264"/>
      <c r="AN1144" s="263"/>
      <c r="AO1144" s="263"/>
      <c r="AP1144" s="265"/>
      <c r="AQ1144" s="266"/>
      <c r="AR1144" s="267">
        <v>23672</v>
      </c>
      <c r="AS1144" s="263"/>
      <c r="AT1144" s="263"/>
      <c r="AU1144" s="263"/>
      <c r="AV1144" s="264"/>
      <c r="AW1144" s="263"/>
      <c r="AX1144" s="263"/>
      <c r="AY1144" s="263"/>
      <c r="AZ1144" s="263"/>
      <c r="BA1144" s="263"/>
      <c r="BB1144" s="263"/>
      <c r="BC1144" s="263"/>
      <c r="BD1144" s="264"/>
      <c r="BE1144" s="263"/>
      <c r="BF1144" s="263"/>
      <c r="BG1144" s="263"/>
      <c r="BH1144" s="263"/>
      <c r="BI1144" s="263"/>
      <c r="BJ1144" s="404">
        <f>altaz(J2000_Bas,$O1144,$M1144,DecLat,DecLong,2)</f>
        <v>308.48767128449543</v>
      </c>
      <c r="BK1144" s="378" t="s">
        <v>1202</v>
      </c>
      <c r="BL1144" s="379">
        <f>IF((2*G1144)/60&lt;0.2,0.2,(2*G1144)/60)</f>
        <v>0.2</v>
      </c>
      <c r="BM1144" s="380">
        <f>MOD((50000+AD1144-$B$3+(0/24)),1)</f>
        <v>0.55988722554320702</v>
      </c>
      <c r="BN1144" s="382" t="s">
        <v>9214</v>
      </c>
      <c r="BO1144" s="382">
        <v>1138</v>
      </c>
    </row>
    <row r="1145" spans="1:67" s="24" customFormat="1" ht="15" customHeight="1" x14ac:dyDescent="0.25">
      <c r="A1145" s="288" t="s">
        <v>1203</v>
      </c>
      <c r="B1145" s="241" t="str">
        <f>HYPERLINK(CONCATENATE($AT$3,BK1145,$AU$3),$AV$3)</f>
        <v>S</v>
      </c>
      <c r="C1145" s="242" t="str">
        <f>HYPERLINK(CONCATENATE($AT$4,BK1145,$AU$4,BL1145),$AV$4)</f>
        <v>A</v>
      </c>
      <c r="D1145" s="243" t="s">
        <v>5335</v>
      </c>
      <c r="E1145" s="244" t="s">
        <v>5185</v>
      </c>
      <c r="F1145" s="269" t="s">
        <v>4679</v>
      </c>
      <c r="G1145" s="276">
        <v>70</v>
      </c>
      <c r="H1145" s="283">
        <v>500</v>
      </c>
      <c r="I1145" s="246">
        <v>11</v>
      </c>
      <c r="J1145" s="246">
        <v>2</v>
      </c>
      <c r="K1145" s="247" t="s">
        <v>4681</v>
      </c>
      <c r="L1145" s="248">
        <v>84018</v>
      </c>
      <c r="M1145" s="249">
        <f>15*(LEFT(TEXT($L1145,"000000"),2)+(MID(TEXT($L1145,"000000"),3,2)/60)+(RIGHT(TEXT($L1145,"000000"),2)/3600))</f>
        <v>130.07499999999999</v>
      </c>
      <c r="N1145" s="250">
        <v>-525500</v>
      </c>
      <c r="O1145" s="251">
        <f>IF($N1145&gt;0,(LEFT(TEXT($N1145,"000000"),2)+(MID(TEXT($N1145,"000000"),3,2)/60)+(RIGHT(TEXT($N1145,"000000"),2)/3600)),-(MID(TEXT($N1145,"000000"),2,2)+(MID(TEXT($N1145,"000000"),4,2)/60)+(RIGHT(TEXT($N1145,"000000"),2)/3600)))</f>
        <v>-52.916666666666664</v>
      </c>
      <c r="P1145" s="252" t="s">
        <v>980</v>
      </c>
      <c r="Q1145" s="253" t="s">
        <v>3375</v>
      </c>
      <c r="R1145" s="247" t="s">
        <v>7397</v>
      </c>
      <c r="S1145" s="272" t="s">
        <v>3293</v>
      </c>
      <c r="T1145" s="273">
        <v>2.6</v>
      </c>
      <c r="U1145" s="274"/>
      <c r="V1145" s="280"/>
      <c r="W1145" s="244"/>
      <c r="X1145" s="244"/>
      <c r="Y1145" s="362"/>
      <c r="Z1145" s="257">
        <f>altaz(J2000_Bas,$O1145,$M1145,DecLat,DecLong,1)</f>
        <v>-61.979267703436591</v>
      </c>
      <c r="AA1145" s="257">
        <f>altaz((J2000_Bas+(2*0.04167)),$O1145,$M1145,DecLat,DecLong,1)</f>
        <v>-67.650999835687287</v>
      </c>
      <c r="AB1145" s="257">
        <f>altaz((J2000_Bas+(4*0.04167)),$O1145,$M1145,DecLat,DecLong,1)</f>
        <v>-55.945419613151699</v>
      </c>
      <c r="AC1145" s="257">
        <f>altaz((J2000_Bas+(6*0.04167)),$O1145,$M1145,DecLat,DecLong,1)</f>
        <v>-38.287223615712655</v>
      </c>
      <c r="AD1145" s="258">
        <f>1+ transit((J2000_Bas-1),$O1145,$M1145,DecLat,DecLong)/360 + (GMTOffset/24) + (IF(DST="Y", 1, 0)/24)</f>
        <v>1.354219368942208</v>
      </c>
      <c r="AE1145" s="259">
        <f>DATE(2001,9,21)+(M1145/360)*365 - (360*((DecLong/360)- (GMTOffset/24) ))</f>
        <v>37291.881597222222</v>
      </c>
      <c r="AF1145" s="260">
        <f>IF(DecLat&gt;0,IF((90 - (DecLat-O1145))&gt;90, (90 - (O1145-DecLat)), (90 - (DecLat-O1145))),IF((90 + (DecLat-O1145))&gt;90, (90 + (O1145-DecLat)), (90 + (DecLat-O1145))))</f>
        <v>6.0833333333333428</v>
      </c>
      <c r="AG1145" s="257">
        <f>angularseperation(MoonRA,MoonDec,$M1145,$O1145)</f>
        <v>84.169855400123367</v>
      </c>
      <c r="AH1145" s="261">
        <f ca="1">MIN(100,IF($O$5&gt;80,0+30*($AG1145/100),IF($O$5&gt;70,0+50*($AG1145/100),IF($O$5&gt;60,5+50*($AG1145/100),IF($O$5&gt;50,10+60*($AG1145/100),IF($O$5&gt;40,15+70*($AG1145/100),IF($O$5&gt;30,20+70*($AG1145/100),IF($O$5&gt;20,40+55*($AG1145/100),(80+(20-$O$5)+30*($AG1145/100))))))))))</f>
        <v>100</v>
      </c>
      <c r="AI1145" s="262"/>
      <c r="AJ1145" s="263">
        <v>2391</v>
      </c>
      <c r="AK1145" s="263"/>
      <c r="AL1145" s="263"/>
      <c r="AM1145" s="264">
        <v>85</v>
      </c>
      <c r="AN1145" s="263"/>
      <c r="AO1145" s="263"/>
      <c r="AP1145" s="265"/>
      <c r="AQ1145" s="266"/>
      <c r="AR1145" s="267"/>
      <c r="AS1145" s="263"/>
      <c r="AT1145" s="263"/>
      <c r="AU1145" s="263"/>
      <c r="AV1145" s="264"/>
      <c r="AW1145" s="263"/>
      <c r="AX1145" s="263"/>
      <c r="AY1145" s="263"/>
      <c r="AZ1145" s="263"/>
      <c r="BA1145" s="263"/>
      <c r="BB1145" s="263"/>
      <c r="BC1145" s="263"/>
      <c r="BD1145" s="264"/>
      <c r="BE1145" s="263"/>
      <c r="BF1145" s="263"/>
      <c r="BG1145" s="263"/>
      <c r="BH1145" s="263"/>
      <c r="BI1145" s="263"/>
      <c r="BJ1145" s="404">
        <f>altaz(J2000_Bas,$O1145,$M1145,DecLat,DecLong,2)</f>
        <v>211.56909640902018</v>
      </c>
      <c r="BK1145" s="378" t="s">
        <v>1203</v>
      </c>
      <c r="BL1145" s="379">
        <f>IF((2*G1145)/60&lt;0.2,0.2,(2*G1145)/60)</f>
        <v>2.3333333333333335</v>
      </c>
      <c r="BM1145" s="380">
        <f>MOD((50000+AD1145-$B$3+(0/24)),1)</f>
        <v>0.56958629864675459</v>
      </c>
      <c r="BN1145" s="381"/>
      <c r="BO1145" s="382">
        <v>1139</v>
      </c>
    </row>
    <row r="1146" spans="1:67" s="24" customFormat="1" ht="15" customHeight="1" x14ac:dyDescent="0.25">
      <c r="A1146" s="288" t="s">
        <v>1204</v>
      </c>
      <c r="B1146" s="241" t="str">
        <f>HYPERLINK(CONCATENATE($AT$3,BK1146,$AU$3),$AV$3)</f>
        <v>S</v>
      </c>
      <c r="C1146" s="242" t="str">
        <f>HYPERLINK(CONCATENATE($AT$4,BK1146,$AU$4,BL1146),$AV$4)</f>
        <v>A</v>
      </c>
      <c r="D1146" s="243" t="s">
        <v>5638</v>
      </c>
      <c r="E1146" s="244" t="s">
        <v>5337</v>
      </c>
      <c r="F1146" s="269" t="s">
        <v>3301</v>
      </c>
      <c r="G1146" s="270">
        <v>0.6</v>
      </c>
      <c r="H1146" s="283">
        <v>700</v>
      </c>
      <c r="I1146" s="246">
        <v>120</v>
      </c>
      <c r="J1146" s="246">
        <v>2</v>
      </c>
      <c r="K1146" s="247" t="s">
        <v>8616</v>
      </c>
      <c r="L1146" s="248">
        <v>90435</v>
      </c>
      <c r="M1146" s="249">
        <f>15*(LEFT(TEXT($L1146,"000000"),2)+(MID(TEXT($L1146,"000000"),3,2)/60)+(RIGHT(TEXT($L1146,"000000"),2)/3600))</f>
        <v>136.14583333333334</v>
      </c>
      <c r="N1146" s="250">
        <v>143541</v>
      </c>
      <c r="O1146" s="251">
        <f>IF($N1146&gt;0,(LEFT(TEXT($N1146,"000000"),2)+(MID(TEXT($N1146,"000000"),3,2)/60)+(RIGHT(TEXT($N1146,"000000"),2)/3600)),-(MID(TEXT($N1146,"000000"),2,2)+(MID(TEXT($N1146,"000000"),4,2)/60)+(RIGHT(TEXT($N1146,"000000"),2)/3600)))</f>
        <v>14.594722222222222</v>
      </c>
      <c r="P1146" s="252" t="s">
        <v>100</v>
      </c>
      <c r="Q1146" s="253"/>
      <c r="R1146" s="247" t="s">
        <v>3293</v>
      </c>
      <c r="S1146" s="272" t="s">
        <v>3293</v>
      </c>
      <c r="T1146" s="273">
        <v>14</v>
      </c>
      <c r="U1146" s="289">
        <v>20.990000000000002</v>
      </c>
      <c r="V1146" s="280"/>
      <c r="W1146" s="244"/>
      <c r="X1146" s="244"/>
      <c r="Y1146" s="362"/>
      <c r="Z1146" s="257">
        <f>altaz(J2000_Bas,$O1146,$M1146,DecLat,DecLong,1)</f>
        <v>-35.983849795448819</v>
      </c>
      <c r="AA1146" s="257">
        <f>altaz((J2000_Bas+(2*0.04167)),$O1146,$M1146,DecLat,DecLong,1)</f>
        <v>-44.405242908491367</v>
      </c>
      <c r="AB1146" s="257">
        <f>altaz((J2000_Bas+(4*0.04167)),$O1146,$M1146,DecLat,DecLong,1)</f>
        <v>-36.044162541172092</v>
      </c>
      <c r="AC1146" s="257">
        <f>altaz((J2000_Bas+(6*0.04167)),$O1146,$M1146,DecLat,DecLong,1)</f>
        <v>-16.474560042524256</v>
      </c>
      <c r="AD1146" s="258">
        <f>1+ transit((J2000_Bas-1),$O1146,$M1146,DecLat,DecLong)/360 + (GMTOffset/24) + (IF(DST="Y", 1, 0)/24)</f>
        <v>1.3710827931817915</v>
      </c>
      <c r="AE1146" s="259">
        <f>DATE(2001,9,21)+(M1146/360)*365 - (360*((DecLong/360)- (GMTOffset/24) ))</f>
        <v>37298.036747685182</v>
      </c>
      <c r="AF1146" s="260">
        <f>IF(DecLat&gt;0,IF((90 - (DecLat-O1146))&gt;90, (90 - (O1146-DecLat)), (90 - (DecLat-O1146))),IF((90 + (DecLat-O1146))&gt;90, (90 + (O1146-DecLat)), (90 + (DecLat-O1146))))</f>
        <v>73.594722222222231</v>
      </c>
      <c r="AG1146" s="257">
        <f>angularseperation(MoonRA,MoonDec,$M1146,$O1146)</f>
        <v>116.91790760551655</v>
      </c>
      <c r="AH1146" s="261">
        <f ca="1">MIN(100,IF($O$5&gt;80,0+30*($AG1146/100),IF($O$5&gt;70,0+50*($AG1146/100),IF($O$5&gt;60,5+50*($AG1146/100),IF($O$5&gt;50,10+60*($AG1146/100),IF($O$5&gt;40,15+70*($AG1146/100),IF($O$5&gt;30,20+70*($AG1146/100),IF($O$5&gt;20,40+55*($AG1146/100),(80+(20-$O$5)+30*($AG1146/100))))))))))</f>
        <v>100</v>
      </c>
      <c r="AI1146" s="262"/>
      <c r="AJ1146" s="263">
        <v>2431</v>
      </c>
      <c r="AK1146" s="263"/>
      <c r="AL1146" s="263"/>
      <c r="AM1146" s="264"/>
      <c r="AN1146" s="263"/>
      <c r="AO1146" s="263"/>
      <c r="AP1146" s="265"/>
      <c r="AQ1146" s="266">
        <v>4756</v>
      </c>
      <c r="AR1146" s="267">
        <v>25476</v>
      </c>
      <c r="AS1146" s="263"/>
      <c r="AT1146" s="263"/>
      <c r="AU1146" s="263"/>
      <c r="AV1146" s="264"/>
      <c r="AW1146" s="263"/>
      <c r="AX1146" s="263"/>
      <c r="AY1146" s="263"/>
      <c r="AZ1146" s="263"/>
      <c r="BA1146" s="263"/>
      <c r="BB1146" s="263"/>
      <c r="BC1146" s="263"/>
      <c r="BD1146" s="264"/>
      <c r="BE1146" s="263"/>
      <c r="BF1146" s="263"/>
      <c r="BG1146" s="263"/>
      <c r="BH1146" s="263"/>
      <c r="BI1146" s="263"/>
      <c r="BJ1146" s="404">
        <f>altaz(J2000_Bas,$O1146,$M1146,DecLat,DecLong,2)</f>
        <v>323.09027975100889</v>
      </c>
      <c r="BK1146" s="378" t="s">
        <v>1204</v>
      </c>
      <c r="BL1146" s="379">
        <f>IF((2*G1146)/60&lt;0.2,0.2,(2*G1146)/60)</f>
        <v>0.2</v>
      </c>
      <c r="BM1146" s="380">
        <f>MOD((50000+AD1146-$B$3+(0/24)),1)</f>
        <v>0.58644972288311692</v>
      </c>
      <c r="BN1146" s="382" t="s">
        <v>9282</v>
      </c>
      <c r="BO1146" s="382">
        <v>1140</v>
      </c>
    </row>
    <row r="1147" spans="1:67" s="24" customFormat="1" ht="15" customHeight="1" x14ac:dyDescent="0.25">
      <c r="A1147" s="288" t="s">
        <v>3241</v>
      </c>
      <c r="B1147" s="241" t="str">
        <f>HYPERLINK(CONCATENATE($AT$3,BK1147,$AU$3),$AV$3)</f>
        <v>S</v>
      </c>
      <c r="C1147" s="242" t="str">
        <f>HYPERLINK(CONCATENATE($AT$4,BK1147,$AU$4,BL1147),$AV$4)</f>
        <v>A</v>
      </c>
      <c r="D1147" s="243" t="s">
        <v>5638</v>
      </c>
      <c r="E1147" s="244" t="s">
        <v>5192</v>
      </c>
      <c r="F1147" s="269" t="s">
        <v>8914</v>
      </c>
      <c r="G1147" s="273">
        <v>6</v>
      </c>
      <c r="H1147" s="283">
        <v>76.423500000000004</v>
      </c>
      <c r="I1147" s="246">
        <v>140</v>
      </c>
      <c r="J1147" s="246">
        <v>3</v>
      </c>
      <c r="K1147" s="247" t="s">
        <v>8042</v>
      </c>
      <c r="L1147" s="248">
        <v>92301</v>
      </c>
      <c r="M1147" s="249">
        <f>15*(LEFT(TEXT($L1147,"000000"),2)+(MID(TEXT($L1147,"000000"),3,2)/60)+(RIGHT(TEXT($L1147,"000000"),2)/3600))</f>
        <v>140.75416666666663</v>
      </c>
      <c r="N1147" s="250">
        <v>-322659</v>
      </c>
      <c r="O1147" s="251">
        <f>IF($N1147&gt;0,(LEFT(TEXT($N1147,"000000"),2)+(MID(TEXT($N1147,"000000"),3,2)/60)+(RIGHT(TEXT($N1147,"000000"),2)/3600)),-(MID(TEXT($N1147,"000000"),2,2)+(MID(TEXT($N1147,"000000"),4,2)/60)+(RIGHT(TEXT($N1147,"000000"),2)/3600)))</f>
        <v>-32.449722222222221</v>
      </c>
      <c r="P1147" s="252" t="s">
        <v>96</v>
      </c>
      <c r="Q1147" s="253"/>
      <c r="R1147" s="277" t="s">
        <v>3293</v>
      </c>
      <c r="S1147" s="272" t="s">
        <v>3293</v>
      </c>
      <c r="T1147" s="273">
        <v>11.1</v>
      </c>
      <c r="U1147" s="289">
        <v>21.490000000000002</v>
      </c>
      <c r="V1147" s="280">
        <v>80</v>
      </c>
      <c r="W1147" s="244"/>
      <c r="X1147" s="244"/>
      <c r="Y1147" s="362"/>
      <c r="Z1147" s="257">
        <f>altaz(J2000_Bas,$O1147,$M1147,DecLat,DecLong,1)</f>
        <v>-60.535479523596969</v>
      </c>
      <c r="AA1147" s="257">
        <f>altaz((J2000_Bas+(2*0.04167)),$O1147,$M1147,DecLat,DecLong,1)</f>
        <v>-85.774394830005591</v>
      </c>
      <c r="AB1147" s="257">
        <f>altaz((J2000_Bas+(4*0.04167)),$O1147,$M1147,DecLat,DecLong,1)</f>
        <v>-68.382535676785764</v>
      </c>
      <c r="AC1147" s="257">
        <f>altaz((J2000_Bas+(6*0.04167)),$O1147,$M1147,DecLat,DecLong,1)</f>
        <v>-43.316361397099023</v>
      </c>
      <c r="AD1147" s="258">
        <f>1+ transit((J2000_Bas-1),$O1147,$M1147,DecLat,DecLong)/360 + (GMTOffset/24) + (IF(DST="Y", 1, 0)/24)</f>
        <v>1.3838837178276246</v>
      </c>
      <c r="AE1147" s="259">
        <f>DATE(2001,9,21)+(M1147/360)*365 - (360*((DecLong/360)- (GMTOffset/24) ))</f>
        <v>37302.709085648145</v>
      </c>
      <c r="AF1147" s="260">
        <f>IF(DecLat&gt;0,IF((90 - (DecLat-O1147))&gt;90, (90 - (O1147-DecLat)), (90 - (DecLat-O1147))),IF((90 + (DecLat-O1147))&gt;90, (90 + (O1147-DecLat)), (90 + (DecLat-O1147))))</f>
        <v>26.550277777777779</v>
      </c>
      <c r="AG1147" s="257">
        <f>angularseperation(MoonRA,MoonDec,$M1147,$O1147)</f>
        <v>89.653470904120269</v>
      </c>
      <c r="AH1147" s="261">
        <f ca="1">MIN(100,IF($O$5&gt;80,0+30*($AG1147/100),IF($O$5&gt;70,0+50*($AG1147/100),IF($O$5&gt;60,5+50*($AG1147/100),IF($O$5&gt;50,10+60*($AG1147/100),IF($O$5&gt;40,15+70*($AG1147/100),IF($O$5&gt;30,20+70*($AG1147/100),IF($O$5&gt;20,40+55*($AG1147/100),(80+(20-$O$5)+30*($AG1147/100))))))))))</f>
        <v>100</v>
      </c>
      <c r="AI1147" s="263"/>
      <c r="AJ1147" s="263">
        <v>2469</v>
      </c>
      <c r="AK1147" s="263"/>
      <c r="AL1147" s="263"/>
      <c r="AM1147" s="264"/>
      <c r="AN1147" s="263"/>
      <c r="AO1147" s="263"/>
      <c r="AP1147" s="265"/>
      <c r="AQ1147" s="265"/>
      <c r="AR1147" s="285">
        <v>26561</v>
      </c>
      <c r="AS1147" s="263"/>
      <c r="AT1147" s="263"/>
      <c r="AU1147" s="263"/>
      <c r="AV1147" s="264"/>
      <c r="AW1147" s="263"/>
      <c r="AX1147" s="263"/>
      <c r="AY1147" s="263"/>
      <c r="AZ1147" s="263"/>
      <c r="BA1147" s="263"/>
      <c r="BB1147" s="263"/>
      <c r="BC1147" s="263"/>
      <c r="BD1147" s="264"/>
      <c r="BE1147" s="263"/>
      <c r="BF1147" s="263"/>
      <c r="BG1147" s="263"/>
      <c r="BH1147" s="263"/>
      <c r="BI1147" s="263"/>
      <c r="BJ1147" s="404">
        <f>altaz(J2000_Bas,$O1147,$M1147,DecLat,DecLong,2)</f>
        <v>257.93403150617877</v>
      </c>
      <c r="BK1147" s="378" t="s">
        <v>3241</v>
      </c>
      <c r="BL1147" s="379">
        <f>IF((2*G1147)/60&lt;0.2,0.2,(2*G1147)/60)</f>
        <v>0.2</v>
      </c>
      <c r="BM1147" s="380">
        <f>MOD((50000+AD1147-$B$3+(0/24)),1)</f>
        <v>0.59925064753042534</v>
      </c>
      <c r="BN1147" s="381"/>
      <c r="BO1147" s="382">
        <v>1141</v>
      </c>
    </row>
    <row r="1148" spans="1:67" s="24" customFormat="1" ht="15" customHeight="1" x14ac:dyDescent="0.25">
      <c r="A1148" s="298" t="s">
        <v>1205</v>
      </c>
      <c r="B1148" s="241" t="str">
        <f>HYPERLINK(CONCATENATE($AT$3,BK1148,$AU$3),$AV$3)</f>
        <v>S</v>
      </c>
      <c r="C1148" s="242" t="str">
        <f>HYPERLINK(CONCATENATE($AT$4,BK1148,$AU$4,BL1148),$AV$4)</f>
        <v>A</v>
      </c>
      <c r="D1148" s="243" t="s">
        <v>5335</v>
      </c>
      <c r="E1148" s="244" t="s">
        <v>5185</v>
      </c>
      <c r="F1148" s="269" t="s">
        <v>4922</v>
      </c>
      <c r="G1148" s="276">
        <v>18</v>
      </c>
      <c r="H1148" s="283">
        <v>4250</v>
      </c>
      <c r="I1148" s="246">
        <v>24</v>
      </c>
      <c r="J1148" s="246">
        <v>2</v>
      </c>
      <c r="K1148" s="247" t="s">
        <v>6162</v>
      </c>
      <c r="L1148" s="248">
        <v>92724</v>
      </c>
      <c r="M1148" s="249">
        <f>15*(LEFT(TEXT($L1148,"000000"),2)+(MID(TEXT($L1148,"000000"),3,2)/60)+(RIGHT(TEXT($L1148,"000000"),2)/3600))</f>
        <v>141.84999999999997</v>
      </c>
      <c r="N1148" s="286">
        <v>-565700</v>
      </c>
      <c r="O1148" s="251">
        <f>IF($N1148&gt;0,(LEFT(TEXT($N1148,"000000"),2)+(MID(TEXT($N1148,"000000"),3,2)/60)+(RIGHT(TEXT($N1148,"000000"),2)/3600)),-(MID(TEXT($N1148,"000000"),2,2)+(MID(TEXT($N1148,"000000"),4,2)/60)+(RIGHT(TEXT($N1148,"000000"),2)/3600)))</f>
        <v>-56.95</v>
      </c>
      <c r="P1148" s="252" t="s">
        <v>980</v>
      </c>
      <c r="Q1148" s="253"/>
      <c r="R1148" s="247" t="s">
        <v>3293</v>
      </c>
      <c r="S1148" s="272" t="s">
        <v>3293</v>
      </c>
      <c r="T1148" s="273">
        <v>7.4</v>
      </c>
      <c r="U1148" s="274"/>
      <c r="V1148" s="280"/>
      <c r="W1148" s="244"/>
      <c r="X1148" s="244"/>
      <c r="Y1148" s="362"/>
      <c r="Z1148" s="257">
        <f>altaz(J2000_Bas,$O1148,$M1148,DecLat,DecLong,1)</f>
        <v>-54.157264750851112</v>
      </c>
      <c r="AA1148" s="257">
        <f>altaz((J2000_Bas+(2*0.04167)),$O1148,$M1148,DecLat,DecLong,1)</f>
        <v>-63.742348657164406</v>
      </c>
      <c r="AB1148" s="257">
        <f>altaz((J2000_Bas+(4*0.04167)),$O1148,$M1148,DecLat,DecLong,1)</f>
        <v>-59.057824828607799</v>
      </c>
      <c r="AC1148" s="257">
        <f>altaz((J2000_Bas+(6*0.04167)),$O1148,$M1148,DecLat,DecLong,1)</f>
        <v>-44.731720610616421</v>
      </c>
      <c r="AD1148" s="258">
        <f>1+ transit((J2000_Bas-1),$O1148,$M1148,DecLat,DecLong)/360 + (GMTOffset/24) + (IF(DST="Y", 1, 0)/24)</f>
        <v>1.3869276990047079</v>
      </c>
      <c r="AE1148" s="259">
        <f>DATE(2001,9,21)+(M1148/360)*365 - (360*((DecLong/360)- (GMTOffset/24) ))</f>
        <v>37303.820138888892</v>
      </c>
      <c r="AF1148" s="260">
        <f>IF(DecLat&gt;0,IF((90 - (DecLat-O1148))&gt;90, (90 - (O1148-DecLat)), (90 - (DecLat-O1148))),IF((90 + (DecLat-O1148))&gt;90, (90 + (O1148-DecLat)), (90 + (DecLat-O1148))))</f>
        <v>2.0499999999999972</v>
      </c>
      <c r="AG1148" s="257">
        <f>angularseperation(MoonRA,MoonDec,$M1148,$O1148)</f>
        <v>76.320533194620339</v>
      </c>
      <c r="AH1148" s="261">
        <f ca="1">MIN(100,IF($O$5&gt;80,0+30*($AG1148/100),IF($O$5&gt;70,0+50*($AG1148/100),IF($O$5&gt;60,5+50*($AG1148/100),IF($O$5&gt;50,10+60*($AG1148/100),IF($O$5&gt;40,15+70*($AG1148/100),IF($O$5&gt;30,20+70*($AG1148/100),IF($O$5&gt;20,40+55*($AG1148/100),(80+(20-$O$5)+30*($AG1148/100))))))))))</f>
        <v>100</v>
      </c>
      <c r="AI1148" s="262"/>
      <c r="AJ1148" s="262">
        <v>2488</v>
      </c>
      <c r="AK1148" s="262"/>
      <c r="AL1148" s="263"/>
      <c r="AM1148" s="264"/>
      <c r="AN1148" s="263"/>
      <c r="AO1148" s="263"/>
      <c r="AP1148" s="265"/>
      <c r="AQ1148" s="266"/>
      <c r="AR1148" s="267"/>
      <c r="AS1148" s="263"/>
      <c r="AT1148" s="263"/>
      <c r="AU1148" s="263"/>
      <c r="AV1148" s="264"/>
      <c r="AW1148" s="263"/>
      <c r="AX1148" s="263"/>
      <c r="AY1148" s="263"/>
      <c r="AZ1148" s="263"/>
      <c r="BA1148" s="263"/>
      <c r="BB1148" s="263"/>
      <c r="BC1148" s="263"/>
      <c r="BD1148" s="264"/>
      <c r="BE1148" s="263">
        <v>50</v>
      </c>
      <c r="BF1148" s="263"/>
      <c r="BG1148" s="263"/>
      <c r="BH1148" s="263"/>
      <c r="BI1148" s="263"/>
      <c r="BJ1148" s="404">
        <f>altaz(J2000_Bas,$O1148,$M1148,DecLat,DecLong,2)</f>
        <v>213.05417737411119</v>
      </c>
      <c r="BK1148" s="378" t="s">
        <v>1205</v>
      </c>
      <c r="BL1148" s="379">
        <f>IF((2*G1148)/60&lt;0.2,0.2,(2*G1148)/60)</f>
        <v>0.6</v>
      </c>
      <c r="BM1148" s="380">
        <f>MOD((50000+AD1148-$B$3+(0/24)),1)</f>
        <v>0.60229462871211581</v>
      </c>
      <c r="BN1148" s="381"/>
      <c r="BO1148" s="382">
        <v>1142</v>
      </c>
    </row>
    <row r="1149" spans="1:67" s="24" customFormat="1" ht="15" customHeight="1" x14ac:dyDescent="0.25">
      <c r="A1149" s="288" t="s">
        <v>1206</v>
      </c>
      <c r="B1149" s="241" t="str">
        <f>HYPERLINK(CONCATENATE($AT$3,BK1149,$AU$3),$AV$3)</f>
        <v>S</v>
      </c>
      <c r="C1149" s="242" t="str">
        <f>HYPERLINK(CONCATENATE($AT$4,BK1149,$AU$4,BL1149),$AV$4)</f>
        <v>A</v>
      </c>
      <c r="D1149" s="243" t="s">
        <v>5638</v>
      </c>
      <c r="E1149" s="244" t="s">
        <v>5192</v>
      </c>
      <c r="F1149" s="269" t="s">
        <v>3306</v>
      </c>
      <c r="G1149" s="270">
        <v>0.7</v>
      </c>
      <c r="H1149" s="283">
        <v>691.54317000000003</v>
      </c>
      <c r="I1149" s="246">
        <v>130</v>
      </c>
      <c r="J1149" s="246">
        <v>2</v>
      </c>
      <c r="K1149" s="247" t="s">
        <v>8468</v>
      </c>
      <c r="L1149" s="248">
        <v>94104</v>
      </c>
      <c r="M1149" s="249">
        <f>15*(LEFT(TEXT($L1149,"000000"),2)+(MID(TEXT($L1149,"000000"),3,2)/60)+(RIGHT(TEXT($L1149,"000000"),2)/3600))</f>
        <v>145.26666666666668</v>
      </c>
      <c r="N1149" s="286">
        <v>344334</v>
      </c>
      <c r="O1149" s="251">
        <f>IF($N1149&gt;0,(LEFT(TEXT($N1149,"000000"),2)+(MID(TEXT($N1149,"000000"),3,2)/60)+(RIGHT(TEXT($N1149,"000000"),2)/3600)),-(MID(TEXT($N1149,"000000"),2,2)+(MID(TEXT($N1149,"000000"),4,2)/60)+(RIGHT(TEXT($N1149,"000000"),2)/3600)))</f>
        <v>34.726111111111116</v>
      </c>
      <c r="P1149" s="252" t="s">
        <v>1208</v>
      </c>
      <c r="Q1149" s="253" t="s">
        <v>1207</v>
      </c>
      <c r="R1149" s="277" t="s">
        <v>3293</v>
      </c>
      <c r="S1149" s="272" t="s">
        <v>3293</v>
      </c>
      <c r="T1149" s="273">
        <v>15</v>
      </c>
      <c r="U1149" s="289">
        <v>21.89</v>
      </c>
      <c r="V1149" s="280">
        <v>70</v>
      </c>
      <c r="W1149" s="244"/>
      <c r="X1149" s="244"/>
      <c r="Y1149" s="362"/>
      <c r="Z1149" s="257">
        <f>altaz(J2000_Bas,$O1149,$M1149,DecLat,DecLong,1)</f>
        <v>-14.598914785336689</v>
      </c>
      <c r="AA1149" s="257">
        <f>altaz((J2000_Bas+(2*0.04167)),$O1149,$M1149,DecLat,DecLong,1)</f>
        <v>-23.708075203170502</v>
      </c>
      <c r="AB1149" s="257">
        <f>altaz((J2000_Bas+(4*0.04167)),$O1149,$M1149,DecLat,DecLong,1)</f>
        <v>-21.390620653112418</v>
      </c>
      <c r="AC1149" s="257">
        <f>altaz((J2000_Bas+(6*0.04167)),$O1149,$M1149,DecLat,DecLong,1)</f>
        <v>-8.6302528326347883</v>
      </c>
      <c r="AD1149" s="258">
        <f>1+ transit((J2000_Bas-1),$O1149,$M1149,DecLat,DecLong)/360 + (GMTOffset/24) + (IF(DST="Y", 1, 0)/24)</f>
        <v>1.3964184387963747</v>
      </c>
      <c r="AE1149" s="259">
        <f>DATE(2001,9,21)+(M1149/360)*365 - (360*((DecLong/360)- (GMTOffset/24) ))</f>
        <v>37307.284259259257</v>
      </c>
      <c r="AF1149" s="260">
        <f>IF(DecLat&gt;0,IF((90 - (DecLat-O1149))&gt;90, (90 - (O1149-DecLat)), (90 - (DecLat-O1149))),IF((90 + (DecLat-O1149))&gt;90, (90 + (O1149-DecLat)), (90 + (DecLat-O1149))))</f>
        <v>86.273888888888877</v>
      </c>
      <c r="AG1149" s="257">
        <f>angularseperation(MoonRA,MoonDec,$M1149,$O1149)</f>
        <v>115.85424425485824</v>
      </c>
      <c r="AH1149" s="261">
        <f ca="1">MIN(100,IF($O$5&gt;80,0+30*($AG1149/100),IF($O$5&gt;70,0+50*($AG1149/100),IF($O$5&gt;60,5+50*($AG1149/100),IF($O$5&gt;50,10+60*($AG1149/100),IF($O$5&gt;40,15+70*($AG1149/100),IF($O$5&gt;30,20+70*($AG1149/100),IF($O$5&gt;20,40+55*($AG1149/100),(80+(20-$O$5)+30*($AG1149/100))))))))))</f>
        <v>100</v>
      </c>
      <c r="AI1149" s="263"/>
      <c r="AJ1149" s="263">
        <v>2497</v>
      </c>
      <c r="AK1149" s="263"/>
      <c r="AL1149" s="263"/>
      <c r="AM1149" s="264"/>
      <c r="AN1149" s="263"/>
      <c r="AO1149" s="263"/>
      <c r="AP1149" s="265"/>
      <c r="AQ1149" s="265"/>
      <c r="AR1149" s="358">
        <v>165538</v>
      </c>
      <c r="AS1149" s="263"/>
      <c r="AT1149" s="263"/>
      <c r="AU1149" s="263"/>
      <c r="AV1149" s="264"/>
      <c r="AW1149" s="263"/>
      <c r="AX1149" s="263"/>
      <c r="AY1149" s="263"/>
      <c r="AZ1149" s="263"/>
      <c r="BA1149" s="263"/>
      <c r="BB1149" s="263"/>
      <c r="BC1149" s="263"/>
      <c r="BD1149" s="264"/>
      <c r="BE1149" s="263"/>
      <c r="BF1149" s="263"/>
      <c r="BG1149" s="263"/>
      <c r="BH1149" s="263"/>
      <c r="BI1149" s="263"/>
      <c r="BJ1149" s="404">
        <f>altaz(J2000_Bas,$O1149,$M1149,DecLat,DecLong,2)</f>
        <v>327.48495212668035</v>
      </c>
      <c r="BK1149" s="378" t="s">
        <v>1206</v>
      </c>
      <c r="BL1149" s="379">
        <f>IF((2*G1149)/60&lt;0.2,0.2,(2*G1149)/60)</f>
        <v>0.2</v>
      </c>
      <c r="BM1149" s="380">
        <f>MOD((50000+AD1149-$B$3+(0/24)),1)</f>
        <v>0.61178536849911325</v>
      </c>
      <c r="BN1149" s="381" t="s">
        <v>9222</v>
      </c>
      <c r="BO1149" s="382">
        <v>1143</v>
      </c>
    </row>
    <row r="1150" spans="1:67" s="24" customFormat="1" ht="15" customHeight="1" x14ac:dyDescent="0.25">
      <c r="A1150" s="288" t="s">
        <v>1209</v>
      </c>
      <c r="B1150" s="241" t="str">
        <f>HYPERLINK(CONCATENATE($AT$3,BK1150,$AU$3),$AV$3)</f>
        <v>S</v>
      </c>
      <c r="C1150" s="242" t="str">
        <f>HYPERLINK(CONCATENATE($AT$4,BK1150,$AU$4,BL1150),$AV$4)</f>
        <v>A</v>
      </c>
      <c r="D1150" s="243" t="s">
        <v>5638</v>
      </c>
      <c r="E1150" s="244" t="s">
        <v>5337</v>
      </c>
      <c r="F1150" s="269" t="s">
        <v>3316</v>
      </c>
      <c r="G1150" s="273">
        <v>1</v>
      </c>
      <c r="H1150" s="283">
        <v>85</v>
      </c>
      <c r="I1150" s="246">
        <v>25</v>
      </c>
      <c r="J1150" s="246">
        <v>3</v>
      </c>
      <c r="K1150" s="247" t="s">
        <v>8522</v>
      </c>
      <c r="L1150" s="248">
        <v>95620</v>
      </c>
      <c r="M1150" s="249">
        <f>15*(LEFT(TEXT($L1150,"000000"),2)+(MID(TEXT($L1150,"000000"),3,2)/60)+(RIGHT(TEXT($L1150,"000000"),2)/3600))</f>
        <v>149.08333333333334</v>
      </c>
      <c r="N1150" s="250">
        <v>271340</v>
      </c>
      <c r="O1150" s="251">
        <f>IF($N1150&gt;0,(LEFT(TEXT($N1150,"000000"),2)+(MID(TEXT($N1150,"000000"),3,2)/60)+(RIGHT(TEXT($N1150,"000000"),2)/3600)),-(MID(TEXT($N1150,"000000"),2,2)+(MID(TEXT($N1150,"000000"),4,2)/60)+(RIGHT(TEXT($N1150,"000000"),2)/3600)))</f>
        <v>27.227777777777778</v>
      </c>
      <c r="P1150" s="252" t="s">
        <v>183</v>
      </c>
      <c r="Q1150" s="253"/>
      <c r="R1150" s="247" t="s">
        <v>3293</v>
      </c>
      <c r="S1150" s="272" t="s">
        <v>3293</v>
      </c>
      <c r="T1150" s="273">
        <v>13.4</v>
      </c>
      <c r="U1150" s="289">
        <v>21.19</v>
      </c>
      <c r="V1150" s="280"/>
      <c r="W1150" s="244"/>
      <c r="X1150" s="244"/>
      <c r="Y1150" s="362"/>
      <c r="Z1150" s="257">
        <f>altaz(J2000_Bas,$O1150,$M1150,DecLat,DecLong,1)</f>
        <v>-18.726544994074583</v>
      </c>
      <c r="AA1150" s="257">
        <f>altaz((J2000_Bas+(2*0.04167)),$O1150,$M1150,DecLat,DecLong,1)</f>
        <v>-30.465558554224458</v>
      </c>
      <c r="AB1150" s="257">
        <f>altaz((J2000_Bas+(4*0.04167)),$O1150,$M1150,DecLat,DecLong,1)</f>
        <v>-29.531044145949171</v>
      </c>
      <c r="AC1150" s="257">
        <f>altaz((J2000_Bas+(6*0.04167)),$O1150,$M1150,DecLat,DecLong,1)</f>
        <v>-16.408377668110536</v>
      </c>
      <c r="AD1150" s="258">
        <f>1+ transit((J2000_Bas-1),$O1150,$M1150,DecLat,DecLong)/360 + (GMTOffset/24) + (IF(DST="Y", 1, 0)/24)</f>
        <v>1.4070202895880415</v>
      </c>
      <c r="AE1150" s="259">
        <f>DATE(2001,9,21)+(M1150/360)*365 - (360*((DecLong/360)- (GMTOffset/24) ))</f>
        <v>37311.153935185182</v>
      </c>
      <c r="AF1150" s="260">
        <f>IF(DecLat&gt;0,IF((90 - (DecLat-O1150))&gt;90, (90 - (O1150-DecLat)), (90 - (DecLat-O1150))),IF((90 + (DecLat-O1150))&gt;90, (90 + (O1150-DecLat)), (90 + (DecLat-O1150))))</f>
        <v>86.227777777777774</v>
      </c>
      <c r="AG1150" s="257">
        <f>angularseperation(MoonRA,MoonDec,$M1150,$O1150)</f>
        <v>110.36160890970805</v>
      </c>
      <c r="AH1150" s="261">
        <f ca="1">MIN(100,IF($O$5&gt;80,0+30*($AG1150/100),IF($O$5&gt;70,0+50*($AG1150/100),IF($O$5&gt;60,5+50*($AG1150/100),IF($O$5&gt;50,10+60*($AG1150/100),IF($O$5&gt;40,15+70*($AG1150/100),IF($O$5&gt;30,20+70*($AG1150/100),IF($O$5&gt;20,40+55*($AG1150/100),(80+(20-$O$5)+30*($AG1150/100))))))))))</f>
        <v>100</v>
      </c>
      <c r="AI1150" s="262"/>
      <c r="AJ1150" s="263">
        <v>2520</v>
      </c>
      <c r="AK1150" s="263"/>
      <c r="AL1150" s="263"/>
      <c r="AM1150" s="264"/>
      <c r="AN1150" s="263"/>
      <c r="AO1150" s="263"/>
      <c r="AP1150" s="265"/>
      <c r="AQ1150" s="266">
        <v>5335</v>
      </c>
      <c r="AR1150" s="267">
        <v>28682</v>
      </c>
      <c r="AS1150" s="263"/>
      <c r="AT1150" s="263"/>
      <c r="AU1150" s="263"/>
      <c r="AV1150" s="264"/>
      <c r="AW1150" s="263"/>
      <c r="AX1150" s="263"/>
      <c r="AY1150" s="263"/>
      <c r="AZ1150" s="263"/>
      <c r="BA1150" s="263"/>
      <c r="BB1150" s="263"/>
      <c r="BC1150" s="263"/>
      <c r="BD1150" s="264"/>
      <c r="BE1150" s="263"/>
      <c r="BF1150" s="263"/>
      <c r="BG1150" s="263"/>
      <c r="BH1150" s="263"/>
      <c r="BI1150" s="263"/>
      <c r="BJ1150" s="404">
        <f>altaz(J2000_Bas,$O1150,$M1150,DecLat,DecLong,2)</f>
        <v>320.11163946334358</v>
      </c>
      <c r="BK1150" s="378" t="s">
        <v>1209</v>
      </c>
      <c r="BL1150" s="379">
        <f>IF((2*G1150)/60&lt;0.2,0.2,(2*G1150)/60)</f>
        <v>0.2</v>
      </c>
      <c r="BM1150" s="380">
        <f>MOD((50000+AD1150-$B$3+(0/24)),1)</f>
        <v>0.62238721929315943</v>
      </c>
      <c r="BN1150" s="381" t="s">
        <v>9281</v>
      </c>
      <c r="BO1150" s="382">
        <v>1144</v>
      </c>
    </row>
    <row r="1151" spans="1:67" s="24" customFormat="1" ht="15" customHeight="1" x14ac:dyDescent="0.25">
      <c r="A1151" s="288" t="s">
        <v>1211</v>
      </c>
      <c r="B1151" s="241" t="str">
        <f>HYPERLINK(CONCATENATE($AT$3,BK1151,$AU$3),$AV$3)</f>
        <v>S</v>
      </c>
      <c r="C1151" s="242" t="str">
        <f>HYPERLINK(CONCATENATE($AT$4,BK1151,$AU$4,BL1151),$AV$4)</f>
        <v>A</v>
      </c>
      <c r="D1151" s="243" t="s">
        <v>5638</v>
      </c>
      <c r="E1151" s="244" t="s">
        <v>13</v>
      </c>
      <c r="F1151" s="269"/>
      <c r="G1151" s="276">
        <v>13</v>
      </c>
      <c r="H1151" s="283">
        <v>12</v>
      </c>
      <c r="I1151" s="246">
        <v>50</v>
      </c>
      <c r="J1151" s="246">
        <v>2</v>
      </c>
      <c r="K1151" s="247" t="s">
        <v>4682</v>
      </c>
      <c r="L1151" s="248">
        <v>102822</v>
      </c>
      <c r="M1151" s="249">
        <f>15*(LEFT(TEXT($L1151,"000000"),2)+(MID(TEXT($L1151,"000000"),3,2)/60)+(RIGHT(TEXT($L1151,"000000"),2)/3600))</f>
        <v>157.09166666666667</v>
      </c>
      <c r="N1151" s="250">
        <v>682449</v>
      </c>
      <c r="O1151" s="251">
        <f>IF($N1151&gt;0,(LEFT(TEXT($N1151,"000000"),2)+(MID(TEXT($N1151,"000000"),3,2)/60)+(RIGHT(TEXT($N1151,"000000"),2)/3600)),-(MID(TEXT($N1151,"000000"),2,2)+(MID(TEXT($N1151,"000000"),4,2)/60)+(RIGHT(TEXT($N1151,"000000"),2)/3600)))</f>
        <v>68.413611111111123</v>
      </c>
      <c r="P1151" s="252" t="s">
        <v>37</v>
      </c>
      <c r="Q1151" s="253" t="s">
        <v>1212</v>
      </c>
      <c r="R1151" s="247" t="s">
        <v>3293</v>
      </c>
      <c r="S1151" s="272" t="s">
        <v>3293</v>
      </c>
      <c r="T1151" s="273">
        <v>10.8</v>
      </c>
      <c r="U1151" s="289">
        <v>23.69</v>
      </c>
      <c r="V1151" s="280"/>
      <c r="W1151" s="244"/>
      <c r="X1151" s="244"/>
      <c r="Y1151" s="362"/>
      <c r="Z1151" s="257">
        <f>altaz(J2000_Bas,$O1151,$M1151,DecLat,DecLong,1)</f>
        <v>16.310171159992294</v>
      </c>
      <c r="AA1151" s="257">
        <f>altaz((J2000_Bas+(2*0.04167)),$O1151,$M1151,DecLat,DecLong,1)</f>
        <v>10.632853621556212</v>
      </c>
      <c r="AB1151" s="257">
        <f>altaz((J2000_Bas+(4*0.04167)),$O1151,$M1151,DecLat,DecLong,1)</f>
        <v>9.6431984450789159</v>
      </c>
      <c r="AC1151" s="257">
        <f>altaz((J2000_Bas+(6*0.04167)),$O1151,$M1151,DecLat,DecLong,1)</f>
        <v>13.556822015164236</v>
      </c>
      <c r="AD1151" s="258">
        <f>1+ transit((J2000_Bas-1),$O1151,$M1151,DecLat,DecLong)/360 + (GMTOffset/24) + (IF(DST="Y", 1, 0)/24)</f>
        <v>1.4292656577338747</v>
      </c>
      <c r="AE1151" s="259">
        <f>DATE(2001,9,21)+(M1151/360)*365 - (360*((DecLong/360)- (GMTOffset/24) ))</f>
        <v>37319.273495370369</v>
      </c>
      <c r="AF1151" s="260">
        <f>IF(DecLat&gt;0,IF((90 - (DecLat-O1151))&gt;90, (90 - (O1151-DecLat)), (90 - (DecLat-O1151))),IF((90 + (DecLat-O1151))&gt;90, (90 + (O1151-DecLat)), (90 + (DecLat-O1151))))</f>
        <v>52.586388888888877</v>
      </c>
      <c r="AG1151" s="257">
        <f>angularseperation(MoonRA,MoonDec,$M1151,$O1151)</f>
        <v>115.82697820539364</v>
      </c>
      <c r="AH1151" s="261">
        <f ca="1">MIN(100,IF($O$5&gt;80,0+30*($AG1151/100),IF($O$5&gt;70,0+50*($AG1151/100),IF($O$5&gt;60,5+50*($AG1151/100),IF($O$5&gt;50,10+60*($AG1151/100),IF($O$5&gt;40,15+70*($AG1151/100),IF($O$5&gt;30,20+70*($AG1151/100),IF($O$5&gt;20,40+55*($AG1151/100),(80+(20-$O$5)+30*($AG1151/100))))))))))</f>
        <v>100</v>
      </c>
      <c r="AI1151" s="262"/>
      <c r="AJ1151" s="263">
        <v>2574</v>
      </c>
      <c r="AK1151" s="263"/>
      <c r="AL1151" s="263"/>
      <c r="AM1151" s="264"/>
      <c r="AN1151" s="263"/>
      <c r="AO1151" s="263"/>
      <c r="AP1151" s="265"/>
      <c r="AQ1151" s="266">
        <v>5666</v>
      </c>
      <c r="AR1151" s="267">
        <v>30819</v>
      </c>
      <c r="AS1151" s="263"/>
      <c r="AT1151" s="263"/>
      <c r="AU1151" s="263"/>
      <c r="AV1151" s="264"/>
      <c r="AW1151" s="263"/>
      <c r="AX1151" s="263"/>
      <c r="AY1151" s="263"/>
      <c r="AZ1151" s="263"/>
      <c r="BA1151" s="263"/>
      <c r="BB1151" s="263"/>
      <c r="BC1151" s="263"/>
      <c r="BD1151" s="264"/>
      <c r="BE1151" s="263"/>
      <c r="BF1151" s="263"/>
      <c r="BG1151" s="263"/>
      <c r="BH1151" s="263"/>
      <c r="BI1151" s="263">
        <v>65</v>
      </c>
      <c r="BJ1151" s="404">
        <f>altaz(J2000_Bas,$O1151,$M1151,DecLat,DecLong,2)</f>
        <v>342.64577168925882</v>
      </c>
      <c r="BK1151" s="378" t="s">
        <v>1211</v>
      </c>
      <c r="BL1151" s="379">
        <f>IF((2*G1151)/60&lt;0.2,0.2,(2*G1151)/60)</f>
        <v>0.43333333333333335</v>
      </c>
      <c r="BM1151" s="380">
        <f>MOD((50000+AD1151-$B$3+(0/24)),1)</f>
        <v>0.6446325874348986</v>
      </c>
      <c r="BN1151" s="381"/>
      <c r="BO1151" s="382">
        <v>1145</v>
      </c>
    </row>
    <row r="1152" spans="1:67" s="24" customFormat="1" ht="15" customHeight="1" x14ac:dyDescent="0.25">
      <c r="A1152" s="298" t="s">
        <v>8621</v>
      </c>
      <c r="B1152" s="241" t="str">
        <f>HYPERLINK(CONCATENATE($AT$3,BK1152,$AU$3),$AV$3)</f>
        <v>S</v>
      </c>
      <c r="C1152" s="242" t="str">
        <f>HYPERLINK(CONCATENATE($AT$4,BK1152,$AU$4,BL1152),$AV$4)</f>
        <v>A</v>
      </c>
      <c r="D1152" s="243" t="s">
        <v>5335</v>
      </c>
      <c r="E1152" s="244" t="s">
        <v>5185</v>
      </c>
      <c r="F1152" s="269" t="s">
        <v>4897</v>
      </c>
      <c r="G1152" s="273">
        <v>8</v>
      </c>
      <c r="H1152" s="283">
        <v>7400</v>
      </c>
      <c r="I1152" s="246">
        <v>18</v>
      </c>
      <c r="J1152" s="246">
        <v>2</v>
      </c>
      <c r="K1152" s="247" t="s">
        <v>8622</v>
      </c>
      <c r="L1152" s="248">
        <v>102700</v>
      </c>
      <c r="M1152" s="249">
        <f>15*(LEFT(TEXT($L1152,"000000"),2)+(MID(TEXT($L1152,"000000"),3,2)/60)+(RIGHT(TEXT($L1152,"000000"),2)/3600))</f>
        <v>156.75</v>
      </c>
      <c r="N1152" s="286">
        <v>-573800</v>
      </c>
      <c r="O1152" s="251">
        <f>IF($N1152&gt;0,(LEFT(TEXT($N1152,"000000"),2)+(MID(TEXT($N1152,"000000"),3,2)/60)+(RIGHT(TEXT($N1152,"000000"),2)/3600)),-(MID(TEXT($N1152,"000000"),2,2)+(MID(TEXT($N1152,"000000"),4,2)/60)+(RIGHT(TEXT($N1152,"000000"),2)/3600)))</f>
        <v>-57.633333333333333</v>
      </c>
      <c r="P1152" s="252" t="s">
        <v>1000</v>
      </c>
      <c r="Q1152" s="253"/>
      <c r="R1152" s="247" t="s">
        <v>3293</v>
      </c>
      <c r="S1152" s="272" t="s">
        <v>3293</v>
      </c>
      <c r="T1152" s="273">
        <v>4.3</v>
      </c>
      <c r="U1152" s="274"/>
      <c r="V1152" s="280"/>
      <c r="W1152" s="244"/>
      <c r="X1152" s="244"/>
      <c r="Y1152" s="362"/>
      <c r="Z1152" s="257">
        <f>altaz(J2000_Bas,$O1152,$M1152,DecLat,DecLong,1)</f>
        <v>-46.499520632630443</v>
      </c>
      <c r="AA1152" s="257">
        <f>altaz((J2000_Bas+(2*0.04167)),$O1152,$M1152,DecLat,DecLong,1)</f>
        <v>-59.811505479667446</v>
      </c>
      <c r="AB1152" s="257">
        <f>altaz((J2000_Bas+(4*0.04167)),$O1152,$M1152,DecLat,DecLong,1)</f>
        <v>-62.586072516841298</v>
      </c>
      <c r="AC1152" s="257">
        <f>altaz((J2000_Bas+(6*0.04167)),$O1152,$M1152,DecLat,DecLong,1)</f>
        <v>-52.09836943792952</v>
      </c>
      <c r="AD1152" s="258">
        <f>1+ transit((J2000_Bas-1),$O1152,$M1152,DecLat,DecLong)/360 + (GMTOffset/24) + (IF(DST="Y", 1, 0)/24)</f>
        <v>1.428316583754708</v>
      </c>
      <c r="AE1152" s="259">
        <f>DATE(2001,9,21)+(M1152/360)*365 - (360*((DecLong/360)- (GMTOffset/24) ))</f>
        <v>37318.927083333336</v>
      </c>
      <c r="AF1152" s="260">
        <f>IF(DecLat&gt;0,IF((90 - (DecLat-O1152))&gt;90, (90 - (O1152-DecLat)), (90 - (DecLat-O1152))),IF((90 + (DecLat-O1152))&gt;90, (90 + (O1152-DecLat)), (90 + (DecLat-O1152))))</f>
        <v>1.3666666666666742</v>
      </c>
      <c r="AG1152" s="257">
        <f>angularseperation(MoonRA,MoonDec,$M1152,$O1152)</f>
        <v>68.663827465237475</v>
      </c>
      <c r="AH1152" s="261">
        <f ca="1">MIN(100,IF($O$5&gt;80,0+30*($AG1152/100),IF($O$5&gt;70,0+50*($AG1152/100),IF($O$5&gt;60,5+50*($AG1152/100),IF($O$5&gt;50,10+60*($AG1152/100),IF($O$5&gt;40,15+70*($AG1152/100),IF($O$5&gt;30,20+70*($AG1152/100),IF($O$5&gt;20,40+55*($AG1152/100),(80+(20-$O$5)+30*($AG1152/100))))))))))</f>
        <v>100</v>
      </c>
      <c r="AI1152" s="262"/>
      <c r="AJ1152" s="262">
        <v>2581</v>
      </c>
      <c r="AK1152" s="262"/>
      <c r="AL1152" s="263"/>
      <c r="AM1152" s="264"/>
      <c r="AN1152" s="263"/>
      <c r="AO1152" s="263"/>
      <c r="AP1152" s="265"/>
      <c r="AQ1152" s="266"/>
      <c r="AR1152" s="267"/>
      <c r="AS1152" s="263"/>
      <c r="AT1152" s="263"/>
      <c r="AU1152" s="263"/>
      <c r="AV1152" s="264"/>
      <c r="AW1152" s="263"/>
      <c r="AX1152" s="263"/>
      <c r="AY1152" s="263"/>
      <c r="AZ1152" s="263"/>
      <c r="BA1152" s="263"/>
      <c r="BB1152" s="263"/>
      <c r="BC1152" s="263"/>
      <c r="BD1152" s="264"/>
      <c r="BE1152" s="263"/>
      <c r="BF1152" s="263"/>
      <c r="BG1152" s="263"/>
      <c r="BH1152" s="263"/>
      <c r="BI1152" s="263"/>
      <c r="BJ1152" s="404">
        <f>altaz(J2000_Bas,$O1152,$M1152,DecLat,DecLong,2)</f>
        <v>217.02903770406158</v>
      </c>
      <c r="BK1152" s="378" t="s">
        <v>8621</v>
      </c>
      <c r="BL1152" s="379">
        <f>IF((2*G1152)/60&lt;0.2,0.2,(2*G1152)/60)</f>
        <v>0.26666666666666666</v>
      </c>
      <c r="BM1152" s="380">
        <f>MOD((50000+AD1152-$B$3+(0/24)),1)</f>
        <v>0.64368351345910924</v>
      </c>
      <c r="BN1152" s="381"/>
      <c r="BO1152" s="382">
        <v>1146</v>
      </c>
    </row>
    <row r="1153" spans="1:67" s="24" customFormat="1" ht="15" customHeight="1" x14ac:dyDescent="0.25">
      <c r="A1153" s="298" t="s">
        <v>1213</v>
      </c>
      <c r="B1153" s="241" t="str">
        <f>HYPERLINK(CONCATENATE($AT$3,BK1153,$AU$3),$AV$3)</f>
        <v>S</v>
      </c>
      <c r="C1153" s="242" t="str">
        <f>HYPERLINK(CONCATENATE($AT$4,BK1153,$AU$4,BL1153),$AV$4)</f>
        <v>A</v>
      </c>
      <c r="D1153" s="243" t="s">
        <v>5335</v>
      </c>
      <c r="E1153" s="244" t="s">
        <v>5185</v>
      </c>
      <c r="F1153" s="269" t="s">
        <v>5466</v>
      </c>
      <c r="G1153" s="276">
        <v>100</v>
      </c>
      <c r="H1153" s="283">
        <v>500</v>
      </c>
      <c r="I1153" s="246">
        <v>15</v>
      </c>
      <c r="J1153" s="246">
        <v>5</v>
      </c>
      <c r="K1153" s="247" t="s">
        <v>5465</v>
      </c>
      <c r="L1153" s="248">
        <v>104254</v>
      </c>
      <c r="M1153" s="249">
        <f>15*(LEFT(TEXT($L1153,"000000"),2)+(MID(TEXT($L1153,"000000"),3,2)/60)+(RIGHT(TEXT($L1153,"000000"),2)/3600))</f>
        <v>160.72499999999999</v>
      </c>
      <c r="N1153" s="286">
        <v>-642400</v>
      </c>
      <c r="O1153" s="251">
        <f>IF($N1153&gt;0,(LEFT(TEXT($N1153,"000000"),2)+(MID(TEXT($N1153,"000000"),3,2)/60)+(RIGHT(TEXT($N1153,"000000"),2)/3600)),-(MID(TEXT($N1153,"000000"),2,2)+(MID(TEXT($N1153,"000000"),4,2)/60)+(RIGHT(TEXT($N1153,"000000"),2)/3600)))</f>
        <v>-64.400000000000006</v>
      </c>
      <c r="P1153" s="252" t="s">
        <v>1000</v>
      </c>
      <c r="Q1153" s="253" t="s">
        <v>5464</v>
      </c>
      <c r="R1153" s="247" t="s">
        <v>7414</v>
      </c>
      <c r="S1153" s="272" t="s">
        <v>3293</v>
      </c>
      <c r="T1153" s="273">
        <v>1.6</v>
      </c>
      <c r="U1153" s="274"/>
      <c r="V1153" s="280"/>
      <c r="W1153" s="244"/>
      <c r="X1153" s="244"/>
      <c r="Y1153" s="362"/>
      <c r="Z1153" s="257">
        <f>altaz(J2000_Bas,$O1153,$M1153,DecLat,DecLong,1)</f>
        <v>-42.717260803322588</v>
      </c>
      <c r="AA1153" s="257">
        <f>altaz((J2000_Bas+(2*0.04167)),$O1153,$M1153,DecLat,DecLong,1)</f>
        <v>-53.238125481449167</v>
      </c>
      <c r="AB1153" s="257">
        <f>altaz((J2000_Bas+(4*0.04167)),$O1153,$M1153,DecLat,DecLong,1)</f>
        <v>-56.426345263418753</v>
      </c>
      <c r="AC1153" s="257">
        <f>altaz((J2000_Bas+(6*0.04167)),$O1153,$M1153,DecLat,DecLong,1)</f>
        <v>-49.985744258826244</v>
      </c>
      <c r="AD1153" s="258">
        <f>1+ transit((J2000_Bas-1),$O1153,$M1153,DecLat,DecLong)/360 + (GMTOffset/24) + (IF(DST="Y", 1, 0)/24)</f>
        <v>1.4393582493172079</v>
      </c>
      <c r="AE1153" s="259">
        <f>DATE(2001,9,21)+(M1153/360)*365 - (360*((DecLong/360)- (GMTOffset/24) ))</f>
        <v>37322.957291666666</v>
      </c>
      <c r="AF1153" s="260">
        <f>IF(DecLat&gt;0,IF((90 - (DecLat-O1153))&gt;90, (90 - (O1153-DecLat)), (90 - (DecLat-O1153))),IF((90 + (DecLat-O1153))&gt;90, (90 + (O1153-DecLat)), (90 + (DecLat-O1153))))</f>
        <v>-5.4000000000000057</v>
      </c>
      <c r="AG1153" s="257">
        <f>angularseperation(MoonRA,MoonDec,$M1153,$O1153)</f>
        <v>65.13010633220965</v>
      </c>
      <c r="AH1153" s="261">
        <f ca="1">MIN(100,IF($O$5&gt;80,0+30*($AG1153/100),IF($O$5&gt;70,0+50*($AG1153/100),IF($O$5&gt;60,5+50*($AG1153/100),IF($O$5&gt;50,10+60*($AG1153/100),IF($O$5&gt;40,15+70*($AG1153/100),IF($O$5&gt;30,20+70*($AG1153/100),IF($O$5&gt;20,40+55*($AG1153/100),(80+(20-$O$5)+30*($AG1153/100))))))))))</f>
        <v>100</v>
      </c>
      <c r="AI1153" s="262"/>
      <c r="AJ1153" s="262">
        <v>2602</v>
      </c>
      <c r="AK1153" s="262"/>
      <c r="AL1153" s="263"/>
      <c r="AM1153" s="264">
        <v>102</v>
      </c>
      <c r="AN1153" s="263"/>
      <c r="AO1153" s="263"/>
      <c r="AP1153" s="265"/>
      <c r="AQ1153" s="266"/>
      <c r="AR1153" s="267"/>
      <c r="AS1153" s="263"/>
      <c r="AT1153" s="263"/>
      <c r="AU1153" s="263"/>
      <c r="AV1153" s="264"/>
      <c r="AW1153" s="263"/>
      <c r="AX1153" s="263"/>
      <c r="AY1153" s="263"/>
      <c r="AZ1153" s="263"/>
      <c r="BA1153" s="263"/>
      <c r="BB1153" s="263"/>
      <c r="BC1153" s="263"/>
      <c r="BD1153" s="264"/>
      <c r="BE1153" s="263"/>
      <c r="BF1153" s="263"/>
      <c r="BG1153" s="263"/>
      <c r="BH1153" s="263"/>
      <c r="BI1153" s="263"/>
      <c r="BJ1153" s="404">
        <f>altaz(J2000_Bas,$O1153,$M1153,DecLat,DecLong,2)</f>
        <v>208.69233307083098</v>
      </c>
      <c r="BK1153" s="378" t="s">
        <v>1213</v>
      </c>
      <c r="BL1153" s="379">
        <f>IF((2*G1153)/60&lt;0.2,0.2,(2*G1153)/60)</f>
        <v>3.3333333333333335</v>
      </c>
      <c r="BM1153" s="380">
        <f>MOD((50000+AD1153-$B$3+(0/24)),1)</f>
        <v>0.6547251790179871</v>
      </c>
      <c r="BN1153" s="381"/>
      <c r="BO1153" s="382">
        <v>1147</v>
      </c>
    </row>
    <row r="1154" spans="1:67" s="24" customFormat="1" ht="15" customHeight="1" x14ac:dyDescent="0.25">
      <c r="A1154" s="288" t="s">
        <v>1214</v>
      </c>
      <c r="B1154" s="241" t="str">
        <f>HYPERLINK(CONCATENATE($AT$3,BK1154,$AU$3),$AV$3)</f>
        <v>S</v>
      </c>
      <c r="C1154" s="242" t="str">
        <f>HYPERLINK(CONCATENATE($AT$4,BK1154,$AU$4,BL1154),$AV$4)</f>
        <v>A</v>
      </c>
      <c r="D1154" s="243" t="s">
        <v>5638</v>
      </c>
      <c r="E1154" s="244" t="s">
        <v>5192</v>
      </c>
      <c r="F1154" s="269" t="s">
        <v>8890</v>
      </c>
      <c r="G1154" s="273">
        <v>2.4</v>
      </c>
      <c r="H1154" s="283">
        <v>100</v>
      </c>
      <c r="I1154" s="246">
        <v>70</v>
      </c>
      <c r="J1154" s="246">
        <v>2</v>
      </c>
      <c r="K1154" s="247" t="s">
        <v>4683</v>
      </c>
      <c r="L1154" s="248">
        <v>110953</v>
      </c>
      <c r="M1154" s="249">
        <f>15*(LEFT(TEXT($L1154,"000000"),2)+(MID(TEXT($L1154,"000000"),3,2)/60)+(RIGHT(TEXT($L1154,"000000"),2)/3600))</f>
        <v>167.47083333333333</v>
      </c>
      <c r="N1154" s="250">
        <v>-234335</v>
      </c>
      <c r="O1154" s="251">
        <f>IF($N1154&gt;0,(LEFT(TEXT($N1154,"000000"),2)+(MID(TEXT($N1154,"000000"),3,2)/60)+(RIGHT(TEXT($N1154,"000000"),2)/3600)),-(MID(TEXT($N1154,"000000"),2,2)+(MID(TEXT($N1154,"000000"),4,2)/60)+(RIGHT(TEXT($N1154,"000000"),2)/3600)))</f>
        <v>-23.726388888888888</v>
      </c>
      <c r="P1154" s="252" t="s">
        <v>509</v>
      </c>
      <c r="Q1154" s="253"/>
      <c r="R1154" s="247" t="s">
        <v>3293</v>
      </c>
      <c r="S1154" s="272" t="s">
        <v>3293</v>
      </c>
      <c r="T1154" s="273">
        <v>12</v>
      </c>
      <c r="U1154" s="289">
        <v>22.69</v>
      </c>
      <c r="V1154" s="280">
        <v>25</v>
      </c>
      <c r="W1154" s="244"/>
      <c r="X1154" s="244"/>
      <c r="Y1154" s="362"/>
      <c r="Z1154" s="257">
        <f>altaz(J2000_Bas,$O1154,$M1154,DecLat,DecLong,1)</f>
        <v>-35.595064591893177</v>
      </c>
      <c r="AA1154" s="257">
        <f>altaz((J2000_Bas+(2*0.04167)),$O1154,$M1154,DecLat,DecLong,1)</f>
        <v>-61.300242235666857</v>
      </c>
      <c r="AB1154" s="257">
        <f>altaz((J2000_Bas+(4*0.04167)),$O1154,$M1154,DecLat,DecLong,1)</f>
        <v>-82.635670763492556</v>
      </c>
      <c r="AC1154" s="257">
        <f>altaz((J2000_Bas+(6*0.04167)),$O1154,$M1154,DecLat,DecLong,1)</f>
        <v>-63.50646709222795</v>
      </c>
      <c r="AD1154" s="258">
        <f>1+ transit((J2000_Bas-1),$O1154,$M1154,DecLat,DecLong)/360 + (GMTOffset/24) + (IF(DST="Y", 1, 0)/24)</f>
        <v>1.4580966733692913</v>
      </c>
      <c r="AE1154" s="259">
        <f>DATE(2001,9,21)+(M1154/360)*365 - (360*((DecLong/360)- (GMTOffset/24) ))</f>
        <v>37329.796817129631</v>
      </c>
      <c r="AF1154" s="260">
        <f>IF(DecLat&gt;0,IF((90 - (DecLat-O1154))&gt;90, (90 - (O1154-DecLat)), (90 - (DecLat-O1154))),IF((90 + (DecLat-O1154))&gt;90, (90 + (O1154-DecLat)), (90 + (DecLat-O1154))))</f>
        <v>35.273611111111109</v>
      </c>
      <c r="AG1154" s="257">
        <f>angularseperation(MoonRA,MoonDec,$M1154,$O1154)</f>
        <v>72.550812522843955</v>
      </c>
      <c r="AH1154" s="261">
        <f ca="1">MIN(100,IF($O$5&gt;80,0+30*($AG1154/100),IF($O$5&gt;70,0+50*($AG1154/100),IF($O$5&gt;60,5+50*($AG1154/100),IF($O$5&gt;50,10+60*($AG1154/100),IF($O$5&gt;40,15+70*($AG1154/100),IF($O$5&gt;30,20+70*($AG1154/100),IF($O$5&gt;20,40+55*($AG1154/100),(80+(20-$O$5)+30*($AG1154/100))))))))))</f>
        <v>100</v>
      </c>
      <c r="AI1154" s="262"/>
      <c r="AJ1154" s="263">
        <v>2627</v>
      </c>
      <c r="AK1154" s="263"/>
      <c r="AL1154" s="263"/>
      <c r="AM1154" s="264"/>
      <c r="AN1154" s="263"/>
      <c r="AO1154" s="263"/>
      <c r="AP1154" s="265"/>
      <c r="AQ1154" s="266"/>
      <c r="AR1154" s="267">
        <v>33860</v>
      </c>
      <c r="AS1154" s="263"/>
      <c r="AT1154" s="263"/>
      <c r="AU1154" s="263"/>
      <c r="AV1154" s="264"/>
      <c r="AW1154" s="263"/>
      <c r="AX1154" s="263"/>
      <c r="AY1154" s="263"/>
      <c r="AZ1154" s="263"/>
      <c r="BA1154" s="263"/>
      <c r="BB1154" s="263"/>
      <c r="BC1154" s="263"/>
      <c r="BD1154" s="264"/>
      <c r="BE1154" s="263"/>
      <c r="BF1154" s="263"/>
      <c r="BG1154" s="263"/>
      <c r="BH1154" s="263"/>
      <c r="BI1154" s="263"/>
      <c r="BJ1154" s="404">
        <f>altaz(J2000_Bas,$O1154,$M1154,DecLat,DecLong,2)</f>
        <v>261.5360751615932</v>
      </c>
      <c r="BK1154" s="378" t="s">
        <v>1214</v>
      </c>
      <c r="BL1154" s="379">
        <f>IF((2*G1154)/60&lt;0.2,0.2,(2*G1154)/60)</f>
        <v>0.2</v>
      </c>
      <c r="BM1154" s="380">
        <f>MOD((50000+AD1154-$B$3+(0/24)),1)</f>
        <v>0.67346360307419673</v>
      </c>
      <c r="BN1154" s="381"/>
      <c r="BO1154" s="382">
        <v>1148</v>
      </c>
    </row>
    <row r="1155" spans="1:67" s="24" customFormat="1" ht="15" customHeight="1" x14ac:dyDescent="0.25">
      <c r="A1155" s="297" t="s">
        <v>5473</v>
      </c>
      <c r="B1155" s="241" t="str">
        <f>HYPERLINK(CONCATENATE($AT$3,BK1155,$AU$3),$AV$3)</f>
        <v>S</v>
      </c>
      <c r="C1155" s="242" t="str">
        <f>HYPERLINK(CONCATENATE($AT$4,BK1155,$AU$4,BL1155),$AV$4)</f>
        <v>A</v>
      </c>
      <c r="D1155" s="243" t="s">
        <v>5187</v>
      </c>
      <c r="E1155" s="244" t="s">
        <v>5183</v>
      </c>
      <c r="F1155" s="269" t="s">
        <v>9158</v>
      </c>
      <c r="G1155" s="276">
        <v>72</v>
      </c>
      <c r="H1155" s="271">
        <v>6500</v>
      </c>
      <c r="I1155" s="281">
        <v>140</v>
      </c>
      <c r="J1155" s="246">
        <v>5</v>
      </c>
      <c r="K1155" s="247" t="s">
        <v>6387</v>
      </c>
      <c r="L1155" s="248">
        <v>113800</v>
      </c>
      <c r="M1155" s="249">
        <f>15*(LEFT(TEXT($L1155,"000000"),2)+(MID(TEXT($L1155,"000000"),3,2)/60)+(RIGHT(TEXT($L1155,"000000"),2)/3600))</f>
        <v>174.5</v>
      </c>
      <c r="N1155" s="286">
        <v>-631100</v>
      </c>
      <c r="O1155" s="251">
        <f>IF($N1155&gt;0,(LEFT(TEXT($N1155,"000000"),2)+(MID(TEXT($N1155,"000000"),3,2)/60)+(RIGHT(TEXT($N1155,"000000"),2)/3600)),-(MID(TEXT($N1155,"000000"),2,2)+(MID(TEXT($N1155,"000000"),4,2)/60)+(RIGHT(TEXT($N1155,"000000"),2)/3600)))</f>
        <v>-63.18333333333333</v>
      </c>
      <c r="P1155" s="252" t="s">
        <v>927</v>
      </c>
      <c r="Q1155" s="253" t="s">
        <v>7059</v>
      </c>
      <c r="R1155" s="277" t="s">
        <v>5472</v>
      </c>
      <c r="S1155" s="272" t="s">
        <v>3293</v>
      </c>
      <c r="T1155" s="273"/>
      <c r="U1155" s="274"/>
      <c r="V1155" s="256"/>
      <c r="W1155" s="244"/>
      <c r="X1155" s="244"/>
      <c r="Y1155" s="362"/>
      <c r="Z1155" s="257">
        <f>altaz(J2000_Bas,$O1155,$M1155,DecLat,DecLong,1)</f>
        <v>-36.969560107078827</v>
      </c>
      <c r="AA1155" s="257">
        <f>altaz((J2000_Bas+(2*0.04167)),$O1155,$M1155,DecLat,DecLong,1)</f>
        <v>-49.698252415442397</v>
      </c>
      <c r="AB1155" s="257">
        <f>altaz((J2000_Bas+(4*0.04167)),$O1155,$M1155,DecLat,DecLong,1)</f>
        <v>-57.380624576085026</v>
      </c>
      <c r="AC1155" s="257">
        <f>altaz((J2000_Bas+(6*0.04167)),$O1155,$M1155,DecLat,DecLong,1)</f>
        <v>-54.965161885539594</v>
      </c>
      <c r="AD1155" s="258">
        <f>1+ transit((J2000_Bas-1),$O1155,$M1155,DecLat,DecLong)/360 + (GMTOffset/24) + (IF(DST="Y", 1, 0)/24)</f>
        <v>1.477622134379708</v>
      </c>
      <c r="AE1155" s="259">
        <f>DATE(2001,9,21)+(M1155/360)*365 - (360*((DecLong/360)- (GMTOffset/24) ))</f>
        <v>37336.923611111109</v>
      </c>
      <c r="AF1155" s="260">
        <f>IF(DecLat&gt;0,IF((90 - (DecLat-O1155))&gt;90, (90 - (O1155-DecLat)), (90 - (DecLat-O1155))),IF((90 + (DecLat-O1155))&gt;90, (90 + (O1155-DecLat)), (90 + (DecLat-O1155))))</f>
        <v>-4.1833333333333371</v>
      </c>
      <c r="AG1155" s="257">
        <f>angularseperation(MoonRA,MoonDec,$M1155,$O1155)</f>
        <v>59.200341772345837</v>
      </c>
      <c r="AH1155" s="261">
        <f ca="1">MIN(100,IF($O$5&gt;80,0+30*($AG1155/100),IF($O$5&gt;70,0+50*($AG1155/100),IF($O$5&gt;60,5+50*($AG1155/100),IF($O$5&gt;50,10+60*($AG1155/100),IF($O$5&gt;40,15+70*($AG1155/100),IF($O$5&gt;30,20+70*($AG1155/100),IF($O$5&gt;20,40+55*($AG1155/100),(80+(20-$O$5)+30*($AG1155/100))))))))))</f>
        <v>100</v>
      </c>
      <c r="AI1155" s="263"/>
      <c r="AJ1155" s="263">
        <v>2948</v>
      </c>
      <c r="AK1155" s="263"/>
      <c r="AL1155" s="263"/>
      <c r="AM1155" s="264"/>
      <c r="AN1155" s="263"/>
      <c r="AO1155" s="263"/>
      <c r="AP1155" s="265"/>
      <c r="AQ1155" s="265"/>
      <c r="AR1155" s="285"/>
      <c r="AS1155" s="263"/>
      <c r="AT1155" s="263"/>
      <c r="AU1155" s="263"/>
      <c r="AV1155" s="264"/>
      <c r="AW1155" s="263"/>
      <c r="AX1155" s="263">
        <v>42</v>
      </c>
      <c r="AY1155" s="263"/>
      <c r="AZ1155" s="263"/>
      <c r="BA1155" s="263"/>
      <c r="BB1155" s="263"/>
      <c r="BC1155" s="263"/>
      <c r="BD1155" s="264"/>
      <c r="BE1155" s="263"/>
      <c r="BF1155" s="263"/>
      <c r="BG1155" s="263"/>
      <c r="BH1155" s="263"/>
      <c r="BI1155" s="263"/>
      <c r="BJ1155" s="404">
        <f>altaz(J2000_Bas,$O1155,$M1155,DecLat,DecLong,2)</f>
        <v>211.69242212525816</v>
      </c>
      <c r="BK1155" s="378" t="s">
        <v>1007</v>
      </c>
      <c r="BL1155" s="379">
        <f>IF((2*G1155)/60&lt;0.2,0.2,(2*G1155)/60)</f>
        <v>2.4</v>
      </c>
      <c r="BM1155" s="380">
        <f>MOD((50000+AD1155-$B$3+(0/24)),1)</f>
        <v>0.69298906408221228</v>
      </c>
      <c r="BN1155" s="381"/>
      <c r="BO1155" s="382">
        <v>1149</v>
      </c>
    </row>
    <row r="1156" spans="1:67" s="24" customFormat="1" ht="15" customHeight="1" x14ac:dyDescent="0.25">
      <c r="A1156" s="288" t="s">
        <v>1215</v>
      </c>
      <c r="B1156" s="241" t="str">
        <f>HYPERLINK(CONCATENATE($AT$3,BK1156,$AU$3),$AV$3)</f>
        <v>S</v>
      </c>
      <c r="C1156" s="242" t="str">
        <f>HYPERLINK(CONCATENATE($AT$4,BK1156,$AU$4,BL1156),$AV$4)</f>
        <v>A</v>
      </c>
      <c r="D1156" s="243" t="s">
        <v>5187</v>
      </c>
      <c r="E1156" s="244" t="s">
        <v>5181</v>
      </c>
      <c r="F1156" s="269" t="s">
        <v>4798</v>
      </c>
      <c r="G1156" s="270">
        <v>0.2</v>
      </c>
      <c r="H1156" s="283">
        <v>12000</v>
      </c>
      <c r="I1156" s="309">
        <v>0.7</v>
      </c>
      <c r="J1156" s="246">
        <v>1</v>
      </c>
      <c r="K1156" s="247" t="s">
        <v>4684</v>
      </c>
      <c r="L1156" s="248">
        <v>123307</v>
      </c>
      <c r="M1156" s="249">
        <f>15*(LEFT(TEXT($L1156,"000000"),2)+(MID(TEXT($L1156,"000000"),3,2)/60)+(RIGHT(TEXT($L1156,"000000"),2)/3600))</f>
        <v>188.27916666666667</v>
      </c>
      <c r="N1156" s="250">
        <v>823349</v>
      </c>
      <c r="O1156" s="251">
        <f>IF($N1156&gt;0,(LEFT(TEXT($N1156,"000000"),2)+(MID(TEXT($N1156,"000000"),3,2)/60)+(RIGHT(TEXT($N1156,"000000"),2)/3600)),-(MID(TEXT($N1156,"000000"),2,2)+(MID(TEXT($N1156,"000000"),4,2)/60)+(RIGHT(TEXT($N1156,"000000"),2)/3600)))</f>
        <v>82.563611111111115</v>
      </c>
      <c r="P1156" s="252" t="s">
        <v>226</v>
      </c>
      <c r="Q1156" s="253" t="s">
        <v>7016</v>
      </c>
      <c r="R1156" s="247" t="s">
        <v>3293</v>
      </c>
      <c r="S1156" s="272" t="s">
        <v>3293</v>
      </c>
      <c r="T1156" s="273">
        <v>10.6</v>
      </c>
      <c r="U1156" s="274"/>
      <c r="V1156" s="280"/>
      <c r="W1156" s="244"/>
      <c r="X1156" s="244"/>
      <c r="Y1156" s="362"/>
      <c r="Z1156" s="257">
        <f>altaz(J2000_Bas,$O1156,$M1156,DecLat,DecLong,1)</f>
        <v>29.72230848072569</v>
      </c>
      <c r="AA1156" s="257">
        <f>altaz((J2000_Bas+(2*0.04167)),$O1156,$M1156,DecLat,DecLong,1)</f>
        <v>26.276183521470262</v>
      </c>
      <c r="AB1156" s="257">
        <f>altaz((J2000_Bas+(4*0.04167)),$O1156,$M1156,DecLat,DecLong,1)</f>
        <v>24.074443178208927</v>
      </c>
      <c r="AC1156" s="257">
        <f>altaz((J2000_Bas+(6*0.04167)),$O1156,$M1156,DecLat,DecLong,1)</f>
        <v>23.630729761854273</v>
      </c>
      <c r="AD1156" s="258">
        <f>1+ transit((J2000_Bas-1),$O1156,$M1156,DecLat,DecLong)/360 + (GMTOffset/24) + (IF(DST="Y", 1, 0)/24)</f>
        <v>1.5158975935151247</v>
      </c>
      <c r="AE1156" s="259">
        <f>DATE(2001,9,21)+(M1156/360)*365 - (360*((DecLong/360)- (GMTOffset/24) ))</f>
        <v>37350.894155092596</v>
      </c>
      <c r="AF1156" s="260">
        <f>IF(DecLat&gt;0,IF((90 - (DecLat-O1156))&gt;90, (90 - (O1156-DecLat)), (90 - (DecLat-O1156))),IF((90 + (DecLat-O1156))&gt;90, (90 + (O1156-DecLat)), (90 + (DecLat-O1156))))</f>
        <v>38.436388888888885</v>
      </c>
      <c r="AG1156" s="257">
        <f>angularseperation(MoonRA,MoonDec,$M1156,$O1156)</f>
        <v>113.29946725389507</v>
      </c>
      <c r="AH1156" s="261">
        <f ca="1">MIN(100,IF($O$5&gt;80,0+30*($AG1156/100),IF($O$5&gt;70,0+50*($AG1156/100),IF($O$5&gt;60,5+50*($AG1156/100),IF($O$5&gt;50,10+60*($AG1156/100),IF($O$5&gt;40,15+70*($AG1156/100),IF($O$5&gt;30,20+70*($AG1156/100),IF($O$5&gt;20,40+55*($AG1156/100),(80+(20-$O$5)+30*($AG1156/100))))))))))</f>
        <v>100</v>
      </c>
      <c r="AI1156" s="262"/>
      <c r="AJ1156" s="263">
        <v>3568</v>
      </c>
      <c r="AK1156" s="263"/>
      <c r="AL1156" s="263"/>
      <c r="AM1156" s="264"/>
      <c r="AN1156" s="263"/>
      <c r="AO1156" s="263"/>
      <c r="AP1156" s="265"/>
      <c r="AQ1156" s="266">
        <v>7731</v>
      </c>
      <c r="AR1156" s="267">
        <v>41662</v>
      </c>
      <c r="AS1156" s="263"/>
      <c r="AT1156" s="263">
        <v>19</v>
      </c>
      <c r="AU1156" s="263"/>
      <c r="AV1156" s="264"/>
      <c r="AW1156" s="263"/>
      <c r="AX1156" s="263"/>
      <c r="AY1156" s="263"/>
      <c r="AZ1156" s="263"/>
      <c r="BA1156" s="263"/>
      <c r="BB1156" s="263"/>
      <c r="BC1156" s="263"/>
      <c r="BD1156" s="264"/>
      <c r="BE1156" s="263">
        <v>64</v>
      </c>
      <c r="BF1156" s="263"/>
      <c r="BG1156" s="263"/>
      <c r="BH1156" s="263"/>
      <c r="BI1156" s="263"/>
      <c r="BJ1156" s="404">
        <f>altaz(J2000_Bas,$O1156,$M1156,DecLat,DecLong,2)</f>
        <v>351.50747902466986</v>
      </c>
      <c r="BK1156" s="378" t="s">
        <v>1215</v>
      </c>
      <c r="BL1156" s="379">
        <f>IF((2*G1156)/60&lt;0.2,0.2,(2*G1156)/60)</f>
        <v>0.2</v>
      </c>
      <c r="BM1156" s="380">
        <f>MOD((50000+AD1156-$B$3+(0/24)),1)</f>
        <v>0.73126452321594115</v>
      </c>
      <c r="BN1156" s="381"/>
      <c r="BO1156" s="382">
        <v>1150</v>
      </c>
    </row>
    <row r="1157" spans="1:67" s="24" customFormat="1" ht="15" customHeight="1" x14ac:dyDescent="0.25">
      <c r="A1157" s="287" t="s">
        <v>1216</v>
      </c>
      <c r="B1157" s="241" t="str">
        <f>HYPERLINK(CONCATENATE($AT$3,BK1157,$AU$3),$AV$3)</f>
        <v>S</v>
      </c>
      <c r="C1157" s="242" t="str">
        <f>HYPERLINK(CONCATENATE($AT$4,BK1157,$AU$4,BL1157),$AV$4)</f>
        <v>A</v>
      </c>
      <c r="D1157" s="243" t="s">
        <v>5638</v>
      </c>
      <c r="E1157" s="244" t="s">
        <v>5192</v>
      </c>
      <c r="F1157" s="269" t="s">
        <v>8906</v>
      </c>
      <c r="G1157" s="273">
        <v>2.5</v>
      </c>
      <c r="H1157" s="283">
        <v>169.63263000000001</v>
      </c>
      <c r="I1157" s="246">
        <v>120</v>
      </c>
      <c r="J1157" s="246">
        <v>2</v>
      </c>
      <c r="K1157" s="247" t="s">
        <v>6164</v>
      </c>
      <c r="L1157" s="248">
        <v>124859</v>
      </c>
      <c r="M1157" s="249">
        <f>15*(LEFT(TEXT($L1157,"000000"),2)+(MID(TEXT($L1157,"000000"),3,2)/60)+(RIGHT(TEXT($L1157,"000000"),2)/3600))</f>
        <v>192.24583333333334</v>
      </c>
      <c r="N1157" s="250">
        <v>-142357</v>
      </c>
      <c r="O1157" s="251">
        <f>IF($N1157&gt;0,(LEFT(TEXT($N1157,"000000"),2)+(MID(TEXT($N1157,"000000"),3,2)/60)+(RIGHT(TEXT($N1157,"000000"),2)/3600)),-(MID(TEXT($N1157,"000000"),2,2)+(MID(TEXT($N1157,"000000"),4,2)/60)+(RIGHT(TEXT($N1157,"000000"),2)/3600)))</f>
        <v>-14.399166666666666</v>
      </c>
      <c r="P1157" s="252" t="s">
        <v>192</v>
      </c>
      <c r="Q1157" s="253"/>
      <c r="R1157" s="277" t="s">
        <v>3293</v>
      </c>
      <c r="S1157" s="272" t="s">
        <v>3293</v>
      </c>
      <c r="T1157" s="273">
        <v>13.7</v>
      </c>
      <c r="U1157" s="289">
        <v>22.09</v>
      </c>
      <c r="V1157" s="280">
        <v>88</v>
      </c>
      <c r="W1157" s="244"/>
      <c r="X1157" s="244"/>
      <c r="Y1157" s="362"/>
      <c r="Z1157" s="257">
        <f>altaz(J2000_Bas,$O1157,$M1157,DecLat,DecLong,1)</f>
        <v>-10.514018407365318</v>
      </c>
      <c r="AA1157" s="257">
        <f>altaz((J2000_Bas+(2*0.04167)),$O1157,$M1157,DecLat,DecLong,1)</f>
        <v>-36.187849361996456</v>
      </c>
      <c r="AB1157" s="257">
        <f>altaz((J2000_Bas+(4*0.04167)),$O1157,$M1157,DecLat,DecLong,1)</f>
        <v>-60.905824244913681</v>
      </c>
      <c r="AC1157" s="257">
        <f>altaz((J2000_Bas+(6*0.04167)),$O1157,$M1157,DecLat,DecLong,1)</f>
        <v>-72.996215579462856</v>
      </c>
      <c r="AD1157" s="258">
        <f>1+ transit((J2000_Bas-1),$O1157,$M1157,DecLat,DecLong)/360 + (GMTOffset/24) + (IF(DST="Y", 1, 0)/24)</f>
        <v>1.5269161109317915</v>
      </c>
      <c r="AE1157" s="259">
        <f>DATE(2001,9,21)+(M1157/360)*365 - (360*((DecLong/360)- (GMTOffset/24) ))</f>
        <v>37354.915914351855</v>
      </c>
      <c r="AF1157" s="260">
        <f>IF(DecLat&gt;0,IF((90 - (DecLat-O1157))&gt;90, (90 - (O1157-DecLat)), (90 - (DecLat-O1157))),IF((90 + (DecLat-O1157))&gt;90, (90 + (O1157-DecLat)), (90 + (DecLat-O1157))))</f>
        <v>44.600833333333334</v>
      </c>
      <c r="AG1157" s="257">
        <f>angularseperation(MoonRA,MoonDec,$M1157,$O1157)</f>
        <v>54.341572063775729</v>
      </c>
      <c r="AH1157" s="261">
        <f ca="1">MIN(100,IF($O$5&gt;80,0+30*($AG1157/100),IF($O$5&gt;70,0+50*($AG1157/100),IF($O$5&gt;60,5+50*($AG1157/100),IF($O$5&gt;50,10+60*($AG1157/100),IF($O$5&gt;40,15+70*($AG1157/100),IF($O$5&gt;30,20+70*($AG1157/100),IF($O$5&gt;20,40+55*($AG1157/100),(80+(20-$O$5)+30*($AG1157/100))))))))))</f>
        <v>99.573531963283145</v>
      </c>
      <c r="AI1157" s="263"/>
      <c r="AJ1157" s="263">
        <v>3799</v>
      </c>
      <c r="AK1157" s="263"/>
      <c r="AL1157" s="263"/>
      <c r="AM1157" s="264"/>
      <c r="AN1157" s="263"/>
      <c r="AO1157" s="263"/>
      <c r="AP1157" s="265"/>
      <c r="AQ1157" s="265"/>
      <c r="AR1157" s="285">
        <v>43313</v>
      </c>
      <c r="AS1157" s="263"/>
      <c r="AT1157" s="263"/>
      <c r="AU1157" s="263"/>
      <c r="AV1157" s="264"/>
      <c r="AW1157" s="263"/>
      <c r="AX1157" s="263"/>
      <c r="AY1157" s="263"/>
      <c r="AZ1157" s="263"/>
      <c r="BA1157" s="263"/>
      <c r="BB1157" s="263"/>
      <c r="BC1157" s="263"/>
      <c r="BD1157" s="264"/>
      <c r="BE1157" s="263"/>
      <c r="BF1157" s="263"/>
      <c r="BG1157" s="263"/>
      <c r="BH1157" s="263"/>
      <c r="BI1157" s="263"/>
      <c r="BJ1157" s="404">
        <f>altaz(J2000_Bas,$O1157,$M1157,DecLat,DecLong,2)</f>
        <v>259.42324301585984</v>
      </c>
      <c r="BK1157" s="378" t="s">
        <v>1216</v>
      </c>
      <c r="BL1157" s="379">
        <f>IF((2*G1157)/60&lt;0.2,0.2,(2*G1157)/60)</f>
        <v>0.2</v>
      </c>
      <c r="BM1157" s="380">
        <f>MOD((50000+AD1157-$B$3+(0/24)),1)</f>
        <v>0.74228304063581163</v>
      </c>
      <c r="BN1157" s="381"/>
      <c r="BO1157" s="382">
        <v>1151</v>
      </c>
    </row>
    <row r="1158" spans="1:67" s="24" customFormat="1" ht="15" customHeight="1" x14ac:dyDescent="0.25">
      <c r="A1158" s="288" t="s">
        <v>1217</v>
      </c>
      <c r="B1158" s="241" t="str">
        <f>HYPERLINK(CONCATENATE($AT$3,BK1158,$AU$3),$AV$3)</f>
        <v>S</v>
      </c>
      <c r="C1158" s="242" t="str">
        <f>HYPERLINK(CONCATENATE($AT$4,BK1158,$AU$4,BL1158),$AV$4)</f>
        <v>A</v>
      </c>
      <c r="D1158" s="243" t="s">
        <v>5638</v>
      </c>
      <c r="E1158" s="244" t="s">
        <v>5192</v>
      </c>
      <c r="F1158" s="269" t="s">
        <v>8915</v>
      </c>
      <c r="G1158" s="273">
        <v>1.2</v>
      </c>
      <c r="H1158" s="283">
        <v>221.47668000000002</v>
      </c>
      <c r="I1158" s="246">
        <v>80</v>
      </c>
      <c r="J1158" s="246">
        <v>2</v>
      </c>
      <c r="K1158" s="247" t="s">
        <v>6165</v>
      </c>
      <c r="L1158" s="248">
        <v>133520</v>
      </c>
      <c r="M1158" s="249">
        <f>15*(LEFT(TEXT($L1158,"000000"),2)+(MID(TEXT($L1158,"000000"),3,2)/60)+(RIGHT(TEXT($L1158,"000000"),2)/3600))</f>
        <v>203.83333333333334</v>
      </c>
      <c r="N1158" s="250">
        <v>-280119</v>
      </c>
      <c r="O1158" s="251">
        <f>IF($N1158&gt;0,(LEFT(TEXT($N1158,"000000"),2)+(MID(TEXT($N1158,"000000"),3,2)/60)+(RIGHT(TEXT($N1158,"000000"),2)/3600)),-(MID(TEXT($N1158,"000000"),2,2)+(MID(TEXT($N1158,"000000"),4,2)/60)+(RIGHT(TEXT($N1158,"000000"),2)/3600)))</f>
        <v>-28.021944444444443</v>
      </c>
      <c r="P1158" s="252" t="s">
        <v>103</v>
      </c>
      <c r="Q1158" s="253"/>
      <c r="R1158" s="277" t="s">
        <v>3293</v>
      </c>
      <c r="S1158" s="272" t="s">
        <v>3293</v>
      </c>
      <c r="T1158" s="273">
        <v>13.3</v>
      </c>
      <c r="U1158" s="289">
        <v>22.79</v>
      </c>
      <c r="V1158" s="280">
        <v>25</v>
      </c>
      <c r="W1158" s="244"/>
      <c r="X1158" s="244"/>
      <c r="Y1158" s="362"/>
      <c r="Z1158" s="257">
        <f>altaz(J2000_Bas,$O1158,$M1158,DecLat,DecLong,1)</f>
        <v>-7.9827477607173192</v>
      </c>
      <c r="AA1158" s="257">
        <f>altaz((J2000_Bas+(2*0.04167)),$O1158,$M1158,DecLat,DecLong,1)</f>
        <v>-31.906354072196915</v>
      </c>
      <c r="AB1158" s="257">
        <f>altaz((J2000_Bas+(4*0.04167)),$O1158,$M1158,DecLat,DecLong,1)</f>
        <v>-57.244009516228267</v>
      </c>
      <c r="AC1158" s="257">
        <f>altaz((J2000_Bas+(6*0.04167)),$O1158,$M1158,DecLat,DecLong,1)</f>
        <v>-82.767053191364411</v>
      </c>
      <c r="AD1158" s="258">
        <f>1+ transit((J2000_Bas-1),$O1158,$M1158,DecLat,DecLong)/360 + (GMTOffset/24) + (IF(DST="Y", 1, 0)/24)</f>
        <v>1.5591036077130414</v>
      </c>
      <c r="AE1158" s="259">
        <f>DATE(2001,9,21)+(M1158/360)*365 - (360*((DecLong/360)- (GMTOffset/24) ))</f>
        <v>37366.664351851854</v>
      </c>
      <c r="AF1158" s="260">
        <f>IF(DecLat&gt;0,IF((90 - (DecLat-O1158))&gt;90, (90 - (O1158-DecLat)), (90 - (DecLat-O1158))),IF((90 + (DecLat-O1158))&gt;90, (90 + (O1158-DecLat)), (90 + (DecLat-O1158))))</f>
        <v>30.978055555555557</v>
      </c>
      <c r="AG1158" s="257">
        <f>angularseperation(MoonRA,MoonDec,$M1158,$O1158)</f>
        <v>40.031972226794778</v>
      </c>
      <c r="AH1158" s="261">
        <f ca="1">MIN(100,IF($O$5&gt;80,0+30*($AG1158/100),IF($O$5&gt;70,0+50*($AG1158/100),IF($O$5&gt;60,5+50*($AG1158/100),IF($O$5&gt;50,10+60*($AG1158/100),IF($O$5&gt;40,15+70*($AG1158/100),IF($O$5&gt;30,20+70*($AG1158/100),IF($O$5&gt;20,40+55*($AG1158/100),(80+(20-$O$5)+30*($AG1158/100))))))))))</f>
        <v>95.280652012188852</v>
      </c>
      <c r="AI1158" s="263"/>
      <c r="AJ1158" s="263">
        <v>4290</v>
      </c>
      <c r="AK1158" s="263"/>
      <c r="AL1158" s="263"/>
      <c r="AM1158" s="264"/>
      <c r="AN1158" s="263"/>
      <c r="AO1158" s="263"/>
      <c r="AP1158" s="265"/>
      <c r="AQ1158" s="265"/>
      <c r="AR1158" s="285">
        <v>47905</v>
      </c>
      <c r="AS1158" s="263"/>
      <c r="AT1158" s="263"/>
      <c r="AU1158" s="263"/>
      <c r="AV1158" s="264"/>
      <c r="AW1158" s="263"/>
      <c r="AX1158" s="263"/>
      <c r="AY1158" s="263"/>
      <c r="AZ1158" s="263"/>
      <c r="BA1158" s="263"/>
      <c r="BB1158" s="263"/>
      <c r="BC1158" s="263"/>
      <c r="BD1158" s="264"/>
      <c r="BE1158" s="263"/>
      <c r="BF1158" s="263"/>
      <c r="BG1158" s="263"/>
      <c r="BH1158" s="263"/>
      <c r="BI1158" s="263"/>
      <c r="BJ1158" s="404">
        <f>altaz(J2000_Bas,$O1158,$M1158,DecLat,DecLong,2)</f>
        <v>242.01776490377264</v>
      </c>
      <c r="BK1158" s="378" t="s">
        <v>1217</v>
      </c>
      <c r="BL1158" s="379">
        <f>IF((2*G1158)/60&lt;0.2,0.2,(2*G1158)/60)</f>
        <v>0.2</v>
      </c>
      <c r="BM1158" s="380">
        <f>MOD((50000+AD1158-$B$3+(0/24)),1)</f>
        <v>0.77447053741343552</v>
      </c>
      <c r="BN1158" s="381"/>
      <c r="BO1158" s="382">
        <v>1152</v>
      </c>
    </row>
    <row r="1159" spans="1:67" s="24" customFormat="1" ht="15" customHeight="1" x14ac:dyDescent="0.25">
      <c r="A1159" s="287" t="s">
        <v>7570</v>
      </c>
      <c r="B1159" s="241" t="str">
        <f>HYPERLINK(CONCATENATE($AT$3,BK1159,$AU$3),$AV$3)</f>
        <v>S</v>
      </c>
      <c r="C1159" s="242" t="str">
        <f>HYPERLINK(CONCATENATE($AT$4,BK1159,$AU$4,BL1159),$AV$4)</f>
        <v>A</v>
      </c>
      <c r="D1159" s="243" t="s">
        <v>5638</v>
      </c>
      <c r="E1159" s="244" t="s">
        <v>5625</v>
      </c>
      <c r="F1159" s="269">
        <v>8</v>
      </c>
      <c r="G1159" s="282">
        <v>40</v>
      </c>
      <c r="H1159" s="283">
        <v>210</v>
      </c>
      <c r="I1159" s="284">
        <v>2400</v>
      </c>
      <c r="J1159" s="246">
        <v>2</v>
      </c>
      <c r="K1159" s="247" t="s">
        <v>6166</v>
      </c>
      <c r="L1159" s="248">
        <v>134905</v>
      </c>
      <c r="M1159" s="249">
        <f>15*(LEFT(TEXT($L1159,"000000"),2)+(MID(TEXT($L1159,"000000"),3,2)/60)+(RIGHT(TEXT($L1159,"000000"),2)/3600))</f>
        <v>207.27083333333331</v>
      </c>
      <c r="N1159" s="250">
        <v>-301748</v>
      </c>
      <c r="O1159" s="251">
        <f>IF($N1159&gt;0,(LEFT(TEXT($N1159,"000000"),2)+(MID(TEXT($N1159,"000000"),3,2)/60)+(RIGHT(TEXT($N1159,"000000"),2)/3600)),-(MID(TEXT($N1159,"000000"),2,2)+(MID(TEXT($N1159,"000000"),4,2)/60)+(RIGHT(TEXT($N1159,"000000"),2)/3600)))</f>
        <v>-30.296666666666667</v>
      </c>
      <c r="P1159" s="252" t="s">
        <v>927</v>
      </c>
      <c r="Q1159" s="253"/>
      <c r="R1159" s="277" t="s">
        <v>3293</v>
      </c>
      <c r="S1159" s="272" t="s">
        <v>3293</v>
      </c>
      <c r="T1159" s="273">
        <v>11.3</v>
      </c>
      <c r="U1159" s="289">
        <v>22.09</v>
      </c>
      <c r="V1159" s="280"/>
      <c r="W1159" s="244"/>
      <c r="X1159" s="244"/>
      <c r="Y1159" s="362"/>
      <c r="Z1159" s="257">
        <f>altaz(J2000_Bas,$O1159,$M1159,DecLat,DecLong,1)</f>
        <v>-6.6156308843531662</v>
      </c>
      <c r="AA1159" s="257">
        <f>altaz((J2000_Bas+(2*0.04167)),$O1159,$M1159,DecLat,DecLong,1)</f>
        <v>-29.903027138674744</v>
      </c>
      <c r="AB1159" s="257">
        <f>altaz((J2000_Bas+(4*0.04167)),$O1159,$M1159,DecLat,DecLong,1)</f>
        <v>-54.839739645305158</v>
      </c>
      <c r="AC1159" s="257">
        <f>altaz((J2000_Bas+(6*0.04167)),$O1159,$M1159,DecLat,DecLong,1)</f>
        <v>-80.50187317788216</v>
      </c>
      <c r="AD1159" s="258">
        <f>1+ transit((J2000_Bas-1),$O1159,$M1159,DecLat,DecLong)/360 + (GMTOffset/24) + (IF(DST="Y", 1, 0)/24)</f>
        <v>1.5686522178692914</v>
      </c>
      <c r="AE1159" s="259">
        <f>DATE(2001,9,21)+(M1159/360)*365 - (360*((DecLong/360)- (GMTOffset/24) ))</f>
        <v>37370.149594907409</v>
      </c>
      <c r="AF1159" s="260">
        <f>IF(DecLat&gt;0,IF((90 - (DecLat-O1159))&gt;90, (90 - (O1159-DecLat)), (90 - (DecLat-O1159))),IF((90 + (DecLat-O1159))&gt;90, (90 + (O1159-DecLat)), (90 + (DecLat-O1159))))</f>
        <v>28.703333333333333</v>
      </c>
      <c r="AG1159" s="257">
        <f>angularseperation(MoonRA,MoonDec,$M1159,$O1159)</f>
        <v>36.751998565895342</v>
      </c>
      <c r="AH1159" s="261">
        <f ca="1">MIN(100,IF($O$5&gt;80,0+30*($AG1159/100),IF($O$5&gt;70,0+50*($AG1159/100),IF($O$5&gt;60,5+50*($AG1159/100),IF($O$5&gt;50,10+60*($AG1159/100),IF($O$5&gt;40,15+70*($AG1159/100),IF($O$5&gt;30,20+70*($AG1159/100),IF($O$5&gt;20,40+55*($AG1159/100),(80+(20-$O$5)+30*($AG1159/100))))))))))</f>
        <v>94.296659913919029</v>
      </c>
      <c r="AI1159" s="263"/>
      <c r="AJ1159" s="263">
        <v>4329</v>
      </c>
      <c r="AK1159" s="263"/>
      <c r="AL1159" s="263"/>
      <c r="AM1159" s="264"/>
      <c r="AN1159" s="263"/>
      <c r="AO1159" s="263"/>
      <c r="AP1159" s="265"/>
      <c r="AQ1159" s="265"/>
      <c r="AR1159" s="285">
        <v>49025</v>
      </c>
      <c r="AS1159" s="263"/>
      <c r="AT1159" s="263"/>
      <c r="AU1159" s="263"/>
      <c r="AV1159" s="264"/>
      <c r="AW1159" s="263"/>
      <c r="AX1159" s="263"/>
      <c r="AY1159" s="263"/>
      <c r="AZ1159" s="263"/>
      <c r="BA1159" s="263"/>
      <c r="BB1159" s="263"/>
      <c r="BC1159" s="263"/>
      <c r="BD1159" s="264"/>
      <c r="BE1159" s="263"/>
      <c r="BF1159" s="263"/>
      <c r="BG1159" s="263"/>
      <c r="BH1159" s="263"/>
      <c r="BI1159" s="263"/>
      <c r="BJ1159" s="404">
        <f>altaz(J2000_Bas,$O1159,$M1159,DecLat,DecLong,2)</f>
        <v>238.47992697127279</v>
      </c>
      <c r="BK1159" s="378" t="s">
        <v>1218</v>
      </c>
      <c r="BL1159" s="379">
        <f>IF((2*G1159)/60&lt;0.2,0.2,(2*G1159)/60)</f>
        <v>1.3333333333333333</v>
      </c>
      <c r="BM1159" s="380">
        <f>MOD((50000+AD1159-$B$3+(0/24)),1)</f>
        <v>0.78401914756977931</v>
      </c>
      <c r="BN1159" s="381"/>
      <c r="BO1159" s="382">
        <v>1153</v>
      </c>
    </row>
    <row r="1160" spans="1:67" s="24" customFormat="1" ht="15" customHeight="1" x14ac:dyDescent="0.25">
      <c r="A1160" s="288" t="s">
        <v>3103</v>
      </c>
      <c r="B1160" s="241" t="str">
        <f>HYPERLINK(CONCATENATE($AT$3,BK1160,$AU$3),$AV$3)</f>
        <v>S</v>
      </c>
      <c r="C1160" s="242" t="str">
        <f>HYPERLINK(CONCATENATE($AT$4,BK1160,$AU$4,BL1160),$AV$4)</f>
        <v>A</v>
      </c>
      <c r="D1160" s="243" t="s">
        <v>5638</v>
      </c>
      <c r="E1160" s="244" t="s">
        <v>5192</v>
      </c>
      <c r="F1160" s="269" t="s">
        <v>8701</v>
      </c>
      <c r="G1160" s="273">
        <v>6.8</v>
      </c>
      <c r="H1160" s="283">
        <v>100</v>
      </c>
      <c r="I1160" s="246">
        <v>200</v>
      </c>
      <c r="J1160" s="246">
        <v>2</v>
      </c>
      <c r="K1160" s="247" t="s">
        <v>4685</v>
      </c>
      <c r="L1160" s="248">
        <v>135754</v>
      </c>
      <c r="M1160" s="249">
        <f>15*(LEFT(TEXT($L1160,"000000"),2)+(MID(TEXT($L1160,"000000"),3,2)/60)+(RIGHT(TEXT($L1160,"000000"),2)/3600))</f>
        <v>209.47499999999999</v>
      </c>
      <c r="N1160" s="250">
        <v>-291854</v>
      </c>
      <c r="O1160" s="251">
        <f>IF($N1160&gt;0,(LEFT(TEXT($N1160,"000000"),2)+(MID(TEXT($N1160,"000000"),3,2)/60)+(RIGHT(TEXT($N1160,"000000"),2)/3600)),-(MID(TEXT($N1160,"000000"),2,2)+(MID(TEXT($N1160,"000000"),4,2)/60)+(RIGHT(TEXT($N1160,"000000"),2)/3600)))</f>
        <v>-29.315000000000001</v>
      </c>
      <c r="P1160" s="252" t="s">
        <v>103</v>
      </c>
      <c r="Q1160" s="253"/>
      <c r="R1160" s="277" t="s">
        <v>3293</v>
      </c>
      <c r="S1160" s="272" t="s">
        <v>3293</v>
      </c>
      <c r="T1160" s="273">
        <v>11.7</v>
      </c>
      <c r="U1160" s="289">
        <v>22.39</v>
      </c>
      <c r="V1160" s="280">
        <v>88</v>
      </c>
      <c r="W1160" s="244"/>
      <c r="X1160" s="244"/>
      <c r="Y1160" s="362"/>
      <c r="Z1160" s="257">
        <f>altaz(J2000_Bas,$O1160,$M1160,DecLat,DecLong,1)</f>
        <v>-4.4760108534877716</v>
      </c>
      <c r="AA1160" s="257">
        <f>altaz((J2000_Bas+(2*0.04167)),$O1160,$M1160,DecLat,DecLong,1)</f>
        <v>-27.764834344674906</v>
      </c>
      <c r="AB1160" s="257">
        <f>altaz((J2000_Bas+(4*0.04167)),$O1160,$M1160,DecLat,DecLong,1)</f>
        <v>-52.75697827084516</v>
      </c>
      <c r="AC1160" s="257">
        <f>altaz((J2000_Bas+(6*0.04167)),$O1160,$M1160,DecLat,DecLong,1)</f>
        <v>-78.454082700868156</v>
      </c>
      <c r="AD1160" s="258">
        <f>1+ transit((J2000_Bas-1),$O1160,$M1160,DecLat,DecLong)/360 + (GMTOffset/24) + (IF(DST="Y", 1, 0)/24)</f>
        <v>1.574774902442208</v>
      </c>
      <c r="AE1160" s="259">
        <f>DATE(2001,9,21)+(M1160/360)*365 - (360*((DecLong/360)- (GMTOffset/24) ))</f>
        <v>37372.384375000001</v>
      </c>
      <c r="AF1160" s="260">
        <f>IF(DecLat&gt;0,IF((90 - (DecLat-O1160))&gt;90, (90 - (O1160-DecLat)), (90 - (DecLat-O1160))),IF((90 + (DecLat-O1160))&gt;90, (90 + (O1160-DecLat)), (90 + (DecLat-O1160))))</f>
        <v>29.685000000000002</v>
      </c>
      <c r="AG1160" s="257">
        <f>angularseperation(MoonRA,MoonDec,$M1160,$O1160)</f>
        <v>34.951025866778593</v>
      </c>
      <c r="AH1160" s="261">
        <f ca="1">MIN(100,IF($O$5&gt;80,0+30*($AG1160/100),IF($O$5&gt;70,0+50*($AG1160/100),IF($O$5&gt;60,5+50*($AG1160/100),IF($O$5&gt;50,10+60*($AG1160/100),IF($O$5&gt;40,15+70*($AG1160/100),IF($O$5&gt;30,20+70*($AG1160/100),IF($O$5&gt;20,40+55*($AG1160/100),(80+(20-$O$5)+30*($AG1160/100))))))))))</f>
        <v>93.756368104184006</v>
      </c>
      <c r="AI1160" s="263"/>
      <c r="AJ1160" s="263">
        <v>4351</v>
      </c>
      <c r="AK1160" s="263"/>
      <c r="AL1160" s="263"/>
      <c r="AM1160" s="264"/>
      <c r="AN1160" s="263"/>
      <c r="AO1160" s="263"/>
      <c r="AP1160" s="265"/>
      <c r="AQ1160" s="265"/>
      <c r="AR1160" s="285">
        <v>49676</v>
      </c>
      <c r="AS1160" s="263"/>
      <c r="AT1160" s="263"/>
      <c r="AU1160" s="263"/>
      <c r="AV1160" s="264"/>
      <c r="AW1160" s="263"/>
      <c r="AX1160" s="263"/>
      <c r="AY1160" s="263"/>
      <c r="AZ1160" s="263"/>
      <c r="BA1160" s="263"/>
      <c r="BB1160" s="263"/>
      <c r="BC1160" s="263"/>
      <c r="BD1160" s="264"/>
      <c r="BE1160" s="263"/>
      <c r="BF1160" s="263"/>
      <c r="BG1160" s="263"/>
      <c r="BH1160" s="263"/>
      <c r="BI1160" s="263"/>
      <c r="BJ1160" s="404">
        <f>altaz(J2000_Bas,$O1160,$M1160,DecLat,DecLong,2)</f>
        <v>238.27060819845985</v>
      </c>
      <c r="BK1160" s="378" t="s">
        <v>3103</v>
      </c>
      <c r="BL1160" s="379">
        <f>IF((2*G1160)/60&lt;0.2,0.2,(2*G1160)/60)</f>
        <v>0.22666666666666666</v>
      </c>
      <c r="BM1160" s="380">
        <f>MOD((50000+AD1160-$B$3+(0/24)),1)</f>
        <v>0.79014183214894729</v>
      </c>
      <c r="BN1160" s="381"/>
      <c r="BO1160" s="382">
        <v>1154</v>
      </c>
    </row>
    <row r="1161" spans="1:67" s="24" customFormat="1" ht="15" customHeight="1" x14ac:dyDescent="0.25">
      <c r="A1161" s="288" t="s">
        <v>1219</v>
      </c>
      <c r="B1161" s="241" t="str">
        <f>HYPERLINK(CONCATENATE($AT$3,BK1161,$AU$3),$AV$3)</f>
        <v>S</v>
      </c>
      <c r="C1161" s="242" t="str">
        <f>HYPERLINK(CONCATENATE($AT$4,BK1161,$AU$4,BL1161),$AV$4)</f>
        <v>A</v>
      </c>
      <c r="D1161" s="243" t="s">
        <v>5187</v>
      </c>
      <c r="E1161" s="244" t="s">
        <v>5181</v>
      </c>
      <c r="F1161" s="269" t="s">
        <v>4813</v>
      </c>
      <c r="G1161" s="273">
        <v>1.8</v>
      </c>
      <c r="H1161" s="283">
        <v>9000</v>
      </c>
      <c r="I1161" s="279">
        <v>5</v>
      </c>
      <c r="J1161" s="246">
        <v>4</v>
      </c>
      <c r="K1161" s="247" t="s">
        <v>4686</v>
      </c>
      <c r="L1161" s="248">
        <v>142226</v>
      </c>
      <c r="M1161" s="249">
        <f>15*(LEFT(TEXT($L1161,"000000"),2)+(MID(TEXT($L1161,"000000"),3,2)/60)+(RIGHT(TEXT($L1161,"000000"),2)/3600))</f>
        <v>215.60833333333332</v>
      </c>
      <c r="N1161" s="250">
        <v>-440904</v>
      </c>
      <c r="O1161" s="251">
        <f>IF($N1161&gt;0,(LEFT(TEXT($N1161,"000000"),2)+(MID(TEXT($N1161,"000000"),3,2)/60)+(RIGHT(TEXT($N1161,"000000"),2)/3600)),-(MID(TEXT($N1161,"000000"),2,2)+(MID(TEXT($N1161,"000000"),4,2)/60)+(RIGHT(TEXT($N1161,"000000"),2)/3600)))</f>
        <v>-44.151111111111106</v>
      </c>
      <c r="P1161" s="252" t="s">
        <v>767</v>
      </c>
      <c r="Q1161" s="253" t="s">
        <v>7054</v>
      </c>
      <c r="R1161" s="247" t="s">
        <v>3293</v>
      </c>
      <c r="S1161" s="272" t="s">
        <v>3293</v>
      </c>
      <c r="T1161" s="273">
        <v>11</v>
      </c>
      <c r="U1161" s="274"/>
      <c r="V1161" s="280"/>
      <c r="W1161" s="244"/>
      <c r="X1161" s="244"/>
      <c r="Y1161" s="362"/>
      <c r="Z1161" s="257">
        <f>altaz(J2000_Bas,$O1161,$M1161,DecLat,DecLong,1)</f>
        <v>-8.7650839118864425</v>
      </c>
      <c r="AA1161" s="257">
        <f>altaz((J2000_Bas+(2*0.04167)),$O1161,$M1161,DecLat,DecLong,1)</f>
        <v>-28.073697415056689</v>
      </c>
      <c r="AB1161" s="257">
        <f>altaz((J2000_Bas+(4*0.04167)),$O1161,$M1161,DecLat,DecLong,1)</f>
        <v>-49.349139038900425</v>
      </c>
      <c r="AC1161" s="257">
        <f>altaz((J2000_Bas+(6*0.04167)),$O1161,$M1161,DecLat,DecLong,1)</f>
        <v>-69.888415914108691</v>
      </c>
      <c r="AD1161" s="258">
        <f>1+ transit((J2000_Bas-1),$O1161,$M1161,DecLat,DecLong)/360 + (GMTOffset/24) + (IF(DST="Y", 1, 0)/24)</f>
        <v>1.5918119377755413</v>
      </c>
      <c r="AE1161" s="259">
        <f>DATE(2001,9,21)+(M1161/360)*365 - (360*((DecLong/360)- (GMTOffset/24) ))</f>
        <v>37378.602893518517</v>
      </c>
      <c r="AF1161" s="260">
        <f>IF(DecLat&gt;0,IF((90 - (DecLat-O1161))&gt;90, (90 - (O1161-DecLat)), (90 - (DecLat-O1161))),IF((90 + (DecLat-O1161))&gt;90, (90 + (O1161-DecLat)), (90 + (DecLat-O1161))))</f>
        <v>14.848888888888894</v>
      </c>
      <c r="AG1161" s="257">
        <f>angularseperation(MoonRA,MoonDec,$M1161,$O1161)</f>
        <v>31.894644211385152</v>
      </c>
      <c r="AH1161" s="261">
        <f ca="1">MIN(100,IF($O$5&gt;80,0+30*($AG1161/100),IF($O$5&gt;70,0+50*($AG1161/100),IF($O$5&gt;60,5+50*($AG1161/100),IF($O$5&gt;50,10+60*($AG1161/100),IF($O$5&gt;40,15+70*($AG1161/100),IF($O$5&gt;30,20+70*($AG1161/100),IF($O$5&gt;20,40+55*($AG1161/100),(80+(20-$O$5)+30*($AG1161/100))))))))))</f>
        <v>92.839453607565972</v>
      </c>
      <c r="AI1161" s="262"/>
      <c r="AJ1161" s="263">
        <v>4406</v>
      </c>
      <c r="AK1161" s="263"/>
      <c r="AL1161" s="263"/>
      <c r="AM1161" s="264"/>
      <c r="AN1161" s="263"/>
      <c r="AO1161" s="263"/>
      <c r="AP1161" s="265"/>
      <c r="AQ1161" s="266"/>
      <c r="AR1161" s="267"/>
      <c r="AS1161" s="263"/>
      <c r="AT1161" s="263"/>
      <c r="AU1161" s="263"/>
      <c r="AV1161" s="264"/>
      <c r="AW1161" s="263"/>
      <c r="AX1161" s="263"/>
      <c r="AY1161" s="263"/>
      <c r="AZ1161" s="263"/>
      <c r="BA1161" s="263"/>
      <c r="BB1161" s="263"/>
      <c r="BC1161" s="263"/>
      <c r="BD1161" s="264"/>
      <c r="BE1161" s="263"/>
      <c r="BF1161" s="263"/>
      <c r="BG1161" s="263"/>
      <c r="BH1161" s="263"/>
      <c r="BI1161" s="263"/>
      <c r="BJ1161" s="404">
        <f>altaz(J2000_Bas,$O1161,$M1161,DecLat,DecLong,2)</f>
        <v>223.14869396239885</v>
      </c>
      <c r="BK1161" s="378" t="s">
        <v>1219</v>
      </c>
      <c r="BL1161" s="379">
        <f>IF((2*G1161)/60&lt;0.2,0.2,(2*G1161)/60)</f>
        <v>0.2</v>
      </c>
      <c r="BM1161" s="380">
        <f>MOD((50000+AD1161-$B$3+(0/24)),1)</f>
        <v>0.80717886747879675</v>
      </c>
      <c r="BN1161" s="381"/>
      <c r="BO1161" s="382">
        <v>1155</v>
      </c>
    </row>
    <row r="1162" spans="1:67" s="24" customFormat="1" ht="15" customHeight="1" x14ac:dyDescent="0.25">
      <c r="A1162" s="288" t="s">
        <v>7571</v>
      </c>
      <c r="B1162" s="241" t="str">
        <f>HYPERLINK(CONCATENATE($AT$3,BK1162,$AU$3),$AV$3)</f>
        <v>S</v>
      </c>
      <c r="C1162" s="242" t="str">
        <f>HYPERLINK(CONCATENATE($AT$4,BK1162,$AU$4,BL1162),$AV$4)</f>
        <v>A</v>
      </c>
      <c r="D1162" s="243" t="s">
        <v>5638</v>
      </c>
      <c r="E1162" s="244" t="s">
        <v>5625</v>
      </c>
      <c r="F1162" s="290">
        <v>5</v>
      </c>
      <c r="G1162" s="291">
        <v>1.5</v>
      </c>
      <c r="H1162" s="283">
        <v>270</v>
      </c>
      <c r="I1162" s="284">
        <v>120</v>
      </c>
      <c r="J1162" s="295">
        <v>2</v>
      </c>
      <c r="K1162" s="247" t="s">
        <v>4687</v>
      </c>
      <c r="L1162" s="248">
        <v>153631</v>
      </c>
      <c r="M1162" s="249">
        <f>15*(LEFT(TEXT($L1162,"000000"),2)+(MID(TEXT($L1162,"000000"),3,2)/60)+(RIGHT(TEXT($L1162,"000000"),2)/3600))</f>
        <v>234.12916666666666</v>
      </c>
      <c r="N1162" s="250">
        <v>432805</v>
      </c>
      <c r="O1162" s="251">
        <f>IF($N1162&gt;0,(LEFT(TEXT($N1162,"000000"),2)+(MID(TEXT($N1162,"000000"),3,2)/60)+(RIGHT(TEXT($N1162,"000000"),2)/3600)),-(MID(TEXT($N1162,"000000"),2,2)+(MID(TEXT($N1162,"000000"),4,2)/60)+(RIGHT(TEXT($N1162,"000000"),2)/3600)))</f>
        <v>43.468055555555559</v>
      </c>
      <c r="P1162" s="252" t="s">
        <v>260</v>
      </c>
      <c r="Q1162" s="253"/>
      <c r="R1162" s="277" t="s">
        <v>3293</v>
      </c>
      <c r="S1162" s="272" t="s">
        <v>3293</v>
      </c>
      <c r="T1162" s="273">
        <v>13.3</v>
      </c>
      <c r="U1162" s="289">
        <v>22.490000000000002</v>
      </c>
      <c r="V1162" s="280"/>
      <c r="W1162" s="244"/>
      <c r="X1162" s="244"/>
      <c r="Y1162" s="362"/>
      <c r="Z1162" s="257">
        <f>altaz(J2000_Bas,$O1162,$M1162,DecLat,DecLong,1)</f>
        <v>47.595533694233694</v>
      </c>
      <c r="AA1162" s="257">
        <f>altaz((J2000_Bas+(2*0.04167)),$O1162,$M1162,DecLat,DecLong,1)</f>
        <v>26.190113331009687</v>
      </c>
      <c r="AB1162" s="257">
        <f>altaz((J2000_Bas+(4*0.04167)),$O1162,$M1162,DecLat,DecLong,1)</f>
        <v>6.9412138091729272</v>
      </c>
      <c r="AC1162" s="257">
        <f>altaz((J2000_Bas+(6*0.04167)),$O1162,$M1162,DecLat,DecLong,1)</f>
        <v>-7.8596104817479926</v>
      </c>
      <c r="AD1162" s="258">
        <f>1+ transit((J2000_Bas-1),$O1162,$M1162,DecLat,DecLong)/360 + (GMTOffset/24) + (IF(DST="Y", 1, 0)/24)</f>
        <v>1.6432586918901246</v>
      </c>
      <c r="AE1162" s="259">
        <f>DATE(2001,9,21)+(M1162/360)*365 - (360*((DecLong/360)- (GMTOffset/24) ))</f>
        <v>37397.380960648152</v>
      </c>
      <c r="AF1162" s="260">
        <f>IF(DecLat&gt;0,IF((90 - (DecLat-O1162))&gt;90, (90 - (O1162-DecLat)), (90 - (DecLat-O1162))),IF((90 + (DecLat-O1162))&gt;90, (90 + (O1162-DecLat)), (90 + (DecLat-O1162))))</f>
        <v>77.531944444444434</v>
      </c>
      <c r="AG1162" s="257">
        <f>angularseperation(MoonRA,MoonDec,$M1162,$O1162)</f>
        <v>71.904563610190039</v>
      </c>
      <c r="AH1162" s="261">
        <f ca="1">MIN(100,IF($O$5&gt;80,0+30*($AG1162/100),IF($O$5&gt;70,0+50*($AG1162/100),IF($O$5&gt;60,5+50*($AG1162/100),IF($O$5&gt;50,10+60*($AG1162/100),IF($O$5&gt;40,15+70*($AG1162/100),IF($O$5&gt;30,20+70*($AG1162/100),IF($O$5&gt;20,40+55*($AG1162/100),(80+(20-$O$5)+30*($AG1162/100))))))))))</f>
        <v>100</v>
      </c>
      <c r="AI1162" s="263"/>
      <c r="AJ1162" s="263">
        <v>4566</v>
      </c>
      <c r="AK1162" s="263"/>
      <c r="AL1162" s="263"/>
      <c r="AM1162" s="264"/>
      <c r="AN1162" s="263"/>
      <c r="AO1162" s="263"/>
      <c r="AP1162" s="265"/>
      <c r="AQ1162" s="265">
        <v>9933</v>
      </c>
      <c r="AR1162" s="285">
        <v>55601</v>
      </c>
      <c r="AS1162" s="263"/>
      <c r="AT1162" s="263"/>
      <c r="AU1162" s="263"/>
      <c r="AV1162" s="264"/>
      <c r="AW1162" s="263"/>
      <c r="AX1162" s="263"/>
      <c r="AY1162" s="263"/>
      <c r="AZ1162" s="263"/>
      <c r="BA1162" s="263"/>
      <c r="BB1162" s="263"/>
      <c r="BC1162" s="263"/>
      <c r="BD1162" s="264"/>
      <c r="BE1162" s="263"/>
      <c r="BF1162" s="263"/>
      <c r="BG1162" s="263"/>
      <c r="BH1162" s="263"/>
      <c r="BI1162" s="263"/>
      <c r="BJ1162" s="404">
        <f>altaz(J2000_Bas,$O1162,$M1162,DecLat,DecLong,2)</f>
        <v>302.15562443775661</v>
      </c>
      <c r="BK1162" s="378" t="s">
        <v>3286</v>
      </c>
      <c r="BL1162" s="379">
        <f>IF((2*G1162)/60&lt;0.2,0.2,(2*G1162)/60)</f>
        <v>0.2</v>
      </c>
      <c r="BM1162" s="380">
        <f>MOD((50000+AD1162-$B$3+(0/24)),1)</f>
        <v>0.85862562159309164</v>
      </c>
      <c r="BN1162" s="381"/>
      <c r="BO1162" s="382">
        <v>1156</v>
      </c>
    </row>
    <row r="1163" spans="1:67" s="24" customFormat="1" ht="15" customHeight="1" x14ac:dyDescent="0.25">
      <c r="A1163" s="288" t="s">
        <v>1220</v>
      </c>
      <c r="B1163" s="241" t="str">
        <f>HYPERLINK(CONCATENATE($AT$3,BK1163,$AU$3),$AV$3)</f>
        <v>S</v>
      </c>
      <c r="C1163" s="242" t="str">
        <f>HYPERLINK(CONCATENATE($AT$4,BK1163,$AU$4,BL1163),$AV$4)</f>
        <v>A</v>
      </c>
      <c r="D1163" s="243" t="s">
        <v>5187</v>
      </c>
      <c r="E1163" s="244" t="s">
        <v>5186</v>
      </c>
      <c r="F1163" s="269"/>
      <c r="G1163" s="276">
        <v>60</v>
      </c>
      <c r="H1163" s="283">
        <v>400</v>
      </c>
      <c r="I1163" s="279">
        <v>7</v>
      </c>
      <c r="J1163" s="246">
        <v>2</v>
      </c>
      <c r="K1163" s="247" t="s">
        <v>7172</v>
      </c>
      <c r="L1163" s="248">
        <v>161159</v>
      </c>
      <c r="M1163" s="249">
        <f>15*(LEFT(TEXT($L1163,"000000"),2)+(MID(TEXT($L1163,"000000"),3,2)/60)+(RIGHT(TEXT($L1163,"000000"),2)/3600))</f>
        <v>242.99583333333337</v>
      </c>
      <c r="N1163" s="250">
        <v>-192724</v>
      </c>
      <c r="O1163" s="251">
        <f>IF($N1163&gt;0,(LEFT(TEXT($N1163,"000000"),2)+(MID(TEXT($N1163,"000000"),3,2)/60)+(RIGHT(TEXT($N1163,"000000"),2)/3600)),-(MID(TEXT($N1163,"000000"),2,2)+(MID(TEXT($N1163,"000000"),4,2)/60)+(RIGHT(TEXT($N1163,"000000"),2)/3600)))</f>
        <v>-19.456666666666667</v>
      </c>
      <c r="P1163" s="252" t="s">
        <v>109</v>
      </c>
      <c r="Q1163" s="253"/>
      <c r="R1163" s="247" t="s">
        <v>3293</v>
      </c>
      <c r="S1163" s="272" t="s">
        <v>4688</v>
      </c>
      <c r="T1163" s="273"/>
      <c r="U1163" s="274"/>
      <c r="V1163" s="280"/>
      <c r="W1163" s="244"/>
      <c r="X1163" s="244"/>
      <c r="Y1163" s="362"/>
      <c r="Z1163" s="257">
        <f>altaz(J2000_Bas,$O1163,$M1163,DecLat,DecLong,1)</f>
        <v>24.801231184317984</v>
      </c>
      <c r="AA1163" s="257">
        <f>altaz((J2000_Bas+(2*0.04167)),$O1163,$M1163,DecLat,DecLong,1)</f>
        <v>3.6413943588926552</v>
      </c>
      <c r="AB1163" s="257">
        <f>altaz((J2000_Bas+(4*0.04167)),$O1163,$M1163,DecLat,DecLong,1)</f>
        <v>-20.841376548787345</v>
      </c>
      <c r="AC1163" s="257">
        <f>altaz((J2000_Bas+(6*0.04167)),$O1163,$M1163,DecLat,DecLong,1)</f>
        <v>-46.505470118165043</v>
      </c>
      <c r="AD1163" s="258">
        <f>1+ transit((J2000_Bas-1),$O1163,$M1163,DecLat,DecLong)/360 + (GMTOffset/24) + (IF(DST="Y", 1, 0)/24)</f>
        <v>1.6678883190567915</v>
      </c>
      <c r="AE1163" s="259">
        <f>DATE(2001,9,21)+(M1163/360)*365 - (360*((DecLong/360)- (GMTOffset/24) ))</f>
        <v>37406.370775462965</v>
      </c>
      <c r="AF1163" s="260">
        <f>IF(DecLat&gt;0,IF((90 - (DecLat-O1163))&gt;90, (90 - (O1163-DecLat)), (90 - (DecLat-O1163))),IF((90 + (DecLat-O1163))&gt;90, (90 + (O1163-DecLat)), (90 + (DecLat-O1163))))</f>
        <v>39.543333333333337</v>
      </c>
      <c r="AG1163" s="257">
        <f>angularseperation(MoonRA,MoonDec,$M1163,$O1163)</f>
        <v>9.5404983080732446</v>
      </c>
      <c r="AH1163" s="261">
        <f ca="1">MIN(100,IF($O$5&gt;80,0+30*($AG1163/100),IF($O$5&gt;70,0+50*($AG1163/100),IF($O$5&gt;60,5+50*($AG1163/100),IF($O$5&gt;50,10+60*($AG1163/100),IF($O$5&gt;40,15+70*($AG1163/100),IF($O$5&gt;30,20+70*($AG1163/100),IF($O$5&gt;20,40+55*($AG1163/100),(80+(20-$O$5)+30*($AG1163/100))))))))))</f>
        <v>86.133209836572405</v>
      </c>
      <c r="AI1163" s="262"/>
      <c r="AJ1163" s="263">
        <v>4592</v>
      </c>
      <c r="AK1163" s="263"/>
      <c r="AL1163" s="263"/>
      <c r="AM1163" s="264"/>
      <c r="AN1163" s="263"/>
      <c r="AO1163" s="263"/>
      <c r="AP1163" s="265"/>
      <c r="AQ1163" s="266"/>
      <c r="AR1163" s="267"/>
      <c r="AS1163" s="263"/>
      <c r="AT1163" s="263"/>
      <c r="AU1163" s="263"/>
      <c r="AV1163" s="264"/>
      <c r="AW1163" s="263"/>
      <c r="AX1163" s="263"/>
      <c r="AY1163" s="263">
        <v>1113</v>
      </c>
      <c r="AZ1163" s="263"/>
      <c r="BA1163" s="263"/>
      <c r="BB1163" s="263"/>
      <c r="BC1163" s="263"/>
      <c r="BD1163" s="264"/>
      <c r="BE1163" s="263"/>
      <c r="BF1163" s="263"/>
      <c r="BG1163" s="263"/>
      <c r="BH1163" s="263"/>
      <c r="BI1163" s="263"/>
      <c r="BJ1163" s="404">
        <f>altaz(J2000_Bas,$O1163,$M1163,DecLat,DecLong,2)</f>
        <v>225.11119069065452</v>
      </c>
      <c r="BK1163" s="378" t="s">
        <v>1220</v>
      </c>
      <c r="BL1163" s="379">
        <f>IF((2*G1163)/60&lt;0.2,0.2,(2*G1163)/60)</f>
        <v>2</v>
      </c>
      <c r="BM1163" s="380">
        <f>MOD((50000+AD1163-$B$3+(0/24)),1)</f>
        <v>0.88325524875835981</v>
      </c>
      <c r="BN1163" s="381"/>
      <c r="BO1163" s="382">
        <v>1157</v>
      </c>
    </row>
    <row r="1164" spans="1:67" s="24" customFormat="1" ht="15" customHeight="1" x14ac:dyDescent="0.25">
      <c r="A1164" s="288" t="s">
        <v>1221</v>
      </c>
      <c r="B1164" s="241" t="str">
        <f>HYPERLINK(CONCATENATE($AT$3,BK1164,$AU$3),$AV$3)</f>
        <v>S</v>
      </c>
      <c r="C1164" s="242" t="str">
        <f>HYPERLINK(CONCATENATE($AT$4,BK1164,$AU$4,BL1164),$AV$4)</f>
        <v>A</v>
      </c>
      <c r="D1164" s="243" t="s">
        <v>5187</v>
      </c>
      <c r="E1164" s="244" t="s">
        <v>5181</v>
      </c>
      <c r="F1164" s="269" t="s">
        <v>4805</v>
      </c>
      <c r="G1164" s="270">
        <v>0.1</v>
      </c>
      <c r="H1164" s="283">
        <v>10500</v>
      </c>
      <c r="I1164" s="309">
        <v>0.3</v>
      </c>
      <c r="J1164" s="246">
        <v>1</v>
      </c>
      <c r="K1164" s="247" t="s">
        <v>4690</v>
      </c>
      <c r="L1164" s="248">
        <v>161144</v>
      </c>
      <c r="M1164" s="249">
        <f>15*(LEFT(TEXT($L1164,"000000"),2)+(MID(TEXT($L1164,"000000"),3,2)/60)+(RIGHT(TEXT($L1164,"000000"),2)/3600))</f>
        <v>242.93333333333331</v>
      </c>
      <c r="N1164" s="250">
        <v>120419</v>
      </c>
      <c r="O1164" s="251">
        <f>IF($N1164&gt;0,(LEFT(TEXT($N1164,"000000"),2)+(MID(TEXT($N1164,"000000"),3,2)/60)+(RIGHT(TEXT($N1164,"000000"),2)/3600)),-(MID(TEXT($N1164,"000000"),2,2)+(MID(TEXT($N1164,"000000"),4,2)/60)+(RIGHT(TEXT($N1164,"000000"),2)/3600)))</f>
        <v>12.071944444444444</v>
      </c>
      <c r="P1164" s="252" t="s">
        <v>111</v>
      </c>
      <c r="Q1164" s="253" t="s">
        <v>7089</v>
      </c>
      <c r="R1164" s="247" t="s">
        <v>3293</v>
      </c>
      <c r="S1164" s="272" t="s">
        <v>3293</v>
      </c>
      <c r="T1164" s="273">
        <v>10.7</v>
      </c>
      <c r="U1164" s="274"/>
      <c r="V1164" s="280"/>
      <c r="W1164" s="244"/>
      <c r="X1164" s="244"/>
      <c r="Y1164" s="362"/>
      <c r="Z1164" s="257">
        <f>altaz(J2000_Bas,$O1164,$M1164,DecLat,DecLong,1)</f>
        <v>46.058802852005172</v>
      </c>
      <c r="AA1164" s="257">
        <f>altaz((J2000_Bas+(2*0.04167)),$O1164,$M1164,DecLat,DecLong,1)</f>
        <v>20.525927273164836</v>
      </c>
      <c r="AB1164" s="257">
        <f>altaz((J2000_Bas+(4*0.04167)),$O1164,$M1164,DecLat,DecLong,1)</f>
        <v>-4.8322116326582467</v>
      </c>
      <c r="AC1164" s="257">
        <f>altaz((J2000_Bas+(6*0.04167)),$O1164,$M1164,DecLat,DecLong,1)</f>
        <v>-27.865013153074553</v>
      </c>
      <c r="AD1164" s="258">
        <f>1+ transit((J2000_Bas-1),$O1164,$M1164,DecLat,DecLong)/360 + (GMTOffset/24) + (IF(DST="Y", 1, 0)/24)</f>
        <v>1.6677147079630414</v>
      </c>
      <c r="AE1164" s="259">
        <f>DATE(2001,9,21)+(M1164/360)*365 - (360*((DecLong/360)- (GMTOffset/24) ))</f>
        <v>37406.30740740741</v>
      </c>
      <c r="AF1164" s="260">
        <f>IF(DecLat&gt;0,IF((90 - (DecLat-O1164))&gt;90, (90 - (O1164-DecLat)), (90 - (DecLat-O1164))),IF((90 + (DecLat-O1164))&gt;90, (90 + (O1164-DecLat)), (90 + (DecLat-O1164))))</f>
        <v>71.071944444444441</v>
      </c>
      <c r="AG1164" s="257">
        <f>angularseperation(MoonRA,MoonDec,$M1164,$O1164)</f>
        <v>39.632010553522534</v>
      </c>
      <c r="AH1164" s="261">
        <f ca="1">MIN(100,IF($O$5&gt;80,0+30*($AG1164/100),IF($O$5&gt;70,0+50*($AG1164/100),IF($O$5&gt;60,5+50*($AG1164/100),IF($O$5&gt;50,10+60*($AG1164/100),IF($O$5&gt;40,15+70*($AG1164/100),IF($O$5&gt;30,20+70*($AG1164/100),IF($O$5&gt;20,40+55*($AG1164/100),(80+(20-$O$5)+30*($AG1164/100))))))))))</f>
        <v>95.160663510207186</v>
      </c>
      <c r="AI1164" s="262"/>
      <c r="AJ1164" s="263">
        <v>4593</v>
      </c>
      <c r="AK1164" s="263"/>
      <c r="AL1164" s="263"/>
      <c r="AM1164" s="264"/>
      <c r="AN1164" s="263"/>
      <c r="AO1164" s="263"/>
      <c r="AP1164" s="265"/>
      <c r="AQ1164" s="266"/>
      <c r="AR1164" s="267"/>
      <c r="AS1164" s="263"/>
      <c r="AT1164" s="263">
        <v>20</v>
      </c>
      <c r="AU1164" s="263"/>
      <c r="AV1164" s="264"/>
      <c r="AW1164" s="263"/>
      <c r="AX1164" s="263"/>
      <c r="AY1164" s="263"/>
      <c r="AZ1164" s="263"/>
      <c r="BA1164" s="263"/>
      <c r="BB1164" s="263"/>
      <c r="BC1164" s="263"/>
      <c r="BD1164" s="264"/>
      <c r="BE1164" s="263"/>
      <c r="BF1164" s="263">
        <v>71</v>
      </c>
      <c r="BG1164" s="263"/>
      <c r="BH1164" s="263"/>
      <c r="BI1164" s="263"/>
      <c r="BJ1164" s="404">
        <f>altaz(J2000_Bas,$O1164,$M1164,DecLat,DecLong,2)</f>
        <v>254.22393625973871</v>
      </c>
      <c r="BK1164" s="378" t="s">
        <v>1221</v>
      </c>
      <c r="BL1164" s="379">
        <f>IF((2*G1164)/60&lt;0.2,0.2,(2*G1164)/60)</f>
        <v>0.2</v>
      </c>
      <c r="BM1164" s="380">
        <f>MOD((50000+AD1164-$B$3+(0/24)),1)</f>
        <v>0.88308163766487269</v>
      </c>
      <c r="BN1164" s="381"/>
      <c r="BO1164" s="382">
        <v>1158</v>
      </c>
    </row>
    <row r="1165" spans="1:67" s="24" customFormat="1" ht="15" customHeight="1" x14ac:dyDescent="0.25">
      <c r="A1165" s="288" t="s">
        <v>1222</v>
      </c>
      <c r="B1165" s="241" t="str">
        <f>HYPERLINK(CONCATENATE($AT$3,BK1165,$AU$3),$AV$3)</f>
        <v>S</v>
      </c>
      <c r="C1165" s="242" t="str">
        <f>HYPERLINK(CONCATENATE($AT$4,BK1165,$AU$4,BL1165),$AV$4)</f>
        <v>A</v>
      </c>
      <c r="D1165" s="243" t="s">
        <v>5187</v>
      </c>
      <c r="E1165" s="244" t="s">
        <v>5186</v>
      </c>
      <c r="F1165" s="269"/>
      <c r="G1165" s="276">
        <v>60</v>
      </c>
      <c r="H1165" s="283">
        <v>400</v>
      </c>
      <c r="I1165" s="279">
        <v>7</v>
      </c>
      <c r="J1165" s="246">
        <v>2</v>
      </c>
      <c r="K1165" s="247" t="s">
        <v>7171</v>
      </c>
      <c r="L1165" s="248">
        <v>162018</v>
      </c>
      <c r="M1165" s="249">
        <f>15*(LEFT(TEXT($L1165,"000000"),2)+(MID(TEXT($L1165,"000000"),3,2)/60)+(RIGHT(TEXT($L1165,"000000"),2)/3600))</f>
        <v>245.07499999999996</v>
      </c>
      <c r="N1165" s="250">
        <v>-200454</v>
      </c>
      <c r="O1165" s="251">
        <f>IF($N1165&gt;0,(LEFT(TEXT($N1165,"000000"),2)+(MID(TEXT($N1165,"000000"),3,2)/60)+(RIGHT(TEXT($N1165,"000000"),2)/3600)),-(MID(TEXT($N1165,"000000"),2,2)+(MID(TEXT($N1165,"000000"),4,2)/60)+(RIGHT(TEXT($N1165,"000000"),2)/3600)))</f>
        <v>-20.081666666666667</v>
      </c>
      <c r="P1165" s="252" t="s">
        <v>109</v>
      </c>
      <c r="Q1165" s="253"/>
      <c r="R1165" s="247" t="s">
        <v>3293</v>
      </c>
      <c r="S1165" s="272" t="s">
        <v>4400</v>
      </c>
      <c r="T1165" s="273"/>
      <c r="U1165" s="274"/>
      <c r="V1165" s="280"/>
      <c r="W1165" s="244"/>
      <c r="X1165" s="244"/>
      <c r="Y1165" s="362"/>
      <c r="Z1165" s="257">
        <f>altaz(J2000_Bas,$O1165,$M1165,DecLat,DecLong,1)</f>
        <v>25.556847337009884</v>
      </c>
      <c r="AA1165" s="257">
        <f>altaz((J2000_Bas+(2*0.04167)),$O1165,$M1165,DecLat,DecLong,1)</f>
        <v>4.8815193066002056</v>
      </c>
      <c r="AB1165" s="257">
        <f>altaz((J2000_Bas+(4*0.04167)),$O1165,$M1165,DecLat,DecLong,1)</f>
        <v>-19.377369082684204</v>
      </c>
      <c r="AC1165" s="257">
        <f>altaz((J2000_Bas+(6*0.04167)),$O1165,$M1165,DecLat,DecLong,1)</f>
        <v>-44.985369679018419</v>
      </c>
      <c r="AD1165" s="258">
        <f>1+ transit((J2000_Bas-1),$O1165,$M1165,DecLat,DecLong)/360 + (GMTOffset/24) + (IF(DST="Y", 1, 0)/24)</f>
        <v>1.673663781442208</v>
      </c>
      <c r="AE1165" s="259">
        <f>DATE(2001,9,21)+(M1165/360)*365 - (360*((DecLong/360)- (GMTOffset/24) ))</f>
        <v>37408.478819444441</v>
      </c>
      <c r="AF1165" s="260">
        <f>IF(DecLat&gt;0,IF((90 - (DecLat-O1165))&gt;90, (90 - (O1165-DecLat)), (90 - (DecLat-O1165))),IF((90 + (DecLat-O1165))&gt;90, (90 + (O1165-DecLat)), (90 + (DecLat-O1165))))</f>
        <v>38.918333333333337</v>
      </c>
      <c r="AG1165" s="257">
        <f>angularseperation(MoonRA,MoonDec,$M1165,$O1165)</f>
        <v>7.9742337088474535</v>
      </c>
      <c r="AH1165" s="261">
        <f ca="1">MIN(100,IF($O$5&gt;80,0+30*($AG1165/100),IF($O$5&gt;70,0+50*($AG1165/100),IF($O$5&gt;60,5+50*($AG1165/100),IF($O$5&gt;50,10+60*($AG1165/100),IF($O$5&gt;40,15+70*($AG1165/100),IF($O$5&gt;30,20+70*($AG1165/100),IF($O$5&gt;20,40+55*($AG1165/100),(80+(20-$O$5)+30*($AG1165/100))))))))))</f>
        <v>85.663330456804658</v>
      </c>
      <c r="AI1165" s="262"/>
      <c r="AJ1165" s="263">
        <v>4601</v>
      </c>
      <c r="AK1165" s="263"/>
      <c r="AL1165" s="263"/>
      <c r="AM1165" s="264"/>
      <c r="AN1165" s="263"/>
      <c r="AO1165" s="263"/>
      <c r="AP1165" s="265"/>
      <c r="AQ1165" s="266"/>
      <c r="AR1165" s="267"/>
      <c r="AS1165" s="263"/>
      <c r="AT1165" s="263"/>
      <c r="AU1165" s="263"/>
      <c r="AV1165" s="264"/>
      <c r="AW1165" s="263"/>
      <c r="AX1165" s="263"/>
      <c r="AY1165" s="263"/>
      <c r="AZ1165" s="263"/>
      <c r="BA1165" s="263"/>
      <c r="BB1165" s="263"/>
      <c r="BC1165" s="263"/>
      <c r="BD1165" s="264"/>
      <c r="BE1165" s="263"/>
      <c r="BF1165" s="263"/>
      <c r="BG1165" s="263"/>
      <c r="BH1165" s="263"/>
      <c r="BI1165" s="263"/>
      <c r="BJ1165" s="404">
        <f>altaz(J2000_Bas,$O1165,$M1165,DecLat,DecLong,2)</f>
        <v>223.00064774949715</v>
      </c>
      <c r="BK1165" s="378" t="s">
        <v>1222</v>
      </c>
      <c r="BL1165" s="379">
        <f>IF((2*G1165)/60&lt;0.2,0.2,(2*G1165)/60)</f>
        <v>2</v>
      </c>
      <c r="BM1165" s="380">
        <f>MOD((50000+AD1165-$B$3+(0/24)),1)</f>
        <v>0.88903071114327759</v>
      </c>
      <c r="BN1165" s="381"/>
      <c r="BO1165" s="382">
        <v>1159</v>
      </c>
    </row>
    <row r="1166" spans="1:67" s="24" customFormat="1" ht="15" customHeight="1" x14ac:dyDescent="0.25">
      <c r="A1166" s="288" t="s">
        <v>1223</v>
      </c>
      <c r="B1166" s="241" t="str">
        <f>HYPERLINK(CONCATENATE($AT$3,BK1166,$AU$3),$AV$3)</f>
        <v>S</v>
      </c>
      <c r="C1166" s="242" t="str">
        <f>HYPERLINK(CONCATENATE($AT$4,BK1166,$AU$4,BL1166),$AV$4)</f>
        <v>A</v>
      </c>
      <c r="D1166" s="243" t="s">
        <v>5187</v>
      </c>
      <c r="E1166" s="244" t="s">
        <v>5183</v>
      </c>
      <c r="F1166" s="269" t="s">
        <v>9160</v>
      </c>
      <c r="G1166" s="276">
        <v>35</v>
      </c>
      <c r="H1166" s="283">
        <v>6000</v>
      </c>
      <c r="I1166" s="246">
        <v>60</v>
      </c>
      <c r="J1166" s="246">
        <v>4</v>
      </c>
      <c r="K1166" s="247" t="s">
        <v>4691</v>
      </c>
      <c r="L1166" s="248">
        <v>165658</v>
      </c>
      <c r="M1166" s="249">
        <f>15*(LEFT(TEXT($L1166,"000000"),2)+(MID(TEXT($L1166,"000000"),3,2)/60)+(RIGHT(TEXT($L1166,"000000"),2)/3600))</f>
        <v>254.24166666666667</v>
      </c>
      <c r="N1166" s="250">
        <v>-402724</v>
      </c>
      <c r="O1166" s="251">
        <f>IF($N1166&gt;0,(LEFT(TEXT($N1166,"000000"),2)+(MID(TEXT($N1166,"000000"),3,2)/60)+(RIGHT(TEXT($N1166,"000000"),2)/3600)),-(MID(TEXT($N1166,"000000"),2,2)+(MID(TEXT($N1166,"000000"),4,2)/60)+(RIGHT(TEXT($N1166,"000000"),2)/3600)))</f>
        <v>-40.456666666666671</v>
      </c>
      <c r="P1166" s="252" t="s">
        <v>109</v>
      </c>
      <c r="Q1166" s="253" t="s">
        <v>7050</v>
      </c>
      <c r="R1166" s="247" t="s">
        <v>3293</v>
      </c>
      <c r="S1166" s="272" t="s">
        <v>3293</v>
      </c>
      <c r="T1166" s="273"/>
      <c r="U1166" s="274"/>
      <c r="V1166" s="280"/>
      <c r="W1166" s="244"/>
      <c r="X1166" s="244"/>
      <c r="Y1166" s="362"/>
      <c r="Z1166" s="257">
        <f>altaz(J2000_Bas,$O1166,$M1166,DecLat,DecLong,1)</f>
        <v>12.729794245925385</v>
      </c>
      <c r="AA1166" s="257">
        <f>altaz((J2000_Bas+(2*0.04167)),$O1166,$M1166,DecLat,DecLong,1)</f>
        <v>-1.515399327837595</v>
      </c>
      <c r="AB1166" s="257">
        <f>altaz((J2000_Bas+(4*0.04167)),$O1166,$M1166,DecLat,DecLong,1)</f>
        <v>-20.864577485500341</v>
      </c>
      <c r="AC1166" s="257">
        <f>altaz((J2000_Bas+(6*0.04167)),$O1166,$M1166,DecLat,DecLong,1)</f>
        <v>-42.840270191669994</v>
      </c>
      <c r="AD1166" s="258">
        <f>1+ transit((J2000_Bas-1),$O1166,$M1166,DecLat,DecLong)/360 + (GMTOffset/24) + (IF(DST="Y", 1, 0)/24)</f>
        <v>1.6991267418588747</v>
      </c>
      <c r="AE1166" s="259">
        <f>DATE(2001,9,21)+(M1166/360)*365 - (360*((DecLong/360)- (GMTOffset/24) ))</f>
        <v>37417.772800925923</v>
      </c>
      <c r="AF1166" s="260">
        <f>IF(DecLat&gt;0,IF((90 - (DecLat-O1166))&gt;90, (90 - (O1166-DecLat)), (90 - (DecLat-O1166))),IF((90 + (DecLat-O1166))&gt;90, (90 + (O1166-DecLat)), (90 + (DecLat-O1166))))</f>
        <v>18.543333333333322</v>
      </c>
      <c r="AG1166" s="257">
        <f>angularseperation(MoonRA,MoonDec,$M1166,$O1166)</f>
        <v>13.996849516464192</v>
      </c>
      <c r="AH1166" s="261">
        <f ca="1">MIN(100,IF($O$5&gt;80,0+30*($AG1166/100),IF($O$5&gt;70,0+50*($AG1166/100),IF($O$5&gt;60,5+50*($AG1166/100),IF($O$5&gt;50,10+60*($AG1166/100),IF($O$5&gt;40,15+70*($AG1166/100),IF($O$5&gt;30,20+70*($AG1166/100),IF($O$5&gt;20,40+55*($AG1166/100),(80+(20-$O$5)+30*($AG1166/100))))))))))</f>
        <v>87.47011519908969</v>
      </c>
      <c r="AI1166" s="262"/>
      <c r="AJ1166" s="263">
        <v>4628</v>
      </c>
      <c r="AK1166" s="263"/>
      <c r="AL1166" s="263"/>
      <c r="AM1166" s="264"/>
      <c r="AN1166" s="263"/>
      <c r="AO1166" s="263"/>
      <c r="AP1166" s="265"/>
      <c r="AQ1166" s="266"/>
      <c r="AR1166" s="267"/>
      <c r="AS1166" s="263"/>
      <c r="AT1166" s="263"/>
      <c r="AU1166" s="263"/>
      <c r="AV1166" s="264"/>
      <c r="AW1166" s="263"/>
      <c r="AX1166" s="263">
        <v>56</v>
      </c>
      <c r="AY1166" s="263"/>
      <c r="AZ1166" s="263"/>
      <c r="BA1166" s="263"/>
      <c r="BB1166" s="263"/>
      <c r="BC1166" s="263"/>
      <c r="BD1166" s="264"/>
      <c r="BE1166" s="263"/>
      <c r="BF1166" s="263"/>
      <c r="BG1166" s="263">
        <v>70</v>
      </c>
      <c r="BH1166" s="263"/>
      <c r="BI1166" s="263"/>
      <c r="BJ1166" s="404">
        <f>altaz(J2000_Bas,$O1166,$M1166,DecLat,DecLong,2)</f>
        <v>204.2432295009053</v>
      </c>
      <c r="BK1166" s="378" t="s">
        <v>1223</v>
      </c>
      <c r="BL1166" s="379">
        <f>IF((2*G1166)/60&lt;0.2,0.2,(2*G1166)/60)</f>
        <v>1.1666666666666667</v>
      </c>
      <c r="BM1166" s="380">
        <f>MOD((50000+AD1166-$B$3+(0/24)),1)</f>
        <v>0.91449367156019434</v>
      </c>
      <c r="BN1166" s="381"/>
      <c r="BO1166" s="382">
        <v>1160</v>
      </c>
    </row>
    <row r="1167" spans="1:67" s="24" customFormat="1" ht="15" customHeight="1" x14ac:dyDescent="0.25">
      <c r="A1167" s="288" t="s">
        <v>3146</v>
      </c>
      <c r="B1167" s="241" t="str">
        <f>HYPERLINK(CONCATENATE($AT$3,BK1167,$AU$3),$AV$3)</f>
        <v>S</v>
      </c>
      <c r="C1167" s="242" t="str">
        <f>HYPERLINK(CONCATENATE($AT$4,BK1167,$AU$4,BL1167),$AV$4)</f>
        <v>A</v>
      </c>
      <c r="D1167" s="243" t="s">
        <v>5187</v>
      </c>
      <c r="E1167" s="244" t="s">
        <v>5181</v>
      </c>
      <c r="F1167" s="269" t="s">
        <v>8680</v>
      </c>
      <c r="G1167" s="270">
        <v>0.2</v>
      </c>
      <c r="H1167" s="283">
        <v>13000</v>
      </c>
      <c r="I1167" s="309">
        <v>0.8</v>
      </c>
      <c r="J1167" s="246">
        <v>2</v>
      </c>
      <c r="K1167" s="247" t="s">
        <v>4674</v>
      </c>
      <c r="L1167" s="248">
        <v>170134</v>
      </c>
      <c r="M1167" s="249">
        <f>15*(LEFT(TEXT($L1167,"000000"),2)+(MID(TEXT($L1167,"000000"),3,2)/60)+(RIGHT(TEXT($L1167,"000000"),2)/3600))</f>
        <v>255.39166666666665</v>
      </c>
      <c r="N1167" s="250">
        <v>-214930</v>
      </c>
      <c r="O1167" s="251">
        <f>IF($N1167&gt;0,(LEFT(TEXT($N1167,"000000"),2)+(MID(TEXT($N1167,"000000"),3,2)/60)+(RIGHT(TEXT($N1167,"000000"),2)/3600)),-(MID(TEXT($N1167,"000000"),2,2)+(MID(TEXT($N1167,"000000"),4,2)/60)+(RIGHT(TEXT($N1167,"000000"),2)/3600)))</f>
        <v>-21.824999999999999</v>
      </c>
      <c r="P1167" s="252" t="s">
        <v>113</v>
      </c>
      <c r="Q1167" s="253"/>
      <c r="R1167" s="277" t="s">
        <v>3293</v>
      </c>
      <c r="S1167" s="272" t="s">
        <v>3293</v>
      </c>
      <c r="T1167" s="273">
        <v>10.9</v>
      </c>
      <c r="U1167" s="274"/>
      <c r="V1167" s="280"/>
      <c r="W1167" s="244"/>
      <c r="X1167" s="244"/>
      <c r="Y1167" s="362"/>
      <c r="Z1167" s="257">
        <f>altaz(J2000_Bas,$O1167,$M1167,DecLat,DecLong,1)</f>
        <v>29.561825603972505</v>
      </c>
      <c r="AA1167" s="257">
        <f>altaz((J2000_Bas+(2*0.04167)),$O1167,$M1167,DecLat,DecLong,1)</f>
        <v>11.419614224639234</v>
      </c>
      <c r="AB1167" s="257">
        <f>altaz((J2000_Bas+(4*0.04167)),$O1167,$M1167,DecLat,DecLong,1)</f>
        <v>-11.67208892370239</v>
      </c>
      <c r="AC1167" s="257">
        <f>altaz((J2000_Bas+(6*0.04167)),$O1167,$M1167,DecLat,DecLong,1)</f>
        <v>-36.848035517886402</v>
      </c>
      <c r="AD1167" s="258">
        <f>1+ transit((J2000_Bas-1),$O1167,$M1167,DecLat,DecLong)/360 + (GMTOffset/24) + (IF(DST="Y", 1, 0)/24)</f>
        <v>1.7023211859838747</v>
      </c>
      <c r="AE1167" s="259">
        <f>DATE(2001,9,21)+(M1167/360)*365 - (360*((DecLong/360)- (GMTOffset/24) ))</f>
        <v>37418.938773148147</v>
      </c>
      <c r="AF1167" s="260">
        <f>IF(DecLat&gt;0,IF((90 - (DecLat-O1167))&gt;90, (90 - (O1167-DecLat)), (90 - (DecLat-O1167))),IF((90 + (DecLat-O1167))&gt;90, (90 + (O1167-DecLat)), (90 + (DecLat-O1167))))</f>
        <v>37.174999999999997</v>
      </c>
      <c r="AG1167" s="257">
        <f>angularseperation(MoonRA,MoonDec,$M1167,$O1167)</f>
        <v>7.6782483522758032</v>
      </c>
      <c r="AH1167" s="261">
        <f ca="1">MIN(100,IF($O$5&gt;80,0+30*($AG1167/100),IF($O$5&gt;70,0+50*($AG1167/100),IF($O$5&gt;60,5+50*($AG1167/100),IF($O$5&gt;50,10+60*($AG1167/100),IF($O$5&gt;40,15+70*($AG1167/100),IF($O$5&gt;30,20+70*($AG1167/100),IF($O$5&gt;20,40+55*($AG1167/100),(80+(20-$O$5)+30*($AG1167/100))))))))))</f>
        <v>85.574534849833171</v>
      </c>
      <c r="AI1167" s="263"/>
      <c r="AJ1167" s="263">
        <v>4634</v>
      </c>
      <c r="AK1167" s="263"/>
      <c r="AL1167" s="263"/>
      <c r="AM1167" s="264"/>
      <c r="AN1167" s="263"/>
      <c r="AO1167" s="263"/>
      <c r="AP1167" s="265"/>
      <c r="AQ1167" s="265"/>
      <c r="AR1167" s="285"/>
      <c r="AS1167" s="263"/>
      <c r="AT1167" s="263"/>
      <c r="AU1167" s="263"/>
      <c r="AV1167" s="264"/>
      <c r="AW1167" s="263"/>
      <c r="AX1167" s="263"/>
      <c r="AY1167" s="263"/>
      <c r="AZ1167" s="263"/>
      <c r="BA1167" s="263"/>
      <c r="BB1167" s="263"/>
      <c r="BC1167" s="263"/>
      <c r="BD1167" s="264"/>
      <c r="BE1167" s="263"/>
      <c r="BF1167" s="263"/>
      <c r="BG1167" s="263"/>
      <c r="BH1167" s="263"/>
      <c r="BI1167" s="263"/>
      <c r="BJ1167" s="404">
        <f>altaz(J2000_Bas,$O1167,$M1167,DecLat,DecLong,2)</f>
        <v>212.91898531691493</v>
      </c>
      <c r="BK1167" s="378" t="s">
        <v>3146</v>
      </c>
      <c r="BL1167" s="379">
        <f>IF((2*G1167)/60&lt;0.2,0.2,(2*G1167)/60)</f>
        <v>0.2</v>
      </c>
      <c r="BM1167" s="380">
        <f>MOD((50000+AD1167-$B$3+(0/24)),1)</f>
        <v>0.91768811568908859</v>
      </c>
      <c r="BN1167" s="381" t="s">
        <v>9121</v>
      </c>
      <c r="BO1167" s="382">
        <v>1161</v>
      </c>
    </row>
    <row r="1168" spans="1:67" s="24" customFormat="1" ht="15" customHeight="1" x14ac:dyDescent="0.25">
      <c r="A1168" s="288" t="s">
        <v>1224</v>
      </c>
      <c r="B1168" s="241" t="str">
        <f>HYPERLINK(CONCATENATE($AT$3,BK1168,$AU$3),$AV$3)</f>
        <v>S</v>
      </c>
      <c r="C1168" s="242" t="str">
        <f>HYPERLINK(CONCATENATE($AT$4,BK1168,$AU$4,BL1168),$AV$4)</f>
        <v>A</v>
      </c>
      <c r="D1168" s="243" t="s">
        <v>5335</v>
      </c>
      <c r="E1168" s="244" t="s">
        <v>5185</v>
      </c>
      <c r="F1168" s="269" t="s">
        <v>4692</v>
      </c>
      <c r="G1168" s="276">
        <v>60</v>
      </c>
      <c r="H1168" s="283">
        <v>1100</v>
      </c>
      <c r="I1168" s="246">
        <v>20</v>
      </c>
      <c r="J1168" s="246">
        <v>2</v>
      </c>
      <c r="K1168" s="247" t="s">
        <v>4693</v>
      </c>
      <c r="L1168" s="248">
        <v>174630</v>
      </c>
      <c r="M1168" s="249">
        <f>15*(LEFT(TEXT($L1168,"000000"),2)+(MID(TEXT($L1168,"000000"),3,2)/60)+(RIGHT(TEXT($L1168,"000000"),2)/3600))</f>
        <v>266.625</v>
      </c>
      <c r="N1168" s="250">
        <v>53900</v>
      </c>
      <c r="O1168" s="251">
        <f>IF($N1168&gt;0,(LEFT(TEXT($N1168,"000000"),2)+(MID(TEXT($N1168,"000000"),3,2)/60)+(RIGHT(TEXT($N1168,"000000"),2)/3600)),-(MID(TEXT($N1168,"000000"),2,2)+(MID(TEXT($N1168,"000000"),4,2)/60)+(RIGHT(TEXT($N1168,"000000"),2)/3600)))</f>
        <v>5.65</v>
      </c>
      <c r="P1168" s="252" t="s">
        <v>113</v>
      </c>
      <c r="Q1168" s="253" t="s">
        <v>7157</v>
      </c>
      <c r="R1168" s="247" t="s">
        <v>3293</v>
      </c>
      <c r="S1168" s="272" t="s">
        <v>3293</v>
      </c>
      <c r="T1168" s="273">
        <v>4.2</v>
      </c>
      <c r="U1168" s="274"/>
      <c r="V1168" s="280"/>
      <c r="W1168" s="244"/>
      <c r="X1168" s="244"/>
      <c r="Y1168" s="362"/>
      <c r="Z1168" s="257">
        <f>altaz(J2000_Bas,$O1168,$M1168,DecLat,DecLong,1)</f>
        <v>58.8026915826456</v>
      </c>
      <c r="AA1168" s="257">
        <f>altaz((J2000_Bas+(2*0.04167)),$O1168,$M1168,DecLat,DecLong,1)</f>
        <v>37.237154225529508</v>
      </c>
      <c r="AB1168" s="257">
        <f>altaz((J2000_Bas+(4*0.04167)),$O1168,$M1168,DecLat,DecLong,1)</f>
        <v>11.857000994589947</v>
      </c>
      <c r="AC1168" s="257">
        <f>altaz((J2000_Bas+(6*0.04167)),$O1168,$M1168,DecLat,DecLong,1)</f>
        <v>-13.64311098627663</v>
      </c>
      <c r="AD1168" s="258">
        <f>1+ transit((J2000_Bas-1),$O1168,$M1168,DecLat,DecLong)/360 + (GMTOffset/24) + (IF(DST="Y", 1, 0)/24)</f>
        <v>1.7335248865672082</v>
      </c>
      <c r="AE1168" s="259">
        <f>DATE(2001,9,21)+(M1168/360)*365 - (360*((DecLong/360)- (GMTOffset/24) ))</f>
        <v>37430.328125</v>
      </c>
      <c r="AF1168" s="260">
        <f>IF(DecLat&gt;0,IF((90 - (DecLat-O1168))&gt;90, (90 - (O1168-DecLat)), (90 - (DecLat-O1168))),IF((90 + (DecLat-O1168))&gt;90, (90 + (O1168-DecLat)), (90 + (DecLat-O1168))))</f>
        <v>64.650000000000006</v>
      </c>
      <c r="AG1168" s="257">
        <f>angularseperation(MoonRA,MoonDec,$M1168,$O1168)</f>
        <v>36.800739630178974</v>
      </c>
      <c r="AH1168" s="261">
        <f ca="1">MIN(100,IF($O$5&gt;80,0+30*($AG1168/100),IF($O$5&gt;70,0+50*($AG1168/100),IF($O$5&gt;60,5+50*($AG1168/100),IF($O$5&gt;50,10+60*($AG1168/100),IF($O$5&gt;40,15+70*($AG1168/100),IF($O$5&gt;30,20+70*($AG1168/100),IF($O$5&gt;20,40+55*($AG1168/100),(80+(20-$O$5)+30*($AG1168/100))))))))))</f>
        <v>94.311282233204125</v>
      </c>
      <c r="AI1168" s="262"/>
      <c r="AJ1168" s="263">
        <v>4665</v>
      </c>
      <c r="AK1168" s="263"/>
      <c r="AL1168" s="263"/>
      <c r="AM1168" s="264"/>
      <c r="AN1168" s="263"/>
      <c r="AO1168" s="263"/>
      <c r="AP1168" s="265"/>
      <c r="AQ1168" s="266"/>
      <c r="AR1168" s="267"/>
      <c r="AS1168" s="263"/>
      <c r="AT1168" s="263"/>
      <c r="AU1168" s="263"/>
      <c r="AV1168" s="264"/>
      <c r="AW1168" s="263"/>
      <c r="AX1168" s="263"/>
      <c r="AY1168" s="263"/>
      <c r="AZ1168" s="263"/>
      <c r="BA1168" s="263"/>
      <c r="BB1168" s="263"/>
      <c r="BC1168" s="263"/>
      <c r="BD1168" s="264"/>
      <c r="BE1168" s="263">
        <v>83</v>
      </c>
      <c r="BF1168" s="263"/>
      <c r="BG1168" s="263"/>
      <c r="BH1168" s="263"/>
      <c r="BI1168" s="263"/>
      <c r="BJ1168" s="404">
        <f>altaz(J2000_Bas,$O1168,$M1168,DecLat,DecLong,2)</f>
        <v>219.60052684496915</v>
      </c>
      <c r="BK1168" s="378" t="s">
        <v>1224</v>
      </c>
      <c r="BL1168" s="379">
        <f>IF((2*G1168)/60&lt;0.2,0.2,(2*G1168)/60)</f>
        <v>2</v>
      </c>
      <c r="BM1168" s="380">
        <f>MOD((50000+AD1168-$B$3+(0/24)),1)</f>
        <v>0.94889181626786012</v>
      </c>
      <c r="BN1168" s="381"/>
      <c r="BO1168" s="382">
        <v>1162</v>
      </c>
    </row>
    <row r="1169" spans="1:67" s="24" customFormat="1" ht="15" customHeight="1" x14ac:dyDescent="0.25">
      <c r="A1169" s="288" t="s">
        <v>1225</v>
      </c>
      <c r="B1169" s="241" t="str">
        <f>HYPERLINK(CONCATENATE($AT$3,BK1169,$AU$3),$AV$3)</f>
        <v>S</v>
      </c>
      <c r="C1169" s="242" t="str">
        <f>HYPERLINK(CONCATENATE($AT$4,BK1169,$AU$4,BL1169),$AV$4)</f>
        <v>A</v>
      </c>
      <c r="D1169" s="243" t="s">
        <v>5187</v>
      </c>
      <c r="E1169" s="244" t="s">
        <v>5183</v>
      </c>
      <c r="F1169" s="269" t="s">
        <v>9182</v>
      </c>
      <c r="G1169" s="276">
        <v>35</v>
      </c>
      <c r="H1169" s="283">
        <v>4000</v>
      </c>
      <c r="I1169" s="246">
        <v>40</v>
      </c>
      <c r="J1169" s="246">
        <v>4</v>
      </c>
      <c r="K1169" s="247" t="s">
        <v>9372</v>
      </c>
      <c r="L1169" s="248">
        <v>180918</v>
      </c>
      <c r="M1169" s="249">
        <f>15*(LEFT(TEXT($L1169,"000000"),2)+(MID(TEXT($L1169,"000000"),3,2)/60)+(RIGHT(TEXT($L1169,"000000"),2)/3600))</f>
        <v>272.32499999999999</v>
      </c>
      <c r="N1169" s="250">
        <v>-235916</v>
      </c>
      <c r="O1169" s="251">
        <f>IF($N1169&gt;0,(LEFT(TEXT($N1169,"000000"),2)+(MID(TEXT($N1169,"000000"),3,2)/60)+(RIGHT(TEXT($N1169,"000000"),2)/3600)),-(MID(TEXT($N1169,"000000"),2,2)+(MID(TEXT($N1169,"000000"),4,2)/60)+(RIGHT(TEXT($N1169,"000000"),2)/3600)))</f>
        <v>-23.987777777777779</v>
      </c>
      <c r="P1169" s="252" t="s">
        <v>119</v>
      </c>
      <c r="Q1169" s="253"/>
      <c r="R1169" s="247" t="s">
        <v>3293</v>
      </c>
      <c r="S1169" s="272" t="s">
        <v>4694</v>
      </c>
      <c r="T1169" s="273"/>
      <c r="U1169" s="274"/>
      <c r="V1169" s="280"/>
      <c r="W1169" s="244"/>
      <c r="X1169" s="244"/>
      <c r="Y1169" s="362"/>
      <c r="Z1169" s="257">
        <f>altaz(J2000_Bas,$O1169,$M1169,DecLat,DecLong,1)</f>
        <v>33.472908483761188</v>
      </c>
      <c r="AA1169" s="257">
        <f>altaz((J2000_Bas+(2*0.04167)),$O1169,$M1169,DecLat,DecLong,1)</f>
        <v>20.867586127824097</v>
      </c>
      <c r="AB1169" s="257">
        <f>altaz((J2000_Bas+(4*0.04167)),$O1169,$M1169,DecLat,DecLong,1)</f>
        <v>0.48645655280186062</v>
      </c>
      <c r="AC1169" s="257">
        <f>altaz((J2000_Bas+(6*0.04167)),$O1169,$M1169,DecLat,DecLong,1)</f>
        <v>-23.448857598216005</v>
      </c>
      <c r="AD1169" s="258">
        <f>1+ transit((J2000_Bas-1),$O1169,$M1169,DecLat,DecLong)/360 + (GMTOffset/24) + (IF(DST="Y", 1, 0)/24)</f>
        <v>1.7493582183172081</v>
      </c>
      <c r="AE1169" s="259">
        <f>DATE(2001,9,21)+(M1169/360)*365 - (360*((DecLong/360)- (GMTOffset/24) ))</f>
        <v>37436.107291666667</v>
      </c>
      <c r="AF1169" s="260">
        <f>IF(DecLat&gt;0,IF((90 - (DecLat-O1169))&gt;90, (90 - (O1169-DecLat)), (90 - (DecLat-O1169))),IF((90 + (DecLat-O1169))&gt;90, (90 + (O1169-DecLat)), (90 + (DecLat-O1169))))</f>
        <v>35.012222222222221</v>
      </c>
      <c r="AG1169" s="257">
        <f>angularseperation(MoonRA,MoonDec,$M1169,$O1169)</f>
        <v>21.026638978579065</v>
      </c>
      <c r="AH1169" s="261">
        <f ca="1">MIN(100,IF($O$5&gt;80,0+30*($AG1169/100),IF($O$5&gt;70,0+50*($AG1169/100),IF($O$5&gt;60,5+50*($AG1169/100),IF($O$5&gt;50,10+60*($AG1169/100),IF($O$5&gt;40,15+70*($AG1169/100),IF($O$5&gt;30,20+70*($AG1169/100),IF($O$5&gt;20,40+55*($AG1169/100),(80+(20-$O$5)+30*($AG1169/100))))))))))</f>
        <v>89.579052037724153</v>
      </c>
      <c r="AI1169" s="262"/>
      <c r="AJ1169" s="263">
        <v>4685</v>
      </c>
      <c r="AK1169" s="263"/>
      <c r="AL1169" s="263"/>
      <c r="AM1169" s="264"/>
      <c r="AN1169" s="263"/>
      <c r="AO1169" s="263"/>
      <c r="AP1169" s="265"/>
      <c r="AQ1169" s="266"/>
      <c r="AR1169" s="267"/>
      <c r="AS1169" s="263"/>
      <c r="AT1169" s="263"/>
      <c r="AU1169" s="263"/>
      <c r="AV1169" s="264"/>
      <c r="AW1169" s="263"/>
      <c r="AX1169" s="263"/>
      <c r="AY1169" s="263"/>
      <c r="AZ1169" s="263"/>
      <c r="BA1169" s="263"/>
      <c r="BB1169" s="263"/>
      <c r="BC1169" s="263"/>
      <c r="BD1169" s="264"/>
      <c r="BE1169" s="263"/>
      <c r="BF1169" s="263"/>
      <c r="BG1169" s="263"/>
      <c r="BH1169" s="263"/>
      <c r="BI1169" s="263">
        <v>79</v>
      </c>
      <c r="BJ1169" s="404">
        <f>altaz(J2000_Bas,$O1169,$M1169,DecLat,DecLong,2)</f>
        <v>195.01018892693344</v>
      </c>
      <c r="BK1169" s="378" t="s">
        <v>1225</v>
      </c>
      <c r="BL1169" s="379">
        <f>IF((2*G1169)/60&lt;0.2,0.2,(2*G1169)/60)</f>
        <v>1.1666666666666667</v>
      </c>
      <c r="BM1169" s="380">
        <f>MOD((50000+AD1169-$B$3+(0/24)),1)</f>
        <v>0.96472514802007936</v>
      </c>
      <c r="BN1169" s="381"/>
      <c r="BO1169" s="382">
        <v>1163</v>
      </c>
    </row>
    <row r="1170" spans="1:67" s="24" customFormat="1" ht="15" customHeight="1" x14ac:dyDescent="0.25">
      <c r="A1170" s="288" t="s">
        <v>1226</v>
      </c>
      <c r="B1170" s="241" t="str">
        <f>HYPERLINK(CONCATENATE($AT$3,BK1170,$AU$3),$AV$3)</f>
        <v>S</v>
      </c>
      <c r="C1170" s="242" t="str">
        <f>HYPERLINK(CONCATENATE($AT$4,BK1170,$AU$4,BL1170),$AV$4)</f>
        <v>A</v>
      </c>
      <c r="D1170" s="243" t="s">
        <v>5335</v>
      </c>
      <c r="E1170" s="244" t="s">
        <v>5185</v>
      </c>
      <c r="F1170" s="269" t="s">
        <v>4441</v>
      </c>
      <c r="G1170" s="276">
        <v>40</v>
      </c>
      <c r="H1170" s="283">
        <v>1300</v>
      </c>
      <c r="I1170" s="246">
        <v>15</v>
      </c>
      <c r="J1170" s="246">
        <v>2</v>
      </c>
      <c r="K1170" s="247" t="s">
        <v>4696</v>
      </c>
      <c r="L1170" s="248">
        <v>183854</v>
      </c>
      <c r="M1170" s="249">
        <f>15*(LEFT(TEXT($L1170,"000000"),2)+(MID(TEXT($L1170,"000000"),3,2)/60)+(RIGHT(TEXT($L1170,"000000"),2)/3600))</f>
        <v>279.72500000000002</v>
      </c>
      <c r="N1170" s="250">
        <v>52700</v>
      </c>
      <c r="O1170" s="251">
        <f>IF($N1170&gt;0,(LEFT(TEXT($N1170,"000000"),2)+(MID(TEXT($N1170,"000000"),3,2)/60)+(RIGHT(TEXT($N1170,"000000"),2)/3600)),-(MID(TEXT($N1170,"000000"),2,2)+(MID(TEXT($N1170,"000000"),4,2)/60)+(RIGHT(TEXT($N1170,"000000"),2)/3600)))</f>
        <v>5.45</v>
      </c>
      <c r="P1170" s="252" t="s">
        <v>115</v>
      </c>
      <c r="Q1170" s="253" t="s">
        <v>4695</v>
      </c>
      <c r="R1170" s="247" t="s">
        <v>3293</v>
      </c>
      <c r="S1170" s="272" t="s">
        <v>3293</v>
      </c>
      <c r="T1170" s="273">
        <v>4.5999999999999996</v>
      </c>
      <c r="U1170" s="274"/>
      <c r="V1170" s="280"/>
      <c r="W1170" s="244"/>
      <c r="X1170" s="244"/>
      <c r="Y1170" s="362"/>
      <c r="Z1170" s="257">
        <f>altaz(J2000_Bas,$O1170,$M1170,DecLat,DecLong,1)</f>
        <v>63.77850557094802</v>
      </c>
      <c r="AA1170" s="257">
        <f>altaz((J2000_Bas+(2*0.04167)),$O1170,$M1170,DecLat,DecLong,1)</f>
        <v>47.396926114355587</v>
      </c>
      <c r="AB1170" s="257">
        <f>altaz((J2000_Bas+(4*0.04167)),$O1170,$M1170,DecLat,DecLong,1)</f>
        <v>22.947902311049461</v>
      </c>
      <c r="AC1170" s="257">
        <f>altaz((J2000_Bas+(6*0.04167)),$O1170,$M1170,DecLat,DecLong,1)</f>
        <v>-2.7593517487355284</v>
      </c>
      <c r="AD1170" s="258">
        <f>1+ transit((J2000_Bas-1),$O1170,$M1170,DecLat,DecLong)/360 + (GMTOffset/24) + (IF(DST="Y", 1, 0)/24)</f>
        <v>1.769913771817208</v>
      </c>
      <c r="AE1170" s="259">
        <f>DATE(2001,9,21)+(M1170/360)*365 - (360*((DecLong/360)- (GMTOffset/24) ))</f>
        <v>37443.610069444447</v>
      </c>
      <c r="AF1170" s="260">
        <f>IF(DecLat&gt;0,IF((90 - (DecLat-O1170))&gt;90, (90 - (O1170-DecLat)), (90 - (DecLat-O1170))),IF((90 + (DecLat-O1170))&gt;90, (90 + (O1170-DecLat)), (90 + (DecLat-O1170))))</f>
        <v>64.45</v>
      </c>
      <c r="AG1170" s="257">
        <f>angularseperation(MoonRA,MoonDec,$M1170,$O1170)</f>
        <v>43.898913590903454</v>
      </c>
      <c r="AH1170" s="261">
        <f ca="1">MIN(100,IF($O$5&gt;80,0+30*($AG1170/100),IF($O$5&gt;70,0+50*($AG1170/100),IF($O$5&gt;60,5+50*($AG1170/100),IF($O$5&gt;50,10+60*($AG1170/100),IF($O$5&gt;40,15+70*($AG1170/100),IF($O$5&gt;30,20+70*($AG1170/100),IF($O$5&gt;20,40+55*($AG1170/100),(80+(20-$O$5)+30*($AG1170/100))))))))))</f>
        <v>96.440734421421467</v>
      </c>
      <c r="AI1170" s="262"/>
      <c r="AJ1170" s="263">
        <v>4756</v>
      </c>
      <c r="AK1170" s="263"/>
      <c r="AL1170" s="263"/>
      <c r="AM1170" s="264"/>
      <c r="AN1170" s="263"/>
      <c r="AO1170" s="263"/>
      <c r="AP1170" s="265"/>
      <c r="AQ1170" s="266"/>
      <c r="AR1170" s="267"/>
      <c r="AS1170" s="263"/>
      <c r="AT1170" s="263"/>
      <c r="AU1170" s="263"/>
      <c r="AV1170" s="264"/>
      <c r="AW1170" s="263"/>
      <c r="AX1170" s="263"/>
      <c r="AY1170" s="263"/>
      <c r="AZ1170" s="263"/>
      <c r="BA1170" s="263"/>
      <c r="BB1170" s="263"/>
      <c r="BC1170" s="263"/>
      <c r="BD1170" s="264"/>
      <c r="BE1170" s="263">
        <v>93</v>
      </c>
      <c r="BF1170" s="263"/>
      <c r="BG1170" s="263"/>
      <c r="BH1170" s="263"/>
      <c r="BI1170" s="263"/>
      <c r="BJ1170" s="404">
        <f>altaz(J2000_Bas,$O1170,$M1170,DecLat,DecLong,2)</f>
        <v>194.26216270921779</v>
      </c>
      <c r="BK1170" s="378" t="s">
        <v>1226</v>
      </c>
      <c r="BL1170" s="379">
        <f>IF((2*G1170)/60&lt;0.2,0.2,(2*G1170)/60)</f>
        <v>1.3333333333333333</v>
      </c>
      <c r="BM1170" s="380">
        <f>MOD((50000+AD1170-$B$3+(0/24)),1)</f>
        <v>0.98528070151951397</v>
      </c>
      <c r="BN1170" s="381"/>
      <c r="BO1170" s="382">
        <v>1164</v>
      </c>
    </row>
    <row r="1171" spans="1:67" s="24" customFormat="1" ht="15" customHeight="1" x14ac:dyDescent="0.25">
      <c r="A1171" s="288" t="s">
        <v>1227</v>
      </c>
      <c r="B1171" s="241" t="str">
        <f>HYPERLINK(CONCATENATE($AT$3,BK1171,$AU$3),$AV$3)</f>
        <v>S</v>
      </c>
      <c r="C1171" s="242" t="str">
        <f>HYPERLINK(CONCATENATE($AT$4,BK1171,$AU$4,BL1171),$AV$4)</f>
        <v>A</v>
      </c>
      <c r="D1171" s="243" t="s">
        <v>5187</v>
      </c>
      <c r="E1171" s="244" t="s">
        <v>5186</v>
      </c>
      <c r="F1171" s="269"/>
      <c r="G1171" s="273">
        <v>2</v>
      </c>
      <c r="H1171" s="283">
        <v>6000</v>
      </c>
      <c r="I1171" s="279">
        <v>3.6</v>
      </c>
      <c r="J1171" s="246">
        <v>2</v>
      </c>
      <c r="K1171" s="247" t="s">
        <v>4698</v>
      </c>
      <c r="L1171" s="248">
        <v>200445</v>
      </c>
      <c r="M1171" s="249">
        <f>15*(LEFT(TEXT($L1171,"000000"),2)+(MID(TEXT($L1171,"000000"),3,2)/60)+(RIGHT(TEXT($L1171,"000000"),2)/3600))</f>
        <v>301.1875</v>
      </c>
      <c r="N1171" s="250">
        <v>291510</v>
      </c>
      <c r="O1171" s="251">
        <f>IF($N1171&gt;0,(LEFT(TEXT($N1171,"000000"),2)+(MID(TEXT($N1171,"000000"),3,2)/60)+(RIGHT(TEXT($N1171,"000000"),2)/3600)),-(MID(TEXT($N1171,"000000"),2,2)+(MID(TEXT($N1171,"000000"),4,2)/60)+(RIGHT(TEXT($N1171,"000000"),2)/3600)))</f>
        <v>29.252777777777776</v>
      </c>
      <c r="P1171" s="252" t="s">
        <v>133</v>
      </c>
      <c r="Q1171" s="253"/>
      <c r="R1171" s="247" t="s">
        <v>3293</v>
      </c>
      <c r="S1171" s="272" t="s">
        <v>4697</v>
      </c>
      <c r="T1171" s="273"/>
      <c r="U1171" s="274"/>
      <c r="V1171" s="280"/>
      <c r="W1171" s="244"/>
      <c r="X1171" s="244"/>
      <c r="Y1171" s="362"/>
      <c r="Z1171" s="257">
        <f>altaz(J2000_Bas,$O1171,$M1171,DecLat,DecLong,1)</f>
        <v>76.761247365714198</v>
      </c>
      <c r="AA1171" s="257">
        <f>altaz((J2000_Bas+(2*0.04167)),$O1171,$M1171,DecLat,DecLong,1)</f>
        <v>77.005171935015383</v>
      </c>
      <c r="AB1171" s="257">
        <f>altaz((J2000_Bas+(4*0.04167)),$O1171,$M1171,DecLat,DecLong,1)</f>
        <v>51.319133512341601</v>
      </c>
      <c r="AC1171" s="257">
        <f>altaz((J2000_Bas+(6*0.04167)),$O1171,$M1171,DecLat,DecLong,1)</f>
        <v>26.383188779403579</v>
      </c>
      <c r="AD1171" s="258">
        <f>1+ transit((J2000_Bas-1),$O1171,$M1171,DecLat,DecLong)/360 + (GMTOffset/24) + (IF(DST="Y", 1, 0)/24)</f>
        <v>1.8295318214109579</v>
      </c>
      <c r="AE1171" s="259">
        <f>DATE(2001,9,21)+(M1171/360)*365 - (360*((DecLong/360)- (GMTOffset/24) ))</f>
        <v>37465.370659722219</v>
      </c>
      <c r="AF1171" s="260">
        <f>IF(DecLat&gt;0,IF((90 - (DecLat-O1171))&gt;90, (90 - (O1171-DecLat)), (90 - (DecLat-O1171))),IF((90 + (DecLat-O1171))&gt;90, (90 + (O1171-DecLat)), (90 + (DecLat-O1171))))</f>
        <v>88.25277777777778</v>
      </c>
      <c r="AG1171" s="257">
        <f>angularseperation(MoonRA,MoonDec,$M1171,$O1171)</f>
        <v>75.147160466684113</v>
      </c>
      <c r="AH1171" s="261">
        <f ca="1">MIN(100,IF($O$5&gt;80,0+30*($AG1171/100),IF($O$5&gt;70,0+50*($AG1171/100),IF($O$5&gt;60,5+50*($AG1171/100),IF($O$5&gt;50,10+60*($AG1171/100),IF($O$5&gt;40,15+70*($AG1171/100),IF($O$5&gt;30,20+70*($AG1171/100),IF($O$5&gt;20,40+55*($AG1171/100),(80+(20-$O$5)+30*($AG1171/100))))))))))</f>
        <v>100</v>
      </c>
      <c r="AI1171" s="262"/>
      <c r="AJ1171" s="263">
        <v>4954</v>
      </c>
      <c r="AK1171" s="263"/>
      <c r="AL1171" s="263"/>
      <c r="AM1171" s="264"/>
      <c r="AN1171" s="263"/>
      <c r="AO1171" s="263"/>
      <c r="AP1171" s="265"/>
      <c r="AQ1171" s="266"/>
      <c r="AR1171" s="267"/>
      <c r="AS1171" s="263"/>
      <c r="AT1171" s="263"/>
      <c r="AU1171" s="263"/>
      <c r="AV1171" s="264"/>
      <c r="AW1171" s="263"/>
      <c r="AX1171" s="263"/>
      <c r="AY1171" s="263"/>
      <c r="AZ1171" s="263"/>
      <c r="BA1171" s="263"/>
      <c r="BB1171" s="263"/>
      <c r="BC1171" s="263"/>
      <c r="BD1171" s="264"/>
      <c r="BE1171" s="263"/>
      <c r="BF1171" s="263"/>
      <c r="BG1171" s="263"/>
      <c r="BH1171" s="263"/>
      <c r="BI1171" s="263"/>
      <c r="BJ1171" s="404">
        <f>altaz(J2000_Bas,$O1171,$M1171,DecLat,DecLong,2)</f>
        <v>93.705661363541552</v>
      </c>
      <c r="BK1171" s="378" t="s">
        <v>1227</v>
      </c>
      <c r="BL1171" s="379">
        <f>IF((2*G1171)/60&lt;0.2,0.2,(2*G1171)/60)</f>
        <v>0.2</v>
      </c>
      <c r="BM1171" s="380">
        <f>MOD((50000+AD1171-$B$3+(0/24)),1)</f>
        <v>4.4898751111759339E-2</v>
      </c>
      <c r="BN1171" s="381"/>
      <c r="BO1171" s="382">
        <v>1165</v>
      </c>
    </row>
    <row r="1172" spans="1:67" s="24" customFormat="1" ht="15" customHeight="1" x14ac:dyDescent="0.25">
      <c r="A1172" s="288" t="s">
        <v>1228</v>
      </c>
      <c r="B1172" s="241" t="str">
        <f>HYPERLINK(CONCATENATE($AT$3,BK1172,$AU$3),$AV$3)</f>
        <v>S</v>
      </c>
      <c r="C1172" s="242" t="str">
        <f>HYPERLINK(CONCATENATE($AT$4,BK1172,$AU$4,BL1172),$AV$4)</f>
        <v>A</v>
      </c>
      <c r="D1172" s="243" t="s">
        <v>5335</v>
      </c>
      <c r="E1172" s="244" t="s">
        <v>5185</v>
      </c>
      <c r="F1172" s="269" t="s">
        <v>4700</v>
      </c>
      <c r="G1172" s="273">
        <v>4</v>
      </c>
      <c r="H1172" s="283">
        <v>6000</v>
      </c>
      <c r="I1172" s="279">
        <v>6.6</v>
      </c>
      <c r="J1172" s="246">
        <v>2</v>
      </c>
      <c r="K1172" s="247" t="s">
        <v>6385</v>
      </c>
      <c r="L1172" s="248">
        <v>201636</v>
      </c>
      <c r="M1172" s="249">
        <f>15*(LEFT(TEXT($L1172,"000000"),2)+(MID(TEXT($L1172,"000000"),3,2)/60)+(RIGHT(TEXT($L1172,"000000"),2)/3600))</f>
        <v>304.15000000000003</v>
      </c>
      <c r="N1172" s="250">
        <v>373300</v>
      </c>
      <c r="O1172" s="251">
        <f>IF($N1172&gt;0,(LEFT(TEXT($N1172,"000000"),2)+(MID(TEXT($N1172,"000000"),3,2)/60)+(RIGHT(TEXT($N1172,"000000"),2)/3600)),-(MID(TEXT($N1172,"000000"),2,2)+(MID(TEXT($N1172,"000000"),4,2)/60)+(RIGHT(TEXT($N1172,"000000"),2)/3600)))</f>
        <v>37.549999999999997</v>
      </c>
      <c r="P1172" s="252" t="s">
        <v>60</v>
      </c>
      <c r="Q1172" s="253"/>
      <c r="R1172" s="277" t="s">
        <v>3293</v>
      </c>
      <c r="S1172" s="272" t="s">
        <v>4699</v>
      </c>
      <c r="T1172" s="273">
        <v>7.3</v>
      </c>
      <c r="U1172" s="274"/>
      <c r="V1172" s="280"/>
      <c r="W1172" s="244"/>
      <c r="X1172" s="244"/>
      <c r="Y1172" s="362"/>
      <c r="Z1172" s="257">
        <f>altaz(J2000_Bas,$O1172,$M1172,DecLat,DecLong,1)</f>
        <v>73.672269135985175</v>
      </c>
      <c r="AA1172" s="257">
        <f>altaz((J2000_Bas+(2*0.04167)),$O1172,$M1172,DecLat,DecLong,1)</f>
        <v>78.17463280946653</v>
      </c>
      <c r="AB1172" s="257">
        <f>altaz((J2000_Bas+(4*0.04167)),$O1172,$M1172,DecLat,DecLong,1)</f>
        <v>54.959503658505135</v>
      </c>
      <c r="AC1172" s="257">
        <f>altaz((J2000_Bas+(6*0.04167)),$O1172,$M1172,DecLat,DecLong,1)</f>
        <v>31.513189202692121</v>
      </c>
      <c r="AD1172" s="258">
        <f>1+ transit((J2000_Bas-1),$O1172,$M1172,DecLat,DecLong)/360 + (GMTOffset/24) + (IF(DST="Y", 1, 0)/24)</f>
        <v>1.8377609872547083</v>
      </c>
      <c r="AE1172" s="259">
        <f>DATE(2001,9,21)+(M1172/360)*365 - (360*((DecLong/360)- (GMTOffset/24) ))</f>
        <v>37468.374305555553</v>
      </c>
      <c r="AF1172" s="260">
        <f>IF(DecLat&gt;0,IF((90 - (DecLat-O1172))&gt;90, (90 - (O1172-DecLat)), (90 - (DecLat-O1172))),IF((90 + (DecLat-O1172))&gt;90, (90 + (O1172-DecLat)), (90 + (DecLat-O1172))))</f>
        <v>83.45</v>
      </c>
      <c r="AG1172" s="257">
        <f>angularseperation(MoonRA,MoonDec,$M1172,$O1172)</f>
        <v>82.627444688895451</v>
      </c>
      <c r="AH1172" s="261">
        <f ca="1">MIN(100,IF($O$5&gt;80,0+30*($AG1172/100),IF($O$5&gt;70,0+50*($AG1172/100),IF($O$5&gt;60,5+50*($AG1172/100),IF($O$5&gt;50,10+60*($AG1172/100),IF($O$5&gt;40,15+70*($AG1172/100),IF($O$5&gt;30,20+70*($AG1172/100),IF($O$5&gt;20,40+55*($AG1172/100),(80+(20-$O$5)+30*($AG1172/100))))))))))</f>
        <v>100</v>
      </c>
      <c r="AI1172" s="263"/>
      <c r="AJ1172" s="263">
        <v>4996</v>
      </c>
      <c r="AK1172" s="263"/>
      <c r="AL1172" s="263"/>
      <c r="AM1172" s="264"/>
      <c r="AN1172" s="263"/>
      <c r="AO1172" s="263"/>
      <c r="AP1172" s="265"/>
      <c r="AQ1172" s="265"/>
      <c r="AR1172" s="285"/>
      <c r="AS1172" s="263"/>
      <c r="AT1172" s="263"/>
      <c r="AU1172" s="263"/>
      <c r="AV1172" s="264"/>
      <c r="AW1172" s="263"/>
      <c r="AX1172" s="263"/>
      <c r="AY1172" s="263"/>
      <c r="AZ1172" s="263"/>
      <c r="BA1172" s="263"/>
      <c r="BB1172" s="263"/>
      <c r="BC1172" s="263"/>
      <c r="BD1172" s="264"/>
      <c r="BE1172" s="263"/>
      <c r="BF1172" s="263"/>
      <c r="BG1172" s="263"/>
      <c r="BH1172" s="263"/>
      <c r="BI1172" s="263"/>
      <c r="BJ1172" s="404">
        <f>altaz(J2000_Bas,$O1172,$M1172,DecLat,DecLong,2)</f>
        <v>61.444999238263414</v>
      </c>
      <c r="BK1172" s="378" t="s">
        <v>1228</v>
      </c>
      <c r="BL1172" s="379">
        <f>IF((2*G1172)/60&lt;0.2,0.2,(2*G1172)/60)</f>
        <v>0.2</v>
      </c>
      <c r="BM1172" s="380">
        <f>MOD((50000+AD1172-$B$3+(0/24)),1)</f>
        <v>5.3127916959056165E-2</v>
      </c>
      <c r="BN1172" s="381"/>
      <c r="BO1172" s="382">
        <v>1166</v>
      </c>
    </row>
    <row r="1173" spans="1:67" s="24" customFormat="1" ht="15" customHeight="1" x14ac:dyDescent="0.25">
      <c r="A1173" s="288" t="s">
        <v>1229</v>
      </c>
      <c r="B1173" s="241" t="str">
        <f>HYPERLINK(CONCATENATE($AT$3,BK1173,$AU$3),$AV$3)</f>
        <v>S</v>
      </c>
      <c r="C1173" s="242" t="str">
        <f>HYPERLINK(CONCATENATE($AT$4,BK1173,$AU$4,BL1173),$AV$4)</f>
        <v>A</v>
      </c>
      <c r="D1173" s="243" t="s">
        <v>5638</v>
      </c>
      <c r="E1173" s="244" t="s">
        <v>5182</v>
      </c>
      <c r="F1173" s="269" t="s">
        <v>8903</v>
      </c>
      <c r="G1173" s="273">
        <v>1.7</v>
      </c>
      <c r="H1173" s="283">
        <v>100</v>
      </c>
      <c r="I1173" s="246">
        <v>50</v>
      </c>
      <c r="J1173" s="246">
        <v>2</v>
      </c>
      <c r="K1173" s="247" t="s">
        <v>4701</v>
      </c>
      <c r="L1173" s="248">
        <v>202834</v>
      </c>
      <c r="M1173" s="249">
        <f>15*(LEFT(TEXT($L1173,"000000"),2)+(MID(TEXT($L1173,"000000"),3,2)/60)+(RIGHT(TEXT($L1173,"000000"),2)/3600))</f>
        <v>307.14166666666665</v>
      </c>
      <c r="N1173" s="250">
        <v>-360137</v>
      </c>
      <c r="O1173" s="251">
        <f>IF($N1173&gt;0,(LEFT(TEXT($N1173,"000000"),2)+(MID(TEXT($N1173,"000000"),3,2)/60)+(RIGHT(TEXT($N1173,"000000"),2)/3600)),-(MID(TEXT($N1173,"000000"),2,2)+(MID(TEXT($N1173,"000000"),4,2)/60)+(RIGHT(TEXT($N1173,"000000"),2)/3600)))</f>
        <v>-36.026944444444446</v>
      </c>
      <c r="P1173" s="252" t="s">
        <v>1231</v>
      </c>
      <c r="Q1173" s="253"/>
      <c r="R1173" s="247" t="s">
        <v>1230</v>
      </c>
      <c r="S1173" s="272" t="s">
        <v>3293</v>
      </c>
      <c r="T1173" s="273">
        <v>11.7</v>
      </c>
      <c r="U1173" s="289">
        <v>21.69</v>
      </c>
      <c r="V1173" s="280"/>
      <c r="W1173" s="244"/>
      <c r="X1173" s="244"/>
      <c r="Y1173" s="362"/>
      <c r="Z1173" s="257">
        <f>altaz(J2000_Bas,$O1173,$M1173,DecLat,DecLong,1)</f>
        <v>20.099387858125812</v>
      </c>
      <c r="AA1173" s="257">
        <f>altaz((J2000_Bas+(2*0.04167)),$O1173,$M1173,DecLat,DecLong,1)</f>
        <v>22.449331981304837</v>
      </c>
      <c r="AB1173" s="257">
        <f>altaz((J2000_Bas+(4*0.04167)),$O1173,$M1173,DecLat,DecLong,1)</f>
        <v>13.625881641229913</v>
      </c>
      <c r="AC1173" s="257">
        <f>altaz((J2000_Bas+(6*0.04167)),$O1173,$M1173,DecLat,DecLong,1)</f>
        <v>-3.1983424003638756</v>
      </c>
      <c r="AD1173" s="258">
        <f>1+ transit((J2000_Bas-1),$O1173,$M1173,DecLat,DecLong)/360 + (GMTOffset/24) + (IF(DST="Y", 1, 0)/24)</f>
        <v>1.8460711716088747</v>
      </c>
      <c r="AE1173" s="259">
        <f>DATE(2001,9,21)+(M1173/360)*365 - (360*((DecLong/360)- (GMTOffset/24) ))</f>
        <v>37471.407523148147</v>
      </c>
      <c r="AF1173" s="260">
        <f>IF(DecLat&gt;0,IF((90 - (DecLat-O1173))&gt;90, (90 - (O1173-DecLat)), (90 - (DecLat-O1173))),IF((90 + (DecLat-O1173))&gt;90, (90 + (O1173-DecLat)), (90 + (DecLat-O1173))))</f>
        <v>22.973055555555561</v>
      </c>
      <c r="AG1173" s="257">
        <f>angularseperation(MoonRA,MoonDec,$M1173,$O1173)</f>
        <v>49.42608674303014</v>
      </c>
      <c r="AH1173" s="261">
        <f ca="1">MIN(100,IF($O$5&gt;80,0+30*($AG1173/100),IF($O$5&gt;70,0+50*($AG1173/100),IF($O$5&gt;60,5+50*($AG1173/100),IF($O$5&gt;50,10+60*($AG1173/100),IF($O$5&gt;40,15+70*($AG1173/100),IF($O$5&gt;30,20+70*($AG1173/100),IF($O$5&gt;20,40+55*($AG1173/100),(80+(20-$O$5)+30*($AG1173/100))))))))))</f>
        <v>98.098886367059464</v>
      </c>
      <c r="AI1173" s="262"/>
      <c r="AJ1173" s="263">
        <v>5011</v>
      </c>
      <c r="AK1173" s="263"/>
      <c r="AL1173" s="263"/>
      <c r="AM1173" s="264"/>
      <c r="AN1173" s="263"/>
      <c r="AO1173" s="263"/>
      <c r="AP1173" s="265"/>
      <c r="AQ1173" s="266"/>
      <c r="AR1173" s="267">
        <v>64772</v>
      </c>
      <c r="AS1173" s="263"/>
      <c r="AT1173" s="263"/>
      <c r="AU1173" s="263"/>
      <c r="AV1173" s="264"/>
      <c r="AW1173" s="263"/>
      <c r="AX1173" s="263"/>
      <c r="AY1173" s="263"/>
      <c r="AZ1173" s="263"/>
      <c r="BA1173" s="263"/>
      <c r="BB1173" s="263"/>
      <c r="BC1173" s="263"/>
      <c r="BD1173" s="264"/>
      <c r="BE1173" s="263"/>
      <c r="BF1173" s="263"/>
      <c r="BG1173" s="263"/>
      <c r="BH1173" s="263"/>
      <c r="BI1173" s="263"/>
      <c r="BJ1173" s="404">
        <f>altaz(J2000_Bas,$O1173,$M1173,DecLat,DecLong,2)</f>
        <v>161.90626185617691</v>
      </c>
      <c r="BK1173" s="378" t="s">
        <v>1229</v>
      </c>
      <c r="BL1173" s="379">
        <f>IF((2*G1173)/60&lt;0.2,0.2,(2*G1173)/60)</f>
        <v>0.2</v>
      </c>
      <c r="BM1173" s="380">
        <f>MOD((50000+AD1173-$B$3+(0/24)),1)</f>
        <v>6.1438101314706728E-2</v>
      </c>
      <c r="BN1173" s="381"/>
      <c r="BO1173" s="382">
        <v>1167</v>
      </c>
    </row>
    <row r="1174" spans="1:67" s="24" customFormat="1" ht="15" customHeight="1" x14ac:dyDescent="0.25">
      <c r="A1174" s="288" t="s">
        <v>1232</v>
      </c>
      <c r="B1174" s="241" t="str">
        <f>HYPERLINK(CONCATENATE($AT$3,BK1174,$AU$3),$AV$3)</f>
        <v>S</v>
      </c>
      <c r="C1174" s="242" t="str">
        <f>HYPERLINK(CONCATENATE($AT$4,BK1174,$AU$4,BL1174),$AV$4)</f>
        <v>A</v>
      </c>
      <c r="D1174" s="243" t="s">
        <v>5638</v>
      </c>
      <c r="E1174" s="244" t="s">
        <v>5182</v>
      </c>
      <c r="F1174" s="269" t="s">
        <v>3300</v>
      </c>
      <c r="G1174" s="273">
        <v>3</v>
      </c>
      <c r="H1174" s="283">
        <v>150</v>
      </c>
      <c r="I1174" s="246">
        <v>130</v>
      </c>
      <c r="J1174" s="246">
        <v>2</v>
      </c>
      <c r="K1174" s="247" t="s">
        <v>4702</v>
      </c>
      <c r="L1174" s="248">
        <v>203038</v>
      </c>
      <c r="M1174" s="249">
        <f>15*(LEFT(TEXT($L1174,"000000"),2)+(MID(TEXT($L1174,"000000"),3,2)/60)+(RIGHT(TEXT($L1174,"000000"),2)/3600))</f>
        <v>307.6583333333333</v>
      </c>
      <c r="N1174" s="250">
        <v>-332907</v>
      </c>
      <c r="O1174" s="251">
        <f>IF($N1174&gt;0,(LEFT(TEXT($N1174,"000000"),2)+(MID(TEXT($N1174,"000000"),3,2)/60)+(RIGHT(TEXT($N1174,"000000"),2)/3600)),-(MID(TEXT($N1174,"000000"),2,2)+(MID(TEXT($N1174,"000000"),4,2)/60)+(RIGHT(TEXT($N1174,"000000"),2)/3600)))</f>
        <v>-33.485277777777782</v>
      </c>
      <c r="P1174" s="252" t="s">
        <v>1231</v>
      </c>
      <c r="Q1174" s="253"/>
      <c r="R1174" s="247" t="s">
        <v>3293</v>
      </c>
      <c r="S1174" s="272" t="s">
        <v>3293</v>
      </c>
      <c r="T1174" s="273">
        <v>13</v>
      </c>
      <c r="U1174" s="289">
        <v>22.990000000000002</v>
      </c>
      <c r="V1174" s="280"/>
      <c r="W1174" s="244"/>
      <c r="X1174" s="244"/>
      <c r="Y1174" s="362"/>
      <c r="Z1174" s="257">
        <f>altaz(J2000_Bas,$O1174,$M1174,DecLat,DecLong,1)</f>
        <v>22.351271798141887</v>
      </c>
      <c r="AA1174" s="257">
        <f>altaz((J2000_Bas+(2*0.04167)),$O1174,$M1174,DecLat,DecLong,1)</f>
        <v>25.025471424752403</v>
      </c>
      <c r="AB1174" s="257">
        <f>altaz((J2000_Bas+(4*0.04167)),$O1174,$M1174,DecLat,DecLong,1)</f>
        <v>15.975444637459661</v>
      </c>
      <c r="AC1174" s="257">
        <f>altaz((J2000_Bas+(6*0.04167)),$O1174,$M1174,DecLat,DecLong,1)</f>
        <v>-1.3341520990139561</v>
      </c>
      <c r="AD1174" s="258">
        <f>1+ transit((J2000_Bas-1),$O1174,$M1174,DecLat,DecLong)/360 + (GMTOffset/24) + (IF(DST="Y", 1, 0)/24)</f>
        <v>1.847506356650541</v>
      </c>
      <c r="AE1174" s="259">
        <f>DATE(2001,9,21)+(M1174/360)*365 - (360*((DecLong/360)- (GMTOffset/24) ))</f>
        <v>37471.93136574074</v>
      </c>
      <c r="AF1174" s="260">
        <f>IF(DecLat&gt;0,IF((90 - (DecLat-O1174))&gt;90, (90 - (O1174-DecLat)), (90 - (DecLat-O1174))),IF((90 + (DecLat-O1174))&gt;90, (90 + (O1174-DecLat)), (90 + (DecLat-O1174))))</f>
        <v>25.514722222222218</v>
      </c>
      <c r="AG1174" s="257">
        <f>angularseperation(MoonRA,MoonDec,$M1174,$O1174)</f>
        <v>50.199848593252092</v>
      </c>
      <c r="AH1174" s="261">
        <f ca="1">MIN(100,IF($O$5&gt;80,0+30*($AG1174/100),IF($O$5&gt;70,0+50*($AG1174/100),IF($O$5&gt;60,5+50*($AG1174/100),IF($O$5&gt;50,10+60*($AG1174/100),IF($O$5&gt;40,15+70*($AG1174/100),IF($O$5&gt;30,20+70*($AG1174/100),IF($O$5&gt;20,40+55*($AG1174/100),(80+(20-$O$5)+30*($AG1174/100))))))))))</f>
        <v>98.331014922126059</v>
      </c>
      <c r="AI1174" s="262"/>
      <c r="AJ1174" s="263">
        <v>5020</v>
      </c>
      <c r="AK1174" s="263"/>
      <c r="AL1174" s="263"/>
      <c r="AM1174" s="264"/>
      <c r="AN1174" s="263"/>
      <c r="AO1174" s="263"/>
      <c r="AP1174" s="265"/>
      <c r="AQ1174" s="266"/>
      <c r="AR1174" s="267">
        <v>64845</v>
      </c>
      <c r="AS1174" s="263"/>
      <c r="AT1174" s="263"/>
      <c r="AU1174" s="263"/>
      <c r="AV1174" s="264"/>
      <c r="AW1174" s="263"/>
      <c r="AX1174" s="263"/>
      <c r="AY1174" s="263"/>
      <c r="AZ1174" s="263"/>
      <c r="BA1174" s="263"/>
      <c r="BB1174" s="263"/>
      <c r="BC1174" s="263"/>
      <c r="BD1174" s="264"/>
      <c r="BE1174" s="263"/>
      <c r="BF1174" s="263"/>
      <c r="BG1174" s="263"/>
      <c r="BH1174" s="263"/>
      <c r="BI1174" s="263"/>
      <c r="BJ1174" s="404">
        <f>altaz(J2000_Bas,$O1174,$M1174,DecLat,DecLong,2)</f>
        <v>160.56229248773269</v>
      </c>
      <c r="BK1174" s="378" t="s">
        <v>1232</v>
      </c>
      <c r="BL1174" s="379">
        <f>IF((2*G1174)/60&lt;0.2,0.2,(2*G1174)/60)</f>
        <v>0.2</v>
      </c>
      <c r="BM1174" s="380">
        <f>MOD((50000+AD1174-$B$3+(0/24)),1)</f>
        <v>6.2873286355170421E-2</v>
      </c>
      <c r="BN1174" s="381"/>
      <c r="BO1174" s="382">
        <v>1168</v>
      </c>
    </row>
    <row r="1175" spans="1:67" s="24" customFormat="1" ht="15" customHeight="1" x14ac:dyDescent="0.25">
      <c r="A1175" s="288" t="s">
        <v>1233</v>
      </c>
      <c r="B1175" s="241" t="str">
        <f>HYPERLINK(CONCATENATE($AT$3,BK1175,$AU$3),$AV$3)</f>
        <v>S</v>
      </c>
      <c r="C1175" s="242" t="str">
        <f>HYPERLINK(CONCATENATE($AT$4,BK1175,$AU$4,BL1175),$AV$4)</f>
        <v>A</v>
      </c>
      <c r="D1175" s="243" t="s">
        <v>5638</v>
      </c>
      <c r="E1175" s="244" t="s">
        <v>5192</v>
      </c>
      <c r="F1175" s="269" t="s">
        <v>8699</v>
      </c>
      <c r="G1175" s="273">
        <v>2.7</v>
      </c>
      <c r="H1175" s="283">
        <v>75</v>
      </c>
      <c r="I1175" s="246">
        <v>60</v>
      </c>
      <c r="J1175" s="246">
        <v>2</v>
      </c>
      <c r="K1175" s="247" t="s">
        <v>7515</v>
      </c>
      <c r="L1175" s="248">
        <v>204314</v>
      </c>
      <c r="M1175" s="249">
        <f>15*(LEFT(TEXT($L1175,"000000"),2)+(MID(TEXT($L1175,"000000"),3,2)/60)+(RIGHT(TEXT($L1175,"000000"),2)/3600))</f>
        <v>310.80833333333328</v>
      </c>
      <c r="N1175" s="250">
        <v>-295110</v>
      </c>
      <c r="O1175" s="251">
        <f>IF($N1175&gt;0,(LEFT(TEXT($N1175,"000000"),2)+(MID(TEXT($N1175,"000000"),3,2)/60)+(RIGHT(TEXT($N1175,"000000"),2)/3600)),-(MID(TEXT($N1175,"000000"),2,2)+(MID(TEXT($N1175,"000000"),4,2)/60)+(RIGHT(TEXT($N1175,"000000"),2)/3600)))</f>
        <v>-29.852777777777778</v>
      </c>
      <c r="P1175" s="252" t="s">
        <v>1231</v>
      </c>
      <c r="Q1175" s="253"/>
      <c r="R1175" s="247" t="s">
        <v>3293</v>
      </c>
      <c r="S1175" s="272" t="s">
        <v>1234</v>
      </c>
      <c r="T1175" s="273">
        <v>13</v>
      </c>
      <c r="U1175" s="289">
        <v>21.89</v>
      </c>
      <c r="V1175" s="280">
        <v>75</v>
      </c>
      <c r="W1175" s="244"/>
      <c r="X1175" s="244"/>
      <c r="Y1175" s="362"/>
      <c r="Z1175" s="257">
        <f>altaz(J2000_Bas,$O1175,$M1175,DecLat,DecLong,1)</f>
        <v>24.737622842206651</v>
      </c>
      <c r="AA1175" s="257">
        <f>altaz((J2000_Bas+(2*0.04167)),$O1175,$M1175,DecLat,DecLong,1)</f>
        <v>28.940579118247726</v>
      </c>
      <c r="AB1175" s="257">
        <f>altaz((J2000_Bas+(4*0.04167)),$O1175,$M1175,DecLat,DecLong,1)</f>
        <v>20.480673094732069</v>
      </c>
      <c r="AC1175" s="257">
        <f>altaz((J2000_Bas+(6*0.04167)),$O1175,$M1175,DecLat,DecLong,1)</f>
        <v>3.0115330144531889</v>
      </c>
      <c r="AD1175" s="258">
        <f>1+ transit((J2000_Bas-1),$O1175,$M1175,DecLat,DecLong)/360 + (GMTOffset/24) + (IF(DST="Y", 1, 0)/24)</f>
        <v>1.8562563557755414</v>
      </c>
      <c r="AE1175" s="259">
        <f>DATE(2001,9,21)+(M1175/360)*365 - (360*((DecLong/360)- (GMTOffset/24) ))</f>
        <v>37475.125115740739</v>
      </c>
      <c r="AF1175" s="260">
        <f>IF(DecLat&gt;0,IF((90 - (DecLat-O1175))&gt;90, (90 - (O1175-DecLat)), (90 - (DecLat-O1175))),IF((90 + (DecLat-O1175))&gt;90, (90 + (O1175-DecLat)), (90 + (DecLat-O1175))))</f>
        <v>29.147222222222226</v>
      </c>
      <c r="AG1175" s="257">
        <f>angularseperation(MoonRA,MoonDec,$M1175,$O1175)</f>
        <v>53.53661758288218</v>
      </c>
      <c r="AH1175" s="261">
        <f ca="1">MIN(100,IF($O$5&gt;80,0+30*($AG1175/100),IF($O$5&gt;70,0+50*($AG1175/100),IF($O$5&gt;60,5+50*($AG1175/100),IF($O$5&gt;50,10+60*($AG1175/100),IF($O$5&gt;40,15+70*($AG1175/100),IF($O$5&gt;30,20+70*($AG1175/100),IF($O$5&gt;20,40+55*($AG1175/100),(80+(20-$O$5)+30*($AG1175/100))))))))))</f>
        <v>99.332045619015076</v>
      </c>
      <c r="AI1175" s="262"/>
      <c r="AJ1175" s="263">
        <v>5039</v>
      </c>
      <c r="AK1175" s="263"/>
      <c r="AL1175" s="263"/>
      <c r="AM1175" s="264"/>
      <c r="AN1175" s="263"/>
      <c r="AO1175" s="263"/>
      <c r="AP1175" s="265"/>
      <c r="AQ1175" s="266"/>
      <c r="AR1175" s="267">
        <v>65249</v>
      </c>
      <c r="AS1175" s="263"/>
      <c r="AT1175" s="263"/>
      <c r="AU1175" s="263"/>
      <c r="AV1175" s="264"/>
      <c r="AW1175" s="263"/>
      <c r="AX1175" s="263"/>
      <c r="AY1175" s="263"/>
      <c r="AZ1175" s="263"/>
      <c r="BA1175" s="263"/>
      <c r="BB1175" s="263"/>
      <c r="BC1175" s="263"/>
      <c r="BD1175" s="264"/>
      <c r="BE1175" s="263"/>
      <c r="BF1175" s="263"/>
      <c r="BG1175" s="263"/>
      <c r="BH1175" s="263"/>
      <c r="BI1175" s="263"/>
      <c r="BJ1175" s="404">
        <f>altaz(J2000_Bas,$O1175,$M1175,DecLat,DecLong,2)</f>
        <v>156.38197406957596</v>
      </c>
      <c r="BK1175" s="378" t="s">
        <v>1233</v>
      </c>
      <c r="BL1175" s="379">
        <f>IF((2*G1175)/60&lt;0.2,0.2,(2*G1175)/60)</f>
        <v>0.2</v>
      </c>
      <c r="BM1175" s="380">
        <f>MOD((50000+AD1175-$B$3+(0/24)),1)</f>
        <v>7.1623285482928623E-2</v>
      </c>
      <c r="BN1175" s="381"/>
      <c r="BO1175" s="382">
        <v>1169</v>
      </c>
    </row>
    <row r="1176" spans="1:67" s="24" customFormat="1" ht="15" customHeight="1" x14ac:dyDescent="0.25">
      <c r="A1176" s="288" t="s">
        <v>1234</v>
      </c>
      <c r="B1176" s="241" t="str">
        <f>HYPERLINK(CONCATENATE($AT$3,BK1176,$AU$3),$AV$3)</f>
        <v>S</v>
      </c>
      <c r="C1176" s="242" t="str">
        <f>HYPERLINK(CONCATENATE($AT$4,BK1176,$AU$4,BL1176),$AV$4)</f>
        <v>A</v>
      </c>
      <c r="D1176" s="243" t="s">
        <v>5638</v>
      </c>
      <c r="E1176" s="244" t="s">
        <v>5192</v>
      </c>
      <c r="F1176" s="269" t="s">
        <v>8895</v>
      </c>
      <c r="G1176" s="273">
        <v>2.2999999999999998</v>
      </c>
      <c r="H1176" s="283">
        <v>110</v>
      </c>
      <c r="I1176" s="246">
        <v>75</v>
      </c>
      <c r="J1176" s="246">
        <v>2</v>
      </c>
      <c r="K1176" s="247" t="s">
        <v>8541</v>
      </c>
      <c r="L1176" s="248">
        <v>204334</v>
      </c>
      <c r="M1176" s="249">
        <f>15*(LEFT(TEXT($L1176,"000000"),2)+(MID(TEXT($L1176,"000000"),3,2)/60)+(RIGHT(TEXT($L1176,"000000"),2)/3600))</f>
        <v>310.89166666666665</v>
      </c>
      <c r="N1176" s="286">
        <v>-294200</v>
      </c>
      <c r="O1176" s="251">
        <f>IF($N1176&gt;0,(LEFT(TEXT($N1176,"000000"),2)+(MID(TEXT($N1176,"000000"),3,2)/60)+(RIGHT(TEXT($N1176,"000000"),2)/3600)),-(MID(TEXT($N1176,"000000"),2,2)+(MID(TEXT($N1176,"000000"),4,2)/60)+(RIGHT(TEXT($N1176,"000000"),2)/3600)))</f>
        <v>-29.7</v>
      </c>
      <c r="P1176" s="252" t="s">
        <v>1231</v>
      </c>
      <c r="Q1176" s="253"/>
      <c r="R1176" s="247" t="s">
        <v>3293</v>
      </c>
      <c r="S1176" s="272" t="s">
        <v>1233</v>
      </c>
      <c r="T1176" s="273">
        <v>13</v>
      </c>
      <c r="U1176" s="289">
        <v>21.990000000000002</v>
      </c>
      <c r="V1176" s="280">
        <v>50</v>
      </c>
      <c r="W1176" s="244"/>
      <c r="X1176" s="244"/>
      <c r="Y1176" s="362"/>
      <c r="Z1176" s="257">
        <f>altaz(J2000_Bas,$O1176,$M1176,DecLat,DecLong,1)</f>
        <v>24.84916372172599</v>
      </c>
      <c r="AA1176" s="257">
        <f>altaz((J2000_Bas+(2*0.04167)),$O1176,$M1176,DecLat,DecLong,1)</f>
        <v>29.099215854170446</v>
      </c>
      <c r="AB1176" s="257">
        <f>altaz((J2000_Bas+(4*0.04167)),$O1176,$M1176,DecLat,DecLong,1)</f>
        <v>20.648579409224325</v>
      </c>
      <c r="AC1176" s="257">
        <f>altaz((J2000_Bas+(6*0.04167)),$O1176,$M1176,DecLat,DecLong,1)</f>
        <v>3.1634924397819395</v>
      </c>
      <c r="AD1176" s="258">
        <f>1+ transit((J2000_Bas-1),$O1176,$M1176,DecLat,DecLong)/360 + (GMTOffset/24) + (IF(DST="Y", 1, 0)/24)</f>
        <v>1.8564878372338744</v>
      </c>
      <c r="AE1176" s="259">
        <f>DATE(2001,9,21)+(M1176/360)*365 - (360*((DecLong/360)- (GMTOffset/24) ))</f>
        <v>37475.209606481483</v>
      </c>
      <c r="AF1176" s="260">
        <f>IF(DecLat&gt;0,IF((90 - (DecLat-O1176))&gt;90, (90 - (O1176-DecLat)), (90 - (DecLat-O1176))),IF((90 + (DecLat-O1176))&gt;90, (90 + (O1176-DecLat)), (90 + (DecLat-O1176))))</f>
        <v>29.299999999999997</v>
      </c>
      <c r="AG1176" s="257">
        <f>angularseperation(MoonRA,MoonDec,$M1176,$O1176)</f>
        <v>53.642120916304179</v>
      </c>
      <c r="AH1176" s="261">
        <f ca="1">MIN(100,IF($O$5&gt;80,0+30*($AG1176/100),IF($O$5&gt;70,0+50*($AG1176/100),IF($O$5&gt;60,5+50*($AG1176/100),IF($O$5&gt;50,10+60*($AG1176/100),IF($O$5&gt;40,15+70*($AG1176/100),IF($O$5&gt;30,20+70*($AG1176/100),IF($O$5&gt;20,40+55*($AG1176/100),(80+(20-$O$5)+30*($AG1176/100))))))))))</f>
        <v>99.36369661904169</v>
      </c>
      <c r="AI1176" s="262"/>
      <c r="AJ1176" s="263">
        <v>5041</v>
      </c>
      <c r="AK1176" s="263"/>
      <c r="AL1176" s="263"/>
      <c r="AM1176" s="264"/>
      <c r="AN1176" s="263"/>
      <c r="AO1176" s="263"/>
      <c r="AP1176" s="265"/>
      <c r="AQ1176" s="266"/>
      <c r="AR1176" s="267">
        <v>65258</v>
      </c>
      <c r="AS1176" s="263"/>
      <c r="AT1176" s="263"/>
      <c r="AU1176" s="263"/>
      <c r="AV1176" s="264"/>
      <c r="AW1176" s="263"/>
      <c r="AX1176" s="263"/>
      <c r="AY1176" s="263"/>
      <c r="AZ1176" s="263"/>
      <c r="BA1176" s="263"/>
      <c r="BB1176" s="263"/>
      <c r="BC1176" s="263"/>
      <c r="BD1176" s="264"/>
      <c r="BE1176" s="263"/>
      <c r="BF1176" s="263"/>
      <c r="BG1176" s="263"/>
      <c r="BH1176" s="263"/>
      <c r="BI1176" s="263"/>
      <c r="BJ1176" s="404">
        <f>altaz(J2000_Bas,$O1176,$M1176,DecLat,DecLong,2)</f>
        <v>156.24206882896337</v>
      </c>
      <c r="BK1176" s="378" t="s">
        <v>1234</v>
      </c>
      <c r="BL1176" s="379">
        <f>IF((2*G1176)/60&lt;0.2,0.2,(2*G1176)/60)</f>
        <v>0.2</v>
      </c>
      <c r="BM1176" s="380">
        <f>MOD((50000+AD1176-$B$3+(0/24)),1)</f>
        <v>7.1854766938486136E-2</v>
      </c>
      <c r="BN1176" s="381"/>
      <c r="BO1176" s="382">
        <v>1170</v>
      </c>
    </row>
    <row r="1177" spans="1:67" s="24" customFormat="1" ht="15" customHeight="1" x14ac:dyDescent="0.25">
      <c r="A1177" s="288" t="s">
        <v>1235</v>
      </c>
      <c r="B1177" s="241" t="str">
        <f>HYPERLINK(CONCATENATE($AT$3,BK1177,$AU$3),$AV$3)</f>
        <v>S</v>
      </c>
      <c r="C1177" s="242" t="str">
        <f>HYPERLINK(CONCATENATE($AT$4,BK1177,$AU$4,BL1177),$AV$4)</f>
        <v>A</v>
      </c>
      <c r="D1177" s="243" t="s">
        <v>5187</v>
      </c>
      <c r="E1177" s="244" t="s">
        <v>5183</v>
      </c>
      <c r="F1177" s="269" t="s">
        <v>5180</v>
      </c>
      <c r="G1177" s="276">
        <v>40</v>
      </c>
      <c r="H1177" s="283">
        <v>1600</v>
      </c>
      <c r="I1177" s="246">
        <v>20</v>
      </c>
      <c r="J1177" s="246">
        <v>2</v>
      </c>
      <c r="K1177" s="247" t="s">
        <v>4703</v>
      </c>
      <c r="L1177" s="248">
        <v>205029</v>
      </c>
      <c r="M1177" s="249">
        <f>15*(LEFT(TEXT($L1177,"000000"),2)+(MID(TEXT($L1177,"000000"),3,2)/60)+(RIGHT(TEXT($L1177,"000000"),2)/3600))</f>
        <v>312.62083333333328</v>
      </c>
      <c r="N1177" s="250">
        <v>422842</v>
      </c>
      <c r="O1177" s="251">
        <f>IF($N1177&gt;0,(LEFT(TEXT($N1177,"000000"),2)+(MID(TEXT($N1177,"000000"),3,2)/60)+(RIGHT(TEXT($N1177,"000000"),2)/3600)),-(MID(TEXT($N1177,"000000"),2,2)+(MID(TEXT($N1177,"000000"),4,2)/60)+(RIGHT(TEXT($N1177,"000000"),2)/3600)))</f>
        <v>42.478333333333332</v>
      </c>
      <c r="P1177" s="252" t="s">
        <v>60</v>
      </c>
      <c r="Q1177" s="253"/>
      <c r="R1177" s="247" t="s">
        <v>3293</v>
      </c>
      <c r="S1177" s="272" t="s">
        <v>3293</v>
      </c>
      <c r="T1177" s="273"/>
      <c r="U1177" s="274"/>
      <c r="V1177" s="280"/>
      <c r="W1177" s="244"/>
      <c r="X1177" s="244"/>
      <c r="Y1177" s="362"/>
      <c r="Z1177" s="257">
        <f>altaz(J2000_Bas,$O1177,$M1177,DecLat,DecLong,1)</f>
        <v>65.922650039926665</v>
      </c>
      <c r="AA1177" s="257">
        <f>altaz((J2000_Bas+(2*0.04167)),$O1177,$M1177,DecLat,DecLong,1)</f>
        <v>78.193289847380427</v>
      </c>
      <c r="AB1177" s="257">
        <f>altaz((J2000_Bas+(4*0.04167)),$O1177,$M1177,DecLat,DecLong,1)</f>
        <v>61.006464768032352</v>
      </c>
      <c r="AC1177" s="257">
        <f>altaz((J2000_Bas+(6*0.04167)),$O1177,$M1177,DecLat,DecLong,1)</f>
        <v>38.943545492338316</v>
      </c>
      <c r="AD1177" s="258">
        <f>1+ transit((J2000_Bas-1),$O1177,$M1177,DecLat,DecLong)/360 + (GMTOffset/24) + (IF(DST="Y", 1, 0)/24)</f>
        <v>1.8612910774942912</v>
      </c>
      <c r="AE1177" s="259">
        <f>DATE(2001,9,21)+(M1177/360)*365 - (360*((DecLong/360)- (GMTOffset/24) ))</f>
        <v>37476.962789351848</v>
      </c>
      <c r="AF1177" s="260">
        <f>IF(DecLat&gt;0,IF((90 - (DecLat-O1177))&gt;90, (90 - (O1177-DecLat)), (90 - (DecLat-O1177))),IF((90 + (DecLat-O1177))&gt;90, (90 + (O1177-DecLat)), (90 + (DecLat-O1177))))</f>
        <v>78.521666666666675</v>
      </c>
      <c r="AG1177" s="257">
        <f>angularseperation(MoonRA,MoonDec,$M1177,$O1177)</f>
        <v>90.75797576253602</v>
      </c>
      <c r="AH1177" s="261">
        <f ca="1">MIN(100,IF($O$5&gt;80,0+30*($AG1177/100),IF($O$5&gt;70,0+50*($AG1177/100),IF($O$5&gt;60,5+50*($AG1177/100),IF($O$5&gt;50,10+60*($AG1177/100),IF($O$5&gt;40,15+70*($AG1177/100),IF($O$5&gt;30,20+70*($AG1177/100),IF($O$5&gt;20,40+55*($AG1177/100),(80+(20-$O$5)+30*($AG1177/100))))))))))</f>
        <v>100</v>
      </c>
      <c r="AI1177" s="262"/>
      <c r="AJ1177" s="263">
        <v>5068</v>
      </c>
      <c r="AK1177" s="263"/>
      <c r="AL1177" s="263"/>
      <c r="AM1177" s="264"/>
      <c r="AN1177" s="263"/>
      <c r="AO1177" s="263"/>
      <c r="AP1177" s="265"/>
      <c r="AQ1177" s="266"/>
      <c r="AR1177" s="267"/>
      <c r="AS1177" s="263"/>
      <c r="AT1177" s="263"/>
      <c r="AU1177" s="263"/>
      <c r="AV1177" s="264"/>
      <c r="AW1177" s="263"/>
      <c r="AX1177" s="263"/>
      <c r="AY1177" s="263">
        <v>328</v>
      </c>
      <c r="AZ1177" s="263"/>
      <c r="BA1177" s="263"/>
      <c r="BB1177" s="263"/>
      <c r="BC1177" s="263"/>
      <c r="BD1177" s="264"/>
      <c r="BE1177" s="263"/>
      <c r="BF1177" s="263"/>
      <c r="BG1177" s="263"/>
      <c r="BH1177" s="263"/>
      <c r="BI1177" s="263"/>
      <c r="BJ1177" s="404">
        <f>altaz(J2000_Bas,$O1177,$M1177,DecLat,DecLong,2)</f>
        <v>54.0938197948322</v>
      </c>
      <c r="BK1177" s="378" t="s">
        <v>1235</v>
      </c>
      <c r="BL1177" s="379">
        <f>IF((2*G1177)/60&lt;0.2,0.2,(2*G1177)/60)</f>
        <v>1.3333333333333333</v>
      </c>
      <c r="BM1177" s="380">
        <f>MOD((50000+AD1177-$B$3+(0/24)),1)</f>
        <v>7.6658007201331202E-2</v>
      </c>
      <c r="BN1177" s="381"/>
      <c r="BO1177" s="382">
        <v>1171</v>
      </c>
    </row>
    <row r="1178" spans="1:67" s="24" customFormat="1" ht="15" customHeight="1" x14ac:dyDescent="0.25">
      <c r="A1178" s="288" t="s">
        <v>1236</v>
      </c>
      <c r="B1178" s="241" t="str">
        <f>HYPERLINK(CONCATENATE($AT$3,BK1178,$AU$3),$AV$3)</f>
        <v>S</v>
      </c>
      <c r="C1178" s="242" t="str">
        <f>HYPERLINK(CONCATENATE($AT$4,BK1178,$AU$4,BL1178),$AV$4)</f>
        <v>A</v>
      </c>
      <c r="D1178" s="243" t="s">
        <v>5187</v>
      </c>
      <c r="E1178" s="244" t="s">
        <v>5183</v>
      </c>
      <c r="F1178" s="269" t="s">
        <v>9159</v>
      </c>
      <c r="G1178" s="276">
        <v>80</v>
      </c>
      <c r="H1178" s="283">
        <v>1800</v>
      </c>
      <c r="I1178" s="246">
        <v>45</v>
      </c>
      <c r="J1178" s="246">
        <v>5</v>
      </c>
      <c r="K1178" s="247" t="s">
        <v>4705</v>
      </c>
      <c r="L1178" s="248">
        <v>205101</v>
      </c>
      <c r="M1178" s="249">
        <f>15*(LEFT(TEXT($L1178,"000000"),2)+(MID(TEXT($L1178,"000000"),3,2)/60)+(RIGHT(TEXT($L1178,"000000"),2)/3600))</f>
        <v>312.75416666666672</v>
      </c>
      <c r="N1178" s="286">
        <v>442405</v>
      </c>
      <c r="O1178" s="251">
        <f>IF($N1178&gt;0,(LEFT(TEXT($N1178,"000000"),2)+(MID(TEXT($N1178,"000000"),3,2)/60)+(RIGHT(TEXT($N1178,"000000"),2)/3600)),-(MID(TEXT($N1178,"000000"),2,2)+(MID(TEXT($N1178,"000000"),4,2)/60)+(RIGHT(TEXT($N1178,"000000"),2)/3600)))</f>
        <v>44.401388888888889</v>
      </c>
      <c r="P1178" s="252" t="s">
        <v>60</v>
      </c>
      <c r="Q1178" s="253" t="s">
        <v>7047</v>
      </c>
      <c r="R1178" s="247" t="s">
        <v>3293</v>
      </c>
      <c r="S1178" s="272" t="s">
        <v>4704</v>
      </c>
      <c r="T1178" s="273"/>
      <c r="U1178" s="274"/>
      <c r="V1178" s="280"/>
      <c r="W1178" s="244"/>
      <c r="X1178" s="244"/>
      <c r="Y1178" s="362"/>
      <c r="Z1178" s="257">
        <f>altaz(J2000_Bas,$O1178,$M1178,DecLat,DecLong,1)</f>
        <v>65.124271739041561</v>
      </c>
      <c r="AA1178" s="257">
        <f>altaz((J2000_Bas+(2*0.04167)),$O1178,$M1178,DecLat,DecLong,1)</f>
        <v>76.344887059618642</v>
      </c>
      <c r="AB1178" s="257">
        <f>altaz((J2000_Bas+(4*0.04167)),$O1178,$M1178,DecLat,DecLong,1)</f>
        <v>60.636514198780844</v>
      </c>
      <c r="AC1178" s="257">
        <f>altaz((J2000_Bas+(6*0.04167)),$O1178,$M1178,DecLat,DecLong,1)</f>
        <v>39.316027501946188</v>
      </c>
      <c r="AD1178" s="258">
        <f>1+ transit((J2000_Bas-1),$O1178,$M1178,DecLat,DecLong)/360 + (GMTOffset/24) + (IF(DST="Y", 1, 0)/24)</f>
        <v>1.8616614478276248</v>
      </c>
      <c r="AE1178" s="259">
        <f>DATE(2001,9,21)+(M1178/360)*365 - (360*((DecLong/360)- (GMTOffset/24) ))</f>
        <v>37477.097974537035</v>
      </c>
      <c r="AF1178" s="260">
        <f>IF(DecLat&gt;0,IF((90 - (DecLat-O1178))&gt;90, (90 - (O1178-DecLat)), (90 - (DecLat-O1178))),IF((90 + (DecLat-O1178))&gt;90, (90 + (O1178-DecLat)), (90 + (DecLat-O1178))))</f>
        <v>76.598611111111111</v>
      </c>
      <c r="AG1178" s="257">
        <f>angularseperation(MoonRA,MoonDec,$M1178,$O1178)</f>
        <v>91.997437802428365</v>
      </c>
      <c r="AH1178" s="261">
        <f ca="1">MIN(100,IF($O$5&gt;80,0+30*($AG1178/100),IF($O$5&gt;70,0+50*($AG1178/100),IF($O$5&gt;60,5+50*($AG1178/100),IF($O$5&gt;50,10+60*($AG1178/100),IF($O$5&gt;40,15+70*($AG1178/100),IF($O$5&gt;30,20+70*($AG1178/100),IF($O$5&gt;20,40+55*($AG1178/100),(80+(20-$O$5)+30*($AG1178/100))))))))))</f>
        <v>100</v>
      </c>
      <c r="AI1178" s="262"/>
      <c r="AJ1178" s="263">
        <v>5070</v>
      </c>
      <c r="AK1178" s="263"/>
      <c r="AL1178" s="263"/>
      <c r="AM1178" s="264"/>
      <c r="AN1178" s="263"/>
      <c r="AO1178" s="263"/>
      <c r="AP1178" s="265"/>
      <c r="AQ1178" s="266"/>
      <c r="AR1178" s="267"/>
      <c r="AS1178" s="263"/>
      <c r="AT1178" s="263"/>
      <c r="AU1178" s="263"/>
      <c r="AV1178" s="264"/>
      <c r="AW1178" s="263"/>
      <c r="AX1178" s="263"/>
      <c r="AY1178" s="263"/>
      <c r="AZ1178" s="263"/>
      <c r="BA1178" s="263"/>
      <c r="BB1178" s="263"/>
      <c r="BC1178" s="263"/>
      <c r="BD1178" s="264"/>
      <c r="BE1178" s="263"/>
      <c r="BF1178" s="263"/>
      <c r="BG1178" s="263">
        <v>94</v>
      </c>
      <c r="BH1178" s="263"/>
      <c r="BI1178" s="263"/>
      <c r="BJ1178" s="404">
        <f>altaz(J2000_Bas,$O1178,$M1178,DecLat,DecLong,2)</f>
        <v>49.863471372713079</v>
      </c>
      <c r="BK1178" s="378" t="s">
        <v>1236</v>
      </c>
      <c r="BL1178" s="379">
        <f>IF((2*G1178)/60&lt;0.2,0.2,(2*G1178)/60)</f>
        <v>2.6666666666666665</v>
      </c>
      <c r="BM1178" s="380">
        <f>MOD((50000+AD1178-$B$3+(0/24)),1)</f>
        <v>7.7028377534588799E-2</v>
      </c>
      <c r="BN1178" s="381"/>
      <c r="BO1178" s="382">
        <v>1172</v>
      </c>
    </row>
    <row r="1179" spans="1:67" s="24" customFormat="1" ht="15" customHeight="1" x14ac:dyDescent="0.25">
      <c r="A1179" s="288" t="s">
        <v>1237</v>
      </c>
      <c r="B1179" s="241" t="str">
        <f>HYPERLINK(CONCATENATE($AT$3,BK1179,$AU$3),$AV$3)</f>
        <v>S</v>
      </c>
      <c r="C1179" s="242" t="str">
        <f>HYPERLINK(CONCATENATE($AT$4,BK1179,$AU$4,BL1179),$AV$4)</f>
        <v>A</v>
      </c>
      <c r="D1179" s="243" t="s">
        <v>5187</v>
      </c>
      <c r="E1179" s="244" t="s">
        <v>5186</v>
      </c>
      <c r="F1179" s="269"/>
      <c r="G1179" s="273">
        <v>9</v>
      </c>
      <c r="H1179" s="283">
        <v>6000</v>
      </c>
      <c r="I1179" s="246">
        <v>16</v>
      </c>
      <c r="J1179" s="246">
        <v>2</v>
      </c>
      <c r="K1179" s="247" t="s">
        <v>4707</v>
      </c>
      <c r="L1179" s="248">
        <v>205533</v>
      </c>
      <c r="M1179" s="249">
        <f>15*(LEFT(TEXT($L1179,"000000"),2)+(MID(TEXT($L1179,"000000"),3,2)/60)+(RIGHT(TEXT($L1179,"000000"),2)/3600))</f>
        <v>313.88749999999999</v>
      </c>
      <c r="N1179" s="250">
        <v>472342</v>
      </c>
      <c r="O1179" s="251">
        <f>IF($N1179&gt;0,(LEFT(TEXT($N1179,"000000"),2)+(MID(TEXT($N1179,"000000"),3,2)/60)+(RIGHT(TEXT($N1179,"000000"),2)/3600)),-(MID(TEXT($N1179,"000000"),2,2)+(MID(TEXT($N1179,"000000"),4,2)/60)+(RIGHT(TEXT($N1179,"000000"),2)/3600)))</f>
        <v>47.394999999999996</v>
      </c>
      <c r="P1179" s="252" t="s">
        <v>60</v>
      </c>
      <c r="Q1179" s="253"/>
      <c r="R1179" s="247" t="s">
        <v>3293</v>
      </c>
      <c r="S1179" s="272" t="s">
        <v>4706</v>
      </c>
      <c r="T1179" s="273"/>
      <c r="U1179" s="274"/>
      <c r="V1179" s="280"/>
      <c r="W1179" s="244"/>
      <c r="X1179" s="244"/>
      <c r="Y1179" s="362"/>
      <c r="Z1179" s="257">
        <f>altaz(J2000_Bas,$O1179,$M1179,DecLat,DecLong,1)</f>
        <v>63.121237067483214</v>
      </c>
      <c r="AA1179" s="257">
        <f>altaz((J2000_Bas+(2*0.04167)),$O1179,$M1179,DecLat,DecLong,1)</f>
        <v>73.518430297375772</v>
      </c>
      <c r="AB1179" s="257">
        <f>altaz((J2000_Bas+(4*0.04167)),$O1179,$M1179,DecLat,DecLong,1)</f>
        <v>60.416488231117583</v>
      </c>
      <c r="AC1179" s="257">
        <f>altaz((J2000_Bas+(6*0.04167)),$O1179,$M1179,DecLat,DecLong,1)</f>
        <v>40.405721254780168</v>
      </c>
      <c r="AD1179" s="258">
        <f>1+ transit((J2000_Bas-1),$O1179,$M1179,DecLat,DecLong)/360 + (GMTOffset/24) + (IF(DST="Y", 1, 0)/24)</f>
        <v>1.8648095956609578</v>
      </c>
      <c r="AE1179" s="259">
        <f>DATE(2001,9,21)+(M1179/360)*365 - (360*((DecLong/360)- (GMTOffset/24) ))</f>
        <v>37478.247048611112</v>
      </c>
      <c r="AF1179" s="260">
        <f>IF(DecLat&gt;0,IF((90 - (DecLat-O1179))&gt;90, (90 - (O1179-DecLat)), (90 - (DecLat-O1179))),IF((90 + (DecLat-O1179))&gt;90, (90 + (O1179-DecLat)), (90 + (DecLat-O1179))))</f>
        <v>73.605000000000004</v>
      </c>
      <c r="AG1179" s="257">
        <f>angularseperation(MoonRA,MoonDec,$M1179,$O1179)</f>
        <v>94.417741427050288</v>
      </c>
      <c r="AH1179" s="261">
        <f ca="1">MIN(100,IF($O$5&gt;80,0+30*($AG1179/100),IF($O$5&gt;70,0+50*($AG1179/100),IF($O$5&gt;60,5+50*($AG1179/100),IF($O$5&gt;50,10+60*($AG1179/100),IF($O$5&gt;40,15+70*($AG1179/100),IF($O$5&gt;30,20+70*($AG1179/100),IF($O$5&gt;20,40+55*($AG1179/100),(80+(20-$O$5)+30*($AG1179/100))))))))))</f>
        <v>100</v>
      </c>
      <c r="AI1179" s="262"/>
      <c r="AJ1179" s="263">
        <v>5076</v>
      </c>
      <c r="AK1179" s="263"/>
      <c r="AL1179" s="263"/>
      <c r="AM1179" s="264"/>
      <c r="AN1179" s="263"/>
      <c r="AO1179" s="263"/>
      <c r="AP1179" s="265"/>
      <c r="AQ1179" s="266"/>
      <c r="AR1179" s="267"/>
      <c r="AS1179" s="263"/>
      <c r="AT1179" s="263"/>
      <c r="AU1179" s="263"/>
      <c r="AV1179" s="264"/>
      <c r="AW1179" s="263"/>
      <c r="AX1179" s="263"/>
      <c r="AY1179" s="263"/>
      <c r="AZ1179" s="263"/>
      <c r="BA1179" s="263"/>
      <c r="BB1179" s="263"/>
      <c r="BC1179" s="263"/>
      <c r="BD1179" s="264"/>
      <c r="BE1179" s="263"/>
      <c r="BF1179" s="263"/>
      <c r="BG1179" s="263"/>
      <c r="BH1179" s="263"/>
      <c r="BI1179" s="263"/>
      <c r="BJ1179" s="404">
        <f>altaz(J2000_Bas,$O1179,$M1179,DecLat,DecLong,2)</f>
        <v>44.450016973030444</v>
      </c>
      <c r="BK1179" s="378" t="s">
        <v>1237</v>
      </c>
      <c r="BL1179" s="379">
        <f>IF((2*G1179)/60&lt;0.2,0.2,(2*G1179)/60)</f>
        <v>0.3</v>
      </c>
      <c r="BM1179" s="380">
        <f>MOD((50000+AD1179-$B$3+(0/24)),1)</f>
        <v>8.0176525363640394E-2</v>
      </c>
      <c r="BN1179" s="381"/>
      <c r="BO1179" s="382">
        <v>1173</v>
      </c>
    </row>
    <row r="1180" spans="1:67" s="24" customFormat="1" ht="15" customHeight="1" x14ac:dyDescent="0.25">
      <c r="A1180" s="288" t="s">
        <v>1238</v>
      </c>
      <c r="B1180" s="241" t="str">
        <f>HYPERLINK(CONCATENATE($AT$3,BK1180,$AU$3),$AV$3)</f>
        <v>S</v>
      </c>
      <c r="C1180" s="242" t="str">
        <f>HYPERLINK(CONCATENATE($AT$4,BK1180,$AU$4,BL1180),$AV$4)</f>
        <v>A</v>
      </c>
      <c r="D1180" s="243" t="s">
        <v>5187</v>
      </c>
      <c r="E1180" s="244" t="s">
        <v>5183</v>
      </c>
      <c r="F1180" s="269" t="s">
        <v>5180</v>
      </c>
      <c r="G1180" s="276">
        <v>10</v>
      </c>
      <c r="H1180" s="283">
        <v>4000</v>
      </c>
      <c r="I1180" s="246">
        <v>12</v>
      </c>
      <c r="J1180" s="246">
        <v>4</v>
      </c>
      <c r="K1180" s="247" t="s">
        <v>4709</v>
      </c>
      <c r="L1180" s="248">
        <v>215329</v>
      </c>
      <c r="M1180" s="249">
        <f>15*(LEFT(TEXT($L1180,"000000"),2)+(MID(TEXT($L1180,"000000"),3,2)/60)+(RIGHT(TEXT($L1180,"000000"),2)/3600))</f>
        <v>328.37083333333328</v>
      </c>
      <c r="N1180" s="250">
        <v>471601</v>
      </c>
      <c r="O1180" s="251">
        <f>IF($N1180&gt;0,(LEFT(TEXT($N1180,"000000"),2)+(MID(TEXT($N1180,"000000"),3,2)/60)+(RIGHT(TEXT($N1180,"000000"),2)/3600)),-(MID(TEXT($N1180,"000000"),2,2)+(MID(TEXT($N1180,"000000"),4,2)/60)+(RIGHT(TEXT($N1180,"000000"),2)/3600)))</f>
        <v>47.266944444444441</v>
      </c>
      <c r="P1180" s="252" t="s">
        <v>60</v>
      </c>
      <c r="Q1180" s="253" t="s">
        <v>6957</v>
      </c>
      <c r="R1180" s="247" t="s">
        <v>7343</v>
      </c>
      <c r="S1180" s="272" t="s">
        <v>4708</v>
      </c>
      <c r="T1180" s="273"/>
      <c r="U1180" s="274"/>
      <c r="V1180" s="280"/>
      <c r="W1180" s="244"/>
      <c r="X1180" s="244"/>
      <c r="Y1180" s="362"/>
      <c r="Z1180" s="257">
        <f>altaz(J2000_Bas,$O1180,$M1180,DecLat,DecLong,1)</f>
        <v>53.90629976063618</v>
      </c>
      <c r="AA1180" s="257">
        <f>altaz((J2000_Bas+(2*0.04167)),$O1180,$M1180,DecLat,DecLong,1)</f>
        <v>71.200256602904958</v>
      </c>
      <c r="AB1180" s="257">
        <f>altaz((J2000_Bas+(4*0.04167)),$O1180,$M1180,DecLat,DecLong,1)</f>
        <v>68.767720814864276</v>
      </c>
      <c r="AC1180" s="257">
        <f>altaz((J2000_Bas+(6*0.04167)),$O1180,$M1180,DecLat,DecLong,1)</f>
        <v>50.208394364501437</v>
      </c>
      <c r="AD1180" s="258">
        <f>1+ transit((J2000_Bas-1),$O1180,$M1180,DecLat,DecLong)/360 + (GMTOffset/24) + (IF(DST="Y", 1, 0)/24)</f>
        <v>1.9050410731192915</v>
      </c>
      <c r="AE1180" s="259">
        <f>DATE(2001,9,21)+(M1180/360)*365 - (360*((DecLong/360)- (GMTOffset/24) ))</f>
        <v>37492.931539351848</v>
      </c>
      <c r="AF1180" s="260">
        <f>IF(DecLat&gt;0,IF((90 - (DecLat-O1180))&gt;90, (90 - (O1180-DecLat)), (90 - (DecLat-O1180))),IF((90 + (DecLat-O1180))&gt;90, (90 + (O1180-DecLat)), (90 + (DecLat-O1180))))</f>
        <v>73.733055555555552</v>
      </c>
      <c r="AG1180" s="257">
        <f>angularseperation(MoonRA,MoonDec,$M1180,$O1180)</f>
        <v>102.73725849864229</v>
      </c>
      <c r="AH1180" s="261">
        <f ca="1">MIN(100,IF($O$5&gt;80,0+30*($AG1180/100),IF($O$5&gt;70,0+50*($AG1180/100),IF($O$5&gt;60,5+50*($AG1180/100),IF($O$5&gt;50,10+60*($AG1180/100),IF($O$5&gt;40,15+70*($AG1180/100),IF($O$5&gt;30,20+70*($AG1180/100),IF($O$5&gt;20,40+55*($AG1180/100),(80+(20-$O$5)+30*($AG1180/100))))))))))</f>
        <v>100</v>
      </c>
      <c r="AI1180" s="262"/>
      <c r="AJ1180" s="263">
        <v>5146</v>
      </c>
      <c r="AK1180" s="263"/>
      <c r="AL1180" s="263"/>
      <c r="AM1180" s="264">
        <v>19</v>
      </c>
      <c r="AN1180" s="263"/>
      <c r="AO1180" s="263"/>
      <c r="AP1180" s="265"/>
      <c r="AQ1180" s="266"/>
      <c r="AR1180" s="267"/>
      <c r="AS1180" s="263"/>
      <c r="AT1180" s="263"/>
      <c r="AU1180" s="263"/>
      <c r="AV1180" s="264"/>
      <c r="AW1180" s="263"/>
      <c r="AX1180" s="263"/>
      <c r="AY1180" s="263">
        <v>424</v>
      </c>
      <c r="AZ1180" s="263"/>
      <c r="BA1180" s="263"/>
      <c r="BB1180" s="263">
        <v>125</v>
      </c>
      <c r="BC1180" s="263"/>
      <c r="BD1180" s="264"/>
      <c r="BE1180" s="263"/>
      <c r="BF1180" s="263"/>
      <c r="BG1180" s="263"/>
      <c r="BH1180" s="263"/>
      <c r="BI1180" s="263"/>
      <c r="BJ1180" s="404">
        <f>altaz(J2000_Bas,$O1180,$M1180,DecLat,DecLong,2)</f>
        <v>50.918139590279296</v>
      </c>
      <c r="BK1180" s="378" t="s">
        <v>1238</v>
      </c>
      <c r="BL1180" s="379">
        <f>IF((2*G1180)/60&lt;0.2,0.2,(2*G1180)/60)</f>
        <v>0.33333333333333331</v>
      </c>
      <c r="BM1180" s="380">
        <f>MOD((50000+AD1180-$B$3+(0/24)),1)</f>
        <v>0.12040800282557029</v>
      </c>
      <c r="BN1180" s="381"/>
      <c r="BO1180" s="382">
        <v>1174</v>
      </c>
    </row>
    <row r="1181" spans="1:67" s="24" customFormat="1" ht="15" customHeight="1" x14ac:dyDescent="0.25">
      <c r="A1181" s="288" t="s">
        <v>1239</v>
      </c>
      <c r="B1181" s="241" t="str">
        <f>HYPERLINK(CONCATENATE($AT$3,BK1181,$AU$3),$AV$3)</f>
        <v>S</v>
      </c>
      <c r="C1181" s="242" t="str">
        <f>HYPERLINK(CONCATENATE($AT$4,BK1181,$AU$4,BL1181),$AV$4)</f>
        <v>A</v>
      </c>
      <c r="D1181" s="243" t="s">
        <v>5187</v>
      </c>
      <c r="E1181" s="244" t="s">
        <v>5181</v>
      </c>
      <c r="F1181" s="269" t="s">
        <v>5220</v>
      </c>
      <c r="G1181" s="273">
        <v>2</v>
      </c>
      <c r="H1181" s="283">
        <v>3000</v>
      </c>
      <c r="I1181" s="279">
        <v>1.8</v>
      </c>
      <c r="J1181" s="246">
        <v>4</v>
      </c>
      <c r="K1181" s="247" t="s">
        <v>4710</v>
      </c>
      <c r="L1181" s="248">
        <v>215935</v>
      </c>
      <c r="M1181" s="249">
        <f>15*(LEFT(TEXT($L1181,"000000"),2)+(MID(TEXT($L1181,"000000"),3,2)/60)+(RIGHT(TEXT($L1181,"000000"),2)/3600))</f>
        <v>329.89583333333337</v>
      </c>
      <c r="N1181" s="250">
        <v>-392309</v>
      </c>
      <c r="O1181" s="251">
        <f>IF($N1181&gt;0,(LEFT(TEXT($N1181,"000000"),2)+(MID(TEXT($N1181,"000000"),3,2)/60)+(RIGHT(TEXT($N1181,"000000"),2)/3600)),-(MID(TEXT($N1181,"000000"),2,2)+(MID(TEXT($N1181,"000000"),4,2)/60)+(RIGHT(TEXT($N1181,"000000"),2)/3600)))</f>
        <v>-39.385833333333331</v>
      </c>
      <c r="P1181" s="252" t="s">
        <v>1179</v>
      </c>
      <c r="Q1181" s="253" t="s">
        <v>7076</v>
      </c>
      <c r="R1181" s="247" t="s">
        <v>3293</v>
      </c>
      <c r="S1181" s="272" t="s">
        <v>3293</v>
      </c>
      <c r="T1181" s="273">
        <v>11</v>
      </c>
      <c r="U1181" s="274"/>
      <c r="V1181" s="280"/>
      <c r="W1181" s="244"/>
      <c r="X1181" s="244"/>
      <c r="Y1181" s="362"/>
      <c r="Z1181" s="257">
        <f>altaz(J2000_Bas,$O1181,$M1181,DecLat,DecLong,1)</f>
        <v>8.6619920219480555</v>
      </c>
      <c r="AA1181" s="257">
        <f>altaz((J2000_Bas+(2*0.04167)),$O1181,$M1181,DecLat,DecLong,1)</f>
        <v>18.453635173375847</v>
      </c>
      <c r="AB1181" s="257">
        <f>altaz((J2000_Bas+(4*0.04167)),$O1181,$M1181,DecLat,DecLong,1)</f>
        <v>18.007040135799077</v>
      </c>
      <c r="AC1181" s="257">
        <f>altaz((J2000_Bas+(6*0.04167)),$O1181,$M1181,DecLat,DecLong,1)</f>
        <v>7.4921181232042295</v>
      </c>
      <c r="AD1181" s="258">
        <f>1+ transit((J2000_Bas-1),$O1181,$M1181,DecLat,DecLong)/360 + (GMTOffset/24) + (IF(DST="Y", 1, 0)/24)</f>
        <v>1.9092771838067912</v>
      </c>
      <c r="AE1181" s="259">
        <f>DATE(2001,9,21)+(M1181/360)*365 - (360*((DecLong/360)- (GMTOffset/24) ))</f>
        <v>37494.477719907409</v>
      </c>
      <c r="AF1181" s="260">
        <f>IF(DecLat&gt;0,IF((90 - (DecLat-O1181))&gt;90, (90 - (O1181-DecLat)), (90 - (DecLat-O1181))),IF((90 + (DecLat-O1181))&gt;90, (90 + (O1181-DecLat)), (90 + (DecLat-O1181))))</f>
        <v>19.614166666666677</v>
      </c>
      <c r="AG1181" s="257">
        <f>angularseperation(MoonRA,MoonDec,$M1181,$O1181)</f>
        <v>66.380825379136951</v>
      </c>
      <c r="AH1181" s="261">
        <f ca="1">MIN(100,IF($O$5&gt;80,0+30*($AG1181/100),IF($O$5&gt;70,0+50*($AG1181/100),IF($O$5&gt;60,5+50*($AG1181/100),IF($O$5&gt;50,10+60*($AG1181/100),IF($O$5&gt;40,15+70*($AG1181/100),IF($O$5&gt;30,20+70*($AG1181/100),IF($O$5&gt;20,40+55*($AG1181/100),(80+(20-$O$5)+30*($AG1181/100))))))))))</f>
        <v>100</v>
      </c>
      <c r="AI1181" s="262"/>
      <c r="AJ1181" s="263">
        <v>5148</v>
      </c>
      <c r="AK1181" s="263"/>
      <c r="AL1181" s="263"/>
      <c r="AM1181" s="264"/>
      <c r="AN1181" s="263"/>
      <c r="AO1181" s="263"/>
      <c r="AP1181" s="265"/>
      <c r="AQ1181" s="266"/>
      <c r="AR1181" s="267"/>
      <c r="AS1181" s="263"/>
      <c r="AT1181" s="263"/>
      <c r="AU1181" s="263"/>
      <c r="AV1181" s="264"/>
      <c r="AW1181" s="263"/>
      <c r="AX1181" s="263"/>
      <c r="AY1181" s="263"/>
      <c r="AZ1181" s="263"/>
      <c r="BA1181" s="263"/>
      <c r="BB1181" s="263"/>
      <c r="BC1181" s="263"/>
      <c r="BD1181" s="264"/>
      <c r="BE1181" s="263"/>
      <c r="BF1181" s="263"/>
      <c r="BG1181" s="263"/>
      <c r="BH1181" s="263">
        <v>41</v>
      </c>
      <c r="BI1181" s="263"/>
      <c r="BJ1181" s="404">
        <f>altaz(J2000_Bas,$O1181,$M1181,DecLat,DecLong,2)</f>
        <v>147.17737126865234</v>
      </c>
      <c r="BK1181" s="378" t="s">
        <v>1239</v>
      </c>
      <c r="BL1181" s="379">
        <f>IF((2*G1181)/60&lt;0.2,0.2,(2*G1181)/60)</f>
        <v>0.2</v>
      </c>
      <c r="BM1181" s="380">
        <f>MOD((50000+AD1181-$B$3+(0/24)),1)</f>
        <v>0.12464411350811133</v>
      </c>
      <c r="BN1181" s="381" t="s">
        <v>8665</v>
      </c>
      <c r="BO1181" s="382">
        <v>1175</v>
      </c>
    </row>
    <row r="1182" spans="1:67" s="24" customFormat="1" ht="15" customHeight="1" x14ac:dyDescent="0.25">
      <c r="A1182" s="288" t="s">
        <v>3105</v>
      </c>
      <c r="B1182" s="241" t="str">
        <f>HYPERLINK(CONCATENATE($AT$3,BK1182,$AU$3),$AV$3)</f>
        <v>S</v>
      </c>
      <c r="C1182" s="242" t="str">
        <f>HYPERLINK(CONCATENATE($AT$4,BK1182,$AU$4,BL1182),$AV$4)</f>
        <v>A</v>
      </c>
      <c r="D1182" s="243" t="s">
        <v>5638</v>
      </c>
      <c r="E1182" s="244" t="s">
        <v>5192</v>
      </c>
      <c r="F1182" s="269" t="s">
        <v>8677</v>
      </c>
      <c r="G1182" s="273">
        <v>2.5</v>
      </c>
      <c r="H1182" s="283">
        <v>120</v>
      </c>
      <c r="I1182" s="246">
        <v>90</v>
      </c>
      <c r="J1182" s="246">
        <v>2</v>
      </c>
      <c r="K1182" s="247" t="s">
        <v>7667</v>
      </c>
      <c r="L1182" s="248">
        <v>220241</v>
      </c>
      <c r="M1182" s="249">
        <f>15*(LEFT(TEXT($L1182,"000000"),2)+(MID(TEXT($L1182,"000000"),3,2)/60)+(RIGHT(TEXT($L1182,"000000"),2)/3600))</f>
        <v>330.67083333333335</v>
      </c>
      <c r="N1182" s="250">
        <v>-334812</v>
      </c>
      <c r="O1182" s="251">
        <f>IF($N1182&gt;0,(LEFT(TEXT($N1182,"000000"),2)+(MID(TEXT($N1182,"000000"),3,2)/60)+(RIGHT(TEXT($N1182,"000000"),2)/3600)),-(MID(TEXT($N1182,"000000"),2,2)+(MID(TEXT($N1182,"000000"),4,2)/60)+(RIGHT(TEXT($N1182,"000000"),2)/3600)))</f>
        <v>-33.803333333333327</v>
      </c>
      <c r="P1182" s="252" t="s">
        <v>232</v>
      </c>
      <c r="Q1182" s="253"/>
      <c r="R1182" s="277" t="s">
        <v>3293</v>
      </c>
      <c r="S1182" s="272" t="s">
        <v>4711</v>
      </c>
      <c r="T1182" s="273">
        <v>12.2</v>
      </c>
      <c r="U1182" s="289">
        <v>21.59</v>
      </c>
      <c r="V1182" s="280">
        <v>80</v>
      </c>
      <c r="W1182" s="244"/>
      <c r="X1182" s="244"/>
      <c r="Y1182" s="362"/>
      <c r="Z1182" s="257">
        <f>altaz(J2000_Bas,$O1182,$M1182,DecLat,DecLong,1)</f>
        <v>12.710041831167169</v>
      </c>
      <c r="AA1182" s="257">
        <f>altaz((J2000_Bas+(2*0.04167)),$O1182,$M1182,DecLat,DecLong,1)</f>
        <v>23.751971825817733</v>
      </c>
      <c r="AB1182" s="257">
        <f>altaz((J2000_Bas+(4*0.04167)),$O1182,$M1182,DecLat,DecLong,1)</f>
        <v>23.566861778284938</v>
      </c>
      <c r="AC1182" s="257">
        <f>altaz((J2000_Bas+(6*0.04167)),$O1182,$M1182,DecLat,DecLong,1)</f>
        <v>12.235878062282591</v>
      </c>
      <c r="AD1182" s="258">
        <f>1+ transit((J2000_Bas-1),$O1182,$M1182,DecLat,DecLong)/360 + (GMTOffset/24) + (IF(DST="Y", 1, 0)/24)</f>
        <v>1.9114299613692916</v>
      </c>
      <c r="AE1182" s="259">
        <f>DATE(2001,9,21)+(M1182/360)*365 - (360*((DecLong/360)- (GMTOffset/24) ))</f>
        <v>37495.263483796298</v>
      </c>
      <c r="AF1182" s="260">
        <f>IF(DecLat&gt;0,IF((90 - (DecLat-O1182))&gt;90, (90 - (O1182-DecLat)), (90 - (DecLat-O1182))),IF((90 + (DecLat-O1182))&gt;90, (90 + (O1182-DecLat)), (90 + (DecLat-O1182))))</f>
        <v>25.196666666666673</v>
      </c>
      <c r="AG1182" s="257">
        <f>angularseperation(MoonRA,MoonDec,$M1182,$O1182)</f>
        <v>68.680794358093451</v>
      </c>
      <c r="AH1182" s="261">
        <f ca="1">MIN(100,IF($O$5&gt;80,0+30*($AG1182/100),IF($O$5&gt;70,0+50*($AG1182/100),IF($O$5&gt;60,5+50*($AG1182/100),IF($O$5&gt;50,10+60*($AG1182/100),IF($O$5&gt;40,15+70*($AG1182/100),IF($O$5&gt;30,20+70*($AG1182/100),IF($O$5&gt;20,40+55*($AG1182/100),(80+(20-$O$5)+30*($AG1182/100))))))))))</f>
        <v>100</v>
      </c>
      <c r="AI1182" s="263"/>
      <c r="AJ1182" s="263">
        <v>5156</v>
      </c>
      <c r="AK1182" s="263"/>
      <c r="AL1182" s="263"/>
      <c r="AM1182" s="264"/>
      <c r="AN1182" s="263"/>
      <c r="AO1182" s="263"/>
      <c r="AP1182" s="265"/>
      <c r="AQ1182" s="265"/>
      <c r="AR1182" s="285">
        <v>67932</v>
      </c>
      <c r="AS1182" s="263"/>
      <c r="AT1182" s="263"/>
      <c r="AU1182" s="263"/>
      <c r="AV1182" s="264"/>
      <c r="AW1182" s="263"/>
      <c r="AX1182" s="263"/>
      <c r="AY1182" s="263"/>
      <c r="AZ1182" s="263"/>
      <c r="BA1182" s="263"/>
      <c r="BB1182" s="263"/>
      <c r="BC1182" s="263"/>
      <c r="BD1182" s="264"/>
      <c r="BE1182" s="263"/>
      <c r="BF1182" s="263"/>
      <c r="BG1182" s="263"/>
      <c r="BH1182" s="263"/>
      <c r="BI1182" s="263"/>
      <c r="BJ1182" s="404">
        <f>altaz(J2000_Bas,$O1182,$M1182,DecLat,DecLong,2)</f>
        <v>143.21361677582243</v>
      </c>
      <c r="BK1182" s="378" t="s">
        <v>3105</v>
      </c>
      <c r="BL1182" s="379">
        <f>IF((2*G1182)/60&lt;0.2,0.2,(2*G1182)/60)</f>
        <v>0.2</v>
      </c>
      <c r="BM1182" s="380">
        <f>MOD((50000+AD1182-$B$3+(0/24)),1)</f>
        <v>0.12679689107608283</v>
      </c>
      <c r="BN1182" s="381"/>
      <c r="BO1182" s="382">
        <v>1176</v>
      </c>
    </row>
    <row r="1183" spans="1:67" s="24" customFormat="1" ht="15" customHeight="1" x14ac:dyDescent="0.25">
      <c r="A1183" s="288" t="s">
        <v>1240</v>
      </c>
      <c r="B1183" s="241" t="str">
        <f>HYPERLINK(CONCATENATE($AT$3,BK1183,$AU$3),$AV$3)</f>
        <v>S</v>
      </c>
      <c r="C1183" s="242" t="str">
        <f>HYPERLINK(CONCATENATE($AT$4,BK1183,$AU$4,BL1183),$AV$4)</f>
        <v>A</v>
      </c>
      <c r="D1183" s="243" t="s">
        <v>5187</v>
      </c>
      <c r="E1183" s="244" t="s">
        <v>5181</v>
      </c>
      <c r="F1183" s="269" t="s">
        <v>4801</v>
      </c>
      <c r="G1183" s="270">
        <v>0.1</v>
      </c>
      <c r="H1183" s="283">
        <v>18000</v>
      </c>
      <c r="I1183" s="309">
        <v>0.55000000000000004</v>
      </c>
      <c r="J1183" s="246">
        <v>1</v>
      </c>
      <c r="K1183" s="247" t="s">
        <v>4712</v>
      </c>
      <c r="L1183" s="248">
        <v>222356</v>
      </c>
      <c r="M1183" s="249">
        <f>15*(LEFT(TEXT($L1183,"000000"),2)+(MID(TEXT($L1183,"000000"),3,2)/60)+(RIGHT(TEXT($L1183,"000000"),2)/3600))</f>
        <v>335.98333333333329</v>
      </c>
      <c r="N1183" s="250">
        <v>505800</v>
      </c>
      <c r="O1183" s="251">
        <f>IF($N1183&gt;0,(LEFT(TEXT($N1183,"000000"),2)+(MID(TEXT($N1183,"000000"),3,2)/60)+(RIGHT(TEXT($N1183,"000000"),2)/3600)),-(MID(TEXT($N1183,"000000"),2,2)+(MID(TEXT($N1183,"000000"),4,2)/60)+(RIGHT(TEXT($N1183,"000000"),2)/3600)))</f>
        <v>50.966666666666669</v>
      </c>
      <c r="P1183" s="252" t="s">
        <v>58</v>
      </c>
      <c r="Q1183" s="253"/>
      <c r="R1183" s="247" t="s">
        <v>3293</v>
      </c>
      <c r="S1183" s="272" t="s">
        <v>3293</v>
      </c>
      <c r="T1183" s="273">
        <v>11.3</v>
      </c>
      <c r="U1183" s="274"/>
      <c r="V1183" s="280"/>
      <c r="W1183" s="244"/>
      <c r="X1183" s="244"/>
      <c r="Y1183" s="362"/>
      <c r="Z1183" s="257">
        <f>altaz(J2000_Bas,$O1183,$M1183,DecLat,DecLong,1)</f>
        <v>48.34842615721471</v>
      </c>
      <c r="AA1183" s="257">
        <f>altaz((J2000_Bas+(2*0.04167)),$O1183,$M1183,DecLat,DecLong,1)</f>
        <v>65.185331622268663</v>
      </c>
      <c r="AB1183" s="257">
        <f>altaz((J2000_Bas+(4*0.04167)),$O1183,$M1183,DecLat,DecLong,1)</f>
        <v>68.650850917501415</v>
      </c>
      <c r="AC1183" s="257">
        <f>altaz((J2000_Bas+(6*0.04167)),$O1183,$M1183,DecLat,DecLong,1)</f>
        <v>54.285902840244304</v>
      </c>
      <c r="AD1183" s="258">
        <f>1+ transit((J2000_Bas-1),$O1183,$M1183,DecLat,DecLong)/360 + (GMTOffset/24) + (IF(DST="Y", 1, 0)/24)</f>
        <v>1.9261869043380411</v>
      </c>
      <c r="AE1183" s="259">
        <f>DATE(2001,9,21)+(M1183/360)*365 - (360*((DecLong/360)- (GMTOffset/24) ))</f>
        <v>37500.649768518517</v>
      </c>
      <c r="AF1183" s="260">
        <f>IF(DecLat&gt;0,IF((90 - (DecLat-O1183))&gt;90, (90 - (O1183-DecLat)), (90 - (DecLat-O1183))),IF((90 + (DecLat-O1183))&gt;90, (90 + (O1183-DecLat)), (90 + (DecLat-O1183))))</f>
        <v>70.033333333333331</v>
      </c>
      <c r="AG1183" s="257">
        <f>angularseperation(MoonRA,MoonDec,$M1183,$O1183)</f>
        <v>108.77145020927163</v>
      </c>
      <c r="AH1183" s="261">
        <f ca="1">MIN(100,IF($O$5&gt;80,0+30*($AG1183/100),IF($O$5&gt;70,0+50*($AG1183/100),IF($O$5&gt;60,5+50*($AG1183/100),IF($O$5&gt;50,10+60*($AG1183/100),IF($O$5&gt;40,15+70*($AG1183/100),IF($O$5&gt;30,20+70*($AG1183/100),IF($O$5&gt;20,40+55*($AG1183/100),(80+(20-$O$5)+30*($AG1183/100))))))))))</f>
        <v>100</v>
      </c>
      <c r="AI1183" s="262"/>
      <c r="AJ1183" s="263">
        <v>5217</v>
      </c>
      <c r="AK1183" s="263"/>
      <c r="AL1183" s="263"/>
      <c r="AM1183" s="264"/>
      <c r="AN1183" s="263"/>
      <c r="AO1183" s="263"/>
      <c r="AP1183" s="265"/>
      <c r="AQ1183" s="266"/>
      <c r="AR1183" s="267"/>
      <c r="AS1183" s="263"/>
      <c r="AT1183" s="263">
        <v>44</v>
      </c>
      <c r="AU1183" s="263"/>
      <c r="AV1183" s="264"/>
      <c r="AW1183" s="263"/>
      <c r="AX1183" s="263"/>
      <c r="AY1183" s="263"/>
      <c r="AZ1183" s="263"/>
      <c r="BA1183" s="263"/>
      <c r="BB1183" s="263"/>
      <c r="BC1183" s="263"/>
      <c r="BD1183" s="264"/>
      <c r="BE1183" s="263"/>
      <c r="BF1183" s="263"/>
      <c r="BG1183" s="263"/>
      <c r="BH1183" s="263"/>
      <c r="BI1183" s="263"/>
      <c r="BJ1183" s="404">
        <f>altaz(J2000_Bas,$O1183,$M1183,DecLat,DecLong,2)</f>
        <v>46.526831829854558</v>
      </c>
      <c r="BK1183" s="378" t="s">
        <v>1240</v>
      </c>
      <c r="BL1183" s="379">
        <f>IF((2*G1183)/60&lt;0.2,0.2,(2*G1183)/60)</f>
        <v>0.2</v>
      </c>
      <c r="BM1183" s="380">
        <f>MOD((50000+AD1183-$B$3+(0/24)),1)</f>
        <v>0.14155383404431632</v>
      </c>
      <c r="BN1183" s="381"/>
      <c r="BO1183" s="382">
        <v>1177</v>
      </c>
    </row>
    <row r="1184" spans="1:67" s="24" customFormat="1" ht="15" customHeight="1" x14ac:dyDescent="0.25">
      <c r="A1184" s="287" t="s">
        <v>1241</v>
      </c>
      <c r="B1184" s="241" t="str">
        <f>HYPERLINK(CONCATENATE($AT$3,BK1184,$AU$3),$AV$3)</f>
        <v>S</v>
      </c>
      <c r="C1184" s="242" t="str">
        <f>HYPERLINK(CONCATENATE($AT$4,BK1184,$AU$4,BL1184),$AV$4)</f>
        <v>A</v>
      </c>
      <c r="D1184" s="243" t="s">
        <v>5638</v>
      </c>
      <c r="E1184" s="244" t="s">
        <v>5192</v>
      </c>
      <c r="F1184" s="269" t="s">
        <v>8916</v>
      </c>
      <c r="G1184" s="273">
        <v>3.2</v>
      </c>
      <c r="H1184" s="283">
        <v>81.050219999999996</v>
      </c>
      <c r="I1184" s="246">
        <v>80</v>
      </c>
      <c r="J1184" s="246">
        <v>2</v>
      </c>
      <c r="K1184" s="247" t="s">
        <v>6168</v>
      </c>
      <c r="L1184" s="248">
        <v>224152</v>
      </c>
      <c r="M1184" s="249">
        <f>15*(LEFT(TEXT($L1184,"000000"),2)+(MID(TEXT($L1184,"000000"),3,2)/60)+(RIGHT(TEXT($L1184,"000000"),2)/3600))</f>
        <v>340.46666666666664</v>
      </c>
      <c r="N1184" s="250">
        <v>-444603</v>
      </c>
      <c r="O1184" s="251">
        <f>IF($N1184&gt;0,(LEFT(TEXT($N1184,"000000"),2)+(MID(TEXT($N1184,"000000"),3,2)/60)+(RIGHT(TEXT($N1184,"000000"),2)/3600)),-(MID(TEXT($N1184,"000000"),2,2)+(MID(TEXT($N1184,"000000"),4,2)/60)+(RIGHT(TEXT($N1184,"000000"),2)/3600)))</f>
        <v>-44.767499999999998</v>
      </c>
      <c r="P1184" s="252" t="s">
        <v>1179</v>
      </c>
      <c r="Q1184" s="253"/>
      <c r="R1184" s="277" t="s">
        <v>3293</v>
      </c>
      <c r="S1184" s="272" t="s">
        <v>3293</v>
      </c>
      <c r="T1184" s="273">
        <v>11.9</v>
      </c>
      <c r="U1184" s="289">
        <v>22.490000000000002</v>
      </c>
      <c r="V1184" s="280">
        <v>50</v>
      </c>
      <c r="W1184" s="244"/>
      <c r="X1184" s="244"/>
      <c r="Y1184" s="362"/>
      <c r="Z1184" s="257">
        <f>altaz(J2000_Bas,$O1184,$M1184,DecLat,DecLong,1)</f>
        <v>-0.51570793993244468</v>
      </c>
      <c r="AA1184" s="257">
        <f>altaz((J2000_Bas+(2*0.04167)),$O1184,$M1184,DecLat,DecLong,1)</f>
        <v>11.045736985744426</v>
      </c>
      <c r="AB1184" s="257">
        <f>altaz((J2000_Bas+(4*0.04167)),$O1184,$M1184,DecLat,DecLong,1)</f>
        <v>14.054392785808918</v>
      </c>
      <c r="AC1184" s="257">
        <f>altaz((J2000_Bas+(6*0.04167)),$O1184,$M1184,DecLat,DecLong,1)</f>
        <v>7.5240460266017504</v>
      </c>
      <c r="AD1184" s="258">
        <f>1+ transit((J2000_Bas-1),$O1184,$M1184,DecLat,DecLong)/360 + (GMTOffset/24) + (IF(DST="Y", 1, 0)/24)</f>
        <v>1.9386406067963746</v>
      </c>
      <c r="AE1184" s="259">
        <f>DATE(2001,9,21)+(M1184/360)*365 - (360*((DecLong/360)- (GMTOffset/24) ))</f>
        <v>37505.195370370369</v>
      </c>
      <c r="AF1184" s="260">
        <f>IF(DecLat&gt;0,IF((90 - (DecLat-O1184))&gt;90, (90 - (O1184-DecLat)), (90 - (DecLat-O1184))),IF((90 + (DecLat-O1184))&gt;90, (90 + (O1184-DecLat)), (90 + (DecLat-O1184))))</f>
        <v>14.232500000000002</v>
      </c>
      <c r="AG1184" s="257">
        <f>angularseperation(MoonRA,MoonDec,$M1184,$O1184)</f>
        <v>72.114004672195549</v>
      </c>
      <c r="AH1184" s="261">
        <f ca="1">MIN(100,IF($O$5&gt;80,0+30*($AG1184/100),IF($O$5&gt;70,0+50*($AG1184/100),IF($O$5&gt;60,5+50*($AG1184/100),IF($O$5&gt;50,10+60*($AG1184/100),IF($O$5&gt;40,15+70*($AG1184/100),IF($O$5&gt;30,20+70*($AG1184/100),IF($O$5&gt;20,40+55*($AG1184/100),(80+(20-$O$5)+30*($AG1184/100))))))))))</f>
        <v>100</v>
      </c>
      <c r="AI1184" s="263"/>
      <c r="AJ1184" s="263">
        <v>5240</v>
      </c>
      <c r="AK1184" s="263"/>
      <c r="AL1184" s="263"/>
      <c r="AM1184" s="264"/>
      <c r="AN1184" s="263"/>
      <c r="AO1184" s="263"/>
      <c r="AP1184" s="265"/>
      <c r="AQ1184" s="265"/>
      <c r="AR1184" s="285">
        <v>69521</v>
      </c>
      <c r="AS1184" s="263"/>
      <c r="AT1184" s="263"/>
      <c r="AU1184" s="263"/>
      <c r="AV1184" s="264"/>
      <c r="AW1184" s="263"/>
      <c r="AX1184" s="263"/>
      <c r="AY1184" s="263"/>
      <c r="AZ1184" s="263"/>
      <c r="BA1184" s="263"/>
      <c r="BB1184" s="263"/>
      <c r="BC1184" s="263"/>
      <c r="BD1184" s="264"/>
      <c r="BE1184" s="263"/>
      <c r="BF1184" s="263"/>
      <c r="BG1184" s="263"/>
      <c r="BH1184" s="263"/>
      <c r="BI1184" s="263"/>
      <c r="BJ1184" s="404">
        <f>altaz(J2000_Bas,$O1184,$M1184,DecLat,DecLong,2)</f>
        <v>144.70668617271014</v>
      </c>
      <c r="BK1184" s="378" t="s">
        <v>1241</v>
      </c>
      <c r="BL1184" s="379">
        <f>IF((2*G1184)/60&lt;0.2,0.2,(2*G1184)/60)</f>
        <v>0.2</v>
      </c>
      <c r="BM1184" s="380">
        <f>MOD((50000+AD1184-$B$3+(0/24)),1)</f>
        <v>0.15400753649737453</v>
      </c>
      <c r="BN1184" s="381"/>
      <c r="BO1184" s="382">
        <v>1178</v>
      </c>
    </row>
    <row r="1185" spans="1:67" s="24" customFormat="1" ht="15" customHeight="1" x14ac:dyDescent="0.25">
      <c r="A1185" s="288" t="s">
        <v>1242</v>
      </c>
      <c r="B1185" s="241" t="str">
        <f>HYPERLINK(CONCATENATE($AT$3,BK1185,$AU$3),$AV$3)</f>
        <v>S</v>
      </c>
      <c r="C1185" s="242" t="str">
        <f>HYPERLINK(CONCATENATE($AT$4,BK1185,$AU$4,BL1185),$AV$4)</f>
        <v>A</v>
      </c>
      <c r="D1185" s="243" t="s">
        <v>5638</v>
      </c>
      <c r="E1185" s="244" t="s">
        <v>5192</v>
      </c>
      <c r="F1185" s="269" t="s">
        <v>8676</v>
      </c>
      <c r="G1185" s="273">
        <v>1.7</v>
      </c>
      <c r="H1185" s="283">
        <v>280</v>
      </c>
      <c r="I1185" s="246">
        <v>140</v>
      </c>
      <c r="J1185" s="246">
        <v>3</v>
      </c>
      <c r="K1185" s="247" t="s">
        <v>7668</v>
      </c>
      <c r="L1185" s="248">
        <v>230659</v>
      </c>
      <c r="M1185" s="249">
        <f>15*(LEFT(TEXT($L1185,"000000"),2)+(MID(TEXT($L1185,"000000"),3,2)/60)+(RIGHT(TEXT($L1185,"000000"),2)/3600))</f>
        <v>346.74583333333339</v>
      </c>
      <c r="N1185" s="250">
        <v>225611</v>
      </c>
      <c r="O1185" s="251">
        <f>IF($N1185&gt;0,(LEFT(TEXT($N1185,"000000"),2)+(MID(TEXT($N1185,"000000"),3,2)/60)+(RIGHT(TEXT($N1185,"000000"),2)/3600)),-(MID(TEXT($N1185,"000000"),2,2)+(MID(TEXT($N1185,"000000"),4,2)/60)+(RIGHT(TEXT($N1185,"000000"),2)/3600)))</f>
        <v>22.936388888888889</v>
      </c>
      <c r="P1185" s="252" t="s">
        <v>39</v>
      </c>
      <c r="Q1185" s="253"/>
      <c r="R1185" s="247" t="s">
        <v>3293</v>
      </c>
      <c r="S1185" s="272" t="s">
        <v>4713</v>
      </c>
      <c r="T1185" s="273">
        <v>12.6</v>
      </c>
      <c r="U1185" s="289">
        <v>22.09</v>
      </c>
      <c r="V1185" s="280">
        <v>45</v>
      </c>
      <c r="W1185" s="244"/>
      <c r="X1185" s="244"/>
      <c r="Y1185" s="362"/>
      <c r="Z1185" s="257">
        <f>altaz(J2000_Bas,$O1185,$M1185,DecLat,DecLong,1)</f>
        <v>35.909965039116052</v>
      </c>
      <c r="AA1185" s="257">
        <f>altaz((J2000_Bas+(2*0.04167)),$O1185,$M1185,DecLat,DecLong,1)</f>
        <v>61.614775770878403</v>
      </c>
      <c r="AB1185" s="257">
        <f>altaz((J2000_Bas+(4*0.04167)),$O1185,$M1185,DecLat,DecLong,1)</f>
        <v>81.920217832323999</v>
      </c>
      <c r="AC1185" s="257">
        <f>altaz((J2000_Bas+(6*0.04167)),$O1185,$M1185,DecLat,DecLong,1)</f>
        <v>62.585793248545826</v>
      </c>
      <c r="AD1185" s="258">
        <f>1+ transit((J2000_Bas-1),$O1185,$M1185,DecLat,DecLong)/360 + (GMTOffset/24) + (IF(DST="Y", 1, 0)/24)</f>
        <v>1.9560827346817915</v>
      </c>
      <c r="AE1185" s="259">
        <f>DATE(2001,9,21)+(M1185/360)*365 - (360*((DecLong/360)- (GMTOffset/24) ))</f>
        <v>37511.561747685184</v>
      </c>
      <c r="AF1185" s="260">
        <f>IF(DecLat&gt;0,IF((90 - (DecLat-O1185))&gt;90, (90 - (O1185-DecLat)), (90 - (DecLat-O1185))),IF((90 + (DecLat-O1185))&gt;90, (90 + (O1185-DecLat)), (90 + (DecLat-O1185))))</f>
        <v>81.936388888888885</v>
      </c>
      <c r="AG1185" s="257">
        <f>angularseperation(MoonRA,MoonDec,$M1185,$O1185)</f>
        <v>106.52978986347799</v>
      </c>
      <c r="AH1185" s="261">
        <f ca="1">MIN(100,IF($O$5&gt;80,0+30*($AG1185/100),IF($O$5&gt;70,0+50*($AG1185/100),IF($O$5&gt;60,5+50*($AG1185/100),IF($O$5&gt;50,10+60*($AG1185/100),IF($O$5&gt;40,15+70*($AG1185/100),IF($O$5&gt;30,20+70*($AG1185/100),IF($O$5&gt;20,40+55*($AG1185/100),(80+(20-$O$5)+30*($AG1185/100))))))))))</f>
        <v>100</v>
      </c>
      <c r="AI1185" s="262"/>
      <c r="AJ1185" s="263">
        <v>5285</v>
      </c>
      <c r="AK1185" s="263"/>
      <c r="AL1185" s="263"/>
      <c r="AM1185" s="264"/>
      <c r="AN1185" s="263"/>
      <c r="AO1185" s="263"/>
      <c r="AP1185" s="265"/>
      <c r="AQ1185" s="266">
        <v>12365</v>
      </c>
      <c r="AR1185" s="267">
        <v>70497</v>
      </c>
      <c r="AS1185" s="263"/>
      <c r="AT1185" s="263"/>
      <c r="AU1185" s="263"/>
      <c r="AV1185" s="264"/>
      <c r="AW1185" s="263"/>
      <c r="AX1185" s="263"/>
      <c r="AY1185" s="263"/>
      <c r="AZ1185" s="263"/>
      <c r="BA1185" s="263"/>
      <c r="BB1185" s="263"/>
      <c r="BC1185" s="263"/>
      <c r="BD1185" s="264"/>
      <c r="BE1185" s="263"/>
      <c r="BF1185" s="263"/>
      <c r="BG1185" s="263"/>
      <c r="BH1185" s="263"/>
      <c r="BI1185" s="263"/>
      <c r="BJ1185" s="404">
        <f>altaz(J2000_Bas,$O1185,$M1185,DecLat,DecLong,2)</f>
        <v>82.748488824244248</v>
      </c>
      <c r="BK1185" s="378" t="s">
        <v>1242</v>
      </c>
      <c r="BL1185" s="379">
        <f>IF((2*G1185)/60&lt;0.2,0.2,(2*G1185)/60)</f>
        <v>0.2</v>
      </c>
      <c r="BM1185" s="380">
        <f>MOD((50000+AD1185-$B$3+(0/24)),1)</f>
        <v>0.17144966438354459</v>
      </c>
      <c r="BN1185" s="381"/>
      <c r="BO1185" s="382">
        <v>1179</v>
      </c>
    </row>
    <row r="1186" spans="1:67" s="24" customFormat="1" ht="15" customHeight="1" x14ac:dyDescent="0.25">
      <c r="A1186" s="288" t="s">
        <v>1243</v>
      </c>
      <c r="B1186" s="241" t="str">
        <f>HYPERLINK(CONCATENATE($AT$3,BK1186,$AU$3),$AV$3)</f>
        <v>S</v>
      </c>
      <c r="C1186" s="242" t="str">
        <f>HYPERLINK(CONCATENATE($AT$4,BK1186,$AU$4,BL1186),$AV$4)</f>
        <v>A</v>
      </c>
      <c r="D1186" s="243" t="s">
        <v>5638</v>
      </c>
      <c r="E1186" s="244" t="s">
        <v>8641</v>
      </c>
      <c r="F1186" s="269"/>
      <c r="G1186" s="270">
        <v>0.5</v>
      </c>
      <c r="H1186" s="283">
        <v>600</v>
      </c>
      <c r="I1186" s="246">
        <v>90</v>
      </c>
      <c r="J1186" s="246">
        <v>3</v>
      </c>
      <c r="K1186" s="247" t="s">
        <v>4714</v>
      </c>
      <c r="L1186" s="248">
        <v>85833</v>
      </c>
      <c r="M1186" s="249">
        <f>15*(LEFT(TEXT($L1186,"000000"),2)+(MID(TEXT($L1186,"000000"),3,2)/60)+(RIGHT(TEXT($L1186,"000000"),2)/3600))</f>
        <v>134.63750000000002</v>
      </c>
      <c r="N1186" s="250">
        <v>370511</v>
      </c>
      <c r="O1186" s="251">
        <f>IF($N1186&gt;0,(LEFT(TEXT($N1186,"000000"),2)+(MID(TEXT($N1186,"000000"),3,2)/60)+(RIGHT(TEXT($N1186,"000000"),2)/3600)),-(MID(TEXT($N1186,"000000"),2,2)+(MID(TEXT($N1186,"000000"),4,2)/60)+(RIGHT(TEXT($N1186,"000000"),2)/3600)))</f>
        <v>37.086388888888891</v>
      </c>
      <c r="P1186" s="252" t="s">
        <v>82</v>
      </c>
      <c r="Q1186" s="253"/>
      <c r="R1186" s="247" t="s">
        <v>3293</v>
      </c>
      <c r="S1186" s="272" t="s">
        <v>3293</v>
      </c>
      <c r="T1186" s="273">
        <v>14.5</v>
      </c>
      <c r="U1186" s="274"/>
      <c r="V1186" s="280"/>
      <c r="W1186" s="244"/>
      <c r="X1186" s="244"/>
      <c r="Y1186" s="362"/>
      <c r="Z1186" s="257">
        <f>altaz(J2000_Bas,$O1186,$M1186,DecLat,DecLong,1)</f>
        <v>-16.83253505965444</v>
      </c>
      <c r="AA1186" s="257">
        <f>altaz((J2000_Bas+(2*0.04167)),$O1186,$M1186,DecLat,DecLong,1)</f>
        <v>-21.900095597921016</v>
      </c>
      <c r="AB1186" s="257">
        <f>altaz((J2000_Bas+(4*0.04167)),$O1186,$M1186,DecLat,DecLong,1)</f>
        <v>-15.797138327077997</v>
      </c>
      <c r="AC1186" s="257">
        <f>altaz((J2000_Bas+(6*0.04167)),$O1186,$M1186,DecLat,DecLong,1)</f>
        <v>-0.82798662210339147</v>
      </c>
      <c r="AD1186" s="258">
        <f>1+ transit((J2000_Bas-1),$O1186,$M1186,DecLat,DecLong)/360 + (GMTOffset/24) + (IF(DST="Y", 1, 0)/24)</f>
        <v>1.3668929787859581</v>
      </c>
      <c r="AE1186" s="259">
        <f>DATE(2001,9,21)+(M1186/360)*365 - (360*((DecLong/360)- (GMTOffset/24) ))</f>
        <v>37296.507465277777</v>
      </c>
      <c r="AF1186" s="260">
        <f>IF(DecLat&gt;0,IF((90 - (DecLat-O1186))&gt;90, (90 - (O1186-DecLat)), (90 - (DecLat-O1186))),IF((90 + (DecLat-O1186))&gt;90, (90 + (O1186-DecLat)), (90 + (DecLat-O1186))))</f>
        <v>83.913611111111109</v>
      </c>
      <c r="AG1186" s="257">
        <f>angularseperation(MoonRA,MoonDec,$M1186,$O1186)</f>
        <v>124.76872251009384</v>
      </c>
      <c r="AH1186" s="261">
        <f ca="1">MIN(100,IF($O$5&gt;80,0+30*($AG1186/100),IF($O$5&gt;70,0+50*($AG1186/100),IF($O$5&gt;60,5+50*($AG1186/100),IF($O$5&gt;50,10+60*($AG1186/100),IF($O$5&gt;40,15+70*($AG1186/100),IF($O$5&gt;30,20+70*($AG1186/100),IF($O$5&gt;20,40+55*($AG1186/100),(80+(20-$O$5)+30*($AG1186/100))))))))))</f>
        <v>100</v>
      </c>
      <c r="AI1186" s="262"/>
      <c r="AJ1186" s="262"/>
      <c r="AK1186" s="262"/>
      <c r="AL1186" s="263"/>
      <c r="AM1186" s="264"/>
      <c r="AN1186" s="263"/>
      <c r="AO1186" s="263"/>
      <c r="AP1186" s="265"/>
      <c r="AQ1186" s="266"/>
      <c r="AR1186" s="267">
        <v>25211</v>
      </c>
      <c r="AS1186" s="263"/>
      <c r="AT1186" s="263"/>
      <c r="AU1186" s="263"/>
      <c r="AV1186" s="264"/>
      <c r="AW1186" s="263"/>
      <c r="AX1186" s="263"/>
      <c r="AY1186" s="263"/>
      <c r="AZ1186" s="263"/>
      <c r="BA1186" s="263"/>
      <c r="BB1186" s="263"/>
      <c r="BC1186" s="263"/>
      <c r="BD1186" s="264"/>
      <c r="BE1186" s="263"/>
      <c r="BF1186" s="263"/>
      <c r="BG1186" s="263"/>
      <c r="BH1186" s="263">
        <v>54</v>
      </c>
      <c r="BI1186" s="263"/>
      <c r="BJ1186" s="404">
        <f>altaz(J2000_Bas,$O1186,$M1186,DecLat,DecLong,2)</f>
        <v>336.4590674880543</v>
      </c>
      <c r="BK1186" s="378" t="s">
        <v>1243</v>
      </c>
      <c r="BL1186" s="379">
        <f>IF((2*G1186)/60&lt;0.2,0.2,(2*G1186)/60)</f>
        <v>0.2</v>
      </c>
      <c r="BM1186" s="380">
        <f>MOD((50000+AD1186-$B$3+(0/24)),1)</f>
        <v>0.58225990849314258</v>
      </c>
      <c r="BN1186" s="381"/>
      <c r="BO1186" s="382">
        <v>1180</v>
      </c>
    </row>
    <row r="1187" spans="1:67" s="24" customFormat="1" ht="15" customHeight="1" x14ac:dyDescent="0.25">
      <c r="A1187" s="287" t="s">
        <v>9398</v>
      </c>
      <c r="B1187" s="241" t="str">
        <f>HYPERLINK(CONCATENATE($AT$3,BK1187,$AU$3),$AV$3)</f>
        <v>S</v>
      </c>
      <c r="C1187" s="242" t="str">
        <f>HYPERLINK(CONCATENATE($AT$4,BK1187,$AU$4,BL1187),$AV$4)</f>
        <v>A</v>
      </c>
      <c r="D1187" s="243" t="s">
        <v>5187</v>
      </c>
      <c r="E1187" s="244" t="s">
        <v>7522</v>
      </c>
      <c r="F1187" s="269"/>
      <c r="G1187" s="276">
        <v>150</v>
      </c>
      <c r="H1187" s="271" t="s">
        <v>6500</v>
      </c>
      <c r="I1187" s="244" t="s">
        <v>6500</v>
      </c>
      <c r="J1187" s="246">
        <v>2</v>
      </c>
      <c r="K1187" s="247" t="s">
        <v>9577</v>
      </c>
      <c r="L1187" s="248">
        <v>222033</v>
      </c>
      <c r="M1187" s="249">
        <f>15*(LEFT(TEXT($L1187,"000000"),2)+(MID(TEXT($L1187,"000000"),3,2)/60)+(RIGHT(TEXT($L1187,"000000"),2)/3600))</f>
        <v>335.13749999999999</v>
      </c>
      <c r="N1187" s="250">
        <v>433117</v>
      </c>
      <c r="O1187" s="251">
        <f>IF($N1187&gt;0,(LEFT(TEXT($N1187,"000000"),2)+(MID(TEXT($N1187,"000000"),3,2)/60)+(RIGHT(TEXT($N1187,"000000"),2)/3600)),-(MID(TEXT($N1187,"000000"),2,2)+(MID(TEXT($N1187,"000000"),4,2)/60)+(RIGHT(TEXT($N1187,"000000"),2)/3600)))</f>
        <v>43.521388888888886</v>
      </c>
      <c r="P1187" s="252" t="s">
        <v>58</v>
      </c>
      <c r="Q1187" s="253"/>
      <c r="R1187" s="277" t="s">
        <v>3293</v>
      </c>
      <c r="S1187" s="272" t="s">
        <v>9399</v>
      </c>
      <c r="T1187" s="273"/>
      <c r="U1187" s="274"/>
      <c r="V1187" s="280"/>
      <c r="W1187" s="244"/>
      <c r="X1187" s="244"/>
      <c r="Y1187" s="362"/>
      <c r="Z1187" s="257">
        <f>altaz(J2000_Bas,$O1187,$M1187,DecLat,DecLong,1)</f>
        <v>49.581972987841453</v>
      </c>
      <c r="AA1187" s="257">
        <f>altaz((J2000_Bas+(2*0.04167)),$O1187,$M1187,DecLat,DecLong,1)</f>
        <v>70.419985120550507</v>
      </c>
      <c r="AB1187" s="257">
        <f>altaz((J2000_Bas+(4*0.04167)),$O1187,$M1187,DecLat,DecLong,1)</f>
        <v>74.736352499066953</v>
      </c>
      <c r="AC1187" s="257">
        <f>altaz((J2000_Bas+(6*0.04167)),$O1187,$M1187,DecLat,DecLong,1)</f>
        <v>55.377109260837614</v>
      </c>
      <c r="AD1187" s="258">
        <f>1+ transit((J2000_Bas-1),$O1187,$M1187,DecLat,DecLong)/360 + (GMTOffset/24) + (IF(DST="Y", 1, 0)/24)</f>
        <v>1.9238373675359581</v>
      </c>
      <c r="AE1187" s="259">
        <f>DATE(2001,9,21)+(M1187/360)*365 - (360*((DecLong/360)- (GMTOffset/24) ))</f>
        <v>37499.792187500003</v>
      </c>
      <c r="AF1187" s="260">
        <f>IF(DecLat&gt;0,IF((90 - (DecLat-O1187))&gt;90, (90 - (O1187-DecLat)), (90 - (DecLat-O1187))),IF((90 + (DecLat-O1187))&gt;90, (90 + (O1187-DecLat)), (90 + (DecLat-O1187))))</f>
        <v>77.478611111111121</v>
      </c>
      <c r="AG1187" s="257">
        <f>angularseperation(MoonRA,MoonDec,$M1187,$O1187)</f>
        <v>105.50492346148823</v>
      </c>
      <c r="AH1187" s="261">
        <f ca="1">MIN(100,IF($O$5&gt;80,0+30*($AG1187/100),IF($O$5&gt;70,0+50*($AG1187/100),IF($O$5&gt;60,5+50*($AG1187/100),IF($O$5&gt;50,10+60*($AG1187/100),IF($O$5&gt;40,15+70*($AG1187/100),IF($O$5&gt;30,20+70*($AG1187/100),IF($O$5&gt;20,40+55*($AG1187/100),(80+(20-$O$5)+30*($AG1187/100))))))))))</f>
        <v>100</v>
      </c>
      <c r="AI1187" s="262"/>
      <c r="AJ1187" s="262"/>
      <c r="AK1187" s="262"/>
      <c r="AL1187" s="263"/>
      <c r="AM1187" s="264"/>
      <c r="AN1187" s="263"/>
      <c r="AO1187" s="263"/>
      <c r="AP1187" s="265"/>
      <c r="AQ1187" s="266"/>
      <c r="AR1187" s="267"/>
      <c r="AS1187" s="263"/>
      <c r="AT1187" s="263"/>
      <c r="AU1187" s="263"/>
      <c r="AV1187" s="264"/>
      <c r="AW1187" s="263"/>
      <c r="AX1187" s="263"/>
      <c r="AY1187" s="263"/>
      <c r="AZ1187" s="263"/>
      <c r="BA1187" s="263"/>
      <c r="BB1187" s="263"/>
      <c r="BC1187" s="263"/>
      <c r="BD1187" s="264"/>
      <c r="BE1187" s="263"/>
      <c r="BF1187" s="263"/>
      <c r="BG1187" s="263"/>
      <c r="BH1187" s="263"/>
      <c r="BI1187" s="263"/>
      <c r="BJ1187" s="404">
        <f>altaz(J2000_Bas,$O1187,$M1187,DecLat,DecLong,2)</f>
        <v>57.755910338080355</v>
      </c>
      <c r="BK1187" s="378" t="s">
        <v>9398</v>
      </c>
      <c r="BL1187" s="379">
        <f>IF((2*G1187)/60&lt;0.2,0.2,(2*G1187)/60)</f>
        <v>5</v>
      </c>
      <c r="BM1187" s="380">
        <f>MOD((50000+AD1187-$B$3+(0/24)),1)</f>
        <v>0.13920429723657435</v>
      </c>
      <c r="BN1187" s="381"/>
      <c r="BO1187" s="382">
        <v>1181</v>
      </c>
    </row>
    <row r="1188" spans="1:67" s="24" customFormat="1" ht="15" customHeight="1" x14ac:dyDescent="0.25">
      <c r="A1188" s="288" t="s">
        <v>1244</v>
      </c>
      <c r="B1188" s="241" t="str">
        <f>HYPERLINK(CONCATENATE($AT$3,BK1188,$AU$3),$AV$3)</f>
        <v>S</v>
      </c>
      <c r="C1188" s="242" t="str">
        <f>HYPERLINK(CONCATENATE($AT$4,BK1188,$AU$4,BL1188),$AV$4)</f>
        <v>A</v>
      </c>
      <c r="D1188" s="243" t="s">
        <v>5187</v>
      </c>
      <c r="E1188" s="244" t="s">
        <v>5181</v>
      </c>
      <c r="F1188" s="269" t="s">
        <v>6175</v>
      </c>
      <c r="G1188" s="276">
        <v>20</v>
      </c>
      <c r="H1188" s="271">
        <v>1400</v>
      </c>
      <c r="I1188" s="279">
        <v>8</v>
      </c>
      <c r="J1188" s="246">
        <v>2</v>
      </c>
      <c r="K1188" s="247" t="s">
        <v>6170</v>
      </c>
      <c r="L1188" s="248">
        <v>34900</v>
      </c>
      <c r="M1188" s="249">
        <f>15*(LEFT(TEXT($L1188,"000000"),2)+(MID(TEXT($L1188,"000000"),3,2)/60)+(RIGHT(TEXT($L1188,"000000"),2)/3600))</f>
        <v>57.25</v>
      </c>
      <c r="N1188" s="250">
        <v>500000</v>
      </c>
      <c r="O1188" s="251">
        <f>IF($N1188&gt;0,(LEFT(TEXT($N1188,"000000"),2)+(MID(TEXT($N1188,"000000"),3,2)/60)+(RIGHT(TEXT($N1188,"000000"),2)/3600)),-(MID(TEXT($N1188,"000000"),2,2)+(MID(TEXT($N1188,"000000"),4,2)/60)+(RIGHT(TEXT($N1188,"000000"),2)/3600)))</f>
        <v>50</v>
      </c>
      <c r="P1188" s="252" t="s">
        <v>43</v>
      </c>
      <c r="Q1188" s="253"/>
      <c r="R1188" s="277" t="s">
        <v>3293</v>
      </c>
      <c r="S1188" s="272" t="s">
        <v>3293</v>
      </c>
      <c r="T1188" s="273"/>
      <c r="U1188" s="274"/>
      <c r="V1188" s="280"/>
      <c r="W1188" s="244"/>
      <c r="X1188" s="244"/>
      <c r="Y1188" s="362"/>
      <c r="Z1188" s="257">
        <f>altaz(J2000_Bas,$O1188,$M1188,DecLat,DecLong,1)</f>
        <v>1.792331576024079</v>
      </c>
      <c r="AA1188" s="257">
        <f>altaz((J2000_Bas+(2*0.04167)),$O1188,$M1188,DecLat,DecLong,1)</f>
        <v>16.730727265074201</v>
      </c>
      <c r="AB1188" s="257">
        <f>altaz((J2000_Bas+(4*0.04167)),$O1188,$M1188,DecLat,DecLong,1)</f>
        <v>34.97440794535445</v>
      </c>
      <c r="AC1188" s="257">
        <f>altaz((J2000_Bas+(6*0.04167)),$O1188,$M1188,DecLat,DecLong,1)</f>
        <v>54.135891088822213</v>
      </c>
      <c r="AD1188" s="258">
        <f>1+ transit((J2000_Bas-1),$O1188,$M1188,DecLat,DecLong)/360 + (GMTOffset/24) + (IF(DST="Y", 1, 0)/24)</f>
        <v>1.151927722504708</v>
      </c>
      <c r="AE1188" s="259">
        <f>DATE(2001,9,21)+(M1188/360)*365 - (360*((DecLong/360)- (GMTOffset/24) ))</f>
        <v>37218.045138888891</v>
      </c>
      <c r="AF1188" s="260">
        <f>IF(DecLat&gt;0,IF((90 - (DecLat-O1188))&gt;90, (90 - (O1188-DecLat)), (90 - (DecLat-O1188))),IF((90 + (DecLat-O1188))&gt;90, (90 + (O1188-DecLat)), (90 + (DecLat-O1188))))</f>
        <v>71</v>
      </c>
      <c r="AG1188" s="257">
        <f>angularseperation(MoonRA,MoonDec,$M1188,$O1188)</f>
        <v>155.31095013632086</v>
      </c>
      <c r="AH1188" s="261">
        <f ca="1">MIN(100,IF($O$5&gt;80,0+30*($AG1188/100),IF($O$5&gt;70,0+50*($AG1188/100),IF($O$5&gt;60,5+50*($AG1188/100),IF($O$5&gt;50,10+60*($AG1188/100),IF($O$5&gt;40,15+70*($AG1188/100),IF($O$5&gt;30,20+70*($AG1188/100),IF($O$5&gt;20,40+55*($AG1188/100),(80+(20-$O$5)+30*($AG1188/100))))))))))</f>
        <v>100</v>
      </c>
      <c r="AI1188" s="263"/>
      <c r="AJ1188" s="263"/>
      <c r="AK1188" s="263"/>
      <c r="AL1188" s="263"/>
      <c r="AM1188" s="264"/>
      <c r="AN1188" s="263"/>
      <c r="AO1188" s="263"/>
      <c r="AP1188" s="265"/>
      <c r="AQ1188" s="265"/>
      <c r="AR1188" s="285"/>
      <c r="AS1188" s="263"/>
      <c r="AT1188" s="263"/>
      <c r="AU1188" s="263"/>
      <c r="AV1188" s="264"/>
      <c r="AW1188" s="263"/>
      <c r="AX1188" s="263"/>
      <c r="AY1188" s="263"/>
      <c r="AZ1188" s="263"/>
      <c r="BA1188" s="263"/>
      <c r="BB1188" s="263"/>
      <c r="BC1188" s="263"/>
      <c r="BD1188" s="264"/>
      <c r="BE1188" s="263"/>
      <c r="BF1188" s="263"/>
      <c r="BG1188" s="263"/>
      <c r="BH1188" s="263"/>
      <c r="BI1188" s="263">
        <v>20</v>
      </c>
      <c r="BJ1188" s="404">
        <f>altaz(J2000_Bas,$O1188,$M1188,DecLat,DecLong,2)</f>
        <v>28.916161535083894</v>
      </c>
      <c r="BK1188" s="378" t="s">
        <v>4119</v>
      </c>
      <c r="BL1188" s="379">
        <f>IF((2*G1188)/60&lt;0.2,0.2,(2*G1188)/60)</f>
        <v>0.66666666666666663</v>
      </c>
      <c r="BM1188" s="380">
        <f>MOD((50000+AD1188-$B$3+(0/24)),1)</f>
        <v>0.36729465220560087</v>
      </c>
      <c r="BN1188" s="381"/>
      <c r="BO1188" s="382">
        <v>1182</v>
      </c>
    </row>
    <row r="1189" spans="1:67" s="24" customFormat="1" ht="15" customHeight="1" x14ac:dyDescent="0.25">
      <c r="A1189" s="288" t="s">
        <v>1245</v>
      </c>
      <c r="B1189" s="241" t="str">
        <f>HYPERLINK(CONCATENATE($AT$3,BK1189,$AU$3),$AV$3)</f>
        <v>S</v>
      </c>
      <c r="C1189" s="242" t="str">
        <f>HYPERLINK(CONCATENATE($AT$4,BK1189,$AU$4,BL1189),$AV$4)</f>
        <v>A</v>
      </c>
      <c r="D1189" s="243" t="s">
        <v>5187</v>
      </c>
      <c r="E1189" s="244" t="s">
        <v>5181</v>
      </c>
      <c r="F1189" s="269" t="s">
        <v>4806</v>
      </c>
      <c r="G1189" s="276">
        <v>20</v>
      </c>
      <c r="H1189" s="283">
        <v>850</v>
      </c>
      <c r="I1189" s="279">
        <v>5</v>
      </c>
      <c r="J1189" s="246">
        <v>1</v>
      </c>
      <c r="K1189" s="247" t="s">
        <v>4716</v>
      </c>
      <c r="L1189" s="248">
        <v>221300</v>
      </c>
      <c r="M1189" s="249">
        <f>15*(LEFT(TEXT($L1189,"000000"),2)+(MID(TEXT($L1189,"000000"),3,2)/60)+(RIGHT(TEXT($L1189,"000000"),2)/3600))</f>
        <v>333.25</v>
      </c>
      <c r="N1189" s="250">
        <v>655400</v>
      </c>
      <c r="O1189" s="251">
        <f>IF($N1189&gt;0,(LEFT(TEXT($N1189,"000000"),2)+(MID(TEXT($N1189,"000000"),3,2)/60)+(RIGHT(TEXT($N1189,"000000"),2)/3600)),-(MID(TEXT($N1189,"000000"),2,2)+(MID(TEXT($N1189,"000000"),4,2)/60)+(RIGHT(TEXT($N1189,"000000"),2)/3600)))</f>
        <v>65.900000000000006</v>
      </c>
      <c r="P1189" s="252" t="s">
        <v>52</v>
      </c>
      <c r="Q1189" s="253"/>
      <c r="R1189" s="247" t="s">
        <v>3293</v>
      </c>
      <c r="S1189" s="272" t="s">
        <v>3293</v>
      </c>
      <c r="T1189" s="273">
        <v>18.2</v>
      </c>
      <c r="U1189" s="274"/>
      <c r="V1189" s="280"/>
      <c r="W1189" s="244"/>
      <c r="X1189" s="244"/>
      <c r="Y1189" s="362"/>
      <c r="Z1189" s="257">
        <f>altaz(J2000_Bas,$O1189,$M1189,DecLat,DecLong,1)</f>
        <v>45.051453864901951</v>
      </c>
      <c r="AA1189" s="257">
        <f>altaz((J2000_Bas+(2*0.04167)),$O1189,$M1189,DecLat,DecLong,1)</f>
        <v>53.568366406388449</v>
      </c>
      <c r="AB1189" s="257">
        <f>altaz((J2000_Bas+(4*0.04167)),$O1189,$M1189,DecLat,DecLong,1)</f>
        <v>54.22200966208851</v>
      </c>
      <c r="AC1189" s="257">
        <f>altaz((J2000_Bas+(6*0.04167)),$O1189,$M1189,DecLat,DecLong,1)</f>
        <v>46.560229952226543</v>
      </c>
      <c r="AD1189" s="258">
        <f>1+ transit((J2000_Bas-1),$O1189,$M1189,DecLat,DecLong)/360 + (GMTOffset/24) + (IF(DST="Y", 1, 0)/24)</f>
        <v>1.9185943125047078</v>
      </c>
      <c r="AE1189" s="259">
        <f>DATE(2001,9,21)+(M1189/360)*365 - (360*((DecLong/360)- (GMTOffset/24) ))</f>
        <v>37497.878472222219</v>
      </c>
      <c r="AF1189" s="260">
        <f>IF(DecLat&gt;0,IF((90 - (DecLat-O1189))&gt;90, (90 - (O1189-DecLat)), (90 - (DecLat-O1189))),IF((90 + (DecLat-O1189))&gt;90, (90 + (O1189-DecLat)), (90 + (DecLat-O1189))))</f>
        <v>55.099999999999994</v>
      </c>
      <c r="AG1189" s="257">
        <f>angularseperation(MoonRA,MoonDec,$M1189,$O1189)</f>
        <v>112.18886100804342</v>
      </c>
      <c r="AH1189" s="261">
        <f ca="1">MIN(100,IF($O$5&gt;80,0+30*($AG1189/100),IF($O$5&gt;70,0+50*($AG1189/100),IF($O$5&gt;60,5+50*($AG1189/100),IF($O$5&gt;50,10+60*($AG1189/100),IF($O$5&gt;40,15+70*($AG1189/100),IF($O$5&gt;30,20+70*($AG1189/100),IF($O$5&gt;20,40+55*($AG1189/100),(80+(20-$O$5)+30*($AG1189/100))))))))))</f>
        <v>100</v>
      </c>
      <c r="AI1189" s="262"/>
      <c r="AJ1189" s="262"/>
      <c r="AK1189" s="262"/>
      <c r="AL1189" s="263"/>
      <c r="AM1189" s="264"/>
      <c r="AN1189" s="263"/>
      <c r="AO1189" s="263"/>
      <c r="AP1189" s="265"/>
      <c r="AQ1189" s="266"/>
      <c r="AR1189" s="267"/>
      <c r="AS1189" s="263"/>
      <c r="AT1189" s="263"/>
      <c r="AU1189" s="263"/>
      <c r="AV1189" s="264"/>
      <c r="AW1189" s="263"/>
      <c r="AX1189" s="263"/>
      <c r="AY1189" s="263"/>
      <c r="AZ1189" s="263"/>
      <c r="BA1189" s="263"/>
      <c r="BB1189" s="263"/>
      <c r="BC1189" s="263"/>
      <c r="BD1189" s="264"/>
      <c r="BE1189" s="263"/>
      <c r="BF1189" s="263"/>
      <c r="BG1189" s="263"/>
      <c r="BH1189" s="263"/>
      <c r="BI1189" s="263"/>
      <c r="BJ1189" s="404">
        <f>altaz(J2000_Bas,$O1189,$M1189,DecLat,DecLong,2)</f>
        <v>25.113321923783833</v>
      </c>
      <c r="BK1189" s="378" t="s">
        <v>4120</v>
      </c>
      <c r="BL1189" s="379">
        <f>IF((2*G1189)/60&lt;0.2,0.2,(2*G1189)/60)</f>
        <v>0.66666666666666663</v>
      </c>
      <c r="BM1189" s="380">
        <f>MOD((50000+AD1189-$B$3+(0/24)),1)</f>
        <v>0.1339612422088976</v>
      </c>
      <c r="BN1189" s="381" t="s">
        <v>8640</v>
      </c>
      <c r="BO1189" s="382">
        <v>1183</v>
      </c>
    </row>
    <row r="1190" spans="1:67" s="24" customFormat="1" ht="15" customHeight="1" x14ac:dyDescent="0.25">
      <c r="A1190" s="288" t="s">
        <v>1246</v>
      </c>
      <c r="B1190" s="241" t="str">
        <f>HYPERLINK(CONCATENATE($AT$3,BK1190,$AU$3),$AV$3)</f>
        <v>S</v>
      </c>
      <c r="C1190" s="242" t="str">
        <f>HYPERLINK(CONCATENATE($AT$4,BK1190,$AU$4,BL1190),$AV$4)</f>
        <v>A</v>
      </c>
      <c r="D1190" s="243" t="s">
        <v>5187</v>
      </c>
      <c r="E1190" s="244" t="s">
        <v>5181</v>
      </c>
      <c r="F1190" s="269" t="s">
        <v>4804</v>
      </c>
      <c r="G1190" s="276">
        <v>10</v>
      </c>
      <c r="H1190" s="283">
        <v>2600</v>
      </c>
      <c r="I1190" s="279">
        <v>7</v>
      </c>
      <c r="J1190" s="246">
        <v>1</v>
      </c>
      <c r="K1190" s="247" t="s">
        <v>4715</v>
      </c>
      <c r="L1190" s="248">
        <v>152200</v>
      </c>
      <c r="M1190" s="249">
        <f>15*(LEFT(TEXT($L1190,"000000"),2)+(MID(TEXT($L1190,"000000"),3,2)/60)+(RIGHT(TEXT($L1190,"000000"),2)/3600))</f>
        <v>230.5</v>
      </c>
      <c r="N1190" s="250">
        <v>522200</v>
      </c>
      <c r="O1190" s="251">
        <f>IF($N1190&gt;0,(LEFT(TEXT($N1190,"000000"),2)+(MID(TEXT($N1190,"000000"),3,2)/60)+(RIGHT(TEXT($N1190,"000000"),2)/3600)),-(MID(TEXT($N1190,"000000"),2,2)+(MID(TEXT($N1190,"000000"),4,2)/60)+(RIGHT(TEXT($N1190,"000000"),2)/3600)))</f>
        <v>52.366666666666667</v>
      </c>
      <c r="P1190" s="252" t="s">
        <v>260</v>
      </c>
      <c r="Q1190" s="253"/>
      <c r="R1190" s="247" t="s">
        <v>3293</v>
      </c>
      <c r="S1190" s="272" t="s">
        <v>3293</v>
      </c>
      <c r="T1190" s="273">
        <v>16.600000000000001</v>
      </c>
      <c r="U1190" s="274"/>
      <c r="V1190" s="280"/>
      <c r="W1190" s="244"/>
      <c r="X1190" s="244"/>
      <c r="Y1190" s="362"/>
      <c r="Z1190" s="257">
        <f>altaz(J2000_Bas,$O1190,$M1190,DecLat,DecLong,1)</f>
        <v>44.773735790433626</v>
      </c>
      <c r="AA1190" s="257">
        <f>altaz((J2000_Bas+(2*0.04167)),$O1190,$M1190,DecLat,DecLong,1)</f>
        <v>26.624883459898534</v>
      </c>
      <c r="AB1190" s="257">
        <f>altaz((J2000_Bas+(4*0.04167)),$O1190,$M1190,DecLat,DecLong,1)</f>
        <v>10.435924919561689</v>
      </c>
      <c r="AC1190" s="257">
        <f>altaz((J2000_Bas+(6*0.04167)),$O1190,$M1190,DecLat,DecLong,1)</f>
        <v>-1.4202657557632017</v>
      </c>
      <c r="AD1190" s="258">
        <f>1+ transit((J2000_Bas-1),$O1190,$M1190,DecLat,DecLong)/360 + (GMTOffset/24) + (IF(DST="Y", 1, 0)/24)</f>
        <v>1.6331776743797082</v>
      </c>
      <c r="AE1190" s="259">
        <f>DATE(2001,9,21)+(M1190/360)*365 - (360*((DecLong/360)- (GMTOffset/24) ))</f>
        <v>37393.701388888891</v>
      </c>
      <c r="AF1190" s="260">
        <f>IF(DecLat&gt;0,IF((90 - (DecLat-O1190))&gt;90, (90 - (O1190-DecLat)), (90 - (DecLat-O1190))),IF((90 + (DecLat-O1190))&gt;90, (90 + (O1190-DecLat)), (90 + (DecLat-O1190))))</f>
        <v>68.633333333333326</v>
      </c>
      <c r="AG1190" s="257">
        <f>angularseperation(MoonRA,MoonDec,$M1190,$O1190)</f>
        <v>81.126473387698667</v>
      </c>
      <c r="AH1190" s="261">
        <f ca="1">MIN(100,IF($O$5&gt;80,0+30*($AG1190/100),IF($O$5&gt;70,0+50*($AG1190/100),IF($O$5&gt;60,5+50*($AG1190/100),IF($O$5&gt;50,10+60*($AG1190/100),IF($O$5&gt;40,15+70*($AG1190/100),IF($O$5&gt;30,20+70*($AG1190/100),IF($O$5&gt;20,40+55*($AG1190/100),(80+(20-$O$5)+30*($AG1190/100))))))))))</f>
        <v>100</v>
      </c>
      <c r="AI1190" s="262"/>
      <c r="AJ1190" s="262"/>
      <c r="AK1190" s="262"/>
      <c r="AL1190" s="263"/>
      <c r="AM1190" s="264"/>
      <c r="AN1190" s="263"/>
      <c r="AO1190" s="263"/>
      <c r="AP1190" s="265"/>
      <c r="AQ1190" s="266"/>
      <c r="AR1190" s="267"/>
      <c r="AS1190" s="263"/>
      <c r="AT1190" s="263"/>
      <c r="AU1190" s="263"/>
      <c r="AV1190" s="264"/>
      <c r="AW1190" s="263"/>
      <c r="AX1190" s="263"/>
      <c r="AY1190" s="263"/>
      <c r="AZ1190" s="263"/>
      <c r="BA1190" s="263"/>
      <c r="BB1190" s="263"/>
      <c r="BC1190" s="263"/>
      <c r="BD1190" s="264"/>
      <c r="BE1190" s="263"/>
      <c r="BF1190" s="263"/>
      <c r="BG1190" s="263"/>
      <c r="BH1190" s="263"/>
      <c r="BI1190" s="263"/>
      <c r="BJ1190" s="404">
        <f>altaz(J2000_Bas,$O1190,$M1190,DecLat,DecLong,2)</f>
        <v>314.8558144187017</v>
      </c>
      <c r="BK1190" s="378" t="s">
        <v>5421</v>
      </c>
      <c r="BL1190" s="379">
        <f>IF((2*G1190)/60&lt;0.2,0.2,(2*G1190)/60)</f>
        <v>0.33333333333333331</v>
      </c>
      <c r="BM1190" s="380">
        <f>MOD((50000+AD1190-$B$3+(0/24)),1)</f>
        <v>0.84854460408678278</v>
      </c>
      <c r="BN1190" s="381"/>
      <c r="BO1190" s="382">
        <v>1184</v>
      </c>
    </row>
    <row r="1191" spans="1:67" s="24" customFormat="1" ht="15" customHeight="1" x14ac:dyDescent="0.25">
      <c r="A1191" s="288" t="s">
        <v>1247</v>
      </c>
      <c r="B1191" s="241" t="str">
        <f>HYPERLINK(CONCATENATE($AT$3,BK1191,$AU$3),$AV$3)</f>
        <v>S</v>
      </c>
      <c r="C1191" s="242" t="str">
        <f>HYPERLINK(CONCATENATE($AT$4,BK1191,$AU$4,BL1191),$AV$4)</f>
        <v>A</v>
      </c>
      <c r="D1191" s="243" t="s">
        <v>5187</v>
      </c>
      <c r="E1191" s="244" t="s">
        <v>5181</v>
      </c>
      <c r="F1191" s="269" t="s">
        <v>9103</v>
      </c>
      <c r="G1191" s="273">
        <v>5</v>
      </c>
      <c r="H1191" s="283">
        <v>2600</v>
      </c>
      <c r="I1191" s="279">
        <v>4</v>
      </c>
      <c r="J1191" s="246">
        <v>3</v>
      </c>
      <c r="K1191" s="247" t="s">
        <v>4717</v>
      </c>
      <c r="L1191" s="248">
        <v>233553</v>
      </c>
      <c r="M1191" s="249">
        <f>15*(LEFT(TEXT($L1191,"000000"),2)+(MID(TEXT($L1191,"000000"),3,2)/60)+(RIGHT(TEXT($L1191,"000000"),2)/3600))</f>
        <v>353.9708333333333</v>
      </c>
      <c r="N1191" s="250">
        <v>302806</v>
      </c>
      <c r="O1191" s="251">
        <f>IF($N1191&gt;0,(LEFT(TEXT($N1191,"000000"),2)+(MID(TEXT($N1191,"000000"),3,2)/60)+(RIGHT(TEXT($N1191,"000000"),2)/3600)),-(MID(TEXT($N1191,"000000"),2,2)+(MID(TEXT($N1191,"000000"),4,2)/60)+(RIGHT(TEXT($N1191,"000000"),2)/3600)))</f>
        <v>30.46833333333333</v>
      </c>
      <c r="P1191" s="252" t="s">
        <v>39</v>
      </c>
      <c r="Q1191" s="253"/>
      <c r="R1191" s="247" t="s">
        <v>3293</v>
      </c>
      <c r="S1191" s="272" t="s">
        <v>3293</v>
      </c>
      <c r="T1191" s="273">
        <v>15.6</v>
      </c>
      <c r="U1191" s="274"/>
      <c r="V1191" s="280"/>
      <c r="W1191" s="244"/>
      <c r="X1191" s="244"/>
      <c r="Y1191" s="362"/>
      <c r="Z1191" s="257">
        <f>altaz(J2000_Bas,$O1191,$M1191,DecLat,DecLong,1)</f>
        <v>32.567711691712084</v>
      </c>
      <c r="AA1191" s="257">
        <f>altaz((J2000_Bas+(2*0.04167)),$O1191,$M1191,DecLat,DecLong,1)</f>
        <v>57.592899025508935</v>
      </c>
      <c r="AB1191" s="257">
        <f>altaz((J2000_Bas+(4*0.04167)),$O1191,$M1191,DecLat,DecLong,1)</f>
        <v>83.276634392390406</v>
      </c>
      <c r="AC1191" s="257">
        <f>altaz((J2000_Bas+(6*0.04167)),$O1191,$M1191,DecLat,DecLong,1)</f>
        <v>70.869244051347806</v>
      </c>
      <c r="AD1191" s="258">
        <f>1+ transit((J2000_Bas-1),$O1191,$M1191,DecLat,DecLong)/360 + (GMTOffset/24) + (IF(DST="Y", 1, 0)/24)</f>
        <v>1.9761521771192914</v>
      </c>
      <c r="AE1191" s="259">
        <f>DATE(2001,9,21)+(M1191/360)*365 - (360*((DecLong/360)- (GMTOffset/24) ))</f>
        <v>37518.887094907404</v>
      </c>
      <c r="AF1191" s="260">
        <f>IF(DecLat&gt;0,IF((90 - (DecLat-O1191))&gt;90, (90 - (O1191-DecLat)), (90 - (DecLat-O1191))),IF((90 + (DecLat-O1191))&gt;90, (90 + (O1191-DecLat)), (90 + (DecLat-O1191))))</f>
        <v>89.468333333333334</v>
      </c>
      <c r="AG1191" s="257">
        <f>angularseperation(MoonRA,MoonDec,$M1191,$O1191)</f>
        <v>115.21211824259751</v>
      </c>
      <c r="AH1191" s="261">
        <f ca="1">MIN(100,IF($O$5&gt;80,0+30*($AG1191/100),IF($O$5&gt;70,0+50*($AG1191/100),IF($O$5&gt;60,5+50*($AG1191/100),IF($O$5&gt;50,10+60*($AG1191/100),IF($O$5&gt;40,15+70*($AG1191/100),IF($O$5&gt;30,20+70*($AG1191/100),IF($O$5&gt;20,40+55*($AG1191/100),(80+(20-$O$5)+30*($AG1191/100))))))))))</f>
        <v>100</v>
      </c>
      <c r="AI1191" s="262"/>
      <c r="AJ1191" s="262"/>
      <c r="AK1191" s="262"/>
      <c r="AL1191" s="263"/>
      <c r="AM1191" s="264"/>
      <c r="AN1191" s="263"/>
      <c r="AO1191" s="263"/>
      <c r="AP1191" s="265"/>
      <c r="AQ1191" s="266"/>
      <c r="AR1191" s="267"/>
      <c r="AS1191" s="263"/>
      <c r="AT1191" s="263"/>
      <c r="AU1191" s="263"/>
      <c r="AV1191" s="264"/>
      <c r="AW1191" s="263"/>
      <c r="AX1191" s="263"/>
      <c r="AY1191" s="263"/>
      <c r="AZ1191" s="263"/>
      <c r="BA1191" s="263"/>
      <c r="BB1191" s="263"/>
      <c r="BC1191" s="263"/>
      <c r="BD1191" s="264"/>
      <c r="BE1191" s="263"/>
      <c r="BF1191" s="263"/>
      <c r="BG1191" s="263"/>
      <c r="BH1191" s="263"/>
      <c r="BI1191" s="263"/>
      <c r="BJ1191" s="404">
        <f>altaz(J2000_Bas,$O1191,$M1191,DecLat,DecLong,2)</f>
        <v>71.449497099201025</v>
      </c>
      <c r="BK1191" s="378" t="s">
        <v>4719</v>
      </c>
      <c r="BL1191" s="379">
        <f>IF((2*G1191)/60&lt;0.2,0.2,(2*G1191)/60)</f>
        <v>0.2</v>
      </c>
      <c r="BM1191" s="380">
        <f>MOD((50000+AD1191-$B$3+(0/24)),1)</f>
        <v>0.19151910682558082</v>
      </c>
      <c r="BN1191" s="381"/>
      <c r="BO1191" s="382">
        <v>1185</v>
      </c>
    </row>
    <row r="1192" spans="1:67" s="24" customFormat="1" ht="15" customHeight="1" x14ac:dyDescent="0.25">
      <c r="A1192" s="288" t="s">
        <v>1248</v>
      </c>
      <c r="B1192" s="241" t="str">
        <f>HYPERLINK(CONCATENATE($AT$3,BK1192,$AU$3),$AV$3)</f>
        <v>S</v>
      </c>
      <c r="C1192" s="242" t="str">
        <f>HYPERLINK(CONCATENATE($AT$4,BK1192,$AU$4,BL1192),$AV$4)</f>
        <v>A</v>
      </c>
      <c r="D1192" s="243" t="s">
        <v>5187</v>
      </c>
      <c r="E1192" s="244" t="s">
        <v>5181</v>
      </c>
      <c r="F1192" s="269" t="s">
        <v>9109</v>
      </c>
      <c r="G1192" s="273">
        <v>6</v>
      </c>
      <c r="H1192" s="283">
        <v>1600</v>
      </c>
      <c r="I1192" s="279">
        <v>3</v>
      </c>
      <c r="J1192" s="246">
        <v>4</v>
      </c>
      <c r="K1192" s="247" t="s">
        <v>4718</v>
      </c>
      <c r="L1192" s="248">
        <v>75754</v>
      </c>
      <c r="M1192" s="249">
        <f>15*(LEFT(TEXT($L1192,"000000"),2)+(MID(TEXT($L1192,"000000"),3,2)/60)+(RIGHT(TEXT($L1192,"000000"),2)/3600))</f>
        <v>119.47499999999999</v>
      </c>
      <c r="N1192" s="250">
        <v>532500</v>
      </c>
      <c r="O1192" s="251">
        <f>IF($N1192&gt;0,(LEFT(TEXT($N1192,"000000"),2)+(MID(TEXT($N1192,"000000"),3,2)/60)+(RIGHT(TEXT($N1192,"000000"),2)/3600)),-(MID(TEXT($N1192,"000000"),2,2)+(MID(TEXT($N1192,"000000"),4,2)/60)+(RIGHT(TEXT($N1192,"000000"),2)/3600)))</f>
        <v>53.416666666666664</v>
      </c>
      <c r="P1192" s="252" t="s">
        <v>82</v>
      </c>
      <c r="Q1192" s="253" t="s">
        <v>7001</v>
      </c>
      <c r="R1192" s="247" t="s">
        <v>3293</v>
      </c>
      <c r="S1192" s="272" t="s">
        <v>3293</v>
      </c>
      <c r="T1192" s="273">
        <v>17</v>
      </c>
      <c r="U1192" s="274"/>
      <c r="V1192" s="280"/>
      <c r="W1192" s="244"/>
      <c r="X1192" s="244"/>
      <c r="Y1192" s="362"/>
      <c r="Z1192" s="257">
        <f>altaz(J2000_Bas,$O1192,$M1192,DecLat,DecLong,1)</f>
        <v>-4.7745738783964216</v>
      </c>
      <c r="AA1192" s="257">
        <f>altaz((J2000_Bas+(2*0.04167)),$O1192,$M1192,DecLat,DecLong,1)</f>
        <v>-4.3570084926105324</v>
      </c>
      <c r="AB1192" s="257">
        <f>altaz((J2000_Bas+(4*0.04167)),$O1192,$M1192,DecLat,DecLong,1)</f>
        <v>3.6229033323109565</v>
      </c>
      <c r="AC1192" s="257">
        <f>altaz((J2000_Bas+(6*0.04167)),$O1192,$M1192,DecLat,DecLong,1)</f>
        <v>17.26261823312165</v>
      </c>
      <c r="AD1192" s="258">
        <f>1+ transit((J2000_Bas-1),$O1192,$M1192,DecLat,DecLong)/360 + (GMTOffset/24) + (IF(DST="Y", 1, 0)/24)</f>
        <v>1.324774927442208</v>
      </c>
      <c r="AE1192" s="259">
        <f>DATE(2001,9,21)+(M1192/360)*365 - (360*((DecLong/360)- (GMTOffset/24) ))</f>
        <v>37281.134375000001</v>
      </c>
      <c r="AF1192" s="260">
        <f>IF(DecLat&gt;0,IF((90 - (DecLat-O1192))&gt;90, (90 - (O1192-DecLat)), (90 - (DecLat-O1192))),IF((90 + (DecLat-O1192))&gt;90, (90 + (O1192-DecLat)), (90 + (DecLat-O1192))))</f>
        <v>67.583333333333343</v>
      </c>
      <c r="AG1192" s="257">
        <f>angularseperation(MoonRA,MoonDec,$M1192,$O1192)</f>
        <v>134.83186360575189</v>
      </c>
      <c r="AH1192" s="261">
        <f ca="1">MIN(100,IF($O$5&gt;80,0+30*($AG1192/100),IF($O$5&gt;70,0+50*($AG1192/100),IF($O$5&gt;60,5+50*($AG1192/100),IF($O$5&gt;50,10+60*($AG1192/100),IF($O$5&gt;40,15+70*($AG1192/100),IF($O$5&gt;30,20+70*($AG1192/100),IF($O$5&gt;20,40+55*($AG1192/100),(80+(20-$O$5)+30*($AG1192/100))))))))))</f>
        <v>100</v>
      </c>
      <c r="AI1192" s="262"/>
      <c r="AJ1192" s="262"/>
      <c r="AK1192" s="262"/>
      <c r="AL1192" s="263"/>
      <c r="AM1192" s="264"/>
      <c r="AN1192" s="263"/>
      <c r="AO1192" s="263"/>
      <c r="AP1192" s="265"/>
      <c r="AQ1192" s="266"/>
      <c r="AR1192" s="267"/>
      <c r="AS1192" s="263"/>
      <c r="AT1192" s="263"/>
      <c r="AU1192" s="263"/>
      <c r="AV1192" s="264"/>
      <c r="AW1192" s="263"/>
      <c r="AX1192" s="263"/>
      <c r="AY1192" s="263"/>
      <c r="AZ1192" s="263"/>
      <c r="BA1192" s="263"/>
      <c r="BB1192" s="263"/>
      <c r="BC1192" s="263"/>
      <c r="BD1192" s="264"/>
      <c r="BE1192" s="263"/>
      <c r="BF1192" s="263"/>
      <c r="BG1192" s="263">
        <v>44</v>
      </c>
      <c r="BH1192" s="263"/>
      <c r="BI1192" s="263"/>
      <c r="BJ1192" s="404">
        <f>altaz(J2000_Bas,$O1192,$M1192,DecLat,DecLong,2)</f>
        <v>351.99060556112522</v>
      </c>
      <c r="BK1192" s="378" t="s">
        <v>4720</v>
      </c>
      <c r="BL1192" s="379">
        <f>IF((2*G1192)/60&lt;0.2,0.2,(2*G1192)/60)</f>
        <v>0.2</v>
      </c>
      <c r="BM1192" s="380">
        <f>MOD((50000+AD1192-$B$3+(0/24)),1)</f>
        <v>0.54014185714913765</v>
      </c>
      <c r="BN1192" s="381" t="s">
        <v>8665</v>
      </c>
      <c r="BO1192" s="382">
        <v>1186</v>
      </c>
    </row>
    <row r="1193" spans="1:67" s="24" customFormat="1" ht="15" customHeight="1" x14ac:dyDescent="0.25">
      <c r="A1193" s="288" t="s">
        <v>1249</v>
      </c>
      <c r="B1193" s="241"/>
      <c r="C1193" s="242" t="str">
        <f>HYPERLINK(CONCATENATE($AT$4,BK1193,$AU$4,BL1193),$AV$4)</f>
        <v>A</v>
      </c>
      <c r="D1193" s="243" t="s">
        <v>5335</v>
      </c>
      <c r="E1193" s="244" t="s">
        <v>5185</v>
      </c>
      <c r="F1193" s="269" t="s">
        <v>9065</v>
      </c>
      <c r="G1193" s="276">
        <v>180</v>
      </c>
      <c r="H1193" s="271" t="s">
        <v>6500</v>
      </c>
      <c r="I1193" s="244" t="s">
        <v>6500</v>
      </c>
      <c r="J1193" s="246">
        <v>2</v>
      </c>
      <c r="K1193" s="247" t="s">
        <v>5007</v>
      </c>
      <c r="L1193" s="248">
        <v>35724</v>
      </c>
      <c r="M1193" s="249">
        <f>15*(LEFT(TEXT($L1193,"000000"),2)+(MID(TEXT($L1193,"000000"),3,2)/60)+(RIGHT(TEXT($L1193,"000000"),2)/3600))</f>
        <v>59.350000000000009</v>
      </c>
      <c r="N1193" s="250">
        <v>630400</v>
      </c>
      <c r="O1193" s="251">
        <f>IF($N1193&gt;0,(LEFT(TEXT($N1193,"000000"),2)+(MID(TEXT($N1193,"000000"),3,2)/60)+(RIGHT(TEXT($N1193,"000000"),2)/3600)),-(MID(TEXT($N1193,"000000"),2,2)+(MID(TEXT($N1193,"000000"),4,2)/60)+(RIGHT(TEXT($N1193,"000000"),2)/3600)))</f>
        <v>63.06666666666667</v>
      </c>
      <c r="P1193" s="252" t="s">
        <v>226</v>
      </c>
      <c r="Q1193" s="253" t="s">
        <v>1250</v>
      </c>
      <c r="R1193" s="247" t="s">
        <v>3293</v>
      </c>
      <c r="S1193" s="272" t="s">
        <v>3293</v>
      </c>
      <c r="T1193" s="273"/>
      <c r="U1193" s="274"/>
      <c r="V1193" s="280"/>
      <c r="W1193" s="244"/>
      <c r="X1193" s="244"/>
      <c r="Y1193" s="362"/>
      <c r="Z1193" s="257">
        <f>altaz(J2000_Bas,$O1193,$M1193,DecLat,DecLong,1)</f>
        <v>11.108456610308501</v>
      </c>
      <c r="AA1193" s="257">
        <f>altaz((J2000_Bas+(2*0.04167)),$O1193,$M1193,DecLat,DecLong,1)</f>
        <v>21.721833293288629</v>
      </c>
      <c r="AB1193" s="257">
        <f>altaz((J2000_Bas+(4*0.04167)),$O1193,$M1193,DecLat,DecLong,1)</f>
        <v>34.857229686972978</v>
      </c>
      <c r="AC1193" s="257">
        <f>altaz((J2000_Bas+(6*0.04167)),$O1193,$M1193,DecLat,DecLong,1)</f>
        <v>47.961373231935795</v>
      </c>
      <c r="AD1193" s="258">
        <f>1+ transit((J2000_Bas-1),$O1193,$M1193,DecLat,DecLong)/360 + (GMTOffset/24) + (IF(DST="Y", 1, 0)/24)</f>
        <v>1.157761055254708</v>
      </c>
      <c r="AE1193" s="259">
        <f>DATE(2001,9,21)+(M1193/360)*365 - (360*((DecLong/360)- (GMTOffset/24) ))</f>
        <v>37220.174305555556</v>
      </c>
      <c r="AF1193" s="260">
        <f>IF(DecLat&gt;0,IF((90 - (DecLat-O1193))&gt;90, (90 - (O1193-DecLat)), (90 - (DecLat-O1193))),IF((90 + (DecLat-O1193))&gt;90, (90 + (O1193-DecLat)), (90 + (DecLat-O1193))))</f>
        <v>57.93333333333333</v>
      </c>
      <c r="AG1193" s="257">
        <f>angularseperation(MoonRA,MoonDec,$M1193,$O1193)</f>
        <v>143.43681121489405</v>
      </c>
      <c r="AH1193" s="261">
        <f ca="1">MIN(100,IF($O$5&gt;80,0+30*($AG1193/100),IF($O$5&gt;70,0+50*($AG1193/100),IF($O$5&gt;60,5+50*($AG1193/100),IF($O$5&gt;50,10+60*($AG1193/100),IF($O$5&gt;40,15+70*($AG1193/100),IF($O$5&gt;30,20+70*($AG1193/100),IF($O$5&gt;20,40+55*($AG1193/100),(80+(20-$O$5)+30*($AG1193/100))))))))))</f>
        <v>100</v>
      </c>
      <c r="AI1193" s="262"/>
      <c r="AJ1193" s="262"/>
      <c r="AK1193" s="262"/>
      <c r="AL1193" s="263"/>
      <c r="AM1193" s="264"/>
      <c r="AN1193" s="263"/>
      <c r="AO1193" s="263"/>
      <c r="AP1193" s="265"/>
      <c r="AQ1193" s="266"/>
      <c r="AR1193" s="267"/>
      <c r="AS1193" s="263"/>
      <c r="AT1193" s="263"/>
      <c r="AU1193" s="263"/>
      <c r="AV1193" s="264"/>
      <c r="AW1193" s="263"/>
      <c r="AX1193" s="263"/>
      <c r="AY1193" s="263"/>
      <c r="AZ1193" s="263"/>
      <c r="BA1193" s="263"/>
      <c r="BB1193" s="263"/>
      <c r="BC1193" s="263"/>
      <c r="BD1193" s="264"/>
      <c r="BE1193" s="263">
        <v>21</v>
      </c>
      <c r="BF1193" s="263"/>
      <c r="BG1193" s="263"/>
      <c r="BH1193" s="263"/>
      <c r="BI1193" s="263"/>
      <c r="BJ1193" s="404">
        <f>altaz(J2000_Bas,$O1193,$M1193,DecLat,DecLong,2)</f>
        <v>19.613859670484167</v>
      </c>
      <c r="BK1193" s="378" t="s">
        <v>6484</v>
      </c>
      <c r="BL1193" s="379">
        <f>IF((2*G1193)/60&lt;0.2,0.2,(2*G1193)/60)</f>
        <v>6</v>
      </c>
      <c r="BM1193" s="380">
        <f>MOD((50000+AD1193-$B$3+(0/24)),1)</f>
        <v>0.37312798495986499</v>
      </c>
      <c r="BN1193" s="381"/>
      <c r="BO1193" s="382">
        <v>1187</v>
      </c>
    </row>
    <row r="1194" spans="1:67" s="24" customFormat="1" ht="15" customHeight="1" x14ac:dyDescent="0.25">
      <c r="A1194" s="288" t="s">
        <v>1251</v>
      </c>
      <c r="B1194" s="241"/>
      <c r="C1194" s="242" t="str">
        <f>HYPERLINK(CONCATENATE($AT$4,BK1194,$AU$4,BL1194),$AV$4)</f>
        <v>A</v>
      </c>
      <c r="D1194" s="243" t="s">
        <v>5335</v>
      </c>
      <c r="E1194" s="244" t="s">
        <v>5185</v>
      </c>
      <c r="F1194" s="269" t="s">
        <v>9066</v>
      </c>
      <c r="G1194" s="276">
        <v>20</v>
      </c>
      <c r="H1194" s="271" t="s">
        <v>6500</v>
      </c>
      <c r="I1194" s="244" t="s">
        <v>6500</v>
      </c>
      <c r="J1194" s="246">
        <v>2</v>
      </c>
      <c r="K1194" s="247" t="s">
        <v>4816</v>
      </c>
      <c r="L1194" s="248">
        <v>183500</v>
      </c>
      <c r="M1194" s="249">
        <f>15*(LEFT(TEXT($L1194,"000000"),2)+(MID(TEXT($L1194,"000000"),3,2)/60)+(RIGHT(TEXT($L1194,"000000"),2)/3600))</f>
        <v>278.75</v>
      </c>
      <c r="N1194" s="250">
        <v>722300</v>
      </c>
      <c r="O1194" s="251">
        <f>IF($N1194&gt;0,(LEFT(TEXT($N1194,"000000"),2)+(MID(TEXT($N1194,"000000"),3,2)/60)+(RIGHT(TEXT($N1194,"000000"),2)/3600)),-(MID(TEXT($N1194,"000000"),2,2)+(MID(TEXT($N1194,"000000"),4,2)/60)+(RIGHT(TEXT($N1194,"000000"),2)/3600)))</f>
        <v>72.38333333333334</v>
      </c>
      <c r="P1194" s="252" t="s">
        <v>34</v>
      </c>
      <c r="Q1194" s="253" t="s">
        <v>6928</v>
      </c>
      <c r="R1194" s="247" t="s">
        <v>3293</v>
      </c>
      <c r="S1194" s="272" t="s">
        <v>3293</v>
      </c>
      <c r="T1194" s="273"/>
      <c r="U1194" s="274"/>
      <c r="V1194" s="280"/>
      <c r="W1194" s="244"/>
      <c r="X1194" s="244"/>
      <c r="Y1194" s="362"/>
      <c r="Z1194" s="257">
        <f>altaz(J2000_Bas,$O1194,$M1194,DecLat,DecLong,1)</f>
        <v>48.437099760178299</v>
      </c>
      <c r="AA1194" s="257">
        <f>altaz((J2000_Bas+(2*0.04167)),$O1194,$M1194,DecLat,DecLong,1)</f>
        <v>44.198254397960589</v>
      </c>
      <c r="AB1194" s="257">
        <f>altaz((J2000_Bas+(4*0.04167)),$O1194,$M1194,DecLat,DecLong,1)</f>
        <v>36.191574154417864</v>
      </c>
      <c r="AC1194" s="257">
        <f>altaz((J2000_Bas+(6*0.04167)),$O1194,$M1194,DecLat,DecLong,1)</f>
        <v>27.193373894370978</v>
      </c>
      <c r="AD1194" s="258">
        <f>1+ transit((J2000_Bas-1),$O1194,$M1194,DecLat,DecLong)/360 + (GMTOffset/24) + (IF(DST="Y", 1, 0)/24)</f>
        <v>1.767205438754708</v>
      </c>
      <c r="AE1194" s="259">
        <f>DATE(2001,9,21)+(M1194/360)*365 - (360*((DecLong/360)- (GMTOffset/24) ))</f>
        <v>37442.621527777781</v>
      </c>
      <c r="AF1194" s="260">
        <f>IF(DecLat&gt;0,IF((90 - (DecLat-O1194))&gt;90, (90 - (O1194-DecLat)), (90 - (DecLat-O1194))),IF((90 + (DecLat-O1194))&gt;90, (90 + (O1194-DecLat)), (90 + (DecLat-O1194))))</f>
        <v>48.61666666666666</v>
      </c>
      <c r="AG1194" s="257">
        <f>angularseperation(MoonRA,MoonDec,$M1194,$O1194)</f>
        <v>101.50417681453312</v>
      </c>
      <c r="AH1194" s="261">
        <f ca="1">MIN(100,IF($O$5&gt;80,0+30*($AG1194/100),IF($O$5&gt;70,0+50*($AG1194/100),IF($O$5&gt;60,5+50*($AG1194/100),IF($O$5&gt;50,10+60*($AG1194/100),IF($O$5&gt;40,15+70*($AG1194/100),IF($O$5&gt;30,20+70*($AG1194/100),IF($O$5&gt;20,40+55*($AG1194/100),(80+(20-$O$5)+30*($AG1194/100))))))))))</f>
        <v>100</v>
      </c>
      <c r="AI1194" s="262"/>
      <c r="AJ1194" s="262"/>
      <c r="AK1194" s="262"/>
      <c r="AL1194" s="263"/>
      <c r="AM1194" s="264"/>
      <c r="AN1194" s="263"/>
      <c r="AO1194" s="263"/>
      <c r="AP1194" s="265"/>
      <c r="AQ1194" s="266"/>
      <c r="AR1194" s="267"/>
      <c r="AS1194" s="263"/>
      <c r="AT1194" s="263"/>
      <c r="AU1194" s="263"/>
      <c r="AV1194" s="264"/>
      <c r="AW1194" s="263"/>
      <c r="AX1194" s="263"/>
      <c r="AY1194" s="263"/>
      <c r="AZ1194" s="263"/>
      <c r="BA1194" s="263"/>
      <c r="BB1194" s="263"/>
      <c r="BC1194" s="263"/>
      <c r="BD1194" s="264"/>
      <c r="BE1194" s="263"/>
      <c r="BF1194" s="263"/>
      <c r="BG1194" s="263"/>
      <c r="BH1194" s="263"/>
      <c r="BI1194" s="263"/>
      <c r="BJ1194" s="404">
        <f>altaz(J2000_Bas,$O1194,$M1194,DecLat,DecLong,2)</f>
        <v>356.6985174719054</v>
      </c>
      <c r="BK1194" s="378" t="s">
        <v>6485</v>
      </c>
      <c r="BL1194" s="379">
        <f>IF((2*G1194)/60&lt;0.2,0.2,(2*G1194)/60)</f>
        <v>0.66666666666666663</v>
      </c>
      <c r="BM1194" s="380">
        <f>MOD((50000+AD1194-$B$3+(0/24)),1)</f>
        <v>0.98257236845529405</v>
      </c>
      <c r="BN1194" s="381"/>
      <c r="BO1194" s="382">
        <v>1188</v>
      </c>
    </row>
    <row r="1195" spans="1:67" s="24" customFormat="1" ht="15" customHeight="1" x14ac:dyDescent="0.25">
      <c r="A1195" s="288" t="s">
        <v>1252</v>
      </c>
      <c r="B1195" s="241"/>
      <c r="C1195" s="242" t="str">
        <f>HYPERLINK(CONCATENATE($AT$4,BK1195,$AU$4,BL1195),$AV$4)</f>
        <v>A</v>
      </c>
      <c r="D1195" s="243" t="s">
        <v>5335</v>
      </c>
      <c r="E1195" s="244" t="s">
        <v>5185</v>
      </c>
      <c r="F1195" s="269" t="s">
        <v>9067</v>
      </c>
      <c r="G1195" s="276">
        <v>90</v>
      </c>
      <c r="H1195" s="271" t="s">
        <v>6500</v>
      </c>
      <c r="I1195" s="244" t="s">
        <v>6500</v>
      </c>
      <c r="J1195" s="246">
        <v>2</v>
      </c>
      <c r="K1195" s="247" t="s">
        <v>6158</v>
      </c>
      <c r="L1195" s="248">
        <v>32800</v>
      </c>
      <c r="M1195" s="249">
        <f>15*(LEFT(TEXT($L1195,"000000"),2)+(MID(TEXT($L1195,"000000"),3,2)/60)+(RIGHT(TEXT($L1195,"000000"),2)/3600))</f>
        <v>52</v>
      </c>
      <c r="N1195" s="250">
        <v>720000</v>
      </c>
      <c r="O1195" s="251">
        <f>IF($N1195&gt;0,(LEFT(TEXT($N1195,"000000"),2)+(MID(TEXT($N1195,"000000"),3,2)/60)+(RIGHT(TEXT($N1195,"000000"),2)/3600)),-(MID(TEXT($N1195,"000000"),2,2)+(MID(TEXT($N1195,"000000"),4,2)/60)+(RIGHT(TEXT($N1195,"000000"),2)/3600)))</f>
        <v>72</v>
      </c>
      <c r="P1195" s="252" t="s">
        <v>49</v>
      </c>
      <c r="Q1195" s="253" t="s">
        <v>6927</v>
      </c>
      <c r="R1195" s="277" t="s">
        <v>3293</v>
      </c>
      <c r="S1195" s="272" t="s">
        <v>3293</v>
      </c>
      <c r="T1195" s="273"/>
      <c r="U1195" s="274"/>
      <c r="V1195" s="280"/>
      <c r="W1195" s="244"/>
      <c r="X1195" s="244"/>
      <c r="Y1195" s="362"/>
      <c r="Z1195" s="257">
        <f>altaz(J2000_Bas,$O1195,$M1195,DecLat,DecLong,1)</f>
        <v>19.520737702724265</v>
      </c>
      <c r="AA1195" s="257">
        <f>altaz((J2000_Bas+(2*0.04167)),$O1195,$M1195,DecLat,DecLong,1)</f>
        <v>27.551370736101951</v>
      </c>
      <c r="AB1195" s="257">
        <f>altaz((J2000_Bas+(4*0.04167)),$O1195,$M1195,DecLat,DecLong,1)</f>
        <v>36.747607570339049</v>
      </c>
      <c r="AC1195" s="257">
        <f>altaz((J2000_Bas+(6*0.04167)),$O1195,$M1195,DecLat,DecLong,1)</f>
        <v>44.814708217195047</v>
      </c>
      <c r="AD1195" s="258">
        <f>1+ transit((J2000_Bas-1),$O1195,$M1195,DecLat,DecLong)/360 + (GMTOffset/24) + (IF(DST="Y", 1, 0)/24)</f>
        <v>1.137344390629708</v>
      </c>
      <c r="AE1195" s="259">
        <f>DATE(2001,9,21)+(M1195/360)*365 - (360*((DecLong/360)- (GMTOffset/24) ))</f>
        <v>37212.722222222219</v>
      </c>
      <c r="AF1195" s="260">
        <f>IF(DecLat&gt;0,IF((90 - (DecLat-O1195))&gt;90, (90 - (O1195-DecLat)), (90 - (DecLat-O1195))),IF((90 + (DecLat-O1195))&gt;90, (90 + (O1195-DecLat)), (90 + (DecLat-O1195))))</f>
        <v>49</v>
      </c>
      <c r="AG1195" s="257">
        <f>angularseperation(MoonRA,MoonDec,$M1195,$O1195)</f>
        <v>134.08940530863907</v>
      </c>
      <c r="AH1195" s="261">
        <f ca="1">MIN(100,IF($O$5&gt;80,0+30*($AG1195/100),IF($O$5&gt;70,0+50*($AG1195/100),IF($O$5&gt;60,5+50*($AG1195/100),IF($O$5&gt;50,10+60*($AG1195/100),IF($O$5&gt;40,15+70*($AG1195/100),IF($O$5&gt;30,20+70*($AG1195/100),IF($O$5&gt;20,40+55*($AG1195/100),(80+(20-$O$5)+30*($AG1195/100))))))))))</f>
        <v>100</v>
      </c>
      <c r="AI1195" s="263"/>
      <c r="AJ1195" s="263"/>
      <c r="AK1195" s="263"/>
      <c r="AL1195" s="263"/>
      <c r="AM1195" s="264"/>
      <c r="AN1195" s="263"/>
      <c r="AO1195" s="263"/>
      <c r="AP1195" s="265"/>
      <c r="AQ1195" s="265"/>
      <c r="AR1195" s="285"/>
      <c r="AS1195" s="263"/>
      <c r="AT1195" s="263"/>
      <c r="AU1195" s="263"/>
      <c r="AV1195" s="264"/>
      <c r="AW1195" s="263"/>
      <c r="AX1195" s="263"/>
      <c r="AY1195" s="263"/>
      <c r="AZ1195" s="263"/>
      <c r="BA1195" s="263"/>
      <c r="BB1195" s="263"/>
      <c r="BC1195" s="263"/>
      <c r="BD1195" s="264"/>
      <c r="BE1195" s="263"/>
      <c r="BF1195" s="263"/>
      <c r="BG1195" s="263"/>
      <c r="BH1195" s="263"/>
      <c r="BI1195" s="263"/>
      <c r="BJ1195" s="404">
        <f>altaz(J2000_Bas,$O1195,$M1195,DecLat,DecLong,2)</f>
        <v>15.382106930962729</v>
      </c>
      <c r="BK1195" s="378" t="s">
        <v>6486</v>
      </c>
      <c r="BL1195" s="379">
        <f>IF((2*G1195)/60&lt;0.2,0.2,(2*G1195)/60)</f>
        <v>3</v>
      </c>
      <c r="BM1195" s="380">
        <f>MOD((50000+AD1195-$B$3+(0/24)),1)</f>
        <v>0.35271132033085451</v>
      </c>
      <c r="BN1195" s="381"/>
      <c r="BO1195" s="382">
        <v>1189</v>
      </c>
    </row>
    <row r="1196" spans="1:67" s="24" customFormat="1" ht="15" customHeight="1" x14ac:dyDescent="0.25">
      <c r="A1196" s="288" t="s">
        <v>1254</v>
      </c>
      <c r="B1196" s="241" t="str">
        <f>HYPERLINK(CONCATENATE($AT$3,BK1196,$AU$3),$AV$3)</f>
        <v>S</v>
      </c>
      <c r="C1196" s="242" t="str">
        <f>HYPERLINK(CONCATENATE($AT$4,BK1196,$AU$4,BL1196),$AV$4)</f>
        <v>A</v>
      </c>
      <c r="D1196" s="243" t="s">
        <v>5187</v>
      </c>
      <c r="E1196" s="244" t="s">
        <v>5181</v>
      </c>
      <c r="F1196" s="269" t="s">
        <v>8681</v>
      </c>
      <c r="G1196" s="276">
        <v>11</v>
      </c>
      <c r="H1196" s="283">
        <v>6000</v>
      </c>
      <c r="I1196" s="246">
        <v>20</v>
      </c>
      <c r="J1196" s="246">
        <v>4</v>
      </c>
      <c r="K1196" s="247" t="s">
        <v>4724</v>
      </c>
      <c r="L1196" s="248">
        <v>232400</v>
      </c>
      <c r="M1196" s="249">
        <f>15*(LEFT(TEXT($L1196,"000000"),2)+(MID(TEXT($L1196,"000000"),3,2)/60)+(RIGHT(TEXT($L1196,"000000"),2)/3600))</f>
        <v>351</v>
      </c>
      <c r="N1196" s="250">
        <v>605700</v>
      </c>
      <c r="O1196" s="251">
        <f>IF($N1196&gt;0,(LEFT(TEXT($N1196,"000000"),2)+(MID(TEXT($N1196,"000000"),3,2)/60)+(RIGHT(TEXT($N1196,"000000"),2)/3600)),-(MID(TEXT($N1196,"000000"),2,2)+(MID(TEXT($N1196,"000000"),4,2)/60)+(RIGHT(TEXT($N1196,"000000"),2)/3600)))</f>
        <v>60.95</v>
      </c>
      <c r="P1196" s="252" t="s">
        <v>49</v>
      </c>
      <c r="Q1196" s="253"/>
      <c r="R1196" s="247" t="s">
        <v>3293</v>
      </c>
      <c r="S1196" s="272" t="s">
        <v>3293</v>
      </c>
      <c r="T1196" s="273"/>
      <c r="U1196" s="274"/>
      <c r="V1196" s="280"/>
      <c r="W1196" s="244"/>
      <c r="X1196" s="244"/>
      <c r="Y1196" s="362"/>
      <c r="Z1196" s="257">
        <f>altaz(J2000_Bas,$O1196,$M1196,DecLat,DecLong,1)</f>
        <v>38.767569453639268</v>
      </c>
      <c r="AA1196" s="257">
        <f>altaz((J2000_Bas+(2*0.04167)),$O1196,$M1196,DecLat,DecLong,1)</f>
        <v>52.330806794736965</v>
      </c>
      <c r="AB1196" s="257">
        <f>altaz((J2000_Bas+(4*0.04167)),$O1196,$M1196,DecLat,DecLong,1)</f>
        <v>59.880927450873187</v>
      </c>
      <c r="AC1196" s="257">
        <f>altaz((J2000_Bas+(6*0.04167)),$O1196,$M1196,DecLat,DecLong,1)</f>
        <v>55.758640648535696</v>
      </c>
      <c r="AD1196" s="258">
        <f>1+ transit((J2000_Bas-1),$O1196,$M1196,DecLat,DecLong)/360 + (GMTOffset/24) + (IF(DST="Y", 1, 0)/24)</f>
        <v>1.967899863129708</v>
      </c>
      <c r="AE1196" s="259">
        <f>DATE(2001,9,21)+(M1196/360)*365 - (360*((DecLong/360)- (GMTOffset/24) ))</f>
        <v>37515.875</v>
      </c>
      <c r="AF1196" s="260">
        <f>IF(DecLat&gt;0,IF((90 - (DecLat-O1196))&gt;90, (90 - (O1196-DecLat)), (90 - (DecLat-O1196))),IF((90 + (DecLat-O1196))&gt;90, (90 + (O1196-DecLat)), (90 + (DecLat-O1196))))</f>
        <v>60.05</v>
      </c>
      <c r="AG1196" s="257">
        <f>angularseperation(MoonRA,MoonDec,$M1196,$O1196)</f>
        <v>119.08578921258707</v>
      </c>
      <c r="AH1196" s="261">
        <f ca="1">MIN(100,IF($O$5&gt;80,0+30*($AG1196/100),IF($O$5&gt;70,0+50*($AG1196/100),IF($O$5&gt;60,5+50*($AG1196/100),IF($O$5&gt;50,10+60*($AG1196/100),IF($O$5&gt;40,15+70*($AG1196/100),IF($O$5&gt;30,20+70*($AG1196/100),IF($O$5&gt;20,40+55*($AG1196/100),(80+(20-$O$5)+30*($AG1196/100))))))))))</f>
        <v>100</v>
      </c>
      <c r="AI1196" s="262"/>
      <c r="AJ1196" s="262"/>
      <c r="AK1196" s="262"/>
      <c r="AL1196" s="263"/>
      <c r="AM1196" s="264"/>
      <c r="AN1196" s="263"/>
      <c r="AO1196" s="263"/>
      <c r="AP1196" s="265"/>
      <c r="AQ1196" s="266"/>
      <c r="AR1196" s="267"/>
      <c r="AS1196" s="263"/>
      <c r="AT1196" s="263"/>
      <c r="AU1196" s="263"/>
      <c r="AV1196" s="264"/>
      <c r="AW1196" s="263"/>
      <c r="AX1196" s="263"/>
      <c r="AY1196" s="263"/>
      <c r="AZ1196" s="263"/>
      <c r="BA1196" s="263"/>
      <c r="BB1196" s="263"/>
      <c r="BC1196" s="263"/>
      <c r="BD1196" s="264"/>
      <c r="BE1196" s="263"/>
      <c r="BF1196" s="263"/>
      <c r="BG1196" s="263"/>
      <c r="BH1196" s="263"/>
      <c r="BI1196" s="263"/>
      <c r="BJ1196" s="404">
        <f>altaz(J2000_Bas,$O1196,$M1196,DecLat,DecLong,2)</f>
        <v>34.361566303422748</v>
      </c>
      <c r="BK1196" s="378" t="s">
        <v>4121</v>
      </c>
      <c r="BL1196" s="379">
        <f>IF((2*G1196)/60&lt;0.2,0.2,(2*G1196)/60)</f>
        <v>0.36666666666666664</v>
      </c>
      <c r="BM1196" s="380">
        <f>MOD((50000+AD1196-$B$3+(0/24)),1)</f>
        <v>0.18326679283200065</v>
      </c>
      <c r="BN1196" s="381" t="s">
        <v>9121</v>
      </c>
      <c r="BO1196" s="382">
        <v>1190</v>
      </c>
    </row>
    <row r="1197" spans="1:67" s="24" customFormat="1" ht="15" customHeight="1" x14ac:dyDescent="0.25">
      <c r="A1197" s="288" t="s">
        <v>1255</v>
      </c>
      <c r="B1197" s="241" t="str">
        <f>HYPERLINK(CONCATENATE($AT$3,BK1197,$AU$3),$AV$3)</f>
        <v>S</v>
      </c>
      <c r="C1197" s="242" t="str">
        <f>HYPERLINK(CONCATENATE($AT$4,BK1197,$AU$4,BL1197),$AV$4)</f>
        <v>A</v>
      </c>
      <c r="D1197" s="243" t="s">
        <v>5187</v>
      </c>
      <c r="E1197" s="244" t="s">
        <v>5181</v>
      </c>
      <c r="F1197" s="269" t="s">
        <v>8682</v>
      </c>
      <c r="G1197" s="273">
        <v>1.8</v>
      </c>
      <c r="H1197" s="283">
        <v>9000</v>
      </c>
      <c r="I1197" s="279">
        <v>5</v>
      </c>
      <c r="J1197" s="246">
        <v>3</v>
      </c>
      <c r="K1197" s="247" t="s">
        <v>4725</v>
      </c>
      <c r="L1197" s="248">
        <v>85748</v>
      </c>
      <c r="M1197" s="249">
        <f>15*(LEFT(TEXT($L1197,"000000"),2)+(MID(TEXT($L1197,"000000"),3,2)/60)+(RIGHT(TEXT($L1197,"000000"),2)/3600))</f>
        <v>134.44999999999999</v>
      </c>
      <c r="N1197" s="250">
        <v>-283600</v>
      </c>
      <c r="O1197" s="251">
        <f>IF($N1197&gt;0,(LEFT(TEXT($N1197,"000000"),2)+(MID(TEXT($N1197,"000000"),3,2)/60)+(RIGHT(TEXT($N1197,"000000"),2)/3600)),-(MID(TEXT($N1197,"000000"),2,2)+(MID(TEXT($N1197,"000000"),4,2)/60)+(RIGHT(TEXT($N1197,"000000"),2)/3600)))</f>
        <v>-28.6</v>
      </c>
      <c r="P1197" s="252" t="s">
        <v>96</v>
      </c>
      <c r="Q1197" s="253"/>
      <c r="R1197" s="247" t="s">
        <v>3293</v>
      </c>
      <c r="S1197" s="272" t="s">
        <v>3293</v>
      </c>
      <c r="T1197" s="273">
        <v>15.3</v>
      </c>
      <c r="U1197" s="274"/>
      <c r="V1197" s="280"/>
      <c r="W1197" s="244"/>
      <c r="X1197" s="244"/>
      <c r="Y1197" s="362"/>
      <c r="Z1197" s="257">
        <f>altaz(J2000_Bas,$O1197,$M1197,DecLat,DecLong,1)</f>
        <v>-65.265004131955678</v>
      </c>
      <c r="AA1197" s="257">
        <f>altaz((J2000_Bas+(2*0.04167)),$O1197,$M1197,DecLat,DecLong,1)</f>
        <v>-87.211144865247476</v>
      </c>
      <c r="AB1197" s="257">
        <f>altaz((J2000_Bas+(4*0.04167)),$O1197,$M1197,DecLat,DecLong,1)</f>
        <v>-62.461032430527915</v>
      </c>
      <c r="AC1197" s="257">
        <f>altaz((J2000_Bas+(6*0.04167)),$O1197,$M1197,DecLat,DecLong,1)</f>
        <v>-37.020701107343967</v>
      </c>
      <c r="AD1197" s="258">
        <f>1+ transit((J2000_Bas-1),$O1197,$M1197,DecLat,DecLong)/360 + (GMTOffset/24) + (IF(DST="Y", 1, 0)/24)</f>
        <v>1.366372145504708</v>
      </c>
      <c r="AE1197" s="259">
        <f>DATE(2001,9,21)+(M1197/360)*365 - (360*((DecLong/360)- (GMTOffset/24) ))</f>
        <v>37296.317361111112</v>
      </c>
      <c r="AF1197" s="260">
        <f>IF(DecLat&gt;0,IF((90 - (DecLat-O1197))&gt;90, (90 - (O1197-DecLat)), (90 - (DecLat-O1197))),IF((90 + (DecLat-O1197))&gt;90, (90 + (O1197-DecLat)), (90 + (DecLat-O1197))))</f>
        <v>30.4</v>
      </c>
      <c r="AG1197" s="257">
        <f>angularseperation(MoonRA,MoonDec,$M1197,$O1197)</f>
        <v>96.306053823367407</v>
      </c>
      <c r="AH1197" s="261">
        <f ca="1">MIN(100,IF($O$5&gt;80,0+30*($AG1197/100),IF($O$5&gt;70,0+50*($AG1197/100),IF($O$5&gt;60,5+50*($AG1197/100),IF($O$5&gt;50,10+60*($AG1197/100),IF($O$5&gt;40,15+70*($AG1197/100),IF($O$5&gt;30,20+70*($AG1197/100),IF($O$5&gt;20,40+55*($AG1197/100),(80+(20-$O$5)+30*($AG1197/100))))))))))</f>
        <v>100</v>
      </c>
      <c r="AI1197" s="262"/>
      <c r="AJ1197" s="262"/>
      <c r="AK1197" s="262"/>
      <c r="AL1197" s="263"/>
      <c r="AM1197" s="264"/>
      <c r="AN1197" s="263"/>
      <c r="AO1197" s="263"/>
      <c r="AP1197" s="265"/>
      <c r="AQ1197" s="266"/>
      <c r="AR1197" s="267"/>
      <c r="AS1197" s="263"/>
      <c r="AT1197" s="263"/>
      <c r="AU1197" s="263">
        <v>102</v>
      </c>
      <c r="AV1197" s="264"/>
      <c r="AW1197" s="263"/>
      <c r="AX1197" s="263"/>
      <c r="AY1197" s="263"/>
      <c r="AZ1197" s="263"/>
      <c r="BA1197" s="263"/>
      <c r="BB1197" s="263"/>
      <c r="BC1197" s="263"/>
      <c r="BD1197" s="264"/>
      <c r="BE1197" s="263"/>
      <c r="BF1197" s="263"/>
      <c r="BG1197" s="263"/>
      <c r="BH1197" s="263"/>
      <c r="BI1197" s="263"/>
      <c r="BJ1197" s="404">
        <f>altaz(J2000_Bas,$O1197,$M1197,DecLat,DecLong,2)</f>
        <v>268.25731572202801</v>
      </c>
      <c r="BK1197" s="378" t="s">
        <v>4727</v>
      </c>
      <c r="BL1197" s="379">
        <f>IF((2*G1197)/60&lt;0.2,0.2,(2*G1197)/60)</f>
        <v>0.2</v>
      </c>
      <c r="BM1197" s="380">
        <f>MOD((50000+AD1197-$B$3+(0/24)),1)</f>
        <v>0.58173907520540524</v>
      </c>
      <c r="BN1197" s="381" t="s">
        <v>9121</v>
      </c>
      <c r="BO1197" s="382">
        <v>1191</v>
      </c>
    </row>
    <row r="1198" spans="1:67" s="24" customFormat="1" ht="15" customHeight="1" x14ac:dyDescent="0.25">
      <c r="A1198" s="287" t="s">
        <v>1256</v>
      </c>
      <c r="B1198" s="241" t="str">
        <f>HYPERLINK(CONCATENATE($AT$3,BK1198,$AU$3),$AV$3)</f>
        <v>S</v>
      </c>
      <c r="C1198" s="242" t="str">
        <f>HYPERLINK(CONCATENATE($AT$4,BK1198,$AU$4,BL1198),$AV$4)</f>
        <v>A</v>
      </c>
      <c r="D1198" s="243" t="s">
        <v>5187</v>
      </c>
      <c r="E1198" s="244" t="s">
        <v>5181</v>
      </c>
      <c r="F1198" s="269" t="s">
        <v>6172</v>
      </c>
      <c r="G1198" s="273">
        <v>1</v>
      </c>
      <c r="H1198" s="283">
        <v>6300</v>
      </c>
      <c r="I1198" s="279">
        <v>2</v>
      </c>
      <c r="J1198" s="246">
        <v>2</v>
      </c>
      <c r="K1198" s="247" t="s">
        <v>6171</v>
      </c>
      <c r="L1198" s="248">
        <v>174030</v>
      </c>
      <c r="M1198" s="249">
        <f>15*(LEFT(TEXT($L1198,"000000"),2)+(MID(TEXT($L1198,"000000"),3,2)/60)+(RIGHT(TEXT($L1198,"000000"),2)/3600))</f>
        <v>265.125</v>
      </c>
      <c r="N1198" s="250">
        <v>-270200</v>
      </c>
      <c r="O1198" s="251">
        <f>IF($N1198&gt;0,(LEFT(TEXT($N1198,"000000"),2)+(MID(TEXT($N1198,"000000"),3,2)/60)+(RIGHT(TEXT($N1198,"000000"),2)/3600)),-(MID(TEXT($N1198,"000000"),2,2)+(MID(TEXT($N1198,"000000"),4,2)/60)+(RIGHT(TEXT($N1198,"000000"),2)/3600)))</f>
        <v>-27.033333333333335</v>
      </c>
      <c r="P1198" s="252" t="s">
        <v>113</v>
      </c>
      <c r="Q1198" s="253"/>
      <c r="R1198" s="277" t="s">
        <v>3293</v>
      </c>
      <c r="S1198" s="272" t="s">
        <v>3293</v>
      </c>
      <c r="T1198" s="273"/>
      <c r="U1198" s="274"/>
      <c r="V1198" s="280"/>
      <c r="W1198" s="244"/>
      <c r="X1198" s="244"/>
      <c r="Y1198" s="362"/>
      <c r="Z1198" s="257">
        <f>altaz(J2000_Bas,$O1198,$M1198,DecLat,DecLong,1)</f>
        <v>28.639447388342017</v>
      </c>
      <c r="AA1198" s="257">
        <f>altaz((J2000_Bas+(2*0.04167)),$O1198,$M1198,DecLat,DecLong,1)</f>
        <v>14.288113033463009</v>
      </c>
      <c r="AB1198" s="257">
        <f>altaz((J2000_Bas+(4*0.04167)),$O1198,$M1198,DecLat,DecLong,1)</f>
        <v>-6.6188604074258395</v>
      </c>
      <c r="AC1198" s="257">
        <f>altaz((J2000_Bas+(6*0.04167)),$O1198,$M1198,DecLat,DecLong,1)</f>
        <v>-30.619938721861661</v>
      </c>
      <c r="AD1198" s="258">
        <f>1+ transit((J2000_Bas-1),$O1198,$M1198,DecLat,DecLong)/360 + (GMTOffset/24) + (IF(DST="Y", 1, 0)/24)</f>
        <v>1.729358220317208</v>
      </c>
      <c r="AE1198" s="259">
        <f>DATE(2001,9,21)+(M1198/360)*365 - (360*((DecLong/360)- (GMTOffset/24) ))</f>
        <v>37428.807291666664</v>
      </c>
      <c r="AF1198" s="260">
        <f>IF(DecLat&gt;0,IF((90 - (DecLat-O1198))&gt;90, (90 - (O1198-DecLat)), (90 - (DecLat-O1198))),IF((90 + (DecLat-O1198))&gt;90, (90 + (O1198-DecLat)), (90 + (DecLat-O1198))))</f>
        <v>31.966666666666669</v>
      </c>
      <c r="AG1198" s="257">
        <f>angularseperation(MoonRA,MoonDec,$M1198,$O1198)</f>
        <v>14.135200805385383</v>
      </c>
      <c r="AH1198" s="261">
        <f ca="1">MIN(100,IF($O$5&gt;80,0+30*($AG1198/100),IF($O$5&gt;70,0+50*($AG1198/100),IF($O$5&gt;60,5+50*($AG1198/100),IF($O$5&gt;50,10+60*($AG1198/100),IF($O$5&gt;40,15+70*($AG1198/100),IF($O$5&gt;30,20+70*($AG1198/100),IF($O$5&gt;20,40+55*($AG1198/100),(80+(20-$O$5)+30*($AG1198/100))))))))))</f>
        <v>87.511620585766039</v>
      </c>
      <c r="AI1198" s="263"/>
      <c r="AJ1198" s="263"/>
      <c r="AK1198" s="263"/>
      <c r="AL1198" s="263"/>
      <c r="AM1198" s="264"/>
      <c r="AN1198" s="263"/>
      <c r="AO1198" s="263"/>
      <c r="AP1198" s="265"/>
      <c r="AQ1198" s="265"/>
      <c r="AR1198" s="285"/>
      <c r="AS1198" s="263"/>
      <c r="AT1198" s="263"/>
      <c r="AU1198" s="263">
        <v>104</v>
      </c>
      <c r="AV1198" s="264"/>
      <c r="AW1198" s="263"/>
      <c r="AX1198" s="263"/>
      <c r="AY1198" s="263"/>
      <c r="AZ1198" s="263"/>
      <c r="BA1198" s="263"/>
      <c r="BB1198" s="263"/>
      <c r="BC1198" s="263"/>
      <c r="BD1198" s="264"/>
      <c r="BE1198" s="263"/>
      <c r="BF1198" s="263"/>
      <c r="BG1198" s="263"/>
      <c r="BH1198" s="263"/>
      <c r="BI1198" s="263"/>
      <c r="BJ1198" s="404">
        <f>altaz(J2000_Bas,$O1198,$M1198,DecLat,DecLong,2)</f>
        <v>201.20389962317421</v>
      </c>
      <c r="BK1198" s="378" t="s">
        <v>4728</v>
      </c>
      <c r="BL1198" s="379">
        <f>IF((2*G1198)/60&lt;0.2,0.2,(2*G1198)/60)</f>
        <v>0.2</v>
      </c>
      <c r="BM1198" s="380">
        <f>MOD((50000+AD1198-$B$3+(0/24)),1)</f>
        <v>0.94472515002416912</v>
      </c>
      <c r="BN1198" s="381"/>
      <c r="BO1198" s="382">
        <v>1192</v>
      </c>
    </row>
    <row r="1199" spans="1:67" s="24" customFormat="1" ht="15" customHeight="1" x14ac:dyDescent="0.25">
      <c r="A1199" s="288" t="s">
        <v>4786</v>
      </c>
      <c r="B1199" s="241" t="str">
        <f>HYPERLINK(CONCATENATE($AT$3,BK1199,$AU$3),$AV$3)</f>
        <v>S</v>
      </c>
      <c r="C1199" s="242" t="str">
        <f>HYPERLINK(CONCATENATE($AT$4,BK1199,$AU$4,BL1199),$AV$4)</f>
        <v>A</v>
      </c>
      <c r="D1199" s="243" t="s">
        <v>5187</v>
      </c>
      <c r="E1199" s="244" t="s">
        <v>5181</v>
      </c>
      <c r="F1199" s="269" t="s">
        <v>4800</v>
      </c>
      <c r="G1199" s="273">
        <v>1.5</v>
      </c>
      <c r="H1199" s="283">
        <v>4000</v>
      </c>
      <c r="I1199" s="279">
        <v>1.7</v>
      </c>
      <c r="J1199" s="246">
        <v>2</v>
      </c>
      <c r="K1199" s="247" t="s">
        <v>6179</v>
      </c>
      <c r="L1199" s="248">
        <v>70317</v>
      </c>
      <c r="M1199" s="249">
        <f>15*(LEFT(TEXT($L1199,"000000"),2)+(MID(TEXT($L1199,"000000"),3,2)/60)+(RIGHT(TEXT($L1199,"000000"),2)/3600))</f>
        <v>105.82083333333333</v>
      </c>
      <c r="N1199" s="250">
        <v>-103502</v>
      </c>
      <c r="O1199" s="251">
        <f>IF($N1199&gt;0,(LEFT(TEXT($N1199,"000000"),2)+(MID(TEXT($N1199,"000000"),3,2)/60)+(RIGHT(TEXT($N1199,"000000"),2)/3600)),-(MID(TEXT($N1199,"000000"),2,2)+(MID(TEXT($N1199,"000000"),4,2)/60)+(RIGHT(TEXT($N1199,"000000"),2)/3600)))</f>
        <v>-10.58388888888889</v>
      </c>
      <c r="P1199" s="252" t="s">
        <v>226</v>
      </c>
      <c r="Q1199" s="253"/>
      <c r="R1199" s="277" t="s">
        <v>3293</v>
      </c>
      <c r="S1199" s="272" t="s">
        <v>3293</v>
      </c>
      <c r="T1199" s="273"/>
      <c r="U1199" s="274"/>
      <c r="V1199" s="280"/>
      <c r="W1199" s="244"/>
      <c r="X1199" s="244"/>
      <c r="Y1199" s="362"/>
      <c r="Z1199" s="257">
        <f>altaz(J2000_Bas,$O1199,$M1199,DecLat,DecLong,1)</f>
        <v>-69.583192278691271</v>
      </c>
      <c r="AA1199" s="257">
        <f>altaz((J2000_Bas+(2*0.04167)),$O1199,$M1199,DecLat,DecLong,1)</f>
        <v>-55.319002459747232</v>
      </c>
      <c r="AB1199" s="257">
        <f>altaz((J2000_Bas+(4*0.04167)),$O1199,$M1199,DecLat,DecLong,1)</f>
        <v>-30.758140759098165</v>
      </c>
      <c r="AC1199" s="257">
        <f>altaz((J2000_Bas+(6*0.04167)),$O1199,$M1199,DecLat,DecLong,1)</f>
        <v>-5.0598527602944801</v>
      </c>
      <c r="AD1199" s="258">
        <f>1+ transit((J2000_Bas-1),$O1199,$M1199,DecLat,DecLong)/360 + (GMTOffset/24) + (IF(DST="Y", 1, 0)/24)</f>
        <v>1.2868466904942915</v>
      </c>
      <c r="AE1199" s="259">
        <f>DATE(2001,9,21)+(M1199/360)*365 - (360*((DecLong/360)- (GMTOffset/24) ))</f>
        <v>37267.290567129632</v>
      </c>
      <c r="AF1199" s="260">
        <f>IF(DecLat&gt;0,IF((90 - (DecLat-O1199))&gt;90, (90 - (O1199-DecLat)), (90 - (DecLat-O1199))),IF((90 + (DecLat-O1199))&gt;90, (90 + (O1199-DecLat)), (90 + (DecLat-O1199))))</f>
        <v>48.416111111111107</v>
      </c>
      <c r="AG1199" s="257">
        <f>angularseperation(MoonRA,MoonDec,$M1199,$O1199)</f>
        <v>128.25660769942368</v>
      </c>
      <c r="AH1199" s="261">
        <f ca="1">MIN(100,IF($O$5&gt;80,0+30*($AG1199/100),IF($O$5&gt;70,0+50*($AG1199/100),IF($O$5&gt;60,5+50*($AG1199/100),IF($O$5&gt;50,10+60*($AG1199/100),IF($O$5&gt;40,15+70*($AG1199/100),IF($O$5&gt;30,20+70*($AG1199/100),IF($O$5&gt;20,40+55*($AG1199/100),(80+(20-$O$5)+30*($AG1199/100))))))))))</f>
        <v>100</v>
      </c>
      <c r="AI1199" s="263"/>
      <c r="AJ1199" s="263"/>
      <c r="AK1199" s="263"/>
      <c r="AL1199" s="263"/>
      <c r="AM1199" s="264"/>
      <c r="AN1199" s="263"/>
      <c r="AO1199" s="263"/>
      <c r="AP1199" s="265"/>
      <c r="AQ1199" s="265"/>
      <c r="AR1199" s="285"/>
      <c r="AS1199" s="263"/>
      <c r="AT1199" s="263"/>
      <c r="AU1199" s="263"/>
      <c r="AV1199" s="264"/>
      <c r="AW1199" s="263"/>
      <c r="AX1199" s="263"/>
      <c r="AY1199" s="263"/>
      <c r="AZ1199" s="263"/>
      <c r="BA1199" s="263"/>
      <c r="BB1199" s="263"/>
      <c r="BC1199" s="263"/>
      <c r="BD1199" s="264"/>
      <c r="BE1199" s="263"/>
      <c r="BF1199" s="263"/>
      <c r="BG1199" s="263"/>
      <c r="BH1199" s="263"/>
      <c r="BI1199" s="263"/>
      <c r="BJ1199" s="404">
        <f>altaz(J2000_Bas,$O1199,$M1199,DecLat,DecLong,2)</f>
        <v>0.51226717991032822</v>
      </c>
      <c r="BK1199" s="378" t="s">
        <v>4738</v>
      </c>
      <c r="BL1199" s="379">
        <f>IF((2*G1199)/60&lt;0.2,0.2,(2*G1199)/60)</f>
        <v>0.2</v>
      </c>
      <c r="BM1199" s="380">
        <f>MOD((50000+AD1199-$B$3+(0/24)),1)</f>
        <v>0.50221362019510707</v>
      </c>
      <c r="BN1199" s="381"/>
      <c r="BO1199" s="382">
        <v>1193</v>
      </c>
    </row>
    <row r="1200" spans="1:67" s="24" customFormat="1" ht="15" customHeight="1" x14ac:dyDescent="0.25">
      <c r="A1200" s="288" t="s">
        <v>1257</v>
      </c>
      <c r="B1200" s="241" t="str">
        <f>HYPERLINK(CONCATENATE($AT$3,BK1200,$AU$3),$AV$3)</f>
        <v>S</v>
      </c>
      <c r="C1200" s="242" t="str">
        <f>HYPERLINK(CONCATENATE($AT$4,BK1200,$AU$4,BL1200),$AV$4)</f>
        <v>A</v>
      </c>
      <c r="D1200" s="243" t="s">
        <v>5187</v>
      </c>
      <c r="E1200" s="244" t="s">
        <v>5181</v>
      </c>
      <c r="F1200" s="269" t="s">
        <v>5731</v>
      </c>
      <c r="G1200" s="273">
        <v>1</v>
      </c>
      <c r="H1200" s="271">
        <v>5400</v>
      </c>
      <c r="I1200" s="279">
        <v>1.7</v>
      </c>
      <c r="J1200" s="246">
        <v>2</v>
      </c>
      <c r="K1200" s="247" t="s">
        <v>6177</v>
      </c>
      <c r="L1200" s="248">
        <v>70715</v>
      </c>
      <c r="M1200" s="249">
        <f>15*(LEFT(TEXT($L1200,"000000"),2)+(MID(TEXT($L1200,"000000"),3,2)/60)+(RIGHT(TEXT($L1200,"000000"),2)/3600))</f>
        <v>106.81249999999999</v>
      </c>
      <c r="N1200" s="250">
        <v>-51007</v>
      </c>
      <c r="O1200" s="251">
        <f>IF($N1200&gt;0,(LEFT(TEXT($N1200,"000000"),2)+(MID(TEXT($N1200,"000000"),3,2)/60)+(RIGHT(TEXT($N1200,"000000"),2)/3600)),-(MID(TEXT($N1200,"000000"),2,2)+(MID(TEXT($N1200,"000000"),4,2)/60)+(RIGHT(TEXT($N1200,"000000"),2)/3600)))</f>
        <v>-5.1686111111111117</v>
      </c>
      <c r="P1200" s="252" t="s">
        <v>47</v>
      </c>
      <c r="Q1200" s="253"/>
      <c r="R1200" s="277" t="s">
        <v>3293</v>
      </c>
      <c r="S1200" s="272" t="s">
        <v>3293</v>
      </c>
      <c r="T1200" s="273">
        <v>19</v>
      </c>
      <c r="U1200" s="274"/>
      <c r="V1200" s="280"/>
      <c r="W1200" s="244"/>
      <c r="X1200" s="244"/>
      <c r="Y1200" s="362"/>
      <c r="Z1200" s="257">
        <f>altaz(J2000_Bas,$O1200,$M1200,DecLat,DecLong,1)</f>
        <v>-64.157399432874158</v>
      </c>
      <c r="AA1200" s="257">
        <f>altaz((J2000_Bas+(2*0.04167)),$O1200,$M1200,DecLat,DecLong,1)</f>
        <v>-52.283993359149228</v>
      </c>
      <c r="AB1200" s="257">
        <f>altaz((J2000_Bas+(4*0.04167)),$O1200,$M1200,DecLat,DecLong,1)</f>
        <v>-28.782150646760936</v>
      </c>
      <c r="AC1200" s="257">
        <f>altaz((J2000_Bas+(6*0.04167)),$O1200,$M1200,DecLat,DecLong,1)</f>
        <v>-3.1348321781410955</v>
      </c>
      <c r="AD1200" s="258">
        <f>1+ transit((J2000_Bas-1),$O1200,$M1200,DecLat,DecLong)/360 + (GMTOffset/24) + (IF(DST="Y", 1, 0)/24)</f>
        <v>1.2896013198484579</v>
      </c>
      <c r="AE1200" s="259">
        <f>DATE(2001,9,21)+(M1200/360)*365 - (360*((DecLong/360)- (GMTOffset/24) ))</f>
        <v>37268.296006944445</v>
      </c>
      <c r="AF1200" s="260">
        <f>IF(DecLat&gt;0,IF((90 - (DecLat-O1200))&gt;90, (90 - (O1200-DecLat)), (90 - (DecLat-O1200))),IF((90 + (DecLat-O1200))&gt;90, (90 + (O1200-DecLat)), (90 + (DecLat-O1200))))</f>
        <v>53.831388888888888</v>
      </c>
      <c r="AG1200" s="257">
        <f>angularseperation(MoonRA,MoonDec,$M1200,$O1200)</f>
        <v>131.43726132458514</v>
      </c>
      <c r="AH1200" s="261">
        <f ca="1">MIN(100,IF($O$5&gt;80,0+30*($AG1200/100),IF($O$5&gt;70,0+50*($AG1200/100),IF($O$5&gt;60,5+50*($AG1200/100),IF($O$5&gt;50,10+60*($AG1200/100),IF($O$5&gt;40,15+70*($AG1200/100),IF($O$5&gt;30,20+70*($AG1200/100),IF($O$5&gt;20,40+55*($AG1200/100),(80+(20-$O$5)+30*($AG1200/100))))))))))</f>
        <v>100</v>
      </c>
      <c r="AI1200" s="263"/>
      <c r="AJ1200" s="263"/>
      <c r="AK1200" s="263"/>
      <c r="AL1200" s="263"/>
      <c r="AM1200" s="264"/>
      <c r="AN1200" s="263"/>
      <c r="AO1200" s="263"/>
      <c r="AP1200" s="265"/>
      <c r="AQ1200" s="265"/>
      <c r="AR1200" s="285"/>
      <c r="AS1200" s="263"/>
      <c r="AT1200" s="263"/>
      <c r="AU1200" s="263">
        <v>109</v>
      </c>
      <c r="AV1200" s="264"/>
      <c r="AW1200" s="263"/>
      <c r="AX1200" s="263"/>
      <c r="AY1200" s="263"/>
      <c r="AZ1200" s="263"/>
      <c r="BA1200" s="263"/>
      <c r="BB1200" s="263"/>
      <c r="BC1200" s="263"/>
      <c r="BD1200" s="264"/>
      <c r="BE1200" s="263"/>
      <c r="BF1200" s="263"/>
      <c r="BG1200" s="263"/>
      <c r="BH1200" s="263"/>
      <c r="BI1200" s="263"/>
      <c r="BJ1200" s="404">
        <f>altaz(J2000_Bas,$O1200,$M1200,DecLat,DecLong,2)</f>
        <v>358.14936291650002</v>
      </c>
      <c r="BK1200" s="378" t="s">
        <v>4729</v>
      </c>
      <c r="BL1200" s="379">
        <f>IF((2*G1200)/60&lt;0.2,0.2,(2*G1200)/60)</f>
        <v>0.2</v>
      </c>
      <c r="BM1200" s="380">
        <f>MOD((50000+AD1200-$B$3+(0/24)),1)</f>
        <v>0.50496824955189368</v>
      </c>
      <c r="BN1200" s="381"/>
      <c r="BO1200" s="382">
        <v>1194</v>
      </c>
    </row>
    <row r="1201" spans="1:67" s="24" customFormat="1" ht="15" customHeight="1" x14ac:dyDescent="0.25">
      <c r="A1201" s="288" t="s">
        <v>1258</v>
      </c>
      <c r="B1201" s="241" t="str">
        <f>HYPERLINK(CONCATENATE($AT$3,BK1201,$AU$3),$AV$3)</f>
        <v>S</v>
      </c>
      <c r="C1201" s="242" t="str">
        <f>HYPERLINK(CONCATENATE($AT$4,BK1201,$AU$4,BL1201),$AV$4)</f>
        <v>A</v>
      </c>
      <c r="D1201" s="243" t="s">
        <v>5187</v>
      </c>
      <c r="E1201" s="244" t="s">
        <v>5181</v>
      </c>
      <c r="F1201" s="269" t="s">
        <v>6225</v>
      </c>
      <c r="G1201" s="273">
        <v>1.5</v>
      </c>
      <c r="H1201" s="283">
        <v>9000</v>
      </c>
      <c r="I1201" s="279">
        <v>4</v>
      </c>
      <c r="J1201" s="246">
        <v>2</v>
      </c>
      <c r="K1201" s="247" t="s">
        <v>4726</v>
      </c>
      <c r="L1201" s="248">
        <v>71236</v>
      </c>
      <c r="M1201" s="249">
        <f>15*(LEFT(TEXT($L1201,"000000"),2)+(MID(TEXT($L1201,"000000"),3,2)/60)+(RIGHT(TEXT($L1201,"000000"),2)/3600))</f>
        <v>108.15</v>
      </c>
      <c r="N1201" s="250">
        <v>-160600</v>
      </c>
      <c r="O1201" s="251">
        <f>IF($N1201&gt;0,(LEFT(TEXT($N1201,"000000"),2)+(MID(TEXT($N1201,"000000"),3,2)/60)+(RIGHT(TEXT($N1201,"000000"),2)/3600)),-(MID(TEXT($N1201,"000000"),2,2)+(MID(TEXT($N1201,"000000"),4,2)/60)+(RIGHT(TEXT($N1201,"000000"),2)/3600)))</f>
        <v>-16.100000000000001</v>
      </c>
      <c r="P1201" s="252" t="s">
        <v>80</v>
      </c>
      <c r="Q1201" s="253"/>
      <c r="R1201" s="247" t="s">
        <v>3293</v>
      </c>
      <c r="S1201" s="272" t="s">
        <v>3293</v>
      </c>
      <c r="T1201" s="273"/>
      <c r="U1201" s="274"/>
      <c r="V1201" s="280"/>
      <c r="W1201" s="244"/>
      <c r="X1201" s="244"/>
      <c r="Y1201" s="362"/>
      <c r="Z1201" s="257">
        <f>altaz(J2000_Bas,$O1201,$M1201,DecLat,DecLong,1)</f>
        <v>-74.971672546268138</v>
      </c>
      <c r="AA1201" s="257">
        <f>altaz((J2000_Bas+(2*0.04167)),$O1201,$M1201,DecLat,DecLong,1)</f>
        <v>-60.505304682100785</v>
      </c>
      <c r="AB1201" s="257">
        <f>altaz((J2000_Bas+(4*0.04167)),$O1201,$M1201,DecLat,DecLong,1)</f>
        <v>-35.378628275932556</v>
      </c>
      <c r="AC1201" s="257">
        <f>altaz((J2000_Bas+(6*0.04167)),$O1201,$M1201,DecLat,DecLong,1)</f>
        <v>-9.7902955363460702</v>
      </c>
      <c r="AD1201" s="258">
        <f>1+ transit((J2000_Bas-1),$O1201,$M1201,DecLat,DecLong)/360 + (GMTOffset/24) + (IF(DST="Y", 1, 0)/24)</f>
        <v>1.293316597254708</v>
      </c>
      <c r="AE1201" s="259">
        <f>DATE(2001,9,21)+(M1201/360)*365 - (360*((DecLong/360)- (GMTOffset/24) ))</f>
        <v>37269.652083333334</v>
      </c>
      <c r="AF1201" s="260">
        <f>IF(DecLat&gt;0,IF((90 - (DecLat-O1201))&gt;90, (90 - (O1201-DecLat)), (90 - (DecLat-O1201))),IF((90 + (DecLat-O1201))&gt;90, (90 + (O1201-DecLat)), (90 + (DecLat-O1201))))</f>
        <v>42.9</v>
      </c>
      <c r="AG1201" s="257">
        <f>angularseperation(MoonRA,MoonDec,$M1201,$O1201)</f>
        <v>122.64196710699959</v>
      </c>
      <c r="AH1201" s="261">
        <f ca="1">MIN(100,IF($O$5&gt;80,0+30*($AG1201/100),IF($O$5&gt;70,0+50*($AG1201/100),IF($O$5&gt;60,5+50*($AG1201/100),IF($O$5&gt;50,10+60*($AG1201/100),IF($O$5&gt;40,15+70*($AG1201/100),IF($O$5&gt;30,20+70*($AG1201/100),IF($O$5&gt;20,40+55*($AG1201/100),(80+(20-$O$5)+30*($AG1201/100))))))))))</f>
        <v>100</v>
      </c>
      <c r="AI1201" s="262"/>
      <c r="AJ1201" s="262"/>
      <c r="AK1201" s="262"/>
      <c r="AL1201" s="263"/>
      <c r="AM1201" s="264"/>
      <c r="AN1201" s="263"/>
      <c r="AO1201" s="263"/>
      <c r="AP1201" s="265"/>
      <c r="AQ1201" s="266"/>
      <c r="AR1201" s="267"/>
      <c r="AS1201" s="263"/>
      <c r="AT1201" s="263"/>
      <c r="AU1201" s="263">
        <v>110</v>
      </c>
      <c r="AV1201" s="264"/>
      <c r="AW1201" s="263"/>
      <c r="AX1201" s="263"/>
      <c r="AY1201" s="263"/>
      <c r="AZ1201" s="263"/>
      <c r="BA1201" s="263"/>
      <c r="BB1201" s="263"/>
      <c r="BC1201" s="263"/>
      <c r="BD1201" s="264"/>
      <c r="BE1201" s="263"/>
      <c r="BF1201" s="263"/>
      <c r="BG1201" s="263"/>
      <c r="BH1201" s="263"/>
      <c r="BI1201" s="263"/>
      <c r="BJ1201" s="404">
        <f>altaz(J2000_Bas,$O1201,$M1201,DecLat,DecLong,2)</f>
        <v>352.01935794636773</v>
      </c>
      <c r="BK1201" s="378" t="s">
        <v>4730</v>
      </c>
      <c r="BL1201" s="379">
        <f>IF((2*G1201)/60&lt;0.2,0.2,(2*G1201)/60)</f>
        <v>0.2</v>
      </c>
      <c r="BM1201" s="380">
        <f>MOD((50000+AD1201-$B$3+(0/24)),1)</f>
        <v>0.5086835269612493</v>
      </c>
      <c r="BN1201" s="381"/>
      <c r="BO1201" s="382">
        <v>1195</v>
      </c>
    </row>
    <row r="1202" spans="1:67" s="24" customFormat="1" ht="15" customHeight="1" x14ac:dyDescent="0.25">
      <c r="A1202" s="288" t="s">
        <v>1259</v>
      </c>
      <c r="B1202" s="241" t="str">
        <f>HYPERLINK(CONCATENATE($AT$3,BK1202,$AU$3),$AV$3)</f>
        <v>S</v>
      </c>
      <c r="C1202" s="242" t="str">
        <f>HYPERLINK(CONCATENATE($AT$4,BK1202,$AU$4,BL1202),$AV$4)</f>
        <v>A</v>
      </c>
      <c r="D1202" s="243" t="s">
        <v>5187</v>
      </c>
      <c r="E1202" s="244" t="s">
        <v>5181</v>
      </c>
      <c r="F1202" s="269" t="s">
        <v>9106</v>
      </c>
      <c r="G1202" s="273">
        <v>1</v>
      </c>
      <c r="H1202" s="283">
        <v>9000</v>
      </c>
      <c r="I1202" s="279">
        <v>2.7</v>
      </c>
      <c r="J1202" s="246">
        <v>2</v>
      </c>
      <c r="K1202" s="247" t="s">
        <v>4782</v>
      </c>
      <c r="L1202" s="248">
        <v>75012</v>
      </c>
      <c r="M1202" s="249">
        <f>15*(LEFT(TEXT($L1202,"000000"),2)+(MID(TEXT($L1202,"000000"),3,2)/60)+(RIGHT(TEXT($L1202,"000000"),2)/3600))</f>
        <v>117.54999999999998</v>
      </c>
      <c r="N1202" s="250">
        <v>-191816</v>
      </c>
      <c r="O1202" s="251">
        <f>IF($N1202&gt;0,(LEFT(TEXT($N1202,"000000"),2)+(MID(TEXT($N1202,"000000"),3,2)/60)+(RIGHT(TEXT($N1202,"000000"),2)/3600)),-(MID(TEXT($N1202,"000000"),2,2)+(MID(TEXT($N1202,"000000"),4,2)/60)+(RIGHT(TEXT($N1202,"000000"),2)/3600)))</f>
        <v>-19.304444444444446</v>
      </c>
      <c r="P1202" s="252" t="s">
        <v>91</v>
      </c>
      <c r="Q1202" s="253"/>
      <c r="R1202" s="247" t="s">
        <v>3293</v>
      </c>
      <c r="S1202" s="272" t="s">
        <v>3293</v>
      </c>
      <c r="T1202" s="273">
        <v>16</v>
      </c>
      <c r="U1202" s="274"/>
      <c r="V1202" s="280"/>
      <c r="W1202" s="244"/>
      <c r="X1202" s="244"/>
      <c r="Y1202" s="362"/>
      <c r="Z1202" s="257">
        <f>altaz(J2000_Bas,$O1202,$M1202,DecLat,DecLong,1)</f>
        <v>-74.33662753455036</v>
      </c>
      <c r="AA1202" s="257">
        <f>altaz((J2000_Bas+(2*0.04167)),$O1202,$M1202,DecLat,DecLong,1)</f>
        <v>-69.597546532246866</v>
      </c>
      <c r="AB1202" s="257">
        <f>altaz((J2000_Bas+(4*0.04167)),$O1202,$M1202,DecLat,DecLong,1)</f>
        <v>-44.831066882648962</v>
      </c>
      <c r="AC1202" s="257">
        <f>altaz((J2000_Bas+(6*0.04167)),$O1202,$M1202,DecLat,DecLong,1)</f>
        <v>-19.189510893980387</v>
      </c>
      <c r="AD1202" s="258">
        <f>1+ transit((J2000_Bas-1),$O1202,$M1202,DecLat,DecLong)/360 + (GMTOffset/24) + (IF(DST="Y", 1, 0)/24)</f>
        <v>1.3194277057547079</v>
      </c>
      <c r="AE1202" s="259">
        <f>DATE(2001,9,21)+(M1202/360)*365 - (360*((DecLong/360)- (GMTOffset/24) ))</f>
        <v>37279.182638888888</v>
      </c>
      <c r="AF1202" s="260">
        <f>IF(DecLat&gt;0,IF((90 - (DecLat-O1202))&gt;90, (90 - (O1202-DecLat)), (90 - (DecLat-O1202))),IF((90 + (DecLat-O1202))&gt;90, (90 + (O1202-DecLat)), (90 + (DecLat-O1202))))</f>
        <v>39.695555555555558</v>
      </c>
      <c r="AG1202" s="257">
        <f>angularseperation(MoonRA,MoonDec,$M1202,$O1202)</f>
        <v>114.10282936470362</v>
      </c>
      <c r="AH1202" s="261">
        <f ca="1">MIN(100,IF($O$5&gt;80,0+30*($AG1202/100),IF($O$5&gt;70,0+50*($AG1202/100),IF($O$5&gt;60,5+50*($AG1202/100),IF($O$5&gt;50,10+60*($AG1202/100),IF($O$5&gt;40,15+70*($AG1202/100),IF($O$5&gt;30,20+70*($AG1202/100),IF($O$5&gt;20,40+55*($AG1202/100),(80+(20-$O$5)+30*($AG1202/100))))))))))</f>
        <v>100</v>
      </c>
      <c r="AI1202" s="262"/>
      <c r="AJ1202" s="262"/>
      <c r="AK1202" s="262"/>
      <c r="AL1202" s="263"/>
      <c r="AM1202" s="264"/>
      <c r="AN1202" s="263"/>
      <c r="AO1202" s="263"/>
      <c r="AP1202" s="265"/>
      <c r="AQ1202" s="266"/>
      <c r="AR1202" s="267"/>
      <c r="AS1202" s="263"/>
      <c r="AT1202" s="263"/>
      <c r="AU1202" s="263">
        <v>112</v>
      </c>
      <c r="AV1202" s="264"/>
      <c r="AW1202" s="263"/>
      <c r="AX1202" s="263"/>
      <c r="AY1202" s="263"/>
      <c r="AZ1202" s="263"/>
      <c r="BA1202" s="263"/>
      <c r="BB1202" s="263"/>
      <c r="BC1202" s="263"/>
      <c r="BD1202" s="264"/>
      <c r="BE1202" s="263"/>
      <c r="BF1202" s="263"/>
      <c r="BG1202" s="263"/>
      <c r="BH1202" s="263"/>
      <c r="BI1202" s="263"/>
      <c r="BJ1202" s="404">
        <f>altaz(J2000_Bas,$O1202,$M1202,DecLat,DecLong,2)</f>
        <v>315.59270846893975</v>
      </c>
      <c r="BK1202" s="378" t="s">
        <v>4731</v>
      </c>
      <c r="BL1202" s="379">
        <f>IF((2*G1202)/60&lt;0.2,0.2,(2*G1202)/60)</f>
        <v>0.2</v>
      </c>
      <c r="BM1202" s="380">
        <f>MOD((50000+AD1202-$B$3+(0/24)),1)</f>
        <v>0.53479463545954786</v>
      </c>
      <c r="BN1202" s="381"/>
      <c r="BO1202" s="382">
        <v>1196</v>
      </c>
    </row>
    <row r="1203" spans="1:67" s="24" customFormat="1" ht="15" customHeight="1" x14ac:dyDescent="0.25">
      <c r="A1203" s="288" t="s">
        <v>1260</v>
      </c>
      <c r="B1203" s="241" t="str">
        <f>HYPERLINK(CONCATENATE($AT$3,BK1203,$AU$3),$AV$3)</f>
        <v>S</v>
      </c>
      <c r="C1203" s="242" t="str">
        <f>HYPERLINK(CONCATENATE($AT$4,BK1203,$AU$4,BL1203),$AV$4)</f>
        <v>A</v>
      </c>
      <c r="D1203" s="243" t="s">
        <v>5187</v>
      </c>
      <c r="E1203" s="244" t="s">
        <v>5181</v>
      </c>
      <c r="F1203" s="269" t="s">
        <v>5224</v>
      </c>
      <c r="G1203" s="273">
        <v>1</v>
      </c>
      <c r="H1203" s="283">
        <v>11000</v>
      </c>
      <c r="I1203" s="279">
        <v>3</v>
      </c>
      <c r="J1203" s="246">
        <v>2</v>
      </c>
      <c r="K1203" s="247" t="s">
        <v>8841</v>
      </c>
      <c r="L1203" s="248">
        <v>174236</v>
      </c>
      <c r="M1203" s="249">
        <f>15*(LEFT(TEXT($L1203,"000000"),2)+(MID(TEXT($L1203,"000000"),3,2)/60)+(RIGHT(TEXT($L1203,"000000"),2)/3600))</f>
        <v>265.65000000000003</v>
      </c>
      <c r="N1203" s="250">
        <v>213000</v>
      </c>
      <c r="O1203" s="251">
        <f>IF($N1203&gt;0,(LEFT(TEXT($N1203,"000000"),2)+(MID(TEXT($N1203,"000000"),3,2)/60)+(RIGHT(TEXT($N1203,"000000"),2)/3600)),-(MID(TEXT($N1203,"000000"),2,2)+(MID(TEXT($N1203,"000000"),4,2)/60)+(RIGHT(TEXT($N1203,"000000"),2)/3600)))</f>
        <v>21.5</v>
      </c>
      <c r="P1203" s="252" t="s">
        <v>111</v>
      </c>
      <c r="Q1203" s="253"/>
      <c r="R1203" s="247" t="s">
        <v>3293</v>
      </c>
      <c r="S1203" s="272" t="s">
        <v>3293</v>
      </c>
      <c r="T1203" s="273"/>
      <c r="U1203" s="274"/>
      <c r="V1203" s="280"/>
      <c r="W1203" s="244"/>
      <c r="X1203" s="244"/>
      <c r="Y1203" s="362"/>
      <c r="Z1203" s="257">
        <f>altaz(J2000_Bas,$O1203,$M1203,DecLat,DecLong,1)</f>
        <v>69.471211499127818</v>
      </c>
      <c r="AA1203" s="257">
        <f>altaz((J2000_Bas+(2*0.04167)),$O1203,$M1203,DecLat,DecLong,1)</f>
        <v>44.164752630557302</v>
      </c>
      <c r="AB1203" s="257">
        <f>altaz((J2000_Bas+(4*0.04167)),$O1203,$M1203,DecLat,DecLong,1)</f>
        <v>18.668568183188512</v>
      </c>
      <c r="AC1203" s="257">
        <f>altaz((J2000_Bas+(6*0.04167)),$O1203,$M1203,DecLat,DecLong,1)</f>
        <v>-5.2741560820769413</v>
      </c>
      <c r="AD1203" s="258">
        <f>1+ transit((J2000_Bas-1),$O1203,$M1203,DecLat,DecLong)/360 + (GMTOffset/24) + (IF(DST="Y", 1, 0)/24)</f>
        <v>1.7308165535047082</v>
      </c>
      <c r="AE1203" s="259">
        <f>DATE(2001,9,21)+(M1203/360)*365 - (360*((DecLong/360)- (GMTOffset/24) ))</f>
        <v>37429.339583333334</v>
      </c>
      <c r="AF1203" s="260">
        <f>IF(DecLat&gt;0,IF((90 - (DecLat-O1203))&gt;90, (90 - (O1203-DecLat)), (90 - (DecLat-O1203))),IF((90 + (DecLat-O1203))&gt;90, (90 + (O1203-DecLat)), (90 + (DecLat-O1203))))</f>
        <v>80.5</v>
      </c>
      <c r="AG1203" s="257">
        <f>angularseperation(MoonRA,MoonDec,$M1203,$O1203)</f>
        <v>51.113234149590745</v>
      </c>
      <c r="AH1203" s="261">
        <f ca="1">MIN(100,IF($O$5&gt;80,0+30*($AG1203/100),IF($O$5&gt;70,0+50*($AG1203/100),IF($O$5&gt;60,5+50*($AG1203/100),IF($O$5&gt;50,10+60*($AG1203/100),IF($O$5&gt;40,15+70*($AG1203/100),IF($O$5&gt;30,20+70*($AG1203/100),IF($O$5&gt;20,40+55*($AG1203/100),(80+(20-$O$5)+30*($AG1203/100))))))))))</f>
        <v>98.605030589027649</v>
      </c>
      <c r="AI1203" s="262"/>
      <c r="AJ1203" s="262"/>
      <c r="AK1203" s="262"/>
      <c r="AL1203" s="263"/>
      <c r="AM1203" s="264"/>
      <c r="AN1203" s="263"/>
      <c r="AO1203" s="263"/>
      <c r="AP1203" s="265"/>
      <c r="AQ1203" s="266"/>
      <c r="AR1203" s="267"/>
      <c r="AS1203" s="263"/>
      <c r="AT1203" s="263"/>
      <c r="AU1203" s="263">
        <v>114</v>
      </c>
      <c r="AV1203" s="264"/>
      <c r="AW1203" s="263"/>
      <c r="AX1203" s="263"/>
      <c r="AY1203" s="263"/>
      <c r="AZ1203" s="263"/>
      <c r="BA1203" s="263"/>
      <c r="BB1203" s="263"/>
      <c r="BC1203" s="263"/>
      <c r="BD1203" s="264"/>
      <c r="BE1203" s="263"/>
      <c r="BF1203" s="263"/>
      <c r="BG1203" s="263"/>
      <c r="BH1203" s="263"/>
      <c r="BI1203" s="263"/>
      <c r="BJ1203" s="404">
        <f>altaz(J2000_Bas,$O1203,$M1203,DecLat,DecLong,2)</f>
        <v>247.33500704729664</v>
      </c>
      <c r="BK1203" s="378" t="s">
        <v>4732</v>
      </c>
      <c r="BL1203" s="379">
        <f>IF((2*G1203)/60&lt;0.2,0.2,(2*G1203)/60)</f>
        <v>0.2</v>
      </c>
      <c r="BM1203" s="380">
        <f>MOD((50000+AD1203-$B$3+(0/24)),1)</f>
        <v>0.94618348321091617</v>
      </c>
      <c r="BN1203" s="381" t="s">
        <v>8643</v>
      </c>
      <c r="BO1203" s="382">
        <v>1197</v>
      </c>
    </row>
    <row r="1204" spans="1:67" s="24" customFormat="1" ht="15" customHeight="1" x14ac:dyDescent="0.25">
      <c r="A1204" s="287" t="s">
        <v>1261</v>
      </c>
      <c r="B1204" s="241" t="str">
        <f>HYPERLINK(CONCATENATE($AT$3,BK1204,$AU$3),$AV$3)</f>
        <v>S</v>
      </c>
      <c r="C1204" s="242" t="str">
        <f>HYPERLINK(CONCATENATE($AT$4,BK1204,$AU$4,BL1204),$AV$4)</f>
        <v>A</v>
      </c>
      <c r="D1204" s="243" t="s">
        <v>5187</v>
      </c>
      <c r="E1204" s="244" t="s">
        <v>5181</v>
      </c>
      <c r="F1204" s="269" t="s">
        <v>4804</v>
      </c>
      <c r="G1204" s="273">
        <v>2</v>
      </c>
      <c r="H1204" s="283">
        <v>5500</v>
      </c>
      <c r="I1204" s="279">
        <v>3</v>
      </c>
      <c r="J1204" s="246">
        <v>2</v>
      </c>
      <c r="K1204" s="247" t="s">
        <v>6178</v>
      </c>
      <c r="L1204" s="248">
        <v>182148</v>
      </c>
      <c r="M1204" s="249">
        <f>15*(LEFT(TEXT($L1204,"000000"),2)+(MID(TEXT($L1204,"000000"),3,2)/60)+(RIGHT(TEXT($L1204,"000000"),2)/3600))</f>
        <v>275.45</v>
      </c>
      <c r="N1204" s="250">
        <v>641400</v>
      </c>
      <c r="O1204" s="251">
        <f>IF($N1204&gt;0,(LEFT(TEXT($N1204,"000000"),2)+(MID(TEXT($N1204,"000000"),3,2)/60)+(RIGHT(TEXT($N1204,"000000"),2)/3600)),-(MID(TEXT($N1204,"000000"),2,2)+(MID(TEXT($N1204,"000000"),4,2)/60)+(RIGHT(TEXT($N1204,"000000"),2)/3600)))</f>
        <v>64.233333333333334</v>
      </c>
      <c r="P1204" s="252" t="s">
        <v>34</v>
      </c>
      <c r="Q1204" s="253"/>
      <c r="R1204" s="277" t="s">
        <v>3293</v>
      </c>
      <c r="S1204" s="272" t="s">
        <v>3293</v>
      </c>
      <c r="T1204" s="273">
        <v>15</v>
      </c>
      <c r="U1204" s="274"/>
      <c r="V1204" s="280"/>
      <c r="W1204" s="244"/>
      <c r="X1204" s="244"/>
      <c r="Y1204" s="362"/>
      <c r="Z1204" s="257">
        <f>altaz(J2000_Bas,$O1204,$M1204,DecLat,DecLong,1)</f>
        <v>56.113490362741032</v>
      </c>
      <c r="AA1204" s="257">
        <f>altaz((J2000_Bas+(2*0.04167)),$O1204,$M1204,DecLat,DecLong,1)</f>
        <v>48.295736083337296</v>
      </c>
      <c r="AB1204" s="257">
        <f>altaz((J2000_Bas+(4*0.04167)),$O1204,$M1204,DecLat,DecLong,1)</f>
        <v>35.933842386073735</v>
      </c>
      <c r="AC1204" s="257">
        <f>altaz((J2000_Bas+(6*0.04167)),$O1204,$M1204,DecLat,DecLong,1)</f>
        <v>23.20158696872053</v>
      </c>
      <c r="AD1204" s="258">
        <f>1+ transit((J2000_Bas-1),$O1204,$M1204,DecLat,DecLong)/360 + (GMTOffset/24) + (IF(DST="Y", 1, 0)/24)</f>
        <v>1.758038773004708</v>
      </c>
      <c r="AE1204" s="259">
        <f>DATE(2001,9,21)+(M1204/360)*365 - (360*((DecLong/360)- (GMTOffset/24) ))</f>
        <v>37439.275694444441</v>
      </c>
      <c r="AF1204" s="260">
        <f>IF(DecLat&gt;0,IF((90 - (DecLat-O1204))&gt;90, (90 - (O1204-DecLat)), (90 - (DecLat-O1204))),IF((90 + (DecLat-O1204))&gt;90, (90 + (O1204-DecLat)), (90 + (DecLat-O1204))))</f>
        <v>56.766666666666666</v>
      </c>
      <c r="AG1204" s="257">
        <f>angularseperation(MoonRA,MoonDec,$M1204,$O1204)</f>
        <v>93.599415094573615</v>
      </c>
      <c r="AH1204" s="261">
        <f ca="1">MIN(100,IF($O$5&gt;80,0+30*($AG1204/100),IF($O$5&gt;70,0+50*($AG1204/100),IF($O$5&gt;60,5+50*($AG1204/100),IF($O$5&gt;50,10+60*($AG1204/100),IF($O$5&gt;40,15+70*($AG1204/100),IF($O$5&gt;30,20+70*($AG1204/100),IF($O$5&gt;20,40+55*($AG1204/100),(80+(20-$O$5)+30*($AG1204/100))))))))))</f>
        <v>100</v>
      </c>
      <c r="AI1204" s="263"/>
      <c r="AJ1204" s="263"/>
      <c r="AK1204" s="263"/>
      <c r="AL1204" s="263"/>
      <c r="AM1204" s="264"/>
      <c r="AN1204" s="263"/>
      <c r="AO1204" s="263"/>
      <c r="AP1204" s="265"/>
      <c r="AQ1204" s="265"/>
      <c r="AR1204" s="285"/>
      <c r="AS1204" s="263"/>
      <c r="AT1204" s="263"/>
      <c r="AU1204" s="263">
        <v>116</v>
      </c>
      <c r="AV1204" s="264"/>
      <c r="AW1204" s="263"/>
      <c r="AX1204" s="263"/>
      <c r="AY1204" s="263"/>
      <c r="AZ1204" s="263"/>
      <c r="BA1204" s="263"/>
      <c r="BB1204" s="263"/>
      <c r="BC1204" s="263"/>
      <c r="BD1204" s="264"/>
      <c r="BE1204" s="263"/>
      <c r="BF1204" s="263"/>
      <c r="BG1204" s="263"/>
      <c r="BH1204" s="263"/>
      <c r="BI1204" s="263"/>
      <c r="BJ1204" s="404">
        <f>altaz(J2000_Bas,$O1204,$M1204,DecLat,DecLong,2)</f>
        <v>351.79076431588339</v>
      </c>
      <c r="BK1204" s="378" t="s">
        <v>4733</v>
      </c>
      <c r="BL1204" s="379">
        <f>IF((2*G1204)/60&lt;0.2,0.2,(2*G1204)/60)</f>
        <v>0.2</v>
      </c>
      <c r="BM1204" s="380">
        <f>MOD((50000+AD1204-$B$3+(0/24)),1)</f>
        <v>0.97340570270898752</v>
      </c>
      <c r="BN1204" s="381"/>
      <c r="BO1204" s="382">
        <v>1198</v>
      </c>
    </row>
    <row r="1205" spans="1:67" s="24" customFormat="1" ht="15" customHeight="1" x14ac:dyDescent="0.25">
      <c r="A1205" s="288" t="s">
        <v>1262</v>
      </c>
      <c r="B1205" s="241" t="str">
        <f>HYPERLINK(CONCATENATE($AT$3,BK1205,$AU$3),$AV$3)</f>
        <v>S</v>
      </c>
      <c r="C1205" s="242" t="str">
        <f>HYPERLINK(CONCATENATE($AT$4,BK1205,$AU$4,BL1205),$AV$4)</f>
        <v>A</v>
      </c>
      <c r="D1205" s="243" t="s">
        <v>5187</v>
      </c>
      <c r="E1205" s="244" t="s">
        <v>5181</v>
      </c>
      <c r="F1205" s="269" t="s">
        <v>5737</v>
      </c>
      <c r="G1205" s="270">
        <v>0.8</v>
      </c>
      <c r="H1205" s="283">
        <v>10000</v>
      </c>
      <c r="I1205" s="279">
        <v>2.2000000000000002</v>
      </c>
      <c r="J1205" s="246">
        <v>3</v>
      </c>
      <c r="K1205" s="247" t="s">
        <v>4783</v>
      </c>
      <c r="L1205" s="248">
        <v>190336</v>
      </c>
      <c r="M1205" s="249">
        <f>15*(LEFT(TEXT($L1205,"000000"),2)+(MID(TEXT($L1205,"000000"),3,2)/60)+(RIGHT(TEXT($L1205,"000000"),2)/3600))</f>
        <v>285.90000000000003</v>
      </c>
      <c r="N1205" s="250">
        <v>191200</v>
      </c>
      <c r="O1205" s="251">
        <f>IF($N1205&gt;0,(LEFT(TEXT($N1205,"000000"),2)+(MID(TEXT($N1205,"000000"),3,2)/60)+(RIGHT(TEXT($N1205,"000000"),2)/3600)),-(MID(TEXT($N1205,"000000"),2,2)+(MID(TEXT($N1205,"000000"),4,2)/60)+(RIGHT(TEXT($N1205,"000000"),2)/3600)))</f>
        <v>19.2</v>
      </c>
      <c r="P1205" s="252" t="s">
        <v>139</v>
      </c>
      <c r="Q1205" s="253"/>
      <c r="R1205" s="277" t="s">
        <v>3293</v>
      </c>
      <c r="S1205" s="272" t="s">
        <v>3293</v>
      </c>
      <c r="T1205" s="273"/>
      <c r="U1205" s="274"/>
      <c r="V1205" s="280"/>
      <c r="W1205" s="244"/>
      <c r="X1205" s="244"/>
      <c r="Y1205" s="362"/>
      <c r="Z1205" s="257">
        <f>altaz(J2000_Bas,$O1205,$M1205,DecLat,DecLong,1)</f>
        <v>78.199636177647861</v>
      </c>
      <c r="AA1205" s="257">
        <f>altaz((J2000_Bas+(2*0.04167)),$O1205,$M1205,DecLat,DecLong,1)</f>
        <v>60.353127227551397</v>
      </c>
      <c r="AB1205" s="257">
        <f>altaz((J2000_Bas+(4*0.04167)),$O1205,$M1205,DecLat,DecLong,1)</f>
        <v>34.805614890844076</v>
      </c>
      <c r="AC1205" s="257">
        <f>altaz((J2000_Bas+(6*0.04167)),$O1205,$M1205,DecLat,DecLong,1)</f>
        <v>9.4592194832906262</v>
      </c>
      <c r="AD1205" s="258">
        <f>1+ transit((J2000_Bas-1),$O1205,$M1205,DecLat,DecLong)/360 + (GMTOffset/24) + (IF(DST="Y", 1, 0)/24)</f>
        <v>1.7870665478797081</v>
      </c>
      <c r="AE1205" s="259">
        <f>DATE(2001,9,21)+(M1205/360)*365 - (360*((DecLong/360)- (GMTOffset/24) ))</f>
        <v>37449.870833333334</v>
      </c>
      <c r="AF1205" s="260">
        <f>IF(DecLat&gt;0,IF((90 - (DecLat-O1205))&gt;90, (90 - (O1205-DecLat)), (90 - (DecLat-O1205))),IF((90 + (DecLat-O1205))&gt;90, (90 + (O1205-DecLat)), (90 + (DecLat-O1205))))</f>
        <v>78.2</v>
      </c>
      <c r="AG1205" s="257">
        <f>angularseperation(MoonRA,MoonDec,$M1205,$O1205)</f>
        <v>58.346537795483123</v>
      </c>
      <c r="AH1205" s="261">
        <f ca="1">MIN(100,IF($O$5&gt;80,0+30*($AG1205/100),IF($O$5&gt;70,0+50*($AG1205/100),IF($O$5&gt;60,5+50*($AG1205/100),IF($O$5&gt;50,10+60*($AG1205/100),IF($O$5&gt;40,15+70*($AG1205/100),IF($O$5&gt;30,20+70*($AG1205/100),IF($O$5&gt;20,40+55*($AG1205/100),(80+(20-$O$5)+30*($AG1205/100))))))))))</f>
        <v>100</v>
      </c>
      <c r="AI1205" s="263"/>
      <c r="AJ1205" s="263"/>
      <c r="AK1205" s="263"/>
      <c r="AL1205" s="263"/>
      <c r="AM1205" s="264"/>
      <c r="AN1205" s="263"/>
      <c r="AO1205" s="263"/>
      <c r="AP1205" s="265"/>
      <c r="AQ1205" s="265"/>
      <c r="AR1205" s="285"/>
      <c r="AS1205" s="263"/>
      <c r="AT1205" s="263"/>
      <c r="AU1205" s="263">
        <v>117</v>
      </c>
      <c r="AV1205" s="264"/>
      <c r="AW1205" s="263"/>
      <c r="AX1205" s="263"/>
      <c r="AY1205" s="263"/>
      <c r="AZ1205" s="263"/>
      <c r="BA1205" s="263"/>
      <c r="BB1205" s="263"/>
      <c r="BC1205" s="263"/>
      <c r="BD1205" s="264"/>
      <c r="BE1205" s="263"/>
      <c r="BF1205" s="263"/>
      <c r="BG1205" s="263"/>
      <c r="BH1205" s="263"/>
      <c r="BI1205" s="263"/>
      <c r="BJ1205" s="404">
        <f>altaz(J2000_Bas,$O1205,$M1205,DecLat,DecLong,2)</f>
        <v>180.47392888102442</v>
      </c>
      <c r="BK1205" s="378" t="s">
        <v>4734</v>
      </c>
      <c r="BL1205" s="379">
        <f>IF((2*G1205)/60&lt;0.2,0.2,(2*G1205)/60)</f>
        <v>0.2</v>
      </c>
      <c r="BM1205" s="380">
        <f>MOD((50000+AD1205-$B$3+(0/24)),1)</f>
        <v>2.4334775807801634E-3</v>
      </c>
      <c r="BN1205" s="381" t="s">
        <v>8665</v>
      </c>
      <c r="BO1205" s="382">
        <v>1199</v>
      </c>
    </row>
    <row r="1206" spans="1:67" s="24" customFormat="1" ht="15" customHeight="1" x14ac:dyDescent="0.25">
      <c r="A1206" s="288" t="s">
        <v>1263</v>
      </c>
      <c r="B1206" s="241" t="str">
        <f>HYPERLINK(CONCATENATE($AT$3,BK1206,$AU$3),$AV$3)</f>
        <v>S</v>
      </c>
      <c r="C1206" s="242" t="str">
        <f>HYPERLINK(CONCATENATE($AT$4,BK1206,$AU$4,BL1206),$AV$4)</f>
        <v>A</v>
      </c>
      <c r="D1206" s="243" t="s">
        <v>5187</v>
      </c>
      <c r="E1206" s="244" t="s">
        <v>5181</v>
      </c>
      <c r="F1206" s="269" t="s">
        <v>5738</v>
      </c>
      <c r="G1206" s="270">
        <v>0.7</v>
      </c>
      <c r="H1206" s="283">
        <v>14000</v>
      </c>
      <c r="I1206" s="279">
        <v>2.7</v>
      </c>
      <c r="J1206" s="246">
        <v>2</v>
      </c>
      <c r="K1206" s="247" t="s">
        <v>4784</v>
      </c>
      <c r="L1206" s="248">
        <v>233910</v>
      </c>
      <c r="M1206" s="249">
        <f>15*(LEFT(TEXT($L1206,"000000"),2)+(MID(TEXT($L1206,"000000"),3,2)/60)+(RIGHT(TEXT($L1206,"000000"),2)/3600))</f>
        <v>354.79166666666663</v>
      </c>
      <c r="N1206" s="250">
        <v>481231</v>
      </c>
      <c r="O1206" s="251">
        <f>IF($N1206&gt;0,(LEFT(TEXT($N1206,"000000"),2)+(MID(TEXT($N1206,"000000"),3,2)/60)+(RIGHT(TEXT($N1206,"000000"),2)/3600)),-(MID(TEXT($N1206,"000000"),2,2)+(MID(TEXT($N1206,"000000"),4,2)/60)+(RIGHT(TEXT($N1206,"000000"),2)/3600)))</f>
        <v>48.208611111111111</v>
      </c>
      <c r="P1206" s="252" t="s">
        <v>36</v>
      </c>
      <c r="Q1206" s="253"/>
      <c r="R1206" s="247" t="s">
        <v>3293</v>
      </c>
      <c r="S1206" s="272" t="s">
        <v>3293</v>
      </c>
      <c r="T1206" s="273">
        <v>16.5</v>
      </c>
      <c r="U1206" s="274"/>
      <c r="V1206" s="280"/>
      <c r="W1206" s="244"/>
      <c r="X1206" s="244"/>
      <c r="Y1206" s="362"/>
      <c r="Z1206" s="257">
        <f>altaz(J2000_Bas,$O1206,$M1206,DecLat,DecLong,1)</f>
        <v>36.204863465834187</v>
      </c>
      <c r="AA1206" s="257">
        <f>altaz((J2000_Bas+(2*0.04167)),$O1206,$M1206,DecLat,DecLong,1)</f>
        <v>56.076177153335102</v>
      </c>
      <c r="AB1206" s="257">
        <f>altaz((J2000_Bas+(4*0.04167)),$O1206,$M1206,DecLat,DecLong,1)</f>
        <v>71.582832952098087</v>
      </c>
      <c r="AC1206" s="257">
        <f>altaz((J2000_Bas+(6*0.04167)),$O1206,$M1206,DecLat,DecLong,1)</f>
        <v>66.293266768084379</v>
      </c>
      <c r="AD1206" s="258">
        <f>1+ transit((J2000_Bas-1),$O1206,$M1206,DecLat,DecLong)/360 + (GMTOffset/24) + (IF(DST="Y", 1, 0)/24)</f>
        <v>1.9784322694838747</v>
      </c>
      <c r="AE1206" s="259">
        <f>DATE(2001,9,21)+(M1206/360)*365 - (360*((DecLong/360)- (GMTOffset/24) ))</f>
        <v>37519.719328703701</v>
      </c>
      <c r="AF1206" s="260">
        <f>IF(DecLat&gt;0,IF((90 - (DecLat-O1206))&gt;90, (90 - (O1206-DecLat)), (90 - (DecLat-O1206))),IF((90 + (DecLat-O1206))&gt;90, (90 + (O1206-DecLat)), (90 + (DecLat-O1206))))</f>
        <v>72.791388888888889</v>
      </c>
      <c r="AG1206" s="257">
        <f>angularseperation(MoonRA,MoonDec,$M1206,$O1206)</f>
        <v>119.90205789127614</v>
      </c>
      <c r="AH1206" s="261">
        <f ca="1">MIN(100,IF($O$5&gt;80,0+30*($AG1206/100),IF($O$5&gt;70,0+50*($AG1206/100),IF($O$5&gt;60,5+50*($AG1206/100),IF($O$5&gt;50,10+60*($AG1206/100),IF($O$5&gt;40,15+70*($AG1206/100),IF($O$5&gt;30,20+70*($AG1206/100),IF($O$5&gt;20,40+55*($AG1206/100),(80+(20-$O$5)+30*($AG1206/100))))))))))</f>
        <v>100</v>
      </c>
      <c r="AI1206" s="262"/>
      <c r="AJ1206" s="262"/>
      <c r="AK1206" s="262"/>
      <c r="AL1206" s="263"/>
      <c r="AM1206" s="264"/>
      <c r="AN1206" s="263"/>
      <c r="AO1206" s="263"/>
      <c r="AP1206" s="265"/>
      <c r="AQ1206" s="266"/>
      <c r="AR1206" s="267"/>
      <c r="AS1206" s="263"/>
      <c r="AT1206" s="263"/>
      <c r="AU1206" s="263">
        <v>120</v>
      </c>
      <c r="AV1206" s="264"/>
      <c r="AW1206" s="263"/>
      <c r="AX1206" s="263"/>
      <c r="AY1206" s="263"/>
      <c r="AZ1206" s="263"/>
      <c r="BA1206" s="263"/>
      <c r="BB1206" s="263"/>
      <c r="BC1206" s="263"/>
      <c r="BD1206" s="264"/>
      <c r="BE1206" s="263"/>
      <c r="BF1206" s="263"/>
      <c r="BG1206" s="263"/>
      <c r="BH1206" s="263"/>
      <c r="BI1206" s="263"/>
      <c r="BJ1206" s="404">
        <f>altaz(J2000_Bas,$O1206,$M1206,DecLat,DecLong,2)</f>
        <v>50.348622409880846</v>
      </c>
      <c r="BK1206" s="378" t="s">
        <v>4735</v>
      </c>
      <c r="BL1206" s="379">
        <f>IF((2*G1206)/60&lt;0.2,0.2,(2*G1206)/60)</f>
        <v>0.2</v>
      </c>
      <c r="BM1206" s="380">
        <f>MOD((50000+AD1206-$B$3+(0/24)),1)</f>
        <v>0.19379919918719679</v>
      </c>
      <c r="BN1206" s="381" t="s">
        <v>8665</v>
      </c>
      <c r="BO1206" s="382">
        <v>1200</v>
      </c>
    </row>
    <row r="1207" spans="1:67" s="24" customFormat="1" ht="15" customHeight="1" x14ac:dyDescent="0.25">
      <c r="A1207" s="288" t="s">
        <v>3244</v>
      </c>
      <c r="B1207" s="241" t="str">
        <f>HYPERLINK(CONCATENATE($AT$3,BK1207,$AU$3),$AV$3)</f>
        <v>S</v>
      </c>
      <c r="C1207" s="242" t="str">
        <f>HYPERLINK(CONCATENATE($AT$4,BK1207,$AU$4,BL1207),$AV$4)</f>
        <v>A</v>
      </c>
      <c r="D1207" s="243" t="s">
        <v>5187</v>
      </c>
      <c r="E1207" s="244" t="s">
        <v>5181</v>
      </c>
      <c r="F1207" s="269" t="s">
        <v>5218</v>
      </c>
      <c r="G1207" s="273">
        <v>3</v>
      </c>
      <c r="H1207" s="283">
        <v>3000</v>
      </c>
      <c r="I1207" s="279">
        <v>2.8</v>
      </c>
      <c r="J1207" s="246">
        <v>3</v>
      </c>
      <c r="K1207" s="247" t="s">
        <v>4785</v>
      </c>
      <c r="L1207" s="248">
        <v>112642</v>
      </c>
      <c r="M1207" s="249">
        <f>15*(LEFT(TEXT($L1207,"000000"),2)+(MID(TEXT($L1207,"000000"),3,2)/60)+(RIGHT(TEXT($L1207,"000000"),2)/3600))</f>
        <v>171.67500000000001</v>
      </c>
      <c r="N1207" s="250">
        <v>-342200</v>
      </c>
      <c r="O1207" s="251">
        <f>IF($N1207&gt;0,(LEFT(TEXT($N1207,"000000"),2)+(MID(TEXT($N1207,"000000"),3,2)/60)+(RIGHT(TEXT($N1207,"000000"),2)/3600)),-(MID(TEXT($N1207,"000000"),2,2)+(MID(TEXT($N1207,"000000"),4,2)/60)+(RIGHT(TEXT($N1207,"000000"),2)/3600)))</f>
        <v>-34.366666666666667</v>
      </c>
      <c r="P1207" s="252" t="s">
        <v>103</v>
      </c>
      <c r="Q1207" s="253"/>
      <c r="R1207" s="247" t="s">
        <v>3293</v>
      </c>
      <c r="S1207" s="272" t="s">
        <v>3293</v>
      </c>
      <c r="T1207" s="273">
        <v>12.6</v>
      </c>
      <c r="U1207" s="274"/>
      <c r="V1207" s="280"/>
      <c r="W1207" s="244"/>
      <c r="X1207" s="244"/>
      <c r="Y1207" s="362"/>
      <c r="Z1207" s="257">
        <f>altaz(J2000_Bas,$O1207,$M1207,DecLat,DecLong,1)</f>
        <v>-35.605907387949813</v>
      </c>
      <c r="AA1207" s="257">
        <f>altaz((J2000_Bas+(2*0.04167)),$O1207,$M1207,DecLat,DecLong,1)</f>
        <v>-60.011138858149131</v>
      </c>
      <c r="AB1207" s="257">
        <f>altaz((J2000_Bas+(4*0.04167)),$O1207,$M1207,DecLat,DecLong,1)</f>
        <v>-84.275431296189083</v>
      </c>
      <c r="AC1207" s="257">
        <f>altaz((J2000_Bas+(6*0.04167)),$O1207,$M1207,DecLat,DecLong,1)</f>
        <v>-69.091447222150791</v>
      </c>
      <c r="AD1207" s="258">
        <f>1+ transit((J2000_Bas-1),$O1207,$M1207,DecLat,DecLong)/360 + (GMTOffset/24) + (IF(DST="Y", 1, 0)/24)</f>
        <v>1.469774912942208</v>
      </c>
      <c r="AE1207" s="259">
        <f>DATE(2001,9,21)+(M1207/360)*365 - (360*((DecLong/360)- (GMTOffset/24) ))</f>
        <v>37334.059374999997</v>
      </c>
      <c r="AF1207" s="260">
        <f>IF(DecLat&gt;0,IF((90 - (DecLat-O1207))&gt;90, (90 - (O1207-DecLat)), (90 - (DecLat-O1207))),IF((90 + (DecLat-O1207))&gt;90, (90 + (O1207-DecLat)), (90 + (DecLat-O1207))))</f>
        <v>24.633333333333326</v>
      </c>
      <c r="AG1207" s="257">
        <f>angularseperation(MoonRA,MoonDec,$M1207,$O1207)</f>
        <v>65.465687686736089</v>
      </c>
      <c r="AH1207" s="261">
        <f ca="1">MIN(100,IF($O$5&gt;80,0+30*($AG1207/100),IF($O$5&gt;70,0+50*($AG1207/100),IF($O$5&gt;60,5+50*($AG1207/100),IF($O$5&gt;50,10+60*($AG1207/100),IF($O$5&gt;40,15+70*($AG1207/100),IF($O$5&gt;30,20+70*($AG1207/100),IF($O$5&gt;20,40+55*($AG1207/100),(80+(20-$O$5)+30*($AG1207/100))))))))))</f>
        <v>100</v>
      </c>
      <c r="AI1207" s="262"/>
      <c r="AJ1207" s="262"/>
      <c r="AK1207" s="262"/>
      <c r="AL1207" s="263"/>
      <c r="AM1207" s="264"/>
      <c r="AN1207" s="263"/>
      <c r="AO1207" s="263"/>
      <c r="AP1207" s="265"/>
      <c r="AQ1207" s="266"/>
      <c r="AR1207" s="267"/>
      <c r="AS1207" s="263"/>
      <c r="AT1207" s="263"/>
      <c r="AU1207" s="263">
        <v>122</v>
      </c>
      <c r="AV1207" s="264"/>
      <c r="AW1207" s="263"/>
      <c r="AX1207" s="263"/>
      <c r="AY1207" s="263"/>
      <c r="AZ1207" s="263"/>
      <c r="BA1207" s="263"/>
      <c r="BB1207" s="263"/>
      <c r="BC1207" s="263"/>
      <c r="BD1207" s="264"/>
      <c r="BE1207" s="263"/>
      <c r="BF1207" s="263"/>
      <c r="BG1207" s="263"/>
      <c r="BH1207" s="263"/>
      <c r="BI1207" s="263"/>
      <c r="BJ1207" s="404">
        <f>altaz(J2000_Bas,$O1207,$M1207,DecLat,DecLong,2)</f>
        <v>247.68394389193503</v>
      </c>
      <c r="BK1207" s="378" t="s">
        <v>4736</v>
      </c>
      <c r="BL1207" s="379">
        <f>IF((2*G1207)/60&lt;0.2,0.2,(2*G1207)/60)</f>
        <v>0.2</v>
      </c>
      <c r="BM1207" s="380">
        <f>MOD((50000+AD1207-$B$3+(0/24)),1)</f>
        <v>0.6851418426449527</v>
      </c>
      <c r="BN1207" s="381" t="s">
        <v>9246</v>
      </c>
      <c r="BO1207" s="382">
        <v>1201</v>
      </c>
    </row>
    <row r="1208" spans="1:67" s="24" customFormat="1" ht="15" customHeight="1" x14ac:dyDescent="0.25">
      <c r="A1208" s="288" t="s">
        <v>1264</v>
      </c>
      <c r="B1208" s="241" t="str">
        <f>HYPERLINK(CONCATENATE($AT$3,BK1208,$AU$3),$AV$3)</f>
        <v>S</v>
      </c>
      <c r="C1208" s="242" t="str">
        <f>HYPERLINK(CONCATENATE($AT$4,BK1208,$AU$4,BL1208),$AV$4)</f>
        <v>A</v>
      </c>
      <c r="D1208" s="243" t="s">
        <v>5187</v>
      </c>
      <c r="E1208" s="244" t="s">
        <v>5181</v>
      </c>
      <c r="F1208" s="269" t="s">
        <v>4794</v>
      </c>
      <c r="G1208" s="273">
        <v>1</v>
      </c>
      <c r="H1208" s="283">
        <v>6600</v>
      </c>
      <c r="I1208" s="279">
        <v>2</v>
      </c>
      <c r="J1208" s="246">
        <v>1</v>
      </c>
      <c r="K1208" s="247" t="s">
        <v>4787</v>
      </c>
      <c r="L1208" s="248">
        <v>103430</v>
      </c>
      <c r="M1208" s="249">
        <f>15*(LEFT(TEXT($L1208,"000000"),2)+(MID(TEXT($L1208,"000000"),3,2)/60)+(RIGHT(TEXT($L1208,"000000"),2)/3600))</f>
        <v>158.625</v>
      </c>
      <c r="N1208" s="250">
        <v>-290700</v>
      </c>
      <c r="O1208" s="251">
        <f>IF($N1208&gt;0,(LEFT(TEXT($N1208,"000000"),2)+(MID(TEXT($N1208,"000000"),3,2)/60)+(RIGHT(TEXT($N1208,"000000"),2)/3600)),-(MID(TEXT($N1208,"000000"),2,2)+(MID(TEXT($N1208,"000000"),4,2)/60)+(RIGHT(TEXT($N1208,"000000"),2)/3600)))</f>
        <v>-29.116666666666667</v>
      </c>
      <c r="P1208" s="252" t="s">
        <v>103</v>
      </c>
      <c r="Q1208" s="253"/>
      <c r="R1208" s="277" t="s">
        <v>3293</v>
      </c>
      <c r="S1208" s="272" t="s">
        <v>3293</v>
      </c>
      <c r="T1208" s="273">
        <v>16</v>
      </c>
      <c r="U1208" s="274"/>
      <c r="V1208" s="280"/>
      <c r="W1208" s="244"/>
      <c r="X1208" s="244"/>
      <c r="Y1208" s="362"/>
      <c r="Z1208" s="257">
        <f>altaz(J2000_Bas,$O1208,$M1208,DecLat,DecLong,1)</f>
        <v>-44.846657095796921</v>
      </c>
      <c r="AA1208" s="257">
        <f>altaz((J2000_Bas+(2*0.04167)),$O1208,$M1208,DecLat,DecLong,1)</f>
        <v>-70.435963587892346</v>
      </c>
      <c r="AB1208" s="257">
        <f>altaz((J2000_Bas+(4*0.04167)),$O1208,$M1208,DecLat,DecLong,1)</f>
        <v>-83.203811397472236</v>
      </c>
      <c r="AC1208" s="257">
        <f>altaz((J2000_Bas+(6*0.04167)),$O1208,$M1208,DecLat,DecLong,1)</f>
        <v>-57.529400156627503</v>
      </c>
      <c r="AD1208" s="258">
        <f>1+ transit((J2000_Bas-1),$O1208,$M1208,DecLat,DecLong)/360 + (GMTOffset/24) + (IF(DST="Y", 1, 0)/24)</f>
        <v>1.4335249165672079</v>
      </c>
      <c r="AE1208" s="259">
        <f>DATE(2001,9,21)+(M1208/360)*365 - (360*((DecLong/360)- (GMTOffset/24) ))</f>
        <v>37320.828125</v>
      </c>
      <c r="AF1208" s="260">
        <f>IF(DecLat&gt;0,IF((90 - (DecLat-O1208))&gt;90, (90 - (O1208-DecLat)), (90 - (DecLat-O1208))),IF((90 + (DecLat-O1208))&gt;90, (90 + (O1208-DecLat)), (90 + (DecLat-O1208))))</f>
        <v>29.883333333333333</v>
      </c>
      <c r="AG1208" s="257">
        <f>angularseperation(MoonRA,MoonDec,$M1208,$O1208)</f>
        <v>77.691913039335404</v>
      </c>
      <c r="AH1208" s="261">
        <f ca="1">MIN(100,IF($O$5&gt;80,0+30*($AG1208/100),IF($O$5&gt;70,0+50*($AG1208/100),IF($O$5&gt;60,5+50*($AG1208/100),IF($O$5&gt;50,10+60*($AG1208/100),IF($O$5&gt;40,15+70*($AG1208/100),IF($O$5&gt;30,20+70*($AG1208/100),IF($O$5&gt;20,40+55*($AG1208/100),(80+(20-$O$5)+30*($AG1208/100))))))))))</f>
        <v>100</v>
      </c>
      <c r="AI1208" s="263"/>
      <c r="AJ1208" s="263"/>
      <c r="AK1208" s="263"/>
      <c r="AL1208" s="263"/>
      <c r="AM1208" s="264"/>
      <c r="AN1208" s="263"/>
      <c r="AO1208" s="263"/>
      <c r="AP1208" s="265"/>
      <c r="AQ1208" s="265"/>
      <c r="AR1208" s="285"/>
      <c r="AS1208" s="263"/>
      <c r="AT1208" s="263"/>
      <c r="AU1208" s="263">
        <v>128</v>
      </c>
      <c r="AV1208" s="264"/>
      <c r="AW1208" s="263"/>
      <c r="AX1208" s="263"/>
      <c r="AY1208" s="263"/>
      <c r="AZ1208" s="263"/>
      <c r="BA1208" s="263"/>
      <c r="BB1208" s="263"/>
      <c r="BC1208" s="263"/>
      <c r="BD1208" s="264"/>
      <c r="BE1208" s="263"/>
      <c r="BF1208" s="263"/>
      <c r="BG1208" s="263"/>
      <c r="BH1208" s="263"/>
      <c r="BI1208" s="263"/>
      <c r="BJ1208" s="404">
        <f>altaz(J2000_Bas,$O1208,$M1208,DecLat,DecLong,2)</f>
        <v>258.28662389470162</v>
      </c>
      <c r="BK1208" s="378" t="s">
        <v>4737</v>
      </c>
      <c r="BL1208" s="379">
        <f>IF((2*G1208)/60&lt;0.2,0.2,(2*G1208)/60)</f>
        <v>0.2</v>
      </c>
      <c r="BM1208" s="380">
        <f>MOD((50000+AD1208-$B$3+(0/24)),1)</f>
        <v>0.64889184627099894</v>
      </c>
      <c r="BN1208" s="381"/>
      <c r="BO1208" s="382">
        <v>1202</v>
      </c>
    </row>
    <row r="1209" spans="1:67" s="24" customFormat="1" ht="15" customHeight="1" x14ac:dyDescent="0.25">
      <c r="A1209" s="288" t="s">
        <v>1265</v>
      </c>
      <c r="B1209" s="241" t="str">
        <f>HYPERLINK(CONCATENATE($AT$3,BK1209,$AU$3),$AV$3)</f>
        <v>S</v>
      </c>
      <c r="C1209" s="242" t="str">
        <f>HYPERLINK(CONCATENATE($AT$4,BK1209,$AU$4,BL1209),$AV$4)</f>
        <v>A</v>
      </c>
      <c r="D1209" s="243" t="s">
        <v>5187</v>
      </c>
      <c r="E1209" s="244" t="s">
        <v>5181</v>
      </c>
      <c r="F1209" s="269" t="s">
        <v>5754</v>
      </c>
      <c r="G1209" s="273">
        <v>3</v>
      </c>
      <c r="H1209" s="283">
        <v>3500</v>
      </c>
      <c r="I1209" s="279">
        <v>3</v>
      </c>
      <c r="J1209" s="246">
        <v>2</v>
      </c>
      <c r="K1209" s="247" t="s">
        <v>6180</v>
      </c>
      <c r="L1209" s="248">
        <v>50716</v>
      </c>
      <c r="M1209" s="249">
        <f>15*(LEFT(TEXT($L1209,"000000"),2)+(MID(TEXT($L1209,"000000"),3,2)/60)+(RIGHT(TEXT($L1209,"000000"),2)/3600))</f>
        <v>76.816666666666663</v>
      </c>
      <c r="N1209" s="250">
        <v>304800</v>
      </c>
      <c r="O1209" s="251">
        <f>IF($N1209&gt;0,(LEFT(TEXT($N1209,"000000"),2)+(MID(TEXT($N1209,"000000"),3,2)/60)+(RIGHT(TEXT($N1209,"000000"),2)/3600)),-(MID(TEXT($N1209,"000000"),2,2)+(MID(TEXT($N1209,"000000"),4,2)/60)+(RIGHT(TEXT($N1209,"000000"),2)/3600)))</f>
        <v>30.8</v>
      </c>
      <c r="P1209" s="252" t="s">
        <v>62</v>
      </c>
      <c r="Q1209" s="253"/>
      <c r="R1209" s="247" t="s">
        <v>3293</v>
      </c>
      <c r="S1209" s="272" t="s">
        <v>3293</v>
      </c>
      <c r="T1209" s="273"/>
      <c r="U1209" s="274"/>
      <c r="V1209" s="280"/>
      <c r="W1209" s="244"/>
      <c r="X1209" s="244"/>
      <c r="Y1209" s="362"/>
      <c r="Z1209" s="257">
        <f>altaz(J2000_Bas,$O1209,$M1209,DecLat,DecLong,1)</f>
        <v>-22.276385657987486</v>
      </c>
      <c r="AA1209" s="257">
        <f>altaz((J2000_Bas+(2*0.04167)),$O1209,$M1209,DecLat,DecLong,1)</f>
        <v>-6.4596180315243519</v>
      </c>
      <c r="AB1209" s="257">
        <f>altaz((J2000_Bas+(4*0.04167)),$O1209,$M1209,DecLat,DecLong,1)</f>
        <v>14.799295523923744</v>
      </c>
      <c r="AC1209" s="257">
        <f>altaz((J2000_Bas+(6*0.04167)),$O1209,$M1209,DecLat,DecLong,1)</f>
        <v>38.726502802830261</v>
      </c>
      <c r="AD1209" s="258">
        <f>1+ transit((J2000_Bas-1),$O1209,$M1209,DecLat,DecLong)/360 + (GMTOffset/24) + (IF(DST="Y", 1, 0)/24)</f>
        <v>1.2062795689213746</v>
      </c>
      <c r="AE1209" s="259">
        <f>DATE(2001,9,21)+(M1209/360)*365 - (360*((DecLong/360)- (GMTOffset/24) ))</f>
        <v>37237.883564814816</v>
      </c>
      <c r="AF1209" s="260">
        <f>IF(DecLat&gt;0,IF((90 - (DecLat-O1209))&gt;90, (90 - (O1209-DecLat)), (90 - (DecLat-O1209))),IF((90 + (DecLat-O1209))&gt;90, (90 + (O1209-DecLat)), (90 + (DecLat-O1209))))</f>
        <v>89.8</v>
      </c>
      <c r="AG1209" s="257">
        <f>angularseperation(MoonRA,MoonDec,$M1209,$O1209)</f>
        <v>172.40371051077216</v>
      </c>
      <c r="AH1209" s="261">
        <f ca="1">MIN(100,IF($O$5&gt;80,0+30*($AG1209/100),IF($O$5&gt;70,0+50*($AG1209/100),IF($O$5&gt;60,5+50*($AG1209/100),IF($O$5&gt;50,10+60*($AG1209/100),IF($O$5&gt;40,15+70*($AG1209/100),IF($O$5&gt;30,20+70*($AG1209/100),IF($O$5&gt;20,40+55*($AG1209/100),(80+(20-$O$5)+30*($AG1209/100))))))))))</f>
        <v>100</v>
      </c>
      <c r="AI1209" s="262"/>
      <c r="AJ1209" s="262"/>
      <c r="AK1209" s="262"/>
      <c r="AL1209" s="263"/>
      <c r="AM1209" s="264"/>
      <c r="AN1209" s="263"/>
      <c r="AO1209" s="263"/>
      <c r="AP1209" s="265"/>
      <c r="AQ1209" s="266"/>
      <c r="AR1209" s="267"/>
      <c r="AS1209" s="263"/>
      <c r="AT1209" s="263"/>
      <c r="AU1209" s="263">
        <v>201</v>
      </c>
      <c r="AV1209" s="264"/>
      <c r="AW1209" s="263"/>
      <c r="AX1209" s="263"/>
      <c r="AY1209" s="263"/>
      <c r="AZ1209" s="263"/>
      <c r="BA1209" s="263"/>
      <c r="BB1209" s="263"/>
      <c r="BC1209" s="263"/>
      <c r="BD1209" s="264"/>
      <c r="BE1209" s="263"/>
      <c r="BF1209" s="263"/>
      <c r="BG1209" s="263"/>
      <c r="BH1209" s="263"/>
      <c r="BI1209" s="263"/>
      <c r="BJ1209" s="404">
        <f>altaz(J2000_Bas,$O1209,$M1209,DecLat,DecLong,2)</f>
        <v>26.913916347932883</v>
      </c>
      <c r="BK1209" s="378" t="s">
        <v>4739</v>
      </c>
      <c r="BL1209" s="379">
        <f>IF((2*G1209)/60&lt;0.2,0.2,(2*G1209)/60)</f>
        <v>0.2</v>
      </c>
      <c r="BM1209" s="380">
        <f>MOD((50000+AD1209-$B$3+(0/24)),1)</f>
        <v>0.42164649862388615</v>
      </c>
      <c r="BN1209" s="381"/>
      <c r="BO1209" s="382">
        <v>1203</v>
      </c>
    </row>
    <row r="1210" spans="1:67" s="24" customFormat="1" ht="15" customHeight="1" x14ac:dyDescent="0.25">
      <c r="A1210" s="288" t="s">
        <v>1266</v>
      </c>
      <c r="B1210" s="241" t="str">
        <f>HYPERLINK(CONCATENATE($AT$3,BK1210,$AU$3),$AV$3)</f>
        <v>S</v>
      </c>
      <c r="C1210" s="242" t="str">
        <f>HYPERLINK(CONCATENATE($AT$4,BK1210,$AU$4,BL1210),$AV$4)</f>
        <v>A</v>
      </c>
      <c r="D1210" s="243" t="s">
        <v>5187</v>
      </c>
      <c r="E1210" s="244" t="s">
        <v>5181</v>
      </c>
      <c r="F1210" s="293" t="s">
        <v>5731</v>
      </c>
      <c r="G1210" s="273">
        <v>4</v>
      </c>
      <c r="H1210" s="283">
        <v>2700</v>
      </c>
      <c r="I1210" s="279">
        <v>3</v>
      </c>
      <c r="J1210" s="246">
        <v>2</v>
      </c>
      <c r="K1210" s="247" t="s">
        <v>6181</v>
      </c>
      <c r="L1210" s="248">
        <v>65230</v>
      </c>
      <c r="M1210" s="249">
        <f>15*(LEFT(TEXT($L1210,"000000"),2)+(MID(TEXT($L1210,"000000"),3,2)/60)+(RIGHT(TEXT($L1210,"000000"),2)/3600))</f>
        <v>103.12500000000001</v>
      </c>
      <c r="N1210" s="250">
        <v>95748</v>
      </c>
      <c r="O1210" s="251">
        <f>IF($N1210&gt;0,(LEFT(TEXT($N1210,"000000"),2)+(MID(TEXT($N1210,"000000"),3,2)/60)+(RIGHT(TEXT($N1210,"000000"),2)/3600)),-(MID(TEXT($N1210,"000000"),2,2)+(MID(TEXT($N1210,"000000"),4,2)/60)+(RIGHT(TEXT($N1210,"000000"),2)/3600)))</f>
        <v>9.9633333333333329</v>
      </c>
      <c r="P1210" s="252" t="s">
        <v>47</v>
      </c>
      <c r="Q1210" s="253"/>
      <c r="R1210" s="277" t="s">
        <v>3293</v>
      </c>
      <c r="S1210" s="272" t="s">
        <v>3293</v>
      </c>
      <c r="T1210" s="273">
        <v>14.3</v>
      </c>
      <c r="U1210" s="274"/>
      <c r="V1210" s="280"/>
      <c r="W1210" s="244"/>
      <c r="X1210" s="244"/>
      <c r="Y1210" s="362"/>
      <c r="Z1210" s="257">
        <f>altaz(J2000_Bas,$O1210,$M1210,DecLat,DecLong,1)</f>
        <v>-48.943713830838391</v>
      </c>
      <c r="AA1210" s="257">
        <f>altaz((J2000_Bas+(2*0.04167)),$O1210,$M1210,DecLat,DecLong,1)</f>
        <v>-38.260067580996513</v>
      </c>
      <c r="AB1210" s="257">
        <f>altaz((J2000_Bas+(4*0.04167)),$O1210,$M1210,DecLat,DecLong,1)</f>
        <v>-17.070773172458928</v>
      </c>
      <c r="AC1210" s="257">
        <f>altaz((J2000_Bas+(6*0.04167)),$O1210,$M1210,DecLat,DecLong,1)</f>
        <v>7.77170125965345</v>
      </c>
      <c r="AD1210" s="258">
        <f>1+ transit((J2000_Bas-1),$O1210,$M1210,DecLat,DecLong)/360 + (GMTOffset/24) + (IF(DST="Y", 1, 0)/24)</f>
        <v>1.2793582653172082</v>
      </c>
      <c r="AE1210" s="259">
        <f>DATE(2001,9,21)+(M1210/360)*365 - (360*((DecLong/360)- (GMTOffset/24) ))</f>
        <v>37264.557291666664</v>
      </c>
      <c r="AF1210" s="260">
        <f>IF(DecLat&gt;0,IF((90 - (DecLat-O1210))&gt;90, (90 - (O1210-DecLat)), (90 - (DecLat-O1210))),IF((90 + (DecLat-O1210))&gt;90, (90 + (O1210-DecLat)), (90 + (DecLat-O1210))))</f>
        <v>68.963333333333338</v>
      </c>
      <c r="AG1210" s="257">
        <f>angularseperation(MoonRA,MoonDec,$M1210,$O1210)</f>
        <v>143.78120457025435</v>
      </c>
      <c r="AH1210" s="261">
        <f ca="1">MIN(100,IF($O$5&gt;80,0+30*($AG1210/100),IF($O$5&gt;70,0+50*($AG1210/100),IF($O$5&gt;60,5+50*($AG1210/100),IF($O$5&gt;50,10+60*($AG1210/100),IF($O$5&gt;40,15+70*($AG1210/100),IF($O$5&gt;30,20+70*($AG1210/100),IF($O$5&gt;20,40+55*($AG1210/100),(80+(20-$O$5)+30*($AG1210/100))))))))))</f>
        <v>100</v>
      </c>
      <c r="AI1210" s="263"/>
      <c r="AJ1210" s="263"/>
      <c r="AK1210" s="263"/>
      <c r="AL1210" s="263"/>
      <c r="AM1210" s="264"/>
      <c r="AN1210" s="263"/>
      <c r="AO1210" s="263"/>
      <c r="AP1210" s="265"/>
      <c r="AQ1210" s="265"/>
      <c r="AR1210" s="285"/>
      <c r="AS1210" s="263"/>
      <c r="AT1210" s="263"/>
      <c r="AU1210" s="263">
        <v>202</v>
      </c>
      <c r="AV1210" s="264"/>
      <c r="AW1210" s="263"/>
      <c r="AX1210" s="263"/>
      <c r="AY1210" s="263"/>
      <c r="AZ1210" s="263"/>
      <c r="BA1210" s="263"/>
      <c r="BB1210" s="263"/>
      <c r="BC1210" s="263"/>
      <c r="BD1210" s="264"/>
      <c r="BE1210" s="263"/>
      <c r="BF1210" s="263"/>
      <c r="BG1210" s="263"/>
      <c r="BH1210" s="263"/>
      <c r="BI1210" s="263"/>
      <c r="BJ1210" s="404">
        <f>altaz(J2000_Bas,$O1210,$M1210,DecLat,DecLong,2)</f>
        <v>4.3174779556645042</v>
      </c>
      <c r="BK1210" s="378" t="s">
        <v>4740</v>
      </c>
      <c r="BL1210" s="379">
        <f>IF((2*G1210)/60&lt;0.2,0.2,(2*G1210)/60)</f>
        <v>0.2</v>
      </c>
      <c r="BM1210" s="380">
        <f>MOD((50000+AD1210-$B$3+(0/24)),1)</f>
        <v>0.49472519502160139</v>
      </c>
      <c r="BN1210" s="381"/>
      <c r="BO1210" s="382">
        <v>1204</v>
      </c>
    </row>
    <row r="1211" spans="1:67" s="24" customFormat="1" ht="15" customHeight="1" x14ac:dyDescent="0.25">
      <c r="A1211" s="288" t="s">
        <v>1267</v>
      </c>
      <c r="B1211" s="241" t="str">
        <f>HYPERLINK(CONCATENATE($AT$3,BK1211,$AU$3),$AV$3)</f>
        <v>S</v>
      </c>
      <c r="C1211" s="242" t="str">
        <f>HYPERLINK(CONCATENATE($AT$4,BK1211,$AU$4,BL1211),$AV$4)</f>
        <v>A</v>
      </c>
      <c r="D1211" s="243" t="s">
        <v>5187</v>
      </c>
      <c r="E1211" s="244" t="s">
        <v>5186</v>
      </c>
      <c r="F1211" s="269"/>
      <c r="G1211" s="273">
        <v>2</v>
      </c>
      <c r="H1211" s="283">
        <v>2800</v>
      </c>
      <c r="I1211" s="279">
        <v>1.8</v>
      </c>
      <c r="J1211" s="246">
        <v>0</v>
      </c>
      <c r="K1211" s="247" t="s">
        <v>4788</v>
      </c>
      <c r="L1211" s="248">
        <v>70700</v>
      </c>
      <c r="M1211" s="249">
        <f>15*(LEFT(TEXT($L1211,"000000"),2)+(MID(TEXT($L1211,"000000"),3,2)/60)+(RIGHT(TEXT($L1211,"000000"),2)/3600))</f>
        <v>106.75</v>
      </c>
      <c r="N1211" s="250">
        <v>-220200</v>
      </c>
      <c r="O1211" s="251">
        <f>IF($N1211&gt;0,(LEFT(TEXT($N1211,"000000"),2)+(MID(TEXT($N1211,"000000"),3,2)/60)+(RIGHT(TEXT($N1211,"000000"),2)/3600)),-(MID(TEXT($N1211,"000000"),2,2)+(MID(TEXT($N1211,"000000"),4,2)/60)+(RIGHT(TEXT($N1211,"000000"),2)/3600)))</f>
        <v>-22.033333333333335</v>
      </c>
      <c r="P1211" s="252" t="s">
        <v>80</v>
      </c>
      <c r="Q1211" s="253"/>
      <c r="R1211" s="247" t="s">
        <v>3293</v>
      </c>
      <c r="S1211" s="272" t="s">
        <v>3293</v>
      </c>
      <c r="T1211" s="273">
        <v>15</v>
      </c>
      <c r="U1211" s="274"/>
      <c r="V1211" s="280"/>
      <c r="W1211" s="244"/>
      <c r="X1211" s="244"/>
      <c r="Y1211" s="362"/>
      <c r="Z1211" s="257">
        <f>altaz(J2000_Bas,$O1211,$M1211,DecLat,DecLong,1)</f>
        <v>-81.008518260342171</v>
      </c>
      <c r="AA1211" s="257">
        <f>altaz((J2000_Bas+(2*0.04167)),$O1211,$M1211,DecLat,DecLong,1)</f>
        <v>-62.359704292832149</v>
      </c>
      <c r="AB1211" s="257">
        <f>altaz((J2000_Bas+(4*0.04167)),$O1211,$M1211,DecLat,DecLong,1)</f>
        <v>-36.68545399567121</v>
      </c>
      <c r="AC1211" s="257">
        <f>altaz((J2000_Bas+(6*0.04167)),$O1211,$M1211,DecLat,DecLong,1)</f>
        <v>-11.540552695380384</v>
      </c>
      <c r="AD1211" s="258">
        <f>1+ transit((J2000_Bas-1),$O1211,$M1211,DecLat,DecLong)/360 + (GMTOffset/24) + (IF(DST="Y", 1, 0)/24)</f>
        <v>1.2894277087547079</v>
      </c>
      <c r="AE1211" s="259">
        <f>DATE(2001,9,21)+(M1211/360)*365 - (360*((DecLong/360)- (GMTOffset/24) ))</f>
        <v>37268.232638888891</v>
      </c>
      <c r="AF1211" s="260">
        <f>IF(DecLat&gt;0,IF((90 - (DecLat-O1211))&gt;90, (90 - (O1211-DecLat)), (90 - (DecLat-O1211))),IF((90 + (DecLat-O1211))&gt;90, (90 + (O1211-DecLat)), (90 + (DecLat-O1211))))</f>
        <v>36.966666666666669</v>
      </c>
      <c r="AG1211" s="257">
        <f>angularseperation(MoonRA,MoonDec,$M1211,$O1211)</f>
        <v>118.93987755934772</v>
      </c>
      <c r="AH1211" s="261">
        <f ca="1">MIN(100,IF($O$5&gt;80,0+30*($AG1211/100),IF($O$5&gt;70,0+50*($AG1211/100),IF($O$5&gt;60,5+50*($AG1211/100),IF($O$5&gt;50,10+60*($AG1211/100),IF($O$5&gt;40,15+70*($AG1211/100),IF($O$5&gt;30,20+70*($AG1211/100),IF($O$5&gt;20,40+55*($AG1211/100),(80+(20-$O$5)+30*($AG1211/100))))))))))</f>
        <v>100</v>
      </c>
      <c r="AI1211" s="262"/>
      <c r="AJ1211" s="262"/>
      <c r="AK1211" s="262"/>
      <c r="AL1211" s="263"/>
      <c r="AM1211" s="264"/>
      <c r="AN1211" s="263"/>
      <c r="AO1211" s="263"/>
      <c r="AP1211" s="265"/>
      <c r="AQ1211" s="266"/>
      <c r="AR1211" s="267"/>
      <c r="AS1211" s="263"/>
      <c r="AT1211" s="263"/>
      <c r="AU1211" s="263">
        <v>203</v>
      </c>
      <c r="AV1211" s="264"/>
      <c r="AW1211" s="263"/>
      <c r="AX1211" s="263"/>
      <c r="AY1211" s="263"/>
      <c r="AZ1211" s="263"/>
      <c r="BA1211" s="263"/>
      <c r="BB1211" s="263"/>
      <c r="BC1211" s="263"/>
      <c r="BD1211" s="264"/>
      <c r="BE1211" s="263"/>
      <c r="BF1211" s="263"/>
      <c r="BG1211" s="263"/>
      <c r="BH1211" s="263"/>
      <c r="BI1211" s="263"/>
      <c r="BJ1211" s="404">
        <f>altaz(J2000_Bas,$O1211,$M1211,DecLat,DecLong,2)</f>
        <v>355.56290832431762</v>
      </c>
      <c r="BK1211" s="378" t="s">
        <v>4741</v>
      </c>
      <c r="BL1211" s="379">
        <f>IF((2*G1211)/60&lt;0.2,0.2,(2*G1211)/60)</f>
        <v>0.2</v>
      </c>
      <c r="BM1211" s="380">
        <f>MOD((50000+AD1211-$B$3+(0/24)),1)</f>
        <v>0.50479463845840655</v>
      </c>
      <c r="BN1211" s="381"/>
      <c r="BO1211" s="382">
        <v>1205</v>
      </c>
    </row>
    <row r="1212" spans="1:67" s="24" customFormat="1" ht="15" customHeight="1" x14ac:dyDescent="0.25">
      <c r="A1212" s="288" t="s">
        <v>1268</v>
      </c>
      <c r="B1212" s="241" t="str">
        <f>HYPERLINK(CONCATENATE($AT$3,BK1212,$AU$3),$AV$3)</f>
        <v>S</v>
      </c>
      <c r="C1212" s="242" t="str">
        <f>HYPERLINK(CONCATENATE($AT$4,BK1212,$AU$4,BL1212),$AV$4)</f>
        <v>A</v>
      </c>
      <c r="D1212" s="243" t="s">
        <v>5187</v>
      </c>
      <c r="E1212" s="244" t="s">
        <v>5181</v>
      </c>
      <c r="F1212" s="269" t="s">
        <v>4795</v>
      </c>
      <c r="G1212" s="270">
        <v>0.5</v>
      </c>
      <c r="H1212" s="283">
        <v>11000</v>
      </c>
      <c r="I1212" s="279">
        <v>1.7</v>
      </c>
      <c r="J1212" s="246">
        <v>1</v>
      </c>
      <c r="K1212" s="247" t="s">
        <v>6182</v>
      </c>
      <c r="L1212" s="248">
        <v>175424</v>
      </c>
      <c r="M1212" s="249">
        <f>15*(LEFT(TEXT($L1212,"000000"),2)+(MID(TEXT($L1212,"000000"),3,2)/60)+(RIGHT(TEXT($L1212,"000000"),2)/3600))</f>
        <v>268.60000000000002</v>
      </c>
      <c r="N1212" s="250">
        <v>-123000</v>
      </c>
      <c r="O1212" s="251">
        <f>IF($N1212&gt;0,(LEFT(TEXT($N1212,"000000"),2)+(MID(TEXT($N1212,"000000"),3,2)/60)+(RIGHT(TEXT($N1212,"000000"),2)/3600)),-(MID(TEXT($N1212,"000000"),2,2)+(MID(TEXT($N1212,"000000"),4,2)/60)+(RIGHT(TEXT($N1212,"000000"),2)/3600)))</f>
        <v>-12.5</v>
      </c>
      <c r="P1212" s="252" t="s">
        <v>115</v>
      </c>
      <c r="Q1212" s="253"/>
      <c r="R1212" s="277" t="s">
        <v>3293</v>
      </c>
      <c r="S1212" s="272" t="s">
        <v>3293</v>
      </c>
      <c r="T1212" s="273"/>
      <c r="U1212" s="274"/>
      <c r="V1212" s="280"/>
      <c r="W1212" s="244"/>
      <c r="X1212" s="244"/>
      <c r="Y1212" s="362"/>
      <c r="Z1212" s="257">
        <f>altaz(J2000_Bas,$O1212,$M1212,DecLat,DecLong,1)</f>
        <v>43.398537182499851</v>
      </c>
      <c r="AA1212" s="257">
        <f>altaz((J2000_Bas+(2*0.04167)),$O1212,$M1212,DecLat,DecLong,1)</f>
        <v>27.002571802942512</v>
      </c>
      <c r="AB1212" s="257">
        <f>altaz((J2000_Bas+(4*0.04167)),$O1212,$M1212,DecLat,DecLong,1)</f>
        <v>3.9352955275718982</v>
      </c>
      <c r="AC1212" s="257">
        <f>altaz((J2000_Bas+(6*0.04167)),$O1212,$M1212,DecLat,DecLong,1)</f>
        <v>-21.42578174569514</v>
      </c>
      <c r="AD1212" s="258">
        <f>1+ transit((J2000_Bas-1),$O1212,$M1212,DecLat,DecLong)/360 + (GMTOffset/24) + (IF(DST="Y", 1, 0)/24)</f>
        <v>1.7390109971297081</v>
      </c>
      <c r="AE1212" s="259">
        <f>DATE(2001,9,21)+(M1212/360)*365 - (360*((DecLong/360)- (GMTOffset/24) ))</f>
        <v>37432.330555555556</v>
      </c>
      <c r="AF1212" s="260">
        <f>IF(DecLat&gt;0,IF((90 - (DecLat-O1212))&gt;90, (90 - (O1212-DecLat)), (90 - (DecLat-O1212))),IF((90 + (DecLat-O1212))&gt;90, (90 + (O1212-DecLat)), (90 + (DecLat-O1212))))</f>
        <v>46.5</v>
      </c>
      <c r="AG1212" s="257">
        <f>angularseperation(MoonRA,MoonDec,$M1212,$O1212)</f>
        <v>23.272334158893347</v>
      </c>
      <c r="AH1212" s="261">
        <f ca="1">MIN(100,IF($O$5&gt;80,0+30*($AG1212/100),IF($O$5&gt;70,0+50*($AG1212/100),IF($O$5&gt;60,5+50*($AG1212/100),IF($O$5&gt;50,10+60*($AG1212/100),IF($O$5&gt;40,15+70*($AG1212/100),IF($O$5&gt;30,20+70*($AG1212/100),IF($O$5&gt;20,40+55*($AG1212/100),(80+(20-$O$5)+30*($AG1212/100))))))))))</f>
        <v>90.252760591818429</v>
      </c>
      <c r="AI1212" s="263"/>
      <c r="AJ1212" s="263"/>
      <c r="AK1212" s="263"/>
      <c r="AL1212" s="263"/>
      <c r="AM1212" s="264"/>
      <c r="AN1212" s="263"/>
      <c r="AO1212" s="263"/>
      <c r="AP1212" s="265"/>
      <c r="AQ1212" s="265"/>
      <c r="AR1212" s="285"/>
      <c r="AS1212" s="263"/>
      <c r="AT1212" s="263"/>
      <c r="AU1212" s="263">
        <v>205</v>
      </c>
      <c r="AV1212" s="264"/>
      <c r="AW1212" s="263"/>
      <c r="AX1212" s="263"/>
      <c r="AY1212" s="263"/>
      <c r="AZ1212" s="263"/>
      <c r="BA1212" s="263"/>
      <c r="BB1212" s="263"/>
      <c r="BC1212" s="263"/>
      <c r="BD1212" s="264"/>
      <c r="BE1212" s="263"/>
      <c r="BF1212" s="263"/>
      <c r="BG1212" s="263"/>
      <c r="BH1212" s="263"/>
      <c r="BI1212" s="263"/>
      <c r="BJ1212" s="404">
        <f>altaz(J2000_Bas,$O1212,$M1212,DecLat,DecLong,2)</f>
        <v>203.69508450919795</v>
      </c>
      <c r="BK1212" s="378" t="s">
        <v>4742</v>
      </c>
      <c r="BL1212" s="379">
        <f>IF((2*G1212)/60&lt;0.2,0.2,(2*G1212)/60)</f>
        <v>0.2</v>
      </c>
      <c r="BM1212" s="380">
        <f>MOD((50000+AD1212-$B$3+(0/24)),1)</f>
        <v>0.95437792683514999</v>
      </c>
      <c r="BN1212" s="381"/>
      <c r="BO1212" s="382">
        <v>1206</v>
      </c>
    </row>
    <row r="1213" spans="1:67" s="24" customFormat="1" ht="15" customHeight="1" x14ac:dyDescent="0.25">
      <c r="A1213" s="288" t="s">
        <v>1269</v>
      </c>
      <c r="B1213" s="241" t="str">
        <f>HYPERLINK(CONCATENATE($AT$3,BK1213,$AU$3),$AV$3)</f>
        <v>S</v>
      </c>
      <c r="C1213" s="242" t="str">
        <f>HYPERLINK(CONCATENATE($AT$4,BK1213,$AU$4,BL1213),$AV$4)</f>
        <v>A</v>
      </c>
      <c r="D1213" s="243" t="s">
        <v>5187</v>
      </c>
      <c r="E1213" s="244" t="s">
        <v>5181</v>
      </c>
      <c r="F1213" s="269" t="s">
        <v>4804</v>
      </c>
      <c r="G1213" s="273">
        <v>2.5</v>
      </c>
      <c r="H1213" s="283">
        <v>6000</v>
      </c>
      <c r="I1213" s="279">
        <v>4.4000000000000004</v>
      </c>
      <c r="J1213" s="246">
        <v>1</v>
      </c>
      <c r="K1213" s="247" t="s">
        <v>4789</v>
      </c>
      <c r="L1213" s="248">
        <v>194125</v>
      </c>
      <c r="M1213" s="249">
        <f>15*(LEFT(TEXT($L1213,"000000"),2)+(MID(TEXT($L1213,"000000"),3,2)/60)+(RIGHT(TEXT($L1213,"000000"),2)/3600))</f>
        <v>295.35416666666663</v>
      </c>
      <c r="N1213" s="250">
        <v>-202444</v>
      </c>
      <c r="O1213" s="251">
        <f>IF($N1213&gt;0,(LEFT(TEXT($N1213,"000000"),2)+(MID(TEXT($N1213,"000000"),3,2)/60)+(RIGHT(TEXT($N1213,"000000"),2)/3600)),-(MID(TEXT($N1213,"000000"),2,2)+(MID(TEXT($N1213,"000000"),4,2)/60)+(RIGHT(TEXT($N1213,"000000"),2)/3600)))</f>
        <v>-20.412222222222219</v>
      </c>
      <c r="P1213" s="252" t="s">
        <v>119</v>
      </c>
      <c r="Q1213" s="253"/>
      <c r="R1213" s="277" t="s">
        <v>3293</v>
      </c>
      <c r="S1213" s="272" t="s">
        <v>3293</v>
      </c>
      <c r="T1213" s="273"/>
      <c r="U1213" s="274"/>
      <c r="V1213" s="280"/>
      <c r="W1213" s="244"/>
      <c r="X1213" s="244"/>
      <c r="Y1213" s="362"/>
      <c r="Z1213" s="257">
        <f>altaz(J2000_Bas,$O1213,$M1213,DecLat,DecLong,1)</f>
        <v>37.809379092368196</v>
      </c>
      <c r="AA1213" s="257">
        <f>altaz((J2000_Bas+(2*0.04167)),$O1213,$M1213,DecLat,DecLong,1)</f>
        <v>34.868057074650956</v>
      </c>
      <c r="AB1213" s="257">
        <f>altaz((J2000_Bas+(4*0.04167)),$O1213,$M1213,DecLat,DecLong,1)</f>
        <v>19.142287212701831</v>
      </c>
      <c r="AC1213" s="257">
        <f>altaz((J2000_Bas+(6*0.04167)),$O1213,$M1213,DecLat,DecLong,1)</f>
        <v>-3.0154087555346818</v>
      </c>
      <c r="AD1213" s="258">
        <f>1+ transit((J2000_Bas-1),$O1213,$M1213,DecLat,DecLong)/360 + (GMTOffset/24) + (IF(DST="Y", 1, 0)/24)</f>
        <v>1.8133281193276243</v>
      </c>
      <c r="AE1213" s="259">
        <f>DATE(2001,9,21)+(M1213/360)*365 - (360*((DecLong/360)- (GMTOffset/24) ))</f>
        <v>37459.456307870372</v>
      </c>
      <c r="AF1213" s="260">
        <f>IF(DecLat&gt;0,IF((90 - (DecLat-O1213))&gt;90, (90 - (O1213-DecLat)), (90 - (DecLat-O1213))),IF((90 + (DecLat-O1213))&gt;90, (90 + (O1213-DecLat)), (90 + (DecLat-O1213))))</f>
        <v>38.587777777777781</v>
      </c>
      <c r="AG1213" s="257">
        <f>angularseperation(MoonRA,MoonDec,$M1213,$O1213)</f>
        <v>42.501160288546259</v>
      </c>
      <c r="AH1213" s="261">
        <f ca="1">MIN(100,IF($O$5&gt;80,0+30*($AG1213/100),IF($O$5&gt;70,0+50*($AG1213/100),IF($O$5&gt;60,5+50*($AG1213/100),IF($O$5&gt;50,10+60*($AG1213/100),IF($O$5&gt;40,15+70*($AG1213/100),IF($O$5&gt;30,20+70*($AG1213/100),IF($O$5&gt;20,40+55*($AG1213/100),(80+(20-$O$5)+30*($AG1213/100))))))))))</f>
        <v>96.021408430714303</v>
      </c>
      <c r="AI1213" s="263"/>
      <c r="AJ1213" s="263"/>
      <c r="AK1213" s="263"/>
      <c r="AL1213" s="263"/>
      <c r="AM1213" s="264"/>
      <c r="AN1213" s="263"/>
      <c r="AO1213" s="263"/>
      <c r="AP1213" s="265"/>
      <c r="AQ1213" s="265"/>
      <c r="AR1213" s="285"/>
      <c r="AS1213" s="263"/>
      <c r="AT1213" s="263"/>
      <c r="AU1213" s="263">
        <v>207</v>
      </c>
      <c r="AV1213" s="264"/>
      <c r="AW1213" s="263"/>
      <c r="AX1213" s="263"/>
      <c r="AY1213" s="263"/>
      <c r="AZ1213" s="263"/>
      <c r="BA1213" s="263"/>
      <c r="BB1213" s="263"/>
      <c r="BC1213" s="263"/>
      <c r="BD1213" s="264"/>
      <c r="BE1213" s="263"/>
      <c r="BF1213" s="263"/>
      <c r="BG1213" s="263"/>
      <c r="BH1213" s="263"/>
      <c r="BI1213" s="263"/>
      <c r="BJ1213" s="404">
        <f>altaz(J2000_Bas,$O1213,$M1213,DecLat,DecLong,2)</f>
        <v>168.88630065000345</v>
      </c>
      <c r="BK1213" s="378" t="s">
        <v>4743</v>
      </c>
      <c r="BL1213" s="379">
        <f>IF((2*G1213)/60&lt;0.2,0.2,(2*G1213)/60)</f>
        <v>0.2</v>
      </c>
      <c r="BM1213" s="380">
        <f>MOD((50000+AD1213-$B$3+(0/24)),1)</f>
        <v>2.8695049033558462E-2</v>
      </c>
      <c r="BN1213" s="381"/>
      <c r="BO1213" s="382">
        <v>1207</v>
      </c>
    </row>
    <row r="1214" spans="1:67" s="24" customFormat="1" ht="15" customHeight="1" x14ac:dyDescent="0.25">
      <c r="A1214" s="288" t="s">
        <v>3201</v>
      </c>
      <c r="B1214" s="241" t="str">
        <f>HYPERLINK(CONCATENATE($AT$3,BK1214,$AU$3),$AV$3)</f>
        <v>S</v>
      </c>
      <c r="C1214" s="242" t="str">
        <f>HYPERLINK(CONCATENATE($AT$4,BK1214,$AU$4,BL1214),$AV$4)</f>
        <v>A</v>
      </c>
      <c r="D1214" s="243" t="s">
        <v>5187</v>
      </c>
      <c r="E1214" s="244" t="s">
        <v>5183</v>
      </c>
      <c r="F1214" s="269" t="s">
        <v>5180</v>
      </c>
      <c r="G1214" s="273">
        <v>1</v>
      </c>
      <c r="H1214" s="283">
        <v>6800</v>
      </c>
      <c r="I1214" s="279">
        <v>2</v>
      </c>
      <c r="J1214" s="246">
        <v>1</v>
      </c>
      <c r="K1214" s="247" t="s">
        <v>4790</v>
      </c>
      <c r="L1214" s="248">
        <v>84839</v>
      </c>
      <c r="M1214" s="249">
        <f>15*(LEFT(TEXT($L1214,"000000"),2)+(MID(TEXT($L1214,"000000"),3,2)/60)+(RIGHT(TEXT($L1214,"000000"),2)/3600))</f>
        <v>132.16250000000002</v>
      </c>
      <c r="N1214" s="250">
        <v>-425354</v>
      </c>
      <c r="O1214" s="251">
        <f>IF($N1214&gt;0,(LEFT(TEXT($N1214,"000000"),2)+(MID(TEXT($N1214,"000000"),3,2)/60)+(RIGHT(TEXT($N1214,"000000"),2)/3600)),-(MID(TEXT($N1214,"000000"),2,2)+(MID(TEXT($N1214,"000000"),4,2)/60)+(RIGHT(TEXT($N1214,"000000"),2)/3600)))</f>
        <v>-42.898333333333333</v>
      </c>
      <c r="P1214" s="252" t="s">
        <v>980</v>
      </c>
      <c r="Q1214" s="253"/>
      <c r="R1214" s="277" t="s">
        <v>3293</v>
      </c>
      <c r="S1214" s="272" t="s">
        <v>3293</v>
      </c>
      <c r="T1214" s="273">
        <v>12</v>
      </c>
      <c r="U1214" s="274"/>
      <c r="V1214" s="280"/>
      <c r="W1214" s="244"/>
      <c r="X1214" s="244"/>
      <c r="Y1214" s="362"/>
      <c r="Z1214" s="257">
        <f>altaz(J2000_Bas,$O1214,$M1214,DecLat,DecLong,1)</f>
        <v>-66.091604056872981</v>
      </c>
      <c r="AA1214" s="257">
        <f>altaz((J2000_Bas+(2*0.04167)),$O1214,$M1214,DecLat,DecLong,1)</f>
        <v>-77.699153513476446</v>
      </c>
      <c r="AB1214" s="257">
        <f>altaz((J2000_Bas+(4*0.04167)),$O1214,$M1214,DecLat,DecLong,1)</f>
        <v>-60.587451276951221</v>
      </c>
      <c r="AC1214" s="257">
        <f>altaz((J2000_Bas+(6*0.04167)),$O1214,$M1214,DecLat,DecLong,1)</f>
        <v>-38.676913395894658</v>
      </c>
      <c r="AD1214" s="258">
        <f>1+ transit((J2000_Bas-1),$O1214,$M1214,DecLat,DecLong)/360 + (GMTOffset/24) + (IF(DST="Y", 1, 0)/24)</f>
        <v>1.3600179794734581</v>
      </c>
      <c r="AE1214" s="259">
        <f>DATE(2001,9,21)+(M1214/360)*365 - (360*((DecLong/360)- (GMTOffset/24) ))</f>
        <v>37293.998090277775</v>
      </c>
      <c r="AF1214" s="260">
        <f>IF(DecLat&gt;0,IF((90 - (DecLat-O1214))&gt;90, (90 - (O1214-DecLat)), (90 - (DecLat-O1214))),IF((90 + (DecLat-O1214))&gt;90, (90 + (O1214-DecLat)), (90 + (DecLat-O1214))))</f>
        <v>16.101666666666659</v>
      </c>
      <c r="AG1214" s="257">
        <f>angularseperation(MoonRA,MoonDec,$M1214,$O1214)</f>
        <v>89.254567821643448</v>
      </c>
      <c r="AH1214" s="261">
        <f ca="1">MIN(100,IF($O$5&gt;80,0+30*($AG1214/100),IF($O$5&gt;70,0+50*($AG1214/100),IF($O$5&gt;60,5+50*($AG1214/100),IF($O$5&gt;50,10+60*($AG1214/100),IF($O$5&gt;40,15+70*($AG1214/100),IF($O$5&gt;30,20+70*($AG1214/100),IF($O$5&gt;20,40+55*($AG1214/100),(80+(20-$O$5)+30*($AG1214/100))))))))))</f>
        <v>100</v>
      </c>
      <c r="AI1214" s="263"/>
      <c r="AJ1214" s="263"/>
      <c r="AK1214" s="263"/>
      <c r="AL1214" s="263"/>
      <c r="AM1214" s="264"/>
      <c r="AN1214" s="263"/>
      <c r="AO1214" s="263"/>
      <c r="AP1214" s="265"/>
      <c r="AQ1214" s="265"/>
      <c r="AR1214" s="285"/>
      <c r="AS1214" s="263"/>
      <c r="AT1214" s="263"/>
      <c r="AU1214" s="263">
        <v>215</v>
      </c>
      <c r="AV1214" s="264"/>
      <c r="AW1214" s="263"/>
      <c r="AX1214" s="263"/>
      <c r="AY1214" s="263"/>
      <c r="AZ1214" s="263"/>
      <c r="BA1214" s="263"/>
      <c r="BB1214" s="263"/>
      <c r="BC1214" s="263"/>
      <c r="BD1214" s="264"/>
      <c r="BE1214" s="263"/>
      <c r="BF1214" s="263"/>
      <c r="BG1214" s="263"/>
      <c r="BH1214" s="263"/>
      <c r="BI1214" s="263"/>
      <c r="BJ1214" s="404">
        <f>altaz(J2000_Bas,$O1214,$M1214,DecLat,DecLong,2)</f>
        <v>232.83653976267172</v>
      </c>
      <c r="BK1214" s="378" t="s">
        <v>4744</v>
      </c>
      <c r="BL1214" s="379">
        <f>IF((2*G1214)/60&lt;0.2,0.2,(2*G1214)/60)</f>
        <v>0.2</v>
      </c>
      <c r="BM1214" s="380">
        <f>MOD((50000+AD1214-$B$3+(0/24)),1)</f>
        <v>0.57538490917795571</v>
      </c>
      <c r="BN1214" s="381"/>
      <c r="BO1214" s="382">
        <v>1208</v>
      </c>
    </row>
    <row r="1215" spans="1:67" s="24" customFormat="1" ht="15" customHeight="1" x14ac:dyDescent="0.25">
      <c r="A1215" s="287" t="s">
        <v>1270</v>
      </c>
      <c r="B1215" s="241" t="str">
        <f>HYPERLINK(CONCATENATE($AT$3,BK1215,$AU$3),$AV$3)</f>
        <v>S</v>
      </c>
      <c r="C1215" s="242" t="str">
        <f>HYPERLINK(CONCATENATE($AT$4,BK1215,$AU$4,BL1215),$AV$4)</f>
        <v>A</v>
      </c>
      <c r="D1215" s="243" t="s">
        <v>5187</v>
      </c>
      <c r="E1215" s="244" t="s">
        <v>5181</v>
      </c>
      <c r="F1215" s="269" t="s">
        <v>6222</v>
      </c>
      <c r="G1215" s="270">
        <v>0.4</v>
      </c>
      <c r="H1215" s="271">
        <v>18600</v>
      </c>
      <c r="I1215" s="279">
        <v>2</v>
      </c>
      <c r="J1215" s="246">
        <v>1</v>
      </c>
      <c r="K1215" s="247" t="s">
        <v>6183</v>
      </c>
      <c r="L1215" s="248">
        <v>164448</v>
      </c>
      <c r="M1215" s="249">
        <f>15*(LEFT(TEXT($L1215,"000000"),2)+(MID(TEXT($L1215,"000000"),3,2)/60)+(RIGHT(TEXT($L1215,"000000"),2)/3600))</f>
        <v>251.2</v>
      </c>
      <c r="N1215" s="250">
        <v>-280300</v>
      </c>
      <c r="O1215" s="251">
        <f>IF($N1215&gt;0,(LEFT(TEXT($N1215,"000000"),2)+(MID(TEXT($N1215,"000000"),3,2)/60)+(RIGHT(TEXT($N1215,"000000"),2)/3600)),-(MID(TEXT($N1215,"000000"),2,2)+(MID(TEXT($N1215,"000000"),4,2)/60)+(RIGHT(TEXT($N1215,"000000"),2)/3600)))</f>
        <v>-28.05</v>
      </c>
      <c r="P1215" s="252" t="s">
        <v>109</v>
      </c>
      <c r="Q1215" s="253"/>
      <c r="R1215" s="277" t="s">
        <v>3293</v>
      </c>
      <c r="S1215" s="272" t="s">
        <v>3293</v>
      </c>
      <c r="T1215" s="273">
        <v>13</v>
      </c>
      <c r="U1215" s="274"/>
      <c r="V1215" s="280"/>
      <c r="W1215" s="244"/>
      <c r="X1215" s="244"/>
      <c r="Y1215" s="362"/>
      <c r="Z1215" s="257">
        <f>altaz(J2000_Bas,$O1215,$M1215,DecLat,DecLong,1)</f>
        <v>22.270057571100725</v>
      </c>
      <c r="AA1215" s="257">
        <f>altaz((J2000_Bas+(2*0.04167)),$O1215,$M1215,DecLat,DecLong,1)</f>
        <v>4.5230571209211083</v>
      </c>
      <c r="AB1215" s="257">
        <f>altaz((J2000_Bas+(4*0.04167)),$O1215,$M1215,DecLat,DecLong,1)</f>
        <v>-17.923821087677933</v>
      </c>
      <c r="AC1215" s="257">
        <f>altaz((J2000_Bas+(6*0.04167)),$O1215,$M1215,DecLat,DecLong,1)</f>
        <v>-42.586396041947673</v>
      </c>
      <c r="AD1215" s="258">
        <f>1+ transit((J2000_Bas-1),$O1215,$M1215,DecLat,DecLong)/360 + (GMTOffset/24) + (IF(DST="Y", 1, 0)/24)</f>
        <v>1.6906776686297078</v>
      </c>
      <c r="AE1215" s="259">
        <f>DATE(2001,9,21)+(M1215/360)*365 - (360*((DecLong/360)- (GMTOffset/24) ))</f>
        <v>37414.688888888886</v>
      </c>
      <c r="AF1215" s="260">
        <f>IF(DecLat&gt;0,IF((90 - (DecLat-O1215))&gt;90, (90 - (O1215-DecLat)), (90 - (DecLat-O1215))),IF((90 + (DecLat-O1215))&gt;90, (90 + (O1215-DecLat)), (90 + (DecLat-O1215))))</f>
        <v>30.950000000000003</v>
      </c>
      <c r="AG1215" s="257">
        <f>angularseperation(MoonRA,MoonDec,$M1215,$O1215)</f>
        <v>1.9863876950355119</v>
      </c>
      <c r="AH1215" s="261">
        <f ca="1">MIN(100,IF($O$5&gt;80,0+30*($AG1215/100),IF($O$5&gt;70,0+50*($AG1215/100),IF($O$5&gt;60,5+50*($AG1215/100),IF($O$5&gt;50,10+60*($AG1215/100),IF($O$5&gt;40,15+70*($AG1215/100),IF($O$5&gt;30,20+70*($AG1215/100),IF($O$5&gt;20,40+55*($AG1215/100),(80+(20-$O$5)+30*($AG1215/100))))))))))</f>
        <v>83.86697665266108</v>
      </c>
      <c r="AI1215" s="263"/>
      <c r="AJ1215" s="263"/>
      <c r="AK1215" s="263"/>
      <c r="AL1215" s="263"/>
      <c r="AM1215" s="264"/>
      <c r="AN1215" s="263"/>
      <c r="AO1215" s="263"/>
      <c r="AP1215" s="265"/>
      <c r="AQ1215" s="265"/>
      <c r="AR1215" s="285"/>
      <c r="AS1215" s="263"/>
      <c r="AT1215" s="263"/>
      <c r="AU1215" s="263">
        <v>216</v>
      </c>
      <c r="AV1215" s="264"/>
      <c r="AW1215" s="263"/>
      <c r="AX1215" s="263"/>
      <c r="AY1215" s="263"/>
      <c r="AZ1215" s="263"/>
      <c r="BA1215" s="263"/>
      <c r="BB1215" s="263"/>
      <c r="BC1215" s="263"/>
      <c r="BD1215" s="264"/>
      <c r="BE1215" s="263"/>
      <c r="BF1215" s="263"/>
      <c r="BG1215" s="263"/>
      <c r="BH1215" s="263"/>
      <c r="BI1215" s="263"/>
      <c r="BJ1215" s="404">
        <f>altaz(J2000_Bas,$O1215,$M1215,DecLat,DecLong,2)</f>
        <v>212.97756967617457</v>
      </c>
      <c r="BK1215" s="378" t="s">
        <v>4745</v>
      </c>
      <c r="BL1215" s="379">
        <f>IF((2*G1215)/60&lt;0.2,0.2,(2*G1215)/60)</f>
        <v>0.2</v>
      </c>
      <c r="BM1215" s="380">
        <f>MOD((50000+AD1215-$B$3+(0/24)),1)</f>
        <v>0.90604459833411966</v>
      </c>
      <c r="BN1215" s="381"/>
      <c r="BO1215" s="382">
        <v>1209</v>
      </c>
    </row>
    <row r="1216" spans="1:67" s="24" customFormat="1" ht="15" customHeight="1" x14ac:dyDescent="0.25">
      <c r="A1216" s="287" t="s">
        <v>1271</v>
      </c>
      <c r="B1216" s="241" t="str">
        <f>HYPERLINK(CONCATENATE($AT$3,BK1216,$AU$3),$AV$3)</f>
        <v>S</v>
      </c>
      <c r="C1216" s="242" t="str">
        <f>HYPERLINK(CONCATENATE($AT$4,BK1216,$AU$4,BL1216),$AV$4)</f>
        <v>A</v>
      </c>
      <c r="D1216" s="243" t="s">
        <v>5187</v>
      </c>
      <c r="E1216" s="244" t="s">
        <v>5181</v>
      </c>
      <c r="F1216" s="269" t="s">
        <v>4813</v>
      </c>
      <c r="G1216" s="270">
        <v>0.3</v>
      </c>
      <c r="H1216" s="283">
        <v>22000</v>
      </c>
      <c r="I1216" s="279">
        <v>2</v>
      </c>
      <c r="J1216" s="246">
        <v>1</v>
      </c>
      <c r="K1216" s="247" t="s">
        <v>6184</v>
      </c>
      <c r="L1216" s="248">
        <v>183100</v>
      </c>
      <c r="M1216" s="249">
        <f>15*(LEFT(TEXT($L1216,"000000"),2)+(MID(TEXT($L1216,"000000"),3,2)/60)+(RIGHT(TEXT($L1216,"000000"),2)/3600))</f>
        <v>277.75</v>
      </c>
      <c r="N1216" s="250">
        <v>22523</v>
      </c>
      <c r="O1216" s="251">
        <f>IF($N1216&gt;0,(LEFT(TEXT($N1216,"000000"),2)+(MID(TEXT($N1216,"000000"),3,2)/60)+(RIGHT(TEXT($N1216,"000000"),2)/3600)),-(MID(TEXT($N1216,"000000"),2,2)+(MID(TEXT($N1216,"000000"),4,2)/60)+(RIGHT(TEXT($N1216,"000000"),2)/3600)))</f>
        <v>2.4230555555555555</v>
      </c>
      <c r="P1216" s="252" t="s">
        <v>115</v>
      </c>
      <c r="Q1216" s="253"/>
      <c r="R1216" s="277" t="s">
        <v>3293</v>
      </c>
      <c r="S1216" s="272" t="s">
        <v>3293</v>
      </c>
      <c r="T1216" s="273"/>
      <c r="U1216" s="274"/>
      <c r="V1216" s="280"/>
      <c r="W1216" s="244"/>
      <c r="X1216" s="244"/>
      <c r="Y1216" s="362"/>
      <c r="Z1216" s="257">
        <f>altaz(J2000_Bas,$O1216,$M1216,DecLat,DecLong,1)</f>
        <v>60.378246386139004</v>
      </c>
      <c r="AA1216" s="257">
        <f>altaz((J2000_Bas+(2*0.04167)),$O1216,$M1216,DecLat,DecLong,1)</f>
        <v>43.90886692046162</v>
      </c>
      <c r="AB1216" s="257">
        <f>altaz((J2000_Bas+(4*0.04167)),$O1216,$M1216,DecLat,DecLong,1)</f>
        <v>19.678078342504328</v>
      </c>
      <c r="AC1216" s="257">
        <f>altaz((J2000_Bas+(6*0.04167)),$O1216,$M1216,DecLat,DecLong,1)</f>
        <v>-6.0215209715495623</v>
      </c>
      <c r="AD1216" s="258">
        <f>1+ transit((J2000_Bas-1),$O1216,$M1216,DecLat,DecLong)/360 + (GMTOffset/24) + (IF(DST="Y", 1, 0)/24)</f>
        <v>1.7644276612547081</v>
      </c>
      <c r="AE1216" s="259">
        <f>DATE(2001,9,21)+(M1216/360)*365 - (360*((DecLong/360)- (GMTOffset/24) ))</f>
        <v>37441.607638888891</v>
      </c>
      <c r="AF1216" s="260">
        <f>IF(DecLat&gt;0,IF((90 - (DecLat-O1216))&gt;90, (90 - (O1216-DecLat)), (90 - (DecLat-O1216))),IF((90 + (DecLat-O1216))&gt;90, (90 + (O1216-DecLat)), (90 + (DecLat-O1216))))</f>
        <v>61.423055555555557</v>
      </c>
      <c r="AG1216" s="257">
        <f>angularseperation(MoonRA,MoonDec,$M1216,$O1216)</f>
        <v>40.320495433548416</v>
      </c>
      <c r="AH1216" s="261">
        <f ca="1">MIN(100,IF($O$5&gt;80,0+30*($AG1216/100),IF($O$5&gt;70,0+50*($AG1216/100),IF($O$5&gt;60,5+50*($AG1216/100),IF($O$5&gt;50,10+60*($AG1216/100),IF($O$5&gt;40,15+70*($AG1216/100),IF($O$5&gt;30,20+70*($AG1216/100),IF($O$5&gt;20,40+55*($AG1216/100),(80+(20-$O$5)+30*($AG1216/100))))))))))</f>
        <v>95.367208974214947</v>
      </c>
      <c r="AI1216" s="263"/>
      <c r="AJ1216" s="263"/>
      <c r="AK1216" s="263"/>
      <c r="AL1216" s="263"/>
      <c r="AM1216" s="264"/>
      <c r="AN1216" s="263"/>
      <c r="AO1216" s="263"/>
      <c r="AP1216" s="265"/>
      <c r="AQ1216" s="265"/>
      <c r="AR1216" s="285"/>
      <c r="AS1216" s="263"/>
      <c r="AT1216" s="263"/>
      <c r="AU1216" s="263">
        <v>304</v>
      </c>
      <c r="AV1216" s="264"/>
      <c r="AW1216" s="263"/>
      <c r="AX1216" s="263"/>
      <c r="AY1216" s="263"/>
      <c r="AZ1216" s="263"/>
      <c r="BA1216" s="263"/>
      <c r="BB1216" s="263"/>
      <c r="BC1216" s="263"/>
      <c r="BD1216" s="264"/>
      <c r="BE1216" s="263"/>
      <c r="BF1216" s="263"/>
      <c r="BG1216" s="263"/>
      <c r="BH1216" s="263"/>
      <c r="BI1216" s="263"/>
      <c r="BJ1216" s="404">
        <f>altaz(J2000_Bas,$O1216,$M1216,DecLat,DecLong,2)</f>
        <v>196.86653091290108</v>
      </c>
      <c r="BK1216" s="378" t="s">
        <v>4746</v>
      </c>
      <c r="BL1216" s="379">
        <f>IF((2*G1216)/60&lt;0.2,0.2,(2*G1216)/60)</f>
        <v>0.2</v>
      </c>
      <c r="BM1216" s="380">
        <f>MOD((50000+AD1216-$B$3+(0/24)),1)</f>
        <v>0.97979459095950006</v>
      </c>
      <c r="BN1216" s="381"/>
      <c r="BO1216" s="382">
        <v>1210</v>
      </c>
    </row>
    <row r="1217" spans="1:67" s="24" customFormat="1" ht="15" customHeight="1" x14ac:dyDescent="0.25">
      <c r="A1217" s="287" t="s">
        <v>1272</v>
      </c>
      <c r="B1217" s="241" t="str">
        <f>HYPERLINK(CONCATENATE($AT$3,BK1217,$AU$3),$AV$3)</f>
        <v>S</v>
      </c>
      <c r="C1217" s="242" t="str">
        <f>HYPERLINK(CONCATENATE($AT$4,BK1217,$AU$4,BL1217),$AV$4)</f>
        <v>A</v>
      </c>
      <c r="D1217" s="243" t="s">
        <v>5187</v>
      </c>
      <c r="E1217" s="244" t="s">
        <v>5181</v>
      </c>
      <c r="F1217" s="269" t="s">
        <v>4813</v>
      </c>
      <c r="G1217" s="270">
        <v>0.5</v>
      </c>
      <c r="H1217" s="283">
        <v>7500</v>
      </c>
      <c r="I1217" s="279">
        <v>1.1000000000000001</v>
      </c>
      <c r="J1217" s="246">
        <v>2</v>
      </c>
      <c r="K1217" s="247" t="s">
        <v>6185</v>
      </c>
      <c r="L1217" s="248">
        <v>185618</v>
      </c>
      <c r="M1217" s="249">
        <f>15*(LEFT(TEXT($L1217,"000000"),2)+(MID(TEXT($L1217,"000000"),3,2)/60)+(RIGHT(TEXT($L1217,"000000"),2)/3600))</f>
        <v>284.07499999999999</v>
      </c>
      <c r="N1217" s="250">
        <v>70723</v>
      </c>
      <c r="O1217" s="251">
        <f>IF($N1217&gt;0,(LEFT(TEXT($N1217,"000000"),2)+(MID(TEXT($N1217,"000000"),3,2)/60)+(RIGHT(TEXT($N1217,"000000"),2)/3600)),-(MID(TEXT($N1217,"000000"),2,2)+(MID(TEXT($N1217,"000000"),4,2)/60)+(RIGHT(TEXT($N1217,"000000"),2)/3600)))</f>
        <v>7.1230555555555553</v>
      </c>
      <c r="P1217" s="252" t="s">
        <v>126</v>
      </c>
      <c r="Q1217" s="253"/>
      <c r="R1217" s="277" t="s">
        <v>3293</v>
      </c>
      <c r="S1217" s="272" t="s">
        <v>3293</v>
      </c>
      <c r="T1217" s="273"/>
      <c r="U1217" s="274"/>
      <c r="V1217" s="280"/>
      <c r="W1217" s="244"/>
      <c r="X1217" s="244"/>
      <c r="Y1217" s="362"/>
      <c r="Z1217" s="257">
        <f>altaz(J2000_Bas,$O1217,$M1217,DecLat,DecLong,1)</f>
        <v>66.055016408075701</v>
      </c>
      <c r="AA1217" s="257">
        <f>altaz((J2000_Bas+(2*0.04167)),$O1217,$M1217,DecLat,DecLong,1)</f>
        <v>51.727910049643725</v>
      </c>
      <c r="AB1217" s="257">
        <f>altaz((J2000_Bas+(4*0.04167)),$O1217,$M1217,DecLat,DecLong,1)</f>
        <v>27.510215974504874</v>
      </c>
      <c r="AC1217" s="257">
        <f>altaz((J2000_Bas+(6*0.04167)),$O1217,$M1217,DecLat,DecLong,1)</f>
        <v>1.8046750794074522</v>
      </c>
      <c r="AD1217" s="258">
        <f>1+ transit((J2000_Bas-1),$O1217,$M1217,DecLat,DecLong)/360 + (GMTOffset/24) + (IF(DST="Y", 1, 0)/24)</f>
        <v>1.781997103942208</v>
      </c>
      <c r="AE1217" s="259">
        <f>DATE(2001,9,21)+(M1217/360)*365 - (360*((DecLong/360)- (GMTOffset/24) ))</f>
        <v>37448.020486111112</v>
      </c>
      <c r="AF1217" s="260">
        <f>IF(DecLat&gt;0,IF((90 - (DecLat-O1217))&gt;90, (90 - (O1217-DecLat)), (90 - (DecLat-O1217))),IF((90 + (DecLat-O1217))&gt;90, (90 + (O1217-DecLat)), (90 + (DecLat-O1217))))</f>
        <v>66.123055555555553</v>
      </c>
      <c r="AG1217" s="257">
        <f>angularseperation(MoonRA,MoonDec,$M1217,$O1217)</f>
        <v>48.032401334816775</v>
      </c>
      <c r="AH1217" s="261">
        <f ca="1">MIN(100,IF($O$5&gt;80,0+30*($AG1217/100),IF($O$5&gt;70,0+50*($AG1217/100),IF($O$5&gt;60,5+50*($AG1217/100),IF($O$5&gt;50,10+60*($AG1217/100),IF($O$5&gt;40,15+70*($AG1217/100),IF($O$5&gt;30,20+70*($AG1217/100),IF($O$5&gt;20,40+55*($AG1217/100),(80+(20-$O$5)+30*($AG1217/100))))))))))</f>
        <v>97.680780744595467</v>
      </c>
      <c r="AI1217" s="263"/>
      <c r="AJ1217" s="263"/>
      <c r="AK1217" s="263"/>
      <c r="AL1217" s="263"/>
      <c r="AM1217" s="264"/>
      <c r="AN1217" s="263"/>
      <c r="AO1217" s="263"/>
      <c r="AP1217" s="265"/>
      <c r="AQ1217" s="265"/>
      <c r="AR1217" s="285"/>
      <c r="AS1217" s="263"/>
      <c r="AT1217" s="263"/>
      <c r="AU1217" s="263">
        <v>317</v>
      </c>
      <c r="AV1217" s="264"/>
      <c r="AW1217" s="263"/>
      <c r="AX1217" s="263"/>
      <c r="AY1217" s="263"/>
      <c r="AZ1217" s="263"/>
      <c r="BA1217" s="263"/>
      <c r="BB1217" s="263"/>
      <c r="BC1217" s="263"/>
      <c r="BD1217" s="264"/>
      <c r="BE1217" s="263"/>
      <c r="BF1217" s="263"/>
      <c r="BG1217" s="263"/>
      <c r="BH1217" s="263"/>
      <c r="BI1217" s="263"/>
      <c r="BJ1217" s="404">
        <f>altaz(J2000_Bas,$O1217,$M1217,DecLat,DecLong,2)</f>
        <v>184.71727869236736</v>
      </c>
      <c r="BK1217" s="378" t="s">
        <v>4747</v>
      </c>
      <c r="BL1217" s="379">
        <f>IF((2*G1217)/60&lt;0.2,0.2,(2*G1217)/60)</f>
        <v>0.2</v>
      </c>
      <c r="BM1217" s="380">
        <f>MOD((50000+AD1217-$B$3+(0/24)),1)</f>
        <v>0.99736403364659054</v>
      </c>
      <c r="BN1217" s="381"/>
      <c r="BO1217" s="382">
        <v>1211</v>
      </c>
    </row>
    <row r="1218" spans="1:67" s="24" customFormat="1" ht="15" customHeight="1" x14ac:dyDescent="0.25">
      <c r="A1218" s="287" t="s">
        <v>9406</v>
      </c>
      <c r="B1218" s="241" t="str">
        <f>HYPERLINK(CONCATENATE($AT$3,BK1218,$AU$3),$AV$3)</f>
        <v>S</v>
      </c>
      <c r="C1218" s="242" t="str">
        <f>HYPERLINK(CONCATENATE($AT$4,BK1218,$AU$4,BL1218),$AV$4)</f>
        <v>A</v>
      </c>
      <c r="D1218" s="243" t="s">
        <v>5187</v>
      </c>
      <c r="E1218" s="244" t="s">
        <v>5181</v>
      </c>
      <c r="F1218" s="269" t="s">
        <v>4813</v>
      </c>
      <c r="G1218" s="270">
        <v>0.2</v>
      </c>
      <c r="H1218" s="283">
        <v>45000</v>
      </c>
      <c r="I1218" s="279">
        <v>2.5</v>
      </c>
      <c r="J1218" s="246">
        <v>1</v>
      </c>
      <c r="K1218" s="247" t="s">
        <v>9407</v>
      </c>
      <c r="L1218" s="248">
        <v>191439</v>
      </c>
      <c r="M1218" s="249">
        <f>15*(LEFT(TEXT($L1218,"000000"),2)+(MID(TEXT($L1218,"000000"),3,2)/60)+(RIGHT(TEXT($L1218,"000000"),2)/3600))</f>
        <v>288.66250000000002</v>
      </c>
      <c r="N1218" s="250">
        <v>1337</v>
      </c>
      <c r="O1218" s="251">
        <f>IF($N1218&gt;0,(LEFT(TEXT($N1218,"000000"),2)+(MID(TEXT($N1218,"000000"),3,2)/60)+(RIGHT(TEXT($N1218,"000000"),2)/3600)),-(MID(TEXT($N1218,"000000"),2,2)+(MID(TEXT($N1218,"000000"),4,2)/60)+(RIGHT(TEXT($N1218,"000000"),2)/3600)))</f>
        <v>0.22694444444444445</v>
      </c>
      <c r="P1218" s="252" t="s">
        <v>126</v>
      </c>
      <c r="Q1218" s="253"/>
      <c r="R1218" s="277" t="s">
        <v>3293</v>
      </c>
      <c r="S1218" s="272" t="s">
        <v>3293</v>
      </c>
      <c r="T1218" s="273"/>
      <c r="U1218" s="274"/>
      <c r="V1218" s="280"/>
      <c r="W1218" s="244"/>
      <c r="X1218" s="244"/>
      <c r="Y1218" s="362"/>
      <c r="Z1218" s="257">
        <f>altaz(J2000_Bas,$O1218,$M1218,DecLat,DecLong,1)</f>
        <v>59.123684144435238</v>
      </c>
      <c r="AA1218" s="257">
        <f>altaz((J2000_Bas+(2*0.04167)),$O1218,$M1218,DecLat,DecLong,1)</f>
        <v>49.7179079862496</v>
      </c>
      <c r="AB1218" s="257">
        <f>altaz((J2000_Bas+(4*0.04167)),$O1218,$M1218,DecLat,DecLong,1)</f>
        <v>27.54698175390833</v>
      </c>
      <c r="AC1218" s="257">
        <f>altaz((J2000_Bas+(6*0.04167)),$O1218,$M1218,DecLat,DecLong,1)</f>
        <v>2.1793392887538179</v>
      </c>
      <c r="AD1218" s="258">
        <f>1+ transit((J2000_Bas-1),$O1218,$M1218,DecLat,DecLong)/360 + (GMTOffset/24) + (IF(DST="Y", 1, 0)/24)</f>
        <v>1.7947401582234581</v>
      </c>
      <c r="AE1218" s="259">
        <f>DATE(2001,9,21)+(M1218/360)*365 - (360*((DecLong/360)- (GMTOffset/24) ))</f>
        <v>37452.671701388892</v>
      </c>
      <c r="AF1218" s="260">
        <f>IF(DecLat&gt;0,IF((90 - (DecLat-O1218))&gt;90, (90 - (O1218-DecLat)), (90 - (DecLat-O1218))),IF((90 + (DecLat-O1218))&gt;90, (90 + (O1218-DecLat)), (90 + (DecLat-O1218))))</f>
        <v>59.226944444444442</v>
      </c>
      <c r="AG1218" s="257">
        <f>angularseperation(MoonRA,MoonDec,$M1218,$O1218)</f>
        <v>46.687026542769274</v>
      </c>
      <c r="AH1218" s="261">
        <f ca="1">MIN(100,IF($O$5&gt;80,0+30*($AG1218/100),IF($O$5&gt;70,0+50*($AG1218/100),IF($O$5&gt;60,5+50*($AG1218/100),IF($O$5&gt;50,10+60*($AG1218/100),IF($O$5&gt;40,15+70*($AG1218/100),IF($O$5&gt;30,20+70*($AG1218/100),IF($O$5&gt;20,40+55*($AG1218/100),(80+(20-$O$5)+30*($AG1218/100))))))))))</f>
        <v>97.27716830698121</v>
      </c>
      <c r="AI1218" s="263"/>
      <c r="AJ1218" s="263"/>
      <c r="AK1218" s="263"/>
      <c r="AL1218" s="263"/>
      <c r="AM1218" s="264"/>
      <c r="AN1218" s="263"/>
      <c r="AO1218" s="263"/>
      <c r="AP1218" s="265"/>
      <c r="AQ1218" s="265"/>
      <c r="AR1218" s="285"/>
      <c r="AS1218" s="263"/>
      <c r="AT1218" s="263"/>
      <c r="AU1218" s="263">
        <v>326</v>
      </c>
      <c r="AV1218" s="264"/>
      <c r="AW1218" s="263"/>
      <c r="AX1218" s="263"/>
      <c r="AY1218" s="263"/>
      <c r="AZ1218" s="263"/>
      <c r="BA1218" s="263"/>
      <c r="BB1218" s="263"/>
      <c r="BC1218" s="263"/>
      <c r="BD1218" s="264"/>
      <c r="BE1218" s="263"/>
      <c r="BF1218" s="263"/>
      <c r="BG1218" s="263"/>
      <c r="BH1218" s="263"/>
      <c r="BI1218" s="263"/>
      <c r="BJ1218" s="404">
        <f>altaz(J2000_Bas,$O1218,$M1218,DecLat,DecLong,2)</f>
        <v>174.8117614993273</v>
      </c>
      <c r="BK1218" s="378" t="s">
        <v>9408</v>
      </c>
      <c r="BL1218" s="379">
        <f>IF((2*G1218)/60&lt;0.2,0.2,(2*G1218)/60)</f>
        <v>0.2</v>
      </c>
      <c r="BM1218" s="380">
        <f>MOD((50000+AD1218-$B$3+(0/24)),1)</f>
        <v>1.0107087924552616E-2</v>
      </c>
      <c r="BN1218" s="381"/>
      <c r="BO1218" s="382">
        <v>1212</v>
      </c>
    </row>
    <row r="1219" spans="1:67" s="24" customFormat="1" ht="15" customHeight="1" x14ac:dyDescent="0.25">
      <c r="A1219" s="288" t="s">
        <v>1273</v>
      </c>
      <c r="B1219" s="241" t="str">
        <f>HYPERLINK(CONCATENATE($AT$3,BK1219,$AU$3),$AV$3)</f>
        <v>S</v>
      </c>
      <c r="C1219" s="242" t="str">
        <f>HYPERLINK(CONCATENATE($AT$4,BK1219,$AU$4,BL1219),$AV$4)</f>
        <v>A</v>
      </c>
      <c r="D1219" s="243" t="s">
        <v>5187</v>
      </c>
      <c r="E1219" s="244" t="s">
        <v>5181</v>
      </c>
      <c r="F1219" s="269" t="s">
        <v>5211</v>
      </c>
      <c r="G1219" s="273">
        <v>1</v>
      </c>
      <c r="H1219" s="271" t="s">
        <v>6500</v>
      </c>
      <c r="I1219" s="244" t="s">
        <v>6500</v>
      </c>
      <c r="J1219" s="246">
        <v>2</v>
      </c>
      <c r="K1219" s="247" t="s">
        <v>4791</v>
      </c>
      <c r="L1219" s="248">
        <v>195000</v>
      </c>
      <c r="M1219" s="249">
        <f>15*(LEFT(TEXT($L1219,"000000"),2)+(MID(TEXT($L1219,"000000"),3,2)/60)+(RIGHT(TEXT($L1219,"000000"),2)/3600))</f>
        <v>297.5</v>
      </c>
      <c r="N1219" s="250">
        <v>332800</v>
      </c>
      <c r="O1219" s="251">
        <f>IF($N1219&gt;0,(LEFT(TEXT($N1219,"000000"),2)+(MID(TEXT($N1219,"000000"),3,2)/60)+(RIGHT(TEXT($N1219,"000000"),2)/3600)),-(MID(TEXT($N1219,"000000"),2,2)+(MID(TEXT($N1219,"000000"),4,2)/60)+(RIGHT(TEXT($N1219,"000000"),2)/3600)))</f>
        <v>33.466666666666669</v>
      </c>
      <c r="P1219" s="252" t="s">
        <v>60</v>
      </c>
      <c r="Q1219" s="253"/>
      <c r="R1219" s="277" t="s">
        <v>3293</v>
      </c>
      <c r="S1219" s="272" t="s">
        <v>3293</v>
      </c>
      <c r="T1219" s="273">
        <v>16.399999999999999</v>
      </c>
      <c r="U1219" s="274"/>
      <c r="V1219" s="280"/>
      <c r="W1219" s="244"/>
      <c r="X1219" s="244"/>
      <c r="Y1219" s="362"/>
      <c r="Z1219" s="257">
        <f>altaz(J2000_Bas,$O1219,$M1219,DecLat,DecLong,1)</f>
        <v>79.972741659262525</v>
      </c>
      <c r="AA1219" s="257">
        <f>altaz((J2000_Bas+(2*0.04167)),$O1219,$M1219,DecLat,DecLong,1)</f>
        <v>74.107263573908881</v>
      </c>
      <c r="AB1219" s="257">
        <f>altaz((J2000_Bas+(4*0.04167)),$O1219,$M1219,DecLat,DecLong,1)</f>
        <v>49.132184817646944</v>
      </c>
      <c r="AC1219" s="257">
        <f>altaz((J2000_Bas+(6*0.04167)),$O1219,$M1219,DecLat,DecLong,1)</f>
        <v>25.05210656906215</v>
      </c>
      <c r="AD1219" s="258">
        <f>1+ transit((J2000_Bas-1),$O1219,$M1219,DecLat,DecLong)/360 + (GMTOffset/24) + (IF(DST="Y", 1, 0)/24)</f>
        <v>1.8192887668797082</v>
      </c>
      <c r="AE1219" s="259">
        <f>DATE(2001,9,21)+(M1219/360)*365 - (360*((DecLong/360)- (GMTOffset/24) ))</f>
        <v>37461.631944444445</v>
      </c>
      <c r="AF1219" s="260">
        <f>IF(DecLat&gt;0,IF((90 - (DecLat-O1219))&gt;90, (90 - (O1219-DecLat)), (90 - (DecLat-O1219))),IF((90 + (DecLat-O1219))&gt;90, (90 + (O1219-DecLat)), (90 + (DecLat-O1219))))</f>
        <v>87.533333333333331</v>
      </c>
      <c r="AG1219" s="257">
        <f>angularseperation(MoonRA,MoonDec,$M1219,$O1219)</f>
        <v>75.911794601293039</v>
      </c>
      <c r="AH1219" s="261">
        <f ca="1">MIN(100,IF($O$5&gt;80,0+30*($AG1219/100),IF($O$5&gt;70,0+50*($AG1219/100),IF($O$5&gt;60,5+50*($AG1219/100),IF($O$5&gt;50,10+60*($AG1219/100),IF($O$5&gt;40,15+70*($AG1219/100),IF($O$5&gt;30,20+70*($AG1219/100),IF($O$5&gt;20,40+55*($AG1219/100),(80+(20-$O$5)+30*($AG1219/100))))))))))</f>
        <v>100</v>
      </c>
      <c r="AI1219" s="263"/>
      <c r="AJ1219" s="263"/>
      <c r="AK1219" s="263"/>
      <c r="AL1219" s="263"/>
      <c r="AM1219" s="264"/>
      <c r="AN1219" s="263"/>
      <c r="AO1219" s="263"/>
      <c r="AP1219" s="265"/>
      <c r="AQ1219" s="265"/>
      <c r="AR1219" s="285"/>
      <c r="AS1219" s="263"/>
      <c r="AT1219" s="263"/>
      <c r="AU1219" s="263">
        <v>346</v>
      </c>
      <c r="AV1219" s="264"/>
      <c r="AW1219" s="263"/>
      <c r="AX1219" s="263"/>
      <c r="AY1219" s="263"/>
      <c r="AZ1219" s="263"/>
      <c r="BA1219" s="263"/>
      <c r="BB1219" s="263"/>
      <c r="BC1219" s="263"/>
      <c r="BD1219" s="264"/>
      <c r="BE1219" s="263"/>
      <c r="BF1219" s="263"/>
      <c r="BG1219" s="263"/>
      <c r="BH1219" s="263"/>
      <c r="BI1219" s="263"/>
      <c r="BJ1219" s="404">
        <f>altaz(J2000_Bas,$O1219,$M1219,DecLat,DecLong,2)</f>
        <v>72.740795738273874</v>
      </c>
      <c r="BK1219" s="378" t="s">
        <v>4748</v>
      </c>
      <c r="BL1219" s="379">
        <f>IF((2*G1219)/60&lt;0.2,0.2,(2*G1219)/60)</f>
        <v>0.2</v>
      </c>
      <c r="BM1219" s="380">
        <f>MOD((50000+AD1219-$B$3+(0/24)),1)</f>
        <v>3.4655696581467055E-2</v>
      </c>
      <c r="BN1219" s="381"/>
      <c r="BO1219" s="382">
        <v>1213</v>
      </c>
    </row>
    <row r="1220" spans="1:67" s="24" customFormat="1" ht="15" customHeight="1" x14ac:dyDescent="0.25">
      <c r="A1220" s="288" t="s">
        <v>1274</v>
      </c>
      <c r="B1220" s="241" t="str">
        <f>HYPERLINK(CONCATENATE($AT$3,BK1220,$AU$3),$AV$3)</f>
        <v>S</v>
      </c>
      <c r="C1220" s="242" t="str">
        <f>HYPERLINK(CONCATENATE($AT$4,BK1220,$AU$4,BL1220),$AV$4)</f>
        <v>A</v>
      </c>
      <c r="D1220" s="243" t="s">
        <v>5187</v>
      </c>
      <c r="E1220" s="244" t="s">
        <v>5181</v>
      </c>
      <c r="F1220" s="269" t="s">
        <v>4808</v>
      </c>
      <c r="G1220" s="270">
        <v>0.3</v>
      </c>
      <c r="H1220" s="283">
        <v>28000</v>
      </c>
      <c r="I1220" s="279">
        <v>2.5</v>
      </c>
      <c r="J1220" s="246">
        <v>1</v>
      </c>
      <c r="K1220" s="247" t="s">
        <v>4807</v>
      </c>
      <c r="L1220" s="248">
        <v>15836</v>
      </c>
      <c r="M1220" s="249">
        <f>15*(LEFT(TEXT($L1220,"000000"),2)+(MID(TEXT($L1220,"000000"),3,2)/60)+(RIGHT(TEXT($L1220,"000000"),2)/3600))</f>
        <v>29.650000000000002</v>
      </c>
      <c r="N1220" s="250">
        <v>663400</v>
      </c>
      <c r="O1220" s="251">
        <f>IF($N1220&gt;0,(LEFT(TEXT($N1220,"000000"),2)+(MID(TEXT($N1220,"000000"),3,2)/60)+(RIGHT(TEXT($N1220,"000000"),2)/3600)),-(MID(TEXT($N1220,"000000"),2,2)+(MID(TEXT($N1220,"000000"),4,2)/60)+(RIGHT(TEXT($N1220,"000000"),2)/3600)))</f>
        <v>66.566666666666663</v>
      </c>
      <c r="P1220" s="252" t="s">
        <v>49</v>
      </c>
      <c r="Q1220" s="253"/>
      <c r="R1220" s="247" t="s">
        <v>3293</v>
      </c>
      <c r="S1220" s="272" t="s">
        <v>3293</v>
      </c>
      <c r="T1220" s="273">
        <v>21</v>
      </c>
      <c r="U1220" s="274"/>
      <c r="V1220" s="280"/>
      <c r="W1220" s="244"/>
      <c r="X1220" s="244"/>
      <c r="Y1220" s="362"/>
      <c r="Z1220" s="257">
        <f>altaz(J2000_Bas,$O1220,$M1220,DecLat,DecLong,1)</f>
        <v>23.08712333997077</v>
      </c>
      <c r="AA1220" s="257">
        <f>altaz((J2000_Bas+(2*0.04167)),$O1220,$M1220,DecLat,DecLong,1)</f>
        <v>34.681645402451778</v>
      </c>
      <c r="AB1220" s="257">
        <f>altaz((J2000_Bas+(4*0.04167)),$O1220,$M1220,DecLat,DecLong,1)</f>
        <v>46.047370052691555</v>
      </c>
      <c r="AC1220" s="257">
        <f>altaz((J2000_Bas+(6*0.04167)),$O1220,$M1220,DecLat,DecLong,1)</f>
        <v>53.529957979267984</v>
      </c>
      <c r="AD1220" s="258">
        <f>1+ transit((J2000_Bas-1),$O1220,$M1220,DecLat,DecLong)/360 + (GMTOffset/24) + (IF(DST="Y", 1, 0)/24)</f>
        <v>1.075261063504708</v>
      </c>
      <c r="AE1220" s="259">
        <f>DATE(2001,9,21)+(M1220/360)*365 - (360*((DecLong/360)- (GMTOffset/24) ))</f>
        <v>37190.061805555553</v>
      </c>
      <c r="AF1220" s="260">
        <f>IF(DecLat&gt;0,IF((90 - (DecLat-O1220))&gt;90, (90 - (O1220-DecLat)), (90 - (DecLat-O1220))),IF((90 + (DecLat-O1220))&gt;90, (90 + (O1220-DecLat)), (90 + (DecLat-O1220))))</f>
        <v>54.433333333333337</v>
      </c>
      <c r="AG1220" s="257">
        <f>angularseperation(MoonRA,MoonDec,$M1220,$O1220)</f>
        <v>133.67723519381238</v>
      </c>
      <c r="AH1220" s="261">
        <f ca="1">MIN(100,IF($O$5&gt;80,0+30*($AG1220/100),IF($O$5&gt;70,0+50*($AG1220/100),IF($O$5&gt;60,5+50*($AG1220/100),IF($O$5&gt;50,10+60*($AG1220/100),IF($O$5&gt;40,15+70*($AG1220/100),IF($O$5&gt;30,20+70*($AG1220/100),IF($O$5&gt;20,40+55*($AG1220/100),(80+(20-$O$5)+30*($AG1220/100))))))))))</f>
        <v>100</v>
      </c>
      <c r="AI1220" s="262"/>
      <c r="AJ1220" s="262"/>
      <c r="AK1220" s="262"/>
      <c r="AL1220" s="263"/>
      <c r="AM1220" s="264"/>
      <c r="AN1220" s="263"/>
      <c r="AO1220" s="263"/>
      <c r="AP1220" s="265"/>
      <c r="AQ1220" s="266"/>
      <c r="AR1220" s="267"/>
      <c r="AS1220" s="263"/>
      <c r="AT1220" s="263"/>
      <c r="AU1220" s="263">
        <v>391</v>
      </c>
      <c r="AV1220" s="264"/>
      <c r="AW1220" s="263"/>
      <c r="AX1220" s="263"/>
      <c r="AY1220" s="263"/>
      <c r="AZ1220" s="263"/>
      <c r="BA1220" s="263"/>
      <c r="BB1220" s="263"/>
      <c r="BC1220" s="263"/>
      <c r="BD1220" s="264"/>
      <c r="BE1220" s="263"/>
      <c r="BF1220" s="263"/>
      <c r="BG1220" s="263"/>
      <c r="BH1220" s="263"/>
      <c r="BI1220" s="263"/>
      <c r="BJ1220" s="404">
        <f>altaz(J2000_Bas,$O1220,$M1220,DecLat,DecLong,2)</f>
        <v>24.840877788237965</v>
      </c>
      <c r="BK1220" s="378" t="s">
        <v>4749</v>
      </c>
      <c r="BL1220" s="379">
        <f>IF((2*G1220)/60&lt;0.2,0.2,(2*G1220)/60)</f>
        <v>0.2</v>
      </c>
      <c r="BM1220" s="380">
        <f>MOD((50000+AD1220-$B$3+(0/24)),1)</f>
        <v>0.29062799320672639</v>
      </c>
      <c r="BN1220" s="381"/>
      <c r="BO1220" s="382">
        <v>1214</v>
      </c>
    </row>
    <row r="1221" spans="1:67" s="24" customFormat="1" ht="15" customHeight="1" x14ac:dyDescent="0.25">
      <c r="A1221" s="288" t="s">
        <v>1275</v>
      </c>
      <c r="B1221" s="241" t="str">
        <f>HYPERLINK(CONCATENATE($AT$3,BK1221,$AU$3),$AV$3)</f>
        <v>S</v>
      </c>
      <c r="C1221" s="242" t="str">
        <f>HYPERLINK(CONCATENATE($AT$4,BK1221,$AU$4,BL1221),$AV$4)</f>
        <v>A</v>
      </c>
      <c r="D1221" s="243" t="s">
        <v>5187</v>
      </c>
      <c r="E1221" s="244" t="s">
        <v>5181</v>
      </c>
      <c r="F1221" s="269" t="s">
        <v>5739</v>
      </c>
      <c r="G1221" s="270">
        <v>0.3</v>
      </c>
      <c r="H1221" s="283">
        <v>22000</v>
      </c>
      <c r="I1221" s="279">
        <v>2</v>
      </c>
      <c r="J1221" s="246">
        <v>2</v>
      </c>
      <c r="K1221" s="247" t="s">
        <v>4809</v>
      </c>
      <c r="L1221" s="248">
        <v>20340</v>
      </c>
      <c r="M1221" s="249">
        <f>15*(LEFT(TEXT($L1221,"000000"),2)+(MID(TEXT($L1221,"000000"),3,2)/60)+(RIGHT(TEXT($L1221,"000000"),2)/3600))</f>
        <v>30.916666666666664</v>
      </c>
      <c r="N1221" s="250">
        <v>645736</v>
      </c>
      <c r="O1221" s="251">
        <f>IF($N1221&gt;0,(LEFT(TEXT($N1221,"000000"),2)+(MID(TEXT($N1221,"000000"),3,2)/60)+(RIGHT(TEXT($N1221,"000000"),2)/3600)),-(MID(TEXT($N1221,"000000"),2,2)+(MID(TEXT($N1221,"000000"),4,2)/60)+(RIGHT(TEXT($N1221,"000000"),2)/3600)))</f>
        <v>64.960000000000008</v>
      </c>
      <c r="P1221" s="252" t="s">
        <v>49</v>
      </c>
      <c r="Q1221" s="253"/>
      <c r="R1221" s="277" t="s">
        <v>3293</v>
      </c>
      <c r="S1221" s="272" t="s">
        <v>3293</v>
      </c>
      <c r="T1221" s="273">
        <v>17</v>
      </c>
      <c r="U1221" s="274"/>
      <c r="V1221" s="280"/>
      <c r="W1221" s="244"/>
      <c r="X1221" s="244"/>
      <c r="Y1221" s="362"/>
      <c r="Z1221" s="257">
        <f>altaz(J2000_Bas,$O1221,$M1221,DecLat,DecLong,1)</f>
        <v>21.916692383566261</v>
      </c>
      <c r="AA1221" s="257">
        <f>altaz((J2000_Bas+(2*0.04167)),$O1221,$M1221,DecLat,DecLong,1)</f>
        <v>34.164588672327703</v>
      </c>
      <c r="AB1221" s="257">
        <f>altaz((J2000_Bas+(4*0.04167)),$O1221,$M1221,DecLat,DecLong,1)</f>
        <v>46.411182373698466</v>
      </c>
      <c r="AC1221" s="257">
        <f>altaz((J2000_Bas+(6*0.04167)),$O1221,$M1221,DecLat,DecLong,1)</f>
        <v>54.84686709306245</v>
      </c>
      <c r="AD1221" s="258">
        <f>1+ transit((J2000_Bas-1),$O1221,$M1221,DecLat,DecLong)/360 + (GMTOffset/24) + (IF(DST="Y", 1, 0)/24)</f>
        <v>1.0787795816713748</v>
      </c>
      <c r="AE1221" s="259">
        <f>DATE(2001,9,21)+(M1221/360)*365 - (360*((DecLong/360)- (GMTOffset/24) ))</f>
        <v>37191.346064814818</v>
      </c>
      <c r="AF1221" s="260">
        <f>IF(DecLat&gt;0,IF((90 - (DecLat-O1221))&gt;90, (90 - (O1221-DecLat)), (90 - (DecLat-O1221))),IF((90 + (DecLat-O1221))&gt;90, (90 + (O1221-DecLat)), (90 + (DecLat-O1221))))</f>
        <v>56.039999999999992</v>
      </c>
      <c r="AG1221" s="257">
        <f>angularseperation(MoonRA,MoonDec,$M1221,$O1221)</f>
        <v>135.08339096653648</v>
      </c>
      <c r="AH1221" s="261">
        <f ca="1">MIN(100,IF($O$5&gt;80,0+30*($AG1221/100),IF($O$5&gt;70,0+50*($AG1221/100),IF($O$5&gt;60,5+50*($AG1221/100),IF($O$5&gt;50,10+60*($AG1221/100),IF($O$5&gt;40,15+70*($AG1221/100),IF($O$5&gt;30,20+70*($AG1221/100),IF($O$5&gt;20,40+55*($AG1221/100),(80+(20-$O$5)+30*($AG1221/100))))))))))</f>
        <v>100</v>
      </c>
      <c r="AI1221" s="263"/>
      <c r="AJ1221" s="263"/>
      <c r="AK1221" s="263"/>
      <c r="AL1221" s="263"/>
      <c r="AM1221" s="264"/>
      <c r="AN1221" s="263"/>
      <c r="AO1221" s="263"/>
      <c r="AP1221" s="265"/>
      <c r="AQ1221" s="265"/>
      <c r="AR1221" s="285"/>
      <c r="AS1221" s="263"/>
      <c r="AT1221" s="263"/>
      <c r="AU1221" s="263">
        <v>392</v>
      </c>
      <c r="AV1221" s="264"/>
      <c r="AW1221" s="263"/>
      <c r="AX1221" s="263"/>
      <c r="AY1221" s="263"/>
      <c r="AZ1221" s="263"/>
      <c r="BA1221" s="263"/>
      <c r="BB1221" s="263"/>
      <c r="BC1221" s="263"/>
      <c r="BD1221" s="264"/>
      <c r="BE1221" s="263"/>
      <c r="BF1221" s="263"/>
      <c r="BG1221" s="263"/>
      <c r="BH1221" s="263"/>
      <c r="BI1221" s="263"/>
      <c r="BJ1221" s="404">
        <f>altaz(J2000_Bas,$O1221,$M1221,DecLat,DecLong,2)</f>
        <v>26.158413049543462</v>
      </c>
      <c r="BK1221" s="378" t="s">
        <v>4750</v>
      </c>
      <c r="BL1221" s="379">
        <f>IF((2*G1221)/60&lt;0.2,0.2,(2*G1221)/60)</f>
        <v>0.2</v>
      </c>
      <c r="BM1221" s="380">
        <f>MOD((50000+AD1221-$B$3+(0/24)),1)</f>
        <v>0.29414651137631154</v>
      </c>
      <c r="BN1221" s="381"/>
      <c r="BO1221" s="382">
        <v>1215</v>
      </c>
    </row>
    <row r="1222" spans="1:67" s="24" customFormat="1" ht="15" customHeight="1" x14ac:dyDescent="0.25">
      <c r="A1222" s="288" t="s">
        <v>1276</v>
      </c>
      <c r="B1222" s="241" t="str">
        <f>HYPERLINK(CONCATENATE($AT$3,BK1222,$AU$3),$AV$3)</f>
        <v>S</v>
      </c>
      <c r="C1222" s="242" t="str">
        <f>HYPERLINK(CONCATENATE($AT$4,BK1222,$AU$4,BL1222),$AV$4)</f>
        <v>A</v>
      </c>
      <c r="D1222" s="243" t="s">
        <v>5187</v>
      </c>
      <c r="E1222" s="244" t="s">
        <v>5181</v>
      </c>
      <c r="F1222" s="269" t="s">
        <v>4811</v>
      </c>
      <c r="G1222" s="270">
        <v>0.2</v>
      </c>
      <c r="H1222" s="271" t="s">
        <v>6500</v>
      </c>
      <c r="I1222" s="244" t="s">
        <v>6500</v>
      </c>
      <c r="J1222" s="246">
        <v>1</v>
      </c>
      <c r="K1222" s="247" t="s">
        <v>4810</v>
      </c>
      <c r="L1222" s="248">
        <v>22630</v>
      </c>
      <c r="M1222" s="249">
        <f>15*(LEFT(TEXT($L1222,"000000"),2)+(MID(TEXT($L1222,"000000"),3,2)/60)+(RIGHT(TEXT($L1222,"000000"),2)/3600))</f>
        <v>36.625</v>
      </c>
      <c r="N1222" s="250">
        <v>654753</v>
      </c>
      <c r="O1222" s="251">
        <f>IF($N1222&gt;0,(LEFT(TEXT($N1222,"000000"),2)+(MID(TEXT($N1222,"000000"),3,2)/60)+(RIGHT(TEXT($N1222,"000000"),2)/3600)),-(MID(TEXT($N1222,"000000"),2,2)+(MID(TEXT($N1222,"000000"),4,2)/60)+(RIGHT(TEXT($N1222,"000000"),2)/3600)))</f>
        <v>65.79805555555555</v>
      </c>
      <c r="P1222" s="252" t="s">
        <v>49</v>
      </c>
      <c r="Q1222" s="253"/>
      <c r="R1222" s="247" t="s">
        <v>3293</v>
      </c>
      <c r="S1222" s="272" t="s">
        <v>3293</v>
      </c>
      <c r="T1222" s="273">
        <v>18</v>
      </c>
      <c r="U1222" s="274"/>
      <c r="V1222" s="280"/>
      <c r="W1222" s="244"/>
      <c r="X1222" s="244"/>
      <c r="Y1222" s="362"/>
      <c r="Z1222" s="257">
        <f>altaz(J2000_Bas,$O1222,$M1222,DecLat,DecLong,1)</f>
        <v>20.24310386777498</v>
      </c>
      <c r="AA1222" s="257">
        <f>altaz((J2000_Bas+(2*0.04167)),$O1222,$M1222,DecLat,DecLong,1)</f>
        <v>31.839269477605139</v>
      </c>
      <c r="AB1222" s="257">
        <f>altaz((J2000_Bas+(4*0.04167)),$O1222,$M1222,DecLat,DecLong,1)</f>
        <v>43.908424814533944</v>
      </c>
      <c r="AC1222" s="257">
        <f>altaz((J2000_Bas+(6*0.04167)),$O1222,$M1222,DecLat,DecLong,1)</f>
        <v>53.053422774778305</v>
      </c>
      <c r="AD1222" s="258">
        <f>1+ transit((J2000_Bas-1),$O1222,$M1222,DecLat,DecLong)/360 + (GMTOffset/24) + (IF(DST="Y", 1, 0)/24)</f>
        <v>1.0946360615672079</v>
      </c>
      <c r="AE1222" s="259">
        <f>DATE(2001,9,21)+(M1222/360)*365 - (360*((DecLong/360)- (GMTOffset/24) ))</f>
        <v>37197.133680555555</v>
      </c>
      <c r="AF1222" s="260">
        <f>IF(DecLat&gt;0,IF((90 - (DecLat-O1222))&gt;90, (90 - (O1222-DecLat)), (90 - (DecLat-O1222))),IF((90 + (DecLat-O1222))&gt;90, (90 + (O1222-DecLat)), (90 + (DecLat-O1222))))</f>
        <v>55.20194444444445</v>
      </c>
      <c r="AG1222" s="257">
        <f>angularseperation(MoonRA,MoonDec,$M1222,$O1222)</f>
        <v>136.27912465427619</v>
      </c>
      <c r="AH1222" s="261">
        <f ca="1">MIN(100,IF($O$5&gt;80,0+30*($AG1222/100),IF($O$5&gt;70,0+50*($AG1222/100),IF($O$5&gt;60,5+50*($AG1222/100),IF($O$5&gt;50,10+60*($AG1222/100),IF($O$5&gt;40,15+70*($AG1222/100),IF($O$5&gt;30,20+70*($AG1222/100),IF($O$5&gt;20,40+55*($AG1222/100),(80+(20-$O$5)+30*($AG1222/100))))))))))</f>
        <v>100</v>
      </c>
      <c r="AI1222" s="262"/>
      <c r="AJ1222" s="262"/>
      <c r="AK1222" s="262"/>
      <c r="AL1222" s="263"/>
      <c r="AM1222" s="264"/>
      <c r="AN1222" s="263"/>
      <c r="AO1222" s="263"/>
      <c r="AP1222" s="265"/>
      <c r="AQ1222" s="266"/>
      <c r="AR1222" s="267"/>
      <c r="AS1222" s="263"/>
      <c r="AT1222" s="263"/>
      <c r="AU1222" s="263">
        <v>393</v>
      </c>
      <c r="AV1222" s="264"/>
      <c r="AW1222" s="263"/>
      <c r="AX1222" s="263"/>
      <c r="AY1222" s="263"/>
      <c r="AZ1222" s="263"/>
      <c r="BA1222" s="263"/>
      <c r="BB1222" s="263"/>
      <c r="BC1222" s="263"/>
      <c r="BD1222" s="264"/>
      <c r="BE1222" s="263"/>
      <c r="BF1222" s="263"/>
      <c r="BG1222" s="263"/>
      <c r="BH1222" s="263"/>
      <c r="BI1222" s="263"/>
      <c r="BJ1222" s="404">
        <f>altaz(J2000_Bas,$O1222,$M1222,DecLat,DecLong,2)</f>
        <v>24.138531622796826</v>
      </c>
      <c r="BK1222" s="378" t="s">
        <v>4751</v>
      </c>
      <c r="BL1222" s="379">
        <f>IF((2*G1222)/60&lt;0.2,0.2,(2*G1222)/60)</f>
        <v>0.2</v>
      </c>
      <c r="BM1222" s="380">
        <f>MOD((50000+AD1222-$B$3+(0/24)),1)</f>
        <v>0.31000299127481412</v>
      </c>
      <c r="BN1222" s="381"/>
      <c r="BO1222" s="382">
        <v>1216</v>
      </c>
    </row>
    <row r="1223" spans="1:67" s="24" customFormat="1" ht="15" customHeight="1" x14ac:dyDescent="0.25">
      <c r="A1223" s="288" t="s">
        <v>1277</v>
      </c>
      <c r="B1223" s="241" t="str">
        <f>HYPERLINK(CONCATENATE($AT$3,BK1223,$AU$3),$AV$3)</f>
        <v>S</v>
      </c>
      <c r="C1223" s="242" t="str">
        <f>HYPERLINK(CONCATENATE($AT$4,BK1223,$AU$4,BL1223),$AV$4)</f>
        <v>A</v>
      </c>
      <c r="D1223" s="243" t="s">
        <v>5187</v>
      </c>
      <c r="E1223" s="244" t="s">
        <v>5181</v>
      </c>
      <c r="F1223" s="269" t="s">
        <v>4813</v>
      </c>
      <c r="G1223" s="270">
        <v>0.2</v>
      </c>
      <c r="H1223" s="283">
        <v>22000</v>
      </c>
      <c r="I1223" s="279">
        <v>1.4</v>
      </c>
      <c r="J1223" s="246">
        <v>1</v>
      </c>
      <c r="K1223" s="247" t="s">
        <v>4812</v>
      </c>
      <c r="L1223" s="248">
        <v>33608</v>
      </c>
      <c r="M1223" s="249">
        <f>15*(LEFT(TEXT($L1223,"000000"),2)+(MID(TEXT($L1223,"000000"),3,2)/60)+(RIGHT(TEXT($L1223,"000000"),2)/3600))</f>
        <v>54.033333333333331</v>
      </c>
      <c r="N1223" s="250">
        <v>600347</v>
      </c>
      <c r="O1223" s="251">
        <f>IF($N1223&gt;0,(LEFT(TEXT($N1223,"000000"),2)+(MID(TEXT($N1223,"000000"),3,2)/60)+(RIGHT(TEXT($N1223,"000000"),2)/3600)),-(MID(TEXT($N1223,"000000"),2,2)+(MID(TEXT($N1223,"000000"),4,2)/60)+(RIGHT(TEXT($N1223,"000000"),2)/3600)))</f>
        <v>60.06305555555555</v>
      </c>
      <c r="P1223" s="252" t="s">
        <v>226</v>
      </c>
      <c r="Q1223" s="253"/>
      <c r="R1223" s="247" t="s">
        <v>3293</v>
      </c>
      <c r="S1223" s="272" t="s">
        <v>3293</v>
      </c>
      <c r="T1223" s="273">
        <v>16</v>
      </c>
      <c r="U1223" s="274"/>
      <c r="V1223" s="280"/>
      <c r="W1223" s="244"/>
      <c r="X1223" s="244"/>
      <c r="Y1223" s="362"/>
      <c r="Z1223" s="257">
        <f>altaz(J2000_Bas,$O1223,$M1223,DecLat,DecLong,1)</f>
        <v>10.531685982541518</v>
      </c>
      <c r="AA1223" s="257">
        <f>altaz((J2000_Bas+(2*0.04167)),$O1223,$M1223,DecLat,DecLong,1)</f>
        <v>22.779372431404433</v>
      </c>
      <c r="AB1223" s="257">
        <f>altaz((J2000_Bas+(4*0.04167)),$O1223,$M1223,DecLat,DecLong,1)</f>
        <v>37.410453517942038</v>
      </c>
      <c r="AC1223" s="257">
        <f>altaz((J2000_Bas+(6*0.04167)),$O1223,$M1223,DecLat,DecLong,1)</f>
        <v>51.667608968675523</v>
      </c>
      <c r="AD1223" s="258">
        <f>1+ transit((J2000_Bas-1),$O1223,$M1223,DecLat,DecLong)/360 + (GMTOffset/24) + (IF(DST="Y", 1, 0)/24)</f>
        <v>1.1429925382130415</v>
      </c>
      <c r="AE1223" s="259">
        <f>DATE(2001,9,21)+(M1223/360)*365 - (360*((DecLong/360)- (GMTOffset/24) ))</f>
        <v>37214.783796296295</v>
      </c>
      <c r="AF1223" s="260">
        <f>IF(DecLat&gt;0,IF((90 - (DecLat-O1223))&gt;90, (90 - (O1223-DecLat)), (90 - (DecLat-O1223))),IF((90 + (DecLat-O1223))&gt;90, (90 + (O1223-DecLat)), (90 + (DecLat-O1223))))</f>
        <v>60.93694444444445</v>
      </c>
      <c r="AG1223" s="257">
        <f>angularseperation(MoonRA,MoonDec,$M1223,$O1223)</f>
        <v>145.41743685684727</v>
      </c>
      <c r="AH1223" s="261">
        <f ca="1">MIN(100,IF($O$5&gt;80,0+30*($AG1223/100),IF($O$5&gt;70,0+50*($AG1223/100),IF($O$5&gt;60,5+50*($AG1223/100),IF($O$5&gt;50,10+60*($AG1223/100),IF($O$5&gt;40,15+70*($AG1223/100),IF($O$5&gt;30,20+70*($AG1223/100),IF($O$5&gt;20,40+55*($AG1223/100),(80+(20-$O$5)+30*($AG1223/100))))))))))</f>
        <v>100</v>
      </c>
      <c r="AI1223" s="262"/>
      <c r="AJ1223" s="262"/>
      <c r="AK1223" s="262"/>
      <c r="AL1223" s="263"/>
      <c r="AM1223" s="264"/>
      <c r="AN1223" s="263"/>
      <c r="AO1223" s="263"/>
      <c r="AP1223" s="265"/>
      <c r="AQ1223" s="266"/>
      <c r="AR1223" s="267"/>
      <c r="AS1223" s="263"/>
      <c r="AT1223" s="263"/>
      <c r="AU1223" s="263">
        <v>394</v>
      </c>
      <c r="AV1223" s="264"/>
      <c r="AW1223" s="263"/>
      <c r="AX1223" s="263"/>
      <c r="AY1223" s="263"/>
      <c r="AZ1223" s="263"/>
      <c r="BA1223" s="263"/>
      <c r="BB1223" s="263"/>
      <c r="BC1223" s="263"/>
      <c r="BD1223" s="264"/>
      <c r="BE1223" s="263"/>
      <c r="BF1223" s="263"/>
      <c r="BG1223" s="263"/>
      <c r="BH1223" s="263"/>
      <c r="BI1223" s="263"/>
      <c r="BJ1223" s="404">
        <f>altaz(J2000_Bas,$O1223,$M1223,DecLat,DecLong,2)</f>
        <v>23.567228805902296</v>
      </c>
      <c r="BK1223" s="378" t="s">
        <v>4752</v>
      </c>
      <c r="BL1223" s="379">
        <f>IF((2*G1223)/60&lt;0.2,0.2,(2*G1223)/60)</f>
        <v>0.2</v>
      </c>
      <c r="BM1223" s="380">
        <f>MOD((50000+AD1223-$B$3+(0/24)),1)</f>
        <v>0.35835946791485185</v>
      </c>
      <c r="BN1223" s="381"/>
      <c r="BO1223" s="382">
        <v>1217</v>
      </c>
    </row>
    <row r="1224" spans="1:67" s="24" customFormat="1" ht="15" customHeight="1" x14ac:dyDescent="0.25">
      <c r="A1224" s="287" t="s">
        <v>1278</v>
      </c>
      <c r="B1224" s="241" t="str">
        <f>HYPERLINK(CONCATENATE($AT$3,BK1224,$AU$3),$AV$3)</f>
        <v>S</v>
      </c>
      <c r="C1224" s="242" t="str">
        <f>HYPERLINK(CONCATENATE($AT$4,BK1224,$AU$4,BL1224),$AV$4)</f>
        <v>A</v>
      </c>
      <c r="D1224" s="243" t="s">
        <v>5187</v>
      </c>
      <c r="E1224" s="244" t="s">
        <v>5181</v>
      </c>
      <c r="F1224" s="293" t="s">
        <v>6189</v>
      </c>
      <c r="G1224" s="270">
        <v>0.3</v>
      </c>
      <c r="H1224" s="283">
        <v>25000</v>
      </c>
      <c r="I1224" s="279">
        <v>2.2000000000000002</v>
      </c>
      <c r="J1224" s="246">
        <v>1</v>
      </c>
      <c r="K1224" s="247" t="s">
        <v>6190</v>
      </c>
      <c r="L1224" s="248">
        <v>184536</v>
      </c>
      <c r="M1224" s="249">
        <f>15*(LEFT(TEXT($L1224,"000000"),2)+(MID(TEXT($L1224,"000000"),3,2)/60)+(RIGHT(TEXT($L1224,"000000"),2)/3600))</f>
        <v>281.40000000000003</v>
      </c>
      <c r="N1224" s="250">
        <v>-60900</v>
      </c>
      <c r="O1224" s="251">
        <f>IF($N1224&gt;0,(LEFT(TEXT($N1224,"000000"),2)+(MID(TEXT($N1224,"000000"),3,2)/60)+(RIGHT(TEXT($N1224,"000000"),2)/3600)),-(MID(TEXT($N1224,"000000"),2,2)+(MID(TEXT($N1224,"000000"),4,2)/60)+(RIGHT(TEXT($N1224,"000000"),2)/3600)))</f>
        <v>-6.15</v>
      </c>
      <c r="P1224" s="252" t="s">
        <v>121</v>
      </c>
      <c r="Q1224" s="253"/>
      <c r="R1224" s="277" t="s">
        <v>3293</v>
      </c>
      <c r="S1224" s="272" t="s">
        <v>3293</v>
      </c>
      <c r="T1224" s="273"/>
      <c r="U1224" s="274"/>
      <c r="V1224" s="280"/>
      <c r="W1224" s="244"/>
      <c r="X1224" s="244"/>
      <c r="Y1224" s="362"/>
      <c r="Z1224" s="257">
        <f>altaz(J2000_Bas,$O1224,$M1224,DecLat,DecLong,1)</f>
        <v>52.590032174936937</v>
      </c>
      <c r="AA1224" s="257">
        <f>altaz((J2000_Bas+(2*0.04167)),$O1224,$M1224,DecLat,DecLong,1)</f>
        <v>40.209994975051892</v>
      </c>
      <c r="AB1224" s="257">
        <f>altaz((J2000_Bas+(4*0.04167)),$O1224,$M1224,DecLat,DecLong,1)</f>
        <v>17.942799324573958</v>
      </c>
      <c r="AC1224" s="257">
        <f>altaz((J2000_Bas+(6*0.04167)),$O1224,$M1224,DecLat,DecLong,1)</f>
        <v>-7.314977106879808</v>
      </c>
      <c r="AD1224" s="258">
        <f>1+ transit((J2000_Bas-1),$O1224,$M1224,DecLat,DecLong)/360 + (GMTOffset/24) + (IF(DST="Y", 1, 0)/24)</f>
        <v>1.7745665491297082</v>
      </c>
      <c r="AE1224" s="259">
        <f>DATE(2001,9,21)+(M1224/360)*365 - (360*((DecLong/360)- (GMTOffset/24) ))</f>
        <v>37445.308333333334</v>
      </c>
      <c r="AF1224" s="260">
        <f>IF(DecLat&gt;0,IF((90 - (DecLat-O1224))&gt;90, (90 - (O1224-DecLat)), (90 - (DecLat-O1224))),IF((90 + (DecLat-O1224))&gt;90, (90 + (O1224-DecLat)), (90 + (DecLat-O1224))))</f>
        <v>52.85</v>
      </c>
      <c r="AG1224" s="257">
        <f>angularseperation(MoonRA,MoonDec,$M1224,$O1224)</f>
        <v>37.042893326875138</v>
      </c>
      <c r="AH1224" s="261">
        <f ca="1">MIN(100,IF($O$5&gt;80,0+30*($AG1224/100),IF($O$5&gt;70,0+50*($AG1224/100),IF($O$5&gt;60,5+50*($AG1224/100),IF($O$5&gt;50,10+60*($AG1224/100),IF($O$5&gt;40,15+70*($AG1224/100),IF($O$5&gt;30,20+70*($AG1224/100),IF($O$5&gt;20,40+55*($AG1224/100),(80+(20-$O$5)+30*($AG1224/100))))))))))</f>
        <v>94.383928342212968</v>
      </c>
      <c r="AI1224" s="263"/>
      <c r="AJ1224" s="263"/>
      <c r="AK1224" s="263"/>
      <c r="AL1224" s="263"/>
      <c r="AM1224" s="264"/>
      <c r="AN1224" s="263"/>
      <c r="AO1224" s="263"/>
      <c r="AP1224" s="265"/>
      <c r="AQ1224" s="265"/>
      <c r="AR1224" s="285"/>
      <c r="AS1224" s="263"/>
      <c r="AT1224" s="263"/>
      <c r="AU1224" s="263">
        <v>405</v>
      </c>
      <c r="AV1224" s="264"/>
      <c r="AW1224" s="263"/>
      <c r="AX1224" s="263"/>
      <c r="AY1224" s="263"/>
      <c r="AZ1224" s="263"/>
      <c r="BA1224" s="263"/>
      <c r="BB1224" s="263"/>
      <c r="BC1224" s="263"/>
      <c r="BD1224" s="264"/>
      <c r="BE1224" s="263"/>
      <c r="BF1224" s="263"/>
      <c r="BG1224" s="263"/>
      <c r="BH1224" s="263"/>
      <c r="BI1224" s="263"/>
      <c r="BJ1224" s="404">
        <f>altaz(J2000_Bas,$O1224,$M1224,DecLat,DecLong,2)</f>
        <v>187.54626308848839</v>
      </c>
      <c r="BK1224" s="378" t="s">
        <v>4753</v>
      </c>
      <c r="BL1224" s="379">
        <f>IF((2*G1224)/60&lt;0.2,0.2,(2*G1224)/60)</f>
        <v>0.2</v>
      </c>
      <c r="BM1224" s="380">
        <f>MOD((50000+AD1224-$B$3+(0/24)),1)</f>
        <v>0.98993347883515526</v>
      </c>
      <c r="BN1224" s="381"/>
      <c r="BO1224" s="382">
        <v>1218</v>
      </c>
    </row>
    <row r="1225" spans="1:67" s="24" customFormat="1" ht="15" customHeight="1" x14ac:dyDescent="0.25">
      <c r="A1225" s="288" t="s">
        <v>1279</v>
      </c>
      <c r="B1225" s="241" t="str">
        <f>HYPERLINK(CONCATENATE($AT$3,BK1225,$AU$3),$AV$3)</f>
        <v>S</v>
      </c>
      <c r="C1225" s="242" t="str">
        <f>HYPERLINK(CONCATENATE($AT$4,BK1225,$AU$4,BL1225),$AV$4)</f>
        <v>A</v>
      </c>
      <c r="D1225" s="243" t="s">
        <v>5187</v>
      </c>
      <c r="E1225" s="244" t="s">
        <v>5181</v>
      </c>
      <c r="F1225" s="269" t="s">
        <v>4797</v>
      </c>
      <c r="G1225" s="270">
        <v>0.3</v>
      </c>
      <c r="H1225" s="271" t="s">
        <v>6500</v>
      </c>
      <c r="I1225" s="244" t="s">
        <v>6500</v>
      </c>
      <c r="J1225" s="246">
        <v>1</v>
      </c>
      <c r="K1225" s="247" t="s">
        <v>6191</v>
      </c>
      <c r="L1225" s="248">
        <v>204218</v>
      </c>
      <c r="M1225" s="249">
        <f>15*(LEFT(TEXT($L1225,"000000"),2)+(MID(TEXT($L1225,"000000"),3,2)/60)+(RIGHT(TEXT($L1225,"000000"),2)/3600))</f>
        <v>310.57499999999999</v>
      </c>
      <c r="N1225" s="250">
        <v>372400</v>
      </c>
      <c r="O1225" s="251">
        <f>IF($N1225&gt;0,(LEFT(TEXT($N1225,"000000"),2)+(MID(TEXT($N1225,"000000"),3,2)/60)+(RIGHT(TEXT($N1225,"000000"),2)/3600)),-(MID(TEXT($N1225,"000000"),2,2)+(MID(TEXT($N1225,"000000"),4,2)/60)+(RIGHT(TEXT($N1225,"000000"),2)/3600)))</f>
        <v>37.4</v>
      </c>
      <c r="P1225" s="252" t="s">
        <v>60</v>
      </c>
      <c r="Q1225" s="253"/>
      <c r="R1225" s="277" t="s">
        <v>3293</v>
      </c>
      <c r="S1225" s="272" t="s">
        <v>3293</v>
      </c>
      <c r="T1225" s="273"/>
      <c r="U1225" s="274"/>
      <c r="V1225" s="280"/>
      <c r="W1225" s="244"/>
      <c r="X1225" s="244"/>
      <c r="Y1225" s="362"/>
      <c r="Z1225" s="257">
        <f>altaz(J2000_Bas,$O1225,$M1225,DecLat,DecLong,1)</f>
        <v>68.764442441841226</v>
      </c>
      <c r="AA1225" s="257">
        <f>altaz((J2000_Bas+(2*0.04167)),$O1225,$M1225,DecLat,DecLong,1)</f>
        <v>82.145835266475743</v>
      </c>
      <c r="AB1225" s="257">
        <f>altaz((J2000_Bas+(4*0.04167)),$O1225,$M1225,DecLat,DecLong,1)</f>
        <v>60.056990842101115</v>
      </c>
      <c r="AC1225" s="257">
        <f>altaz((J2000_Bas+(6*0.04167)),$O1225,$M1225,DecLat,DecLong,1)</f>
        <v>36.387539424383661</v>
      </c>
      <c r="AD1225" s="258">
        <f>1+ transit((J2000_Bas-1),$O1225,$M1225,DecLat,DecLong)/360 + (GMTOffset/24) + (IF(DST="Y", 1, 0)/24)</f>
        <v>1.8556082076922082</v>
      </c>
      <c r="AE1225" s="259">
        <f>DATE(2001,9,21)+(M1225/360)*365 - (360*((DecLong/360)- (GMTOffset/24) ))</f>
        <v>37474.888541666667</v>
      </c>
      <c r="AF1225" s="260">
        <f>IF(DecLat&gt;0,IF((90 - (DecLat-O1225))&gt;90, (90 - (O1225-DecLat)), (90 - (DecLat-O1225))),IF((90 + (DecLat-O1225))&gt;90, (90 + (O1225-DecLat)), (90 + (DecLat-O1225))))</f>
        <v>83.6</v>
      </c>
      <c r="AG1225" s="257">
        <f>angularseperation(MoonRA,MoonDec,$M1225,$O1225)</f>
        <v>86.401397162396108</v>
      </c>
      <c r="AH1225" s="261">
        <f ca="1">MIN(100,IF($O$5&gt;80,0+30*($AG1225/100),IF($O$5&gt;70,0+50*($AG1225/100),IF($O$5&gt;60,5+50*($AG1225/100),IF($O$5&gt;50,10+60*($AG1225/100),IF($O$5&gt;40,15+70*($AG1225/100),IF($O$5&gt;30,20+70*($AG1225/100),IF($O$5&gt;20,40+55*($AG1225/100),(80+(20-$O$5)+30*($AG1225/100))))))))))</f>
        <v>100</v>
      </c>
      <c r="AI1225" s="263"/>
      <c r="AJ1225" s="263"/>
      <c r="AK1225" s="263"/>
      <c r="AL1225" s="263"/>
      <c r="AM1225" s="264"/>
      <c r="AN1225" s="263"/>
      <c r="AO1225" s="263"/>
      <c r="AP1225" s="265"/>
      <c r="AQ1225" s="265"/>
      <c r="AR1225" s="285"/>
      <c r="AS1225" s="263"/>
      <c r="AT1225" s="263"/>
      <c r="AU1225" s="263">
        <v>453</v>
      </c>
      <c r="AV1225" s="264"/>
      <c r="AW1225" s="263"/>
      <c r="AX1225" s="263"/>
      <c r="AY1225" s="263"/>
      <c r="AZ1225" s="263"/>
      <c r="BA1225" s="263"/>
      <c r="BB1225" s="263"/>
      <c r="BC1225" s="263"/>
      <c r="BD1225" s="264"/>
      <c r="BE1225" s="263"/>
      <c r="BF1225" s="263"/>
      <c r="BG1225" s="263"/>
      <c r="BH1225" s="263"/>
      <c r="BI1225" s="263"/>
      <c r="BJ1225" s="404">
        <f>altaz(J2000_Bas,$O1225,$M1225,DecLat,DecLong,2)</f>
        <v>65.791702043429027</v>
      </c>
      <c r="BK1225" s="378" t="s">
        <v>4754</v>
      </c>
      <c r="BL1225" s="379">
        <f>IF((2*G1225)/60&lt;0.2,0.2,(2*G1225)/60)</f>
        <v>0.2</v>
      </c>
      <c r="BM1225" s="380">
        <f>MOD((50000+AD1225-$B$3+(0/24)),1)</f>
        <v>7.097513739427086E-2</v>
      </c>
      <c r="BN1225" s="381"/>
      <c r="BO1225" s="382">
        <v>1219</v>
      </c>
    </row>
    <row r="1226" spans="1:67" s="24" customFormat="1" ht="15" customHeight="1" x14ac:dyDescent="0.25">
      <c r="A1226" s="288" t="s">
        <v>1280</v>
      </c>
      <c r="B1226" s="241" t="str">
        <f>HYPERLINK(CONCATENATE($AT$3,BK1226,$AU$3),$AV$3)</f>
        <v>S</v>
      </c>
      <c r="C1226" s="242" t="str">
        <f>HYPERLINK(CONCATENATE($AT$4,BK1226,$AU$4,BL1226),$AV$4)</f>
        <v>A</v>
      </c>
      <c r="D1226" s="243" t="s">
        <v>5187</v>
      </c>
      <c r="E1226" s="244" t="s">
        <v>5181</v>
      </c>
      <c r="F1226" s="269" t="s">
        <v>4813</v>
      </c>
      <c r="G1226" s="270">
        <v>0.5</v>
      </c>
      <c r="H1226" s="283">
        <v>4500</v>
      </c>
      <c r="I1226" s="309">
        <v>0.7</v>
      </c>
      <c r="J1226" s="246">
        <v>3</v>
      </c>
      <c r="K1226" s="247" t="s">
        <v>4814</v>
      </c>
      <c r="L1226" s="248">
        <v>204512</v>
      </c>
      <c r="M1226" s="249">
        <f>15*(LEFT(TEXT($L1226,"000000"),2)+(MID(TEXT($L1226,"000000"),3,2)/60)+(RIGHT(TEXT($L1226,"000000"),2)/3600))</f>
        <v>311.3</v>
      </c>
      <c r="N1226" s="250">
        <v>442400</v>
      </c>
      <c r="O1226" s="251">
        <f>IF($N1226&gt;0,(LEFT(TEXT($N1226,"000000"),2)+(MID(TEXT($N1226,"000000"),3,2)/60)+(RIGHT(TEXT($N1226,"000000"),2)/3600)),-(MID(TEXT($N1226,"000000"),2,2)+(MID(TEXT($N1226,"000000"),4,2)/60)+(RIGHT(TEXT($N1226,"000000"),2)/3600)))</f>
        <v>44.4</v>
      </c>
      <c r="P1226" s="252" t="s">
        <v>60</v>
      </c>
      <c r="Q1226" s="253"/>
      <c r="R1226" s="277" t="s">
        <v>3293</v>
      </c>
      <c r="S1226" s="272" t="s">
        <v>3293</v>
      </c>
      <c r="T1226" s="273">
        <v>16.5</v>
      </c>
      <c r="U1226" s="274"/>
      <c r="V1226" s="280"/>
      <c r="W1226" s="244"/>
      <c r="X1226" s="244"/>
      <c r="Y1226" s="362"/>
      <c r="Z1226" s="257">
        <f>altaz(J2000_Bas,$O1226,$M1226,DecLat,DecLong,1)</f>
        <v>66.070588060987816</v>
      </c>
      <c r="AA1226" s="257">
        <f>altaz((J2000_Bas+(2*0.04167)),$O1226,$M1226,DecLat,DecLong,1)</f>
        <v>76.081647795770323</v>
      </c>
      <c r="AB1226" s="257">
        <f>altaz((J2000_Bas+(4*0.04167)),$O1226,$M1226,DecLat,DecLong,1)</f>
        <v>59.633085862782458</v>
      </c>
      <c r="AC1226" s="257">
        <f>altaz((J2000_Bas+(6*0.04167)),$O1226,$M1226,DecLat,DecLong,1)</f>
        <v>38.286777328108016</v>
      </c>
      <c r="AD1226" s="258">
        <f>1+ transit((J2000_Bas-1),$O1226,$M1226,DecLat,DecLong)/360 + (GMTOffset/24) + (IF(DST="Y", 1, 0)/24)</f>
        <v>1.8576220963797081</v>
      </c>
      <c r="AE1226" s="259">
        <f>DATE(2001,9,21)+(M1226/360)*365 - (360*((DecLong/360)- (GMTOffset/24) ))</f>
        <v>37475.623611111114</v>
      </c>
      <c r="AF1226" s="260">
        <f>IF(DecLat&gt;0,IF((90 - (DecLat-O1226))&gt;90, (90 - (O1226-DecLat)), (90 - (DecLat-O1226))),IF((90 + (DecLat-O1226))&gt;90, (90 + (O1226-DecLat)), (90 + (DecLat-O1226))))</f>
        <v>76.599999999999994</v>
      </c>
      <c r="AG1226" s="257">
        <f>angularseperation(MoonRA,MoonDec,$M1226,$O1226)</f>
        <v>91.173673267383478</v>
      </c>
      <c r="AH1226" s="261">
        <f ca="1">MIN(100,IF($O$5&gt;80,0+30*($AG1226/100),IF($O$5&gt;70,0+50*($AG1226/100),IF($O$5&gt;60,5+50*($AG1226/100),IF($O$5&gt;50,10+60*($AG1226/100),IF($O$5&gt;40,15+70*($AG1226/100),IF($O$5&gt;30,20+70*($AG1226/100),IF($O$5&gt;20,40+55*($AG1226/100),(80+(20-$O$5)+30*($AG1226/100))))))))))</f>
        <v>100</v>
      </c>
      <c r="AI1226" s="263"/>
      <c r="AJ1226" s="263"/>
      <c r="AK1226" s="263"/>
      <c r="AL1226" s="263"/>
      <c r="AM1226" s="264"/>
      <c r="AN1226" s="263"/>
      <c r="AO1226" s="263"/>
      <c r="AP1226" s="265"/>
      <c r="AQ1226" s="265"/>
      <c r="AR1226" s="285"/>
      <c r="AS1226" s="263"/>
      <c r="AT1226" s="263"/>
      <c r="AU1226" s="263">
        <v>455</v>
      </c>
      <c r="AV1226" s="264"/>
      <c r="AW1226" s="263"/>
      <c r="AX1226" s="263"/>
      <c r="AY1226" s="263"/>
      <c r="AZ1226" s="263"/>
      <c r="BA1226" s="263"/>
      <c r="BB1226" s="263"/>
      <c r="BC1226" s="263"/>
      <c r="BD1226" s="264"/>
      <c r="BE1226" s="263"/>
      <c r="BF1226" s="263"/>
      <c r="BG1226" s="263"/>
      <c r="BH1226" s="263"/>
      <c r="BI1226" s="263"/>
      <c r="BJ1226" s="404">
        <f>altaz(J2000_Bas,$O1226,$M1226,DecLat,DecLong,2)</f>
        <v>48.825365340470704</v>
      </c>
      <c r="BK1226" s="378" t="s">
        <v>4755</v>
      </c>
      <c r="BL1226" s="379">
        <f>IF((2*G1226)/60&lt;0.2,0.2,(2*G1226)/60)</f>
        <v>0.2</v>
      </c>
      <c r="BM1226" s="380">
        <f>MOD((50000+AD1226-$B$3+(0/24)),1)</f>
        <v>7.2989026084542274E-2</v>
      </c>
      <c r="BN1226" s="381"/>
      <c r="BO1226" s="382">
        <v>1220</v>
      </c>
    </row>
    <row r="1227" spans="1:67" s="24" customFormat="1" ht="15" customHeight="1" x14ac:dyDescent="0.25">
      <c r="A1227" s="288" t="s">
        <v>1281</v>
      </c>
      <c r="B1227" s="241" t="str">
        <f>HYPERLINK(CONCATENATE($AT$3,BK1227,$AU$3),$AV$3)</f>
        <v>S</v>
      </c>
      <c r="C1227" s="242" t="str">
        <f>HYPERLINK(CONCATENATE($AT$4,BK1227,$AU$4,BL1227),$AV$4)</f>
        <v>A</v>
      </c>
      <c r="D1227" s="243" t="s">
        <v>5187</v>
      </c>
      <c r="E1227" s="244" t="s">
        <v>5181</v>
      </c>
      <c r="F1227" s="269" t="s">
        <v>5224</v>
      </c>
      <c r="G1227" s="273">
        <v>5</v>
      </c>
      <c r="H1227" s="283">
        <v>13000</v>
      </c>
      <c r="I1227" s="246">
        <v>18</v>
      </c>
      <c r="J1227" s="246">
        <v>2</v>
      </c>
      <c r="K1227" s="247" t="s">
        <v>4815</v>
      </c>
      <c r="L1227" s="248">
        <v>192139</v>
      </c>
      <c r="M1227" s="249">
        <f>15*(LEFT(TEXT($L1227,"000000"),2)+(MID(TEXT($L1227,"000000"),3,2)/60)+(RIGHT(TEXT($L1227,"000000"),2)/3600))</f>
        <v>290.41250000000002</v>
      </c>
      <c r="N1227" s="250">
        <v>381857</v>
      </c>
      <c r="O1227" s="251">
        <f>IF($N1227&gt;0,(LEFT(TEXT($N1227,"000000"),2)+(MID(TEXT($N1227,"000000"),3,2)/60)+(RIGHT(TEXT($N1227,"000000"),2)/3600)),-(MID(TEXT($N1227,"000000"),2,2)+(MID(TEXT($N1227,"000000"),4,2)/60)+(RIGHT(TEXT($N1227,"000000"),2)/3600)))</f>
        <v>38.31583333333333</v>
      </c>
      <c r="P1227" s="252" t="s">
        <v>123</v>
      </c>
      <c r="Q1227" s="253" t="s">
        <v>7071</v>
      </c>
      <c r="R1227" s="247" t="s">
        <v>3293</v>
      </c>
      <c r="S1227" s="272" t="s">
        <v>3293</v>
      </c>
      <c r="T1227" s="273"/>
      <c r="U1227" s="274"/>
      <c r="V1227" s="280"/>
      <c r="W1227" s="244"/>
      <c r="X1227" s="244"/>
      <c r="Y1227" s="362"/>
      <c r="Z1227" s="257">
        <f>altaz(J2000_Bas,$O1227,$M1227,DecLat,DecLong,1)</f>
        <v>81.837050226617848</v>
      </c>
      <c r="AA1227" s="257">
        <f>altaz((J2000_Bas+(2*0.04167)),$O1227,$M1227,DecLat,DecLong,1)</f>
        <v>67.737628233068179</v>
      </c>
      <c r="AB1227" s="257">
        <f>altaz((J2000_Bas+(4*0.04167)),$O1227,$M1227,DecLat,DecLong,1)</f>
        <v>44.245937149650537</v>
      </c>
      <c r="AC1227" s="257">
        <f>altaz((J2000_Bas+(6*0.04167)),$O1227,$M1227,DecLat,DecLong,1)</f>
        <v>21.596309687004496</v>
      </c>
      <c r="AD1227" s="258">
        <f>1+ transit((J2000_Bas-1),$O1227,$M1227,DecLat,DecLong)/360 + (GMTOffset/24) + (IF(DST="Y", 1, 0)/24)</f>
        <v>1.7996012688484579</v>
      </c>
      <c r="AE1227" s="259">
        <f>DATE(2001,9,21)+(M1227/360)*365 - (360*((DecLong/360)- (GMTOffset/24) ))</f>
        <v>37454.446006944447</v>
      </c>
      <c r="AF1227" s="260">
        <f>IF(DecLat&gt;0,IF((90 - (DecLat-O1227))&gt;90, (90 - (O1227-DecLat)), (90 - (DecLat-O1227))),IF((90 + (DecLat-O1227))&gt;90, (90 + (O1227-DecLat)), (90 + (DecLat-O1227))))</f>
        <v>82.68416666666667</v>
      </c>
      <c r="AG1227" s="257">
        <f>angularseperation(MoonRA,MoonDec,$M1227,$O1227)</f>
        <v>75.903019616923117</v>
      </c>
      <c r="AH1227" s="261">
        <f ca="1">MIN(100,IF($O$5&gt;80,0+30*($AG1227/100),IF($O$5&gt;70,0+50*($AG1227/100),IF($O$5&gt;60,5+50*($AG1227/100),IF($O$5&gt;50,10+60*($AG1227/100),IF($O$5&gt;40,15+70*($AG1227/100),IF($O$5&gt;30,20+70*($AG1227/100),IF($O$5&gt;20,40+55*($AG1227/100),(80+(20-$O$5)+30*($AG1227/100))))))))))</f>
        <v>100</v>
      </c>
      <c r="AI1227" s="262"/>
      <c r="AJ1227" s="262"/>
      <c r="AK1227" s="262"/>
      <c r="AL1227" s="263"/>
      <c r="AM1227" s="264"/>
      <c r="AN1227" s="263"/>
      <c r="AO1227" s="263"/>
      <c r="AP1227" s="265"/>
      <c r="AQ1227" s="266"/>
      <c r="AR1227" s="267"/>
      <c r="AS1227" s="263"/>
      <c r="AT1227" s="263"/>
      <c r="AU1227" s="263"/>
      <c r="AV1227" s="264"/>
      <c r="AW1227" s="263"/>
      <c r="AX1227" s="263"/>
      <c r="AY1227" s="263"/>
      <c r="AZ1227" s="263"/>
      <c r="BA1227" s="263"/>
      <c r="BB1227" s="263"/>
      <c r="BC1227" s="263"/>
      <c r="BD1227" s="264"/>
      <c r="BE1227" s="263"/>
      <c r="BF1227" s="263"/>
      <c r="BG1227" s="263"/>
      <c r="BH1227" s="263"/>
      <c r="BI1227" s="263"/>
      <c r="BJ1227" s="404">
        <f>altaz(J2000_Bas,$O1227,$M1227,DecLat,DecLong,2)</f>
        <v>25.143384572640272</v>
      </c>
      <c r="BK1227" s="378" t="s">
        <v>4122</v>
      </c>
      <c r="BL1227" s="379">
        <f>IF((2*G1227)/60&lt;0.2,0.2,(2*G1227)/60)</f>
        <v>0.2</v>
      </c>
      <c r="BM1227" s="380">
        <f>MOD((50000+AD1227-$B$3+(0/24)),1)</f>
        <v>1.496819854946807E-2</v>
      </c>
      <c r="BN1227" s="381" t="s">
        <v>8643</v>
      </c>
      <c r="BO1227" s="382">
        <v>1221</v>
      </c>
    </row>
    <row r="1228" spans="1:67" s="24" customFormat="1" ht="15" customHeight="1" x14ac:dyDescent="0.25">
      <c r="A1228" s="288" t="s">
        <v>1253</v>
      </c>
      <c r="B1228" s="241" t="str">
        <f>HYPERLINK(CONCATENATE($AT$3,BK1228,$AU$3),$AV$3)</f>
        <v>S</v>
      </c>
      <c r="C1228" s="242" t="str">
        <f>HYPERLINK(CONCATENATE($AT$4,BK1228,$AU$4,BL1228),$AV$4)</f>
        <v>A</v>
      </c>
      <c r="D1228" s="243" t="s">
        <v>5187</v>
      </c>
      <c r="E1228" s="244" t="s">
        <v>5181</v>
      </c>
      <c r="F1228" s="269" t="s">
        <v>5731</v>
      </c>
      <c r="G1228" s="273">
        <v>2</v>
      </c>
      <c r="H1228" s="271" t="s">
        <v>6500</v>
      </c>
      <c r="I1228" s="244" t="s">
        <v>6500</v>
      </c>
      <c r="J1228" s="246">
        <v>1</v>
      </c>
      <c r="K1228" s="247" t="s">
        <v>4723</v>
      </c>
      <c r="L1228" s="248">
        <v>73325</v>
      </c>
      <c r="M1228" s="249">
        <f>15*(LEFT(TEXT($L1228,"000000"),2)+(MID(TEXT($L1228,"000000"),3,2)/60)+(RIGHT(TEXT($L1228,"000000"),2)/3600))</f>
        <v>113.35416666666667</v>
      </c>
      <c r="N1228" s="250">
        <v>-232609</v>
      </c>
      <c r="O1228" s="251">
        <f>IF($N1228&gt;0,(LEFT(TEXT($N1228,"000000"),2)+(MID(TEXT($N1228,"000000"),3,2)/60)+(RIGHT(TEXT($N1228,"000000"),2)/3600)),-(MID(TEXT($N1228,"000000"),2,2)+(MID(TEXT($N1228,"000000"),4,2)/60)+(RIGHT(TEXT($N1228,"000000"),2)/3600)))</f>
        <v>-23.435833333333335</v>
      </c>
      <c r="P1228" s="252" t="s">
        <v>91</v>
      </c>
      <c r="Q1228" s="253"/>
      <c r="R1228" s="277" t="s">
        <v>4722</v>
      </c>
      <c r="S1228" s="272" t="s">
        <v>3293</v>
      </c>
      <c r="T1228" s="273"/>
      <c r="U1228" s="274"/>
      <c r="V1228" s="280"/>
      <c r="W1228" s="244"/>
      <c r="X1228" s="244"/>
      <c r="Y1228" s="362"/>
      <c r="Z1228" s="257">
        <f>altaz(J2000_Bas,$O1228,$M1228,DecLat,DecLong,1)</f>
        <v>-80.008395811389931</v>
      </c>
      <c r="AA1228" s="257">
        <f>altaz((J2000_Bas+(2*0.04167)),$O1228,$M1228,DecLat,DecLong,1)</f>
        <v>-68.466436832437566</v>
      </c>
      <c r="AB1228" s="257">
        <f>altaz((J2000_Bas+(4*0.04167)),$O1228,$M1228,DecLat,DecLong,1)</f>
        <v>-42.854639046166476</v>
      </c>
      <c r="AC1228" s="257">
        <f>altaz((J2000_Bas+(6*0.04167)),$O1228,$M1228,DecLat,DecLong,1)</f>
        <v>-17.579000556449653</v>
      </c>
      <c r="AD1228" s="258">
        <f>1+ transit((J2000_Bas-1),$O1228,$M1228,DecLat,DecLong)/360 + (GMTOffset/24) + (IF(DST="Y", 1, 0)/24)</f>
        <v>1.3077726143276247</v>
      </c>
      <c r="AE1228" s="259">
        <f>DATE(2001,9,21)+(M1228/360)*365 - (360*((DecLong/360)- (GMTOffset/24) ))</f>
        <v>37274.928530092591</v>
      </c>
      <c r="AF1228" s="260">
        <f>IF(DecLat&gt;0,IF((90 - (DecLat-O1228))&gt;90, (90 - (O1228-DecLat)), (90 - (DecLat-O1228))),IF((90 + (DecLat-O1228))&gt;90, (90 + (O1228-DecLat)), (90 + (DecLat-O1228))))</f>
        <v>35.564166666666665</v>
      </c>
      <c r="AG1228" s="257">
        <f>angularseperation(MoonRA,MoonDec,$M1228,$O1228)</f>
        <v>113.91794736890516</v>
      </c>
      <c r="AH1228" s="261">
        <f ca="1">MIN(100,IF($O$5&gt;80,0+30*($AG1228/100),IF($O$5&gt;70,0+50*($AG1228/100),IF($O$5&gt;60,5+50*($AG1228/100),IF($O$5&gt;50,10+60*($AG1228/100),IF($O$5&gt;40,15+70*($AG1228/100),IF($O$5&gt;30,20+70*($AG1228/100),IF($O$5&gt;20,40+55*($AG1228/100),(80+(20-$O$5)+30*($AG1228/100))))))))))</f>
        <v>100</v>
      </c>
      <c r="AI1228" s="262"/>
      <c r="AJ1228" s="262"/>
      <c r="AK1228" s="262"/>
      <c r="AL1228" s="263"/>
      <c r="AM1228" s="264"/>
      <c r="AN1228" s="263"/>
      <c r="AO1228" s="263"/>
      <c r="AP1228" s="265"/>
      <c r="AQ1228" s="266"/>
      <c r="AR1228" s="267"/>
      <c r="AS1228" s="263"/>
      <c r="AT1228" s="263"/>
      <c r="AU1228" s="263"/>
      <c r="AV1228" s="264"/>
      <c r="AW1228" s="263"/>
      <c r="AX1228" s="263"/>
      <c r="AY1228" s="263"/>
      <c r="AZ1228" s="263"/>
      <c r="BA1228" s="263"/>
      <c r="BB1228" s="263"/>
      <c r="BC1228" s="263"/>
      <c r="BD1228" s="264"/>
      <c r="BE1228" s="263"/>
      <c r="BF1228" s="263"/>
      <c r="BG1228" s="263"/>
      <c r="BH1228" s="263"/>
      <c r="BI1228" s="263"/>
      <c r="BJ1228" s="404">
        <f>altaz(J2000_Bas,$O1228,$M1228,DecLat,DecLong,2)</f>
        <v>317.41769788084014</v>
      </c>
      <c r="BK1228" s="378" t="s">
        <v>4721</v>
      </c>
      <c r="BL1228" s="379">
        <f>IF((2*G1228)/60&lt;0.2,0.2,(2*G1228)/60)</f>
        <v>0.2</v>
      </c>
      <c r="BM1228" s="380">
        <f>MOD((50000+AD1228-$B$3+(0/24)),1)</f>
        <v>0.52313954403507523</v>
      </c>
      <c r="BN1228" s="381" t="s">
        <v>8640</v>
      </c>
      <c r="BO1228" s="382">
        <v>1222</v>
      </c>
    </row>
    <row r="1229" spans="1:67" s="24" customFormat="1" ht="15" customHeight="1" x14ac:dyDescent="0.25">
      <c r="A1229" s="288" t="s">
        <v>1282</v>
      </c>
      <c r="B1229" s="241" t="str">
        <f>HYPERLINK(CONCATENATE($AT$3,BK1229,$AU$3),$AV$3)</f>
        <v>S</v>
      </c>
      <c r="C1229" s="242" t="str">
        <f>HYPERLINK(CONCATENATE($AT$4,BK1229,$AU$4,BL1229),$AV$4)</f>
        <v>A</v>
      </c>
      <c r="D1229" s="243" t="s">
        <v>5187</v>
      </c>
      <c r="E1229" s="244" t="s">
        <v>5183</v>
      </c>
      <c r="F1229" s="269" t="s">
        <v>5180</v>
      </c>
      <c r="G1229" s="276">
        <v>120</v>
      </c>
      <c r="H1229" s="271" t="s">
        <v>6500</v>
      </c>
      <c r="I1229" s="244" t="s">
        <v>6500</v>
      </c>
      <c r="J1229" s="295">
        <v>2</v>
      </c>
      <c r="K1229" s="247" t="s">
        <v>4819</v>
      </c>
      <c r="L1229" s="248">
        <v>201836</v>
      </c>
      <c r="M1229" s="249">
        <f>15*(LEFT(TEXT($L1229,"000000"),2)+(MID(TEXT($L1229,"000000"),3,2)/60)+(RIGHT(TEXT($L1229,"000000"),2)/3600))</f>
        <v>304.65000000000003</v>
      </c>
      <c r="N1229" s="250">
        <v>461912</v>
      </c>
      <c r="O1229" s="251">
        <f>IF($N1229&gt;0,(LEFT(TEXT($N1229,"000000"),2)+(MID(TEXT($N1229,"000000"),3,2)/60)+(RIGHT(TEXT($N1229,"000000"),2)/3600)),-(MID(TEXT($N1229,"000000"),2,2)+(MID(TEXT($N1229,"000000"),4,2)/60)+(RIGHT(TEXT($N1229,"000000"),2)/3600)))</f>
        <v>46.32</v>
      </c>
      <c r="P1229" s="252" t="s">
        <v>60</v>
      </c>
      <c r="Q1229" s="253"/>
      <c r="R1229" s="247" t="s">
        <v>3293</v>
      </c>
      <c r="S1229" s="272" t="s">
        <v>4817</v>
      </c>
      <c r="T1229" s="273"/>
      <c r="U1229" s="274"/>
      <c r="V1229" s="280"/>
      <c r="W1229" s="244"/>
      <c r="X1229" s="244"/>
      <c r="Y1229" s="362"/>
      <c r="Z1229" s="257">
        <f>altaz(J2000_Bas,$O1229,$M1229,DecLat,DecLong,1)</f>
        <v>68.969351930773172</v>
      </c>
      <c r="AA1229" s="257">
        <f>altaz((J2000_Bas+(2*0.04167)),$O1229,$M1229,DecLat,DecLong,1)</f>
        <v>72.309153308633782</v>
      </c>
      <c r="AB1229" s="257">
        <f>altaz((J2000_Bas+(4*0.04167)),$O1229,$M1229,DecLat,DecLong,1)</f>
        <v>54.656832521292721</v>
      </c>
      <c r="AC1229" s="257">
        <f>altaz((J2000_Bas+(6*0.04167)),$O1229,$M1229,DecLat,DecLong,1)</f>
        <v>34.005886409867117</v>
      </c>
      <c r="AD1229" s="258">
        <f>1+ transit((J2000_Bas-1),$O1229,$M1229,DecLat,DecLong)/360 + (GMTOffset/24) + (IF(DST="Y", 1, 0)/24)</f>
        <v>1.839149876004708</v>
      </c>
      <c r="AE1229" s="259">
        <f>DATE(2001,9,21)+(M1229/360)*365 - (360*((DecLong/360)- (GMTOffset/24) ))</f>
        <v>37468.881249999999</v>
      </c>
      <c r="AF1229" s="260">
        <f>IF(DecLat&gt;0,IF((90 - (DecLat-O1229))&gt;90, (90 - (O1229-DecLat)), (90 - (DecLat-O1229))),IF((90 + (DecLat-O1229))&gt;90, (90 + (O1229-DecLat)), (90 + (DecLat-O1229))))</f>
        <v>74.680000000000007</v>
      </c>
      <c r="AG1229" s="257">
        <f>angularseperation(MoonRA,MoonDec,$M1229,$O1229)</f>
        <v>88.864452930014735</v>
      </c>
      <c r="AH1229" s="261">
        <f ca="1">MIN(100,IF($O$5&gt;80,0+30*($AG1229/100),IF($O$5&gt;70,0+50*($AG1229/100),IF($O$5&gt;60,5+50*($AG1229/100),IF($O$5&gt;50,10+60*($AG1229/100),IF($O$5&gt;40,15+70*($AG1229/100),IF($O$5&gt;30,20+70*($AG1229/100),IF($O$5&gt;20,40+55*($AG1229/100),(80+(20-$O$5)+30*($AG1229/100))))))))))</f>
        <v>100</v>
      </c>
      <c r="AI1229" s="262"/>
      <c r="AJ1229" s="262"/>
      <c r="AK1229" s="262"/>
      <c r="AL1229" s="263"/>
      <c r="AM1229" s="264"/>
      <c r="AN1229" s="263"/>
      <c r="AO1229" s="263"/>
      <c r="AP1229" s="265"/>
      <c r="AQ1229" s="266"/>
      <c r="AR1229" s="267"/>
      <c r="AS1229" s="263"/>
      <c r="AT1229" s="263"/>
      <c r="AU1229" s="263"/>
      <c r="AV1229" s="264"/>
      <c r="AW1229" s="263"/>
      <c r="AX1229" s="263"/>
      <c r="AY1229" s="263">
        <v>325</v>
      </c>
      <c r="AZ1229" s="263"/>
      <c r="BA1229" s="263"/>
      <c r="BB1229" s="263"/>
      <c r="BC1229" s="263"/>
      <c r="BD1229" s="264"/>
      <c r="BE1229" s="263"/>
      <c r="BF1229" s="263"/>
      <c r="BG1229" s="263">
        <v>89</v>
      </c>
      <c r="BH1229" s="263"/>
      <c r="BI1229" s="263"/>
      <c r="BJ1229" s="404">
        <f>altaz(J2000_Bas,$O1229,$M1229,DecLat,DecLong,2)</f>
        <v>37.976346019832768</v>
      </c>
      <c r="BK1229" s="378" t="s">
        <v>1282</v>
      </c>
      <c r="BL1229" s="379">
        <f>IF((2*G1229)/60&lt;0.2,0.2,(2*G1229)/60)</f>
        <v>4</v>
      </c>
      <c r="BM1229" s="380">
        <f>MOD((50000+AD1229-$B$3+(0/24)),1)</f>
        <v>5.4516805706953164E-2</v>
      </c>
      <c r="BN1229" s="381"/>
      <c r="BO1229" s="382">
        <v>1223</v>
      </c>
    </row>
    <row r="1230" spans="1:67" s="24" customFormat="1" ht="15" customHeight="1" x14ac:dyDescent="0.25">
      <c r="A1230" s="288" t="s">
        <v>1283</v>
      </c>
      <c r="B1230" s="241" t="str">
        <f>HYPERLINK(CONCATENATE($AT$3,BK1230,$AU$3),$AV$3)</f>
        <v>S</v>
      </c>
      <c r="C1230" s="242" t="str">
        <f>HYPERLINK(CONCATENATE($AT$4,BK1230,$AU$4,BL1230),$AV$4)</f>
        <v>A</v>
      </c>
      <c r="D1230" s="243" t="s">
        <v>5187</v>
      </c>
      <c r="E1230" s="244" t="s">
        <v>5183</v>
      </c>
      <c r="F1230" s="269" t="s">
        <v>5180</v>
      </c>
      <c r="G1230" s="276">
        <v>120</v>
      </c>
      <c r="H1230" s="271" t="s">
        <v>6500</v>
      </c>
      <c r="I1230" s="244" t="s">
        <v>6500</v>
      </c>
      <c r="J1230" s="295">
        <v>2</v>
      </c>
      <c r="K1230" s="247" t="s">
        <v>4818</v>
      </c>
      <c r="L1230" s="248">
        <v>201334</v>
      </c>
      <c r="M1230" s="249">
        <f>15*(LEFT(TEXT($L1230,"000000"),2)+(MID(TEXT($L1230,"000000"),3,2)/60)+(RIGHT(TEXT($L1230,"000000"),2)/3600))</f>
        <v>303.39166666666665</v>
      </c>
      <c r="N1230" s="250">
        <v>473900</v>
      </c>
      <c r="O1230" s="251">
        <f>IF($N1230&gt;0,(LEFT(TEXT($N1230,"000000"),2)+(MID(TEXT($N1230,"000000"),3,2)/60)+(RIGHT(TEXT($N1230,"000000"),2)/3600)),-(MID(TEXT($N1230,"000000"),2,2)+(MID(TEXT($N1230,"000000"),4,2)/60)+(RIGHT(TEXT($N1230,"000000"),2)/3600)))</f>
        <v>47.65</v>
      </c>
      <c r="P1230" s="252" t="s">
        <v>60</v>
      </c>
      <c r="Q1230" s="253"/>
      <c r="R1230" s="247" t="s">
        <v>3293</v>
      </c>
      <c r="S1230" s="272" t="s">
        <v>3293</v>
      </c>
      <c r="T1230" s="273"/>
      <c r="U1230" s="274"/>
      <c r="V1230" s="280"/>
      <c r="W1230" s="244"/>
      <c r="X1230" s="244"/>
      <c r="Y1230" s="362"/>
      <c r="Z1230" s="257">
        <f>altaz(J2000_Bas,$O1230,$M1230,DecLat,DecLong,1)</f>
        <v>68.698635669803735</v>
      </c>
      <c r="AA1230" s="257">
        <f>altaz((J2000_Bas+(2*0.04167)),$O1230,$M1230,DecLat,DecLong,1)</f>
        <v>70.726825134417922</v>
      </c>
      <c r="AB1230" s="257">
        <f>altaz((J2000_Bas+(4*0.04167)),$O1230,$M1230,DecLat,DecLong,1)</f>
        <v>53.557671061220205</v>
      </c>
      <c r="AC1230" s="257">
        <f>altaz((J2000_Bas+(6*0.04167)),$O1230,$M1230,DecLat,DecLong,1)</f>
        <v>33.419610671697015</v>
      </c>
      <c r="AD1230" s="258">
        <f>1+ transit((J2000_Bas-1),$O1230,$M1230,DecLat,DecLong)/360 + (GMTOffset/24) + (IF(DST="Y", 1, 0)/24)</f>
        <v>1.8356545059838749</v>
      </c>
      <c r="AE1230" s="259">
        <f>DATE(2001,9,21)+(M1230/360)*365 - (360*((DecLong/360)- (GMTOffset/24) ))</f>
        <v>37467.605439814812</v>
      </c>
      <c r="AF1230" s="260">
        <f>IF(DecLat&gt;0,IF((90 - (DecLat-O1230))&gt;90, (90 - (O1230-DecLat)), (90 - (DecLat-O1230))),IF((90 + (DecLat-O1230))&gt;90, (90 + (O1230-DecLat)), (90 + (DecLat-O1230))))</f>
        <v>73.349999999999994</v>
      </c>
      <c r="AG1230" s="257">
        <f>angularseperation(MoonRA,MoonDec,$M1230,$O1230)</f>
        <v>89.152574609681352</v>
      </c>
      <c r="AH1230" s="261">
        <f ca="1">MIN(100,IF($O$5&gt;80,0+30*($AG1230/100),IF($O$5&gt;70,0+50*($AG1230/100),IF($O$5&gt;60,5+50*($AG1230/100),IF($O$5&gt;50,10+60*($AG1230/100),IF($O$5&gt;40,15+70*($AG1230/100),IF($O$5&gt;30,20+70*($AG1230/100),IF($O$5&gt;20,40+55*($AG1230/100),(80+(20-$O$5)+30*($AG1230/100))))))))))</f>
        <v>100</v>
      </c>
      <c r="AI1230" s="262"/>
      <c r="AJ1230" s="262"/>
      <c r="AK1230" s="262"/>
      <c r="AL1230" s="263"/>
      <c r="AM1230" s="264"/>
      <c r="AN1230" s="263"/>
      <c r="AO1230" s="263"/>
      <c r="AP1230" s="265"/>
      <c r="AQ1230" s="266"/>
      <c r="AR1230" s="267"/>
      <c r="AS1230" s="263"/>
      <c r="AT1230" s="263"/>
      <c r="AU1230" s="263"/>
      <c r="AV1230" s="264"/>
      <c r="AW1230" s="263"/>
      <c r="AX1230" s="263"/>
      <c r="AY1230" s="263">
        <v>331</v>
      </c>
      <c r="AZ1230" s="263"/>
      <c r="BA1230" s="263"/>
      <c r="BB1230" s="263"/>
      <c r="BC1230" s="263"/>
      <c r="BD1230" s="264"/>
      <c r="BE1230" s="263"/>
      <c r="BF1230" s="263"/>
      <c r="BG1230" s="263">
        <v>87</v>
      </c>
      <c r="BH1230" s="263"/>
      <c r="BI1230" s="263"/>
      <c r="BJ1230" s="404">
        <f>altaz(J2000_Bas,$O1230,$M1230,DecLat,DecLong,2)</f>
        <v>33.65601591151048</v>
      </c>
      <c r="BK1230" s="378" t="s">
        <v>1283</v>
      </c>
      <c r="BL1230" s="379">
        <f>IF((2*G1230)/60&lt;0.2,0.2,(2*G1230)/60)</f>
        <v>4</v>
      </c>
      <c r="BM1230" s="380">
        <f>MOD((50000+AD1230-$B$3+(0/24)),1)</f>
        <v>5.1021435690927319E-2</v>
      </c>
      <c r="BN1230" s="381"/>
      <c r="BO1230" s="382">
        <v>1224</v>
      </c>
    </row>
    <row r="1231" spans="1:67" s="24" customFormat="1" ht="15" customHeight="1" x14ac:dyDescent="0.25">
      <c r="A1231" s="288" t="s">
        <v>3184</v>
      </c>
      <c r="B1231" s="241" t="str">
        <f>HYPERLINK(CONCATENATE($AT$3,BK1231,$AU$3),$AV$3)</f>
        <v>S</v>
      </c>
      <c r="C1231" s="242" t="str">
        <f>HYPERLINK(CONCATENATE($AT$4,BK1231,$AU$4,BL1231),$AV$4)</f>
        <v>A</v>
      </c>
      <c r="D1231" s="243" t="s">
        <v>5187</v>
      </c>
      <c r="E1231" s="244" t="s">
        <v>5183</v>
      </c>
      <c r="F1231" s="269" t="s">
        <v>5180</v>
      </c>
      <c r="G1231" s="276">
        <v>150</v>
      </c>
      <c r="H1231" s="271" t="s">
        <v>6500</v>
      </c>
      <c r="I1231" s="244" t="s">
        <v>6500</v>
      </c>
      <c r="J1231" s="295">
        <v>3</v>
      </c>
      <c r="K1231" s="247" t="s">
        <v>6193</v>
      </c>
      <c r="L1231" s="248">
        <v>203630</v>
      </c>
      <c r="M1231" s="249">
        <f>15*(LEFT(TEXT($L1231,"000000"),2)+(MID(TEXT($L1231,"000000"),3,2)/60)+(RIGHT(TEXT($L1231,"000000"),2)/3600))</f>
        <v>309.125</v>
      </c>
      <c r="N1231" s="250">
        <v>480240</v>
      </c>
      <c r="O1231" s="251">
        <f>IF($N1231&gt;0,(LEFT(TEXT($N1231,"000000"),2)+(MID(TEXT($N1231,"000000"),3,2)/60)+(RIGHT(TEXT($N1231,"000000"),2)/3600)),-(MID(TEXT($N1231,"000000"),2,2)+(MID(TEXT($N1231,"000000"),4,2)/60)+(RIGHT(TEXT($N1231,"000000"),2)/3600)))</f>
        <v>48.044444444444444</v>
      </c>
      <c r="P1231" s="252" t="s">
        <v>60</v>
      </c>
      <c r="Q1231" s="253" t="s">
        <v>3183</v>
      </c>
      <c r="R1231" s="277" t="s">
        <v>3293</v>
      </c>
      <c r="S1231" s="272" t="s">
        <v>6192</v>
      </c>
      <c r="T1231" s="273"/>
      <c r="U1231" s="274"/>
      <c r="V1231" s="280"/>
      <c r="W1231" s="244"/>
      <c r="X1231" s="244"/>
      <c r="Y1231" s="362"/>
      <c r="Z1231" s="257">
        <f>altaz(J2000_Bas,$O1231,$M1231,DecLat,DecLong,1)</f>
        <v>65.511231081606482</v>
      </c>
      <c r="AA1231" s="257">
        <f>altaz((J2000_Bas+(2*0.04167)),$O1231,$M1231,DecLat,DecLong,1)</f>
        <v>72.148108336544809</v>
      </c>
      <c r="AB1231" s="257">
        <f>altaz((J2000_Bas+(4*0.04167)),$O1231,$M1231,DecLat,DecLong,1)</f>
        <v>57.182581640820523</v>
      </c>
      <c r="AC1231" s="257">
        <f>altaz((J2000_Bas+(6*0.04167)),$O1231,$M1231,DecLat,DecLong,1)</f>
        <v>37.280629600537772</v>
      </c>
      <c r="AD1231" s="258">
        <f>1+ transit((J2000_Bas-1),$O1231,$M1231,DecLat,DecLong)/360 + (GMTOffset/24) + (IF(DST="Y", 1, 0)/24)</f>
        <v>1.8515804303172081</v>
      </c>
      <c r="AE1231" s="259">
        <f>DATE(2001,9,21)+(M1231/360)*365 - (360*((DecLong/360)- (GMTOffset/24) ))</f>
        <v>37473.418402777781</v>
      </c>
      <c r="AF1231" s="260">
        <f>IF(DecLat&gt;0,IF((90 - (DecLat-O1231))&gt;90, (90 - (O1231-DecLat)), (90 - (DecLat-O1231))),IF((90 + (DecLat-O1231))&gt;90, (90 + (O1231-DecLat)), (90 + (DecLat-O1231))))</f>
        <v>72.955555555555549</v>
      </c>
      <c r="AG1231" s="257">
        <f>angularseperation(MoonRA,MoonDec,$M1231,$O1231)</f>
        <v>92.287696498957459</v>
      </c>
      <c r="AH1231" s="261">
        <f ca="1">MIN(100,IF($O$5&gt;80,0+30*($AG1231/100),IF($O$5&gt;70,0+50*($AG1231/100),IF($O$5&gt;60,5+50*($AG1231/100),IF($O$5&gt;50,10+60*($AG1231/100),IF($O$5&gt;40,15+70*($AG1231/100),IF($O$5&gt;30,20+70*($AG1231/100),IF($O$5&gt;20,40+55*($AG1231/100),(80+(20-$O$5)+30*($AG1231/100))))))))))</f>
        <v>100</v>
      </c>
      <c r="AI1231" s="263"/>
      <c r="AJ1231" s="263"/>
      <c r="AK1231" s="263"/>
      <c r="AL1231" s="263"/>
      <c r="AM1231" s="264"/>
      <c r="AN1231" s="263"/>
      <c r="AO1231" s="263"/>
      <c r="AP1231" s="265"/>
      <c r="AQ1231" s="265"/>
      <c r="AR1231" s="285"/>
      <c r="AS1231" s="263"/>
      <c r="AT1231" s="263"/>
      <c r="AU1231" s="263"/>
      <c r="AV1231" s="264"/>
      <c r="AW1231" s="263"/>
      <c r="AX1231" s="263"/>
      <c r="AY1231" s="263">
        <v>380</v>
      </c>
      <c r="AZ1231" s="263"/>
      <c r="BA1231" s="263"/>
      <c r="BB1231" s="263"/>
      <c r="BC1231" s="263"/>
      <c r="BD1231" s="264"/>
      <c r="BE1231" s="263"/>
      <c r="BF1231" s="263"/>
      <c r="BG1231" s="263"/>
      <c r="BH1231" s="263"/>
      <c r="BI1231" s="263">
        <v>92</v>
      </c>
      <c r="BJ1231" s="404">
        <f>altaz(J2000_Bas,$O1231,$M1231,DecLat,DecLong,2)</f>
        <v>39.298722627258364</v>
      </c>
      <c r="BK1231" s="378" t="s">
        <v>3184</v>
      </c>
      <c r="BL1231" s="379">
        <f>IF((2*G1231)/60&lt;0.2,0.2,(2*G1231)/60)</f>
        <v>5</v>
      </c>
      <c r="BM1231" s="380">
        <f>MOD((50000+AD1231-$B$3+(0/24)),1)</f>
        <v>6.6947360021003988E-2</v>
      </c>
      <c r="BN1231" s="381"/>
      <c r="BO1231" s="382">
        <v>1225</v>
      </c>
    </row>
    <row r="1232" spans="1:67" s="24" customFormat="1" ht="15" customHeight="1" x14ac:dyDescent="0.25">
      <c r="A1232" s="288" t="s">
        <v>9310</v>
      </c>
      <c r="B1232" s="241" t="str">
        <f>HYPERLINK(CONCATENATE($AT$3,BK1232,$AU$3),$AV$3)</f>
        <v>S</v>
      </c>
      <c r="C1232" s="242" t="str">
        <f>HYPERLINK(CONCATENATE($AT$4,BK1232,$AU$4,BL1232),$AV$4)</f>
        <v>A</v>
      </c>
      <c r="D1232" s="243" t="s">
        <v>5187</v>
      </c>
      <c r="E1232" s="244" t="s">
        <v>7522</v>
      </c>
      <c r="F1232" s="269"/>
      <c r="G1232" s="273">
        <v>150</v>
      </c>
      <c r="H1232" s="283" t="s">
        <v>6500</v>
      </c>
      <c r="I1232" s="246" t="s">
        <v>6500</v>
      </c>
      <c r="J1232" s="246">
        <v>2</v>
      </c>
      <c r="K1232" s="247" t="s">
        <v>6169</v>
      </c>
      <c r="L1232" s="248">
        <v>220800</v>
      </c>
      <c r="M1232" s="249">
        <f>15*(LEFT(TEXT($L1232,"000000"),2)+(MID(TEXT($L1232,"000000"),3,2)/60)+(RIGHT(TEXT($L1232,"000000"),2)/3600))</f>
        <v>332</v>
      </c>
      <c r="N1232" s="250">
        <v>414421</v>
      </c>
      <c r="O1232" s="251">
        <f>IF($N1232&gt;0,(LEFT(TEXT($N1232,"000000"),2)+(MID(TEXT($N1232,"000000"),3,2)/60)+(RIGHT(TEXT($N1232,"000000"),2)/3600)),-(MID(TEXT($N1232,"000000"),2,2)+(MID(TEXT($N1232,"000000"),4,2)/60)+(RIGHT(TEXT($N1232,"000000"),2)/3600)))</f>
        <v>41.739166666666669</v>
      </c>
      <c r="P1232" s="252" t="s">
        <v>58</v>
      </c>
      <c r="Q1232" s="253"/>
      <c r="R1232" s="277" t="s">
        <v>3293</v>
      </c>
      <c r="S1232" s="272" t="s">
        <v>9309</v>
      </c>
      <c r="T1232" s="273"/>
      <c r="U1232" s="274"/>
      <c r="V1232" s="280"/>
      <c r="W1232" s="244"/>
      <c r="X1232" s="244"/>
      <c r="Y1232" s="362"/>
      <c r="Z1232" s="257">
        <f>altaz(J2000_Bas,$O1232,$M1232,DecLat,DecLong,1)</f>
        <v>51.925452160810401</v>
      </c>
      <c r="AA1232" s="257">
        <f>altaz((J2000_Bas+(2*0.04167)),$O1232,$M1232,DecLat,DecLong,1)</f>
        <v>73.330632100543795</v>
      </c>
      <c r="AB1232" s="257">
        <f>altaz((J2000_Bas+(4*0.04167)),$O1232,$M1232,DecLat,DecLong,1)</f>
        <v>74.369686779966756</v>
      </c>
      <c r="AC1232" s="257">
        <f>altaz((J2000_Bas+(6*0.04167)),$O1232,$M1232,DecLat,DecLong,1)</f>
        <v>53.224028006850659</v>
      </c>
      <c r="AD1232" s="258">
        <f>1+ transit((J2000_Bas-1),$O1232,$M1232,DecLat,DecLong)/360 + (GMTOffset/24) + (IF(DST="Y", 1, 0)/24)</f>
        <v>1.9151220906297082</v>
      </c>
      <c r="AE1232" s="259">
        <f>DATE(2001,9,21)+(M1232/360)*365 - (360*((DecLong/360)- (GMTOffset/24) ))</f>
        <v>37496.611111111109</v>
      </c>
      <c r="AF1232" s="260">
        <f>IF(DecLat&gt;0,IF((90 - (DecLat-O1232))&gt;90, (90 - (O1232-DecLat)), (90 - (DecLat-O1232))),IF((90 + (DecLat-O1232))&gt;90, (90 + (O1232-DecLat)), (90 + (DecLat-O1232))))</f>
        <v>79.260833333333323</v>
      </c>
      <c r="AG1232" s="257">
        <f>angularseperation(MoonRA,MoonDec,$M1232,$O1232)</f>
        <v>102.67157148927186</v>
      </c>
      <c r="AH1232" s="261">
        <f ca="1">MIN(100,IF($O$5&gt;80,0+30*($AG1232/100),IF($O$5&gt;70,0+50*($AG1232/100),IF($O$5&gt;60,5+50*($AG1232/100),IF($O$5&gt;50,10+60*($AG1232/100),IF($O$5&gt;40,15+70*($AG1232/100),IF($O$5&gt;30,20+70*($AG1232/100),IF($O$5&gt;20,40+55*($AG1232/100),(80+(20-$O$5)+30*($AG1232/100))))))))))</f>
        <v>100</v>
      </c>
      <c r="AI1232" s="263"/>
      <c r="AJ1232" s="263"/>
      <c r="AK1232" s="263"/>
      <c r="AL1232" s="263"/>
      <c r="AM1232" s="264"/>
      <c r="AN1232" s="263"/>
      <c r="AO1232" s="263"/>
      <c r="AP1232" s="265"/>
      <c r="AQ1232" s="265"/>
      <c r="AR1232" s="285"/>
      <c r="AS1232" s="263"/>
      <c r="AT1232" s="263"/>
      <c r="AU1232" s="263"/>
      <c r="AV1232" s="264"/>
      <c r="AW1232" s="263"/>
      <c r="AX1232" s="263"/>
      <c r="AY1232" s="263"/>
      <c r="AZ1232" s="263"/>
      <c r="BA1232" s="263"/>
      <c r="BB1232" s="263"/>
      <c r="BC1232" s="263"/>
      <c r="BD1232" s="264"/>
      <c r="BE1232" s="263"/>
      <c r="BF1232" s="263"/>
      <c r="BG1232" s="263"/>
      <c r="BH1232" s="263"/>
      <c r="BI1232" s="263">
        <v>98</v>
      </c>
      <c r="BJ1232" s="404">
        <f>altaz(J2000_Bas,$O1232,$M1232,DecLat,DecLong,2)</f>
        <v>60.499844164382068</v>
      </c>
      <c r="BK1232" s="378" t="s">
        <v>9310</v>
      </c>
      <c r="BL1232" s="379">
        <f>IF((2*G1232)/60&lt;0.2,0.2,(2*G1232)/60)</f>
        <v>5</v>
      </c>
      <c r="BM1232" s="380">
        <f>MOD((50000+AD1232-$B$3+(0/24)),1)</f>
        <v>0.13048902033187915</v>
      </c>
      <c r="BN1232" s="381"/>
      <c r="BO1232" s="382">
        <v>3151</v>
      </c>
    </row>
    <row r="1233" spans="1:67" s="24" customFormat="1" ht="15" customHeight="1" x14ac:dyDescent="0.25">
      <c r="A1233" s="288" t="s">
        <v>1284</v>
      </c>
      <c r="B1233" s="241" t="str">
        <f>HYPERLINK(CONCATENATE($AT$3,BK1233,$AU$3),$AV$3)</f>
        <v>S</v>
      </c>
      <c r="C1233" s="242" t="str">
        <f>HYPERLINK(CONCATENATE($AT$4,BK1233,$AU$4,BL1233),$AV$4)</f>
        <v>A</v>
      </c>
      <c r="D1233" s="243" t="s">
        <v>5187</v>
      </c>
      <c r="E1233" s="244" t="s">
        <v>7522</v>
      </c>
      <c r="F1233" s="293"/>
      <c r="G1233" s="276">
        <v>80</v>
      </c>
      <c r="H1233" s="283">
        <v>2000</v>
      </c>
      <c r="I1233" s="246">
        <v>45</v>
      </c>
      <c r="J1233" s="246">
        <v>4</v>
      </c>
      <c r="K1233" s="247" t="s">
        <v>4820</v>
      </c>
      <c r="L1233" s="248">
        <v>223813</v>
      </c>
      <c r="M1233" s="249">
        <f>15*(LEFT(TEXT($L1233,"000000"),2)+(MID(TEXT($L1233,"000000"),3,2)/60)+(RIGHT(TEXT($L1233,"000000"),2)/3600))</f>
        <v>339.55416666666667</v>
      </c>
      <c r="N1233" s="250">
        <v>410524</v>
      </c>
      <c r="O1233" s="251">
        <f>IF($N1233&gt;0,(LEFT(TEXT($N1233,"000000"),2)+(MID(TEXT($N1233,"000000"),3,2)/60)+(RIGHT(TEXT($N1233,"000000"),2)/3600)),-(MID(TEXT($N1233,"000000"),2,2)+(MID(TEXT($N1233,"000000"),4,2)/60)+(RIGHT(TEXT($N1233,"000000"),2)/3600)))</f>
        <v>41.09</v>
      </c>
      <c r="P1233" s="252" t="s">
        <v>58</v>
      </c>
      <c r="Q1233" s="253" t="s">
        <v>6995</v>
      </c>
      <c r="R1233" s="247" t="s">
        <v>3293</v>
      </c>
      <c r="S1233" s="272" t="s">
        <v>5498</v>
      </c>
      <c r="T1233" s="273"/>
      <c r="U1233" s="274"/>
      <c r="V1233" s="280"/>
      <c r="W1233" s="244"/>
      <c r="X1233" s="244"/>
      <c r="Y1233" s="362"/>
      <c r="Z1233" s="257">
        <f>altaz(J2000_Bas,$O1233,$M1233,DecLat,DecLong,1)</f>
        <v>46.245575040126369</v>
      </c>
      <c r="AA1233" s="257">
        <f>altaz((J2000_Bas+(2*0.04167)),$O1233,$M1233,DecLat,DecLong,1)</f>
        <v>68.607022082451849</v>
      </c>
      <c r="AB1233" s="257">
        <f>altaz((J2000_Bas+(4*0.04167)),$O1233,$M1233,DecLat,DecLong,1)</f>
        <v>78.58796072149687</v>
      </c>
      <c r="AC1233" s="257">
        <f>altaz((J2000_Bas+(6*0.04167)),$O1233,$M1233,DecLat,DecLong,1)</f>
        <v>58.921532654210317</v>
      </c>
      <c r="AD1233" s="258">
        <f>1+ transit((J2000_Bas-1),$O1233,$M1233,DecLat,DecLong)/360 + (GMTOffset/24) + (IF(DST="Y", 1, 0)/24)</f>
        <v>1.9361058848276247</v>
      </c>
      <c r="AE1233" s="259">
        <f>DATE(2001,9,21)+(M1233/360)*365 - (360*((DecLong/360)- (GMTOffset/24) ))</f>
        <v>37504.270196759258</v>
      </c>
      <c r="AF1233" s="260">
        <f>IF(DecLat&gt;0,IF((90 - (DecLat-O1233))&gt;90, (90 - (O1233-DecLat)), (90 - (DecLat-O1233))),IF((90 + (DecLat-O1233))&gt;90, (90 + (O1233-DecLat)), (90 + (DecLat-O1233))))</f>
        <v>79.91</v>
      </c>
      <c r="AG1233" s="257">
        <f>angularseperation(MoonRA,MoonDec,$M1233,$O1233)</f>
        <v>107.63178209553071</v>
      </c>
      <c r="AH1233" s="261">
        <f ca="1">MIN(100,IF($O$5&gt;80,0+30*($AG1233/100),IF($O$5&gt;70,0+50*($AG1233/100),IF($O$5&gt;60,5+50*($AG1233/100),IF($O$5&gt;50,10+60*($AG1233/100),IF($O$5&gt;40,15+70*($AG1233/100),IF($O$5&gt;30,20+70*($AG1233/100),IF($O$5&gt;20,40+55*($AG1233/100),(80+(20-$O$5)+30*($AG1233/100))))))))))</f>
        <v>100</v>
      </c>
      <c r="AI1233" s="262"/>
      <c r="AJ1233" s="262"/>
      <c r="AK1233" s="262"/>
      <c r="AL1233" s="263"/>
      <c r="AM1233" s="264"/>
      <c r="AN1233" s="263"/>
      <c r="AO1233" s="263"/>
      <c r="AP1233" s="265"/>
      <c r="AQ1233" s="266"/>
      <c r="AR1233" s="267"/>
      <c r="AS1233" s="263"/>
      <c r="AT1233" s="263"/>
      <c r="AU1233" s="263"/>
      <c r="AV1233" s="264"/>
      <c r="AW1233" s="263"/>
      <c r="AX1233" s="263"/>
      <c r="AY1233" s="263">
        <v>437</v>
      </c>
      <c r="AZ1233" s="263"/>
      <c r="BA1233" s="263"/>
      <c r="BB1233" s="263">
        <v>126</v>
      </c>
      <c r="BC1233" s="263"/>
      <c r="BD1233" s="264"/>
      <c r="BE1233" s="263"/>
      <c r="BF1233" s="263"/>
      <c r="BG1233" s="263">
        <v>103</v>
      </c>
      <c r="BH1233" s="263"/>
      <c r="BI1233" s="263"/>
      <c r="BJ1233" s="404">
        <f>altaz(J2000_Bas,$O1233,$M1233,DecLat,DecLong,2)</f>
        <v>61.238881298225635</v>
      </c>
      <c r="BK1233" s="378" t="s">
        <v>1284</v>
      </c>
      <c r="BL1233" s="379">
        <f>IF((2*G1233)/60&lt;0.2,0.2,(2*G1233)/60)</f>
        <v>2.6666666666666665</v>
      </c>
      <c r="BM1233" s="380">
        <f>MOD((50000+AD1233-$B$3+(0/24)),1)</f>
        <v>0.1514728145339177</v>
      </c>
      <c r="BN1233" s="381" t="s">
        <v>9232</v>
      </c>
      <c r="BO1233" s="382">
        <v>1226</v>
      </c>
    </row>
    <row r="1234" spans="1:67" s="24" customFormat="1" ht="15" customHeight="1" x14ac:dyDescent="0.25">
      <c r="A1234" s="288" t="s">
        <v>1285</v>
      </c>
      <c r="B1234" s="241" t="str">
        <f>HYPERLINK(CONCATENATE($AT$3,BK1234,$AU$3),$AV$3)</f>
        <v>S</v>
      </c>
      <c r="C1234" s="242" t="str">
        <f>HYPERLINK(CONCATENATE($AT$4,BK1234,$AU$4,BL1234),$AV$4)</f>
        <v>A</v>
      </c>
      <c r="D1234" s="243" t="s">
        <v>5187</v>
      </c>
      <c r="E1234" s="244" t="s">
        <v>7522</v>
      </c>
      <c r="F1234" s="293"/>
      <c r="G1234" s="276">
        <v>30</v>
      </c>
      <c r="H1234" s="271" t="s">
        <v>6500</v>
      </c>
      <c r="I1234" s="244" t="s">
        <v>6500</v>
      </c>
      <c r="J1234" s="246">
        <v>4</v>
      </c>
      <c r="K1234" s="247" t="s">
        <v>9385</v>
      </c>
      <c r="L1234" s="248">
        <v>224117</v>
      </c>
      <c r="M1234" s="249">
        <f>15*(LEFT(TEXT($L1234,"000000"),2)+(MID(TEXT($L1234,"000000"),3,2)/60)+(RIGHT(TEXT($L1234,"000000"),2)/3600))</f>
        <v>340.32083333333338</v>
      </c>
      <c r="N1234" s="250">
        <v>374536</v>
      </c>
      <c r="O1234" s="251">
        <f>IF($N1234&gt;0,(LEFT(TEXT($N1234,"000000"),2)+(MID(TEXT($N1234,"000000"),3,2)/60)+(RIGHT(TEXT($N1234,"000000"),2)/3600)),-(MID(TEXT($N1234,"000000"),2,2)+(MID(TEXT($N1234,"000000"),4,2)/60)+(RIGHT(TEXT($N1234,"000000"),2)/3600)))</f>
        <v>37.76</v>
      </c>
      <c r="P1234" s="252" t="s">
        <v>58</v>
      </c>
      <c r="Q1234" s="253" t="s">
        <v>7052</v>
      </c>
      <c r="R1234" s="247" t="s">
        <v>3293</v>
      </c>
      <c r="S1234" s="272" t="s">
        <v>3293</v>
      </c>
      <c r="T1234" s="273">
        <v>16</v>
      </c>
      <c r="U1234" s="274">
        <v>23</v>
      </c>
      <c r="V1234" s="280"/>
      <c r="W1234" s="244"/>
      <c r="X1234" s="244"/>
      <c r="Y1234" s="362"/>
      <c r="Z1234" s="257">
        <f>altaz(J2000_Bas,$O1234,$M1234,DecLat,DecLong,1)</f>
        <v>45.288223937143655</v>
      </c>
      <c r="AA1234" s="257">
        <f>altaz((J2000_Bas+(2*0.04167)),$O1234,$M1234,DecLat,DecLong,1)</f>
        <v>68.96028343831928</v>
      </c>
      <c r="AB1234" s="257">
        <f>altaz((J2000_Bas+(4*0.04167)),$O1234,$M1234,DecLat,DecLong,1)</f>
        <v>81.696789766822747</v>
      </c>
      <c r="AC1234" s="257">
        <f>altaz((J2000_Bas+(6*0.04167)),$O1234,$M1234,DecLat,DecLong,1)</f>
        <v>59.777209134992546</v>
      </c>
      <c r="AD1234" s="258">
        <f>1+ transit((J2000_Bas-1),$O1234,$M1234,DecLat,DecLong)/360 + (GMTOffset/24) + (IF(DST="Y", 1, 0)/24)</f>
        <v>1.9382355142442915</v>
      </c>
      <c r="AE1234" s="259">
        <f>DATE(2001,9,21)+(M1234/360)*365 - (360*((DecLong/360)- (GMTOffset/24) ))</f>
        <v>37505.047511574077</v>
      </c>
      <c r="AF1234" s="260">
        <f>IF(DecLat&gt;0,IF((90 - (DecLat-O1234))&gt;90, (90 - (O1234-DecLat)), (90 - (DecLat-O1234))),IF((90 + (DecLat-O1234))&gt;90, (90 + (O1234-DecLat)), (90 + (DecLat-O1234))))</f>
        <v>83.240000000000009</v>
      </c>
      <c r="AG1234" s="257">
        <f>angularseperation(MoonRA,MoonDec,$M1234,$O1234)</f>
        <v>106.98119903916592</v>
      </c>
      <c r="AH1234" s="261">
        <f ca="1">MIN(100,IF($O$5&gt;80,0+30*($AG1234/100),IF($O$5&gt;70,0+50*($AG1234/100),IF($O$5&gt;60,5+50*($AG1234/100),IF($O$5&gt;50,10+60*($AG1234/100),IF($O$5&gt;40,15+70*($AG1234/100),IF($O$5&gt;30,20+70*($AG1234/100),IF($O$5&gt;20,40+55*($AG1234/100),(80+(20-$O$5)+30*($AG1234/100))))))))))</f>
        <v>100</v>
      </c>
      <c r="AI1234" s="262"/>
      <c r="AJ1234" s="262"/>
      <c r="AK1234" s="262"/>
      <c r="AL1234" s="263"/>
      <c r="AM1234" s="264"/>
      <c r="AN1234" s="263"/>
      <c r="AO1234" s="263"/>
      <c r="AP1234" s="265"/>
      <c r="AQ1234" s="266"/>
      <c r="AR1234" s="267"/>
      <c r="AS1234" s="263"/>
      <c r="AT1234" s="263"/>
      <c r="AU1234" s="263"/>
      <c r="AV1234" s="264"/>
      <c r="AW1234" s="263"/>
      <c r="AX1234" s="263"/>
      <c r="AY1234" s="263">
        <v>438</v>
      </c>
      <c r="AZ1234" s="263"/>
      <c r="BA1234" s="263"/>
      <c r="BB1234" s="263"/>
      <c r="BC1234" s="263"/>
      <c r="BD1234" s="264"/>
      <c r="BE1234" s="263"/>
      <c r="BF1234" s="263"/>
      <c r="BG1234" s="263"/>
      <c r="BH1234" s="263"/>
      <c r="BI1234" s="263">
        <v>102</v>
      </c>
      <c r="BJ1234" s="404">
        <f>altaz(J2000_Bas,$O1234,$M1234,DecLat,DecLong,2)</f>
        <v>65.88996780743571</v>
      </c>
      <c r="BK1234" s="378" t="s">
        <v>1285</v>
      </c>
      <c r="BL1234" s="379">
        <f>IF((2*G1234)/60&lt;0.2,0.2,(2*G1234)/60)</f>
        <v>1</v>
      </c>
      <c r="BM1234" s="380">
        <f>MOD((50000+AD1234-$B$3+(0/24)),1)</f>
        <v>0.15360244394832989</v>
      </c>
      <c r="BN1234" s="381"/>
      <c r="BO1234" s="382">
        <v>1227</v>
      </c>
    </row>
    <row r="1235" spans="1:67" s="24" customFormat="1" ht="15" customHeight="1" x14ac:dyDescent="0.25">
      <c r="A1235" s="288" t="s">
        <v>1286</v>
      </c>
      <c r="B1235" s="241" t="str">
        <f>HYPERLINK(CONCATENATE($AT$3,BK1235,$AU$3),$AV$3)</f>
        <v>S</v>
      </c>
      <c r="C1235" s="242" t="str">
        <f>HYPERLINK(CONCATENATE($AT$4,BK1235,$AU$4,BL1235),$AV$4)</f>
        <v>A</v>
      </c>
      <c r="D1235" s="243" t="s">
        <v>5187</v>
      </c>
      <c r="E1235" s="244" t="s">
        <v>7522</v>
      </c>
      <c r="F1235" s="293"/>
      <c r="G1235" s="276">
        <v>10</v>
      </c>
      <c r="H1235" s="271" t="s">
        <v>6500</v>
      </c>
      <c r="I1235" s="244" t="s">
        <v>6500</v>
      </c>
      <c r="J1235" s="295">
        <v>1</v>
      </c>
      <c r="K1235" s="247" t="s">
        <v>4821</v>
      </c>
      <c r="L1235" s="248">
        <v>224422</v>
      </c>
      <c r="M1235" s="249">
        <f>15*(LEFT(TEXT($L1235,"000000"),2)+(MID(TEXT($L1235,"000000"),3,2)/60)+(RIGHT(TEXT($L1235,"000000"),2)/3600))</f>
        <v>341.0916666666667</v>
      </c>
      <c r="N1235" s="286">
        <v>371554</v>
      </c>
      <c r="O1235" s="251">
        <f>IF($N1235&gt;0,(LEFT(TEXT($N1235,"000000"),2)+(MID(TEXT($N1235,"000000"),3,2)/60)+(RIGHT(TEXT($N1235,"000000"),2)/3600)),-(MID(TEXT($N1235,"000000"),2,2)+(MID(TEXT($N1235,"000000"),4,2)/60)+(RIGHT(TEXT($N1235,"000000"),2)/3600)))</f>
        <v>37.265000000000001</v>
      </c>
      <c r="P1235" s="252" t="s">
        <v>58</v>
      </c>
      <c r="Q1235" s="253"/>
      <c r="R1235" s="247" t="s">
        <v>3293</v>
      </c>
      <c r="S1235" s="322" t="s">
        <v>3250</v>
      </c>
      <c r="T1235" s="273">
        <v>18</v>
      </c>
      <c r="U1235" s="274">
        <v>23</v>
      </c>
      <c r="V1235" s="280"/>
      <c r="W1235" s="244"/>
      <c r="X1235" s="244"/>
      <c r="Y1235" s="362"/>
      <c r="Z1235" s="257">
        <f>altaz(J2000_Bas,$O1235,$M1235,DecLat,DecLong,1)</f>
        <v>44.6090193653298</v>
      </c>
      <c r="AA1235" s="257">
        <f>altaz((J2000_Bas+(2*0.04167)),$O1235,$M1235,DecLat,DecLong,1)</f>
        <v>68.44901484080998</v>
      </c>
      <c r="AB1235" s="257">
        <f>altaz((J2000_Bas+(4*0.04167)),$O1235,$M1235,DecLat,DecLong,1)</f>
        <v>82.457691732653032</v>
      </c>
      <c r="AC1235" s="257">
        <f>altaz((J2000_Bas+(6*0.04167)),$O1235,$M1235,DecLat,DecLong,1)</f>
        <v>60.404329555123155</v>
      </c>
      <c r="AD1235" s="258">
        <f>1+ transit((J2000_Bas-1),$O1235,$M1235,DecLat,DecLong)/360 + (GMTOffset/24) + (IF(DST="Y", 1, 0)/24)</f>
        <v>1.9403767177338749</v>
      </c>
      <c r="AE1235" s="259">
        <f>DATE(2001,9,21)+(M1235/360)*365 - (360*((DecLong/360)- (GMTOffset/24) ))</f>
        <v>37505.829050925924</v>
      </c>
      <c r="AF1235" s="260">
        <f>IF(DecLat&gt;0,IF((90 - (DecLat-O1235))&gt;90, (90 - (O1235-DecLat)), (90 - (DecLat-O1235))),IF((90 + (DecLat-O1235))&gt;90, (90 + (O1235-DecLat)), (90 + (DecLat-O1235))))</f>
        <v>83.734999999999999</v>
      </c>
      <c r="AG1235" s="257">
        <f>angularseperation(MoonRA,MoonDec,$M1235,$O1235)</f>
        <v>107.37086954058626</v>
      </c>
      <c r="AH1235" s="261">
        <f ca="1">MIN(100,IF($O$5&gt;80,0+30*($AG1235/100),IF($O$5&gt;70,0+50*($AG1235/100),IF($O$5&gt;60,5+50*($AG1235/100),IF($O$5&gt;50,10+60*($AG1235/100),IF($O$5&gt;40,15+70*($AG1235/100),IF($O$5&gt;30,20+70*($AG1235/100),IF($O$5&gt;20,40+55*($AG1235/100),(80+(20-$O$5)+30*($AG1235/100))))))))))</f>
        <v>100</v>
      </c>
      <c r="AI1235" s="262"/>
      <c r="AJ1235" s="262"/>
      <c r="AK1235" s="262"/>
      <c r="AL1235" s="263"/>
      <c r="AM1235" s="264"/>
      <c r="AN1235" s="263"/>
      <c r="AO1235" s="263"/>
      <c r="AP1235" s="265"/>
      <c r="AQ1235" s="266"/>
      <c r="AR1235" s="267"/>
      <c r="AS1235" s="263"/>
      <c r="AT1235" s="263"/>
      <c r="AU1235" s="263"/>
      <c r="AV1235" s="264"/>
      <c r="AW1235" s="263"/>
      <c r="AX1235" s="263"/>
      <c r="AY1235" s="263">
        <v>440</v>
      </c>
      <c r="AZ1235" s="263"/>
      <c r="BA1235" s="263"/>
      <c r="BB1235" s="263"/>
      <c r="BC1235" s="263"/>
      <c r="BD1235" s="264"/>
      <c r="BE1235" s="263"/>
      <c r="BF1235" s="263"/>
      <c r="BG1235" s="263"/>
      <c r="BH1235" s="263"/>
      <c r="BI1235" s="263"/>
      <c r="BJ1235" s="404">
        <f>altaz(J2000_Bas,$O1235,$M1235,DecLat,DecLong,2)</f>
        <v>66.450830351141875</v>
      </c>
      <c r="BK1235" s="378" t="s">
        <v>1286</v>
      </c>
      <c r="BL1235" s="379">
        <f>IF((2*G1235)/60&lt;0.2,0.2,(2*G1235)/60)</f>
        <v>0.33333333333333331</v>
      </c>
      <c r="BM1235" s="380">
        <f>MOD((50000+AD1235-$B$3+(0/24)),1)</f>
        <v>0.15574364743952174</v>
      </c>
      <c r="BN1235" s="381"/>
      <c r="BO1235" s="382">
        <v>1228</v>
      </c>
    </row>
    <row r="1236" spans="1:67" s="24" customFormat="1" ht="15" customHeight="1" x14ac:dyDescent="0.25">
      <c r="A1236" s="288" t="s">
        <v>1287</v>
      </c>
      <c r="B1236" s="241" t="str">
        <f>HYPERLINK(CONCATENATE($AT$3,BK1236,$AU$3),$AV$3)</f>
        <v>S</v>
      </c>
      <c r="C1236" s="242" t="str">
        <f>HYPERLINK(CONCATENATE($AT$4,BK1236,$AU$4,BL1236),$AV$4)</f>
        <v>A</v>
      </c>
      <c r="D1236" s="243" t="s">
        <v>5187</v>
      </c>
      <c r="E1236" s="244" t="s">
        <v>7522</v>
      </c>
      <c r="F1236" s="293"/>
      <c r="G1236" s="276">
        <v>30</v>
      </c>
      <c r="H1236" s="283">
        <v>700</v>
      </c>
      <c r="I1236" s="279">
        <v>6</v>
      </c>
      <c r="J1236" s="295">
        <v>1</v>
      </c>
      <c r="K1236" s="247" t="s">
        <v>4824</v>
      </c>
      <c r="L1236" s="248">
        <v>225359</v>
      </c>
      <c r="M1236" s="249">
        <f>15*(LEFT(TEXT($L1236,"000000"),2)+(MID(TEXT($L1236,"000000"),3,2)/60)+(RIGHT(TEXT($L1236,"000000"),2)/3600))</f>
        <v>343.49583333333334</v>
      </c>
      <c r="N1236" s="286">
        <v>413556</v>
      </c>
      <c r="O1236" s="251">
        <f>IF($N1236&gt;0,(LEFT(TEXT($N1236,"000000"),2)+(MID(TEXT($N1236,"000000"),3,2)/60)+(RIGHT(TEXT($N1236,"000000"),2)/3600)),-(MID(TEXT($N1236,"000000"),2,2)+(MID(TEXT($N1236,"000000"),4,2)/60)+(RIGHT(TEXT($N1236,"000000"),2)/3600)))</f>
        <v>41.598888888888894</v>
      </c>
      <c r="P1236" s="252" t="s">
        <v>58</v>
      </c>
      <c r="Q1236" s="253"/>
      <c r="R1236" s="247" t="s">
        <v>4822</v>
      </c>
      <c r="S1236" s="272" t="s">
        <v>4823</v>
      </c>
      <c r="T1236" s="273"/>
      <c r="U1236" s="274"/>
      <c r="V1236" s="280"/>
      <c r="W1236" s="244"/>
      <c r="X1236" s="244"/>
      <c r="Y1236" s="362"/>
      <c r="Z1236" s="257">
        <f>altaz(J2000_Bas,$O1236,$M1236,DecLat,DecLong,1)</f>
        <v>43.346791970221631</v>
      </c>
      <c r="AA1236" s="257">
        <f>altaz((J2000_Bas+(2*0.04167)),$O1236,$M1236,DecLat,DecLong,1)</f>
        <v>65.641699284127768</v>
      </c>
      <c r="AB1236" s="257">
        <f>altaz((J2000_Bas+(4*0.04167)),$O1236,$M1236,DecLat,DecLong,1)</f>
        <v>79.185555840379735</v>
      </c>
      <c r="AC1236" s="257">
        <f>altaz((J2000_Bas+(6*0.04167)),$O1236,$M1236,DecLat,DecLong,1)</f>
        <v>61.761044652975443</v>
      </c>
      <c r="AD1236" s="258">
        <f>1+ transit((J2000_Bas-1),$O1236,$M1236,DecLat,DecLong)/360 + (GMTOffset/24) + (IF(DST="Y", 1, 0)/24)</f>
        <v>1.9470549578067915</v>
      </c>
      <c r="AE1236" s="259">
        <f>DATE(2001,9,21)+(M1236/360)*365 - (360*((DecLong/360)- (GMTOffset/24) ))</f>
        <v>37508.266608796293</v>
      </c>
      <c r="AF1236" s="260">
        <f>IF(DecLat&gt;0,IF((90 - (DecLat-O1236))&gt;90, (90 - (O1236-DecLat)), (90 - (DecLat-O1236))),IF((90 + (DecLat-O1236))&gt;90, (90 + (O1236-DecLat)), (90 + (DecLat-O1236))))</f>
        <v>79.401111111111106</v>
      </c>
      <c r="AG1236" s="257">
        <f>angularseperation(MoonRA,MoonDec,$M1236,$O1236)</f>
        <v>110.5891742771724</v>
      </c>
      <c r="AH1236" s="261">
        <f ca="1">MIN(100,IF($O$5&gt;80,0+30*($AG1236/100),IF($O$5&gt;70,0+50*($AG1236/100),IF($O$5&gt;60,5+50*($AG1236/100),IF($O$5&gt;50,10+60*($AG1236/100),IF($O$5&gt;40,15+70*($AG1236/100),IF($O$5&gt;30,20+70*($AG1236/100),IF($O$5&gt;20,40+55*($AG1236/100),(80+(20-$O$5)+30*($AG1236/100))))))))))</f>
        <v>100</v>
      </c>
      <c r="AI1236" s="262"/>
      <c r="AJ1236" s="262"/>
      <c r="AK1236" s="262"/>
      <c r="AL1236" s="263"/>
      <c r="AM1236" s="264"/>
      <c r="AN1236" s="263"/>
      <c r="AO1236" s="263"/>
      <c r="AP1236" s="265"/>
      <c r="AQ1236" s="266"/>
      <c r="AR1236" s="267"/>
      <c r="AS1236" s="263"/>
      <c r="AT1236" s="263"/>
      <c r="AU1236" s="263"/>
      <c r="AV1236" s="264"/>
      <c r="AW1236" s="263"/>
      <c r="AX1236" s="263"/>
      <c r="AY1236" s="263">
        <v>458</v>
      </c>
      <c r="AZ1236" s="263"/>
      <c r="BA1236" s="263"/>
      <c r="BB1236" s="263"/>
      <c r="BC1236" s="263"/>
      <c r="BD1236" s="264"/>
      <c r="BE1236" s="263"/>
      <c r="BF1236" s="263"/>
      <c r="BG1236" s="263"/>
      <c r="BH1236" s="263"/>
      <c r="BI1236" s="263"/>
      <c r="BJ1236" s="404">
        <f>altaz(J2000_Bas,$O1236,$M1236,DecLat,DecLong,2)</f>
        <v>60.136631832495951</v>
      </c>
      <c r="BK1236" s="378" t="s">
        <v>1287</v>
      </c>
      <c r="BL1236" s="379">
        <f>IF((2*G1236)/60&lt;0.2,0.2,(2*G1236)/60)</f>
        <v>1</v>
      </c>
      <c r="BM1236" s="380">
        <f>MOD((50000+AD1236-$B$3+(0/24)),1)</f>
        <v>0.16242188750766218</v>
      </c>
      <c r="BN1236" s="381"/>
      <c r="BO1236" s="382">
        <v>1229</v>
      </c>
    </row>
    <row r="1237" spans="1:67" s="24" customFormat="1" ht="15" customHeight="1" x14ac:dyDescent="0.25">
      <c r="A1237" s="288" t="s">
        <v>1288</v>
      </c>
      <c r="B1237" s="241" t="str">
        <f>HYPERLINK(CONCATENATE($AT$3,BK1237,$AU$3),$AV$3)</f>
        <v>S</v>
      </c>
      <c r="C1237" s="242" t="str">
        <f>HYPERLINK(CONCATENATE($AT$4,BK1237,$AU$4,BL1237),$AV$4)</f>
        <v>A</v>
      </c>
      <c r="D1237" s="243" t="s">
        <v>5187</v>
      </c>
      <c r="E1237" s="244" t="s">
        <v>7522</v>
      </c>
      <c r="F1237" s="293"/>
      <c r="G1237" s="276">
        <v>120</v>
      </c>
      <c r="H1237" s="283">
        <v>1500</v>
      </c>
      <c r="I1237" s="246">
        <v>50</v>
      </c>
      <c r="J1237" s="246">
        <v>4</v>
      </c>
      <c r="K1237" s="247" t="s">
        <v>5008</v>
      </c>
      <c r="L1237" s="248">
        <v>204229</v>
      </c>
      <c r="M1237" s="249">
        <f>15*(LEFT(TEXT($L1237,"000000"),2)+(MID(TEXT($L1237,"000000"),3,2)/60)+(RIGHT(TEXT($L1237,"000000"),2)/3600))</f>
        <v>310.62083333333328</v>
      </c>
      <c r="N1237" s="250">
        <v>675100</v>
      </c>
      <c r="O1237" s="251">
        <f>IF($N1237&gt;0,(LEFT(TEXT($N1237,"000000"),2)+(MID(TEXT($N1237,"000000"),3,2)/60)+(RIGHT(TEXT($N1237,"000000"),2)/3600)),-(MID(TEXT($N1237,"000000"),2,2)+(MID(TEXT($N1237,"000000"),4,2)/60)+(RIGHT(TEXT($N1237,"000000"),2)/3600)))</f>
        <v>67.849999999999994</v>
      </c>
      <c r="P1237" s="252" t="s">
        <v>52</v>
      </c>
      <c r="Q1237" s="253"/>
      <c r="R1237" s="247" t="s">
        <v>3293</v>
      </c>
      <c r="S1237" s="272" t="s">
        <v>4826</v>
      </c>
      <c r="T1237" s="273"/>
      <c r="U1237" s="274"/>
      <c r="V1237" s="280"/>
      <c r="W1237" s="244"/>
      <c r="X1237" s="244"/>
      <c r="Y1237" s="362"/>
      <c r="Z1237" s="257">
        <f>altaz(J2000_Bas,$O1237,$M1237,DecLat,DecLong,1)</f>
        <v>50.428703248806983</v>
      </c>
      <c r="AA1237" s="257">
        <f>altaz((J2000_Bas+(2*0.04167)),$O1237,$M1237,DecLat,DecLong,1)</f>
        <v>53.009816332441666</v>
      </c>
      <c r="AB1237" s="257">
        <f>altaz((J2000_Bas+(4*0.04167)),$O1237,$M1237,DecLat,DecLong,1)</f>
        <v>47.728638099542046</v>
      </c>
      <c r="AC1237" s="257">
        <f>altaz((J2000_Bas+(6*0.04167)),$O1237,$M1237,DecLat,DecLong,1)</f>
        <v>37.615058224098746</v>
      </c>
      <c r="AD1237" s="258">
        <f>1+ transit((J2000_Bas-1),$O1237,$M1237,DecLat,DecLong)/360 + (GMTOffset/24) + (IF(DST="Y", 1, 0)/24)</f>
        <v>1.8557355224942913</v>
      </c>
      <c r="AE1237" s="259">
        <f>DATE(2001,9,21)+(M1237/360)*365 - (360*((DecLong/360)- (GMTOffset/24) ))</f>
        <v>37474.935011574074</v>
      </c>
      <c r="AF1237" s="260">
        <f>IF(DecLat&gt;0,IF((90 - (DecLat-O1237))&gt;90, (90 - (O1237-DecLat)), (90 - (DecLat-O1237))),IF((90 + (DecLat-O1237))&gt;90, (90 + (O1237-DecLat)), (90 + (DecLat-O1237))))</f>
        <v>53.150000000000006</v>
      </c>
      <c r="AG1237" s="257">
        <f>angularseperation(MoonRA,MoonDec,$M1237,$O1237)</f>
        <v>105.12333562001353</v>
      </c>
      <c r="AH1237" s="261">
        <f ca="1">MIN(100,IF($O$5&gt;80,0+30*($AG1237/100),IF($O$5&gt;70,0+50*($AG1237/100),IF($O$5&gt;60,5+50*($AG1237/100),IF($O$5&gt;50,10+60*($AG1237/100),IF($O$5&gt;40,15+70*($AG1237/100),IF($O$5&gt;30,20+70*($AG1237/100),IF($O$5&gt;20,40+55*($AG1237/100),(80+(20-$O$5)+30*($AG1237/100))))))))))</f>
        <v>100</v>
      </c>
      <c r="AI1237" s="262"/>
      <c r="AJ1237" s="262"/>
      <c r="AK1237" s="262"/>
      <c r="AL1237" s="263"/>
      <c r="AM1237" s="264"/>
      <c r="AN1237" s="263"/>
      <c r="AO1237" s="263"/>
      <c r="AP1237" s="265"/>
      <c r="AQ1237" s="266"/>
      <c r="AR1237" s="267"/>
      <c r="AS1237" s="263"/>
      <c r="AT1237" s="263"/>
      <c r="AU1237" s="263"/>
      <c r="AV1237" s="264"/>
      <c r="AW1237" s="263"/>
      <c r="AX1237" s="263"/>
      <c r="AY1237" s="263">
        <v>468</v>
      </c>
      <c r="AZ1237" s="263"/>
      <c r="BA1237" s="263"/>
      <c r="BB1237" s="263"/>
      <c r="BC1237" s="263"/>
      <c r="BD1237" s="264"/>
      <c r="BE1237" s="263"/>
      <c r="BF1237" s="263"/>
      <c r="BG1237" s="263">
        <v>92</v>
      </c>
      <c r="BH1237" s="263"/>
      <c r="BI1237" s="263"/>
      <c r="BJ1237" s="404">
        <f>altaz(J2000_Bas,$O1237,$M1237,DecLat,DecLong,2)</f>
        <v>14.273330470534704</v>
      </c>
      <c r="BK1237" s="378" t="s">
        <v>1288</v>
      </c>
      <c r="BL1237" s="379">
        <f>IF((2*G1237)/60&lt;0.2,0.2,(2*G1237)/60)</f>
        <v>4</v>
      </c>
      <c r="BM1237" s="380">
        <f>MOD((50000+AD1237-$B$3+(0/24)),1)</f>
        <v>7.110245219519129E-2</v>
      </c>
      <c r="BN1237" s="381" t="s">
        <v>9232</v>
      </c>
      <c r="BO1237" s="382">
        <v>1230</v>
      </c>
    </row>
    <row r="1238" spans="1:67" s="24" customFormat="1" ht="15" customHeight="1" x14ac:dyDescent="0.25">
      <c r="A1238" s="288" t="s">
        <v>1289</v>
      </c>
      <c r="B1238" s="241" t="str">
        <f>HYPERLINK(CONCATENATE($AT$3,BK1238,$AU$3),$AV$3)</f>
        <v>S</v>
      </c>
      <c r="C1238" s="242" t="str">
        <f>HYPERLINK(CONCATENATE($AT$4,BK1238,$AU$4,BL1238),$AV$4)</f>
        <v>A</v>
      </c>
      <c r="D1238" s="243" t="s">
        <v>5187</v>
      </c>
      <c r="E1238" s="244" t="s">
        <v>7522</v>
      </c>
      <c r="F1238" s="293"/>
      <c r="G1238" s="276">
        <v>45</v>
      </c>
      <c r="H1238" s="283">
        <v>700</v>
      </c>
      <c r="I1238" s="244">
        <v>10</v>
      </c>
      <c r="J1238" s="295">
        <v>2</v>
      </c>
      <c r="K1238" s="247" t="s">
        <v>4827</v>
      </c>
      <c r="L1238" s="248">
        <v>230820</v>
      </c>
      <c r="M1238" s="249">
        <f>15*(LEFT(TEXT($L1238,"000000"),2)+(MID(TEXT($L1238,"000000"),3,2)/60)+(RIGHT(TEXT($L1238,"000000"),2)/3600))</f>
        <v>347.08333333333331</v>
      </c>
      <c r="N1238" s="250">
        <v>414612</v>
      </c>
      <c r="O1238" s="251">
        <f>IF($N1238&gt;0,(LEFT(TEXT($N1238,"000000"),2)+(MID(TEXT($N1238,"000000"),3,2)/60)+(RIGHT(TEXT($N1238,"000000"),2)/3600)),-(MID(TEXT($N1238,"000000"),2,2)+(MID(TEXT($N1238,"000000"),4,2)/60)+(RIGHT(TEXT($N1238,"000000"),2)/3600)))</f>
        <v>41.769999999999996</v>
      </c>
      <c r="P1238" s="252" t="s">
        <v>36</v>
      </c>
      <c r="Q1238" s="253"/>
      <c r="R1238" s="247" t="s">
        <v>1290</v>
      </c>
      <c r="S1238" s="272" t="s">
        <v>3293</v>
      </c>
      <c r="T1238" s="273"/>
      <c r="U1238" s="274"/>
      <c r="V1238" s="280"/>
      <c r="W1238" s="244"/>
      <c r="X1238" s="244"/>
      <c r="Y1238" s="362"/>
      <c r="Z1238" s="257">
        <f>altaz(J2000_Bas,$O1238,$M1238,DecLat,DecLong,1)</f>
        <v>40.710535981828428</v>
      </c>
      <c r="AA1238" s="257">
        <f>altaz((J2000_Bas+(2*0.04167)),$O1238,$M1238,DecLat,DecLong,1)</f>
        <v>63.011143658923075</v>
      </c>
      <c r="AB1238" s="257">
        <f>altaz((J2000_Bas+(4*0.04167)),$O1238,$M1238,DecLat,DecLong,1)</f>
        <v>79.205217729366524</v>
      </c>
      <c r="AC1238" s="257">
        <f>altaz((J2000_Bas+(6*0.04167)),$O1238,$M1238,DecLat,DecLong,1)</f>
        <v>64.328424476287864</v>
      </c>
      <c r="AD1238" s="258">
        <f>1+ transit((J2000_Bas-1),$O1238,$M1238,DecLat,DecLong)/360 + (GMTOffset/24) + (IF(DST="Y", 1, 0)/24)</f>
        <v>1.9570202345880412</v>
      </c>
      <c r="AE1238" s="259">
        <f>DATE(2001,9,21)+(M1238/360)*365 - (360*((DecLong/360)- (GMTOffset/24) ))</f>
        <v>37511.903935185182</v>
      </c>
      <c r="AF1238" s="260">
        <f>IF(DecLat&gt;0,IF((90 - (DecLat-O1238))&gt;90, (90 - (O1238-DecLat)), (90 - (DecLat-O1238))),IF((90 + (DecLat-O1238))&gt;90, (90 + (O1238-DecLat)), (90 + (DecLat-O1238))))</f>
        <v>79.23</v>
      </c>
      <c r="AG1238" s="257">
        <f>angularseperation(MoonRA,MoonDec,$M1238,$O1238)</f>
        <v>113.1966859561486</v>
      </c>
      <c r="AH1238" s="261">
        <f ca="1">MIN(100,IF($O$5&gt;80,0+30*($AG1238/100),IF($O$5&gt;70,0+50*($AG1238/100),IF($O$5&gt;60,5+50*($AG1238/100),IF($O$5&gt;50,10+60*($AG1238/100),IF($O$5&gt;40,15+70*($AG1238/100),IF($O$5&gt;30,20+70*($AG1238/100),IF($O$5&gt;20,40+55*($AG1238/100),(80+(20-$O$5)+30*($AG1238/100))))))))))</f>
        <v>100</v>
      </c>
      <c r="AI1238" s="262"/>
      <c r="AJ1238" s="262"/>
      <c r="AK1238" s="262"/>
      <c r="AL1238" s="263"/>
      <c r="AM1238" s="264"/>
      <c r="AN1238" s="263"/>
      <c r="AO1238" s="263"/>
      <c r="AP1238" s="265"/>
      <c r="AQ1238" s="266"/>
      <c r="AR1238" s="267"/>
      <c r="AS1238" s="263"/>
      <c r="AT1238" s="263"/>
      <c r="AU1238" s="263"/>
      <c r="AV1238" s="264"/>
      <c r="AW1238" s="263"/>
      <c r="AX1238" s="263"/>
      <c r="AY1238" s="263">
        <v>477</v>
      </c>
      <c r="AZ1238" s="263"/>
      <c r="BA1238" s="263"/>
      <c r="BB1238" s="263"/>
      <c r="BC1238" s="263"/>
      <c r="BD1238" s="264"/>
      <c r="BE1238" s="263"/>
      <c r="BF1238" s="263"/>
      <c r="BG1238" s="263"/>
      <c r="BH1238" s="263"/>
      <c r="BI1238" s="263">
        <v>106</v>
      </c>
      <c r="BJ1238" s="404">
        <f>altaz(J2000_Bas,$O1238,$M1238,DecLat,DecLong,2)</f>
        <v>59.4545338751768</v>
      </c>
      <c r="BK1238" s="378" t="s">
        <v>1289</v>
      </c>
      <c r="BL1238" s="379">
        <f>IF((2*G1238)/60&lt;0.2,0.2,(2*G1238)/60)</f>
        <v>1.5</v>
      </c>
      <c r="BM1238" s="380">
        <f>MOD((50000+AD1238-$B$3+(0/24)),1)</f>
        <v>0.17238716428983025</v>
      </c>
      <c r="BN1238" s="381"/>
      <c r="BO1238" s="382">
        <v>1231</v>
      </c>
    </row>
    <row r="1239" spans="1:67" s="24" customFormat="1" ht="15" customHeight="1" x14ac:dyDescent="0.25">
      <c r="A1239" s="288" t="s">
        <v>1291</v>
      </c>
      <c r="B1239" s="241" t="str">
        <f>HYPERLINK(CONCATENATE($AT$3,BK1239,$AU$3),$AV$3)</f>
        <v>S</v>
      </c>
      <c r="C1239" s="242" t="str">
        <f>HYPERLINK(CONCATENATE($AT$4,BK1239,$AU$4,BL1239),$AV$4)</f>
        <v>A</v>
      </c>
      <c r="D1239" s="243" t="s">
        <v>5187</v>
      </c>
      <c r="E1239" s="244" t="s">
        <v>5179</v>
      </c>
      <c r="F1239" s="293">
        <v>6</v>
      </c>
      <c r="G1239" s="276">
        <v>20</v>
      </c>
      <c r="H1239" s="271" t="s">
        <v>6500</v>
      </c>
      <c r="I1239" s="244" t="s">
        <v>6500</v>
      </c>
      <c r="J1239" s="295">
        <v>1</v>
      </c>
      <c r="K1239" s="247" t="s">
        <v>8623</v>
      </c>
      <c r="L1239" s="248">
        <v>222826</v>
      </c>
      <c r="M1239" s="249">
        <f>15*(LEFT(TEXT($L1239,"000000"),2)+(MID(TEXT($L1239,"000000"),3,2)/60)+(RIGHT(TEXT($L1239,"000000"),2)/3600))</f>
        <v>337.10833333333329</v>
      </c>
      <c r="N1239" s="250">
        <v>690524</v>
      </c>
      <c r="O1239" s="251">
        <f>IF($N1239&gt;0,(LEFT(TEXT($N1239,"000000"),2)+(MID(TEXT($N1239,"000000"),3,2)/60)+(RIGHT(TEXT($N1239,"000000"),2)/3600)),-(MID(TEXT($N1239,"000000"),2,2)+(MID(TEXT($N1239,"000000"),4,2)/60)+(RIGHT(TEXT($N1239,"000000"),2)/3600)))</f>
        <v>69.089999999999989</v>
      </c>
      <c r="P1239" s="252" t="s">
        <v>52</v>
      </c>
      <c r="Q1239" s="253"/>
      <c r="R1239" s="247" t="s">
        <v>3293</v>
      </c>
      <c r="S1239" s="272" t="s">
        <v>3293</v>
      </c>
      <c r="T1239" s="273"/>
      <c r="U1239" s="274"/>
      <c r="V1239" s="280"/>
      <c r="W1239" s="244"/>
      <c r="X1239" s="244"/>
      <c r="Y1239" s="362"/>
      <c r="Z1239" s="257">
        <f>altaz(J2000_Bas,$O1239,$M1239,DecLat,DecLong,1)</f>
        <v>42.314835036419979</v>
      </c>
      <c r="AA1239" s="257">
        <f>altaz((J2000_Bas+(2*0.04167)),$O1239,$M1239,DecLat,DecLong,1)</f>
        <v>50.056939439735942</v>
      </c>
      <c r="AB1239" s="257">
        <f>altaz((J2000_Bas+(4*0.04167)),$O1239,$M1239,DecLat,DecLong,1)</f>
        <v>51.556638452325785</v>
      </c>
      <c r="AC1239" s="257">
        <f>altaz((J2000_Bas+(6*0.04167)),$O1239,$M1239,DecLat,DecLong,1)</f>
        <v>45.919942764581073</v>
      </c>
      <c r="AD1239" s="258">
        <f>1+ transit((J2000_Bas-1),$O1239,$M1239,DecLat,DecLong)/360 + (GMTOffset/24) + (IF(DST="Y", 1, 0)/24)</f>
        <v>1.9293119040255415</v>
      </c>
      <c r="AE1239" s="259">
        <f>DATE(2001,9,21)+(M1239/360)*365 - (360*((DecLong/360)- (GMTOffset/24) ))</f>
        <v>37501.790393518517</v>
      </c>
      <c r="AF1239" s="260">
        <f>IF(DecLat&gt;0,IF((90 - (DecLat-O1239))&gt;90, (90 - (O1239-DecLat)), (90 - (DecLat-O1239))),IF((90 + (DecLat-O1239))&gt;90, (90 + (O1239-DecLat)), (90 + (DecLat-O1239))))</f>
        <v>51.910000000000011</v>
      </c>
      <c r="AG1239" s="257">
        <f>angularseperation(MoonRA,MoonDec,$M1239,$O1239)</f>
        <v>114.4238021869386</v>
      </c>
      <c r="AH1239" s="261">
        <f ca="1">MIN(100,IF($O$5&gt;80,0+30*($AG1239/100),IF($O$5&gt;70,0+50*($AG1239/100),IF($O$5&gt;60,5+50*($AG1239/100),IF($O$5&gt;50,10+60*($AG1239/100),IF($O$5&gt;40,15+70*($AG1239/100),IF($O$5&gt;30,20+70*($AG1239/100),IF($O$5&gt;20,40+55*($AG1239/100),(80+(20-$O$5)+30*($AG1239/100))))))))))</f>
        <v>100</v>
      </c>
      <c r="AI1239" s="262"/>
      <c r="AJ1239" s="262"/>
      <c r="AK1239" s="262"/>
      <c r="AL1239" s="263"/>
      <c r="AM1239" s="264"/>
      <c r="AN1239" s="263"/>
      <c r="AO1239" s="263"/>
      <c r="AP1239" s="265"/>
      <c r="AQ1239" s="266"/>
      <c r="AR1239" s="267"/>
      <c r="AS1239" s="263"/>
      <c r="AT1239" s="263"/>
      <c r="AU1239" s="263"/>
      <c r="AV1239" s="264"/>
      <c r="AW1239" s="263"/>
      <c r="AX1239" s="263"/>
      <c r="AY1239" s="263">
        <v>532</v>
      </c>
      <c r="AZ1239" s="263"/>
      <c r="BA1239" s="263"/>
      <c r="BB1239" s="263"/>
      <c r="BC1239" s="263"/>
      <c r="BD1239" s="264"/>
      <c r="BE1239" s="263"/>
      <c r="BF1239" s="263"/>
      <c r="BG1239" s="263"/>
      <c r="BH1239" s="263"/>
      <c r="BI1239" s="263"/>
      <c r="BJ1239" s="404">
        <f>altaz(J2000_Bas,$O1239,$M1239,DecLat,DecLong,2)</f>
        <v>22.064589444059969</v>
      </c>
      <c r="BK1239" s="378" t="s">
        <v>1291</v>
      </c>
      <c r="BL1239" s="379">
        <f>IF((2*G1239)/60&lt;0.2,0.2,(2*G1239)/60)</f>
        <v>0.66666666666666663</v>
      </c>
      <c r="BM1239" s="380">
        <f>MOD((50000+AD1239-$B$3+(0/24)),1)</f>
        <v>0.14467883372708457</v>
      </c>
      <c r="BN1239" s="381"/>
      <c r="BO1239" s="382">
        <v>1232</v>
      </c>
    </row>
    <row r="1240" spans="1:67" s="24" customFormat="1" ht="15" customHeight="1" x14ac:dyDescent="0.25">
      <c r="A1240" s="288" t="s">
        <v>1292</v>
      </c>
      <c r="B1240" s="241" t="str">
        <f>HYPERLINK(CONCATENATE($AT$3,BK1240,$AU$3),$AV$3)</f>
        <v>S</v>
      </c>
      <c r="C1240" s="242" t="str">
        <f>HYPERLINK(CONCATENATE($AT$4,BK1240,$AU$4,BL1240),$AV$4)</f>
        <v>A</v>
      </c>
      <c r="D1240" s="243" t="s">
        <v>5187</v>
      </c>
      <c r="E1240" s="244" t="s">
        <v>7522</v>
      </c>
      <c r="F1240" s="293"/>
      <c r="G1240" s="276">
        <v>90</v>
      </c>
      <c r="H1240" s="283">
        <v>1400</v>
      </c>
      <c r="I1240" s="246">
        <v>40</v>
      </c>
      <c r="J1240" s="295">
        <v>2</v>
      </c>
      <c r="K1240" s="247" t="s">
        <v>4828</v>
      </c>
      <c r="L1240" s="248">
        <v>234000</v>
      </c>
      <c r="M1240" s="249">
        <f>15*(LEFT(TEXT($L1240,"000000"),2)+(MID(TEXT($L1240,"000000"),3,2)/60)+(RIGHT(TEXT($L1240,"000000"),2)/3600))</f>
        <v>355</v>
      </c>
      <c r="N1240" s="286">
        <v>484800</v>
      </c>
      <c r="O1240" s="251">
        <f>IF($N1240&gt;0,(LEFT(TEXT($N1240,"000000"),2)+(MID(TEXT($N1240,"000000"),3,2)/60)+(RIGHT(TEXT($N1240,"000000"),2)/3600)),-(MID(TEXT($N1240,"000000"),2,2)+(MID(TEXT($N1240,"000000"),4,2)/60)+(RIGHT(TEXT($N1240,"000000"),2)/3600)))</f>
        <v>48.8</v>
      </c>
      <c r="P1240" s="252" t="s">
        <v>36</v>
      </c>
      <c r="Q1240" s="253"/>
      <c r="R1240" s="247" t="s">
        <v>3293</v>
      </c>
      <c r="S1240" s="272" t="s">
        <v>3293</v>
      </c>
      <c r="T1240" s="273"/>
      <c r="U1240" s="274"/>
      <c r="V1240" s="280"/>
      <c r="W1240" s="244"/>
      <c r="X1240" s="244"/>
      <c r="Y1240" s="362"/>
      <c r="Z1240" s="257">
        <f>altaz(J2000_Bas,$O1240,$M1240,DecLat,DecLong,1)</f>
        <v>36.148746416906079</v>
      </c>
      <c r="AA1240" s="257">
        <f>altaz((J2000_Bas+(2*0.04167)),$O1240,$M1240,DecLat,DecLong,1)</f>
        <v>55.775944090117179</v>
      </c>
      <c r="AB1240" s="257">
        <f>altaz((J2000_Bas+(4*0.04167)),$O1240,$M1240,DecLat,DecLong,1)</f>
        <v>70.986237028398421</v>
      </c>
      <c r="AC1240" s="257">
        <f>altaz((J2000_Bas+(6*0.04167)),$O1240,$M1240,DecLat,DecLong,1)</f>
        <v>66.024345246767268</v>
      </c>
      <c r="AD1240" s="258">
        <f>1+ transit((J2000_Bas-1),$O1240,$M1240,DecLat,DecLong)/360 + (GMTOffset/24) + (IF(DST="Y", 1, 0)/24)</f>
        <v>1.9790109731297079</v>
      </c>
      <c r="AE1240" s="259">
        <f>DATE(2001,9,21)+(M1240/360)*365 - (360*((DecLong/360)- (GMTOffset/24) ))</f>
        <v>37519.930555555555</v>
      </c>
      <c r="AF1240" s="260">
        <f>IF(DecLat&gt;0,IF((90 - (DecLat-O1240))&gt;90, (90 - (O1240-DecLat)), (90 - (DecLat-O1240))),IF((90 + (DecLat-O1240))&gt;90, (90 + (O1240-DecLat)), (90 + (DecLat-O1240))))</f>
        <v>72.2</v>
      </c>
      <c r="AG1240" s="257">
        <f>angularseperation(MoonRA,MoonDec,$M1240,$O1240)</f>
        <v>120.12185162651465</v>
      </c>
      <c r="AH1240" s="261">
        <f ca="1">MIN(100,IF($O$5&gt;80,0+30*($AG1240/100),IF($O$5&gt;70,0+50*($AG1240/100),IF($O$5&gt;60,5+50*($AG1240/100),IF($O$5&gt;50,10+60*($AG1240/100),IF($O$5&gt;40,15+70*($AG1240/100),IF($O$5&gt;30,20+70*($AG1240/100),IF($O$5&gt;20,40+55*($AG1240/100),(80+(20-$O$5)+30*($AG1240/100))))))))))</f>
        <v>100</v>
      </c>
      <c r="AI1240" s="262"/>
      <c r="AJ1240" s="262"/>
      <c r="AK1240" s="262"/>
      <c r="AL1240" s="263"/>
      <c r="AM1240" s="264"/>
      <c r="AN1240" s="263"/>
      <c r="AO1240" s="263"/>
      <c r="AP1240" s="265"/>
      <c r="AQ1240" s="266"/>
      <c r="AR1240" s="267"/>
      <c r="AS1240" s="263"/>
      <c r="AT1240" s="263"/>
      <c r="AU1240" s="263"/>
      <c r="AV1240" s="264"/>
      <c r="AW1240" s="263"/>
      <c r="AX1240" s="263"/>
      <c r="AY1240" s="263">
        <v>534</v>
      </c>
      <c r="AZ1240" s="263"/>
      <c r="BA1240" s="263"/>
      <c r="BB1240" s="263"/>
      <c r="BC1240" s="263"/>
      <c r="BD1240" s="264"/>
      <c r="BE1240" s="263"/>
      <c r="BF1240" s="263"/>
      <c r="BG1240" s="263"/>
      <c r="BH1240" s="263"/>
      <c r="BI1240" s="263">
        <v>109</v>
      </c>
      <c r="BJ1240" s="404">
        <f>altaz(J2000_Bas,$O1240,$M1240,DecLat,DecLong,2)</f>
        <v>49.599505297347477</v>
      </c>
      <c r="BK1240" s="378" t="s">
        <v>1292</v>
      </c>
      <c r="BL1240" s="379">
        <f>IF((2*G1240)/60&lt;0.2,0.2,(2*G1240)/60)</f>
        <v>3</v>
      </c>
      <c r="BM1240" s="380">
        <f>MOD((50000+AD1240-$B$3+(0/24)),1)</f>
        <v>0.19437790283700451</v>
      </c>
      <c r="BN1240" s="381"/>
      <c r="BO1240" s="382">
        <v>1233</v>
      </c>
    </row>
    <row r="1241" spans="1:67" s="24" customFormat="1" ht="15" customHeight="1" x14ac:dyDescent="0.25">
      <c r="A1241" s="288" t="s">
        <v>1303</v>
      </c>
      <c r="B1241" s="241" t="str">
        <f>HYPERLINK(CONCATENATE($AT$3,BK1241,$AU$3),$AV$3)</f>
        <v>S</v>
      </c>
      <c r="C1241" s="242" t="str">
        <f>HYPERLINK(CONCATENATE($AT$4,BK1241,$AU$4,BL1241),$AV$4)</f>
        <v>A</v>
      </c>
      <c r="D1241" s="243" t="s">
        <v>5187</v>
      </c>
      <c r="E1241" s="244" t="s">
        <v>7522</v>
      </c>
      <c r="F1241" s="293"/>
      <c r="G1241" s="276">
        <v>120</v>
      </c>
      <c r="H1241" s="283">
        <v>1000</v>
      </c>
      <c r="I1241" s="246">
        <v>35</v>
      </c>
      <c r="J1241" s="246">
        <v>4</v>
      </c>
      <c r="K1241" s="247" t="s">
        <v>4829</v>
      </c>
      <c r="L1241" s="248">
        <v>221455</v>
      </c>
      <c r="M1241" s="249">
        <f>15*(LEFT(TEXT($L1241,"000000"),2)+(MID(TEXT($L1241,"000000"),3,2)/60)+(RIGHT(TEXT($L1241,"000000"),2)/3600))</f>
        <v>333.72916666666669</v>
      </c>
      <c r="N1241" s="286">
        <v>732500</v>
      </c>
      <c r="O1241" s="251">
        <f>IF($N1241&gt;0,(LEFT(TEXT($N1241,"000000"),2)+(MID(TEXT($N1241,"000000"),3,2)/60)+(RIGHT(TEXT($N1241,"000000"),2)/3600)),-(MID(TEXT($N1241,"000000"),2,2)+(MID(TEXT($N1241,"000000"),4,2)/60)+(RIGHT(TEXT($N1241,"000000"),2)/3600)))</f>
        <v>73.416666666666671</v>
      </c>
      <c r="P1241" s="252" t="s">
        <v>52</v>
      </c>
      <c r="Q1241" s="253" t="s">
        <v>7064</v>
      </c>
      <c r="R1241" s="247" t="s">
        <v>3293</v>
      </c>
      <c r="S1241" s="272" t="s">
        <v>4830</v>
      </c>
      <c r="T1241" s="273"/>
      <c r="U1241" s="274"/>
      <c r="V1241" s="280"/>
      <c r="W1241" s="244"/>
      <c r="X1241" s="244"/>
      <c r="Y1241" s="362"/>
      <c r="Z1241" s="257">
        <f>altaz(J2000_Bas,$O1241,$M1241,DecLat,DecLong,1)</f>
        <v>41.161207309522588</v>
      </c>
      <c r="AA1241" s="257">
        <f>altaz((J2000_Bas+(2*0.04167)),$O1241,$M1241,DecLat,DecLong,1)</f>
        <v>46.614895228353063</v>
      </c>
      <c r="AB1241" s="257">
        <f>altaz((J2000_Bas+(4*0.04167)),$O1241,$M1241,DecLat,DecLong,1)</f>
        <v>47.097492213323385</v>
      </c>
      <c r="AC1241" s="257">
        <f>altaz((J2000_Bas+(6*0.04167)),$O1241,$M1241,DecLat,DecLong,1)</f>
        <v>42.369370949228113</v>
      </c>
      <c r="AD1241" s="258">
        <f>1+ transit((J2000_Bas-1),$O1241,$M1241,DecLat,DecLong)/360 + (GMTOffset/24) + (IF(DST="Y", 1, 0)/24)</f>
        <v>1.919925330890125</v>
      </c>
      <c r="AE1241" s="259">
        <f>DATE(2001,9,21)+(M1241/360)*365 - (360*((DecLong/360)- (GMTOffset/24) ))</f>
        <v>37498.364293981482</v>
      </c>
      <c r="AF1241" s="260">
        <f>IF(DecLat&gt;0,IF((90 - (DecLat-O1241))&gt;90, (90 - (O1241-DecLat)), (90 - (DecLat-O1241))),IF((90 + (DecLat-O1241))&gt;90, (90 + (O1241-DecLat)), (90 + (DecLat-O1241))))</f>
        <v>47.583333333333329</v>
      </c>
      <c r="AG1241" s="257">
        <f>angularseperation(MoonRA,MoonDec,$M1241,$O1241)</f>
        <v>114.32727413804919</v>
      </c>
      <c r="AH1241" s="261">
        <f ca="1">MIN(100,IF($O$5&gt;80,0+30*($AG1241/100),IF($O$5&gt;70,0+50*($AG1241/100),IF($O$5&gt;60,5+50*($AG1241/100),IF($O$5&gt;50,10+60*($AG1241/100),IF($O$5&gt;40,15+70*($AG1241/100),IF($O$5&gt;30,20+70*($AG1241/100),IF($O$5&gt;20,40+55*($AG1241/100),(80+(20-$O$5)+30*($AG1241/100))))))))))</f>
        <v>100</v>
      </c>
      <c r="AI1241" s="262"/>
      <c r="AJ1241" s="262"/>
      <c r="AK1241" s="262"/>
      <c r="AL1241" s="263"/>
      <c r="AM1241" s="264"/>
      <c r="AN1241" s="263"/>
      <c r="AO1241" s="263"/>
      <c r="AP1241" s="265"/>
      <c r="AQ1241" s="266"/>
      <c r="AR1241" s="267"/>
      <c r="AS1241" s="263"/>
      <c r="AT1241" s="263"/>
      <c r="AU1241" s="263"/>
      <c r="AV1241" s="264"/>
      <c r="AW1241" s="263"/>
      <c r="AX1241" s="263"/>
      <c r="AY1241" s="263">
        <v>535</v>
      </c>
      <c r="AZ1241" s="263">
        <v>1235</v>
      </c>
      <c r="BA1241" s="263"/>
      <c r="BB1241" s="263"/>
      <c r="BC1241" s="263"/>
      <c r="BD1241" s="264"/>
      <c r="BE1241" s="263"/>
      <c r="BF1241" s="263"/>
      <c r="BG1241" s="263">
        <v>99</v>
      </c>
      <c r="BH1241" s="263"/>
      <c r="BI1241" s="263"/>
      <c r="BJ1241" s="404">
        <f>altaz(J2000_Bas,$O1241,$M1241,DecLat,DecLong,2)</f>
        <v>16.290788354407361</v>
      </c>
      <c r="BK1241" s="378" t="s">
        <v>1303</v>
      </c>
      <c r="BL1241" s="379">
        <f>IF((2*G1241)/60&lt;0.2,0.2,(2*G1241)/60)</f>
        <v>4</v>
      </c>
      <c r="BM1241" s="380">
        <f>MOD((50000+AD1241-$B$3+(0/24)),1)</f>
        <v>0.13529226059472421</v>
      </c>
      <c r="BN1241" s="381"/>
      <c r="BO1241" s="382">
        <v>1234</v>
      </c>
    </row>
    <row r="1242" spans="1:67" s="24" customFormat="1" ht="15" customHeight="1" x14ac:dyDescent="0.25">
      <c r="A1242" s="288" t="s">
        <v>1293</v>
      </c>
      <c r="B1242" s="241" t="str">
        <f>HYPERLINK(CONCATENATE($AT$3,BK1242,$AU$3),$AV$3)</f>
        <v>S</v>
      </c>
      <c r="C1242" s="242" t="str">
        <f>HYPERLINK(CONCATENATE($AT$4,BK1242,$AU$4,BL1242),$AV$4)</f>
        <v>A</v>
      </c>
      <c r="D1242" s="243" t="s">
        <v>5187</v>
      </c>
      <c r="E1242" s="244" t="s">
        <v>7522</v>
      </c>
      <c r="F1242" s="293"/>
      <c r="G1242" s="276">
        <v>120</v>
      </c>
      <c r="H1242" s="283">
        <v>600</v>
      </c>
      <c r="I1242" s="246">
        <v>20</v>
      </c>
      <c r="J1242" s="295">
        <v>3</v>
      </c>
      <c r="K1242" s="247" t="s">
        <v>9380</v>
      </c>
      <c r="L1242" s="248">
        <v>205740</v>
      </c>
      <c r="M1242" s="249">
        <f>15*(LEFT(TEXT($L1242,"000000"),2)+(MID(TEXT($L1242,"000000"),3,2)/60)+(RIGHT(TEXT($L1242,"000000"),2)/3600))</f>
        <v>314.41666666666669</v>
      </c>
      <c r="N1242" s="250">
        <v>783636</v>
      </c>
      <c r="O1242" s="251">
        <f>IF($N1242&gt;0,(LEFT(TEXT($N1242,"000000"),2)+(MID(TEXT($N1242,"000000"),3,2)/60)+(RIGHT(TEXT($N1242,"000000"),2)/3600)),-(MID(TEXT($N1242,"000000"),2,2)+(MID(TEXT($N1242,"000000"),4,2)/60)+(RIGHT(TEXT($N1242,"000000"),2)/3600)))</f>
        <v>78.61</v>
      </c>
      <c r="P1242" s="252" t="s">
        <v>52</v>
      </c>
      <c r="Q1242" s="253"/>
      <c r="R1242" s="277" t="s">
        <v>3293</v>
      </c>
      <c r="S1242" s="272" t="s">
        <v>3247</v>
      </c>
      <c r="T1242" s="273"/>
      <c r="U1242" s="274"/>
      <c r="V1242" s="280"/>
      <c r="W1242" s="244"/>
      <c r="X1242" s="244"/>
      <c r="Y1242" s="362"/>
      <c r="Z1242" s="257">
        <f>altaz(J2000_Bas,$O1242,$M1242,DecLat,DecLong,1)</f>
        <v>40.827269762764594</v>
      </c>
      <c r="AA1242" s="257">
        <f>altaz((J2000_Bas+(2*0.04167)),$O1242,$M1242,DecLat,DecLong,1)</f>
        <v>42.384419136075678</v>
      </c>
      <c r="AB1242" s="257">
        <f>altaz((J2000_Bas+(4*0.04167)),$O1242,$M1242,DecLat,DecLong,1)</f>
        <v>40.453707019329038</v>
      </c>
      <c r="AC1242" s="257">
        <f>altaz((J2000_Bas+(6*0.04167)),$O1242,$M1242,DecLat,DecLong,1)</f>
        <v>35.787762825682613</v>
      </c>
      <c r="AD1242" s="258">
        <f>1+ transit((J2000_Bas-1),$O1242,$M1242,DecLat,DecLong)/360 + (GMTOffset/24) + (IF(DST="Y", 1, 0)/24)</f>
        <v>1.866279502921375</v>
      </c>
      <c r="AE1242" s="259">
        <f>DATE(2001,9,21)+(M1242/360)*365 - (360*((DecLong/360)- (GMTOffset/24) ))</f>
        <v>37478.783564814818</v>
      </c>
      <c r="AF1242" s="260">
        <f>IF(DecLat&gt;0,IF((90 - (DecLat-O1242))&gt;90, (90 - (O1242-DecLat)), (90 - (DecLat-O1242))),IF((90 + (DecLat-O1242))&gt;90, (90 + (O1242-DecLat)), (90 + (DecLat-O1242))))</f>
        <v>42.39</v>
      </c>
      <c r="AG1242" s="257">
        <f>angularseperation(MoonRA,MoonDec,$M1242,$O1242)</f>
        <v>111.87040473137505</v>
      </c>
      <c r="AH1242" s="261">
        <f ca="1">MIN(100,IF($O$5&gt;80,0+30*($AG1242/100),IF($O$5&gt;70,0+50*($AG1242/100),IF($O$5&gt;60,5+50*($AG1242/100),IF($O$5&gt;50,10+60*($AG1242/100),IF($O$5&gt;40,15+70*($AG1242/100),IF($O$5&gt;30,20+70*($AG1242/100),IF($O$5&gt;20,40+55*($AG1242/100),(80+(20-$O$5)+30*($AG1242/100))))))))))</f>
        <v>100</v>
      </c>
      <c r="AI1242" s="263"/>
      <c r="AJ1242" s="263"/>
      <c r="AK1242" s="263"/>
      <c r="AL1242" s="263"/>
      <c r="AM1242" s="264"/>
      <c r="AN1242" s="263"/>
      <c r="AO1242" s="263"/>
      <c r="AP1242" s="265"/>
      <c r="AQ1242" s="265"/>
      <c r="AR1242" s="285"/>
      <c r="AS1242" s="263"/>
      <c r="AT1242" s="263"/>
      <c r="AU1242" s="263"/>
      <c r="AV1242" s="264"/>
      <c r="AW1242" s="263"/>
      <c r="AX1242" s="263"/>
      <c r="AY1242" s="263">
        <v>552</v>
      </c>
      <c r="AZ1242" s="263"/>
      <c r="BA1242" s="263"/>
      <c r="BB1242" s="263"/>
      <c r="BC1242" s="263"/>
      <c r="BD1242" s="264"/>
      <c r="BE1242" s="263"/>
      <c r="BF1242" s="263"/>
      <c r="BG1242" s="263"/>
      <c r="BH1242" s="263"/>
      <c r="BI1242" s="263">
        <v>94</v>
      </c>
      <c r="BJ1242" s="404">
        <f>altaz(J2000_Bas,$O1242,$M1242,DecLat,DecLong,2)</f>
        <v>7.1339223806476122</v>
      </c>
      <c r="BK1242" s="378" t="s">
        <v>1293</v>
      </c>
      <c r="BL1242" s="379">
        <f>IF((2*G1242)/60&lt;0.2,0.2,(2*G1242)/60)</f>
        <v>4</v>
      </c>
      <c r="BM1242" s="380">
        <f>MOD((50000+AD1242-$B$3+(0/24)),1)</f>
        <v>8.1646432627167087E-2</v>
      </c>
      <c r="BN1242" s="381"/>
      <c r="BO1242" s="382">
        <v>1235</v>
      </c>
    </row>
    <row r="1243" spans="1:67" s="24" customFormat="1" ht="15" customHeight="1" x14ac:dyDescent="0.25">
      <c r="A1243" s="288" t="s">
        <v>1294</v>
      </c>
      <c r="B1243" s="241" t="str">
        <f>HYPERLINK(CONCATENATE($AT$3,BK1243,$AU$3),$AV$3)</f>
        <v>S</v>
      </c>
      <c r="C1243" s="242" t="str">
        <f>HYPERLINK(CONCATENATE($AT$4,BK1243,$AU$4,BL1243),$AV$4)</f>
        <v>A</v>
      </c>
      <c r="D1243" s="243" t="s">
        <v>5187</v>
      </c>
      <c r="E1243" s="244" t="s">
        <v>7522</v>
      </c>
      <c r="F1243" s="293"/>
      <c r="G1243" s="276">
        <v>120</v>
      </c>
      <c r="H1243" s="271" t="s">
        <v>6500</v>
      </c>
      <c r="I1243" s="244" t="s">
        <v>6500</v>
      </c>
      <c r="J1243" s="295">
        <v>2</v>
      </c>
      <c r="K1243" s="247" t="s">
        <v>4834</v>
      </c>
      <c r="L1243" s="248">
        <v>132</v>
      </c>
      <c r="M1243" s="249">
        <f>15*(LEFT(TEXT($L1243,"000000"),2)+(MID(TEXT($L1243,"000000"),3,2)/60)+(RIGHT(TEXT($L1243,"000000"),2)/3600))</f>
        <v>0.3833333333333333</v>
      </c>
      <c r="N1243" s="250">
        <v>483636</v>
      </c>
      <c r="O1243" s="251">
        <f>IF($N1243&gt;0,(LEFT(TEXT($N1243,"000000"),2)+(MID(TEXT($N1243,"000000"),3,2)/60)+(RIGHT(TEXT($N1243,"000000"),2)/3600)),-(MID(TEXT($N1243,"000000"),2,2)+(MID(TEXT($N1243,"000000"),4,2)/60)+(RIGHT(TEXT($N1243,"000000"),2)/3600)))</f>
        <v>48.61</v>
      </c>
      <c r="P1243" s="252" t="s">
        <v>36</v>
      </c>
      <c r="Q1243" s="253"/>
      <c r="R1243" s="247" t="s">
        <v>3293</v>
      </c>
      <c r="S1243" s="272" t="s">
        <v>4833</v>
      </c>
      <c r="T1243" s="273"/>
      <c r="U1243" s="274"/>
      <c r="V1243" s="280"/>
      <c r="W1243" s="244"/>
      <c r="X1243" s="244"/>
      <c r="Y1243" s="362"/>
      <c r="Z1243" s="257">
        <f>altaz(J2000_Bas,$O1243,$M1243,DecLat,DecLong,1)</f>
        <v>32.614729637291042</v>
      </c>
      <c r="AA1243" s="257">
        <f>altaz((J2000_Bas+(2*0.04167)),$O1243,$M1243,DecLat,DecLong,1)</f>
        <v>52.376124944876196</v>
      </c>
      <c r="AB1243" s="257">
        <f>altaz((J2000_Bas+(4*0.04167)),$O1243,$M1243,DecLat,DecLong,1)</f>
        <v>69.356647982818373</v>
      </c>
      <c r="AC1243" s="257">
        <f>altaz((J2000_Bas+(6*0.04167)),$O1243,$M1243,DecLat,DecLong,1)</f>
        <v>68.674324879167884</v>
      </c>
      <c r="AD1243" s="258">
        <f>1+ transit((J2000_Bas-1),$O1243,$M1243,DecLat,DecLong)/360 + (GMTOffset/24) + (IF(DST="Y", 1, 0)/24)</f>
        <v>0.99396477533804128</v>
      </c>
      <c r="AE1243" s="259">
        <f>DATE(2001,9,21)+(M1243/360)*365 - (360*((DecLong/360)- (GMTOffset/24) ))</f>
        <v>37160.388657407406</v>
      </c>
      <c r="AF1243" s="260">
        <f>IF(DecLat&gt;0,IF((90 - (DecLat-O1243))&gt;90, (90 - (O1243-DecLat)), (90 - (DecLat-O1243))),IF((90 + (DecLat-O1243))&gt;90, (90 + (O1243-DecLat)), (90 + (DecLat-O1243))))</f>
        <v>72.39</v>
      </c>
      <c r="AG1243" s="257">
        <f>angularseperation(MoonRA,MoonDec,$M1243,$O1243)</f>
        <v>123.63461457621705</v>
      </c>
      <c r="AH1243" s="261">
        <f ca="1">MIN(100,IF($O$5&gt;80,0+30*($AG1243/100),IF($O$5&gt;70,0+50*($AG1243/100),IF($O$5&gt;60,5+50*($AG1243/100),IF($O$5&gt;50,10+60*($AG1243/100),IF($O$5&gt;40,15+70*($AG1243/100),IF($O$5&gt;30,20+70*($AG1243/100),IF($O$5&gt;20,40+55*($AG1243/100),(80+(20-$O$5)+30*($AG1243/100))))))))))</f>
        <v>100</v>
      </c>
      <c r="AI1243" s="262"/>
      <c r="AJ1243" s="262"/>
      <c r="AK1243" s="262"/>
      <c r="AL1243" s="263"/>
      <c r="AM1243" s="264"/>
      <c r="AN1243" s="263"/>
      <c r="AO1243" s="263"/>
      <c r="AP1243" s="265"/>
      <c r="AQ1243" s="266"/>
      <c r="AR1243" s="267"/>
      <c r="AS1243" s="263"/>
      <c r="AT1243" s="263"/>
      <c r="AU1243" s="263"/>
      <c r="AV1243" s="264"/>
      <c r="AW1243" s="263"/>
      <c r="AX1243" s="263"/>
      <c r="AY1243" s="263">
        <v>564</v>
      </c>
      <c r="AZ1243" s="263"/>
      <c r="BA1243" s="263"/>
      <c r="BB1243" s="263"/>
      <c r="BC1243" s="263"/>
      <c r="BD1243" s="264"/>
      <c r="BE1243" s="263"/>
      <c r="BF1243" s="263"/>
      <c r="BG1243" s="263"/>
      <c r="BH1243" s="263"/>
      <c r="BI1243" s="263">
        <v>1</v>
      </c>
      <c r="BJ1243" s="404">
        <f>altaz(J2000_Bas,$O1243,$M1243,DecLat,DecLong,2)</f>
        <v>49.110282524370483</v>
      </c>
      <c r="BK1243" s="378" t="s">
        <v>1294</v>
      </c>
      <c r="BL1243" s="379">
        <f>IF((2*G1243)/60&lt;0.2,0.2,(2*G1243)/60)</f>
        <v>4</v>
      </c>
      <c r="BM1243" s="380">
        <f>MOD((50000+AD1243-$B$3+(0/24)),1)</f>
        <v>0.20933170503849396</v>
      </c>
      <c r="BN1243" s="381"/>
      <c r="BO1243" s="382">
        <v>1236</v>
      </c>
    </row>
    <row r="1244" spans="1:67" s="24" customFormat="1" ht="15" customHeight="1" x14ac:dyDescent="0.25">
      <c r="A1244" s="288" t="s">
        <v>3185</v>
      </c>
      <c r="B1244" s="241" t="str">
        <f>HYPERLINK(CONCATENATE($AT$3,BK1244,$AU$3),$AV$3)</f>
        <v>S</v>
      </c>
      <c r="C1244" s="242" t="str">
        <f>HYPERLINK(CONCATENATE($AT$4,BK1244,$AU$4,BL1244),$AV$4)</f>
        <v>A</v>
      </c>
      <c r="D1244" s="243" t="s">
        <v>5187</v>
      </c>
      <c r="E1244" s="244" t="s">
        <v>7522</v>
      </c>
      <c r="F1244" s="293"/>
      <c r="G1244" s="276">
        <v>120</v>
      </c>
      <c r="H1244" s="271" t="s">
        <v>6500</v>
      </c>
      <c r="I1244" s="244" t="s">
        <v>6500</v>
      </c>
      <c r="J1244" s="295">
        <v>1</v>
      </c>
      <c r="K1244" s="247" t="s">
        <v>6194</v>
      </c>
      <c r="L1244" s="248">
        <v>215445</v>
      </c>
      <c r="M1244" s="249">
        <f>15*(LEFT(TEXT($L1244,"000000"),2)+(MID(TEXT($L1244,"000000"),3,2)/60)+(RIGHT(TEXT($L1244,"000000"),2)/3600))</f>
        <v>328.68749999999994</v>
      </c>
      <c r="N1244" s="250">
        <v>802312</v>
      </c>
      <c r="O1244" s="251">
        <f>IF($N1244&gt;0,(LEFT(TEXT($N1244,"000000"),2)+(MID(TEXT($N1244,"000000"),3,2)/60)+(RIGHT(TEXT($N1244,"000000"),2)/3600)),-(MID(TEXT($N1244,"000000"),2,2)+(MID(TEXT($N1244,"000000"),4,2)/60)+(RIGHT(TEXT($N1244,"000000"),2)/3600)))</f>
        <v>80.38666666666667</v>
      </c>
      <c r="P1244" s="252" t="s">
        <v>52</v>
      </c>
      <c r="Q1244" s="253"/>
      <c r="R1244" s="277" t="s">
        <v>3293</v>
      </c>
      <c r="S1244" s="272"/>
      <c r="T1244" s="273"/>
      <c r="U1244" s="274"/>
      <c r="V1244" s="280"/>
      <c r="W1244" s="244"/>
      <c r="X1244" s="244"/>
      <c r="Y1244" s="362"/>
      <c r="Z1244" s="257">
        <f>altaz(J2000_Bas,$O1244,$M1244,DecLat,DecLong,1)</f>
        <v>37.808970885224831</v>
      </c>
      <c r="AA1244" s="257">
        <f>altaz((J2000_Bas+(2*0.04167)),$O1244,$M1244,DecLat,DecLong,1)</f>
        <v>40.353625279966963</v>
      </c>
      <c r="AB1244" s="257">
        <f>altaz((J2000_Bas+(4*0.04167)),$O1244,$M1244,DecLat,DecLong,1)</f>
        <v>40.116024559285982</v>
      </c>
      <c r="AC1244" s="257">
        <f>altaz((J2000_Bas+(6*0.04167)),$O1244,$M1244,DecLat,DecLong,1)</f>
        <v>37.184700735494097</v>
      </c>
      <c r="AD1244" s="258">
        <f>1+ transit((J2000_Bas-1),$O1244,$M1244,DecLat,DecLong)/360 + (GMTOffset/24) + (IF(DST="Y", 1, 0)/24)</f>
        <v>1.9059207026609577</v>
      </c>
      <c r="AE1244" s="259">
        <f>DATE(2001,9,21)+(M1244/360)*365 - (360*((DecLong/360)- (GMTOffset/24) ))</f>
        <v>37493.252604166664</v>
      </c>
      <c r="AF1244" s="260">
        <f>IF(DecLat&gt;0,IF((90 - (DecLat-O1244))&gt;90, (90 - (O1244-DecLat)), (90 - (DecLat-O1244))),IF((90 + (DecLat-O1244))&gt;90, (90 + (O1244-DecLat)), (90 + (DecLat-O1244))))</f>
        <v>40.61333333333333</v>
      </c>
      <c r="AG1244" s="257">
        <f>angularseperation(MoonRA,MoonDec,$M1244,$O1244)</f>
        <v>114.9400390388144</v>
      </c>
      <c r="AH1244" s="261">
        <f ca="1">MIN(100,IF($O$5&gt;80,0+30*($AG1244/100),IF($O$5&gt;70,0+50*($AG1244/100),IF($O$5&gt;60,5+50*($AG1244/100),IF($O$5&gt;50,10+60*($AG1244/100),IF($O$5&gt;40,15+70*($AG1244/100),IF($O$5&gt;30,20+70*($AG1244/100),IF($O$5&gt;20,40+55*($AG1244/100),(80+(20-$O$5)+30*($AG1244/100))))))))))</f>
        <v>100</v>
      </c>
      <c r="AI1244" s="263"/>
      <c r="AJ1244" s="263"/>
      <c r="AK1244" s="263"/>
      <c r="AL1244" s="263"/>
      <c r="AM1244" s="264"/>
      <c r="AN1244" s="263"/>
      <c r="AO1244" s="263"/>
      <c r="AP1244" s="265"/>
      <c r="AQ1244" s="265"/>
      <c r="AR1244" s="285"/>
      <c r="AS1244" s="263"/>
      <c r="AT1244" s="263"/>
      <c r="AU1244" s="263"/>
      <c r="AV1244" s="264"/>
      <c r="AW1244" s="263"/>
      <c r="AX1244" s="263"/>
      <c r="AY1244" s="263">
        <v>569</v>
      </c>
      <c r="AZ1244" s="263"/>
      <c r="BA1244" s="263"/>
      <c r="BB1244" s="263"/>
      <c r="BC1244" s="263"/>
      <c r="BD1244" s="264"/>
      <c r="BE1244" s="263"/>
      <c r="BF1244" s="263"/>
      <c r="BG1244" s="263"/>
      <c r="BH1244" s="263"/>
      <c r="BI1244" s="263"/>
      <c r="BJ1244" s="404">
        <f>altaz(J2000_Bas,$O1244,$M1244,DecLat,DecLong,2)</f>
        <v>8.2391101710445298</v>
      </c>
      <c r="BK1244" s="378" t="s">
        <v>3185</v>
      </c>
      <c r="BL1244" s="379">
        <f>IF((2*G1244)/60&lt;0.2,0.2,(2*G1244)/60)</f>
        <v>4</v>
      </c>
      <c r="BM1244" s="380">
        <f>MOD((50000+AD1244-$B$3+(0/24)),1)</f>
        <v>0.12128763236250961</v>
      </c>
      <c r="BN1244" s="381"/>
      <c r="BO1244" s="382">
        <v>1237</v>
      </c>
    </row>
    <row r="1245" spans="1:67" s="24" customFormat="1" ht="15" customHeight="1" x14ac:dyDescent="0.25">
      <c r="A1245" s="288" t="s">
        <v>1295</v>
      </c>
      <c r="B1245" s="241" t="str">
        <f>HYPERLINK(CONCATENATE($AT$3,BK1245,$AU$3),$AV$3)</f>
        <v>S</v>
      </c>
      <c r="C1245" s="242" t="str">
        <f>HYPERLINK(CONCATENATE($AT$4,BK1245,$AU$4,BL1245),$AV$4)</f>
        <v>A</v>
      </c>
      <c r="D1245" s="243" t="s">
        <v>5187</v>
      </c>
      <c r="E1245" s="244" t="s">
        <v>7522</v>
      </c>
      <c r="F1245" s="293"/>
      <c r="G1245" s="276">
        <v>40</v>
      </c>
      <c r="H1245" s="271" t="s">
        <v>6500</v>
      </c>
      <c r="I1245" s="244" t="s">
        <v>6500</v>
      </c>
      <c r="J1245" s="295">
        <v>2</v>
      </c>
      <c r="K1245" s="247" t="s">
        <v>4836</v>
      </c>
      <c r="L1245" s="248">
        <v>232154</v>
      </c>
      <c r="M1245" s="249">
        <f>15*(LEFT(TEXT($L1245,"000000"),2)+(MID(TEXT($L1245,"000000"),3,2)/60)+(RIGHT(TEXT($L1245,"000000"),2)/3600))</f>
        <v>350.47500000000002</v>
      </c>
      <c r="N1245" s="250">
        <v>740636</v>
      </c>
      <c r="O1245" s="251">
        <f>IF($N1245&gt;0,(LEFT(TEXT($N1245,"000000"),2)+(MID(TEXT($N1245,"000000"),3,2)/60)+(RIGHT(TEXT($N1245,"000000"),2)/3600)),-(MID(TEXT($N1245,"000000"),2,2)+(MID(TEXT($N1245,"000000"),4,2)/60)+(RIGHT(TEXT($N1245,"000000"),2)/3600)))</f>
        <v>74.11</v>
      </c>
      <c r="P1245" s="252" t="s">
        <v>52</v>
      </c>
      <c r="Q1245" s="253"/>
      <c r="R1245" s="247" t="s">
        <v>3293</v>
      </c>
      <c r="S1245" s="272" t="s">
        <v>4835</v>
      </c>
      <c r="T1245" s="273"/>
      <c r="U1245" s="274"/>
      <c r="V1245" s="280"/>
      <c r="W1245" s="244"/>
      <c r="X1245" s="244"/>
      <c r="Y1245" s="362"/>
      <c r="Z1245" s="257">
        <f>altaz(J2000_Bas,$O1245,$M1245,DecLat,DecLong,1)</f>
        <v>36.619254658857685</v>
      </c>
      <c r="AA1245" s="257">
        <f>altaz((J2000_Bas+(2*0.04167)),$O1245,$M1245,DecLat,DecLong,1)</f>
        <v>43.553210548300378</v>
      </c>
      <c r="AB1245" s="257">
        <f>altaz((J2000_Bas+(4*0.04167)),$O1245,$M1245,DecLat,DecLong,1)</f>
        <v>46.834559293118744</v>
      </c>
      <c r="AC1245" s="257">
        <f>altaz((J2000_Bas+(6*0.04167)),$O1245,$M1245,DecLat,DecLong,1)</f>
        <v>44.965649432974963</v>
      </c>
      <c r="AD1245" s="258">
        <f>1+ transit((J2000_Bas-1),$O1245,$M1245,DecLat,DecLong)/360 + (GMTOffset/24) + (IF(DST="Y", 1, 0)/24)</f>
        <v>1.9664415299422082</v>
      </c>
      <c r="AE1245" s="259">
        <f>DATE(2001,9,21)+(M1245/360)*365 - (360*((DecLong/360)- (GMTOffset/24) ))</f>
        <v>37515.34270833333</v>
      </c>
      <c r="AF1245" s="260">
        <f>IF(DecLat&gt;0,IF((90 - (DecLat-O1245))&gt;90, (90 - (O1245-DecLat)), (90 - (DecLat-O1245))),IF((90 + (DecLat-O1245))&gt;90, (90 + (O1245-DecLat)), (90 + (DecLat-O1245))))</f>
        <v>46.89</v>
      </c>
      <c r="AG1245" s="257">
        <f>angularseperation(MoonRA,MoonDec,$M1245,$O1245)</f>
        <v>119.0377950832065</v>
      </c>
      <c r="AH1245" s="261">
        <f ca="1">MIN(100,IF($O$5&gt;80,0+30*($AG1245/100),IF($O$5&gt;70,0+50*($AG1245/100),IF($O$5&gt;60,5+50*($AG1245/100),IF($O$5&gt;50,10+60*($AG1245/100),IF($O$5&gt;40,15+70*($AG1245/100),IF($O$5&gt;30,20+70*($AG1245/100),IF($O$5&gt;20,40+55*($AG1245/100),(80+(20-$O$5)+30*($AG1245/100))))))))))</f>
        <v>100</v>
      </c>
      <c r="AI1245" s="262"/>
      <c r="AJ1245" s="262"/>
      <c r="AK1245" s="262"/>
      <c r="AL1245" s="263"/>
      <c r="AM1245" s="264"/>
      <c r="AN1245" s="263"/>
      <c r="AO1245" s="263"/>
      <c r="AP1245" s="265"/>
      <c r="AQ1245" s="266"/>
      <c r="AR1245" s="267"/>
      <c r="AS1245" s="263"/>
      <c r="AT1245" s="263"/>
      <c r="AU1245" s="263"/>
      <c r="AV1245" s="264"/>
      <c r="AW1245" s="263"/>
      <c r="AX1245" s="263"/>
      <c r="AY1245" s="263">
        <v>575</v>
      </c>
      <c r="AZ1245" s="263"/>
      <c r="BA1245" s="263"/>
      <c r="BB1245" s="263"/>
      <c r="BC1245" s="263"/>
      <c r="BD1245" s="264"/>
      <c r="BE1245" s="263"/>
      <c r="BF1245" s="263"/>
      <c r="BG1245" s="263"/>
      <c r="BH1245" s="263"/>
      <c r="BI1245" s="263">
        <v>108</v>
      </c>
      <c r="BJ1245" s="404">
        <f>altaz(J2000_Bas,$O1245,$M1245,DecLat,DecLong,2)</f>
        <v>17.928022872782577</v>
      </c>
      <c r="BK1245" s="378" t="s">
        <v>1295</v>
      </c>
      <c r="BL1245" s="379">
        <f>IF((2*G1245)/60&lt;0.2,0.2,(2*G1245)/60)</f>
        <v>1.3333333333333333</v>
      </c>
      <c r="BM1245" s="380">
        <f>MOD((50000+AD1245-$B$3+(0/24)),1)</f>
        <v>0.18180845964525361</v>
      </c>
      <c r="BN1245" s="381"/>
      <c r="BO1245" s="382">
        <v>1238</v>
      </c>
    </row>
    <row r="1246" spans="1:67" s="24" customFormat="1" ht="15" customHeight="1" x14ac:dyDescent="0.25">
      <c r="A1246" s="288" t="s">
        <v>3194</v>
      </c>
      <c r="B1246" s="241" t="str">
        <f>HYPERLINK(CONCATENATE($AT$3,BK1246,$AU$3),$AV$3)</f>
        <v>S</v>
      </c>
      <c r="C1246" s="242" t="str">
        <f>HYPERLINK(CONCATENATE($AT$4,BK1246,$AU$4,BL1246),$AV$4)</f>
        <v>A</v>
      </c>
      <c r="D1246" s="243" t="s">
        <v>5187</v>
      </c>
      <c r="E1246" s="244" t="s">
        <v>7522</v>
      </c>
      <c r="F1246" s="293"/>
      <c r="G1246" s="276">
        <v>120</v>
      </c>
      <c r="H1246" s="271" t="s">
        <v>6500</v>
      </c>
      <c r="I1246" s="244" t="s">
        <v>6500</v>
      </c>
      <c r="J1246" s="295">
        <v>3</v>
      </c>
      <c r="K1246" s="247" t="s">
        <v>4837</v>
      </c>
      <c r="L1246" s="248">
        <v>4607</v>
      </c>
      <c r="M1246" s="249">
        <f>15*(LEFT(TEXT($L1246,"000000"),2)+(MID(TEXT($L1246,"000000"),3,2)/60)+(RIGHT(TEXT($L1246,"000000"),2)/3600))</f>
        <v>11.529166666666667</v>
      </c>
      <c r="N1246" s="250">
        <v>523414</v>
      </c>
      <c r="O1246" s="251">
        <f>IF($N1246&gt;0,(LEFT(TEXT($N1246,"000000"),2)+(MID(TEXT($N1246,"000000"),3,2)/60)+(RIGHT(TEXT($N1246,"000000"),2)/3600)),-(MID(TEXT($N1246,"000000"),2,2)+(MID(TEXT($N1246,"000000"),4,2)/60)+(RIGHT(TEXT($N1246,"000000"),2)/3600)))</f>
        <v>52.570555555555558</v>
      </c>
      <c r="P1246" s="252" t="s">
        <v>49</v>
      </c>
      <c r="Q1246" s="253"/>
      <c r="R1246" s="277" t="s">
        <v>3293</v>
      </c>
      <c r="S1246" s="272" t="s">
        <v>3293</v>
      </c>
      <c r="T1246" s="273"/>
      <c r="U1246" s="274"/>
      <c r="V1246" s="280"/>
      <c r="W1246" s="244"/>
      <c r="X1246" s="244"/>
      <c r="Y1246" s="362"/>
      <c r="Z1246" s="257">
        <f>altaz(J2000_Bas,$O1246,$M1246,DecLat,DecLong,1)</f>
        <v>26.719782298923025</v>
      </c>
      <c r="AA1246" s="257">
        <f>altaz((J2000_Bas+(2*0.04167)),$O1246,$M1246,DecLat,DecLong,1)</f>
        <v>44.789937831408295</v>
      </c>
      <c r="AB1246" s="257">
        <f>altaz((J2000_Bas+(4*0.04167)),$O1246,$M1246,DecLat,DecLong,1)</f>
        <v>61.614835518640895</v>
      </c>
      <c r="AC1246" s="257">
        <f>altaz((J2000_Bas+(6*0.04167)),$O1246,$M1246,DecLat,DecLong,1)</f>
        <v>68.154938785535762</v>
      </c>
      <c r="AD1246" s="258">
        <f>1+ transit((J2000_Bas-1),$O1246,$M1246,DecLat,DecLong)/360 + (GMTOffset/24) + (IF(DST="Y", 1, 0)/24)</f>
        <v>1.0249254203901248</v>
      </c>
      <c r="AE1246" s="259">
        <f>DATE(2001,9,21)+(M1246/360)*365 - (360*((DecLong/360)- (GMTOffset/24) ))</f>
        <v>37171.689293981479</v>
      </c>
      <c r="AF1246" s="260">
        <f>IF(DecLat&gt;0,IF((90 - (DecLat-O1246))&gt;90, (90 - (O1246-DecLat)), (90 - (DecLat-O1246))),IF((90 + (DecLat-O1246))&gt;90, (90 + (O1246-DecLat)), (90 + (DecLat-O1246))))</f>
        <v>68.429444444444442</v>
      </c>
      <c r="AG1246" s="257">
        <f>angularseperation(MoonRA,MoonDec,$M1246,$O1246)</f>
        <v>130.58741787559711</v>
      </c>
      <c r="AH1246" s="261">
        <f ca="1">MIN(100,IF($O$5&gt;80,0+30*($AG1246/100),IF($O$5&gt;70,0+50*($AG1246/100),IF($O$5&gt;60,5+50*($AG1246/100),IF($O$5&gt;50,10+60*($AG1246/100),IF($O$5&gt;40,15+70*($AG1246/100),IF($O$5&gt;30,20+70*($AG1246/100),IF($O$5&gt;20,40+55*($AG1246/100),(80+(20-$O$5)+30*($AG1246/100))))))))))</f>
        <v>100</v>
      </c>
      <c r="AI1246" s="263"/>
      <c r="AJ1246" s="263"/>
      <c r="AK1246" s="263"/>
      <c r="AL1246" s="263"/>
      <c r="AM1246" s="264"/>
      <c r="AN1246" s="263"/>
      <c r="AO1246" s="263"/>
      <c r="AP1246" s="265"/>
      <c r="AQ1246" s="265"/>
      <c r="AR1246" s="285"/>
      <c r="AS1246" s="263"/>
      <c r="AT1246" s="263"/>
      <c r="AU1246" s="263"/>
      <c r="AV1246" s="264"/>
      <c r="AW1246" s="263"/>
      <c r="AX1246" s="263"/>
      <c r="AY1246" s="263">
        <v>603</v>
      </c>
      <c r="AZ1246" s="263"/>
      <c r="BA1246" s="263"/>
      <c r="BB1246" s="263"/>
      <c r="BC1246" s="263"/>
      <c r="BD1246" s="264"/>
      <c r="BE1246" s="263"/>
      <c r="BF1246" s="263"/>
      <c r="BG1246" s="263"/>
      <c r="BH1246" s="263"/>
      <c r="BI1246" s="263">
        <v>5</v>
      </c>
      <c r="BJ1246" s="404">
        <f>altaz(J2000_Bas,$O1246,$M1246,DecLat,DecLong,2)</f>
        <v>42.716519247227197</v>
      </c>
      <c r="BK1246" s="378" t="s">
        <v>3194</v>
      </c>
      <c r="BL1246" s="379">
        <f>IF((2*G1246)/60&lt;0.2,0.2,(2*G1246)/60)</f>
        <v>4</v>
      </c>
      <c r="BM1246" s="380">
        <f>MOD((50000+AD1246-$B$3+(0/24)),1)</f>
        <v>0.24029235009220429</v>
      </c>
      <c r="BN1246" s="381"/>
      <c r="BO1246" s="382">
        <v>1239</v>
      </c>
    </row>
    <row r="1247" spans="1:67" s="24" customFormat="1" ht="15" customHeight="1" x14ac:dyDescent="0.25">
      <c r="A1247" s="287" t="s">
        <v>3238</v>
      </c>
      <c r="B1247" s="241" t="str">
        <f>HYPERLINK(CONCATENATE($AT$3,BK1247,$AU$3),$AV$3)</f>
        <v>S</v>
      </c>
      <c r="C1247" s="242" t="str">
        <f>HYPERLINK(CONCATENATE($AT$4,BK1247,$AU$4,BL1247),$AV$4)</f>
        <v>A</v>
      </c>
      <c r="D1247" s="243" t="s">
        <v>5187</v>
      </c>
      <c r="E1247" s="244" t="s">
        <v>7522</v>
      </c>
      <c r="F1247" s="293"/>
      <c r="G1247" s="276">
        <v>120</v>
      </c>
      <c r="H1247" s="271" t="s">
        <v>6500</v>
      </c>
      <c r="I1247" s="244" t="s">
        <v>6500</v>
      </c>
      <c r="J1247" s="295">
        <v>1</v>
      </c>
      <c r="K1247" s="247" t="s">
        <v>6196</v>
      </c>
      <c r="L1247" s="248">
        <v>110520</v>
      </c>
      <c r="M1247" s="249">
        <f>15*(LEFT(TEXT($L1247,"000000"),2)+(MID(TEXT($L1247,"000000"),3,2)/60)+(RIGHT(TEXT($L1247,"000000"),2)/3600))</f>
        <v>166.33333333333334</v>
      </c>
      <c r="N1247" s="250">
        <v>834943</v>
      </c>
      <c r="O1247" s="251">
        <f>IF($N1247&gt;0,(LEFT(TEXT($N1247,"000000"),2)+(MID(TEXT($N1247,"000000"),3,2)/60)+(RIGHT(TEXT($N1247,"000000"),2)/3600)),-(MID(TEXT($N1247,"000000"),2,2)+(MID(TEXT($N1247,"000000"),4,2)/60)+(RIGHT(TEXT($N1247,"000000"),2)/3600)))</f>
        <v>83.828611111111101</v>
      </c>
      <c r="P1247" s="252" t="s">
        <v>226</v>
      </c>
      <c r="Q1247" s="253"/>
      <c r="R1247" s="277" t="s">
        <v>3293</v>
      </c>
      <c r="S1247" s="272" t="s">
        <v>3293</v>
      </c>
      <c r="T1247" s="273"/>
      <c r="U1247" s="274"/>
      <c r="V1247" s="280"/>
      <c r="W1247" s="244"/>
      <c r="X1247" s="244"/>
      <c r="Y1247" s="362"/>
      <c r="Z1247" s="257">
        <f>altaz(J2000_Bas,$O1247,$M1247,DecLat,DecLong,1)</f>
        <v>27.803501698795049</v>
      </c>
      <c r="AA1247" s="257">
        <f>altaz((J2000_Bas+(2*0.04167)),$O1247,$M1247,DecLat,DecLong,1)</f>
        <v>25.623112909564988</v>
      </c>
      <c r="AB1247" s="257">
        <f>altaz((J2000_Bas+(4*0.04167)),$O1247,$M1247,DecLat,DecLong,1)</f>
        <v>24.828634255026472</v>
      </c>
      <c r="AC1247" s="257">
        <f>altaz((J2000_Bas+(6*0.04167)),$O1247,$M1247,DecLat,DecLong,1)</f>
        <v>25.606554721822402</v>
      </c>
      <c r="AD1247" s="258">
        <f>1+ transit((J2000_Bas-1),$O1247,$M1247,DecLat,DecLong)/360 + (GMTOffset/24) + (IF(DST="Y", 1, 0)/24)</f>
        <v>1.4549369514630415</v>
      </c>
      <c r="AE1247" s="259">
        <f>DATE(2001,9,21)+(M1247/360)*365 - (360*((DecLong/360)- (GMTOffset/24) ))</f>
        <v>37328.643518518518</v>
      </c>
      <c r="AF1247" s="260">
        <f>IF(DecLat&gt;0,IF((90 - (DecLat-O1247))&gt;90, (90 - (O1247-DecLat)), (90 - (DecLat-O1247))),IF((90 + (DecLat-O1247))&gt;90, (90 + (O1247-DecLat)), (90 + (DecLat-O1247))))</f>
        <v>37.171388888888899</v>
      </c>
      <c r="AG1247" s="257">
        <f>angularseperation(MoonRA,MoonDec,$M1247,$O1247)</f>
        <v>116.1576808706901</v>
      </c>
      <c r="AH1247" s="261">
        <f ca="1">MIN(100,IF($O$5&gt;80,0+30*($AG1247/100),IF($O$5&gt;70,0+50*($AG1247/100),IF($O$5&gt;60,5+50*($AG1247/100),IF($O$5&gt;50,10+60*($AG1247/100),IF($O$5&gt;40,15+70*($AG1247/100),IF($O$5&gt;30,20+70*($AG1247/100),IF($O$5&gt;20,40+55*($AG1247/100),(80+(20-$O$5)+30*($AG1247/100))))))))))</f>
        <v>100</v>
      </c>
      <c r="AI1247" s="263"/>
      <c r="AJ1247" s="263"/>
      <c r="AK1247" s="263"/>
      <c r="AL1247" s="263"/>
      <c r="AM1247" s="264"/>
      <c r="AN1247" s="263"/>
      <c r="AO1247" s="263"/>
      <c r="AP1247" s="265"/>
      <c r="AQ1247" s="265"/>
      <c r="AR1247" s="285"/>
      <c r="AS1247" s="263"/>
      <c r="AT1247" s="263"/>
      <c r="AU1247" s="263"/>
      <c r="AV1247" s="264"/>
      <c r="AW1247" s="263"/>
      <c r="AX1247" s="263"/>
      <c r="AY1247" s="263"/>
      <c r="AZ1247" s="263"/>
      <c r="BA1247" s="263"/>
      <c r="BB1247" s="263"/>
      <c r="BC1247" s="263"/>
      <c r="BD1247" s="264"/>
      <c r="BE1247" s="263"/>
      <c r="BF1247" s="263"/>
      <c r="BG1247" s="263"/>
      <c r="BH1247" s="263"/>
      <c r="BI1247" s="263"/>
      <c r="BJ1247" s="404">
        <f>altaz(J2000_Bas,$O1247,$M1247,DecLat,DecLong,2)</f>
        <v>353.93825061571766</v>
      </c>
      <c r="BK1247" s="378" t="s">
        <v>3238</v>
      </c>
      <c r="BL1247" s="379">
        <f>IF((2*G1247)/60&lt;0.2,0.2,(2*G1247)/60)</f>
        <v>4</v>
      </c>
      <c r="BM1247" s="380">
        <f>MOD((50000+AD1247-$B$3+(0/24)),1)</f>
        <v>0.67030388116836548</v>
      </c>
      <c r="BN1247" s="381"/>
      <c r="BO1247" s="382">
        <v>1240</v>
      </c>
    </row>
    <row r="1248" spans="1:67" s="24" customFormat="1" ht="15" customHeight="1" x14ac:dyDescent="0.25">
      <c r="A1248" s="288" t="s">
        <v>3186</v>
      </c>
      <c r="B1248" s="241" t="str">
        <f>HYPERLINK(CONCATENATE($AT$3,BK1248,$AU$3),$AV$3)</f>
        <v>S</v>
      </c>
      <c r="C1248" s="242" t="str">
        <f>HYPERLINK(CONCATENATE($AT$4,BK1248,$AU$4,BL1248),$AV$4)</f>
        <v>A</v>
      </c>
      <c r="D1248" s="243" t="s">
        <v>5187</v>
      </c>
      <c r="E1248" s="244" t="s">
        <v>7522</v>
      </c>
      <c r="F1248" s="293"/>
      <c r="G1248" s="276">
        <v>60</v>
      </c>
      <c r="H1248" s="283">
        <v>800</v>
      </c>
      <c r="I1248" s="246">
        <v>15</v>
      </c>
      <c r="J1248" s="295">
        <v>2</v>
      </c>
      <c r="K1248" s="247" t="s">
        <v>4841</v>
      </c>
      <c r="L1248" s="248">
        <v>11550</v>
      </c>
      <c r="M1248" s="249">
        <f>15*(LEFT(TEXT($L1248,"000000"),2)+(MID(TEXT($L1248,"000000"),3,2)/60)+(RIGHT(TEXT($L1248,"000000"),2)/3600))</f>
        <v>18.958333333333332</v>
      </c>
      <c r="N1248" s="250">
        <v>163806</v>
      </c>
      <c r="O1248" s="251">
        <f>IF($N1248&gt;0,(LEFT(TEXT($N1248,"000000"),2)+(MID(TEXT($N1248,"000000"),3,2)/60)+(RIGHT(TEXT($N1248,"000000"),2)/3600)),-(MID(TEXT($N1248,"000000"),2,2)+(MID(TEXT($N1248,"000000"),4,2)/60)+(RIGHT(TEXT($N1248,"000000"),2)/3600)))</f>
        <v>16.634999999999998</v>
      </c>
      <c r="P1248" s="252" t="s">
        <v>158</v>
      </c>
      <c r="Q1248" s="253"/>
      <c r="R1248" s="277" t="s">
        <v>3293</v>
      </c>
      <c r="S1248" s="272" t="s">
        <v>4839</v>
      </c>
      <c r="T1248" s="273"/>
      <c r="U1248" s="274"/>
      <c r="V1248" s="280"/>
      <c r="W1248" s="244"/>
      <c r="X1248" s="244"/>
      <c r="Y1248" s="362"/>
      <c r="Z1248" s="257">
        <f>altaz(J2000_Bas,$O1248,$M1248,DecLat,DecLong,1)</f>
        <v>6.0325113977339155</v>
      </c>
      <c r="AA1248" s="257">
        <f>altaz((J2000_Bas+(2*0.04167)),$O1248,$M1248,DecLat,DecLong,1)</f>
        <v>31.462853096238184</v>
      </c>
      <c r="AB1248" s="257">
        <f>altaz((J2000_Bas+(4*0.04167)),$O1248,$M1248,DecLat,DecLong,1)</f>
        <v>56.918735605542416</v>
      </c>
      <c r="AC1248" s="257">
        <f>altaz((J2000_Bas+(6*0.04167)),$O1248,$M1248,DecLat,DecLong,1)</f>
        <v>75.425613062489816</v>
      </c>
      <c r="AD1248" s="258">
        <f>1+ transit((J2000_Bas-1),$O1248,$M1248,DecLat,DecLong)/360 + (GMTOffset/24) + (IF(DST="Y", 1, 0)/24)</f>
        <v>1.0455619924005413</v>
      </c>
      <c r="AE1248" s="259">
        <f>DATE(2001,9,21)+(M1248/360)*365 - (360*((DecLong/360)- (GMTOffset/24) ))</f>
        <v>37179.221643518518</v>
      </c>
      <c r="AF1248" s="260">
        <f>IF(DecLat&gt;0,IF((90 - (DecLat-O1248))&gt;90, (90 - (O1248-DecLat)), (90 - (DecLat-O1248))),IF((90 + (DecLat-O1248))&gt;90, (90 + (O1248-DecLat)), (90 + (DecLat-O1248))))</f>
        <v>75.634999999999991</v>
      </c>
      <c r="AG1248" s="257">
        <f>angularseperation(MoonRA,MoonDec,$M1248,$O1248)</f>
        <v>132.48877736953136</v>
      </c>
      <c r="AH1248" s="261">
        <f ca="1">MIN(100,IF($O$5&gt;80,0+30*($AG1248/100),IF($O$5&gt;70,0+50*($AG1248/100),IF($O$5&gt;60,5+50*($AG1248/100),IF($O$5&gt;50,10+60*($AG1248/100),IF($O$5&gt;40,15+70*($AG1248/100),IF($O$5&gt;30,20+70*($AG1248/100),IF($O$5&gt;20,40+55*($AG1248/100),(80+(20-$O$5)+30*($AG1248/100))))))))))</f>
        <v>100</v>
      </c>
      <c r="AI1248" s="263"/>
      <c r="AJ1248" s="263"/>
      <c r="AK1248" s="263"/>
      <c r="AL1248" s="263"/>
      <c r="AM1248" s="264"/>
      <c r="AN1248" s="263"/>
      <c r="AO1248" s="263"/>
      <c r="AP1248" s="265"/>
      <c r="AQ1248" s="265"/>
      <c r="AR1248" s="285"/>
      <c r="AS1248" s="263"/>
      <c r="AT1248" s="263"/>
      <c r="AU1248" s="263"/>
      <c r="AV1248" s="264"/>
      <c r="AW1248" s="263"/>
      <c r="AX1248" s="263"/>
      <c r="AY1248" s="263">
        <v>639</v>
      </c>
      <c r="AZ1248" s="263"/>
      <c r="BA1248" s="263"/>
      <c r="BB1248" s="263"/>
      <c r="BC1248" s="263"/>
      <c r="BD1248" s="264"/>
      <c r="BE1248" s="263"/>
      <c r="BF1248" s="263"/>
      <c r="BG1248" s="263"/>
      <c r="BH1248" s="263"/>
      <c r="BI1248" s="263"/>
      <c r="BJ1248" s="404">
        <f>altaz(J2000_Bas,$O1248,$M1248,DecLat,DecLong,2)</f>
        <v>74.196532951682514</v>
      </c>
      <c r="BK1248" s="378" t="s">
        <v>3186</v>
      </c>
      <c r="BL1248" s="379">
        <f>IF((2*G1248)/60&lt;0.2,0.2,(2*G1248)/60)</f>
        <v>2</v>
      </c>
      <c r="BM1248" s="380">
        <f>MOD((50000+AD1248-$B$3+(0/24)),1)</f>
        <v>0.26092892210726859</v>
      </c>
      <c r="BN1248" s="381"/>
      <c r="BO1248" s="382">
        <v>1241</v>
      </c>
    </row>
    <row r="1249" spans="1:67" s="24" customFormat="1" ht="15" customHeight="1" x14ac:dyDescent="0.25">
      <c r="A1249" s="288" t="s">
        <v>1296</v>
      </c>
      <c r="B1249" s="241" t="str">
        <f>HYPERLINK(CONCATENATE($AT$3,BK1249,$AU$3),$AV$3)</f>
        <v>S</v>
      </c>
      <c r="C1249" s="242" t="str">
        <f>HYPERLINK(CONCATENATE($AT$4,BK1249,$AU$4,BL1249),$AV$4)</f>
        <v>A</v>
      </c>
      <c r="D1249" s="243" t="s">
        <v>5187</v>
      </c>
      <c r="E1249" s="244" t="s">
        <v>7522</v>
      </c>
      <c r="F1249" s="293"/>
      <c r="G1249" s="276">
        <v>35</v>
      </c>
      <c r="H1249" s="271" t="s">
        <v>6500</v>
      </c>
      <c r="I1249" s="244" t="s">
        <v>6500</v>
      </c>
      <c r="J1249" s="295">
        <v>3</v>
      </c>
      <c r="K1249" s="247" t="s">
        <v>4843</v>
      </c>
      <c r="L1249" s="248">
        <v>14916</v>
      </c>
      <c r="M1249" s="249">
        <f>15*(LEFT(TEXT($L1249,"000000"),2)+(MID(TEXT($L1249,"000000"),3,2)/60)+(RIGHT(TEXT($L1249,"000000"),2)/3600))</f>
        <v>27.316666666666666</v>
      </c>
      <c r="N1249" s="250">
        <v>534500</v>
      </c>
      <c r="O1249" s="251">
        <f>IF($N1249&gt;0,(LEFT(TEXT($N1249,"000000"),2)+(MID(TEXT($N1249,"000000"),3,2)/60)+(RIGHT(TEXT($N1249,"000000"),2)/3600)),-(MID(TEXT($N1249,"000000"),2,2)+(MID(TEXT($N1249,"000000"),4,2)/60)+(RIGHT(TEXT($N1249,"000000"),2)/3600)))</f>
        <v>53.75</v>
      </c>
      <c r="P1249" s="252" t="s">
        <v>43</v>
      </c>
      <c r="Q1249" s="253"/>
      <c r="R1249" s="247" t="s">
        <v>3293</v>
      </c>
      <c r="S1249" s="272" t="s">
        <v>4842</v>
      </c>
      <c r="T1249" s="273"/>
      <c r="U1249" s="274"/>
      <c r="V1249" s="280"/>
      <c r="W1249" s="244"/>
      <c r="X1249" s="244"/>
      <c r="Y1249" s="362"/>
      <c r="Z1249" s="257">
        <f>altaz(J2000_Bas,$O1249,$M1249,DecLat,DecLong,1)</f>
        <v>18.415899208238365</v>
      </c>
      <c r="AA1249" s="257">
        <f>altaz((J2000_Bas+(2*0.04167)),$O1249,$M1249,DecLat,DecLong,1)</f>
        <v>35.34113636315768</v>
      </c>
      <c r="AB1249" s="257">
        <f>altaz((J2000_Bas+(4*0.04167)),$O1249,$M1249,DecLat,DecLong,1)</f>
        <v>52.84767604248885</v>
      </c>
      <c r="AC1249" s="257">
        <f>altaz((J2000_Bas+(6*0.04167)),$O1249,$M1249,DecLat,DecLong,1)</f>
        <v>65.893303084513192</v>
      </c>
      <c r="AD1249" s="258">
        <f>1+ transit((J2000_Bas-1),$O1249,$M1249,DecLat,DecLong)/360 + (GMTOffset/24) + (IF(DST="Y", 1, 0)/24)</f>
        <v>1.0687795826713746</v>
      </c>
      <c r="AE1249" s="259">
        <f>DATE(2001,9,21)+(M1249/360)*365 - (360*((DecLong/360)- (GMTOffset/24) ))</f>
        <v>37187.696064814816</v>
      </c>
      <c r="AF1249" s="260">
        <f>IF(DecLat&gt;0,IF((90 - (DecLat-O1249))&gt;90, (90 - (O1249-DecLat)), (90 - (DecLat-O1249))),IF((90 + (DecLat-O1249))&gt;90, (90 + (O1249-DecLat)), (90 + (DecLat-O1249))))</f>
        <v>67.25</v>
      </c>
      <c r="AG1249" s="257">
        <f>angularseperation(MoonRA,MoonDec,$M1249,$O1249)</f>
        <v>139.36488394867118</v>
      </c>
      <c r="AH1249" s="261">
        <f ca="1">MIN(100,IF($O$5&gt;80,0+30*($AG1249/100),IF($O$5&gt;70,0+50*($AG1249/100),IF($O$5&gt;60,5+50*($AG1249/100),IF($O$5&gt;50,10+60*($AG1249/100),IF($O$5&gt;40,15+70*($AG1249/100),IF($O$5&gt;30,20+70*($AG1249/100),IF($O$5&gt;20,40+55*($AG1249/100),(80+(20-$O$5)+30*($AG1249/100))))))))))</f>
        <v>100</v>
      </c>
      <c r="AI1249" s="262"/>
      <c r="AJ1249" s="262"/>
      <c r="AK1249" s="262"/>
      <c r="AL1249" s="263"/>
      <c r="AM1249" s="264"/>
      <c r="AN1249" s="263"/>
      <c r="AO1249" s="263"/>
      <c r="AP1249" s="265"/>
      <c r="AQ1249" s="266"/>
      <c r="AR1249" s="267"/>
      <c r="AS1249" s="263"/>
      <c r="AT1249" s="263"/>
      <c r="AU1249" s="263"/>
      <c r="AV1249" s="264"/>
      <c r="AW1249" s="263"/>
      <c r="AX1249" s="263"/>
      <c r="AY1249" s="263">
        <v>640</v>
      </c>
      <c r="AZ1249" s="263"/>
      <c r="BA1249" s="263"/>
      <c r="BB1249" s="263"/>
      <c r="BC1249" s="263"/>
      <c r="BD1249" s="264"/>
      <c r="BE1249" s="263"/>
      <c r="BF1249" s="263"/>
      <c r="BG1249" s="263"/>
      <c r="BH1249" s="263"/>
      <c r="BI1249" s="263">
        <v>7</v>
      </c>
      <c r="BJ1249" s="404">
        <f>altaz(J2000_Bas,$O1249,$M1249,DecLat,DecLong,2)</f>
        <v>37.670144542065664</v>
      </c>
      <c r="BK1249" s="378" t="s">
        <v>1296</v>
      </c>
      <c r="BL1249" s="379">
        <f>IF((2*G1249)/60&lt;0.2,0.2,(2*G1249)/60)</f>
        <v>1.1666666666666667</v>
      </c>
      <c r="BM1249" s="380">
        <f>MOD((50000+AD1249-$B$3+(0/24)),1)</f>
        <v>0.28414651237835642</v>
      </c>
      <c r="BN1249" s="381"/>
      <c r="BO1249" s="382">
        <v>1242</v>
      </c>
    </row>
    <row r="1250" spans="1:67" s="24" customFormat="1" ht="15" customHeight="1" x14ac:dyDescent="0.25">
      <c r="A1250" s="288" t="s">
        <v>3187</v>
      </c>
      <c r="B1250" s="241" t="str">
        <f>HYPERLINK(CONCATENATE($AT$3,BK1250,$AU$3),$AV$3)</f>
        <v>S</v>
      </c>
      <c r="C1250" s="242" t="str">
        <f>HYPERLINK(CONCATENATE($AT$4,BK1250,$AU$4,BL1250),$AV$4)</f>
        <v>A</v>
      </c>
      <c r="D1250" s="243" t="s">
        <v>5187</v>
      </c>
      <c r="E1250" s="244" t="s">
        <v>7522</v>
      </c>
      <c r="F1250" s="293"/>
      <c r="G1250" s="276">
        <v>60</v>
      </c>
      <c r="H1250" s="283">
        <v>800</v>
      </c>
      <c r="I1250" s="246">
        <v>15</v>
      </c>
      <c r="J1250" s="295">
        <v>2</v>
      </c>
      <c r="K1250" s="247" t="s">
        <v>4840</v>
      </c>
      <c r="L1250" s="248">
        <v>12258</v>
      </c>
      <c r="M1250" s="249">
        <f>15*(LEFT(TEXT($L1250,"000000"),2)+(MID(TEXT($L1250,"000000"),3,2)/60)+(RIGHT(TEXT($L1250,"000000"),2)/3600))</f>
        <v>20.741666666666667</v>
      </c>
      <c r="N1250" s="250">
        <v>171135</v>
      </c>
      <c r="O1250" s="251">
        <f>IF($N1250&gt;0,(LEFT(TEXT($N1250,"000000"),2)+(MID(TEXT($N1250,"000000"),3,2)/60)+(RIGHT(TEXT($N1250,"000000"),2)/3600)),-(MID(TEXT($N1250,"000000"),2,2)+(MID(TEXT($N1250,"000000"),4,2)/60)+(RIGHT(TEXT($N1250,"000000"),2)/3600)))</f>
        <v>17.193055555555556</v>
      </c>
      <c r="P1250" s="252" t="s">
        <v>158</v>
      </c>
      <c r="Q1250" s="253"/>
      <c r="R1250" s="277" t="s">
        <v>3293</v>
      </c>
      <c r="S1250" s="272" t="s">
        <v>4838</v>
      </c>
      <c r="T1250" s="273"/>
      <c r="U1250" s="274"/>
      <c r="V1250" s="280"/>
      <c r="W1250" s="244"/>
      <c r="X1250" s="244"/>
      <c r="Y1250" s="362"/>
      <c r="Z1250" s="257">
        <f>altaz(J2000_Bas,$O1250,$M1250,DecLat,DecLong,1)</f>
        <v>4.8523745063552521</v>
      </c>
      <c r="AA1250" s="257">
        <f>altaz((J2000_Bas+(2*0.04167)),$O1250,$M1250,DecLat,DecLong,1)</f>
        <v>30.183904121407476</v>
      </c>
      <c r="AB1250" s="257">
        <f>altaz((J2000_Bas+(4*0.04167)),$O1250,$M1250,DecLat,DecLong,1)</f>
        <v>55.743088042184084</v>
      </c>
      <c r="AC1250" s="257">
        <f>altaz((J2000_Bas+(6*0.04167)),$O1250,$M1250,DecLat,DecLong,1)</f>
        <v>75.603283808062315</v>
      </c>
      <c r="AD1250" s="258">
        <f>1+ transit((J2000_Bas-1),$O1250,$M1250,DecLat,DecLong)/360 + (GMTOffset/24) + (IF(DST="Y", 1, 0)/24)</f>
        <v>1.0505156956088746</v>
      </c>
      <c r="AE1250" s="259">
        <f>DATE(2001,9,21)+(M1250/360)*365 - (360*((DecLong/360)- (GMTOffset/24) ))</f>
        <v>37181.029745370368</v>
      </c>
      <c r="AF1250" s="260">
        <f>IF(DecLat&gt;0,IF((90 - (DecLat-O1250))&gt;90, (90 - (O1250-DecLat)), (90 - (DecLat-O1250))),IF((90 + (DecLat-O1250))&gt;90, (90 + (O1250-DecLat)), (90 + (DecLat-O1250))))</f>
        <v>76.19305555555556</v>
      </c>
      <c r="AG1250" s="257">
        <f>angularseperation(MoonRA,MoonDec,$M1250,$O1250)</f>
        <v>134.28066315162303</v>
      </c>
      <c r="AH1250" s="261">
        <f ca="1">MIN(100,IF($O$5&gt;80,0+30*($AG1250/100),IF($O$5&gt;70,0+50*($AG1250/100),IF($O$5&gt;60,5+50*($AG1250/100),IF($O$5&gt;50,10+60*($AG1250/100),IF($O$5&gt;40,15+70*($AG1250/100),IF($O$5&gt;30,20+70*($AG1250/100),IF($O$5&gt;20,40+55*($AG1250/100),(80+(20-$O$5)+30*($AG1250/100))))))))))</f>
        <v>100</v>
      </c>
      <c r="AI1250" s="263"/>
      <c r="AJ1250" s="263"/>
      <c r="AK1250" s="263"/>
      <c r="AL1250" s="263"/>
      <c r="AM1250" s="264"/>
      <c r="AN1250" s="263"/>
      <c r="AO1250" s="263"/>
      <c r="AP1250" s="265"/>
      <c r="AQ1250" s="265"/>
      <c r="AR1250" s="285"/>
      <c r="AS1250" s="263"/>
      <c r="AT1250" s="263"/>
      <c r="AU1250" s="263"/>
      <c r="AV1250" s="264"/>
      <c r="AW1250" s="263"/>
      <c r="AX1250" s="263"/>
      <c r="AY1250" s="263">
        <v>644</v>
      </c>
      <c r="AZ1250" s="263"/>
      <c r="BA1250" s="263"/>
      <c r="BB1250" s="263"/>
      <c r="BC1250" s="263"/>
      <c r="BD1250" s="264"/>
      <c r="BE1250" s="263"/>
      <c r="BF1250" s="263"/>
      <c r="BG1250" s="263"/>
      <c r="BH1250" s="263"/>
      <c r="BI1250" s="263">
        <v>6</v>
      </c>
      <c r="BJ1250" s="404">
        <f>altaz(J2000_Bas,$O1250,$M1250,DecLat,DecLong,2)</f>
        <v>72.837703673924224</v>
      </c>
      <c r="BK1250" s="378" t="s">
        <v>3187</v>
      </c>
      <c r="BL1250" s="379">
        <f>IF((2*G1250)/60&lt;0.2,0.2,(2*G1250)/60)</f>
        <v>2</v>
      </c>
      <c r="BM1250" s="380">
        <f>MOD((50000+AD1250-$B$3+(0/24)),1)</f>
        <v>0.26588262531004148</v>
      </c>
      <c r="BN1250" s="381"/>
      <c r="BO1250" s="382">
        <v>1243</v>
      </c>
    </row>
    <row r="1251" spans="1:67" s="24" customFormat="1" ht="15" customHeight="1" x14ac:dyDescent="0.25">
      <c r="A1251" s="288" t="s">
        <v>1297</v>
      </c>
      <c r="B1251" s="241" t="str">
        <f>HYPERLINK(CONCATENATE($AT$3,BK1251,$AU$3),$AV$3)</f>
        <v>S</v>
      </c>
      <c r="C1251" s="242" t="str">
        <f>HYPERLINK(CONCATENATE($AT$4,BK1251,$AU$4,BL1251),$AV$4)</f>
        <v>A</v>
      </c>
      <c r="D1251" s="243" t="s">
        <v>5187</v>
      </c>
      <c r="E1251" s="244" t="s">
        <v>5183</v>
      </c>
      <c r="F1251" s="269" t="s">
        <v>9159</v>
      </c>
      <c r="G1251" s="273">
        <v>6</v>
      </c>
      <c r="H1251" s="283">
        <v>6500</v>
      </c>
      <c r="I1251" s="244" t="s">
        <v>6500</v>
      </c>
      <c r="J1251" s="295">
        <v>3</v>
      </c>
      <c r="K1251" s="247" t="s">
        <v>4845</v>
      </c>
      <c r="L1251" s="248">
        <v>25721</v>
      </c>
      <c r="M1251" s="249">
        <f>15*(LEFT(TEXT($L1251,"000000"),2)+(MID(TEXT($L1251,"000000"),3,2)/60)+(RIGHT(TEXT($L1251,"000000"),2)/3600))</f>
        <v>44.337500000000006</v>
      </c>
      <c r="N1251" s="250">
        <v>604018</v>
      </c>
      <c r="O1251" s="251">
        <f>IF($N1251&gt;0,(LEFT(TEXT($N1251,"000000"),2)+(MID(TEXT($N1251,"000000"),3,2)/60)+(RIGHT(TEXT($N1251,"000000"),2)/3600)),-(MID(TEXT($N1251,"000000"),2,2)+(MID(TEXT($N1251,"000000"),4,2)/60)+(RIGHT(TEXT($N1251,"000000"),2)/3600)))</f>
        <v>60.671666666666667</v>
      </c>
      <c r="P1251" s="252" t="s">
        <v>49</v>
      </c>
      <c r="Q1251" s="253"/>
      <c r="R1251" s="247" t="s">
        <v>3293</v>
      </c>
      <c r="S1251" s="272" t="s">
        <v>4844</v>
      </c>
      <c r="T1251" s="273"/>
      <c r="U1251" s="274"/>
      <c r="V1251" s="280"/>
      <c r="W1251" s="244"/>
      <c r="X1251" s="244"/>
      <c r="Y1251" s="362"/>
      <c r="Z1251" s="257">
        <f>altaz(J2000_Bas,$O1251,$M1251,DecLat,DecLong,1)</f>
        <v>14.462850691406008</v>
      </c>
      <c r="AA1251" s="257">
        <f>altaz((J2000_Bas+(2*0.04167)),$O1251,$M1251,DecLat,DecLong,1)</f>
        <v>27.50612509250773</v>
      </c>
      <c r="AB1251" s="257">
        <f>altaz((J2000_Bas+(4*0.04167)),$O1251,$M1251,DecLat,DecLong,1)</f>
        <v>42.104183669352793</v>
      </c>
      <c r="AC1251" s="257">
        <f>altaz((J2000_Bas+(6*0.04167)),$O1251,$M1251,DecLat,DecLong,1)</f>
        <v>55.029958783422664</v>
      </c>
      <c r="AD1251" s="258">
        <f>1+ transit((J2000_Bas-1),$O1251,$M1251,DecLat,DecLong)/360 + (GMTOffset/24) + (IF(DST="Y", 1, 0)/24)</f>
        <v>1.116059670535958</v>
      </c>
      <c r="AE1251" s="259">
        <f>DATE(2001,9,21)+(M1251/360)*365 - (360*((DecLong/360)- (GMTOffset/24) ))</f>
        <v>37204.953298611108</v>
      </c>
      <c r="AF1251" s="260">
        <f>IF(DecLat&gt;0,IF((90 - (DecLat-O1251))&gt;90, (90 - (O1251-DecLat)), (90 - (DecLat-O1251))),IF((90 + (DecLat-O1251))&gt;90, (90 + (O1251-DecLat)), (90 + (DecLat-O1251))))</f>
        <v>60.328333333333333</v>
      </c>
      <c r="AG1251" s="257">
        <f>angularseperation(MoonRA,MoonDec,$M1251,$O1251)</f>
        <v>142.41872152520062</v>
      </c>
      <c r="AH1251" s="261">
        <f ca="1">MIN(100,IF($O$5&gt;80,0+30*($AG1251/100),IF($O$5&gt;70,0+50*($AG1251/100),IF($O$5&gt;60,5+50*($AG1251/100),IF($O$5&gt;50,10+60*($AG1251/100),IF($O$5&gt;40,15+70*($AG1251/100),IF($O$5&gt;30,20+70*($AG1251/100),IF($O$5&gt;20,40+55*($AG1251/100),(80+(20-$O$5)+30*($AG1251/100))))))))))</f>
        <v>100</v>
      </c>
      <c r="AI1251" s="262"/>
      <c r="AJ1251" s="262"/>
      <c r="AK1251" s="262"/>
      <c r="AL1251" s="263"/>
      <c r="AM1251" s="264"/>
      <c r="AN1251" s="263"/>
      <c r="AO1251" s="263"/>
      <c r="AP1251" s="265"/>
      <c r="AQ1251" s="266"/>
      <c r="AR1251" s="267"/>
      <c r="AS1251" s="263"/>
      <c r="AT1251" s="263"/>
      <c r="AU1251" s="263"/>
      <c r="AV1251" s="264"/>
      <c r="AW1251" s="263"/>
      <c r="AX1251" s="263"/>
      <c r="AY1251" s="263">
        <v>673</v>
      </c>
      <c r="AZ1251" s="263"/>
      <c r="BA1251" s="263"/>
      <c r="BB1251" s="263"/>
      <c r="BC1251" s="263"/>
      <c r="BD1251" s="264"/>
      <c r="BE1251" s="263"/>
      <c r="BF1251" s="263"/>
      <c r="BG1251" s="263"/>
      <c r="BH1251" s="263"/>
      <c r="BI1251" s="263"/>
      <c r="BJ1251" s="404">
        <f>altaz(J2000_Bas,$O1251,$M1251,DecLat,DecLong,2)</f>
        <v>26.438572910100063</v>
      </c>
      <c r="BK1251" s="378" t="s">
        <v>1297</v>
      </c>
      <c r="BL1251" s="379">
        <f>IF((2*G1251)/60&lt;0.2,0.2,(2*G1251)/60)</f>
        <v>0.2</v>
      </c>
      <c r="BM1251" s="380">
        <f>MOD((50000+AD1251-$B$3+(0/24)),1)</f>
        <v>0.33142660024168435</v>
      </c>
      <c r="BN1251" s="381"/>
      <c r="BO1251" s="382">
        <v>1244</v>
      </c>
    </row>
    <row r="1252" spans="1:67" s="24" customFormat="1" ht="15" customHeight="1" x14ac:dyDescent="0.25">
      <c r="A1252" s="288" t="s">
        <v>3196</v>
      </c>
      <c r="B1252" s="241" t="str">
        <f>HYPERLINK(CONCATENATE($AT$3,BK1252,$AU$3),$AV$3)</f>
        <v>S</v>
      </c>
      <c r="C1252" s="242" t="str">
        <f>HYPERLINK(CONCATENATE($AT$4,BK1252,$AU$4,BL1252),$AV$4)</f>
        <v>A</v>
      </c>
      <c r="D1252" s="243" t="s">
        <v>5187</v>
      </c>
      <c r="E1252" s="244" t="s">
        <v>7522</v>
      </c>
      <c r="F1252" s="293"/>
      <c r="G1252" s="276">
        <v>100</v>
      </c>
      <c r="H1252" s="271" t="s">
        <v>6500</v>
      </c>
      <c r="I1252" s="244" t="s">
        <v>6500</v>
      </c>
      <c r="J1252" s="295">
        <v>3</v>
      </c>
      <c r="K1252" s="247" t="s">
        <v>6197</v>
      </c>
      <c r="L1252" s="248">
        <v>25907</v>
      </c>
      <c r="M1252" s="249">
        <f>15*(LEFT(TEXT($L1252,"000000"),2)+(MID(TEXT($L1252,"000000"),3,2)/60)+(RIGHT(TEXT($L1252,"000000"),2)/3600))</f>
        <v>44.779166666666669</v>
      </c>
      <c r="N1252" s="250">
        <v>172237</v>
      </c>
      <c r="O1252" s="251">
        <f>IF($N1252&gt;0,(LEFT(TEXT($N1252,"000000"),2)+(MID(TEXT($N1252,"000000"),3,2)/60)+(RIGHT(TEXT($N1252,"000000"),2)/3600)),-(MID(TEXT($N1252,"000000"),2,2)+(MID(TEXT($N1252,"000000"),4,2)/60)+(RIGHT(TEXT($N1252,"000000"),2)/3600)))</f>
        <v>17.376944444444444</v>
      </c>
      <c r="P1252" s="252" t="s">
        <v>249</v>
      </c>
      <c r="Q1252" s="253" t="s">
        <v>6974</v>
      </c>
      <c r="R1252" s="277" t="s">
        <v>3293</v>
      </c>
      <c r="S1252" s="272" t="s">
        <v>3293</v>
      </c>
      <c r="T1252" s="273"/>
      <c r="U1252" s="274"/>
      <c r="V1252" s="280"/>
      <c r="W1252" s="244"/>
      <c r="X1252" s="244"/>
      <c r="Y1252" s="362"/>
      <c r="Z1252" s="257">
        <f>altaz(J2000_Bas,$O1252,$M1252,DecLat,DecLong,1)</f>
        <v>-13.885585535715927</v>
      </c>
      <c r="AA1252" s="257">
        <f>altaz((J2000_Bas+(2*0.04167)),$O1252,$M1252,DecLat,DecLong,1)</f>
        <v>9.932808671736014</v>
      </c>
      <c r="AB1252" s="257">
        <f>altaz((J2000_Bas+(4*0.04167)),$O1252,$M1252,DecLat,DecLong,1)</f>
        <v>35.446252343248446</v>
      </c>
      <c r="AC1252" s="257">
        <f>altaz((J2000_Bas+(6*0.04167)),$O1252,$M1252,DecLat,DecLong,1)</f>
        <v>60.759489142098829</v>
      </c>
      <c r="AD1252" s="258">
        <f>1+ transit((J2000_Bas-1),$O1252,$M1252,DecLat,DecLong)/360 + (GMTOffset/24) + (IF(DST="Y", 1, 0)/24)</f>
        <v>1.1172865222651247</v>
      </c>
      <c r="AE1252" s="259">
        <f>DATE(2001,9,21)+(M1252/360)*365 - (360*((DecLong/360)- (GMTOffset/24) ))</f>
        <v>37205.401099537034</v>
      </c>
      <c r="AF1252" s="260">
        <f>IF(DecLat&gt;0,IF((90 - (DecLat-O1252))&gt;90, (90 - (O1252-DecLat)), (90 - (DecLat-O1252))),IF((90 + (DecLat-O1252))&gt;90, (90 + (O1252-DecLat)), (90 + (DecLat-O1252))))</f>
        <v>76.376944444444447</v>
      </c>
      <c r="AG1252" s="257">
        <f>angularseperation(MoonRA,MoonDec,$M1252,$O1252)</f>
        <v>155.42326422578944</v>
      </c>
      <c r="AH1252" s="261">
        <f ca="1">MIN(100,IF($O$5&gt;80,0+30*($AG1252/100),IF($O$5&gt;70,0+50*($AG1252/100),IF($O$5&gt;60,5+50*($AG1252/100),IF($O$5&gt;50,10+60*($AG1252/100),IF($O$5&gt;40,15+70*($AG1252/100),IF($O$5&gt;30,20+70*($AG1252/100),IF($O$5&gt;20,40+55*($AG1252/100),(80+(20-$O$5)+30*($AG1252/100))))))))))</f>
        <v>100</v>
      </c>
      <c r="AI1252" s="263"/>
      <c r="AJ1252" s="263"/>
      <c r="AK1252" s="263"/>
      <c r="AL1252" s="263"/>
      <c r="AM1252" s="264"/>
      <c r="AN1252" s="263"/>
      <c r="AO1252" s="263"/>
      <c r="AP1252" s="265"/>
      <c r="AQ1252" s="265"/>
      <c r="AR1252" s="285"/>
      <c r="AS1252" s="263"/>
      <c r="AT1252" s="263"/>
      <c r="AU1252" s="263"/>
      <c r="AV1252" s="264"/>
      <c r="AW1252" s="263"/>
      <c r="AX1252" s="263"/>
      <c r="AY1252" s="263"/>
      <c r="AZ1252" s="263"/>
      <c r="BA1252" s="263"/>
      <c r="BB1252" s="263"/>
      <c r="BC1252" s="263"/>
      <c r="BD1252" s="264"/>
      <c r="BE1252" s="263"/>
      <c r="BF1252" s="263"/>
      <c r="BG1252" s="263"/>
      <c r="BH1252" s="263"/>
      <c r="BI1252" s="263">
        <v>13</v>
      </c>
      <c r="BJ1252" s="404">
        <f>altaz(J2000_Bas,$O1252,$M1252,DecLat,DecLong,2)</f>
        <v>59.505938883720944</v>
      </c>
      <c r="BK1252" s="378" t="s">
        <v>3196</v>
      </c>
      <c r="BL1252" s="379">
        <f>IF((2*G1252)/60&lt;0.2,0.2,(2*G1252)/60)</f>
        <v>3.3333333333333335</v>
      </c>
      <c r="BM1252" s="380">
        <f>MOD((50000+AD1252-$B$3+(0/24)),1)</f>
        <v>0.33265345196559792</v>
      </c>
      <c r="BN1252" s="381"/>
      <c r="BO1252" s="382">
        <v>1245</v>
      </c>
    </row>
    <row r="1253" spans="1:67" s="24" customFormat="1" ht="15" customHeight="1" x14ac:dyDescent="0.25">
      <c r="A1253" s="288" t="s">
        <v>1298</v>
      </c>
      <c r="B1253" s="241" t="str">
        <f>HYPERLINK(CONCATENATE($AT$3,BK1253,$AU$3),$AV$3)</f>
        <v>S</v>
      </c>
      <c r="C1253" s="242" t="str">
        <f>HYPERLINK(CONCATENATE($AT$4,BK1253,$AU$4,BL1253),$AV$4)</f>
        <v>A</v>
      </c>
      <c r="D1253" s="243" t="s">
        <v>5187</v>
      </c>
      <c r="E1253" s="244" t="s">
        <v>7522</v>
      </c>
      <c r="F1253" s="293"/>
      <c r="G1253" s="276">
        <v>25</v>
      </c>
      <c r="H1253" s="283">
        <v>400</v>
      </c>
      <c r="I1253" s="279">
        <v>3</v>
      </c>
      <c r="J1253" s="246">
        <v>4</v>
      </c>
      <c r="K1253" s="247" t="s">
        <v>4848</v>
      </c>
      <c r="L1253" s="248">
        <v>40502</v>
      </c>
      <c r="M1253" s="249">
        <f>15*(LEFT(TEXT($L1253,"000000"),2)+(MID(TEXT($L1253,"000000"),3,2)/60)+(RIGHT(TEXT($L1253,"000000"),2)/3600))</f>
        <v>61.258333333333333</v>
      </c>
      <c r="N1253" s="250">
        <v>262324</v>
      </c>
      <c r="O1253" s="251">
        <f>IF($N1253&gt;0,(LEFT(TEXT($N1253,"000000"),2)+(MID(TEXT($N1253,"000000"),3,2)/60)+(RIGHT(TEXT($N1253,"000000"),2)/3600)),-(MID(TEXT($N1253,"000000"),2,2)+(MID(TEXT($N1253,"000000"),4,2)/60)+(RIGHT(TEXT($N1253,"000000"),2)/3600)))</f>
        <v>26.39</v>
      </c>
      <c r="P1253" s="252" t="s">
        <v>56</v>
      </c>
      <c r="Q1253" s="253" t="s">
        <v>6939</v>
      </c>
      <c r="R1253" s="277" t="s">
        <v>3293</v>
      </c>
      <c r="S1253" s="272" t="s">
        <v>5773</v>
      </c>
      <c r="T1253" s="273"/>
      <c r="U1253" s="274"/>
      <c r="V1253" s="280"/>
      <c r="W1253" s="244"/>
      <c r="X1253" s="244"/>
      <c r="Y1253" s="362"/>
      <c r="Z1253" s="257">
        <f>altaz(J2000_Bas,$O1253,$M1253,DecLat,DecLong,1)</f>
        <v>-18.447767104936869</v>
      </c>
      <c r="AA1253" s="257">
        <f>altaz((J2000_Bas+(2*0.04167)),$O1253,$M1253,DecLat,DecLong,1)</f>
        <v>1.6031619619428072</v>
      </c>
      <c r="AB1253" s="257">
        <f>altaz((J2000_Bas+(4*0.04167)),$O1253,$M1253,DecLat,DecLong,1)</f>
        <v>25.247799804599161</v>
      </c>
      <c r="AC1253" s="257">
        <f>altaz((J2000_Bas+(6*0.04167)),$O1253,$M1253,DecLat,DecLong,1)</f>
        <v>50.520280553165847</v>
      </c>
      <c r="AD1253" s="258">
        <f>1+ transit((J2000_Bas-1),$O1253,$M1253,DecLat,DecLong)/360 + (GMTOffset/24) + (IF(DST="Y", 1, 0)/24)</f>
        <v>1.1630619806505413</v>
      </c>
      <c r="AE1253" s="259">
        <f>DATE(2001,9,21)+(M1253/360)*365 - (360*((DecLong/360)- (GMTOffset/24) ))</f>
        <v>37222.109143518515</v>
      </c>
      <c r="AF1253" s="260">
        <f>IF(DecLat&gt;0,IF((90 - (DecLat-O1253))&gt;90, (90 - (O1253-DecLat)), (90 - (DecLat-O1253))),IF((90 + (DecLat-O1253))&gt;90, (90 + (O1253-DecLat)), (90 + (DecLat-O1253))))</f>
        <v>85.39</v>
      </c>
      <c r="AG1253" s="257">
        <f>angularseperation(MoonRA,MoonDec,$M1253,$O1253)</f>
        <v>172.8375553141228</v>
      </c>
      <c r="AH1253" s="261">
        <f ca="1">MIN(100,IF($O$5&gt;80,0+30*($AG1253/100),IF($O$5&gt;70,0+50*($AG1253/100),IF($O$5&gt;60,5+50*($AG1253/100),IF($O$5&gt;50,10+60*($AG1253/100),IF($O$5&gt;40,15+70*($AG1253/100),IF($O$5&gt;30,20+70*($AG1253/100),IF($O$5&gt;20,40+55*($AG1253/100),(80+(20-$O$5)+30*($AG1253/100))))))))))</f>
        <v>100</v>
      </c>
      <c r="AI1253" s="262"/>
      <c r="AJ1253" s="262"/>
      <c r="AK1253" s="262"/>
      <c r="AL1253" s="263"/>
      <c r="AM1253" s="264"/>
      <c r="AN1253" s="263"/>
      <c r="AO1253" s="263"/>
      <c r="AP1253" s="265"/>
      <c r="AQ1253" s="266"/>
      <c r="AR1253" s="267"/>
      <c r="AS1253" s="263"/>
      <c r="AT1253" s="263"/>
      <c r="AU1253" s="263"/>
      <c r="AV1253" s="264"/>
      <c r="AW1253" s="263">
        <v>207</v>
      </c>
      <c r="AX1253" s="263"/>
      <c r="AY1253" s="263">
        <v>777</v>
      </c>
      <c r="AZ1253" s="263"/>
      <c r="BA1253" s="263"/>
      <c r="BB1253" s="263"/>
      <c r="BC1253" s="263"/>
      <c r="BD1253" s="264"/>
      <c r="BE1253" s="263"/>
      <c r="BF1253" s="263"/>
      <c r="BG1253" s="263">
        <v>18</v>
      </c>
      <c r="BH1253" s="263"/>
      <c r="BI1253" s="263"/>
      <c r="BJ1253" s="404">
        <f>altaz(J2000_Bas,$O1253,$M1253,DecLat,DecLong,2)</f>
        <v>41.662773127438143</v>
      </c>
      <c r="BK1253" s="378" t="s">
        <v>1298</v>
      </c>
      <c r="BL1253" s="379">
        <f>IF((2*G1253)/60&lt;0.2,0.2,(2*G1253)/60)</f>
        <v>0.83333333333333337</v>
      </c>
      <c r="BM1253" s="380">
        <f>MOD((50000+AD1253-$B$3+(0/24)),1)</f>
        <v>0.37842891035688808</v>
      </c>
      <c r="BN1253" s="381" t="s">
        <v>8664</v>
      </c>
      <c r="BO1253" s="382">
        <v>1246</v>
      </c>
    </row>
    <row r="1254" spans="1:67" s="24" customFormat="1" ht="15" customHeight="1" x14ac:dyDescent="0.25">
      <c r="A1254" s="287" t="s">
        <v>1299</v>
      </c>
      <c r="B1254" s="241" t="str">
        <f>HYPERLINK(CONCATENATE($AT$3,BK1254,$AU$3),$AV$3)</f>
        <v>S</v>
      </c>
      <c r="C1254" s="242" t="str">
        <f>HYPERLINK(CONCATENATE($AT$4,BK1254,$AU$4,BL1254),$AV$4)</f>
        <v>A</v>
      </c>
      <c r="D1254" s="243" t="s">
        <v>5187</v>
      </c>
      <c r="E1254" s="244" t="s">
        <v>7522</v>
      </c>
      <c r="F1254" s="293"/>
      <c r="G1254" s="276">
        <v>55</v>
      </c>
      <c r="H1254" s="271" t="s">
        <v>6500</v>
      </c>
      <c r="I1254" s="244" t="s">
        <v>6500</v>
      </c>
      <c r="J1254" s="295">
        <v>1</v>
      </c>
      <c r="K1254" s="247" t="s">
        <v>6198</v>
      </c>
      <c r="L1254" s="248">
        <v>44128</v>
      </c>
      <c r="M1254" s="249">
        <f>15*(LEFT(TEXT($L1254,"000000"),2)+(MID(TEXT($L1254,"000000"),3,2)/60)+(RIGHT(TEXT($L1254,"000000"),2)/3600))</f>
        <v>70.366666666666674</v>
      </c>
      <c r="N1254" s="250">
        <v>-52436</v>
      </c>
      <c r="O1254" s="251">
        <f>IF($N1254&gt;0,(LEFT(TEXT($N1254,"000000"),2)+(MID(TEXT($N1254,"000000"),3,2)/60)+(RIGHT(TEXT($N1254,"000000"),2)/3600)),-(MID(TEXT($N1254,"000000"),2,2)+(MID(TEXT($N1254,"000000"),4,2)/60)+(RIGHT(TEXT($N1254,"000000"),2)/3600)))</f>
        <v>-5.41</v>
      </c>
      <c r="P1254" s="252" t="s">
        <v>257</v>
      </c>
      <c r="Q1254" s="253"/>
      <c r="R1254" s="277" t="s">
        <v>3293</v>
      </c>
      <c r="S1254" s="272" t="s">
        <v>6199</v>
      </c>
      <c r="T1254" s="273"/>
      <c r="U1254" s="274"/>
      <c r="V1254" s="280"/>
      <c r="W1254" s="244"/>
      <c r="X1254" s="244"/>
      <c r="Y1254" s="362"/>
      <c r="Z1254" s="257">
        <f>altaz(J2000_Bas,$O1254,$M1254,DecLat,DecLong,1)</f>
        <v>-47.91110103381456</v>
      </c>
      <c r="AA1254" s="257">
        <f>altaz((J2000_Bas+(2*0.04167)),$O1254,$M1254,DecLat,DecLong,1)</f>
        <v>-23.543543643763023</v>
      </c>
      <c r="AB1254" s="257">
        <f>altaz((J2000_Bas+(4*0.04167)),$O1254,$M1254,DecLat,DecLong,1)</f>
        <v>2.1635581372272799</v>
      </c>
      <c r="AC1254" s="257">
        <f>altaz((J2000_Bas+(6*0.04167)),$O1254,$M1254,DecLat,DecLong,1)</f>
        <v>26.852541457301488</v>
      </c>
      <c r="AD1254" s="258">
        <f>1+ transit((J2000_Bas-1),$O1254,$M1254,DecLat,DecLong)/360 + (GMTOffset/24) + (IF(DST="Y", 1, 0)/24)</f>
        <v>1.1883629040463746</v>
      </c>
      <c r="AE1254" s="259">
        <f>DATE(2001,9,21)+(M1254/360)*365 - (360*((DecLong/360)- (GMTOffset/24) ))</f>
        <v>37231.343981481485</v>
      </c>
      <c r="AF1254" s="260">
        <f>IF(DecLat&gt;0,IF((90 - (DecLat-O1254))&gt;90, (90 - (O1254-DecLat)), (90 - (DecLat-O1254))),IF((90 + (DecLat-O1254))&gt;90, (90 + (O1254-DecLat)), (90 + (DecLat-O1254))))</f>
        <v>53.59</v>
      </c>
      <c r="AG1254" s="257">
        <f>angularseperation(MoonRA,MoonDec,$M1254,$O1254)</f>
        <v>147.48769685016927</v>
      </c>
      <c r="AH1254" s="261">
        <f ca="1">MIN(100,IF($O$5&gt;80,0+30*($AG1254/100),IF($O$5&gt;70,0+50*($AG1254/100),IF($O$5&gt;60,5+50*($AG1254/100),IF($O$5&gt;50,10+60*($AG1254/100),IF($O$5&gt;40,15+70*($AG1254/100),IF($O$5&gt;30,20+70*($AG1254/100),IF($O$5&gt;20,40+55*($AG1254/100),(80+(20-$O$5)+30*($AG1254/100))))))))))</f>
        <v>100</v>
      </c>
      <c r="AI1254" s="263"/>
      <c r="AJ1254" s="263"/>
      <c r="AK1254" s="263"/>
      <c r="AL1254" s="263"/>
      <c r="AM1254" s="264"/>
      <c r="AN1254" s="263"/>
      <c r="AO1254" s="263"/>
      <c r="AP1254" s="265"/>
      <c r="AQ1254" s="265"/>
      <c r="AR1254" s="285"/>
      <c r="AS1254" s="263"/>
      <c r="AT1254" s="263"/>
      <c r="AU1254" s="263"/>
      <c r="AV1254" s="264"/>
      <c r="AW1254" s="263"/>
      <c r="AX1254" s="263"/>
      <c r="AY1254" s="263">
        <v>906</v>
      </c>
      <c r="AZ1254" s="263"/>
      <c r="BA1254" s="263"/>
      <c r="BB1254" s="263"/>
      <c r="BC1254" s="263"/>
      <c r="BD1254" s="264"/>
      <c r="BE1254" s="263"/>
      <c r="BF1254" s="263"/>
      <c r="BG1254" s="263"/>
      <c r="BH1254" s="263"/>
      <c r="BI1254" s="263"/>
      <c r="BJ1254" s="404">
        <f>altaz(J2000_Bas,$O1254,$M1254,DecLat,DecLong,2)</f>
        <v>59.924159848864818</v>
      </c>
      <c r="BK1254" s="378" t="s">
        <v>1299</v>
      </c>
      <c r="BL1254" s="379">
        <f>IF((2*G1254)/60&lt;0.2,0.2,(2*G1254)/60)</f>
        <v>1.8333333333333333</v>
      </c>
      <c r="BM1254" s="380">
        <f>MOD((50000+AD1254-$B$3+(0/24)),1)</f>
        <v>0.40372983374982141</v>
      </c>
      <c r="BN1254" s="381"/>
      <c r="BO1254" s="382">
        <v>1247</v>
      </c>
    </row>
    <row r="1255" spans="1:67" s="24" customFormat="1" ht="15" customHeight="1" x14ac:dyDescent="0.25">
      <c r="A1255" s="287" t="s">
        <v>1300</v>
      </c>
      <c r="B1255" s="241" t="str">
        <f>HYPERLINK(CONCATENATE($AT$3,BK1255,$AU$3),$AV$3)</f>
        <v>S</v>
      </c>
      <c r="C1255" s="242" t="str">
        <f>HYPERLINK(CONCATENATE($AT$4,BK1255,$AU$4,BL1255),$AV$4)</f>
        <v>A</v>
      </c>
      <c r="D1255" s="243" t="s">
        <v>5187</v>
      </c>
      <c r="E1255" s="244" t="s">
        <v>7522</v>
      </c>
      <c r="F1255" s="293"/>
      <c r="G1255" s="276">
        <v>70</v>
      </c>
      <c r="H1255" s="271" t="s">
        <v>6500</v>
      </c>
      <c r="I1255" s="244" t="s">
        <v>6500</v>
      </c>
      <c r="J1255" s="295">
        <v>2</v>
      </c>
      <c r="K1255" s="247" t="s">
        <v>6200</v>
      </c>
      <c r="L1255" s="248">
        <v>44728</v>
      </c>
      <c r="M1255" s="249">
        <f>15*(LEFT(TEXT($L1255,"000000"),2)+(MID(TEXT($L1255,"000000"),3,2)/60)+(RIGHT(TEXT($L1255,"000000"),2)/3600))</f>
        <v>71.866666666666674</v>
      </c>
      <c r="N1255" s="250">
        <v>-55436</v>
      </c>
      <c r="O1255" s="251">
        <f>IF($N1255&gt;0,(LEFT(TEXT($N1255,"000000"),2)+(MID(TEXT($N1255,"000000"),3,2)/60)+(RIGHT(TEXT($N1255,"000000"),2)/3600)),-(MID(TEXT($N1255,"000000"),2,2)+(MID(TEXT($N1255,"000000"),4,2)/60)+(RIGHT(TEXT($N1255,"000000"),2)/3600)))</f>
        <v>-5.91</v>
      </c>
      <c r="P1255" s="252" t="s">
        <v>257</v>
      </c>
      <c r="Q1255" s="253"/>
      <c r="R1255" s="277" t="s">
        <v>3293</v>
      </c>
      <c r="S1255" s="272" t="s">
        <v>3293</v>
      </c>
      <c r="T1255" s="273"/>
      <c r="U1255" s="274"/>
      <c r="V1255" s="280"/>
      <c r="W1255" s="244"/>
      <c r="X1255" s="244"/>
      <c r="Y1255" s="362"/>
      <c r="Z1255" s="257">
        <f>altaz(J2000_Bas,$O1255,$M1255,DecLat,DecLong,1)</f>
        <v>-49.353681382933587</v>
      </c>
      <c r="AA1255" s="257">
        <f>altaz((J2000_Bas+(2*0.04167)),$O1255,$M1255,DecLat,DecLong,1)</f>
        <v>-25.077243895401121</v>
      </c>
      <c r="AB1255" s="257">
        <f>altaz((J2000_Bas+(4*0.04167)),$O1255,$M1255,DecLat,DecLong,1)</f>
        <v>0.62861235048412833</v>
      </c>
      <c r="AC1255" s="257">
        <f>altaz((J2000_Bas+(6*0.04167)),$O1255,$M1255,DecLat,DecLong,1)</f>
        <v>25.374812702141718</v>
      </c>
      <c r="AD1255" s="258">
        <f>1+ transit((J2000_Bas-1),$O1255,$M1255,DecLat,DecLong)/360 + (GMTOffset/24) + (IF(DST="Y", 1, 0)/24)</f>
        <v>1.1925295702963747</v>
      </c>
      <c r="AE1255" s="259">
        <f>DATE(2001,9,21)+(M1255/360)*365 - (360*((DecLong/360)- (GMTOffset/24) ))</f>
        <v>37232.864814814813</v>
      </c>
      <c r="AF1255" s="260">
        <f>IF(DecLat&gt;0,IF((90 - (DecLat-O1255))&gt;90, (90 - (O1255-DecLat)), (90 - (DecLat-O1255))),IF((90 + (DecLat-O1255))&gt;90, (90 + (O1255-DecLat)), (90 + (DecLat-O1255))))</f>
        <v>53.09</v>
      </c>
      <c r="AG1255" s="257">
        <f>angularseperation(MoonRA,MoonDec,$M1255,$O1255)</f>
        <v>146.90827747908014</v>
      </c>
      <c r="AH1255" s="261">
        <f ca="1">MIN(100,IF($O$5&gt;80,0+30*($AG1255/100),IF($O$5&gt;70,0+50*($AG1255/100),IF($O$5&gt;60,5+50*($AG1255/100),IF($O$5&gt;50,10+60*($AG1255/100),IF($O$5&gt;40,15+70*($AG1255/100),IF($O$5&gt;30,20+70*($AG1255/100),IF($O$5&gt;20,40+55*($AG1255/100),(80+(20-$O$5)+30*($AG1255/100))))))))))</f>
        <v>100</v>
      </c>
      <c r="AI1255" s="263"/>
      <c r="AJ1255" s="263"/>
      <c r="AK1255" s="263"/>
      <c r="AL1255" s="263"/>
      <c r="AM1255" s="264"/>
      <c r="AN1255" s="263"/>
      <c r="AO1255" s="263"/>
      <c r="AP1255" s="265"/>
      <c r="AQ1255" s="265"/>
      <c r="AR1255" s="285"/>
      <c r="AS1255" s="263"/>
      <c r="AT1255" s="263"/>
      <c r="AU1255" s="263"/>
      <c r="AV1255" s="264"/>
      <c r="AW1255" s="263"/>
      <c r="AX1255" s="263"/>
      <c r="AY1255" s="263">
        <v>917</v>
      </c>
      <c r="AZ1255" s="263"/>
      <c r="BA1255" s="263"/>
      <c r="BB1255" s="263"/>
      <c r="BC1255" s="263"/>
      <c r="BD1255" s="264"/>
      <c r="BE1255" s="263"/>
      <c r="BF1255" s="263"/>
      <c r="BG1255" s="263"/>
      <c r="BH1255" s="263"/>
      <c r="BI1255" s="263"/>
      <c r="BJ1255" s="404">
        <f>altaz(J2000_Bas,$O1255,$M1255,DecLat,DecLong,2)</f>
        <v>58.970574826842594</v>
      </c>
      <c r="BK1255" s="378" t="s">
        <v>1300</v>
      </c>
      <c r="BL1255" s="379">
        <f>IF((2*G1255)/60&lt;0.2,0.2,(2*G1255)/60)</f>
        <v>2.3333333333333335</v>
      </c>
      <c r="BM1255" s="380">
        <f>MOD((50000+AD1255-$B$3+(0/24)),1)</f>
        <v>0.40789650000078836</v>
      </c>
      <c r="BN1255" s="381"/>
      <c r="BO1255" s="382">
        <v>1248</v>
      </c>
    </row>
    <row r="1256" spans="1:67" s="24" customFormat="1" ht="15" customHeight="1" x14ac:dyDescent="0.25">
      <c r="A1256" s="288" t="s">
        <v>1301</v>
      </c>
      <c r="B1256" s="241" t="str">
        <f>HYPERLINK(CONCATENATE($AT$3,BK1256,$AU$3),$AV$3)</f>
        <v>S</v>
      </c>
      <c r="C1256" s="242" t="str">
        <f>HYPERLINK(CONCATENATE($AT$4,BK1256,$AU$4,BL1256),$AV$4)</f>
        <v>A</v>
      </c>
      <c r="D1256" s="243" t="s">
        <v>5187</v>
      </c>
      <c r="E1256" s="244" t="s">
        <v>5183</v>
      </c>
      <c r="F1256" s="269" t="s">
        <v>5180</v>
      </c>
      <c r="G1256" s="276">
        <v>50</v>
      </c>
      <c r="H1256" s="271" t="s">
        <v>6500</v>
      </c>
      <c r="I1256" s="244" t="s">
        <v>6500</v>
      </c>
      <c r="J1256" s="295">
        <v>2</v>
      </c>
      <c r="K1256" s="247" t="s">
        <v>4850</v>
      </c>
      <c r="L1256" s="248">
        <v>71623</v>
      </c>
      <c r="M1256" s="249">
        <f>15*(LEFT(TEXT($L1256,"000000"),2)+(MID(TEXT($L1256,"000000"),3,2)/60)+(RIGHT(TEXT($L1256,"000000"),2)/3600))</f>
        <v>109.09583333333333</v>
      </c>
      <c r="N1256" s="250">
        <v>-103524</v>
      </c>
      <c r="O1256" s="251">
        <f>IF($N1256&gt;0,(LEFT(TEXT($N1256,"000000"),2)+(MID(TEXT($N1256,"000000"),3,2)/60)+(RIGHT(TEXT($N1256,"000000"),2)/3600)),-(MID(TEXT($N1256,"000000"),2,2)+(MID(TEXT($N1256,"000000"),4,2)/60)+(RIGHT(TEXT($N1256,"000000"),2)/3600)))</f>
        <v>-10.59</v>
      </c>
      <c r="P1256" s="252" t="s">
        <v>47</v>
      </c>
      <c r="Q1256" s="253"/>
      <c r="R1256" s="247" t="s">
        <v>3293</v>
      </c>
      <c r="S1256" s="272" t="s">
        <v>4849</v>
      </c>
      <c r="T1256" s="273"/>
      <c r="U1256" s="274"/>
      <c r="V1256" s="280"/>
      <c r="W1256" s="244"/>
      <c r="X1256" s="244"/>
      <c r="Y1256" s="362"/>
      <c r="Z1256" s="257">
        <f>altaz(J2000_Bas,$O1256,$M1256,DecLat,DecLong,1)</f>
        <v>-69.389262190481929</v>
      </c>
      <c r="AA1256" s="257">
        <f>altaz((J2000_Bas+(2*0.04167)),$O1256,$M1256,DecLat,DecLong,1)</f>
        <v>-57.719602038430814</v>
      </c>
      <c r="AB1256" s="257">
        <f>altaz((J2000_Bas+(4*0.04167)),$O1256,$M1256,DecLat,DecLong,1)</f>
        <v>-33.54642732074673</v>
      </c>
      <c r="AC1256" s="257">
        <f>altaz((J2000_Bas+(6*0.04167)),$O1256,$M1256,DecLat,DecLong,1)</f>
        <v>-7.839240939754581</v>
      </c>
      <c r="AD1256" s="258">
        <f>1+ transit((J2000_Bas-1),$O1256,$M1256,DecLat,DecLong)/360 + (GMTOffset/24) + (IF(DST="Y", 1, 0)/24)</f>
        <v>1.2959439118067915</v>
      </c>
      <c r="AE1256" s="259">
        <f>DATE(2001,9,21)+(M1256/360)*365 - (360*((DecLong/360)- (GMTOffset/24) ))</f>
        <v>37270.61105324074</v>
      </c>
      <c r="AF1256" s="260">
        <f>IF(DecLat&gt;0,IF((90 - (DecLat-O1256))&gt;90, (90 - (O1256-DecLat)), (90 - (DecLat-O1256))),IF((90 + (DecLat-O1256))&gt;90, (90 + (O1256-DecLat)), (90 + (DecLat-O1256))))</f>
        <v>48.41</v>
      </c>
      <c r="AG1256" s="257">
        <f>angularseperation(MoonRA,MoonDec,$M1256,$O1256)</f>
        <v>126.02796888523788</v>
      </c>
      <c r="AH1256" s="261">
        <f ca="1">MIN(100,IF($O$5&gt;80,0+30*($AG1256/100),IF($O$5&gt;70,0+50*($AG1256/100),IF($O$5&gt;60,5+50*($AG1256/100),IF($O$5&gt;50,10+60*($AG1256/100),IF($O$5&gt;40,15+70*($AG1256/100),IF($O$5&gt;30,20+70*($AG1256/100),IF($O$5&gt;20,40+55*($AG1256/100),(80+(20-$O$5)+30*($AG1256/100))))))))))</f>
        <v>100</v>
      </c>
      <c r="AI1256" s="262"/>
      <c r="AJ1256" s="262"/>
      <c r="AK1256" s="262"/>
      <c r="AL1256" s="263"/>
      <c r="AM1256" s="264"/>
      <c r="AN1256" s="263"/>
      <c r="AO1256" s="263"/>
      <c r="AP1256" s="265"/>
      <c r="AQ1256" s="266"/>
      <c r="AR1256" s="267"/>
      <c r="AS1256" s="263"/>
      <c r="AT1256" s="263"/>
      <c r="AU1256" s="263"/>
      <c r="AV1256" s="264"/>
      <c r="AW1256" s="263"/>
      <c r="AX1256" s="263"/>
      <c r="AY1256" s="263">
        <v>1036</v>
      </c>
      <c r="AZ1256" s="263"/>
      <c r="BA1256" s="263"/>
      <c r="BB1256" s="263"/>
      <c r="BC1256" s="263"/>
      <c r="BD1256" s="264"/>
      <c r="BE1256" s="263"/>
      <c r="BF1256" s="263"/>
      <c r="BG1256" s="263"/>
      <c r="BH1256" s="263"/>
      <c r="BI1256" s="263">
        <v>50</v>
      </c>
      <c r="BJ1256" s="404">
        <f>altaz(J2000_Bas,$O1256,$M1256,DecLat,DecLong,2)</f>
        <v>351.33376336584519</v>
      </c>
      <c r="BK1256" s="378" t="s">
        <v>1301</v>
      </c>
      <c r="BL1256" s="379">
        <f>IF((2*G1256)/60&lt;0.2,0.2,(2*G1256)/60)</f>
        <v>1.6666666666666667</v>
      </c>
      <c r="BM1256" s="380">
        <f>MOD((50000+AD1256-$B$3+(0/24)),1)</f>
        <v>0.51131084150983952</v>
      </c>
      <c r="BN1256" s="381"/>
      <c r="BO1256" s="382">
        <v>1249</v>
      </c>
    </row>
    <row r="1257" spans="1:67" s="24" customFormat="1" ht="15" customHeight="1" x14ac:dyDescent="0.25">
      <c r="A1257" s="288" t="s">
        <v>1302</v>
      </c>
      <c r="B1257" s="241" t="str">
        <f>HYPERLINK(CONCATENATE($AT$3,BK1257,$AU$3),$AV$3)</f>
        <v>S</v>
      </c>
      <c r="C1257" s="242" t="str">
        <f>HYPERLINK(CONCATENATE($AT$4,BK1257,$AU$4,BL1257),$AV$4)</f>
        <v>A</v>
      </c>
      <c r="D1257" s="243" t="s">
        <v>5187</v>
      </c>
      <c r="E1257" s="244" t="s">
        <v>7522</v>
      </c>
      <c r="F1257" s="293"/>
      <c r="G1257" s="276">
        <v>60</v>
      </c>
      <c r="H1257" s="271" t="s">
        <v>6500</v>
      </c>
      <c r="I1257" s="244" t="s">
        <v>6500</v>
      </c>
      <c r="J1257" s="295">
        <v>2</v>
      </c>
      <c r="K1257" s="247" t="s">
        <v>4851</v>
      </c>
      <c r="L1257" s="248">
        <v>154041</v>
      </c>
      <c r="M1257" s="249">
        <f>15*(LEFT(TEXT($L1257,"000000"),2)+(MID(TEXT($L1257,"000000"),3,2)/60)+(RIGHT(TEXT($L1257,"000000"),2)/3600))</f>
        <v>235.17083333333332</v>
      </c>
      <c r="N1257" s="250">
        <v>-70936</v>
      </c>
      <c r="O1257" s="251">
        <f>IF($N1257&gt;0,(LEFT(TEXT($N1257,"000000"),2)+(MID(TEXT($N1257,"000000"),3,2)/60)+(RIGHT(TEXT($N1257,"000000"),2)/3600)),-(MID(TEXT($N1257,"000000"),2,2)+(MID(TEXT($N1257,"000000"),4,2)/60)+(RIGHT(TEXT($N1257,"000000"),2)/3600)))</f>
        <v>-7.16</v>
      </c>
      <c r="P1257" s="252" t="s">
        <v>473</v>
      </c>
      <c r="Q1257" s="253"/>
      <c r="R1257" s="247" t="s">
        <v>3293</v>
      </c>
      <c r="S1257" s="272" t="s">
        <v>3293</v>
      </c>
      <c r="T1257" s="273"/>
      <c r="U1257" s="274"/>
      <c r="V1257" s="280"/>
      <c r="W1257" s="244"/>
      <c r="X1257" s="244"/>
      <c r="Y1257" s="362"/>
      <c r="Z1257" s="257">
        <f>altaz(J2000_Bas,$O1257,$M1257,DecLat,DecLong,1)</f>
        <v>28.227244397019263</v>
      </c>
      <c r="AA1257" s="257">
        <f>altaz((J2000_Bas+(2*0.04167)),$O1257,$M1257,DecLat,DecLong,1)</f>
        <v>4.0183900081455404</v>
      </c>
      <c r="AB1257" s="257">
        <f>altaz((J2000_Bas+(4*0.04167)),$O1257,$M1257,DecLat,DecLong,1)</f>
        <v>-21.653509829457093</v>
      </c>
      <c r="AC1257" s="257">
        <f>altaz((J2000_Bas+(6*0.04167)),$O1257,$M1257,DecLat,DecLong,1)</f>
        <v>-46.547216851125263</v>
      </c>
      <c r="AD1257" s="258">
        <f>1+ transit((J2000_Bas-1),$O1257,$M1257,DecLat,DecLong)/360 + (GMTOffset/24) + (IF(DST="Y", 1, 0)/24)</f>
        <v>1.6461522101192914</v>
      </c>
      <c r="AE1257" s="259">
        <f>DATE(2001,9,21)+(M1257/360)*365 - (360*((DecLong/360)- (GMTOffset/24) ))</f>
        <v>37398.437094907407</v>
      </c>
      <c r="AF1257" s="260">
        <f>IF(DecLat&gt;0,IF((90 - (DecLat-O1257))&gt;90, (90 - (O1257-DecLat)), (90 - (DecLat-O1257))),IF((90 + (DecLat-O1257))&gt;90, (90 + (O1257-DecLat)), (90 + (DecLat-O1257))))</f>
        <v>51.84</v>
      </c>
      <c r="AG1257" s="257">
        <f>angularseperation(MoonRA,MoonDec,$M1257,$O1257)</f>
        <v>23.986892466204573</v>
      </c>
      <c r="AH1257" s="261">
        <f ca="1">MIN(100,IF($O$5&gt;80,0+30*($AG1257/100),IF($O$5&gt;70,0+50*($AG1257/100),IF($O$5&gt;60,5+50*($AG1257/100),IF($O$5&gt;50,10+60*($AG1257/100),IF($O$5&gt;40,15+70*($AG1257/100),IF($O$5&gt;30,20+70*($AG1257/100),IF($O$5&gt;20,40+55*($AG1257/100),(80+(20-$O$5)+30*($AG1257/100))))))))))</f>
        <v>90.467128084011804</v>
      </c>
      <c r="AI1257" s="262"/>
      <c r="AJ1257" s="262"/>
      <c r="AK1257" s="262"/>
      <c r="AL1257" s="263"/>
      <c r="AM1257" s="264"/>
      <c r="AN1257" s="263"/>
      <c r="AO1257" s="263"/>
      <c r="AP1257" s="265"/>
      <c r="AQ1257" s="266"/>
      <c r="AR1257" s="267"/>
      <c r="AS1257" s="263"/>
      <c r="AT1257" s="263"/>
      <c r="AU1257" s="263"/>
      <c r="AV1257" s="264"/>
      <c r="AW1257" s="263"/>
      <c r="AX1257" s="263"/>
      <c r="AY1257" s="263">
        <v>1122</v>
      </c>
      <c r="AZ1257" s="263"/>
      <c r="BA1257" s="263"/>
      <c r="BB1257" s="263"/>
      <c r="BC1257" s="263"/>
      <c r="BD1257" s="264"/>
      <c r="BE1257" s="263"/>
      <c r="BF1257" s="263"/>
      <c r="BG1257" s="263"/>
      <c r="BH1257" s="263"/>
      <c r="BI1257" s="263"/>
      <c r="BJ1257" s="404">
        <f>altaz(J2000_Bas,$O1257,$M1257,DecLat,DecLong,2)</f>
        <v>240.81817242694524</v>
      </c>
      <c r="BK1257" s="378" t="s">
        <v>1302</v>
      </c>
      <c r="BL1257" s="379">
        <f>IF((2*G1257)/60&lt;0.2,0.2,(2*G1257)/60)</f>
        <v>2</v>
      </c>
      <c r="BM1257" s="380">
        <f>MOD((50000+AD1257-$B$3+(0/24)),1)</f>
        <v>0.86151913982030237</v>
      </c>
      <c r="BN1257" s="381"/>
      <c r="BO1257" s="382">
        <v>1250</v>
      </c>
    </row>
    <row r="1258" spans="1:67" s="24" customFormat="1" ht="15" customHeight="1" x14ac:dyDescent="0.25">
      <c r="A1258" s="288" t="s">
        <v>3188</v>
      </c>
      <c r="B1258" s="241" t="str">
        <f>HYPERLINK(CONCATENATE($AT$3,BK1258,$AU$3),$AV$3)</f>
        <v>S</v>
      </c>
      <c r="C1258" s="242" t="str">
        <f>HYPERLINK(CONCATENATE($AT$4,BK1258,$AU$4,BL1258),$AV$4)</f>
        <v>A</v>
      </c>
      <c r="D1258" s="243" t="s">
        <v>5187</v>
      </c>
      <c r="E1258" s="244" t="s">
        <v>5179</v>
      </c>
      <c r="F1258" s="269">
        <v>6</v>
      </c>
      <c r="G1258" s="276">
        <v>45</v>
      </c>
      <c r="H1258" s="283">
        <v>1000</v>
      </c>
      <c r="I1258" s="246">
        <v>14</v>
      </c>
      <c r="J1258" s="246">
        <v>4</v>
      </c>
      <c r="K1258" s="247" t="s">
        <v>9367</v>
      </c>
      <c r="L1258" s="248">
        <v>163427</v>
      </c>
      <c r="M1258" s="249">
        <f>15*(LEFT(TEXT($L1258,"000000"),2)+(MID(TEXT($L1258,"000000"),3,2)/60)+(RIGHT(TEXT($L1258,"000000"),2)/3600))</f>
        <v>248.61250000000001</v>
      </c>
      <c r="N1258" s="250">
        <v>-155009</v>
      </c>
      <c r="O1258" s="251">
        <f>IF($N1258&gt;0,(LEFT(TEXT($N1258,"000000"),2)+(MID(TEXT($N1258,"000000"),3,2)/60)+(RIGHT(TEXT($N1258,"000000"),2)/3600)),-(MID(TEXT($N1258,"000000"),2,2)+(MID(TEXT($N1258,"000000"),4,2)/60)+(RIGHT(TEXT($N1258,"000000"),2)/3600)))</f>
        <v>-15.835833333333333</v>
      </c>
      <c r="P1258" s="252" t="s">
        <v>113</v>
      </c>
      <c r="Q1258" s="253" t="s">
        <v>6959</v>
      </c>
      <c r="R1258" s="277" t="s">
        <v>3293</v>
      </c>
      <c r="S1258" s="272" t="s">
        <v>4852</v>
      </c>
      <c r="T1258" s="273"/>
      <c r="U1258" s="274"/>
      <c r="V1258" s="280"/>
      <c r="W1258" s="244"/>
      <c r="X1258" s="244"/>
      <c r="Y1258" s="362"/>
      <c r="Z1258" s="257">
        <f>altaz(J2000_Bas,$O1258,$M1258,DecLat,DecLong,1)</f>
        <v>30.973684311520309</v>
      </c>
      <c r="AA1258" s="257">
        <f>altaz((J2000_Bas+(2*0.04167)),$O1258,$M1258,DecLat,DecLong,1)</f>
        <v>10.099991267977206</v>
      </c>
      <c r="AB1258" s="257">
        <f>altaz((J2000_Bas+(4*0.04167)),$O1258,$M1258,DecLat,DecLong,1)</f>
        <v>-14.419887277750636</v>
      </c>
      <c r="AC1258" s="257">
        <f>altaz((J2000_Bas+(6*0.04167)),$O1258,$M1258,DecLat,DecLong,1)</f>
        <v>-40.105039915500974</v>
      </c>
      <c r="AD1258" s="258">
        <f>1+ transit((J2000_Bas-1),$O1258,$M1258,DecLat,DecLong)/360 + (GMTOffset/24) + (IF(DST="Y", 1, 0)/24)</f>
        <v>1.6834901693484581</v>
      </c>
      <c r="AE1258" s="259">
        <f>DATE(2001,9,21)+(M1258/360)*365 - (360*((DecLong/360)- (GMTOffset/24) ))</f>
        <v>37412.065451388888</v>
      </c>
      <c r="AF1258" s="260">
        <f>IF(DecLat&gt;0,IF((90 - (DecLat-O1258))&gt;90, (90 - (O1258-DecLat)), (90 - (DecLat-O1258))),IF((90 + (DecLat-O1258))&gt;90, (90 + (O1258-DecLat)), (90 + (DecLat-O1258))))</f>
        <v>43.164166666666667</v>
      </c>
      <c r="AG1258" s="257">
        <f>angularseperation(MoonRA,MoonDec,$M1258,$O1258)</f>
        <v>11.263430525773037</v>
      </c>
      <c r="AH1258" s="261">
        <f ca="1">MIN(100,IF($O$5&gt;80,0+30*($AG1258/100),IF($O$5&gt;70,0+50*($AG1258/100),IF($O$5&gt;60,5+50*($AG1258/100),IF($O$5&gt;50,10+60*($AG1258/100),IF($O$5&gt;40,15+70*($AG1258/100),IF($O$5&gt;30,20+70*($AG1258/100),IF($O$5&gt;20,40+55*($AG1258/100),(80+(20-$O$5)+30*($AG1258/100))))))))))</f>
        <v>86.650089501882334</v>
      </c>
      <c r="AI1258" s="263"/>
      <c r="AJ1258" s="263"/>
      <c r="AK1258" s="263"/>
      <c r="AL1258" s="263"/>
      <c r="AM1258" s="264"/>
      <c r="AN1258" s="263"/>
      <c r="AO1258" s="263"/>
      <c r="AP1258" s="265"/>
      <c r="AQ1258" s="265"/>
      <c r="AR1258" s="285"/>
      <c r="AS1258" s="263"/>
      <c r="AT1258" s="263"/>
      <c r="AU1258" s="263"/>
      <c r="AV1258" s="264"/>
      <c r="AW1258" s="263"/>
      <c r="AX1258" s="263"/>
      <c r="AY1258" s="263"/>
      <c r="AZ1258" s="263">
        <v>43</v>
      </c>
      <c r="BA1258" s="263"/>
      <c r="BB1258" s="263"/>
      <c r="BC1258" s="263"/>
      <c r="BD1258" s="264"/>
      <c r="BE1258" s="263"/>
      <c r="BF1258" s="263"/>
      <c r="BG1258" s="263"/>
      <c r="BH1258" s="263"/>
      <c r="BI1258" s="263">
        <v>72</v>
      </c>
      <c r="BJ1258" s="404">
        <f>altaz(J2000_Bas,$O1258,$M1258,DecLat,DecLong,2)</f>
        <v>222.949287324773</v>
      </c>
      <c r="BK1258" s="378" t="s">
        <v>3188</v>
      </c>
      <c r="BL1258" s="379">
        <f>IF((2*G1258)/60&lt;0.2,0.2,(2*G1258)/60)</f>
        <v>1.5</v>
      </c>
      <c r="BM1258" s="380">
        <f>MOD((50000+AD1258-$B$3+(0/24)),1)</f>
        <v>0.89885709905502154</v>
      </c>
      <c r="BN1258" s="381"/>
      <c r="BO1258" s="382">
        <v>1251</v>
      </c>
    </row>
    <row r="1259" spans="1:67" s="24" customFormat="1" ht="15" customHeight="1" x14ac:dyDescent="0.25">
      <c r="A1259" s="288" t="s">
        <v>1304</v>
      </c>
      <c r="B1259" s="241" t="str">
        <f>HYPERLINK(CONCATENATE($AT$3,BK1259,$AU$3),$AV$3)</f>
        <v>S</v>
      </c>
      <c r="C1259" s="242" t="str">
        <f>HYPERLINK(CONCATENATE($AT$4,BK1259,$AU$4,BL1259),$AV$4)</f>
        <v>A</v>
      </c>
      <c r="D1259" s="243" t="s">
        <v>5187</v>
      </c>
      <c r="E1259" s="244" t="s">
        <v>5179</v>
      </c>
      <c r="F1259" s="269">
        <v>6</v>
      </c>
      <c r="G1259" s="276">
        <v>100</v>
      </c>
      <c r="H1259" s="271" t="s">
        <v>6500</v>
      </c>
      <c r="I1259" s="244" t="s">
        <v>6500</v>
      </c>
      <c r="J1259" s="246">
        <v>2</v>
      </c>
      <c r="K1259" s="247" t="s">
        <v>6201</v>
      </c>
      <c r="L1259" s="248">
        <v>164747</v>
      </c>
      <c r="M1259" s="249">
        <f>15*(LEFT(TEXT($L1259,"000000"),2)+(MID(TEXT($L1259,"000000"),3,2)/60)+(RIGHT(TEXT($L1259,"000000"),2)/3600))</f>
        <v>251.94583333333338</v>
      </c>
      <c r="N1259" s="250">
        <v>-120516</v>
      </c>
      <c r="O1259" s="251">
        <f>IF($N1259&gt;0,(LEFT(TEXT($N1259,"000000"),2)+(MID(TEXT($N1259,"000000"),3,2)/60)+(RIGHT(TEXT($N1259,"000000"),2)/3600)),-(MID(TEXT($N1259,"000000"),2,2)+(MID(TEXT($N1259,"000000"),4,2)/60)+(RIGHT(TEXT($N1259,"000000"),2)/3600)))</f>
        <v>-12.087777777777779</v>
      </c>
      <c r="P1259" s="252" t="s">
        <v>113</v>
      </c>
      <c r="Q1259" s="253"/>
      <c r="R1259" s="247" t="s">
        <v>3293</v>
      </c>
      <c r="S1259" s="272" t="s">
        <v>4853</v>
      </c>
      <c r="T1259" s="273"/>
      <c r="U1259" s="274"/>
      <c r="V1259" s="280"/>
      <c r="W1259" s="244"/>
      <c r="X1259" s="244"/>
      <c r="Y1259" s="362"/>
      <c r="Z1259" s="257">
        <f>altaz(J2000_Bas,$O1259,$M1259,DecLat,DecLong,1)</f>
        <v>35.912485031955875</v>
      </c>
      <c r="AA1259" s="257">
        <f>altaz((J2000_Bas+(2*0.04167)),$O1259,$M1259,DecLat,DecLong,1)</f>
        <v>14.934375177044368</v>
      </c>
      <c r="AB1259" s="257">
        <f>altaz((J2000_Bas+(4*0.04167)),$O1259,$M1259,DecLat,DecLong,1)</f>
        <v>-9.7655620002713182</v>
      </c>
      <c r="AC1259" s="257">
        <f>altaz((J2000_Bas+(6*0.04167)),$O1259,$M1259,DecLat,DecLong,1)</f>
        <v>-35.47208779041955</v>
      </c>
      <c r="AD1259" s="258">
        <f>1+ transit((J2000_Bas-1),$O1259,$M1259,DecLat,DecLong)/360 + (GMTOffset/24) + (IF(DST="Y", 1, 0)/24)</f>
        <v>1.6927494276817916</v>
      </c>
      <c r="AE1259" s="259">
        <f>DATE(2001,9,21)+(M1259/360)*365 - (360*((DecLong/360)- (GMTOffset/24) ))</f>
        <v>37415.445081018515</v>
      </c>
      <c r="AF1259" s="260">
        <f>IF(DecLat&gt;0,IF((90 - (DecLat-O1259))&gt;90, (90 - (O1259-DecLat)), (90 - (DecLat-O1259))),IF((90 + (DecLat-O1259))&gt;90, (90 + (O1259-DecLat)), (90 + (DecLat-O1259))))</f>
        <v>46.912222222222219</v>
      </c>
      <c r="AG1259" s="257">
        <f>angularseperation(MoonRA,MoonDec,$M1259,$O1259)</f>
        <v>15.209461054801386</v>
      </c>
      <c r="AH1259" s="261">
        <f ca="1">MIN(100,IF($O$5&gt;80,0+30*($AG1259/100),IF($O$5&gt;70,0+50*($AG1259/100),IF($O$5&gt;60,5+50*($AG1259/100),IF($O$5&gt;50,10+60*($AG1259/100),IF($O$5&gt;40,15+70*($AG1259/100),IF($O$5&gt;30,20+70*($AG1259/100),IF($O$5&gt;20,40+55*($AG1259/100),(80+(20-$O$5)+30*($AG1259/100))))))))))</f>
        <v>87.833898660590847</v>
      </c>
      <c r="AI1259" s="262"/>
      <c r="AJ1259" s="262"/>
      <c r="AK1259" s="262"/>
      <c r="AL1259" s="263"/>
      <c r="AM1259" s="264"/>
      <c r="AN1259" s="263"/>
      <c r="AO1259" s="263"/>
      <c r="AP1259" s="265"/>
      <c r="AQ1259" s="266"/>
      <c r="AR1259" s="267"/>
      <c r="AS1259" s="263"/>
      <c r="AT1259" s="263"/>
      <c r="AU1259" s="263"/>
      <c r="AV1259" s="264"/>
      <c r="AW1259" s="263"/>
      <c r="AX1259" s="263"/>
      <c r="AY1259" s="263"/>
      <c r="AZ1259" s="263">
        <v>204</v>
      </c>
      <c r="BA1259" s="263"/>
      <c r="BB1259" s="263"/>
      <c r="BC1259" s="263"/>
      <c r="BD1259" s="264"/>
      <c r="BE1259" s="263"/>
      <c r="BF1259" s="263"/>
      <c r="BG1259" s="263"/>
      <c r="BH1259" s="263"/>
      <c r="BI1259" s="263"/>
      <c r="BJ1259" s="404">
        <f>altaz(J2000_Bas,$O1259,$M1259,DecLat,DecLong,2)</f>
        <v>222.54106714252302</v>
      </c>
      <c r="BK1259" s="378" t="s">
        <v>1304</v>
      </c>
      <c r="BL1259" s="379">
        <f>IF((2*G1259)/60&lt;0.2,0.2,(2*G1259)/60)</f>
        <v>3.3333333333333335</v>
      </c>
      <c r="BM1259" s="380">
        <f>MOD((50000+AD1259-$B$3+(0/24)),1)</f>
        <v>0.90811635738646146</v>
      </c>
      <c r="BN1259" s="381"/>
      <c r="BO1259" s="382">
        <v>1252</v>
      </c>
    </row>
    <row r="1260" spans="1:67" s="24" customFormat="1" ht="15" customHeight="1" x14ac:dyDescent="0.25">
      <c r="A1260" s="288" t="s">
        <v>9311</v>
      </c>
      <c r="B1260" s="241" t="str">
        <f>HYPERLINK(CONCATENATE($AT$3,BK1260,$AU$3),$AV$3)</f>
        <v>S</v>
      </c>
      <c r="C1260" s="242" t="str">
        <f>HYPERLINK(CONCATENATE($AT$4,BK1260,$AU$4,BL1260),$AV$4)</f>
        <v>A</v>
      </c>
      <c r="D1260" s="243" t="s">
        <v>5187</v>
      </c>
      <c r="E1260" s="244" t="s">
        <v>5179</v>
      </c>
      <c r="F1260" s="269">
        <v>5</v>
      </c>
      <c r="G1260" s="273">
        <v>1</v>
      </c>
      <c r="H1260" s="271" t="s">
        <v>6500</v>
      </c>
      <c r="I1260" s="244" t="s">
        <v>6500</v>
      </c>
      <c r="J1260" s="246">
        <v>3</v>
      </c>
      <c r="K1260" s="247" t="s">
        <v>6195</v>
      </c>
      <c r="L1260" s="248">
        <v>183619</v>
      </c>
      <c r="M1260" s="249">
        <f>15*(LEFT(TEXT($L1260,"000000"),2)+(MID(TEXT($L1260,"000000"),3,2)/60)+(RIGHT(TEXT($L1260,"000000"),2)/3600))</f>
        <v>279.07916666666671</v>
      </c>
      <c r="N1260" s="250">
        <v>-10849</v>
      </c>
      <c r="O1260" s="251">
        <f>IF($N1260&gt;0,(LEFT(TEXT($N1260,"000000"),2)+(MID(TEXT($N1260,"000000"),3,2)/60)+(RIGHT(TEXT($N1260,"000000"),2)/3600)),-(MID(TEXT($N1260,"000000"),2,2)+(MID(TEXT($N1260,"000000"),4,2)/60)+(RIGHT(TEXT($N1260,"000000"),2)/3600)))</f>
        <v>-1.1469444444444443</v>
      </c>
      <c r="P1260" s="252" t="s">
        <v>115</v>
      </c>
      <c r="Q1260" s="253"/>
      <c r="R1260" s="277" t="s">
        <v>3293</v>
      </c>
      <c r="S1260" s="272" t="s">
        <v>3293</v>
      </c>
      <c r="T1260" s="273"/>
      <c r="U1260" s="274"/>
      <c r="V1260" s="280"/>
      <c r="W1260" s="244"/>
      <c r="X1260" s="244"/>
      <c r="Y1260" s="362"/>
      <c r="Z1260" s="257">
        <f>altaz(J2000_Bas,$O1260,$M1260,DecLat,DecLong,1)</f>
        <v>57.186304043492086</v>
      </c>
      <c r="AA1260" s="257">
        <f>altaz((J2000_Bas+(2*0.04167)),$O1260,$M1260,DecLat,DecLong,1)</f>
        <v>42.38008804182634</v>
      </c>
      <c r="AB1260" s="257">
        <f>altaz((J2000_Bas+(4*0.04167)),$O1260,$M1260,DecLat,DecLong,1)</f>
        <v>18.86084800131918</v>
      </c>
      <c r="AC1260" s="257">
        <f>altaz((J2000_Bas+(6*0.04167)),$O1260,$M1260,DecLat,DecLong,1)</f>
        <v>-6.7408839548017507</v>
      </c>
      <c r="AD1260" s="258">
        <f>1+ transit((J2000_Bas-1),$O1260,$M1260,DecLat,DecLong)/360 + (GMTOffset/24) + (IF(DST="Y", 1, 0)/24)</f>
        <v>1.7681197905151247</v>
      </c>
      <c r="AE1260" s="259">
        <f>DATE(2001,9,21)+(M1260/360)*365 - (360*((DecLong/360)- (GMTOffset/24) ))</f>
        <v>37442.955266203702</v>
      </c>
      <c r="AF1260" s="260">
        <f>IF(DecLat&gt;0,IF((90 - (DecLat-O1260))&gt;90, (90 - (O1260-DecLat)), (90 - (DecLat-O1260))),IF((90 + (DecLat-O1260))&gt;90, (90 + (O1260-DecLat)), (90 + (DecLat-O1260))))</f>
        <v>57.853055555555557</v>
      </c>
      <c r="AG1260" s="257">
        <f>angularseperation(MoonRA,MoonDec,$M1260,$O1260)</f>
        <v>38.622395289135405</v>
      </c>
      <c r="AH1260" s="261">
        <f ca="1">MIN(100,IF($O$5&gt;80,0+30*($AG1260/100),IF($O$5&gt;70,0+50*($AG1260/100),IF($O$5&gt;60,5+50*($AG1260/100),IF($O$5&gt;50,10+60*($AG1260/100),IF($O$5&gt;40,15+70*($AG1260/100),IF($O$5&gt;30,20+70*($AG1260/100),IF($O$5&gt;20,40+55*($AG1260/100),(80+(20-$O$5)+30*($AG1260/100))))))))))</f>
        <v>94.857778930891044</v>
      </c>
      <c r="AI1260" s="263"/>
      <c r="AJ1260" s="263"/>
      <c r="AK1260" s="263"/>
      <c r="AL1260" s="263"/>
      <c r="AM1260" s="264"/>
      <c r="AN1260" s="263"/>
      <c r="AO1260" s="263"/>
      <c r="AP1260" s="265"/>
      <c r="AQ1260" s="265"/>
      <c r="AR1260" s="285"/>
      <c r="AS1260" s="263"/>
      <c r="AT1260" s="263"/>
      <c r="AU1260" s="263"/>
      <c r="AV1260" s="264"/>
      <c r="AW1260" s="263"/>
      <c r="AX1260" s="263"/>
      <c r="AY1260" s="263"/>
      <c r="AZ1260" s="263"/>
      <c r="BA1260" s="263"/>
      <c r="BB1260" s="263"/>
      <c r="BC1260" s="263"/>
      <c r="BD1260" s="264"/>
      <c r="BE1260" s="263"/>
      <c r="BF1260" s="263"/>
      <c r="BG1260" s="263"/>
      <c r="BH1260" s="263"/>
      <c r="BI1260" s="263">
        <v>81</v>
      </c>
      <c r="BJ1260" s="404">
        <f>altaz(J2000_Bas,$O1260,$M1260,DecLat,DecLong,2)</f>
        <v>192.84988202163518</v>
      </c>
      <c r="BK1260" s="378"/>
      <c r="BL1260" s="379">
        <f>IF((2*G1260)/60&lt;0.2,0.2,(2*G1260)/60)</f>
        <v>0.2</v>
      </c>
      <c r="BM1260" s="380">
        <f>MOD((50000+AD1260-$B$3+(0/24)),1)</f>
        <v>0.98348672022257233</v>
      </c>
      <c r="BN1260" s="381"/>
      <c r="BO1260" s="382">
        <v>1253</v>
      </c>
    </row>
    <row r="1261" spans="1:67" s="24" customFormat="1" ht="15" customHeight="1" x14ac:dyDescent="0.25">
      <c r="A1261" s="288" t="s">
        <v>4393</v>
      </c>
      <c r="B1261" s="241" t="str">
        <f>HYPERLINK(CONCATENATE($AT$3,BK1261,$AU$3),$AV$3)</f>
        <v>S</v>
      </c>
      <c r="C1261" s="242" t="str">
        <f>HYPERLINK(CONCATENATE($AT$4,BK1261,$AU$4,BL1261),$AV$4)</f>
        <v>A</v>
      </c>
      <c r="D1261" s="243" t="s">
        <v>5187</v>
      </c>
      <c r="E1261" s="244" t="s">
        <v>5179</v>
      </c>
      <c r="F1261" s="269">
        <v>5</v>
      </c>
      <c r="G1261" s="276">
        <v>60</v>
      </c>
      <c r="H1261" s="271" t="s">
        <v>6500</v>
      </c>
      <c r="I1261" s="244" t="s">
        <v>6500</v>
      </c>
      <c r="J1261" s="246">
        <v>2</v>
      </c>
      <c r="K1261" s="247" t="s">
        <v>4855</v>
      </c>
      <c r="L1261" s="248">
        <v>183718</v>
      </c>
      <c r="M1261" s="249">
        <f>15*(LEFT(TEXT($L1261,"000000"),2)+(MID(TEXT($L1261,"000000"),3,2)/60)+(RIGHT(TEXT($L1261,"000000"),2)/3600))</f>
        <v>279.32499999999999</v>
      </c>
      <c r="N1261" s="250">
        <v>3208</v>
      </c>
      <c r="O1261" s="251">
        <f>IF($N1261&gt;0,(LEFT(TEXT($N1261,"000000"),2)+(MID(TEXT($N1261,"000000"),3,2)/60)+(RIGHT(TEXT($N1261,"000000"),2)/3600)),-(MID(TEXT($N1261,"000000"),2,2)+(MID(TEXT($N1261,"000000"),4,2)/60)+(RIGHT(TEXT($N1261,"000000"),2)/3600)))</f>
        <v>0.53555555555555556</v>
      </c>
      <c r="P1261" s="252" t="s">
        <v>126</v>
      </c>
      <c r="Q1261" s="253"/>
      <c r="R1261" s="277" t="s">
        <v>3293</v>
      </c>
      <c r="S1261" s="272" t="s">
        <v>4854</v>
      </c>
      <c r="T1261" s="273"/>
      <c r="U1261" s="274"/>
      <c r="V1261" s="280"/>
      <c r="W1261" s="244"/>
      <c r="X1261" s="244"/>
      <c r="Y1261" s="362"/>
      <c r="Z1261" s="257">
        <f>altaz(J2000_Bas,$O1261,$M1261,DecLat,DecLong,1)</f>
        <v>58.88471950306225</v>
      </c>
      <c r="AA1261" s="257">
        <f>altaz((J2000_Bas+(2*0.04167)),$O1261,$M1261,DecLat,DecLong,1)</f>
        <v>43.747672323157438</v>
      </c>
      <c r="AB1261" s="257">
        <f>altaz((J2000_Bas+(4*0.04167)),$O1261,$M1261,DecLat,DecLong,1)</f>
        <v>19.988469629308231</v>
      </c>
      <c r="AC1261" s="257">
        <f>altaz((J2000_Bas+(6*0.04167)),$O1261,$M1261,DecLat,DecLong,1)</f>
        <v>-5.6598816710172128</v>
      </c>
      <c r="AD1261" s="258">
        <f>1+ transit((J2000_Bas-1),$O1261,$M1261,DecLat,DecLong)/360 + (GMTOffset/24) + (IF(DST="Y", 1, 0)/24)</f>
        <v>1.7688026608172078</v>
      </c>
      <c r="AE1261" s="259">
        <f>DATE(2001,9,21)+(M1261/360)*365 - (360*((DecLong/360)- (GMTOffset/24) ))</f>
        <v>37443.204513888886</v>
      </c>
      <c r="AF1261" s="260">
        <f>IF(DecLat&gt;0,IF((90 - (DecLat-O1261))&gt;90, (90 - (O1261-DecLat)), (90 - (DecLat-O1261))),IF((90 + (DecLat-O1261))&gt;90, (90 + (O1261-DecLat)), (90 + (DecLat-O1261))))</f>
        <v>59.535555555555554</v>
      </c>
      <c r="AG1261" s="257">
        <f>angularseperation(MoonRA,MoonDec,$M1261,$O1261)</f>
        <v>39.993204883859882</v>
      </c>
      <c r="AH1261" s="261">
        <f ca="1">MIN(100,IF($O$5&gt;80,0+30*($AG1261/100),IF($O$5&gt;70,0+50*($AG1261/100),IF($O$5&gt;60,5+50*($AG1261/100),IF($O$5&gt;50,10+60*($AG1261/100),IF($O$5&gt;40,15+70*($AG1261/100),IF($O$5&gt;30,20+70*($AG1261/100),IF($O$5&gt;20,40+55*($AG1261/100),(80+(20-$O$5)+30*($AG1261/100))))))))))</f>
        <v>95.269021809308398</v>
      </c>
      <c r="AI1261" s="263"/>
      <c r="AJ1261" s="263"/>
      <c r="AK1261" s="263"/>
      <c r="AL1261" s="263"/>
      <c r="AM1261" s="264"/>
      <c r="AN1261" s="263"/>
      <c r="AO1261" s="263"/>
      <c r="AP1261" s="265"/>
      <c r="AQ1261" s="265"/>
      <c r="AR1261" s="285"/>
      <c r="AS1261" s="263"/>
      <c r="AT1261" s="263"/>
      <c r="AU1261" s="263"/>
      <c r="AV1261" s="264"/>
      <c r="AW1261" s="263"/>
      <c r="AX1261" s="263"/>
      <c r="AY1261" s="263"/>
      <c r="AZ1261" s="263"/>
      <c r="BA1261" s="263"/>
      <c r="BB1261" s="263"/>
      <c r="BC1261" s="263"/>
      <c r="BD1261" s="264"/>
      <c r="BE1261" s="263"/>
      <c r="BF1261" s="263"/>
      <c r="BG1261" s="263"/>
      <c r="BH1261" s="263"/>
      <c r="BI1261" s="263">
        <v>82</v>
      </c>
      <c r="BJ1261" s="404">
        <f>altaz(J2000_Bas,$O1261,$M1261,DecLat,DecLong,2)</f>
        <v>193.00361276659379</v>
      </c>
      <c r="BK1261" s="378" t="s">
        <v>3285</v>
      </c>
      <c r="BL1261" s="379">
        <f>IF((2*G1261)/60&lt;0.2,0.2,(2*G1261)/60)</f>
        <v>2</v>
      </c>
      <c r="BM1261" s="380">
        <f>MOD((50000+AD1261-$B$3+(0/24)),1)</f>
        <v>0.98416959051974118</v>
      </c>
      <c r="BN1261" s="381"/>
      <c r="BO1261" s="382">
        <v>1254</v>
      </c>
    </row>
    <row r="1262" spans="1:67" s="24" customFormat="1" ht="15" customHeight="1" x14ac:dyDescent="0.25">
      <c r="A1262" s="288" t="s">
        <v>1305</v>
      </c>
      <c r="B1262" s="241" t="str">
        <f>HYPERLINK(CONCATENATE($AT$3,BK1262,$AU$3),$AV$3)</f>
        <v>S</v>
      </c>
      <c r="C1262" s="242" t="str">
        <f>HYPERLINK(CONCATENATE($AT$4,BK1262,$AU$4,BL1262),$AV$4)</f>
        <v>A</v>
      </c>
      <c r="D1262" s="243" t="s">
        <v>5187</v>
      </c>
      <c r="E1262" s="244" t="s">
        <v>5179</v>
      </c>
      <c r="F1262" s="269">
        <v>5</v>
      </c>
      <c r="G1262" s="276">
        <v>20</v>
      </c>
      <c r="H1262" s="271" t="s">
        <v>6500</v>
      </c>
      <c r="I1262" s="244" t="s">
        <v>6500</v>
      </c>
      <c r="J1262" s="246">
        <v>2</v>
      </c>
      <c r="K1262" s="247" t="s">
        <v>4857</v>
      </c>
      <c r="L1262" s="248">
        <v>185133</v>
      </c>
      <c r="M1262" s="249">
        <f>15*(LEFT(TEXT($L1262,"000000"),2)+(MID(TEXT($L1262,"000000"),3,2)/60)+(RIGHT(TEXT($L1262,"000000"),2)/3600))</f>
        <v>282.88749999999999</v>
      </c>
      <c r="N1262" s="250">
        <v>1338</v>
      </c>
      <c r="O1262" s="251">
        <f>IF($N1262&gt;0,(LEFT(TEXT($N1262,"000000"),2)+(MID(TEXT($N1262,"000000"),3,2)/60)+(RIGHT(TEXT($N1262,"000000"),2)/3600)),-(MID(TEXT($N1262,"000000"),2,2)+(MID(TEXT($N1262,"000000"),4,2)/60)+(RIGHT(TEXT($N1262,"000000"),2)/3600)))</f>
        <v>0.22722222222222224</v>
      </c>
      <c r="P1262" s="252" t="s">
        <v>126</v>
      </c>
      <c r="Q1262" s="253"/>
      <c r="R1262" s="247" t="s">
        <v>3293</v>
      </c>
      <c r="S1262" s="272" t="s">
        <v>4856</v>
      </c>
      <c r="T1262" s="273"/>
      <c r="U1262" s="274"/>
      <c r="V1262" s="280"/>
      <c r="W1262" s="244"/>
      <c r="X1262" s="244"/>
      <c r="Y1262" s="362"/>
      <c r="Z1262" s="257">
        <f>altaz(J2000_Bas,$O1262,$M1262,DecLat,DecLong,1)</f>
        <v>59.085677205623874</v>
      </c>
      <c r="AA1262" s="257">
        <f>altaz((J2000_Bas+(2*0.04167)),$O1262,$M1262,DecLat,DecLong,1)</f>
        <v>45.995610905533034</v>
      </c>
      <c r="AB1262" s="257">
        <f>altaz((J2000_Bas+(4*0.04167)),$O1262,$M1262,DecLat,DecLong,1)</f>
        <v>22.792319204703524</v>
      </c>
      <c r="AC1262" s="257">
        <f>altaz((J2000_Bas+(6*0.04167)),$O1262,$M1262,DecLat,DecLong,1)</f>
        <v>-2.7699546092753851</v>
      </c>
      <c r="AD1262" s="258">
        <f>1+ transit((J2000_Bas-1),$O1262,$M1262,DecLat,DecLong)/360 + (GMTOffset/24) + (IF(DST="Y", 1, 0)/24)</f>
        <v>1.778698493160958</v>
      </c>
      <c r="AE1262" s="259">
        <f>DATE(2001,9,21)+(M1262/360)*365 - (360*((DecLong/360)- (GMTOffset/24) ))</f>
        <v>37446.816493055558</v>
      </c>
      <c r="AF1262" s="260">
        <f>IF(DecLat&gt;0,IF((90 - (DecLat-O1262))&gt;90, (90 - (O1262-DecLat)), (90 - (DecLat-O1262))),IF((90 + (DecLat-O1262))&gt;90, (90 + (O1262-DecLat)), (90 + (DecLat-O1262))))</f>
        <v>59.227222222222224</v>
      </c>
      <c r="AG1262" s="257">
        <f>angularseperation(MoonRA,MoonDec,$M1262,$O1262)</f>
        <v>42.321476478107186</v>
      </c>
      <c r="AH1262" s="261">
        <f ca="1">MIN(100,IF($O$5&gt;80,0+30*($AG1262/100),IF($O$5&gt;70,0+50*($AG1262/100),IF($O$5&gt;60,5+50*($AG1262/100),IF($O$5&gt;50,10+60*($AG1262/100),IF($O$5&gt;40,15+70*($AG1262/100),IF($O$5&gt;30,20+70*($AG1262/100),IF($O$5&gt;20,40+55*($AG1262/100),(80+(20-$O$5)+30*($AG1262/100))))))))))</f>
        <v>95.967503287582588</v>
      </c>
      <c r="AI1262" s="262"/>
      <c r="AJ1262" s="262"/>
      <c r="AK1262" s="262"/>
      <c r="AL1262" s="263"/>
      <c r="AM1262" s="264"/>
      <c r="AN1262" s="263"/>
      <c r="AO1262" s="263"/>
      <c r="AP1262" s="265"/>
      <c r="AQ1262" s="266"/>
      <c r="AR1262" s="267"/>
      <c r="AS1262" s="263"/>
      <c r="AT1262" s="263"/>
      <c r="AU1262" s="263"/>
      <c r="AV1262" s="264"/>
      <c r="AW1262" s="263"/>
      <c r="AX1262" s="263"/>
      <c r="AY1262" s="263"/>
      <c r="AZ1262" s="263">
        <v>604</v>
      </c>
      <c r="BA1262" s="263"/>
      <c r="BB1262" s="263"/>
      <c r="BC1262" s="263"/>
      <c r="BD1262" s="264"/>
      <c r="BE1262" s="263"/>
      <c r="BF1262" s="263"/>
      <c r="BG1262" s="263"/>
      <c r="BH1262" s="263"/>
      <c r="BI1262" s="263"/>
      <c r="BJ1262" s="404">
        <f>altaz(J2000_Bas,$O1262,$M1262,DecLat,DecLong,2)</f>
        <v>186.07176335766616</v>
      </c>
      <c r="BK1262" s="378" t="s">
        <v>1305</v>
      </c>
      <c r="BL1262" s="379">
        <f>IF((2*G1262)/60&lt;0.2,0.2,(2*G1262)/60)</f>
        <v>0.66666666666666663</v>
      </c>
      <c r="BM1262" s="380">
        <f>MOD((50000+AD1262-$B$3+(0/24)),1)</f>
        <v>0.99406542286305921</v>
      </c>
      <c r="BN1262" s="381"/>
      <c r="BO1262" s="382">
        <v>1255</v>
      </c>
    </row>
    <row r="1263" spans="1:67" s="24" customFormat="1" ht="15" customHeight="1" x14ac:dyDescent="0.25">
      <c r="A1263" s="288" t="s">
        <v>1306</v>
      </c>
      <c r="B1263" s="241" t="str">
        <f>HYPERLINK(CONCATENATE($AT$3,BK1263,$AU$3),$AV$3)</f>
        <v>S</v>
      </c>
      <c r="C1263" s="242" t="str">
        <f>HYPERLINK(CONCATENATE($AT$4,BK1263,$AU$4,BL1263),$AV$4)</f>
        <v>A</v>
      </c>
      <c r="D1263" s="243" t="s">
        <v>5187</v>
      </c>
      <c r="E1263" s="244" t="s">
        <v>5179</v>
      </c>
      <c r="F1263" s="269">
        <v>6</v>
      </c>
      <c r="G1263" s="276">
        <v>90</v>
      </c>
      <c r="H1263" s="271" t="s">
        <v>6500</v>
      </c>
      <c r="I1263" s="244" t="s">
        <v>6500</v>
      </c>
      <c r="J1263" s="246">
        <v>3</v>
      </c>
      <c r="K1263" s="247" t="s">
        <v>4859</v>
      </c>
      <c r="L1263" s="248">
        <v>192051</v>
      </c>
      <c r="M1263" s="249">
        <f>15*(LEFT(TEXT($L1263,"000000"),2)+(MID(TEXT($L1263,"000000"),3,2)/60)+(RIGHT(TEXT($L1263,"000000"),2)/3600))</f>
        <v>290.21249999999998</v>
      </c>
      <c r="N1263" s="250">
        <v>111541</v>
      </c>
      <c r="O1263" s="251">
        <f>IF($N1263&gt;0,(LEFT(TEXT($N1263,"000000"),2)+(MID(TEXT($N1263,"000000"),3,2)/60)+(RIGHT(TEXT($N1263,"000000"),2)/3600)),-(MID(TEXT($N1263,"000000"),2,2)+(MID(TEXT($N1263,"000000"),4,2)/60)+(RIGHT(TEXT($N1263,"000000"),2)/3600)))</f>
        <v>11.261388888888888</v>
      </c>
      <c r="P1263" s="252" t="s">
        <v>126</v>
      </c>
      <c r="Q1263" s="253"/>
      <c r="R1263" s="247" t="s">
        <v>3293</v>
      </c>
      <c r="S1263" s="272" t="s">
        <v>4858</v>
      </c>
      <c r="T1263" s="273"/>
      <c r="U1263" s="274"/>
      <c r="V1263" s="280"/>
      <c r="W1263" s="244"/>
      <c r="X1263" s="244"/>
      <c r="Y1263" s="362"/>
      <c r="Z1263" s="257">
        <f>altaz(J2000_Bas,$O1263,$M1263,DecLat,DecLong,1)</f>
        <v>69.880114423314765</v>
      </c>
      <c r="AA1263" s="257">
        <f>altaz((J2000_Bas+(2*0.04167)),$O1263,$M1263,DecLat,DecLong,1)</f>
        <v>58.977756121455947</v>
      </c>
      <c r="AB1263" s="257">
        <f>altaz((J2000_Bas+(4*0.04167)),$O1263,$M1263,DecLat,DecLong,1)</f>
        <v>34.831754726560661</v>
      </c>
      <c r="AC1263" s="257">
        <f>altaz((J2000_Bas+(6*0.04167)),$O1263,$M1263,DecLat,DecLong,1)</f>
        <v>9.1245188101965518</v>
      </c>
      <c r="AD1263" s="258">
        <f>1+ transit((J2000_Bas-1),$O1263,$M1263,DecLat,DecLong)/360 + (GMTOffset/24) + (IF(DST="Y", 1, 0)/24)</f>
        <v>1.7990457133484579</v>
      </c>
      <c r="AE1263" s="259">
        <f>DATE(2001,9,21)+(M1263/360)*365 - (360*((DecLong/360)- (GMTOffset/24) ))</f>
        <v>37454.24322916667</v>
      </c>
      <c r="AF1263" s="260">
        <f>IF(DecLat&gt;0,IF((90 - (DecLat-O1263))&gt;90, (90 - (O1263-DecLat)), (90 - (DecLat-O1263))),IF((90 + (DecLat-O1263))&gt;90, (90 + (O1263-DecLat)), (90 + (DecLat-O1263))))</f>
        <v>70.261388888888888</v>
      </c>
      <c r="AG1263" s="257">
        <f>angularseperation(MoonRA,MoonDec,$M1263,$O1263)</f>
        <v>55.222486827730258</v>
      </c>
      <c r="AH1263" s="261">
        <f ca="1">MIN(100,IF($O$5&gt;80,0+30*($AG1263/100),IF($O$5&gt;70,0+50*($AG1263/100),IF($O$5&gt;60,5+50*($AG1263/100),IF($O$5&gt;50,10+60*($AG1263/100),IF($O$5&gt;40,15+70*($AG1263/100),IF($O$5&gt;30,20+70*($AG1263/100),IF($O$5&gt;20,40+55*($AG1263/100),(80+(20-$O$5)+30*($AG1263/100))))))))))</f>
        <v>99.837806392469503</v>
      </c>
      <c r="AI1263" s="262"/>
      <c r="AJ1263" s="262"/>
      <c r="AK1263" s="262"/>
      <c r="AL1263" s="263"/>
      <c r="AM1263" s="264"/>
      <c r="AN1263" s="263"/>
      <c r="AO1263" s="263"/>
      <c r="AP1263" s="265"/>
      <c r="AQ1263" s="266"/>
      <c r="AR1263" s="267"/>
      <c r="AS1263" s="263"/>
      <c r="AT1263" s="263"/>
      <c r="AU1263" s="263"/>
      <c r="AV1263" s="264"/>
      <c r="AW1263" s="263"/>
      <c r="AX1263" s="263"/>
      <c r="AY1263" s="263"/>
      <c r="AZ1263" s="263">
        <v>673</v>
      </c>
      <c r="BA1263" s="263"/>
      <c r="BB1263" s="263"/>
      <c r="BC1263" s="263"/>
      <c r="BD1263" s="264"/>
      <c r="BE1263" s="263"/>
      <c r="BF1263" s="263"/>
      <c r="BG1263" s="263">
        <v>80</v>
      </c>
      <c r="BH1263" s="263"/>
      <c r="BI1263" s="263"/>
      <c r="BJ1263" s="404">
        <f>altaz(J2000_Bas,$O1263,$M1263,DecLat,DecLong,2)</f>
        <v>167.91858774463176</v>
      </c>
      <c r="BK1263" s="378" t="s">
        <v>1306</v>
      </c>
      <c r="BL1263" s="379">
        <f>IF((2*G1263)/60&lt;0.2,0.2,(2*G1263)/60)</f>
        <v>3</v>
      </c>
      <c r="BM1263" s="380">
        <f>MOD((50000+AD1263-$B$3+(0/24)),1)</f>
        <v>1.4412643053219654E-2</v>
      </c>
      <c r="BN1263" s="381"/>
      <c r="BO1263" s="382">
        <v>1256</v>
      </c>
    </row>
    <row r="1264" spans="1:67" s="24" customFormat="1" ht="15" customHeight="1" x14ac:dyDescent="0.25">
      <c r="A1264" s="288" t="s">
        <v>1307</v>
      </c>
      <c r="B1264" s="241" t="str">
        <f>HYPERLINK(CONCATENATE($AT$3,BK1264,$AU$3),$AV$3)</f>
        <v>S</v>
      </c>
      <c r="C1264" s="242" t="str">
        <f>HYPERLINK(CONCATENATE($AT$4,BK1264,$AU$4,BL1264),$AV$4)</f>
        <v>A</v>
      </c>
      <c r="D1264" s="243" t="s">
        <v>5187</v>
      </c>
      <c r="E1264" s="244" t="s">
        <v>5179</v>
      </c>
      <c r="F1264" s="269">
        <v>6</v>
      </c>
      <c r="G1264" s="276">
        <v>45</v>
      </c>
      <c r="H1264" s="271" t="s">
        <v>6500</v>
      </c>
      <c r="I1264" s="244" t="s">
        <v>6500</v>
      </c>
      <c r="J1264" s="246">
        <v>2</v>
      </c>
      <c r="K1264" s="247" t="s">
        <v>4860</v>
      </c>
      <c r="L1264" s="248">
        <v>192706</v>
      </c>
      <c r="M1264" s="249">
        <f>15*(LEFT(TEXT($L1264,"000000"),2)+(MID(TEXT($L1264,"000000"),3,2)/60)+(RIGHT(TEXT($L1264,"000000"),2)/3600))</f>
        <v>291.77499999999998</v>
      </c>
      <c r="N1264" s="250">
        <v>234107</v>
      </c>
      <c r="O1264" s="251">
        <f>IF($N1264&gt;0,(LEFT(TEXT($N1264,"000000"),2)+(MID(TEXT($N1264,"000000"),3,2)/60)+(RIGHT(TEXT($N1264,"000000"),2)/3600)),-(MID(TEXT($N1264,"000000"),2,2)+(MID(TEXT($N1264,"000000"),4,2)/60)+(RIGHT(TEXT($N1264,"000000"),2)/3600)))</f>
        <v>23.685277777777777</v>
      </c>
      <c r="P1264" s="252" t="s">
        <v>133</v>
      </c>
      <c r="Q1264" s="253"/>
      <c r="R1264" s="247" t="s">
        <v>3293</v>
      </c>
      <c r="S1264" s="272" t="s">
        <v>3293</v>
      </c>
      <c r="T1264" s="273"/>
      <c r="U1264" s="274"/>
      <c r="V1264" s="280"/>
      <c r="W1264" s="244"/>
      <c r="X1264" s="244"/>
      <c r="Y1264" s="362"/>
      <c r="Z1264" s="257">
        <f>altaz(J2000_Bas,$O1264,$M1264,DecLat,DecLong,1)</f>
        <v>81.071008750382319</v>
      </c>
      <c r="AA1264" s="257">
        <f>altaz((J2000_Bas+(2*0.04167)),$O1264,$M1264,DecLat,DecLong,1)</f>
        <v>67.256945298100177</v>
      </c>
      <c r="AB1264" s="257">
        <f>altaz((J2000_Bas+(4*0.04167)),$O1264,$M1264,DecLat,DecLong,1)</f>
        <v>41.59643694868997</v>
      </c>
      <c r="AC1264" s="257">
        <f>altaz((J2000_Bas+(6*0.04167)),$O1264,$M1264,DecLat,DecLong,1)</f>
        <v>16.402798763965059</v>
      </c>
      <c r="AD1264" s="258">
        <f>1+ transit((J2000_Bas-1),$O1264,$M1264,DecLat,DecLong)/360 + (GMTOffset/24) + (IF(DST="Y", 1, 0)/24)</f>
        <v>1.8033859906922081</v>
      </c>
      <c r="AE1264" s="259">
        <f>DATE(2001,9,21)+(M1264/360)*365 - (360*((DecLong/360)- (GMTOffset/24) ))</f>
        <v>37455.827430555553</v>
      </c>
      <c r="AF1264" s="260">
        <f>IF(DecLat&gt;0,IF((90 - (DecLat-O1264))&gt;90, (90 - (O1264-DecLat)), (90 - (DecLat-O1264))),IF((90 + (DecLat-O1264))&gt;90, (90 + (O1264-DecLat)), (90 + (DecLat-O1264))))</f>
        <v>82.68527777777777</v>
      </c>
      <c r="AG1264" s="257">
        <f>angularseperation(MoonRA,MoonDec,$M1264,$O1264)</f>
        <v>65.296890044165764</v>
      </c>
      <c r="AH1264" s="261">
        <f ca="1">MIN(100,IF($O$5&gt;80,0+30*($AG1264/100),IF($O$5&gt;70,0+50*($AG1264/100),IF($O$5&gt;60,5+50*($AG1264/100),IF($O$5&gt;50,10+60*($AG1264/100),IF($O$5&gt;40,15+70*($AG1264/100),IF($O$5&gt;30,20+70*($AG1264/100),IF($O$5&gt;20,40+55*($AG1264/100),(80+(20-$O$5)+30*($AG1264/100))))))))))</f>
        <v>100</v>
      </c>
      <c r="AI1264" s="262"/>
      <c r="AJ1264" s="262"/>
      <c r="AK1264" s="262"/>
      <c r="AL1264" s="263"/>
      <c r="AM1264" s="264"/>
      <c r="AN1264" s="263"/>
      <c r="AO1264" s="263"/>
      <c r="AP1264" s="265"/>
      <c r="AQ1264" s="266"/>
      <c r="AR1264" s="267"/>
      <c r="AS1264" s="263"/>
      <c r="AT1264" s="263"/>
      <c r="AU1264" s="263"/>
      <c r="AV1264" s="264"/>
      <c r="AW1264" s="263"/>
      <c r="AX1264" s="263"/>
      <c r="AY1264" s="263"/>
      <c r="AZ1264" s="263">
        <v>778</v>
      </c>
      <c r="BA1264" s="263"/>
      <c r="BB1264" s="263"/>
      <c r="BC1264" s="263"/>
      <c r="BD1264" s="264"/>
      <c r="BE1264" s="263"/>
      <c r="BF1264" s="263"/>
      <c r="BG1264" s="263"/>
      <c r="BH1264" s="263"/>
      <c r="BI1264" s="263">
        <v>85</v>
      </c>
      <c r="BJ1264" s="404">
        <f>altaz(J2000_Bas,$O1264,$M1264,DecLat,DecLong,2)</f>
        <v>143.60005232237776</v>
      </c>
      <c r="BK1264" s="378" t="s">
        <v>1307</v>
      </c>
      <c r="BL1264" s="379">
        <f>IF((2*G1264)/60&lt;0.2,0.2,(2*G1264)/60)</f>
        <v>1.5</v>
      </c>
      <c r="BM1264" s="380">
        <f>MOD((50000+AD1264-$B$3+(0/24)),1)</f>
        <v>1.8752920397673734E-2</v>
      </c>
      <c r="BN1264" s="381"/>
      <c r="BO1264" s="382">
        <v>1257</v>
      </c>
    </row>
    <row r="1265" spans="1:67" s="24" customFormat="1" ht="15" customHeight="1" x14ac:dyDescent="0.25">
      <c r="A1265" s="288" t="s">
        <v>1308</v>
      </c>
      <c r="B1265" s="241" t="str">
        <f>HYPERLINK(CONCATENATE($AT$3,BK1265,$AU$3),$AV$3)</f>
        <v>S</v>
      </c>
      <c r="C1265" s="242" t="str">
        <f>HYPERLINK(CONCATENATE($AT$4,BK1265,$AU$4,BL1265),$AV$4)</f>
        <v>A</v>
      </c>
      <c r="D1265" s="243" t="s">
        <v>5187</v>
      </c>
      <c r="E1265" s="244" t="s">
        <v>5179</v>
      </c>
      <c r="F1265" s="269">
        <v>4</v>
      </c>
      <c r="G1265" s="276">
        <v>18</v>
      </c>
      <c r="H1265" s="283">
        <v>5000</v>
      </c>
      <c r="I1265" s="246">
        <v>25</v>
      </c>
      <c r="J1265" s="246">
        <v>2</v>
      </c>
      <c r="K1265" s="247" t="s">
        <v>4861</v>
      </c>
      <c r="L1265" s="248">
        <v>194502</v>
      </c>
      <c r="M1265" s="249">
        <f>15*(LEFT(TEXT($L1265,"000000"),2)+(MID(TEXT($L1265,"000000"),3,2)/60)+(RIGHT(TEXT($L1265,"000000"),2)/3600))</f>
        <v>296.25833333333333</v>
      </c>
      <c r="N1265" s="250">
        <v>275719</v>
      </c>
      <c r="O1265" s="251">
        <f>IF($N1265&gt;0,(LEFT(TEXT($N1265,"000000"),2)+(MID(TEXT($N1265,"000000"),3,2)/60)+(RIGHT(TEXT($N1265,"000000"),2)/3600)),-(MID(TEXT($N1265,"000000"),2,2)+(MID(TEXT($N1265,"000000"),4,2)/60)+(RIGHT(TEXT($N1265,"000000"),2)/3600)))</f>
        <v>27.955277777777777</v>
      </c>
      <c r="P1265" s="252" t="s">
        <v>60</v>
      </c>
      <c r="Q1265" s="253"/>
      <c r="R1265" s="247" t="s">
        <v>3293</v>
      </c>
      <c r="S1265" s="272" t="s">
        <v>3293</v>
      </c>
      <c r="T1265" s="273"/>
      <c r="U1265" s="274"/>
      <c r="V1265" s="280"/>
      <c r="W1265" s="244"/>
      <c r="X1265" s="244"/>
      <c r="Y1265" s="362"/>
      <c r="Z1265" s="257">
        <f>altaz(J2000_Bas,$O1265,$M1265,DecLat,DecLong,1)</f>
        <v>80.571713611068191</v>
      </c>
      <c r="AA1265" s="257">
        <f>altaz((J2000_Bas+(2*0.04167)),$O1265,$M1265,DecLat,DecLong,1)</f>
        <v>72.49623996678001</v>
      </c>
      <c r="AB1265" s="257">
        <f>altaz((J2000_Bas+(4*0.04167)),$O1265,$M1265,DecLat,DecLong,1)</f>
        <v>46.802804777435036</v>
      </c>
      <c r="AC1265" s="257">
        <f>altaz((J2000_Bas+(6*0.04167)),$O1265,$M1265,DecLat,DecLong,1)</f>
        <v>21.897359114198707</v>
      </c>
      <c r="AD1265" s="258">
        <f>1+ transit((J2000_Bas-1),$O1265,$M1265,DecLat,DecLong)/360 + (GMTOffset/24) + (IF(DST="Y", 1, 0)/24)</f>
        <v>1.8158396931505416</v>
      </c>
      <c r="AE1265" s="259">
        <f>DATE(2001,9,21)+(M1265/360)*365 - (360*((DecLong/360)- (GMTOffset/24) ))</f>
        <v>37460.373032407406</v>
      </c>
      <c r="AF1265" s="260">
        <f>IF(DecLat&gt;0,IF((90 - (DecLat-O1265))&gt;90, (90 - (O1265-DecLat)), (90 - (DecLat-O1265))),IF((90 + (DecLat-O1265))&gt;90, (90 + (O1265-DecLat)), (90 + (DecLat-O1265))))</f>
        <v>86.955277777777781</v>
      </c>
      <c r="AG1265" s="257">
        <f>angularseperation(MoonRA,MoonDec,$M1265,$O1265)</f>
        <v>71.170291021940173</v>
      </c>
      <c r="AH1265" s="261">
        <f ca="1">MIN(100,IF($O$5&gt;80,0+30*($AG1265/100),IF($O$5&gt;70,0+50*($AG1265/100),IF($O$5&gt;60,5+50*($AG1265/100),IF($O$5&gt;50,10+60*($AG1265/100),IF($O$5&gt;40,15+70*($AG1265/100),IF($O$5&gt;30,20+70*($AG1265/100),IF($O$5&gt;20,40+55*($AG1265/100),(80+(20-$O$5)+30*($AG1265/100))))))))))</f>
        <v>100</v>
      </c>
      <c r="AI1265" s="262"/>
      <c r="AJ1265" s="262"/>
      <c r="AK1265" s="262"/>
      <c r="AL1265" s="263"/>
      <c r="AM1265" s="264"/>
      <c r="AN1265" s="263"/>
      <c r="AO1265" s="263"/>
      <c r="AP1265" s="265"/>
      <c r="AQ1265" s="266"/>
      <c r="AR1265" s="267"/>
      <c r="AS1265" s="263"/>
      <c r="AT1265" s="263"/>
      <c r="AU1265" s="263"/>
      <c r="AV1265" s="264"/>
      <c r="AW1265" s="263"/>
      <c r="AX1265" s="263"/>
      <c r="AY1265" s="263"/>
      <c r="AZ1265" s="263">
        <v>810</v>
      </c>
      <c r="BA1265" s="263"/>
      <c r="BB1265" s="263"/>
      <c r="BC1265" s="263"/>
      <c r="BD1265" s="264"/>
      <c r="BE1265" s="263"/>
      <c r="BF1265" s="263"/>
      <c r="BG1265" s="263"/>
      <c r="BH1265" s="263"/>
      <c r="BI1265" s="263"/>
      <c r="BJ1265" s="404">
        <f>altaz(J2000_Bas,$O1265,$M1265,DecLat,DecLong,2)</f>
        <v>106.25262158607745</v>
      </c>
      <c r="BK1265" s="378" t="s">
        <v>1308</v>
      </c>
      <c r="BL1265" s="379">
        <f>IF((2*G1265)/60&lt;0.2,0.2,(2*G1265)/60)</f>
        <v>0.6</v>
      </c>
      <c r="BM1265" s="380">
        <f>MOD((50000+AD1265-$B$3+(0/24)),1)</f>
        <v>3.1206622858007904E-2</v>
      </c>
      <c r="BN1265" s="381" t="s">
        <v>9232</v>
      </c>
      <c r="BO1265" s="382">
        <v>1258</v>
      </c>
    </row>
    <row r="1266" spans="1:67" s="24" customFormat="1" ht="15" customHeight="1" x14ac:dyDescent="0.25">
      <c r="A1266" s="288" t="s">
        <v>3200</v>
      </c>
      <c r="B1266" s="241" t="str">
        <f>HYPERLINK(CONCATENATE($AT$3,BK1266,$AU$3),$AV$3)</f>
        <v>S</v>
      </c>
      <c r="C1266" s="242" t="str">
        <f>HYPERLINK(CONCATENATE($AT$4,BK1266,$AU$4,BL1266),$AV$4)</f>
        <v>A</v>
      </c>
      <c r="D1266" s="243" t="s">
        <v>5187</v>
      </c>
      <c r="E1266" s="244" t="s">
        <v>5179</v>
      </c>
      <c r="F1266" s="269">
        <v>3</v>
      </c>
      <c r="G1266" s="276">
        <v>60</v>
      </c>
      <c r="H1266" s="271" t="s">
        <v>6500</v>
      </c>
      <c r="I1266" s="244" t="s">
        <v>6500</v>
      </c>
      <c r="J1266" s="246">
        <v>2</v>
      </c>
      <c r="K1266" s="247" t="s">
        <v>6202</v>
      </c>
      <c r="L1266" s="248">
        <v>203322</v>
      </c>
      <c r="M1266" s="249">
        <f>15*(LEFT(TEXT($L1266,"000000"),2)+(MID(TEXT($L1266,"000000"),3,2)/60)+(RIGHT(TEXT($L1266,"000000"),2)/3600))</f>
        <v>308.34166666666664</v>
      </c>
      <c r="N1266" s="250">
        <v>633556</v>
      </c>
      <c r="O1266" s="251">
        <f>IF($N1266&gt;0,(LEFT(TEXT($N1266,"000000"),2)+(MID(TEXT($N1266,"000000"),3,2)/60)+(RIGHT(TEXT($N1266,"000000"),2)/3600)),-(MID(TEXT($N1266,"000000"),2,2)+(MID(TEXT($N1266,"000000"),4,2)/60)+(RIGHT(TEXT($N1266,"000000"),2)/3600)))</f>
        <v>63.598888888888894</v>
      </c>
      <c r="P1266" s="252" t="s">
        <v>52</v>
      </c>
      <c r="Q1266" s="253"/>
      <c r="R1266" s="277" t="s">
        <v>3293</v>
      </c>
      <c r="S1266" s="272" t="s">
        <v>3293</v>
      </c>
      <c r="T1266" s="273"/>
      <c r="U1266" s="274"/>
      <c r="V1266" s="280"/>
      <c r="W1266" s="244"/>
      <c r="X1266" s="244"/>
      <c r="Y1266" s="362"/>
      <c r="Z1266" s="257">
        <f>altaz(J2000_Bas,$O1266,$M1266,DecLat,DecLong,1)</f>
        <v>54.47465171063476</v>
      </c>
      <c r="AA1266" s="257">
        <f>altaz((J2000_Bas+(2*0.04167)),$O1266,$M1266,DecLat,DecLong,1)</f>
        <v>57.033144434297448</v>
      </c>
      <c r="AB1266" s="257">
        <f>altaz((J2000_Bas+(4*0.04167)),$O1266,$M1266,DecLat,DecLong,1)</f>
        <v>49.672661858758516</v>
      </c>
      <c r="AC1266" s="257">
        <f>altaz((J2000_Bas+(6*0.04167)),$O1266,$M1266,DecLat,DecLong,1)</f>
        <v>37.201934368413973</v>
      </c>
      <c r="AD1266" s="258">
        <f>1+ transit((J2000_Bas-1),$O1266,$M1266,DecLat,DecLong)/360 + (GMTOffset/24) + (IF(DST="Y", 1, 0)/24)</f>
        <v>1.8494045046088743</v>
      </c>
      <c r="AE1266" s="259">
        <f>DATE(2001,9,21)+(M1266/360)*365 - (360*((DecLong/360)- (GMTOffset/24) ))</f>
        <v>37472.624189814815</v>
      </c>
      <c r="AF1266" s="260">
        <f>IF(DecLat&gt;0,IF((90 - (DecLat-O1266))&gt;90, (90 - (O1266-DecLat)), (90 - (DecLat-O1266))),IF((90 + (DecLat-O1266))&gt;90, (90 + (O1266-DecLat)), (90 + (DecLat-O1266))))</f>
        <v>57.401111111111106</v>
      </c>
      <c r="AG1266" s="257">
        <f>angularseperation(MoonRA,MoonDec,$M1266,$O1266)</f>
        <v>101.80043508046644</v>
      </c>
      <c r="AH1266" s="261">
        <f ca="1">MIN(100,IF($O$5&gt;80,0+30*($AG1266/100),IF($O$5&gt;70,0+50*($AG1266/100),IF($O$5&gt;60,5+50*($AG1266/100),IF($O$5&gt;50,10+60*($AG1266/100),IF($O$5&gt;40,15+70*($AG1266/100),IF($O$5&gt;30,20+70*($AG1266/100),IF($O$5&gt;20,40+55*($AG1266/100),(80+(20-$O$5)+30*($AG1266/100))))))))))</f>
        <v>100</v>
      </c>
      <c r="AI1266" s="263"/>
      <c r="AJ1266" s="263"/>
      <c r="AK1266" s="263"/>
      <c r="AL1266" s="263"/>
      <c r="AM1266" s="264"/>
      <c r="AN1266" s="263"/>
      <c r="AO1266" s="263"/>
      <c r="AP1266" s="265"/>
      <c r="AQ1266" s="265"/>
      <c r="AR1266" s="285"/>
      <c r="AS1266" s="263"/>
      <c r="AT1266" s="263"/>
      <c r="AU1266" s="263"/>
      <c r="AV1266" s="264"/>
      <c r="AW1266" s="263"/>
      <c r="AX1266" s="263"/>
      <c r="AY1266" s="263"/>
      <c r="AZ1266" s="263">
        <v>1089</v>
      </c>
      <c r="BA1266" s="263"/>
      <c r="BB1266" s="263"/>
      <c r="BC1266" s="263"/>
      <c r="BD1266" s="264"/>
      <c r="BE1266" s="263"/>
      <c r="BF1266" s="263"/>
      <c r="BG1266" s="263"/>
      <c r="BH1266" s="263"/>
      <c r="BI1266" s="263">
        <v>91</v>
      </c>
      <c r="BJ1266" s="404">
        <f>altaz(J2000_Bas,$O1266,$M1266,DecLat,DecLong,2)</f>
        <v>16.90928695831704</v>
      </c>
      <c r="BK1266" s="378" t="s">
        <v>3200</v>
      </c>
      <c r="BL1266" s="379">
        <f>IF((2*G1266)/60&lt;0.2,0.2,(2*G1266)/60)</f>
        <v>2</v>
      </c>
      <c r="BM1266" s="380">
        <f>MOD((50000+AD1266-$B$3+(0/24)),1)</f>
        <v>6.47714343140251E-2</v>
      </c>
      <c r="BN1266" s="381"/>
      <c r="BO1266" s="382">
        <v>1259</v>
      </c>
    </row>
    <row r="1267" spans="1:67" s="24" customFormat="1" ht="15" customHeight="1" x14ac:dyDescent="0.25">
      <c r="A1267" s="288" t="s">
        <v>1309</v>
      </c>
      <c r="B1267" s="241" t="str">
        <f>HYPERLINK(CONCATENATE($AT$3,BK1267,$AU$3),$AV$3)</f>
        <v>S</v>
      </c>
      <c r="C1267" s="242" t="str">
        <f>HYPERLINK(CONCATENATE($AT$4,BK1267,$AU$4,BL1267),$AV$4)</f>
        <v>A</v>
      </c>
      <c r="D1267" s="243" t="s">
        <v>5187</v>
      </c>
      <c r="E1267" s="244" t="s">
        <v>5179</v>
      </c>
      <c r="F1267" s="269">
        <v>3</v>
      </c>
      <c r="G1267" s="276">
        <v>90</v>
      </c>
      <c r="H1267" s="271" t="s">
        <v>6500</v>
      </c>
      <c r="I1267" s="244" t="s">
        <v>6500</v>
      </c>
      <c r="J1267" s="246">
        <v>3</v>
      </c>
      <c r="K1267" s="247" t="s">
        <v>6381</v>
      </c>
      <c r="L1267" s="248">
        <v>230202</v>
      </c>
      <c r="M1267" s="249">
        <f>15*(LEFT(TEXT($L1267,"000000"),2)+(MID(TEXT($L1267,"000000"),3,2)/60)+(RIGHT(TEXT($L1267,"000000"),2)/3600))</f>
        <v>345.50833333333333</v>
      </c>
      <c r="N1267" s="250">
        <v>621609</v>
      </c>
      <c r="O1267" s="251">
        <f>IF($N1267&gt;0,(LEFT(TEXT($N1267,"000000"),2)+(MID(TEXT($N1267,"000000"),3,2)/60)+(RIGHT(TEXT($N1267,"000000"),2)/3600)),-(MID(TEXT($N1267,"000000"),2,2)+(MID(TEXT($N1267,"000000"),4,2)/60)+(RIGHT(TEXT($N1267,"000000"),2)/3600)))</f>
        <v>62.269166666666663</v>
      </c>
      <c r="P1267" s="252" t="s">
        <v>52</v>
      </c>
      <c r="Q1267" s="253" t="s">
        <v>7065</v>
      </c>
      <c r="R1267" s="247" t="s">
        <v>3293</v>
      </c>
      <c r="S1267" s="272" t="s">
        <v>3293</v>
      </c>
      <c r="T1267" s="273"/>
      <c r="U1267" s="274"/>
      <c r="V1267" s="280"/>
      <c r="W1267" s="244"/>
      <c r="X1267" s="244"/>
      <c r="Y1267" s="362"/>
      <c r="Z1267" s="257">
        <f>altaz(J2000_Bas,$O1267,$M1267,DecLat,DecLong,1)</f>
        <v>41.169047684530177</v>
      </c>
      <c r="AA1267" s="257">
        <f>altaz((J2000_Bas+(2*0.04167)),$O1267,$M1267,DecLat,DecLong,1)</f>
        <v>53.44628180615419</v>
      </c>
      <c r="AB1267" s="257">
        <f>altaz((J2000_Bas+(4*0.04167)),$O1267,$M1267,DecLat,DecLong,1)</f>
        <v>58.727882466870348</v>
      </c>
      <c r="AC1267" s="257">
        <f>altaz((J2000_Bas+(6*0.04167)),$O1267,$M1267,DecLat,DecLong,1)</f>
        <v>53.003198479055207</v>
      </c>
      <c r="AD1267" s="258">
        <f>1+ transit((J2000_Bas-1),$O1267,$M1267,DecLat,DecLong)/360 + (GMTOffset/24) + (IF(DST="Y", 1, 0)/24)</f>
        <v>1.9526452350255414</v>
      </c>
      <c r="AE1267" s="259">
        <f>DATE(2001,9,21)+(M1267/360)*365 - (360*((DecLong/360)- (GMTOffset/24) ))</f>
        <v>37510.307060185187</v>
      </c>
      <c r="AF1267" s="260">
        <f>IF(DecLat&gt;0,IF((90 - (DecLat-O1267))&gt;90, (90 - (O1267-DecLat)), (90 - (DecLat-O1267))),IF((90 + (DecLat-O1267))&gt;90, (90 + (O1267-DecLat)), (90 + (DecLat-O1267))))</f>
        <v>58.730833333333337</v>
      </c>
      <c r="AG1267" s="257">
        <f>angularseperation(MoonRA,MoonDec,$M1267,$O1267)</f>
        <v>116.62981973688672</v>
      </c>
      <c r="AH1267" s="261">
        <f ca="1">MIN(100,IF($O$5&gt;80,0+30*($AG1267/100),IF($O$5&gt;70,0+50*($AG1267/100),IF($O$5&gt;60,5+50*($AG1267/100),IF($O$5&gt;50,10+60*($AG1267/100),IF($O$5&gt;40,15+70*($AG1267/100),IF($O$5&gt;30,20+70*($AG1267/100),IF($O$5&gt;20,40+55*($AG1267/100),(80+(20-$O$5)+30*($AG1267/100))))))))))</f>
        <v>100</v>
      </c>
      <c r="AI1267" s="262"/>
      <c r="AJ1267" s="262"/>
      <c r="AK1267" s="262"/>
      <c r="AL1267" s="263"/>
      <c r="AM1267" s="264"/>
      <c r="AN1267" s="263"/>
      <c r="AO1267" s="263"/>
      <c r="AP1267" s="265"/>
      <c r="AQ1267" s="266"/>
      <c r="AR1267" s="267"/>
      <c r="AS1267" s="263"/>
      <c r="AT1267" s="263"/>
      <c r="AU1267" s="263"/>
      <c r="AV1267" s="264"/>
      <c r="AW1267" s="263"/>
      <c r="AX1267" s="263"/>
      <c r="AY1267" s="263"/>
      <c r="AZ1267" s="263">
        <v>1218</v>
      </c>
      <c r="BA1267" s="263"/>
      <c r="BB1267" s="263"/>
      <c r="BC1267" s="263"/>
      <c r="BD1267" s="264"/>
      <c r="BE1267" s="263"/>
      <c r="BF1267" s="263"/>
      <c r="BG1267" s="263"/>
      <c r="BH1267" s="263"/>
      <c r="BI1267" s="263">
        <v>104</v>
      </c>
      <c r="BJ1267" s="404">
        <f>altaz(J2000_Bas,$O1267,$M1267,DecLat,DecLong,2)</f>
        <v>32.183977077191841</v>
      </c>
      <c r="BK1267" s="378" t="s">
        <v>1309</v>
      </c>
      <c r="BL1267" s="379">
        <f>IF((2*G1267)/60&lt;0.2,0.2,(2*G1267)/60)</f>
        <v>3</v>
      </c>
      <c r="BM1267" s="380">
        <f>MOD((50000+AD1267-$B$3+(0/24)),1)</f>
        <v>0.16801216472958913</v>
      </c>
      <c r="BN1267" s="381"/>
      <c r="BO1267" s="382">
        <v>1260</v>
      </c>
    </row>
    <row r="1268" spans="1:67" s="24" customFormat="1" ht="15" customHeight="1" x14ac:dyDescent="0.25">
      <c r="A1268" s="288" t="s">
        <v>1310</v>
      </c>
      <c r="B1268" s="241" t="str">
        <f>HYPERLINK(CONCATENATE($AT$3,BK1268,$AU$3),$AV$3)</f>
        <v>S</v>
      </c>
      <c r="C1268" s="242" t="str">
        <f>HYPERLINK(CONCATENATE($AT$4,BK1268,$AU$4,BL1268),$AV$4)</f>
        <v>A</v>
      </c>
      <c r="D1268" s="243" t="s">
        <v>5187</v>
      </c>
      <c r="E1268" s="244" t="s">
        <v>5179</v>
      </c>
      <c r="F1268" s="269">
        <v>5</v>
      </c>
      <c r="G1268" s="276">
        <v>90</v>
      </c>
      <c r="H1268" s="283">
        <v>1150</v>
      </c>
      <c r="I1268" s="246">
        <v>30</v>
      </c>
      <c r="J1268" s="246">
        <v>4</v>
      </c>
      <c r="K1268" s="247" t="s">
        <v>4862</v>
      </c>
      <c r="L1268" s="248">
        <v>223603</v>
      </c>
      <c r="M1268" s="249">
        <f>15*(LEFT(TEXT($L1268,"000000"),2)+(MID(TEXT($L1268,"000000"),3,2)/60)+(RIGHT(TEXT($L1268,"000000"),2)/3600))</f>
        <v>339.01249999999999</v>
      </c>
      <c r="N1268" s="250">
        <v>751535</v>
      </c>
      <c r="O1268" s="251">
        <f>IF($N1268&gt;0,(LEFT(TEXT($N1268,"000000"),2)+(MID(TEXT($N1268,"000000"),3,2)/60)+(RIGHT(TEXT($N1268,"000000"),2)/3600)),-(MID(TEXT($N1268,"000000"),2,2)+(MID(TEXT($N1268,"000000"),4,2)/60)+(RIGHT(TEXT($N1268,"000000"),2)/3600)))</f>
        <v>75.259722222222223</v>
      </c>
      <c r="P1268" s="252" t="s">
        <v>52</v>
      </c>
      <c r="Q1268" s="253"/>
      <c r="R1268" s="247" t="s">
        <v>3293</v>
      </c>
      <c r="S1268" s="272" t="s">
        <v>3293</v>
      </c>
      <c r="T1268" s="273"/>
      <c r="U1268" s="274"/>
      <c r="V1268" s="280"/>
      <c r="W1268" s="244"/>
      <c r="X1268" s="244"/>
      <c r="Y1268" s="362"/>
      <c r="Z1268" s="257">
        <f>altaz(J2000_Bas,$O1268,$M1268,DecLat,DecLong,1)</f>
        <v>38.999310522004123</v>
      </c>
      <c r="AA1268" s="257">
        <f>altaz((J2000_Bas+(2*0.04167)),$O1268,$M1268,DecLat,DecLong,1)</f>
        <v>44.343372453233755</v>
      </c>
      <c r="AB1268" s="257">
        <f>altaz((J2000_Bas+(4*0.04167)),$O1268,$M1268,DecLat,DecLong,1)</f>
        <v>45.600859980521733</v>
      </c>
      <c r="AC1268" s="257">
        <f>altaz((J2000_Bas+(6*0.04167)),$O1268,$M1268,DecLat,DecLong,1)</f>
        <v>42.198933549093269</v>
      </c>
      <c r="AD1268" s="258">
        <f>1+ transit((J2000_Bas-1),$O1268,$M1268,DecLat,DecLong)/360 + (GMTOffset/24) + (IF(DST="Y", 1, 0)/24)</f>
        <v>1.9346012553484579</v>
      </c>
      <c r="AE1268" s="259">
        <f>DATE(2001,9,21)+(M1268/360)*365 - (360*((DecLong/360)- (GMTOffset/24) ))</f>
        <v>37503.721006944441</v>
      </c>
      <c r="AF1268" s="260">
        <f>IF(DecLat&gt;0,IF((90 - (DecLat-O1268))&gt;90, (90 - (O1268-DecLat)), (90 - (DecLat-O1268))),IF((90 + (DecLat-O1268))&gt;90, (90 + (O1268-DecLat)), (90 + (DecLat-O1268))))</f>
        <v>45.740277777777777</v>
      </c>
      <c r="AG1268" s="257">
        <f>angularseperation(MoonRA,MoonDec,$M1268,$O1268)</f>
        <v>116.06601634081291</v>
      </c>
      <c r="AH1268" s="261">
        <f ca="1">MIN(100,IF($O$5&gt;80,0+30*($AG1268/100),IF($O$5&gt;70,0+50*($AG1268/100),IF($O$5&gt;60,5+50*($AG1268/100),IF($O$5&gt;50,10+60*($AG1268/100),IF($O$5&gt;40,15+70*($AG1268/100),IF($O$5&gt;30,20+70*($AG1268/100),IF($O$5&gt;20,40+55*($AG1268/100),(80+(20-$O$5)+30*($AG1268/100))))))))))</f>
        <v>100</v>
      </c>
      <c r="AI1268" s="262"/>
      <c r="AJ1268" s="262"/>
      <c r="AK1268" s="262"/>
      <c r="AL1268" s="263"/>
      <c r="AM1268" s="264"/>
      <c r="AN1268" s="263"/>
      <c r="AO1268" s="263"/>
      <c r="AP1268" s="265"/>
      <c r="AQ1268" s="266"/>
      <c r="AR1268" s="267"/>
      <c r="AS1268" s="263"/>
      <c r="AT1268" s="263"/>
      <c r="AU1268" s="263"/>
      <c r="AV1268" s="264"/>
      <c r="AW1268" s="263"/>
      <c r="AX1268" s="263"/>
      <c r="AY1268" s="263"/>
      <c r="AZ1268" s="263">
        <v>1251</v>
      </c>
      <c r="BA1268" s="263"/>
      <c r="BB1268" s="263"/>
      <c r="BC1268" s="263"/>
      <c r="BD1268" s="264"/>
      <c r="BE1268" s="263"/>
      <c r="BF1268" s="263"/>
      <c r="BG1268" s="263"/>
      <c r="BH1268" s="263"/>
      <c r="BI1268" s="263">
        <v>101</v>
      </c>
      <c r="BJ1268" s="404">
        <f>altaz(J2000_Bas,$O1268,$M1268,DecLat,DecLong,2)</f>
        <v>15.159378550837621</v>
      </c>
      <c r="BK1268" s="378" t="s">
        <v>1310</v>
      </c>
      <c r="BL1268" s="379">
        <f>IF((2*G1268)/60&lt;0.2,0.2,(2*G1268)/60)</f>
        <v>3</v>
      </c>
      <c r="BM1268" s="380">
        <f>MOD((50000+AD1268-$B$3+(0/24)),1)</f>
        <v>0.14996818505460396</v>
      </c>
      <c r="BN1268" s="381"/>
      <c r="BO1268" s="382">
        <v>1261</v>
      </c>
    </row>
    <row r="1269" spans="1:67" s="24" customFormat="1" ht="15" customHeight="1" x14ac:dyDescent="0.25">
      <c r="A1269" s="288" t="s">
        <v>9403</v>
      </c>
      <c r="B1269" s="241" t="str">
        <f>HYPERLINK(CONCATENATE($AT$3,BK1269,$AU$3),$AV$3)</f>
        <v>S</v>
      </c>
      <c r="C1269" s="242" t="str">
        <f>HYPERLINK(CONCATENATE($AT$4,BK1269,$AU$4,BL1269),$AV$4)</f>
        <v>A</v>
      </c>
      <c r="D1269" s="243" t="s">
        <v>5187</v>
      </c>
      <c r="E1269" s="244" t="s">
        <v>5179</v>
      </c>
      <c r="F1269" s="269">
        <v>6</v>
      </c>
      <c r="G1269" s="276">
        <v>40</v>
      </c>
      <c r="H1269" s="271" t="s">
        <v>6500</v>
      </c>
      <c r="I1269" s="244" t="s">
        <v>6500</v>
      </c>
      <c r="J1269" s="246">
        <v>2</v>
      </c>
      <c r="K1269" s="247" t="s">
        <v>9404</v>
      </c>
      <c r="L1269" s="248">
        <v>232547</v>
      </c>
      <c r="M1269" s="249">
        <f>15*(LEFT(TEXT($L1269,"000000"),2)+(MID(TEXT($L1269,"000000"),3,2)/60)+(RIGHT(TEXT($L1269,"000000"),2)/3600))</f>
        <v>351.44583333333338</v>
      </c>
      <c r="N1269" s="286">
        <v>741736</v>
      </c>
      <c r="O1269" s="251">
        <f>IF($N1269&gt;0,(LEFT(TEXT($N1269,"000000"),2)+(MID(TEXT($N1269,"000000"),3,2)/60)+(RIGHT(TEXT($N1269,"000000"),2)/3600)),-(MID(TEXT($N1269,"000000"),2,2)+(MID(TEXT($N1269,"000000"),4,2)/60)+(RIGHT(TEXT($N1269,"000000"),2)/3600)))</f>
        <v>74.293333333333337</v>
      </c>
      <c r="P1269" s="252" t="s">
        <v>52</v>
      </c>
      <c r="Q1269" s="253"/>
      <c r="R1269" s="247" t="s">
        <v>3293</v>
      </c>
      <c r="S1269" s="272" t="s">
        <v>9405</v>
      </c>
      <c r="T1269" s="273"/>
      <c r="U1269" s="274"/>
      <c r="V1269" s="280"/>
      <c r="W1269" s="244"/>
      <c r="X1269" s="244"/>
      <c r="Y1269" s="362"/>
      <c r="Z1269" s="257">
        <f>altaz(J2000_Bas,$O1269,$M1269,DecLat,DecLong,1)</f>
        <v>36.316396689844169</v>
      </c>
      <c r="AA1269" s="257">
        <f>altaz((J2000_Bas+(2*0.04167)),$O1269,$M1269,DecLat,DecLong,1)</f>
        <v>43.239590744700386</v>
      </c>
      <c r="AB1269" s="257">
        <f>altaz((J2000_Bas+(4*0.04167)),$O1269,$M1269,DecLat,DecLong,1)</f>
        <v>46.624644889969808</v>
      </c>
      <c r="AC1269" s="257">
        <f>altaz((J2000_Bas+(6*0.04167)),$O1269,$M1269,DecLat,DecLong,1)</f>
        <v>44.945591040213074</v>
      </c>
      <c r="AD1269" s="258">
        <f>1+ transit((J2000_Bas-1),$O1269,$M1269,DecLat,DecLong)/360 + (GMTOffset/24) + (IF(DST="Y", 1, 0)/24)</f>
        <v>1.9691382889317917</v>
      </c>
      <c r="AE1269" s="259">
        <f>DATE(2001,9,21)+(M1269/360)*365 - (360*((DecLong/360)- (GMTOffset/24) ))</f>
        <v>37516.327025462961</v>
      </c>
      <c r="AF1269" s="260">
        <f>IF(DecLat&gt;0,IF((90 - (DecLat-O1269))&gt;90, (90 - (O1269-DecLat)), (90 - (DecLat-O1269))),IF((90 + (DecLat-O1269))&gt;90, (90 + (O1269-DecLat)), (90 + (DecLat-O1269))))</f>
        <v>46.706666666666663</v>
      </c>
      <c r="AG1269" s="257">
        <f>angularseperation(MoonRA,MoonDec,$M1269,$O1269)</f>
        <v>119.29116130388346</v>
      </c>
      <c r="AH1269" s="261">
        <f ca="1">MIN(100,IF($O$5&gt;80,0+30*($AG1269/100),IF($O$5&gt;70,0+50*($AG1269/100),IF($O$5&gt;60,5+50*($AG1269/100),IF($O$5&gt;50,10+60*($AG1269/100),IF($O$5&gt;40,15+70*($AG1269/100),IF($O$5&gt;30,20+70*($AG1269/100),IF($O$5&gt;20,40+55*($AG1269/100),(80+(20-$O$5)+30*($AG1269/100))))))))))</f>
        <v>100</v>
      </c>
      <c r="AI1269" s="262"/>
      <c r="AJ1269" s="262"/>
      <c r="AK1269" s="262"/>
      <c r="AL1269" s="263"/>
      <c r="AM1269" s="264"/>
      <c r="AN1269" s="263"/>
      <c r="AO1269" s="263"/>
      <c r="AP1269" s="265"/>
      <c r="AQ1269" s="266"/>
      <c r="AR1269" s="267"/>
      <c r="AS1269" s="263"/>
      <c r="AT1269" s="263"/>
      <c r="AU1269" s="263"/>
      <c r="AV1269" s="264"/>
      <c r="AW1269" s="263"/>
      <c r="AX1269" s="263"/>
      <c r="AY1269" s="263"/>
      <c r="AZ1269" s="263">
        <v>1262</v>
      </c>
      <c r="BA1269" s="263"/>
      <c r="BB1269" s="263"/>
      <c r="BC1269" s="263"/>
      <c r="BD1269" s="264"/>
      <c r="BE1269" s="263"/>
      <c r="BF1269" s="263"/>
      <c r="BG1269" s="263"/>
      <c r="BH1269" s="263"/>
      <c r="BI1269" s="263"/>
      <c r="BJ1269" s="404">
        <f>altaz(J2000_Bas,$O1269,$M1269,DecLat,DecLong,2)</f>
        <v>17.793260882266196</v>
      </c>
      <c r="BK1269" s="378" t="s">
        <v>9403</v>
      </c>
      <c r="BL1269" s="379">
        <f>IF((2*G1269)/60&lt;0.2,0.2,(2*G1269)/60)</f>
        <v>1.3333333333333333</v>
      </c>
      <c r="BM1269" s="380">
        <f>MOD((50000+AD1269-$B$3+(0/24)),1)</f>
        <v>0.18450521863269387</v>
      </c>
      <c r="BN1269" s="381"/>
      <c r="BO1269" s="382">
        <v>1262</v>
      </c>
    </row>
    <row r="1270" spans="1:67" s="24" customFormat="1" ht="15" customHeight="1" x14ac:dyDescent="0.25">
      <c r="A1270" s="288" t="s">
        <v>1311</v>
      </c>
      <c r="B1270" s="241" t="str">
        <f>HYPERLINK(CONCATENATE($AT$3,BK1270,$AU$3),$AV$3)</f>
        <v>S</v>
      </c>
      <c r="C1270" s="242" t="str">
        <f>HYPERLINK(CONCATENATE($AT$4,BK1270,$AU$4,BL1270),$AV$4)</f>
        <v>A</v>
      </c>
      <c r="D1270" s="243" t="s">
        <v>5187</v>
      </c>
      <c r="E1270" s="244" t="s">
        <v>5179</v>
      </c>
      <c r="F1270" s="269">
        <v>6</v>
      </c>
      <c r="G1270" s="276">
        <v>20</v>
      </c>
      <c r="H1270" s="283">
        <v>600</v>
      </c>
      <c r="I1270" s="279">
        <v>3.7</v>
      </c>
      <c r="J1270" s="246">
        <v>2</v>
      </c>
      <c r="K1270" s="247" t="s">
        <v>9330</v>
      </c>
      <c r="L1270" s="248">
        <v>22604</v>
      </c>
      <c r="M1270" s="249">
        <f>15*(LEFT(TEXT($L1270,"000000"),2)+(MID(TEXT($L1270,"000000"),3,2)/60)+(RIGHT(TEXT($L1270,"000000"),2)/3600))</f>
        <v>36.516666666666673</v>
      </c>
      <c r="N1270" s="250">
        <v>752832</v>
      </c>
      <c r="O1270" s="251">
        <f>IF($N1270&gt;0,(LEFT(TEXT($N1270,"000000"),2)+(MID(TEXT($N1270,"000000"),3,2)/60)+(RIGHT(TEXT($N1270,"000000"),2)/3600)),-(MID(TEXT($N1270,"000000"),2,2)+(MID(TEXT($N1270,"000000"),4,2)/60)+(RIGHT(TEXT($N1270,"000000"),2)/3600)))</f>
        <v>75.475555555555559</v>
      </c>
      <c r="P1270" s="252" t="s">
        <v>49</v>
      </c>
      <c r="Q1270" s="253"/>
      <c r="R1270" s="247" t="s">
        <v>3293</v>
      </c>
      <c r="S1270" s="272" t="s">
        <v>3293</v>
      </c>
      <c r="T1270" s="273"/>
      <c r="U1270" s="274"/>
      <c r="V1270" s="280"/>
      <c r="W1270" s="244"/>
      <c r="X1270" s="244"/>
      <c r="Y1270" s="362"/>
      <c r="Z1270" s="257">
        <f>altaz(J2000_Bas,$O1270,$M1270,DecLat,DecLong,1)</f>
        <v>25.039556082018816</v>
      </c>
      <c r="AA1270" s="257">
        <f>altaz((J2000_Bas+(2*0.04167)),$O1270,$M1270,DecLat,DecLong,1)</f>
        <v>32.297756651793847</v>
      </c>
      <c r="AB1270" s="257">
        <f>altaz((J2000_Bas+(4*0.04167)),$O1270,$M1270,DecLat,DecLong,1)</f>
        <v>39.4767429086234</v>
      </c>
      <c r="AC1270" s="257">
        <f>altaz((J2000_Bas+(6*0.04167)),$O1270,$M1270,DecLat,DecLong,1)</f>
        <v>44.446967987124417</v>
      </c>
      <c r="AD1270" s="258">
        <f>1+ transit((J2000_Bas-1),$O1270,$M1270,DecLat,DecLong)/360 + (GMTOffset/24) + (IF(DST="Y", 1, 0)/24)</f>
        <v>1.0943351356713746</v>
      </c>
      <c r="AE1270" s="259">
        <f>DATE(2001,9,21)+(M1270/360)*365 - (360*((DecLong/360)- (GMTOffset/24) ))</f>
        <v>37197.023842592593</v>
      </c>
      <c r="AF1270" s="260">
        <f>IF(DecLat&gt;0,IF((90 - (DecLat-O1270))&gt;90, (90 - (O1270-DecLat)), (90 - (DecLat-O1270))),IF((90 + (DecLat-O1270))&gt;90, (90 + (O1270-DecLat)), (90 + (DecLat-O1270))))</f>
        <v>45.524444444444441</v>
      </c>
      <c r="AG1270" s="257">
        <f>angularseperation(MoonRA,MoonDec,$M1270,$O1270)</f>
        <v>128.9465597576189</v>
      </c>
      <c r="AH1270" s="261">
        <f ca="1">MIN(100,IF($O$5&gt;80,0+30*($AG1270/100),IF($O$5&gt;70,0+50*($AG1270/100),IF($O$5&gt;60,5+50*($AG1270/100),IF($O$5&gt;50,10+60*($AG1270/100),IF($O$5&gt;40,15+70*($AG1270/100),IF($O$5&gt;30,20+70*($AG1270/100),IF($O$5&gt;20,40+55*($AG1270/100),(80+(20-$O$5)+30*($AG1270/100))))))))))</f>
        <v>100</v>
      </c>
      <c r="AI1270" s="262"/>
      <c r="AJ1270" s="262"/>
      <c r="AK1270" s="262"/>
      <c r="AL1270" s="263"/>
      <c r="AM1270" s="264"/>
      <c r="AN1270" s="263"/>
      <c r="AO1270" s="263"/>
      <c r="AP1270" s="265"/>
      <c r="AQ1270" s="266"/>
      <c r="AR1270" s="267"/>
      <c r="AS1270" s="263"/>
      <c r="AT1270" s="263"/>
      <c r="AU1270" s="263"/>
      <c r="AV1270" s="264"/>
      <c r="AW1270" s="263"/>
      <c r="AX1270" s="263"/>
      <c r="AY1270" s="263"/>
      <c r="AZ1270" s="263">
        <v>1333</v>
      </c>
      <c r="BA1270" s="263"/>
      <c r="BB1270" s="263"/>
      <c r="BC1270" s="263"/>
      <c r="BD1270" s="264"/>
      <c r="BE1270" s="263"/>
      <c r="BF1270" s="263"/>
      <c r="BG1270" s="263"/>
      <c r="BH1270" s="263"/>
      <c r="BI1270" s="263">
        <v>9</v>
      </c>
      <c r="BJ1270" s="404">
        <f>altaz(J2000_Bas,$O1270,$M1270,DecLat,DecLong,2)</f>
        <v>15.025874110902503</v>
      </c>
      <c r="BK1270" s="378" t="s">
        <v>1311</v>
      </c>
      <c r="BL1270" s="379">
        <f>IF((2*G1270)/60&lt;0.2,0.2,(2*G1270)/60)</f>
        <v>0.66666666666666663</v>
      </c>
      <c r="BM1270" s="380">
        <f>MOD((50000+AD1270-$B$3+(0/24)),1)</f>
        <v>0.30970206537313061</v>
      </c>
      <c r="BN1270" s="381"/>
      <c r="BO1270" s="382">
        <v>1263</v>
      </c>
    </row>
    <row r="1271" spans="1:67" s="24" customFormat="1" ht="15" customHeight="1" x14ac:dyDescent="0.25">
      <c r="A1271" s="288" t="s">
        <v>3195</v>
      </c>
      <c r="B1271" s="241" t="str">
        <f>HYPERLINK(CONCATENATE($AT$3,BK1271,$AU$3),$AV$3)</f>
        <v>S</v>
      </c>
      <c r="C1271" s="242" t="str">
        <f>HYPERLINK(CONCATENATE($AT$4,BK1271,$AU$4,BL1271),$AV$4)</f>
        <v>A</v>
      </c>
      <c r="D1271" s="243" t="s">
        <v>5187</v>
      </c>
      <c r="E1271" s="244" t="s">
        <v>5179</v>
      </c>
      <c r="F1271" s="269">
        <v>5</v>
      </c>
      <c r="G1271" s="276">
        <v>60</v>
      </c>
      <c r="H1271" s="271" t="s">
        <v>6500</v>
      </c>
      <c r="I1271" s="244" t="s">
        <v>6500</v>
      </c>
      <c r="J1271" s="246">
        <v>3</v>
      </c>
      <c r="K1271" s="247" t="s">
        <v>9336</v>
      </c>
      <c r="L1271" s="248">
        <v>32740</v>
      </c>
      <c r="M1271" s="249">
        <f>15*(LEFT(TEXT($L1271,"000000"),2)+(MID(TEXT($L1271,"000000"),3,2)/60)+(RIGHT(TEXT($L1271,"000000"),2)/3600))</f>
        <v>51.916666666666671</v>
      </c>
      <c r="N1271" s="250">
        <v>301206</v>
      </c>
      <c r="O1271" s="251">
        <f>IF($N1271&gt;0,(LEFT(TEXT($N1271,"000000"),2)+(MID(TEXT($N1271,"000000"),3,2)/60)+(RIGHT(TEXT($N1271,"000000"),2)/3600)),-(MID(TEXT($N1271,"000000"),2,2)+(MID(TEXT($N1271,"000000"),4,2)/60)+(RIGHT(TEXT($N1271,"000000"),2)/3600)))</f>
        <v>30.201666666666664</v>
      </c>
      <c r="P1271" s="252" t="s">
        <v>249</v>
      </c>
      <c r="Q1271" s="253"/>
      <c r="R1271" s="277" t="s">
        <v>4831</v>
      </c>
      <c r="S1271" s="272" t="s">
        <v>4863</v>
      </c>
      <c r="T1271" s="273"/>
      <c r="U1271" s="274"/>
      <c r="V1271" s="280"/>
      <c r="W1271" s="244"/>
      <c r="X1271" s="244"/>
      <c r="Y1271" s="362"/>
      <c r="Z1271" s="257">
        <f>altaz(J2000_Bas,$O1271,$M1271,DecLat,DecLong,1)</f>
        <v>-10.105045612642479</v>
      </c>
      <c r="AA1271" s="257">
        <f>altaz((J2000_Bas+(2*0.04167)),$O1271,$M1271,DecLat,DecLong,1)</f>
        <v>10.593735950237338</v>
      </c>
      <c r="AB1271" s="257">
        <f>altaz((J2000_Bas+(4*0.04167)),$O1271,$M1271,DecLat,DecLong,1)</f>
        <v>34.292214906703848</v>
      </c>
      <c r="AC1271" s="257">
        <f>altaz((J2000_Bas+(6*0.04167)),$O1271,$M1271,DecLat,DecLong,1)</f>
        <v>59.427929149110398</v>
      </c>
      <c r="AD1271" s="258">
        <f>1+ transit((J2000_Bas-1),$O1271,$M1271,DecLat,DecLong)/360 + (GMTOffset/24) + (IF(DST="Y", 1, 0)/24)</f>
        <v>1.1371129091713745</v>
      </c>
      <c r="AE1271" s="259">
        <f>DATE(2001,9,21)+(M1271/360)*365 - (360*((DecLong/360)- (GMTOffset/24) ))</f>
        <v>37212.637731481482</v>
      </c>
      <c r="AF1271" s="260">
        <f>IF(DecLat&gt;0,IF((90 - (DecLat-O1271))&gt;90, (90 - (O1271-DecLat)), (90 - (DecLat-O1271))),IF((90 + (DecLat-O1271))&gt;90, (90 + (O1271-DecLat)), (90 + (DecLat-O1271))))</f>
        <v>89.201666666666668</v>
      </c>
      <c r="AG1271" s="257">
        <f>angularseperation(MoonRA,MoonDec,$M1271,$O1271)</f>
        <v>164.4952437424584</v>
      </c>
      <c r="AH1271" s="261">
        <f ca="1">MIN(100,IF($O$5&gt;80,0+30*($AG1271/100),IF($O$5&gt;70,0+50*($AG1271/100),IF($O$5&gt;60,5+50*($AG1271/100),IF($O$5&gt;50,10+60*($AG1271/100),IF($O$5&gt;40,15+70*($AG1271/100),IF($O$5&gt;30,20+70*($AG1271/100),IF($O$5&gt;20,40+55*($AG1271/100),(80+(20-$O$5)+30*($AG1271/100))))))))))</f>
        <v>100</v>
      </c>
      <c r="AI1271" s="263"/>
      <c r="AJ1271" s="263"/>
      <c r="AK1271" s="263"/>
      <c r="AL1271" s="263"/>
      <c r="AM1271" s="264"/>
      <c r="AN1271" s="263"/>
      <c r="AO1271" s="263"/>
      <c r="AP1271" s="265"/>
      <c r="AQ1271" s="265"/>
      <c r="AR1271" s="285"/>
      <c r="AS1271" s="263"/>
      <c r="AT1271" s="263"/>
      <c r="AU1271" s="263"/>
      <c r="AV1271" s="264"/>
      <c r="AW1271" s="263"/>
      <c r="AX1271" s="263"/>
      <c r="AY1271" s="263"/>
      <c r="AZ1271" s="263"/>
      <c r="BA1271" s="263"/>
      <c r="BB1271" s="263"/>
      <c r="BC1271" s="263"/>
      <c r="BD1271" s="264"/>
      <c r="BE1271" s="263"/>
      <c r="BF1271" s="263"/>
      <c r="BG1271" s="263"/>
      <c r="BH1271" s="263"/>
      <c r="BI1271" s="263">
        <v>18</v>
      </c>
      <c r="BJ1271" s="404">
        <f>altaz(J2000_Bas,$O1271,$M1271,DecLat,DecLong,2)</f>
        <v>45.315653280181621</v>
      </c>
      <c r="BK1271" s="378" t="s">
        <v>3195</v>
      </c>
      <c r="BL1271" s="379">
        <f>IF((2*G1271)/60&lt;0.2,0.2,(2*G1271)/60)</f>
        <v>2</v>
      </c>
      <c r="BM1271" s="380">
        <f>MOD((50000+AD1271-$B$3+(0/24)),1)</f>
        <v>0.35247983887529699</v>
      </c>
      <c r="BN1271" s="381"/>
      <c r="BO1271" s="382">
        <v>1264</v>
      </c>
    </row>
    <row r="1272" spans="1:67" s="24" customFormat="1" ht="15" customHeight="1" x14ac:dyDescent="0.25">
      <c r="A1272" s="288" t="s">
        <v>1312</v>
      </c>
      <c r="B1272" s="241" t="str">
        <f>HYPERLINK(CONCATENATE($AT$3,BK1272,$AU$3),$AV$3)</f>
        <v>S</v>
      </c>
      <c r="C1272" s="242" t="str">
        <f>HYPERLINK(CONCATENATE($AT$4,BK1272,$AU$4,BL1272),$AV$4)</f>
        <v>A</v>
      </c>
      <c r="D1272" s="243" t="s">
        <v>5187</v>
      </c>
      <c r="E1272" s="244" t="s">
        <v>5179</v>
      </c>
      <c r="F1272" s="269">
        <v>5</v>
      </c>
      <c r="G1272" s="276">
        <v>40</v>
      </c>
      <c r="H1272" s="283">
        <v>500</v>
      </c>
      <c r="I1272" s="279">
        <v>6</v>
      </c>
      <c r="J1272" s="246">
        <v>4</v>
      </c>
      <c r="K1272" s="247" t="s">
        <v>4864</v>
      </c>
      <c r="L1272" s="248">
        <v>41805</v>
      </c>
      <c r="M1272" s="249">
        <f>15*(LEFT(TEXT($L1272,"000000"),2)+(MID(TEXT($L1272,"000000"),3,2)/60)+(RIGHT(TEXT($L1272,"000000"),2)/3600))</f>
        <v>64.520833333333329</v>
      </c>
      <c r="N1272" s="250">
        <v>273717</v>
      </c>
      <c r="O1272" s="251">
        <f>IF($N1272&gt;0,(LEFT(TEXT($N1272,"000000"),2)+(MID(TEXT($N1272,"000000"),3,2)/60)+(RIGHT(TEXT($N1272,"000000"),2)/3600)),-(MID(TEXT($N1272,"000000"),2,2)+(MID(TEXT($N1272,"000000"),4,2)/60)+(RIGHT(TEXT($N1272,"000000"),2)/3600)))</f>
        <v>27.621388888888891</v>
      </c>
      <c r="P1272" s="252" t="s">
        <v>56</v>
      </c>
      <c r="Q1272" s="253" t="s">
        <v>1313</v>
      </c>
      <c r="R1272" s="277" t="s">
        <v>4832</v>
      </c>
      <c r="S1272" s="272" t="s">
        <v>3293</v>
      </c>
      <c r="T1272" s="273"/>
      <c r="U1272" s="274"/>
      <c r="V1272" s="280"/>
      <c r="W1272" s="244"/>
      <c r="X1272" s="244"/>
      <c r="Y1272" s="362"/>
      <c r="Z1272" s="257">
        <f>altaz(J2000_Bas,$O1272,$M1272,DecLat,DecLong,1)</f>
        <v>-19.280224936881964</v>
      </c>
      <c r="AA1272" s="257">
        <f>altaz((J2000_Bas+(2*0.04167)),$O1272,$M1272,DecLat,DecLong,1)</f>
        <v>-7.8259738525292583E-2</v>
      </c>
      <c r="AB1272" s="257">
        <f>altaz((J2000_Bas+(4*0.04167)),$O1272,$M1272,DecLat,DecLong,1)</f>
        <v>23.088969424210966</v>
      </c>
      <c r="AC1272" s="257">
        <f>altaz((J2000_Bas+(6*0.04167)),$O1272,$M1272,DecLat,DecLong,1)</f>
        <v>48.104392993780294</v>
      </c>
      <c r="AD1272" s="258">
        <f>1+ transit((J2000_Bas-1),$O1272,$M1272,DecLat,DecLong)/360 + (GMTOffset/24) + (IF(DST="Y", 1, 0)/24)</f>
        <v>1.1721244797442913</v>
      </c>
      <c r="AE1272" s="259">
        <f>DATE(2001,9,21)+(M1272/360)*365 - (360*((DecLong/360)- (GMTOffset/24) ))</f>
        <v>37225.416956018518</v>
      </c>
      <c r="AF1272" s="260">
        <f>IF(DecLat&gt;0,IF((90 - (DecLat-O1272))&gt;90, (90 - (O1272-DecLat)), (90 - (DecLat-O1272))),IF((90 + (DecLat-O1272))&gt;90, (90 + (O1272-DecLat)), (90 + (DecLat-O1272))))</f>
        <v>86.621388888888887</v>
      </c>
      <c r="AG1272" s="257">
        <f>angularseperation(MoonRA,MoonDec,$M1272,$O1272)</f>
        <v>175.77275612578126</v>
      </c>
      <c r="AH1272" s="261">
        <f ca="1">MIN(100,IF($O$5&gt;80,0+30*($AG1272/100),IF($O$5&gt;70,0+50*($AG1272/100),IF($O$5&gt;60,5+50*($AG1272/100),IF($O$5&gt;50,10+60*($AG1272/100),IF($O$5&gt;40,15+70*($AG1272/100),IF($O$5&gt;30,20+70*($AG1272/100),IF($O$5&gt;20,40+55*($AG1272/100),(80+(20-$O$5)+30*($AG1272/100))))))))))</f>
        <v>100</v>
      </c>
      <c r="AI1272" s="262"/>
      <c r="AJ1272" s="262"/>
      <c r="AK1272" s="262"/>
      <c r="AL1272" s="263"/>
      <c r="AM1272" s="264"/>
      <c r="AN1272" s="263"/>
      <c r="AO1272" s="263"/>
      <c r="AP1272" s="265"/>
      <c r="AQ1272" s="266"/>
      <c r="AR1272" s="267"/>
      <c r="AS1272" s="263"/>
      <c r="AT1272" s="263"/>
      <c r="AU1272" s="263"/>
      <c r="AV1272" s="264"/>
      <c r="AW1272" s="263"/>
      <c r="AX1272" s="263"/>
      <c r="AY1272" s="263"/>
      <c r="AZ1272" s="263">
        <v>1495</v>
      </c>
      <c r="BA1272" s="263"/>
      <c r="BB1272" s="263"/>
      <c r="BC1272" s="263"/>
      <c r="BD1272" s="264"/>
      <c r="BE1272" s="263"/>
      <c r="BF1272" s="263"/>
      <c r="BG1272" s="263">
        <v>20</v>
      </c>
      <c r="BH1272" s="263"/>
      <c r="BI1272" s="263"/>
      <c r="BJ1272" s="404">
        <f>altaz(J2000_Bas,$O1272,$M1272,DecLat,DecLong,2)</f>
        <v>38.444939847304553</v>
      </c>
      <c r="BK1272" s="378" t="s">
        <v>1312</v>
      </c>
      <c r="BL1272" s="379">
        <f>IF((2*G1272)/60&lt;0.2,0.2,(2*G1272)/60)</f>
        <v>1.3333333333333333</v>
      </c>
      <c r="BM1272" s="380">
        <f>MOD((50000+AD1272-$B$3+(0/24)),1)</f>
        <v>0.38749140944855753</v>
      </c>
      <c r="BN1272" s="381"/>
      <c r="BO1272" s="382">
        <v>1265</v>
      </c>
    </row>
    <row r="1273" spans="1:67" s="24" customFormat="1" ht="15" customHeight="1" x14ac:dyDescent="0.25">
      <c r="A1273" s="288" t="s">
        <v>1314</v>
      </c>
      <c r="B1273" s="241" t="str">
        <f>HYPERLINK(CONCATENATE($AT$3,BK1273,$AU$3),$AV$3)</f>
        <v>S</v>
      </c>
      <c r="C1273" s="242" t="str">
        <f>HYPERLINK(CONCATENATE($AT$4,BK1273,$AU$4,BL1273),$AV$4)</f>
        <v>A</v>
      </c>
      <c r="D1273" s="243" t="s">
        <v>5187</v>
      </c>
      <c r="E1273" s="244" t="s">
        <v>5179</v>
      </c>
      <c r="F1273" s="269">
        <v>6</v>
      </c>
      <c r="G1273" s="276">
        <v>40</v>
      </c>
      <c r="H1273" s="283">
        <v>500</v>
      </c>
      <c r="I1273" s="279">
        <v>6</v>
      </c>
      <c r="J1273" s="246">
        <v>4</v>
      </c>
      <c r="K1273" s="247" t="s">
        <v>4865</v>
      </c>
      <c r="L1273" s="248">
        <v>55402</v>
      </c>
      <c r="M1273" s="249">
        <f>15*(LEFT(TEXT($L1273,"000000"),2)+(MID(TEXT($L1273,"000000"),3,2)/60)+(RIGHT(TEXT($L1273,"000000"),2)/3600))</f>
        <v>88.50833333333334</v>
      </c>
      <c r="N1273" s="250">
        <v>14015</v>
      </c>
      <c r="O1273" s="251">
        <f>IF($N1273&gt;0,(LEFT(TEXT($N1273,"000000"),2)+(MID(TEXT($N1273,"000000"),3,2)/60)+(RIGHT(TEXT($N1273,"000000"),2)/3600)),-(MID(TEXT($N1273,"000000"),2,2)+(MID(TEXT($N1273,"000000"),4,2)/60)+(RIGHT(TEXT($N1273,"000000"),2)/3600)))</f>
        <v>1.6708333333333332</v>
      </c>
      <c r="P1273" s="252" t="s">
        <v>41</v>
      </c>
      <c r="Q1273" s="253" t="s">
        <v>1315</v>
      </c>
      <c r="R1273" s="247" t="s">
        <v>3293</v>
      </c>
      <c r="S1273" s="272" t="s">
        <v>4866</v>
      </c>
      <c r="T1273" s="273"/>
      <c r="U1273" s="274"/>
      <c r="V1273" s="280"/>
      <c r="W1273" s="244"/>
      <c r="X1273" s="244"/>
      <c r="Y1273" s="362"/>
      <c r="Z1273" s="257">
        <f>altaz(J2000_Bas,$O1273,$M1273,DecLat,DecLong,1)</f>
        <v>-53.336470829202916</v>
      </c>
      <c r="AA1273" s="257">
        <f>altaz((J2000_Bas+(2*0.04167)),$O1273,$M1273,DecLat,DecLong,1)</f>
        <v>-34.260797791322688</v>
      </c>
      <c r="AB1273" s="257">
        <f>altaz((J2000_Bas+(4*0.04167)),$O1273,$M1273,DecLat,DecLong,1)</f>
        <v>-9.6740461225427588</v>
      </c>
      <c r="AC1273" s="257">
        <f>altaz((J2000_Bas+(6*0.04167)),$O1273,$M1273,DecLat,DecLong,1)</f>
        <v>16.033314336135923</v>
      </c>
      <c r="AD1273" s="258">
        <f>1+ transit((J2000_Bas-1),$O1273,$M1273,DecLat,DecLong)/360 + (GMTOffset/24) + (IF(DST="Y", 1, 0)/24)</f>
        <v>1.2387564175255414</v>
      </c>
      <c r="AE1273" s="259">
        <f>DATE(2001,9,21)+(M1273/360)*365 - (360*((DecLong/360)- (GMTOffset/24) ))</f>
        <v>37249.737615740742</v>
      </c>
      <c r="AF1273" s="260">
        <f>IF(DecLat&gt;0,IF((90 - (DecLat-O1273))&gt;90, (90 - (O1273-DecLat)), (90 - (DecLat-O1273))),IF((90 + (DecLat-O1273))&gt;90, (90 + (O1273-DecLat)), (90 + (DecLat-O1273))))</f>
        <v>60.670833333333334</v>
      </c>
      <c r="AG1273" s="257">
        <f>angularseperation(MoonRA,MoonDec,$M1273,$O1273)</f>
        <v>148.58268423695475</v>
      </c>
      <c r="AH1273" s="261">
        <f ca="1">MIN(100,IF($O$5&gt;80,0+30*($AG1273/100),IF($O$5&gt;70,0+50*($AG1273/100),IF($O$5&gt;60,5+50*($AG1273/100),IF($O$5&gt;50,10+60*($AG1273/100),IF($O$5&gt;40,15+70*($AG1273/100),IF($O$5&gt;30,20+70*($AG1273/100),IF($O$5&gt;20,40+55*($AG1273/100),(80+(20-$O$5)+30*($AG1273/100))))))))))</f>
        <v>100</v>
      </c>
      <c r="AI1273" s="262"/>
      <c r="AJ1273" s="262"/>
      <c r="AK1273" s="262"/>
      <c r="AL1273" s="263"/>
      <c r="AM1273" s="264"/>
      <c r="AN1273" s="263"/>
      <c r="AO1273" s="263"/>
      <c r="AP1273" s="265"/>
      <c r="AQ1273" s="266"/>
      <c r="AR1273" s="267"/>
      <c r="AS1273" s="263"/>
      <c r="AT1273" s="263"/>
      <c r="AU1273" s="263"/>
      <c r="AV1273" s="264"/>
      <c r="AW1273" s="263"/>
      <c r="AX1273" s="263"/>
      <c r="AY1273" s="263"/>
      <c r="AZ1273" s="263">
        <v>1622</v>
      </c>
      <c r="BA1273" s="263"/>
      <c r="BB1273" s="263"/>
      <c r="BC1273" s="263"/>
      <c r="BD1273" s="264"/>
      <c r="BE1273" s="263"/>
      <c r="BF1273" s="263"/>
      <c r="BG1273" s="263">
        <v>32</v>
      </c>
      <c r="BH1273" s="263"/>
      <c r="BI1273" s="263"/>
      <c r="BJ1273" s="404">
        <f>altaz(J2000_Bas,$O1273,$M1273,DecLat,DecLong,2)</f>
        <v>30.213591794548314</v>
      </c>
      <c r="BK1273" s="378" t="s">
        <v>1314</v>
      </c>
      <c r="BL1273" s="379">
        <f>IF((2*G1273)/60&lt;0.2,0.2,(2*G1273)/60)</f>
        <v>1.3333333333333333</v>
      </c>
      <c r="BM1273" s="380">
        <f>MOD((50000+AD1273-$B$3+(0/24)),1)</f>
        <v>0.4541233472264139</v>
      </c>
      <c r="BN1273" s="381"/>
      <c r="BO1273" s="382">
        <v>1266</v>
      </c>
    </row>
    <row r="1274" spans="1:67" s="24" customFormat="1" ht="15" customHeight="1" x14ac:dyDescent="0.25">
      <c r="A1274" s="288" t="s">
        <v>1316</v>
      </c>
      <c r="B1274" s="241" t="str">
        <f>HYPERLINK(CONCATENATE($AT$3,BK1274,$AU$3),$AV$3)</f>
        <v>S</v>
      </c>
      <c r="C1274" s="242" t="str">
        <f>HYPERLINK(CONCATENATE($AT$4,BK1274,$AU$4,BL1274),$AV$4)</f>
        <v>A</v>
      </c>
      <c r="D1274" s="243" t="s">
        <v>5638</v>
      </c>
      <c r="E1274" s="244" t="s">
        <v>13</v>
      </c>
      <c r="F1274" s="269"/>
      <c r="G1274" s="276">
        <v>12</v>
      </c>
      <c r="H1274" s="289">
        <v>1</v>
      </c>
      <c r="I1274" s="279">
        <v>3.6</v>
      </c>
      <c r="J1274" s="246">
        <v>1</v>
      </c>
      <c r="K1274" s="247" t="s">
        <v>4846</v>
      </c>
      <c r="L1274" s="248">
        <v>100830</v>
      </c>
      <c r="M1274" s="249">
        <f>15*(LEFT(TEXT($L1274,"000000"),2)+(MID(TEXT($L1274,"000000"),3,2)/60)+(RIGHT(TEXT($L1274,"000000"),2)/3600))</f>
        <v>152.125</v>
      </c>
      <c r="N1274" s="250">
        <v>121800</v>
      </c>
      <c r="O1274" s="251">
        <f>IF($N1274&gt;0,(LEFT(TEXT($N1274,"000000"),2)+(MID(TEXT($N1274,"000000"),3,2)/60)+(RIGHT(TEXT($N1274,"000000"),2)/3600)),-(MID(TEXT($N1274,"000000"),2,2)+(MID(TEXT($N1274,"000000"),4,2)/60)+(RIGHT(TEXT($N1274,"000000"),2)/3600)))</f>
        <v>12.3</v>
      </c>
      <c r="P1274" s="252" t="s">
        <v>183</v>
      </c>
      <c r="Q1274" s="253"/>
      <c r="R1274" s="247" t="s">
        <v>3293</v>
      </c>
      <c r="S1274" s="272" t="s">
        <v>3293</v>
      </c>
      <c r="T1274" s="273"/>
      <c r="U1274" s="274"/>
      <c r="V1274" s="280"/>
      <c r="W1274" s="244"/>
      <c r="X1274" s="244"/>
      <c r="Y1274" s="362"/>
      <c r="Z1274" s="257">
        <f>altaz(J2000_Bas,$O1274,$M1274,DecLat,DecLong,1)</f>
        <v>-28.083881770176564</v>
      </c>
      <c r="AA1274" s="257">
        <f>altaz((J2000_Bas+(2*0.04167)),$O1274,$M1274,DecLat,DecLong,1)</f>
        <v>-44.041336877545078</v>
      </c>
      <c r="AB1274" s="257">
        <f>altaz((J2000_Bas+(4*0.04167)),$O1274,$M1274,DecLat,DecLong,1)</f>
        <v>-44.646462384982378</v>
      </c>
      <c r="AC1274" s="257">
        <f>altaz((J2000_Bas+(6*0.04167)),$O1274,$M1274,DecLat,DecLong,1)</f>
        <v>-29.431842945634564</v>
      </c>
      <c r="AD1274" s="258">
        <f>1+ transit((J2000_Bas-1),$O1274,$M1274,DecLat,DecLong)/360 + (GMTOffset/24) + (IF(DST="Y", 1, 0)/24)</f>
        <v>1.4154693628172079</v>
      </c>
      <c r="AE1274" s="259">
        <f>DATE(2001,9,21)+(M1274/360)*365 - (360*((DecLong/360)- (GMTOffset/24) ))</f>
        <v>37314.237847222219</v>
      </c>
      <c r="AF1274" s="260">
        <f>IF(DecLat&gt;0,IF((90 - (DecLat-O1274))&gt;90, (90 - (O1274-DecLat)), (90 - (DecLat-O1274))),IF((90 + (DecLat-O1274))&gt;90, (90 + (O1274-DecLat)), (90 + (DecLat-O1274))))</f>
        <v>71.3</v>
      </c>
      <c r="AG1274" s="257">
        <f>angularseperation(MoonRA,MoonDec,$M1274,$O1274)</f>
        <v>101.81593161861916</v>
      </c>
      <c r="AH1274" s="261">
        <f ca="1">MIN(100,IF($O$5&gt;80,0+30*($AG1274/100),IF($O$5&gt;70,0+50*($AG1274/100),IF($O$5&gt;60,5+50*($AG1274/100),IF($O$5&gt;50,10+60*($AG1274/100),IF($O$5&gt;40,15+70*($AG1274/100),IF($O$5&gt;30,20+70*($AG1274/100),IF($O$5&gt;20,40+55*($AG1274/100),(80+(20-$O$5)+30*($AG1274/100))))))))))</f>
        <v>100</v>
      </c>
      <c r="AI1274" s="262"/>
      <c r="AJ1274" s="262"/>
      <c r="AK1274" s="262"/>
      <c r="AL1274" s="263"/>
      <c r="AM1274" s="264"/>
      <c r="AN1274" s="263"/>
      <c r="AO1274" s="263"/>
      <c r="AP1274" s="265"/>
      <c r="AQ1274" s="266"/>
      <c r="AR1274" s="267"/>
      <c r="AS1274" s="263"/>
      <c r="AT1274" s="263"/>
      <c r="AU1274" s="263"/>
      <c r="AV1274" s="264"/>
      <c r="AW1274" s="263"/>
      <c r="AX1274" s="263"/>
      <c r="AY1274" s="263"/>
      <c r="AZ1274" s="263"/>
      <c r="BA1274" s="263"/>
      <c r="BB1274" s="263"/>
      <c r="BC1274" s="263"/>
      <c r="BD1274" s="264"/>
      <c r="BE1274" s="263"/>
      <c r="BF1274" s="263"/>
      <c r="BG1274" s="263"/>
      <c r="BH1274" s="263"/>
      <c r="BI1274" s="263"/>
      <c r="BJ1274" s="404">
        <f>altaz(J2000_Bas,$O1274,$M1274,DecLat,DecLong,2)</f>
        <v>307.03536564963048</v>
      </c>
      <c r="BK1274" s="378" t="s">
        <v>4847</v>
      </c>
      <c r="BL1274" s="379">
        <f>IF((2*G1274)/60&lt;0.2,0.2,(2*G1274)/60)</f>
        <v>0.4</v>
      </c>
      <c r="BM1274" s="380">
        <f>MOD((50000+AD1274-$B$3+(0/24)),1)</f>
        <v>0.63083629251923412</v>
      </c>
      <c r="BN1274" s="381" t="s">
        <v>9235</v>
      </c>
      <c r="BO1274" s="382">
        <v>1267</v>
      </c>
    </row>
    <row r="1275" spans="1:67" s="24" customFormat="1" ht="15" customHeight="1" x14ac:dyDescent="0.25">
      <c r="A1275" s="288" t="s">
        <v>1317</v>
      </c>
      <c r="B1275" s="241" t="str">
        <f>HYPERLINK(CONCATENATE($AT$3,BK1275,$AU$3),$AV$3)</f>
        <v>S</v>
      </c>
      <c r="C1275" s="242" t="str">
        <f>HYPERLINK(CONCATENATE($AT$4,BK1275,$AU$4,BL1275),$AV$4)</f>
        <v>A</v>
      </c>
      <c r="D1275" s="243" t="s">
        <v>5187</v>
      </c>
      <c r="E1275" s="244" t="s">
        <v>5186</v>
      </c>
      <c r="F1275" s="269"/>
      <c r="G1275" s="273">
        <v>1.5</v>
      </c>
      <c r="H1275" s="283">
        <v>2000</v>
      </c>
      <c r="I1275" s="309">
        <v>0.9</v>
      </c>
      <c r="J1275" s="246">
        <v>2</v>
      </c>
      <c r="K1275" s="247" t="s">
        <v>4867</v>
      </c>
      <c r="L1275" s="248">
        <v>210109</v>
      </c>
      <c r="M1275" s="249">
        <f>15*(LEFT(TEXT($L1275,"000000"),2)+(MID(TEXT($L1275,"000000"),3,2)/60)+(RIGHT(TEXT($L1275,"000000"),2)/3600))</f>
        <v>315.28750000000002</v>
      </c>
      <c r="N1275" s="250">
        <v>502146</v>
      </c>
      <c r="O1275" s="251">
        <f>IF($N1275&gt;0,(LEFT(TEXT($N1275,"000000"),2)+(MID(TEXT($N1275,"000000"),3,2)/60)+(RIGHT(TEXT($N1275,"000000"),2)/3600)),-(MID(TEXT($N1275,"000000"),2,2)+(MID(TEXT($N1275,"000000"),4,2)/60)+(RIGHT(TEXT($N1275,"000000"),2)/3600)))</f>
        <v>50.362777777777779</v>
      </c>
      <c r="P1275" s="323" t="s">
        <v>60</v>
      </c>
      <c r="Q1275" s="253"/>
      <c r="R1275" s="247" t="s">
        <v>3293</v>
      </c>
      <c r="S1275" s="272" t="s">
        <v>3293</v>
      </c>
      <c r="T1275" s="273"/>
      <c r="U1275" s="324"/>
      <c r="V1275" s="280"/>
      <c r="W1275" s="244"/>
      <c r="X1275" s="244"/>
      <c r="Y1275" s="362"/>
      <c r="Z1275" s="257">
        <f>altaz(J2000_Bas,$O1275,$M1275,DecLat,DecLong,1)</f>
        <v>60.874459160971696</v>
      </c>
      <c r="AA1275" s="257">
        <f>altaz((J2000_Bas+(2*0.04167)),$O1275,$M1275,DecLat,DecLong,1)</f>
        <v>70.628020870861121</v>
      </c>
      <c r="AB1275" s="257">
        <f>altaz((J2000_Bas+(4*0.04167)),$O1275,$M1275,DecLat,DecLong,1)</f>
        <v>59.986131828781794</v>
      </c>
      <c r="AC1275" s="257">
        <f>altaz((J2000_Bas+(6*0.04167)),$O1275,$M1275,DecLat,DecLong,1)</f>
        <v>41.451725755867386</v>
      </c>
      <c r="AD1275" s="258">
        <f>1+ transit((J2000_Bas-1),$O1275,$M1275,DecLat,DecLong)/360 + (GMTOffset/24) + (IF(DST="Y", 1, 0)/24)</f>
        <v>1.868698484160958</v>
      </c>
      <c r="AE1275" s="259">
        <f>DATE(2001,9,21)+(M1275/360)*365 - (360*((DecLong/360)- (GMTOffset/24) ))</f>
        <v>37479.666493055556</v>
      </c>
      <c r="AF1275" s="260">
        <f>IF(DecLat&gt;0,IF((90 - (DecLat-O1275))&gt;90, (90 - (O1275-DecLat)), (90 - (DecLat-O1275))),IF((90 + (DecLat-O1275))&gt;90, (90 + (O1275-DecLat)), (90 + (DecLat-O1275))))</f>
        <v>70.637222222222221</v>
      </c>
      <c r="AG1275" s="257">
        <f>angularseperation(MoonRA,MoonDec,$M1275,$O1275)</f>
        <v>96.89345157724523</v>
      </c>
      <c r="AH1275" s="261">
        <f ca="1">MIN(100,IF($O$5&gt;80,0+30*($AG1275/100),IF($O$5&gt;70,0+50*($AG1275/100),IF($O$5&gt;60,5+50*($AG1275/100),IF($O$5&gt;50,10+60*($AG1275/100),IF($O$5&gt;40,15+70*($AG1275/100),IF($O$5&gt;30,20+70*($AG1275/100),IF($O$5&gt;20,40+55*($AG1275/100),(80+(20-$O$5)+30*($AG1275/100))))))))))</f>
        <v>100</v>
      </c>
      <c r="AI1275" s="262"/>
      <c r="AJ1275" s="262"/>
      <c r="AK1275" s="262"/>
      <c r="AL1275" s="263"/>
      <c r="AM1275" s="264"/>
      <c r="AN1275" s="263"/>
      <c r="AO1275" s="263"/>
      <c r="AP1275" s="265"/>
      <c r="AQ1275" s="266"/>
      <c r="AR1275" s="267"/>
      <c r="AS1275" s="263"/>
      <c r="AT1275" s="263"/>
      <c r="AU1275" s="263"/>
      <c r="AV1275" s="264"/>
      <c r="AW1275" s="263"/>
      <c r="AX1275" s="263"/>
      <c r="AY1275" s="263"/>
      <c r="AZ1275" s="263"/>
      <c r="BA1275" s="263"/>
      <c r="BB1275" s="263"/>
      <c r="BC1275" s="263"/>
      <c r="BD1275" s="264"/>
      <c r="BE1275" s="263"/>
      <c r="BF1275" s="263"/>
      <c r="BG1275" s="263"/>
      <c r="BH1275" s="263"/>
      <c r="BI1275" s="263"/>
      <c r="BJ1275" s="404">
        <f>altaz(J2000_Bas,$O1275,$M1275,DecLat,DecLong,2)</f>
        <v>39.874328069751158</v>
      </c>
      <c r="BK1275" s="378" t="s">
        <v>1317</v>
      </c>
      <c r="BL1275" s="379">
        <f>IF((2*G1275)/60&lt;0.2,0.2,(2*G1275)/60)</f>
        <v>0.2</v>
      </c>
      <c r="BM1275" s="380">
        <f>MOD((50000+AD1275-$B$3+(0/24)),1)</f>
        <v>8.4065413866483141E-2</v>
      </c>
      <c r="BN1275" s="381"/>
      <c r="BO1275" s="382">
        <v>1268</v>
      </c>
    </row>
    <row r="1276" spans="1:67" s="24" customFormat="1" ht="15" customHeight="1" x14ac:dyDescent="0.25">
      <c r="A1276" s="288" t="s">
        <v>1318</v>
      </c>
      <c r="B1276" s="241" t="str">
        <f>HYPERLINK(CONCATENATE($AT$3,BK1276,$AU$3),$AV$3)</f>
        <v>S</v>
      </c>
      <c r="C1276" s="242" t="str">
        <f>HYPERLINK(CONCATENATE($AT$4,BK1276,$AU$4,BL1276),$AV$4)</f>
        <v>A</v>
      </c>
      <c r="D1276" s="243" t="s">
        <v>5335</v>
      </c>
      <c r="E1276" s="244" t="s">
        <v>31</v>
      </c>
      <c r="F1276" s="269"/>
      <c r="G1276" s="273">
        <v>3</v>
      </c>
      <c r="H1276" s="283">
        <v>3300</v>
      </c>
      <c r="I1276" s="279">
        <v>3</v>
      </c>
      <c r="J1276" s="246">
        <v>2</v>
      </c>
      <c r="K1276" s="247" t="s">
        <v>5384</v>
      </c>
      <c r="L1276" s="248">
        <v>60750</v>
      </c>
      <c r="M1276" s="249">
        <f>15*(LEFT(TEXT($L1276,"000000"),2)+(MID(TEXT($L1276,"000000"),3,2)/60)+(RIGHT(TEXT($L1276,"000000"),2)/3600))</f>
        <v>91.958333333333329</v>
      </c>
      <c r="N1276" s="250">
        <v>183927</v>
      </c>
      <c r="O1276" s="251">
        <f>IF($N1276&gt;0,(LEFT(TEXT($N1276,"000000"),2)+(MID(TEXT($N1276,"000000"),3,2)/60)+(RIGHT(TEXT($N1276,"000000"),2)/3600)),-(MID(TEXT($N1276,"000000"),2,2)+(MID(TEXT($N1276,"000000"),4,2)/60)+(RIGHT(TEXT($N1276,"000000"),2)/3600)))</f>
        <v>18.657499999999999</v>
      </c>
      <c r="P1276" s="252" t="s">
        <v>41</v>
      </c>
      <c r="Q1276" s="253"/>
      <c r="R1276" s="253" t="s">
        <v>4868</v>
      </c>
      <c r="S1276" s="272" t="s">
        <v>3293</v>
      </c>
      <c r="T1276" s="273"/>
      <c r="U1276" s="274"/>
      <c r="V1276" s="280"/>
      <c r="W1276" s="244"/>
      <c r="X1276" s="244"/>
      <c r="Y1276" s="362"/>
      <c r="Z1276" s="257">
        <f>altaz(J2000_Bas,$O1276,$M1276,DecLat,DecLong,1)</f>
        <v>-38.54138299453804</v>
      </c>
      <c r="AA1276" s="257">
        <f>altaz((J2000_Bas+(2*0.04167)),$O1276,$M1276,DecLat,DecLong,1)</f>
        <v>-24.718169489742159</v>
      </c>
      <c r="AB1276" s="257">
        <f>altaz((J2000_Bas+(4*0.04167)),$O1276,$M1276,DecLat,DecLong,1)</f>
        <v>-3.2203485815026855</v>
      </c>
      <c r="AC1276" s="257">
        <f>altaz((J2000_Bas+(6*0.04167)),$O1276,$M1276,DecLat,DecLong,1)</f>
        <v>21.42793258852787</v>
      </c>
      <c r="AD1276" s="258">
        <f>1+ transit((J2000_Bas-1),$O1276,$M1276,DecLat,DecLong)/360 + (GMTOffset/24) + (IF(DST="Y", 1, 0)/24)</f>
        <v>1.2483397499005413</v>
      </c>
      <c r="AE1276" s="259">
        <f>DATE(2001,9,21)+(M1276/360)*365 - (360*((DecLong/360)- (GMTOffset/24) ))</f>
        <v>37253.235532407409</v>
      </c>
      <c r="AF1276" s="260">
        <f>IF(DecLat&gt;0,IF((90 - (DecLat-O1276))&gt;90, (90 - (O1276-DecLat)), (90 - (DecLat-O1276))),IF((90 + (DecLat-O1276))&gt;90, (90 + (O1276-DecLat)), (90 + (DecLat-O1276))))</f>
        <v>77.657499999999999</v>
      </c>
      <c r="AG1276" s="257">
        <f>angularseperation(MoonRA,MoonDec,$M1276,$O1276)</f>
        <v>157.48332210786856</v>
      </c>
      <c r="AH1276" s="261">
        <f ca="1">MIN(100,IF($O$5&gt;80,0+30*($AG1276/100),IF($O$5&gt;70,0+50*($AG1276/100),IF($O$5&gt;60,5+50*($AG1276/100),IF($O$5&gt;50,10+60*($AG1276/100),IF($O$5&gt;40,15+70*($AG1276/100),IF($O$5&gt;30,20+70*($AG1276/100),IF($O$5&gt;20,40+55*($AG1276/100),(80+(20-$O$5)+30*($AG1276/100))))))))))</f>
        <v>100</v>
      </c>
      <c r="AI1276" s="262"/>
      <c r="AJ1276" s="262"/>
      <c r="AK1276" s="262"/>
      <c r="AL1276" s="263"/>
      <c r="AM1276" s="264"/>
      <c r="AN1276" s="263"/>
      <c r="AO1276" s="263"/>
      <c r="AP1276" s="265"/>
      <c r="AQ1276" s="266"/>
      <c r="AR1276" s="267"/>
      <c r="AS1276" s="263"/>
      <c r="AT1276" s="263"/>
      <c r="AU1276" s="263"/>
      <c r="AV1276" s="264"/>
      <c r="AW1276" s="263"/>
      <c r="AX1276" s="263"/>
      <c r="AY1276" s="263"/>
      <c r="AZ1276" s="263"/>
      <c r="BA1276" s="263"/>
      <c r="BB1276" s="263"/>
      <c r="BC1276" s="263"/>
      <c r="BD1276" s="264"/>
      <c r="BE1276" s="263"/>
      <c r="BF1276" s="263"/>
      <c r="BG1276" s="263"/>
      <c r="BH1276" s="263"/>
      <c r="BI1276" s="263"/>
      <c r="BJ1276" s="404">
        <f>altaz(J2000_Bas,$O1276,$M1276,DecLat,DecLong,2)</f>
        <v>17.09485780539875</v>
      </c>
      <c r="BK1276" s="378" t="s">
        <v>1318</v>
      </c>
      <c r="BL1276" s="379">
        <f>IF((2*G1276)/60&lt;0.2,0.2,(2*G1276)/60)</f>
        <v>0.2</v>
      </c>
      <c r="BM1276" s="380">
        <f>MOD((50000+AD1276-$B$3+(0/24)),1)</f>
        <v>0.46370667960582068</v>
      </c>
      <c r="BN1276" s="381"/>
      <c r="BO1276" s="382">
        <v>1269</v>
      </c>
    </row>
    <row r="1277" spans="1:67" s="24" customFormat="1" ht="15" customHeight="1" x14ac:dyDescent="0.25">
      <c r="A1277" s="287" t="s">
        <v>5579</v>
      </c>
      <c r="B1277" s="241" t="str">
        <f>HYPERLINK(CONCATENATE($AT$3,BK1277,$AU$3),$AV$3)</f>
        <v>S</v>
      </c>
      <c r="C1277" s="242" t="str">
        <f>HYPERLINK(CONCATENATE($AT$4,BK1277,$AU$4,BL1277),$AV$4)</f>
        <v>A</v>
      </c>
      <c r="D1277" s="243" t="s">
        <v>5638</v>
      </c>
      <c r="E1277" s="244" t="s">
        <v>3259</v>
      </c>
      <c r="F1277" s="269"/>
      <c r="G1277" s="276">
        <v>600</v>
      </c>
      <c r="H1277" s="325">
        <v>0.16</v>
      </c>
      <c r="I1277" s="246">
        <v>28</v>
      </c>
      <c r="J1277" s="246">
        <v>5</v>
      </c>
      <c r="K1277" s="247" t="s">
        <v>5580</v>
      </c>
      <c r="L1277" s="248">
        <v>51827</v>
      </c>
      <c r="M1277" s="249">
        <f>15*(LEFT(TEXT($L1277,"000000"),2)+(MID(TEXT($L1277,"000000"),3,2)/60)+(RIGHT(TEXT($L1277,"000000"),2)/3600))</f>
        <v>79.612499999999997</v>
      </c>
      <c r="N1277" s="250">
        <v>-691300</v>
      </c>
      <c r="O1277" s="251">
        <f>IF($N1277&gt;0,(LEFT(TEXT($N1277,"000000"),2)+(MID(TEXT($N1277,"000000"),3,2)/60)+(RIGHT(TEXT($N1277,"000000"),2)/3600)),-(MID(TEXT($N1277,"000000"),2,2)+(MID(TEXT($N1277,"000000"),4,2)/60)+(RIGHT(TEXT($N1277,"000000"),2)/3600)))</f>
        <v>-69.216666666666669</v>
      </c>
      <c r="P1277" s="252" t="s">
        <v>1697</v>
      </c>
      <c r="Q1277" s="253"/>
      <c r="R1277" s="277" t="s">
        <v>3293</v>
      </c>
      <c r="S1277" s="272" t="s">
        <v>5581</v>
      </c>
      <c r="T1277" s="273">
        <v>0.1</v>
      </c>
      <c r="U1277" s="274"/>
      <c r="V1277" s="280"/>
      <c r="W1277" s="244"/>
      <c r="X1277" s="244"/>
      <c r="Y1277" s="362"/>
      <c r="Z1277" s="257">
        <f>altaz(J2000_Bas,$O1277,$M1277,DecLat,DecLong,1)</f>
        <v>-48.936384555943327</v>
      </c>
      <c r="AA1277" s="257">
        <f>altaz((J2000_Bas+(2*0.04167)),$O1277,$M1277,DecLat,DecLong,1)</f>
        <v>-40.504621503371169</v>
      </c>
      <c r="AB1277" s="257">
        <f>altaz((J2000_Bas+(4*0.04167)),$O1277,$M1277,DecLat,DecLong,1)</f>
        <v>-29.985335511704069</v>
      </c>
      <c r="AC1277" s="257">
        <f>altaz((J2000_Bas+(6*0.04167)),$O1277,$M1277,DecLat,DecLong,1)</f>
        <v>-20.18967521684776</v>
      </c>
      <c r="AD1277" s="258">
        <f>1+ transit((J2000_Bas-1),$O1277,$M1277,DecLat,DecLong)/360 + (GMTOffset/24) + (IF(DST="Y", 1, 0)/24)</f>
        <v>1.2140457718484581</v>
      </c>
      <c r="AE1277" s="259">
        <f>DATE(2001,9,21)+(M1277/360)*365 - (360*((DecLong/360)- (GMTOffset/24) ))</f>
        <v>37240.718229166669</v>
      </c>
      <c r="AF1277" s="260">
        <f>IF(DecLat&gt;0,IF((90 - (DecLat-O1277))&gt;90, (90 - (O1277-DecLat)), (90 - (DecLat-O1277))),IF((90 + (DecLat-O1277))&gt;90, (90 + (O1277-DecLat)), (90 + (DecLat-O1277))))</f>
        <v>-10.216666666666669</v>
      </c>
      <c r="AG1277" s="257">
        <f>angularseperation(MoonRA,MoonDec,$M1277,$O1277)</f>
        <v>83.401657363205715</v>
      </c>
      <c r="AH1277" s="261">
        <f ca="1">MIN(100,IF($O$5&gt;80,0+30*($AG1277/100),IF($O$5&gt;70,0+50*($AG1277/100),IF($O$5&gt;60,5+50*($AG1277/100),IF($O$5&gt;50,10+60*($AG1277/100),IF($O$5&gt;40,15+70*($AG1277/100),IF($O$5&gt;30,20+70*($AG1277/100),IF($O$5&gt;20,40+55*($AG1277/100),(80+(20-$O$5)+30*($AG1277/100))))))))))</f>
        <v>100</v>
      </c>
      <c r="AI1277" s="263"/>
      <c r="AJ1277" s="263"/>
      <c r="AK1277" s="263"/>
      <c r="AL1277" s="263"/>
      <c r="AM1277" s="264"/>
      <c r="AN1277" s="263"/>
      <c r="AO1277" s="263"/>
      <c r="AP1277" s="265"/>
      <c r="AQ1277" s="265"/>
      <c r="AR1277" s="285"/>
      <c r="AS1277" s="263"/>
      <c r="AT1277" s="263"/>
      <c r="AU1277" s="263"/>
      <c r="AV1277" s="264"/>
      <c r="AW1277" s="263"/>
      <c r="AX1277" s="263"/>
      <c r="AY1277" s="263"/>
      <c r="AZ1277" s="263"/>
      <c r="BA1277" s="263"/>
      <c r="BB1277" s="263"/>
      <c r="BC1277" s="263"/>
      <c r="BD1277" s="264"/>
      <c r="BE1277" s="263"/>
      <c r="BF1277" s="263"/>
      <c r="BG1277" s="263"/>
      <c r="BH1277" s="263"/>
      <c r="BI1277" s="263"/>
      <c r="BJ1277" s="404">
        <f>altaz(J2000_Bas,$O1277,$M1277,DecLat,DecLong,2)</f>
        <v>166.10787254380389</v>
      </c>
      <c r="BK1277" s="378" t="s">
        <v>5579</v>
      </c>
      <c r="BL1277" s="379">
        <f>IF((2*G1277)/60&lt;0.2,0.2,(2*G1277)/60)</f>
        <v>20</v>
      </c>
      <c r="BM1277" s="380">
        <f>MOD((50000+AD1277-$B$3+(0/24)),1)</f>
        <v>0.42941270155279199</v>
      </c>
      <c r="BN1277" s="381" t="s">
        <v>9235</v>
      </c>
      <c r="BO1277" s="382">
        <v>1270</v>
      </c>
    </row>
    <row r="1278" spans="1:67" s="24" customFormat="1" ht="15" customHeight="1" x14ac:dyDescent="0.25">
      <c r="A1278" s="287" t="s">
        <v>1319</v>
      </c>
      <c r="B1278" s="241" t="str">
        <f>HYPERLINK(CONCATENATE($AT$3,BK1278,$AU$3),$AV$3)</f>
        <v>S</v>
      </c>
      <c r="C1278" s="242" t="str">
        <f>HYPERLINK(CONCATENATE($AT$4,BK1278,$AU$4,BL1278),$AV$4)</f>
        <v>A</v>
      </c>
      <c r="D1278" s="243" t="s">
        <v>5187</v>
      </c>
      <c r="E1278" s="244" t="s">
        <v>5181</v>
      </c>
      <c r="F1278" s="269" t="s">
        <v>4794</v>
      </c>
      <c r="G1278" s="273">
        <v>1.2</v>
      </c>
      <c r="H1278" s="283">
        <v>5500</v>
      </c>
      <c r="I1278" s="279">
        <v>2</v>
      </c>
      <c r="J1278" s="246">
        <v>2</v>
      </c>
      <c r="K1278" s="247" t="s">
        <v>6205</v>
      </c>
      <c r="L1278" s="248">
        <v>160946</v>
      </c>
      <c r="M1278" s="249">
        <f>15*(LEFT(TEXT($L1278,"000000"),2)+(MID(TEXT($L1278,"000000"),3,2)/60)+(RIGHT(TEXT($L1278,"000000"),2)/3600))</f>
        <v>242.44166666666666</v>
      </c>
      <c r="N1278" s="250">
        <v>-305506</v>
      </c>
      <c r="O1278" s="251">
        <f>IF($N1278&gt;0,(LEFT(TEXT($N1278,"000000"),2)+(MID(TEXT($N1278,"000000"),3,2)/60)+(RIGHT(TEXT($N1278,"000000"),2)/3600)),-(MID(TEXT($N1278,"000000"),2,2)+(MID(TEXT($N1278,"000000"),4,2)/60)+(RIGHT(TEXT($N1278,"000000"),2)/3600)))</f>
        <v>-30.918333333333333</v>
      </c>
      <c r="P1278" s="252" t="s">
        <v>109</v>
      </c>
      <c r="Q1278" s="253"/>
      <c r="R1278" s="277" t="s">
        <v>6209</v>
      </c>
      <c r="S1278" s="272" t="s">
        <v>3293</v>
      </c>
      <c r="T1278" s="273">
        <v>15</v>
      </c>
      <c r="U1278" s="274"/>
      <c r="V1278" s="280"/>
      <c r="W1278" s="244"/>
      <c r="X1278" s="244"/>
      <c r="Y1278" s="362"/>
      <c r="Z1278" s="257">
        <f>altaz(J2000_Bas,$O1278,$M1278,DecLat,DecLong,1)</f>
        <v>15.559613828615111</v>
      </c>
      <c r="AA1278" s="257">
        <f>altaz((J2000_Bas+(2*0.04167)),$O1278,$M1278,DecLat,DecLong,1)</f>
        <v>-3.3004114760005865</v>
      </c>
      <c r="AB1278" s="257">
        <f>altaz((J2000_Bas+(4*0.04167)),$O1278,$M1278,DecLat,DecLong,1)</f>
        <v>-26.051042029340724</v>
      </c>
      <c r="AC1278" s="257">
        <f>altaz((J2000_Bas+(6*0.04167)),$O1278,$M1278,DecLat,DecLong,1)</f>
        <v>-50.69158906941302</v>
      </c>
      <c r="AD1278" s="258">
        <f>1+ transit((J2000_Bas-1),$O1278,$M1278,DecLat,DecLong)/360 + (GMTOffset/24) + (IF(DST="Y", 1, 0)/24)</f>
        <v>1.6663489673588747</v>
      </c>
      <c r="AE1278" s="259">
        <f>DATE(2001,9,21)+(M1278/360)*365 - (360*((DecLong/360)- (GMTOffset/24) ))</f>
        <v>37405.808912037035</v>
      </c>
      <c r="AF1278" s="260">
        <f>IF(DecLat&gt;0,IF((90 - (DecLat-O1278))&gt;90, (90 - (O1278-DecLat)), (90 - (DecLat-O1278))),IF((90 + (DecLat-O1278))&gt;90, (90 + (O1278-DecLat)), (90 + (DecLat-O1278))))</f>
        <v>28.081666666666663</v>
      </c>
      <c r="AG1278" s="257">
        <f>angularseperation(MoonRA,MoonDec,$M1278,$O1278)</f>
        <v>7.0738747176390007</v>
      </c>
      <c r="AH1278" s="261">
        <f ca="1">MIN(100,IF($O$5&gt;80,0+30*($AG1278/100),IF($O$5&gt;70,0+50*($AG1278/100),IF($O$5&gt;60,5+50*($AG1278/100),IF($O$5&gt;50,10+60*($AG1278/100),IF($O$5&gt;40,15+70*($AG1278/100),IF($O$5&gt;30,20+70*($AG1278/100),IF($O$5&gt;20,40+55*($AG1278/100),(80+(20-$O$5)+30*($AG1278/100))))))))))</f>
        <v>85.393222759442125</v>
      </c>
      <c r="AI1278" s="263"/>
      <c r="AJ1278" s="263"/>
      <c r="AK1278" s="263"/>
      <c r="AL1278" s="263"/>
      <c r="AM1278" s="264"/>
      <c r="AN1278" s="263"/>
      <c r="AO1278" s="263"/>
      <c r="AP1278" s="265"/>
      <c r="AQ1278" s="265"/>
      <c r="AR1278" s="285"/>
      <c r="AS1278" s="263"/>
      <c r="AT1278" s="263"/>
      <c r="AU1278" s="263"/>
      <c r="AV1278" s="264"/>
      <c r="AW1278" s="263"/>
      <c r="AX1278" s="263"/>
      <c r="AY1278" s="263"/>
      <c r="AZ1278" s="263"/>
      <c r="BA1278" s="263"/>
      <c r="BB1278" s="263"/>
      <c r="BC1278" s="263"/>
      <c r="BD1278" s="264"/>
      <c r="BE1278" s="263"/>
      <c r="BF1278" s="263"/>
      <c r="BG1278" s="263"/>
      <c r="BH1278" s="263"/>
      <c r="BI1278" s="263"/>
      <c r="BJ1278" s="404">
        <f>altaz(J2000_Bas,$O1278,$M1278,DecLat,DecLong,2)</f>
        <v>217.85695399778649</v>
      </c>
      <c r="BK1278" s="378" t="s">
        <v>5069</v>
      </c>
      <c r="BL1278" s="379">
        <f>IF((2*G1278)/60&lt;0.2,0.2,(2*G1278)/60)</f>
        <v>0.2</v>
      </c>
      <c r="BM1278" s="380">
        <f>MOD((50000+AD1278-$B$3+(0/24)),1)</f>
        <v>0.88171589706325904</v>
      </c>
      <c r="BN1278" s="381"/>
      <c r="BO1278" s="382">
        <v>1271</v>
      </c>
    </row>
    <row r="1279" spans="1:67" s="24" customFormat="1" ht="15" customHeight="1" x14ac:dyDescent="0.25">
      <c r="A1279" s="287" t="s">
        <v>6206</v>
      </c>
      <c r="B1279" s="241" t="str">
        <f>HYPERLINK(CONCATENATE($AT$3,BK1279,$AU$3),$AV$3)</f>
        <v>S</v>
      </c>
      <c r="C1279" s="242" t="str">
        <f>HYPERLINK(CONCATENATE($AT$4,BK1279,$AU$4,BL1279),$AV$4)</f>
        <v>A</v>
      </c>
      <c r="D1279" s="243" t="s">
        <v>5187</v>
      </c>
      <c r="E1279" s="244" t="s">
        <v>5181</v>
      </c>
      <c r="F1279" s="269" t="s">
        <v>4797</v>
      </c>
      <c r="G1279" s="273">
        <v>1</v>
      </c>
      <c r="H1279" s="271" t="s">
        <v>6500</v>
      </c>
      <c r="I1279" s="244" t="s">
        <v>6500</v>
      </c>
      <c r="J1279" s="246">
        <v>2</v>
      </c>
      <c r="K1279" s="247" t="s">
        <v>6207</v>
      </c>
      <c r="L1279" s="248">
        <v>190948</v>
      </c>
      <c r="M1279" s="249">
        <f>15*(LEFT(TEXT($L1279,"000000"),2)+(MID(TEXT($L1279,"000000"),3,2)/60)+(RIGHT(TEXT($L1279,"000000"),2)/3600))</f>
        <v>287.44999999999993</v>
      </c>
      <c r="N1279" s="250">
        <v>-553510</v>
      </c>
      <c r="O1279" s="251">
        <f>IF($N1279&gt;0,(LEFT(TEXT($N1279,"000000"),2)+(MID(TEXT($N1279,"000000"),3,2)/60)+(RIGHT(TEXT($N1279,"000000"),2)/3600)),-(MID(TEXT($N1279,"000000"),2,2)+(MID(TEXT($N1279,"000000"),4,2)/60)+(RIGHT(TEXT($N1279,"000000"),2)/3600)))</f>
        <v>-55.586111111111116</v>
      </c>
      <c r="P1279" s="252" t="s">
        <v>2258</v>
      </c>
      <c r="Q1279" s="253"/>
      <c r="R1279" s="277" t="s">
        <v>6210</v>
      </c>
      <c r="S1279" s="272" t="s">
        <v>3293</v>
      </c>
      <c r="T1279" s="273"/>
      <c r="U1279" s="274"/>
      <c r="V1279" s="280"/>
      <c r="W1279" s="244"/>
      <c r="X1279" s="244"/>
      <c r="Y1279" s="362"/>
      <c r="Z1279" s="257">
        <f>altaz(J2000_Bas,$O1279,$M1279,DecLat,DecLong,1)</f>
        <v>3.4050173901707259</v>
      </c>
      <c r="AA1279" s="257">
        <f>altaz((J2000_Bas+(2*0.04167)),$O1279,$M1279,DecLat,DecLong,1)</f>
        <v>1.6476207815069189E-2</v>
      </c>
      <c r="AB1279" s="257">
        <f>altaz((J2000_Bas+(4*0.04167)),$O1279,$M1279,DecLat,DecLong,1)</f>
        <v>-9.9840482463690297</v>
      </c>
      <c r="AC1279" s="257">
        <f>altaz((J2000_Bas+(6*0.04167)),$O1279,$M1279,DecLat,DecLong,1)</f>
        <v>-24.506836952341388</v>
      </c>
      <c r="AD1279" s="258">
        <f>1+ transit((J2000_Bas-1),$O1279,$M1279,DecLat,DecLong)/360 + (GMTOffset/24) + (IF(DST="Y", 1, 0)/24)</f>
        <v>1.7913721030047078</v>
      </c>
      <c r="AE1279" s="259">
        <f>DATE(2001,9,21)+(M1279/360)*365 - (360*((DecLong/360)- (GMTOffset/24) ))</f>
        <v>37451.442361111112</v>
      </c>
      <c r="AF1279" s="260">
        <f>IF(DecLat&gt;0,IF((90 - (DecLat-O1279))&gt;90, (90 - (O1279-DecLat)), (90 - (DecLat-O1279))),IF((90 + (DecLat-O1279))&gt;90, (90 + (O1279-DecLat)), (90 + (DecLat-O1279))))</f>
        <v>3.4138888888888914</v>
      </c>
      <c r="AG1279" s="257">
        <f>angularseperation(MoonRA,MoonDec,$M1279,$O1279)</f>
        <v>39.556080205576727</v>
      </c>
      <c r="AH1279" s="261">
        <f ca="1">MIN(100,IF($O$5&gt;80,0+30*($AG1279/100),IF($O$5&gt;70,0+50*($AG1279/100),IF($O$5&gt;60,5+50*($AG1279/100),IF($O$5&gt;50,10+60*($AG1279/100),IF($O$5&gt;40,15+70*($AG1279/100),IF($O$5&gt;30,20+70*($AG1279/100),IF($O$5&gt;20,40+55*($AG1279/100),(80+(20-$O$5)+30*($AG1279/100))))))))))</f>
        <v>95.137884405823442</v>
      </c>
      <c r="AI1279" s="263"/>
      <c r="AJ1279" s="263"/>
      <c r="AK1279" s="263"/>
      <c r="AL1279" s="263"/>
      <c r="AM1279" s="264"/>
      <c r="AN1279" s="263"/>
      <c r="AO1279" s="263"/>
      <c r="AP1279" s="265"/>
      <c r="AQ1279" s="265"/>
      <c r="AR1279" s="285"/>
      <c r="AS1279" s="263"/>
      <c r="AT1279" s="263"/>
      <c r="AU1279" s="263"/>
      <c r="AV1279" s="264"/>
      <c r="AW1279" s="263"/>
      <c r="AX1279" s="263"/>
      <c r="AY1279" s="263"/>
      <c r="AZ1279" s="263"/>
      <c r="BA1279" s="263"/>
      <c r="BB1279" s="263"/>
      <c r="BC1279" s="263"/>
      <c r="BD1279" s="264"/>
      <c r="BE1279" s="263"/>
      <c r="BF1279" s="263"/>
      <c r="BG1279" s="263"/>
      <c r="BH1279" s="263"/>
      <c r="BI1279" s="263"/>
      <c r="BJ1279" s="404">
        <f>altaz(J2000_Bas,$O1279,$M1279,DecLat,DecLong,2)</f>
        <v>179.18060510388861</v>
      </c>
      <c r="BK1279" s="378" t="s">
        <v>6208</v>
      </c>
      <c r="BL1279" s="379">
        <f>IF((2*G1279)/60&lt;0.2,0.2,(2*G1279)/60)</f>
        <v>0.2</v>
      </c>
      <c r="BM1279" s="380">
        <f>MOD((50000+AD1279-$B$3+(0/24)),1)</f>
        <v>6.7390327094472013E-3</v>
      </c>
      <c r="BN1279" s="381"/>
      <c r="BO1279" s="382">
        <v>1272</v>
      </c>
    </row>
    <row r="1280" spans="1:67" s="24" customFormat="1" ht="15" customHeight="1" x14ac:dyDescent="0.25">
      <c r="A1280" s="288" t="s">
        <v>1320</v>
      </c>
      <c r="B1280" s="241" t="str">
        <f>HYPERLINK(CONCATENATE($AT$3,BK1280,$AU$3),$AV$3)</f>
        <v>S</v>
      </c>
      <c r="C1280" s="242" t="str">
        <f>HYPERLINK(CONCATENATE($AT$4,BK1280,$AU$4,BL1280),$AV$4)</f>
        <v>A</v>
      </c>
      <c r="D1280" s="243" t="s">
        <v>5187</v>
      </c>
      <c r="E1280" s="244" t="s">
        <v>5181</v>
      </c>
      <c r="F1280" s="269" t="s">
        <v>5748</v>
      </c>
      <c r="G1280" s="273">
        <v>9</v>
      </c>
      <c r="H1280" s="283">
        <v>1600</v>
      </c>
      <c r="I1280" s="279">
        <v>4.2</v>
      </c>
      <c r="J1280" s="246">
        <v>2</v>
      </c>
      <c r="K1280" s="247" t="s">
        <v>4869</v>
      </c>
      <c r="L1280" s="248">
        <v>125600</v>
      </c>
      <c r="M1280" s="249">
        <f>15*(LEFT(TEXT($L1280,"000000"),2)+(MID(TEXT($L1280,"000000"),3,2)/60)+(RIGHT(TEXT($L1280,"000000"),2)/3600))</f>
        <v>194</v>
      </c>
      <c r="N1280" s="250">
        <v>255300</v>
      </c>
      <c r="O1280" s="251">
        <f>IF($N1280&gt;0,(LEFT(TEXT($N1280,"000000"),2)+(MID(TEXT($N1280,"000000"),3,2)/60)+(RIGHT(TEXT($N1280,"000000"),2)/3600)),-(MID(TEXT($N1280,"000000"),2,2)+(MID(TEXT($N1280,"000000"),4,2)/60)+(RIGHT(TEXT($N1280,"000000"),2)/3600)))</f>
        <v>25.883333333333333</v>
      </c>
      <c r="P1280" s="252" t="s">
        <v>190</v>
      </c>
      <c r="Q1280" s="253"/>
      <c r="R1280" s="247" t="s">
        <v>3293</v>
      </c>
      <c r="S1280" s="272" t="s">
        <v>3293</v>
      </c>
      <c r="T1280" s="273"/>
      <c r="U1280" s="274"/>
      <c r="V1280" s="280"/>
      <c r="W1280" s="244"/>
      <c r="X1280" s="244"/>
      <c r="Y1280" s="362"/>
      <c r="Z1280" s="257">
        <f>altaz(J2000_Bas,$O1280,$M1280,DecLat,DecLong,1)</f>
        <v>11.413343494757639</v>
      </c>
      <c r="AA1280" s="257">
        <f>altaz((J2000_Bas+(2*0.04167)),$O1280,$M1280,DecLat,DecLong,1)</f>
        <v>-10.650819204586126</v>
      </c>
      <c r="AB1280" s="257">
        <f>altaz((J2000_Bas+(4*0.04167)),$O1280,$M1280,DecLat,DecLong,1)</f>
        <v>-27.203940171064328</v>
      </c>
      <c r="AC1280" s="257">
        <f>altaz((J2000_Bas+(6*0.04167)),$O1280,$M1280,DecLat,DecLong,1)</f>
        <v>-33.075777517880439</v>
      </c>
      <c r="AD1280" s="258">
        <f>1+ transit((J2000_Bas-1),$O1280,$M1280,DecLat,DecLong)/360 + (GMTOffset/24) + (IF(DST="Y", 1, 0)/24)</f>
        <v>1.531788795629708</v>
      </c>
      <c r="AE1280" s="259">
        <f>DATE(2001,9,21)+(M1280/360)*365 - (360*((DecLong/360)- (GMTOffset/24) ))</f>
        <v>37356.694444444445</v>
      </c>
      <c r="AF1280" s="260">
        <f>IF(DecLat&gt;0,IF((90 - (DecLat-O1280))&gt;90, (90 - (O1280-DecLat)), (90 - (DecLat-O1280))),IF((90 + (DecLat-O1280))&gt;90, (90 + (O1280-DecLat)), (90 + (DecLat-O1280))))</f>
        <v>84.883333333333326</v>
      </c>
      <c r="AG1280" s="257">
        <f>angularseperation(MoonRA,MoonDec,$M1280,$O1280)</f>
        <v>75.053401734847242</v>
      </c>
      <c r="AH1280" s="261">
        <f ca="1">MIN(100,IF($O$5&gt;80,0+30*($AG1280/100),IF($O$5&gt;70,0+50*($AG1280/100),IF($O$5&gt;60,5+50*($AG1280/100),IF($O$5&gt;50,10+60*($AG1280/100),IF($O$5&gt;40,15+70*($AG1280/100),IF($O$5&gt;30,20+70*($AG1280/100),IF($O$5&gt;20,40+55*($AG1280/100),(80+(20-$O$5)+30*($AG1280/100))))))))))</f>
        <v>100</v>
      </c>
      <c r="AI1280" s="262"/>
      <c r="AJ1280" s="262"/>
      <c r="AK1280" s="262"/>
      <c r="AL1280" s="263"/>
      <c r="AM1280" s="264"/>
      <c r="AN1280" s="263"/>
      <c r="AO1280" s="263"/>
      <c r="AP1280" s="265"/>
      <c r="AQ1280" s="266"/>
      <c r="AR1280" s="267"/>
      <c r="AS1280" s="263"/>
      <c r="AT1280" s="263"/>
      <c r="AU1280" s="263"/>
      <c r="AV1280" s="264"/>
      <c r="AW1280" s="263"/>
      <c r="AX1280" s="263"/>
      <c r="AY1280" s="263"/>
      <c r="AZ1280" s="263"/>
      <c r="BA1280" s="263"/>
      <c r="BB1280" s="263"/>
      <c r="BC1280" s="263"/>
      <c r="BD1280" s="264"/>
      <c r="BE1280" s="263"/>
      <c r="BF1280" s="263"/>
      <c r="BG1280" s="263"/>
      <c r="BH1280" s="263"/>
      <c r="BI1280" s="263"/>
      <c r="BJ1280" s="404">
        <f>altaz(J2000_Bas,$O1280,$M1280,DecLat,DecLong,2)</f>
        <v>293.46920059920876</v>
      </c>
      <c r="BK1280" s="378" t="s">
        <v>4123</v>
      </c>
      <c r="BL1280" s="379">
        <f>IF((2*G1280)/60&lt;0.2,0.2,(2*G1280)/60)</f>
        <v>0.3</v>
      </c>
      <c r="BM1280" s="380">
        <f>MOD((50000+AD1280-$B$3+(0/24)),1)</f>
        <v>0.74715572533023078</v>
      </c>
      <c r="BN1280" s="381" t="s">
        <v>8647</v>
      </c>
      <c r="BO1280" s="382">
        <v>1273</v>
      </c>
    </row>
    <row r="1281" spans="1:67" s="24" customFormat="1" ht="15" customHeight="1" x14ac:dyDescent="0.25">
      <c r="A1281" s="287" t="s">
        <v>1321</v>
      </c>
      <c r="B1281" s="241" t="str">
        <f>HYPERLINK(CONCATENATE($AT$3,BK1281,$AU$3),$AV$3)</f>
        <v>S</v>
      </c>
      <c r="C1281" s="242" t="str">
        <f>HYPERLINK(CONCATENATE($AT$4,BK1281,$AU$4,BL1281),$AV$4)</f>
        <v>A</v>
      </c>
      <c r="D1281" s="243" t="s">
        <v>5187</v>
      </c>
      <c r="E1281" s="244" t="s">
        <v>5181</v>
      </c>
      <c r="F1281" s="269" t="s">
        <v>6212</v>
      </c>
      <c r="G1281" s="273">
        <v>4</v>
      </c>
      <c r="H1281" s="283">
        <v>4750</v>
      </c>
      <c r="I1281" s="279">
        <v>5.2</v>
      </c>
      <c r="J1281" s="246">
        <v>2</v>
      </c>
      <c r="K1281" s="247" t="s">
        <v>6211</v>
      </c>
      <c r="L1281" s="248">
        <v>115738</v>
      </c>
      <c r="M1281" s="249">
        <f>15*(LEFT(TEXT($L1281,"000000"),2)+(MID(TEXT($L1281,"000000"),3,2)/60)+(RIGHT(TEXT($L1281,"000000"),2)/3600))</f>
        <v>179.40833333333333</v>
      </c>
      <c r="N1281" s="250">
        <v>485635</v>
      </c>
      <c r="O1281" s="251">
        <f>IF($N1281&gt;0,(LEFT(TEXT($N1281,"000000"),2)+(MID(TEXT($N1281,"000000"),3,2)/60)+(RIGHT(TEXT($N1281,"000000"),2)/3600)),-(MID(TEXT($N1281,"000000"),2,2)+(MID(TEXT($N1281,"000000"),4,2)/60)+(RIGHT(TEXT($N1281,"000000"),2)/3600)))</f>
        <v>48.943055555555553</v>
      </c>
      <c r="P1281" s="252" t="s">
        <v>37</v>
      </c>
      <c r="Q1281" s="253"/>
      <c r="R1281" s="277" t="s">
        <v>3293</v>
      </c>
      <c r="S1281" s="272" t="s">
        <v>3293</v>
      </c>
      <c r="T1281" s="273"/>
      <c r="U1281" s="274"/>
      <c r="V1281" s="280"/>
      <c r="W1281" s="244"/>
      <c r="X1281" s="244"/>
      <c r="Y1281" s="362"/>
      <c r="Z1281" s="257">
        <f>altaz(J2000_Bas,$O1281,$M1281,DecLat,DecLong,1)</f>
        <v>13.154682856524554</v>
      </c>
      <c r="AA1281" s="257">
        <f>altaz((J2000_Bas+(2*0.04167)),$O1281,$M1281,DecLat,DecLong,1)</f>
        <v>-1.216001673022741</v>
      </c>
      <c r="AB1281" s="257">
        <f>altaz((J2000_Bas+(4*0.04167)),$O1281,$M1281,DecLat,DecLong,1)</f>
        <v>-9.1877213418224457</v>
      </c>
      <c r="AC1281" s="257">
        <f>altaz((J2000_Bas+(6*0.04167)),$O1281,$M1281,DecLat,DecLong,1)</f>
        <v>-8.6536808864682495</v>
      </c>
      <c r="AD1281" s="258">
        <f>1+ transit((J2000_Bas-1),$O1281,$M1281,DecLat,DecLong)/360 + (GMTOffset/24) + (IF(DST="Y", 1, 0)/24)</f>
        <v>1.4912563922755413</v>
      </c>
      <c r="AE1281" s="259">
        <f>DATE(2001,9,21)+(M1281/360)*365 - (360*((DecLong/360)- (GMTOffset/24) ))</f>
        <v>37341.90011574074</v>
      </c>
      <c r="AF1281" s="260">
        <f>IF(DecLat&gt;0,IF((90 - (DecLat-O1281))&gt;90, (90 - (O1281-DecLat)), (90 - (DecLat-O1281))),IF((90 + (DecLat-O1281))&gt;90, (90 + (O1281-DecLat)), (90 + (DecLat-O1281))))</f>
        <v>72.05694444444444</v>
      </c>
      <c r="AG1281" s="257">
        <f>angularseperation(MoonRA,MoonDec,$M1281,$O1281)</f>
        <v>98.147260743618773</v>
      </c>
      <c r="AH1281" s="261">
        <f ca="1">MIN(100,IF($O$5&gt;80,0+30*($AG1281/100),IF($O$5&gt;70,0+50*($AG1281/100),IF($O$5&gt;60,5+50*($AG1281/100),IF($O$5&gt;50,10+60*($AG1281/100),IF($O$5&gt;40,15+70*($AG1281/100),IF($O$5&gt;30,20+70*($AG1281/100),IF($O$5&gt;20,40+55*($AG1281/100),(80+(20-$O$5)+30*($AG1281/100))))))))))</f>
        <v>100</v>
      </c>
      <c r="AI1281" s="263"/>
      <c r="AJ1281" s="263"/>
      <c r="AK1281" s="263"/>
      <c r="AL1281" s="263"/>
      <c r="AM1281" s="264"/>
      <c r="AN1281" s="263"/>
      <c r="AO1281" s="263"/>
      <c r="AP1281" s="265"/>
      <c r="AQ1281" s="265"/>
      <c r="AR1281" s="285"/>
      <c r="AS1281" s="263"/>
      <c r="AT1281" s="263"/>
      <c r="AU1281" s="263"/>
      <c r="AV1281" s="264"/>
      <c r="AW1281" s="263"/>
      <c r="AX1281" s="263"/>
      <c r="AY1281" s="263"/>
      <c r="AZ1281" s="263"/>
      <c r="BA1281" s="263"/>
      <c r="BB1281" s="263"/>
      <c r="BC1281" s="263"/>
      <c r="BD1281" s="264"/>
      <c r="BE1281" s="263"/>
      <c r="BF1281" s="263"/>
      <c r="BG1281" s="263"/>
      <c r="BH1281" s="263"/>
      <c r="BI1281" s="263"/>
      <c r="BJ1281" s="404">
        <f>altaz(J2000_Bas,$O1281,$M1281,DecLat,DecLong,2)</f>
        <v>319.72808686454067</v>
      </c>
      <c r="BK1281" s="378" t="s">
        <v>1321</v>
      </c>
      <c r="BL1281" s="379">
        <f>IF((2*G1281)/60&lt;0.2,0.2,(2*G1281)/60)</f>
        <v>0.2</v>
      </c>
      <c r="BM1281" s="380">
        <f>MOD((50000+AD1281-$B$3+(0/24)),1)</f>
        <v>0.70662332198116928</v>
      </c>
      <c r="BN1281" s="381"/>
      <c r="BO1281" s="382">
        <v>1274</v>
      </c>
    </row>
    <row r="1282" spans="1:67" s="24" customFormat="1" ht="15" customHeight="1" x14ac:dyDescent="0.25">
      <c r="A1282" s="288" t="s">
        <v>1322</v>
      </c>
      <c r="B1282" s="241" t="str">
        <f>HYPERLINK(CONCATENATE($AT$3,BK1282,$AU$3),$AV$3)</f>
        <v>S</v>
      </c>
      <c r="C1282" s="242" t="str">
        <f>HYPERLINK(CONCATENATE($AT$4,BK1282,$AU$4,BL1282),$AV$4)</f>
        <v>A</v>
      </c>
      <c r="D1282" s="243" t="s">
        <v>5187</v>
      </c>
      <c r="E1282" s="244" t="s">
        <v>16</v>
      </c>
      <c r="F1282" s="269"/>
      <c r="G1282" s="273">
        <v>7</v>
      </c>
      <c r="H1282" s="283">
        <v>6500</v>
      </c>
      <c r="I1282" s="246">
        <v>13</v>
      </c>
      <c r="J1282" s="246">
        <v>5</v>
      </c>
      <c r="K1282" s="247" t="s">
        <v>4825</v>
      </c>
      <c r="L1282" s="248">
        <v>53432</v>
      </c>
      <c r="M1282" s="249">
        <f>15*(LEFT(TEXT($L1282,"000000"),2)+(MID(TEXT($L1282,"000000"),3,2)/60)+(RIGHT(TEXT($L1282,"000000"),2)/3600))</f>
        <v>83.633333333333326</v>
      </c>
      <c r="N1282" s="250">
        <v>220052</v>
      </c>
      <c r="O1282" s="251">
        <f>IF($N1282&gt;0,(LEFT(TEXT($N1282,"000000"),2)+(MID(TEXT($N1282,"000000"),3,2)/60)+(RIGHT(TEXT($N1282,"000000"),2)/3600)),-(MID(TEXT($N1282,"000000"),2,2)+(MID(TEXT($N1282,"000000"),4,2)/60)+(RIGHT(TEXT($N1282,"000000"),2)/3600)))</f>
        <v>22.014444444444443</v>
      </c>
      <c r="P1282" s="252" t="s">
        <v>56</v>
      </c>
      <c r="Q1282" s="253" t="s">
        <v>6961</v>
      </c>
      <c r="R1282" s="247" t="s">
        <v>3489</v>
      </c>
      <c r="S1282" s="272" t="s">
        <v>3293</v>
      </c>
      <c r="T1282" s="273">
        <v>8.4</v>
      </c>
      <c r="U1282" s="274"/>
      <c r="V1282" s="280"/>
      <c r="W1282" s="244"/>
      <c r="X1282" s="244"/>
      <c r="Y1282" s="362"/>
      <c r="Z1282" s="257">
        <f>altaz(J2000_Bas,$O1282,$M1282,DecLat,DecLong,1)</f>
        <v>-32.807265508142621</v>
      </c>
      <c r="AA1282" s="257">
        <f>altaz((J2000_Bas+(2*0.04167)),$O1282,$M1282,DecLat,DecLong,1)</f>
        <v>-16.930747838616576</v>
      </c>
      <c r="AB1282" s="257">
        <f>altaz((J2000_Bas+(4*0.04167)),$O1282,$M1282,DecLat,DecLong,1)</f>
        <v>5.1555244469314534</v>
      </c>
      <c r="AC1282" s="257">
        <f>altaz((J2000_Bas+(6*0.04167)),$O1282,$M1282,DecLat,DecLong,1)</f>
        <v>29.916594624727352</v>
      </c>
      <c r="AD1282" s="258">
        <f>1+ transit((J2000_Bas-1),$O1282,$M1282,DecLat,DecLong)/360 + (GMTOffset/24) + (IF(DST="Y", 1, 0)/24)</f>
        <v>1.2252147522130412</v>
      </c>
      <c r="AE1282" s="259">
        <f>DATE(2001,9,21)+(M1282/360)*365 - (360*((DecLong/360)- (GMTOffset/24) ))</f>
        <v>37244.794907407406</v>
      </c>
      <c r="AF1282" s="260">
        <f>IF(DecLat&gt;0,IF((90 - (DecLat-O1282))&gt;90, (90 - (O1282-DecLat)), (90 - (DecLat-O1282))),IF((90 + (DecLat-O1282))&gt;90, (90 + (O1282-DecLat)), (90 + (DecLat-O1282))))</f>
        <v>81.01444444444445</v>
      </c>
      <c r="AG1282" s="257">
        <f>angularseperation(MoonRA,MoonDec,$M1282,$O1282)</f>
        <v>165.97416127064409</v>
      </c>
      <c r="AH1282" s="261">
        <f ca="1">MIN(100,IF($O$5&gt;80,0+30*($AG1282/100),IF($O$5&gt;70,0+50*($AG1282/100),IF($O$5&gt;60,5+50*($AG1282/100),IF($O$5&gt;50,10+60*($AG1282/100),IF($O$5&gt;40,15+70*($AG1282/100),IF($O$5&gt;30,20+70*($AG1282/100),IF($O$5&gt;20,40+55*($AG1282/100),(80+(20-$O$5)+30*($AG1282/100))))))))))</f>
        <v>100</v>
      </c>
      <c r="AI1282" s="262">
        <v>1952</v>
      </c>
      <c r="AJ1282" s="262"/>
      <c r="AK1282" s="262"/>
      <c r="AL1282" s="263">
        <v>1</v>
      </c>
      <c r="AM1282" s="264"/>
      <c r="AN1282" s="263"/>
      <c r="AO1282" s="263"/>
      <c r="AP1282" s="265"/>
      <c r="AQ1282" s="266"/>
      <c r="AR1282" s="267"/>
      <c r="AS1282" s="263"/>
      <c r="AT1282" s="263"/>
      <c r="AU1282" s="263"/>
      <c r="AV1282" s="264"/>
      <c r="AW1282" s="263"/>
      <c r="AX1282" s="263"/>
      <c r="AY1282" s="263">
        <v>833</v>
      </c>
      <c r="AZ1282" s="263"/>
      <c r="BA1282" s="263"/>
      <c r="BB1282" s="263">
        <v>244</v>
      </c>
      <c r="BC1282" s="268" t="s">
        <v>3052</v>
      </c>
      <c r="BD1282" s="264"/>
      <c r="BE1282" s="263"/>
      <c r="BF1282" s="263"/>
      <c r="BG1282" s="263"/>
      <c r="BH1282" s="263"/>
      <c r="BI1282" s="263"/>
      <c r="BJ1282" s="404">
        <f>altaz(J2000_Bas,$O1282,$M1282,DecLat,DecLong,2)</f>
        <v>24.820899819178361</v>
      </c>
      <c r="BK1282" s="378" t="s">
        <v>1322</v>
      </c>
      <c r="BL1282" s="379">
        <f>IF((2*G1282)/60&lt;0.2,0.2,(2*G1282)/60)</f>
        <v>0.23333333333333334</v>
      </c>
      <c r="BM1282" s="380">
        <f>MOD((50000+AD1282-$B$3+(0/24)),1)</f>
        <v>0.44058168191986624</v>
      </c>
      <c r="BN1282" s="381"/>
      <c r="BO1282" s="382">
        <v>1275</v>
      </c>
    </row>
    <row r="1283" spans="1:67" s="24" customFormat="1" ht="15" customHeight="1" x14ac:dyDescent="0.25">
      <c r="A1283" s="288" t="s">
        <v>1323</v>
      </c>
      <c r="B1283" s="241" t="str">
        <f>HYPERLINK(CONCATENATE($AT$3,BK1283,$AU$3),$AV$3)</f>
        <v>S</v>
      </c>
      <c r="C1283" s="242" t="str">
        <f>HYPERLINK(CONCATENATE($AT$4,BK1283,$AU$4,BL1283),$AV$4)</f>
        <v>A</v>
      </c>
      <c r="D1283" s="243" t="s">
        <v>5335</v>
      </c>
      <c r="E1283" s="244" t="s">
        <v>5184</v>
      </c>
      <c r="F1283" s="269" t="s">
        <v>3310</v>
      </c>
      <c r="G1283" s="276">
        <v>13</v>
      </c>
      <c r="H1283" s="283">
        <v>40000</v>
      </c>
      <c r="I1283" s="246">
        <v>150</v>
      </c>
      <c r="J1283" s="246">
        <v>4</v>
      </c>
      <c r="K1283" s="247" t="s">
        <v>6213</v>
      </c>
      <c r="L1283" s="248">
        <v>213327</v>
      </c>
      <c r="M1283" s="249">
        <f>15*(LEFT(TEXT($L1283,"000000"),2)+(MID(TEXT($L1283,"000000"),3,2)/60)+(RIGHT(TEXT($L1283,"000000"),2)/3600))</f>
        <v>323.36250000000001</v>
      </c>
      <c r="N1283" s="250">
        <v>-4923</v>
      </c>
      <c r="O1283" s="251">
        <f>IF($N1283&gt;0,(LEFT(TEXT($N1283,"000000"),2)+(MID(TEXT($N1283,"000000"),3,2)/60)+(RIGHT(TEXT($N1283,"000000"),2)/3600)),-(MID(TEXT($N1283,"000000"),2,2)+(MID(TEXT($N1283,"000000"),4,2)/60)+(RIGHT(TEXT($N1283,"000000"),2)/3600)))</f>
        <v>-0.82305555555555554</v>
      </c>
      <c r="P1283" s="252" t="s">
        <v>3119</v>
      </c>
      <c r="Q1283" s="253"/>
      <c r="R1283" s="247" t="s">
        <v>3685</v>
      </c>
      <c r="S1283" s="272" t="s">
        <v>3293</v>
      </c>
      <c r="T1283" s="273">
        <v>6.6</v>
      </c>
      <c r="U1283" s="274"/>
      <c r="V1283" s="280"/>
      <c r="W1283" s="244"/>
      <c r="X1283" s="244"/>
      <c r="Y1283" s="362"/>
      <c r="Z1283" s="257">
        <f>altaz(J2000_Bas,$O1283,$M1283,DecLat,DecLong,1)</f>
        <v>42.364297723263654</v>
      </c>
      <c r="AA1283" s="257">
        <f>altaz((J2000_Bas+(2*0.04167)),$O1283,$M1283,DecLat,DecLong,1)</f>
        <v>57.434886692040955</v>
      </c>
      <c r="AB1283" s="257">
        <f>altaz((J2000_Bas+(4*0.04167)),$O1283,$M1283,DecLat,DecLong,1)</f>
        <v>51.504561321645184</v>
      </c>
      <c r="AC1283" s="257">
        <f>altaz((J2000_Bas+(6*0.04167)),$O1283,$M1283,DecLat,DecLong,1)</f>
        <v>30.642050684175103</v>
      </c>
      <c r="AD1283" s="258">
        <f>1+ transit((J2000_Bas-1),$O1283,$M1283,DecLat,DecLong)/360 + (GMTOffset/24) + (IF(DST="Y", 1, 0)/24)</f>
        <v>1.8911290374734582</v>
      </c>
      <c r="AE1283" s="259">
        <f>DATE(2001,9,21)+(M1283/360)*365 - (360*((DecLong/360)- (GMTOffset/24) ))</f>
        <v>37487.853645833333</v>
      </c>
      <c r="AF1283" s="260">
        <f>IF(DecLat&gt;0,IF((90 - (DecLat-O1283))&gt;90, (90 - (O1283-DecLat)), (90 - (DecLat-O1283))),IF((90 + (DecLat-O1283))&gt;90, (90 + (O1283-DecLat)), (90 + (DecLat-O1283))))</f>
        <v>58.176944444444445</v>
      </c>
      <c r="AG1283" s="257">
        <f>angularseperation(MoonRA,MoonDec,$M1283,$O1283)</f>
        <v>75.515152791615762</v>
      </c>
      <c r="AH1283" s="261">
        <f ca="1">MIN(100,IF($O$5&gt;80,0+30*($AG1283/100),IF($O$5&gt;70,0+50*($AG1283/100),IF($O$5&gt;60,5+50*($AG1283/100),IF($O$5&gt;50,10+60*($AG1283/100),IF($O$5&gt;40,15+70*($AG1283/100),IF($O$5&gt;30,20+70*($AG1283/100),IF($O$5&gt;20,40+55*($AG1283/100),(80+(20-$O$5)+30*($AG1283/100))))))))))</f>
        <v>100</v>
      </c>
      <c r="AI1283" s="262">
        <v>7089</v>
      </c>
      <c r="AJ1283" s="262"/>
      <c r="AK1283" s="262"/>
      <c r="AL1283" s="263">
        <v>2</v>
      </c>
      <c r="AM1283" s="264"/>
      <c r="AN1283" s="263"/>
      <c r="AO1283" s="263"/>
      <c r="AP1283" s="265"/>
      <c r="AQ1283" s="266"/>
      <c r="AR1283" s="267"/>
      <c r="AS1283" s="263"/>
      <c r="AT1283" s="263"/>
      <c r="AU1283" s="263"/>
      <c r="AV1283" s="264"/>
      <c r="AW1283" s="263"/>
      <c r="AX1283" s="263"/>
      <c r="AY1283" s="263"/>
      <c r="AZ1283" s="263"/>
      <c r="BA1283" s="263"/>
      <c r="BB1283" s="263"/>
      <c r="BC1283" s="263"/>
      <c r="BD1283" s="264"/>
      <c r="BE1283" s="263"/>
      <c r="BF1283" s="263"/>
      <c r="BG1283" s="263"/>
      <c r="BH1283" s="263"/>
      <c r="BI1283" s="263"/>
      <c r="BJ1283" s="404">
        <f>altaz(J2000_Bas,$O1283,$M1283,DecLat,DecLong,2)</f>
        <v>124.79595214837705</v>
      </c>
      <c r="BK1283" s="378" t="s">
        <v>1323</v>
      </c>
      <c r="BL1283" s="379">
        <f>IF((2*G1283)/60&lt;0.2,0.2,(2*G1283)/60)</f>
        <v>0.43333333333333335</v>
      </c>
      <c r="BM1283" s="380">
        <f>MOD((50000+AD1283-$B$3+(0/24)),1)</f>
        <v>0.10649596717848908</v>
      </c>
      <c r="BN1283" s="381"/>
      <c r="BO1283" s="382">
        <v>1276</v>
      </c>
    </row>
    <row r="1284" spans="1:67" s="24" customFormat="1" ht="15" customHeight="1" x14ac:dyDescent="0.25">
      <c r="A1284" s="288" t="s">
        <v>1324</v>
      </c>
      <c r="B1284" s="241" t="str">
        <f>HYPERLINK(CONCATENATE($AT$3,BK1284,$AU$3),$AV$3)</f>
        <v>S</v>
      </c>
      <c r="C1284" s="242" t="str">
        <f>HYPERLINK(CONCATENATE($AT$4,BK1284,$AU$4,BL1284),$AV$4)</f>
        <v>A</v>
      </c>
      <c r="D1284" s="243" t="s">
        <v>5335</v>
      </c>
      <c r="E1284" s="244" t="s">
        <v>5184</v>
      </c>
      <c r="F1284" s="269" t="s">
        <v>3312</v>
      </c>
      <c r="G1284" s="276">
        <v>16</v>
      </c>
      <c r="H1284" s="283">
        <v>32000</v>
      </c>
      <c r="I1284" s="246">
        <v>150</v>
      </c>
      <c r="J1284" s="246">
        <v>4</v>
      </c>
      <c r="K1284" s="247" t="s">
        <v>4870</v>
      </c>
      <c r="L1284" s="248">
        <v>134211</v>
      </c>
      <c r="M1284" s="249">
        <f>15*(LEFT(TEXT($L1284,"000000"),2)+(MID(TEXT($L1284,"000000"),3,2)/60)+(RIGHT(TEXT($L1284,"000000"),2)/3600))</f>
        <v>205.54583333333332</v>
      </c>
      <c r="N1284" s="250">
        <v>282235</v>
      </c>
      <c r="O1284" s="251">
        <f>IF($N1284&gt;0,(LEFT(TEXT($N1284,"000000"),2)+(MID(TEXT($N1284,"000000"),3,2)/60)+(RIGHT(TEXT($N1284,"000000"),2)/3600)),-(MID(TEXT($N1284,"000000"),2,2)+(MID(TEXT($N1284,"000000"),4,2)/60)+(RIGHT(TEXT($N1284,"000000"),2)/3600)))</f>
        <v>28.37638888888889</v>
      </c>
      <c r="P1284" s="252" t="s">
        <v>242</v>
      </c>
      <c r="Q1284" s="253"/>
      <c r="R1284" s="247" t="s">
        <v>3614</v>
      </c>
      <c r="S1284" s="272" t="s">
        <v>3293</v>
      </c>
      <c r="T1284" s="273">
        <v>6.3</v>
      </c>
      <c r="U1284" s="274"/>
      <c r="V1284" s="280"/>
      <c r="W1284" s="244"/>
      <c r="X1284" s="244"/>
      <c r="Y1284" s="362"/>
      <c r="Z1284" s="257">
        <f>altaz(J2000_Bas,$O1284,$M1284,DecLat,DecLong,1)</f>
        <v>21.704106056672249</v>
      </c>
      <c r="AA1284" s="257">
        <f>altaz((J2000_Bas+(2*0.04167)),$O1284,$M1284,DecLat,DecLong,1)</f>
        <v>-1.1373393394291051</v>
      </c>
      <c r="AB1284" s="257">
        <f>altaz((J2000_Bas+(4*0.04167)),$O1284,$M1284,DecLat,DecLong,1)</f>
        <v>-19.768088684440475</v>
      </c>
      <c r="AC1284" s="257">
        <f>altaz((J2000_Bas+(6*0.04167)),$O1284,$M1284,DecLat,DecLong,1)</f>
        <v>-29.967267360779079</v>
      </c>
      <c r="AD1284" s="258">
        <f>1+ transit((J2000_Bas-1),$O1284,$M1284,DecLat,DecLong)/360 + (GMTOffset/24) + (IF(DST="Y", 1, 0)/24)</f>
        <v>1.5638605516817912</v>
      </c>
      <c r="AE1284" s="259">
        <f>DATE(2001,9,21)+(M1284/360)*365 - (360*((DecLong/360)- (GMTOffset/24) ))</f>
        <v>37368.400636574072</v>
      </c>
      <c r="AF1284" s="260">
        <f>IF(DecLat&gt;0,IF((90 - (DecLat-O1284))&gt;90, (90 - (O1284-DecLat)), (90 - (DecLat-O1284))),IF((90 + (DecLat-O1284))&gt;90, (90 + (O1284-DecLat)), (90 + (DecLat-O1284))))</f>
        <v>87.376388888888897</v>
      </c>
      <c r="AG1284" s="257">
        <f>angularseperation(MoonRA,MoonDec,$M1284,$O1284)</f>
        <v>69.512986143635729</v>
      </c>
      <c r="AH1284" s="261">
        <f ca="1">MIN(100,IF($O$5&gt;80,0+30*($AG1284/100),IF($O$5&gt;70,0+50*($AG1284/100),IF($O$5&gt;60,5+50*($AG1284/100),IF($O$5&gt;50,10+60*($AG1284/100),IF($O$5&gt;40,15+70*($AG1284/100),IF($O$5&gt;30,20+70*($AG1284/100),IF($O$5&gt;20,40+55*($AG1284/100),(80+(20-$O$5)+30*($AG1284/100))))))))))</f>
        <v>100</v>
      </c>
      <c r="AI1284" s="262">
        <v>5272</v>
      </c>
      <c r="AJ1284" s="262"/>
      <c r="AK1284" s="262"/>
      <c r="AL1284" s="263">
        <v>3</v>
      </c>
      <c r="AM1284" s="264"/>
      <c r="AN1284" s="263"/>
      <c r="AO1284" s="263"/>
      <c r="AP1284" s="265"/>
      <c r="AQ1284" s="266"/>
      <c r="AR1284" s="267"/>
      <c r="AS1284" s="263"/>
      <c r="AT1284" s="263"/>
      <c r="AU1284" s="263"/>
      <c r="AV1284" s="264"/>
      <c r="AW1284" s="263"/>
      <c r="AX1284" s="263"/>
      <c r="AY1284" s="263"/>
      <c r="AZ1284" s="263"/>
      <c r="BA1284" s="263"/>
      <c r="BB1284" s="263"/>
      <c r="BC1284" s="263"/>
      <c r="BD1284" s="264"/>
      <c r="BE1284" s="263"/>
      <c r="BF1284" s="263"/>
      <c r="BG1284" s="263"/>
      <c r="BH1284" s="263"/>
      <c r="BI1284" s="263"/>
      <c r="BJ1284" s="404">
        <f>altaz(J2000_Bas,$O1284,$M1284,DecLat,DecLong,2)</f>
        <v>290.95297814869207</v>
      </c>
      <c r="BK1284" s="378" t="s">
        <v>1324</v>
      </c>
      <c r="BL1284" s="379">
        <f>IF((2*G1284)/60&lt;0.2,0.2,(2*G1284)/60)</f>
        <v>0.53333333333333333</v>
      </c>
      <c r="BM1284" s="380">
        <f>MOD((50000+AD1284-$B$3+(0/24)),1)</f>
        <v>0.77922748138371389</v>
      </c>
      <c r="BN1284" s="381"/>
      <c r="BO1284" s="382">
        <v>1277</v>
      </c>
    </row>
    <row r="1285" spans="1:67" s="24" customFormat="1" ht="15" customHeight="1" x14ac:dyDescent="0.25">
      <c r="A1285" s="288" t="s">
        <v>1325</v>
      </c>
      <c r="B1285" s="241" t="str">
        <f>HYPERLINK(CONCATENATE($AT$3,BK1285,$AU$3),$AV$3)</f>
        <v>S</v>
      </c>
      <c r="C1285" s="242" t="str">
        <f>HYPERLINK(CONCATENATE($AT$4,BK1285,$AU$4,BL1285),$AV$4)</f>
        <v>A</v>
      </c>
      <c r="D1285" s="243" t="s">
        <v>5335</v>
      </c>
      <c r="E1285" s="244" t="s">
        <v>5184</v>
      </c>
      <c r="F1285" s="269" t="s">
        <v>3320</v>
      </c>
      <c r="G1285" s="276">
        <v>26</v>
      </c>
      <c r="H1285" s="283">
        <v>7200</v>
      </c>
      <c r="I1285" s="246">
        <v>60</v>
      </c>
      <c r="J1285" s="246">
        <v>2</v>
      </c>
      <c r="K1285" s="247" t="s">
        <v>4871</v>
      </c>
      <c r="L1285" s="248">
        <v>162335</v>
      </c>
      <c r="M1285" s="249">
        <f>15*(LEFT(TEXT($L1285,"000000"),2)+(MID(TEXT($L1285,"000000"),3,2)/60)+(RIGHT(TEXT($L1285,"000000"),2)/3600))</f>
        <v>245.89583333333334</v>
      </c>
      <c r="N1285" s="250">
        <v>-263135</v>
      </c>
      <c r="O1285" s="251">
        <f>IF($N1285&gt;0,(LEFT(TEXT($N1285,"000000"),2)+(MID(TEXT($N1285,"000000"),3,2)/60)+(RIGHT(TEXT($N1285,"000000"),2)/3600)),-(MID(TEXT($N1285,"000000"),2,2)+(MID(TEXT($N1285,"000000"),4,2)/60)+(RIGHT(TEXT($N1285,"000000"),2)/3600)))</f>
        <v>-26.526388888888889</v>
      </c>
      <c r="P1285" s="252" t="s">
        <v>109</v>
      </c>
      <c r="Q1285" s="253"/>
      <c r="R1285" s="247" t="s">
        <v>3640</v>
      </c>
      <c r="S1285" s="272" t="s">
        <v>3293</v>
      </c>
      <c r="T1285" s="273">
        <v>5.4</v>
      </c>
      <c r="U1285" s="274"/>
      <c r="V1285" s="280"/>
      <c r="W1285" s="244"/>
      <c r="X1285" s="244"/>
      <c r="Y1285" s="362"/>
      <c r="Z1285" s="257">
        <f>altaz(J2000_Bas,$O1285,$M1285,DecLat,DecLong,1)</f>
        <v>20.889278168123486</v>
      </c>
      <c r="AA1285" s="257">
        <f>altaz((J2000_Bas+(2*0.04167)),$O1285,$M1285,DecLat,DecLong,1)</f>
        <v>1.7120805908743872</v>
      </c>
      <c r="AB1285" s="257">
        <f>altaz((J2000_Bas+(4*0.04167)),$O1285,$M1285,DecLat,DecLong,1)</f>
        <v>-21.520411384606859</v>
      </c>
      <c r="AC1285" s="257">
        <f>altaz((J2000_Bas+(6*0.04167)),$O1285,$M1285,DecLat,DecLong,1)</f>
        <v>-46.60892131325231</v>
      </c>
      <c r="AD1285" s="258">
        <f>1+ transit((J2000_Bas-1),$O1285,$M1285,DecLat,DecLong)/360 + (GMTOffset/24) + (IF(DST="Y", 1, 0)/24)</f>
        <v>1.6759438738067913</v>
      </c>
      <c r="AE1285" s="259">
        <f>DATE(2001,9,21)+(M1285/360)*365 - (360*((DecLong/360)- (GMTOffset/24) ))</f>
        <v>37409.311053240737</v>
      </c>
      <c r="AF1285" s="260">
        <f>IF(DecLat&gt;0,IF((90 - (DecLat-O1285))&gt;90, (90 - (O1285-DecLat)), (90 - (DecLat-O1285))),IF((90 + (DecLat-O1285))&gt;90, (90 + (O1285-DecLat)), (90 + (DecLat-O1285))))</f>
        <v>32.473611111111111</v>
      </c>
      <c r="AG1285" s="257">
        <f>angularseperation(MoonRA,MoonDec,$M1285,$O1285)</f>
        <v>3.0380459261584836</v>
      </c>
      <c r="AH1285" s="261">
        <f ca="1">MIN(100,IF($O$5&gt;80,0+30*($AG1285/100),IF($O$5&gt;70,0+50*($AG1285/100),IF($O$5&gt;60,5+50*($AG1285/100),IF($O$5&gt;50,10+60*($AG1285/100),IF($O$5&gt;40,15+70*($AG1285/100),IF($O$5&gt;30,20+70*($AG1285/100),IF($O$5&gt;20,40+55*($AG1285/100),(80+(20-$O$5)+30*($AG1285/100))))))))))</f>
        <v>84.18247412199797</v>
      </c>
      <c r="AI1285" s="262">
        <v>6121</v>
      </c>
      <c r="AJ1285" s="262"/>
      <c r="AK1285" s="262"/>
      <c r="AL1285" s="263">
        <v>4</v>
      </c>
      <c r="AM1285" s="264"/>
      <c r="AN1285" s="263"/>
      <c r="AO1285" s="263"/>
      <c r="AP1285" s="265"/>
      <c r="AQ1285" s="266"/>
      <c r="AR1285" s="267"/>
      <c r="AS1285" s="263"/>
      <c r="AT1285" s="263"/>
      <c r="AU1285" s="263"/>
      <c r="AV1285" s="264"/>
      <c r="AW1285" s="263"/>
      <c r="AX1285" s="263"/>
      <c r="AY1285" s="263"/>
      <c r="AZ1285" s="263"/>
      <c r="BA1285" s="263"/>
      <c r="BB1285" s="263"/>
      <c r="BC1285" s="263"/>
      <c r="BD1285" s="264"/>
      <c r="BE1285" s="263"/>
      <c r="BF1285" s="263"/>
      <c r="BG1285" s="263"/>
      <c r="BH1285" s="263"/>
      <c r="BI1285" s="263"/>
      <c r="BJ1285" s="404">
        <f>altaz(J2000_Bas,$O1285,$M1285,DecLat,DecLong,2)</f>
        <v>218.09362751285565</v>
      </c>
      <c r="BK1285" s="378" t="s">
        <v>1325</v>
      </c>
      <c r="BL1285" s="379">
        <f>IF((2*G1285)/60&lt;0.2,0.2,(2*G1285)/60)</f>
        <v>0.8666666666666667</v>
      </c>
      <c r="BM1285" s="380">
        <f>MOD((50000+AD1285-$B$3+(0/24)),1)</f>
        <v>0.89131080351216951</v>
      </c>
      <c r="BN1285" s="381"/>
      <c r="BO1285" s="382">
        <v>1278</v>
      </c>
    </row>
    <row r="1286" spans="1:67" s="24" customFormat="1" ht="15" customHeight="1" x14ac:dyDescent="0.25">
      <c r="A1286" s="288" t="s">
        <v>1326</v>
      </c>
      <c r="B1286" s="241" t="str">
        <f>HYPERLINK(CONCATENATE($AT$3,BK1286,$AU$3),$AV$3)</f>
        <v>S</v>
      </c>
      <c r="C1286" s="242" t="str">
        <f>HYPERLINK(CONCATENATE($AT$4,BK1286,$AU$4,BL1286),$AV$4)</f>
        <v>A</v>
      </c>
      <c r="D1286" s="243" t="s">
        <v>5335</v>
      </c>
      <c r="E1286" s="244" t="s">
        <v>5184</v>
      </c>
      <c r="F1286" s="269" t="s">
        <v>3316</v>
      </c>
      <c r="G1286" s="276">
        <v>17</v>
      </c>
      <c r="H1286" s="283">
        <v>25000</v>
      </c>
      <c r="I1286" s="246">
        <v>130</v>
      </c>
      <c r="J1286" s="246">
        <v>4</v>
      </c>
      <c r="K1286" s="247" t="s">
        <v>4872</v>
      </c>
      <c r="L1286" s="248">
        <v>151833</v>
      </c>
      <c r="M1286" s="249">
        <f>15*(LEFT(TEXT($L1286,"000000"),2)+(MID(TEXT($L1286,"000000"),3,2)/60)+(RIGHT(TEXT($L1286,"000000"),2)/3600))</f>
        <v>229.63750000000002</v>
      </c>
      <c r="N1286" s="250">
        <v>20457</v>
      </c>
      <c r="O1286" s="251">
        <f>IF($N1286&gt;0,(LEFT(TEXT($N1286,"000000"),2)+(MID(TEXT($N1286,"000000"),3,2)/60)+(RIGHT(TEXT($N1286,"000000"),2)/3600)),-(MID(TEXT($N1286,"000000"),2,2)+(MID(TEXT($N1286,"000000"),4,2)/60)+(RIGHT(TEXT($N1286,"000000"),2)/3600)))</f>
        <v>2.0825</v>
      </c>
      <c r="P1286" s="252" t="s">
        <v>115</v>
      </c>
      <c r="Q1286" s="253" t="s">
        <v>7142</v>
      </c>
      <c r="R1286" s="277" t="s">
        <v>3629</v>
      </c>
      <c r="S1286" s="272" t="s">
        <v>3293</v>
      </c>
      <c r="T1286" s="273">
        <v>5.9</v>
      </c>
      <c r="U1286" s="274"/>
      <c r="V1286" s="280"/>
      <c r="W1286" s="244"/>
      <c r="X1286" s="244"/>
      <c r="Y1286" s="362"/>
      <c r="Z1286" s="257">
        <f>altaz(J2000_Bas,$O1286,$M1286,DecLat,DecLong,1)</f>
        <v>29.550185934569413</v>
      </c>
      <c r="AA1286" s="257">
        <f>altaz((J2000_Bas+(2*0.04167)),$O1286,$M1286,DecLat,DecLong,1)</f>
        <v>4.1151380553855521</v>
      </c>
      <c r="AB1286" s="257">
        <f>altaz((J2000_Bas+(4*0.04167)),$O1286,$M1286,DecLat,DecLong,1)</f>
        <v>-21.343321770446892</v>
      </c>
      <c r="AC1286" s="257">
        <f>altaz((J2000_Bas+(6*0.04167)),$O1286,$M1286,DecLat,DecLong,1)</f>
        <v>-44.152482605194955</v>
      </c>
      <c r="AD1286" s="258">
        <f>1+ transit((J2000_Bas-1),$O1286,$M1286,DecLat,DecLong)/360 + (GMTOffset/24) + (IF(DST="Y", 1, 0)/24)</f>
        <v>1.630781841285958</v>
      </c>
      <c r="AE1286" s="259">
        <f>DATE(2001,9,21)+(M1286/360)*365 - (360*((DecLong/360)- (GMTOffset/24) ))</f>
        <v>37392.826909722222</v>
      </c>
      <c r="AF1286" s="260">
        <f>IF(DecLat&gt;0,IF((90 - (DecLat-O1286))&gt;90, (90 - (O1286-DecLat)), (90 - (DecLat-O1286))),IF((90 + (DecLat-O1286))&gt;90, (90 + (O1286-DecLat)), (90 + (DecLat-O1286))))</f>
        <v>61.082499999999996</v>
      </c>
      <c r="AG1286" s="257">
        <f>angularseperation(MoonRA,MoonDec,$M1286,$O1286)</f>
        <v>34.751808903236046</v>
      </c>
      <c r="AH1286" s="261">
        <f ca="1">MIN(100,IF($O$5&gt;80,0+30*($AG1286/100),IF($O$5&gt;70,0+50*($AG1286/100),IF($O$5&gt;60,5+50*($AG1286/100),IF($O$5&gt;50,10+60*($AG1286/100),IF($O$5&gt;40,15+70*($AG1286/100),IF($O$5&gt;30,20+70*($AG1286/100),IF($O$5&gt;20,40+55*($AG1286/100),(80+(20-$O$5)+30*($AG1286/100))))))))))</f>
        <v>93.696603015121241</v>
      </c>
      <c r="AI1286" s="262">
        <v>5904</v>
      </c>
      <c r="AJ1286" s="262"/>
      <c r="AK1286" s="262"/>
      <c r="AL1286" s="263">
        <v>5</v>
      </c>
      <c r="AM1286" s="264"/>
      <c r="AN1286" s="263"/>
      <c r="AO1286" s="263"/>
      <c r="AP1286" s="265"/>
      <c r="AQ1286" s="266"/>
      <c r="AR1286" s="267"/>
      <c r="AS1286" s="263"/>
      <c r="AT1286" s="263"/>
      <c r="AU1286" s="263"/>
      <c r="AV1286" s="264"/>
      <c r="AW1286" s="263"/>
      <c r="AX1286" s="263"/>
      <c r="AY1286" s="263"/>
      <c r="AZ1286" s="263"/>
      <c r="BA1286" s="263"/>
      <c r="BB1286" s="263"/>
      <c r="BC1286" s="263"/>
      <c r="BD1286" s="264"/>
      <c r="BE1286" s="263"/>
      <c r="BF1286" s="263"/>
      <c r="BG1286" s="263"/>
      <c r="BH1286" s="263"/>
      <c r="BI1286" s="263"/>
      <c r="BJ1286" s="404">
        <f>altaz(J2000_Bas,$O1286,$M1286,DecLat,DecLong,2)</f>
        <v>253.02747667176843</v>
      </c>
      <c r="BK1286" s="378" t="s">
        <v>1326</v>
      </c>
      <c r="BL1286" s="379">
        <f>IF((2*G1286)/60&lt;0.2,0.2,(2*G1286)/60)</f>
        <v>0.56666666666666665</v>
      </c>
      <c r="BM1286" s="380">
        <f>MOD((50000+AD1286-$B$3+(0/24)),1)</f>
        <v>0.84614877098647412</v>
      </c>
      <c r="BN1286" s="381"/>
      <c r="BO1286" s="382">
        <v>1279</v>
      </c>
    </row>
    <row r="1287" spans="1:67" s="24" customFormat="1" ht="15" customHeight="1" x14ac:dyDescent="0.25">
      <c r="A1287" s="288" t="s">
        <v>1327</v>
      </c>
      <c r="B1287" s="241" t="str">
        <f>HYPERLINK(CONCATENATE($AT$3,BK1287,$AU$3),$AV$3)</f>
        <v>S</v>
      </c>
      <c r="C1287" s="242" t="str">
        <f>HYPERLINK(CONCATENATE($AT$4,BK1287,$AU$4,BL1287),$AV$4)</f>
        <v>A</v>
      </c>
      <c r="D1287" s="243" t="s">
        <v>5335</v>
      </c>
      <c r="E1287" s="244" t="s">
        <v>5185</v>
      </c>
      <c r="F1287" s="269" t="s">
        <v>4441</v>
      </c>
      <c r="G1287" s="276">
        <v>20</v>
      </c>
      <c r="H1287" s="283">
        <v>1500</v>
      </c>
      <c r="I1287" s="279">
        <v>9</v>
      </c>
      <c r="J1287" s="246">
        <v>2</v>
      </c>
      <c r="K1287" s="247" t="s">
        <v>4873</v>
      </c>
      <c r="L1287" s="248">
        <v>174020</v>
      </c>
      <c r="M1287" s="249">
        <f>15*(LEFT(TEXT($L1287,"000000"),2)+(MID(TEXT($L1287,"000000"),3,2)/60)+(RIGHT(TEXT($L1287,"000000"),2)/3600))</f>
        <v>265.08333333333337</v>
      </c>
      <c r="N1287" s="250">
        <v>-321512</v>
      </c>
      <c r="O1287" s="251">
        <f>IF($N1287&gt;0,(LEFT(TEXT($N1287,"000000"),2)+(MID(TEXT($N1287,"000000"),3,2)/60)+(RIGHT(TEXT($N1287,"000000"),2)/3600)),-(MID(TEXT($N1287,"000000"),2,2)+(MID(TEXT($N1287,"000000"),4,2)/60)+(RIGHT(TEXT($N1287,"000000"),2)/3600)))</f>
        <v>-32.25333333333333</v>
      </c>
      <c r="P1287" s="252" t="s">
        <v>109</v>
      </c>
      <c r="Q1287" s="253" t="s">
        <v>7099</v>
      </c>
      <c r="R1287" s="247" t="s">
        <v>3656</v>
      </c>
      <c r="S1287" s="272" t="s">
        <v>3293</v>
      </c>
      <c r="T1287" s="273">
        <v>4.2</v>
      </c>
      <c r="U1287" s="274"/>
      <c r="V1287" s="280"/>
      <c r="W1287" s="244"/>
      <c r="X1287" s="244"/>
      <c r="Y1287" s="362"/>
      <c r="Z1287" s="257">
        <f>altaz(J2000_Bas,$O1287,$M1287,DecLat,DecLong,1)</f>
        <v>23.719785739625884</v>
      </c>
      <c r="AA1287" s="257">
        <f>altaz((J2000_Bas+(2*0.04167)),$O1287,$M1287,DecLat,DecLong,1)</f>
        <v>10.445593104756052</v>
      </c>
      <c r="AB1287" s="257">
        <f>altaz((J2000_Bas+(4*0.04167)),$O1287,$M1287,DecLat,DecLong,1)</f>
        <v>-9.3556229297265645</v>
      </c>
      <c r="AC1287" s="257">
        <f>altaz((J2000_Bas+(6*0.04167)),$O1287,$M1287,DecLat,DecLong,1)</f>
        <v>-32.457964184830551</v>
      </c>
      <c r="AD1287" s="258">
        <f>1+ transit((J2000_Bas-1),$O1287,$M1287,DecLat,DecLong)/360 + (GMTOffset/24) + (IF(DST="Y", 1, 0)/24)</f>
        <v>1.7292424795880414</v>
      </c>
      <c r="AE1287" s="259">
        <f>DATE(2001,9,21)+(M1287/360)*365 - (360*((DecLong/360)- (GMTOffset/24) ))</f>
        <v>37428.765046296299</v>
      </c>
      <c r="AF1287" s="260">
        <f>IF(DecLat&gt;0,IF((90 - (DecLat-O1287))&gt;90, (90 - (O1287-DecLat)), (90 - (DecLat-O1287))),IF((90 + (DecLat-O1287))&gt;90, (90 + (O1287-DecLat)), (90 + (DecLat-O1287))))</f>
        <v>26.74666666666667</v>
      </c>
      <c r="AG1287" s="257">
        <f>angularseperation(MoonRA,MoonDec,$M1287,$O1287)</f>
        <v>14.684518669803621</v>
      </c>
      <c r="AH1287" s="261">
        <f ca="1">MIN(100,IF($O$5&gt;80,0+30*($AG1287/100),IF($O$5&gt;70,0+50*($AG1287/100),IF($O$5&gt;60,5+50*($AG1287/100),IF($O$5&gt;50,10+60*($AG1287/100),IF($O$5&gt;40,15+70*($AG1287/100),IF($O$5&gt;30,20+70*($AG1287/100),IF($O$5&gt;20,40+55*($AG1287/100),(80+(20-$O$5)+30*($AG1287/100))))))))))</f>
        <v>87.67641594509152</v>
      </c>
      <c r="AI1287" s="262">
        <v>6405</v>
      </c>
      <c r="AJ1287" s="262"/>
      <c r="AK1287" s="262"/>
      <c r="AL1287" s="263">
        <v>6</v>
      </c>
      <c r="AM1287" s="264"/>
      <c r="AN1287" s="263"/>
      <c r="AO1287" s="263"/>
      <c r="AP1287" s="265"/>
      <c r="AQ1287" s="266"/>
      <c r="AR1287" s="267"/>
      <c r="AS1287" s="263"/>
      <c r="AT1287" s="263"/>
      <c r="AU1287" s="263"/>
      <c r="AV1287" s="264"/>
      <c r="AW1287" s="263"/>
      <c r="AX1287" s="263"/>
      <c r="AY1287" s="263"/>
      <c r="AZ1287" s="263"/>
      <c r="BA1287" s="263"/>
      <c r="BB1287" s="263"/>
      <c r="BC1287" s="263"/>
      <c r="BD1287" s="264"/>
      <c r="BE1287" s="263"/>
      <c r="BF1287" s="263"/>
      <c r="BG1287" s="263"/>
      <c r="BH1287" s="263"/>
      <c r="BI1287" s="263"/>
      <c r="BJ1287" s="404">
        <f>altaz(J2000_Bas,$O1287,$M1287,DecLat,DecLong,2)</f>
        <v>199.25786125450105</v>
      </c>
      <c r="BK1287" s="378" t="s">
        <v>1327</v>
      </c>
      <c r="BL1287" s="379">
        <f>IF((2*G1287)/60&lt;0.2,0.2,(2*G1287)/60)</f>
        <v>0.66666666666666663</v>
      </c>
      <c r="BM1287" s="380">
        <f>MOD((50000+AD1287-$B$3+(0/24)),1)</f>
        <v>0.94460940929275239</v>
      </c>
      <c r="BN1287" s="381"/>
      <c r="BO1287" s="382">
        <v>1280</v>
      </c>
    </row>
    <row r="1288" spans="1:67" s="24" customFormat="1" ht="15" customHeight="1" x14ac:dyDescent="0.25">
      <c r="A1288" s="288" t="s">
        <v>1328</v>
      </c>
      <c r="B1288" s="241" t="str">
        <f>HYPERLINK(CONCATENATE($AT$3,BK1288,$AU$3),$AV$3)</f>
        <v>S</v>
      </c>
      <c r="C1288" s="242" t="str">
        <f>HYPERLINK(CONCATENATE($AT$4,BK1288,$AU$4,BL1288),$AV$4)</f>
        <v>A</v>
      </c>
      <c r="D1288" s="243" t="s">
        <v>5335</v>
      </c>
      <c r="E1288" s="244" t="s">
        <v>5185</v>
      </c>
      <c r="F1288" s="269" t="s">
        <v>4874</v>
      </c>
      <c r="G1288" s="276">
        <v>100</v>
      </c>
      <c r="H1288" s="283">
        <v>1000</v>
      </c>
      <c r="I1288" s="246">
        <v>30</v>
      </c>
      <c r="J1288" s="246">
        <v>4</v>
      </c>
      <c r="K1288" s="247" t="s">
        <v>4875</v>
      </c>
      <c r="L1288" s="248">
        <v>175351</v>
      </c>
      <c r="M1288" s="249">
        <f>15*(LEFT(TEXT($L1288,"000000"),2)+(MID(TEXT($L1288,"000000"),3,2)/60)+(RIGHT(TEXT($L1288,"000000"),2)/3600))</f>
        <v>268.46250000000003</v>
      </c>
      <c r="N1288" s="250">
        <v>-344736</v>
      </c>
      <c r="O1288" s="251">
        <f>IF($N1288&gt;0,(LEFT(TEXT($N1288,"000000"),2)+(MID(TEXT($N1288,"000000"),3,2)/60)+(RIGHT(TEXT($N1288,"000000"),2)/3600)),-(MID(TEXT($N1288,"000000"),2,2)+(MID(TEXT($N1288,"000000"),4,2)/60)+(RIGHT(TEXT($N1288,"000000"),2)/3600)))</f>
        <v>-34.793333333333329</v>
      </c>
      <c r="P1288" s="252" t="s">
        <v>109</v>
      </c>
      <c r="Q1288" s="253" t="s">
        <v>1329</v>
      </c>
      <c r="R1288" s="247" t="s">
        <v>3658</v>
      </c>
      <c r="S1288" s="272" t="s">
        <v>3293</v>
      </c>
      <c r="T1288" s="273">
        <v>3.3</v>
      </c>
      <c r="U1288" s="274"/>
      <c r="V1288" s="280"/>
      <c r="W1288" s="244"/>
      <c r="X1288" s="244"/>
      <c r="Y1288" s="362"/>
      <c r="Z1288" s="257">
        <f>altaz(J2000_Bas,$O1288,$M1288,DecLat,DecLong,1)</f>
        <v>22.166614285342746</v>
      </c>
      <c r="AA1288" s="257">
        <f>altaz((J2000_Bas+(2*0.04167)),$O1288,$M1288,DecLat,DecLong,1)</f>
        <v>10.401244001315378</v>
      </c>
      <c r="AB1288" s="257">
        <f>altaz((J2000_Bas+(4*0.04167)),$O1288,$M1288,DecLat,DecLong,1)</f>
        <v>-8.2819490860239124</v>
      </c>
      <c r="AC1288" s="257">
        <f>altaz((J2000_Bas+(6*0.04167)),$O1288,$M1288,DecLat,DecLong,1)</f>
        <v>-30.59736157825235</v>
      </c>
      <c r="AD1288" s="258">
        <f>1+ transit((J2000_Bas-1),$O1288,$M1288,DecLat,DecLong)/360 + (GMTOffset/24) + (IF(DST="Y", 1, 0)/24)</f>
        <v>1.738629052723458</v>
      </c>
      <c r="AE1288" s="259">
        <f>DATE(2001,9,21)+(M1288/360)*365 - (360*((DecLong/360)- (GMTOffset/24) ))</f>
        <v>37432.191145833334</v>
      </c>
      <c r="AF1288" s="260">
        <f>IF(DecLat&gt;0,IF((90 - (DecLat-O1288))&gt;90, (90 - (O1288-DecLat)), (90 - (DecLat-O1288))),IF((90 + (DecLat-O1288))&gt;90, (90 + (O1288-DecLat)), (90 + (DecLat-O1288))))</f>
        <v>24.206666666666678</v>
      </c>
      <c r="AG1288" s="257">
        <f>angularseperation(MoonRA,MoonDec,$M1288,$O1288)</f>
        <v>18.157157328545701</v>
      </c>
      <c r="AH1288" s="261">
        <f ca="1">MIN(100,IF($O$5&gt;80,0+30*($AG1288/100),IF($O$5&gt;70,0+50*($AG1288/100),IF($O$5&gt;60,5+50*($AG1288/100),IF($O$5&gt;50,10+60*($AG1288/100),IF($O$5&gt;40,15+70*($AG1288/100),IF($O$5&gt;30,20+70*($AG1288/100),IF($O$5&gt;20,40+55*($AG1288/100),(80+(20-$O$5)+30*($AG1288/100))))))))))</f>
        <v>88.71820754271414</v>
      </c>
      <c r="AI1288" s="262">
        <v>6475</v>
      </c>
      <c r="AJ1288" s="262"/>
      <c r="AK1288" s="262"/>
      <c r="AL1288" s="263">
        <v>7</v>
      </c>
      <c r="AM1288" s="264"/>
      <c r="AN1288" s="263"/>
      <c r="AO1288" s="263"/>
      <c r="AP1288" s="265"/>
      <c r="AQ1288" s="266"/>
      <c r="AR1288" s="267"/>
      <c r="AS1288" s="263"/>
      <c r="AT1288" s="263"/>
      <c r="AU1288" s="263"/>
      <c r="AV1288" s="264"/>
      <c r="AW1288" s="263"/>
      <c r="AX1288" s="263"/>
      <c r="AY1288" s="263"/>
      <c r="AZ1288" s="263"/>
      <c r="BA1288" s="263"/>
      <c r="BB1288" s="263"/>
      <c r="BC1288" s="263"/>
      <c r="BD1288" s="264"/>
      <c r="BE1288" s="263"/>
      <c r="BF1288" s="263"/>
      <c r="BG1288" s="263"/>
      <c r="BH1288" s="263"/>
      <c r="BI1288" s="263"/>
      <c r="BJ1288" s="404">
        <f>altaz(J2000_Bas,$O1288,$M1288,DecLat,DecLong,2)</f>
        <v>195.50037283825998</v>
      </c>
      <c r="BK1288" s="378" t="s">
        <v>1328</v>
      </c>
      <c r="BL1288" s="379">
        <f>IF((2*G1288)/60&lt;0.2,0.2,(2*G1288)/60)</f>
        <v>3.3333333333333335</v>
      </c>
      <c r="BM1288" s="380">
        <f>MOD((50000+AD1288-$B$3+(0/24)),1)</f>
        <v>0.95399598242511274</v>
      </c>
      <c r="BN1288" s="381"/>
      <c r="BO1288" s="382">
        <v>1281</v>
      </c>
    </row>
    <row r="1289" spans="1:67" s="24" customFormat="1" ht="15" customHeight="1" x14ac:dyDescent="0.25">
      <c r="A1289" s="288" t="s">
        <v>1330</v>
      </c>
      <c r="B1289" s="241" t="str">
        <f>HYPERLINK(CONCATENATE($AT$3,BK1289,$AU$3),$AV$3)</f>
        <v>S</v>
      </c>
      <c r="C1289" s="242" t="str">
        <f>HYPERLINK(CONCATENATE($AT$4,BK1289,$AU$4,BL1289),$AV$4)</f>
        <v>A</v>
      </c>
      <c r="D1289" s="243" t="s">
        <v>5187</v>
      </c>
      <c r="E1289" s="244" t="s">
        <v>5183</v>
      </c>
      <c r="F1289" s="269" t="s">
        <v>9173</v>
      </c>
      <c r="G1289" s="276">
        <v>100</v>
      </c>
      <c r="H1289" s="283">
        <v>4000</v>
      </c>
      <c r="I1289" s="246">
        <v>110</v>
      </c>
      <c r="J1289" s="246">
        <v>5</v>
      </c>
      <c r="K1289" s="247" t="s">
        <v>5014</v>
      </c>
      <c r="L1289" s="248">
        <v>180341</v>
      </c>
      <c r="M1289" s="249">
        <f>15*(LEFT(TEXT($L1289,"000000"),2)+(MID(TEXT($L1289,"000000"),3,2)/60)+(RIGHT(TEXT($L1289,"000000"),2)/3600))</f>
        <v>270.92083333333335</v>
      </c>
      <c r="N1289" s="250">
        <v>-242248</v>
      </c>
      <c r="O1289" s="251">
        <f>IF($N1289&gt;0,(LEFT(TEXT($N1289,"000000"),2)+(MID(TEXT($N1289,"000000"),3,2)/60)+(RIGHT(TEXT($N1289,"000000"),2)/3600)),-(MID(TEXT($N1289,"000000"),2,2)+(MID(TEXT($N1289,"000000"),4,2)/60)+(RIGHT(TEXT($N1289,"000000"),2)/3600)))</f>
        <v>-24.38</v>
      </c>
      <c r="P1289" s="252" t="s">
        <v>119</v>
      </c>
      <c r="Q1289" s="253" t="s">
        <v>7015</v>
      </c>
      <c r="R1289" s="247" t="s">
        <v>3660</v>
      </c>
      <c r="S1289" s="272" t="s">
        <v>3293</v>
      </c>
      <c r="T1289" s="273"/>
      <c r="U1289" s="274"/>
      <c r="V1289" s="280"/>
      <c r="W1289" s="244"/>
      <c r="X1289" s="244"/>
      <c r="Y1289" s="362"/>
      <c r="Z1289" s="257">
        <f>altaz(J2000_Bas,$O1289,$M1289,DecLat,DecLong,1)</f>
        <v>32.768023743258262</v>
      </c>
      <c r="AA1289" s="257">
        <f>altaz((J2000_Bas+(2*0.04167)),$O1289,$M1289,DecLat,DecLong,1)</f>
        <v>19.746240038417877</v>
      </c>
      <c r="AB1289" s="257">
        <f>altaz((J2000_Bas+(4*0.04167)),$O1289,$M1289,DecLat,DecLong,1)</f>
        <v>-0.79280098033728386</v>
      </c>
      <c r="AC1289" s="257">
        <f>altaz((J2000_Bas+(6*0.04167)),$O1289,$M1289,DecLat,DecLong,1)</f>
        <v>-24.776544453585498</v>
      </c>
      <c r="AD1289" s="258">
        <f>1+ transit((J2000_Bas-1),$O1289,$M1289,DecLat,DecLong)/360 + (GMTOffset/24) + (IF(DST="Y", 1, 0)/24)</f>
        <v>1.7454577557442914</v>
      </c>
      <c r="AE1289" s="259">
        <f>DATE(2001,9,21)+(M1289/360)*365 - (360*((DecLong/360)- (GMTOffset/24) ))</f>
        <v>37434.683622685188</v>
      </c>
      <c r="AF1289" s="260">
        <f>IF(DecLat&gt;0,IF((90 - (DecLat-O1289))&gt;90, (90 - (O1289-DecLat)), (90 - (DecLat-O1289))),IF((90 + (DecLat-O1289))&gt;90, (90 + (O1289-DecLat)), (90 + (DecLat-O1289))))</f>
        <v>34.620000000000005</v>
      </c>
      <c r="AG1289" s="257">
        <f>angularseperation(MoonRA,MoonDec,$M1289,$O1289)</f>
        <v>19.690380195951953</v>
      </c>
      <c r="AH1289" s="261">
        <f ca="1">MIN(100,IF($O$5&gt;80,0+30*($AG1289/100),IF($O$5&gt;70,0+50*($AG1289/100),IF($O$5&gt;60,5+50*($AG1289/100),IF($O$5&gt;50,10+60*($AG1289/100),IF($O$5&gt;40,15+70*($AG1289/100),IF($O$5&gt;30,20+70*($AG1289/100),IF($O$5&gt;20,40+55*($AG1289/100),(80+(20-$O$5)+30*($AG1289/100))))))))))</f>
        <v>89.178174402936008</v>
      </c>
      <c r="AI1289" s="262">
        <v>6523</v>
      </c>
      <c r="AJ1289" s="262"/>
      <c r="AK1289" s="262"/>
      <c r="AL1289" s="263">
        <v>8</v>
      </c>
      <c r="AM1289" s="264"/>
      <c r="AN1289" s="263"/>
      <c r="AO1289" s="263"/>
      <c r="AP1289" s="265"/>
      <c r="AQ1289" s="266"/>
      <c r="AR1289" s="267"/>
      <c r="AS1289" s="263"/>
      <c r="AT1289" s="263"/>
      <c r="AU1289" s="263"/>
      <c r="AV1289" s="264"/>
      <c r="AW1289" s="263"/>
      <c r="AX1289" s="263">
        <v>72</v>
      </c>
      <c r="AY1289" s="263"/>
      <c r="AZ1289" s="263"/>
      <c r="BA1289" s="263"/>
      <c r="BB1289" s="263">
        <v>25</v>
      </c>
      <c r="BC1289" s="263"/>
      <c r="BD1289" s="264"/>
      <c r="BE1289" s="263"/>
      <c r="BF1289" s="263"/>
      <c r="BG1289" s="263"/>
      <c r="BH1289" s="263"/>
      <c r="BI1289" s="263"/>
      <c r="BJ1289" s="404">
        <f>altaz(J2000_Bas,$O1289,$M1289,DecLat,DecLong,2)</f>
        <v>196.37039643174876</v>
      </c>
      <c r="BK1289" s="378" t="s">
        <v>1330</v>
      </c>
      <c r="BL1289" s="379">
        <f>IF((2*G1289)/60&lt;0.2,0.2,(2*G1289)/60)</f>
        <v>3.3333333333333335</v>
      </c>
      <c r="BM1289" s="380">
        <f>MOD((50000+AD1289-$B$3+(0/24)),1)</f>
        <v>0.96082468544773292</v>
      </c>
      <c r="BN1289" s="381" t="s">
        <v>8664</v>
      </c>
      <c r="BO1289" s="382">
        <v>1282</v>
      </c>
    </row>
    <row r="1290" spans="1:67" s="24" customFormat="1" ht="15" customHeight="1" x14ac:dyDescent="0.25">
      <c r="A1290" s="288" t="s">
        <v>1331</v>
      </c>
      <c r="B1290" s="241" t="str">
        <f>HYPERLINK(CONCATENATE($AT$3,BK1290,$AU$3),$AV$3)</f>
        <v>S</v>
      </c>
      <c r="C1290" s="242" t="str">
        <f>HYPERLINK(CONCATENATE($AT$4,BK1290,$AU$4,BL1290),$AV$4)</f>
        <v>A</v>
      </c>
      <c r="D1290" s="243" t="s">
        <v>5335</v>
      </c>
      <c r="E1290" s="244" t="s">
        <v>5184</v>
      </c>
      <c r="F1290" s="269" t="s">
        <v>3314</v>
      </c>
      <c r="G1290" s="273">
        <v>9</v>
      </c>
      <c r="H1290" s="283">
        <v>25000</v>
      </c>
      <c r="I1290" s="246">
        <v>70</v>
      </c>
      <c r="J1290" s="246">
        <v>3</v>
      </c>
      <c r="K1290" s="247" t="s">
        <v>8469</v>
      </c>
      <c r="L1290" s="248">
        <v>171912</v>
      </c>
      <c r="M1290" s="249">
        <f>15*(LEFT(TEXT($L1290,"000000"),2)+(MID(TEXT($L1290,"000000"),3,2)/60)+(RIGHT(TEXT($L1290,"000000"),2)/3600))</f>
        <v>259.8</v>
      </c>
      <c r="N1290" s="250">
        <v>-183058</v>
      </c>
      <c r="O1290" s="251">
        <f>IF($N1290&gt;0,(LEFT(TEXT($N1290,"000000"),2)+(MID(TEXT($N1290,"000000"),3,2)/60)+(RIGHT(TEXT($N1290,"000000"),2)/3600)),-(MID(TEXT($N1290,"000000"),2,2)+(MID(TEXT($N1290,"000000"),4,2)/60)+(RIGHT(TEXT($N1290,"000000"),2)/3600)))</f>
        <v>-18.516111111111112</v>
      </c>
      <c r="P1290" s="252" t="s">
        <v>113</v>
      </c>
      <c r="Q1290" s="253"/>
      <c r="R1290" s="247" t="s">
        <v>3651</v>
      </c>
      <c r="S1290" s="272" t="s">
        <v>3293</v>
      </c>
      <c r="T1290" s="273">
        <v>8.4</v>
      </c>
      <c r="U1290" s="274"/>
      <c r="V1290" s="280"/>
      <c r="W1290" s="244"/>
      <c r="X1290" s="244"/>
      <c r="Y1290" s="362"/>
      <c r="Z1290" s="257">
        <f>altaz(J2000_Bas,$O1290,$M1290,DecLat,DecLong,1)</f>
        <v>34.451596469310068</v>
      </c>
      <c r="AA1290" s="257">
        <f>altaz((J2000_Bas+(2*0.04167)),$O1290,$M1290,DecLat,DecLong,1)</f>
        <v>16.712241053528754</v>
      </c>
      <c r="AB1290" s="257">
        <f>altaz((J2000_Bas+(4*0.04167)),$O1290,$M1290,DecLat,DecLong,1)</f>
        <v>-6.4378272944652712</v>
      </c>
      <c r="AC1290" s="257">
        <f>altaz((J2000_Bas+(6*0.04167)),$O1290,$M1290,DecLat,DecLong,1)</f>
        <v>-31.713591967829828</v>
      </c>
      <c r="AD1290" s="258">
        <f>1+ transit((J2000_Bas-1),$O1290,$M1290,DecLat,DecLong)/360 + (GMTOffset/24) + (IF(DST="Y", 1, 0)/24)</f>
        <v>1.714566555129708</v>
      </c>
      <c r="AE1290" s="259">
        <f>DATE(2001,9,21)+(M1290/360)*365 - (360*((DecLong/360)- (GMTOffset/24) ))</f>
        <v>37423.408333333333</v>
      </c>
      <c r="AF1290" s="260">
        <f>IF(DecLat&gt;0,IF((90 - (DecLat-O1290))&gt;90, (90 - (O1290-DecLat)), (90 - (DecLat-O1290))),IF((90 + (DecLat-O1290))&gt;90, (90 + (O1290-DecLat)), (90 + (DecLat-O1290))))</f>
        <v>40.483888888888885</v>
      </c>
      <c r="AG1290" s="257">
        <f>angularseperation(MoonRA,MoonDec,$M1290,$O1290)</f>
        <v>12.955026891075413</v>
      </c>
      <c r="AH1290" s="261">
        <f ca="1">MIN(100,IF($O$5&gt;80,0+30*($AG1290/100),IF($O$5&gt;70,0+50*($AG1290/100),IF($O$5&gt;60,5+50*($AG1290/100),IF($O$5&gt;50,10+60*($AG1290/100),IF($O$5&gt;40,15+70*($AG1290/100),IF($O$5&gt;30,20+70*($AG1290/100),IF($O$5&gt;20,40+55*($AG1290/100),(80+(20-$O$5)+30*($AG1290/100))))))))))</f>
        <v>87.157568411473051</v>
      </c>
      <c r="AI1290" s="262">
        <v>6333</v>
      </c>
      <c r="AJ1290" s="262"/>
      <c r="AK1290" s="262"/>
      <c r="AL1290" s="263">
        <v>9</v>
      </c>
      <c r="AM1290" s="264"/>
      <c r="AN1290" s="263"/>
      <c r="AO1290" s="263"/>
      <c r="AP1290" s="265"/>
      <c r="AQ1290" s="266"/>
      <c r="AR1290" s="267"/>
      <c r="AS1290" s="263"/>
      <c r="AT1290" s="263"/>
      <c r="AU1290" s="263"/>
      <c r="AV1290" s="264"/>
      <c r="AW1290" s="263"/>
      <c r="AX1290" s="263"/>
      <c r="AY1290" s="263"/>
      <c r="AZ1290" s="263"/>
      <c r="BA1290" s="263"/>
      <c r="BB1290" s="263"/>
      <c r="BC1290" s="263"/>
      <c r="BD1290" s="264"/>
      <c r="BE1290" s="263"/>
      <c r="BF1290" s="263"/>
      <c r="BG1290" s="263"/>
      <c r="BH1290" s="263"/>
      <c r="BI1290" s="263"/>
      <c r="BJ1290" s="404">
        <f>altaz(J2000_Bas,$O1290,$M1290,DecLat,DecLong,2)</f>
        <v>210.51384534432162</v>
      </c>
      <c r="BK1290" s="378" t="s">
        <v>1331</v>
      </c>
      <c r="BL1290" s="379">
        <f>IF((2*G1290)/60&lt;0.2,0.2,(2*G1290)/60)</f>
        <v>0.3</v>
      </c>
      <c r="BM1290" s="380">
        <f>MOD((50000+AD1290-$B$3+(0/24)),1)</f>
        <v>0.92993348483287264</v>
      </c>
      <c r="BN1290" s="381"/>
      <c r="BO1290" s="382">
        <v>1283</v>
      </c>
    </row>
    <row r="1291" spans="1:67" s="24" customFormat="1" ht="15" customHeight="1" x14ac:dyDescent="0.25">
      <c r="A1291" s="288" t="s">
        <v>1332</v>
      </c>
      <c r="B1291" s="241" t="str">
        <f>HYPERLINK(CONCATENATE($AT$3,BK1291,$AU$3),$AV$3)</f>
        <v>S</v>
      </c>
      <c r="C1291" s="242" t="str">
        <f>HYPERLINK(CONCATENATE($AT$4,BK1291,$AU$4,BL1291),$AV$4)</f>
        <v>A</v>
      </c>
      <c r="D1291" s="243" t="s">
        <v>5335</v>
      </c>
      <c r="E1291" s="244" t="s">
        <v>5184</v>
      </c>
      <c r="F1291" s="269" t="s">
        <v>3318</v>
      </c>
      <c r="G1291" s="276">
        <v>15</v>
      </c>
      <c r="H1291" s="283">
        <v>13000</v>
      </c>
      <c r="I1291" s="246">
        <v>60</v>
      </c>
      <c r="J1291" s="246">
        <v>3</v>
      </c>
      <c r="K1291" s="247" t="s">
        <v>4876</v>
      </c>
      <c r="L1291" s="248">
        <v>165709</v>
      </c>
      <c r="M1291" s="249">
        <f>15*(LEFT(TEXT($L1291,"000000"),2)+(MID(TEXT($L1291,"000000"),3,2)/60)+(RIGHT(TEXT($L1291,"000000"),2)/3600))</f>
        <v>254.28750000000002</v>
      </c>
      <c r="N1291" s="250">
        <v>-40556</v>
      </c>
      <c r="O1291" s="251">
        <f>IF($N1291&gt;0,(LEFT(TEXT($N1291,"000000"),2)+(MID(TEXT($N1291,"000000"),3,2)/60)+(RIGHT(TEXT($N1291,"000000"),2)/3600)),-(MID(TEXT($N1291,"000000"),2,2)+(MID(TEXT($N1291,"000000"),4,2)/60)+(RIGHT(TEXT($N1291,"000000"),2)/3600)))</f>
        <v>-4.0988888888888884</v>
      </c>
      <c r="P1291" s="252" t="s">
        <v>113</v>
      </c>
      <c r="Q1291" s="253"/>
      <c r="R1291" s="247" t="s">
        <v>3647</v>
      </c>
      <c r="S1291" s="272" t="s">
        <v>3293</v>
      </c>
      <c r="T1291" s="273">
        <v>5</v>
      </c>
      <c r="U1291" s="274"/>
      <c r="V1291" s="280"/>
      <c r="W1291" s="244"/>
      <c r="X1291" s="244"/>
      <c r="Y1291" s="362"/>
      <c r="Z1291" s="257">
        <f>altaz(J2000_Bas,$O1291,$M1291,DecLat,DecLong,1)</f>
        <v>43.668868444526105</v>
      </c>
      <c r="AA1291" s="257">
        <f>altaz((J2000_Bas+(2*0.04167)),$O1291,$M1291,DecLat,DecLong,1)</f>
        <v>21.543615537301168</v>
      </c>
      <c r="AB1291" s="257">
        <f>altaz((J2000_Bas+(4*0.04167)),$O1291,$M1291,DecLat,DecLong,1)</f>
        <v>-3.7225677534650554</v>
      </c>
      <c r="AC1291" s="257">
        <f>altaz((J2000_Bas+(6*0.04167)),$O1291,$M1291,DecLat,DecLong,1)</f>
        <v>-29.306813213449058</v>
      </c>
      <c r="AD1291" s="258">
        <f>1+ transit((J2000_Bas-1),$O1291,$M1291,DecLat,DecLong)/360 + (GMTOffset/24) + (IF(DST="Y", 1, 0)/24)</f>
        <v>1.6992540566609582</v>
      </c>
      <c r="AE1291" s="259">
        <f>DATE(2001,9,21)+(M1291/360)*365 - (360*((DecLong/360)- (GMTOffset/24) ))</f>
        <v>37417.81927083333</v>
      </c>
      <c r="AF1291" s="260">
        <f>IF(DecLat&gt;0,IF((90 - (DecLat-O1291))&gt;90, (90 - (O1291-DecLat)), (90 - (DecLat-O1291))),IF((90 + (DecLat-O1291))&gt;90, (90 + (O1291-DecLat)), (90 + (DecLat-O1291))))</f>
        <v>54.901111111111113</v>
      </c>
      <c r="AG1291" s="257">
        <f>angularseperation(MoonRA,MoonDec,$M1291,$O1291)</f>
        <v>23.484988385451025</v>
      </c>
      <c r="AH1291" s="261">
        <f ca="1">MIN(100,IF($O$5&gt;80,0+30*($AG1291/100),IF($O$5&gt;70,0+50*($AG1291/100),IF($O$5&gt;60,5+50*($AG1291/100),IF($O$5&gt;50,10+60*($AG1291/100),IF($O$5&gt;40,15+70*($AG1291/100),IF($O$5&gt;30,20+70*($AG1291/100),IF($O$5&gt;20,40+55*($AG1291/100),(80+(20-$O$5)+30*($AG1291/100))))))))))</f>
        <v>90.316556859785734</v>
      </c>
      <c r="AI1291" s="262">
        <v>6254</v>
      </c>
      <c r="AJ1291" s="262"/>
      <c r="AK1291" s="262"/>
      <c r="AL1291" s="263">
        <v>10</v>
      </c>
      <c r="AM1291" s="264"/>
      <c r="AN1291" s="263"/>
      <c r="AO1291" s="263"/>
      <c r="AP1291" s="265"/>
      <c r="AQ1291" s="266"/>
      <c r="AR1291" s="267"/>
      <c r="AS1291" s="263"/>
      <c r="AT1291" s="263"/>
      <c r="AU1291" s="263"/>
      <c r="AV1291" s="264"/>
      <c r="AW1291" s="263"/>
      <c r="AX1291" s="263"/>
      <c r="AY1291" s="263"/>
      <c r="AZ1291" s="263"/>
      <c r="BA1291" s="263"/>
      <c r="BB1291" s="263"/>
      <c r="BC1291" s="263"/>
      <c r="BD1291" s="264"/>
      <c r="BE1291" s="263"/>
      <c r="BF1291" s="263"/>
      <c r="BG1291" s="263"/>
      <c r="BH1291" s="263"/>
      <c r="BI1291" s="263"/>
      <c r="BJ1291" s="404">
        <f>altaz(J2000_Bas,$O1291,$M1291,DecLat,DecLong,2)</f>
        <v>226.46060912405042</v>
      </c>
      <c r="BK1291" s="378" t="s">
        <v>1332</v>
      </c>
      <c r="BL1291" s="379">
        <f>IF((2*G1291)/60&lt;0.2,0.2,(2*G1291)/60)</f>
        <v>0.5</v>
      </c>
      <c r="BM1291" s="380">
        <f>MOD((50000+AD1291-$B$3+(0/24)),1)</f>
        <v>0.91462098636839073</v>
      </c>
      <c r="BN1291" s="381"/>
      <c r="BO1291" s="382">
        <v>1284</v>
      </c>
    </row>
    <row r="1292" spans="1:67" s="24" customFormat="1" ht="15" customHeight="1" x14ac:dyDescent="0.25">
      <c r="A1292" s="288" t="s">
        <v>1333</v>
      </c>
      <c r="B1292" s="241" t="str">
        <f>HYPERLINK(CONCATENATE($AT$3,BK1292,$AU$3),$AV$3)</f>
        <v>S</v>
      </c>
      <c r="C1292" s="242" t="str">
        <f>HYPERLINK(CONCATENATE($AT$4,BK1292,$AU$4,BL1292),$AV$4)</f>
        <v>A</v>
      </c>
      <c r="D1292" s="243" t="s">
        <v>5335</v>
      </c>
      <c r="E1292" s="244" t="s">
        <v>5185</v>
      </c>
      <c r="F1292" s="269" t="s">
        <v>4877</v>
      </c>
      <c r="G1292" s="273">
        <v>9</v>
      </c>
      <c r="H1292" s="283">
        <v>7600</v>
      </c>
      <c r="I1292" s="246">
        <v>20</v>
      </c>
      <c r="J1292" s="246">
        <v>4</v>
      </c>
      <c r="K1292" s="247" t="s">
        <v>4878</v>
      </c>
      <c r="L1292" s="248">
        <v>185105</v>
      </c>
      <c r="M1292" s="249">
        <f>15*(LEFT(TEXT($L1292,"000000"),2)+(MID(TEXT($L1292,"000000"),3,2)/60)+(RIGHT(TEXT($L1292,"000000"),2)/3600))</f>
        <v>282.77083333333337</v>
      </c>
      <c r="N1292" s="250">
        <v>-61612</v>
      </c>
      <c r="O1292" s="251">
        <f>IF($N1292&gt;0,(LEFT(TEXT($N1292,"000000"),2)+(MID(TEXT($N1292,"000000"),3,2)/60)+(RIGHT(TEXT($N1292,"000000"),2)/3600)),-(MID(TEXT($N1292,"000000"),2,2)+(MID(TEXT($N1292,"000000"),4,2)/60)+(RIGHT(TEXT($N1292,"000000"),2)/3600)))</f>
        <v>-6.27</v>
      </c>
      <c r="P1292" s="252" t="s">
        <v>121</v>
      </c>
      <c r="Q1292" s="253" t="s">
        <v>7163</v>
      </c>
      <c r="R1292" s="247" t="s">
        <v>3672</v>
      </c>
      <c r="S1292" s="272" t="s">
        <v>3293</v>
      </c>
      <c r="T1292" s="273">
        <v>5.8</v>
      </c>
      <c r="U1292" s="274"/>
      <c r="V1292" s="280"/>
      <c r="W1292" s="244"/>
      <c r="X1292" s="244"/>
      <c r="Y1292" s="362"/>
      <c r="Z1292" s="257">
        <f>altaz(J2000_Bas,$O1292,$M1292,DecLat,DecLong,1)</f>
        <v>52.601980237139777</v>
      </c>
      <c r="AA1292" s="257">
        <f>altaz((J2000_Bas+(2*0.04167)),$O1292,$M1292,DecLat,DecLong,1)</f>
        <v>40.977193135906738</v>
      </c>
      <c r="AB1292" s="257">
        <f>altaz((J2000_Bas+(4*0.04167)),$O1292,$M1292,DecLat,DecLong,1)</f>
        <v>18.980577733273432</v>
      </c>
      <c r="AC1292" s="257">
        <f>altaz((J2000_Bas+(6*0.04167)),$O1292,$M1292,DecLat,DecLong,1)</f>
        <v>-6.2028469223676854</v>
      </c>
      <c r="AD1292" s="258">
        <f>1+ transit((J2000_Bas-1),$O1292,$M1292,DecLat,DecLong)/360 + (GMTOffset/24) + (IF(DST="Y", 1, 0)/24)</f>
        <v>1.7783744191192914</v>
      </c>
      <c r="AE1292" s="259">
        <f>DATE(2001,9,21)+(M1292/360)*365 - (360*((DecLong/360)- (GMTOffset/24) ))</f>
        <v>37446.698206018518</v>
      </c>
      <c r="AF1292" s="260">
        <f>IF(DecLat&gt;0,IF((90 - (DecLat-O1292))&gt;90, (90 - (O1292-DecLat)), (90 - (DecLat-O1292))),IF((90 + (DecLat-O1292))&gt;90, (90 + (O1292-DecLat)), (90 + (DecLat-O1292))))</f>
        <v>52.730000000000004</v>
      </c>
      <c r="AG1292" s="257">
        <f>angularseperation(MoonRA,MoonDec,$M1292,$O1292)</f>
        <v>38.049519477695242</v>
      </c>
      <c r="AH1292" s="261">
        <f ca="1">MIN(100,IF($O$5&gt;80,0+30*($AG1292/100),IF($O$5&gt;70,0+50*($AG1292/100),IF($O$5&gt;60,5+50*($AG1292/100),IF($O$5&gt;50,10+60*($AG1292/100),IF($O$5&gt;40,15+70*($AG1292/100),IF($O$5&gt;30,20+70*($AG1292/100),IF($O$5&gt;20,40+55*($AG1292/100),(80+(20-$O$5)+30*($AG1292/100))))))))))</f>
        <v>94.685916187459</v>
      </c>
      <c r="AI1292" s="262">
        <v>6705</v>
      </c>
      <c r="AJ1292" s="262"/>
      <c r="AK1292" s="262"/>
      <c r="AL1292" s="263">
        <v>11</v>
      </c>
      <c r="AM1292" s="264"/>
      <c r="AN1292" s="263"/>
      <c r="AO1292" s="263"/>
      <c r="AP1292" s="265"/>
      <c r="AQ1292" s="266"/>
      <c r="AR1292" s="267"/>
      <c r="AS1292" s="263"/>
      <c r="AT1292" s="263"/>
      <c r="AU1292" s="263"/>
      <c r="AV1292" s="264"/>
      <c r="AW1292" s="263"/>
      <c r="AX1292" s="263"/>
      <c r="AY1292" s="263"/>
      <c r="AZ1292" s="263"/>
      <c r="BA1292" s="263"/>
      <c r="BB1292" s="263"/>
      <c r="BC1292" s="263"/>
      <c r="BD1292" s="264"/>
      <c r="BE1292" s="263"/>
      <c r="BF1292" s="263"/>
      <c r="BG1292" s="263"/>
      <c r="BH1292" s="263"/>
      <c r="BI1292" s="263"/>
      <c r="BJ1292" s="404">
        <f>altaz(J2000_Bas,$O1292,$M1292,DecLat,DecLong,2)</f>
        <v>185.29404875264819</v>
      </c>
      <c r="BK1292" s="378" t="s">
        <v>1333</v>
      </c>
      <c r="BL1292" s="379">
        <f>IF((2*G1292)/60&lt;0.2,0.2,(2*G1292)/60)</f>
        <v>0.3</v>
      </c>
      <c r="BM1292" s="380">
        <f>MOD((50000+AD1292-$B$3+(0/24)),1)</f>
        <v>0.99374134882236831</v>
      </c>
      <c r="BN1292" s="381"/>
      <c r="BO1292" s="382">
        <v>1285</v>
      </c>
    </row>
    <row r="1293" spans="1:67" s="24" customFormat="1" ht="15" customHeight="1" x14ac:dyDescent="0.25">
      <c r="A1293" s="288" t="s">
        <v>1334</v>
      </c>
      <c r="B1293" s="241" t="str">
        <f>HYPERLINK(CONCATENATE($AT$3,BK1293,$AU$3),$AV$3)</f>
        <v>S</v>
      </c>
      <c r="C1293" s="242" t="str">
        <f>HYPERLINK(CONCATENATE($AT$4,BK1293,$AU$4,BL1293),$AV$4)</f>
        <v>A</v>
      </c>
      <c r="D1293" s="243" t="s">
        <v>5335</v>
      </c>
      <c r="E1293" s="244" t="s">
        <v>5184</v>
      </c>
      <c r="F1293" s="269" t="s">
        <v>3320</v>
      </c>
      <c r="G1293" s="276">
        <v>15</v>
      </c>
      <c r="H1293" s="283">
        <v>16000</v>
      </c>
      <c r="I1293" s="246">
        <v>70</v>
      </c>
      <c r="J1293" s="246">
        <v>3</v>
      </c>
      <c r="K1293" s="247" t="s">
        <v>4879</v>
      </c>
      <c r="L1293" s="248">
        <v>164714</v>
      </c>
      <c r="M1293" s="249">
        <f>15*(LEFT(TEXT($L1293,"000000"),2)+(MID(TEXT($L1293,"000000"),3,2)/60)+(RIGHT(TEXT($L1293,"000000"),2)/3600))</f>
        <v>251.80833333333334</v>
      </c>
      <c r="N1293" s="250">
        <v>-15652</v>
      </c>
      <c r="O1293" s="251">
        <f>IF($N1293&gt;0,(LEFT(TEXT($N1293,"000000"),2)+(MID(TEXT($N1293,"000000"),3,2)/60)+(RIGHT(TEXT($N1293,"000000"),2)/3600)),-(MID(TEXT($N1293,"000000"),2,2)+(MID(TEXT($N1293,"000000"),4,2)/60)+(RIGHT(TEXT($N1293,"000000"),2)/3600)))</f>
        <v>-1.9477777777777778</v>
      </c>
      <c r="P1293" s="252" t="s">
        <v>113</v>
      </c>
      <c r="Q1293" s="253"/>
      <c r="R1293" s="247" t="s">
        <v>3646</v>
      </c>
      <c r="S1293" s="272" t="s">
        <v>3293</v>
      </c>
      <c r="T1293" s="273">
        <v>6.1</v>
      </c>
      <c r="U1293" s="274"/>
      <c r="V1293" s="280"/>
      <c r="W1293" s="244"/>
      <c r="X1293" s="244"/>
      <c r="Y1293" s="362"/>
      <c r="Z1293" s="257">
        <f>altaz(J2000_Bas,$O1293,$M1293,DecLat,DecLong,1)</f>
        <v>43.715609273544224</v>
      </c>
      <c r="AA1293" s="257">
        <f>altaz((J2000_Bas+(2*0.04167)),$O1293,$M1293,DecLat,DecLong,1)</f>
        <v>20.749525248819772</v>
      </c>
      <c r="AB1293" s="257">
        <f>altaz((J2000_Bas+(4*0.04167)),$O1293,$M1293,DecLat,DecLong,1)</f>
        <v>-4.74277563463838</v>
      </c>
      <c r="AC1293" s="257">
        <f>altaz((J2000_Bas+(6*0.04167)),$O1293,$M1293,DecLat,DecLong,1)</f>
        <v>-30.138233057522019</v>
      </c>
      <c r="AD1293" s="258">
        <f>1+ transit((J2000_Bas-1),$O1293,$M1293,DecLat,DecLong)/360 + (GMTOffset/24) + (IF(DST="Y", 1, 0)/24)</f>
        <v>1.6923674832755413</v>
      </c>
      <c r="AE1293" s="259">
        <f>DATE(2001,9,21)+(M1293/360)*365 - (360*((DecLong/360)- (GMTOffset/24) ))</f>
        <v>37415.305671296293</v>
      </c>
      <c r="AF1293" s="260">
        <f>IF(DecLat&gt;0,IF((90 - (DecLat-O1293))&gt;90, (90 - (O1293-DecLat)), (90 - (DecLat-O1293))),IF((90 + (DecLat-O1293))&gt;90, (90 + (O1293-DecLat)), (90 + (DecLat-O1293))))</f>
        <v>57.05222222222222</v>
      </c>
      <c r="AG1293" s="257">
        <f>angularseperation(MoonRA,MoonDec,$M1293,$O1293)</f>
        <v>25.256433596870846</v>
      </c>
      <c r="AH1293" s="261">
        <f ca="1">MIN(100,IF($O$5&gt;80,0+30*($AG1293/100),IF($O$5&gt;70,0+50*($AG1293/100),IF($O$5&gt;60,5+50*($AG1293/100),IF($O$5&gt;50,10+60*($AG1293/100),IF($O$5&gt;40,15+70*($AG1293/100),IF($O$5&gt;30,20+70*($AG1293/100),IF($O$5&gt;20,40+55*($AG1293/100),(80+(20-$O$5)+30*($AG1293/100))))))))))</f>
        <v>90.847990423211684</v>
      </c>
      <c r="AI1293" s="262">
        <v>6218</v>
      </c>
      <c r="AJ1293" s="262"/>
      <c r="AK1293" s="262"/>
      <c r="AL1293" s="263">
        <v>12</v>
      </c>
      <c r="AM1293" s="264"/>
      <c r="AN1293" s="263"/>
      <c r="AO1293" s="263"/>
      <c r="AP1293" s="265"/>
      <c r="AQ1293" s="266"/>
      <c r="AR1293" s="267"/>
      <c r="AS1293" s="263"/>
      <c r="AT1293" s="263"/>
      <c r="AU1293" s="263"/>
      <c r="AV1293" s="264"/>
      <c r="AW1293" s="263"/>
      <c r="AX1293" s="263"/>
      <c r="AY1293" s="263"/>
      <c r="AZ1293" s="263"/>
      <c r="BA1293" s="263"/>
      <c r="BB1293" s="263"/>
      <c r="BC1293" s="263"/>
      <c r="BD1293" s="264"/>
      <c r="BE1293" s="263"/>
      <c r="BF1293" s="263"/>
      <c r="BG1293" s="263"/>
      <c r="BH1293" s="263"/>
      <c r="BI1293" s="263"/>
      <c r="BJ1293" s="404">
        <f>altaz(J2000_Bas,$O1293,$M1293,DecLat,DecLong,2)</f>
        <v>230.99642108879175</v>
      </c>
      <c r="BK1293" s="378" t="s">
        <v>1334</v>
      </c>
      <c r="BL1293" s="379">
        <f>IF((2*G1293)/60&lt;0.2,0.2,(2*G1293)/60)</f>
        <v>0.5</v>
      </c>
      <c r="BM1293" s="380">
        <f>MOD((50000+AD1293-$B$3+(0/24)),1)</f>
        <v>0.90773441297642421</v>
      </c>
      <c r="BN1293" s="381"/>
      <c r="BO1293" s="382">
        <v>1286</v>
      </c>
    </row>
    <row r="1294" spans="1:67" s="24" customFormat="1" ht="15" customHeight="1" x14ac:dyDescent="0.25">
      <c r="A1294" s="288" t="s">
        <v>1335</v>
      </c>
      <c r="B1294" s="241" t="str">
        <f>HYPERLINK(CONCATENATE($AT$3,BK1294,$AU$3),$AV$3)</f>
        <v>S</v>
      </c>
      <c r="C1294" s="242" t="str">
        <f>HYPERLINK(CONCATENATE($AT$4,BK1294,$AU$4,BL1294),$AV$4)</f>
        <v>A</v>
      </c>
      <c r="D1294" s="243" t="s">
        <v>5335</v>
      </c>
      <c r="E1294" s="244" t="s">
        <v>5184</v>
      </c>
      <c r="F1294" s="269" t="s">
        <v>3316</v>
      </c>
      <c r="G1294" s="276">
        <v>32</v>
      </c>
      <c r="H1294" s="283">
        <v>25000</v>
      </c>
      <c r="I1294" s="246">
        <v>220</v>
      </c>
      <c r="J1294" s="246">
        <v>5</v>
      </c>
      <c r="K1294" s="247" t="s">
        <v>4888</v>
      </c>
      <c r="L1294" s="248">
        <v>164141</v>
      </c>
      <c r="M1294" s="249">
        <f>15*(LEFT(TEXT($L1294,"000000"),2)+(MID(TEXT($L1294,"000000"),3,2)/60)+(RIGHT(TEXT($L1294,"000000"),2)/3600))</f>
        <v>250.42083333333332</v>
      </c>
      <c r="N1294" s="250">
        <v>362735</v>
      </c>
      <c r="O1294" s="251">
        <f>IF($N1294&gt;0,(LEFT(TEXT($N1294,"000000"),2)+(MID(TEXT($N1294,"000000"),3,2)/60)+(RIGHT(TEXT($N1294,"000000"),2)/3600)),-(MID(TEXT($N1294,"000000"),2,2)+(MID(TEXT($N1294,"000000"),4,2)/60)+(RIGHT(TEXT($N1294,"000000"),2)/3600)))</f>
        <v>36.459722222222226</v>
      </c>
      <c r="P1294" s="252" t="s">
        <v>111</v>
      </c>
      <c r="Q1294" s="253" t="s">
        <v>7115</v>
      </c>
      <c r="R1294" s="247" t="s">
        <v>3644</v>
      </c>
      <c r="S1294" s="272" t="s">
        <v>3293</v>
      </c>
      <c r="T1294" s="273">
        <v>5.8</v>
      </c>
      <c r="U1294" s="274"/>
      <c r="V1294" s="280"/>
      <c r="W1294" s="244"/>
      <c r="X1294" s="244"/>
      <c r="Y1294" s="362"/>
      <c r="Z1294" s="257">
        <f>altaz(J2000_Bas,$O1294,$M1294,DecLat,DecLong,1)</f>
        <v>60.082315678138151</v>
      </c>
      <c r="AA1294" s="257">
        <f>altaz((J2000_Bas+(2*0.04167)),$O1294,$M1294,DecLat,DecLong,1)</f>
        <v>36.166345234522673</v>
      </c>
      <c r="AB1294" s="257">
        <f>altaz((J2000_Bas+(4*0.04167)),$O1294,$M1294,DecLat,DecLong,1)</f>
        <v>13.708675684735583</v>
      </c>
      <c r="AC1294" s="257">
        <f>altaz((J2000_Bas+(6*0.04167)),$O1294,$M1294,DecLat,DecLong,1)</f>
        <v>-5.5980520792933408</v>
      </c>
      <c r="AD1294" s="258">
        <f>1+ transit((J2000_Bas-1),$O1294,$M1294,DecLat,DecLong)/360 + (GMTOffset/24) + (IF(DST="Y", 1, 0)/24)</f>
        <v>1.6885133169942914</v>
      </c>
      <c r="AE1294" s="259">
        <f>DATE(2001,9,21)+(M1294/360)*365 - (360*((DecLong/360)- (GMTOffset/24) ))</f>
        <v>37413.898900462962</v>
      </c>
      <c r="AF1294" s="260">
        <f>IF(DecLat&gt;0,IF((90 - (DecLat-O1294))&gt;90, (90 - (O1294-DecLat)), (90 - (DecLat-O1294))),IF((90 + (DecLat-O1294))&gt;90, (90 + (O1294-DecLat)), (90 + (DecLat-O1294))))</f>
        <v>84.540277777777774</v>
      </c>
      <c r="AG1294" s="257">
        <f>angularseperation(MoonRA,MoonDec,$M1294,$O1294)</f>
        <v>63.55351566381065</v>
      </c>
      <c r="AH1294" s="261">
        <f ca="1">MIN(100,IF($O$5&gt;80,0+30*($AG1294/100),IF($O$5&gt;70,0+50*($AG1294/100),IF($O$5&gt;60,5+50*($AG1294/100),IF($O$5&gt;50,10+60*($AG1294/100),IF($O$5&gt;40,15+70*($AG1294/100),IF($O$5&gt;30,20+70*($AG1294/100),IF($O$5&gt;20,40+55*($AG1294/100),(80+(20-$O$5)+30*($AG1294/100))))))))))</f>
        <v>100</v>
      </c>
      <c r="AI1294" s="262">
        <v>6205</v>
      </c>
      <c r="AJ1294" s="262"/>
      <c r="AK1294" s="262"/>
      <c r="AL1294" s="263">
        <v>13</v>
      </c>
      <c r="AM1294" s="264"/>
      <c r="AN1294" s="263"/>
      <c r="AO1294" s="263"/>
      <c r="AP1294" s="265"/>
      <c r="AQ1294" s="266"/>
      <c r="AR1294" s="267"/>
      <c r="AS1294" s="263"/>
      <c r="AT1294" s="263"/>
      <c r="AU1294" s="263"/>
      <c r="AV1294" s="264"/>
      <c r="AW1294" s="263"/>
      <c r="AX1294" s="263"/>
      <c r="AY1294" s="263"/>
      <c r="AZ1294" s="263"/>
      <c r="BA1294" s="263"/>
      <c r="BB1294" s="263"/>
      <c r="BC1294" s="263"/>
      <c r="BD1294" s="264"/>
      <c r="BE1294" s="263"/>
      <c r="BF1294" s="263"/>
      <c r="BG1294" s="263"/>
      <c r="BH1294" s="263"/>
      <c r="BI1294" s="263"/>
      <c r="BJ1294" s="404">
        <f>altaz(J2000_Bas,$O1294,$M1294,DecLat,DecLong,2)</f>
        <v>290.23302286023494</v>
      </c>
      <c r="BK1294" s="378" t="s">
        <v>1335</v>
      </c>
      <c r="BL1294" s="379">
        <f>IF((2*G1294)/60&lt;0.2,0.2,(2*G1294)/60)</f>
        <v>1.0666666666666667</v>
      </c>
      <c r="BM1294" s="380">
        <f>MOD((50000+AD1294-$B$3+(0/24)),1)</f>
        <v>0.90388024669664446</v>
      </c>
      <c r="BN1294" s="381"/>
      <c r="BO1294" s="382">
        <v>1287</v>
      </c>
    </row>
    <row r="1295" spans="1:67" s="24" customFormat="1" ht="15" customHeight="1" x14ac:dyDescent="0.25">
      <c r="A1295" s="288" t="s">
        <v>1336</v>
      </c>
      <c r="B1295" s="241" t="str">
        <f>HYPERLINK(CONCATENATE($AT$3,BK1295,$AU$3),$AV$3)</f>
        <v>S</v>
      </c>
      <c r="C1295" s="242" t="str">
        <f>HYPERLINK(CONCATENATE($AT$4,BK1295,$AU$4,BL1295),$AV$4)</f>
        <v>A</v>
      </c>
      <c r="D1295" s="243" t="s">
        <v>5335</v>
      </c>
      <c r="E1295" s="244" t="s">
        <v>5184</v>
      </c>
      <c r="F1295" s="269" t="s">
        <v>3314</v>
      </c>
      <c r="G1295" s="276">
        <v>13</v>
      </c>
      <c r="H1295" s="283">
        <v>30000</v>
      </c>
      <c r="I1295" s="246">
        <v>110</v>
      </c>
      <c r="J1295" s="246">
        <v>3</v>
      </c>
      <c r="K1295" s="247" t="s">
        <v>4889</v>
      </c>
      <c r="L1295" s="248">
        <v>173736</v>
      </c>
      <c r="M1295" s="249">
        <f>15*(LEFT(TEXT($L1295,"000000"),2)+(MID(TEXT($L1295,"000000"),3,2)/60)+(RIGHT(TEXT($L1295,"000000"),2)/3600))</f>
        <v>264.40000000000003</v>
      </c>
      <c r="N1295" s="250">
        <v>-31443</v>
      </c>
      <c r="O1295" s="251">
        <f>IF($N1295&gt;0,(LEFT(TEXT($N1295,"000000"),2)+(MID(TEXT($N1295,"000000"),3,2)/60)+(RIGHT(TEXT($N1295,"000000"),2)/3600)),-(MID(TEXT($N1295,"000000"),2,2)+(MID(TEXT($N1295,"000000"),4,2)/60)+(RIGHT(TEXT($N1295,"000000"),2)/3600)))</f>
        <v>-3.2452777777777779</v>
      </c>
      <c r="P1295" s="252" t="s">
        <v>113</v>
      </c>
      <c r="Q1295" s="253"/>
      <c r="R1295" s="247" t="s">
        <v>3655</v>
      </c>
      <c r="S1295" s="272" t="s">
        <v>3293</v>
      </c>
      <c r="T1295" s="273">
        <v>5.7</v>
      </c>
      <c r="U1295" s="274"/>
      <c r="V1295" s="280"/>
      <c r="W1295" s="244"/>
      <c r="X1295" s="244"/>
      <c r="Y1295" s="362"/>
      <c r="Z1295" s="257">
        <f>altaz(J2000_Bas,$O1295,$M1295,DecLat,DecLong,1)</f>
        <v>50.042846747444415</v>
      </c>
      <c r="AA1295" s="257">
        <f>altaz((J2000_Bas+(2*0.04167)),$O1295,$M1295,DecLat,DecLong,1)</f>
        <v>30.092413031290157</v>
      </c>
      <c r="AB1295" s="257">
        <f>altaz((J2000_Bas+(4*0.04167)),$O1295,$M1295,DecLat,DecLong,1)</f>
        <v>5.3547704377575176</v>
      </c>
      <c r="AC1295" s="257">
        <f>altaz((J2000_Bas+(6*0.04167)),$O1295,$M1295,DecLat,DecLong,1)</f>
        <v>-20.349787092121598</v>
      </c>
      <c r="AD1295" s="258">
        <f>1+ transit((J2000_Bas-1),$O1295,$M1295,DecLat,DecLong)/360 + (GMTOffset/24) + (IF(DST="Y", 1, 0)/24)</f>
        <v>1.7273443316297081</v>
      </c>
      <c r="AE1295" s="259">
        <f>DATE(2001,9,21)+(M1295/360)*365 - (360*((DecLong/360)- (GMTOffset/24) ))</f>
        <v>37428.072222222225</v>
      </c>
      <c r="AF1295" s="260">
        <f>IF(DecLat&gt;0,IF((90 - (DecLat-O1295))&gt;90, (90 - (O1295-DecLat)), (90 - (DecLat-O1295))),IF((90 + (DecLat-O1295))&gt;90, (90 + (O1295-DecLat)), (90 + (DecLat-O1295))))</f>
        <v>55.75472222222222</v>
      </c>
      <c r="AG1295" s="257">
        <f>angularseperation(MoonRA,MoonDec,$M1295,$O1295)</f>
        <v>27.900800382716419</v>
      </c>
      <c r="AH1295" s="261">
        <f ca="1">MIN(100,IF($O$5&gt;80,0+30*($AG1295/100),IF($O$5&gt;70,0+50*($AG1295/100),IF($O$5&gt;60,5+50*($AG1295/100),IF($O$5&gt;50,10+60*($AG1295/100),IF($O$5&gt;40,15+70*($AG1295/100),IF($O$5&gt;30,20+70*($AG1295/100),IF($O$5&gt;20,40+55*($AG1295/100),(80+(20-$O$5)+30*($AG1295/100))))))))))</f>
        <v>91.641300458965347</v>
      </c>
      <c r="AI1295" s="262">
        <v>6402</v>
      </c>
      <c r="AJ1295" s="262"/>
      <c r="AK1295" s="262"/>
      <c r="AL1295" s="263">
        <v>14</v>
      </c>
      <c r="AM1295" s="264"/>
      <c r="AN1295" s="263"/>
      <c r="AO1295" s="263"/>
      <c r="AP1295" s="265"/>
      <c r="AQ1295" s="266"/>
      <c r="AR1295" s="267"/>
      <c r="AS1295" s="263"/>
      <c r="AT1295" s="263"/>
      <c r="AU1295" s="263"/>
      <c r="AV1295" s="264"/>
      <c r="AW1295" s="263"/>
      <c r="AX1295" s="263"/>
      <c r="AY1295" s="263"/>
      <c r="AZ1295" s="263"/>
      <c r="BA1295" s="263"/>
      <c r="BB1295" s="263"/>
      <c r="BC1295" s="263"/>
      <c r="BD1295" s="264"/>
      <c r="BE1295" s="263"/>
      <c r="BF1295" s="263"/>
      <c r="BG1295" s="263"/>
      <c r="BH1295" s="263"/>
      <c r="BI1295" s="263"/>
      <c r="BJ1295" s="404">
        <f>altaz(J2000_Bas,$O1295,$M1295,DecLat,DecLong,2)</f>
        <v>214.91483357994599</v>
      </c>
      <c r="BK1295" s="378" t="s">
        <v>1336</v>
      </c>
      <c r="BL1295" s="379">
        <f>IF((2*G1295)/60&lt;0.2,0.2,(2*G1295)/60)</f>
        <v>0.43333333333333335</v>
      </c>
      <c r="BM1295" s="380">
        <f>MOD((50000+AD1295-$B$3+(0/24)),1)</f>
        <v>0.94271126133389771</v>
      </c>
      <c r="BN1295" s="381"/>
      <c r="BO1295" s="382">
        <v>1288</v>
      </c>
    </row>
    <row r="1296" spans="1:67" s="24" customFormat="1" ht="15" customHeight="1" x14ac:dyDescent="0.25">
      <c r="A1296" s="288" t="s">
        <v>1337</v>
      </c>
      <c r="B1296" s="241" t="str">
        <f>HYPERLINK(CONCATENATE($AT$3,BK1296,$AU$3),$AV$3)</f>
        <v>S</v>
      </c>
      <c r="C1296" s="242" t="str">
        <f>HYPERLINK(CONCATENATE($AT$4,BK1296,$AU$4,BL1296),$AV$4)</f>
        <v>A</v>
      </c>
      <c r="D1296" s="243" t="s">
        <v>5335</v>
      </c>
      <c r="E1296" s="244" t="s">
        <v>5184</v>
      </c>
      <c r="F1296" s="269" t="s">
        <v>3317</v>
      </c>
      <c r="G1296" s="276">
        <v>12</v>
      </c>
      <c r="H1296" s="283">
        <v>34000</v>
      </c>
      <c r="I1296" s="246">
        <v>120</v>
      </c>
      <c r="J1296" s="246">
        <v>3</v>
      </c>
      <c r="K1296" s="247" t="s">
        <v>4890</v>
      </c>
      <c r="L1296" s="248">
        <v>212958</v>
      </c>
      <c r="M1296" s="249">
        <f>15*(LEFT(TEXT($L1296,"000000"),2)+(MID(TEXT($L1296,"000000"),3,2)/60)+(RIGHT(TEXT($L1296,"000000"),2)/3600))</f>
        <v>322.49166666666667</v>
      </c>
      <c r="N1296" s="250">
        <v>121002</v>
      </c>
      <c r="O1296" s="251">
        <f>IF($N1296&gt;0,(LEFT(TEXT($N1296,"000000"),2)+(MID(TEXT($N1296,"000000"),3,2)/60)+(RIGHT(TEXT($N1296,"000000"),2)/3600)),-(MID(TEXT($N1296,"000000"),2,2)+(MID(TEXT($N1296,"000000"),4,2)/60)+(RIGHT(TEXT($N1296,"000000"),2)/3600)))</f>
        <v>12.167222222222222</v>
      </c>
      <c r="P1296" s="252" t="s">
        <v>39</v>
      </c>
      <c r="Q1296" s="253" t="s">
        <v>7116</v>
      </c>
      <c r="R1296" s="247" t="s">
        <v>3684</v>
      </c>
      <c r="S1296" s="272" t="s">
        <v>3293</v>
      </c>
      <c r="T1296" s="273">
        <v>6.3</v>
      </c>
      <c r="U1296" s="274"/>
      <c r="V1296" s="280"/>
      <c r="W1296" s="244"/>
      <c r="X1296" s="244"/>
      <c r="Y1296" s="362"/>
      <c r="Z1296" s="257">
        <f>altaz(J2000_Bas,$O1296,$M1296,DecLat,DecLong,1)</f>
        <v>51.463304117118696</v>
      </c>
      <c r="AA1296" s="257">
        <f>altaz((J2000_Bas+(2*0.04167)),$O1296,$M1296,DecLat,DecLong,1)</f>
        <v>70.260084031929168</v>
      </c>
      <c r="AB1296" s="257">
        <f>altaz((J2000_Bas+(4*0.04167)),$O1296,$M1296,DecLat,DecLong,1)</f>
        <v>61.153405786203493</v>
      </c>
      <c r="AC1296" s="257">
        <f>altaz((J2000_Bas+(6*0.04167)),$O1296,$M1296,DecLat,DecLong,1)</f>
        <v>37.145839951756955</v>
      </c>
      <c r="AD1296" s="258">
        <f>1+ transit((J2000_Bas-1),$O1296,$M1296,DecLat,DecLong)/360 + (GMTOffset/24) + (IF(DST="Y", 1, 0)/24)</f>
        <v>1.8887100562338748</v>
      </c>
      <c r="AE1296" s="259">
        <f>DATE(2001,9,21)+(M1296/360)*365 - (360*((DecLong/360)- (GMTOffset/24) ))</f>
        <v>37486.970717592594</v>
      </c>
      <c r="AF1296" s="260">
        <f>IF(DecLat&gt;0,IF((90 - (DecLat-O1296))&gt;90, (90 - (O1296-DecLat)), (90 - (DecLat-O1296))),IF((90 + (DecLat-O1296))&gt;90, (90 + (O1296-DecLat)), (90 + (DecLat-O1296))))</f>
        <v>71.167222222222222</v>
      </c>
      <c r="AG1296" s="257">
        <f>angularseperation(MoonRA,MoonDec,$M1296,$O1296)</f>
        <v>81.090686090522141</v>
      </c>
      <c r="AH1296" s="261">
        <f ca="1">MIN(100,IF($O$5&gt;80,0+30*($AG1296/100),IF($O$5&gt;70,0+50*($AG1296/100),IF($O$5&gt;60,5+50*($AG1296/100),IF($O$5&gt;50,10+60*($AG1296/100),IF($O$5&gt;40,15+70*($AG1296/100),IF($O$5&gt;30,20+70*($AG1296/100),IF($O$5&gt;20,40+55*($AG1296/100),(80+(20-$O$5)+30*($AG1296/100))))))))))</f>
        <v>100</v>
      </c>
      <c r="AI1296" s="262">
        <v>7078</v>
      </c>
      <c r="AJ1296" s="262"/>
      <c r="AK1296" s="262"/>
      <c r="AL1296" s="263">
        <v>15</v>
      </c>
      <c r="AM1296" s="264"/>
      <c r="AN1296" s="263"/>
      <c r="AO1296" s="263"/>
      <c r="AP1296" s="265"/>
      <c r="AQ1296" s="266"/>
      <c r="AR1296" s="267"/>
      <c r="AS1296" s="263"/>
      <c r="AT1296" s="263"/>
      <c r="AU1296" s="263"/>
      <c r="AV1296" s="264"/>
      <c r="AW1296" s="263"/>
      <c r="AX1296" s="263"/>
      <c r="AY1296" s="263"/>
      <c r="AZ1296" s="263"/>
      <c r="BA1296" s="263"/>
      <c r="BB1296" s="263"/>
      <c r="BC1296" s="263"/>
      <c r="BD1296" s="264"/>
      <c r="BE1296" s="263"/>
      <c r="BF1296" s="263"/>
      <c r="BG1296" s="263"/>
      <c r="BH1296" s="263"/>
      <c r="BI1296" s="263"/>
      <c r="BJ1296" s="404">
        <f>altaz(J2000_Bas,$O1296,$M1296,DecLat,DecLong,2)</f>
        <v>111.08313440011028</v>
      </c>
      <c r="BK1296" s="378" t="s">
        <v>1337</v>
      </c>
      <c r="BL1296" s="379">
        <f>IF((2*G1296)/60&lt;0.2,0.2,(2*G1296)/60)</f>
        <v>0.4</v>
      </c>
      <c r="BM1296" s="380">
        <f>MOD((50000+AD1296-$B$3+(0/24)),1)</f>
        <v>0.10407698593917303</v>
      </c>
      <c r="BN1296" s="381"/>
      <c r="BO1296" s="382">
        <v>1289</v>
      </c>
    </row>
    <row r="1297" spans="1:67" s="24" customFormat="1" ht="15" customHeight="1" x14ac:dyDescent="0.25">
      <c r="A1297" s="288" t="s">
        <v>1338</v>
      </c>
      <c r="B1297" s="241" t="str">
        <f>HYPERLINK(CONCATENATE($AT$3,BK1297,$AU$3),$AV$3)</f>
        <v>S</v>
      </c>
      <c r="C1297" s="242" t="str">
        <f>HYPERLINK(CONCATENATE($AT$4,BK1297,$AU$4,BL1297),$AV$4)</f>
        <v>A</v>
      </c>
      <c r="D1297" s="243" t="s">
        <v>5187</v>
      </c>
      <c r="E1297" s="244" t="s">
        <v>5183</v>
      </c>
      <c r="F1297" s="269" t="s">
        <v>9183</v>
      </c>
      <c r="G1297" s="276">
        <v>35</v>
      </c>
      <c r="H1297" s="283">
        <v>5500</v>
      </c>
      <c r="I1297" s="246">
        <v>60</v>
      </c>
      <c r="J1297" s="326">
        <v>5</v>
      </c>
      <c r="K1297" s="247" t="s">
        <v>4892</v>
      </c>
      <c r="L1297" s="248">
        <v>181848</v>
      </c>
      <c r="M1297" s="249">
        <f>15*(LEFT(TEXT($L1297,"000000"),2)+(MID(TEXT($L1297,"000000"),3,2)/60)+(RIGHT(TEXT($L1297,"000000"),2)/3600))</f>
        <v>274.7</v>
      </c>
      <c r="N1297" s="250">
        <v>-134824</v>
      </c>
      <c r="O1297" s="251">
        <f>IF($N1297&gt;0,(LEFT(TEXT($N1297,"000000"),2)+(MID(TEXT($N1297,"000000"),3,2)/60)+(RIGHT(TEXT($N1297,"000000"),2)/3600)),-(MID(TEXT($N1297,"000000"),2,2)+(MID(TEXT($N1297,"000000"),4,2)/60)+(RIGHT(TEXT($N1297,"000000"),2)/3600)))</f>
        <v>-13.806666666666667</v>
      </c>
      <c r="P1297" s="252" t="s">
        <v>115</v>
      </c>
      <c r="Q1297" s="253" t="s">
        <v>6976</v>
      </c>
      <c r="R1297" s="247" t="s">
        <v>6083</v>
      </c>
      <c r="S1297" s="272" t="s">
        <v>4891</v>
      </c>
      <c r="T1297" s="273"/>
      <c r="U1297" s="274"/>
      <c r="V1297" s="280"/>
      <c r="W1297" s="244"/>
      <c r="X1297" s="244"/>
      <c r="Y1297" s="362"/>
      <c r="Z1297" s="257">
        <f>altaz(J2000_Bas,$O1297,$M1297,DecLat,DecLong,1)</f>
        <v>43.895472782929737</v>
      </c>
      <c r="AA1297" s="257">
        <f>altaz((J2000_Bas+(2*0.04167)),$O1297,$M1297,DecLat,DecLong,1)</f>
        <v>30.106193357473561</v>
      </c>
      <c r="AB1297" s="257">
        <f>altaz((J2000_Bas+(4*0.04167)),$O1297,$M1297,DecLat,DecLong,1)</f>
        <v>8.140574533453858</v>
      </c>
      <c r="AC1297" s="257">
        <f>altaz((J2000_Bas+(6*0.04167)),$O1297,$M1297,DecLat,DecLong,1)</f>
        <v>-16.83801314733735</v>
      </c>
      <c r="AD1297" s="258">
        <f>1+ transit((J2000_Bas-1),$O1297,$M1297,DecLat,DecLong)/360 + (GMTOffset/24) + (IF(DST="Y", 1, 0)/24)</f>
        <v>1.7559554398797079</v>
      </c>
      <c r="AE1297" s="259">
        <f>DATE(2001,9,21)+(M1297/360)*365 - (360*((DecLong/360)- (GMTOffset/24) ))</f>
        <v>37438.515277777777</v>
      </c>
      <c r="AF1297" s="260">
        <f>IF(DecLat&gt;0,IF((90 - (DecLat-O1297))&gt;90, (90 - (O1297-DecLat)), (90 - (DecLat-O1297))),IF((90 + (DecLat-O1297))&gt;90, (90 + (O1297-DecLat)), (90 + (DecLat-O1297))))</f>
        <v>45.193333333333335</v>
      </c>
      <c r="AG1297" s="257">
        <f>angularseperation(MoonRA,MoonDec,$M1297,$O1297)</f>
        <v>27.212659041870303</v>
      </c>
      <c r="AH1297" s="261">
        <f ca="1">MIN(100,IF($O$5&gt;80,0+30*($AG1297/100),IF($O$5&gt;70,0+50*($AG1297/100),IF($O$5&gt;60,5+50*($AG1297/100),IF($O$5&gt;50,10+60*($AG1297/100),IF($O$5&gt;40,15+70*($AG1297/100),IF($O$5&gt;30,20+70*($AG1297/100),IF($O$5&gt;20,40+55*($AG1297/100),(80+(20-$O$5)+30*($AG1297/100))))))))))</f>
        <v>91.434858056711519</v>
      </c>
      <c r="AI1297" s="262"/>
      <c r="AJ1297" s="262">
        <v>4703</v>
      </c>
      <c r="AK1297" s="262"/>
      <c r="AL1297" s="263">
        <v>16</v>
      </c>
      <c r="AM1297" s="264"/>
      <c r="AN1297" s="263"/>
      <c r="AO1297" s="263"/>
      <c r="AP1297" s="265"/>
      <c r="AQ1297" s="266"/>
      <c r="AR1297" s="267"/>
      <c r="AS1297" s="263"/>
      <c r="AT1297" s="263"/>
      <c r="AU1297" s="263"/>
      <c r="AV1297" s="264"/>
      <c r="AW1297" s="263"/>
      <c r="AX1297" s="263">
        <v>83</v>
      </c>
      <c r="AY1297" s="263">
        <v>67</v>
      </c>
      <c r="AZ1297" s="263"/>
      <c r="BA1297" s="263">
        <v>165</v>
      </c>
      <c r="BB1297" s="263">
        <v>49</v>
      </c>
      <c r="BC1297" s="263"/>
      <c r="BD1297" s="264"/>
      <c r="BE1297" s="263"/>
      <c r="BF1297" s="263"/>
      <c r="BG1297" s="263"/>
      <c r="BH1297" s="263"/>
      <c r="BI1297" s="263"/>
      <c r="BJ1297" s="404">
        <f>altaz(J2000_Bas,$O1297,$M1297,DecLat,DecLong,2)</f>
        <v>195.31481876256092</v>
      </c>
      <c r="BK1297" s="378" t="s">
        <v>1338</v>
      </c>
      <c r="BL1297" s="379">
        <f>IF((2*G1297)/60&lt;0.2,0.2,(2*G1297)/60)</f>
        <v>1.1666666666666667</v>
      </c>
      <c r="BM1297" s="380">
        <f>MOD((50000+AD1297-$B$3+(0/24)),1)</f>
        <v>0.97132236958714202</v>
      </c>
      <c r="BN1297" s="381" t="s">
        <v>8664</v>
      </c>
      <c r="BO1297" s="382">
        <v>1290</v>
      </c>
    </row>
    <row r="1298" spans="1:67" s="24" customFormat="1" ht="15" customHeight="1" x14ac:dyDescent="0.25">
      <c r="A1298" s="288" t="s">
        <v>1339</v>
      </c>
      <c r="B1298" s="241" t="str">
        <f>HYPERLINK(CONCATENATE($AT$3,BK1298,$AU$3),$AV$3)</f>
        <v>S</v>
      </c>
      <c r="C1298" s="242" t="str">
        <f>HYPERLINK(CONCATENATE($AT$4,BK1298,$AU$4,BL1298),$AV$4)</f>
        <v>A</v>
      </c>
      <c r="D1298" s="243" t="s">
        <v>5187</v>
      </c>
      <c r="E1298" s="244" t="s">
        <v>5183</v>
      </c>
      <c r="F1298" s="269" t="s">
        <v>9161</v>
      </c>
      <c r="G1298" s="276">
        <v>60</v>
      </c>
      <c r="H1298" s="283">
        <v>5000</v>
      </c>
      <c r="I1298" s="246">
        <v>90</v>
      </c>
      <c r="J1298" s="246">
        <v>5</v>
      </c>
      <c r="K1298" s="247" t="s">
        <v>4893</v>
      </c>
      <c r="L1298" s="248">
        <v>182047</v>
      </c>
      <c r="M1298" s="249">
        <f>15*(LEFT(TEXT($L1298,"000000"),2)+(MID(TEXT($L1298,"000000"),3,2)/60)+(RIGHT(TEXT($L1298,"000000"),2)/3600))</f>
        <v>275.19583333333333</v>
      </c>
      <c r="N1298" s="250">
        <v>-161018</v>
      </c>
      <c r="O1298" s="251">
        <f>IF($N1298&gt;0,(LEFT(TEXT($N1298,"000000"),2)+(MID(TEXT($N1298,"000000"),3,2)/60)+(RIGHT(TEXT($N1298,"000000"),2)/3600)),-(MID(TEXT($N1298,"000000"),2,2)+(MID(TEXT($N1298,"000000"),4,2)/60)+(RIGHT(TEXT($N1298,"000000"),2)/3600)))</f>
        <v>-16.171666666666667</v>
      </c>
      <c r="P1298" s="252" t="s">
        <v>119</v>
      </c>
      <c r="Q1298" s="253" t="s">
        <v>7040</v>
      </c>
      <c r="R1298" s="247" t="s">
        <v>6080</v>
      </c>
      <c r="S1298" s="272" t="s">
        <v>3293</v>
      </c>
      <c r="T1298" s="273"/>
      <c r="U1298" s="274"/>
      <c r="V1298" s="280"/>
      <c r="W1298" s="244"/>
      <c r="X1298" s="244"/>
      <c r="Y1298" s="362"/>
      <c r="Z1298" s="257">
        <f>altaz(J2000_Bas,$O1298,$M1298,DecLat,DecLong,1)</f>
        <v>41.697957011501948</v>
      </c>
      <c r="AA1298" s="257">
        <f>altaz((J2000_Bas+(2*0.04167)),$O1298,$M1298,DecLat,DecLong,1)</f>
        <v>28.61304804423397</v>
      </c>
      <c r="AB1298" s="257">
        <f>altaz((J2000_Bas+(4*0.04167)),$O1298,$M1298,DecLat,DecLong,1)</f>
        <v>7.1752895790611335</v>
      </c>
      <c r="AC1298" s="257">
        <f>altaz((J2000_Bas+(6*0.04167)),$O1298,$M1298,DecLat,DecLong,1)</f>
        <v>-17.540641605569533</v>
      </c>
      <c r="AD1298" s="258">
        <f>1+ transit((J2000_Bas-1),$O1298,$M1298,DecLat,DecLong)/360 + (GMTOffset/24) + (IF(DST="Y", 1, 0)/24)</f>
        <v>1.7573327545567914</v>
      </c>
      <c r="AE1298" s="259">
        <f>DATE(2001,9,21)+(M1298/360)*365 - (360*((DecLong/360)- (GMTOffset/24) ))</f>
        <v>37439.017997685187</v>
      </c>
      <c r="AF1298" s="260">
        <f>IF(DecLat&gt;0,IF((90 - (DecLat-O1298))&gt;90, (90 - (O1298-DecLat)), (90 - (DecLat-O1298))),IF((90 + (DecLat-O1298))&gt;90, (90 + (O1298-DecLat)), (90 + (DecLat-O1298))))</f>
        <v>42.828333333333333</v>
      </c>
      <c r="AG1298" s="257">
        <f>angularseperation(MoonRA,MoonDec,$M1298,$O1298)</f>
        <v>26.404519052954221</v>
      </c>
      <c r="AH1298" s="261">
        <f ca="1">MIN(100,IF($O$5&gt;80,0+30*($AG1298/100),IF($O$5&gt;70,0+50*($AG1298/100),IF($O$5&gt;60,5+50*($AG1298/100),IF($O$5&gt;50,10+60*($AG1298/100),IF($O$5&gt;40,15+70*($AG1298/100),IF($O$5&gt;30,20+70*($AG1298/100),IF($O$5&gt;20,40+55*($AG1298/100),(80+(20-$O$5)+30*($AG1298/100))))))))))</f>
        <v>91.192416060036692</v>
      </c>
      <c r="AI1298" s="262">
        <v>6618</v>
      </c>
      <c r="AJ1298" s="262"/>
      <c r="AK1298" s="262"/>
      <c r="AL1298" s="263">
        <v>17</v>
      </c>
      <c r="AM1298" s="264"/>
      <c r="AN1298" s="263"/>
      <c r="AO1298" s="263"/>
      <c r="AP1298" s="265"/>
      <c r="AQ1298" s="266"/>
      <c r="AR1298" s="267"/>
      <c r="AS1298" s="263"/>
      <c r="AT1298" s="263"/>
      <c r="AU1298" s="263"/>
      <c r="AV1298" s="264"/>
      <c r="AW1298" s="263"/>
      <c r="AX1298" s="263">
        <v>81</v>
      </c>
      <c r="AY1298" s="263">
        <v>60</v>
      </c>
      <c r="AZ1298" s="263"/>
      <c r="BA1298" s="263">
        <v>160</v>
      </c>
      <c r="BB1298" s="263">
        <v>45</v>
      </c>
      <c r="BC1298" s="263"/>
      <c r="BD1298" s="264"/>
      <c r="BE1298" s="263"/>
      <c r="BF1298" s="263"/>
      <c r="BG1298" s="263"/>
      <c r="BH1298" s="263"/>
      <c r="BI1298" s="263"/>
      <c r="BJ1298" s="404">
        <f>altaz(J2000_Bas,$O1298,$M1298,DecLat,DecLong,2)</f>
        <v>193.95610576478219</v>
      </c>
      <c r="BK1298" s="378" t="s">
        <v>1339</v>
      </c>
      <c r="BL1298" s="379">
        <f>IF((2*G1298)/60&lt;0.2,0.2,(2*G1298)/60)</f>
        <v>2</v>
      </c>
      <c r="BM1298" s="380">
        <f>MOD((50000+AD1298-$B$3+(0/24)),1)</f>
        <v>0.97269968425825937</v>
      </c>
      <c r="BN1298" s="381"/>
      <c r="BO1298" s="382">
        <v>1291</v>
      </c>
    </row>
    <row r="1299" spans="1:67" s="24" customFormat="1" ht="15" customHeight="1" x14ac:dyDescent="0.25">
      <c r="A1299" s="288" t="s">
        <v>1340</v>
      </c>
      <c r="B1299" s="241" t="str">
        <f>HYPERLINK(CONCATENATE($AT$3,BK1299,$AU$3),$AV$3)</f>
        <v>S</v>
      </c>
      <c r="C1299" s="242" t="str">
        <f>HYPERLINK(CONCATENATE($AT$4,BK1299,$AU$4,BL1299),$AV$4)</f>
        <v>A</v>
      </c>
      <c r="D1299" s="243" t="s">
        <v>5335</v>
      </c>
      <c r="E1299" s="244" t="s">
        <v>5185</v>
      </c>
      <c r="F1299" s="269" t="s">
        <v>4894</v>
      </c>
      <c r="G1299" s="273">
        <v>7</v>
      </c>
      <c r="H1299" s="283">
        <v>4800</v>
      </c>
      <c r="I1299" s="244">
        <v>10</v>
      </c>
      <c r="J1299" s="246">
        <v>2</v>
      </c>
      <c r="K1299" s="247" t="s">
        <v>4895</v>
      </c>
      <c r="L1299" s="248">
        <v>181958</v>
      </c>
      <c r="M1299" s="249">
        <f>15*(LEFT(TEXT($L1299,"000000"),2)+(MID(TEXT($L1299,"000000"),3,2)/60)+(RIGHT(TEXT($L1299,"000000"),2)/3600))</f>
        <v>274.99166666666667</v>
      </c>
      <c r="N1299" s="250">
        <v>-170607</v>
      </c>
      <c r="O1299" s="251">
        <f>IF($N1299&gt;0,(LEFT(TEXT($N1299,"000000"),2)+(MID(TEXT($N1299,"000000"),3,2)/60)+(RIGHT(TEXT($N1299,"000000"),2)/3600)),-(MID(TEXT($N1299,"000000"),2,2)+(MID(TEXT($N1299,"000000"),4,2)/60)+(RIGHT(TEXT($N1299,"000000"),2)/3600)))</f>
        <v>-17.101944444444445</v>
      </c>
      <c r="P1299" s="252" t="s">
        <v>119</v>
      </c>
      <c r="Q1299" s="253" t="s">
        <v>7096</v>
      </c>
      <c r="R1299" s="247" t="s">
        <v>3664</v>
      </c>
      <c r="S1299" s="272" t="s">
        <v>3293</v>
      </c>
      <c r="T1299" s="273">
        <v>6.9</v>
      </c>
      <c r="U1299" s="274"/>
      <c r="V1299" s="280"/>
      <c r="W1299" s="244"/>
      <c r="X1299" s="244"/>
      <c r="Y1299" s="362"/>
      <c r="Z1299" s="257">
        <f>altaz(J2000_Bas,$O1299,$M1299,DecLat,DecLong,1)</f>
        <v>40.747383305345693</v>
      </c>
      <c r="AA1299" s="257">
        <f>altaz((J2000_Bas+(2*0.04167)),$O1299,$M1299,DecLat,DecLong,1)</f>
        <v>27.771878998764542</v>
      </c>
      <c r="AB1299" s="257">
        <f>altaz((J2000_Bas+(4*0.04167)),$O1299,$M1299,DecLat,DecLong,1)</f>
        <v>6.4786343163118252</v>
      </c>
      <c r="AC1299" s="257">
        <f>altaz((J2000_Bas+(6*0.04167)),$O1299,$M1299,DecLat,DecLong,1)</f>
        <v>-18.149298774105262</v>
      </c>
      <c r="AD1299" s="258">
        <f>1+ transit((J2000_Bas-1),$O1299,$M1299,DecLat,DecLong)/360 + (GMTOffset/24) + (IF(DST="Y", 1, 0)/24)</f>
        <v>1.7567656249838748</v>
      </c>
      <c r="AE1299" s="259">
        <f>DATE(2001,9,21)+(M1299/360)*365 - (360*((DecLong/360)- (GMTOffset/24) ))</f>
        <v>37438.810995370368</v>
      </c>
      <c r="AF1299" s="260">
        <f>IF(DecLat&gt;0,IF((90 - (DecLat-O1299))&gt;90, (90 - (O1299-DecLat)), (90 - (DecLat-O1299))),IF((90 + (DecLat-O1299))&gt;90, (90 + (O1299-DecLat)), (90 + (DecLat-O1299))))</f>
        <v>41.898055555555558</v>
      </c>
      <c r="AG1299" s="257">
        <f>angularseperation(MoonRA,MoonDec,$M1299,$O1299)</f>
        <v>25.794511424539486</v>
      </c>
      <c r="AH1299" s="261">
        <f ca="1">MIN(100,IF($O$5&gt;80,0+30*($AG1299/100),IF($O$5&gt;70,0+50*($AG1299/100),IF($O$5&gt;60,5+50*($AG1299/100),IF($O$5&gt;50,10+60*($AG1299/100),IF($O$5&gt;40,15+70*($AG1299/100),IF($O$5&gt;30,20+70*($AG1299/100),IF($O$5&gt;20,40+55*($AG1299/100),(80+(20-$O$5)+30*($AG1299/100))))))))))</f>
        <v>91.009413771512271</v>
      </c>
      <c r="AI1299" s="262">
        <v>6613</v>
      </c>
      <c r="AJ1299" s="262"/>
      <c r="AK1299" s="262"/>
      <c r="AL1299" s="263">
        <v>18</v>
      </c>
      <c r="AM1299" s="264"/>
      <c r="AN1299" s="263"/>
      <c r="AO1299" s="263"/>
      <c r="AP1299" s="265"/>
      <c r="AQ1299" s="266"/>
      <c r="AR1299" s="267"/>
      <c r="AS1299" s="263"/>
      <c r="AT1299" s="263"/>
      <c r="AU1299" s="263"/>
      <c r="AV1299" s="264"/>
      <c r="AW1299" s="263"/>
      <c r="AX1299" s="263"/>
      <c r="AY1299" s="263"/>
      <c r="AZ1299" s="263"/>
      <c r="BA1299" s="263"/>
      <c r="BB1299" s="263"/>
      <c r="BC1299" s="263"/>
      <c r="BD1299" s="264"/>
      <c r="BE1299" s="263"/>
      <c r="BF1299" s="263"/>
      <c r="BG1299" s="263"/>
      <c r="BH1299" s="263"/>
      <c r="BI1299" s="263"/>
      <c r="BJ1299" s="404">
        <f>altaz(J2000_Bas,$O1299,$M1299,DecLat,DecLong,2)</f>
        <v>193.9433187851516</v>
      </c>
      <c r="BK1299" s="378" t="s">
        <v>1340</v>
      </c>
      <c r="BL1299" s="379">
        <f>IF((2*G1299)/60&lt;0.2,0.2,(2*G1299)/60)</f>
        <v>0.23333333333333334</v>
      </c>
      <c r="BM1299" s="380">
        <f>MOD((50000+AD1299-$B$3+(0/24)),1)</f>
        <v>0.9721325546852313</v>
      </c>
      <c r="BN1299" s="381"/>
      <c r="BO1299" s="382">
        <v>1292</v>
      </c>
    </row>
    <row r="1300" spans="1:67" s="24" customFormat="1" ht="15" customHeight="1" x14ac:dyDescent="0.25">
      <c r="A1300" s="288" t="s">
        <v>1341</v>
      </c>
      <c r="B1300" s="241" t="str">
        <f>HYPERLINK(CONCATENATE($AT$3,BK1300,$AU$3),$AV$3)</f>
        <v>S</v>
      </c>
      <c r="C1300" s="242" t="str">
        <f>HYPERLINK(CONCATENATE($AT$4,BK1300,$AU$4,BL1300),$AV$4)</f>
        <v>A</v>
      </c>
      <c r="D1300" s="243" t="s">
        <v>5335</v>
      </c>
      <c r="E1300" s="244" t="s">
        <v>5184</v>
      </c>
      <c r="F1300" s="269" t="s">
        <v>3314</v>
      </c>
      <c r="G1300" s="276">
        <v>10</v>
      </c>
      <c r="H1300" s="283">
        <v>30000</v>
      </c>
      <c r="I1300" s="246">
        <v>90</v>
      </c>
      <c r="J1300" s="246">
        <v>3</v>
      </c>
      <c r="K1300" s="247" t="s">
        <v>4896</v>
      </c>
      <c r="L1300" s="248">
        <v>170238</v>
      </c>
      <c r="M1300" s="249">
        <f>15*(LEFT(TEXT($L1300,"000000"),2)+(MID(TEXT($L1300,"000000"),3,2)/60)+(RIGHT(TEXT($L1300,"000000"),2)/3600))</f>
        <v>255.65833333333336</v>
      </c>
      <c r="N1300" s="250">
        <v>-261604</v>
      </c>
      <c r="O1300" s="251">
        <f>IF($N1300&gt;0,(LEFT(TEXT($N1300,"000000"),2)+(MID(TEXT($N1300,"000000"),3,2)/60)+(RIGHT(TEXT($N1300,"000000"),2)/3600)),-(MID(TEXT($N1300,"000000"),2,2)+(MID(TEXT($N1300,"000000"),4,2)/60)+(RIGHT(TEXT($N1300,"000000"),2)/3600)))</f>
        <v>-26.267777777777777</v>
      </c>
      <c r="P1300" s="252" t="s">
        <v>113</v>
      </c>
      <c r="Q1300" s="253"/>
      <c r="R1300" s="247" t="s">
        <v>3649</v>
      </c>
      <c r="S1300" s="272" t="s">
        <v>3293</v>
      </c>
      <c r="T1300" s="273">
        <v>5.6</v>
      </c>
      <c r="U1300" s="274"/>
      <c r="V1300" s="280"/>
      <c r="W1300" s="244"/>
      <c r="X1300" s="244"/>
      <c r="Y1300" s="362"/>
      <c r="Z1300" s="257">
        <f>altaz(J2000_Bas,$O1300,$M1300,DecLat,DecLong,1)</f>
        <v>25.81152321332554</v>
      </c>
      <c r="AA1300" s="257">
        <f>altaz((J2000_Bas+(2*0.04167)),$O1300,$M1300,DecLat,DecLong,1)</f>
        <v>8.7077369695032107</v>
      </c>
      <c r="AB1300" s="257">
        <f>altaz((J2000_Bas+(4*0.04167)),$O1300,$M1300,DecLat,DecLong,1)</f>
        <v>-13.581367047851767</v>
      </c>
      <c r="AC1300" s="257">
        <f>altaz((J2000_Bas+(6*0.04167)),$O1300,$M1300,DecLat,DecLong,1)</f>
        <v>-38.257061773718981</v>
      </c>
      <c r="AD1300" s="258">
        <f>1+ transit((J2000_Bas-1),$O1300,$M1300,DecLat,DecLong)/360 + (GMTOffset/24) + (IF(DST="Y", 1, 0)/24)</f>
        <v>1.7030619266505416</v>
      </c>
      <c r="AE1300" s="259">
        <f>DATE(2001,9,21)+(M1300/360)*365 - (360*((DecLong/360)- (GMTOffset/24) ))</f>
        <v>37419.209143518521</v>
      </c>
      <c r="AF1300" s="260">
        <f>IF(DecLat&gt;0,IF((90 - (DecLat-O1300))&gt;90, (90 - (O1300-DecLat)), (90 - (DecLat-O1300))),IF((90 + (DecLat-O1300))&gt;90, (90 + (O1300-DecLat)), (90 + (DecLat-O1300))))</f>
        <v>32.732222222222219</v>
      </c>
      <c r="AG1300" s="257">
        <f>angularseperation(MoonRA,MoonDec,$M1300,$O1300)</f>
        <v>5.7905954982206396</v>
      </c>
      <c r="AH1300" s="261">
        <f ca="1">MIN(100,IF($O$5&gt;80,0+30*($AG1300/100),IF($O$5&gt;70,0+50*($AG1300/100),IF($O$5&gt;60,5+50*($AG1300/100),IF($O$5&gt;50,10+60*($AG1300/100),IF($O$5&gt;40,15+70*($AG1300/100),IF($O$5&gt;30,20+70*($AG1300/100),IF($O$5&gt;20,40+55*($AG1300/100),(80+(20-$O$5)+30*($AG1300/100))))))))))</f>
        <v>85.008238993616615</v>
      </c>
      <c r="AI1300" s="262">
        <v>6273</v>
      </c>
      <c r="AJ1300" s="262"/>
      <c r="AK1300" s="262"/>
      <c r="AL1300" s="263">
        <v>19</v>
      </c>
      <c r="AM1300" s="264"/>
      <c r="AN1300" s="263"/>
      <c r="AO1300" s="263"/>
      <c r="AP1300" s="265"/>
      <c r="AQ1300" s="266"/>
      <c r="AR1300" s="267"/>
      <c r="AS1300" s="263"/>
      <c r="AT1300" s="263"/>
      <c r="AU1300" s="263"/>
      <c r="AV1300" s="264"/>
      <c r="AW1300" s="263"/>
      <c r="AX1300" s="263"/>
      <c r="AY1300" s="263"/>
      <c r="AZ1300" s="263"/>
      <c r="BA1300" s="263"/>
      <c r="BB1300" s="263"/>
      <c r="BC1300" s="263"/>
      <c r="BD1300" s="264"/>
      <c r="BE1300" s="263"/>
      <c r="BF1300" s="263"/>
      <c r="BG1300" s="263"/>
      <c r="BH1300" s="263"/>
      <c r="BI1300" s="263"/>
      <c r="BJ1300" s="404">
        <f>altaz(J2000_Bas,$O1300,$M1300,DecLat,DecLong,2)</f>
        <v>210.21413682053532</v>
      </c>
      <c r="BK1300" s="378" t="s">
        <v>1341</v>
      </c>
      <c r="BL1300" s="379">
        <f>IF((2*G1300)/60&lt;0.2,0.2,(2*G1300)/60)</f>
        <v>0.33333333333333331</v>
      </c>
      <c r="BM1300" s="380">
        <f>MOD((50000+AD1300-$B$3+(0/24)),1)</f>
        <v>0.91842885635560378</v>
      </c>
      <c r="BN1300" s="381"/>
      <c r="BO1300" s="382">
        <v>1293</v>
      </c>
    </row>
    <row r="1301" spans="1:67" s="24" customFormat="1" ht="15" customHeight="1" x14ac:dyDescent="0.25">
      <c r="A1301" s="288" t="s">
        <v>1342</v>
      </c>
      <c r="B1301" s="241" t="str">
        <f>HYPERLINK(CONCATENATE($AT$3,BK1301,$AU$3),$AV$3)</f>
        <v>S</v>
      </c>
      <c r="C1301" s="242" t="str">
        <f>HYPERLINK(CONCATENATE($AT$4,BK1301,$AU$4,BL1301),$AV$4)</f>
        <v>A</v>
      </c>
      <c r="D1301" s="243" t="s">
        <v>5187</v>
      </c>
      <c r="E1301" s="244" t="s">
        <v>5183</v>
      </c>
      <c r="F1301" s="269" t="s">
        <v>9169</v>
      </c>
      <c r="G1301" s="276">
        <v>25</v>
      </c>
      <c r="H1301" s="283">
        <v>9000</v>
      </c>
      <c r="I1301" s="246">
        <v>70</v>
      </c>
      <c r="J1301" s="246">
        <v>5</v>
      </c>
      <c r="K1301" s="247" t="s">
        <v>5009</v>
      </c>
      <c r="L1301" s="248">
        <v>180242</v>
      </c>
      <c r="M1301" s="249">
        <f>15*(LEFT(TEXT($L1301,"000000"),2)+(MID(TEXT($L1301,"000000"),3,2)/60)+(RIGHT(TEXT($L1301,"000000"),2)/3600))</f>
        <v>270.67500000000001</v>
      </c>
      <c r="N1301" s="250">
        <v>-225818</v>
      </c>
      <c r="O1301" s="251">
        <f>IF($N1301&gt;0,(LEFT(TEXT($N1301,"000000"),2)+(MID(TEXT($N1301,"000000"),3,2)/60)+(RIGHT(TEXT($N1301,"000000"),2)/3600)),-(MID(TEXT($N1301,"000000"),2,2)+(MID(TEXT($N1301,"000000"),4,2)/60)+(RIGHT(TEXT($N1301,"000000"),2)/3600)))</f>
        <v>-22.971666666666664</v>
      </c>
      <c r="P1301" s="252" t="s">
        <v>119</v>
      </c>
      <c r="Q1301" s="253" t="s">
        <v>7085</v>
      </c>
      <c r="R1301" s="247" t="s">
        <v>6072</v>
      </c>
      <c r="S1301" s="272" t="s">
        <v>3293</v>
      </c>
      <c r="T1301" s="273"/>
      <c r="U1301" s="274"/>
      <c r="V1301" s="280"/>
      <c r="W1301" s="244"/>
      <c r="X1301" s="244"/>
      <c r="Y1301" s="362"/>
      <c r="Z1301" s="257">
        <f>altaz(J2000_Bas,$O1301,$M1301,DecLat,DecLong,1)</f>
        <v>34.063663836524583</v>
      </c>
      <c r="AA1301" s="257">
        <f>altaz((J2000_Bas+(2*0.04167)),$O1301,$M1301,DecLat,DecLong,1)</f>
        <v>20.671371055075262</v>
      </c>
      <c r="AB1301" s="257">
        <f>altaz((J2000_Bas+(4*0.04167)),$O1301,$M1301,DecLat,DecLong,1)</f>
        <v>-0.19281129742722947</v>
      </c>
      <c r="AC1301" s="257">
        <f>altaz((J2000_Bas+(6*0.04167)),$O1301,$M1301,DecLat,DecLong,1)</f>
        <v>-24.392656953768707</v>
      </c>
      <c r="AD1301" s="258">
        <f>1+ transit((J2000_Bas-1),$O1301,$M1301,DecLat,DecLong)/360 + (GMTOffset/24) + (IF(DST="Y", 1, 0)/24)</f>
        <v>1.744774885442208</v>
      </c>
      <c r="AE1301" s="259">
        <f>DATE(2001,9,21)+(M1301/360)*365 - (360*((DecLong/360)- (GMTOffset/24) ))</f>
        <v>37434.434374999997</v>
      </c>
      <c r="AF1301" s="260">
        <f>IF(DecLat&gt;0,IF((90 - (DecLat-O1301))&gt;90, (90 - (O1301-DecLat)), (90 - (DecLat-O1301))),IF((90 + (DecLat-O1301))&gt;90, (90 + (O1301-DecLat)), (90 + (DecLat-O1301))))</f>
        <v>36.028333333333336</v>
      </c>
      <c r="AG1301" s="257">
        <f>angularseperation(MoonRA,MoonDec,$M1301,$O1301)</f>
        <v>19.824381463980501</v>
      </c>
      <c r="AH1301" s="261">
        <f ca="1">MIN(100,IF($O$5&gt;80,0+30*($AG1301/100),IF($O$5&gt;70,0+50*($AG1301/100),IF($O$5&gt;60,5+50*($AG1301/100),IF($O$5&gt;50,10+60*($AG1301/100),IF($O$5&gt;40,15+70*($AG1301/100),IF($O$5&gt;30,20+70*($AG1301/100),IF($O$5&gt;20,40+55*($AG1301/100),(80+(20-$O$5)+30*($AG1301/100))))))))))</f>
        <v>89.218374783344572</v>
      </c>
      <c r="AI1301" s="262">
        <v>6514</v>
      </c>
      <c r="AJ1301" s="262"/>
      <c r="AK1301" s="262">
        <v>336</v>
      </c>
      <c r="AL1301" s="263">
        <v>20</v>
      </c>
      <c r="AM1301" s="264"/>
      <c r="AN1301" s="263"/>
      <c r="AO1301" s="263"/>
      <c r="AP1301" s="265"/>
      <c r="AQ1301" s="266"/>
      <c r="AR1301" s="267"/>
      <c r="AS1301" s="263"/>
      <c r="AT1301" s="263"/>
      <c r="AU1301" s="263"/>
      <c r="AV1301" s="264"/>
      <c r="AW1301" s="263"/>
      <c r="AX1301" s="263">
        <v>76</v>
      </c>
      <c r="AY1301" s="263"/>
      <c r="AZ1301" s="263"/>
      <c r="BA1301" s="263">
        <v>147</v>
      </c>
      <c r="BB1301" s="263">
        <v>30</v>
      </c>
      <c r="BC1301" s="263"/>
      <c r="BD1301" s="264"/>
      <c r="BE1301" s="263"/>
      <c r="BF1301" s="263"/>
      <c r="BG1301" s="263"/>
      <c r="BH1301" s="263"/>
      <c r="BI1301" s="263"/>
      <c r="BJ1301" s="404">
        <f>altaz(J2000_Bas,$O1301,$M1301,DecLat,DecLong,2)</f>
        <v>197.08465503760303</v>
      </c>
      <c r="BK1301" s="378" t="s">
        <v>1342</v>
      </c>
      <c r="BL1301" s="379">
        <f>IF((2*G1301)/60&lt;0.2,0.2,(2*G1301)/60)</f>
        <v>0.83333333333333337</v>
      </c>
      <c r="BM1301" s="380">
        <f>MOD((50000+AD1301-$B$3+(0/24)),1)</f>
        <v>0.96014181514328811</v>
      </c>
      <c r="BN1301" s="381"/>
      <c r="BO1301" s="382">
        <v>1294</v>
      </c>
    </row>
    <row r="1302" spans="1:67" s="24" customFormat="1" ht="15" customHeight="1" x14ac:dyDescent="0.25">
      <c r="A1302" s="288" t="s">
        <v>1343</v>
      </c>
      <c r="B1302" s="241" t="str">
        <f>HYPERLINK(CONCATENATE($AT$3,BK1302,$AU$3),$AV$3)</f>
        <v>S</v>
      </c>
      <c r="C1302" s="242" t="str">
        <f>HYPERLINK(CONCATENATE($AT$4,BK1302,$AU$4,BL1302),$AV$4)</f>
        <v>A</v>
      </c>
      <c r="D1302" s="243" t="s">
        <v>5335</v>
      </c>
      <c r="E1302" s="244" t="s">
        <v>5185</v>
      </c>
      <c r="F1302" s="269" t="s">
        <v>4897</v>
      </c>
      <c r="G1302" s="276">
        <v>14</v>
      </c>
      <c r="H1302" s="283">
        <v>4000</v>
      </c>
      <c r="I1302" s="246">
        <v>16</v>
      </c>
      <c r="J1302" s="246">
        <v>2</v>
      </c>
      <c r="K1302" s="247" t="s">
        <v>4898</v>
      </c>
      <c r="L1302" s="248">
        <v>180413</v>
      </c>
      <c r="M1302" s="249">
        <f>15*(LEFT(TEXT($L1302,"000000"),2)+(MID(TEXT($L1302,"000000"),3,2)/60)+(RIGHT(TEXT($L1302,"000000"),2)/3600))</f>
        <v>271.05416666666667</v>
      </c>
      <c r="N1302" s="250">
        <v>-222924</v>
      </c>
      <c r="O1302" s="251">
        <f>IF($N1302&gt;0,(LEFT(TEXT($N1302,"000000"),2)+(MID(TEXT($N1302,"000000"),3,2)/60)+(RIGHT(TEXT($N1302,"000000"),2)/3600)),-(MID(TEXT($N1302,"000000"),2,2)+(MID(TEXT($N1302,"000000"),4,2)/60)+(RIGHT(TEXT($N1302,"000000"),2)/3600)))</f>
        <v>-22.490000000000002</v>
      </c>
      <c r="P1302" s="252" t="s">
        <v>119</v>
      </c>
      <c r="Q1302" s="253" t="s">
        <v>7162</v>
      </c>
      <c r="R1302" s="247" t="s">
        <v>3661</v>
      </c>
      <c r="S1302" s="272" t="s">
        <v>3293</v>
      </c>
      <c r="T1302" s="273">
        <v>5.9</v>
      </c>
      <c r="U1302" s="274"/>
      <c r="V1302" s="280"/>
      <c r="W1302" s="244"/>
      <c r="X1302" s="244"/>
      <c r="Y1302" s="362"/>
      <c r="Z1302" s="257">
        <f>altaz(J2000_Bas,$O1302,$M1302,DecLat,DecLong,1)</f>
        <v>34.622100381397225</v>
      </c>
      <c r="AA1302" s="257">
        <f>altaz((J2000_Bas+(2*0.04167)),$O1302,$M1302,DecLat,DecLong,1)</f>
        <v>21.264619428619397</v>
      </c>
      <c r="AB1302" s="257">
        <f>altaz((J2000_Bas+(4*0.04167)),$O1302,$M1302,DecLat,DecLong,1)</f>
        <v>0.3664231328268342</v>
      </c>
      <c r="AC1302" s="257">
        <f>altaz((J2000_Bas+(6*0.04167)),$O1302,$M1302,DecLat,DecLong,1)</f>
        <v>-23.871644430815618</v>
      </c>
      <c r="AD1302" s="258">
        <f>1+ transit((J2000_Bas-1),$O1302,$M1302,DecLat,DecLong)/360 + (GMTOffset/24) + (IF(DST="Y", 1, 0)/24)</f>
        <v>1.7458281260776247</v>
      </c>
      <c r="AE1302" s="259">
        <f>DATE(2001,9,21)+(M1302/360)*365 - (360*((DecLong/360)- (GMTOffset/24) ))</f>
        <v>37434.818807870368</v>
      </c>
      <c r="AF1302" s="260">
        <f>IF(DecLat&gt;0,IF((90 - (DecLat-O1302))&gt;90, (90 - (O1302-DecLat)), (90 - (DecLat-O1302))),IF((90 + (DecLat-O1302))&gt;90, (90 + (O1302-DecLat)), (90 + (DecLat-O1302))))</f>
        <v>36.51</v>
      </c>
      <c r="AG1302" s="257">
        <f>angularseperation(MoonRA,MoonDec,$M1302,$O1302)</f>
        <v>20.299429247062559</v>
      </c>
      <c r="AH1302" s="261">
        <f ca="1">MIN(100,IF($O$5&gt;80,0+30*($AG1302/100),IF($O$5&gt;70,0+50*($AG1302/100),IF($O$5&gt;60,5+50*($AG1302/100),IF($O$5&gt;50,10+60*($AG1302/100),IF($O$5&gt;40,15+70*($AG1302/100),IF($O$5&gt;30,20+70*($AG1302/100),IF($O$5&gt;20,40+55*($AG1302/100),(80+(20-$O$5)+30*($AG1302/100))))))))))</f>
        <v>89.360889118269199</v>
      </c>
      <c r="AI1302" s="262">
        <v>6531</v>
      </c>
      <c r="AJ1302" s="262"/>
      <c r="AK1302" s="262"/>
      <c r="AL1302" s="263">
        <v>21</v>
      </c>
      <c r="AM1302" s="264"/>
      <c r="AN1302" s="263"/>
      <c r="AO1302" s="263"/>
      <c r="AP1302" s="265"/>
      <c r="AQ1302" s="266"/>
      <c r="AR1302" s="267"/>
      <c r="AS1302" s="263"/>
      <c r="AT1302" s="263"/>
      <c r="AU1302" s="263"/>
      <c r="AV1302" s="264"/>
      <c r="AW1302" s="263"/>
      <c r="AX1302" s="263"/>
      <c r="AY1302" s="263"/>
      <c r="AZ1302" s="263"/>
      <c r="BA1302" s="263"/>
      <c r="BB1302" s="263"/>
      <c r="BC1302" s="263"/>
      <c r="BD1302" s="264"/>
      <c r="BE1302" s="263"/>
      <c r="BF1302" s="263"/>
      <c r="BG1302" s="263"/>
      <c r="BH1302" s="263"/>
      <c r="BI1302" s="263"/>
      <c r="BJ1302" s="404">
        <f>altaz(J2000_Bas,$O1302,$M1302,DecLat,DecLong,2)</f>
        <v>196.83511269770992</v>
      </c>
      <c r="BK1302" s="378" t="s">
        <v>1343</v>
      </c>
      <c r="BL1302" s="379">
        <f>IF((2*G1302)/60&lt;0.2,0.2,(2*G1302)/60)</f>
        <v>0.46666666666666667</v>
      </c>
      <c r="BM1302" s="380">
        <f>MOD((50000+AD1302-$B$3+(0/24)),1)</f>
        <v>0.96119505578099051</v>
      </c>
      <c r="BN1302" s="381"/>
      <c r="BO1302" s="382">
        <v>1295</v>
      </c>
    </row>
    <row r="1303" spans="1:67" s="24" customFormat="1" ht="15" customHeight="1" x14ac:dyDescent="0.25">
      <c r="A1303" s="288" t="s">
        <v>1344</v>
      </c>
      <c r="B1303" s="241" t="str">
        <f>HYPERLINK(CONCATENATE($AT$3,BK1303,$AU$3),$AV$3)</f>
        <v>S</v>
      </c>
      <c r="C1303" s="242" t="str">
        <f>HYPERLINK(CONCATENATE($AT$4,BK1303,$AU$4,BL1303),$AV$4)</f>
        <v>A</v>
      </c>
      <c r="D1303" s="243" t="s">
        <v>5335</v>
      </c>
      <c r="E1303" s="244" t="s">
        <v>5184</v>
      </c>
      <c r="F1303" s="269" t="s">
        <v>3318</v>
      </c>
      <c r="G1303" s="276">
        <v>24</v>
      </c>
      <c r="H1303" s="283">
        <v>9300</v>
      </c>
      <c r="I1303" s="246">
        <v>65</v>
      </c>
      <c r="J1303" s="246">
        <v>4</v>
      </c>
      <c r="K1303" s="247" t="s">
        <v>4899</v>
      </c>
      <c r="L1303" s="248">
        <v>183624</v>
      </c>
      <c r="M1303" s="249">
        <f>15*(LEFT(TEXT($L1303,"000000"),2)+(MID(TEXT($L1303,"000000"),3,2)/60)+(RIGHT(TEXT($L1303,"000000"),2)/3600))</f>
        <v>279.10000000000002</v>
      </c>
      <c r="N1303" s="250">
        <v>-235417</v>
      </c>
      <c r="O1303" s="251">
        <f>IF($N1303&gt;0,(LEFT(TEXT($N1303,"000000"),2)+(MID(TEXT($N1303,"000000"),3,2)/60)+(RIGHT(TEXT($N1303,"000000"),2)/3600)),-(MID(TEXT($N1303,"000000"),2,2)+(MID(TEXT($N1303,"000000"),4,2)/60)+(RIGHT(TEXT($N1303,"000000"),2)/3600)))</f>
        <v>-23.904722222222222</v>
      </c>
      <c r="P1303" s="252" t="s">
        <v>119</v>
      </c>
      <c r="Q1303" s="253" t="s">
        <v>7117</v>
      </c>
      <c r="R1303" s="247" t="s">
        <v>3668</v>
      </c>
      <c r="S1303" s="272" t="s">
        <v>3293</v>
      </c>
      <c r="T1303" s="273">
        <v>5.2</v>
      </c>
      <c r="U1303" s="274"/>
      <c r="V1303" s="280"/>
      <c r="W1303" s="244"/>
      <c r="X1303" s="244"/>
      <c r="Y1303" s="362"/>
      <c r="Z1303" s="257">
        <f>altaz(J2000_Bas,$O1303,$M1303,DecLat,DecLong,1)</f>
        <v>34.698490690111655</v>
      </c>
      <c r="AA1303" s="257">
        <f>altaz((J2000_Bas+(2*0.04167)),$O1303,$M1303,DecLat,DecLong,1)</f>
        <v>24.660846410327288</v>
      </c>
      <c r="AB1303" s="257">
        <f>altaz((J2000_Bas+(4*0.04167)),$O1303,$M1303,DecLat,DecLong,1)</f>
        <v>5.542683491028928</v>
      </c>
      <c r="AC1303" s="257">
        <f>altaz((J2000_Bas+(6*0.04167)),$O1303,$M1303,DecLat,DecLong,1)</f>
        <v>-17.837879680433151</v>
      </c>
      <c r="AD1303" s="258">
        <f>1+ transit((J2000_Bas-1),$O1303,$M1303,DecLat,DecLong)/360 + (GMTOffset/24) + (IF(DST="Y", 1, 0)/24)</f>
        <v>1.7681776608797082</v>
      </c>
      <c r="AE1303" s="259">
        <f>DATE(2001,9,21)+(M1303/360)*365 - (360*((DecLong/360)- (GMTOffset/24) ))</f>
        <v>37442.976388888892</v>
      </c>
      <c r="AF1303" s="260">
        <f>IF(DecLat&gt;0,IF((90 - (DecLat-O1303))&gt;90, (90 - (O1303-DecLat)), (90 - (DecLat-O1303))),IF((90 + (DecLat-O1303))&gt;90, (90 + (O1303-DecLat)), (90 + (DecLat-O1303))))</f>
        <v>35.095277777777781</v>
      </c>
      <c r="AG1303" s="257">
        <f>angularseperation(MoonRA,MoonDec,$M1303,$O1303)</f>
        <v>27.074452270197515</v>
      </c>
      <c r="AH1303" s="261">
        <f ca="1">MIN(100,IF($O$5&gt;80,0+30*($AG1303/100),IF($O$5&gt;70,0+50*($AG1303/100),IF($O$5&gt;60,5+50*($AG1303/100),IF($O$5&gt;50,10+60*($AG1303/100),IF($O$5&gt;40,15+70*($AG1303/100),IF($O$5&gt;30,20+70*($AG1303/100),IF($O$5&gt;20,40+55*($AG1303/100),(80+(20-$O$5)+30*($AG1303/100))))))))))</f>
        <v>91.393396025209682</v>
      </c>
      <c r="AI1303" s="262">
        <v>6656</v>
      </c>
      <c r="AJ1303" s="262"/>
      <c r="AK1303" s="262"/>
      <c r="AL1303" s="263">
        <v>22</v>
      </c>
      <c r="AM1303" s="264"/>
      <c r="AN1303" s="263"/>
      <c r="AO1303" s="263"/>
      <c r="AP1303" s="265"/>
      <c r="AQ1303" s="266"/>
      <c r="AR1303" s="267"/>
      <c r="AS1303" s="263"/>
      <c r="AT1303" s="263"/>
      <c r="AU1303" s="263"/>
      <c r="AV1303" s="264"/>
      <c r="AW1303" s="263"/>
      <c r="AX1303" s="263"/>
      <c r="AY1303" s="263"/>
      <c r="AZ1303" s="263"/>
      <c r="BA1303" s="263"/>
      <c r="BB1303" s="263"/>
      <c r="BC1303" s="263"/>
      <c r="BD1303" s="264"/>
      <c r="BE1303" s="263"/>
      <c r="BF1303" s="263"/>
      <c r="BG1303" s="263"/>
      <c r="BH1303" s="263"/>
      <c r="BI1303" s="263"/>
      <c r="BJ1303" s="404">
        <f>altaz(J2000_Bas,$O1303,$M1303,DecLat,DecLong,2)</f>
        <v>187.67997427596117</v>
      </c>
      <c r="BK1303" s="378" t="s">
        <v>1344</v>
      </c>
      <c r="BL1303" s="379">
        <f>IF((2*G1303)/60&lt;0.2,0.2,(2*G1303)/60)</f>
        <v>0.8</v>
      </c>
      <c r="BM1303" s="380">
        <f>MOD((50000+AD1303-$B$3+(0/24)),1)</f>
        <v>0.98354459058464272</v>
      </c>
      <c r="BN1303" s="381"/>
      <c r="BO1303" s="382">
        <v>1296</v>
      </c>
    </row>
    <row r="1304" spans="1:67" s="24" customFormat="1" ht="15" customHeight="1" x14ac:dyDescent="0.25">
      <c r="A1304" s="288" t="s">
        <v>1345</v>
      </c>
      <c r="B1304" s="241" t="str">
        <f>HYPERLINK(CONCATENATE($AT$3,BK1304,$AU$3),$AV$3)</f>
        <v>S</v>
      </c>
      <c r="C1304" s="242" t="str">
        <f>HYPERLINK(CONCATENATE($AT$4,BK1304,$AU$4,BL1304),$AV$4)</f>
        <v>A</v>
      </c>
      <c r="D1304" s="243" t="s">
        <v>5335</v>
      </c>
      <c r="E1304" s="244" t="s">
        <v>5185</v>
      </c>
      <c r="F1304" s="269" t="s">
        <v>4900</v>
      </c>
      <c r="G1304" s="276">
        <v>35</v>
      </c>
      <c r="H1304" s="283">
        <v>2400</v>
      </c>
      <c r="I1304" s="246">
        <v>25</v>
      </c>
      <c r="J1304" s="246">
        <v>3</v>
      </c>
      <c r="K1304" s="247" t="s">
        <v>4901</v>
      </c>
      <c r="L1304" s="248">
        <v>175704</v>
      </c>
      <c r="M1304" s="249">
        <f>15*(LEFT(TEXT($L1304,"000000"),2)+(MID(TEXT($L1304,"000000"),3,2)/60)+(RIGHT(TEXT($L1304,"000000"),2)/3600))</f>
        <v>269.26666666666665</v>
      </c>
      <c r="N1304" s="250">
        <v>-185906</v>
      </c>
      <c r="O1304" s="251">
        <f>IF($N1304&gt;0,(LEFT(TEXT($N1304,"000000"),2)+(MID(TEXT($N1304,"000000"),3,2)/60)+(RIGHT(TEXT($N1304,"000000"),2)/3600)),-(MID(TEXT($N1304,"000000"),2,2)+(MID(TEXT($N1304,"000000"),4,2)/60)+(RIGHT(TEXT($N1304,"000000"),2)/3600)))</f>
        <v>-18.984999999999999</v>
      </c>
      <c r="P1304" s="252" t="s">
        <v>119</v>
      </c>
      <c r="Q1304" s="253"/>
      <c r="R1304" s="247" t="s">
        <v>3659</v>
      </c>
      <c r="S1304" s="272" t="s">
        <v>3293</v>
      </c>
      <c r="T1304" s="273">
        <v>5.5</v>
      </c>
      <c r="U1304" s="274"/>
      <c r="V1304" s="280"/>
      <c r="W1304" s="244"/>
      <c r="X1304" s="244"/>
      <c r="Y1304" s="362"/>
      <c r="Z1304" s="257">
        <f>altaz(J2000_Bas,$O1304,$M1304,DecLat,DecLong,1)</f>
        <v>37.492329857022654</v>
      </c>
      <c r="AA1304" s="257">
        <f>altaz((J2000_Bas+(2*0.04167)),$O1304,$M1304,DecLat,DecLong,1)</f>
        <v>22.773505770181973</v>
      </c>
      <c r="AB1304" s="257">
        <f>altaz((J2000_Bas+(4*0.04167)),$O1304,$M1304,DecLat,DecLong,1)</f>
        <v>0.92181664802834218</v>
      </c>
      <c r="AC1304" s="257">
        <f>altaz((J2000_Bas+(6*0.04167)),$O1304,$M1304,DecLat,DecLong,1)</f>
        <v>-23.852959473237089</v>
      </c>
      <c r="AD1304" s="258">
        <f>1+ transit((J2000_Bas-1),$O1304,$M1304,DecLat,DecLong)/360 + (GMTOffset/24) + (IF(DST="Y", 1, 0)/24)</f>
        <v>1.7408628487963747</v>
      </c>
      <c r="AE1304" s="259">
        <f>DATE(2001,9,21)+(M1304/360)*365 - (360*((DecLong/360)- (GMTOffset/24) ))</f>
        <v>37433.006481481483</v>
      </c>
      <c r="AF1304" s="260">
        <f>IF(DecLat&gt;0,IF((90 - (DecLat-O1304))&gt;90, (90 - (O1304-DecLat)), (90 - (DecLat-O1304))),IF((90 + (DecLat-O1304))&gt;90, (90 + (O1304-DecLat)), (90 + (DecLat-O1304))))</f>
        <v>40.015000000000001</v>
      </c>
      <c r="AG1304" s="257">
        <f>angularseperation(MoonRA,MoonDec,$M1304,$O1304)</f>
        <v>20.094350618618524</v>
      </c>
      <c r="AH1304" s="261">
        <f ca="1">MIN(100,IF($O$5&gt;80,0+30*($AG1304/100),IF($O$5&gt;70,0+50*($AG1304/100),IF($O$5&gt;60,5+50*($AG1304/100),IF($O$5&gt;50,10+60*($AG1304/100),IF($O$5&gt;40,15+70*($AG1304/100),IF($O$5&gt;30,20+70*($AG1304/100),IF($O$5&gt;20,40+55*($AG1304/100),(80+(20-$O$5)+30*($AG1304/100))))))))))</f>
        <v>89.299365529735979</v>
      </c>
      <c r="AI1304" s="262">
        <v>6494</v>
      </c>
      <c r="AJ1304" s="262"/>
      <c r="AK1304" s="262"/>
      <c r="AL1304" s="263">
        <v>23</v>
      </c>
      <c r="AM1304" s="264"/>
      <c r="AN1304" s="263"/>
      <c r="AO1304" s="263"/>
      <c r="AP1304" s="265"/>
      <c r="AQ1304" s="266"/>
      <c r="AR1304" s="267"/>
      <c r="AS1304" s="263"/>
      <c r="AT1304" s="263"/>
      <c r="AU1304" s="263"/>
      <c r="AV1304" s="264"/>
      <c r="AW1304" s="263"/>
      <c r="AX1304" s="263"/>
      <c r="AY1304" s="263"/>
      <c r="AZ1304" s="263"/>
      <c r="BA1304" s="263"/>
      <c r="BB1304" s="263"/>
      <c r="BC1304" s="263"/>
      <c r="BD1304" s="264"/>
      <c r="BE1304" s="263"/>
      <c r="BF1304" s="263"/>
      <c r="BG1304" s="263"/>
      <c r="BH1304" s="263"/>
      <c r="BI1304" s="263"/>
      <c r="BJ1304" s="404">
        <f>altaz(J2000_Bas,$O1304,$M1304,DecLat,DecLong,2)</f>
        <v>200.07124534044732</v>
      </c>
      <c r="BK1304" s="378" t="s">
        <v>1345</v>
      </c>
      <c r="BL1304" s="379">
        <f>IF((2*G1304)/60&lt;0.2,0.2,(2*G1304)/60)</f>
        <v>1.1666666666666667</v>
      </c>
      <c r="BM1304" s="380">
        <f>MOD((50000+AD1304-$B$3+(0/24)),1)</f>
        <v>0.95622977850143798</v>
      </c>
      <c r="BN1304" s="381"/>
      <c r="BO1304" s="382">
        <v>1297</v>
      </c>
    </row>
    <row r="1305" spans="1:67" s="24" customFormat="1" ht="15" customHeight="1" x14ac:dyDescent="0.25">
      <c r="A1305" s="288" t="s">
        <v>1346</v>
      </c>
      <c r="B1305" s="241" t="str">
        <f>HYPERLINK(CONCATENATE($AT$3,BK1305,$AU$3),$AV$3)</f>
        <v>S</v>
      </c>
      <c r="C1305" s="242" t="str">
        <f>HYPERLINK(CONCATENATE($AT$4,BK1305,$AU$4,BL1305),$AV$4)</f>
        <v>A</v>
      </c>
      <c r="D1305" s="243" t="s">
        <v>5335</v>
      </c>
      <c r="E1305" s="244" t="s">
        <v>7523</v>
      </c>
      <c r="F1305" s="269"/>
      <c r="G1305" s="276">
        <v>80</v>
      </c>
      <c r="H1305" s="283">
        <v>10000</v>
      </c>
      <c r="I1305" s="246">
        <v>240</v>
      </c>
      <c r="J1305" s="246">
        <v>4</v>
      </c>
      <c r="K1305" s="247" t="s">
        <v>4903</v>
      </c>
      <c r="L1305" s="248">
        <v>181648</v>
      </c>
      <c r="M1305" s="249">
        <f>15*(LEFT(TEXT($L1305,"000000"),2)+(MID(TEXT($L1305,"000000"),3,2)/60)+(RIGHT(TEXT($L1305,"000000"),2)/3600))</f>
        <v>274.2</v>
      </c>
      <c r="N1305" s="286">
        <v>-183300</v>
      </c>
      <c r="O1305" s="251">
        <f>IF($N1305&gt;0,(LEFT(TEXT($N1305,"000000"),2)+(MID(TEXT($N1305,"000000"),3,2)/60)+(RIGHT(TEXT($N1305,"000000"),2)/3600)),-(MID(TEXT($N1305,"000000"),2,2)+(MID(TEXT($N1305,"000000"),4,2)/60)+(RIGHT(TEXT($N1305,"000000"),2)/3600)))</f>
        <v>-18.55</v>
      </c>
      <c r="P1305" s="252" t="s">
        <v>119</v>
      </c>
      <c r="Q1305" s="253" t="s">
        <v>3251</v>
      </c>
      <c r="R1305" s="247" t="s">
        <v>3747</v>
      </c>
      <c r="S1305" s="272" t="s">
        <v>4902</v>
      </c>
      <c r="T1305" s="273">
        <v>2.5</v>
      </c>
      <c r="U1305" s="274"/>
      <c r="V1305" s="280"/>
      <c r="W1305" s="244"/>
      <c r="X1305" s="244"/>
      <c r="Y1305" s="362"/>
      <c r="Z1305" s="257">
        <f>altaz(J2000_Bas,$O1305,$M1305,DecLat,DecLong,1)</f>
        <v>39.168526331537372</v>
      </c>
      <c r="AA1305" s="257">
        <f>altaz((J2000_Bas+(2*0.04167)),$O1305,$M1305,DecLat,DecLong,1)</f>
        <v>26.175650634629314</v>
      </c>
      <c r="AB1305" s="257">
        <f>altaz((J2000_Bas+(4*0.04167)),$O1305,$M1305,DecLat,DecLong,1)</f>
        <v>5.0283812327414594</v>
      </c>
      <c r="AC1305" s="257">
        <f>altaz((J2000_Bas+(6*0.04167)),$O1305,$M1305,DecLat,DecLong,1)</f>
        <v>-19.486621021313717</v>
      </c>
      <c r="AD1305" s="258">
        <f>1+ transit((J2000_Bas-1),$O1305,$M1305,DecLat,DecLong)/360 + (GMTOffset/24) + (IF(DST="Y", 1, 0)/24)</f>
        <v>1.7545665511297079</v>
      </c>
      <c r="AE1305" s="259">
        <f>DATE(2001,9,21)+(M1305/360)*365 - (360*((DecLong/360)- (GMTOffset/24) ))</f>
        <v>37438.008333333331</v>
      </c>
      <c r="AF1305" s="260">
        <f>IF(DecLat&gt;0,IF((90 - (DecLat-O1305))&gt;90, (90 - (O1305-DecLat)), (90 - (DecLat-O1305))),IF((90 + (DecLat-O1305))&gt;90, (90 + (O1305-DecLat)), (90 + (DecLat-O1305))))</f>
        <v>40.450000000000003</v>
      </c>
      <c r="AG1305" s="257">
        <f>angularseperation(MoonRA,MoonDec,$M1305,$O1305)</f>
        <v>24.480205748744368</v>
      </c>
      <c r="AH1305" s="261">
        <f ca="1">MIN(100,IF($O$5&gt;80,0+30*($AG1305/100),IF($O$5&gt;70,0+50*($AG1305/100),IF($O$5&gt;60,5+50*($AG1305/100),IF($O$5&gt;50,10+60*($AG1305/100),IF($O$5&gt;40,15+70*($AG1305/100),IF($O$5&gt;30,20+70*($AG1305/100),IF($O$5&gt;20,40+55*($AG1305/100),(80+(20-$O$5)+30*($AG1305/100))))))))))</f>
        <v>90.615122068773744</v>
      </c>
      <c r="AI1305" s="262"/>
      <c r="AJ1305" s="262">
        <v>4715</v>
      </c>
      <c r="AK1305" s="262"/>
      <c r="AL1305" s="263">
        <v>24</v>
      </c>
      <c r="AM1305" s="264"/>
      <c r="AN1305" s="263"/>
      <c r="AO1305" s="263"/>
      <c r="AP1305" s="265"/>
      <c r="AQ1305" s="266"/>
      <c r="AR1305" s="267"/>
      <c r="AS1305" s="263"/>
      <c r="AT1305" s="263"/>
      <c r="AU1305" s="263"/>
      <c r="AV1305" s="264"/>
      <c r="AW1305" s="263"/>
      <c r="AX1305" s="263"/>
      <c r="AY1305" s="263"/>
      <c r="AZ1305" s="263"/>
      <c r="BA1305" s="263"/>
      <c r="BB1305" s="263"/>
      <c r="BC1305" s="263"/>
      <c r="BD1305" s="264"/>
      <c r="BE1305" s="263"/>
      <c r="BF1305" s="263"/>
      <c r="BG1305" s="263"/>
      <c r="BH1305" s="263"/>
      <c r="BI1305" s="263"/>
      <c r="BJ1305" s="404">
        <f>altaz(J2000_Bas,$O1305,$M1305,DecLat,DecLong,2)</f>
        <v>194.48448874148897</v>
      </c>
      <c r="BK1305" s="378" t="s">
        <v>1346</v>
      </c>
      <c r="BL1305" s="379">
        <f>IF((2*G1305)/60&lt;0.2,0.2,(2*G1305)/60)</f>
        <v>2.6666666666666665</v>
      </c>
      <c r="BM1305" s="380">
        <f>MOD((50000+AD1305-$B$3+(0/24)),1)</f>
        <v>0.96993348083196906</v>
      </c>
      <c r="BN1305" s="381"/>
      <c r="BO1305" s="382">
        <v>1298</v>
      </c>
    </row>
    <row r="1306" spans="1:67" s="24" customFormat="1" ht="15" customHeight="1" x14ac:dyDescent="0.25">
      <c r="A1306" s="288" t="s">
        <v>1347</v>
      </c>
      <c r="B1306" s="241" t="str">
        <f>HYPERLINK(CONCATENATE($AT$3,BK1306,$AU$3),$AV$3)</f>
        <v>S</v>
      </c>
      <c r="C1306" s="242" t="str">
        <f>HYPERLINK(CONCATENATE($AT$4,BK1306,$AU$4,BL1306),$AV$4)</f>
        <v>A</v>
      </c>
      <c r="D1306" s="243" t="s">
        <v>5335</v>
      </c>
      <c r="E1306" s="244" t="s">
        <v>5185</v>
      </c>
      <c r="F1306" s="269" t="s">
        <v>4904</v>
      </c>
      <c r="G1306" s="276">
        <v>30</v>
      </c>
      <c r="H1306" s="283">
        <v>2200</v>
      </c>
      <c r="I1306" s="246">
        <v>20</v>
      </c>
      <c r="J1306" s="246">
        <v>3</v>
      </c>
      <c r="K1306" s="247" t="s">
        <v>4905</v>
      </c>
      <c r="L1306" s="248">
        <v>183142</v>
      </c>
      <c r="M1306" s="249">
        <f>15*(LEFT(TEXT($L1306,"000000"),2)+(MID(TEXT($L1306,"000000"),3,2)/60)+(RIGHT(TEXT($L1306,"000000"),2)/3600))</f>
        <v>277.92500000000001</v>
      </c>
      <c r="N1306" s="250">
        <v>-190700</v>
      </c>
      <c r="O1306" s="251">
        <f>IF($N1306&gt;0,(LEFT(TEXT($N1306,"000000"),2)+(MID(TEXT($N1306,"000000"),3,2)/60)+(RIGHT(TEXT($N1306,"000000"),2)/3600)),-(MID(TEXT($N1306,"000000"),2,2)+(MID(TEXT($N1306,"000000"),4,2)/60)+(RIGHT(TEXT($N1306,"000000"),2)/3600)))</f>
        <v>-19.116666666666667</v>
      </c>
      <c r="P1306" s="252" t="s">
        <v>119</v>
      </c>
      <c r="Q1306" s="253"/>
      <c r="R1306" s="247" t="s">
        <v>3748</v>
      </c>
      <c r="S1306" s="272" t="s">
        <v>3293</v>
      </c>
      <c r="T1306" s="273">
        <v>4.5999999999999996</v>
      </c>
      <c r="U1306" s="274"/>
      <c r="V1306" s="280"/>
      <c r="W1306" s="244"/>
      <c r="X1306" s="244"/>
      <c r="Y1306" s="362"/>
      <c r="Z1306" s="257">
        <f>altaz(J2000_Bas,$O1306,$M1306,DecLat,DecLong,1)</f>
        <v>39.285952535135024</v>
      </c>
      <c r="AA1306" s="257">
        <f>altaz((J2000_Bas+(2*0.04167)),$O1306,$M1306,DecLat,DecLong,1)</f>
        <v>27.91252401739882</v>
      </c>
      <c r="AB1306" s="257">
        <f>altaz((J2000_Bas+(4*0.04167)),$O1306,$M1306,DecLat,DecLong,1)</f>
        <v>7.5554423123191228</v>
      </c>
      <c r="AC1306" s="257">
        <f>altaz((J2000_Bas+(6*0.04167)),$O1306,$M1306,DecLat,DecLong,1)</f>
        <v>-16.619960026680701</v>
      </c>
      <c r="AD1306" s="258">
        <f>1+ transit((J2000_Bas-1),$O1306,$M1306,DecLat,DecLong)/360 + (GMTOffset/24) + (IF(DST="Y", 1, 0)/24)</f>
        <v>1.7649137723172081</v>
      </c>
      <c r="AE1306" s="259">
        <f>DATE(2001,9,21)+(M1306/360)*365 - (360*((DecLong/360)- (GMTOffset/24) ))</f>
        <v>37441.785069444442</v>
      </c>
      <c r="AF1306" s="260">
        <f>IF(DecLat&gt;0,IF((90 - (DecLat-O1306))&gt;90, (90 - (O1306-DecLat)), (90 - (DecLat-O1306))),IF((90 + (DecLat-O1306))&gt;90, (90 + (O1306-DecLat)), (90 + (DecLat-O1306))))</f>
        <v>39.883333333333333</v>
      </c>
      <c r="AG1306" s="257">
        <f>angularseperation(MoonRA,MoonDec,$M1306,$O1306)</f>
        <v>27.486867625852746</v>
      </c>
      <c r="AH1306" s="261">
        <f ca="1">MIN(100,IF($O$5&gt;80,0+30*($AG1306/100),IF($O$5&gt;70,0+50*($AG1306/100),IF($O$5&gt;60,5+50*($AG1306/100),IF($O$5&gt;50,10+60*($AG1306/100),IF($O$5&gt;40,15+70*($AG1306/100),IF($O$5&gt;30,20+70*($AG1306/100),IF($O$5&gt;20,40+55*($AG1306/100),(80+(20-$O$5)+30*($AG1306/100))))))))))</f>
        <v>91.517120631906252</v>
      </c>
      <c r="AI1306" s="262"/>
      <c r="AJ1306" s="262">
        <v>4725</v>
      </c>
      <c r="AK1306" s="262"/>
      <c r="AL1306" s="263">
        <v>25</v>
      </c>
      <c r="AM1306" s="264"/>
      <c r="AN1306" s="263"/>
      <c r="AO1306" s="263"/>
      <c r="AP1306" s="265"/>
      <c r="AQ1306" s="266"/>
      <c r="AR1306" s="267"/>
      <c r="AS1306" s="263"/>
      <c r="AT1306" s="263"/>
      <c r="AU1306" s="263"/>
      <c r="AV1306" s="264"/>
      <c r="AW1306" s="263"/>
      <c r="AX1306" s="263"/>
      <c r="AY1306" s="263"/>
      <c r="AZ1306" s="263"/>
      <c r="BA1306" s="263"/>
      <c r="BB1306" s="263"/>
      <c r="BC1306" s="263"/>
      <c r="BD1306" s="264"/>
      <c r="BE1306" s="263"/>
      <c r="BF1306" s="263"/>
      <c r="BG1306" s="263"/>
      <c r="BH1306" s="263"/>
      <c r="BI1306" s="263"/>
      <c r="BJ1306" s="404">
        <f>altaz(J2000_Bas,$O1306,$M1306,DecLat,DecLong,2)</f>
        <v>189.87696318157472</v>
      </c>
      <c r="BK1306" s="378" t="s">
        <v>1347</v>
      </c>
      <c r="BL1306" s="379">
        <f>IF((2*G1306)/60&lt;0.2,0.2,(2*G1306)/60)</f>
        <v>1</v>
      </c>
      <c r="BM1306" s="380">
        <f>MOD((50000+AD1306-$B$3+(0/24)),1)</f>
        <v>0.98028070202417439</v>
      </c>
      <c r="BN1306" s="381"/>
      <c r="BO1306" s="382">
        <v>1299</v>
      </c>
    </row>
    <row r="1307" spans="1:67" s="24" customFormat="1" ht="15" customHeight="1" x14ac:dyDescent="0.25">
      <c r="A1307" s="288" t="s">
        <v>1348</v>
      </c>
      <c r="B1307" s="241" t="str">
        <f>HYPERLINK(CONCATENATE($AT$3,BK1307,$AU$3),$AV$3)</f>
        <v>S</v>
      </c>
      <c r="C1307" s="242" t="str">
        <f>HYPERLINK(CONCATENATE($AT$4,BK1307,$AU$4,BL1307),$AV$4)</f>
        <v>A</v>
      </c>
      <c r="D1307" s="243" t="s">
        <v>5335</v>
      </c>
      <c r="E1307" s="244" t="s">
        <v>5185</v>
      </c>
      <c r="F1307" s="269" t="s">
        <v>4906</v>
      </c>
      <c r="G1307" s="273">
        <v>7</v>
      </c>
      <c r="H1307" s="283">
        <v>6300</v>
      </c>
      <c r="I1307" s="246">
        <v>13</v>
      </c>
      <c r="J1307" s="246">
        <v>2</v>
      </c>
      <c r="K1307" s="247" t="s">
        <v>4907</v>
      </c>
      <c r="L1307" s="248">
        <v>184518</v>
      </c>
      <c r="M1307" s="249">
        <f>15*(LEFT(TEXT($L1307,"000000"),2)+(MID(TEXT($L1307,"000000"),3,2)/60)+(RIGHT(TEXT($L1307,"000000"),2)/3600))</f>
        <v>281.32499999999999</v>
      </c>
      <c r="N1307" s="250">
        <v>-92300</v>
      </c>
      <c r="O1307" s="251">
        <f>IF($N1307&gt;0,(LEFT(TEXT($N1307,"000000"),2)+(MID(TEXT($N1307,"000000"),3,2)/60)+(RIGHT(TEXT($N1307,"000000"),2)/3600)),-(MID(TEXT($N1307,"000000"),2,2)+(MID(TEXT($N1307,"000000"),4,2)/60)+(RIGHT(TEXT($N1307,"000000"),2)/3600)))</f>
        <v>-9.3833333333333329</v>
      </c>
      <c r="P1307" s="252" t="s">
        <v>121</v>
      </c>
      <c r="Q1307" s="253"/>
      <c r="R1307" s="247" t="s">
        <v>3671</v>
      </c>
      <c r="S1307" s="272" t="s">
        <v>3293</v>
      </c>
      <c r="T1307" s="273">
        <v>8.9</v>
      </c>
      <c r="U1307" s="274"/>
      <c r="V1307" s="280"/>
      <c r="W1307" s="244"/>
      <c r="X1307" s="244"/>
      <c r="Y1307" s="362"/>
      <c r="Z1307" s="257">
        <f>altaz(J2000_Bas,$O1307,$M1307,DecLat,DecLong,1)</f>
        <v>49.368203822118197</v>
      </c>
      <c r="AA1307" s="257">
        <f>altaz((J2000_Bas+(2*0.04167)),$O1307,$M1307,DecLat,DecLong,1)</f>
        <v>37.646759265353616</v>
      </c>
      <c r="AB1307" s="257">
        <f>altaz((J2000_Bas+(4*0.04167)),$O1307,$M1307,DecLat,DecLong,1)</f>
        <v>15.990945168704249</v>
      </c>
      <c r="AC1307" s="257">
        <f>altaz((J2000_Bas+(6*0.04167)),$O1307,$M1307,DecLat,DecLong,1)</f>
        <v>-9.0135413829075421</v>
      </c>
      <c r="AD1307" s="258">
        <f>1+ transit((J2000_Bas-1),$O1307,$M1307,DecLat,DecLong)/360 + (GMTOffset/24) + (IF(DST="Y", 1, 0)/24)</f>
        <v>1.774358215817208</v>
      </c>
      <c r="AE1307" s="259">
        <f>DATE(2001,9,21)+(M1307/360)*365 - (360*((DecLong/360)- (GMTOffset/24) ))</f>
        <v>37445.232291666667</v>
      </c>
      <c r="AF1307" s="260">
        <f>IF(DecLat&gt;0,IF((90 - (DecLat-O1307))&gt;90, (90 - (O1307-DecLat)), (90 - (DecLat-O1307))),IF((90 + (DecLat-O1307))&gt;90, (90 + (O1307-DecLat)), (90 + (DecLat-O1307))))</f>
        <v>49.616666666666667</v>
      </c>
      <c r="AG1307" s="257">
        <f>angularseperation(MoonRA,MoonDec,$M1307,$O1307)</f>
        <v>35.064772423891739</v>
      </c>
      <c r="AH1307" s="261">
        <f ca="1">MIN(100,IF($O$5&gt;80,0+30*($AG1307/100),IF($O$5&gt;70,0+50*($AG1307/100),IF($O$5&gt;60,5+50*($AG1307/100),IF($O$5&gt;50,10+60*($AG1307/100),IF($O$5&gt;40,15+70*($AG1307/100),IF($O$5&gt;30,20+70*($AG1307/100),IF($O$5&gt;20,40+55*($AG1307/100),(80+(20-$O$5)+30*($AG1307/100))))))))))</f>
        <v>93.790492071317942</v>
      </c>
      <c r="AI1307" s="262">
        <v>6694</v>
      </c>
      <c r="AJ1307" s="262"/>
      <c r="AK1307" s="262"/>
      <c r="AL1307" s="263">
        <v>26</v>
      </c>
      <c r="AM1307" s="264"/>
      <c r="AN1307" s="263"/>
      <c r="AO1307" s="263"/>
      <c r="AP1307" s="265"/>
      <c r="AQ1307" s="266"/>
      <c r="AR1307" s="267"/>
      <c r="AS1307" s="263"/>
      <c r="AT1307" s="263"/>
      <c r="AU1307" s="263"/>
      <c r="AV1307" s="264"/>
      <c r="AW1307" s="263"/>
      <c r="AX1307" s="263"/>
      <c r="AY1307" s="263"/>
      <c r="AZ1307" s="263"/>
      <c r="BA1307" s="263"/>
      <c r="BB1307" s="263"/>
      <c r="BC1307" s="263"/>
      <c r="BD1307" s="264"/>
      <c r="BE1307" s="263"/>
      <c r="BF1307" s="263"/>
      <c r="BG1307" s="263"/>
      <c r="BH1307" s="263"/>
      <c r="BI1307" s="263"/>
      <c r="BJ1307" s="404">
        <f>altaz(J2000_Bas,$O1307,$M1307,DecLat,DecLong,2)</f>
        <v>187.0972912655665</v>
      </c>
      <c r="BK1307" s="378" t="s">
        <v>1348</v>
      </c>
      <c r="BL1307" s="379">
        <f>IF((2*G1307)/60&lt;0.2,0.2,(2*G1307)/60)</f>
        <v>0.23333333333333334</v>
      </c>
      <c r="BM1307" s="380">
        <f>MOD((50000+AD1307-$B$3+(0/24)),1)</f>
        <v>0.98972514551860513</v>
      </c>
      <c r="BN1307" s="381"/>
      <c r="BO1307" s="382">
        <v>1300</v>
      </c>
    </row>
    <row r="1308" spans="1:67" s="24" customFormat="1" ht="15" customHeight="1" x14ac:dyDescent="0.25">
      <c r="A1308" s="288" t="s">
        <v>1349</v>
      </c>
      <c r="B1308" s="241" t="str">
        <f>HYPERLINK(CONCATENATE($AT$3,BK1308,$AU$3),$AV$3)</f>
        <v>S</v>
      </c>
      <c r="C1308" s="242" t="str">
        <f>HYPERLINK(CONCATENATE($AT$4,BK1308,$AU$4,BL1308),$AV$4)</f>
        <v>A</v>
      </c>
      <c r="D1308" s="243" t="s">
        <v>5187</v>
      </c>
      <c r="E1308" s="244" t="s">
        <v>5181</v>
      </c>
      <c r="F1308" s="269" t="s">
        <v>5740</v>
      </c>
      <c r="G1308" s="276">
        <v>15</v>
      </c>
      <c r="H1308" s="283">
        <v>1200</v>
      </c>
      <c r="I1308" s="279">
        <v>5</v>
      </c>
      <c r="J1308" s="246">
        <v>5</v>
      </c>
      <c r="K1308" s="247" t="s">
        <v>4908</v>
      </c>
      <c r="L1308" s="248">
        <v>195936</v>
      </c>
      <c r="M1308" s="249">
        <f>15*(LEFT(TEXT($L1308,"000000"),2)+(MID(TEXT($L1308,"000000"),3,2)/60)+(RIGHT(TEXT($L1308,"000000"),2)/3600))</f>
        <v>299.90000000000003</v>
      </c>
      <c r="N1308" s="250">
        <v>224315</v>
      </c>
      <c r="O1308" s="251">
        <f>IF($N1308&gt;0,(LEFT(TEXT($N1308,"000000"),2)+(MID(TEXT($N1308,"000000"),3,2)/60)+(RIGHT(TEXT($N1308,"000000"),2)/3600)),-(MID(TEXT($N1308,"000000"),2,2)+(MID(TEXT($N1308,"000000"),4,2)/60)+(RIGHT(TEXT($N1308,"000000"),2)/3600)))</f>
        <v>22.720833333333331</v>
      </c>
      <c r="P1308" s="252" t="s">
        <v>133</v>
      </c>
      <c r="Q1308" s="253" t="s">
        <v>6975</v>
      </c>
      <c r="R1308" s="247" t="s">
        <v>3677</v>
      </c>
      <c r="S1308" s="272" t="s">
        <v>3293</v>
      </c>
      <c r="T1308" s="273">
        <v>7.4</v>
      </c>
      <c r="U1308" s="274"/>
      <c r="V1308" s="280"/>
      <c r="W1308" s="244"/>
      <c r="X1308" s="244"/>
      <c r="Y1308" s="362"/>
      <c r="Z1308" s="257">
        <f>altaz(J2000_Bas,$O1308,$M1308,DecLat,DecLong,1)</f>
        <v>75.112896418792317</v>
      </c>
      <c r="AA1308" s="257">
        <f>altaz((J2000_Bas+(2*0.04167)),$O1308,$M1308,DecLat,DecLong,1)</f>
        <v>73.382209552503127</v>
      </c>
      <c r="AB1308" s="257">
        <f>altaz((J2000_Bas+(4*0.04167)),$O1308,$M1308,DecLat,DecLong,1)</f>
        <v>48.198347522628886</v>
      </c>
      <c r="AC1308" s="257">
        <f>altaz((J2000_Bas+(6*0.04167)),$O1308,$M1308,DecLat,DecLong,1)</f>
        <v>22.67047505254039</v>
      </c>
      <c r="AD1308" s="258">
        <f>1+ transit((J2000_Bas-1),$O1308,$M1308,DecLat,DecLong)/360 + (GMTOffset/24) + (IF(DST="Y", 1, 0)/24)</f>
        <v>1.8259554328797083</v>
      </c>
      <c r="AE1308" s="259">
        <f>DATE(2001,9,21)+(M1308/360)*365 - (360*((DecLong/360)- (GMTOffset/24) ))</f>
        <v>37464.06527777778</v>
      </c>
      <c r="AF1308" s="260">
        <f>IF(DecLat&gt;0,IF((90 - (DecLat-O1308))&gt;90, (90 - (O1308-DecLat)), (90 - (DecLat-O1308))),IF((90 + (DecLat-O1308))&gt;90, (90 + (O1308-DecLat)), (90 + (DecLat-O1308))))</f>
        <v>81.720833333333331</v>
      </c>
      <c r="AG1308" s="257">
        <f>angularseperation(MoonRA,MoonDec,$M1308,$O1308)</f>
        <v>69.832125103788741</v>
      </c>
      <c r="AH1308" s="261">
        <f ca="1">MIN(100,IF($O$5&gt;80,0+30*($AG1308/100),IF($O$5&gt;70,0+50*($AG1308/100),IF($O$5&gt;60,5+50*($AG1308/100),IF($O$5&gt;50,10+60*($AG1308/100),IF($O$5&gt;40,15+70*($AG1308/100),IF($O$5&gt;30,20+70*($AG1308/100),IF($O$5&gt;20,40+55*($AG1308/100),(80+(20-$O$5)+30*($AG1308/100))))))))))</f>
        <v>100</v>
      </c>
      <c r="AI1308" s="262">
        <v>6853</v>
      </c>
      <c r="AJ1308" s="262"/>
      <c r="AK1308" s="262"/>
      <c r="AL1308" s="263">
        <v>27</v>
      </c>
      <c r="AM1308" s="264"/>
      <c r="AN1308" s="263"/>
      <c r="AO1308" s="263"/>
      <c r="AP1308" s="265"/>
      <c r="AQ1308" s="266"/>
      <c r="AR1308" s="267"/>
      <c r="AS1308" s="263"/>
      <c r="AT1308" s="263"/>
      <c r="AU1308" s="263"/>
      <c r="AV1308" s="264"/>
      <c r="AW1308" s="263"/>
      <c r="AX1308" s="263"/>
      <c r="AY1308" s="263"/>
      <c r="AZ1308" s="263"/>
      <c r="BA1308" s="263"/>
      <c r="BB1308" s="263"/>
      <c r="BC1308" s="263"/>
      <c r="BD1308" s="264"/>
      <c r="BE1308" s="263"/>
      <c r="BF1308" s="263"/>
      <c r="BG1308" s="263"/>
      <c r="BH1308" s="263"/>
      <c r="BI1308" s="263"/>
      <c r="BJ1308" s="404">
        <f>altaz(J2000_Bas,$O1308,$M1308,DecLat,DecLong,2)</f>
        <v>120.42123069505287</v>
      </c>
      <c r="BK1308" s="378" t="s">
        <v>1349</v>
      </c>
      <c r="BL1308" s="379">
        <f>IF((2*G1308)/60&lt;0.2,0.2,(2*G1308)/60)</f>
        <v>0.5</v>
      </c>
      <c r="BM1308" s="380">
        <f>MOD((50000+AD1308-$B$3+(0/24)),1)</f>
        <v>4.1322362587379757E-2</v>
      </c>
      <c r="BN1308" s="381"/>
      <c r="BO1308" s="382">
        <v>1301</v>
      </c>
    </row>
    <row r="1309" spans="1:67" s="24" customFormat="1" ht="15" customHeight="1" x14ac:dyDescent="0.25">
      <c r="A1309" s="288" t="s">
        <v>1350</v>
      </c>
      <c r="B1309" s="241" t="str">
        <f>HYPERLINK(CONCATENATE($AT$3,BK1309,$AU$3),$AV$3)</f>
        <v>S</v>
      </c>
      <c r="C1309" s="242" t="str">
        <f>HYPERLINK(CONCATENATE($AT$4,BK1309,$AU$4,BL1309),$AV$4)</f>
        <v>A</v>
      </c>
      <c r="D1309" s="243" t="s">
        <v>5335</v>
      </c>
      <c r="E1309" s="244" t="s">
        <v>5184</v>
      </c>
      <c r="F1309" s="269" t="s">
        <v>3317</v>
      </c>
      <c r="G1309" s="276">
        <v>11</v>
      </c>
      <c r="H1309" s="283">
        <v>16000</v>
      </c>
      <c r="I1309" s="246">
        <v>50</v>
      </c>
      <c r="J1309" s="246">
        <v>3</v>
      </c>
      <c r="K1309" s="247" t="s">
        <v>5010</v>
      </c>
      <c r="L1309" s="248">
        <v>182433</v>
      </c>
      <c r="M1309" s="249">
        <f>15*(LEFT(TEXT($L1309,"000000"),2)+(MID(TEXT($L1309,"000000"),3,2)/60)+(RIGHT(TEXT($L1309,"000000"),2)/3600))</f>
        <v>276.13749999999993</v>
      </c>
      <c r="N1309" s="250">
        <v>-245207</v>
      </c>
      <c r="O1309" s="251">
        <f>IF($N1309&gt;0,(LEFT(TEXT($N1309,"000000"),2)+(MID(TEXT($N1309,"000000"),3,2)/60)+(RIGHT(TEXT($N1309,"000000"),2)/3600)),-(MID(TEXT($N1309,"000000"),2,2)+(MID(TEXT($N1309,"000000"),4,2)/60)+(RIGHT(TEXT($N1309,"000000"),2)/3600)))</f>
        <v>-24.868611111111111</v>
      </c>
      <c r="P1309" s="252" t="s">
        <v>119</v>
      </c>
      <c r="Q1309" s="253"/>
      <c r="R1309" s="247" t="s">
        <v>3666</v>
      </c>
      <c r="S1309" s="272" t="s">
        <v>3293</v>
      </c>
      <c r="T1309" s="273">
        <v>6.9</v>
      </c>
      <c r="U1309" s="274"/>
      <c r="V1309" s="280"/>
      <c r="W1309" s="244"/>
      <c r="X1309" s="244"/>
      <c r="Y1309" s="362"/>
      <c r="Z1309" s="257">
        <f>altaz(J2000_Bas,$O1309,$M1309,DecLat,DecLong,1)</f>
        <v>33.339131462036271</v>
      </c>
      <c r="AA1309" s="257">
        <f>altaz((J2000_Bas+(2*0.04167)),$O1309,$M1309,DecLat,DecLong,1)</f>
        <v>22.308130923431456</v>
      </c>
      <c r="AB1309" s="257">
        <f>altaz((J2000_Bas+(4*0.04167)),$O1309,$M1309,DecLat,DecLong,1)</f>
        <v>2.805998909912788</v>
      </c>
      <c r="AC1309" s="257">
        <f>altaz((J2000_Bas+(6*0.04167)),$O1309,$M1309,DecLat,DecLong,1)</f>
        <v>-20.684663075849052</v>
      </c>
      <c r="AD1309" s="258">
        <f>1+ transit((J2000_Bas-1),$O1309,$M1309,DecLat,DecLong)/360 + (GMTOffset/24) + (IF(DST="Y", 1, 0)/24)</f>
        <v>1.7599484950359578</v>
      </c>
      <c r="AE1309" s="259">
        <f>DATE(2001,9,21)+(M1309/360)*365 - (360*((DecLong/360)- (GMTOffset/24) ))</f>
        <v>37439.972743055558</v>
      </c>
      <c r="AF1309" s="260">
        <f>IF(DecLat&gt;0,IF((90 - (DecLat-O1309))&gt;90, (90 - (O1309-DecLat)), (90 - (DecLat-O1309))),IF((90 + (DecLat-O1309))&gt;90, (90 + (O1309-DecLat)), (90 + (DecLat-O1309))))</f>
        <v>34.131388888888893</v>
      </c>
      <c r="AG1309" s="257">
        <f>angularseperation(MoonRA,MoonDec,$M1309,$O1309)</f>
        <v>24.234010424817633</v>
      </c>
      <c r="AH1309" s="261">
        <f ca="1">MIN(100,IF($O$5&gt;80,0+30*($AG1309/100),IF($O$5&gt;70,0+50*($AG1309/100),IF($O$5&gt;60,5+50*($AG1309/100),IF($O$5&gt;50,10+60*($AG1309/100),IF($O$5&gt;40,15+70*($AG1309/100),IF($O$5&gt;30,20+70*($AG1309/100),IF($O$5&gt;20,40+55*($AG1309/100),(80+(20-$O$5)+30*($AG1309/100))))))))))</f>
        <v>90.541263471595713</v>
      </c>
      <c r="AI1309" s="262">
        <v>6626</v>
      </c>
      <c r="AJ1309" s="262"/>
      <c r="AK1309" s="262"/>
      <c r="AL1309" s="263">
        <v>28</v>
      </c>
      <c r="AM1309" s="264"/>
      <c r="AN1309" s="263"/>
      <c r="AO1309" s="263"/>
      <c r="AP1309" s="265"/>
      <c r="AQ1309" s="266"/>
      <c r="AR1309" s="267"/>
      <c r="AS1309" s="263"/>
      <c r="AT1309" s="263"/>
      <c r="AU1309" s="263"/>
      <c r="AV1309" s="264"/>
      <c r="AW1309" s="263"/>
      <c r="AX1309" s="263"/>
      <c r="AY1309" s="263"/>
      <c r="AZ1309" s="263"/>
      <c r="BA1309" s="263"/>
      <c r="BB1309" s="263"/>
      <c r="BC1309" s="263"/>
      <c r="BD1309" s="264"/>
      <c r="BE1309" s="263"/>
      <c r="BF1309" s="263"/>
      <c r="BG1309" s="263"/>
      <c r="BH1309" s="263"/>
      <c r="BI1309" s="263"/>
      <c r="BJ1309" s="404">
        <f>altaz(J2000_Bas,$O1309,$M1309,DecLat,DecLong,2)</f>
        <v>190.7231038497676</v>
      </c>
      <c r="BK1309" s="378" t="s">
        <v>1350</v>
      </c>
      <c r="BL1309" s="379">
        <f>IF((2*G1309)/60&lt;0.2,0.2,(2*G1309)/60)</f>
        <v>0.36666666666666664</v>
      </c>
      <c r="BM1309" s="380">
        <f>MOD((50000+AD1309-$B$3+(0/24)),1)</f>
        <v>0.97531542473734589</v>
      </c>
      <c r="BN1309" s="381"/>
      <c r="BO1309" s="382">
        <v>1302</v>
      </c>
    </row>
    <row r="1310" spans="1:67" s="24" customFormat="1" ht="15" customHeight="1" x14ac:dyDescent="0.25">
      <c r="A1310" s="288" t="s">
        <v>1351</v>
      </c>
      <c r="B1310" s="241" t="str">
        <f>HYPERLINK(CONCATENATE($AT$3,BK1310,$AU$3),$AV$3)</f>
        <v>S</v>
      </c>
      <c r="C1310" s="242" t="str">
        <f>HYPERLINK(CONCATENATE($AT$4,BK1310,$AU$4,BL1310),$AV$4)</f>
        <v>A</v>
      </c>
      <c r="D1310" s="243" t="s">
        <v>5335</v>
      </c>
      <c r="E1310" s="244" t="s">
        <v>5185</v>
      </c>
      <c r="F1310" s="269" t="s">
        <v>9077</v>
      </c>
      <c r="G1310" s="276">
        <v>13</v>
      </c>
      <c r="H1310" s="283">
        <v>5200</v>
      </c>
      <c r="I1310" s="246">
        <v>20</v>
      </c>
      <c r="J1310" s="246">
        <v>2</v>
      </c>
      <c r="K1310" s="247" t="s">
        <v>4910</v>
      </c>
      <c r="L1310" s="248">
        <v>202357</v>
      </c>
      <c r="M1310" s="249">
        <f>15*(LEFT(TEXT($L1310,"000000"),2)+(MID(TEXT($L1310,"000000"),3,2)/60)+(RIGHT(TEXT($L1310,"000000"),2)/3600))</f>
        <v>305.98750000000001</v>
      </c>
      <c r="N1310" s="250">
        <v>383030</v>
      </c>
      <c r="O1310" s="251">
        <f>IF($N1310&gt;0,(LEFT(TEXT($N1310,"000000"),2)+(MID(TEXT($N1310,"000000"),3,2)/60)+(RIGHT(TEXT($N1310,"000000"),2)/3600)),-(MID(TEXT($N1310,"000000"),2,2)+(MID(TEXT($N1310,"000000"),4,2)/60)+(RIGHT(TEXT($N1310,"000000"),2)/3600)))</f>
        <v>38.508333333333333</v>
      </c>
      <c r="P1310" s="252" t="s">
        <v>60</v>
      </c>
      <c r="Q1310" s="253" t="s">
        <v>7105</v>
      </c>
      <c r="R1310" s="247" t="s">
        <v>3683</v>
      </c>
      <c r="S1310" s="272" t="s">
        <v>3293</v>
      </c>
      <c r="T1310" s="273">
        <v>6.6</v>
      </c>
      <c r="U1310" s="274"/>
      <c r="V1310" s="280"/>
      <c r="W1310" s="244"/>
      <c r="X1310" s="244"/>
      <c r="Y1310" s="362"/>
      <c r="Z1310" s="257">
        <f>altaz(J2000_Bas,$O1310,$M1310,DecLat,DecLong,1)</f>
        <v>71.996071790930458</v>
      </c>
      <c r="AA1310" s="257">
        <f>altaz((J2000_Bas+(2*0.04167)),$O1310,$M1310,DecLat,DecLong,1)</f>
        <v>78.822712277738106</v>
      </c>
      <c r="AB1310" s="257">
        <f>altaz((J2000_Bas+(4*0.04167)),$O1310,$M1310,DecLat,DecLong,1)</f>
        <v>56.419720711672333</v>
      </c>
      <c r="AC1310" s="257">
        <f>altaz((J2000_Bas+(6*0.04167)),$O1310,$M1310,DecLat,DecLong,1)</f>
        <v>33.170190232830485</v>
      </c>
      <c r="AD1310" s="258">
        <f>1+ transit((J2000_Bas-1),$O1310,$M1310,DecLat,DecLong)/360 + (GMTOffset/24) + (IF(DST="Y", 1, 0)/24)</f>
        <v>1.8428651534109581</v>
      </c>
      <c r="AE1310" s="259">
        <f>DATE(2001,9,21)+(M1310/360)*365 - (360*((DecLong/360)- (GMTOffset/24) ))</f>
        <v>37470.237326388888</v>
      </c>
      <c r="AF1310" s="260">
        <f>IF(DecLat&gt;0,IF((90 - (DecLat-O1310))&gt;90, (90 - (O1310-DecLat)), (90 - (DecLat-O1310))),IF((90 + (DecLat-O1310))&gt;90, (90 + (O1310-DecLat)), (90 + (DecLat-O1310))))</f>
        <v>82.491666666666674</v>
      </c>
      <c r="AG1310" s="257">
        <f>angularseperation(MoonRA,MoonDec,$M1310,$O1310)</f>
        <v>84.34358425626283</v>
      </c>
      <c r="AH1310" s="261">
        <f ca="1">MIN(100,IF($O$5&gt;80,0+30*($AG1310/100),IF($O$5&gt;70,0+50*($AG1310/100),IF($O$5&gt;60,5+50*($AG1310/100),IF($O$5&gt;50,10+60*($AG1310/100),IF($O$5&gt;40,15+70*($AG1310/100),IF($O$5&gt;30,20+70*($AG1310/100),IF($O$5&gt;20,40+55*($AG1310/100),(80+(20-$O$5)+30*($AG1310/100))))))))))</f>
        <v>100</v>
      </c>
      <c r="AI1310" s="262">
        <v>6913</v>
      </c>
      <c r="AJ1310" s="262"/>
      <c r="AK1310" s="262"/>
      <c r="AL1310" s="263">
        <v>29</v>
      </c>
      <c r="AM1310" s="264"/>
      <c r="AN1310" s="263"/>
      <c r="AO1310" s="263"/>
      <c r="AP1310" s="265"/>
      <c r="AQ1310" s="266"/>
      <c r="AR1310" s="267"/>
      <c r="AS1310" s="263"/>
      <c r="AT1310" s="263"/>
      <c r="AU1310" s="263"/>
      <c r="AV1310" s="264"/>
      <c r="AW1310" s="263"/>
      <c r="AX1310" s="263"/>
      <c r="AY1310" s="263"/>
      <c r="AZ1310" s="263"/>
      <c r="BA1310" s="263"/>
      <c r="BB1310" s="263"/>
      <c r="BC1310" s="263"/>
      <c r="BD1310" s="264"/>
      <c r="BE1310" s="263"/>
      <c r="BF1310" s="263"/>
      <c r="BG1310" s="263"/>
      <c r="BH1310" s="263"/>
      <c r="BI1310" s="263"/>
      <c r="BJ1310" s="404">
        <f>altaz(J2000_Bas,$O1310,$M1310,DecLat,DecLong,2)</f>
        <v>59.914690441294304</v>
      </c>
      <c r="BK1310" s="378" t="s">
        <v>1351</v>
      </c>
      <c r="BL1310" s="379">
        <f>IF((2*G1310)/60&lt;0.2,0.2,(2*G1310)/60)</f>
        <v>0.43333333333333335</v>
      </c>
      <c r="BM1310" s="380">
        <f>MOD((50000+AD1310-$B$3+(0/24)),1)</f>
        <v>5.8232083116308786E-2</v>
      </c>
      <c r="BN1310" s="381"/>
      <c r="BO1310" s="382">
        <v>1303</v>
      </c>
    </row>
    <row r="1311" spans="1:67" s="24" customFormat="1" ht="15" customHeight="1" x14ac:dyDescent="0.25">
      <c r="A1311" s="288" t="s">
        <v>1352</v>
      </c>
      <c r="B1311" s="241" t="str">
        <f>HYPERLINK(CONCATENATE($AT$3,BK1311,$AU$3),$AV$3)</f>
        <v>S</v>
      </c>
      <c r="C1311" s="242" t="str">
        <f>HYPERLINK(CONCATENATE($AT$4,BK1311,$AU$4,BL1311),$AV$4)</f>
        <v>A</v>
      </c>
      <c r="D1311" s="243" t="s">
        <v>5335</v>
      </c>
      <c r="E1311" s="244" t="s">
        <v>5184</v>
      </c>
      <c r="F1311" s="269" t="s">
        <v>3316</v>
      </c>
      <c r="G1311" s="276">
        <v>11</v>
      </c>
      <c r="H1311" s="283">
        <v>23000</v>
      </c>
      <c r="I1311" s="246">
        <v>75</v>
      </c>
      <c r="J1311" s="246">
        <v>3</v>
      </c>
      <c r="K1311" s="247" t="s">
        <v>6214</v>
      </c>
      <c r="L1311" s="248">
        <v>214022</v>
      </c>
      <c r="M1311" s="249">
        <f>15*(LEFT(TEXT($L1311,"000000"),2)+(MID(TEXT($L1311,"000000"),3,2)/60)+(RIGHT(TEXT($L1311,"000000"),2)/3600))</f>
        <v>325.0916666666667</v>
      </c>
      <c r="N1311" s="250">
        <v>-231045</v>
      </c>
      <c r="O1311" s="251">
        <f>IF($N1311&gt;0,(LEFT(TEXT($N1311,"000000"),2)+(MID(TEXT($N1311,"000000"),3,2)/60)+(RIGHT(TEXT($N1311,"000000"),2)/3600)),-(MID(TEXT($N1311,"000000"),2,2)+(MID(TEXT($N1311,"000000"),4,2)/60)+(RIGHT(TEXT($N1311,"000000"),2)/3600)))</f>
        <v>-23.179166666666667</v>
      </c>
      <c r="P1311" s="252" t="s">
        <v>1120</v>
      </c>
      <c r="Q1311" s="253" t="s">
        <v>7127</v>
      </c>
      <c r="R1311" s="247" t="s">
        <v>3687</v>
      </c>
      <c r="S1311" s="272" t="s">
        <v>3293</v>
      </c>
      <c r="T1311" s="273">
        <v>7.1</v>
      </c>
      <c r="U1311" s="274"/>
      <c r="V1311" s="280"/>
      <c r="W1311" s="244"/>
      <c r="X1311" s="244"/>
      <c r="Y1311" s="362"/>
      <c r="Z1311" s="257">
        <f>altaz(J2000_Bas,$O1311,$M1311,DecLat,DecLong,1)</f>
        <v>24.13435058798407</v>
      </c>
      <c r="AA1311" s="257">
        <f>altaz((J2000_Bas+(2*0.04167)),$O1311,$M1311,DecLat,DecLong,1)</f>
        <v>35.13756867780539</v>
      </c>
      <c r="AB1311" s="257">
        <f>altaz((J2000_Bas+(4*0.04167)),$O1311,$M1311,DecLat,DecLong,1)</f>
        <v>32.17590092716005</v>
      </c>
      <c r="AC1311" s="257">
        <f>altaz((J2000_Bas+(6*0.04167)),$O1311,$M1311,DecLat,DecLong,1)</f>
        <v>16.942085014943519</v>
      </c>
      <c r="AD1311" s="258">
        <f>1+ transit((J2000_Bas-1),$O1311,$M1311,DecLat,DecLong)/360 + (GMTOffset/24) + (IF(DST="Y", 1, 0)/24)</f>
        <v>1.895932277733875</v>
      </c>
      <c r="AE1311" s="259">
        <f>DATE(2001,9,21)+(M1311/360)*365 - (360*((DecLong/360)- (GMTOffset/24) ))</f>
        <v>37489.606828703705</v>
      </c>
      <c r="AF1311" s="260">
        <f>IF(DecLat&gt;0,IF((90 - (DecLat-O1311))&gt;90, (90 - (O1311-DecLat)), (90 - (DecLat-O1311))),IF((90 + (DecLat-O1311))&gt;90, (90 + (O1311-DecLat)), (90 + (DecLat-O1311))))</f>
        <v>35.820833333333333</v>
      </c>
      <c r="AG1311" s="257">
        <f>angularseperation(MoonRA,MoonDec,$M1311,$O1311)</f>
        <v>67.709901902361082</v>
      </c>
      <c r="AH1311" s="261">
        <f ca="1">MIN(100,IF($O$5&gt;80,0+30*($AG1311/100),IF($O$5&gt;70,0+50*($AG1311/100),IF($O$5&gt;60,5+50*($AG1311/100),IF($O$5&gt;50,10+60*($AG1311/100),IF($O$5&gt;40,15+70*($AG1311/100),IF($O$5&gt;30,20+70*($AG1311/100),IF($O$5&gt;20,40+55*($AG1311/100),(80+(20-$O$5)+30*($AG1311/100))))))))))</f>
        <v>100</v>
      </c>
      <c r="AI1311" s="262">
        <v>7099</v>
      </c>
      <c r="AJ1311" s="262"/>
      <c r="AK1311" s="262"/>
      <c r="AL1311" s="263">
        <v>30</v>
      </c>
      <c r="AM1311" s="264"/>
      <c r="AN1311" s="263"/>
      <c r="AO1311" s="263"/>
      <c r="AP1311" s="265"/>
      <c r="AQ1311" s="266"/>
      <c r="AR1311" s="267"/>
      <c r="AS1311" s="263"/>
      <c r="AT1311" s="263"/>
      <c r="AU1311" s="263"/>
      <c r="AV1311" s="264"/>
      <c r="AW1311" s="263"/>
      <c r="AX1311" s="263"/>
      <c r="AY1311" s="263"/>
      <c r="AZ1311" s="263"/>
      <c r="BA1311" s="263"/>
      <c r="BB1311" s="263"/>
      <c r="BC1311" s="263"/>
      <c r="BD1311" s="264"/>
      <c r="BE1311" s="263"/>
      <c r="BF1311" s="263"/>
      <c r="BG1311" s="263"/>
      <c r="BH1311" s="263"/>
      <c r="BI1311" s="263"/>
      <c r="BJ1311" s="404">
        <f>altaz(J2000_Bas,$O1311,$M1311,DecLat,DecLong,2)</f>
        <v>140.56895376227749</v>
      </c>
      <c r="BK1311" s="378" t="s">
        <v>1352</v>
      </c>
      <c r="BL1311" s="379">
        <f>IF((2*G1311)/60&lt;0.2,0.2,(2*G1311)/60)</f>
        <v>0.36666666666666664</v>
      </c>
      <c r="BM1311" s="380">
        <f>MOD((50000+AD1311-$B$3+(0/24)),1)</f>
        <v>0.11129920744133415</v>
      </c>
      <c r="BN1311" s="381"/>
      <c r="BO1311" s="382">
        <v>1304</v>
      </c>
    </row>
    <row r="1312" spans="1:67" s="24" customFormat="1" ht="15" customHeight="1" x14ac:dyDescent="0.25">
      <c r="A1312" s="288" t="s">
        <v>1353</v>
      </c>
      <c r="B1312" s="241" t="str">
        <f>HYPERLINK(CONCATENATE($AT$3,BK1312,$AU$3),$AV$3)</f>
        <v>S</v>
      </c>
      <c r="C1312" s="242" t="str">
        <f>HYPERLINK(CONCATENATE($AT$4,BK1312,$AU$4,BL1312),$AV$4)</f>
        <v>A</v>
      </c>
      <c r="D1312" s="243" t="s">
        <v>5638</v>
      </c>
      <c r="E1312" s="244" t="s">
        <v>5192</v>
      </c>
      <c r="F1312" s="269" t="s">
        <v>8688</v>
      </c>
      <c r="G1312" s="276">
        <v>200</v>
      </c>
      <c r="H1312" s="289">
        <v>2.5</v>
      </c>
      <c r="I1312" s="246">
        <v>150</v>
      </c>
      <c r="J1312" s="246">
        <v>5</v>
      </c>
      <c r="K1312" s="247" t="s">
        <v>4911</v>
      </c>
      <c r="L1312" s="248">
        <v>4244</v>
      </c>
      <c r="M1312" s="249">
        <f>15*(LEFT(TEXT($L1312,"000000"),2)+(MID(TEXT($L1312,"000000"),3,2)/60)+(RIGHT(TEXT($L1312,"000000"),2)/3600))</f>
        <v>10.683333333333334</v>
      </c>
      <c r="N1312" s="250">
        <v>411608</v>
      </c>
      <c r="O1312" s="251">
        <f>IF($N1312&gt;0,(LEFT(TEXT($N1312,"000000"),2)+(MID(TEXT($N1312,"000000"),3,2)/60)+(RIGHT(TEXT($N1312,"000000"),2)/3600)),-(MID(TEXT($N1312,"000000"),2,2)+(MID(TEXT($N1312,"000000"),4,2)/60)+(RIGHT(TEXT($N1312,"000000"),2)/3600)))</f>
        <v>41.268888888888888</v>
      </c>
      <c r="P1312" s="252" t="s">
        <v>36</v>
      </c>
      <c r="Q1312" s="253" t="s">
        <v>3361</v>
      </c>
      <c r="R1312" s="277" t="s">
        <v>3457</v>
      </c>
      <c r="S1312" s="272" t="s">
        <v>4239</v>
      </c>
      <c r="T1312" s="273">
        <v>3.4</v>
      </c>
      <c r="U1312" s="289">
        <v>22.39</v>
      </c>
      <c r="V1312" s="280">
        <v>77</v>
      </c>
      <c r="W1312" s="244"/>
      <c r="X1312" s="244"/>
      <c r="Y1312" s="362"/>
      <c r="Z1312" s="257">
        <f>altaz(J2000_Bas,$O1312,$M1312,DecLat,DecLong,1)</f>
        <v>23.54336849631256</v>
      </c>
      <c r="AA1312" s="257">
        <f>altaz((J2000_Bas+(2*0.04167)),$O1312,$M1312,DecLat,DecLong,1)</f>
        <v>45.476446723961068</v>
      </c>
      <c r="AB1312" s="257">
        <f>altaz((J2000_Bas+(4*0.04167)),$O1312,$M1312,DecLat,DecLong,1)</f>
        <v>67.807325520568597</v>
      </c>
      <c r="AC1312" s="257">
        <f>altaz((J2000_Bas+(6*0.04167)),$O1312,$M1312,DecLat,DecLong,1)</f>
        <v>78.794584812733717</v>
      </c>
      <c r="AD1312" s="258">
        <f>1+ transit((J2000_Bas-1),$O1312,$M1312,DecLat,DecLong)/360 + (GMTOffset/24) + (IF(DST="Y", 1, 0)/24)</f>
        <v>1.0225758835880414</v>
      </c>
      <c r="AE1312" s="259">
        <f>DATE(2001,9,21)+(M1312/360)*365 - (360*((DecLong/360)- (GMTOffset/24) ))</f>
        <v>37170.831712962965</v>
      </c>
      <c r="AF1312" s="260">
        <f>IF(DecLat&gt;0,IF((90 - (DecLat-O1312))&gt;90, (90 - (O1312-DecLat)), (90 - (DecLat-O1312))),IF((90 + (DecLat-O1312))&gt;90, (90 + (O1312-DecLat)), (90 + (DecLat-O1312))))</f>
        <v>79.731111111111119</v>
      </c>
      <c r="AG1312" s="257">
        <f>angularseperation(MoonRA,MoonDec,$M1312,$O1312)</f>
        <v>130.49513062470294</v>
      </c>
      <c r="AH1312" s="261">
        <f ca="1">MIN(100,IF($O$5&gt;80,0+30*($AG1312/100),IF($O$5&gt;70,0+50*($AG1312/100),IF($O$5&gt;60,5+50*($AG1312/100),IF($O$5&gt;50,10+60*($AG1312/100),IF($O$5&gt;40,15+70*($AG1312/100),IF($O$5&gt;30,20+70*($AG1312/100),IF($O$5&gt;20,40+55*($AG1312/100),(80+(20-$O$5)+30*($AG1312/100))))))))))</f>
        <v>100</v>
      </c>
      <c r="AI1312" s="262">
        <v>224</v>
      </c>
      <c r="AJ1312" s="262"/>
      <c r="AK1312" s="262"/>
      <c r="AL1312" s="263">
        <v>31</v>
      </c>
      <c r="AM1312" s="264"/>
      <c r="AN1312" s="263"/>
      <c r="AO1312" s="263"/>
      <c r="AP1312" s="265"/>
      <c r="AQ1312" s="266"/>
      <c r="AR1312" s="267">
        <v>2557</v>
      </c>
      <c r="AS1312" s="263"/>
      <c r="AT1312" s="263"/>
      <c r="AU1312" s="263"/>
      <c r="AV1312" s="264"/>
      <c r="AW1312" s="263"/>
      <c r="AX1312" s="263"/>
      <c r="AY1312" s="263"/>
      <c r="AZ1312" s="263"/>
      <c r="BA1312" s="263"/>
      <c r="BB1312" s="263"/>
      <c r="BC1312" s="263"/>
      <c r="BD1312" s="264"/>
      <c r="BE1312" s="263"/>
      <c r="BF1312" s="263"/>
      <c r="BG1312" s="263"/>
      <c r="BH1312" s="263"/>
      <c r="BI1312" s="263"/>
      <c r="BJ1312" s="404">
        <f>altaz(J2000_Bas,$O1312,$M1312,DecLat,DecLong,2)</f>
        <v>54.720003661310528</v>
      </c>
      <c r="BK1312" s="378" t="s">
        <v>1353</v>
      </c>
      <c r="BL1312" s="379">
        <f>IF((2*G1312)/60&lt;0.2,0.2,(2*G1312)/60)</f>
        <v>6.666666666666667</v>
      </c>
      <c r="BM1312" s="380">
        <f>MOD((50000+AD1312-$B$3+(0/24)),1)</f>
        <v>0.23794281329173828</v>
      </c>
      <c r="BN1312" s="381" t="s">
        <v>9235</v>
      </c>
      <c r="BO1312" s="382">
        <v>1305</v>
      </c>
    </row>
    <row r="1313" spans="1:67" s="24" customFormat="1" ht="15" customHeight="1" x14ac:dyDescent="0.25">
      <c r="A1313" s="288" t="s">
        <v>1354</v>
      </c>
      <c r="B1313" s="241" t="str">
        <f>HYPERLINK(CONCATENATE($AT$3,BK1313,$AU$3),$AV$3)</f>
        <v>S</v>
      </c>
      <c r="C1313" s="242" t="str">
        <f>HYPERLINK(CONCATENATE($AT$4,BK1313,$AU$4,BL1313),$AV$4)</f>
        <v>A</v>
      </c>
      <c r="D1313" s="243" t="s">
        <v>5638</v>
      </c>
      <c r="E1313" s="244" t="s">
        <v>13</v>
      </c>
      <c r="F1313" s="269" t="s">
        <v>3304</v>
      </c>
      <c r="G1313" s="273">
        <v>9</v>
      </c>
      <c r="H1313" s="289">
        <v>2.5</v>
      </c>
      <c r="I1313" s="279">
        <v>7</v>
      </c>
      <c r="J1313" s="246">
        <v>2</v>
      </c>
      <c r="K1313" s="247" t="s">
        <v>4246</v>
      </c>
      <c r="L1313" s="248">
        <v>4242</v>
      </c>
      <c r="M1313" s="249">
        <f>15*(LEFT(TEXT($L1313,"000000"),2)+(MID(TEXT($L1313,"000000"),3,2)/60)+(RIGHT(TEXT($L1313,"000000"),2)/3600))</f>
        <v>10.675000000000001</v>
      </c>
      <c r="N1313" s="250">
        <v>405154</v>
      </c>
      <c r="O1313" s="251">
        <f>IF($N1313&gt;0,(LEFT(TEXT($N1313,"000000"),2)+(MID(TEXT($N1313,"000000"),3,2)/60)+(RIGHT(TEXT($N1313,"000000"),2)/3600)),-(MID(TEXT($N1313,"000000"),2,2)+(MID(TEXT($N1313,"000000"),4,2)/60)+(RIGHT(TEXT($N1313,"000000"),2)/3600)))</f>
        <v>40.865000000000002</v>
      </c>
      <c r="P1313" s="252" t="s">
        <v>36</v>
      </c>
      <c r="Q1313" s="253" t="s">
        <v>6851</v>
      </c>
      <c r="R1313" s="247" t="s">
        <v>3456</v>
      </c>
      <c r="S1313" s="272" t="s">
        <v>4238</v>
      </c>
      <c r="T1313" s="273">
        <v>8.1</v>
      </c>
      <c r="U1313" s="289">
        <v>21.39</v>
      </c>
      <c r="V1313" s="280"/>
      <c r="W1313" s="244"/>
      <c r="X1313" s="244"/>
      <c r="Y1313" s="362"/>
      <c r="Z1313" s="257">
        <f>altaz(J2000_Bas,$O1313,$M1313,DecLat,DecLong,1)</f>
        <v>23.401237060227508</v>
      </c>
      <c r="AA1313" s="257">
        <f>altaz((J2000_Bas+(2*0.04167)),$O1313,$M1313,DecLat,DecLong,1)</f>
        <v>45.446975404711488</v>
      </c>
      <c r="AB1313" s="257">
        <f>altaz((J2000_Bas+(4*0.04167)),$O1313,$M1313,DecLat,DecLong,1)</f>
        <v>67.946314324634315</v>
      </c>
      <c r="AC1313" s="257">
        <f>altaz((J2000_Bas+(6*0.04167)),$O1313,$M1313,DecLat,DecLong,1)</f>
        <v>79.155388762734688</v>
      </c>
      <c r="AD1313" s="258">
        <f>1+ transit((J2000_Bas-1),$O1313,$M1313,DecLat,DecLong)/360 + (GMTOffset/24) + (IF(DST="Y", 1, 0)/24)</f>
        <v>1.0225527354422079</v>
      </c>
      <c r="AE1313" s="259">
        <f>DATE(2001,9,21)+(M1313/360)*365 - (360*((DecLong/360)- (GMTOffset/24) ))</f>
        <v>37170.823263888888</v>
      </c>
      <c r="AF1313" s="260">
        <f>IF(DecLat&gt;0,IF((90 - (DecLat-O1313))&gt;90, (90 - (O1313-DecLat)), (90 - (DecLat-O1313))),IF((90 + (DecLat-O1313))&gt;90, (90 + (O1313-DecLat)), (90 + (DecLat-O1313))))</f>
        <v>80.134999999999991</v>
      </c>
      <c r="AG1313" s="257">
        <f>angularseperation(MoonRA,MoonDec,$M1313,$O1313)</f>
        <v>130.46856856459806</v>
      </c>
      <c r="AH1313" s="261">
        <f ca="1">MIN(100,IF($O$5&gt;80,0+30*($AG1313/100),IF($O$5&gt;70,0+50*($AG1313/100),IF($O$5&gt;60,5+50*($AG1313/100),IF($O$5&gt;50,10+60*($AG1313/100),IF($O$5&gt;40,15+70*($AG1313/100),IF($O$5&gt;30,20+70*($AG1313/100),IF($O$5&gt;20,40+55*($AG1313/100),(80+(20-$O$5)+30*($AG1313/100))))))))))</f>
        <v>100</v>
      </c>
      <c r="AI1313" s="262">
        <v>221</v>
      </c>
      <c r="AJ1313" s="262"/>
      <c r="AK1313" s="262"/>
      <c r="AL1313" s="263">
        <v>32</v>
      </c>
      <c r="AM1313" s="264"/>
      <c r="AN1313" s="263">
        <v>168</v>
      </c>
      <c r="AO1313" s="263"/>
      <c r="AP1313" s="265"/>
      <c r="AQ1313" s="266"/>
      <c r="AR1313" s="267">
        <v>2555</v>
      </c>
      <c r="AS1313" s="263"/>
      <c r="AT1313" s="263"/>
      <c r="AU1313" s="263"/>
      <c r="AV1313" s="264"/>
      <c r="AW1313" s="263"/>
      <c r="AX1313" s="263"/>
      <c r="AY1313" s="263"/>
      <c r="AZ1313" s="263"/>
      <c r="BA1313" s="263"/>
      <c r="BB1313" s="263"/>
      <c r="BC1313" s="263"/>
      <c r="BD1313" s="264"/>
      <c r="BE1313" s="263"/>
      <c r="BF1313" s="263"/>
      <c r="BG1313" s="263"/>
      <c r="BH1313" s="263"/>
      <c r="BI1313" s="263"/>
      <c r="BJ1313" s="404">
        <f>altaz(J2000_Bas,$O1313,$M1313,DecLat,DecLong,2)</f>
        <v>55.13222000709289</v>
      </c>
      <c r="BK1313" s="378" t="s">
        <v>1354</v>
      </c>
      <c r="BL1313" s="379">
        <f>IF((2*G1313)/60&lt;0.2,0.2,(2*G1313)/60)</f>
        <v>0.3</v>
      </c>
      <c r="BM1313" s="380">
        <f>MOD((50000+AD1313-$B$3+(0/24)),1)</f>
        <v>0.23791966514545493</v>
      </c>
      <c r="BN1313" s="381" t="s">
        <v>9235</v>
      </c>
      <c r="BO1313" s="382">
        <v>1306</v>
      </c>
    </row>
    <row r="1314" spans="1:67" s="24" customFormat="1" ht="15" customHeight="1" x14ac:dyDescent="0.25">
      <c r="A1314" s="288" t="s">
        <v>1355</v>
      </c>
      <c r="B1314" s="241" t="str">
        <f>HYPERLINK(CONCATENATE($AT$3,BK1314,$AU$3),$AV$3)</f>
        <v>S</v>
      </c>
      <c r="C1314" s="242" t="str">
        <f>HYPERLINK(CONCATENATE($AT$4,BK1314,$AU$4,BL1314),$AV$4)</f>
        <v>A</v>
      </c>
      <c r="D1314" s="243" t="s">
        <v>5638</v>
      </c>
      <c r="E1314" s="244" t="s">
        <v>5192</v>
      </c>
      <c r="F1314" s="269" t="s">
        <v>8689</v>
      </c>
      <c r="G1314" s="276">
        <v>70</v>
      </c>
      <c r="H1314" s="289">
        <v>3</v>
      </c>
      <c r="I1314" s="246">
        <v>60</v>
      </c>
      <c r="J1314" s="246">
        <v>4</v>
      </c>
      <c r="K1314" s="247" t="s">
        <v>4912</v>
      </c>
      <c r="L1314" s="248">
        <v>13351</v>
      </c>
      <c r="M1314" s="249">
        <f>15*(LEFT(TEXT($L1314,"000000"),2)+(MID(TEXT($L1314,"000000"),3,2)/60)+(RIGHT(TEXT($L1314,"000000"),2)/3600))</f>
        <v>23.462500000000002</v>
      </c>
      <c r="N1314" s="250">
        <v>303937</v>
      </c>
      <c r="O1314" s="251">
        <f>IF($N1314&gt;0,(LEFT(TEXT($N1314,"000000"),2)+(MID(TEXT($N1314,"000000"),3,2)/60)+(RIGHT(TEXT($N1314,"000000"),2)/3600)),-(MID(TEXT($N1314,"000000"),2,2)+(MID(TEXT($N1314,"000000"),4,2)/60)+(RIGHT(TEXT($N1314,"000000"),2)/3600)))</f>
        <v>30.660277777777775</v>
      </c>
      <c r="P1314" s="252" t="s">
        <v>314</v>
      </c>
      <c r="Q1314" s="253" t="s">
        <v>6918</v>
      </c>
      <c r="R1314" s="277" t="s">
        <v>3469</v>
      </c>
      <c r="S1314" s="272" t="s">
        <v>3293</v>
      </c>
      <c r="T1314" s="273">
        <v>5.7</v>
      </c>
      <c r="U1314" s="289">
        <v>23.09</v>
      </c>
      <c r="V1314" s="280">
        <v>60</v>
      </c>
      <c r="W1314" s="244"/>
      <c r="X1314" s="244"/>
      <c r="Y1314" s="362"/>
      <c r="Z1314" s="257">
        <f>altaz(J2000_Bas,$O1314,$M1314,DecLat,DecLong,1)</f>
        <v>9.6083076211986054</v>
      </c>
      <c r="AA1314" s="257">
        <f>altaz((J2000_Bas+(2*0.04167)),$O1314,$M1314,DecLat,DecLong,1)</f>
        <v>33.112966494403643</v>
      </c>
      <c r="AB1314" s="257">
        <f>altaz((J2000_Bas+(4*0.04167)),$O1314,$M1314,DecLat,DecLong,1)</f>
        <v>58.130036275569978</v>
      </c>
      <c r="AC1314" s="257">
        <f>altaz((J2000_Bas+(6*0.04167)),$O1314,$M1314,DecLat,DecLong,1)</f>
        <v>83.803840446848852</v>
      </c>
      <c r="AD1314" s="258">
        <f>1+ transit((J2000_Bas-1),$O1314,$M1314,DecLat,DecLong)/360 + (GMTOffset/24) + (IF(DST="Y", 1, 0)/24)</f>
        <v>1.0580735652234581</v>
      </c>
      <c r="AE1314" s="259">
        <f>DATE(2001,9,21)+(M1314/360)*365 - (360*((DecLong/360)- (GMTOffset/24) ))</f>
        <v>37183.788368055553</v>
      </c>
      <c r="AF1314" s="260">
        <f>IF(DecLat&gt;0,IF((90 - (DecLat-O1314))&gt;90, (90 - (O1314-DecLat)), (90 - (DecLat-O1314))),IF((90 + (DecLat-O1314))&gt;90, (90 + (O1314-DecLat)), (90 + (DecLat-O1314))))</f>
        <v>89.660277777777779</v>
      </c>
      <c r="AG1314" s="257">
        <f>angularseperation(MoonRA,MoonDec,$M1314,$O1314)</f>
        <v>140.02423576168596</v>
      </c>
      <c r="AH1314" s="261">
        <f ca="1">MIN(100,IF($O$5&gt;80,0+30*($AG1314/100),IF($O$5&gt;70,0+50*($AG1314/100),IF($O$5&gt;60,5+50*($AG1314/100),IF($O$5&gt;50,10+60*($AG1314/100),IF($O$5&gt;40,15+70*($AG1314/100),IF($O$5&gt;30,20+70*($AG1314/100),IF($O$5&gt;20,40+55*($AG1314/100),(80+(20-$O$5)+30*($AG1314/100))))))))))</f>
        <v>100</v>
      </c>
      <c r="AI1314" s="262">
        <v>598</v>
      </c>
      <c r="AJ1314" s="262"/>
      <c r="AK1314" s="262">
        <v>22</v>
      </c>
      <c r="AL1314" s="263">
        <v>33</v>
      </c>
      <c r="AM1314" s="264"/>
      <c r="AN1314" s="263"/>
      <c r="AO1314" s="263"/>
      <c r="AP1314" s="265"/>
      <c r="AQ1314" s="266"/>
      <c r="AR1314" s="267">
        <v>5818</v>
      </c>
      <c r="AS1314" s="263"/>
      <c r="AT1314" s="263"/>
      <c r="AU1314" s="263"/>
      <c r="AV1314" s="264"/>
      <c r="AW1314" s="263"/>
      <c r="AX1314" s="263"/>
      <c r="AY1314" s="263"/>
      <c r="AZ1314" s="263"/>
      <c r="BA1314" s="263"/>
      <c r="BB1314" s="263"/>
      <c r="BC1314" s="263"/>
      <c r="BD1314" s="264"/>
      <c r="BE1314" s="263"/>
      <c r="BF1314" s="263"/>
      <c r="BG1314" s="263"/>
      <c r="BH1314" s="263"/>
      <c r="BI1314" s="263"/>
      <c r="BJ1314" s="404">
        <f>altaz(J2000_Bas,$O1314,$M1314,DecLat,DecLong,2)</f>
        <v>59.889609829388107</v>
      </c>
      <c r="BK1314" s="378" t="s">
        <v>1355</v>
      </c>
      <c r="BL1314" s="379">
        <f>IF((2*G1314)/60&lt;0.2,0.2,(2*G1314)/60)</f>
        <v>2.3333333333333335</v>
      </c>
      <c r="BM1314" s="380">
        <f>MOD((50000+AD1314-$B$3+(0/24)),1)</f>
        <v>0.27344049492967315</v>
      </c>
      <c r="BN1314" s="381" t="s">
        <v>9236</v>
      </c>
      <c r="BO1314" s="382">
        <v>1307</v>
      </c>
    </row>
    <row r="1315" spans="1:67" s="24" customFormat="1" ht="15" customHeight="1" x14ac:dyDescent="0.25">
      <c r="A1315" s="288" t="s">
        <v>1356</v>
      </c>
      <c r="B1315" s="241" t="str">
        <f>HYPERLINK(CONCATENATE($AT$3,BK1315,$AU$3),$AV$3)</f>
        <v>S</v>
      </c>
      <c r="C1315" s="242" t="str">
        <f>HYPERLINK(CONCATENATE($AT$4,BK1315,$AU$4,BL1315),$AV$4)</f>
        <v>A</v>
      </c>
      <c r="D1315" s="243" t="s">
        <v>5335</v>
      </c>
      <c r="E1315" s="244" t="s">
        <v>5185</v>
      </c>
      <c r="F1315" s="269" t="s">
        <v>4913</v>
      </c>
      <c r="G1315" s="276">
        <v>48</v>
      </c>
      <c r="H1315" s="283">
        <v>1700</v>
      </c>
      <c r="I1315" s="246">
        <v>24</v>
      </c>
      <c r="J1315" s="246">
        <v>3</v>
      </c>
      <c r="K1315" s="247" t="s">
        <v>9587</v>
      </c>
      <c r="L1315" s="248">
        <v>24205</v>
      </c>
      <c r="M1315" s="249">
        <f>15*(LEFT(TEXT($L1315,"000000"),2)+(MID(TEXT($L1315,"000000"),3,2)/60)+(RIGHT(TEXT($L1315,"000000"),2)/3600))</f>
        <v>40.520833333333343</v>
      </c>
      <c r="N1315" s="250">
        <v>424542</v>
      </c>
      <c r="O1315" s="251">
        <f>IF($N1315&gt;0,(LEFT(TEXT($N1315,"000000"),2)+(MID(TEXT($N1315,"000000"),3,2)/60)+(RIGHT(TEXT($N1315,"000000"),2)/3600)),-(MID(TEXT($N1315,"000000"),2,2)+(MID(TEXT($N1315,"000000"),4,2)/60)+(RIGHT(TEXT($N1315,"000000"),2)/3600)))</f>
        <v>42.761666666666663</v>
      </c>
      <c r="P1315" s="252" t="s">
        <v>43</v>
      </c>
      <c r="Q1315" s="253"/>
      <c r="R1315" s="247" t="s">
        <v>3478</v>
      </c>
      <c r="S1315" s="272" t="s">
        <v>4935</v>
      </c>
      <c r="T1315" s="273">
        <v>5.2</v>
      </c>
      <c r="U1315" s="274"/>
      <c r="V1315" s="280"/>
      <c r="W1315" s="244"/>
      <c r="X1315" s="244"/>
      <c r="Y1315" s="362"/>
      <c r="Z1315" s="257">
        <f>altaz(J2000_Bas,$O1315,$M1315,DecLat,DecLong,1)</f>
        <v>5.0789896784010571</v>
      </c>
      <c r="AA1315" s="257">
        <f>altaz((J2000_Bas+(2*0.04167)),$O1315,$M1315,DecLat,DecLong,1)</f>
        <v>24.250574638236607</v>
      </c>
      <c r="AB1315" s="257">
        <f>altaz((J2000_Bas+(4*0.04167)),$O1315,$M1315,DecLat,DecLong,1)</f>
        <v>45.76465531602777</v>
      </c>
      <c r="AC1315" s="257">
        <f>altaz((J2000_Bas+(6*0.04167)),$O1315,$M1315,DecLat,DecLong,1)</f>
        <v>67.429568560297881</v>
      </c>
      <c r="AD1315" s="258">
        <f>1+ transit((J2000_Bas-1),$O1315,$M1315,DecLat,DecLong)/360 + (GMTOffset/24) + (IF(DST="Y", 1, 0)/24)</f>
        <v>1.1054578197442912</v>
      </c>
      <c r="AE1315" s="259">
        <f>DATE(2001,9,21)+(M1315/360)*365 - (360*((DecLong/360)- (GMTOffset/24) ))</f>
        <v>37201.083622685182</v>
      </c>
      <c r="AF1315" s="260">
        <f>IF(DecLat&gt;0,IF((90 - (DecLat-O1315))&gt;90, (90 - (O1315-DecLat)), (90 - (DecLat-O1315))),IF((90 + (DecLat-O1315))&gt;90, (90 + (O1315-DecLat)), (90 + (DecLat-O1315))))</f>
        <v>78.238333333333344</v>
      </c>
      <c r="AG1315" s="257">
        <f>angularseperation(MoonRA,MoonDec,$M1315,$O1315)</f>
        <v>151.93029881445167</v>
      </c>
      <c r="AH1315" s="261">
        <f ca="1">MIN(100,IF($O$5&gt;80,0+30*($AG1315/100),IF($O$5&gt;70,0+50*($AG1315/100),IF($O$5&gt;60,5+50*($AG1315/100),IF($O$5&gt;50,10+60*($AG1315/100),IF($O$5&gt;40,15+70*($AG1315/100),IF($O$5&gt;30,20+70*($AG1315/100),IF($O$5&gt;20,40+55*($AG1315/100),(80+(20-$O$5)+30*($AG1315/100))))))))))</f>
        <v>100</v>
      </c>
      <c r="AI1315" s="262">
        <v>1039</v>
      </c>
      <c r="AJ1315" s="262"/>
      <c r="AK1315" s="262"/>
      <c r="AL1315" s="263">
        <v>34</v>
      </c>
      <c r="AM1315" s="264"/>
      <c r="AN1315" s="263"/>
      <c r="AO1315" s="263"/>
      <c r="AP1315" s="265"/>
      <c r="AQ1315" s="266"/>
      <c r="AR1315" s="267"/>
      <c r="AS1315" s="263"/>
      <c r="AT1315" s="263"/>
      <c r="AU1315" s="263"/>
      <c r="AV1315" s="264"/>
      <c r="AW1315" s="263"/>
      <c r="AX1315" s="263"/>
      <c r="AY1315" s="263"/>
      <c r="AZ1315" s="263"/>
      <c r="BA1315" s="263"/>
      <c r="BB1315" s="263"/>
      <c r="BC1315" s="263"/>
      <c r="BD1315" s="264"/>
      <c r="BE1315" s="263"/>
      <c r="BF1315" s="263"/>
      <c r="BG1315" s="263"/>
      <c r="BH1315" s="263"/>
      <c r="BI1315" s="263"/>
      <c r="BJ1315" s="404">
        <f>altaz(J2000_Bas,$O1315,$M1315,DecLat,DecLong,2)</f>
        <v>42.114593708643902</v>
      </c>
      <c r="BK1315" s="378" t="s">
        <v>1356</v>
      </c>
      <c r="BL1315" s="379">
        <f>IF((2*G1315)/60&lt;0.2,0.2,(2*G1315)/60)</f>
        <v>1.6</v>
      </c>
      <c r="BM1315" s="380">
        <f>MOD((50000+AD1315-$B$3+(0/24)),1)</f>
        <v>0.32082474944763817</v>
      </c>
      <c r="BN1315" s="381"/>
      <c r="BO1315" s="382">
        <v>1308</v>
      </c>
    </row>
    <row r="1316" spans="1:67" s="24" customFormat="1" ht="15" customHeight="1" x14ac:dyDescent="0.25">
      <c r="A1316" s="288" t="s">
        <v>1357</v>
      </c>
      <c r="B1316" s="241" t="str">
        <f>HYPERLINK(CONCATENATE($AT$3,BK1316,$AU$3),$AV$3)</f>
        <v>S</v>
      </c>
      <c r="C1316" s="242" t="str">
        <f>HYPERLINK(CONCATENATE($AT$4,BK1316,$AU$4,BL1316),$AV$4)</f>
        <v>A</v>
      </c>
      <c r="D1316" s="243" t="s">
        <v>5335</v>
      </c>
      <c r="E1316" s="244" t="s">
        <v>5185</v>
      </c>
      <c r="F1316" s="269" t="s">
        <v>4916</v>
      </c>
      <c r="G1316" s="276">
        <v>38</v>
      </c>
      <c r="H1316" s="283">
        <v>2900</v>
      </c>
      <c r="I1316" s="246">
        <v>32</v>
      </c>
      <c r="J1316" s="246">
        <v>3</v>
      </c>
      <c r="K1316" s="247" t="s">
        <v>4917</v>
      </c>
      <c r="L1316" s="248">
        <v>60900</v>
      </c>
      <c r="M1316" s="249">
        <f>15*(LEFT(TEXT($L1316,"000000"),2)+(MID(TEXT($L1316,"000000"),3,2)/60)+(RIGHT(TEXT($L1316,"000000"),2)/3600))</f>
        <v>92.25</v>
      </c>
      <c r="N1316" s="250">
        <v>242100</v>
      </c>
      <c r="O1316" s="251">
        <f>IF($N1316&gt;0,(LEFT(TEXT($N1316,"000000"),2)+(MID(TEXT($N1316,"000000"),3,2)/60)+(RIGHT(TEXT($N1316,"000000"),2)/3600)),-(MID(TEXT($N1316,"000000"),2,2)+(MID(TEXT($N1316,"000000"),4,2)/60)+(RIGHT(TEXT($N1316,"000000"),2)/3600)))</f>
        <v>24.35</v>
      </c>
      <c r="P1316" s="252" t="s">
        <v>85</v>
      </c>
      <c r="Q1316" s="253" t="s">
        <v>7146</v>
      </c>
      <c r="R1316" s="247" t="s">
        <v>3496</v>
      </c>
      <c r="S1316" s="272" t="s">
        <v>4915</v>
      </c>
      <c r="T1316" s="273">
        <v>5.0999999999999996</v>
      </c>
      <c r="U1316" s="274"/>
      <c r="V1316" s="280"/>
      <c r="W1316" s="244"/>
      <c r="X1316" s="244"/>
      <c r="Y1316" s="362"/>
      <c r="Z1316" s="257">
        <f>altaz(J2000_Bas,$O1316,$M1316,DecLat,DecLong,1)</f>
        <v>-33.104918749202831</v>
      </c>
      <c r="AA1316" s="257">
        <f>altaz((J2000_Bas+(2*0.04167)),$O1316,$M1316,DecLat,DecLong,1)</f>
        <v>-20.544142403370916</v>
      </c>
      <c r="AB1316" s="257">
        <f>altaz((J2000_Bas+(4*0.04167)),$O1316,$M1316,DecLat,DecLong,1)</f>
        <v>-0.22461329490261159</v>
      </c>
      <c r="AC1316" s="257">
        <f>altaz((J2000_Bas+(6*0.04167)),$O1316,$M1316,DecLat,DecLong,1)</f>
        <v>23.663150945577371</v>
      </c>
      <c r="AD1316" s="258">
        <f>1+ transit((J2000_Bas-1),$O1316,$M1316,DecLat,DecLong)/360 + (GMTOffset/24) + (IF(DST="Y", 1, 0)/24)</f>
        <v>1.2491499350047079</v>
      </c>
      <c r="AE1316" s="259">
        <f>DATE(2001,9,21)+(M1316/360)*365 - (360*((DecLong/360)- (GMTOffset/24) ))</f>
        <v>37253.53125</v>
      </c>
      <c r="AF1316" s="260">
        <f>IF(DecLat&gt;0,IF((90 - (DecLat-O1316))&gt;90, (90 - (O1316-DecLat)), (90 - (DecLat-O1316))),IF((90 + (DecLat-O1316))&gt;90, (90 + (O1316-DecLat)), (90 + (DecLat-O1316))))</f>
        <v>83.35</v>
      </c>
      <c r="AG1316" s="257">
        <f>angularseperation(MoonRA,MoonDec,$M1316,$O1316)</f>
        <v>159.12103547443135</v>
      </c>
      <c r="AH1316" s="261">
        <f ca="1">MIN(100,IF($O$5&gt;80,0+30*($AG1316/100),IF($O$5&gt;70,0+50*($AG1316/100),IF($O$5&gt;60,5+50*($AG1316/100),IF($O$5&gt;50,10+60*($AG1316/100),IF($O$5&gt;40,15+70*($AG1316/100),IF($O$5&gt;30,20+70*($AG1316/100),IF($O$5&gt;20,40+55*($AG1316/100),(80+(20-$O$5)+30*($AG1316/100))))))))))</f>
        <v>100</v>
      </c>
      <c r="AI1316" s="262">
        <v>2168</v>
      </c>
      <c r="AJ1316" s="262"/>
      <c r="AK1316" s="262"/>
      <c r="AL1316" s="263">
        <v>35</v>
      </c>
      <c r="AM1316" s="264"/>
      <c r="AN1316" s="263"/>
      <c r="AO1316" s="263"/>
      <c r="AP1316" s="265"/>
      <c r="AQ1316" s="266"/>
      <c r="AR1316" s="267"/>
      <c r="AS1316" s="263"/>
      <c r="AT1316" s="263"/>
      <c r="AU1316" s="263"/>
      <c r="AV1316" s="264"/>
      <c r="AW1316" s="263"/>
      <c r="AX1316" s="263"/>
      <c r="AY1316" s="263"/>
      <c r="AZ1316" s="263"/>
      <c r="BA1316" s="263"/>
      <c r="BB1316" s="263"/>
      <c r="BC1316" s="263"/>
      <c r="BD1316" s="264"/>
      <c r="BE1316" s="263"/>
      <c r="BF1316" s="263"/>
      <c r="BG1316" s="263"/>
      <c r="BH1316" s="263"/>
      <c r="BI1316" s="263"/>
      <c r="BJ1316" s="404">
        <f>altaz(J2000_Bas,$O1316,$M1316,DecLat,DecLong,2)</f>
        <v>14.984238747910263</v>
      </c>
      <c r="BK1316" s="378" t="s">
        <v>1357</v>
      </c>
      <c r="BL1316" s="379">
        <f>IF((2*G1316)/60&lt;0.2,0.2,(2*G1316)/60)</f>
        <v>1.2666666666666666</v>
      </c>
      <c r="BM1316" s="380">
        <f>MOD((50000+AD1316-$B$3+(0/24)),1)</f>
        <v>0.46451686471118592</v>
      </c>
      <c r="BN1316" s="381"/>
      <c r="BO1316" s="382">
        <v>1309</v>
      </c>
    </row>
    <row r="1317" spans="1:67" s="24" customFormat="1" ht="15" customHeight="1" x14ac:dyDescent="0.25">
      <c r="A1317" s="288" t="s">
        <v>1358</v>
      </c>
      <c r="B1317" s="241" t="str">
        <f>HYPERLINK(CONCATENATE($AT$3,BK1317,$AU$3),$AV$3)</f>
        <v>S</v>
      </c>
      <c r="C1317" s="242" t="str">
        <f>HYPERLINK(CONCATENATE($AT$4,BK1317,$AU$4,BL1317),$AV$4)</f>
        <v>A</v>
      </c>
      <c r="D1317" s="243" t="s">
        <v>5335</v>
      </c>
      <c r="E1317" s="244" t="s">
        <v>5185</v>
      </c>
      <c r="F1317" s="269" t="s">
        <v>4918</v>
      </c>
      <c r="G1317" s="276">
        <v>10</v>
      </c>
      <c r="H1317" s="283">
        <v>3800</v>
      </c>
      <c r="I1317" s="246">
        <v>12</v>
      </c>
      <c r="J1317" s="246">
        <v>3</v>
      </c>
      <c r="K1317" s="247" t="s">
        <v>4919</v>
      </c>
      <c r="L1317" s="248">
        <v>53618</v>
      </c>
      <c r="M1317" s="249">
        <f>15*(LEFT(TEXT($L1317,"000000"),2)+(MID(TEXT($L1317,"000000"),3,2)/60)+(RIGHT(TEXT($L1317,"000000"),2)/3600))</f>
        <v>84.074999999999989</v>
      </c>
      <c r="N1317" s="250">
        <v>340824</v>
      </c>
      <c r="O1317" s="251">
        <f>IF($N1317&gt;0,(LEFT(TEXT($N1317,"000000"),2)+(MID(TEXT($N1317,"000000"),3,2)/60)+(RIGHT(TEXT($N1317,"000000"),2)/3600)),-(MID(TEXT($N1317,"000000"),2,2)+(MID(TEXT($N1317,"000000"),4,2)/60)+(RIGHT(TEXT($N1317,"000000"),2)/3600)))</f>
        <v>34.14</v>
      </c>
      <c r="P1317" s="252" t="s">
        <v>62</v>
      </c>
      <c r="Q1317" s="253" t="s">
        <v>7139</v>
      </c>
      <c r="R1317" s="247" t="s">
        <v>3490</v>
      </c>
      <c r="S1317" s="272" t="s">
        <v>3293</v>
      </c>
      <c r="T1317" s="273">
        <v>6</v>
      </c>
      <c r="U1317" s="274"/>
      <c r="V1317" s="280"/>
      <c r="W1317" s="244"/>
      <c r="X1317" s="244"/>
      <c r="Y1317" s="362"/>
      <c r="Z1317" s="257">
        <f>altaz(J2000_Bas,$O1317,$M1317,DecLat,DecLong,1)</f>
        <v>-21.658778349004404</v>
      </c>
      <c r="AA1317" s="257">
        <f>altaz((J2000_Bas+(2*0.04167)),$O1317,$M1317,DecLat,DecLong,1)</f>
        <v>-8.4887098915852057</v>
      </c>
      <c r="AB1317" s="257">
        <f>altaz((J2000_Bas+(4*0.04167)),$O1317,$M1317,DecLat,DecLong,1)</f>
        <v>11.040200790536643</v>
      </c>
      <c r="AC1317" s="257">
        <f>altaz((J2000_Bas+(6*0.04167)),$O1317,$M1317,DecLat,DecLong,1)</f>
        <v>33.841170775459162</v>
      </c>
      <c r="AD1317" s="258">
        <f>1+ transit((J2000_Bas-1),$O1317,$M1317,DecLat,DecLong)/360 + (GMTOffset/24) + (IF(DST="Y", 1, 0)/24)</f>
        <v>1.2264416039422079</v>
      </c>
      <c r="AE1317" s="259">
        <f>DATE(2001,9,21)+(M1317/360)*365 - (360*((DecLong/360)- (GMTOffset/24) ))</f>
        <v>37245.242708333331</v>
      </c>
      <c r="AF1317" s="260">
        <f>IF(DecLat&gt;0,IF((90 - (DecLat-O1317))&gt;90, (90 - (O1317-DecLat)), (90 - (DecLat-O1317))),IF((90 + (DecLat-O1317))&gt;90, (90 + (O1317-DecLat)), (90 + (DecLat-O1317))))</f>
        <v>86.86</v>
      </c>
      <c r="AG1317" s="257">
        <f>angularseperation(MoonRA,MoonDec,$M1317,$O1317)</f>
        <v>165.43657808263671</v>
      </c>
      <c r="AH1317" s="261">
        <f ca="1">MIN(100,IF($O$5&gt;80,0+30*($AG1317/100),IF($O$5&gt;70,0+50*($AG1317/100),IF($O$5&gt;60,5+50*($AG1317/100),IF($O$5&gt;50,10+60*($AG1317/100),IF($O$5&gt;40,15+70*($AG1317/100),IF($O$5&gt;30,20+70*($AG1317/100),IF($O$5&gt;20,40+55*($AG1317/100),(80+(20-$O$5)+30*($AG1317/100))))))))))</f>
        <v>100</v>
      </c>
      <c r="AI1317" s="262">
        <v>1960</v>
      </c>
      <c r="AJ1317" s="262"/>
      <c r="AK1317" s="262"/>
      <c r="AL1317" s="263">
        <v>36</v>
      </c>
      <c r="AM1317" s="264"/>
      <c r="AN1317" s="263"/>
      <c r="AO1317" s="263"/>
      <c r="AP1317" s="265"/>
      <c r="AQ1317" s="266"/>
      <c r="AR1317" s="267"/>
      <c r="AS1317" s="263"/>
      <c r="AT1317" s="263"/>
      <c r="AU1317" s="263"/>
      <c r="AV1317" s="264"/>
      <c r="AW1317" s="263"/>
      <c r="AX1317" s="263"/>
      <c r="AY1317" s="263"/>
      <c r="AZ1317" s="263"/>
      <c r="BA1317" s="263"/>
      <c r="BB1317" s="263"/>
      <c r="BC1317" s="263"/>
      <c r="BD1317" s="264"/>
      <c r="BE1317" s="263"/>
      <c r="BF1317" s="263"/>
      <c r="BG1317" s="263"/>
      <c r="BH1317" s="263"/>
      <c r="BI1317" s="263"/>
      <c r="BJ1317" s="404">
        <f>altaz(J2000_Bas,$O1317,$M1317,DecLat,DecLong,2)</f>
        <v>19.42422192817498</v>
      </c>
      <c r="BK1317" s="378" t="s">
        <v>1358</v>
      </c>
      <c r="BL1317" s="379">
        <f>IF((2*G1317)/60&lt;0.2,0.2,(2*G1317)/60)</f>
        <v>0.33333333333333331</v>
      </c>
      <c r="BM1317" s="380">
        <f>MOD((50000+AD1317-$B$3+(0/24)),1)</f>
        <v>0.44180853364377981</v>
      </c>
      <c r="BN1317" s="381"/>
      <c r="BO1317" s="382">
        <v>1310</v>
      </c>
    </row>
    <row r="1318" spans="1:67" s="24" customFormat="1" ht="15" customHeight="1" x14ac:dyDescent="0.25">
      <c r="A1318" s="288" t="s">
        <v>1359</v>
      </c>
      <c r="B1318" s="241" t="str">
        <f>HYPERLINK(CONCATENATE($AT$3,BK1318,$AU$3),$AV$3)</f>
        <v>S</v>
      </c>
      <c r="C1318" s="242" t="str">
        <f>HYPERLINK(CONCATENATE($AT$4,BK1318,$AU$4,BL1318),$AV$4)</f>
        <v>A</v>
      </c>
      <c r="D1318" s="243" t="s">
        <v>5335</v>
      </c>
      <c r="E1318" s="244" t="s">
        <v>5185</v>
      </c>
      <c r="F1318" s="269" t="s">
        <v>4920</v>
      </c>
      <c r="G1318" s="276">
        <v>19</v>
      </c>
      <c r="H1318" s="283">
        <v>4700</v>
      </c>
      <c r="I1318" s="246">
        <v>26</v>
      </c>
      <c r="J1318" s="246">
        <v>3</v>
      </c>
      <c r="K1318" s="247" t="s">
        <v>4921</v>
      </c>
      <c r="L1318" s="248">
        <v>55218</v>
      </c>
      <c r="M1318" s="249">
        <f>15*(LEFT(TEXT($L1318,"000000"),2)+(MID(TEXT($L1318,"000000"),3,2)/60)+(RIGHT(TEXT($L1318,"000000"),2)/3600))</f>
        <v>88.075000000000003</v>
      </c>
      <c r="N1318" s="250">
        <v>323312</v>
      </c>
      <c r="O1318" s="251">
        <f>IF($N1318&gt;0,(LEFT(TEXT($N1318,"000000"),2)+(MID(TEXT($N1318,"000000"),3,2)/60)+(RIGHT(TEXT($N1318,"000000"),2)/3600)),-(MID(TEXT($N1318,"000000"),2,2)+(MID(TEXT($N1318,"000000"),4,2)/60)+(RIGHT(TEXT($N1318,"000000"),2)/3600)))</f>
        <v>32.553333333333327</v>
      </c>
      <c r="P1318" s="252" t="s">
        <v>62</v>
      </c>
      <c r="Q1318" s="253" t="s">
        <v>7143</v>
      </c>
      <c r="R1318" s="247" t="s">
        <v>3495</v>
      </c>
      <c r="S1318" s="272" t="s">
        <v>3293</v>
      </c>
      <c r="T1318" s="273">
        <v>5.6</v>
      </c>
      <c r="U1318" s="274"/>
      <c r="V1318" s="280"/>
      <c r="W1318" s="244"/>
      <c r="X1318" s="244"/>
      <c r="Y1318" s="362"/>
      <c r="Z1318" s="257">
        <f>altaz(J2000_Bas,$O1318,$M1318,DecLat,DecLong,1)</f>
        <v>-24.222704676099891</v>
      </c>
      <c r="AA1318" s="257">
        <f>altaz((J2000_Bas+(2*0.04167)),$O1318,$M1318,DecLat,DecLong,1)</f>
        <v>-11.899629361299729</v>
      </c>
      <c r="AB1318" s="257">
        <f>altaz((J2000_Bas+(4*0.04167)),$O1318,$M1318,DecLat,DecLong,1)</f>
        <v>7.360460051131982</v>
      </c>
      <c r="AC1318" s="257">
        <f>altaz((J2000_Bas+(6*0.04167)),$O1318,$M1318,DecLat,DecLong,1)</f>
        <v>30.170241038310227</v>
      </c>
      <c r="AD1318" s="258">
        <f>1+ transit((J2000_Bas-1),$O1318,$M1318,DecLat,DecLong)/360 + (GMTOffset/24) + (IF(DST="Y", 1, 0)/24)</f>
        <v>1.237552713942208</v>
      </c>
      <c r="AE1318" s="259">
        <f>DATE(2001,9,21)+(M1318/360)*365 - (360*((DecLong/360)- (GMTOffset/24) ))</f>
        <v>37249.298263888886</v>
      </c>
      <c r="AF1318" s="260">
        <f>IF(DecLat&gt;0,IF((90 - (DecLat-O1318))&gt;90, (90 - (O1318-DecLat)), (90 - (DecLat-O1318))),IF((90 + (DecLat-O1318))&gt;90, (90 + (O1318-DecLat)), (90 + (DecLat-O1318))))</f>
        <v>88.446666666666673</v>
      </c>
      <c r="AG1318" s="257">
        <f>angularseperation(MoonRA,MoonDec,$M1318,$O1318)</f>
        <v>162.79841691445196</v>
      </c>
      <c r="AH1318" s="261">
        <f ca="1">MIN(100,IF($O$5&gt;80,0+30*($AG1318/100),IF($O$5&gt;70,0+50*($AG1318/100),IF($O$5&gt;60,5+50*($AG1318/100),IF($O$5&gt;50,10+60*($AG1318/100),IF($O$5&gt;40,15+70*($AG1318/100),IF($O$5&gt;30,20+70*($AG1318/100),IF($O$5&gt;20,40+55*($AG1318/100),(80+(20-$O$5)+30*($AG1318/100))))))))))</f>
        <v>100</v>
      </c>
      <c r="AI1318" s="262">
        <v>2099</v>
      </c>
      <c r="AJ1318" s="262"/>
      <c r="AK1318" s="262"/>
      <c r="AL1318" s="263">
        <v>37</v>
      </c>
      <c r="AM1318" s="264"/>
      <c r="AN1318" s="263"/>
      <c r="AO1318" s="263"/>
      <c r="AP1318" s="265"/>
      <c r="AQ1318" s="266"/>
      <c r="AR1318" s="267"/>
      <c r="AS1318" s="263"/>
      <c r="AT1318" s="263"/>
      <c r="AU1318" s="263"/>
      <c r="AV1318" s="264"/>
      <c r="AW1318" s="263"/>
      <c r="AX1318" s="263"/>
      <c r="AY1318" s="263"/>
      <c r="AZ1318" s="263"/>
      <c r="BA1318" s="263"/>
      <c r="BB1318" s="263"/>
      <c r="BC1318" s="263"/>
      <c r="BD1318" s="264"/>
      <c r="BE1318" s="263"/>
      <c r="BF1318" s="263"/>
      <c r="BG1318" s="263"/>
      <c r="BH1318" s="263"/>
      <c r="BI1318" s="263"/>
      <c r="BJ1318" s="404">
        <f>altaz(J2000_Bas,$O1318,$M1318,DecLat,DecLong,2)</f>
        <v>16.529153097450521</v>
      </c>
      <c r="BK1318" s="378" t="s">
        <v>1359</v>
      </c>
      <c r="BL1318" s="379">
        <f>IF((2*G1318)/60&lt;0.2,0.2,(2*G1318)/60)</f>
        <v>0.6333333333333333</v>
      </c>
      <c r="BM1318" s="380">
        <f>MOD((50000+AD1318-$B$3+(0/24)),1)</f>
        <v>0.45291964364878368</v>
      </c>
      <c r="BN1318" s="381"/>
      <c r="BO1318" s="382">
        <v>1311</v>
      </c>
    </row>
    <row r="1319" spans="1:67" s="24" customFormat="1" ht="15" customHeight="1" x14ac:dyDescent="0.25">
      <c r="A1319" s="288" t="s">
        <v>1360</v>
      </c>
      <c r="B1319" s="241" t="str">
        <f>HYPERLINK(CONCATENATE($AT$3,BK1319,$AU$3),$AV$3)</f>
        <v>S</v>
      </c>
      <c r="C1319" s="242" t="str">
        <f>HYPERLINK(CONCATENATE($AT$4,BK1319,$AU$4,BL1319),$AV$4)</f>
        <v>A</v>
      </c>
      <c r="D1319" s="243" t="s">
        <v>5335</v>
      </c>
      <c r="E1319" s="244" t="s">
        <v>5185</v>
      </c>
      <c r="F1319" s="269" t="s">
        <v>4922</v>
      </c>
      <c r="G1319" s="276">
        <v>20</v>
      </c>
      <c r="H1319" s="283">
        <v>3800</v>
      </c>
      <c r="I1319" s="246">
        <v>22</v>
      </c>
      <c r="J1319" s="246">
        <v>3</v>
      </c>
      <c r="K1319" s="247" t="s">
        <v>4914</v>
      </c>
      <c r="L1319" s="248">
        <v>52840</v>
      </c>
      <c r="M1319" s="249">
        <f>15*(LEFT(TEXT($L1319,"000000"),2)+(MID(TEXT($L1319,"000000"),3,2)/60)+(RIGHT(TEXT($L1319,"000000"),2)/3600))</f>
        <v>82.166666666666671</v>
      </c>
      <c r="N1319" s="250">
        <v>355054</v>
      </c>
      <c r="O1319" s="251">
        <f>IF($N1319&gt;0,(LEFT(TEXT($N1319,"000000"),2)+(MID(TEXT($N1319,"000000"),3,2)/60)+(RIGHT(TEXT($N1319,"000000"),2)/3600)),-(MID(TEXT($N1319,"000000"),2,2)+(MID(TEXT($N1319,"000000"),4,2)/60)+(RIGHT(TEXT($N1319,"000000"),2)/3600)))</f>
        <v>35.848333333333336</v>
      </c>
      <c r="P1319" s="252" t="s">
        <v>62</v>
      </c>
      <c r="Q1319" s="253" t="s">
        <v>7152</v>
      </c>
      <c r="R1319" s="247" t="s">
        <v>3488</v>
      </c>
      <c r="S1319" s="272" t="s">
        <v>3293</v>
      </c>
      <c r="T1319" s="273">
        <v>6.4</v>
      </c>
      <c r="U1319" s="274"/>
      <c r="V1319" s="280"/>
      <c r="W1319" s="244"/>
      <c r="X1319" s="244"/>
      <c r="Y1319" s="362"/>
      <c r="Z1319" s="257">
        <f>altaz(J2000_Bas,$O1319,$M1319,DecLat,DecLong,1)</f>
        <v>-19.50595215072283</v>
      </c>
      <c r="AA1319" s="257">
        <f>altaz((J2000_Bas+(2*0.04167)),$O1319,$M1319,DecLat,DecLong,1)</f>
        <v>-6.1736136659304943</v>
      </c>
      <c r="AB1319" s="257">
        <f>altaz((J2000_Bas+(4*0.04167)),$O1319,$M1319,DecLat,DecLong,1)</f>
        <v>13.241905073666306</v>
      </c>
      <c r="AC1319" s="257">
        <f>altaz((J2000_Bas+(6*0.04167)),$O1319,$M1319,DecLat,DecLong,1)</f>
        <v>35.81840328047619</v>
      </c>
      <c r="AD1319" s="258">
        <f>1+ transit((J2000_Bas-1),$O1319,$M1319,DecLat,DecLong)/360 + (GMTOffset/24) + (IF(DST="Y", 1, 0)/24)</f>
        <v>1.2211406785463748</v>
      </c>
      <c r="AE1319" s="259">
        <f>DATE(2001,9,21)+(M1319/360)*365 - (360*((DecLong/360)- (GMTOffset/24) ))</f>
        <v>37243.307870370372</v>
      </c>
      <c r="AF1319" s="260">
        <f>IF(DecLat&gt;0,IF((90 - (DecLat-O1319))&gt;90, (90 - (O1319-DecLat)), (90 - (DecLat-O1319))),IF((90 + (DecLat-O1319))&gt;90, (90 + (O1319-DecLat)), (90 + (DecLat-O1319))))</f>
        <v>85.151666666666671</v>
      </c>
      <c r="AG1319" s="257">
        <f>angularseperation(MoonRA,MoonDec,$M1319,$O1319)</f>
        <v>165.93946735234047</v>
      </c>
      <c r="AH1319" s="261">
        <f ca="1">MIN(100,IF($O$5&gt;80,0+30*($AG1319/100),IF($O$5&gt;70,0+50*($AG1319/100),IF($O$5&gt;60,5+50*($AG1319/100),IF($O$5&gt;50,10+60*($AG1319/100),IF($O$5&gt;40,15+70*($AG1319/100),IF($O$5&gt;30,20+70*($AG1319/100),IF($O$5&gt;20,40+55*($AG1319/100),(80+(20-$O$5)+30*($AG1319/100))))))))))</f>
        <v>100</v>
      </c>
      <c r="AI1319" s="262">
        <v>1912</v>
      </c>
      <c r="AJ1319" s="262"/>
      <c r="AK1319" s="262"/>
      <c r="AL1319" s="263">
        <v>38</v>
      </c>
      <c r="AM1319" s="264"/>
      <c r="AN1319" s="263"/>
      <c r="AO1319" s="263"/>
      <c r="AP1319" s="265"/>
      <c r="AQ1319" s="266"/>
      <c r="AR1319" s="267"/>
      <c r="AS1319" s="263"/>
      <c r="AT1319" s="263"/>
      <c r="AU1319" s="263"/>
      <c r="AV1319" s="264"/>
      <c r="AW1319" s="263"/>
      <c r="AX1319" s="263"/>
      <c r="AY1319" s="263"/>
      <c r="AZ1319" s="263"/>
      <c r="BA1319" s="263"/>
      <c r="BB1319" s="263"/>
      <c r="BC1319" s="263"/>
      <c r="BD1319" s="264"/>
      <c r="BE1319" s="263"/>
      <c r="BF1319" s="263"/>
      <c r="BG1319" s="263"/>
      <c r="BH1319" s="263"/>
      <c r="BI1319" s="263"/>
      <c r="BJ1319" s="404">
        <f>altaz(J2000_Bas,$O1319,$M1319,DecLat,DecLong,2)</f>
        <v>20.335211317505443</v>
      </c>
      <c r="BK1319" s="378" t="s">
        <v>1360</v>
      </c>
      <c r="BL1319" s="379">
        <f>IF((2*G1319)/60&lt;0.2,0.2,(2*G1319)/60)</f>
        <v>0.66666666666666663</v>
      </c>
      <c r="BM1319" s="380">
        <f>MOD((50000+AD1319-$B$3+(0/24)),1)</f>
        <v>0.43650760825403268</v>
      </c>
      <c r="BN1319" s="381"/>
      <c r="BO1319" s="382">
        <v>1312</v>
      </c>
    </row>
    <row r="1320" spans="1:67" s="24" customFormat="1" ht="15" customHeight="1" x14ac:dyDescent="0.25">
      <c r="A1320" s="288" t="s">
        <v>1361</v>
      </c>
      <c r="B1320" s="241" t="str">
        <f>HYPERLINK(CONCATENATE($AT$3,BK1320,$AU$3),$AV$3)</f>
        <v>S</v>
      </c>
      <c r="C1320" s="242" t="str">
        <f>HYPERLINK(CONCATENATE($AT$4,BK1320,$AU$4,BL1320),$AV$4)</f>
        <v>A</v>
      </c>
      <c r="D1320" s="243" t="s">
        <v>5335</v>
      </c>
      <c r="E1320" s="244" t="s">
        <v>5185</v>
      </c>
      <c r="F1320" s="269" t="s">
        <v>4923</v>
      </c>
      <c r="G1320" s="276">
        <v>60</v>
      </c>
      <c r="H1320" s="283">
        <v>1000</v>
      </c>
      <c r="I1320" s="246">
        <v>18</v>
      </c>
      <c r="J1320" s="246">
        <v>2</v>
      </c>
      <c r="K1320" s="247" t="s">
        <v>4924</v>
      </c>
      <c r="L1320" s="248">
        <v>213142</v>
      </c>
      <c r="M1320" s="249">
        <f>15*(LEFT(TEXT($L1320,"000000"),2)+(MID(TEXT($L1320,"000000"),3,2)/60)+(RIGHT(TEXT($L1320,"000000"),2)/3600))</f>
        <v>322.92500000000001</v>
      </c>
      <c r="N1320" s="250">
        <v>482500</v>
      </c>
      <c r="O1320" s="251">
        <f>IF($N1320&gt;0,(LEFT(TEXT($N1320,"000000"),2)+(MID(TEXT($N1320,"000000"),3,2)/60)+(RIGHT(TEXT($N1320,"000000"),2)/3600)),-(MID(TEXT($N1320,"000000"),2,2)+(MID(TEXT($N1320,"000000"),4,2)/60)+(RIGHT(TEXT($N1320,"000000"),2)/3600)))</f>
        <v>48.416666666666664</v>
      </c>
      <c r="P1320" s="252" t="s">
        <v>60</v>
      </c>
      <c r="Q1320" s="253"/>
      <c r="R1320" s="247" t="s">
        <v>3686</v>
      </c>
      <c r="S1320" s="272" t="s">
        <v>3293</v>
      </c>
      <c r="T1320" s="273">
        <v>4.5999999999999996</v>
      </c>
      <c r="U1320" s="274"/>
      <c r="V1320" s="280"/>
      <c r="W1320" s="244"/>
      <c r="X1320" s="244"/>
      <c r="Y1320" s="362"/>
      <c r="Z1320" s="257">
        <f>altaz(J2000_Bas,$O1320,$M1320,DecLat,DecLong,1)</f>
        <v>57.14630923974228</v>
      </c>
      <c r="AA1320" s="257">
        <f>altaz((J2000_Bas+(2*0.04167)),$O1320,$M1320,DecLat,DecLong,1)</f>
        <v>71.82471925923673</v>
      </c>
      <c r="AB1320" s="257">
        <f>altaz((J2000_Bas+(4*0.04167)),$O1320,$M1320,DecLat,DecLong,1)</f>
        <v>65.225727887295776</v>
      </c>
      <c r="AC1320" s="257">
        <f>altaz((J2000_Bas+(6*0.04167)),$O1320,$M1320,DecLat,DecLong,1)</f>
        <v>46.467980839226435</v>
      </c>
      <c r="AD1320" s="258">
        <f>1+ transit((J2000_Bas-1),$O1320,$M1320,DecLat,DecLong)/360 + (GMTOffset/24) + (IF(DST="Y", 1, 0)/24)</f>
        <v>1.889913759817208</v>
      </c>
      <c r="AE1320" s="259">
        <f>DATE(2001,9,21)+(M1320/360)*365 - (360*((DecLong/360)- (GMTOffset/24) ))</f>
        <v>37487.410069444442</v>
      </c>
      <c r="AF1320" s="260">
        <f>IF(DecLat&gt;0,IF((90 - (DecLat-O1320))&gt;90, (90 - (O1320-DecLat)), (90 - (DecLat-O1320))),IF((90 + (DecLat-O1320))&gt;90, (90 + (O1320-DecLat)), (90 + (DecLat-O1320))))</f>
        <v>72.583333333333343</v>
      </c>
      <c r="AG1320" s="257">
        <f>angularseperation(MoonRA,MoonDec,$M1320,$O1320)</f>
        <v>100.05177793632181</v>
      </c>
      <c r="AH1320" s="261">
        <f ca="1">MIN(100,IF($O$5&gt;80,0+30*($AG1320/100),IF($O$5&gt;70,0+50*($AG1320/100),IF($O$5&gt;60,5+50*($AG1320/100),IF($O$5&gt;50,10+60*($AG1320/100),IF($O$5&gt;40,15+70*($AG1320/100),IF($O$5&gt;30,20+70*($AG1320/100),IF($O$5&gt;20,40+55*($AG1320/100),(80+(20-$O$5)+30*($AG1320/100))))))))))</f>
        <v>100</v>
      </c>
      <c r="AI1320" s="262">
        <v>7092</v>
      </c>
      <c r="AJ1320" s="262"/>
      <c r="AK1320" s="262"/>
      <c r="AL1320" s="263">
        <v>39</v>
      </c>
      <c r="AM1320" s="264"/>
      <c r="AN1320" s="263"/>
      <c r="AO1320" s="263"/>
      <c r="AP1320" s="265"/>
      <c r="AQ1320" s="266"/>
      <c r="AR1320" s="267"/>
      <c r="AS1320" s="263"/>
      <c r="AT1320" s="263"/>
      <c r="AU1320" s="263"/>
      <c r="AV1320" s="264"/>
      <c r="AW1320" s="263"/>
      <c r="AX1320" s="263"/>
      <c r="AY1320" s="263"/>
      <c r="AZ1320" s="263"/>
      <c r="BA1320" s="263"/>
      <c r="BB1320" s="263"/>
      <c r="BC1320" s="263"/>
      <c r="BD1320" s="264"/>
      <c r="BE1320" s="263"/>
      <c r="BF1320" s="263"/>
      <c r="BG1320" s="263"/>
      <c r="BH1320" s="263"/>
      <c r="BI1320" s="263"/>
      <c r="BJ1320" s="404">
        <f>altaz(J2000_Bas,$O1320,$M1320,DecLat,DecLong,2)</f>
        <v>47.303636980392575</v>
      </c>
      <c r="BK1320" s="378" t="s">
        <v>1361</v>
      </c>
      <c r="BL1320" s="379">
        <f>IF((2*G1320)/60&lt;0.2,0.2,(2*G1320)/60)</f>
        <v>2</v>
      </c>
      <c r="BM1320" s="380">
        <f>MOD((50000+AD1320-$B$3+(0/24)),1)</f>
        <v>0.10528068952407921</v>
      </c>
      <c r="BN1320" s="381"/>
      <c r="BO1320" s="382">
        <v>1313</v>
      </c>
    </row>
    <row r="1321" spans="1:67" s="24" customFormat="1" ht="15" customHeight="1" x14ac:dyDescent="0.25">
      <c r="A1321" s="288" t="s">
        <v>1362</v>
      </c>
      <c r="B1321" s="241" t="str">
        <f>HYPERLINK(CONCATENATE($AT$3,BK1321,$AU$3),$AV$3)</f>
        <v>S</v>
      </c>
      <c r="C1321" s="242" t="str">
        <f>HYPERLINK(CONCATENATE($AT$4,BK1321,$AU$4,BL1321),$AV$4)</f>
        <v>A</v>
      </c>
      <c r="D1321" s="243" t="s">
        <v>5335</v>
      </c>
      <c r="E1321" s="244" t="s">
        <v>5335</v>
      </c>
      <c r="F1321" s="269"/>
      <c r="G1321" s="270">
        <v>0.1</v>
      </c>
      <c r="H1321" s="283">
        <v>510</v>
      </c>
      <c r="I1321" s="244" t="s">
        <v>6500</v>
      </c>
      <c r="J1321" s="246">
        <v>0</v>
      </c>
      <c r="K1321" s="247" t="s">
        <v>4925</v>
      </c>
      <c r="L1321" s="248">
        <v>122212</v>
      </c>
      <c r="M1321" s="249">
        <f>15*(LEFT(TEXT($L1321,"000000"),2)+(MID(TEXT($L1321,"000000"),3,2)/60)+(RIGHT(TEXT($L1321,"000000"),2)/3600))</f>
        <v>185.55</v>
      </c>
      <c r="N1321" s="250">
        <v>580500</v>
      </c>
      <c r="O1321" s="251">
        <f>IF($N1321&gt;0,(LEFT(TEXT($N1321,"000000"),2)+(MID(TEXT($N1321,"000000"),3,2)/60)+(RIGHT(TEXT($N1321,"000000"),2)/3600)),-(MID(TEXT($N1321,"000000"),2,2)+(MID(TEXT($N1321,"000000"),4,2)/60)+(RIGHT(TEXT($N1321,"000000"),2)/3600)))</f>
        <v>58.083333333333336</v>
      </c>
      <c r="P1321" s="252" t="s">
        <v>37</v>
      </c>
      <c r="Q1321" s="253"/>
      <c r="R1321" s="247" t="s">
        <v>1363</v>
      </c>
      <c r="S1321" s="272" t="s">
        <v>3293</v>
      </c>
      <c r="T1321" s="273"/>
      <c r="U1321" s="274"/>
      <c r="V1321" s="280"/>
      <c r="W1321" s="244"/>
      <c r="X1321" s="244"/>
      <c r="Y1321" s="362"/>
      <c r="Z1321" s="257">
        <f>altaz(J2000_Bas,$O1321,$M1321,DecLat,DecLong,1)</f>
        <v>20.790871017804765</v>
      </c>
      <c r="AA1321" s="257">
        <f>altaz((J2000_Bas+(2*0.04167)),$O1321,$M1321,DecLat,DecLong,1)</f>
        <v>8.2005577437762387</v>
      </c>
      <c r="AB1321" s="257">
        <f>altaz((J2000_Bas+(4*0.04167)),$O1321,$M1321,DecLat,DecLong,1)</f>
        <v>0.5543280975157856</v>
      </c>
      <c r="AC1321" s="257">
        <f>altaz((J2000_Bas+(6*0.04167)),$O1321,$M1321,DecLat,DecLong,1)</f>
        <v>-0.46465018485175441</v>
      </c>
      <c r="AD1321" s="258">
        <f>1+ transit((J2000_Bas-1),$O1321,$M1321,DecLat,DecLong)/360 + (GMTOffset/24) + (IF(DST="Y", 1, 0)/24)</f>
        <v>1.5083165757547081</v>
      </c>
      <c r="AE1321" s="259">
        <f>DATE(2001,9,21)+(M1321/360)*365 - (360*((DecLong/360)- (GMTOffset/24) ))</f>
        <v>37348.127083333333</v>
      </c>
      <c r="AF1321" s="260">
        <f>IF(DecLat&gt;0,IF((90 - (DecLat-O1321))&gt;90, (90 - (O1321-DecLat)), (90 - (DecLat-O1321))),IF((90 + (DecLat-O1321))&gt;90, (90 + (O1321-DecLat)), (90 + (DecLat-O1321))))</f>
        <v>62.916666666666664</v>
      </c>
      <c r="AG1321" s="257">
        <f>angularseperation(MoonRA,MoonDec,$M1321,$O1321)</f>
        <v>100.24441484923079</v>
      </c>
      <c r="AH1321" s="261">
        <f ca="1">MIN(100,IF($O$5&gt;80,0+30*($AG1321/100),IF($O$5&gt;70,0+50*($AG1321/100),IF($O$5&gt;60,5+50*($AG1321/100),IF($O$5&gt;50,10+60*($AG1321/100),IF($O$5&gt;40,15+70*($AG1321/100),IF($O$5&gt;30,20+70*($AG1321/100),IF($O$5&gt;20,40+55*($AG1321/100),(80+(20-$O$5)+30*($AG1321/100))))))))))</f>
        <v>100</v>
      </c>
      <c r="AI1321" s="262"/>
      <c r="AJ1321" s="262"/>
      <c r="AK1321" s="262"/>
      <c r="AL1321" s="263">
        <v>40</v>
      </c>
      <c r="AM1321" s="264"/>
      <c r="AN1321" s="263"/>
      <c r="AO1321" s="263"/>
      <c r="AP1321" s="265"/>
      <c r="AQ1321" s="266"/>
      <c r="AR1321" s="267"/>
      <c r="AS1321" s="263"/>
      <c r="AT1321" s="263"/>
      <c r="AU1321" s="263"/>
      <c r="AV1321" s="264"/>
      <c r="AW1321" s="263"/>
      <c r="AX1321" s="263"/>
      <c r="AY1321" s="263"/>
      <c r="AZ1321" s="263"/>
      <c r="BA1321" s="263"/>
      <c r="BB1321" s="263"/>
      <c r="BC1321" s="263"/>
      <c r="BD1321" s="264"/>
      <c r="BE1321" s="263"/>
      <c r="BF1321" s="263"/>
      <c r="BG1321" s="263"/>
      <c r="BH1321" s="263"/>
      <c r="BI1321" s="263"/>
      <c r="BJ1321" s="404">
        <f>altaz(J2000_Bas,$O1321,$M1321,DecLat,DecLong,2)</f>
        <v>326.21172771284313</v>
      </c>
      <c r="BK1321" s="378" t="s">
        <v>1362</v>
      </c>
      <c r="BL1321" s="379">
        <f>IF((2*G1321)/60&lt;0.2,0.2,(2*G1321)/60)</f>
        <v>0.2</v>
      </c>
      <c r="BM1321" s="380">
        <f>MOD((50000+AD1321-$B$3+(0/24)),1)</f>
        <v>0.72368350545730209</v>
      </c>
      <c r="BN1321" s="381"/>
      <c r="BO1321" s="382">
        <v>1314</v>
      </c>
    </row>
    <row r="1322" spans="1:67" s="24" customFormat="1" ht="15" customHeight="1" x14ac:dyDescent="0.25">
      <c r="A1322" s="288" t="s">
        <v>1364</v>
      </c>
      <c r="B1322" s="241" t="str">
        <f>HYPERLINK(CONCATENATE($AT$3,BK1322,$AU$3),$AV$3)</f>
        <v>S</v>
      </c>
      <c r="C1322" s="242" t="str">
        <f>HYPERLINK(CONCATENATE($AT$4,BK1322,$AU$4,BL1322),$AV$4)</f>
        <v>A</v>
      </c>
      <c r="D1322" s="243" t="s">
        <v>5335</v>
      </c>
      <c r="E1322" s="244" t="s">
        <v>5185</v>
      </c>
      <c r="F1322" s="269" t="s">
        <v>4913</v>
      </c>
      <c r="G1322" s="276">
        <v>40</v>
      </c>
      <c r="H1322" s="283">
        <v>2200</v>
      </c>
      <c r="I1322" s="246">
        <v>25</v>
      </c>
      <c r="J1322" s="246">
        <v>3</v>
      </c>
      <c r="K1322" s="247" t="s">
        <v>4926</v>
      </c>
      <c r="L1322" s="248">
        <v>64601</v>
      </c>
      <c r="M1322" s="249">
        <f>15*(LEFT(TEXT($L1322,"000000"),2)+(MID(TEXT($L1322,"000000"),3,2)/60)+(RIGHT(TEXT($L1322,"000000"),2)/3600))</f>
        <v>101.50416666666666</v>
      </c>
      <c r="N1322" s="250">
        <v>-204524</v>
      </c>
      <c r="O1322" s="251">
        <f>IF($N1322&gt;0,(LEFT(TEXT($N1322,"000000"),2)+(MID(TEXT($N1322,"000000"),3,2)/60)+(RIGHT(TEXT($N1322,"000000"),2)/3600)),-(MID(TEXT($N1322,"000000"),2,2)+(MID(TEXT($N1322,"000000"),4,2)/60)+(RIGHT(TEXT($N1322,"000000"),2)/3600)))</f>
        <v>-20.756666666666668</v>
      </c>
      <c r="P1322" s="252" t="s">
        <v>80</v>
      </c>
      <c r="Q1322" s="253" t="s">
        <v>7132</v>
      </c>
      <c r="R1322" s="247" t="s">
        <v>3498</v>
      </c>
      <c r="S1322" s="272" t="s">
        <v>3293</v>
      </c>
      <c r="T1322" s="273">
        <v>4.5</v>
      </c>
      <c r="U1322" s="274"/>
      <c r="V1322" s="280"/>
      <c r="W1322" s="244"/>
      <c r="X1322" s="244"/>
      <c r="Y1322" s="362"/>
      <c r="Z1322" s="257">
        <f>altaz(J2000_Bas,$O1322,$M1322,DecLat,DecLong,1)</f>
        <v>-78.989509103230077</v>
      </c>
      <c r="AA1322" s="257">
        <f>altaz((J2000_Bas+(2*0.04167)),$O1322,$M1322,DecLat,DecLong,1)</f>
        <v>-57.398098991501783</v>
      </c>
      <c r="AB1322" s="257">
        <f>altaz((J2000_Bas+(4*0.04167)),$O1322,$M1322,DecLat,DecLong,1)</f>
        <v>-31.700615567347551</v>
      </c>
      <c r="AC1322" s="257">
        <f>altaz((J2000_Bas+(6*0.04167)),$O1322,$M1322,DecLat,DecLong,1)</f>
        <v>-6.6686227489922612</v>
      </c>
      <c r="AD1322" s="258">
        <f>1+ transit((J2000_Bas-1),$O1322,$M1322,DecLat,DecLong)/360 + (GMTOffset/24) + (IF(DST="Y", 1, 0)/24)</f>
        <v>1.2748559509526247</v>
      </c>
      <c r="AE1322" s="259">
        <f>DATE(2001,9,21)+(M1322/360)*365 - (360*((DecLong/360)- (GMTOffset/24) ))</f>
        <v>37262.913946759261</v>
      </c>
      <c r="AF1322" s="260">
        <f>IF(DecLat&gt;0,IF((90 - (DecLat-O1322))&gt;90, (90 - (O1322-DecLat)), (90 - (DecLat-O1322))),IF((90 + (DecLat-O1322))&gt;90, (90 + (O1322-DecLat)), (90 + (DecLat-O1322))))</f>
        <v>38.243333333333332</v>
      </c>
      <c r="AG1322" s="257">
        <f>angularseperation(MoonRA,MoonDec,$M1322,$O1322)</f>
        <v>122.86482895832631</v>
      </c>
      <c r="AH1322" s="261">
        <f ca="1">MIN(100,IF($O$5&gt;80,0+30*($AG1322/100),IF($O$5&gt;70,0+50*($AG1322/100),IF($O$5&gt;60,5+50*($AG1322/100),IF($O$5&gt;50,10+60*($AG1322/100),IF($O$5&gt;40,15+70*($AG1322/100),IF($O$5&gt;30,20+70*($AG1322/100),IF($O$5&gt;20,40+55*($AG1322/100),(80+(20-$O$5)+30*($AG1322/100))))))))))</f>
        <v>100</v>
      </c>
      <c r="AI1322" s="262">
        <v>2287</v>
      </c>
      <c r="AJ1322" s="262"/>
      <c r="AK1322" s="262"/>
      <c r="AL1322" s="263">
        <v>41</v>
      </c>
      <c r="AM1322" s="264"/>
      <c r="AN1322" s="263"/>
      <c r="AO1322" s="263"/>
      <c r="AP1322" s="265"/>
      <c r="AQ1322" s="266"/>
      <c r="AR1322" s="267"/>
      <c r="AS1322" s="263"/>
      <c r="AT1322" s="263"/>
      <c r="AU1322" s="263"/>
      <c r="AV1322" s="264"/>
      <c r="AW1322" s="263"/>
      <c r="AX1322" s="263"/>
      <c r="AY1322" s="263"/>
      <c r="AZ1322" s="263"/>
      <c r="BA1322" s="263"/>
      <c r="BB1322" s="263"/>
      <c r="BC1322" s="263"/>
      <c r="BD1322" s="264"/>
      <c r="BE1322" s="263"/>
      <c r="BF1322" s="263"/>
      <c r="BG1322" s="263"/>
      <c r="BH1322" s="263"/>
      <c r="BI1322" s="263"/>
      <c r="BJ1322" s="404">
        <f>altaz(J2000_Bas,$O1322,$M1322,DecLat,DecLong,2)</f>
        <v>22.582291989070242</v>
      </c>
      <c r="BK1322" s="378" t="s">
        <v>1364</v>
      </c>
      <c r="BL1322" s="379">
        <f>IF((2*G1322)/60&lt;0.2,0.2,(2*G1322)/60)</f>
        <v>1.3333333333333333</v>
      </c>
      <c r="BM1322" s="380">
        <f>MOD((50000+AD1322-$B$3+(0/24)),1)</f>
        <v>0.49022288065316388</v>
      </c>
      <c r="BN1322" s="381"/>
      <c r="BO1322" s="382">
        <v>1315</v>
      </c>
    </row>
    <row r="1323" spans="1:67" s="24" customFormat="1" ht="15" customHeight="1" x14ac:dyDescent="0.25">
      <c r="A1323" s="288" t="s">
        <v>1365</v>
      </c>
      <c r="B1323" s="241" t="str">
        <f>HYPERLINK(CONCATENATE($AT$3,BK1323,$AU$3),$AV$3)</f>
        <v>S</v>
      </c>
      <c r="C1323" s="242" t="str">
        <f>HYPERLINK(CONCATENATE($AT$4,BK1323,$AU$4,BL1323),$AV$4)</f>
        <v>A</v>
      </c>
      <c r="D1323" s="243" t="s">
        <v>5187</v>
      </c>
      <c r="E1323" s="244" t="s">
        <v>5183</v>
      </c>
      <c r="F1323" s="269" t="s">
        <v>5180</v>
      </c>
      <c r="G1323" s="276">
        <v>66</v>
      </c>
      <c r="H1323" s="283">
        <v>1600</v>
      </c>
      <c r="I1323" s="246">
        <v>30</v>
      </c>
      <c r="J1323" s="246">
        <v>5</v>
      </c>
      <c r="K1323" s="247" t="s">
        <v>4928</v>
      </c>
      <c r="L1323" s="248">
        <v>53517</v>
      </c>
      <c r="M1323" s="249">
        <f>15*(LEFT(TEXT($L1323,"000000"),2)+(MID(TEXT($L1323,"000000"),3,2)/60)+(RIGHT(TEXT($L1323,"000000"),2)/3600))</f>
        <v>83.820833333333326</v>
      </c>
      <c r="N1323" s="286">
        <v>-52328</v>
      </c>
      <c r="O1323" s="251">
        <f>IF($N1323&gt;0,(LEFT(TEXT($N1323,"000000"),2)+(MID(TEXT($N1323,"000000"),3,2)/60)+(RIGHT(TEXT($N1323,"000000"),2)/3600)),-(MID(TEXT($N1323,"000000"),2,2)+(MID(TEXT($N1323,"000000"),4,2)/60)+(RIGHT(TEXT($N1323,"000000"),2)/3600)))</f>
        <v>-5.3911111111111119</v>
      </c>
      <c r="P1323" s="252" t="s">
        <v>41</v>
      </c>
      <c r="Q1323" s="253" t="s">
        <v>7041</v>
      </c>
      <c r="R1323" s="247" t="s">
        <v>3492</v>
      </c>
      <c r="S1323" s="272" t="s">
        <v>4927</v>
      </c>
      <c r="T1323" s="273">
        <v>4</v>
      </c>
      <c r="U1323" s="274"/>
      <c r="V1323" s="280"/>
      <c r="W1323" s="244"/>
      <c r="X1323" s="244"/>
      <c r="Y1323" s="362"/>
      <c r="Z1323" s="257">
        <f>altaz(J2000_Bas,$O1323,$M1323,DecLat,DecLong,1)</f>
        <v>-56.993382867228291</v>
      </c>
      <c r="AA1323" s="257">
        <f>altaz((J2000_Bas+(2*0.04167)),$O1323,$M1323,DecLat,DecLong,1)</f>
        <v>-34.795475491554342</v>
      </c>
      <c r="AB1323" s="257">
        <f>altaz((J2000_Bas+(4*0.04167)),$O1323,$M1323,DecLat,DecLong,1)</f>
        <v>-9.321801530500089</v>
      </c>
      <c r="AC1323" s="257">
        <f>altaz((J2000_Bas+(6*0.04167)),$O1323,$M1323,DecLat,DecLong,1)</f>
        <v>16.098775940485531</v>
      </c>
      <c r="AD1323" s="258">
        <f>1+ transit((J2000_Bas-1),$O1323,$M1323,DecLat,DecLong)/360 + (GMTOffset/24) + (IF(DST="Y", 1, 0)/24)</f>
        <v>1.2257355854942913</v>
      </c>
      <c r="AE1323" s="259">
        <f>DATE(2001,9,21)+(M1323/360)*365 - (360*((DecLong/360)- (GMTOffset/24) ))</f>
        <v>37244.985011574077</v>
      </c>
      <c r="AF1323" s="260">
        <f>IF(DecLat&gt;0,IF((90 - (DecLat-O1323))&gt;90, (90 - (O1323-DecLat)), (90 - (DecLat-O1323))),IF((90 + (DecLat-O1323))&gt;90, (90 + (O1323-DecLat)), (90 + (DecLat-O1323))))</f>
        <v>53.608888888888885</v>
      </c>
      <c r="AG1323" s="257">
        <f>angularseperation(MoonRA,MoonDec,$M1323,$O1323)</f>
        <v>144.59561072409633</v>
      </c>
      <c r="AH1323" s="261">
        <f ca="1">MIN(100,IF($O$5&gt;80,0+30*($AG1323/100),IF($O$5&gt;70,0+50*($AG1323/100),IF($O$5&gt;60,5+50*($AG1323/100),IF($O$5&gt;50,10+60*($AG1323/100),IF($O$5&gt;40,15+70*($AG1323/100),IF($O$5&gt;30,20+70*($AG1323/100),IF($O$5&gt;20,40+55*($AG1323/100),(80+(20-$O$5)+30*($AG1323/100))))))))))</f>
        <v>100</v>
      </c>
      <c r="AI1323" s="262">
        <v>1976</v>
      </c>
      <c r="AJ1323" s="262"/>
      <c r="AK1323" s="262"/>
      <c r="AL1323" s="263">
        <v>42</v>
      </c>
      <c r="AM1323" s="264"/>
      <c r="AN1323" s="263"/>
      <c r="AO1323" s="263"/>
      <c r="AP1323" s="265"/>
      <c r="AQ1323" s="266"/>
      <c r="AR1323" s="267"/>
      <c r="AS1323" s="263"/>
      <c r="AT1323" s="263"/>
      <c r="AU1323" s="263"/>
      <c r="AV1323" s="264"/>
      <c r="AW1323" s="263"/>
      <c r="AX1323" s="263"/>
      <c r="AY1323" s="263"/>
      <c r="AZ1323" s="263"/>
      <c r="BA1323" s="263"/>
      <c r="BB1323" s="263">
        <v>281</v>
      </c>
      <c r="BC1323" s="263"/>
      <c r="BD1323" s="264"/>
      <c r="BE1323" s="263"/>
      <c r="BF1323" s="263"/>
      <c r="BG1323" s="263"/>
      <c r="BH1323" s="263"/>
      <c r="BI1323" s="263"/>
      <c r="BJ1323" s="404">
        <f>altaz(J2000_Bas,$O1323,$M1323,DecLat,DecLong,2)</f>
        <v>43.631379021274881</v>
      </c>
      <c r="BK1323" s="378" t="s">
        <v>1365</v>
      </c>
      <c r="BL1323" s="379">
        <f>IF((2*G1323)/60&lt;0.2,0.2,(2*G1323)/60)</f>
        <v>2.2000000000000002</v>
      </c>
      <c r="BM1323" s="380">
        <f>MOD((50000+AD1323-$B$3+(0/24)),1)</f>
        <v>0.44110251520032762</v>
      </c>
      <c r="BN1323" s="381"/>
      <c r="BO1323" s="382">
        <v>1316</v>
      </c>
    </row>
    <row r="1324" spans="1:67" s="24" customFormat="1" ht="15" customHeight="1" x14ac:dyDescent="0.25">
      <c r="A1324" s="288" t="s">
        <v>1366</v>
      </c>
      <c r="B1324" s="241" t="str">
        <f>HYPERLINK(CONCATENATE($AT$3,BK1324,$AU$3),$AV$3)</f>
        <v>S</v>
      </c>
      <c r="C1324" s="242" t="str">
        <f>HYPERLINK(CONCATENATE($AT$4,BK1324,$AU$4,BL1324),$AV$4)</f>
        <v>A</v>
      </c>
      <c r="D1324" s="243" t="s">
        <v>5187</v>
      </c>
      <c r="E1324" s="244" t="s">
        <v>5183</v>
      </c>
      <c r="F1324" s="269" t="s">
        <v>5180</v>
      </c>
      <c r="G1324" s="273">
        <v>7</v>
      </c>
      <c r="H1324" s="283">
        <v>1600</v>
      </c>
      <c r="I1324" s="279">
        <v>3.5</v>
      </c>
      <c r="J1324" s="246">
        <v>4</v>
      </c>
      <c r="K1324" s="247" t="s">
        <v>4930</v>
      </c>
      <c r="L1324" s="248">
        <v>53531</v>
      </c>
      <c r="M1324" s="249">
        <f>15*(LEFT(TEXT($L1324,"000000"),2)+(MID(TEXT($L1324,"000000"),3,2)/60)+(RIGHT(TEXT($L1324,"000000"),2)/3600))</f>
        <v>83.879166666666663</v>
      </c>
      <c r="N1324" s="250">
        <v>-51603</v>
      </c>
      <c r="O1324" s="251">
        <f>IF($N1324&gt;0,(LEFT(TEXT($N1324,"000000"),2)+(MID(TEXT($N1324,"000000"),3,2)/60)+(RIGHT(TEXT($N1324,"000000"),2)/3600)),-(MID(TEXT($N1324,"000000"),2,2)+(MID(TEXT($N1324,"000000"),4,2)/60)+(RIGHT(TEXT($N1324,"000000"),2)/3600)))</f>
        <v>-5.2675000000000001</v>
      </c>
      <c r="P1324" s="252" t="s">
        <v>41</v>
      </c>
      <c r="Q1324" s="253" t="s">
        <v>1367</v>
      </c>
      <c r="R1324" s="247" t="s">
        <v>3493</v>
      </c>
      <c r="S1324" s="272" t="s">
        <v>4929</v>
      </c>
      <c r="T1324" s="273">
        <v>9</v>
      </c>
      <c r="U1324" s="274"/>
      <c r="V1324" s="280"/>
      <c r="W1324" s="244"/>
      <c r="X1324" s="244"/>
      <c r="Y1324" s="362"/>
      <c r="Z1324" s="257">
        <f>altaz(J2000_Bas,$O1324,$M1324,DecLat,DecLong,1)</f>
        <v>-56.928267391024654</v>
      </c>
      <c r="AA1324" s="257">
        <f>altaz((J2000_Bas+(2*0.04167)),$O1324,$M1324,DecLat,DecLong,1)</f>
        <v>-34.773553370265411</v>
      </c>
      <c r="AB1324" s="257">
        <f>altaz((J2000_Bas+(4*0.04167)),$O1324,$M1324,DecLat,DecLong,1)</f>
        <v>-9.3088958736678045</v>
      </c>
      <c r="AC1324" s="257">
        <f>altaz((J2000_Bas+(6*0.04167)),$O1324,$M1324,DecLat,DecLong,1)</f>
        <v>16.120752604628755</v>
      </c>
      <c r="AD1324" s="258">
        <f>1+ transit((J2000_Bas-1),$O1324,$M1324,DecLat,DecLong)/360 + (GMTOffset/24) + (IF(DST="Y", 1, 0)/24)</f>
        <v>1.2258976225151246</v>
      </c>
      <c r="AE1324" s="259">
        <f>DATE(2001,9,21)+(M1324/360)*365 - (360*((DecLong/360)- (GMTOffset/24) ))</f>
        <v>37245.04415509259</v>
      </c>
      <c r="AF1324" s="260">
        <f>IF(DecLat&gt;0,IF((90 - (DecLat-O1324))&gt;90, (90 - (O1324-DecLat)), (90 - (DecLat-O1324))),IF((90 + (DecLat-O1324))&gt;90, (90 + (O1324-DecLat)), (90 + (DecLat-O1324))))</f>
        <v>53.732500000000002</v>
      </c>
      <c r="AG1324" s="257">
        <f>angularseperation(MoonRA,MoonDec,$M1324,$O1324)</f>
        <v>144.68699944440812</v>
      </c>
      <c r="AH1324" s="261">
        <f ca="1">MIN(100,IF($O$5&gt;80,0+30*($AG1324/100),IF($O$5&gt;70,0+50*($AG1324/100),IF($O$5&gt;60,5+50*($AG1324/100),IF($O$5&gt;50,10+60*($AG1324/100),IF($O$5&gt;40,15+70*($AG1324/100),IF($O$5&gt;30,20+70*($AG1324/100),IF($O$5&gt;20,40+55*($AG1324/100),(80+(20-$O$5)+30*($AG1324/100))))))))))</f>
        <v>100</v>
      </c>
      <c r="AI1324" s="262">
        <v>1982</v>
      </c>
      <c r="AJ1324" s="262"/>
      <c r="AK1324" s="262"/>
      <c r="AL1324" s="263">
        <v>43</v>
      </c>
      <c r="AM1324" s="264"/>
      <c r="AN1324" s="263"/>
      <c r="AO1324" s="263"/>
      <c r="AP1324" s="265"/>
      <c r="AQ1324" s="266"/>
      <c r="AR1324" s="267"/>
      <c r="AS1324" s="263"/>
      <c r="AT1324" s="263"/>
      <c r="AU1324" s="263"/>
      <c r="AV1324" s="264"/>
      <c r="AW1324" s="263"/>
      <c r="AX1324" s="263"/>
      <c r="AY1324" s="263"/>
      <c r="AZ1324" s="263"/>
      <c r="BA1324" s="263"/>
      <c r="BB1324" s="263"/>
      <c r="BC1324" s="263"/>
      <c r="BD1324" s="264"/>
      <c r="BE1324" s="263"/>
      <c r="BF1324" s="263"/>
      <c r="BG1324" s="263"/>
      <c r="BH1324" s="263"/>
      <c r="BI1324" s="263"/>
      <c r="BJ1324" s="404">
        <f>altaz(J2000_Bas,$O1324,$M1324,DecLat,DecLong,2)</f>
        <v>43.411180977438782</v>
      </c>
      <c r="BK1324" s="378" t="s">
        <v>1366</v>
      </c>
      <c r="BL1324" s="379">
        <f>IF((2*G1324)/60&lt;0.2,0.2,(2*G1324)/60)</f>
        <v>0.23333333333333334</v>
      </c>
      <c r="BM1324" s="380">
        <f>MOD((50000+AD1324-$B$3+(0/24)),1)</f>
        <v>0.44126455221703509</v>
      </c>
      <c r="BN1324" s="381"/>
      <c r="BO1324" s="382">
        <v>1317</v>
      </c>
    </row>
    <row r="1325" spans="1:67" s="24" customFormat="1" ht="15" customHeight="1" x14ac:dyDescent="0.25">
      <c r="A1325" s="288" t="s">
        <v>1368</v>
      </c>
      <c r="B1325" s="241" t="str">
        <f>HYPERLINK(CONCATENATE($AT$3,BK1325,$AU$3),$AV$3)</f>
        <v>S</v>
      </c>
      <c r="C1325" s="242" t="str">
        <f>HYPERLINK(CONCATENATE($AT$4,BK1325,$AU$4,BL1325),$AV$4)</f>
        <v>A</v>
      </c>
      <c r="D1325" s="243" t="s">
        <v>5335</v>
      </c>
      <c r="E1325" s="244" t="s">
        <v>5185</v>
      </c>
      <c r="F1325" s="269" t="s">
        <v>4931</v>
      </c>
      <c r="G1325" s="276">
        <v>118</v>
      </c>
      <c r="H1325" s="283">
        <v>600</v>
      </c>
      <c r="I1325" s="246">
        <v>20</v>
      </c>
      <c r="J1325" s="246">
        <v>3</v>
      </c>
      <c r="K1325" s="247" t="s">
        <v>4932</v>
      </c>
      <c r="L1325" s="248">
        <v>84024</v>
      </c>
      <c r="M1325" s="249">
        <f>15*(LEFT(TEXT($L1325,"000000"),2)+(MID(TEXT($L1325,"000000"),3,2)/60)+(RIGHT(TEXT($L1325,"000000"),2)/3600))</f>
        <v>130.09999999999997</v>
      </c>
      <c r="N1325" s="250">
        <v>194000</v>
      </c>
      <c r="O1325" s="251">
        <f>IF($N1325&gt;0,(LEFT(TEXT($N1325,"000000"),2)+(MID(TEXT($N1325,"000000"),3,2)/60)+(RIGHT(TEXT($N1325,"000000"),2)/3600)),-(MID(TEXT($N1325,"000000"),2,2)+(MID(TEXT($N1325,"000000"),4,2)/60)+(RIGHT(TEXT($N1325,"000000"),2)/3600)))</f>
        <v>19.666666666666668</v>
      </c>
      <c r="P1325" s="252" t="s">
        <v>100</v>
      </c>
      <c r="Q1325" s="253" t="s">
        <v>7095</v>
      </c>
      <c r="R1325" s="247" t="s">
        <v>3512</v>
      </c>
      <c r="S1325" s="272" t="s">
        <v>3293</v>
      </c>
      <c r="T1325" s="273">
        <v>3.7</v>
      </c>
      <c r="U1325" s="274"/>
      <c r="V1325" s="280"/>
      <c r="W1325" s="244"/>
      <c r="X1325" s="244"/>
      <c r="Y1325" s="362"/>
      <c r="Z1325" s="257">
        <f>altaz(J2000_Bas,$O1325,$M1325,DecLat,DecLong,1)</f>
        <v>-34.297417459881537</v>
      </c>
      <c r="AA1325" s="257">
        <f>altaz((J2000_Bas+(2*0.04167)),$O1325,$M1325,DecLat,DecLong,1)</f>
        <v>-39.007941440307214</v>
      </c>
      <c r="AB1325" s="257">
        <f>altaz((J2000_Bas+(4*0.04167)),$O1325,$M1325,DecLat,DecLong,1)</f>
        <v>-28.625442399750511</v>
      </c>
      <c r="AC1325" s="257">
        <f>altaz((J2000_Bas+(6*0.04167)),$O1325,$M1325,DecLat,DecLong,1)</f>
        <v>-8.7983216773237345</v>
      </c>
      <c r="AD1325" s="258">
        <f>1+ transit((J2000_Bas-1),$O1325,$M1325,DecLat,DecLong)/360 + (GMTOffset/24) + (IF(DST="Y", 1, 0)/24)</f>
        <v>1.354288813379708</v>
      </c>
      <c r="AE1325" s="259">
        <f>DATE(2001,9,21)+(M1325/360)*365 - (360*((DecLong/360)- (GMTOffset/24) ))</f>
        <v>37291.906944444447</v>
      </c>
      <c r="AF1325" s="260">
        <f>IF(DecLat&gt;0,IF((90 - (DecLat-O1325))&gt;90, (90 - (O1325-DecLat)), (90 - (DecLat-O1325))),IF((90 + (DecLat-O1325))&gt;90, (90 + (O1325-DecLat)), (90 + (DecLat-O1325))))</f>
        <v>78.666666666666671</v>
      </c>
      <c r="AG1325" s="257">
        <f>angularseperation(MoonRA,MoonDec,$M1325,$O1325)</f>
        <v>124.16028492233742</v>
      </c>
      <c r="AH1325" s="261">
        <f ca="1">MIN(100,IF($O$5&gt;80,0+30*($AG1325/100),IF($O$5&gt;70,0+50*($AG1325/100),IF($O$5&gt;60,5+50*($AG1325/100),IF($O$5&gt;50,10+60*($AG1325/100),IF($O$5&gt;40,15+70*($AG1325/100),IF($O$5&gt;30,20+70*($AG1325/100),IF($O$5&gt;20,40+55*($AG1325/100),(80+(20-$O$5)+30*($AG1325/100))))))))))</f>
        <v>100</v>
      </c>
      <c r="AI1325" s="262">
        <v>2632</v>
      </c>
      <c r="AJ1325" s="262"/>
      <c r="AK1325" s="262"/>
      <c r="AL1325" s="263">
        <v>44</v>
      </c>
      <c r="AM1325" s="264"/>
      <c r="AN1325" s="263"/>
      <c r="AO1325" s="263"/>
      <c r="AP1325" s="265"/>
      <c r="AQ1325" s="266"/>
      <c r="AR1325" s="267"/>
      <c r="AS1325" s="263"/>
      <c r="AT1325" s="263"/>
      <c r="AU1325" s="263"/>
      <c r="AV1325" s="264"/>
      <c r="AW1325" s="263"/>
      <c r="AX1325" s="263"/>
      <c r="AY1325" s="263"/>
      <c r="AZ1325" s="263"/>
      <c r="BA1325" s="263"/>
      <c r="BB1325" s="263"/>
      <c r="BC1325" s="263"/>
      <c r="BD1325" s="264"/>
      <c r="BE1325" s="263"/>
      <c r="BF1325" s="263"/>
      <c r="BG1325" s="263"/>
      <c r="BH1325" s="263"/>
      <c r="BI1325" s="263"/>
      <c r="BJ1325" s="404">
        <f>altaz(J2000_Bas,$O1325,$M1325,DecLat,DecLong,2)</f>
        <v>332.26437836494557</v>
      </c>
      <c r="BK1325" s="378" t="s">
        <v>1368</v>
      </c>
      <c r="BL1325" s="379">
        <f>IF((2*G1325)/60&lt;0.2,0.2,(2*G1325)/60)</f>
        <v>3.9333333333333331</v>
      </c>
      <c r="BM1325" s="380">
        <f>MOD((50000+AD1325-$B$3+(0/24)),1)</f>
        <v>0.56965574308560463</v>
      </c>
      <c r="BN1325" s="381"/>
      <c r="BO1325" s="382">
        <v>1318</v>
      </c>
    </row>
    <row r="1326" spans="1:67" s="24" customFormat="1" ht="15" customHeight="1" x14ac:dyDescent="0.25">
      <c r="A1326" s="288" t="s">
        <v>1369</v>
      </c>
      <c r="B1326" s="241" t="str">
        <f>HYPERLINK(CONCATENATE($AT$3,BK1326,$AU$3),$AV$3)</f>
        <v>S</v>
      </c>
      <c r="C1326" s="242" t="str">
        <f>HYPERLINK(CONCATENATE($AT$4,BK1326,$AU$4,BL1326),$AV$4)</f>
        <v>A</v>
      </c>
      <c r="D1326" s="243" t="s">
        <v>5335</v>
      </c>
      <c r="E1326" s="244" t="s">
        <v>5185</v>
      </c>
      <c r="F1326" s="269" t="s">
        <v>4933</v>
      </c>
      <c r="G1326" s="276">
        <v>120</v>
      </c>
      <c r="H1326" s="283">
        <v>440</v>
      </c>
      <c r="I1326" s="246">
        <v>15</v>
      </c>
      <c r="J1326" s="246">
        <v>5</v>
      </c>
      <c r="K1326" s="247" t="s">
        <v>4934</v>
      </c>
      <c r="L1326" s="248">
        <v>34730</v>
      </c>
      <c r="M1326" s="249">
        <f>15*(LEFT(TEXT($L1326,"000000"),2)+(MID(TEXT($L1326,"000000"),3,2)/60)+(RIGHT(TEXT($L1326,"000000"),2)/3600))</f>
        <v>56.875</v>
      </c>
      <c r="N1326" s="250">
        <v>240700</v>
      </c>
      <c r="O1326" s="251">
        <f>IF($N1326&gt;0,(LEFT(TEXT($N1326,"000000"),2)+(MID(TEXT($N1326,"000000"),3,2)/60)+(RIGHT(TEXT($N1326,"000000"),2)/3600)),-(MID(TEXT($N1326,"000000"),2,2)+(MID(TEXT($N1326,"000000"),4,2)/60)+(RIGHT(TEXT($N1326,"000000"),2)/3600)))</f>
        <v>24.116666666666667</v>
      </c>
      <c r="P1326" s="252" t="s">
        <v>56</v>
      </c>
      <c r="Q1326" s="253" t="s">
        <v>1370</v>
      </c>
      <c r="R1326" s="247" t="s">
        <v>3751</v>
      </c>
      <c r="S1326" s="272" t="s">
        <v>3293</v>
      </c>
      <c r="T1326" s="273">
        <v>1.6</v>
      </c>
      <c r="U1326" s="274"/>
      <c r="V1326" s="280"/>
      <c r="W1326" s="244"/>
      <c r="X1326" s="244"/>
      <c r="Y1326" s="362"/>
      <c r="Z1326" s="257">
        <f>altaz(J2000_Bas,$O1326,$M1326,DecLat,DecLong,1)</f>
        <v>-17.548238156289873</v>
      </c>
      <c r="AA1326" s="257">
        <f>altaz((J2000_Bas+(2*0.04167)),$O1326,$M1326,DecLat,DecLong,1)</f>
        <v>3.669897401032475</v>
      </c>
      <c r="AB1326" s="257">
        <f>altaz((J2000_Bas+(4*0.04167)),$O1326,$M1326,DecLat,DecLong,1)</f>
        <v>27.967976859136733</v>
      </c>
      <c r="AC1326" s="257">
        <f>altaz((J2000_Bas+(6*0.04167)),$O1326,$M1326,DecLat,DecLong,1)</f>
        <v>53.541900596078975</v>
      </c>
      <c r="AD1326" s="258">
        <f>1+ transit((J2000_Bas-1),$O1326,$M1326,DecLat,DecLong)/360 + (GMTOffset/24) + (IF(DST="Y", 1, 0)/24)</f>
        <v>1.1508860559422081</v>
      </c>
      <c r="AE1326" s="259">
        <f>DATE(2001,9,21)+(M1326/360)*365 - (360*((DecLong/360)- (GMTOffset/24) ))</f>
        <v>37217.664930555555</v>
      </c>
      <c r="AF1326" s="260">
        <f>IF(DecLat&gt;0,IF((90 - (DecLat-O1326))&gt;90, (90 - (O1326-DecLat)), (90 - (DecLat-O1326))),IF((90 + (DecLat-O1326))&gt;90, (90 + (O1326-DecLat)), (90 + (DecLat-O1326))))</f>
        <v>83.116666666666674</v>
      </c>
      <c r="AG1326" s="257">
        <f>angularseperation(MoonRA,MoonDec,$M1326,$O1326)</f>
        <v>168.46508927069078</v>
      </c>
      <c r="AH1326" s="261">
        <f ca="1">MIN(100,IF($O$5&gt;80,0+30*($AG1326/100),IF($O$5&gt;70,0+50*($AG1326/100),IF($O$5&gt;60,5+50*($AG1326/100),IF($O$5&gt;50,10+60*($AG1326/100),IF($O$5&gt;40,15+70*($AG1326/100),IF($O$5&gt;30,20+70*($AG1326/100),IF($O$5&gt;20,40+55*($AG1326/100),(80+(20-$O$5)+30*($AG1326/100))))))))))</f>
        <v>100</v>
      </c>
      <c r="AI1326" s="262">
        <v>1432</v>
      </c>
      <c r="AJ1326" s="262">
        <v>349</v>
      </c>
      <c r="AK1326" s="262"/>
      <c r="AL1326" s="263">
        <v>45</v>
      </c>
      <c r="AM1326" s="264"/>
      <c r="AN1326" s="263"/>
      <c r="AO1326" s="263"/>
      <c r="AP1326" s="265"/>
      <c r="AQ1326" s="266"/>
      <c r="AR1326" s="266"/>
      <c r="AS1326" s="263"/>
      <c r="AT1326" s="263"/>
      <c r="AU1326" s="263"/>
      <c r="AV1326" s="263"/>
      <c r="AW1326" s="263"/>
      <c r="AX1326" s="263"/>
      <c r="AY1326" s="263"/>
      <c r="AZ1326" s="263"/>
      <c r="BA1326" s="263"/>
      <c r="BB1326" s="263"/>
      <c r="BC1326" s="263"/>
      <c r="BD1326" s="264"/>
      <c r="BE1326" s="263"/>
      <c r="BF1326" s="263"/>
      <c r="BG1326" s="263"/>
      <c r="BH1326" s="263"/>
      <c r="BI1326" s="263"/>
      <c r="BJ1326" s="404">
        <f>altaz(J2000_Bas,$O1326,$M1326,DecLat,DecLong,2)</f>
        <v>46.37349388902188</v>
      </c>
      <c r="BK1326" s="378" t="s">
        <v>1369</v>
      </c>
      <c r="BL1326" s="379">
        <f>IF((2*G1326)/60&lt;0.2,0.2,(2*G1326)/60)</f>
        <v>4</v>
      </c>
      <c r="BM1326" s="380">
        <f>MOD((50000+AD1326-$B$3+(0/24)),1)</f>
        <v>0.36625298564467812</v>
      </c>
      <c r="BN1326" s="381"/>
      <c r="BO1326" s="382">
        <v>1319</v>
      </c>
    </row>
    <row r="1327" spans="1:67" s="24" customFormat="1" ht="15" customHeight="1" x14ac:dyDescent="0.25">
      <c r="A1327" s="288" t="s">
        <v>1371</v>
      </c>
      <c r="B1327" s="241" t="str">
        <f>HYPERLINK(CONCATENATE($AT$3,BK1327,$AU$3),$AV$3)</f>
        <v>S</v>
      </c>
      <c r="C1327" s="242" t="str">
        <f>HYPERLINK(CONCATENATE($AT$4,BK1327,$AU$4,BL1327),$AV$4)</f>
        <v>A</v>
      </c>
      <c r="D1327" s="243" t="s">
        <v>5335</v>
      </c>
      <c r="E1327" s="244" t="s">
        <v>5185</v>
      </c>
      <c r="F1327" s="269" t="s">
        <v>4936</v>
      </c>
      <c r="G1327" s="276">
        <v>25</v>
      </c>
      <c r="H1327" s="283">
        <v>4900</v>
      </c>
      <c r="I1327" s="246">
        <v>36</v>
      </c>
      <c r="J1327" s="246">
        <v>3</v>
      </c>
      <c r="K1327" s="247" t="s">
        <v>9588</v>
      </c>
      <c r="L1327" s="248">
        <v>74147</v>
      </c>
      <c r="M1327" s="249">
        <f>15*(LEFT(TEXT($L1327,"000000"),2)+(MID(TEXT($L1327,"000000"),3,2)/60)+(RIGHT(TEXT($L1327,"000000"),2)/3600))</f>
        <v>115.44583333333334</v>
      </c>
      <c r="N1327" s="286">
        <v>-145038</v>
      </c>
      <c r="O1327" s="251">
        <f>IF($N1327&gt;0,(LEFT(TEXT($N1327,"000000"),2)+(MID(TEXT($N1327,"000000"),3,2)/60)+(RIGHT(TEXT($N1327,"000000"),2)/3600)),-(MID(TEXT($N1327,"000000"),2,2)+(MID(TEXT($N1327,"000000"),4,2)/60)+(RIGHT(TEXT($N1327,"000000"),2)/3600)))</f>
        <v>-14.843888888888889</v>
      </c>
      <c r="P1327" s="252" t="s">
        <v>91</v>
      </c>
      <c r="Q1327" s="253"/>
      <c r="R1327" s="247" t="s">
        <v>3503</v>
      </c>
      <c r="S1327" s="272" t="s">
        <v>4935</v>
      </c>
      <c r="T1327" s="273">
        <v>6.1</v>
      </c>
      <c r="U1327" s="274"/>
      <c r="V1327" s="280"/>
      <c r="W1327" s="244"/>
      <c r="X1327" s="244"/>
      <c r="Y1327" s="362"/>
      <c r="Z1327" s="257">
        <f>altaz(J2000_Bas,$O1327,$M1327,DecLat,DecLong,1)</f>
        <v>-71.673298182612896</v>
      </c>
      <c r="AA1327" s="257">
        <f>altaz((J2000_Bas+(2*0.04167)),$O1327,$M1327,DecLat,DecLong,1)</f>
        <v>-65.137308544746901</v>
      </c>
      <c r="AB1327" s="257">
        <f>altaz((J2000_Bas+(4*0.04167)),$O1327,$M1327,DecLat,DecLong,1)</f>
        <v>-41.029761525954868</v>
      </c>
      <c r="AC1327" s="257">
        <f>altaz((J2000_Bas+(6*0.04167)),$O1327,$M1327,DecLat,DecLong,1)</f>
        <v>-15.32347652740429</v>
      </c>
      <c r="AD1327" s="258">
        <f>1+ transit((J2000_Bas-1),$O1327,$M1327,DecLat,DecLong)/360 + (GMTOffset/24) + (IF(DST="Y", 1, 0)/24)</f>
        <v>1.3135827989317914</v>
      </c>
      <c r="AE1327" s="259">
        <f>DATE(2001,9,21)+(M1327/360)*365 - (360*((DecLong/360)- (GMTOffset/24) ))</f>
        <v>37277.049247685187</v>
      </c>
      <c r="AF1327" s="260">
        <f>IF(DecLat&gt;0,IF((90 - (DecLat-O1327))&gt;90, (90 - (O1327-DecLat)), (90 - (DecLat-O1327))),IF((90 + (DecLat-O1327))&gt;90, (90 + (O1327-DecLat)), (90 + (DecLat-O1327))))</f>
        <v>44.156111111111109</v>
      </c>
      <c r="AG1327" s="257">
        <f>angularseperation(MoonRA,MoonDec,$M1327,$O1327)</f>
        <v>118.61966037853976</v>
      </c>
      <c r="AH1327" s="261">
        <f ca="1">MIN(100,IF($O$5&gt;80,0+30*($AG1327/100),IF($O$5&gt;70,0+50*($AG1327/100),IF($O$5&gt;60,5+50*($AG1327/100),IF($O$5&gt;50,10+60*($AG1327/100),IF($O$5&gt;40,15+70*($AG1327/100),IF($O$5&gt;30,20+70*($AG1327/100),IF($O$5&gt;20,40+55*($AG1327/100),(80+(20-$O$5)+30*($AG1327/100))))))))))</f>
        <v>100</v>
      </c>
      <c r="AI1327" s="262">
        <v>2437</v>
      </c>
      <c r="AJ1327" s="262"/>
      <c r="AK1327" s="262"/>
      <c r="AL1327" s="263">
        <v>46</v>
      </c>
      <c r="AM1327" s="264"/>
      <c r="AN1327" s="263"/>
      <c r="AO1327" s="263"/>
      <c r="AP1327" s="265"/>
      <c r="AQ1327" s="266"/>
      <c r="AR1327" s="266"/>
      <c r="AS1327" s="263"/>
      <c r="AT1327" s="263"/>
      <c r="AU1327" s="263"/>
      <c r="AV1327" s="263"/>
      <c r="AW1327" s="263"/>
      <c r="AX1327" s="263"/>
      <c r="AY1327" s="263"/>
      <c r="AZ1327" s="263"/>
      <c r="BA1327" s="263"/>
      <c r="BB1327" s="263"/>
      <c r="BC1327" s="263"/>
      <c r="BD1327" s="264"/>
      <c r="BE1327" s="263"/>
      <c r="BF1327" s="263"/>
      <c r="BG1327" s="263"/>
      <c r="BH1327" s="263"/>
      <c r="BI1327" s="263"/>
      <c r="BJ1327" s="404">
        <f>altaz(J2000_Bas,$O1327,$M1327,DecLat,DecLong,2)</f>
        <v>329.70984203930732</v>
      </c>
      <c r="BK1327" s="378" t="s">
        <v>1371</v>
      </c>
      <c r="BL1327" s="379">
        <f>IF((2*G1327)/60&lt;0.2,0.2,(2*G1327)/60)</f>
        <v>0.83333333333333337</v>
      </c>
      <c r="BM1327" s="380">
        <f>MOD((50000+AD1327-$B$3+(0/24)),1)</f>
        <v>0.52894972863578005</v>
      </c>
      <c r="BN1327" s="381"/>
      <c r="BO1327" s="382">
        <v>1320</v>
      </c>
    </row>
    <row r="1328" spans="1:67" s="24" customFormat="1" ht="15" customHeight="1" x14ac:dyDescent="0.25">
      <c r="A1328" s="288" t="s">
        <v>1372</v>
      </c>
      <c r="B1328" s="241" t="str">
        <f>HYPERLINK(CONCATENATE($AT$3,BK1328,$AU$3),$AV$3)</f>
        <v>S</v>
      </c>
      <c r="C1328" s="242" t="str">
        <f>HYPERLINK(CONCATENATE($AT$4,BK1328,$AU$4,BL1328),$AV$4)</f>
        <v>A</v>
      </c>
      <c r="D1328" s="243" t="s">
        <v>5335</v>
      </c>
      <c r="E1328" s="244" t="s">
        <v>5185</v>
      </c>
      <c r="F1328" s="269" t="s">
        <v>4937</v>
      </c>
      <c r="G1328" s="276">
        <v>30</v>
      </c>
      <c r="H1328" s="283">
        <v>1600</v>
      </c>
      <c r="I1328" s="246">
        <v>14</v>
      </c>
      <c r="J1328" s="246">
        <v>2</v>
      </c>
      <c r="K1328" s="247" t="s">
        <v>4938</v>
      </c>
      <c r="L1328" s="248">
        <v>73635</v>
      </c>
      <c r="M1328" s="249">
        <f>15*(LEFT(TEXT($L1328,"000000"),2)+(MID(TEXT($L1328,"000000"),3,2)/60)+(RIGHT(TEXT($L1328,"000000"),2)/3600))</f>
        <v>114.14583333333333</v>
      </c>
      <c r="N1328" s="250">
        <v>-142900</v>
      </c>
      <c r="O1328" s="251">
        <f>IF($N1328&gt;0,(LEFT(TEXT($N1328,"000000"),2)+(MID(TEXT($N1328,"000000"),3,2)/60)+(RIGHT(TEXT($N1328,"000000"),2)/3600)),-(MID(TEXT($N1328,"000000"),2,2)+(MID(TEXT($N1328,"000000"),4,2)/60)+(RIGHT(TEXT($N1328,"000000"),2)/3600)))</f>
        <v>-14.483333333333333</v>
      </c>
      <c r="P1328" s="252" t="s">
        <v>91</v>
      </c>
      <c r="Q1328" s="253"/>
      <c r="R1328" s="247" t="s">
        <v>3502</v>
      </c>
      <c r="S1328" s="272" t="s">
        <v>3293</v>
      </c>
      <c r="T1328" s="273">
        <v>6.7</v>
      </c>
      <c r="U1328" s="274"/>
      <c r="V1328" s="280"/>
      <c r="W1328" s="244"/>
      <c r="X1328" s="244"/>
      <c r="Y1328" s="362"/>
      <c r="Z1328" s="257">
        <f>altaz(J2000_Bas,$O1328,$M1328,DecLat,DecLong,1)</f>
        <v>-71.872963899162087</v>
      </c>
      <c r="AA1328" s="257">
        <f>altaz((J2000_Bas+(2*0.04167)),$O1328,$M1328,DecLat,DecLong,1)</f>
        <v>-63.977641040686294</v>
      </c>
      <c r="AB1328" s="257">
        <f>altaz((J2000_Bas+(4*0.04167)),$O1328,$M1328,DecLat,DecLong,1)</f>
        <v>-39.752215435100879</v>
      </c>
      <c r="AC1328" s="257">
        <f>altaz((J2000_Bas+(6*0.04167)),$O1328,$M1328,DecLat,DecLong,1)</f>
        <v>-14.047695704794918</v>
      </c>
      <c r="AD1328" s="258">
        <f>1+ transit((J2000_Bas-1),$O1328,$M1328,DecLat,DecLong)/360 + (GMTOffset/24) + (IF(DST="Y", 1, 0)/24)</f>
        <v>1.3099716881817913</v>
      </c>
      <c r="AE1328" s="259">
        <f>DATE(2001,9,21)+(M1328/360)*365 - (360*((DecLong/360)- (GMTOffset/24) ))</f>
        <v>37275.731192129628</v>
      </c>
      <c r="AF1328" s="260">
        <f>IF(DecLat&gt;0,IF((90 - (DecLat-O1328))&gt;90, (90 - (O1328-DecLat)), (90 - (DecLat-O1328))),IF((90 + (DecLat-O1328))&gt;90, (90 + (O1328-DecLat)), (90 + (DecLat-O1328))))</f>
        <v>44.516666666666666</v>
      </c>
      <c r="AG1328" s="257">
        <f>angularseperation(MoonRA,MoonDec,$M1328,$O1328)</f>
        <v>119.78255300499197</v>
      </c>
      <c r="AH1328" s="261">
        <f ca="1">MIN(100,IF($O$5&gt;80,0+30*($AG1328/100),IF($O$5&gt;70,0+50*($AG1328/100),IF($O$5&gt;60,5+50*($AG1328/100),IF($O$5&gt;50,10+60*($AG1328/100),IF($O$5&gt;40,15+70*($AG1328/100),IF($O$5&gt;30,20+70*($AG1328/100),IF($O$5&gt;20,40+55*($AG1328/100),(80+(20-$O$5)+30*($AG1328/100))))))))))</f>
        <v>100</v>
      </c>
      <c r="AI1328" s="262">
        <v>2422</v>
      </c>
      <c r="AJ1328" s="262"/>
      <c r="AK1328" s="262">
        <v>104</v>
      </c>
      <c r="AL1328" s="263">
        <v>47</v>
      </c>
      <c r="AM1328" s="264"/>
      <c r="AN1328" s="263"/>
      <c r="AO1328" s="263"/>
      <c r="AP1328" s="265"/>
      <c r="AQ1328" s="266"/>
      <c r="AR1328" s="267"/>
      <c r="AS1328" s="263"/>
      <c r="AT1328" s="263"/>
      <c r="AU1328" s="263"/>
      <c r="AV1328" s="264"/>
      <c r="AW1328" s="263"/>
      <c r="AX1328" s="263"/>
      <c r="AY1328" s="263"/>
      <c r="AZ1328" s="263"/>
      <c r="BA1328" s="263"/>
      <c r="BB1328" s="263"/>
      <c r="BC1328" s="263"/>
      <c r="BD1328" s="264"/>
      <c r="BE1328" s="263"/>
      <c r="BF1328" s="263"/>
      <c r="BG1328" s="263"/>
      <c r="BH1328" s="263"/>
      <c r="BI1328" s="263"/>
      <c r="BJ1328" s="404">
        <f>altaz(J2000_Bas,$O1328,$M1328,DecLat,DecLong,2)</f>
        <v>333.84457311804476</v>
      </c>
      <c r="BK1328" s="378" t="s">
        <v>1372</v>
      </c>
      <c r="BL1328" s="379">
        <f>IF((2*G1328)/60&lt;0.2,0.2,(2*G1328)/60)</f>
        <v>1</v>
      </c>
      <c r="BM1328" s="380">
        <f>MOD((50000+AD1328-$B$3+(0/24)),1)</f>
        <v>0.52533861788833747</v>
      </c>
      <c r="BN1328" s="381"/>
      <c r="BO1328" s="382">
        <v>1321</v>
      </c>
    </row>
    <row r="1329" spans="1:67" s="24" customFormat="1" ht="15" customHeight="1" x14ac:dyDescent="0.25">
      <c r="A1329" s="288" t="s">
        <v>1373</v>
      </c>
      <c r="B1329" s="241" t="str">
        <f>HYPERLINK(CONCATENATE($AT$3,BK1329,$AU$3),$AV$3)</f>
        <v>S</v>
      </c>
      <c r="C1329" s="242" t="str">
        <f>HYPERLINK(CONCATENATE($AT$4,BK1329,$AU$4,BL1329),$AV$4)</f>
        <v>A</v>
      </c>
      <c r="D1329" s="243" t="s">
        <v>5335</v>
      </c>
      <c r="E1329" s="244" t="s">
        <v>5185</v>
      </c>
      <c r="F1329" s="269" t="s">
        <v>4904</v>
      </c>
      <c r="G1329" s="276">
        <v>44</v>
      </c>
      <c r="H1329" s="283">
        <v>2500</v>
      </c>
      <c r="I1329" s="246">
        <v>32</v>
      </c>
      <c r="J1329" s="246">
        <v>2</v>
      </c>
      <c r="K1329" s="247" t="s">
        <v>4939</v>
      </c>
      <c r="L1329" s="248">
        <v>81343</v>
      </c>
      <c r="M1329" s="249">
        <f>15*(LEFT(TEXT($L1329,"000000"),2)+(MID(TEXT($L1329,"000000"),3,2)/60)+(RIGHT(TEXT($L1329,"000000"),2)/3600))</f>
        <v>123.42916666666666</v>
      </c>
      <c r="N1329" s="250">
        <v>-54500</v>
      </c>
      <c r="O1329" s="251">
        <f>IF($N1329&gt;0,(LEFT(TEXT($N1329,"000000"),2)+(MID(TEXT($N1329,"000000"),3,2)/60)+(RIGHT(TEXT($N1329,"000000"),2)/3600)),-(MID(TEXT($N1329,"000000"),2,2)+(MID(TEXT($N1329,"000000"),4,2)/60)+(RIGHT(TEXT($N1329,"000000"),2)/3600)))</f>
        <v>-5.75</v>
      </c>
      <c r="P1329" s="252" t="s">
        <v>103</v>
      </c>
      <c r="Q1329" s="253"/>
      <c r="R1329" s="247" t="s">
        <v>3509</v>
      </c>
      <c r="S1329" s="272" t="s">
        <v>3293</v>
      </c>
      <c r="T1329" s="273">
        <v>5.8</v>
      </c>
      <c r="U1329" s="274"/>
      <c r="V1329" s="280"/>
      <c r="W1329" s="244"/>
      <c r="X1329" s="244"/>
      <c r="Y1329" s="362"/>
      <c r="Z1329" s="257">
        <f>altaz(J2000_Bas,$O1329,$M1329,DecLat,DecLong,1)</f>
        <v>-59.918188629948908</v>
      </c>
      <c r="AA1329" s="257">
        <f>altaz((J2000_Bas+(2*0.04167)),$O1329,$M1329,DecLat,DecLong,1)</f>
        <v>-62.09525523401193</v>
      </c>
      <c r="AB1329" s="257">
        <f>altaz((J2000_Bas+(4*0.04167)),$O1329,$M1329,DecLat,DecLong,1)</f>
        <v>-42.68335939611999</v>
      </c>
      <c r="AC1329" s="257">
        <f>altaz((J2000_Bas+(6*0.04167)),$O1329,$M1329,DecLat,DecLong,1)</f>
        <v>-17.662611967826741</v>
      </c>
      <c r="AD1329" s="258">
        <f>1+ transit((J2000_Bas-1),$O1329,$M1329,DecLat,DecLong)/360 + (GMTOffset/24) + (IF(DST="Y", 1, 0)/24)</f>
        <v>1.3357587226401246</v>
      </c>
      <c r="AE1329" s="259">
        <f>DATE(2001,9,21)+(M1329/360)*365 - (360*((DecLong/360)- (GMTOffset/24) ))</f>
        <v>37285.143460648149</v>
      </c>
      <c r="AF1329" s="260">
        <f>IF(DecLat&gt;0,IF((90 - (DecLat-O1329))&gt;90, (90 - (O1329-DecLat)), (90 - (DecLat-O1329))),IF((90 + (DecLat-O1329))&gt;90, (90 + (O1329-DecLat)), (90 + (DecLat-O1329))))</f>
        <v>53.25</v>
      </c>
      <c r="AG1329" s="257">
        <f>angularseperation(MoonRA,MoonDec,$M1329,$O1329)</f>
        <v>118.21196147098824</v>
      </c>
      <c r="AH1329" s="261">
        <f ca="1">MIN(100,IF($O$5&gt;80,0+30*($AG1329/100),IF($O$5&gt;70,0+50*($AG1329/100),IF($O$5&gt;60,5+50*($AG1329/100),IF($O$5&gt;50,10+60*($AG1329/100),IF($O$5&gt;40,15+70*($AG1329/100),IF($O$5&gt;30,20+70*($AG1329/100),IF($O$5&gt;20,40+55*($AG1329/100),(80+(20-$O$5)+30*($AG1329/100))))))))))</f>
        <v>100</v>
      </c>
      <c r="AI1329" s="262">
        <v>2548</v>
      </c>
      <c r="AJ1329" s="262"/>
      <c r="AK1329" s="262">
        <v>114</v>
      </c>
      <c r="AL1329" s="263">
        <v>48</v>
      </c>
      <c r="AM1329" s="264"/>
      <c r="AN1329" s="263"/>
      <c r="AO1329" s="263"/>
      <c r="AP1329" s="265"/>
      <c r="AQ1329" s="266"/>
      <c r="AR1329" s="267"/>
      <c r="AS1329" s="263"/>
      <c r="AT1329" s="263"/>
      <c r="AU1329" s="263"/>
      <c r="AV1329" s="264"/>
      <c r="AW1329" s="263"/>
      <c r="AX1329" s="263"/>
      <c r="AY1329" s="263"/>
      <c r="AZ1329" s="263"/>
      <c r="BA1329" s="263"/>
      <c r="BB1329" s="263"/>
      <c r="BC1329" s="263"/>
      <c r="BD1329" s="264"/>
      <c r="BE1329" s="263"/>
      <c r="BF1329" s="263"/>
      <c r="BG1329" s="263"/>
      <c r="BH1329" s="263"/>
      <c r="BI1329" s="263"/>
      <c r="BJ1329" s="404">
        <f>altaz(J2000_Bas,$O1329,$M1329,DecLat,DecLong,2)</f>
        <v>323.52427095420495</v>
      </c>
      <c r="BK1329" s="378" t="s">
        <v>1373</v>
      </c>
      <c r="BL1329" s="379">
        <f>IF((2*G1329)/60&lt;0.2,0.2,(2*G1329)/60)</f>
        <v>1.4666666666666666</v>
      </c>
      <c r="BM1329" s="380">
        <f>MOD((50000+AD1329-$B$3+(0/24)),1)</f>
        <v>0.55112565234594513</v>
      </c>
      <c r="BN1329" s="381"/>
      <c r="BO1329" s="382">
        <v>1322</v>
      </c>
    </row>
    <row r="1330" spans="1:67" s="24" customFormat="1" ht="15" customHeight="1" x14ac:dyDescent="0.25">
      <c r="A1330" s="288" t="s">
        <v>1374</v>
      </c>
      <c r="B1330" s="241" t="str">
        <f>HYPERLINK(CONCATENATE($AT$3,BK1330,$AU$3),$AV$3)</f>
        <v>S</v>
      </c>
      <c r="C1330" s="242" t="str">
        <f>HYPERLINK(CONCATENATE($AT$4,BK1330,$AU$4,BL1330),$AV$4)</f>
        <v>A</v>
      </c>
      <c r="D1330" s="243" t="s">
        <v>5638</v>
      </c>
      <c r="E1330" s="244" t="s">
        <v>5193</v>
      </c>
      <c r="F1330" s="269" t="s">
        <v>3304</v>
      </c>
      <c r="G1330" s="276">
        <v>10</v>
      </c>
      <c r="H1330" s="283">
        <v>56</v>
      </c>
      <c r="I1330" s="246">
        <v>160</v>
      </c>
      <c r="J1330" s="246">
        <v>3</v>
      </c>
      <c r="K1330" s="247" t="s">
        <v>4643</v>
      </c>
      <c r="L1330" s="248">
        <v>122947</v>
      </c>
      <c r="M1330" s="249">
        <f>15*(LEFT(TEXT($L1330,"000000"),2)+(MID(TEXT($L1330,"000000"),3,2)/60)+(RIGHT(TEXT($L1330,"000000"),2)/3600))</f>
        <v>187.44583333333333</v>
      </c>
      <c r="N1330" s="250">
        <v>80001</v>
      </c>
      <c r="O1330" s="251">
        <f>IF($N1330&gt;0,(LEFT(TEXT($N1330,"000000"),2)+(MID(TEXT($N1330,"000000"),3,2)/60)+(RIGHT(TEXT($N1330,"000000"),2)/3600)),-(MID(TEXT($N1330,"000000"),2,2)+(MID(TEXT($N1330,"000000"),4,2)/60)+(RIGHT(TEXT($N1330,"000000"),2)/3600)))</f>
        <v>8.0002777777777769</v>
      </c>
      <c r="P1330" s="252" t="s">
        <v>61</v>
      </c>
      <c r="Q1330" s="253"/>
      <c r="R1330" s="247" t="s">
        <v>3584</v>
      </c>
      <c r="S1330" s="272" t="s">
        <v>3293</v>
      </c>
      <c r="T1330" s="273">
        <v>9.3000000000000007</v>
      </c>
      <c r="U1330" s="289">
        <v>22.09</v>
      </c>
      <c r="V1330" s="280"/>
      <c r="W1330" s="244"/>
      <c r="X1330" s="244"/>
      <c r="Y1330" s="362"/>
      <c r="Z1330" s="257">
        <f>altaz(J2000_Bas,$O1330,$M1330,DecLat,DecLong,1)</f>
        <v>-3.130735815403189</v>
      </c>
      <c r="AA1330" s="257">
        <f>altaz((J2000_Bas+(2*0.04167)),$O1330,$M1330,DecLat,DecLong,1)</f>
        <v>-27.281399093005636</v>
      </c>
      <c r="AB1330" s="257">
        <f>altaz((J2000_Bas+(4*0.04167)),$O1330,$M1330,DecLat,DecLong,1)</f>
        <v>-45.996711389366183</v>
      </c>
      <c r="AC1330" s="257">
        <f>altaz((J2000_Bas+(6*0.04167)),$O1330,$M1330,DecLat,DecLong,1)</f>
        <v>-50.096612518514441</v>
      </c>
      <c r="AD1330" s="258">
        <f>1+ transit((J2000_Bas-1),$O1330,$M1330,DecLat,DecLong)/360 + (GMTOffset/24) + (IF(DST="Y", 1, 0)/24)</f>
        <v>1.5135827789317913</v>
      </c>
      <c r="AE1330" s="259">
        <f>DATE(2001,9,21)+(M1330/360)*365 - (360*((DecLong/360)- (GMTOffset/24) ))</f>
        <v>37350.049247685187</v>
      </c>
      <c r="AF1330" s="260">
        <f>IF(DecLat&gt;0,IF((90 - (DecLat-O1330))&gt;90, (90 - (O1330-DecLat)), (90 - (DecLat-O1330))),IF((90 + (DecLat-O1330))&gt;90, (90 + (O1330-DecLat)), (90 + (DecLat-O1330))))</f>
        <v>67.000277777777768</v>
      </c>
      <c r="AG1330" s="257">
        <f>angularseperation(MoonRA,MoonDec,$M1330,$O1330)</f>
        <v>69.3093934358035</v>
      </c>
      <c r="AH1330" s="261">
        <f ca="1">MIN(100,IF($O$5&gt;80,0+30*($AG1330/100),IF($O$5&gt;70,0+50*($AG1330/100),IF($O$5&gt;60,5+50*($AG1330/100),IF($O$5&gt;50,10+60*($AG1330/100),IF($O$5&gt;40,15+70*($AG1330/100),IF($O$5&gt;30,20+70*($AG1330/100),IF($O$5&gt;20,40+55*($AG1330/100),(80+(20-$O$5)+30*($AG1330/100))))))))))</f>
        <v>100</v>
      </c>
      <c r="AI1330" s="262">
        <v>4472</v>
      </c>
      <c r="AJ1330" s="262"/>
      <c r="AK1330" s="262"/>
      <c r="AL1330" s="263">
        <v>49</v>
      </c>
      <c r="AM1330" s="264"/>
      <c r="AN1330" s="263">
        <v>134</v>
      </c>
      <c r="AO1330" s="263"/>
      <c r="AP1330" s="265"/>
      <c r="AQ1330" s="266"/>
      <c r="AR1330" s="267">
        <v>41220</v>
      </c>
      <c r="AS1330" s="263"/>
      <c r="AT1330" s="263"/>
      <c r="AU1330" s="263"/>
      <c r="AV1330" s="264"/>
      <c r="AW1330" s="263"/>
      <c r="AX1330" s="263"/>
      <c r="AY1330" s="263"/>
      <c r="AZ1330" s="263"/>
      <c r="BA1330" s="263"/>
      <c r="BB1330" s="263"/>
      <c r="BC1330" s="263"/>
      <c r="BD1330" s="264"/>
      <c r="BE1330" s="263"/>
      <c r="BF1330" s="263"/>
      <c r="BG1330" s="263"/>
      <c r="BH1330" s="263"/>
      <c r="BI1330" s="263"/>
      <c r="BJ1330" s="404">
        <f>altaz(J2000_Bas,$O1330,$M1330,DecLat,DecLong,2)</f>
        <v>281.27259075143979</v>
      </c>
      <c r="BK1330" s="378" t="s">
        <v>1374</v>
      </c>
      <c r="BL1330" s="379">
        <f>IF((2*G1330)/60&lt;0.2,0.2,(2*G1330)/60)</f>
        <v>0.33333333333333331</v>
      </c>
      <c r="BM1330" s="380">
        <f>MOD((50000+AD1330-$B$3+(0/24)),1)</f>
        <v>0.72894970863853814</v>
      </c>
      <c r="BN1330" s="381"/>
      <c r="BO1330" s="382">
        <v>1323</v>
      </c>
    </row>
    <row r="1331" spans="1:67" s="24" customFormat="1" ht="15" customHeight="1" x14ac:dyDescent="0.25">
      <c r="A1331" s="288" t="s">
        <v>1375</v>
      </c>
      <c r="B1331" s="241" t="str">
        <f>HYPERLINK(CONCATENATE($AT$3,BK1331,$AU$3),$AV$3)</f>
        <v>S</v>
      </c>
      <c r="C1331" s="242" t="str">
        <f>HYPERLINK(CONCATENATE($AT$4,BK1331,$AU$4,BL1331),$AV$4)</f>
        <v>A</v>
      </c>
      <c r="D1331" s="243" t="s">
        <v>5335</v>
      </c>
      <c r="E1331" s="244" t="s">
        <v>5185</v>
      </c>
      <c r="F1331" s="269" t="s">
        <v>4941</v>
      </c>
      <c r="G1331" s="276">
        <v>32</v>
      </c>
      <c r="H1331" s="283">
        <v>3200</v>
      </c>
      <c r="I1331" s="246">
        <v>28</v>
      </c>
      <c r="J1331" s="246">
        <v>3</v>
      </c>
      <c r="K1331" s="247" t="s">
        <v>4942</v>
      </c>
      <c r="L1331" s="248">
        <v>70242</v>
      </c>
      <c r="M1331" s="249">
        <f>15*(LEFT(TEXT($L1331,"000000"),2)+(MID(TEXT($L1331,"000000"),3,2)/60)+(RIGHT(TEXT($L1331,"000000"),2)/3600))</f>
        <v>105.675</v>
      </c>
      <c r="N1331" s="250">
        <v>-82300</v>
      </c>
      <c r="O1331" s="251">
        <f>IF($N1331&gt;0,(LEFT(TEXT($N1331,"000000"),2)+(MID(TEXT($N1331,"000000"),3,2)/60)+(RIGHT(TEXT($N1331,"000000"),2)/3600)),-(MID(TEXT($N1331,"000000"),2,2)+(MID(TEXT($N1331,"000000"),4,2)/60)+(RIGHT(TEXT($N1331,"000000"),2)/3600)))</f>
        <v>-8.3833333333333329</v>
      </c>
      <c r="P1331" s="252" t="s">
        <v>47</v>
      </c>
      <c r="Q1331" s="253" t="s">
        <v>4940</v>
      </c>
      <c r="R1331" s="247" t="s">
        <v>3500</v>
      </c>
      <c r="S1331" s="272" t="s">
        <v>3293</v>
      </c>
      <c r="T1331" s="273">
        <v>5.9</v>
      </c>
      <c r="U1331" s="274"/>
      <c r="V1331" s="280"/>
      <c r="W1331" s="244"/>
      <c r="X1331" s="244"/>
      <c r="Y1331" s="362"/>
      <c r="Z1331" s="257">
        <f>altaz(J2000_Bas,$O1331,$M1331,DecLat,DecLong,1)</f>
        <v>-67.381267866162176</v>
      </c>
      <c r="AA1331" s="257">
        <f>altaz((J2000_Bas+(2*0.04167)),$O1331,$M1331,DecLat,DecLong,1)</f>
        <v>-53.747390536914203</v>
      </c>
      <c r="AB1331" s="257">
        <f>altaz((J2000_Bas+(4*0.04167)),$O1331,$M1331,DecLat,DecLong,1)</f>
        <v>-29.518969160126385</v>
      </c>
      <c r="AC1331" s="257">
        <f>altaz((J2000_Bas+(6*0.04167)),$O1331,$M1331,DecLat,DecLong,1)</f>
        <v>-3.8122548950152106</v>
      </c>
      <c r="AD1331" s="258">
        <f>1+ transit((J2000_Bas-1),$O1331,$M1331,DecLat,DecLong)/360 + (GMTOffset/24) + (IF(DST="Y", 1, 0)/24)</f>
        <v>1.2864415979422079</v>
      </c>
      <c r="AE1331" s="259">
        <f>DATE(2001,9,21)+(M1331/360)*365 - (360*((DecLong/360)- (GMTOffset/24) ))</f>
        <v>37267.142708333333</v>
      </c>
      <c r="AF1331" s="260">
        <f>IF(DecLat&gt;0,IF((90 - (DecLat-O1331))&gt;90, (90 - (O1331-DecLat)), (90 - (DecLat-O1331))),IF((90 + (DecLat-O1331))&gt;90, (90 + (O1331-DecLat)), (90 + (DecLat-O1331))))</f>
        <v>50.616666666666667</v>
      </c>
      <c r="AG1331" s="257">
        <f>angularseperation(MoonRA,MoonDec,$M1331,$O1331)</f>
        <v>129.9627156389075</v>
      </c>
      <c r="AH1331" s="261">
        <f ca="1">MIN(100,IF($O$5&gt;80,0+30*($AG1331/100),IF($O$5&gt;70,0+50*($AG1331/100),IF($O$5&gt;60,5+50*($AG1331/100),IF($O$5&gt;50,10+60*($AG1331/100),IF($O$5&gt;40,15+70*($AG1331/100),IF($O$5&gt;30,20+70*($AG1331/100),IF($O$5&gt;20,40+55*($AG1331/100),(80+(20-$O$5)+30*($AG1331/100))))))))))</f>
        <v>100</v>
      </c>
      <c r="AI1331" s="262">
        <v>2323</v>
      </c>
      <c r="AJ1331" s="262"/>
      <c r="AK1331" s="262"/>
      <c r="AL1331" s="263">
        <v>50</v>
      </c>
      <c r="AM1331" s="264"/>
      <c r="AN1331" s="263"/>
      <c r="AO1331" s="263"/>
      <c r="AP1331" s="265"/>
      <c r="AQ1331" s="266"/>
      <c r="AR1331" s="267"/>
      <c r="AS1331" s="263"/>
      <c r="AT1331" s="263"/>
      <c r="AU1331" s="263"/>
      <c r="AV1331" s="264"/>
      <c r="AW1331" s="263"/>
      <c r="AX1331" s="263"/>
      <c r="AY1331" s="263"/>
      <c r="AZ1331" s="263"/>
      <c r="BA1331" s="263"/>
      <c r="BB1331" s="263"/>
      <c r="BC1331" s="263"/>
      <c r="BD1331" s="264"/>
      <c r="BE1331" s="263"/>
      <c r="BF1331" s="263"/>
      <c r="BG1331" s="263"/>
      <c r="BH1331" s="263"/>
      <c r="BI1331" s="263"/>
      <c r="BJ1331" s="404">
        <f>altaz(J2000_Bas,$O1331,$M1331,DecLat,DecLong,2)</f>
        <v>0.84279390231585605</v>
      </c>
      <c r="BK1331" s="378" t="s">
        <v>1375</v>
      </c>
      <c r="BL1331" s="379">
        <f>IF((2*G1331)/60&lt;0.2,0.2,(2*G1331)/60)</f>
        <v>1.0666666666666667</v>
      </c>
      <c r="BM1331" s="380">
        <f>MOD((50000+AD1331-$B$3+(0/24)),1)</f>
        <v>0.50180852764606243</v>
      </c>
      <c r="BN1331" s="381"/>
      <c r="BO1331" s="382">
        <v>1324</v>
      </c>
    </row>
    <row r="1332" spans="1:67" s="24" customFormat="1" ht="15" customHeight="1" x14ac:dyDescent="0.25">
      <c r="A1332" s="288" t="s">
        <v>1376</v>
      </c>
      <c r="B1332" s="241" t="str">
        <f>HYPERLINK(CONCATENATE($AT$3,BK1332,$AU$3),$AV$3)</f>
        <v>S</v>
      </c>
      <c r="C1332" s="242" t="str">
        <f>HYPERLINK(CONCATENATE($AT$4,BK1332,$AU$4,BL1332),$AV$4)</f>
        <v>A</v>
      </c>
      <c r="D1332" s="243" t="s">
        <v>5638</v>
      </c>
      <c r="E1332" s="244" t="s">
        <v>5192</v>
      </c>
      <c r="F1332" s="269" t="s">
        <v>8791</v>
      </c>
      <c r="G1332" s="276">
        <v>11</v>
      </c>
      <c r="H1332" s="283">
        <v>25</v>
      </c>
      <c r="I1332" s="246">
        <v>80</v>
      </c>
      <c r="J1332" s="246">
        <v>5</v>
      </c>
      <c r="K1332" s="247" t="s">
        <v>8137</v>
      </c>
      <c r="L1332" s="248">
        <v>132952</v>
      </c>
      <c r="M1332" s="249">
        <f>15*(LEFT(TEXT($L1332,"000000"),2)+(MID(TEXT($L1332,"000000"),3,2)/60)+(RIGHT(TEXT($L1332,"000000"),2)/3600))</f>
        <v>202.46666666666667</v>
      </c>
      <c r="N1332" s="250">
        <v>471145</v>
      </c>
      <c r="O1332" s="251">
        <f>IF($N1332&gt;0,(LEFT(TEXT($N1332,"000000"),2)+(MID(TEXT($N1332,"000000"),3,2)/60)+(RIGHT(TEXT($N1332,"000000"),2)/3600)),-(MID(TEXT($N1332,"000000"),2,2)+(MID(TEXT($N1332,"000000"),4,2)/60)+(RIGHT(TEXT($N1332,"000000"),2)/3600)))</f>
        <v>47.195833333333333</v>
      </c>
      <c r="P1332" s="252" t="s">
        <v>242</v>
      </c>
      <c r="Q1332" s="253" t="s">
        <v>6924</v>
      </c>
      <c r="R1332" s="247" t="s">
        <v>3609</v>
      </c>
      <c r="S1332" s="272" t="s">
        <v>2052</v>
      </c>
      <c r="T1332" s="273">
        <v>8.4</v>
      </c>
      <c r="U1332" s="289">
        <v>21.79</v>
      </c>
      <c r="V1332" s="280">
        <v>15</v>
      </c>
      <c r="W1332" s="244"/>
      <c r="X1332" s="244"/>
      <c r="Y1332" s="362"/>
      <c r="Z1332" s="257">
        <f>altaz(J2000_Bas,$O1332,$M1332,DecLat,DecLong,1)</f>
        <v>26.323848300380902</v>
      </c>
      <c r="AA1332" s="257">
        <f>altaz((J2000_Bas+(2*0.04167)),$O1332,$M1332,DecLat,DecLong,1)</f>
        <v>8.3084912908439321</v>
      </c>
      <c r="AB1332" s="257">
        <f>altaz((J2000_Bas+(4*0.04167)),$O1332,$M1332,DecLat,DecLong,1)</f>
        <v>-5.2534952157068311</v>
      </c>
      <c r="AC1332" s="257">
        <f>altaz((J2000_Bas+(6*0.04167)),$O1332,$M1332,DecLat,DecLong,1)</f>
        <v>-11.604162385252335</v>
      </c>
      <c r="AD1332" s="258">
        <f>1+ transit((J2000_Bas-1),$O1332,$M1332,DecLat,DecLong)/360 + (GMTOffset/24) + (IF(DST="Y", 1, 0)/24)</f>
        <v>1.5553073117963747</v>
      </c>
      <c r="AE1332" s="259">
        <f>DATE(2001,9,21)+(M1332/360)*365 - (360*((DecLong/360)- (GMTOffset/24) ))</f>
        <v>37365.278703703705</v>
      </c>
      <c r="AF1332" s="260">
        <f>IF(DecLat&gt;0,IF((90 - (DecLat-O1332))&gt;90, (90 - (O1332-DecLat)), (90 - (DecLat-O1332))),IF((90 + (DecLat-O1332))&gt;90, (90 + (O1332-DecLat)), (90 + (DecLat-O1332))))</f>
        <v>73.804166666666674</v>
      </c>
      <c r="AG1332" s="257">
        <f>angularseperation(MoonRA,MoonDec,$M1332,$O1332)</f>
        <v>85.395036474396377</v>
      </c>
      <c r="AH1332" s="261">
        <f ca="1">MIN(100,IF($O$5&gt;80,0+30*($AG1332/100),IF($O$5&gt;70,0+50*($AG1332/100),IF($O$5&gt;60,5+50*($AG1332/100),IF($O$5&gt;50,10+60*($AG1332/100),IF($O$5&gt;40,15+70*($AG1332/100),IF($O$5&gt;30,20+70*($AG1332/100),IF($O$5&gt;20,40+55*($AG1332/100),(80+(20-$O$5)+30*($AG1332/100))))))))))</f>
        <v>100</v>
      </c>
      <c r="AI1332" s="262">
        <v>5194</v>
      </c>
      <c r="AJ1332" s="262"/>
      <c r="AK1332" s="262"/>
      <c r="AL1332" s="263">
        <v>51</v>
      </c>
      <c r="AM1332" s="264"/>
      <c r="AN1332" s="263">
        <v>85</v>
      </c>
      <c r="AO1332" s="263"/>
      <c r="AP1332" s="265"/>
      <c r="AQ1332" s="266"/>
      <c r="AR1332" s="267">
        <v>47404</v>
      </c>
      <c r="AS1332" s="263"/>
      <c r="AT1332" s="263"/>
      <c r="AU1332" s="263"/>
      <c r="AV1332" s="264"/>
      <c r="AW1332" s="263"/>
      <c r="AX1332" s="263"/>
      <c r="AY1332" s="263"/>
      <c r="AZ1332" s="263"/>
      <c r="BA1332" s="263"/>
      <c r="BB1332" s="263"/>
      <c r="BC1332" s="263"/>
      <c r="BD1332" s="264"/>
      <c r="BE1332" s="263"/>
      <c r="BF1332" s="263"/>
      <c r="BG1332" s="263"/>
      <c r="BH1332" s="263"/>
      <c r="BI1332" s="263"/>
      <c r="BJ1332" s="404">
        <f>altaz(J2000_Bas,$O1332,$M1332,DecLat,DecLong,2)</f>
        <v>311.12385844703977</v>
      </c>
      <c r="BK1332" s="378" t="s">
        <v>1376</v>
      </c>
      <c r="BL1332" s="379">
        <f>IF((2*G1332)/60&lt;0.2,0.2,(2*G1332)/60)</f>
        <v>0.36666666666666664</v>
      </c>
      <c r="BM1332" s="380">
        <f>MOD((50000+AD1332-$B$3+(0/24)),1)</f>
        <v>0.77067424150300212</v>
      </c>
      <c r="BN1332" s="381" t="s">
        <v>8795</v>
      </c>
      <c r="BO1332" s="382">
        <v>1325</v>
      </c>
    </row>
    <row r="1333" spans="1:67" s="24" customFormat="1" ht="15" customHeight="1" x14ac:dyDescent="0.25">
      <c r="A1333" s="288" t="s">
        <v>1377</v>
      </c>
      <c r="B1333" s="241" t="str">
        <f>HYPERLINK(CONCATENATE($AT$3,BK1333,$AU$3),$AV$3)</f>
        <v>S</v>
      </c>
      <c r="C1333" s="242" t="str">
        <f>HYPERLINK(CONCATENATE($AT$4,BK1333,$AU$4,BL1333),$AV$4)</f>
        <v>A</v>
      </c>
      <c r="D1333" s="243" t="s">
        <v>5335</v>
      </c>
      <c r="E1333" s="244" t="s">
        <v>5185</v>
      </c>
      <c r="F1333" s="269" t="s">
        <v>4943</v>
      </c>
      <c r="G1333" s="276">
        <v>16</v>
      </c>
      <c r="H1333" s="283">
        <v>5400</v>
      </c>
      <c r="I1333" s="246">
        <v>25</v>
      </c>
      <c r="J1333" s="246">
        <v>2</v>
      </c>
      <c r="K1333" s="247" t="s">
        <v>4944</v>
      </c>
      <c r="L1333" s="248">
        <v>232448</v>
      </c>
      <c r="M1333" s="249">
        <f>15*(LEFT(TEXT($L1333,"000000"),2)+(MID(TEXT($L1333,"000000"),3,2)/60)+(RIGHT(TEXT($L1333,"000000"),2)/3600))</f>
        <v>351.19999999999993</v>
      </c>
      <c r="N1333" s="250">
        <v>613536</v>
      </c>
      <c r="O1333" s="251">
        <f>IF($N1333&gt;0,(LEFT(TEXT($N1333,"000000"),2)+(MID(TEXT($N1333,"000000"),3,2)/60)+(RIGHT(TEXT($N1333,"000000"),2)/3600)),-(MID(TEXT($N1333,"000000"),2,2)+(MID(TEXT($N1333,"000000"),4,2)/60)+(RIGHT(TEXT($N1333,"000000"),2)/3600)))</f>
        <v>61.593333333333334</v>
      </c>
      <c r="P1333" s="252" t="s">
        <v>49</v>
      </c>
      <c r="Q1333" s="253" t="s">
        <v>7145</v>
      </c>
      <c r="R1333" s="247" t="s">
        <v>3700</v>
      </c>
      <c r="S1333" s="272" t="s">
        <v>3293</v>
      </c>
      <c r="T1333" s="273">
        <v>6.9</v>
      </c>
      <c r="U1333" s="274"/>
      <c r="V1333" s="280"/>
      <c r="W1333" s="244"/>
      <c r="X1333" s="244"/>
      <c r="Y1333" s="362"/>
      <c r="Z1333" s="257">
        <f>altaz(J2000_Bas,$O1333,$M1333,DecLat,DecLong,1)</f>
        <v>38.614986278948656</v>
      </c>
      <c r="AA1333" s="257">
        <f>altaz((J2000_Bas+(2*0.04167)),$O1333,$M1333,DecLat,DecLong,1)</f>
        <v>51.868375952601681</v>
      </c>
      <c r="AB1333" s="257">
        <f>altaz((J2000_Bas+(4*0.04167)),$O1333,$M1333,DecLat,DecLong,1)</f>
        <v>59.230454301691488</v>
      </c>
      <c r="AC1333" s="257">
        <f>altaz((J2000_Bas+(6*0.04167)),$O1333,$M1333,DecLat,DecLong,1)</f>
        <v>55.328419014554719</v>
      </c>
      <c r="AD1333" s="258">
        <f>1+ transit((J2000_Bas-1),$O1333,$M1333,DecLat,DecLong)/360 + (GMTOffset/24) + (IF(DST="Y", 1, 0)/24)</f>
        <v>1.9684554186297081</v>
      </c>
      <c r="AE1333" s="259">
        <f>DATE(2001,9,21)+(M1333/360)*365 - (360*((DecLong/360)- (GMTOffset/24) ))</f>
        <v>37516.077777777777</v>
      </c>
      <c r="AF1333" s="260">
        <f>IF(DecLat&gt;0,IF((90 - (DecLat-O1333))&gt;90, (90 - (O1333-DecLat)), (90 - (DecLat-O1333))),IF((90 + (DecLat-O1333))&gt;90, (90 + (O1333-DecLat)), (90 + (DecLat-O1333))))</f>
        <v>59.406666666666666</v>
      </c>
      <c r="AG1333" s="257">
        <f>angularseperation(MoonRA,MoonDec,$M1333,$O1333)</f>
        <v>119.22473009284265</v>
      </c>
      <c r="AH1333" s="261">
        <f ca="1">MIN(100,IF($O$5&gt;80,0+30*($AG1333/100),IF($O$5&gt;70,0+50*($AG1333/100),IF($O$5&gt;60,5+50*($AG1333/100),IF($O$5&gt;50,10+60*($AG1333/100),IF($O$5&gt;40,15+70*($AG1333/100),IF($O$5&gt;30,20+70*($AG1333/100),IF($O$5&gt;20,40+55*($AG1333/100),(80+(20-$O$5)+30*($AG1333/100))))))))))</f>
        <v>100</v>
      </c>
      <c r="AI1333" s="262">
        <v>7654</v>
      </c>
      <c r="AJ1333" s="262"/>
      <c r="AK1333" s="262"/>
      <c r="AL1333" s="263">
        <v>52</v>
      </c>
      <c r="AM1333" s="264"/>
      <c r="AN1333" s="263"/>
      <c r="AO1333" s="263"/>
      <c r="AP1333" s="265"/>
      <c r="AQ1333" s="266"/>
      <c r="AR1333" s="267"/>
      <c r="AS1333" s="263"/>
      <c r="AT1333" s="263"/>
      <c r="AU1333" s="263"/>
      <c r="AV1333" s="264"/>
      <c r="AW1333" s="263"/>
      <c r="AX1333" s="263"/>
      <c r="AY1333" s="263"/>
      <c r="AZ1333" s="263"/>
      <c r="BA1333" s="263"/>
      <c r="BB1333" s="263"/>
      <c r="BC1333" s="263"/>
      <c r="BD1333" s="264"/>
      <c r="BE1333" s="263"/>
      <c r="BF1333" s="263"/>
      <c r="BG1333" s="263"/>
      <c r="BH1333" s="263"/>
      <c r="BI1333" s="263"/>
      <c r="BJ1333" s="404">
        <f>altaz(J2000_Bas,$O1333,$M1333,DecLat,DecLong,2)</f>
        <v>33.551434323005608</v>
      </c>
      <c r="BK1333" s="378" t="s">
        <v>1377</v>
      </c>
      <c r="BL1333" s="379">
        <f>IF((2*G1333)/60&lt;0.2,0.2,(2*G1333)/60)</f>
        <v>0.53333333333333333</v>
      </c>
      <c r="BM1333" s="380">
        <f>MOD((50000+AD1333-$B$3+(0/24)),1)</f>
        <v>0.18382234833552502</v>
      </c>
      <c r="BN1333" s="381"/>
      <c r="BO1333" s="382">
        <v>1326</v>
      </c>
    </row>
    <row r="1334" spans="1:67" s="24" customFormat="1" ht="15" customHeight="1" x14ac:dyDescent="0.25">
      <c r="A1334" s="288" t="s">
        <v>1378</v>
      </c>
      <c r="B1334" s="241" t="str">
        <f>HYPERLINK(CONCATENATE($AT$3,BK1334,$AU$3),$AV$3)</f>
        <v>S</v>
      </c>
      <c r="C1334" s="242" t="str">
        <f>HYPERLINK(CONCATENATE($AT$4,BK1334,$AU$4,BL1334),$AV$4)</f>
        <v>A</v>
      </c>
      <c r="D1334" s="243" t="s">
        <v>5335</v>
      </c>
      <c r="E1334" s="244" t="s">
        <v>5184</v>
      </c>
      <c r="F1334" s="269" t="s">
        <v>3316</v>
      </c>
      <c r="G1334" s="276">
        <v>13</v>
      </c>
      <c r="H1334" s="283">
        <v>60000</v>
      </c>
      <c r="I1334" s="246">
        <v>230</v>
      </c>
      <c r="J1334" s="246">
        <v>3</v>
      </c>
      <c r="K1334" s="247" t="s">
        <v>4946</v>
      </c>
      <c r="L1334" s="248">
        <v>131255</v>
      </c>
      <c r="M1334" s="249">
        <f>15*(LEFT(TEXT($L1334,"000000"),2)+(MID(TEXT($L1334,"000000"),3,2)/60)+(RIGHT(TEXT($L1334,"000000"),2)/3600))</f>
        <v>198.22916666666666</v>
      </c>
      <c r="N1334" s="250">
        <v>181007</v>
      </c>
      <c r="O1334" s="251">
        <f>IF($N1334&gt;0,(LEFT(TEXT($N1334,"000000"),2)+(MID(TEXT($N1334,"000000"),3,2)/60)+(RIGHT(TEXT($N1334,"000000"),2)/3600)),-(MID(TEXT($N1334,"000000"),2,2)+(MID(TEXT($N1334,"000000"),4,2)/60)+(RIGHT(TEXT($N1334,"000000"),2)/3600)))</f>
        <v>18.168611111111112</v>
      </c>
      <c r="P1334" s="252" t="s">
        <v>190</v>
      </c>
      <c r="Q1334" s="253"/>
      <c r="R1334" s="247" t="s">
        <v>3606</v>
      </c>
      <c r="S1334" s="272" t="s">
        <v>3293</v>
      </c>
      <c r="T1334" s="273">
        <v>7.7</v>
      </c>
      <c r="U1334" s="274"/>
      <c r="V1334" s="280"/>
      <c r="W1334" s="244"/>
      <c r="X1334" s="244"/>
      <c r="Y1334" s="362"/>
      <c r="Z1334" s="257">
        <f>altaz(J2000_Bas,$O1334,$M1334,DecLat,DecLong,1)</f>
        <v>11.083392079450221</v>
      </c>
      <c r="AA1334" s="257">
        <f>altaz((J2000_Bas+(2*0.04167)),$O1334,$M1334,DecLat,DecLong,1)</f>
        <v>-12.707436440643235</v>
      </c>
      <c r="AB1334" s="257">
        <f>altaz((J2000_Bas+(4*0.04167)),$O1334,$M1334,DecLat,DecLong,1)</f>
        <v>-31.981653741394567</v>
      </c>
      <c r="AC1334" s="257">
        <f>altaz((J2000_Bas+(6*0.04167)),$O1334,$M1334,DecLat,DecLong,1)</f>
        <v>-40.794840725167063</v>
      </c>
      <c r="AD1334" s="258">
        <f>1+ transit((J2000_Bas-1),$O1334,$M1334,DecLat,DecLong)/360 + (GMTOffset/24) + (IF(DST="Y", 1, 0)/24)</f>
        <v>1.5435364796401247</v>
      </c>
      <c r="AE1334" s="259">
        <f>DATE(2001,9,21)+(M1334/360)*365 - (360*((DecLong/360)- (GMTOffset/24) ))</f>
        <v>37360.982349537036</v>
      </c>
      <c r="AF1334" s="260">
        <f>IF(DecLat&gt;0,IF((90 - (DecLat-O1334))&gt;90, (90 - (O1334-DecLat)), (90 - (DecLat-O1334))),IF((90 + (DecLat-O1334))&gt;90, (90 + (O1334-DecLat)), (90 + (DecLat-O1334))))</f>
        <v>77.168611111111119</v>
      </c>
      <c r="AG1334" s="257">
        <f>angularseperation(MoonRA,MoonDec,$M1334,$O1334)</f>
        <v>67.029404260676017</v>
      </c>
      <c r="AH1334" s="261">
        <f ca="1">MIN(100,IF($O$5&gt;80,0+30*($AG1334/100),IF($O$5&gt;70,0+50*($AG1334/100),IF($O$5&gt;60,5+50*($AG1334/100),IF($O$5&gt;50,10+60*($AG1334/100),IF($O$5&gt;40,15+70*($AG1334/100),IF($O$5&gt;30,20+70*($AG1334/100),IF($O$5&gt;20,40+55*($AG1334/100),(80+(20-$O$5)+30*($AG1334/100))))))))))</f>
        <v>100</v>
      </c>
      <c r="AI1334" s="262">
        <v>5024</v>
      </c>
      <c r="AJ1334" s="262"/>
      <c r="AK1334" s="262"/>
      <c r="AL1334" s="263">
        <v>53</v>
      </c>
      <c r="AM1334" s="264"/>
      <c r="AN1334" s="263"/>
      <c r="AO1334" s="263"/>
      <c r="AP1334" s="265"/>
      <c r="AQ1334" s="266"/>
      <c r="AR1334" s="267"/>
      <c r="AS1334" s="263"/>
      <c r="AT1334" s="263"/>
      <c r="AU1334" s="263"/>
      <c r="AV1334" s="264"/>
      <c r="AW1334" s="263"/>
      <c r="AX1334" s="263"/>
      <c r="AY1334" s="263"/>
      <c r="AZ1334" s="263"/>
      <c r="BA1334" s="263"/>
      <c r="BB1334" s="263"/>
      <c r="BC1334" s="263"/>
      <c r="BD1334" s="264"/>
      <c r="BE1334" s="263"/>
      <c r="BF1334" s="263"/>
      <c r="BG1334" s="263"/>
      <c r="BH1334" s="263"/>
      <c r="BI1334" s="263"/>
      <c r="BJ1334" s="404">
        <f>altaz(J2000_Bas,$O1334,$M1334,DecLat,DecLong,2)</f>
        <v>284.65414441070482</v>
      </c>
      <c r="BK1334" s="378" t="s">
        <v>1378</v>
      </c>
      <c r="BL1334" s="379">
        <f>IF((2*G1334)/60&lt;0.2,0.2,(2*G1334)/60)</f>
        <v>0.43333333333333335</v>
      </c>
      <c r="BM1334" s="380">
        <f>MOD((50000+AD1334-$B$3+(0/24)),1)</f>
        <v>0.75890340934711276</v>
      </c>
      <c r="BN1334" s="381"/>
      <c r="BO1334" s="382">
        <v>1327</v>
      </c>
    </row>
    <row r="1335" spans="1:67" s="24" customFormat="1" ht="15" customHeight="1" x14ac:dyDescent="0.25">
      <c r="A1335" s="288" t="s">
        <v>1379</v>
      </c>
      <c r="B1335" s="241" t="str">
        <f>HYPERLINK(CONCATENATE($AT$3,BK1335,$AU$3),$AV$3)</f>
        <v>S</v>
      </c>
      <c r="C1335" s="242" t="str">
        <f>HYPERLINK(CONCATENATE($AT$4,BK1335,$AU$4,BL1335),$AV$4)</f>
        <v>A</v>
      </c>
      <c r="D1335" s="243" t="s">
        <v>5335</v>
      </c>
      <c r="E1335" s="244" t="s">
        <v>5184</v>
      </c>
      <c r="F1335" s="269" t="s">
        <v>3301</v>
      </c>
      <c r="G1335" s="273">
        <v>9</v>
      </c>
      <c r="H1335" s="283">
        <v>74000</v>
      </c>
      <c r="I1335" s="246">
        <v>200</v>
      </c>
      <c r="J1335" s="246">
        <v>3</v>
      </c>
      <c r="K1335" s="247" t="s">
        <v>4945</v>
      </c>
      <c r="L1335" s="248">
        <v>185503</v>
      </c>
      <c r="M1335" s="249">
        <f>15*(LEFT(TEXT($L1335,"000000"),2)+(MID(TEXT($L1335,"000000"),3,2)/60)+(RIGHT(TEXT($L1335,"000000"),2)/3600))</f>
        <v>283.76249999999999</v>
      </c>
      <c r="N1335" s="250">
        <v>-302847</v>
      </c>
      <c r="O1335" s="251">
        <f>IF($N1335&gt;0,(LEFT(TEXT($N1335,"000000"),2)+(MID(TEXT($N1335,"000000"),3,2)/60)+(RIGHT(TEXT($N1335,"000000"),2)/3600)),-(MID(TEXT($N1335,"000000"),2,2)+(MID(TEXT($N1335,"000000"),4,2)/60)+(RIGHT(TEXT($N1335,"000000"),2)/3600)))</f>
        <v>-30.479722222222222</v>
      </c>
      <c r="P1335" s="252" t="s">
        <v>119</v>
      </c>
      <c r="Q1335" s="253"/>
      <c r="R1335" s="247" t="s">
        <v>3674</v>
      </c>
      <c r="S1335" s="272" t="s">
        <v>3293</v>
      </c>
      <c r="T1335" s="273">
        <v>7.7</v>
      </c>
      <c r="U1335" s="274"/>
      <c r="V1335" s="280"/>
      <c r="W1335" s="244"/>
      <c r="X1335" s="244"/>
      <c r="Y1335" s="362"/>
      <c r="Z1335" s="257">
        <f>altaz(J2000_Bas,$O1335,$M1335,DecLat,DecLong,1)</f>
        <v>28.483471405247354</v>
      </c>
      <c r="AA1335" s="257">
        <f>altaz((J2000_Bas+(2*0.04167)),$O1335,$M1335,DecLat,DecLong,1)</f>
        <v>21.2840861450135</v>
      </c>
      <c r="AB1335" s="257">
        <f>altaz((J2000_Bas+(4*0.04167)),$O1335,$M1335,DecLat,DecLong,1)</f>
        <v>4.6399312737641507</v>
      </c>
      <c r="AC1335" s="257">
        <f>altaz((J2000_Bas+(6*0.04167)),$O1335,$M1335,DecLat,DecLong,1)</f>
        <v>-17.060802646262545</v>
      </c>
      <c r="AD1335" s="258">
        <f>1+ transit((J2000_Bas-1),$O1335,$M1335,DecLat,DecLong)/360 + (GMTOffset/24) + (IF(DST="Y", 1, 0)/24)</f>
        <v>1.7811290484734581</v>
      </c>
      <c r="AE1335" s="259">
        <f>DATE(2001,9,21)+(M1335/360)*365 - (360*((DecLong/360)- (GMTOffset/24) ))</f>
        <v>37447.703645833331</v>
      </c>
      <c r="AF1335" s="260">
        <f>IF(DecLat&gt;0,IF((90 - (DecLat-O1335))&gt;90, (90 - (O1335-DecLat)), (90 - (DecLat-O1335))),IF((90 + (DecLat-O1335))&gt;90, (90 + (O1335-DecLat)), (90 + (DecLat-O1335))))</f>
        <v>28.520277777777778</v>
      </c>
      <c r="AG1335" s="257">
        <f>angularseperation(MoonRA,MoonDec,$M1335,$O1335)</f>
        <v>30.329031952107194</v>
      </c>
      <c r="AH1335" s="261">
        <f ca="1">MIN(100,IF($O$5&gt;80,0+30*($AG1335/100),IF($O$5&gt;70,0+50*($AG1335/100),IF($O$5&gt;60,5+50*($AG1335/100),IF($O$5&gt;50,10+60*($AG1335/100),IF($O$5&gt;40,15+70*($AG1335/100),IF($O$5&gt;30,20+70*($AG1335/100),IF($O$5&gt;20,40+55*($AG1335/100),(80+(20-$O$5)+30*($AG1335/100))))))))))</f>
        <v>92.369769929782592</v>
      </c>
      <c r="AI1335" s="262">
        <v>6715</v>
      </c>
      <c r="AJ1335" s="262"/>
      <c r="AK1335" s="262"/>
      <c r="AL1335" s="263">
        <v>54</v>
      </c>
      <c r="AM1335" s="264"/>
      <c r="AN1335" s="263"/>
      <c r="AO1335" s="263"/>
      <c r="AP1335" s="265"/>
      <c r="AQ1335" s="266"/>
      <c r="AR1335" s="267"/>
      <c r="AS1335" s="263"/>
      <c r="AT1335" s="263"/>
      <c r="AU1335" s="263"/>
      <c r="AV1335" s="264"/>
      <c r="AW1335" s="263"/>
      <c r="AX1335" s="263"/>
      <c r="AY1335" s="263"/>
      <c r="AZ1335" s="263"/>
      <c r="BA1335" s="263"/>
      <c r="BB1335" s="263"/>
      <c r="BC1335" s="263"/>
      <c r="BD1335" s="264"/>
      <c r="BE1335" s="263"/>
      <c r="BF1335" s="263"/>
      <c r="BG1335" s="263"/>
      <c r="BH1335" s="263"/>
      <c r="BI1335" s="263"/>
      <c r="BJ1335" s="404">
        <f>altaz(J2000_Bas,$O1335,$M1335,DecLat,DecLong,2)</f>
        <v>182.19640660024774</v>
      </c>
      <c r="BK1335" s="378" t="s">
        <v>1379</v>
      </c>
      <c r="BL1335" s="379">
        <f>IF((2*G1335)/60&lt;0.2,0.2,(2*G1335)/60)</f>
        <v>0.3</v>
      </c>
      <c r="BM1335" s="380">
        <f>MOD((50000+AD1335-$B$3+(0/24)),1)</f>
        <v>0.99649597817915492</v>
      </c>
      <c r="BN1335" s="381" t="s">
        <v>8646</v>
      </c>
      <c r="BO1335" s="382">
        <v>1328</v>
      </c>
    </row>
    <row r="1336" spans="1:67" s="24" customFormat="1" ht="15" customHeight="1" x14ac:dyDescent="0.25">
      <c r="A1336" s="288" t="s">
        <v>1380</v>
      </c>
      <c r="B1336" s="241" t="str">
        <f>HYPERLINK(CONCATENATE($AT$3,BK1336,$AU$3),$AV$3)</f>
        <v>S</v>
      </c>
      <c r="C1336" s="242" t="str">
        <f>HYPERLINK(CONCATENATE($AT$4,BK1336,$AU$4,BL1336),$AV$4)</f>
        <v>A</v>
      </c>
      <c r="D1336" s="243" t="s">
        <v>5335</v>
      </c>
      <c r="E1336" s="244" t="s">
        <v>5184</v>
      </c>
      <c r="F1336" s="269" t="s">
        <v>3315</v>
      </c>
      <c r="G1336" s="276">
        <v>19</v>
      </c>
      <c r="H1336" s="283">
        <v>16000</v>
      </c>
      <c r="I1336" s="246">
        <v>90</v>
      </c>
      <c r="J1336" s="246">
        <v>4</v>
      </c>
      <c r="K1336" s="247" t="s">
        <v>4947</v>
      </c>
      <c r="L1336" s="248">
        <v>194000</v>
      </c>
      <c r="M1336" s="249">
        <f>15*(LEFT(TEXT($L1336,"000000"),2)+(MID(TEXT($L1336,"000000"),3,2)/60)+(RIGHT(TEXT($L1336,"000000"),2)/3600))</f>
        <v>295</v>
      </c>
      <c r="N1336" s="250">
        <v>-305744</v>
      </c>
      <c r="O1336" s="251">
        <f>IF($N1336&gt;0,(LEFT(TEXT($N1336,"000000"),2)+(MID(TEXT($N1336,"000000"),3,2)/60)+(RIGHT(TEXT($N1336,"000000"),2)/3600)),-(MID(TEXT($N1336,"000000"),2,2)+(MID(TEXT($N1336,"000000"),4,2)/60)+(RIGHT(TEXT($N1336,"000000"),2)/3600)))</f>
        <v>-30.96222222222222</v>
      </c>
      <c r="P1336" s="252" t="s">
        <v>119</v>
      </c>
      <c r="Q1336" s="253" t="s">
        <v>7151</v>
      </c>
      <c r="R1336" s="247" t="s">
        <v>3675</v>
      </c>
      <c r="S1336" s="272" t="s">
        <v>3293</v>
      </c>
      <c r="T1336" s="273">
        <v>6.5</v>
      </c>
      <c r="U1336" s="274"/>
      <c r="V1336" s="280"/>
      <c r="W1336" s="244"/>
      <c r="X1336" s="244"/>
      <c r="Y1336" s="362"/>
      <c r="Z1336" s="257">
        <f>altaz(J2000_Bas,$O1336,$M1336,DecLat,DecLong,1)</f>
        <v>27.452268016788</v>
      </c>
      <c r="AA1336" s="257">
        <f>altaz((J2000_Bas+(2*0.04167)),$O1336,$M1336,DecLat,DecLong,1)</f>
        <v>24.88712110566436</v>
      </c>
      <c r="AB1336" s="257">
        <f>altaz((J2000_Bas+(4*0.04167)),$O1336,$M1336,DecLat,DecLong,1)</f>
        <v>11.296146706747153</v>
      </c>
      <c r="AC1336" s="257">
        <f>altaz((J2000_Bas+(6*0.04167)),$O1336,$M1336,DecLat,DecLong,1)</f>
        <v>-8.8146017386972773</v>
      </c>
      <c r="AD1336" s="258">
        <f>1+ transit((J2000_Bas-1),$O1336,$M1336,DecLat,DecLong)/360 + (GMTOffset/24) + (IF(DST="Y", 1, 0)/24)</f>
        <v>1.8123443231297081</v>
      </c>
      <c r="AE1336" s="259">
        <f>DATE(2001,9,21)+(M1336/360)*365 - (360*((DecLong/360)- (GMTOffset/24) ))</f>
        <v>37459.097222222219</v>
      </c>
      <c r="AF1336" s="260">
        <f>IF(DecLat&gt;0,IF((90 - (DecLat-O1336))&gt;90, (90 - (O1336-DecLat)), (90 - (DecLat-O1336))),IF((90 + (DecLat-O1336))&gt;90, (90 + (O1336-DecLat)), (90 + (DecLat-O1336))))</f>
        <v>28.037777777777777</v>
      </c>
      <c r="AG1336" s="257">
        <f>angularseperation(MoonRA,MoonDec,$M1336,$O1336)</f>
        <v>39.923277662784187</v>
      </c>
      <c r="AH1336" s="261">
        <f ca="1">MIN(100,IF($O$5&gt;80,0+30*($AG1336/100),IF($O$5&gt;70,0+50*($AG1336/100),IF($O$5&gt;60,5+50*($AG1336/100),IF($O$5&gt;50,10+60*($AG1336/100),IF($O$5&gt;40,15+70*($AG1336/100),IF($O$5&gt;30,20+70*($AG1336/100),IF($O$5&gt;20,40+55*($AG1336/100),(80+(20-$O$5)+30*($AG1336/100))))))))))</f>
        <v>95.248043642985678</v>
      </c>
      <c r="AI1336" s="262">
        <v>6809</v>
      </c>
      <c r="AJ1336" s="262"/>
      <c r="AK1336" s="262"/>
      <c r="AL1336" s="263">
        <v>55</v>
      </c>
      <c r="AM1336" s="264"/>
      <c r="AN1336" s="263"/>
      <c r="AO1336" s="263"/>
      <c r="AP1336" s="265"/>
      <c r="AQ1336" s="266"/>
      <c r="AR1336" s="267"/>
      <c r="AS1336" s="263"/>
      <c r="AT1336" s="263"/>
      <c r="AU1336" s="263"/>
      <c r="AV1336" s="264"/>
      <c r="AW1336" s="263"/>
      <c r="AX1336" s="263"/>
      <c r="AY1336" s="263"/>
      <c r="AZ1336" s="263"/>
      <c r="BA1336" s="263"/>
      <c r="BB1336" s="263"/>
      <c r="BC1336" s="263"/>
      <c r="BD1336" s="264"/>
      <c r="BE1336" s="263"/>
      <c r="BF1336" s="263"/>
      <c r="BG1336" s="263"/>
      <c r="BH1336" s="263"/>
      <c r="BI1336" s="263"/>
      <c r="BJ1336" s="404">
        <f>altaz(J2000_Bas,$O1336,$M1336,DecLat,DecLong,2)</f>
        <v>171.30805721496509</v>
      </c>
      <c r="BK1336" s="378" t="s">
        <v>1380</v>
      </c>
      <c r="BL1336" s="379">
        <f>IF((2*G1336)/60&lt;0.2,0.2,(2*G1336)/60)</f>
        <v>0.6333333333333333</v>
      </c>
      <c r="BM1336" s="380">
        <f>MOD((50000+AD1336-$B$3+(0/24)),1)</f>
        <v>2.7711252834706102E-2</v>
      </c>
      <c r="BN1336" s="381"/>
      <c r="BO1336" s="382">
        <v>1329</v>
      </c>
    </row>
    <row r="1337" spans="1:67" s="24" customFormat="1" ht="15" customHeight="1" x14ac:dyDescent="0.25">
      <c r="A1337" s="288" t="s">
        <v>1381</v>
      </c>
      <c r="B1337" s="241" t="str">
        <f>HYPERLINK(CONCATENATE($AT$3,BK1337,$AU$3),$AV$3)</f>
        <v>S</v>
      </c>
      <c r="C1337" s="242" t="str">
        <f>HYPERLINK(CONCATENATE($AT$4,BK1337,$AU$4,BL1337),$AV$4)</f>
        <v>A</v>
      </c>
      <c r="D1337" s="243" t="s">
        <v>5335</v>
      </c>
      <c r="E1337" s="244" t="s">
        <v>5184</v>
      </c>
      <c r="F1337" s="269" t="s">
        <v>3179</v>
      </c>
      <c r="G1337" s="273">
        <v>7</v>
      </c>
      <c r="H1337" s="283">
        <v>33000</v>
      </c>
      <c r="I1337" s="246">
        <v>70</v>
      </c>
      <c r="J1337" s="246">
        <v>3</v>
      </c>
      <c r="K1337" s="247" t="s">
        <v>8173</v>
      </c>
      <c r="L1337" s="248">
        <v>191636</v>
      </c>
      <c r="M1337" s="249">
        <f>15*(LEFT(TEXT($L1337,"000000"),2)+(MID(TEXT($L1337,"000000"),3,2)/60)+(RIGHT(TEXT($L1337,"000000"),2)/3600))</f>
        <v>289.15000000000003</v>
      </c>
      <c r="N1337" s="250">
        <v>301102</v>
      </c>
      <c r="O1337" s="251">
        <f>IF($N1337&gt;0,(LEFT(TEXT($N1337,"000000"),2)+(MID(TEXT($N1337,"000000"),3,2)/60)+(RIGHT(TEXT($N1337,"000000"),2)/3600)),-(MID(TEXT($N1337,"000000"),2,2)+(MID(TEXT($N1337,"000000"),4,2)/60)+(RIGHT(TEXT($N1337,"000000"),2)/3600)))</f>
        <v>30.183888888888887</v>
      </c>
      <c r="P1337" s="252" t="s">
        <v>123</v>
      </c>
      <c r="Q1337" s="253"/>
      <c r="R1337" s="247" t="s">
        <v>3681</v>
      </c>
      <c r="S1337" s="272" t="s">
        <v>3293</v>
      </c>
      <c r="T1337" s="273">
        <v>8.4</v>
      </c>
      <c r="U1337" s="274"/>
      <c r="V1337" s="280"/>
      <c r="W1337" s="244"/>
      <c r="X1337" s="244"/>
      <c r="Y1337" s="362"/>
      <c r="Z1337" s="257">
        <f>altaz(J2000_Bas,$O1337,$M1337,DecLat,DecLong,1)</f>
        <v>87.170579665499716</v>
      </c>
      <c r="AA1337" s="257">
        <f>altaz((J2000_Bas+(2*0.04167)),$O1337,$M1337,DecLat,DecLong,1)</f>
        <v>66.854317568290696</v>
      </c>
      <c r="AB1337" s="257">
        <f>altaz((J2000_Bas+(4*0.04167)),$O1337,$M1337,DecLat,DecLong,1)</f>
        <v>41.472739057703031</v>
      </c>
      <c r="AC1337" s="257">
        <f>altaz((J2000_Bas+(6*0.04167)),$O1337,$M1337,DecLat,DecLong,1)</f>
        <v>17.238820030239342</v>
      </c>
      <c r="AD1337" s="258">
        <f>1+ transit((J2000_Bas-1),$O1337,$M1337,DecLat,DecLong)/360 + (GMTOffset/24) + (IF(DST="Y", 1, 0)/24)</f>
        <v>1.7960943247547083</v>
      </c>
      <c r="AE1337" s="259">
        <f>DATE(2001,9,21)+(M1337/360)*365 - (360*((DecLong/360)- (GMTOffset/24) ))</f>
        <v>37453.165972222225</v>
      </c>
      <c r="AF1337" s="260">
        <f>IF(DecLat&gt;0,IF((90 - (DecLat-O1337))&gt;90, (90 - (O1337-DecLat)), (90 - (DecLat-O1337))),IF((90 + (DecLat-O1337))&gt;90, (90 + (O1337-DecLat)), (90 + (DecLat-O1337))))</f>
        <v>89.183888888888887</v>
      </c>
      <c r="AG1337" s="257">
        <f>angularseperation(MoonRA,MoonDec,$M1337,$O1337)</f>
        <v>68.810999076243291</v>
      </c>
      <c r="AH1337" s="261">
        <f ca="1">MIN(100,IF($O$5&gt;80,0+30*($AG1337/100),IF($O$5&gt;70,0+50*($AG1337/100),IF($O$5&gt;60,5+50*($AG1337/100),IF($O$5&gt;50,10+60*($AG1337/100),IF($O$5&gt;40,15+70*($AG1337/100),IF($O$5&gt;30,20+70*($AG1337/100),IF($O$5&gt;20,40+55*($AG1337/100),(80+(20-$O$5)+30*($AG1337/100))))))))))</f>
        <v>100</v>
      </c>
      <c r="AI1337" s="262">
        <v>6779</v>
      </c>
      <c r="AJ1337" s="262"/>
      <c r="AK1337" s="262"/>
      <c r="AL1337" s="263">
        <v>56</v>
      </c>
      <c r="AM1337" s="264"/>
      <c r="AN1337" s="263"/>
      <c r="AO1337" s="263"/>
      <c r="AP1337" s="265"/>
      <c r="AQ1337" s="266"/>
      <c r="AR1337" s="267"/>
      <c r="AS1337" s="263"/>
      <c r="AT1337" s="263"/>
      <c r="AU1337" s="263"/>
      <c r="AV1337" s="264"/>
      <c r="AW1337" s="263"/>
      <c r="AX1337" s="263"/>
      <c r="AY1337" s="263"/>
      <c r="AZ1337" s="263"/>
      <c r="BA1337" s="263"/>
      <c r="BB1337" s="263"/>
      <c r="BC1337" s="263"/>
      <c r="BD1337" s="264"/>
      <c r="BE1337" s="263"/>
      <c r="BF1337" s="263"/>
      <c r="BG1337" s="263"/>
      <c r="BH1337" s="263"/>
      <c r="BI1337" s="263"/>
      <c r="BJ1337" s="404">
        <f>altaz(J2000_Bas,$O1337,$M1337,DecLat,DecLong,2)</f>
        <v>105.95848527443684</v>
      </c>
      <c r="BK1337" s="378" t="s">
        <v>1381</v>
      </c>
      <c r="BL1337" s="379">
        <f>IF((2*G1337)/60&lt;0.2,0.2,(2*G1337)/60)</f>
        <v>0.23333333333333334</v>
      </c>
      <c r="BM1337" s="380">
        <f>MOD((50000+AD1337-$B$3+(0/24)),1)</f>
        <v>1.1461254456662573E-2</v>
      </c>
      <c r="BN1337" s="381"/>
      <c r="BO1337" s="382">
        <v>1330</v>
      </c>
    </row>
    <row r="1338" spans="1:67" s="24" customFormat="1" ht="15" customHeight="1" x14ac:dyDescent="0.25">
      <c r="A1338" s="301" t="s">
        <v>1382</v>
      </c>
      <c r="B1338" s="241" t="str">
        <f>HYPERLINK(CONCATENATE($AT$3,BK1338,$AU$3),$AV$3)</f>
        <v>S</v>
      </c>
      <c r="C1338" s="242" t="str">
        <f>HYPERLINK(CONCATENATE($AT$4,BK1338,$AU$4,BL1338),$AV$4)</f>
        <v>A</v>
      </c>
      <c r="D1338" s="243" t="s">
        <v>5187</v>
      </c>
      <c r="E1338" s="244" t="s">
        <v>5181</v>
      </c>
      <c r="F1338" s="269" t="s">
        <v>5751</v>
      </c>
      <c r="G1338" s="273">
        <v>1.5</v>
      </c>
      <c r="H1338" s="283">
        <v>2300</v>
      </c>
      <c r="I1338" s="279">
        <v>1</v>
      </c>
      <c r="J1338" s="246">
        <v>5</v>
      </c>
      <c r="K1338" s="247" t="s">
        <v>4948</v>
      </c>
      <c r="L1338" s="248">
        <v>185335</v>
      </c>
      <c r="M1338" s="249">
        <f>15*(LEFT(TEXT($L1338,"000000"),2)+(MID(TEXT($L1338,"000000"),3,2)/60)+(RIGHT(TEXT($L1338,"000000"),2)/3600))</f>
        <v>283.39583333333331</v>
      </c>
      <c r="N1338" s="250">
        <v>330144</v>
      </c>
      <c r="O1338" s="251">
        <f>IF($N1338&gt;0,(LEFT(TEXT($N1338,"000000"),2)+(MID(TEXT($N1338,"000000"),3,2)/60)+(RIGHT(TEXT($N1338,"000000"),2)/3600)),-(MID(TEXT($N1338,"000000"),2,2)+(MID(TEXT($N1338,"000000"),4,2)/60)+(RIGHT(TEXT($N1338,"000000"),2)/3600)))</f>
        <v>33.028888888888886</v>
      </c>
      <c r="P1338" s="252" t="s">
        <v>123</v>
      </c>
      <c r="Q1338" s="253" t="s">
        <v>7055</v>
      </c>
      <c r="R1338" s="247" t="s">
        <v>3673</v>
      </c>
      <c r="S1338" s="272" t="s">
        <v>3293</v>
      </c>
      <c r="T1338" s="273">
        <v>8.8000000000000007</v>
      </c>
      <c r="U1338" s="274"/>
      <c r="V1338" s="280"/>
      <c r="W1338" s="244"/>
      <c r="X1338" s="244"/>
      <c r="Y1338" s="362"/>
      <c r="Z1338" s="257">
        <f>altaz(J2000_Bas,$O1338,$M1338,DecLat,DecLong,1)</f>
        <v>86.999893628481772</v>
      </c>
      <c r="AA1338" s="257">
        <f>altaz((J2000_Bas+(2*0.04167)),$O1338,$M1338,DecLat,DecLong,1)</f>
        <v>62.317335657610215</v>
      </c>
      <c r="AB1338" s="257">
        <f>altaz((J2000_Bas+(4*0.04167)),$O1338,$M1338,DecLat,DecLong,1)</f>
        <v>37.552491154140121</v>
      </c>
      <c r="AC1338" s="257">
        <f>altaz((J2000_Bas+(6*0.04167)),$O1338,$M1338,DecLat,DecLong,1)</f>
        <v>14.173853132291216</v>
      </c>
      <c r="AD1338" s="258">
        <f>1+ transit((J2000_Bas-1),$O1338,$M1338,DecLat,DecLong)/360 + (GMTOffset/24) + (IF(DST="Y", 1, 0)/24)</f>
        <v>1.7801105300567914</v>
      </c>
      <c r="AE1338" s="259">
        <f>DATE(2001,9,21)+(M1338/360)*365 - (360*((DecLong/360)- (GMTOffset/24) ))</f>
        <v>37447.331886574073</v>
      </c>
      <c r="AF1338" s="260">
        <f>IF(DecLat&gt;0,IF((90 - (DecLat-O1338))&gt;90, (90 - (O1338-DecLat)), (90 - (DecLat-O1338))),IF((90 + (DecLat-O1338))&gt;90, (90 + (O1338-DecLat)), (90 + (DecLat-O1338))))</f>
        <v>87.971111111111114</v>
      </c>
      <c r="AG1338" s="257">
        <f>angularseperation(MoonRA,MoonDec,$M1338,$O1338)</f>
        <v>68.312029751418549</v>
      </c>
      <c r="AH1338" s="261">
        <f ca="1">MIN(100,IF($O$5&gt;80,0+30*($AG1338/100),IF($O$5&gt;70,0+50*($AG1338/100),IF($O$5&gt;60,5+50*($AG1338/100),IF($O$5&gt;50,10+60*($AG1338/100),IF($O$5&gt;40,15+70*($AG1338/100),IF($O$5&gt;30,20+70*($AG1338/100),IF($O$5&gt;20,40+55*($AG1338/100),(80+(20-$O$5)+30*($AG1338/100))))))))))</f>
        <v>100</v>
      </c>
      <c r="AI1338" s="262">
        <v>6720</v>
      </c>
      <c r="AJ1338" s="262"/>
      <c r="AK1338" s="262"/>
      <c r="AL1338" s="263">
        <v>57</v>
      </c>
      <c r="AM1338" s="264"/>
      <c r="AN1338" s="263"/>
      <c r="AO1338" s="263"/>
      <c r="AP1338" s="265"/>
      <c r="AQ1338" s="266"/>
      <c r="AR1338" s="267"/>
      <c r="AS1338" s="263"/>
      <c r="AT1338" s="263"/>
      <c r="AU1338" s="263"/>
      <c r="AV1338" s="264"/>
      <c r="AW1338" s="263"/>
      <c r="AX1338" s="263"/>
      <c r="AY1338" s="263"/>
      <c r="AZ1338" s="263"/>
      <c r="BA1338" s="263"/>
      <c r="BB1338" s="263"/>
      <c r="BC1338" s="263"/>
      <c r="BD1338" s="264"/>
      <c r="BE1338" s="263"/>
      <c r="BF1338" s="263"/>
      <c r="BG1338" s="263"/>
      <c r="BH1338" s="263"/>
      <c r="BI1338" s="263"/>
      <c r="BJ1338" s="404">
        <f>altaz(J2000_Bas,$O1338,$M1338,DecLat,DecLong,2)</f>
        <v>313.23385036046051</v>
      </c>
      <c r="BK1338" s="378" t="s">
        <v>1382</v>
      </c>
      <c r="BL1338" s="379">
        <f>IF((2*G1338)/60&lt;0.2,0.2,(2*G1338)/60)</f>
        <v>0.2</v>
      </c>
      <c r="BM1338" s="380">
        <f>MOD((50000+AD1338-$B$3+(0/24)),1)</f>
        <v>0.99547745975723956</v>
      </c>
      <c r="BN1338" s="381" t="s">
        <v>8665</v>
      </c>
      <c r="BO1338" s="382">
        <v>1331</v>
      </c>
    </row>
    <row r="1339" spans="1:67" s="24" customFormat="1" ht="15" customHeight="1" x14ac:dyDescent="0.25">
      <c r="A1339" s="288" t="s">
        <v>1383</v>
      </c>
      <c r="B1339" s="241" t="str">
        <f>HYPERLINK(CONCATENATE($AT$3,BK1339,$AU$3),$AV$3)</f>
        <v>S</v>
      </c>
      <c r="C1339" s="242" t="str">
        <f>HYPERLINK(CONCATENATE($AT$4,BK1339,$AU$4,BL1339),$AV$4)</f>
        <v>A</v>
      </c>
      <c r="D1339" s="243" t="s">
        <v>5638</v>
      </c>
      <c r="E1339" s="244" t="s">
        <v>5192</v>
      </c>
      <c r="F1339" s="269" t="s">
        <v>8917</v>
      </c>
      <c r="G1339" s="273">
        <v>5</v>
      </c>
      <c r="H1339" s="283">
        <v>65</v>
      </c>
      <c r="I1339" s="246">
        <v>100</v>
      </c>
      <c r="J1339" s="246">
        <v>3</v>
      </c>
      <c r="K1339" s="247" t="s">
        <v>4949</v>
      </c>
      <c r="L1339" s="248">
        <v>123744</v>
      </c>
      <c r="M1339" s="249">
        <f>15*(LEFT(TEXT($L1339,"000000"),2)+(MID(TEXT($L1339,"000000"),3,2)/60)+(RIGHT(TEXT($L1339,"000000"),2)/3600))</f>
        <v>189.43333333333334</v>
      </c>
      <c r="N1339" s="250">
        <v>114906</v>
      </c>
      <c r="O1339" s="251">
        <f>IF($N1339&gt;0,(LEFT(TEXT($N1339,"000000"),2)+(MID(TEXT($N1339,"000000"),3,2)/60)+(RIGHT(TEXT($N1339,"000000"),2)/3600)),-(MID(TEXT($N1339,"000000"),2,2)+(MID(TEXT($N1339,"000000"),4,2)/60)+(RIGHT(TEXT($N1339,"000000"),2)/3600)))</f>
        <v>11.818333333333333</v>
      </c>
      <c r="P1339" s="252" t="s">
        <v>61</v>
      </c>
      <c r="Q1339" s="253"/>
      <c r="R1339" s="247" t="s">
        <v>3589</v>
      </c>
      <c r="S1339" s="272" t="s">
        <v>3293</v>
      </c>
      <c r="T1339" s="273">
        <v>9.6999999999999993</v>
      </c>
      <c r="U1339" s="289">
        <v>21.990000000000002</v>
      </c>
      <c r="V1339" s="280">
        <v>20</v>
      </c>
      <c r="W1339" s="244"/>
      <c r="X1339" s="244"/>
      <c r="Y1339" s="362"/>
      <c r="Z1339" s="257">
        <f>altaz(J2000_Bas,$O1339,$M1339,DecLat,DecLong,1)</f>
        <v>0.54427899220134712</v>
      </c>
      <c r="AA1339" s="257">
        <f>altaz((J2000_Bas+(2*0.04167)),$O1339,$M1339,DecLat,DecLong,1)</f>
        <v>-23.28961300415056</v>
      </c>
      <c r="AB1339" s="257">
        <f>altaz((J2000_Bas+(4*0.04167)),$O1339,$M1339,DecLat,DecLong,1)</f>
        <v>-41.70621311780549</v>
      </c>
      <c r="AC1339" s="257">
        <f>altaz((J2000_Bas+(6*0.04167)),$O1339,$M1339,DecLat,DecLong,1)</f>
        <v>-46.683121081911359</v>
      </c>
      <c r="AD1339" s="258">
        <f>1+ transit((J2000_Bas-1),$O1339,$M1339,DecLat,DecLong)/360 + (GMTOffset/24) + (IF(DST="Y", 1, 0)/24)</f>
        <v>1.5191036117130414</v>
      </c>
      <c r="AE1339" s="259">
        <f>DATE(2001,9,21)+(M1339/360)*365 - (360*((DecLong/360)- (GMTOffset/24) ))</f>
        <v>37352.064351851855</v>
      </c>
      <c r="AF1339" s="260">
        <f>IF(DecLat&gt;0,IF((90 - (DecLat-O1339))&gt;90, (90 - (O1339-DecLat)), (90 - (DecLat-O1339))),IF((90 + (DecLat-O1339))&gt;90, (90 + (O1339-DecLat)), (90 + (DecLat-O1339))))</f>
        <v>70.818333333333328</v>
      </c>
      <c r="AG1339" s="257">
        <f>angularseperation(MoonRA,MoonDec,$M1339,$O1339)</f>
        <v>69.818040561548074</v>
      </c>
      <c r="AH1339" s="261">
        <f ca="1">MIN(100,IF($O$5&gt;80,0+30*($AG1339/100),IF($O$5&gt;70,0+50*($AG1339/100),IF($O$5&gt;60,5+50*($AG1339/100),IF($O$5&gt;50,10+60*($AG1339/100),IF($O$5&gt;40,15+70*($AG1339/100),IF($O$5&gt;30,20+70*($AG1339/100),IF($O$5&gt;20,40+55*($AG1339/100),(80+(20-$O$5)+30*($AG1339/100))))))))))</f>
        <v>100</v>
      </c>
      <c r="AI1339" s="262">
        <v>4579</v>
      </c>
      <c r="AJ1339" s="262"/>
      <c r="AK1339" s="262"/>
      <c r="AL1339" s="263">
        <v>58</v>
      </c>
      <c r="AM1339" s="264"/>
      <c r="AN1339" s="263"/>
      <c r="AO1339" s="263"/>
      <c r="AP1339" s="265"/>
      <c r="AQ1339" s="266"/>
      <c r="AR1339" s="267">
        <v>42168</v>
      </c>
      <c r="AS1339" s="263"/>
      <c r="AT1339" s="263"/>
      <c r="AU1339" s="263"/>
      <c r="AV1339" s="264"/>
      <c r="AW1339" s="263"/>
      <c r="AX1339" s="263"/>
      <c r="AY1339" s="263"/>
      <c r="AZ1339" s="263"/>
      <c r="BA1339" s="263"/>
      <c r="BB1339" s="263"/>
      <c r="BC1339" s="263"/>
      <c r="BD1339" s="264"/>
      <c r="BE1339" s="263"/>
      <c r="BF1339" s="263"/>
      <c r="BG1339" s="263"/>
      <c r="BH1339" s="263"/>
      <c r="BI1339" s="263"/>
      <c r="BJ1339" s="404">
        <f>altaz(J2000_Bas,$O1339,$M1339,DecLat,DecLong,2)</f>
        <v>283.48790398297814</v>
      </c>
      <c r="BK1339" s="378" t="s">
        <v>1383</v>
      </c>
      <c r="BL1339" s="379">
        <f>IF((2*G1339)/60&lt;0.2,0.2,(2*G1339)/60)</f>
        <v>0.2</v>
      </c>
      <c r="BM1339" s="380">
        <f>MOD((50000+AD1339-$B$3+(0/24)),1)</f>
        <v>0.7344705414143391</v>
      </c>
      <c r="BN1339" s="381"/>
      <c r="BO1339" s="382">
        <v>1332</v>
      </c>
    </row>
    <row r="1340" spans="1:67" s="24" customFormat="1" ht="15" customHeight="1" x14ac:dyDescent="0.25">
      <c r="A1340" s="288" t="s">
        <v>1384</v>
      </c>
      <c r="B1340" s="241" t="str">
        <f>HYPERLINK(CONCATENATE($AT$3,BK1340,$AU$3),$AV$3)</f>
        <v>S</v>
      </c>
      <c r="C1340" s="242" t="str">
        <f>HYPERLINK(CONCATENATE($AT$4,BK1340,$AU$4,BL1340),$AV$4)</f>
        <v>A</v>
      </c>
      <c r="D1340" s="243" t="s">
        <v>5638</v>
      </c>
      <c r="E1340" s="244" t="s">
        <v>5193</v>
      </c>
      <c r="F1340" s="269" t="s">
        <v>3309</v>
      </c>
      <c r="G1340" s="273">
        <v>5</v>
      </c>
      <c r="H1340" s="283">
        <v>50</v>
      </c>
      <c r="I1340" s="246">
        <v>75</v>
      </c>
      <c r="J1340" s="246">
        <v>2</v>
      </c>
      <c r="K1340" s="247" t="s">
        <v>6215</v>
      </c>
      <c r="L1340" s="248">
        <v>124202</v>
      </c>
      <c r="M1340" s="249">
        <f>15*(LEFT(TEXT($L1340,"000000"),2)+(MID(TEXT($L1340,"000000"),3,2)/60)+(RIGHT(TEXT($L1340,"000000"),2)/3600))</f>
        <v>190.50833333333333</v>
      </c>
      <c r="N1340" s="250">
        <v>113848</v>
      </c>
      <c r="O1340" s="251">
        <f>IF($N1340&gt;0,(LEFT(TEXT($N1340,"000000"),2)+(MID(TEXT($N1340,"000000"),3,2)/60)+(RIGHT(TEXT($N1340,"000000"),2)/3600)),-(MID(TEXT($N1340,"000000"),2,2)+(MID(TEXT($N1340,"000000"),4,2)/60)+(RIGHT(TEXT($N1340,"000000"),2)/3600)))</f>
        <v>11.646666666666667</v>
      </c>
      <c r="P1340" s="252" t="s">
        <v>61</v>
      </c>
      <c r="Q1340" s="253"/>
      <c r="R1340" s="247" t="s">
        <v>3594</v>
      </c>
      <c r="S1340" s="272" t="s">
        <v>4243</v>
      </c>
      <c r="T1340" s="273">
        <v>9.6</v>
      </c>
      <c r="U1340" s="289">
        <v>21.79</v>
      </c>
      <c r="V1340" s="280"/>
      <c r="W1340" s="244"/>
      <c r="X1340" s="244"/>
      <c r="Y1340" s="362"/>
      <c r="Z1340" s="257">
        <f>altaz(J2000_Bas,$O1340,$M1340,DecLat,DecLong,1)</f>
        <v>1.3518790669439538</v>
      </c>
      <c r="AA1340" s="257">
        <f>altaz((J2000_Bas+(2*0.04167)),$O1340,$M1340,DecLat,DecLong,1)</f>
        <v>-22.611311705406937</v>
      </c>
      <c r="AB1340" s="257">
        <f>altaz((J2000_Bas+(4*0.04167)),$O1340,$M1340,DecLat,DecLong,1)</f>
        <v>-41.37205479171562</v>
      </c>
      <c r="AC1340" s="257">
        <f>altaz((J2000_Bas+(6*0.04167)),$O1340,$M1340,DecLat,DecLong,1)</f>
        <v>-46.997551488473299</v>
      </c>
      <c r="AD1340" s="258">
        <f>1+ transit((J2000_Bas-1),$O1340,$M1340,DecLat,DecLong)/360 + (GMTOffset/24) + (IF(DST="Y", 1, 0)/24)</f>
        <v>1.5220897225255414</v>
      </c>
      <c r="AE1340" s="259">
        <f>DATE(2001,9,21)+(M1340/360)*365 - (360*((DecLong/360)- (GMTOffset/24) ))</f>
        <v>37353.154282407406</v>
      </c>
      <c r="AF1340" s="260">
        <f>IF(DecLat&gt;0,IF((90 - (DecLat-O1340))&gt;90, (90 - (O1340-DecLat)), (90 - (DecLat-O1340))),IF((90 + (DecLat-O1340))&gt;90, (90 + (O1340-DecLat)), (90 + (DecLat-O1340))))</f>
        <v>70.646666666666675</v>
      </c>
      <c r="AG1340" s="257">
        <f>angularseperation(MoonRA,MoonDec,$M1340,$O1340)</f>
        <v>68.858367955639238</v>
      </c>
      <c r="AH1340" s="261">
        <f ca="1">MIN(100,IF($O$5&gt;80,0+30*($AG1340/100),IF($O$5&gt;70,0+50*($AG1340/100),IF($O$5&gt;60,5+50*($AG1340/100),IF($O$5&gt;50,10+60*($AG1340/100),IF($O$5&gt;40,15+70*($AG1340/100),IF($O$5&gt;30,20+70*($AG1340/100),IF($O$5&gt;20,40+55*($AG1340/100),(80+(20-$O$5)+30*($AG1340/100))))))))))</f>
        <v>100</v>
      </c>
      <c r="AI1340" s="262">
        <v>4621</v>
      </c>
      <c r="AJ1340" s="262"/>
      <c r="AK1340" s="262"/>
      <c r="AL1340" s="263">
        <v>59</v>
      </c>
      <c r="AM1340" s="264"/>
      <c r="AN1340" s="263"/>
      <c r="AO1340" s="263"/>
      <c r="AP1340" s="265"/>
      <c r="AQ1340" s="266"/>
      <c r="AR1340" s="267">
        <v>42628</v>
      </c>
      <c r="AS1340" s="263"/>
      <c r="AT1340" s="263"/>
      <c r="AU1340" s="263"/>
      <c r="AV1340" s="264"/>
      <c r="AW1340" s="263"/>
      <c r="AX1340" s="263"/>
      <c r="AY1340" s="263"/>
      <c r="AZ1340" s="263"/>
      <c r="BA1340" s="263"/>
      <c r="BB1340" s="263"/>
      <c r="BC1340" s="263"/>
      <c r="BD1340" s="264"/>
      <c r="BE1340" s="263"/>
      <c r="BF1340" s="263"/>
      <c r="BG1340" s="263"/>
      <c r="BH1340" s="263"/>
      <c r="BI1340" s="263"/>
      <c r="BJ1340" s="404">
        <f>altaz(J2000_Bas,$O1340,$M1340,DecLat,DecLong,2)</f>
        <v>282.79131795717944</v>
      </c>
      <c r="BK1340" s="378" t="s">
        <v>1384</v>
      </c>
      <c r="BL1340" s="379">
        <f>IF((2*G1340)/60&lt;0.2,0.2,(2*G1340)/60)</f>
        <v>0.2</v>
      </c>
      <c r="BM1340" s="380">
        <f>MOD((50000+AD1340-$B$3+(0/24)),1)</f>
        <v>0.73745665222668322</v>
      </c>
      <c r="BN1340" s="381"/>
      <c r="BO1340" s="382">
        <v>1333</v>
      </c>
    </row>
    <row r="1341" spans="1:67" s="24" customFormat="1" ht="15" customHeight="1" x14ac:dyDescent="0.25">
      <c r="A1341" s="288" t="s">
        <v>1385</v>
      </c>
      <c r="B1341" s="241" t="str">
        <f>HYPERLINK(CONCATENATE($AT$3,BK1341,$AU$3),$AV$3)</f>
        <v>S</v>
      </c>
      <c r="C1341" s="242" t="str">
        <f>HYPERLINK(CONCATENATE($AT$4,BK1341,$AU$4,BL1341),$AV$4)</f>
        <v>A</v>
      </c>
      <c r="D1341" s="243" t="s">
        <v>5638</v>
      </c>
      <c r="E1341" s="244" t="s">
        <v>5193</v>
      </c>
      <c r="F1341" s="269" t="s">
        <v>3304</v>
      </c>
      <c r="G1341" s="273">
        <v>8</v>
      </c>
      <c r="H1341" s="283">
        <v>50</v>
      </c>
      <c r="I1341" s="246">
        <v>120</v>
      </c>
      <c r="J1341" s="246">
        <v>3</v>
      </c>
      <c r="K1341" s="247" t="s">
        <v>4951</v>
      </c>
      <c r="L1341" s="248">
        <v>124340</v>
      </c>
      <c r="M1341" s="249">
        <f>15*(LEFT(TEXT($L1341,"000000"),2)+(MID(TEXT($L1341,"000000"),3,2)/60)+(RIGHT(TEXT($L1341,"000000"),2)/3600))</f>
        <v>190.91666666666666</v>
      </c>
      <c r="N1341" s="250">
        <v>113308</v>
      </c>
      <c r="O1341" s="251">
        <f>IF($N1341&gt;0,(LEFT(TEXT($N1341,"000000"),2)+(MID(TEXT($N1341,"000000"),3,2)/60)+(RIGHT(TEXT($N1341,"000000"),2)/3600)),-(MID(TEXT($N1341,"000000"),2,2)+(MID(TEXT($N1341,"000000"),4,2)/60)+(RIGHT(TEXT($N1341,"000000"),2)/3600)))</f>
        <v>11.552222222222223</v>
      </c>
      <c r="P1341" s="252" t="s">
        <v>61</v>
      </c>
      <c r="Q1341" s="253"/>
      <c r="R1341" s="247" t="s">
        <v>3596</v>
      </c>
      <c r="S1341" s="272" t="s">
        <v>4950</v>
      </c>
      <c r="T1341" s="273">
        <v>8.8000000000000007</v>
      </c>
      <c r="U1341" s="289">
        <v>21.89</v>
      </c>
      <c r="V1341" s="280"/>
      <c r="W1341" s="244"/>
      <c r="X1341" s="244"/>
      <c r="Y1341" s="362"/>
      <c r="Z1341" s="257">
        <f>altaz(J2000_Bas,$O1341,$M1341,DecLat,DecLong,1)</f>
        <v>1.6442300618508865</v>
      </c>
      <c r="AA1341" s="257">
        <f>altaz((J2000_Bas+(2*0.04167)),$O1341,$M1341,DecLat,DecLong,1)</f>
        <v>-22.370504912549293</v>
      </c>
      <c r="AB1341" s="257">
        <f>altaz((J2000_Bas+(4*0.04167)),$O1341,$M1341,DecLat,DecLong,1)</f>
        <v>-41.265605831699482</v>
      </c>
      <c r="AC1341" s="257">
        <f>altaz((J2000_Bas+(6*0.04167)),$O1341,$M1341,DecLat,DecLong,1)</f>
        <v>-47.139923786209884</v>
      </c>
      <c r="AD1341" s="258">
        <f>1+ transit((J2000_Bas-1),$O1341,$M1341,DecLat,DecLong)/360 + (GMTOffset/24) + (IF(DST="Y", 1, 0)/24)</f>
        <v>1.5232239816713746</v>
      </c>
      <c r="AE1341" s="259">
        <f>DATE(2001,9,21)+(M1341/360)*365 - (360*((DecLong/360)- (GMTOffset/24) ))</f>
        <v>37353.568287037036</v>
      </c>
      <c r="AF1341" s="260">
        <f>IF(DecLat&gt;0,IF((90 - (DecLat-O1341))&gt;90, (90 - (O1341-DecLat)), (90 - (DecLat-O1341))),IF((90 + (DecLat-O1341))&gt;90, (90 + (O1341-DecLat)), (90 + (DecLat-O1341))))</f>
        <v>70.552222222222227</v>
      </c>
      <c r="AG1341" s="257">
        <f>angularseperation(MoonRA,MoonDec,$M1341,$O1341)</f>
        <v>68.477584529182536</v>
      </c>
      <c r="AH1341" s="261">
        <f ca="1">MIN(100,IF($O$5&gt;80,0+30*($AG1341/100),IF($O$5&gt;70,0+50*($AG1341/100),IF($O$5&gt;60,5+50*($AG1341/100),IF($O$5&gt;50,10+60*($AG1341/100),IF($O$5&gt;40,15+70*($AG1341/100),IF($O$5&gt;30,20+70*($AG1341/100),IF($O$5&gt;20,40+55*($AG1341/100),(80+(20-$O$5)+30*($AG1341/100))))))))))</f>
        <v>100</v>
      </c>
      <c r="AI1341" s="262">
        <v>4649</v>
      </c>
      <c r="AJ1341" s="262"/>
      <c r="AK1341" s="262"/>
      <c r="AL1341" s="263">
        <v>60</v>
      </c>
      <c r="AM1341" s="264"/>
      <c r="AN1341" s="263"/>
      <c r="AO1341" s="263"/>
      <c r="AP1341" s="265"/>
      <c r="AQ1341" s="266"/>
      <c r="AR1341" s="267">
        <v>42831</v>
      </c>
      <c r="AS1341" s="263"/>
      <c r="AT1341" s="263"/>
      <c r="AU1341" s="263"/>
      <c r="AV1341" s="264"/>
      <c r="AW1341" s="263"/>
      <c r="AX1341" s="263"/>
      <c r="AY1341" s="263"/>
      <c r="AZ1341" s="263"/>
      <c r="BA1341" s="263"/>
      <c r="BB1341" s="263"/>
      <c r="BC1341" s="263"/>
      <c r="BD1341" s="264"/>
      <c r="BE1341" s="263"/>
      <c r="BF1341" s="263"/>
      <c r="BG1341" s="263"/>
      <c r="BH1341" s="263"/>
      <c r="BI1341" s="263"/>
      <c r="BJ1341" s="404">
        <f>altaz(J2000_Bas,$O1341,$M1341,DecLat,DecLong,2)</f>
        <v>282.5023490117859</v>
      </c>
      <c r="BK1341" s="378" t="s">
        <v>1385</v>
      </c>
      <c r="BL1341" s="379">
        <f>IF((2*G1341)/60&lt;0.2,0.2,(2*G1341)/60)</f>
        <v>0.26666666666666666</v>
      </c>
      <c r="BM1341" s="380">
        <f>MOD((50000+AD1341-$B$3+(0/24)),1)</f>
        <v>0.73859091137273936</v>
      </c>
      <c r="BN1341" s="381"/>
      <c r="BO1341" s="382">
        <v>1334</v>
      </c>
    </row>
    <row r="1342" spans="1:67" s="24" customFormat="1" ht="15" customHeight="1" x14ac:dyDescent="0.25">
      <c r="A1342" s="288" t="s">
        <v>1386</v>
      </c>
      <c r="B1342" s="241" t="str">
        <f>HYPERLINK(CONCATENATE($AT$3,BK1342,$AU$3),$AV$3)</f>
        <v>S</v>
      </c>
      <c r="C1342" s="242" t="str">
        <f>HYPERLINK(CONCATENATE($AT$4,BK1342,$AU$4,BL1342),$AV$4)</f>
        <v>A</v>
      </c>
      <c r="D1342" s="243" t="s">
        <v>5638</v>
      </c>
      <c r="E1342" s="244" t="s">
        <v>5192</v>
      </c>
      <c r="F1342" s="269" t="s">
        <v>8918</v>
      </c>
      <c r="G1342" s="273">
        <v>6</v>
      </c>
      <c r="H1342" s="283">
        <v>55</v>
      </c>
      <c r="I1342" s="246">
        <v>100</v>
      </c>
      <c r="J1342" s="246">
        <v>4</v>
      </c>
      <c r="K1342" s="247" t="s">
        <v>4952</v>
      </c>
      <c r="L1342" s="248">
        <v>122155</v>
      </c>
      <c r="M1342" s="249">
        <f>15*(LEFT(TEXT($L1342,"000000"),2)+(MID(TEXT($L1342,"000000"),3,2)/60)+(RIGHT(TEXT($L1342,"000000"),2)/3600))</f>
        <v>185.47916666666666</v>
      </c>
      <c r="N1342" s="250">
        <v>42823</v>
      </c>
      <c r="O1342" s="251">
        <f>IF($N1342&gt;0,(LEFT(TEXT($N1342,"000000"),2)+(MID(TEXT($N1342,"000000"),3,2)/60)+(RIGHT(TEXT($N1342,"000000"),2)/3600)),-(MID(TEXT($N1342,"000000"),2,2)+(MID(TEXT($N1342,"000000"),4,2)/60)+(RIGHT(TEXT($N1342,"000000"),2)/3600)))</f>
        <v>4.4730555555555558</v>
      </c>
      <c r="P1342" s="252" t="s">
        <v>61</v>
      </c>
      <c r="Q1342" s="253"/>
      <c r="R1342" s="247" t="s">
        <v>3579</v>
      </c>
      <c r="S1342" s="272" t="s">
        <v>3293</v>
      </c>
      <c r="T1342" s="273">
        <v>9.6999999999999993</v>
      </c>
      <c r="U1342" s="289">
        <v>22.39</v>
      </c>
      <c r="V1342" s="280">
        <v>0</v>
      </c>
      <c r="W1342" s="244"/>
      <c r="X1342" s="244"/>
      <c r="Y1342" s="362"/>
      <c r="Z1342" s="257">
        <f>altaz(J2000_Bas,$O1342,$M1342,DecLat,DecLong,1)</f>
        <v>-6.6559205105535497</v>
      </c>
      <c r="AA1342" s="257">
        <f>altaz((J2000_Bas+(2*0.04167)),$O1342,$M1342,DecLat,DecLong,1)</f>
        <v>-31.067396665143477</v>
      </c>
      <c r="AB1342" s="257">
        <f>altaz((J2000_Bas+(4*0.04167)),$O1342,$M1342,DecLat,DecLong,1)</f>
        <v>-50.025149237673418</v>
      </c>
      <c r="AC1342" s="257">
        <f>altaz((J2000_Bas+(6*0.04167)),$O1342,$M1342,DecLat,DecLong,1)</f>
        <v>-53.064827681958491</v>
      </c>
      <c r="AD1342" s="258">
        <f>1+ transit((J2000_Bas-1),$O1342,$M1342,DecLat,DecLong)/360 + (GMTOffset/24) + (IF(DST="Y", 1, 0)/24)</f>
        <v>1.5081198165151248</v>
      </c>
      <c r="AE1342" s="259">
        <f>DATE(2001,9,21)+(M1342/360)*365 - (360*((DecLong/360)- (GMTOffset/24) ))</f>
        <v>37348.055266203701</v>
      </c>
      <c r="AF1342" s="260">
        <f>IF(DecLat&gt;0,IF((90 - (DecLat-O1342))&gt;90, (90 - (O1342-DecLat)), (90 - (DecLat-O1342))),IF((90 + (DecLat-O1342))&gt;90, (90 + (O1342-DecLat)), (90 + (DecLat-O1342))))</f>
        <v>63.473055555555554</v>
      </c>
      <c r="AG1342" s="257">
        <f>angularseperation(MoonRA,MoonDec,$M1342,$O1342)</f>
        <v>69.089962472389729</v>
      </c>
      <c r="AH1342" s="261">
        <f ca="1">MIN(100,IF($O$5&gt;80,0+30*($AG1342/100),IF($O$5&gt;70,0+50*($AG1342/100),IF($O$5&gt;60,5+50*($AG1342/100),IF($O$5&gt;50,10+60*($AG1342/100),IF($O$5&gt;40,15+70*($AG1342/100),IF($O$5&gt;30,20+70*($AG1342/100),IF($O$5&gt;20,40+55*($AG1342/100),(80+(20-$O$5)+30*($AG1342/100))))))))))</f>
        <v>100</v>
      </c>
      <c r="AI1342" s="262">
        <v>4303</v>
      </c>
      <c r="AJ1342" s="262"/>
      <c r="AK1342" s="262">
        <v>228</v>
      </c>
      <c r="AL1342" s="263">
        <v>61</v>
      </c>
      <c r="AM1342" s="264"/>
      <c r="AN1342" s="263"/>
      <c r="AO1342" s="263"/>
      <c r="AP1342" s="265"/>
      <c r="AQ1342" s="266"/>
      <c r="AR1342" s="267">
        <v>40001</v>
      </c>
      <c r="AS1342" s="263"/>
      <c r="AT1342" s="263"/>
      <c r="AU1342" s="263"/>
      <c r="AV1342" s="264"/>
      <c r="AW1342" s="263"/>
      <c r="AX1342" s="263"/>
      <c r="AY1342" s="263"/>
      <c r="AZ1342" s="263"/>
      <c r="BA1342" s="263"/>
      <c r="BB1342" s="263"/>
      <c r="BC1342" s="263"/>
      <c r="BD1342" s="264"/>
      <c r="BE1342" s="263"/>
      <c r="BF1342" s="263"/>
      <c r="BG1342" s="263"/>
      <c r="BH1342" s="263"/>
      <c r="BI1342" s="263"/>
      <c r="BJ1342" s="404">
        <f>altaz(J2000_Bas,$O1342,$M1342,DecLat,DecLong,2)</f>
        <v>279.3067307410538</v>
      </c>
      <c r="BK1342" s="378" t="s">
        <v>1386</v>
      </c>
      <c r="BL1342" s="379">
        <f>IF((2*G1342)/60&lt;0.2,0.2,(2*G1342)/60)</f>
        <v>0.2</v>
      </c>
      <c r="BM1342" s="380">
        <f>MOD((50000+AD1342-$B$3+(0/24)),1)</f>
        <v>0.72348674621753162</v>
      </c>
      <c r="BN1342" s="381" t="s">
        <v>9116</v>
      </c>
      <c r="BO1342" s="382">
        <v>1335</v>
      </c>
    </row>
    <row r="1343" spans="1:67" s="24" customFormat="1" ht="15" customHeight="1" x14ac:dyDescent="0.25">
      <c r="A1343" s="288" t="s">
        <v>1387</v>
      </c>
      <c r="B1343" s="241" t="str">
        <f>HYPERLINK(CONCATENATE($AT$3,BK1343,$AU$3),$AV$3)</f>
        <v>S</v>
      </c>
      <c r="C1343" s="242" t="str">
        <f>HYPERLINK(CONCATENATE($AT$4,BK1343,$AU$4,BL1343),$AV$4)</f>
        <v>A</v>
      </c>
      <c r="D1343" s="243" t="s">
        <v>5335</v>
      </c>
      <c r="E1343" s="244" t="s">
        <v>5184</v>
      </c>
      <c r="F1343" s="269" t="s">
        <v>3317</v>
      </c>
      <c r="G1343" s="276">
        <v>14</v>
      </c>
      <c r="H1343" s="283">
        <v>21000</v>
      </c>
      <c r="I1343" s="246">
        <v>88</v>
      </c>
      <c r="J1343" s="246">
        <v>3</v>
      </c>
      <c r="K1343" s="247" t="s">
        <v>4953</v>
      </c>
      <c r="L1343" s="248">
        <v>170113</v>
      </c>
      <c r="M1343" s="249">
        <f>15*(LEFT(TEXT($L1343,"000000"),2)+(MID(TEXT($L1343,"000000"),3,2)/60)+(RIGHT(TEXT($L1343,"000000"),2)/3600))</f>
        <v>255.30416666666667</v>
      </c>
      <c r="N1343" s="250">
        <v>-300645</v>
      </c>
      <c r="O1343" s="251">
        <f>IF($N1343&gt;0,(LEFT(TEXT($N1343,"000000"),2)+(MID(TEXT($N1343,"000000"),3,2)/60)+(RIGHT(TEXT($N1343,"000000"),2)/3600)),-(MID(TEXT($N1343,"000000"),2,2)+(MID(TEXT($N1343,"000000"),4,2)/60)+(RIGHT(TEXT($N1343,"000000"),2)/3600)))</f>
        <v>-30.112500000000001</v>
      </c>
      <c r="P1343" s="252" t="s">
        <v>113</v>
      </c>
      <c r="Q1343" s="253"/>
      <c r="R1343" s="247" t="s">
        <v>3648</v>
      </c>
      <c r="S1343" s="272" t="s">
        <v>3293</v>
      </c>
      <c r="T1343" s="273">
        <v>6.4</v>
      </c>
      <c r="U1343" s="274"/>
      <c r="V1343" s="280"/>
      <c r="W1343" s="244"/>
      <c r="X1343" s="244"/>
      <c r="Y1343" s="362"/>
      <c r="Z1343" s="257">
        <f>altaz(J2000_Bas,$O1343,$M1343,DecLat,DecLong,1)</f>
        <v>22.283147554940765</v>
      </c>
      <c r="AA1343" s="257">
        <f>altaz((J2000_Bas+(2*0.04167)),$O1343,$M1343,DecLat,DecLong,1)</f>
        <v>5.9429765117474931</v>
      </c>
      <c r="AB1343" s="257">
        <f>altaz((J2000_Bas+(4*0.04167)),$O1343,$M1343,DecLat,DecLong,1)</f>
        <v>-15.641724807835574</v>
      </c>
      <c r="AC1343" s="257">
        <f>altaz((J2000_Bas+(6*0.04167)),$O1343,$M1343,DecLat,DecLong,1)</f>
        <v>-39.773636825841365</v>
      </c>
      <c r="AD1343" s="258">
        <f>1+ transit((J2000_Bas-1),$O1343,$M1343,DecLat,DecLong)/360 + (GMTOffset/24) + (IF(DST="Y", 1, 0)/24)</f>
        <v>1.7020781304526247</v>
      </c>
      <c r="AE1343" s="259">
        <f>DATE(2001,9,21)+(M1343/360)*365 - (360*((DecLong/360)- (GMTOffset/24) ))</f>
        <v>37418.850057870368</v>
      </c>
      <c r="AF1343" s="260">
        <f>IF(DecLat&gt;0,IF((90 - (DecLat-O1343))&gt;90, (90 - (O1343-DecLat)), (90 - (DecLat-O1343))),IF((90 + (DecLat-O1343))&gt;90, (90 + (O1343-DecLat)), (90 + (DecLat-O1343))))</f>
        <v>28.887500000000003</v>
      </c>
      <c r="AG1343" s="257">
        <f>angularseperation(MoonRA,MoonDec,$M1343,$O1343)</f>
        <v>6.1223549034606979</v>
      </c>
      <c r="AH1343" s="261">
        <f ca="1">MIN(100,IF($O$5&gt;80,0+30*($AG1343/100),IF($O$5&gt;70,0+50*($AG1343/100),IF($O$5&gt;60,5+50*($AG1343/100),IF($O$5&gt;50,10+60*($AG1343/100),IF($O$5&gt;40,15+70*($AG1343/100),IF($O$5&gt;30,20+70*($AG1343/100),IF($O$5&gt;20,40+55*($AG1343/100),(80+(20-$O$5)+30*($AG1343/100))))))))))</f>
        <v>85.10776681518864</v>
      </c>
      <c r="AI1343" s="262">
        <v>6266</v>
      </c>
      <c r="AJ1343" s="262"/>
      <c r="AK1343" s="262"/>
      <c r="AL1343" s="263">
        <v>62</v>
      </c>
      <c r="AM1343" s="264"/>
      <c r="AN1343" s="263"/>
      <c r="AO1343" s="263"/>
      <c r="AP1343" s="265"/>
      <c r="AQ1343" s="266"/>
      <c r="AR1343" s="267"/>
      <c r="AS1343" s="263"/>
      <c r="AT1343" s="263"/>
      <c r="AU1343" s="263"/>
      <c r="AV1343" s="264"/>
      <c r="AW1343" s="263"/>
      <c r="AX1343" s="263"/>
      <c r="AY1343" s="263"/>
      <c r="AZ1343" s="263"/>
      <c r="BA1343" s="263"/>
      <c r="BB1343" s="263"/>
      <c r="BC1343" s="263"/>
      <c r="BD1343" s="264"/>
      <c r="BE1343" s="263"/>
      <c r="BF1343" s="263"/>
      <c r="BG1343" s="263"/>
      <c r="BH1343" s="263"/>
      <c r="BI1343" s="263"/>
      <c r="BJ1343" s="404">
        <f>altaz(J2000_Bas,$O1343,$M1343,DecLat,DecLong,2)</f>
        <v>208.50675808874882</v>
      </c>
      <c r="BK1343" s="378" t="s">
        <v>1387</v>
      </c>
      <c r="BL1343" s="379">
        <f>IF((2*G1343)/60&lt;0.2,0.2,(2*G1343)/60)</f>
        <v>0.46666666666666667</v>
      </c>
      <c r="BM1343" s="380">
        <f>MOD((50000+AD1343-$B$3+(0/24)),1)</f>
        <v>0.91744506015675142</v>
      </c>
      <c r="BN1343" s="381"/>
      <c r="BO1343" s="382">
        <v>1336</v>
      </c>
    </row>
    <row r="1344" spans="1:67" s="24" customFormat="1" ht="15" customHeight="1" x14ac:dyDescent="0.25">
      <c r="A1344" s="288" t="s">
        <v>1388</v>
      </c>
      <c r="B1344" s="241" t="str">
        <f>HYPERLINK(CONCATENATE($AT$3,BK1344,$AU$3),$AV$3)</f>
        <v>S</v>
      </c>
      <c r="C1344" s="242" t="str">
        <f>HYPERLINK(CONCATENATE($AT$4,BK1344,$AU$4,BL1344),$AV$4)</f>
        <v>A</v>
      </c>
      <c r="D1344" s="243" t="s">
        <v>5638</v>
      </c>
      <c r="E1344" s="244" t="s">
        <v>4292</v>
      </c>
      <c r="F1344" s="269"/>
      <c r="G1344" s="276">
        <v>13</v>
      </c>
      <c r="H1344" s="283">
        <v>30</v>
      </c>
      <c r="I1344" s="246">
        <v>110</v>
      </c>
      <c r="J1344" s="246">
        <v>4</v>
      </c>
      <c r="K1344" s="247" t="s">
        <v>4954</v>
      </c>
      <c r="L1344" s="248">
        <v>131549</v>
      </c>
      <c r="M1344" s="249">
        <f>15*(LEFT(TEXT($L1344,"000000"),2)+(MID(TEXT($L1344,"000000"),3,2)/60)+(RIGHT(TEXT($L1344,"000000"),2)/3600))</f>
        <v>198.95416666666665</v>
      </c>
      <c r="N1344" s="250">
        <v>420146</v>
      </c>
      <c r="O1344" s="251">
        <f>IF($N1344&gt;0,(LEFT(TEXT($N1344,"000000"),2)+(MID(TEXT($N1344,"000000"),3,2)/60)+(RIGHT(TEXT($N1344,"000000"),2)/3600)),-(MID(TEXT($N1344,"000000"),2,2)+(MID(TEXT($N1344,"000000"),4,2)/60)+(RIGHT(TEXT($N1344,"000000"),2)/3600)))</f>
        <v>42.029444444444444</v>
      </c>
      <c r="P1344" s="252" t="s">
        <v>242</v>
      </c>
      <c r="Q1344" s="253" t="s">
        <v>6912</v>
      </c>
      <c r="R1344" s="247" t="s">
        <v>3607</v>
      </c>
      <c r="S1344" s="272" t="s">
        <v>3293</v>
      </c>
      <c r="T1344" s="273">
        <v>8.6</v>
      </c>
      <c r="U1344" s="289">
        <v>22.19</v>
      </c>
      <c r="V1344" s="280">
        <v>60</v>
      </c>
      <c r="W1344" s="244"/>
      <c r="X1344" s="244"/>
      <c r="Y1344" s="362"/>
      <c r="Z1344" s="257">
        <f>altaz(J2000_Bas,$O1344,$M1344,DecLat,DecLong,1)</f>
        <v>22.1856657063909</v>
      </c>
      <c r="AA1344" s="257">
        <f>altaz((J2000_Bas+(2*0.04167)),$O1344,$M1344,DecLat,DecLong,1)</f>
        <v>3.1213217699276656</v>
      </c>
      <c r="AB1344" s="257">
        <f>altaz((J2000_Bas+(4*0.04167)),$O1344,$M1344,DecLat,DecLong,1)</f>
        <v>-10.98043886177458</v>
      </c>
      <c r="AC1344" s="257">
        <f>altaz((J2000_Bas+(6*0.04167)),$O1344,$M1344,DecLat,DecLong,1)</f>
        <v>-16.928284206899821</v>
      </c>
      <c r="AD1344" s="258">
        <f>1+ transit((J2000_Bas-1),$O1344,$M1344,DecLat,DecLong)/360 + (GMTOffset/24) + (IF(DST="Y", 1, 0)/24)</f>
        <v>1.5455503683276246</v>
      </c>
      <c r="AE1344" s="259">
        <f>DATE(2001,9,21)+(M1344/360)*365 - (360*((DecLong/360)- (GMTOffset/24) ))</f>
        <v>37361.717418981483</v>
      </c>
      <c r="AF1344" s="260">
        <f>IF(DecLat&gt;0,IF((90 - (DecLat-O1344))&gt;90, (90 - (O1344-DecLat)), (90 - (DecLat-O1344))),IF((90 + (DecLat-O1344))&gt;90, (90 + (O1344-DecLat)), (90 + (DecLat-O1344))))</f>
        <v>78.970555555555563</v>
      </c>
      <c r="AG1344" s="257">
        <f>angularseperation(MoonRA,MoonDec,$M1344,$O1344)</f>
        <v>83.239056476025866</v>
      </c>
      <c r="AH1344" s="261">
        <f ca="1">MIN(100,IF($O$5&gt;80,0+30*($AG1344/100),IF($O$5&gt;70,0+50*($AG1344/100),IF($O$5&gt;60,5+50*($AG1344/100),IF($O$5&gt;50,10+60*($AG1344/100),IF($O$5&gt;40,15+70*($AG1344/100),IF($O$5&gt;30,20+70*($AG1344/100),IF($O$5&gt;20,40+55*($AG1344/100),(80+(20-$O$5)+30*($AG1344/100))))))))))</f>
        <v>100</v>
      </c>
      <c r="AI1344" s="262">
        <v>5055</v>
      </c>
      <c r="AJ1344" s="262"/>
      <c r="AK1344" s="262"/>
      <c r="AL1344" s="263">
        <v>63</v>
      </c>
      <c r="AM1344" s="264"/>
      <c r="AN1344" s="263"/>
      <c r="AO1344" s="263"/>
      <c r="AP1344" s="265"/>
      <c r="AQ1344" s="266"/>
      <c r="AR1344" s="267">
        <v>46153</v>
      </c>
      <c r="AS1344" s="263"/>
      <c r="AT1344" s="263"/>
      <c r="AU1344" s="263"/>
      <c r="AV1344" s="264"/>
      <c r="AW1344" s="263"/>
      <c r="AX1344" s="263"/>
      <c r="AY1344" s="263"/>
      <c r="AZ1344" s="263"/>
      <c r="BA1344" s="263"/>
      <c r="BB1344" s="263"/>
      <c r="BC1344" s="263"/>
      <c r="BD1344" s="264"/>
      <c r="BE1344" s="263"/>
      <c r="BF1344" s="263"/>
      <c r="BG1344" s="263"/>
      <c r="BH1344" s="263"/>
      <c r="BI1344" s="263"/>
      <c r="BJ1344" s="404">
        <f>altaz(J2000_Bas,$O1344,$M1344,DecLat,DecLong,2)</f>
        <v>306.76215621237367</v>
      </c>
      <c r="BK1344" s="378" t="s">
        <v>1388</v>
      </c>
      <c r="BL1344" s="379">
        <f>IF((2*G1344)/60&lt;0.2,0.2,(2*G1344)/60)</f>
        <v>0.43333333333333335</v>
      </c>
      <c r="BM1344" s="380">
        <f>MOD((50000+AD1344-$B$3+(0/24)),1)</f>
        <v>0.76091729803010821</v>
      </c>
      <c r="BN1344" s="381" t="s">
        <v>9220</v>
      </c>
      <c r="BO1344" s="382">
        <v>1337</v>
      </c>
    </row>
    <row r="1345" spans="1:67" s="24" customFormat="1" ht="15" customHeight="1" x14ac:dyDescent="0.25">
      <c r="A1345" s="288" t="s">
        <v>1389</v>
      </c>
      <c r="B1345" s="241" t="str">
        <f>HYPERLINK(CONCATENATE($AT$3,BK1345,$AU$3),$AV$3)</f>
        <v>S</v>
      </c>
      <c r="C1345" s="242" t="str">
        <f>HYPERLINK(CONCATENATE($AT$4,BK1345,$AU$4,BL1345),$AV$4)</f>
        <v>A</v>
      </c>
      <c r="D1345" s="243" t="s">
        <v>5638</v>
      </c>
      <c r="E1345" s="244" t="s">
        <v>5192</v>
      </c>
      <c r="F1345" s="269" t="s">
        <v>8690</v>
      </c>
      <c r="G1345" s="276">
        <v>11</v>
      </c>
      <c r="H1345" s="283">
        <v>14</v>
      </c>
      <c r="I1345" s="246">
        <v>50</v>
      </c>
      <c r="J1345" s="246">
        <v>4</v>
      </c>
      <c r="K1345" s="247" t="s">
        <v>4955</v>
      </c>
      <c r="L1345" s="248">
        <v>125644</v>
      </c>
      <c r="M1345" s="249">
        <f>15*(LEFT(TEXT($L1345,"000000"),2)+(MID(TEXT($L1345,"000000"),3,2)/60)+(RIGHT(TEXT($L1345,"000000"),2)/3600))</f>
        <v>194.18333333333334</v>
      </c>
      <c r="N1345" s="250">
        <v>214058</v>
      </c>
      <c r="O1345" s="251">
        <f>IF($N1345&gt;0,(LEFT(TEXT($N1345,"000000"),2)+(MID(TEXT($N1345,"000000"),3,2)/60)+(RIGHT(TEXT($N1345,"000000"),2)/3600)),-(MID(TEXT($N1345,"000000"),2,2)+(MID(TEXT($N1345,"000000"),4,2)/60)+(RIGHT(TEXT($N1345,"000000"),2)/3600)))</f>
        <v>21.68277777777778</v>
      </c>
      <c r="P1345" s="252" t="s">
        <v>190</v>
      </c>
      <c r="Q1345" s="253" t="s">
        <v>6858</v>
      </c>
      <c r="R1345" s="247" t="s">
        <v>3603</v>
      </c>
      <c r="S1345" s="272" t="s">
        <v>3293</v>
      </c>
      <c r="T1345" s="273">
        <v>8.5</v>
      </c>
      <c r="U1345" s="289">
        <v>21.59</v>
      </c>
      <c r="V1345" s="280">
        <v>60</v>
      </c>
      <c r="W1345" s="244"/>
      <c r="X1345" s="244"/>
      <c r="Y1345" s="362"/>
      <c r="Z1345" s="257">
        <f>altaz(J2000_Bas,$O1345,$M1345,DecLat,DecLong,1)</f>
        <v>9.4973804074524573</v>
      </c>
      <c r="AA1345" s="257">
        <f>altaz((J2000_Bas+(2*0.04167)),$O1345,$M1345,DecLat,DecLong,1)</f>
        <v>-13.336270458152622</v>
      </c>
      <c r="AB1345" s="257">
        <f>altaz((J2000_Bas+(4*0.04167)),$O1345,$M1345,DecLat,DecLong,1)</f>
        <v>-30.858350426843451</v>
      </c>
      <c r="AC1345" s="257">
        <f>altaz((J2000_Bas+(6*0.04167)),$O1345,$M1345,DecLat,DecLong,1)</f>
        <v>-37.279679322143032</v>
      </c>
      <c r="AD1345" s="258">
        <f>1+ transit((J2000_Bas-1),$O1345,$M1345,DecLat,DecLong)/360 + (GMTOffset/24) + (IF(DST="Y", 1, 0)/24)</f>
        <v>1.5322980548380414</v>
      </c>
      <c r="AE1345" s="259">
        <f>DATE(2001,9,21)+(M1345/360)*365 - (360*((DecLong/360)- (GMTOffset/24) ))</f>
        <v>37356.880324074074</v>
      </c>
      <c r="AF1345" s="260">
        <f>IF(DecLat&gt;0,IF((90 - (DecLat-O1345))&gt;90, (90 - (O1345-DecLat)), (90 - (DecLat-O1345))),IF((90 + (DecLat-O1345))&gt;90, (90 + (O1345-DecLat)), (90 + (DecLat-O1345))))</f>
        <v>80.682777777777773</v>
      </c>
      <c r="AG1345" s="257">
        <f>angularseperation(MoonRA,MoonDec,$M1345,$O1345)</f>
        <v>72.203743698828319</v>
      </c>
      <c r="AH1345" s="261">
        <f ca="1">MIN(100,IF($O$5&gt;80,0+30*($AG1345/100),IF($O$5&gt;70,0+50*($AG1345/100),IF($O$5&gt;60,5+50*($AG1345/100),IF($O$5&gt;50,10+60*($AG1345/100),IF($O$5&gt;40,15+70*($AG1345/100),IF($O$5&gt;30,20+70*($AG1345/100),IF($O$5&gt;20,40+55*($AG1345/100),(80+(20-$O$5)+30*($AG1345/100))))))))))</f>
        <v>100</v>
      </c>
      <c r="AI1345" s="262">
        <v>4826</v>
      </c>
      <c r="AJ1345" s="262"/>
      <c r="AK1345" s="262"/>
      <c r="AL1345" s="263">
        <v>64</v>
      </c>
      <c r="AM1345" s="264"/>
      <c r="AN1345" s="263"/>
      <c r="AO1345" s="263"/>
      <c r="AP1345" s="265"/>
      <c r="AQ1345" s="266"/>
      <c r="AR1345" s="267">
        <v>44182</v>
      </c>
      <c r="AS1345" s="263"/>
      <c r="AT1345" s="263"/>
      <c r="AU1345" s="263"/>
      <c r="AV1345" s="264"/>
      <c r="AW1345" s="263"/>
      <c r="AX1345" s="263"/>
      <c r="AY1345" s="263"/>
      <c r="AZ1345" s="263"/>
      <c r="BA1345" s="263"/>
      <c r="BB1345" s="263"/>
      <c r="BC1345" s="263"/>
      <c r="BD1345" s="264"/>
      <c r="BE1345" s="263"/>
      <c r="BF1345" s="263"/>
      <c r="BG1345" s="263"/>
      <c r="BH1345" s="263"/>
      <c r="BI1345" s="263"/>
      <c r="BJ1345" s="404">
        <f>altaz(J2000_Bas,$O1345,$M1345,DecLat,DecLong,2)</f>
        <v>289.66389644900204</v>
      </c>
      <c r="BK1345" s="378" t="s">
        <v>1389</v>
      </c>
      <c r="BL1345" s="379">
        <f>IF((2*G1345)/60&lt;0.2,0.2,(2*G1345)/60)</f>
        <v>0.36666666666666664</v>
      </c>
      <c r="BM1345" s="380">
        <f>MOD((50000+AD1345-$B$3+(0/24)),1)</f>
        <v>0.74766498454118846</v>
      </c>
      <c r="BN1345" s="381"/>
      <c r="BO1345" s="382">
        <v>1338</v>
      </c>
    </row>
    <row r="1346" spans="1:67" s="24" customFormat="1" ht="15" customHeight="1" x14ac:dyDescent="0.25">
      <c r="A1346" s="288" t="s">
        <v>1390</v>
      </c>
      <c r="B1346" s="241" t="str">
        <f>HYPERLINK(CONCATENATE($AT$3,BK1346,$AU$3),$AV$3)</f>
        <v>S</v>
      </c>
      <c r="C1346" s="242" t="str">
        <f>HYPERLINK(CONCATENATE($AT$4,BK1346,$AU$4,BL1346),$AV$4)</f>
        <v>A</v>
      </c>
      <c r="D1346" s="243" t="s">
        <v>5638</v>
      </c>
      <c r="E1346" s="244" t="s">
        <v>5192</v>
      </c>
      <c r="F1346" s="269" t="s">
        <v>8709</v>
      </c>
      <c r="G1346" s="273">
        <v>9</v>
      </c>
      <c r="H1346" s="283">
        <v>40</v>
      </c>
      <c r="I1346" s="246">
        <v>110</v>
      </c>
      <c r="J1346" s="246">
        <v>3</v>
      </c>
      <c r="K1346" s="247" t="s">
        <v>4956</v>
      </c>
      <c r="L1346" s="248">
        <v>111856</v>
      </c>
      <c r="M1346" s="249">
        <f>15*(LEFT(TEXT($L1346,"000000"),2)+(MID(TEXT($L1346,"000000"),3,2)/60)+(RIGHT(TEXT($L1346,"000000"),2)/3600))</f>
        <v>169.73333333333335</v>
      </c>
      <c r="N1346" s="250">
        <v>130531</v>
      </c>
      <c r="O1346" s="251">
        <f>IF($N1346&gt;0,(LEFT(TEXT($N1346,"000000"),2)+(MID(TEXT($N1346,"000000"),3,2)/60)+(RIGHT(TEXT($N1346,"000000"),2)/3600)),-(MID(TEXT($N1346,"000000"),2,2)+(MID(TEXT($N1346,"000000"),4,2)/60)+(RIGHT(TEXT($N1346,"000000"),2)/3600)))</f>
        <v>13.091944444444445</v>
      </c>
      <c r="P1346" s="252" t="s">
        <v>183</v>
      </c>
      <c r="Q1346" s="253"/>
      <c r="R1346" s="247" t="s">
        <v>3555</v>
      </c>
      <c r="S1346" s="322" t="s">
        <v>1391</v>
      </c>
      <c r="T1346" s="273">
        <v>9.3000000000000007</v>
      </c>
      <c r="U1346" s="289">
        <v>21.69</v>
      </c>
      <c r="V1346" s="280">
        <v>75</v>
      </c>
      <c r="W1346" s="244"/>
      <c r="X1346" s="244"/>
      <c r="Y1346" s="362"/>
      <c r="Z1346" s="257">
        <f>altaz(J2000_Bas,$O1346,$M1346,DecLat,DecLong,1)</f>
        <v>-14.64622294146012</v>
      </c>
      <c r="AA1346" s="257">
        <f>altaz((J2000_Bas+(2*0.04167)),$O1346,$M1346,DecLat,DecLong,1)</f>
        <v>-35.335253068686043</v>
      </c>
      <c r="AB1346" s="257">
        <f>altaz((J2000_Bas+(4*0.04167)),$O1346,$M1346,DecLat,DecLong,1)</f>
        <v>-45.775432060903249</v>
      </c>
      <c r="AC1346" s="257">
        <f>altaz((J2000_Bas+(6*0.04167)),$O1346,$M1346,DecLat,DecLong,1)</f>
        <v>-39.076467294596256</v>
      </c>
      <c r="AD1346" s="258">
        <f>1+ transit((J2000_Bas-1),$O1346,$M1346,DecLat,DecLong)/360 + (GMTOffset/24) + (IF(DST="Y", 1, 0)/24)</f>
        <v>1.4643813949630415</v>
      </c>
      <c r="AE1346" s="259">
        <f>DATE(2001,9,21)+(M1346/360)*365 - (360*((DecLong/360)- (GMTOffset/24) ))</f>
        <v>37332.090740740743</v>
      </c>
      <c r="AF1346" s="260">
        <f>IF(DecLat&gt;0,IF((90 - (DecLat-O1346))&gt;90, (90 - (O1346-DecLat)), (90 - (DecLat-O1346))),IF((90 + (DecLat-O1346))&gt;90, (90 + (O1346-DecLat)), (90 + (DecLat-O1346))))</f>
        <v>72.091944444444437</v>
      </c>
      <c r="AG1346" s="257">
        <f>angularseperation(MoonRA,MoonDec,$M1346,$O1346)</f>
        <v>86.860051178497088</v>
      </c>
      <c r="AH1346" s="261">
        <f ca="1">MIN(100,IF($O$5&gt;80,0+30*($AG1346/100),IF($O$5&gt;70,0+50*($AG1346/100),IF($O$5&gt;60,5+50*($AG1346/100),IF($O$5&gt;50,10+60*($AG1346/100),IF($O$5&gt;40,15+70*($AG1346/100),IF($O$5&gt;30,20+70*($AG1346/100),IF($O$5&gt;20,40+55*($AG1346/100),(80+(20-$O$5)+30*($AG1346/100))))))))))</f>
        <v>100</v>
      </c>
      <c r="AI1346" s="262">
        <v>3623</v>
      </c>
      <c r="AJ1346" s="262"/>
      <c r="AK1346" s="262"/>
      <c r="AL1346" s="263">
        <v>65</v>
      </c>
      <c r="AM1346" s="264"/>
      <c r="AN1346" s="263"/>
      <c r="AO1346" s="263"/>
      <c r="AP1346" s="265"/>
      <c r="AQ1346" s="266"/>
      <c r="AR1346" s="267">
        <v>34612</v>
      </c>
      <c r="AS1346" s="263"/>
      <c r="AT1346" s="263"/>
      <c r="AU1346" s="263"/>
      <c r="AV1346" s="264"/>
      <c r="AW1346" s="263"/>
      <c r="AX1346" s="263"/>
      <c r="AY1346" s="263"/>
      <c r="AZ1346" s="263"/>
      <c r="BA1346" s="263"/>
      <c r="BB1346" s="263"/>
      <c r="BC1346" s="263"/>
      <c r="BD1346" s="264"/>
      <c r="BE1346" s="263"/>
      <c r="BF1346" s="263"/>
      <c r="BG1346" s="263"/>
      <c r="BH1346" s="263"/>
      <c r="BI1346" s="263"/>
      <c r="BJ1346" s="404">
        <f>altaz(J2000_Bas,$O1346,$M1346,DecLat,DecLong,2)</f>
        <v>295.47801955188004</v>
      </c>
      <c r="BK1346" s="378" t="s">
        <v>1390</v>
      </c>
      <c r="BL1346" s="379">
        <f>IF((2*G1346)/60&lt;0.2,0.2,(2*G1346)/60)</f>
        <v>0.3</v>
      </c>
      <c r="BM1346" s="380">
        <f>MOD((50000+AD1346-$B$3+(0/24)),1)</f>
        <v>0.67974832467007218</v>
      </c>
      <c r="BN1346" s="381"/>
      <c r="BO1346" s="382">
        <v>1339</v>
      </c>
    </row>
    <row r="1347" spans="1:67" s="24" customFormat="1" ht="15" customHeight="1" x14ac:dyDescent="0.25">
      <c r="A1347" s="288" t="s">
        <v>1392</v>
      </c>
      <c r="B1347" s="241" t="str">
        <f>HYPERLINK(CONCATENATE($AT$3,BK1347,$AU$3),$AV$3)</f>
        <v>S</v>
      </c>
      <c r="C1347" s="242" t="str">
        <f>HYPERLINK(CONCATENATE($AT$4,BK1347,$AU$4,BL1347),$AV$4)</f>
        <v>A</v>
      </c>
      <c r="D1347" s="243" t="s">
        <v>5638</v>
      </c>
      <c r="E1347" s="244" t="s">
        <v>5192</v>
      </c>
      <c r="F1347" s="269" t="s">
        <v>8704</v>
      </c>
      <c r="G1347" s="276">
        <v>10</v>
      </c>
      <c r="H1347" s="283">
        <v>30</v>
      </c>
      <c r="I1347" s="246">
        <v>90</v>
      </c>
      <c r="J1347" s="246">
        <v>4</v>
      </c>
      <c r="K1347" s="247" t="s">
        <v>3803</v>
      </c>
      <c r="L1347" s="248">
        <v>112015</v>
      </c>
      <c r="M1347" s="249">
        <f>15*(LEFT(TEXT($L1347,"000000"),2)+(MID(TEXT($L1347,"000000"),3,2)/60)+(RIGHT(TEXT($L1347,"000000"),2)/3600))</f>
        <v>170.0625</v>
      </c>
      <c r="N1347" s="286">
        <v>125929</v>
      </c>
      <c r="O1347" s="251">
        <f>IF($N1347&gt;0,(LEFT(TEXT($N1347,"000000"),2)+(MID(TEXT($N1347,"000000"),3,2)/60)+(RIGHT(TEXT($N1347,"000000"),2)/3600)),-(MID(TEXT($N1347,"000000"),2,2)+(MID(TEXT($N1347,"000000"),4,2)/60)+(RIGHT(TEXT($N1347,"000000"),2)/3600)))</f>
        <v>12.991388888888888</v>
      </c>
      <c r="P1347" s="252" t="s">
        <v>183</v>
      </c>
      <c r="Q1347" s="253" t="s">
        <v>3291</v>
      </c>
      <c r="R1347" s="247" t="s">
        <v>3556</v>
      </c>
      <c r="S1347" s="272" t="s">
        <v>537</v>
      </c>
      <c r="T1347" s="273">
        <v>8.9</v>
      </c>
      <c r="U1347" s="289">
        <v>21.59</v>
      </c>
      <c r="V1347" s="280">
        <v>65</v>
      </c>
      <c r="W1347" s="244"/>
      <c r="X1347" s="244"/>
      <c r="Y1347" s="362"/>
      <c r="Z1347" s="257">
        <f>altaz(J2000_Bas,$O1347,$M1347,DecLat,DecLong,1)</f>
        <v>-14.452179419167109</v>
      </c>
      <c r="AA1347" s="257">
        <f>altaz((J2000_Bas+(2*0.04167)),$O1347,$M1347,DecLat,DecLong,1)</f>
        <v>-35.229486989965082</v>
      </c>
      <c r="AB1347" s="257">
        <f>altaz((J2000_Bas+(4*0.04167)),$O1347,$M1347,DecLat,DecLong,1)</f>
        <v>-45.850036226159261</v>
      </c>
      <c r="AC1347" s="257">
        <f>altaz((J2000_Bas+(6*0.04167)),$O1347,$M1347,DecLat,DecLong,1)</f>
        <v>-39.321541088093348</v>
      </c>
      <c r="AD1347" s="258">
        <f>1+ transit((J2000_Bas-1),$O1347,$M1347,DecLat,DecLong)/360 + (GMTOffset/24) + (IF(DST="Y", 1, 0)/24)</f>
        <v>1.4652957467234582</v>
      </c>
      <c r="AE1347" s="259">
        <f>DATE(2001,9,21)+(M1347/360)*365 - (360*((DecLong/360)- (GMTOffset/24) ))</f>
        <v>37332.424479166664</v>
      </c>
      <c r="AF1347" s="260">
        <f>IF(DecLat&gt;0,IF((90 - (DecLat-O1347))&gt;90, (90 - (O1347-DecLat)), (90 - (DecLat-O1347))),IF((90 + (DecLat-O1347))&gt;90, (90 + (O1347-DecLat)), (90 + (DecLat-O1347))))</f>
        <v>71.991388888888892</v>
      </c>
      <c r="AG1347" s="257">
        <f>angularseperation(MoonRA,MoonDec,$M1347,$O1347)</f>
        <v>86.530578774146676</v>
      </c>
      <c r="AH1347" s="261">
        <f ca="1">MIN(100,IF($O$5&gt;80,0+30*($AG1347/100),IF($O$5&gt;70,0+50*($AG1347/100),IF($O$5&gt;60,5+50*($AG1347/100),IF($O$5&gt;50,10+60*($AG1347/100),IF($O$5&gt;40,15+70*($AG1347/100),IF($O$5&gt;30,20+70*($AG1347/100),IF($O$5&gt;20,40+55*($AG1347/100),(80+(20-$O$5)+30*($AG1347/100))))))))))</f>
        <v>100</v>
      </c>
      <c r="AI1347" s="262">
        <v>3627</v>
      </c>
      <c r="AJ1347" s="262"/>
      <c r="AK1347" s="262"/>
      <c r="AL1347" s="263">
        <v>66</v>
      </c>
      <c r="AM1347" s="264"/>
      <c r="AN1347" s="263">
        <v>16</v>
      </c>
      <c r="AO1347" s="263"/>
      <c r="AP1347" s="265"/>
      <c r="AQ1347" s="266"/>
      <c r="AR1347" s="267">
        <v>34695</v>
      </c>
      <c r="AS1347" s="263"/>
      <c r="AT1347" s="263"/>
      <c r="AU1347" s="263"/>
      <c r="AV1347" s="264"/>
      <c r="AW1347" s="263"/>
      <c r="AX1347" s="263"/>
      <c r="AY1347" s="263"/>
      <c r="AZ1347" s="263"/>
      <c r="BA1347" s="263"/>
      <c r="BB1347" s="263"/>
      <c r="BC1347" s="263"/>
      <c r="BD1347" s="264"/>
      <c r="BE1347" s="263"/>
      <c r="BF1347" s="263"/>
      <c r="BG1347" s="263"/>
      <c r="BH1347" s="263"/>
      <c r="BI1347" s="263"/>
      <c r="BJ1347" s="404">
        <f>altaz(J2000_Bas,$O1347,$M1347,DecLat,DecLong,2)</f>
        <v>295.19453531510538</v>
      </c>
      <c r="BK1347" s="378" t="s">
        <v>1392</v>
      </c>
      <c r="BL1347" s="379">
        <f>IF((2*G1347)/60&lt;0.2,0.2,(2*G1347)/60)</f>
        <v>0.33333333333333331</v>
      </c>
      <c r="BM1347" s="380">
        <f>MOD((50000+AD1347-$B$3+(0/24)),1)</f>
        <v>0.6806626764300745</v>
      </c>
      <c r="BN1347" s="381"/>
      <c r="BO1347" s="382">
        <v>1340</v>
      </c>
    </row>
    <row r="1348" spans="1:67" s="24" customFormat="1" ht="15" customHeight="1" x14ac:dyDescent="0.25">
      <c r="A1348" s="288" t="s">
        <v>1393</v>
      </c>
      <c r="B1348" s="241" t="str">
        <f>HYPERLINK(CONCATENATE($AT$3,BK1348,$AU$3),$AV$3)</f>
        <v>S</v>
      </c>
      <c r="C1348" s="242" t="str">
        <f>HYPERLINK(CONCATENATE($AT$4,BK1348,$AU$4,BL1348),$AV$4)</f>
        <v>A</v>
      </c>
      <c r="D1348" s="243" t="s">
        <v>5335</v>
      </c>
      <c r="E1348" s="244" t="s">
        <v>5185</v>
      </c>
      <c r="F1348" s="269" t="s">
        <v>4957</v>
      </c>
      <c r="G1348" s="276">
        <v>25</v>
      </c>
      <c r="H1348" s="283">
        <v>2900</v>
      </c>
      <c r="I1348" s="246">
        <v>20</v>
      </c>
      <c r="J1348" s="246">
        <v>3</v>
      </c>
      <c r="K1348" s="247" t="s">
        <v>5011</v>
      </c>
      <c r="L1348" s="248">
        <v>85118</v>
      </c>
      <c r="M1348" s="249">
        <f>15*(LEFT(TEXT($L1348,"000000"),2)+(MID(TEXT($L1348,"000000"),3,2)/60)+(RIGHT(TEXT($L1348,"000000"),2)/3600))</f>
        <v>132.82500000000002</v>
      </c>
      <c r="N1348" s="250">
        <v>114800</v>
      </c>
      <c r="O1348" s="251">
        <f>IF($N1348&gt;0,(LEFT(TEXT($N1348,"000000"),2)+(MID(TEXT($N1348,"000000"),3,2)/60)+(RIGHT(TEXT($N1348,"000000"),2)/3600)),-(MID(TEXT($N1348,"000000"),2,2)+(MID(TEXT($N1348,"000000"),4,2)/60)+(RIGHT(TEXT($N1348,"000000"),2)/3600)))</f>
        <v>11.8</v>
      </c>
      <c r="P1348" s="252" t="s">
        <v>100</v>
      </c>
      <c r="Q1348" s="253" t="s">
        <v>7130</v>
      </c>
      <c r="R1348" s="247" t="s">
        <v>3517</v>
      </c>
      <c r="S1348" s="272" t="s">
        <v>3293</v>
      </c>
      <c r="T1348" s="273">
        <v>6.9</v>
      </c>
      <c r="U1348" s="274"/>
      <c r="V1348" s="280"/>
      <c r="W1348" s="244"/>
      <c r="X1348" s="244"/>
      <c r="Y1348" s="362"/>
      <c r="Z1348" s="257">
        <f>altaz(J2000_Bas,$O1348,$M1348,DecLat,DecLong,1)</f>
        <v>-40.050001124554413</v>
      </c>
      <c r="AA1348" s="257">
        <f>altaz((J2000_Bas+(2*0.04167)),$O1348,$M1348,DecLat,DecLong,1)</f>
        <v>-47.085471714208353</v>
      </c>
      <c r="AB1348" s="257">
        <f>altaz((J2000_Bas+(4*0.04167)),$O1348,$M1348,DecLat,DecLong,1)</f>
        <v>-36.554539192223899</v>
      </c>
      <c r="AC1348" s="257">
        <f>altaz((J2000_Bas+(6*0.04167)),$O1348,$M1348,DecLat,DecLong,1)</f>
        <v>-15.661948766429846</v>
      </c>
      <c r="AD1348" s="258">
        <f>1+ transit((J2000_Bas-1),$O1348,$M1348,DecLat,DecLong)/360 + (GMTOffset/24) + (IF(DST="Y", 1, 0)/24)</f>
        <v>1.361858257067208</v>
      </c>
      <c r="AE1348" s="259">
        <f>DATE(2001,9,21)+(M1348/360)*365 - (360*((DecLong/360)- (GMTOffset/24) ))</f>
        <v>37294.669791666667</v>
      </c>
      <c r="AF1348" s="260">
        <f>IF(DecLat&gt;0,IF((90 - (DecLat-O1348))&gt;90, (90 - (O1348-DecLat)), (90 - (DecLat-O1348))),IF((90 + (DecLat-O1348))&gt;90, (90 + (O1348-DecLat)), (90 + (DecLat-O1348))))</f>
        <v>70.8</v>
      </c>
      <c r="AG1348" s="257">
        <f>angularseperation(MoonRA,MoonDec,$M1348,$O1348)</f>
        <v>118.74075180490652</v>
      </c>
      <c r="AH1348" s="261">
        <f ca="1">MIN(100,IF($O$5&gt;80,0+30*($AG1348/100),IF($O$5&gt;70,0+50*($AG1348/100),IF($O$5&gt;60,5+50*($AG1348/100),IF($O$5&gt;50,10+60*($AG1348/100),IF($O$5&gt;40,15+70*($AG1348/100),IF($O$5&gt;30,20+70*($AG1348/100),IF($O$5&gt;20,40+55*($AG1348/100),(80+(20-$O$5)+30*($AG1348/100))))))))))</f>
        <v>100</v>
      </c>
      <c r="AI1348" s="262">
        <v>2682</v>
      </c>
      <c r="AJ1348" s="262"/>
      <c r="AK1348" s="262"/>
      <c r="AL1348" s="263">
        <v>67</v>
      </c>
      <c r="AM1348" s="264"/>
      <c r="AN1348" s="263"/>
      <c r="AO1348" s="263"/>
      <c r="AP1348" s="265"/>
      <c r="AQ1348" s="266"/>
      <c r="AR1348" s="267"/>
      <c r="AS1348" s="263"/>
      <c r="AT1348" s="263"/>
      <c r="AU1348" s="263"/>
      <c r="AV1348" s="264"/>
      <c r="AW1348" s="263"/>
      <c r="AX1348" s="263"/>
      <c r="AY1348" s="263"/>
      <c r="AZ1348" s="263"/>
      <c r="BA1348" s="263"/>
      <c r="BB1348" s="263"/>
      <c r="BC1348" s="263"/>
      <c r="BD1348" s="264"/>
      <c r="BE1348" s="263"/>
      <c r="BF1348" s="263"/>
      <c r="BG1348" s="263"/>
      <c r="BH1348" s="263"/>
      <c r="BI1348" s="263"/>
      <c r="BJ1348" s="404">
        <f>altaz(J2000_Bas,$O1348,$M1348,DecLat,DecLong,2)</f>
        <v>324.75957608276343</v>
      </c>
      <c r="BK1348" s="378" t="s">
        <v>1393</v>
      </c>
      <c r="BL1348" s="379">
        <f>IF((2*G1348)/60&lt;0.2,0.2,(2*G1348)/60)</f>
        <v>0.83333333333333337</v>
      </c>
      <c r="BM1348" s="380">
        <f>MOD((50000+AD1348-$B$3+(0/24)),1)</f>
        <v>0.57722518677474</v>
      </c>
      <c r="BN1348" s="381"/>
      <c r="BO1348" s="382">
        <v>1341</v>
      </c>
    </row>
    <row r="1349" spans="1:67" s="24" customFormat="1" ht="15" customHeight="1" x14ac:dyDescent="0.25">
      <c r="A1349" s="288" t="s">
        <v>1394</v>
      </c>
      <c r="B1349" s="241" t="str">
        <f>HYPERLINK(CONCATENATE($AT$3,BK1349,$AU$3),$AV$3)</f>
        <v>S</v>
      </c>
      <c r="C1349" s="242" t="str">
        <f>HYPERLINK(CONCATENATE($AT$4,BK1349,$AU$4,BL1349),$AV$4)</f>
        <v>A</v>
      </c>
      <c r="D1349" s="243" t="s">
        <v>5335</v>
      </c>
      <c r="E1349" s="244" t="s">
        <v>5184</v>
      </c>
      <c r="F1349" s="269" t="s">
        <v>3179</v>
      </c>
      <c r="G1349" s="276">
        <v>12</v>
      </c>
      <c r="H1349" s="283">
        <v>33000</v>
      </c>
      <c r="I1349" s="246">
        <v>120</v>
      </c>
      <c r="J1349" s="246">
        <v>2</v>
      </c>
      <c r="K1349" s="247" t="s">
        <v>4958</v>
      </c>
      <c r="L1349" s="248">
        <v>123928</v>
      </c>
      <c r="M1349" s="249">
        <f>15*(LEFT(TEXT($L1349,"000000"),2)+(MID(TEXT($L1349,"000000"),3,2)/60)+(RIGHT(TEXT($L1349,"000000"),2)/3600))</f>
        <v>189.86666666666667</v>
      </c>
      <c r="N1349" s="250">
        <v>-264432</v>
      </c>
      <c r="O1349" s="251">
        <f>IF($N1349&gt;0,(LEFT(TEXT($N1349,"000000"),2)+(MID(TEXT($N1349,"000000"),3,2)/60)+(RIGHT(TEXT($N1349,"000000"),2)/3600)),-(MID(TEXT($N1349,"000000"),2,2)+(MID(TEXT($N1349,"000000"),4,2)/60)+(RIGHT(TEXT($N1349,"000000"),2)/3600)))</f>
        <v>-26.742222222222225</v>
      </c>
      <c r="P1349" s="252" t="s">
        <v>103</v>
      </c>
      <c r="Q1349" s="253"/>
      <c r="R1349" s="247" t="s">
        <v>3590</v>
      </c>
      <c r="S1349" s="272" t="s">
        <v>3293</v>
      </c>
      <c r="T1349" s="273">
        <v>7.9</v>
      </c>
      <c r="U1349" s="274"/>
      <c r="V1349" s="280"/>
      <c r="W1349" s="244"/>
      <c r="X1349" s="244"/>
      <c r="Y1349" s="362"/>
      <c r="Z1349" s="257">
        <f>altaz(J2000_Bas,$O1349,$M1349,DecLat,DecLong,1)</f>
        <v>-18.274907224418772</v>
      </c>
      <c r="AA1349" s="257">
        <f>altaz((J2000_Bas+(2*0.04167)),$O1349,$M1349,DecLat,DecLong,1)</f>
        <v>-43.16298629076222</v>
      </c>
      <c r="AB1349" s="257">
        <f>altaz((J2000_Bas+(4*0.04167)),$O1349,$M1349,DecLat,DecLong,1)</f>
        <v>-68.860991895103822</v>
      </c>
      <c r="AC1349" s="257">
        <f>altaz((J2000_Bas+(6*0.04167)),$O1349,$M1349,DecLat,DecLong,1)</f>
        <v>-82.971327807187677</v>
      </c>
      <c r="AD1349" s="258">
        <f>1+ transit((J2000_Bas-1),$O1349,$M1349,DecLat,DecLong)/360 + (GMTOffset/24) + (IF(DST="Y", 1, 0)/24)</f>
        <v>1.5203073152963746</v>
      </c>
      <c r="AE1349" s="259">
        <f>DATE(2001,9,21)+(M1349/360)*365 - (360*((DecLong/360)- (GMTOffset/24) ))</f>
        <v>37352.503703703704</v>
      </c>
      <c r="AF1349" s="260">
        <f>IF(DecLat&gt;0,IF((90 - (DecLat-O1349))&gt;90, (90 - (O1349-DecLat)), (90 - (DecLat-O1349))),IF((90 + (DecLat-O1349))&gt;90, (90 + (O1349-DecLat)), (90 + (DecLat-O1349))))</f>
        <v>32.257777777777775</v>
      </c>
      <c r="AG1349" s="257">
        <f>angularseperation(MoonRA,MoonDec,$M1349,$O1349)</f>
        <v>52.416826518767493</v>
      </c>
      <c r="AH1349" s="261">
        <f ca="1">MIN(100,IF($O$5&gt;80,0+30*($AG1349/100),IF($O$5&gt;70,0+50*($AG1349/100),IF($O$5&gt;60,5+50*($AG1349/100),IF($O$5&gt;50,10+60*($AG1349/100),IF($O$5&gt;40,15+70*($AG1349/100),IF($O$5&gt;30,20+70*($AG1349/100),IF($O$5&gt;20,40+55*($AG1349/100),(80+(20-$O$5)+30*($AG1349/100))))))))))</f>
        <v>98.996108299780673</v>
      </c>
      <c r="AI1349" s="262">
        <v>4590</v>
      </c>
      <c r="AJ1349" s="262"/>
      <c r="AK1349" s="262"/>
      <c r="AL1349" s="263">
        <v>68</v>
      </c>
      <c r="AM1349" s="264"/>
      <c r="AN1349" s="263"/>
      <c r="AO1349" s="263"/>
      <c r="AP1349" s="265"/>
      <c r="AQ1349" s="266"/>
      <c r="AR1349" s="267"/>
      <c r="AS1349" s="263"/>
      <c r="AT1349" s="263"/>
      <c r="AU1349" s="263"/>
      <c r="AV1349" s="264"/>
      <c r="AW1349" s="263"/>
      <c r="AX1349" s="263"/>
      <c r="AY1349" s="263"/>
      <c r="AZ1349" s="263"/>
      <c r="BA1349" s="263"/>
      <c r="BB1349" s="263"/>
      <c r="BC1349" s="263"/>
      <c r="BD1349" s="264"/>
      <c r="BE1349" s="263"/>
      <c r="BF1349" s="263"/>
      <c r="BG1349" s="263"/>
      <c r="BH1349" s="263"/>
      <c r="BI1349" s="263"/>
      <c r="BJ1349" s="404">
        <f>altaz(J2000_Bas,$O1349,$M1349,DecLat,DecLong,2)</f>
        <v>249.24219365058428</v>
      </c>
      <c r="BK1349" s="378" t="s">
        <v>1394</v>
      </c>
      <c r="BL1349" s="379">
        <f>IF((2*G1349)/60&lt;0.2,0.2,(2*G1349)/60)</f>
        <v>0.4</v>
      </c>
      <c r="BM1349" s="380">
        <f>MOD((50000+AD1349-$B$3+(0/24)),1)</f>
        <v>0.73567424499924527</v>
      </c>
      <c r="BN1349" s="381"/>
      <c r="BO1349" s="382">
        <v>1342</v>
      </c>
    </row>
    <row r="1350" spans="1:67" s="24" customFormat="1" ht="15" customHeight="1" x14ac:dyDescent="0.25">
      <c r="A1350" s="288" t="s">
        <v>1395</v>
      </c>
      <c r="B1350" s="241" t="str">
        <f>HYPERLINK(CONCATENATE($AT$3,BK1350,$AU$3),$AV$3)</f>
        <v>S</v>
      </c>
      <c r="C1350" s="242" t="str">
        <f>HYPERLINK(CONCATENATE($AT$4,BK1350,$AU$4,BL1350),$AV$4)</f>
        <v>A</v>
      </c>
      <c r="D1350" s="243" t="s">
        <v>5335</v>
      </c>
      <c r="E1350" s="244" t="s">
        <v>5184</v>
      </c>
      <c r="F1350" s="269" t="s">
        <v>3316</v>
      </c>
      <c r="G1350" s="273">
        <v>7</v>
      </c>
      <c r="H1350" s="283">
        <v>29500</v>
      </c>
      <c r="I1350" s="246">
        <v>60</v>
      </c>
      <c r="J1350" s="246">
        <v>2</v>
      </c>
      <c r="K1350" s="247" t="s">
        <v>4959</v>
      </c>
      <c r="L1350" s="248">
        <v>183123</v>
      </c>
      <c r="M1350" s="249">
        <f>15*(LEFT(TEXT($L1350,"000000"),2)+(MID(TEXT($L1350,"000000"),3,2)/60)+(RIGHT(TEXT($L1350,"000000"),2)/3600))</f>
        <v>277.8458333333333</v>
      </c>
      <c r="N1350" s="250">
        <v>-322051</v>
      </c>
      <c r="O1350" s="251">
        <f>IF($N1350&gt;0,(LEFT(TEXT($N1350,"000000"),2)+(MID(TEXT($N1350,"000000"),3,2)/60)+(RIGHT(TEXT($N1350,"000000"),2)/3600)),-(MID(TEXT($N1350,"000000"),2,2)+(MID(TEXT($N1350,"000000"),4,2)/60)+(RIGHT(TEXT($N1350,"000000"),2)/3600)))</f>
        <v>-32.347500000000004</v>
      </c>
      <c r="P1350" s="252" t="s">
        <v>119</v>
      </c>
      <c r="Q1350" s="253"/>
      <c r="R1350" s="247" t="s">
        <v>3667</v>
      </c>
      <c r="S1350" s="272" t="s">
        <v>3293</v>
      </c>
      <c r="T1350" s="273">
        <v>8.3000000000000007</v>
      </c>
      <c r="U1350" s="274"/>
      <c r="V1350" s="280"/>
      <c r="W1350" s="244"/>
      <c r="X1350" s="244"/>
      <c r="Y1350" s="362"/>
      <c r="Z1350" s="257">
        <f>altaz(J2000_Bas,$O1350,$M1350,DecLat,DecLong,1)</f>
        <v>26.183812882260128</v>
      </c>
      <c r="AA1350" s="257">
        <f>altaz((J2000_Bas+(2*0.04167)),$O1350,$M1350,DecLat,DecLong,1)</f>
        <v>17.048617756371442</v>
      </c>
      <c r="AB1350" s="257">
        <f>altaz((J2000_Bas+(4*0.04167)),$O1350,$M1350,DecLat,DecLong,1)</f>
        <v>-0.46548494245134608</v>
      </c>
      <c r="AC1350" s="257">
        <f>altaz((J2000_Bas+(6*0.04167)),$O1350,$M1350,DecLat,DecLong,1)</f>
        <v>-22.425952515259791</v>
      </c>
      <c r="AD1350" s="258">
        <f>1+ transit((J2000_Bas-1),$O1350,$M1350,DecLat,DecLong)/360 + (GMTOffset/24) + (IF(DST="Y", 1, 0)/24)</f>
        <v>1.7646938649317914</v>
      </c>
      <c r="AE1350" s="259">
        <f>DATE(2001,9,21)+(M1350/360)*365 - (360*((DecLong/360)- (GMTOffset/24) ))</f>
        <v>37441.70480324074</v>
      </c>
      <c r="AF1350" s="260">
        <f>IF(DecLat&gt;0,IF((90 - (DecLat-O1350))&gt;90, (90 - (O1350-DecLat)), (90 - (DecLat-O1350))),IF((90 + (DecLat-O1350))&gt;90, (90 + (O1350-DecLat)), (90 + (DecLat-O1350))))</f>
        <v>26.652499999999996</v>
      </c>
      <c r="AG1350" s="257">
        <f>angularseperation(MoonRA,MoonDec,$M1350,$O1350)</f>
        <v>25.313654391274358</v>
      </c>
      <c r="AH1350" s="261">
        <f ca="1">MIN(100,IF($O$5&gt;80,0+30*($AG1350/100),IF($O$5&gt;70,0+50*($AG1350/100),IF($O$5&gt;60,5+50*($AG1350/100),IF($O$5&gt;50,10+60*($AG1350/100),IF($O$5&gt;40,15+70*($AG1350/100),IF($O$5&gt;30,20+70*($AG1350/100),IF($O$5&gt;20,40+55*($AG1350/100),(80+(20-$O$5)+30*($AG1350/100))))))))))</f>
        <v>90.865156661532737</v>
      </c>
      <c r="AI1350" s="262">
        <v>6637</v>
      </c>
      <c r="AJ1350" s="262"/>
      <c r="AK1350" s="262"/>
      <c r="AL1350" s="263">
        <v>69</v>
      </c>
      <c r="AM1350" s="264"/>
      <c r="AN1350" s="263"/>
      <c r="AO1350" s="263"/>
      <c r="AP1350" s="265"/>
      <c r="AQ1350" s="266"/>
      <c r="AR1350" s="267"/>
      <c r="AS1350" s="263"/>
      <c r="AT1350" s="263"/>
      <c r="AU1350" s="263"/>
      <c r="AV1350" s="264"/>
      <c r="AW1350" s="263"/>
      <c r="AX1350" s="263"/>
      <c r="AY1350" s="263"/>
      <c r="AZ1350" s="263"/>
      <c r="BA1350" s="263"/>
      <c r="BB1350" s="263"/>
      <c r="BC1350" s="263"/>
      <c r="BD1350" s="264"/>
      <c r="BE1350" s="263"/>
      <c r="BF1350" s="263"/>
      <c r="BG1350" s="263"/>
      <c r="BH1350" s="263"/>
      <c r="BI1350" s="263"/>
      <c r="BJ1350" s="404">
        <f>altaz(J2000_Bas,$O1350,$M1350,DecLat,DecLong,2)</f>
        <v>187.67603592703477</v>
      </c>
      <c r="BK1350" s="378" t="s">
        <v>1395</v>
      </c>
      <c r="BL1350" s="379">
        <f>IF((2*G1350)/60&lt;0.2,0.2,(2*G1350)/60)</f>
        <v>0.23333333333333334</v>
      </c>
      <c r="BM1350" s="380">
        <f>MOD((50000+AD1350-$B$3+(0/24)),1)</f>
        <v>0.98006079463812057</v>
      </c>
      <c r="BN1350" s="381"/>
      <c r="BO1350" s="382">
        <v>1343</v>
      </c>
    </row>
    <row r="1351" spans="1:67" s="24" customFormat="1" ht="15" customHeight="1" x14ac:dyDescent="0.25">
      <c r="A1351" s="288" t="s">
        <v>1396</v>
      </c>
      <c r="B1351" s="241" t="str">
        <f>HYPERLINK(CONCATENATE($AT$3,BK1351,$AU$3),$AV$3)</f>
        <v>S</v>
      </c>
      <c r="C1351" s="242" t="str">
        <f>HYPERLINK(CONCATENATE($AT$4,BK1351,$AU$4,BL1351),$AV$4)</f>
        <v>A</v>
      </c>
      <c r="D1351" s="243" t="s">
        <v>5335</v>
      </c>
      <c r="E1351" s="244" t="s">
        <v>5184</v>
      </c>
      <c r="F1351" s="269" t="s">
        <v>3316</v>
      </c>
      <c r="G1351" s="273">
        <v>8</v>
      </c>
      <c r="H1351" s="283">
        <v>30000</v>
      </c>
      <c r="I1351" s="246">
        <v>70</v>
      </c>
      <c r="J1351" s="246">
        <v>3</v>
      </c>
      <c r="K1351" s="247" t="s">
        <v>4960</v>
      </c>
      <c r="L1351" s="248">
        <v>184312</v>
      </c>
      <c r="M1351" s="249">
        <f>15*(LEFT(TEXT($L1351,"000000"),2)+(MID(TEXT($L1351,"000000"),3,2)/60)+(RIGHT(TEXT($L1351,"000000"),2)/3600))</f>
        <v>280.79999999999995</v>
      </c>
      <c r="N1351" s="250">
        <v>-321727</v>
      </c>
      <c r="O1351" s="251">
        <f>IF($N1351&gt;0,(LEFT(TEXT($N1351,"000000"),2)+(MID(TEXT($N1351,"000000"),3,2)/60)+(RIGHT(TEXT($N1351,"000000"),2)/3600)),-(MID(TEXT($N1351,"000000"),2,2)+(MID(TEXT($N1351,"000000"),4,2)/60)+(RIGHT(TEXT($N1351,"000000"),2)/3600)))</f>
        <v>-32.290833333333332</v>
      </c>
      <c r="P1351" s="252" t="s">
        <v>119</v>
      </c>
      <c r="Q1351" s="253"/>
      <c r="R1351" s="247" t="s">
        <v>3670</v>
      </c>
      <c r="S1351" s="272" t="s">
        <v>3293</v>
      </c>
      <c r="T1351" s="273">
        <v>7.8</v>
      </c>
      <c r="U1351" s="274"/>
      <c r="V1351" s="280"/>
      <c r="W1351" s="244"/>
      <c r="X1351" s="244"/>
      <c r="Y1351" s="362"/>
      <c r="Z1351" s="257">
        <f>altaz(J2000_Bas,$O1351,$M1351,DecLat,DecLong,1)</f>
        <v>26.517858212721883</v>
      </c>
      <c r="AA1351" s="257">
        <f>altaz((J2000_Bas+(2*0.04167)),$O1351,$M1351,DecLat,DecLong,1)</f>
        <v>18.441015351691071</v>
      </c>
      <c r="AB1351" s="257">
        <f>altaz((J2000_Bas+(4*0.04167)),$O1351,$M1351,DecLat,DecLong,1)</f>
        <v>1.5369613090563581</v>
      </c>
      <c r="AC1351" s="257">
        <f>altaz((J2000_Bas+(6*0.04167)),$O1351,$M1351,DecLat,DecLong,1)</f>
        <v>-20.123309459877039</v>
      </c>
      <c r="AD1351" s="258">
        <f>1+ transit((J2000_Bas-1),$O1351,$M1351,DecLat,DecLong)/360 + (GMTOffset/24) + (IF(DST="Y", 1, 0)/24)</f>
        <v>1.772899882629708</v>
      </c>
      <c r="AE1351" s="259">
        <f>DATE(2001,9,21)+(M1351/360)*365 - (360*((DecLong/360)- (GMTOffset/24) ))</f>
        <v>37444.699999999997</v>
      </c>
      <c r="AF1351" s="260">
        <f>IF(DecLat&gt;0,IF((90 - (DecLat-O1351))&gt;90, (90 - (O1351-DecLat)), (90 - (DecLat-O1351))),IF((90 + (DecLat-O1351))&gt;90, (90 + (O1351-DecLat)), (90 + (DecLat-O1351))))</f>
        <v>26.709166666666668</v>
      </c>
      <c r="AG1351" s="257">
        <f>angularseperation(MoonRA,MoonDec,$M1351,$O1351)</f>
        <v>27.801970614915142</v>
      </c>
      <c r="AH1351" s="261">
        <f ca="1">MIN(100,IF($O$5&gt;80,0+30*($AG1351/100),IF($O$5&gt;70,0+50*($AG1351/100),IF($O$5&gt;60,5+50*($AG1351/100),IF($O$5&gt;50,10+60*($AG1351/100),IF($O$5&gt;40,15+70*($AG1351/100),IF($O$5&gt;30,20+70*($AG1351/100),IF($O$5&gt;20,40+55*($AG1351/100),(80+(20-$O$5)+30*($AG1351/100))))))))))</f>
        <v>91.611651528624975</v>
      </c>
      <c r="AI1351" s="262">
        <v>6681</v>
      </c>
      <c r="AJ1351" s="262"/>
      <c r="AK1351" s="262"/>
      <c r="AL1351" s="263">
        <v>70</v>
      </c>
      <c r="AM1351" s="264"/>
      <c r="AN1351" s="263"/>
      <c r="AO1351" s="263"/>
      <c r="AP1351" s="265"/>
      <c r="AQ1351" s="266"/>
      <c r="AR1351" s="267"/>
      <c r="AS1351" s="263"/>
      <c r="AT1351" s="263"/>
      <c r="AU1351" s="263"/>
      <c r="AV1351" s="264"/>
      <c r="AW1351" s="263"/>
      <c r="AX1351" s="263"/>
      <c r="AY1351" s="263"/>
      <c r="AZ1351" s="263"/>
      <c r="BA1351" s="263"/>
      <c r="BB1351" s="263"/>
      <c r="BC1351" s="263"/>
      <c r="BD1351" s="264"/>
      <c r="BE1351" s="263"/>
      <c r="BF1351" s="263"/>
      <c r="BG1351" s="263"/>
      <c r="BH1351" s="263"/>
      <c r="BI1351" s="263"/>
      <c r="BJ1351" s="404">
        <f>altaz(J2000_Bas,$O1351,$M1351,DecLat,DecLong,2)</f>
        <v>184.91439280252899</v>
      </c>
      <c r="BK1351" s="378" t="s">
        <v>1396</v>
      </c>
      <c r="BL1351" s="379">
        <f>IF((2*G1351)/60&lt;0.2,0.2,(2*G1351)/60)</f>
        <v>0.26666666666666666</v>
      </c>
      <c r="BM1351" s="380">
        <f>MOD((50000+AD1351-$B$3+(0/24)),1)</f>
        <v>0.98826681233185809</v>
      </c>
      <c r="BN1351" s="381"/>
      <c r="BO1351" s="382">
        <v>1344</v>
      </c>
    </row>
    <row r="1352" spans="1:67" s="24" customFormat="1" ht="15" customHeight="1" x14ac:dyDescent="0.25">
      <c r="A1352" s="288" t="s">
        <v>1397</v>
      </c>
      <c r="B1352" s="241" t="str">
        <f>HYPERLINK(CONCATENATE($AT$3,BK1352,$AU$3),$AV$3)</f>
        <v>S</v>
      </c>
      <c r="C1352" s="242" t="str">
        <f>HYPERLINK(CONCATENATE($AT$4,BK1352,$AU$4,BL1352),$AV$4)</f>
        <v>A</v>
      </c>
      <c r="D1352" s="243" t="s">
        <v>5335</v>
      </c>
      <c r="E1352" s="244" t="s">
        <v>5184</v>
      </c>
      <c r="F1352" s="269" t="s">
        <v>3315</v>
      </c>
      <c r="G1352" s="273">
        <v>7</v>
      </c>
      <c r="H1352" s="283">
        <v>13000</v>
      </c>
      <c r="I1352" s="246">
        <v>26</v>
      </c>
      <c r="J1352" s="246">
        <v>2</v>
      </c>
      <c r="K1352" s="247" t="s">
        <v>4961</v>
      </c>
      <c r="L1352" s="248">
        <v>195346</v>
      </c>
      <c r="M1352" s="249">
        <f>15*(LEFT(TEXT($L1352,"000000"),2)+(MID(TEXT($L1352,"000000"),3,2)/60)+(RIGHT(TEXT($L1352,"000000"),2)/3600))</f>
        <v>298.44166666666666</v>
      </c>
      <c r="N1352" s="250">
        <v>184642</v>
      </c>
      <c r="O1352" s="251">
        <f>IF($N1352&gt;0,(LEFT(TEXT($N1352,"000000"),2)+(MID(TEXT($N1352,"000000"),3,2)/60)+(RIGHT(TEXT($N1352,"000000"),2)/3600)),-(MID(TEXT($N1352,"000000"),2,2)+(MID(TEXT($N1352,"000000"),4,2)/60)+(RIGHT(TEXT($N1352,"000000"),2)/3600)))</f>
        <v>18.778333333333332</v>
      </c>
      <c r="P1352" s="252" t="s">
        <v>139</v>
      </c>
      <c r="Q1352" s="253" t="s">
        <v>7093</v>
      </c>
      <c r="R1352" s="247" t="s">
        <v>3676</v>
      </c>
      <c r="S1352" s="272" t="s">
        <v>3293</v>
      </c>
      <c r="T1352" s="273">
        <v>8.4</v>
      </c>
      <c r="U1352" s="274"/>
      <c r="V1352" s="280"/>
      <c r="W1352" s="244"/>
      <c r="X1352" s="244"/>
      <c r="Y1352" s="362"/>
      <c r="Z1352" s="257">
        <f>altaz(J2000_Bas,$O1352,$M1352,DecLat,DecLong,1)</f>
        <v>73.392582172900902</v>
      </c>
      <c r="AA1352" s="257">
        <f>altaz((J2000_Bas+(2*0.04167)),$O1352,$M1352,DecLat,DecLong,1)</f>
        <v>69.909810417143134</v>
      </c>
      <c r="AB1352" s="257">
        <f>altaz((J2000_Bas+(4*0.04167)),$O1352,$M1352,DecLat,DecLong,1)</f>
        <v>45.369912796354839</v>
      </c>
      <c r="AC1352" s="257">
        <f>altaz((J2000_Bas+(6*0.04167)),$O1352,$M1352,DecLat,DecLong,1)</f>
        <v>19.699769915960626</v>
      </c>
      <c r="AD1352" s="258">
        <f>1+ transit((J2000_Bas-1),$O1352,$M1352,DecLat,DecLong)/360 + (GMTOffset/24) + (IF(DST="Y", 1, 0)/24)</f>
        <v>1.8219045073588747</v>
      </c>
      <c r="AE1352" s="259">
        <f>DATE(2001,9,21)+(M1352/360)*365 - (360*((DecLong/360)- (GMTOffset/24) ))</f>
        <v>37462.586689814816</v>
      </c>
      <c r="AF1352" s="260">
        <f>IF(DecLat&gt;0,IF((90 - (DecLat-O1352))&gt;90, (90 - (O1352-DecLat)), (90 - (DecLat-O1352))),IF((90 + (DecLat-O1352))&gt;90, (90 + (O1352-DecLat)), (90 + (DecLat-O1352))))</f>
        <v>77.778333333333336</v>
      </c>
      <c r="AG1352" s="257">
        <f>angularseperation(MoonRA,MoonDec,$M1352,$O1352)</f>
        <v>66.156608216234616</v>
      </c>
      <c r="AH1352" s="261">
        <f ca="1">MIN(100,IF($O$5&gt;80,0+30*($AG1352/100),IF($O$5&gt;70,0+50*($AG1352/100),IF($O$5&gt;60,5+50*($AG1352/100),IF($O$5&gt;50,10+60*($AG1352/100),IF($O$5&gt;40,15+70*($AG1352/100),IF($O$5&gt;30,20+70*($AG1352/100),IF($O$5&gt;20,40+55*($AG1352/100),(80+(20-$O$5)+30*($AG1352/100))))))))))</f>
        <v>100</v>
      </c>
      <c r="AI1352" s="262">
        <v>6838</v>
      </c>
      <c r="AJ1352" s="262"/>
      <c r="AK1352" s="262"/>
      <c r="AL1352" s="263">
        <v>71</v>
      </c>
      <c r="AM1352" s="264"/>
      <c r="AN1352" s="263"/>
      <c r="AO1352" s="263"/>
      <c r="AP1352" s="265"/>
      <c r="AQ1352" s="266"/>
      <c r="AR1352" s="267"/>
      <c r="AS1352" s="263"/>
      <c r="AT1352" s="263"/>
      <c r="AU1352" s="263"/>
      <c r="AV1352" s="264"/>
      <c r="AW1352" s="263"/>
      <c r="AX1352" s="263"/>
      <c r="AY1352" s="263"/>
      <c r="AZ1352" s="263"/>
      <c r="BA1352" s="263"/>
      <c r="BB1352" s="263"/>
      <c r="BC1352" s="263"/>
      <c r="BD1352" s="264"/>
      <c r="BE1352" s="263"/>
      <c r="BF1352" s="263"/>
      <c r="BG1352" s="263"/>
      <c r="BH1352" s="263"/>
      <c r="BI1352" s="263"/>
      <c r="BJ1352" s="404">
        <f>altaz(J2000_Bas,$O1352,$M1352,DecLat,DecLong,2)</f>
        <v>134.47729995197415</v>
      </c>
      <c r="BK1352" s="378" t="s">
        <v>1397</v>
      </c>
      <c r="BL1352" s="379">
        <f>IF((2*G1352)/60&lt;0.2,0.2,(2*G1352)/60)</f>
        <v>0.23333333333333334</v>
      </c>
      <c r="BM1352" s="380">
        <f>MOD((50000+AD1352-$B$3+(0/24)),1)</f>
        <v>3.7271437060553581E-2</v>
      </c>
      <c r="BN1352" s="381"/>
      <c r="BO1352" s="382">
        <v>1345</v>
      </c>
    </row>
    <row r="1353" spans="1:67" s="24" customFormat="1" ht="15" customHeight="1" x14ac:dyDescent="0.25">
      <c r="A1353" s="288" t="s">
        <v>1398</v>
      </c>
      <c r="B1353" s="241" t="str">
        <f>HYPERLINK(CONCATENATE($AT$3,BK1353,$AU$3),$AV$3)</f>
        <v>S</v>
      </c>
      <c r="C1353" s="242" t="str">
        <f>HYPERLINK(CONCATENATE($AT$4,BK1353,$AU$4,BL1353),$AV$4)</f>
        <v>A</v>
      </c>
      <c r="D1353" s="243" t="s">
        <v>5335</v>
      </c>
      <c r="E1353" s="244" t="s">
        <v>5184</v>
      </c>
      <c r="F1353" s="269" t="s">
        <v>3320</v>
      </c>
      <c r="G1353" s="273">
        <v>6</v>
      </c>
      <c r="H1353" s="283">
        <v>50000</v>
      </c>
      <c r="I1353" s="246">
        <v>86</v>
      </c>
      <c r="J1353" s="246">
        <v>3</v>
      </c>
      <c r="K1353" s="247" t="s">
        <v>4962</v>
      </c>
      <c r="L1353" s="248">
        <v>205328</v>
      </c>
      <c r="M1353" s="249">
        <f>15*(LEFT(TEXT($L1353,"000000"),2)+(MID(TEXT($L1353,"000000"),3,2)/60)+(RIGHT(TEXT($L1353,"000000"),2)/3600))</f>
        <v>313.36666666666667</v>
      </c>
      <c r="N1353" s="250">
        <v>-123214</v>
      </c>
      <c r="O1353" s="251">
        <f>IF($N1353&gt;0,(LEFT(TEXT($N1353,"000000"),2)+(MID(TEXT($N1353,"000000"),3,2)/60)+(RIGHT(TEXT($N1353,"000000"),2)/3600)),-(MID(TEXT($N1353,"000000"),2,2)+(MID(TEXT($N1353,"000000"),4,2)/60)+(RIGHT(TEXT($N1353,"000000"),2)/3600)))</f>
        <v>-12.537222222222223</v>
      </c>
      <c r="P1353" s="252" t="s">
        <v>3119</v>
      </c>
      <c r="Q1353" s="253"/>
      <c r="R1353" s="247" t="s">
        <v>3679</v>
      </c>
      <c r="S1353" s="272" t="s">
        <v>3293</v>
      </c>
      <c r="T1353" s="273">
        <v>9.1999999999999993</v>
      </c>
      <c r="U1353" s="274"/>
      <c r="V1353" s="280"/>
      <c r="W1353" s="244"/>
      <c r="X1353" s="244"/>
      <c r="Y1353" s="362"/>
      <c r="Z1353" s="257">
        <f>altaz(J2000_Bas,$O1353,$M1353,DecLat,DecLong,1)</f>
        <v>39.146137371159938</v>
      </c>
      <c r="AA1353" s="257">
        <f>altaz((J2000_Bas+(2*0.04167)),$O1353,$M1353,DecLat,DecLong,1)</f>
        <v>46.384393798131626</v>
      </c>
      <c r="AB1353" s="257">
        <f>altaz((J2000_Bas+(4*0.04167)),$O1353,$M1353,DecLat,DecLong,1)</f>
        <v>36.262434730539127</v>
      </c>
      <c r="AC1353" s="257">
        <f>altaz((J2000_Bas+(6*0.04167)),$O1353,$M1353,DecLat,DecLong,1)</f>
        <v>15.634595954919993</v>
      </c>
      <c r="AD1353" s="258">
        <f>1+ transit((J2000_Bas-1),$O1353,$M1353,DecLat,DecLong)/360 + (GMTOffset/24) + (IF(DST="Y", 1, 0)/24)</f>
        <v>1.8633628365463746</v>
      </c>
      <c r="AE1353" s="259">
        <f>DATE(2001,9,21)+(M1353/360)*365 - (360*((DecLong/360)- (GMTOffset/24) ))</f>
        <v>37477.718981481485</v>
      </c>
      <c r="AF1353" s="260">
        <f>IF(DecLat&gt;0,IF((90 - (DecLat-O1353))&gt;90, (90 - (O1353-DecLat)), (90 - (DecLat-O1353))),IF((90 + (DecLat-O1353))&gt;90, (90 + (O1353-DecLat)), (90 + (DecLat-O1353))))</f>
        <v>46.462777777777774</v>
      </c>
      <c r="AG1353" s="257">
        <f>angularseperation(MoonRA,MoonDec,$M1353,$O1353)</f>
        <v>61.437058189530774</v>
      </c>
      <c r="AH1353" s="261">
        <f ca="1">MIN(100,IF($O$5&gt;80,0+30*($AG1353/100),IF($O$5&gt;70,0+50*($AG1353/100),IF($O$5&gt;60,5+50*($AG1353/100),IF($O$5&gt;50,10+60*($AG1353/100),IF($O$5&gt;40,15+70*($AG1353/100),IF($O$5&gt;30,20+70*($AG1353/100),IF($O$5&gt;20,40+55*($AG1353/100),(80+(20-$O$5)+30*($AG1353/100))))))))))</f>
        <v>100</v>
      </c>
      <c r="AI1353" s="262">
        <v>6981</v>
      </c>
      <c r="AJ1353" s="262"/>
      <c r="AK1353" s="262"/>
      <c r="AL1353" s="263">
        <v>72</v>
      </c>
      <c r="AM1353" s="264"/>
      <c r="AN1353" s="263"/>
      <c r="AO1353" s="263"/>
      <c r="AP1353" s="265"/>
      <c r="AQ1353" s="266"/>
      <c r="AR1353" s="267"/>
      <c r="AS1353" s="263"/>
      <c r="AT1353" s="263"/>
      <c r="AU1353" s="263"/>
      <c r="AV1353" s="264"/>
      <c r="AW1353" s="263"/>
      <c r="AX1353" s="263"/>
      <c r="AY1353" s="263"/>
      <c r="AZ1353" s="263"/>
      <c r="BA1353" s="263"/>
      <c r="BB1353" s="263"/>
      <c r="BC1353" s="263"/>
      <c r="BD1353" s="264"/>
      <c r="BE1353" s="263"/>
      <c r="BF1353" s="263"/>
      <c r="BG1353" s="263"/>
      <c r="BH1353" s="263"/>
      <c r="BI1353" s="263"/>
      <c r="BJ1353" s="404">
        <f>altaz(J2000_Bas,$O1353,$M1353,DecLat,DecLong,2)</f>
        <v>144.65185770345644</v>
      </c>
      <c r="BK1353" s="378" t="s">
        <v>1398</v>
      </c>
      <c r="BL1353" s="379">
        <f>IF((2*G1353)/60&lt;0.2,0.2,(2*G1353)/60)</f>
        <v>0.2</v>
      </c>
      <c r="BM1353" s="380">
        <f>MOD((50000+AD1353-$B$3+(0/24)),1)</f>
        <v>7.8729766253673006E-2</v>
      </c>
      <c r="BN1353" s="381"/>
      <c r="BO1353" s="382">
        <v>1346</v>
      </c>
    </row>
    <row r="1354" spans="1:67" s="24" customFormat="1" ht="15" customHeight="1" x14ac:dyDescent="0.25">
      <c r="A1354" s="288" t="s">
        <v>1399</v>
      </c>
      <c r="B1354" s="241" t="str">
        <f>HYPERLINK(CONCATENATE($AT$3,BK1354,$AU$3),$AV$3)</f>
        <v>S</v>
      </c>
      <c r="C1354" s="242" t="str">
        <f>HYPERLINK(CONCATENATE($AT$4,BK1354,$AU$4,BL1354),$AV$4)</f>
        <v>A</v>
      </c>
      <c r="D1354" s="243" t="s">
        <v>5335</v>
      </c>
      <c r="E1354" s="244" t="s">
        <v>5335</v>
      </c>
      <c r="F1354" s="269"/>
      <c r="G1354" s="273">
        <v>3</v>
      </c>
      <c r="H1354" s="283">
        <v>2200</v>
      </c>
      <c r="I1354" s="279">
        <v>2</v>
      </c>
      <c r="J1354" s="246">
        <v>1</v>
      </c>
      <c r="K1354" s="247" t="s">
        <v>4963</v>
      </c>
      <c r="L1354" s="248">
        <v>205856</v>
      </c>
      <c r="M1354" s="249">
        <f>15*(LEFT(TEXT($L1354,"000000"),2)+(MID(TEXT($L1354,"000000"),3,2)/60)+(RIGHT(TEXT($L1354,"000000"),2)/3600))</f>
        <v>314.73333333333329</v>
      </c>
      <c r="N1354" s="250">
        <v>-123807</v>
      </c>
      <c r="O1354" s="251">
        <f>IF($N1354&gt;0,(LEFT(TEXT($N1354,"000000"),2)+(MID(TEXT($N1354,"000000"),3,2)/60)+(RIGHT(TEXT($N1354,"000000"),2)/3600)),-(MID(TEXT($N1354,"000000"),2,2)+(MID(TEXT($N1354,"000000"),4,2)/60)+(RIGHT(TEXT($N1354,"000000"),2)/3600)))</f>
        <v>-12.635277777777777</v>
      </c>
      <c r="P1354" s="252" t="s">
        <v>3119</v>
      </c>
      <c r="Q1354" s="253"/>
      <c r="R1354" s="247" t="s">
        <v>3680</v>
      </c>
      <c r="S1354" s="272" t="s">
        <v>3293</v>
      </c>
      <c r="T1354" s="273">
        <v>8.9</v>
      </c>
      <c r="U1354" s="274"/>
      <c r="V1354" s="280"/>
      <c r="W1354" s="244"/>
      <c r="X1354" s="244"/>
      <c r="Y1354" s="362"/>
      <c r="Z1354" s="257">
        <f>altaz(J2000_Bas,$O1354,$M1354,DecLat,DecLong,1)</f>
        <v>38.372805087454829</v>
      </c>
      <c r="AA1354" s="257">
        <f>altaz((J2000_Bas+(2*0.04167)),$O1354,$M1354,DecLat,DecLong,1)</f>
        <v>46.345339644651027</v>
      </c>
      <c r="AB1354" s="257">
        <f>altaz((J2000_Bas+(4*0.04167)),$O1354,$M1354,DecLat,DecLong,1)</f>
        <v>36.938945770474341</v>
      </c>
      <c r="AC1354" s="257">
        <f>altaz((J2000_Bas+(6*0.04167)),$O1354,$M1354,DecLat,DecLong,1)</f>
        <v>16.627245563312275</v>
      </c>
      <c r="AD1354" s="258">
        <f>1+ transit((J2000_Bas-1),$O1354,$M1354,DecLat,DecLong)/360 + (GMTOffset/24) + (IF(DST="Y", 1, 0)/24)</f>
        <v>1.8671591324630412</v>
      </c>
      <c r="AE1354" s="259">
        <f>DATE(2001,9,21)+(M1354/360)*365 - (360*((DecLong/360)- (GMTOffset/24) ))</f>
        <v>37479.104629629626</v>
      </c>
      <c r="AF1354" s="260">
        <f>IF(DecLat&gt;0,IF((90 - (DecLat-O1354))&gt;90, (90 - (O1354-DecLat)), (90 - (DecLat-O1354))),IF((90 + (DecLat-O1354))&gt;90, (90 + (O1354-DecLat)), (90 + (DecLat-O1354))))</f>
        <v>46.364722222222227</v>
      </c>
      <c r="AG1354" s="257">
        <f>angularseperation(MoonRA,MoonDec,$M1354,$O1354)</f>
        <v>62.613660054374606</v>
      </c>
      <c r="AH1354" s="261">
        <f ca="1">MIN(100,IF($O$5&gt;80,0+30*($AG1354/100),IF($O$5&gt;70,0+50*($AG1354/100),IF($O$5&gt;60,5+50*($AG1354/100),IF($O$5&gt;50,10+60*($AG1354/100),IF($O$5&gt;40,15+70*($AG1354/100),IF($O$5&gt;30,20+70*($AG1354/100),IF($O$5&gt;20,40+55*($AG1354/100),(80+(20-$O$5)+30*($AG1354/100))))))))))</f>
        <v>100</v>
      </c>
      <c r="AI1354" s="262">
        <v>6994</v>
      </c>
      <c r="AJ1354" s="262"/>
      <c r="AK1354" s="262"/>
      <c r="AL1354" s="263">
        <v>73</v>
      </c>
      <c r="AM1354" s="264"/>
      <c r="AN1354" s="263"/>
      <c r="AO1354" s="263"/>
      <c r="AP1354" s="265"/>
      <c r="AQ1354" s="266"/>
      <c r="AR1354" s="267"/>
      <c r="AS1354" s="263"/>
      <c r="AT1354" s="263"/>
      <c r="AU1354" s="263"/>
      <c r="AV1354" s="264"/>
      <c r="AW1354" s="263"/>
      <c r="AX1354" s="263"/>
      <c r="AY1354" s="263"/>
      <c r="AZ1354" s="263"/>
      <c r="BA1354" s="263"/>
      <c r="BB1354" s="263"/>
      <c r="BC1354" s="263"/>
      <c r="BD1354" s="264"/>
      <c r="BE1354" s="263"/>
      <c r="BF1354" s="263"/>
      <c r="BG1354" s="263"/>
      <c r="BH1354" s="263"/>
      <c r="BI1354" s="263"/>
      <c r="BJ1354" s="404">
        <f>altaz(J2000_Bas,$O1354,$M1354,DecLat,DecLong,2)</f>
        <v>143.25248226791783</v>
      </c>
      <c r="BK1354" s="378" t="s">
        <v>1399</v>
      </c>
      <c r="BL1354" s="379">
        <f>IF((2*G1354)/60&lt;0.2,0.2,(2*G1354)/60)</f>
        <v>0.2</v>
      </c>
      <c r="BM1354" s="380">
        <f>MOD((50000+AD1354-$B$3+(0/24)),1)</f>
        <v>8.2526062164106406E-2</v>
      </c>
      <c r="BN1354" s="381"/>
      <c r="BO1354" s="382">
        <v>1347</v>
      </c>
    </row>
    <row r="1355" spans="1:67" s="24" customFormat="1" ht="15" customHeight="1" x14ac:dyDescent="0.25">
      <c r="A1355" s="288" t="s">
        <v>1400</v>
      </c>
      <c r="B1355" s="241" t="str">
        <f>HYPERLINK(CONCATENATE($AT$3,BK1355,$AU$3),$AV$3)</f>
        <v>S</v>
      </c>
      <c r="C1355" s="242" t="str">
        <f>HYPERLINK(CONCATENATE($AT$4,BK1355,$AU$4,BL1355),$AV$4)</f>
        <v>A</v>
      </c>
      <c r="D1355" s="243" t="s">
        <v>5638</v>
      </c>
      <c r="E1355" s="244" t="s">
        <v>5192</v>
      </c>
      <c r="F1355" s="269" t="s">
        <v>8693</v>
      </c>
      <c r="G1355" s="276">
        <v>10</v>
      </c>
      <c r="H1355" s="283">
        <v>23</v>
      </c>
      <c r="I1355" s="246">
        <v>70</v>
      </c>
      <c r="J1355" s="246">
        <v>3</v>
      </c>
      <c r="K1355" s="247" t="s">
        <v>4964</v>
      </c>
      <c r="L1355" s="248">
        <v>13642</v>
      </c>
      <c r="M1355" s="249">
        <f>15*(LEFT(TEXT($L1355,"000000"),2)+(MID(TEXT($L1355,"000000"),3,2)/60)+(RIGHT(TEXT($L1355,"000000"),2)/3600))</f>
        <v>24.175000000000001</v>
      </c>
      <c r="N1355" s="250">
        <v>154701</v>
      </c>
      <c r="O1355" s="251">
        <f>IF($N1355&gt;0,(LEFT(TEXT($N1355,"000000"),2)+(MID(TEXT($N1355,"000000"),3,2)/60)+(RIGHT(TEXT($N1355,"000000"),2)/3600)),-(MID(TEXT($N1355,"000000"),2,2)+(MID(TEXT($N1355,"000000"),4,2)/60)+(RIGHT(TEXT($N1355,"000000"),2)/3600)))</f>
        <v>15.78361111111111</v>
      </c>
      <c r="P1355" s="252" t="s">
        <v>158</v>
      </c>
      <c r="Q1355" s="253"/>
      <c r="R1355" s="277" t="s">
        <v>3470</v>
      </c>
      <c r="S1355" s="272" t="s">
        <v>3293</v>
      </c>
      <c r="T1355" s="273">
        <v>9.4</v>
      </c>
      <c r="U1355" s="289">
        <v>23.09</v>
      </c>
      <c r="V1355" s="280">
        <v>15</v>
      </c>
      <c r="W1355" s="244"/>
      <c r="X1355" s="244"/>
      <c r="Y1355" s="362"/>
      <c r="Z1355" s="257">
        <f>altaz(J2000_Bas,$O1355,$M1355,DecLat,DecLong,1)</f>
        <v>1.3087116717897223</v>
      </c>
      <c r="AA1355" s="257">
        <f>altaz((J2000_Bas+(2*0.04167)),$O1355,$M1355,DecLat,DecLong,1)</f>
        <v>26.609921752751006</v>
      </c>
      <c r="AB1355" s="257">
        <f>altaz((J2000_Bas+(4*0.04167)),$O1355,$M1355,DecLat,DecLong,1)</f>
        <v>52.190494728954967</v>
      </c>
      <c r="AC1355" s="257">
        <f>altaz((J2000_Bas+(6*0.04167)),$O1355,$M1355,DecLat,DecLong,1)</f>
        <v>73.151812757785294</v>
      </c>
      <c r="AD1355" s="258">
        <f>1+ transit((J2000_Bas-1),$O1355,$M1355,DecLat,DecLong)/360 + (GMTOffset/24) + (IF(DST="Y", 1, 0)/24)</f>
        <v>1.0600527316922079</v>
      </c>
      <c r="AE1355" s="259">
        <f>DATE(2001,9,21)+(M1355/360)*365 - (360*((DecLong/360)- (GMTOffset/24) ))</f>
        <v>37184.510763888888</v>
      </c>
      <c r="AF1355" s="260">
        <f>IF(DecLat&gt;0,IF((90 - (DecLat-O1355))&gt;90, (90 - (O1355-DecLat)), (90 - (DecLat-O1355))),IF((90 + (DecLat-O1355))&gt;90, (90 + (O1355-DecLat)), (90 + (DecLat-O1355))))</f>
        <v>74.783611111111114</v>
      </c>
      <c r="AG1355" s="257">
        <f>angularseperation(MoonRA,MoonDec,$M1355,$O1355)</f>
        <v>136.79953225761284</v>
      </c>
      <c r="AH1355" s="261">
        <f ca="1">MIN(100,IF($O$5&gt;80,0+30*($AG1355/100),IF($O$5&gt;70,0+50*($AG1355/100),IF($O$5&gt;60,5+50*($AG1355/100),IF($O$5&gt;50,10+60*($AG1355/100),IF($O$5&gt;40,15+70*($AG1355/100),IF($O$5&gt;30,20+70*($AG1355/100),IF($O$5&gt;20,40+55*($AG1355/100),(80+(20-$O$5)+30*($AG1355/100))))))))))</f>
        <v>100</v>
      </c>
      <c r="AI1355" s="262">
        <v>628</v>
      </c>
      <c r="AJ1355" s="262"/>
      <c r="AK1355" s="262"/>
      <c r="AL1355" s="263">
        <v>74</v>
      </c>
      <c r="AM1355" s="264"/>
      <c r="AN1355" s="263"/>
      <c r="AO1355" s="263"/>
      <c r="AP1355" s="265"/>
      <c r="AQ1355" s="266"/>
      <c r="AR1355" s="267">
        <v>5974</v>
      </c>
      <c r="AS1355" s="263"/>
      <c r="AT1355" s="263"/>
      <c r="AU1355" s="263"/>
      <c r="AV1355" s="264"/>
      <c r="AW1355" s="263"/>
      <c r="AX1355" s="263"/>
      <c r="AY1355" s="263"/>
      <c r="AZ1355" s="263"/>
      <c r="BA1355" s="263"/>
      <c r="BB1355" s="263"/>
      <c r="BC1355" s="263"/>
      <c r="BD1355" s="264"/>
      <c r="BE1355" s="263"/>
      <c r="BF1355" s="263"/>
      <c r="BG1355" s="263"/>
      <c r="BH1355" s="263"/>
      <c r="BI1355" s="263"/>
      <c r="BJ1355" s="404">
        <f>altaz(J2000_Bas,$O1355,$M1355,DecLat,DecLong,2)</f>
        <v>72.320867398468465</v>
      </c>
      <c r="BK1355" s="378" t="s">
        <v>1400</v>
      </c>
      <c r="BL1355" s="379">
        <f>IF((2*G1355)/60&lt;0.2,0.2,(2*G1355)/60)</f>
        <v>0.33333333333333331</v>
      </c>
      <c r="BM1355" s="380">
        <f>MOD((50000+AD1355-$B$3+(0/24)),1)</f>
        <v>0.27541966139688157</v>
      </c>
      <c r="BN1355" s="381"/>
      <c r="BO1355" s="382">
        <v>1348</v>
      </c>
    </row>
    <row r="1356" spans="1:67" s="24" customFormat="1" ht="15" customHeight="1" x14ac:dyDescent="0.25">
      <c r="A1356" s="288" t="s">
        <v>1401</v>
      </c>
      <c r="B1356" s="241" t="str">
        <f>HYPERLINK(CONCATENATE($AT$3,BK1356,$AU$3),$AV$3)</f>
        <v>S</v>
      </c>
      <c r="C1356" s="242" t="str">
        <f>HYPERLINK(CONCATENATE($AT$4,BK1356,$AU$4,BL1356),$AV$4)</f>
        <v>A</v>
      </c>
      <c r="D1356" s="243" t="s">
        <v>5335</v>
      </c>
      <c r="E1356" s="244" t="s">
        <v>5184</v>
      </c>
      <c r="F1356" s="269" t="s">
        <v>3319</v>
      </c>
      <c r="G1356" s="273">
        <v>2.4</v>
      </c>
      <c r="H1356" s="283">
        <v>67000</v>
      </c>
      <c r="I1356" s="246">
        <v>50</v>
      </c>
      <c r="J1356" s="246">
        <v>3</v>
      </c>
      <c r="K1356" s="247" t="s">
        <v>4965</v>
      </c>
      <c r="L1356" s="248">
        <v>200605</v>
      </c>
      <c r="M1356" s="249">
        <f>15*(LEFT(TEXT($L1356,"000000"),2)+(MID(TEXT($L1356,"000000"),3,2)/60)+(RIGHT(TEXT($L1356,"000000"),2)/3600))</f>
        <v>301.52083333333337</v>
      </c>
      <c r="N1356" s="250">
        <v>-215519</v>
      </c>
      <c r="O1356" s="251">
        <f>IF($N1356&gt;0,(LEFT(TEXT($N1356,"000000"),2)+(MID(TEXT($N1356,"000000"),3,2)/60)+(RIGHT(TEXT($N1356,"000000"),2)/3600)),-(MID(TEXT($N1356,"000000"),2,2)+(MID(TEXT($N1356,"000000"),4,2)/60)+(RIGHT(TEXT($N1356,"000000"),2)/3600)))</f>
        <v>-21.921944444444446</v>
      </c>
      <c r="P1356" s="252" t="s">
        <v>119</v>
      </c>
      <c r="Q1356" s="253"/>
      <c r="R1356" s="247" t="s">
        <v>3678</v>
      </c>
      <c r="S1356" s="272" t="s">
        <v>3293</v>
      </c>
      <c r="T1356" s="273">
        <v>8.6</v>
      </c>
      <c r="U1356" s="274"/>
      <c r="V1356" s="280"/>
      <c r="W1356" s="244"/>
      <c r="X1356" s="244"/>
      <c r="Y1356" s="362"/>
      <c r="Z1356" s="257">
        <f>altaz(J2000_Bas,$O1356,$M1356,DecLat,DecLong,1)</f>
        <v>35.02363262789121</v>
      </c>
      <c r="AA1356" s="257">
        <f>altaz((J2000_Bas+(2*0.04167)),$O1356,$M1356,DecLat,DecLong,1)</f>
        <v>35.263865940790964</v>
      </c>
      <c r="AB1356" s="257">
        <f>altaz((J2000_Bas+(4*0.04167)),$O1356,$M1356,DecLat,DecLong,1)</f>
        <v>21.926252039126407</v>
      </c>
      <c r="AC1356" s="257">
        <f>altaz((J2000_Bas+(6*0.04167)),$O1356,$M1356,DecLat,DecLong,1)</f>
        <v>0.97800596889112013</v>
      </c>
      <c r="AD1356" s="258">
        <f>1+ transit((J2000_Bas-1),$O1356,$M1356,DecLat,DecLong)/360 + (GMTOffset/24) + (IF(DST="Y", 1, 0)/24)</f>
        <v>1.8304577472442911</v>
      </c>
      <c r="AE1356" s="259">
        <f>DATE(2001,9,21)+(M1356/360)*365 - (360*((DecLong/360)- (GMTOffset/24) ))</f>
        <v>37465.708622685182</v>
      </c>
      <c r="AF1356" s="260">
        <f>IF(DecLat&gt;0,IF((90 - (DecLat-O1356))&gt;90, (90 - (O1356-DecLat)), (90 - (DecLat-O1356))),IF((90 + (DecLat-O1356))&gt;90, (90 + (O1356-DecLat)), (90 + (DecLat-O1356))))</f>
        <v>37.078055555555551</v>
      </c>
      <c r="AG1356" s="257">
        <f>angularseperation(MoonRA,MoonDec,$M1356,$O1356)</f>
        <v>47.520945806797684</v>
      </c>
      <c r="AH1356" s="261">
        <f ca="1">MIN(100,IF($O$5&gt;80,0+30*($AG1356/100),IF($O$5&gt;70,0+50*($AG1356/100),IF($O$5&gt;60,5+50*($AG1356/100),IF($O$5&gt;50,10+60*($AG1356/100),IF($O$5&gt;40,15+70*($AG1356/100),IF($O$5&gt;30,20+70*($AG1356/100),IF($O$5&gt;20,40+55*($AG1356/100),(80+(20-$O$5)+30*($AG1356/100))))))))))</f>
        <v>97.527344086189729</v>
      </c>
      <c r="AI1356" s="262">
        <v>6864</v>
      </c>
      <c r="AJ1356" s="262"/>
      <c r="AK1356" s="262"/>
      <c r="AL1356" s="263">
        <v>75</v>
      </c>
      <c r="AM1356" s="264"/>
      <c r="AN1356" s="263"/>
      <c r="AO1356" s="263"/>
      <c r="AP1356" s="265"/>
      <c r="AQ1356" s="266"/>
      <c r="AR1356" s="267"/>
      <c r="AS1356" s="263"/>
      <c r="AT1356" s="263"/>
      <c r="AU1356" s="263"/>
      <c r="AV1356" s="264"/>
      <c r="AW1356" s="263"/>
      <c r="AX1356" s="263"/>
      <c r="AY1356" s="263"/>
      <c r="AZ1356" s="263"/>
      <c r="BA1356" s="263"/>
      <c r="BB1356" s="263"/>
      <c r="BC1356" s="263"/>
      <c r="BD1356" s="264"/>
      <c r="BE1356" s="263"/>
      <c r="BF1356" s="263"/>
      <c r="BG1356" s="263"/>
      <c r="BH1356" s="263"/>
      <c r="BI1356" s="263"/>
      <c r="BJ1356" s="404">
        <f>altaz(J2000_Bas,$O1356,$M1356,DecLat,DecLong,2)</f>
        <v>162.35713204162118</v>
      </c>
      <c r="BK1356" s="378" t="s">
        <v>1401</v>
      </c>
      <c r="BL1356" s="379">
        <f>IF((2*G1356)/60&lt;0.2,0.2,(2*G1356)/60)</f>
        <v>0.2</v>
      </c>
      <c r="BM1356" s="380">
        <f>MOD((50000+AD1356-$B$3+(0/24)),1)</f>
        <v>4.582467694854131E-2</v>
      </c>
      <c r="BN1356" s="381"/>
      <c r="BO1356" s="382">
        <v>1349</v>
      </c>
    </row>
    <row r="1357" spans="1:67" s="24" customFormat="1" ht="15" customHeight="1" x14ac:dyDescent="0.25">
      <c r="A1357" s="288" t="s">
        <v>1402</v>
      </c>
      <c r="B1357" s="241" t="str">
        <f>HYPERLINK(CONCATENATE($AT$3,BK1357,$AU$3),$AV$3)</f>
        <v>S</v>
      </c>
      <c r="C1357" s="242" t="str">
        <f>HYPERLINK(CONCATENATE($AT$4,BK1357,$AU$4,BL1357),$AV$4)</f>
        <v>A</v>
      </c>
      <c r="D1357" s="243" t="s">
        <v>5187</v>
      </c>
      <c r="E1357" s="244" t="s">
        <v>5181</v>
      </c>
      <c r="F1357" s="269" t="s">
        <v>4813</v>
      </c>
      <c r="G1357" s="273">
        <v>3</v>
      </c>
      <c r="H1357" s="283">
        <v>3000</v>
      </c>
      <c r="I1357" s="279">
        <v>2.7</v>
      </c>
      <c r="J1357" s="246">
        <v>4</v>
      </c>
      <c r="K1357" s="247" t="s">
        <v>4966</v>
      </c>
      <c r="L1357" s="248">
        <v>14218</v>
      </c>
      <c r="M1357" s="249">
        <f>15*(LEFT(TEXT($L1357,"000000"),2)+(MID(TEXT($L1357,"000000"),3,2)/60)+(RIGHT(TEXT($L1357,"000000"),2)/3600))</f>
        <v>25.574999999999999</v>
      </c>
      <c r="N1357" s="250">
        <v>513415</v>
      </c>
      <c r="O1357" s="251">
        <f>IF($N1357&gt;0,(LEFT(TEXT($N1357,"000000"),2)+(MID(TEXT($N1357,"000000"),3,2)/60)+(RIGHT(TEXT($N1357,"000000"),2)/3600)),-(MID(TEXT($N1357,"000000"),2,2)+(MID(TEXT($N1357,"000000"),4,2)/60)+(RIGHT(TEXT($N1357,"000000"),2)/3600)))</f>
        <v>51.57083333333334</v>
      </c>
      <c r="P1357" s="252" t="s">
        <v>43</v>
      </c>
      <c r="Q1357" s="253" t="s">
        <v>7019</v>
      </c>
      <c r="R1357" s="277" t="s">
        <v>3471</v>
      </c>
      <c r="S1357" s="272" t="s">
        <v>3293</v>
      </c>
      <c r="T1357" s="273">
        <v>10.1</v>
      </c>
      <c r="U1357" s="274"/>
      <c r="V1357" s="280"/>
      <c r="W1357" s="244"/>
      <c r="X1357" s="244"/>
      <c r="Y1357" s="362"/>
      <c r="Z1357" s="257">
        <f>altaz(J2000_Bas,$O1357,$M1357,DecLat,DecLong,1)</f>
        <v>18.353151493438791</v>
      </c>
      <c r="AA1357" s="257">
        <f>altaz((J2000_Bas+(2*0.04167)),$O1357,$M1357,DecLat,DecLong,1)</f>
        <v>36.167998311046908</v>
      </c>
      <c r="AB1357" s="257">
        <f>altaz((J2000_Bas+(4*0.04167)),$O1357,$M1357,DecLat,DecLong,1)</f>
        <v>54.601060650459573</v>
      </c>
      <c r="AC1357" s="257">
        <f>altaz((J2000_Bas+(6*0.04167)),$O1357,$M1357,DecLat,DecLong,1)</f>
        <v>68.311607238217178</v>
      </c>
      <c r="AD1357" s="258">
        <f>1+ transit((J2000_Bas-1),$O1357,$M1357,DecLat,DecLong)/360 + (GMTOffset/24) + (IF(DST="Y", 1, 0)/24)</f>
        <v>1.0639416201922081</v>
      </c>
      <c r="AE1357" s="259">
        <f>DATE(2001,9,21)+(M1357/360)*365 - (360*((DecLong/360)- (GMTOffset/24) ))</f>
        <v>37185.930208333331</v>
      </c>
      <c r="AF1357" s="260">
        <f>IF(DecLat&gt;0,IF((90 - (DecLat-O1357))&gt;90, (90 - (O1357-DecLat)), (90 - (DecLat-O1357))),IF((90 + (DecLat-O1357))&gt;90, (90 + (O1357-DecLat)), (90 + (DecLat-O1357))))</f>
        <v>69.42916666666666</v>
      </c>
      <c r="AG1357" s="257">
        <f>angularseperation(MoonRA,MoonDec,$M1357,$O1357)</f>
        <v>139.19793091058582</v>
      </c>
      <c r="AH1357" s="261">
        <f ca="1">MIN(100,IF($O$5&gt;80,0+30*($AG1357/100),IF($O$5&gt;70,0+50*($AG1357/100),IF($O$5&gt;60,5+50*($AG1357/100),IF($O$5&gt;50,10+60*($AG1357/100),IF($O$5&gt;40,15+70*($AG1357/100),IF($O$5&gt;30,20+70*($AG1357/100),IF($O$5&gt;20,40+55*($AG1357/100),(80+(20-$O$5)+30*($AG1357/100))))))))))</f>
        <v>100</v>
      </c>
      <c r="AI1357" s="262">
        <v>650</v>
      </c>
      <c r="AJ1357" s="262"/>
      <c r="AK1357" s="262">
        <v>26</v>
      </c>
      <c r="AL1357" s="263">
        <v>76</v>
      </c>
      <c r="AM1357" s="264"/>
      <c r="AN1357" s="263"/>
      <c r="AO1357" s="263"/>
      <c r="AP1357" s="265"/>
      <c r="AQ1357" s="266"/>
      <c r="AR1357" s="267"/>
      <c r="AS1357" s="263"/>
      <c r="AT1357" s="263"/>
      <c r="AU1357" s="263"/>
      <c r="AV1357" s="264"/>
      <c r="AW1357" s="263"/>
      <c r="AX1357" s="263"/>
      <c r="AY1357" s="263"/>
      <c r="AZ1357" s="263"/>
      <c r="BA1357" s="263"/>
      <c r="BB1357" s="263"/>
      <c r="BC1357" s="263"/>
      <c r="BD1357" s="264"/>
      <c r="BE1357" s="263"/>
      <c r="BF1357" s="263"/>
      <c r="BG1357" s="263"/>
      <c r="BH1357" s="263"/>
      <c r="BI1357" s="263"/>
      <c r="BJ1357" s="404">
        <f>altaz(J2000_Bas,$O1357,$M1357,DecLat,DecLong,2)</f>
        <v>40.221084597972556</v>
      </c>
      <c r="BK1357" s="378" t="s">
        <v>1402</v>
      </c>
      <c r="BL1357" s="379">
        <f>IF((2*G1357)/60&lt;0.2,0.2,(2*G1357)/60)</f>
        <v>0.2</v>
      </c>
      <c r="BM1357" s="380">
        <f>MOD((50000+AD1357-$B$3+(0/24)),1)</f>
        <v>0.27930854989972431</v>
      </c>
      <c r="BN1357" s="381"/>
      <c r="BO1357" s="382">
        <v>1350</v>
      </c>
    </row>
    <row r="1358" spans="1:67" s="24" customFormat="1" ht="15" customHeight="1" x14ac:dyDescent="0.25">
      <c r="A1358" s="288" t="s">
        <v>1403</v>
      </c>
      <c r="B1358" s="241" t="str">
        <f>HYPERLINK(CONCATENATE($AT$3,BK1358,$AU$3),$AV$3)</f>
        <v>S</v>
      </c>
      <c r="C1358" s="242" t="str">
        <f>HYPERLINK(CONCATENATE($AT$4,BK1358,$AU$4,BL1358),$AV$4)</f>
        <v>A</v>
      </c>
      <c r="D1358" s="243" t="s">
        <v>5638</v>
      </c>
      <c r="E1358" s="244" t="s">
        <v>5192</v>
      </c>
      <c r="F1358" s="269" t="s">
        <v>8688</v>
      </c>
      <c r="G1358" s="276">
        <v>10</v>
      </c>
      <c r="H1358" s="283">
        <v>50</v>
      </c>
      <c r="I1358" s="246">
        <v>150</v>
      </c>
      <c r="J1358" s="246">
        <v>3</v>
      </c>
      <c r="K1358" s="247" t="s">
        <v>5012</v>
      </c>
      <c r="L1358" s="248">
        <v>24241</v>
      </c>
      <c r="M1358" s="249">
        <f>15*(LEFT(TEXT($L1358,"000000"),2)+(MID(TEXT($L1358,"000000"),3,2)/60)+(RIGHT(TEXT($L1358,"000000"),2)/3600))</f>
        <v>40.670833333333334</v>
      </c>
      <c r="N1358" s="250">
        <v>-48</v>
      </c>
      <c r="O1358" s="251">
        <f>IF($N1358&gt;0,(LEFT(TEXT($N1358,"000000"),2)+(MID(TEXT($N1358,"000000"),3,2)/60)+(RIGHT(TEXT($N1358,"000000"),2)/3600)),-(MID(TEXT($N1358,"000000"),2,2)+(MID(TEXT($N1358,"000000"),4,2)/60)+(RIGHT(TEXT($N1358,"000000"),2)/3600)))</f>
        <v>-1.3333333333333334E-2</v>
      </c>
      <c r="P1358" s="252" t="s">
        <v>75</v>
      </c>
      <c r="Q1358" s="253"/>
      <c r="R1358" s="247" t="s">
        <v>3292</v>
      </c>
      <c r="S1358" s="272" t="s">
        <v>3293</v>
      </c>
      <c r="T1358" s="273">
        <v>8.9</v>
      </c>
      <c r="U1358" s="289">
        <v>21.69</v>
      </c>
      <c r="V1358" s="280">
        <v>30</v>
      </c>
      <c r="W1358" s="244"/>
      <c r="X1358" s="244"/>
      <c r="Y1358" s="362"/>
      <c r="Z1358" s="257">
        <f>altaz(J2000_Bas,$O1358,$M1358,DecLat,DecLong,1)</f>
        <v>-20.96942170550863</v>
      </c>
      <c r="AA1358" s="257">
        <f>altaz((J2000_Bas+(2*0.04167)),$O1358,$M1358,DecLat,DecLong,1)</f>
        <v>4.6339786352454713</v>
      </c>
      <c r="AB1358" s="257">
        <f>altaz((J2000_Bas+(4*0.04167)),$O1358,$M1358,DecLat,DecLong,1)</f>
        <v>29.844676443998068</v>
      </c>
      <c r="AC1358" s="257">
        <f>altaz((J2000_Bas+(6*0.04167)),$O1358,$M1358,DecLat,DecLong,1)</f>
        <v>51.297055910085611</v>
      </c>
      <c r="AD1358" s="258">
        <f>1+ transit((J2000_Bas-1),$O1358,$M1358,DecLat,DecLong)/360 + (GMTOffset/24) + (IF(DST="Y", 1, 0)/24)</f>
        <v>1.1058744863692913</v>
      </c>
      <c r="AE1358" s="259">
        <f>DATE(2001,9,21)+(M1358/360)*365 - (360*((DecLong/360)- (GMTOffset/24) ))</f>
        <v>37201.235706018517</v>
      </c>
      <c r="AF1358" s="260">
        <f>IF(DecLat&gt;0,IF((90 - (DecLat-O1358))&gt;90, (90 - (O1358-DecLat)), (90 - (DecLat-O1358))),IF((90 + (DecLat-O1358))&gt;90, (90 + (O1358-DecLat)), (90 + (DecLat-O1358))))</f>
        <v>58.986666666666665</v>
      </c>
      <c r="AG1358" s="257">
        <f>angularseperation(MoonRA,MoonDec,$M1358,$O1358)</f>
        <v>141.42675858264536</v>
      </c>
      <c r="AH1358" s="261">
        <f ca="1">MIN(100,IF($O$5&gt;80,0+30*($AG1358/100),IF($O$5&gt;70,0+50*($AG1358/100),IF($O$5&gt;60,5+50*($AG1358/100),IF($O$5&gt;50,10+60*($AG1358/100),IF($O$5&gt;40,15+70*($AG1358/100),IF($O$5&gt;30,20+70*($AG1358/100),IF($O$5&gt;20,40+55*($AG1358/100),(80+(20-$O$5)+30*($AG1358/100))))))))))</f>
        <v>100</v>
      </c>
      <c r="AI1358" s="262">
        <v>1068</v>
      </c>
      <c r="AJ1358" s="262"/>
      <c r="AK1358" s="262"/>
      <c r="AL1358" s="263">
        <v>77</v>
      </c>
      <c r="AM1358" s="264"/>
      <c r="AN1358" s="263">
        <v>37</v>
      </c>
      <c r="AO1358" s="263"/>
      <c r="AP1358" s="265"/>
      <c r="AQ1358" s="266"/>
      <c r="AR1358" s="267">
        <v>10266</v>
      </c>
      <c r="AS1358" s="263"/>
      <c r="AT1358" s="263"/>
      <c r="AU1358" s="263"/>
      <c r="AV1358" s="264"/>
      <c r="AW1358" s="263"/>
      <c r="AX1358" s="263"/>
      <c r="AY1358" s="263"/>
      <c r="AZ1358" s="263"/>
      <c r="BA1358" s="263"/>
      <c r="BB1358" s="263"/>
      <c r="BC1358" s="263"/>
      <c r="BD1358" s="264"/>
      <c r="BE1358" s="263"/>
      <c r="BF1358" s="263"/>
      <c r="BG1358" s="263"/>
      <c r="BH1358" s="263"/>
      <c r="BI1358" s="263"/>
      <c r="BJ1358" s="404">
        <f>altaz(J2000_Bas,$O1358,$M1358,DecLat,DecLong,2)</f>
        <v>76.703505967288294</v>
      </c>
      <c r="BK1358" s="378" t="s">
        <v>1403</v>
      </c>
      <c r="BL1358" s="379">
        <f>IF((2*G1358)/60&lt;0.2,0.2,(2*G1358)/60)</f>
        <v>0.33333333333333331</v>
      </c>
      <c r="BM1358" s="380">
        <f>MOD((50000+AD1358-$B$3+(0/24)),1)</f>
        <v>0.32124141607346246</v>
      </c>
      <c r="BN1358" s="381"/>
      <c r="BO1358" s="382">
        <v>1351</v>
      </c>
    </row>
    <row r="1359" spans="1:67" s="24" customFormat="1" ht="15" customHeight="1" x14ac:dyDescent="0.25">
      <c r="A1359" s="288" t="s">
        <v>1404</v>
      </c>
      <c r="B1359" s="241" t="str">
        <f>HYPERLINK(CONCATENATE($AT$3,BK1359,$AU$3),$AV$3)</f>
        <v>S</v>
      </c>
      <c r="C1359" s="242" t="str">
        <f>HYPERLINK(CONCATENATE($AT$4,BK1359,$AU$4,BL1359),$AV$4)</f>
        <v>A</v>
      </c>
      <c r="D1359" s="243" t="s">
        <v>5187</v>
      </c>
      <c r="E1359" s="244" t="s">
        <v>5186</v>
      </c>
      <c r="F1359" s="269"/>
      <c r="G1359" s="273">
        <v>8</v>
      </c>
      <c r="H1359" s="283">
        <v>1600</v>
      </c>
      <c r="I1359" s="279">
        <v>4</v>
      </c>
      <c r="J1359" s="246">
        <v>4</v>
      </c>
      <c r="K1359" s="247" t="s">
        <v>4967</v>
      </c>
      <c r="L1359" s="248">
        <v>54645</v>
      </c>
      <c r="M1359" s="249">
        <f>15*(LEFT(TEXT($L1359,"000000"),2)+(MID(TEXT($L1359,"000000"),3,2)/60)+(RIGHT(TEXT($L1359,"000000"),2)/3600))</f>
        <v>86.6875</v>
      </c>
      <c r="N1359" s="250">
        <v>448</v>
      </c>
      <c r="O1359" s="251">
        <f>IF($N1359&gt;0,(LEFT(TEXT($N1359,"000000"),2)+(MID(TEXT($N1359,"000000"),3,2)/60)+(RIGHT(TEXT($N1359,"000000"),2)/3600)),-(MID(TEXT($N1359,"000000"),2,2)+(MID(TEXT($N1359,"000000"),4,2)/60)+(RIGHT(TEXT($N1359,"000000"),2)/3600)))</f>
        <v>0.08</v>
      </c>
      <c r="P1359" s="252" t="s">
        <v>41</v>
      </c>
      <c r="Q1359" s="253" t="s">
        <v>6952</v>
      </c>
      <c r="R1359" s="247" t="s">
        <v>3494</v>
      </c>
      <c r="S1359" s="272" t="s">
        <v>5428</v>
      </c>
      <c r="T1359" s="273"/>
      <c r="U1359" s="274"/>
      <c r="V1359" s="280"/>
      <c r="W1359" s="244"/>
      <c r="X1359" s="244"/>
      <c r="Y1359" s="362"/>
      <c r="Z1359" s="257">
        <f>altaz(J2000_Bas,$O1359,$M1359,DecLat,DecLong,1)</f>
        <v>-53.920493132902322</v>
      </c>
      <c r="AA1359" s="257">
        <f>altaz((J2000_Bas+(2*0.04167)),$O1359,$M1359,DecLat,DecLong,1)</f>
        <v>-33.855924462360719</v>
      </c>
      <c r="AB1359" s="257">
        <f>altaz((J2000_Bas+(4*0.04167)),$O1359,$M1359,DecLat,DecLong,1)</f>
        <v>-8.9585125817810756</v>
      </c>
      <c r="AC1359" s="257">
        <f>altaz((J2000_Bas+(6*0.04167)),$O1359,$M1359,DecLat,DecLong,1)</f>
        <v>16.727285260775261</v>
      </c>
      <c r="AD1359" s="258">
        <f>1+ transit((J2000_Bas-1),$O1359,$M1359,DecLat,DecLong)/360 + (GMTOffset/24) + (IF(DST="Y", 1, 0)/24)</f>
        <v>1.2336985476609581</v>
      </c>
      <c r="AE1359" s="259">
        <f>DATE(2001,9,21)+(M1359/360)*365 - (360*((DecLong/360)- (GMTOffset/24) ))</f>
        <v>37247.891493055555</v>
      </c>
      <c r="AF1359" s="260">
        <f>IF(DecLat&gt;0,IF((90 - (DecLat-O1359))&gt;90, (90 - (O1359-DecLat)), (90 - (DecLat-O1359))),IF((90 + (DecLat-O1359))&gt;90, (90 + (O1359-DecLat)), (90 + (DecLat-O1359))))</f>
        <v>59.08</v>
      </c>
      <c r="AG1359" s="257">
        <f>angularseperation(MoonRA,MoonDec,$M1359,$O1359)</f>
        <v>148.21388693531512</v>
      </c>
      <c r="AH1359" s="261">
        <f ca="1">MIN(100,IF($O$5&gt;80,0+30*($AG1359/100),IF($O$5&gt;70,0+50*($AG1359/100),IF($O$5&gt;60,5+50*($AG1359/100),IF($O$5&gt;50,10+60*($AG1359/100),IF($O$5&gt;40,15+70*($AG1359/100),IF($O$5&gt;30,20+70*($AG1359/100),IF($O$5&gt;20,40+55*($AG1359/100),(80+(20-$O$5)+30*($AG1359/100))))))))))</f>
        <v>100</v>
      </c>
      <c r="AI1359" s="262">
        <v>2068</v>
      </c>
      <c r="AJ1359" s="262"/>
      <c r="AK1359" s="262"/>
      <c r="AL1359" s="263">
        <v>78</v>
      </c>
      <c r="AM1359" s="264"/>
      <c r="AN1359" s="263"/>
      <c r="AO1359" s="263"/>
      <c r="AP1359" s="265"/>
      <c r="AQ1359" s="266"/>
      <c r="AR1359" s="267"/>
      <c r="AS1359" s="263"/>
      <c r="AT1359" s="263"/>
      <c r="AU1359" s="263"/>
      <c r="AV1359" s="264"/>
      <c r="AW1359" s="263"/>
      <c r="AX1359" s="263"/>
      <c r="AY1359" s="263"/>
      <c r="AZ1359" s="263"/>
      <c r="BA1359" s="263"/>
      <c r="BB1359" s="263"/>
      <c r="BC1359" s="263"/>
      <c r="BD1359" s="264"/>
      <c r="BE1359" s="263"/>
      <c r="BF1359" s="263"/>
      <c r="BG1359" s="263"/>
      <c r="BH1359" s="263"/>
      <c r="BI1359" s="263"/>
      <c r="BJ1359" s="404">
        <f>altaz(J2000_Bas,$O1359,$M1359,DecLat,DecLong,2)</f>
        <v>34.17038751679452</v>
      </c>
      <c r="BK1359" s="378" t="s">
        <v>1404</v>
      </c>
      <c r="BL1359" s="379">
        <f>IF((2*G1359)/60&lt;0.2,0.2,(2*G1359)/60)</f>
        <v>0.26666666666666666</v>
      </c>
      <c r="BM1359" s="380">
        <f>MOD((50000+AD1359-$B$3+(0/24)),1)</f>
        <v>0.44906547736172797</v>
      </c>
      <c r="BN1359" s="381"/>
      <c r="BO1359" s="382">
        <v>1352</v>
      </c>
    </row>
    <row r="1360" spans="1:67" s="24" customFormat="1" ht="15" customHeight="1" x14ac:dyDescent="0.25">
      <c r="A1360" s="288" t="s">
        <v>1405</v>
      </c>
      <c r="B1360" s="241" t="str">
        <f>HYPERLINK(CONCATENATE($AT$3,BK1360,$AU$3),$AV$3)</f>
        <v>S</v>
      </c>
      <c r="C1360" s="242" t="str">
        <f>HYPERLINK(CONCATENATE($AT$4,BK1360,$AU$4,BL1360),$AV$4)</f>
        <v>A</v>
      </c>
      <c r="D1360" s="243" t="s">
        <v>5335</v>
      </c>
      <c r="E1360" s="244" t="s">
        <v>5184</v>
      </c>
      <c r="F1360" s="269" t="s">
        <v>3316</v>
      </c>
      <c r="G1360" s="273">
        <v>9</v>
      </c>
      <c r="H1360" s="283">
        <v>40000</v>
      </c>
      <c r="I1360" s="246">
        <v>106</v>
      </c>
      <c r="J1360" s="246">
        <v>3</v>
      </c>
      <c r="K1360" s="247" t="s">
        <v>4968</v>
      </c>
      <c r="L1360" s="248">
        <v>52411</v>
      </c>
      <c r="M1360" s="249">
        <f>15*(LEFT(TEXT($L1360,"000000"),2)+(MID(TEXT($L1360,"000000"),3,2)/60)+(RIGHT(TEXT($L1360,"000000"),2)/3600))</f>
        <v>81.045833333333334</v>
      </c>
      <c r="N1360" s="250">
        <v>-243129</v>
      </c>
      <c r="O1360" s="251">
        <f>IF($N1360&gt;0,(LEFT(TEXT($N1360,"000000"),2)+(MID(TEXT($N1360,"000000"),3,2)/60)+(RIGHT(TEXT($N1360,"000000"),2)/3600)),-(MID(TEXT($N1360,"000000"),2,2)+(MID(TEXT($N1360,"000000"),4,2)/60)+(RIGHT(TEXT($N1360,"000000"),2)/3600)))</f>
        <v>-24.52472222222222</v>
      </c>
      <c r="P1360" s="252" t="s">
        <v>70</v>
      </c>
      <c r="Q1360" s="253"/>
      <c r="R1360" s="247" t="s">
        <v>3487</v>
      </c>
      <c r="S1360" s="272" t="s">
        <v>3293</v>
      </c>
      <c r="T1360" s="273">
        <v>7.7</v>
      </c>
      <c r="U1360" s="274"/>
      <c r="V1360" s="280"/>
      <c r="W1360" s="244"/>
      <c r="X1360" s="244"/>
      <c r="Y1360" s="362"/>
      <c r="Z1360" s="257">
        <f>altaz(J2000_Bas,$O1360,$M1360,DecLat,DecLong,1)</f>
        <v>-67.043966419041055</v>
      </c>
      <c r="AA1360" s="257">
        <f>altaz((J2000_Bas+(2*0.04167)),$O1360,$M1360,DecLat,DecLong,1)</f>
        <v>-41.347124026404011</v>
      </c>
      <c r="AB1360" s="257">
        <f>altaz((J2000_Bas+(4*0.04167)),$O1360,$M1360,DecLat,DecLong,1)</f>
        <v>-16.262901556161871</v>
      </c>
      <c r="AC1360" s="257">
        <f>altaz((J2000_Bas+(6*0.04167)),$O1360,$M1360,DecLat,DecLong,1)</f>
        <v>6.7986874729319871</v>
      </c>
      <c r="AD1360" s="258">
        <f>1+ transit((J2000_Bas-1),$O1360,$M1360,DecLat,DecLong)/360 + (GMTOffset/24) + (IF(DST="Y", 1, 0)/24)</f>
        <v>1.2180272529317913</v>
      </c>
      <c r="AE1360" s="259">
        <f>DATE(2001,9,21)+(M1360/360)*365 - (360*((DecLong/360)- (GMTOffset/24) ))</f>
        <v>37242.171469907407</v>
      </c>
      <c r="AF1360" s="260">
        <f>IF(DecLat&gt;0,IF((90 - (DecLat-O1360))&gt;90, (90 - (O1360-DecLat)), (90 - (DecLat-O1360))),IF((90 + (DecLat-O1360))&gt;90, (90 + (O1360-DecLat)), (90 + (DecLat-O1360))))</f>
        <v>34.475277777777777</v>
      </c>
      <c r="AG1360" s="257">
        <f>angularseperation(MoonRA,MoonDec,$M1360,$O1360)</f>
        <v>127.14959376056235</v>
      </c>
      <c r="AH1360" s="261">
        <f ca="1">MIN(100,IF($O$5&gt;80,0+30*($AG1360/100),IF($O$5&gt;70,0+50*($AG1360/100),IF($O$5&gt;60,5+50*($AG1360/100),IF($O$5&gt;50,10+60*($AG1360/100),IF($O$5&gt;40,15+70*($AG1360/100),IF($O$5&gt;30,20+70*($AG1360/100),IF($O$5&gt;20,40+55*($AG1360/100),(80+(20-$O$5)+30*($AG1360/100))))))))))</f>
        <v>100</v>
      </c>
      <c r="AI1360" s="262">
        <v>1904</v>
      </c>
      <c r="AJ1360" s="262"/>
      <c r="AK1360" s="262"/>
      <c r="AL1360" s="263">
        <v>79</v>
      </c>
      <c r="AM1360" s="264"/>
      <c r="AN1360" s="263"/>
      <c r="AO1360" s="263"/>
      <c r="AP1360" s="265"/>
      <c r="AQ1360" s="266"/>
      <c r="AR1360" s="267"/>
      <c r="AS1360" s="263"/>
      <c r="AT1360" s="263"/>
      <c r="AU1360" s="263"/>
      <c r="AV1360" s="264"/>
      <c r="AW1360" s="263"/>
      <c r="AX1360" s="263"/>
      <c r="AY1360" s="263"/>
      <c r="AZ1360" s="263"/>
      <c r="BA1360" s="263"/>
      <c r="BB1360" s="263"/>
      <c r="BC1360" s="263"/>
      <c r="BD1360" s="264"/>
      <c r="BE1360" s="263"/>
      <c r="BF1360" s="263"/>
      <c r="BG1360" s="263"/>
      <c r="BH1360" s="263"/>
      <c r="BI1360" s="263"/>
      <c r="BJ1360" s="404">
        <f>altaz(J2000_Bas,$O1360,$M1360,DecLat,DecLong,2)</f>
        <v>79.806762443647429</v>
      </c>
      <c r="BK1360" s="378" t="s">
        <v>1405</v>
      </c>
      <c r="BL1360" s="379">
        <f>IF((2*G1360)/60&lt;0.2,0.2,(2*G1360)/60)</f>
        <v>0.3</v>
      </c>
      <c r="BM1360" s="380">
        <f>MOD((50000+AD1360-$B$3+(0/24)),1)</f>
        <v>0.43339418263349216</v>
      </c>
      <c r="BN1360" s="381"/>
      <c r="BO1360" s="382">
        <v>1353</v>
      </c>
    </row>
    <row r="1361" spans="1:67" s="24" customFormat="1" ht="15" customHeight="1" x14ac:dyDescent="0.25">
      <c r="A1361" s="288" t="s">
        <v>1406</v>
      </c>
      <c r="B1361" s="241" t="str">
        <f>HYPERLINK(CONCATENATE($AT$3,BK1361,$AU$3),$AV$3)</f>
        <v>S</v>
      </c>
      <c r="C1361" s="242" t="str">
        <f>HYPERLINK(CONCATENATE($AT$4,BK1361,$AU$4,BL1361),$AV$4)</f>
        <v>A</v>
      </c>
      <c r="D1361" s="243" t="s">
        <v>5335</v>
      </c>
      <c r="E1361" s="244" t="s">
        <v>5184</v>
      </c>
      <c r="F1361" s="269" t="s">
        <v>3310</v>
      </c>
      <c r="G1361" s="273">
        <v>9</v>
      </c>
      <c r="H1361" s="283">
        <v>32600</v>
      </c>
      <c r="I1361" s="246">
        <v>90</v>
      </c>
      <c r="J1361" s="246">
        <v>3</v>
      </c>
      <c r="K1361" s="247" t="s">
        <v>4969</v>
      </c>
      <c r="L1361" s="248">
        <v>161703</v>
      </c>
      <c r="M1361" s="249">
        <f>15*(LEFT(TEXT($L1361,"000000"),2)+(MID(TEXT($L1361,"000000"),3,2)/60)+(RIGHT(TEXT($L1361,"000000"),2)/3600))</f>
        <v>244.26250000000002</v>
      </c>
      <c r="N1361" s="250">
        <v>-225832</v>
      </c>
      <c r="O1361" s="251">
        <f>IF($N1361&gt;0,(LEFT(TEXT($N1361,"000000"),2)+(MID(TEXT($N1361,"000000"),3,2)/60)+(RIGHT(TEXT($N1361,"000000"),2)/3600)),-(MID(TEXT($N1361,"000000"),2,2)+(MID(TEXT($N1361,"000000"),4,2)/60)+(RIGHT(TEXT($N1361,"000000"),2)/3600)))</f>
        <v>-22.975555555555555</v>
      </c>
      <c r="P1361" s="252" t="s">
        <v>109</v>
      </c>
      <c r="Q1361" s="253"/>
      <c r="R1361" s="247" t="s">
        <v>3639</v>
      </c>
      <c r="S1361" s="272" t="s">
        <v>3293</v>
      </c>
      <c r="T1361" s="273">
        <v>7.3</v>
      </c>
      <c r="U1361" s="274"/>
      <c r="V1361" s="280"/>
      <c r="W1361" s="244"/>
      <c r="X1361" s="244"/>
      <c r="Y1361" s="362"/>
      <c r="Z1361" s="257">
        <f>altaz(J2000_Bas,$O1361,$M1361,DecLat,DecLong,1)</f>
        <v>22.818742772910408</v>
      </c>
      <c r="AA1361" s="257">
        <f>altaz((J2000_Bas+(2*0.04167)),$O1361,$M1361,DecLat,DecLong,1)</f>
        <v>2.5862488916969339</v>
      </c>
      <c r="AB1361" s="257">
        <f>altaz((J2000_Bas+(4*0.04167)),$O1361,$M1361,DecLat,DecLong,1)</f>
        <v>-21.339494220128902</v>
      </c>
      <c r="AC1361" s="257">
        <f>altaz((J2000_Bas+(6*0.04167)),$O1361,$M1361,DecLat,DecLong,1)</f>
        <v>-46.805361888818446</v>
      </c>
      <c r="AD1361" s="258">
        <f>1+ transit((J2000_Bas-1),$O1361,$M1361,DecLat,DecLong)/360 + (GMTOffset/24) + (IF(DST="Y", 1, 0)/24)</f>
        <v>1.6714068372234581</v>
      </c>
      <c r="AE1361" s="259">
        <f>DATE(2001,9,21)+(M1361/360)*365 - (360*((DecLong/360)- (GMTOffset/24) ))</f>
        <v>37407.655034722222</v>
      </c>
      <c r="AF1361" s="260">
        <f>IF(DecLat&gt;0,IF((90 - (DecLat-O1361))&gt;90, (90 - (O1361-DecLat)), (90 - (DecLat-O1361))),IF((90 + (DecLat-O1361))&gt;90, (90 + (O1361-DecLat)), (90 + (DecLat-O1361))))</f>
        <v>36.024444444444441</v>
      </c>
      <c r="AG1361" s="257">
        <f>angularseperation(MoonRA,MoonDec,$M1361,$O1361)</f>
        <v>6.1007825941366862</v>
      </c>
      <c r="AH1361" s="261">
        <f ca="1">MIN(100,IF($O$5&gt;80,0+30*($AG1361/100),IF($O$5&gt;70,0+50*($AG1361/100),IF($O$5&gt;60,5+50*($AG1361/100),IF($O$5&gt;50,10+60*($AG1361/100),IF($O$5&gt;40,15+70*($AG1361/100),IF($O$5&gt;30,20+70*($AG1361/100),IF($O$5&gt;20,40+55*($AG1361/100),(80+(20-$O$5)+30*($AG1361/100))))))))))</f>
        <v>85.101295122391434</v>
      </c>
      <c r="AI1361" s="262">
        <v>6093</v>
      </c>
      <c r="AJ1361" s="262"/>
      <c r="AK1361" s="262"/>
      <c r="AL1361" s="263">
        <v>80</v>
      </c>
      <c r="AM1361" s="264"/>
      <c r="AN1361" s="263"/>
      <c r="AO1361" s="263"/>
      <c r="AP1361" s="265"/>
      <c r="AQ1361" s="266"/>
      <c r="AR1361" s="267"/>
      <c r="AS1361" s="263"/>
      <c r="AT1361" s="263"/>
      <c r="AU1361" s="263"/>
      <c r="AV1361" s="264"/>
      <c r="AW1361" s="263"/>
      <c r="AX1361" s="263"/>
      <c r="AY1361" s="263"/>
      <c r="AZ1361" s="263"/>
      <c r="BA1361" s="263"/>
      <c r="BB1361" s="263"/>
      <c r="BC1361" s="263"/>
      <c r="BD1361" s="264"/>
      <c r="BE1361" s="263"/>
      <c r="BF1361" s="263"/>
      <c r="BG1361" s="263"/>
      <c r="BH1361" s="263"/>
      <c r="BI1361" s="263"/>
      <c r="BJ1361" s="404">
        <f>altaz(J2000_Bas,$O1361,$M1361,DecLat,DecLong,2)</f>
        <v>221.68109514961779</v>
      </c>
      <c r="BK1361" s="378" t="s">
        <v>1406</v>
      </c>
      <c r="BL1361" s="379">
        <f>IF((2*G1361)/60&lt;0.2,0.2,(2*G1361)/60)</f>
        <v>0.3</v>
      </c>
      <c r="BM1361" s="380">
        <f>MOD((50000+AD1361-$B$3+(0/24)),1)</f>
        <v>0.88677376692794496</v>
      </c>
      <c r="BN1361" s="381"/>
      <c r="BO1361" s="382">
        <v>1354</v>
      </c>
    </row>
    <row r="1362" spans="1:67" s="24" customFormat="1" ht="15" customHeight="1" x14ac:dyDescent="0.25">
      <c r="A1362" s="288" t="s">
        <v>1407</v>
      </c>
      <c r="B1362" s="241" t="str">
        <f>HYPERLINK(CONCATENATE($AT$3,BK1362,$AU$3),$AV$3)</f>
        <v>S</v>
      </c>
      <c r="C1362" s="242" t="str">
        <f>HYPERLINK(CONCATENATE($AT$4,BK1362,$AU$4,BL1362),$AV$4)</f>
        <v>A</v>
      </c>
      <c r="D1362" s="243" t="s">
        <v>5638</v>
      </c>
      <c r="E1362" s="244" t="s">
        <v>5192</v>
      </c>
      <c r="F1362" s="269" t="s">
        <v>8704</v>
      </c>
      <c r="G1362" s="276">
        <v>27</v>
      </c>
      <c r="H1362" s="283">
        <v>12</v>
      </c>
      <c r="I1362" s="246">
        <v>92</v>
      </c>
      <c r="J1362" s="246">
        <v>4</v>
      </c>
      <c r="K1362" s="247" t="s">
        <v>4970</v>
      </c>
      <c r="L1362" s="248">
        <v>95533</v>
      </c>
      <c r="M1362" s="249">
        <f>15*(LEFT(TEXT($L1362,"000000"),2)+(MID(TEXT($L1362,"000000"),3,2)/60)+(RIGHT(TEXT($L1362,"000000"),2)/3600))</f>
        <v>148.88749999999999</v>
      </c>
      <c r="N1362" s="250">
        <v>690356</v>
      </c>
      <c r="O1362" s="251">
        <f>IF($N1362&gt;0,(LEFT(TEXT($N1362,"000000"),2)+(MID(TEXT($N1362,"000000"),3,2)/60)+(RIGHT(TEXT($N1362,"000000"),2)/3600)),-(MID(TEXT($N1362,"000000"),2,2)+(MID(TEXT($N1362,"000000"),4,2)/60)+(RIGHT(TEXT($N1362,"000000"),2)/3600)))</f>
        <v>69.065555555555548</v>
      </c>
      <c r="P1362" s="252" t="s">
        <v>37</v>
      </c>
      <c r="Q1362" s="253" t="s">
        <v>1408</v>
      </c>
      <c r="R1362" s="247" t="s">
        <v>3533</v>
      </c>
      <c r="S1362" s="272" t="s">
        <v>3293</v>
      </c>
      <c r="T1362" s="273">
        <v>6.9</v>
      </c>
      <c r="U1362" s="289">
        <v>22.09</v>
      </c>
      <c r="V1362" s="280">
        <v>60</v>
      </c>
      <c r="W1362" s="244"/>
      <c r="X1362" s="244"/>
      <c r="Y1362" s="362"/>
      <c r="Z1362" s="257">
        <f>altaz(J2000_Bas,$O1362,$M1362,DecLat,DecLong,1)</f>
        <v>14.870351117513977</v>
      </c>
      <c r="AA1362" s="257">
        <f>altaz((J2000_Bas+(2*0.04167)),$O1362,$M1362,DecLat,DecLong,1)</f>
        <v>10.508775890213764</v>
      </c>
      <c r="AB1362" s="257">
        <f>altaz((J2000_Bas+(4*0.04167)),$O1362,$M1362,DecLat,DecLong,1)</f>
        <v>10.871382844849197</v>
      </c>
      <c r="AC1362" s="257">
        <f>altaz((J2000_Bas+(6*0.04167)),$O1362,$M1362,DecLat,DecLong,1)</f>
        <v>15.879415961931212</v>
      </c>
      <c r="AD1362" s="258">
        <f>1+ transit((J2000_Bas-1),$O1362,$M1362,DecLat,DecLong)/360 + (GMTOffset/24) + (IF(DST="Y", 1, 0)/24)</f>
        <v>1.4064763081609579</v>
      </c>
      <c r="AE1362" s="259">
        <f>DATE(2001,9,21)+(M1362/360)*365 - (360*((DecLong/360)- (GMTOffset/24) ))</f>
        <v>37310.955381944441</v>
      </c>
      <c r="AF1362" s="260">
        <f>IF(DecLat&gt;0,IF((90 - (DecLat-O1362))&gt;90, (90 - (O1362-DecLat)), (90 - (DecLat-O1362))),IF((90 + (DecLat-O1362))&gt;90, (90 + (O1362-DecLat)), (90 + (DecLat-O1362))))</f>
        <v>51.934444444444452</v>
      </c>
      <c r="AG1362" s="257">
        <f>angularseperation(MoonRA,MoonDec,$M1362,$O1362)</f>
        <v>118.84363131317637</v>
      </c>
      <c r="AH1362" s="261">
        <f ca="1">MIN(100,IF($O$5&gt;80,0+30*($AG1362/100),IF($O$5&gt;70,0+50*($AG1362/100),IF($O$5&gt;60,5+50*($AG1362/100),IF($O$5&gt;50,10+60*($AG1362/100),IF($O$5&gt;40,15+70*($AG1362/100),IF($O$5&gt;30,20+70*($AG1362/100),IF($O$5&gt;20,40+55*($AG1362/100),(80+(20-$O$5)+30*($AG1362/100))))))))))</f>
        <v>100</v>
      </c>
      <c r="AI1362" s="262">
        <v>3031</v>
      </c>
      <c r="AJ1362" s="262"/>
      <c r="AK1362" s="262"/>
      <c r="AL1362" s="263">
        <v>81</v>
      </c>
      <c r="AM1362" s="264"/>
      <c r="AN1362" s="263"/>
      <c r="AO1362" s="263"/>
      <c r="AP1362" s="265"/>
      <c r="AQ1362" s="266"/>
      <c r="AR1362" s="267">
        <v>28630</v>
      </c>
      <c r="AS1362" s="263"/>
      <c r="AT1362" s="263"/>
      <c r="AU1362" s="263"/>
      <c r="AV1362" s="264"/>
      <c r="AW1362" s="263"/>
      <c r="AX1362" s="263"/>
      <c r="AY1362" s="263"/>
      <c r="AZ1362" s="263"/>
      <c r="BA1362" s="263"/>
      <c r="BB1362" s="263"/>
      <c r="BC1362" s="263"/>
      <c r="BD1362" s="264"/>
      <c r="BE1362" s="263"/>
      <c r="BF1362" s="263"/>
      <c r="BG1362" s="263"/>
      <c r="BH1362" s="263"/>
      <c r="BI1362" s="263"/>
      <c r="BJ1362" s="404">
        <f>altaz(J2000_Bas,$O1362,$M1362,DecLat,DecLong,2)</f>
        <v>345.42910583706407</v>
      </c>
      <c r="BK1362" s="378" t="s">
        <v>1407</v>
      </c>
      <c r="BL1362" s="379">
        <f>IF((2*G1362)/60&lt;0.2,0.2,(2*G1362)/60)</f>
        <v>0.9</v>
      </c>
      <c r="BM1362" s="380">
        <f>MOD((50000+AD1362-$B$3+(0/24)),1)</f>
        <v>0.62184323786641471</v>
      </c>
      <c r="BN1362" s="381"/>
      <c r="BO1362" s="382">
        <v>1355</v>
      </c>
    </row>
    <row r="1363" spans="1:67" s="24" customFormat="1" ht="15" customHeight="1" x14ac:dyDescent="0.25">
      <c r="A1363" s="288" t="s">
        <v>1409</v>
      </c>
      <c r="B1363" s="241" t="str">
        <f>HYPERLINK(CONCATENATE($AT$3,BK1363,$AU$3),$AV$3)</f>
        <v>S</v>
      </c>
      <c r="C1363" s="242" t="str">
        <f>HYPERLINK(CONCATENATE($AT$4,BK1363,$AU$4,BL1363),$AV$4)</f>
        <v>A</v>
      </c>
      <c r="D1363" s="243" t="s">
        <v>5638</v>
      </c>
      <c r="E1363" s="244" t="s">
        <v>5192</v>
      </c>
      <c r="F1363" s="269" t="s">
        <v>8689</v>
      </c>
      <c r="G1363" s="276">
        <v>10</v>
      </c>
      <c r="H1363" s="283">
        <v>12</v>
      </c>
      <c r="I1363" s="246">
        <v>35</v>
      </c>
      <c r="J1363" s="246">
        <v>5</v>
      </c>
      <c r="K1363" s="247" t="s">
        <v>4388</v>
      </c>
      <c r="L1363" s="248">
        <v>95553</v>
      </c>
      <c r="M1363" s="249">
        <f>15*(LEFT(TEXT($L1363,"000000"),2)+(MID(TEXT($L1363,"000000"),3,2)/60)+(RIGHT(TEXT($L1363,"000000"),2)/3600))</f>
        <v>148.97083333333333</v>
      </c>
      <c r="N1363" s="250">
        <v>694050</v>
      </c>
      <c r="O1363" s="251">
        <f>IF($N1363&gt;0,(LEFT(TEXT($N1363,"000000"),2)+(MID(TEXT($N1363,"000000"),3,2)/60)+(RIGHT(TEXT($N1363,"000000"),2)/3600)),-(MID(TEXT($N1363,"000000"),2,2)+(MID(TEXT($N1363,"000000"),4,2)/60)+(RIGHT(TEXT($N1363,"000000"),2)/3600)))</f>
        <v>69.680555555555557</v>
      </c>
      <c r="P1363" s="252" t="s">
        <v>37</v>
      </c>
      <c r="Q1363" s="253" t="s">
        <v>6847</v>
      </c>
      <c r="R1363" s="247" t="s">
        <v>3534</v>
      </c>
      <c r="S1363" s="272" t="s">
        <v>3293</v>
      </c>
      <c r="T1363" s="273">
        <v>8.4</v>
      </c>
      <c r="U1363" s="289">
        <v>21.39</v>
      </c>
      <c r="V1363" s="280">
        <v>80</v>
      </c>
      <c r="W1363" s="244"/>
      <c r="X1363" s="244"/>
      <c r="Y1363" s="362"/>
      <c r="Z1363" s="257">
        <f>altaz(J2000_Bas,$O1363,$M1363,DecLat,DecLong,1)</f>
        <v>15.377907739759578</v>
      </c>
      <c r="AA1363" s="257">
        <f>altaz((J2000_Bas+(2*0.04167)),$O1363,$M1363,DecLat,DecLong,1)</f>
        <v>11.117790351262341</v>
      </c>
      <c r="AB1363" s="257">
        <f>altaz((J2000_Bas+(4*0.04167)),$O1363,$M1363,DecLat,DecLong,1)</f>
        <v>11.457797562561753</v>
      </c>
      <c r="AC1363" s="257">
        <f>altaz((J2000_Bas+(6*0.04167)),$O1363,$M1363,DecLat,DecLong,1)</f>
        <v>16.324361771812789</v>
      </c>
      <c r="AD1363" s="258">
        <f>1+ transit((J2000_Bas-1),$O1363,$M1363,DecLat,DecLong)/360 + (GMTOffset/24) + (IF(DST="Y", 1, 0)/24)</f>
        <v>1.4067077896192914</v>
      </c>
      <c r="AE1363" s="259">
        <f>DATE(2001,9,21)+(M1363/360)*365 - (360*((DecLong/360)- (GMTOffset/24) ))</f>
        <v>37311.039872685185</v>
      </c>
      <c r="AF1363" s="260">
        <f>IF(DecLat&gt;0,IF((90 - (DecLat-O1363))&gt;90, (90 - (O1363-DecLat)), (90 - (DecLat-O1363))),IF((90 + (DecLat-O1363))&gt;90, (90 + (O1363-DecLat)), (90 + (DecLat-O1363))))</f>
        <v>51.319444444444443</v>
      </c>
      <c r="AG1363" s="257">
        <f>angularseperation(MoonRA,MoonDec,$M1363,$O1363)</f>
        <v>118.8221551907488</v>
      </c>
      <c r="AH1363" s="261">
        <f ca="1">MIN(100,IF($O$5&gt;80,0+30*($AG1363/100),IF($O$5&gt;70,0+50*($AG1363/100),IF($O$5&gt;60,5+50*($AG1363/100),IF($O$5&gt;50,10+60*($AG1363/100),IF($O$5&gt;40,15+70*($AG1363/100),IF($O$5&gt;30,20+70*($AG1363/100),IF($O$5&gt;20,40+55*($AG1363/100),(80+(20-$O$5)+30*($AG1363/100))))))))))</f>
        <v>100</v>
      </c>
      <c r="AI1363" s="262">
        <v>3034</v>
      </c>
      <c r="AJ1363" s="262"/>
      <c r="AK1363" s="262">
        <v>136</v>
      </c>
      <c r="AL1363" s="263">
        <v>82</v>
      </c>
      <c r="AM1363" s="264"/>
      <c r="AN1363" s="263">
        <v>337</v>
      </c>
      <c r="AO1363" s="263"/>
      <c r="AP1363" s="265"/>
      <c r="AQ1363" s="266"/>
      <c r="AR1363" s="267">
        <v>28655</v>
      </c>
      <c r="AS1363" s="263"/>
      <c r="AT1363" s="263"/>
      <c r="AU1363" s="263"/>
      <c r="AV1363" s="264"/>
      <c r="AW1363" s="263"/>
      <c r="AX1363" s="263"/>
      <c r="AY1363" s="263"/>
      <c r="AZ1363" s="263"/>
      <c r="BA1363" s="263"/>
      <c r="BB1363" s="263"/>
      <c r="BC1363" s="263"/>
      <c r="BD1363" s="264"/>
      <c r="BE1363" s="263"/>
      <c r="BF1363" s="263"/>
      <c r="BG1363" s="263"/>
      <c r="BH1363" s="263"/>
      <c r="BI1363" s="263"/>
      <c r="BJ1363" s="404">
        <f>altaz(J2000_Bas,$O1363,$M1363,DecLat,DecLong,2)</f>
        <v>345.7901421868678</v>
      </c>
      <c r="BK1363" s="378" t="s">
        <v>1409</v>
      </c>
      <c r="BL1363" s="379">
        <f>IF((2*G1363)/60&lt;0.2,0.2,(2*G1363)/60)</f>
        <v>0.33333333333333331</v>
      </c>
      <c r="BM1363" s="380">
        <f>MOD((50000+AD1363-$B$3+(0/24)),1)</f>
        <v>0.62207471932197222</v>
      </c>
      <c r="BN1363" s="381"/>
      <c r="BO1363" s="382">
        <v>1356</v>
      </c>
    </row>
    <row r="1364" spans="1:67" s="24" customFormat="1" ht="15" customHeight="1" x14ac:dyDescent="0.25">
      <c r="A1364" s="288" t="s">
        <v>1410</v>
      </c>
      <c r="B1364" s="241" t="str">
        <f>HYPERLINK(CONCATENATE($AT$3,BK1364,$AU$3),$AV$3)</f>
        <v>S</v>
      </c>
      <c r="C1364" s="242" t="str">
        <f>HYPERLINK(CONCATENATE($AT$4,BK1364,$AU$4,BL1364),$AV$4)</f>
        <v>A</v>
      </c>
      <c r="D1364" s="243" t="s">
        <v>5638</v>
      </c>
      <c r="E1364" s="244" t="s">
        <v>5192</v>
      </c>
      <c r="F1364" s="269" t="s">
        <v>8895</v>
      </c>
      <c r="G1364" s="276">
        <v>13</v>
      </c>
      <c r="H1364" s="283">
        <v>16</v>
      </c>
      <c r="I1364" s="246">
        <v>60</v>
      </c>
      <c r="J1364" s="246">
        <v>4</v>
      </c>
      <c r="K1364" s="247" t="s">
        <v>4971</v>
      </c>
      <c r="L1364" s="248">
        <v>133700</v>
      </c>
      <c r="M1364" s="249">
        <f>15*(LEFT(TEXT($L1364,"000000"),2)+(MID(TEXT($L1364,"000000"),3,2)/60)+(RIGHT(TEXT($L1364,"000000"),2)/3600))</f>
        <v>204.25</v>
      </c>
      <c r="N1364" s="250">
        <v>-295151</v>
      </c>
      <c r="O1364" s="251">
        <f>IF($N1364&gt;0,(LEFT(TEXT($N1364,"000000"),2)+(MID(TEXT($N1364,"000000"),3,2)/60)+(RIGHT(TEXT($N1364,"000000"),2)/3600)),-(MID(TEXT($N1364,"000000"),2,2)+(MID(TEXT($N1364,"000000"),4,2)/60)+(RIGHT(TEXT($N1364,"000000"),2)/3600)))</f>
        <v>-29.864166666666669</v>
      </c>
      <c r="P1364" s="252" t="s">
        <v>103</v>
      </c>
      <c r="Q1364" s="253" t="s">
        <v>6906</v>
      </c>
      <c r="R1364" s="247" t="s">
        <v>3612</v>
      </c>
      <c r="S1364" s="272" t="s">
        <v>3293</v>
      </c>
      <c r="T1364" s="273">
        <v>7.5</v>
      </c>
      <c r="U1364" s="289">
        <v>21.69</v>
      </c>
      <c r="V1364" s="280">
        <v>20</v>
      </c>
      <c r="W1364" s="244"/>
      <c r="X1364" s="244"/>
      <c r="Y1364" s="362"/>
      <c r="Z1364" s="257">
        <f>altaz(J2000_Bas,$O1364,$M1364,DecLat,DecLong,1)</f>
        <v>-8.617099608903553</v>
      </c>
      <c r="AA1364" s="257">
        <f>altaz((J2000_Bas+(2*0.04167)),$O1364,$M1364,DecLat,DecLong,1)</f>
        <v>-32.205812940363607</v>
      </c>
      <c r="AB1364" s="257">
        <f>altaz((J2000_Bas+(4*0.04167)),$O1364,$M1364,DecLat,DecLong,1)</f>
        <v>-57.309147118274005</v>
      </c>
      <c r="AC1364" s="257">
        <f>altaz((J2000_Bas+(6*0.04167)),$O1364,$M1364,DecLat,DecLong,1)</f>
        <v>-83.016236389056843</v>
      </c>
      <c r="AD1364" s="258">
        <f>1+ transit((J2000_Bas-1),$O1364,$M1364,DecLat,DecLong)/360 + (GMTOffset/24) + (IF(DST="Y", 1, 0)/24)</f>
        <v>1.560261015004708</v>
      </c>
      <c r="AE1364" s="259">
        <f>DATE(2001,9,21)+(M1364/360)*365 - (360*((DecLong/360)- (GMTOffset/24) ))</f>
        <v>37367.086805555555</v>
      </c>
      <c r="AF1364" s="260">
        <f>IF(DecLat&gt;0,IF((90 - (DecLat-O1364))&gt;90, (90 - (O1364-DecLat)), (90 - (DecLat-O1364))),IF((90 + (DecLat-O1364))&gt;90, (90 + (O1364-DecLat)), (90 + (DecLat-O1364))))</f>
        <v>29.135833333333331</v>
      </c>
      <c r="AG1364" s="257">
        <f>angularseperation(MoonRA,MoonDec,$M1364,$O1364)</f>
        <v>39.398114830963245</v>
      </c>
      <c r="AH1364" s="261">
        <f ca="1">MIN(100,IF($O$5&gt;80,0+30*($AG1364/100),IF($O$5&gt;70,0+50*($AG1364/100),IF($O$5&gt;60,5+50*($AG1364/100),IF($O$5&gt;50,10+60*($AG1364/100),IF($O$5&gt;40,15+70*($AG1364/100),IF($O$5&gt;30,20+70*($AG1364/100),IF($O$5&gt;20,40+55*($AG1364/100),(80+(20-$O$5)+30*($AG1364/100))))))))))</f>
        <v>95.090494793439404</v>
      </c>
      <c r="AI1364" s="262">
        <v>5236</v>
      </c>
      <c r="AJ1364" s="262"/>
      <c r="AK1364" s="262"/>
      <c r="AL1364" s="263">
        <v>83</v>
      </c>
      <c r="AM1364" s="264"/>
      <c r="AN1364" s="263"/>
      <c r="AO1364" s="263"/>
      <c r="AP1364" s="265"/>
      <c r="AQ1364" s="266"/>
      <c r="AR1364" s="267">
        <v>48082</v>
      </c>
      <c r="AS1364" s="263"/>
      <c r="AT1364" s="263"/>
      <c r="AU1364" s="263"/>
      <c r="AV1364" s="264"/>
      <c r="AW1364" s="263"/>
      <c r="AX1364" s="263"/>
      <c r="AY1364" s="263"/>
      <c r="AZ1364" s="263"/>
      <c r="BA1364" s="263"/>
      <c r="BB1364" s="263"/>
      <c r="BC1364" s="263"/>
      <c r="BD1364" s="264"/>
      <c r="BE1364" s="263"/>
      <c r="BF1364" s="263"/>
      <c r="BG1364" s="263"/>
      <c r="BH1364" s="263"/>
      <c r="BI1364" s="263"/>
      <c r="BJ1364" s="404">
        <f>altaz(J2000_Bas,$O1364,$M1364,DecLat,DecLong,2)</f>
        <v>240.23147234346277</v>
      </c>
      <c r="BK1364" s="378" t="s">
        <v>1410</v>
      </c>
      <c r="BL1364" s="379">
        <f>IF((2*G1364)/60&lt;0.2,0.2,(2*G1364)/60)</f>
        <v>0.43333333333333335</v>
      </c>
      <c r="BM1364" s="380">
        <f>MOD((50000+AD1364-$B$3+(0/24)),1)</f>
        <v>0.77562794470577501</v>
      </c>
      <c r="BN1364" s="381" t="s">
        <v>6500</v>
      </c>
      <c r="BO1364" s="382">
        <v>1357</v>
      </c>
    </row>
    <row r="1365" spans="1:67" s="24" customFormat="1" ht="15" customHeight="1" x14ac:dyDescent="0.25">
      <c r="A1365" s="288" t="s">
        <v>1411</v>
      </c>
      <c r="B1365" s="241" t="str">
        <f>HYPERLINK(CONCATENATE($AT$3,BK1365,$AU$3),$AV$3)</f>
        <v>S</v>
      </c>
      <c r="C1365" s="242" t="str">
        <f>HYPERLINK(CONCATENATE($AT$4,BK1365,$AU$4,BL1365),$AV$4)</f>
        <v>A</v>
      </c>
      <c r="D1365" s="243" t="s">
        <v>5638</v>
      </c>
      <c r="E1365" s="244" t="s">
        <v>5193</v>
      </c>
      <c r="F1365" s="269" t="s">
        <v>3311</v>
      </c>
      <c r="G1365" s="273">
        <v>6.5</v>
      </c>
      <c r="H1365" s="283">
        <v>50</v>
      </c>
      <c r="I1365" s="246">
        <v>96</v>
      </c>
      <c r="J1365" s="246">
        <v>2</v>
      </c>
      <c r="K1365" s="247" t="s">
        <v>4972</v>
      </c>
      <c r="L1365" s="248">
        <v>122504</v>
      </c>
      <c r="M1365" s="249">
        <f>15*(LEFT(TEXT($L1365,"000000"),2)+(MID(TEXT($L1365,"000000"),3,2)/60)+(RIGHT(TEXT($L1365,"000000"),2)/3600))</f>
        <v>186.26666666666665</v>
      </c>
      <c r="N1365" s="250">
        <v>125312</v>
      </c>
      <c r="O1365" s="251">
        <f>IF($N1365&gt;0,(LEFT(TEXT($N1365,"000000"),2)+(MID(TEXT($N1365,"000000"),3,2)/60)+(RIGHT(TEXT($N1365,"000000"),2)/3600)),-(MID(TEXT($N1365,"000000"),2,2)+(MID(TEXT($N1365,"000000"),4,2)/60)+(RIGHT(TEXT($N1365,"000000"),2)/3600)))</f>
        <v>12.886666666666667</v>
      </c>
      <c r="P1365" s="252" t="s">
        <v>61</v>
      </c>
      <c r="Q1365" s="253" t="s">
        <v>3255</v>
      </c>
      <c r="R1365" s="247" t="s">
        <v>3581</v>
      </c>
      <c r="S1365" s="272" t="s">
        <v>4245</v>
      </c>
      <c r="T1365" s="273">
        <v>9.1</v>
      </c>
      <c r="U1365" s="289">
        <v>21.89</v>
      </c>
      <c r="V1365" s="280"/>
      <c r="W1365" s="244"/>
      <c r="X1365" s="244"/>
      <c r="Y1365" s="362"/>
      <c r="Z1365" s="257">
        <f>altaz(J2000_Bas,$O1365,$M1365,DecLat,DecLong,1)</f>
        <v>-1.5149299500702709</v>
      </c>
      <c r="AA1365" s="257">
        <f>altaz((J2000_Bas+(2*0.04167)),$O1365,$M1365,DecLat,DecLong,1)</f>
        <v>-24.84884162562058</v>
      </c>
      <c r="AB1365" s="257">
        <f>altaz((J2000_Bas+(4*0.04167)),$O1365,$M1365,DecLat,DecLong,1)</f>
        <v>-42.05519954811578</v>
      </c>
      <c r="AC1365" s="257">
        <f>altaz((J2000_Bas+(6*0.04167)),$O1365,$M1365,DecLat,DecLong,1)</f>
        <v>-45.076031736519404</v>
      </c>
      <c r="AD1365" s="258">
        <f>1+ transit((J2000_Bas-1),$O1365,$M1365,DecLat,DecLong)/360 + (GMTOffset/24) + (IF(DST="Y", 1, 0)/24)</f>
        <v>1.5103073162963747</v>
      </c>
      <c r="AE1365" s="259">
        <f>DATE(2001,9,21)+(M1365/360)*365 - (360*((DecLong/360)- (GMTOffset/24) ))</f>
        <v>37348.853703703702</v>
      </c>
      <c r="AF1365" s="260">
        <f>IF(DecLat&gt;0,IF((90 - (DecLat-O1365))&gt;90, (90 - (O1365-DecLat)), (90 - (DecLat-O1365))),IF((90 + (DecLat-O1365))&gt;90, (90 + (O1365-DecLat)), (90 + (DecLat-O1365))))</f>
        <v>71.88666666666667</v>
      </c>
      <c r="AG1365" s="257">
        <f>angularseperation(MoonRA,MoonDec,$M1365,$O1365)</f>
        <v>72.97332118994828</v>
      </c>
      <c r="AH1365" s="261">
        <f ca="1">MIN(100,IF($O$5&gt;80,0+30*($AG1365/100),IF($O$5&gt;70,0+50*($AG1365/100),IF($O$5&gt;60,5+50*($AG1365/100),IF($O$5&gt;50,10+60*($AG1365/100),IF($O$5&gt;40,15+70*($AG1365/100),IF($O$5&gt;30,20+70*($AG1365/100),IF($O$5&gt;20,40+55*($AG1365/100),(80+(20-$O$5)+30*($AG1365/100))))))))))</f>
        <v>100</v>
      </c>
      <c r="AI1365" s="262">
        <v>4374</v>
      </c>
      <c r="AJ1365" s="262"/>
      <c r="AK1365" s="262"/>
      <c r="AL1365" s="263">
        <v>84</v>
      </c>
      <c r="AM1365" s="264"/>
      <c r="AN1365" s="263"/>
      <c r="AO1365" s="263"/>
      <c r="AP1365" s="265"/>
      <c r="AQ1365" s="266"/>
      <c r="AR1365" s="267">
        <v>40455</v>
      </c>
      <c r="AS1365" s="263"/>
      <c r="AT1365" s="263"/>
      <c r="AU1365" s="263"/>
      <c r="AV1365" s="264"/>
      <c r="AW1365" s="263"/>
      <c r="AX1365" s="263"/>
      <c r="AY1365" s="263"/>
      <c r="AZ1365" s="263"/>
      <c r="BA1365" s="263"/>
      <c r="BB1365" s="263"/>
      <c r="BC1365" s="263"/>
      <c r="BD1365" s="264"/>
      <c r="BE1365" s="263"/>
      <c r="BF1365" s="263"/>
      <c r="BG1365" s="263"/>
      <c r="BH1365" s="263"/>
      <c r="BI1365" s="263"/>
      <c r="BJ1365" s="404">
        <f>altaz(J2000_Bas,$O1365,$M1365,DecLat,DecLong,2)</f>
        <v>286.03163982825993</v>
      </c>
      <c r="BK1365" s="378" t="s">
        <v>1411</v>
      </c>
      <c r="BL1365" s="379">
        <f>IF((2*G1365)/60&lt;0.2,0.2,(2*G1365)/60)</f>
        <v>0.21666666666666667</v>
      </c>
      <c r="BM1365" s="380">
        <f>MOD((50000+AD1365-$B$3+(0/24)),1)</f>
        <v>0.72567424600129016</v>
      </c>
      <c r="BN1365" s="381"/>
      <c r="BO1365" s="382">
        <v>1358</v>
      </c>
    </row>
    <row r="1366" spans="1:67" s="24" customFormat="1" ht="15" customHeight="1" x14ac:dyDescent="0.25">
      <c r="A1366" s="288" t="s">
        <v>1413</v>
      </c>
      <c r="B1366" s="241" t="str">
        <f>HYPERLINK(CONCATENATE($AT$3,BK1366,$AU$3),$AV$3)</f>
        <v>S</v>
      </c>
      <c r="C1366" s="242" t="str">
        <f>HYPERLINK(CONCATENATE($AT$4,BK1366,$AU$4,BL1366),$AV$4)</f>
        <v>A</v>
      </c>
      <c r="D1366" s="243" t="s">
        <v>5638</v>
      </c>
      <c r="E1366" s="244" t="s">
        <v>5193</v>
      </c>
      <c r="F1366" s="269" t="s">
        <v>3304</v>
      </c>
      <c r="G1366" s="273">
        <v>7.7</v>
      </c>
      <c r="H1366" s="283">
        <v>50</v>
      </c>
      <c r="I1366" s="246">
        <v>114</v>
      </c>
      <c r="J1366" s="246">
        <v>2</v>
      </c>
      <c r="K1366" s="247" t="s">
        <v>5013</v>
      </c>
      <c r="L1366" s="248">
        <v>122524</v>
      </c>
      <c r="M1366" s="249">
        <f>15*(LEFT(TEXT($L1366,"000000"),2)+(MID(TEXT($L1366,"000000"),3,2)/60)+(RIGHT(TEXT($L1366,"000000"),2)/3600))</f>
        <v>186.34999999999997</v>
      </c>
      <c r="N1366" s="250">
        <v>181127</v>
      </c>
      <c r="O1366" s="251">
        <f>IF($N1366&gt;0,(LEFT(TEXT($N1366,"000000"),2)+(MID(TEXT($N1366,"000000"),3,2)/60)+(RIGHT(TEXT($N1366,"000000"),2)/3600)),-(MID(TEXT($N1366,"000000"),2,2)+(MID(TEXT($N1366,"000000"),4,2)/60)+(RIGHT(TEXT($N1366,"000000"),2)/3600)))</f>
        <v>18.190833333333334</v>
      </c>
      <c r="P1366" s="252" t="s">
        <v>190</v>
      </c>
      <c r="Q1366" s="253"/>
      <c r="R1366" s="247" t="s">
        <v>3582</v>
      </c>
      <c r="S1366" s="272" t="s">
        <v>4974</v>
      </c>
      <c r="T1366" s="273">
        <v>9.1</v>
      </c>
      <c r="U1366" s="289">
        <v>21.79</v>
      </c>
      <c r="V1366" s="280"/>
      <c r="W1366" s="244"/>
      <c r="X1366" s="244"/>
      <c r="Y1366" s="362"/>
      <c r="Z1366" s="257">
        <f>altaz(J2000_Bas,$O1366,$M1366,DecLat,DecLong,1)</f>
        <v>1.3892281187747237</v>
      </c>
      <c r="AA1366" s="257">
        <f>altaz((J2000_Bas+(2*0.04167)),$O1366,$M1366,DecLat,DecLong,1)</f>
        <v>-21.08709464667788</v>
      </c>
      <c r="AB1366" s="257">
        <f>altaz((J2000_Bas+(4*0.04167)),$O1366,$M1366,DecLat,DecLong,1)</f>
        <v>-37.125390568457227</v>
      </c>
      <c r="AC1366" s="257">
        <f>altaz((J2000_Bas+(6*0.04167)),$O1366,$M1366,DecLat,DecLong,1)</f>
        <v>-39.896332084889451</v>
      </c>
      <c r="AD1366" s="258">
        <f>1+ transit((J2000_Bas-1),$O1366,$M1366,DecLat,DecLong)/360 + (GMTOffset/24) + (IF(DST="Y", 1, 0)/24)</f>
        <v>1.5105387977547078</v>
      </c>
      <c r="AE1366" s="259">
        <f>DATE(2001,9,21)+(M1366/360)*365 - (360*((DecLong/360)- (GMTOffset/24) ))</f>
        <v>37348.938194444447</v>
      </c>
      <c r="AF1366" s="260">
        <f>IF(DecLat&gt;0,IF((90 - (DecLat-O1366))&gt;90, (90 - (O1366-DecLat)), (90 - (DecLat-O1366))),IF((90 + (DecLat-O1366))&gt;90, (90 + (O1366-DecLat)), (90 + (DecLat-O1366))))</f>
        <v>77.19083333333333</v>
      </c>
      <c r="AG1366" s="257">
        <f>angularseperation(MoonRA,MoonDec,$M1366,$O1366)</f>
        <v>75.919254941476552</v>
      </c>
      <c r="AH1366" s="261">
        <f ca="1">MIN(100,IF($O$5&gt;80,0+30*($AG1366/100),IF($O$5&gt;70,0+50*($AG1366/100),IF($O$5&gt;60,5+50*($AG1366/100),IF($O$5&gt;50,10+60*($AG1366/100),IF($O$5&gt;40,15+70*($AG1366/100),IF($O$5&gt;30,20+70*($AG1366/100),IF($O$5&gt;20,40+55*($AG1366/100),(80+(20-$O$5)+30*($AG1366/100))))))))))</f>
        <v>100</v>
      </c>
      <c r="AI1366" s="262">
        <v>4382</v>
      </c>
      <c r="AJ1366" s="262"/>
      <c r="AK1366" s="262"/>
      <c r="AL1366" s="263">
        <v>85</v>
      </c>
      <c r="AM1366" s="264"/>
      <c r="AN1366" s="263"/>
      <c r="AO1366" s="263"/>
      <c r="AP1366" s="265"/>
      <c r="AQ1366" s="266"/>
      <c r="AR1366" s="267">
        <v>40515</v>
      </c>
      <c r="AS1366" s="263"/>
      <c r="AT1366" s="263"/>
      <c r="AU1366" s="263"/>
      <c r="AV1366" s="264"/>
      <c r="AW1366" s="263"/>
      <c r="AX1366" s="263"/>
      <c r="AY1366" s="263"/>
      <c r="AZ1366" s="263"/>
      <c r="BA1366" s="263"/>
      <c r="BB1366" s="263"/>
      <c r="BC1366" s="263"/>
      <c r="BD1366" s="264"/>
      <c r="BE1366" s="263"/>
      <c r="BF1366" s="263"/>
      <c r="BG1366" s="263"/>
      <c r="BH1366" s="263"/>
      <c r="BI1366" s="263"/>
      <c r="BJ1366" s="404">
        <f>altaz(J2000_Bas,$O1366,$M1366,DecLat,DecLong,2)</f>
        <v>290.47131715070134</v>
      </c>
      <c r="BK1366" s="378" t="s">
        <v>1413</v>
      </c>
      <c r="BL1366" s="379">
        <f>IF((2*G1366)/60&lt;0.2,0.2,(2*G1366)/60)</f>
        <v>0.25666666666666665</v>
      </c>
      <c r="BM1366" s="380">
        <f>MOD((50000+AD1366-$B$3+(0/24)),1)</f>
        <v>0.72590572745684767</v>
      </c>
      <c r="BN1366" s="381"/>
      <c r="BO1366" s="382">
        <v>1359</v>
      </c>
    </row>
    <row r="1367" spans="1:67" s="24" customFormat="1" ht="15" customHeight="1" x14ac:dyDescent="0.25">
      <c r="A1367" s="288" t="s">
        <v>1414</v>
      </c>
      <c r="B1367" s="241" t="str">
        <f>HYPERLINK(CONCATENATE($AT$3,BK1367,$AU$3),$AV$3)</f>
        <v>S</v>
      </c>
      <c r="C1367" s="242" t="str">
        <f>HYPERLINK(CONCATENATE($AT$4,BK1367,$AU$4,BL1367),$AV$4)</f>
        <v>A</v>
      </c>
      <c r="D1367" s="243" t="s">
        <v>5638</v>
      </c>
      <c r="E1367" s="244" t="s">
        <v>5193</v>
      </c>
      <c r="F1367" s="269" t="s">
        <v>3303</v>
      </c>
      <c r="G1367" s="276">
        <v>10</v>
      </c>
      <c r="H1367" s="283">
        <v>50</v>
      </c>
      <c r="I1367" s="246">
        <v>150</v>
      </c>
      <c r="J1367" s="246">
        <v>3</v>
      </c>
      <c r="K1367" s="247" t="s">
        <v>4973</v>
      </c>
      <c r="L1367" s="248">
        <v>122612</v>
      </c>
      <c r="M1367" s="249">
        <f>15*(LEFT(TEXT($L1367,"000000"),2)+(MID(TEXT($L1367,"000000"),3,2)/60)+(RIGHT(TEXT($L1367,"000000"),2)/3600))</f>
        <v>186.55</v>
      </c>
      <c r="N1367" s="250">
        <v>125646</v>
      </c>
      <c r="O1367" s="251">
        <f>IF($N1367&gt;0,(LEFT(TEXT($N1367,"000000"),2)+(MID(TEXT($N1367,"000000"),3,2)/60)+(RIGHT(TEXT($N1367,"000000"),2)/3600)),-(MID(TEXT($N1367,"000000"),2,2)+(MID(TEXT($N1367,"000000"),4,2)/60)+(RIGHT(TEXT($N1367,"000000"),2)/3600)))</f>
        <v>12.946111111111112</v>
      </c>
      <c r="P1367" s="252" t="s">
        <v>61</v>
      </c>
      <c r="Q1367" s="253" t="s">
        <v>3255</v>
      </c>
      <c r="R1367" s="247" t="s">
        <v>3583</v>
      </c>
      <c r="S1367" s="272" t="s">
        <v>4244</v>
      </c>
      <c r="T1367" s="273">
        <v>8.9</v>
      </c>
      <c r="U1367" s="289">
        <v>22.09</v>
      </c>
      <c r="V1367" s="280"/>
      <c r="W1367" s="244"/>
      <c r="X1367" s="244"/>
      <c r="Y1367" s="362"/>
      <c r="Z1367" s="257">
        <f>altaz(J2000_Bas,$O1367,$M1367,DecLat,DecLong,1)</f>
        <v>-1.2497051257161949</v>
      </c>
      <c r="AA1367" s="257">
        <f>altaz((J2000_Bas+(2*0.04167)),$O1367,$M1367,DecLat,DecLong,1)</f>
        <v>-24.607401471201673</v>
      </c>
      <c r="AB1367" s="257">
        <f>altaz((J2000_Bas+(4*0.04167)),$O1367,$M1367,DecLat,DecLong,1)</f>
        <v>-41.890552709645135</v>
      </c>
      <c r="AC1367" s="257">
        <f>altaz((J2000_Bas+(6*0.04167)),$O1367,$M1367,DecLat,DecLong,1)</f>
        <v>-45.075215494527406</v>
      </c>
      <c r="AD1367" s="258">
        <f>1+ transit((J2000_Bas-1),$O1367,$M1367,DecLat,DecLong)/360 + (GMTOffset/24) + (IF(DST="Y", 1, 0)/24)</f>
        <v>1.5110943532547079</v>
      </c>
      <c r="AE1367" s="259">
        <f>DATE(2001,9,21)+(M1367/360)*365 - (360*((DecLong/360)- (GMTOffset/24) ))</f>
        <v>37349.140972222223</v>
      </c>
      <c r="AF1367" s="260">
        <f>IF(DecLat&gt;0,IF((90 - (DecLat-O1367))&gt;90, (90 - (O1367-DecLat)), (90 - (DecLat-O1367))),IF((90 + (DecLat-O1367))&gt;90, (90 + (O1367-DecLat)), (90 + (DecLat-O1367))))</f>
        <v>71.946111111111108</v>
      </c>
      <c r="AG1367" s="257">
        <f>angularseperation(MoonRA,MoonDec,$M1367,$O1367)</f>
        <v>72.777673943321929</v>
      </c>
      <c r="AH1367" s="261">
        <f ca="1">MIN(100,IF($O$5&gt;80,0+30*($AG1367/100),IF($O$5&gt;70,0+50*($AG1367/100),IF($O$5&gt;60,5+50*($AG1367/100),IF($O$5&gt;50,10+60*($AG1367/100),IF($O$5&gt;40,15+70*($AG1367/100),IF($O$5&gt;30,20+70*($AG1367/100),IF($O$5&gt;20,40+55*($AG1367/100),(80+(20-$O$5)+30*($AG1367/100))))))))))</f>
        <v>100</v>
      </c>
      <c r="AI1367" s="262">
        <v>4406</v>
      </c>
      <c r="AJ1367" s="262"/>
      <c r="AK1367" s="262"/>
      <c r="AL1367" s="263">
        <v>86</v>
      </c>
      <c r="AM1367" s="264"/>
      <c r="AN1367" s="263"/>
      <c r="AO1367" s="263"/>
      <c r="AP1367" s="265"/>
      <c r="AQ1367" s="266"/>
      <c r="AR1367" s="267">
        <v>40653</v>
      </c>
      <c r="AS1367" s="263"/>
      <c r="AT1367" s="263"/>
      <c r="AU1367" s="263"/>
      <c r="AV1367" s="264"/>
      <c r="AW1367" s="263"/>
      <c r="AX1367" s="263"/>
      <c r="AY1367" s="263"/>
      <c r="AZ1367" s="263"/>
      <c r="BA1367" s="263"/>
      <c r="BB1367" s="263"/>
      <c r="BC1367" s="263"/>
      <c r="BD1367" s="264"/>
      <c r="BE1367" s="263"/>
      <c r="BF1367" s="263"/>
      <c r="BG1367" s="263"/>
      <c r="BH1367" s="263"/>
      <c r="BI1367" s="263"/>
      <c r="BJ1367" s="404">
        <f>altaz(J2000_Bas,$O1367,$M1367,DecLat,DecLong,2)</f>
        <v>285.9343689385131</v>
      </c>
      <c r="BK1367" s="378" t="s">
        <v>1414</v>
      </c>
      <c r="BL1367" s="379">
        <f>IF((2*G1367)/60&lt;0.2,0.2,(2*G1367)/60)</f>
        <v>0.33333333333333331</v>
      </c>
      <c r="BM1367" s="380">
        <f>MOD((50000+AD1367-$B$3+(0/24)),1)</f>
        <v>0.72646128296037205</v>
      </c>
      <c r="BN1367" s="381"/>
      <c r="BO1367" s="382">
        <v>1360</v>
      </c>
    </row>
    <row r="1368" spans="1:67" s="24" customFormat="1" ht="15" customHeight="1" x14ac:dyDescent="0.25">
      <c r="A1368" s="288" t="s">
        <v>1415</v>
      </c>
      <c r="B1368" s="241" t="str">
        <f>HYPERLINK(CONCATENATE($AT$3,BK1368,$AU$3),$AV$3)</f>
        <v>S</v>
      </c>
      <c r="C1368" s="242" t="str">
        <f>HYPERLINK(CONCATENATE($AT$4,BK1368,$AU$4,BL1368),$AV$4)</f>
        <v>A</v>
      </c>
      <c r="D1368" s="243" t="s">
        <v>5638</v>
      </c>
      <c r="E1368" s="244" t="s">
        <v>5193</v>
      </c>
      <c r="F1368" s="269" t="s">
        <v>3304</v>
      </c>
      <c r="G1368" s="273">
        <v>9</v>
      </c>
      <c r="H1368" s="283">
        <v>50</v>
      </c>
      <c r="I1368" s="246">
        <v>130</v>
      </c>
      <c r="J1368" s="246">
        <v>4</v>
      </c>
      <c r="K1368" s="247" t="s">
        <v>4637</v>
      </c>
      <c r="L1368" s="248">
        <v>123049</v>
      </c>
      <c r="M1368" s="249">
        <f>15*(LEFT(TEXT($L1368,"000000"),2)+(MID(TEXT($L1368,"000000"),3,2)/60)+(RIGHT(TEXT($L1368,"000000"),2)/3600))</f>
        <v>187.70416666666665</v>
      </c>
      <c r="N1368" s="250">
        <v>122327</v>
      </c>
      <c r="O1368" s="251">
        <f>IF($N1368&gt;0,(LEFT(TEXT($N1368,"000000"),2)+(MID(TEXT($N1368,"000000"),3,2)/60)+(RIGHT(TEXT($N1368,"000000"),2)/3600)),-(MID(TEXT($N1368,"000000"),2,2)+(MID(TEXT($N1368,"000000"),4,2)/60)+(RIGHT(TEXT($N1368,"000000"),2)/3600)))</f>
        <v>12.390833333333333</v>
      </c>
      <c r="P1368" s="252" t="s">
        <v>61</v>
      </c>
      <c r="Q1368" s="253"/>
      <c r="R1368" s="247" t="s">
        <v>3359</v>
      </c>
      <c r="S1368" s="272" t="s">
        <v>3293</v>
      </c>
      <c r="T1368" s="273">
        <v>8.6</v>
      </c>
      <c r="U1368" s="289">
        <v>21.89</v>
      </c>
      <c r="V1368" s="280"/>
      <c r="W1368" s="244"/>
      <c r="X1368" s="244"/>
      <c r="Y1368" s="362"/>
      <c r="Z1368" s="257">
        <f>altaz(J2000_Bas,$O1368,$M1368,DecLat,DecLong,1)</f>
        <v>-0.59110239933546416</v>
      </c>
      <c r="AA1368" s="257">
        <f>altaz((J2000_Bas+(2*0.04167)),$O1368,$M1368,DecLat,DecLong,1)</f>
        <v>-24.161779540926361</v>
      </c>
      <c r="AB1368" s="257">
        <f>altaz((J2000_Bas+(4*0.04167)),$O1368,$M1368,DecLat,DecLong,1)</f>
        <v>-41.932619198830466</v>
      </c>
      <c r="AC1368" s="257">
        <f>altaz((J2000_Bas+(6*0.04167)),$O1368,$M1368,DecLat,DecLong,1)</f>
        <v>-45.838245194988268</v>
      </c>
      <c r="AD1368" s="258">
        <f>1+ transit((J2000_Bas-1),$O1368,$M1368,DecLat,DecLong)/360 + (GMTOffset/24) + (IF(DST="Y", 1, 0)/24)</f>
        <v>1.5143003714526246</v>
      </c>
      <c r="AE1368" s="259">
        <f>DATE(2001,9,21)+(M1368/360)*365 - (360*((DecLong/360)- (GMTOffset/24) ))</f>
        <v>37350.311168981483</v>
      </c>
      <c r="AF1368" s="260">
        <f>IF(DecLat&gt;0,IF((90 - (DecLat-O1368))&gt;90, (90 - (O1368-DecLat)), (90 - (DecLat-O1368))),IF((90 + (DecLat-O1368))&gt;90, (90 + (O1368-DecLat)), (90 + (DecLat-O1368))))</f>
        <v>71.390833333333333</v>
      </c>
      <c r="AG1368" s="257">
        <f>angularseperation(MoonRA,MoonDec,$M1368,$O1368)</f>
        <v>71.534325977849122</v>
      </c>
      <c r="AH1368" s="261">
        <f ca="1">MIN(100,IF($O$5&gt;80,0+30*($AG1368/100),IF($O$5&gt;70,0+50*($AG1368/100),IF($O$5&gt;60,5+50*($AG1368/100),IF($O$5&gt;50,10+60*($AG1368/100),IF($O$5&gt;40,15+70*($AG1368/100),IF($O$5&gt;30,20+70*($AG1368/100),IF($O$5&gt;20,40+55*($AG1368/100),(80+(20-$O$5)+30*($AG1368/100))))))))))</f>
        <v>100</v>
      </c>
      <c r="AI1368" s="262">
        <v>4486</v>
      </c>
      <c r="AJ1368" s="262"/>
      <c r="AK1368" s="262"/>
      <c r="AL1368" s="263">
        <v>87</v>
      </c>
      <c r="AM1368" s="264"/>
      <c r="AN1368" s="263">
        <v>152</v>
      </c>
      <c r="AO1368" s="263"/>
      <c r="AP1368" s="265"/>
      <c r="AQ1368" s="266"/>
      <c r="AR1368" s="267">
        <v>41361</v>
      </c>
      <c r="AS1368" s="263"/>
      <c r="AT1368" s="263"/>
      <c r="AU1368" s="263"/>
      <c r="AV1368" s="264"/>
      <c r="AW1368" s="263"/>
      <c r="AX1368" s="263"/>
      <c r="AY1368" s="263"/>
      <c r="AZ1368" s="263"/>
      <c r="BA1368" s="263"/>
      <c r="BB1368" s="263"/>
      <c r="BC1368" s="263"/>
      <c r="BD1368" s="264"/>
      <c r="BE1368" s="263"/>
      <c r="BF1368" s="263"/>
      <c r="BG1368" s="263"/>
      <c r="BH1368" s="263"/>
      <c r="BI1368" s="263"/>
      <c r="BJ1368" s="404">
        <f>altaz(J2000_Bas,$O1368,$M1368,DecLat,DecLong,2)</f>
        <v>284.86530343402217</v>
      </c>
      <c r="BK1368" s="378" t="s">
        <v>1415</v>
      </c>
      <c r="BL1368" s="379">
        <f>IF((2*G1368)/60&lt;0.2,0.2,(2*G1368)/60)</f>
        <v>0.3</v>
      </c>
      <c r="BM1368" s="380">
        <f>MOD((50000+AD1368-$B$3+(0/24)),1)</f>
        <v>0.72966730115876999</v>
      </c>
      <c r="BN1368" s="381"/>
      <c r="BO1368" s="382">
        <v>1361</v>
      </c>
    </row>
    <row r="1369" spans="1:67" s="24" customFormat="1" ht="15" customHeight="1" x14ac:dyDescent="0.25">
      <c r="A1369" s="288" t="s">
        <v>1416</v>
      </c>
      <c r="B1369" s="241" t="str">
        <f>HYPERLINK(CONCATENATE($AT$3,BK1369,$AU$3),$AV$3)</f>
        <v>S</v>
      </c>
      <c r="C1369" s="242" t="str">
        <f>HYPERLINK(CONCATENATE($AT$4,BK1369,$AU$4,BL1369),$AV$4)</f>
        <v>A</v>
      </c>
      <c r="D1369" s="243" t="s">
        <v>5638</v>
      </c>
      <c r="E1369" s="244" t="s">
        <v>5192</v>
      </c>
      <c r="F1369" s="269" t="s">
        <v>8688</v>
      </c>
      <c r="G1369" s="273">
        <v>7</v>
      </c>
      <c r="H1369" s="283">
        <v>60</v>
      </c>
      <c r="I1369" s="246">
        <v>120</v>
      </c>
      <c r="J1369" s="246">
        <v>4</v>
      </c>
      <c r="K1369" s="247" t="s">
        <v>4975</v>
      </c>
      <c r="L1369" s="248">
        <v>123159</v>
      </c>
      <c r="M1369" s="249">
        <f>15*(LEFT(TEXT($L1369,"000000"),2)+(MID(TEXT($L1369,"000000"),3,2)/60)+(RIGHT(TEXT($L1369,"000000"),2)/3600))</f>
        <v>187.99583333333334</v>
      </c>
      <c r="N1369" s="250">
        <v>142512</v>
      </c>
      <c r="O1369" s="251">
        <f>IF($N1369&gt;0,(LEFT(TEXT($N1369,"000000"),2)+(MID(TEXT($N1369,"000000"),3,2)/60)+(RIGHT(TEXT($N1369,"000000"),2)/3600)),-(MID(TEXT($N1369,"000000"),2,2)+(MID(TEXT($N1369,"000000"),4,2)/60)+(RIGHT(TEXT($N1369,"000000"),2)/3600)))</f>
        <v>14.42</v>
      </c>
      <c r="P1369" s="252" t="s">
        <v>190</v>
      </c>
      <c r="Q1369" s="253"/>
      <c r="R1369" s="247" t="s">
        <v>3585</v>
      </c>
      <c r="S1369" s="272" t="s">
        <v>3293</v>
      </c>
      <c r="T1369" s="273">
        <v>9.6</v>
      </c>
      <c r="U1369" s="289">
        <v>21.89</v>
      </c>
      <c r="V1369" s="280">
        <v>65</v>
      </c>
      <c r="W1369" s="244"/>
      <c r="X1369" s="244"/>
      <c r="Y1369" s="362"/>
      <c r="Z1369" s="257">
        <f>altaz(J2000_Bas,$O1369,$M1369,DecLat,DecLong,1)</f>
        <v>0.72337866805682538</v>
      </c>
      <c r="AA1369" s="257">
        <f>altaz((J2000_Bas+(2*0.04167)),$O1369,$M1369,DecLat,DecLong,1)</f>
        <v>-22.574407355668125</v>
      </c>
      <c r="AB1369" s="257">
        <f>altaz((J2000_Bas+(4*0.04167)),$O1369,$M1369,DecLat,DecLong,1)</f>
        <v>-39.97147680235615</v>
      </c>
      <c r="AC1369" s="257">
        <f>altaz((J2000_Bas+(6*0.04167)),$O1369,$M1369,DecLat,DecLong,1)</f>
        <v>-43.891246675606112</v>
      </c>
      <c r="AD1369" s="258">
        <f>1+ transit((J2000_Bas-1),$O1369,$M1369,DecLat,DecLong)/360 + (GMTOffset/24) + (IF(DST="Y", 1, 0)/24)</f>
        <v>1.5151105565567913</v>
      </c>
      <c r="AE1369" s="259">
        <f>DATE(2001,9,21)+(M1369/360)*365 - (360*((DecLong/360)- (GMTOffset/24) ))</f>
        <v>37350.606886574074</v>
      </c>
      <c r="AF1369" s="260">
        <f>IF(DecLat&gt;0,IF((90 - (DecLat-O1369))&gt;90, (90 - (O1369-DecLat)), (90 - (DecLat-O1369))),IF((90 + (DecLat-O1369))&gt;90, (90 + (O1369-DecLat)), (90 + (DecLat-O1369))))</f>
        <v>73.42</v>
      </c>
      <c r="AG1369" s="257">
        <f>angularseperation(MoonRA,MoonDec,$M1369,$O1369)</f>
        <v>72.456980769216216</v>
      </c>
      <c r="AH1369" s="261">
        <f ca="1">MIN(100,IF($O$5&gt;80,0+30*($AG1369/100),IF($O$5&gt;70,0+50*($AG1369/100),IF($O$5&gt;60,5+50*($AG1369/100),IF($O$5&gt;50,10+60*($AG1369/100),IF($O$5&gt;40,15+70*($AG1369/100),IF($O$5&gt;30,20+70*($AG1369/100),IF($O$5&gt;20,40+55*($AG1369/100),(80+(20-$O$5)+30*($AG1369/100))))))))))</f>
        <v>100</v>
      </c>
      <c r="AI1369" s="262">
        <v>4501</v>
      </c>
      <c r="AJ1369" s="262"/>
      <c r="AK1369" s="262"/>
      <c r="AL1369" s="263">
        <v>88</v>
      </c>
      <c r="AM1369" s="264"/>
      <c r="AN1369" s="263"/>
      <c r="AO1369" s="263"/>
      <c r="AP1369" s="265"/>
      <c r="AQ1369" s="266"/>
      <c r="AR1369" s="267">
        <v>41517</v>
      </c>
      <c r="AS1369" s="263"/>
      <c r="AT1369" s="263"/>
      <c r="AU1369" s="263"/>
      <c r="AV1369" s="264"/>
      <c r="AW1369" s="263"/>
      <c r="AX1369" s="263"/>
      <c r="AY1369" s="263"/>
      <c r="AZ1369" s="263"/>
      <c r="BA1369" s="263"/>
      <c r="BB1369" s="263"/>
      <c r="BC1369" s="263"/>
      <c r="BD1369" s="264"/>
      <c r="BE1369" s="263"/>
      <c r="BF1369" s="263"/>
      <c r="BG1369" s="263"/>
      <c r="BH1369" s="263"/>
      <c r="BI1369" s="263"/>
      <c r="BJ1369" s="404">
        <f>altaz(J2000_Bas,$O1369,$M1369,DecLat,DecLong,2)</f>
        <v>286.43700813141936</v>
      </c>
      <c r="BK1369" s="378" t="s">
        <v>1416</v>
      </c>
      <c r="BL1369" s="379">
        <f>IF((2*G1369)/60&lt;0.2,0.2,(2*G1369)/60)</f>
        <v>0.23333333333333334</v>
      </c>
      <c r="BM1369" s="380">
        <f>MOD((50000+AD1369-$B$3+(0/24)),1)</f>
        <v>0.73047748626413522</v>
      </c>
      <c r="BN1369" s="381" t="s">
        <v>9220</v>
      </c>
      <c r="BO1369" s="382">
        <v>1362</v>
      </c>
    </row>
    <row r="1370" spans="1:67" s="24" customFormat="1" ht="15" customHeight="1" x14ac:dyDescent="0.25">
      <c r="A1370" s="288" t="s">
        <v>1417</v>
      </c>
      <c r="B1370" s="241" t="str">
        <f>HYPERLINK(CONCATENATE($AT$3,BK1370,$AU$3),$AV$3)</f>
        <v>S</v>
      </c>
      <c r="C1370" s="242" t="str">
        <f>HYPERLINK(CONCATENATE($AT$4,BK1370,$AU$4,BL1370),$AV$4)</f>
        <v>A</v>
      </c>
      <c r="D1370" s="243" t="s">
        <v>5638</v>
      </c>
      <c r="E1370" s="244" t="s">
        <v>5193</v>
      </c>
      <c r="F1370" s="269" t="s">
        <v>3307</v>
      </c>
      <c r="G1370" s="273">
        <v>7</v>
      </c>
      <c r="H1370" s="283">
        <v>50</v>
      </c>
      <c r="I1370" s="246">
        <v>100</v>
      </c>
      <c r="J1370" s="246">
        <v>2</v>
      </c>
      <c r="K1370" s="247" t="s">
        <v>4976</v>
      </c>
      <c r="L1370" s="248">
        <v>123540</v>
      </c>
      <c r="M1370" s="249">
        <f>15*(LEFT(TEXT($L1370,"000000"),2)+(MID(TEXT($L1370,"000000"),3,2)/60)+(RIGHT(TEXT($L1370,"000000"),2)/3600))</f>
        <v>188.91666666666669</v>
      </c>
      <c r="N1370" s="250">
        <v>123323</v>
      </c>
      <c r="O1370" s="251">
        <f>IF($N1370&gt;0,(LEFT(TEXT($N1370,"000000"),2)+(MID(TEXT($N1370,"000000"),3,2)/60)+(RIGHT(TEXT($N1370,"000000"),2)/3600)),-(MID(TEXT($N1370,"000000"),2,2)+(MID(TEXT($N1370,"000000"),4,2)/60)+(RIGHT(TEXT($N1370,"000000"),2)/3600)))</f>
        <v>12.55638888888889</v>
      </c>
      <c r="P1370" s="252" t="s">
        <v>61</v>
      </c>
      <c r="Q1370" s="253"/>
      <c r="R1370" s="247" t="s">
        <v>3587</v>
      </c>
      <c r="S1370" s="272" t="s">
        <v>3293</v>
      </c>
      <c r="T1370" s="273">
        <v>9.8000000000000007</v>
      </c>
      <c r="U1370" s="289">
        <v>22.09</v>
      </c>
      <c r="V1370" s="280"/>
      <c r="W1370" s="244"/>
      <c r="X1370" s="244"/>
      <c r="Y1370" s="362"/>
      <c r="Z1370" s="257">
        <f>altaz(J2000_Bas,$O1370,$M1370,DecLat,DecLong,1)</f>
        <v>0.50190312951857219</v>
      </c>
      <c r="AA1370" s="257">
        <f>altaz((J2000_Bas+(2*0.04167)),$O1370,$M1370,DecLat,DecLong,1)</f>
        <v>-23.174632757758147</v>
      </c>
      <c r="AB1370" s="257">
        <f>altaz((J2000_Bas+(4*0.04167)),$O1370,$M1370,DecLat,DecLong,1)</f>
        <v>-41.271909131931523</v>
      </c>
      <c r="AC1370" s="257">
        <f>altaz((J2000_Bas+(6*0.04167)),$O1370,$M1370,DecLat,DecLong,1)</f>
        <v>-45.876536992638222</v>
      </c>
      <c r="AD1370" s="258">
        <f>1+ transit((J2000_Bas-1),$O1370,$M1370,DecLat,DecLong)/360 + (GMTOffset/24) + (IF(DST="Y", 1, 0)/24)</f>
        <v>1.5176684266713747</v>
      </c>
      <c r="AE1370" s="259">
        <f>DATE(2001,9,21)+(M1370/360)*365 - (360*((DecLong/360)- (GMTOffset/24) ))</f>
        <v>37351.540509259263</v>
      </c>
      <c r="AF1370" s="260">
        <f>IF(DecLat&gt;0,IF((90 - (DecLat-O1370))&gt;90, (90 - (O1370-DecLat)), (90 - (DecLat-O1370))),IF((90 + (DecLat-O1370))&gt;90, (90 + (O1370-DecLat)), (90 + (DecLat-O1370))))</f>
        <v>71.55638888888889</v>
      </c>
      <c r="AG1370" s="257">
        <f>angularseperation(MoonRA,MoonDec,$M1370,$O1370)</f>
        <v>70.654661712000603</v>
      </c>
      <c r="AH1370" s="261">
        <f ca="1">MIN(100,IF($O$5&gt;80,0+30*($AG1370/100),IF($O$5&gt;70,0+50*($AG1370/100),IF($O$5&gt;60,5+50*($AG1370/100),IF($O$5&gt;50,10+60*($AG1370/100),IF($O$5&gt;40,15+70*($AG1370/100),IF($O$5&gt;30,20+70*($AG1370/100),IF($O$5&gt;20,40+55*($AG1370/100),(80+(20-$O$5)+30*($AG1370/100))))))))))</f>
        <v>100</v>
      </c>
      <c r="AI1370" s="262">
        <v>4552</v>
      </c>
      <c r="AJ1370" s="262"/>
      <c r="AK1370" s="262"/>
      <c r="AL1370" s="263">
        <v>89</v>
      </c>
      <c r="AM1370" s="264"/>
      <c r="AN1370" s="263"/>
      <c r="AO1370" s="263"/>
      <c r="AP1370" s="265"/>
      <c r="AQ1370" s="266"/>
      <c r="AR1370" s="267">
        <v>41968</v>
      </c>
      <c r="AS1370" s="263"/>
      <c r="AT1370" s="263"/>
      <c r="AU1370" s="263"/>
      <c r="AV1370" s="264"/>
      <c r="AW1370" s="263"/>
      <c r="AX1370" s="263"/>
      <c r="AY1370" s="263"/>
      <c r="AZ1370" s="263"/>
      <c r="BA1370" s="263"/>
      <c r="BB1370" s="263"/>
      <c r="BC1370" s="263"/>
      <c r="BD1370" s="264"/>
      <c r="BE1370" s="263"/>
      <c r="BF1370" s="263"/>
      <c r="BG1370" s="263"/>
      <c r="BH1370" s="263"/>
      <c r="BI1370" s="263"/>
      <c r="BJ1370" s="404">
        <f>altaz(J2000_Bas,$O1370,$M1370,DecLat,DecLong,2)</f>
        <v>284.38123497051072</v>
      </c>
      <c r="BK1370" s="378" t="s">
        <v>1417</v>
      </c>
      <c r="BL1370" s="379">
        <f>IF((2*G1370)/60&lt;0.2,0.2,(2*G1370)/60)</f>
        <v>0.23333333333333334</v>
      </c>
      <c r="BM1370" s="380">
        <f>MOD((50000+AD1370-$B$3+(0/24)),1)</f>
        <v>0.7330353563738754</v>
      </c>
      <c r="BN1370" s="381"/>
      <c r="BO1370" s="382">
        <v>1363</v>
      </c>
    </row>
    <row r="1371" spans="1:67" s="24" customFormat="1" ht="15" customHeight="1" x14ac:dyDescent="0.25">
      <c r="A1371" s="288" t="s">
        <v>1418</v>
      </c>
      <c r="B1371" s="241" t="str">
        <f>HYPERLINK(CONCATENATE($AT$3,BK1371,$AU$3),$AV$3)</f>
        <v>S</v>
      </c>
      <c r="C1371" s="242" t="str">
        <f>HYPERLINK(CONCATENATE($AT$4,BK1371,$AU$4,BL1371),$AV$4)</f>
        <v>A</v>
      </c>
      <c r="D1371" s="243" t="s">
        <v>5638</v>
      </c>
      <c r="E1371" s="244" t="s">
        <v>5192</v>
      </c>
      <c r="F1371" s="269" t="s">
        <v>8919</v>
      </c>
      <c r="G1371" s="276">
        <v>10</v>
      </c>
      <c r="H1371" s="283">
        <v>55</v>
      </c>
      <c r="I1371" s="246">
        <v>150</v>
      </c>
      <c r="J1371" s="246">
        <v>4</v>
      </c>
      <c r="K1371" s="247" t="s">
        <v>3868</v>
      </c>
      <c r="L1371" s="248">
        <v>123650</v>
      </c>
      <c r="M1371" s="249">
        <f>15*(LEFT(TEXT($L1371,"000000"),2)+(MID(TEXT($L1371,"000000"),3,2)/60)+(RIGHT(TEXT($L1371,"000000"),2)/3600))</f>
        <v>189.20833333333334</v>
      </c>
      <c r="N1371" s="250">
        <v>130948</v>
      </c>
      <c r="O1371" s="251">
        <f>IF($N1371&gt;0,(LEFT(TEXT($N1371,"000000"),2)+(MID(TEXT($N1371,"000000"),3,2)/60)+(RIGHT(TEXT($N1371,"000000"),2)/3600)),-(MID(TEXT($N1371,"000000"),2,2)+(MID(TEXT($N1371,"000000"),4,2)/60)+(RIGHT(TEXT($N1371,"000000"),2)/3600)))</f>
        <v>13.163333333333334</v>
      </c>
      <c r="P1371" s="252" t="s">
        <v>61</v>
      </c>
      <c r="Q1371" s="253"/>
      <c r="R1371" s="247" t="s">
        <v>3588</v>
      </c>
      <c r="S1371" s="272" t="s">
        <v>3293</v>
      </c>
      <c r="T1371" s="273">
        <v>9.5</v>
      </c>
      <c r="U1371" s="289">
        <v>22.39</v>
      </c>
      <c r="V1371" s="280">
        <v>65</v>
      </c>
      <c r="W1371" s="244"/>
      <c r="X1371" s="244"/>
      <c r="Y1371" s="362"/>
      <c r="Z1371" s="257">
        <f>altaz(J2000_Bas,$O1371,$M1371,DecLat,DecLong,1)</f>
        <v>1.0626528366682202</v>
      </c>
      <c r="AA1371" s="257">
        <f>altaz((J2000_Bas+(2*0.04167)),$O1371,$M1371,DecLat,DecLong,1)</f>
        <v>-22.557024973465616</v>
      </c>
      <c r="AB1371" s="257">
        <f>altaz((J2000_Bas+(4*0.04167)),$O1371,$M1371,DecLat,DecLong,1)</f>
        <v>-40.601779159200468</v>
      </c>
      <c r="AC1371" s="257">
        <f>altaz((J2000_Bas+(6*0.04167)),$O1371,$M1371,DecLat,DecLong,1)</f>
        <v>-45.32040442132913</v>
      </c>
      <c r="AD1371" s="258">
        <f>1+ transit((J2000_Bas-1),$O1371,$M1371,DecLat,DecLong)/360 + (GMTOffset/24) + (IF(DST="Y", 1, 0)/24)</f>
        <v>1.5184786117755413</v>
      </c>
      <c r="AE1371" s="259">
        <f>DATE(2001,9,21)+(M1371/360)*365 - (360*((DecLong/360)- (GMTOffset/24) ))</f>
        <v>37351.836226851854</v>
      </c>
      <c r="AF1371" s="260">
        <f>IF(DecLat&gt;0,IF((90 - (DecLat-O1371))&gt;90, (90 - (O1371-DecLat)), (90 - (DecLat-O1371))),IF((90 + (DecLat-O1371))&gt;90, (90 + (O1371-DecLat)), (90 + (DecLat-O1371))))</f>
        <v>72.163333333333327</v>
      </c>
      <c r="AG1371" s="257">
        <f>angularseperation(MoonRA,MoonDec,$M1371,$O1371)</f>
        <v>70.770751866937701</v>
      </c>
      <c r="AH1371" s="261">
        <f ca="1">MIN(100,IF($O$5&gt;80,0+30*($AG1371/100),IF($O$5&gt;70,0+50*($AG1371/100),IF($O$5&gt;60,5+50*($AG1371/100),IF($O$5&gt;50,10+60*($AG1371/100),IF($O$5&gt;40,15+70*($AG1371/100),IF($O$5&gt;30,20+70*($AG1371/100),IF($O$5&gt;20,40+55*($AG1371/100),(80+(20-$O$5)+30*($AG1371/100))))))))))</f>
        <v>100</v>
      </c>
      <c r="AI1371" s="262">
        <v>4569</v>
      </c>
      <c r="AJ1371" s="262"/>
      <c r="AK1371" s="262"/>
      <c r="AL1371" s="263">
        <v>90</v>
      </c>
      <c r="AM1371" s="264"/>
      <c r="AN1371" s="263">
        <v>76</v>
      </c>
      <c r="AO1371" s="263"/>
      <c r="AP1371" s="265"/>
      <c r="AQ1371" s="266"/>
      <c r="AR1371" s="267">
        <v>42089</v>
      </c>
      <c r="AS1371" s="263"/>
      <c r="AT1371" s="263"/>
      <c r="AU1371" s="263"/>
      <c r="AV1371" s="264"/>
      <c r="AW1371" s="263"/>
      <c r="AX1371" s="263"/>
      <c r="AY1371" s="263"/>
      <c r="AZ1371" s="263"/>
      <c r="BA1371" s="263"/>
      <c r="BB1371" s="263"/>
      <c r="BC1371" s="263"/>
      <c r="BD1371" s="264"/>
      <c r="BE1371" s="263"/>
      <c r="BF1371" s="263"/>
      <c r="BG1371" s="263"/>
      <c r="BH1371" s="263"/>
      <c r="BI1371" s="263"/>
      <c r="BJ1371" s="404">
        <f>altaz(J2000_Bas,$O1371,$M1371,DecLat,DecLong,2)</f>
        <v>284.74841623470098</v>
      </c>
      <c r="BK1371" s="378" t="s">
        <v>1418</v>
      </c>
      <c r="BL1371" s="379">
        <f>IF((2*G1371)/60&lt;0.2,0.2,(2*G1371)/60)</f>
        <v>0.33333333333333331</v>
      </c>
      <c r="BM1371" s="380">
        <f>MOD((50000+AD1371-$B$3+(0/24)),1)</f>
        <v>0.73384554147924064</v>
      </c>
      <c r="BN1371" s="381"/>
      <c r="BO1371" s="382">
        <v>1364</v>
      </c>
    </row>
    <row r="1372" spans="1:67" s="24" customFormat="1" ht="15" customHeight="1" x14ac:dyDescent="0.25">
      <c r="A1372" s="288" t="s">
        <v>1419</v>
      </c>
      <c r="B1372" s="241" t="str">
        <f>HYPERLINK(CONCATENATE($AT$3,BK1372,$AU$3),$AV$3)</f>
        <v>S</v>
      </c>
      <c r="C1372" s="242" t="str">
        <f>HYPERLINK(CONCATENATE($AT$4,BK1372,$AU$4,BL1372),$AV$4)</f>
        <v>A</v>
      </c>
      <c r="D1372" s="243" t="s">
        <v>5638</v>
      </c>
      <c r="E1372" s="244" t="s">
        <v>5192</v>
      </c>
      <c r="F1372" s="269" t="s">
        <v>8917</v>
      </c>
      <c r="G1372" s="273">
        <v>5.6</v>
      </c>
      <c r="H1372" s="283">
        <v>55</v>
      </c>
      <c r="I1372" s="246">
        <v>90</v>
      </c>
      <c r="J1372" s="246">
        <v>4</v>
      </c>
      <c r="K1372" s="247" t="s">
        <v>7250</v>
      </c>
      <c r="L1372" s="248">
        <v>123527</v>
      </c>
      <c r="M1372" s="249">
        <f>15*(LEFT(TEXT($L1372,"000000"),2)+(MID(TEXT($L1372,"000000"),3,2)/60)+(RIGHT(TEXT($L1372,"000000"),2)/3600))</f>
        <v>188.86250000000001</v>
      </c>
      <c r="N1372" s="250">
        <v>142947</v>
      </c>
      <c r="O1372" s="251">
        <f>IF($N1372&gt;0,(LEFT(TEXT($N1372,"000000"),2)+(MID(TEXT($N1372,"000000"),3,2)/60)+(RIGHT(TEXT($N1372,"000000"),2)/3600)),-(MID(TEXT($N1372,"000000"),2,2)+(MID(TEXT($N1372,"000000"),4,2)/60)+(RIGHT(TEXT($N1372,"000000"),2)/3600)))</f>
        <v>14.496388888888887</v>
      </c>
      <c r="P1372" s="252" t="s">
        <v>190</v>
      </c>
      <c r="Q1372" s="253"/>
      <c r="R1372" s="247" t="s">
        <v>3586</v>
      </c>
      <c r="S1372" s="272" t="s">
        <v>3293</v>
      </c>
      <c r="T1372" s="273">
        <v>10.199999999999999</v>
      </c>
      <c r="U1372" s="289">
        <v>22.29</v>
      </c>
      <c r="V1372" s="280">
        <v>35</v>
      </c>
      <c r="W1372" s="244"/>
      <c r="X1372" s="244"/>
      <c r="Y1372" s="362"/>
      <c r="Z1372" s="257">
        <f>altaz(J2000_Bas,$O1372,$M1372,DecLat,DecLong,1)</f>
        <v>1.4768440897778432</v>
      </c>
      <c r="AA1372" s="257">
        <f>altaz((J2000_Bas+(2*0.04167)),$O1372,$M1372,DecLat,DecLong,1)</f>
        <v>-21.907194868259076</v>
      </c>
      <c r="AB1372" s="257">
        <f>altaz((J2000_Bas+(4*0.04167)),$O1372,$M1372,DecLat,DecLong,1)</f>
        <v>-39.547802542752784</v>
      </c>
      <c r="AC1372" s="257">
        <f>altaz((J2000_Bas+(6*0.04167)),$O1372,$M1372,DecLat,DecLong,1)</f>
        <v>-43.95187594441672</v>
      </c>
      <c r="AD1372" s="258">
        <f>1+ transit((J2000_Bas-1),$O1372,$M1372,DecLat,DecLong)/360 + (GMTOffset/24) + (IF(DST="Y", 1, 0)/24)</f>
        <v>1.5175179637234579</v>
      </c>
      <c r="AE1372" s="259">
        <f>DATE(2001,9,21)+(M1372/360)*365 - (360*((DecLong/360)- (GMTOffset/24) ))</f>
        <v>37351.485590277778</v>
      </c>
      <c r="AF1372" s="260">
        <f>IF(DecLat&gt;0,IF((90 - (DecLat-O1372))&gt;90, (90 - (O1372-DecLat)), (90 - (DecLat-O1372))),IF((90 + (DecLat-O1372))&gt;90, (90 + (O1372-DecLat)), (90 + (DecLat-O1372))))</f>
        <v>73.496388888888887</v>
      </c>
      <c r="AG1372" s="257">
        <f>angularseperation(MoonRA,MoonDec,$M1372,$O1372)</f>
        <v>71.815706846336212</v>
      </c>
      <c r="AH1372" s="261">
        <f ca="1">MIN(100,IF($O$5&gt;80,0+30*($AG1372/100),IF($O$5&gt;70,0+50*($AG1372/100),IF($O$5&gt;60,5+50*($AG1372/100),IF($O$5&gt;50,10+60*($AG1372/100),IF($O$5&gt;40,15+70*($AG1372/100),IF($O$5&gt;30,20+70*($AG1372/100),IF($O$5&gt;20,40+55*($AG1372/100),(80+(20-$O$5)+30*($AG1372/100))))))))))</f>
        <v>100</v>
      </c>
      <c r="AI1372" s="262">
        <v>4548</v>
      </c>
      <c r="AJ1372" s="262"/>
      <c r="AK1372" s="262">
        <v>257</v>
      </c>
      <c r="AL1372" s="263">
        <v>91</v>
      </c>
      <c r="AM1372" s="264"/>
      <c r="AN1372" s="263"/>
      <c r="AO1372" s="263"/>
      <c r="AP1372" s="265"/>
      <c r="AQ1372" s="266"/>
      <c r="AR1372" s="267">
        <v>41934</v>
      </c>
      <c r="AS1372" s="263"/>
      <c r="AT1372" s="263"/>
      <c r="AU1372" s="263"/>
      <c r="AV1372" s="264"/>
      <c r="AW1372" s="263"/>
      <c r="AX1372" s="263"/>
      <c r="AY1372" s="263"/>
      <c r="AZ1372" s="263"/>
      <c r="BA1372" s="263"/>
      <c r="BB1372" s="263"/>
      <c r="BC1372" s="263"/>
      <c r="BD1372" s="264"/>
      <c r="BE1372" s="263"/>
      <c r="BF1372" s="263"/>
      <c r="BG1372" s="263"/>
      <c r="BH1372" s="263"/>
      <c r="BI1372" s="263"/>
      <c r="BJ1372" s="404">
        <f>altaz(J2000_Bas,$O1372,$M1372,DecLat,DecLong,2)</f>
        <v>286.05955890032948</v>
      </c>
      <c r="BK1372" s="378" t="s">
        <v>1419</v>
      </c>
      <c r="BL1372" s="379">
        <f>IF((2*G1372)/60&lt;0.2,0.2,(2*G1372)/60)</f>
        <v>0.2</v>
      </c>
      <c r="BM1372" s="380">
        <f>MOD((50000+AD1372-$B$3+(0/24)),1)</f>
        <v>0.73288489342667162</v>
      </c>
      <c r="BN1372" s="381"/>
      <c r="BO1372" s="382">
        <v>1365</v>
      </c>
    </row>
    <row r="1373" spans="1:67" s="24" customFormat="1" ht="15" customHeight="1" x14ac:dyDescent="0.25">
      <c r="A1373" s="288" t="s">
        <v>1420</v>
      </c>
      <c r="B1373" s="241" t="str">
        <f>HYPERLINK(CONCATENATE($AT$3,BK1373,$AU$3),$AV$3)</f>
        <v>S</v>
      </c>
      <c r="C1373" s="242" t="str">
        <f>HYPERLINK(CONCATENATE($AT$4,BK1373,$AU$4,BL1373),$AV$4)</f>
        <v>A</v>
      </c>
      <c r="D1373" s="243" t="s">
        <v>5335</v>
      </c>
      <c r="E1373" s="244" t="s">
        <v>5184</v>
      </c>
      <c r="F1373" s="269" t="s">
        <v>3317</v>
      </c>
      <c r="G1373" s="276">
        <v>11</v>
      </c>
      <c r="H1373" s="283">
        <v>30000</v>
      </c>
      <c r="I1373" s="246">
        <v>100</v>
      </c>
      <c r="J1373" s="246">
        <v>3</v>
      </c>
      <c r="K1373" s="247" t="s">
        <v>4977</v>
      </c>
      <c r="L1373" s="248">
        <v>171707</v>
      </c>
      <c r="M1373" s="249">
        <f>15*(LEFT(TEXT($L1373,"000000"),2)+(MID(TEXT($L1373,"000000"),3,2)/60)+(RIGHT(TEXT($L1373,"000000"),2)/3600))</f>
        <v>259.2791666666667</v>
      </c>
      <c r="N1373" s="250">
        <v>430811</v>
      </c>
      <c r="O1373" s="251">
        <f>IF($N1373&gt;0,(LEFT(TEXT($N1373,"000000"),2)+(MID(TEXT($N1373,"000000"),3,2)/60)+(RIGHT(TEXT($N1373,"000000"),2)/3600)),-(MID(TEXT($N1373,"000000"),2,2)+(MID(TEXT($N1373,"000000"),4,2)/60)+(RIGHT(TEXT($N1373,"000000"),2)/3600)))</f>
        <v>43.136388888888888</v>
      </c>
      <c r="P1373" s="252" t="s">
        <v>111</v>
      </c>
      <c r="Q1373" s="253"/>
      <c r="R1373" s="247" t="s">
        <v>3652</v>
      </c>
      <c r="S1373" s="272" t="s">
        <v>3293</v>
      </c>
      <c r="T1373" s="273">
        <v>6.5</v>
      </c>
      <c r="U1373" s="274"/>
      <c r="V1373" s="280"/>
      <c r="W1373" s="244"/>
      <c r="X1373" s="244"/>
      <c r="Y1373" s="362"/>
      <c r="Z1373" s="257">
        <f>altaz(J2000_Bas,$O1373,$M1373,DecLat,DecLong,1)</f>
        <v>65.621509469965886</v>
      </c>
      <c r="AA1373" s="257">
        <f>altaz((J2000_Bas+(2*0.04167)),$O1373,$M1373,DecLat,DecLong,1)</f>
        <v>43.993596986429317</v>
      </c>
      <c r="AB1373" s="257">
        <f>altaz((J2000_Bas+(4*0.04167)),$O1373,$M1373,DecLat,DecLong,1)</f>
        <v>22.709454171206183</v>
      </c>
      <c r="AC1373" s="257">
        <f>altaz((J2000_Bas+(6*0.04167)),$O1373,$M1373,DecLat,DecLong,1)</f>
        <v>3.9222640329641565</v>
      </c>
      <c r="AD1373" s="258">
        <f>1+ transit((J2000_Bas-1),$O1373,$M1373,DecLat,DecLong)/360 + (GMTOffset/24) + (IF(DST="Y", 1, 0)/24)</f>
        <v>1.7131197960151248</v>
      </c>
      <c r="AE1373" s="259">
        <f>DATE(2001,9,21)+(M1373/360)*365 - (360*((DecLong/360)- (GMTOffset/24) ))</f>
        <v>37422.880266203705</v>
      </c>
      <c r="AF1373" s="260">
        <f>IF(DecLat&gt;0,IF((90 - (DecLat-O1373))&gt;90, (90 - (O1373-DecLat)), (90 - (DecLat-O1373))),IF((90 + (DecLat-O1373))&gt;90, (90 + (O1373-DecLat)), (90 + (DecLat-O1373))))</f>
        <v>77.863611111111112</v>
      </c>
      <c r="AG1373" s="257">
        <f>angularseperation(MoonRA,MoonDec,$M1373,$O1373)</f>
        <v>70.824816811040577</v>
      </c>
      <c r="AH1373" s="261">
        <f ca="1">MIN(100,IF($O$5&gt;80,0+30*($AG1373/100),IF($O$5&gt;70,0+50*($AG1373/100),IF($O$5&gt;60,5+50*($AG1373/100),IF($O$5&gt;50,10+60*($AG1373/100),IF($O$5&gt;40,15+70*($AG1373/100),IF($O$5&gt;30,20+70*($AG1373/100),IF($O$5&gt;20,40+55*($AG1373/100),(80+(20-$O$5)+30*($AG1373/100))))))))))</f>
        <v>100</v>
      </c>
      <c r="AI1373" s="262">
        <v>6341</v>
      </c>
      <c r="AJ1373" s="262"/>
      <c r="AK1373" s="262"/>
      <c r="AL1373" s="263">
        <v>92</v>
      </c>
      <c r="AM1373" s="264"/>
      <c r="AN1373" s="263"/>
      <c r="AO1373" s="263"/>
      <c r="AP1373" s="265"/>
      <c r="AQ1373" s="266"/>
      <c r="AR1373" s="267"/>
      <c r="AS1373" s="263"/>
      <c r="AT1373" s="263"/>
      <c r="AU1373" s="263"/>
      <c r="AV1373" s="264"/>
      <c r="AW1373" s="263"/>
      <c r="AX1373" s="263"/>
      <c r="AY1373" s="263"/>
      <c r="AZ1373" s="263"/>
      <c r="BA1373" s="263"/>
      <c r="BB1373" s="263"/>
      <c r="BC1373" s="263"/>
      <c r="BD1373" s="264"/>
      <c r="BE1373" s="263"/>
      <c r="BF1373" s="263"/>
      <c r="BG1373" s="263"/>
      <c r="BH1373" s="263"/>
      <c r="BI1373" s="263"/>
      <c r="BJ1373" s="404">
        <f>altaz(J2000_Bas,$O1373,$M1373,DecLat,DecLong,2)</f>
        <v>307.34441542127576</v>
      </c>
      <c r="BK1373" s="378" t="s">
        <v>1420</v>
      </c>
      <c r="BL1373" s="379">
        <f>IF((2*G1373)/60&lt;0.2,0.2,(2*G1373)/60)</f>
        <v>0.36666666666666664</v>
      </c>
      <c r="BM1373" s="380">
        <f>MOD((50000+AD1373-$B$3+(0/24)),1)</f>
        <v>0.92848672571562929</v>
      </c>
      <c r="BN1373" s="381"/>
      <c r="BO1373" s="382">
        <v>1366</v>
      </c>
    </row>
    <row r="1374" spans="1:67" s="24" customFormat="1" ht="15" customHeight="1" x14ac:dyDescent="0.25">
      <c r="A1374" s="288" t="s">
        <v>1421</v>
      </c>
      <c r="B1374" s="241" t="str">
        <f>HYPERLINK(CONCATENATE($AT$3,BK1374,$AU$3),$AV$3)</f>
        <v>S</v>
      </c>
      <c r="C1374" s="242" t="str">
        <f>HYPERLINK(CONCATENATE($AT$4,BK1374,$AU$4,BL1374),$AV$4)</f>
        <v>A</v>
      </c>
      <c r="D1374" s="243" t="s">
        <v>5335</v>
      </c>
      <c r="E1374" s="244" t="s">
        <v>5185</v>
      </c>
      <c r="F1374" s="269" t="s">
        <v>9584</v>
      </c>
      <c r="G1374" s="276">
        <v>24</v>
      </c>
      <c r="H1374" s="283">
        <v>3400</v>
      </c>
      <c r="I1374" s="246">
        <v>24</v>
      </c>
      <c r="J1374" s="246">
        <v>3</v>
      </c>
      <c r="K1374" s="247" t="s">
        <v>4978</v>
      </c>
      <c r="L1374" s="248">
        <v>74430</v>
      </c>
      <c r="M1374" s="249">
        <f>15*(LEFT(TEXT($L1374,"000000"),2)+(MID(TEXT($L1374,"000000"),3,2)/60)+(RIGHT(TEXT($L1374,"000000"),2)/3600))</f>
        <v>116.125</v>
      </c>
      <c r="N1374" s="250">
        <v>-235124</v>
      </c>
      <c r="O1374" s="251">
        <f>IF($N1374&gt;0,(LEFT(TEXT($N1374,"000000"),2)+(MID(TEXT($N1374,"000000"),3,2)/60)+(RIGHT(TEXT($N1374,"000000"),2)/3600)),-(MID(TEXT($N1374,"000000"),2,2)+(MID(TEXT($N1374,"000000"),4,2)/60)+(RIGHT(TEXT($N1374,"000000"),2)/3600)))</f>
        <v>-23.856666666666669</v>
      </c>
      <c r="P1374" s="252" t="s">
        <v>91</v>
      </c>
      <c r="Q1374" s="253"/>
      <c r="R1374" s="247" t="s">
        <v>3505</v>
      </c>
      <c r="S1374" s="272" t="s">
        <v>3293</v>
      </c>
      <c r="T1374" s="273">
        <v>6.2</v>
      </c>
      <c r="U1374" s="274"/>
      <c r="V1374" s="280"/>
      <c r="W1374" s="244"/>
      <c r="X1374" s="244"/>
      <c r="Y1374" s="362"/>
      <c r="Z1374" s="257">
        <f>altaz(J2000_Bas,$O1374,$M1374,DecLat,DecLong,1)</f>
        <v>-78.532027297795878</v>
      </c>
      <c r="AA1374" s="257">
        <f>altaz((J2000_Bas+(2*0.04167)),$O1374,$M1374,DecLat,DecLong,1)</f>
        <v>-70.933174117617455</v>
      </c>
      <c r="AB1374" s="257">
        <f>altaz((J2000_Bas+(4*0.04167)),$O1374,$M1374,DecLat,DecLong,1)</f>
        <v>-45.374910545447875</v>
      </c>
      <c r="AC1374" s="257">
        <f>altaz((J2000_Bas+(6*0.04167)),$O1374,$M1374,DecLat,DecLong,1)</f>
        <v>-20.039407495121541</v>
      </c>
      <c r="AD1374" s="258">
        <f>1+ transit((J2000_Bas-1),$O1374,$M1374,DecLat,DecLong)/360 + (GMTOffset/24) + (IF(DST="Y", 1, 0)/24)</f>
        <v>1.315469372817208</v>
      </c>
      <c r="AE1374" s="259">
        <f>DATE(2001,9,21)+(M1374/360)*365 - (360*((DecLong/360)- (GMTOffset/24) ))</f>
        <v>37277.737847222219</v>
      </c>
      <c r="AF1374" s="260">
        <f>IF(DecLat&gt;0,IF((90 - (DecLat-O1374))&gt;90, (90 - (O1374-DecLat)), (90 - (DecLat-O1374))),IF((90 + (DecLat-O1374))&gt;90, (90 + (O1374-DecLat)), (90 + (DecLat-O1374))))</f>
        <v>35.143333333333331</v>
      </c>
      <c r="AG1374" s="257">
        <f>angularseperation(MoonRA,MoonDec,$M1374,$O1374)</f>
        <v>111.86363233136687</v>
      </c>
      <c r="AH1374" s="261">
        <f ca="1">MIN(100,IF($O$5&gt;80,0+30*($AG1374/100),IF($O$5&gt;70,0+50*($AG1374/100),IF($O$5&gt;60,5+50*($AG1374/100),IF($O$5&gt;50,10+60*($AG1374/100),IF($O$5&gt;40,15+70*($AG1374/100),IF($O$5&gt;30,20+70*($AG1374/100),IF($O$5&gt;20,40+55*($AG1374/100),(80+(20-$O$5)+30*($AG1374/100))))))))))</f>
        <v>100</v>
      </c>
      <c r="AI1374" s="262">
        <v>2447</v>
      </c>
      <c r="AJ1374" s="262"/>
      <c r="AK1374" s="262"/>
      <c r="AL1374" s="263">
        <v>93</v>
      </c>
      <c r="AM1374" s="264"/>
      <c r="AN1374" s="263"/>
      <c r="AO1374" s="263"/>
      <c r="AP1374" s="265"/>
      <c r="AQ1374" s="266"/>
      <c r="AR1374" s="267"/>
      <c r="AS1374" s="263"/>
      <c r="AT1374" s="263"/>
      <c r="AU1374" s="263"/>
      <c r="AV1374" s="264"/>
      <c r="AW1374" s="263"/>
      <c r="AX1374" s="263"/>
      <c r="AY1374" s="263"/>
      <c r="AZ1374" s="263"/>
      <c r="BA1374" s="263"/>
      <c r="BB1374" s="263"/>
      <c r="BC1374" s="263"/>
      <c r="BD1374" s="264"/>
      <c r="BE1374" s="263"/>
      <c r="BF1374" s="263"/>
      <c r="BG1374" s="263"/>
      <c r="BH1374" s="263"/>
      <c r="BI1374" s="263"/>
      <c r="BJ1374" s="404">
        <f>altaz(J2000_Bas,$O1374,$M1374,DecLat,DecLong,2)</f>
        <v>306.05580012702507</v>
      </c>
      <c r="BK1374" s="378" t="s">
        <v>1421</v>
      </c>
      <c r="BL1374" s="379">
        <f>IF((2*G1374)/60&lt;0.2,0.2,(2*G1374)/60)</f>
        <v>0.8</v>
      </c>
      <c r="BM1374" s="380">
        <f>MOD((50000+AD1374-$B$3+(0/24)),1)</f>
        <v>0.53083630251785507</v>
      </c>
      <c r="BN1374" s="381"/>
      <c r="BO1374" s="382">
        <v>1367</v>
      </c>
    </row>
    <row r="1375" spans="1:67" s="24" customFormat="1" ht="15" customHeight="1" x14ac:dyDescent="0.25">
      <c r="A1375" s="288" t="s">
        <v>1422</v>
      </c>
      <c r="B1375" s="241" t="str">
        <f>HYPERLINK(CONCATENATE($AT$3,BK1375,$AU$3),$AV$3)</f>
        <v>S</v>
      </c>
      <c r="C1375" s="242" t="str">
        <f>HYPERLINK(CONCATENATE($AT$4,BK1375,$AU$4,BL1375),$AV$4)</f>
        <v>A</v>
      </c>
      <c r="D1375" s="243" t="s">
        <v>5638</v>
      </c>
      <c r="E1375" s="244" t="s">
        <v>5192</v>
      </c>
      <c r="F1375" s="269" t="s">
        <v>8718</v>
      </c>
      <c r="G1375" s="276">
        <v>11</v>
      </c>
      <c r="H1375" s="283">
        <v>15</v>
      </c>
      <c r="I1375" s="246">
        <v>50</v>
      </c>
      <c r="J1375" s="246">
        <v>4</v>
      </c>
      <c r="K1375" s="247" t="s">
        <v>4979</v>
      </c>
      <c r="L1375" s="248">
        <v>125053</v>
      </c>
      <c r="M1375" s="249">
        <f>15*(LEFT(TEXT($L1375,"000000"),2)+(MID(TEXT($L1375,"000000"),3,2)/60)+(RIGHT(TEXT($L1375,"000000"),2)/3600))</f>
        <v>192.72083333333333</v>
      </c>
      <c r="N1375" s="250">
        <v>410712</v>
      </c>
      <c r="O1375" s="251">
        <f>IF($N1375&gt;0,(LEFT(TEXT($N1375,"000000"),2)+(MID(TEXT($N1375,"000000"),3,2)/60)+(RIGHT(TEXT($N1375,"000000"),2)/3600)),-(MID(TEXT($N1375,"000000"),2,2)+(MID(TEXT($N1375,"000000"),4,2)/60)+(RIGHT(TEXT($N1375,"000000"),2)/3600)))</f>
        <v>41.12</v>
      </c>
      <c r="P1375" s="252" t="s">
        <v>242</v>
      </c>
      <c r="Q1375" s="253" t="s">
        <v>6863</v>
      </c>
      <c r="R1375" s="247" t="s">
        <v>3600</v>
      </c>
      <c r="S1375" s="272" t="s">
        <v>3293</v>
      </c>
      <c r="T1375" s="273">
        <v>8.1999999999999993</v>
      </c>
      <c r="U1375" s="289">
        <v>21.990000000000002</v>
      </c>
      <c r="V1375" s="280">
        <v>15</v>
      </c>
      <c r="W1375" s="244"/>
      <c r="X1375" s="244"/>
      <c r="Y1375" s="362"/>
      <c r="Z1375" s="257">
        <f>altaz(J2000_Bas,$O1375,$M1375,DecLat,DecLong,1)</f>
        <v>17.562297028840923</v>
      </c>
      <c r="AA1375" s="257">
        <f>altaz((J2000_Bas+(2*0.04167)),$O1375,$M1375,DecLat,DecLong,1)</f>
        <v>-0.9418788367340285</v>
      </c>
      <c r="AB1375" s="257">
        <f>altaz((J2000_Bas+(4*0.04167)),$O1375,$M1375,DecLat,DecLong,1)</f>
        <v>-13.823564629897033</v>
      </c>
      <c r="AC1375" s="257">
        <f>altaz((J2000_Bas+(6*0.04167)),$O1375,$M1375,DecLat,DecLong,1)</f>
        <v>-17.806030132197812</v>
      </c>
      <c r="AD1375" s="258">
        <f>1+ transit((J2000_Bas-1),$O1375,$M1375,DecLat,DecLong)/360 + (GMTOffset/24) + (IF(DST="Y", 1, 0)/24)</f>
        <v>1.5282355552442912</v>
      </c>
      <c r="AE1375" s="259">
        <f>DATE(2001,9,21)+(M1375/360)*365 - (360*((DecLong/360)- (GMTOffset/24) ))</f>
        <v>37355.397511574076</v>
      </c>
      <c r="AF1375" s="260">
        <f>IF(DecLat&gt;0,IF((90 - (DecLat-O1375))&gt;90, (90 - (O1375-DecLat)), (90 - (DecLat-O1375))),IF((90 + (DecLat-O1375))&gt;90, (90 + (O1375-DecLat)), (90 + (DecLat-O1375))))</f>
        <v>79.88</v>
      </c>
      <c r="AG1375" s="257">
        <f>angularseperation(MoonRA,MoonDec,$M1375,$O1375)</f>
        <v>85.9532920846992</v>
      </c>
      <c r="AH1375" s="261">
        <f ca="1">MIN(100,IF($O$5&gt;80,0+30*($AG1375/100),IF($O$5&gt;70,0+50*($AG1375/100),IF($O$5&gt;60,5+50*($AG1375/100),IF($O$5&gt;50,10+60*($AG1375/100),IF($O$5&gt;40,15+70*($AG1375/100),IF($O$5&gt;30,20+70*($AG1375/100),IF($O$5&gt;20,40+55*($AG1375/100),(80+(20-$O$5)+30*($AG1375/100))))))))))</f>
        <v>100</v>
      </c>
      <c r="AI1375" s="262">
        <v>4736</v>
      </c>
      <c r="AJ1375" s="262"/>
      <c r="AK1375" s="262"/>
      <c r="AL1375" s="263">
        <v>94</v>
      </c>
      <c r="AM1375" s="264"/>
      <c r="AN1375" s="263"/>
      <c r="AO1375" s="263"/>
      <c r="AP1375" s="265"/>
      <c r="AQ1375" s="266"/>
      <c r="AR1375" s="267">
        <v>43495</v>
      </c>
      <c r="AS1375" s="263"/>
      <c r="AT1375" s="263"/>
      <c r="AU1375" s="263"/>
      <c r="AV1375" s="264"/>
      <c r="AW1375" s="263"/>
      <c r="AX1375" s="263"/>
      <c r="AY1375" s="263"/>
      <c r="AZ1375" s="263"/>
      <c r="BA1375" s="263"/>
      <c r="BB1375" s="263"/>
      <c r="BC1375" s="263"/>
      <c r="BD1375" s="264"/>
      <c r="BE1375" s="263"/>
      <c r="BF1375" s="263"/>
      <c r="BG1375" s="263"/>
      <c r="BH1375" s="263"/>
      <c r="BI1375" s="263"/>
      <c r="BJ1375" s="404">
        <f>altaz(J2000_Bas,$O1375,$M1375,DecLat,DecLong,2)</f>
        <v>307.92014628475488</v>
      </c>
      <c r="BK1375" s="378" t="s">
        <v>1422</v>
      </c>
      <c r="BL1375" s="379">
        <f>IF((2*G1375)/60&lt;0.2,0.2,(2*G1375)/60)</f>
        <v>0.36666666666666664</v>
      </c>
      <c r="BM1375" s="380">
        <f>MOD((50000+AD1375-$B$3+(0/24)),1)</f>
        <v>0.74360248494485859</v>
      </c>
      <c r="BN1375" s="381" t="s">
        <v>9116</v>
      </c>
      <c r="BO1375" s="382">
        <v>1368</v>
      </c>
    </row>
    <row r="1376" spans="1:67" s="24" customFormat="1" ht="15" customHeight="1" x14ac:dyDescent="0.25">
      <c r="A1376" s="288" t="s">
        <v>1423</v>
      </c>
      <c r="B1376" s="241" t="str">
        <f>HYPERLINK(CONCATENATE($AT$3,BK1376,$AU$3),$AV$3)</f>
        <v>S</v>
      </c>
      <c r="C1376" s="242" t="str">
        <f>HYPERLINK(CONCATENATE($AT$4,BK1376,$AU$4,BL1376),$AV$4)</f>
        <v>A</v>
      </c>
      <c r="D1376" s="243" t="s">
        <v>5638</v>
      </c>
      <c r="E1376" s="244" t="s">
        <v>5192</v>
      </c>
      <c r="F1376" s="269" t="s">
        <v>8920</v>
      </c>
      <c r="G1376" s="273">
        <v>7</v>
      </c>
      <c r="H1376" s="283">
        <v>32</v>
      </c>
      <c r="I1376" s="246">
        <v>70</v>
      </c>
      <c r="J1376" s="246">
        <v>3</v>
      </c>
      <c r="K1376" s="247" t="s">
        <v>4980</v>
      </c>
      <c r="L1376" s="248">
        <v>104358</v>
      </c>
      <c r="M1376" s="249">
        <f>15*(LEFT(TEXT($L1376,"000000"),2)+(MID(TEXT($L1376,"000000"),3,2)/60)+(RIGHT(TEXT($L1376,"000000"),2)/3600))</f>
        <v>160.99166666666667</v>
      </c>
      <c r="N1376" s="250">
        <v>114213</v>
      </c>
      <c r="O1376" s="251">
        <f>IF($N1376&gt;0,(LEFT(TEXT($N1376,"000000"),2)+(MID(TEXT($N1376,"000000"),3,2)/60)+(RIGHT(TEXT($N1376,"000000"),2)/3600)),-(MID(TEXT($N1376,"000000"),2,2)+(MID(TEXT($N1376,"000000"),4,2)/60)+(RIGHT(TEXT($N1376,"000000"),2)/3600)))</f>
        <v>11.70361111111111</v>
      </c>
      <c r="P1376" s="252" t="s">
        <v>183</v>
      </c>
      <c r="Q1376" s="253"/>
      <c r="R1376" s="247" t="s">
        <v>3544</v>
      </c>
      <c r="S1376" s="272" t="s">
        <v>4242</v>
      </c>
      <c r="T1376" s="273">
        <v>9.6999999999999993</v>
      </c>
      <c r="U1376" s="289">
        <v>22.39</v>
      </c>
      <c r="V1376" s="280">
        <v>45</v>
      </c>
      <c r="W1376" s="244"/>
      <c r="X1376" s="244"/>
      <c r="Y1376" s="362"/>
      <c r="Z1376" s="257">
        <f>altaz(J2000_Bas,$O1376,$M1376,DecLat,DecLong,1)</f>
        <v>-22.153305797920474</v>
      </c>
      <c r="AA1376" s="257">
        <f>altaz((J2000_Bas+(2*0.04167)),$O1376,$M1376,DecLat,DecLong,1)</f>
        <v>-41.057933948224843</v>
      </c>
      <c r="AB1376" s="257">
        <f>altaz((J2000_Bas+(4*0.04167)),$O1376,$M1376,DecLat,DecLong,1)</f>
        <v>-47.007576149230992</v>
      </c>
      <c r="AC1376" s="257">
        <f>altaz((J2000_Bas+(6*0.04167)),$O1376,$M1376,DecLat,DecLong,1)</f>
        <v>-35.510147447678968</v>
      </c>
      <c r="AD1376" s="258">
        <f>1+ transit((J2000_Bas-1),$O1376,$M1376,DecLat,DecLong)/360 + (GMTOffset/24) + (IF(DST="Y", 1, 0)/24)</f>
        <v>1.4400989899838745</v>
      </c>
      <c r="AE1376" s="259">
        <f>DATE(2001,9,21)+(M1376/360)*365 - (360*((DecLong/360)- (GMTOffset/24) ))</f>
        <v>37323.227662037039</v>
      </c>
      <c r="AF1376" s="260">
        <f>IF(DecLat&gt;0,IF((90 - (DecLat-O1376))&gt;90, (90 - (O1376-DecLat)), (90 - (DecLat-O1376))),IF((90 + (DecLat-O1376))&gt;90, (90 + (O1376-DecLat)), (90 + (DecLat-O1376))))</f>
        <v>70.703611111111115</v>
      </c>
      <c r="AG1376" s="257">
        <f>angularseperation(MoonRA,MoonDec,$M1376,$O1376)</f>
        <v>93.769117075778738</v>
      </c>
      <c r="AH1376" s="261">
        <f ca="1">MIN(100,IF($O$5&gt;80,0+30*($AG1376/100),IF($O$5&gt;70,0+50*($AG1376/100),IF($O$5&gt;60,5+50*($AG1376/100),IF($O$5&gt;50,10+60*($AG1376/100),IF($O$5&gt;40,15+70*($AG1376/100),IF($O$5&gt;30,20+70*($AG1376/100),IF($O$5&gt;20,40+55*($AG1376/100),(80+(20-$O$5)+30*($AG1376/100))))))))))</f>
        <v>100</v>
      </c>
      <c r="AI1376" s="262">
        <v>3351</v>
      </c>
      <c r="AJ1376" s="262"/>
      <c r="AK1376" s="262"/>
      <c r="AL1376" s="263">
        <v>95</v>
      </c>
      <c r="AM1376" s="264"/>
      <c r="AN1376" s="263"/>
      <c r="AO1376" s="263"/>
      <c r="AP1376" s="265"/>
      <c r="AQ1376" s="266"/>
      <c r="AR1376" s="267">
        <v>32007</v>
      </c>
      <c r="AS1376" s="263"/>
      <c r="AT1376" s="263"/>
      <c r="AU1376" s="263"/>
      <c r="AV1376" s="264"/>
      <c r="AW1376" s="263"/>
      <c r="AX1376" s="263"/>
      <c r="AY1376" s="263"/>
      <c r="AZ1376" s="263"/>
      <c r="BA1376" s="263"/>
      <c r="BB1376" s="263"/>
      <c r="BC1376" s="263"/>
      <c r="BD1376" s="264"/>
      <c r="BE1376" s="263"/>
      <c r="BF1376" s="263"/>
      <c r="BG1376" s="263"/>
      <c r="BH1376" s="263"/>
      <c r="BI1376" s="263"/>
      <c r="BJ1376" s="404">
        <f>altaz(J2000_Bas,$O1376,$M1376,DecLat,DecLong,2)</f>
        <v>300.009823925852</v>
      </c>
      <c r="BK1376" s="378" t="s">
        <v>1423</v>
      </c>
      <c r="BL1376" s="379">
        <f>IF((2*G1376)/60&lt;0.2,0.2,(2*G1376)/60)</f>
        <v>0.23333333333333334</v>
      </c>
      <c r="BM1376" s="380">
        <f>MOD((50000+AD1376-$B$3+(0/24)),1)</f>
        <v>0.6554659196845023</v>
      </c>
      <c r="BN1376" s="381"/>
      <c r="BO1376" s="382">
        <v>1369</v>
      </c>
    </row>
    <row r="1377" spans="1:67" s="24" customFormat="1" ht="15" customHeight="1" x14ac:dyDescent="0.25">
      <c r="A1377" s="288" t="s">
        <v>1424</v>
      </c>
      <c r="B1377" s="241" t="str">
        <f>HYPERLINK(CONCATENATE($AT$3,BK1377,$AU$3),$AV$3)</f>
        <v>S</v>
      </c>
      <c r="C1377" s="242" t="str">
        <f>HYPERLINK(CONCATENATE($AT$4,BK1377,$AU$4,BL1377),$AV$4)</f>
        <v>A</v>
      </c>
      <c r="D1377" s="243" t="s">
        <v>5638</v>
      </c>
      <c r="E1377" s="244" t="s">
        <v>5192</v>
      </c>
      <c r="F1377" s="269" t="s">
        <v>8921</v>
      </c>
      <c r="G1377" s="273">
        <v>8</v>
      </c>
      <c r="H1377" s="283">
        <v>34</v>
      </c>
      <c r="I1377" s="246">
        <v>80</v>
      </c>
      <c r="J1377" s="246">
        <v>4</v>
      </c>
      <c r="K1377" s="247" t="s">
        <v>4981</v>
      </c>
      <c r="L1377" s="248">
        <v>104646</v>
      </c>
      <c r="M1377" s="249">
        <f>15*(LEFT(TEXT($L1377,"000000"),2)+(MID(TEXT($L1377,"000000"),3,2)/60)+(RIGHT(TEXT($L1377,"000000"),2)/3600))</f>
        <v>161.69166666666669</v>
      </c>
      <c r="N1377" s="250">
        <v>114912</v>
      </c>
      <c r="O1377" s="251">
        <f>IF($N1377&gt;0,(LEFT(TEXT($N1377,"000000"),2)+(MID(TEXT($N1377,"000000"),3,2)/60)+(RIGHT(TEXT($N1377,"000000"),2)/3600)),-(MID(TEXT($N1377,"000000"),2,2)+(MID(TEXT($N1377,"000000"),4,2)/60)+(RIGHT(TEXT($N1377,"000000"),2)/3600)))</f>
        <v>11.82</v>
      </c>
      <c r="P1377" s="252" t="s">
        <v>183</v>
      </c>
      <c r="Q1377" s="253"/>
      <c r="R1377" s="247" t="s">
        <v>3545</v>
      </c>
      <c r="S1377" s="272" t="s">
        <v>4241</v>
      </c>
      <c r="T1377" s="273">
        <v>10.1</v>
      </c>
      <c r="U1377" s="289">
        <v>21.990000000000002</v>
      </c>
      <c r="V1377" s="280">
        <v>50</v>
      </c>
      <c r="W1377" s="244"/>
      <c r="X1377" s="244"/>
      <c r="Y1377" s="362"/>
      <c r="Z1377" s="257">
        <f>altaz(J2000_Bas,$O1377,$M1377,DecLat,DecLong,1)</f>
        <v>-21.557028621450204</v>
      </c>
      <c r="AA1377" s="257">
        <f>altaz((J2000_Bas+(2*0.04167)),$O1377,$M1377,DecLat,DecLong,1)</f>
        <v>-40.624776467555073</v>
      </c>
      <c r="AB1377" s="257">
        <f>altaz((J2000_Bas+(4*0.04167)),$O1377,$M1377,DecLat,DecLong,1)</f>
        <v>-46.964347990505061</v>
      </c>
      <c r="AC1377" s="257">
        <f>altaz((J2000_Bas+(6*0.04167)),$O1377,$M1377,DecLat,DecLong,1)</f>
        <v>-35.831238188483901</v>
      </c>
      <c r="AD1377" s="258">
        <f>1+ transit((J2000_Bas-1),$O1377,$M1377,DecLat,DecLong)/360 + (GMTOffset/24) + (IF(DST="Y", 1, 0)/24)</f>
        <v>1.4420434342338748</v>
      </c>
      <c r="AE1377" s="259">
        <f>DATE(2001,9,21)+(M1377/360)*365 - (360*((DecLong/360)- (GMTOffset/24) ))</f>
        <v>37323.937384259261</v>
      </c>
      <c r="AF1377" s="260">
        <f>IF(DecLat&gt;0,IF((90 - (DecLat-O1377))&gt;90, (90 - (O1377-DecLat)), (90 - (DecLat-O1377))),IF((90 + (DecLat-O1377))&gt;90, (90 + (O1377-DecLat)), (90 + (DecLat-O1377))))</f>
        <v>70.819999999999993</v>
      </c>
      <c r="AG1377" s="257">
        <f>angularseperation(MoonRA,MoonDec,$M1377,$O1377)</f>
        <v>93.210994786759798</v>
      </c>
      <c r="AH1377" s="261">
        <f ca="1">MIN(100,IF($O$5&gt;80,0+30*($AG1377/100),IF($O$5&gt;70,0+50*($AG1377/100),IF($O$5&gt;60,5+50*($AG1377/100),IF($O$5&gt;50,10+60*($AG1377/100),IF($O$5&gt;40,15+70*($AG1377/100),IF($O$5&gt;30,20+70*($AG1377/100),IF($O$5&gt;20,40+55*($AG1377/100),(80+(20-$O$5)+30*($AG1377/100))))))))))</f>
        <v>100</v>
      </c>
      <c r="AI1377" s="262">
        <v>3368</v>
      </c>
      <c r="AJ1377" s="262"/>
      <c r="AK1377" s="262"/>
      <c r="AL1377" s="263">
        <v>96</v>
      </c>
      <c r="AM1377" s="264"/>
      <c r="AN1377" s="263"/>
      <c r="AO1377" s="263"/>
      <c r="AP1377" s="265"/>
      <c r="AQ1377" s="266"/>
      <c r="AR1377" s="267">
        <v>32192</v>
      </c>
      <c r="AS1377" s="263"/>
      <c r="AT1377" s="263"/>
      <c r="AU1377" s="263"/>
      <c r="AV1377" s="264"/>
      <c r="AW1377" s="263"/>
      <c r="AX1377" s="263"/>
      <c r="AY1377" s="263"/>
      <c r="AZ1377" s="263"/>
      <c r="BA1377" s="263"/>
      <c r="BB1377" s="263"/>
      <c r="BC1377" s="263"/>
      <c r="BD1377" s="264"/>
      <c r="BE1377" s="263"/>
      <c r="BF1377" s="263"/>
      <c r="BG1377" s="263"/>
      <c r="BH1377" s="263"/>
      <c r="BI1377" s="263"/>
      <c r="BJ1377" s="404">
        <f>altaz(J2000_Bas,$O1377,$M1377,DecLat,DecLong,2)</f>
        <v>299.62488947429324</v>
      </c>
      <c r="BK1377" s="378" t="s">
        <v>1424</v>
      </c>
      <c r="BL1377" s="379">
        <f>IF((2*G1377)/60&lt;0.2,0.2,(2*G1377)/60)</f>
        <v>0.26666666666666666</v>
      </c>
      <c r="BM1377" s="380">
        <f>MOD((50000+AD1377-$B$3+(0/24)),1)</f>
        <v>0.65741036393592367</v>
      </c>
      <c r="BN1377" s="381"/>
      <c r="BO1377" s="382">
        <v>1370</v>
      </c>
    </row>
    <row r="1378" spans="1:67" s="24" customFormat="1" ht="15" customHeight="1" x14ac:dyDescent="0.25">
      <c r="A1378" s="288" t="s">
        <v>1425</v>
      </c>
      <c r="B1378" s="241" t="str">
        <f>HYPERLINK(CONCATENATE($AT$3,BK1378,$AU$3),$AV$3)</f>
        <v>S</v>
      </c>
      <c r="C1378" s="242" t="str">
        <f>HYPERLINK(CONCATENATE($AT$4,BK1378,$AU$4,BL1378),$AV$4)</f>
        <v>A</v>
      </c>
      <c r="D1378" s="243" t="s">
        <v>5187</v>
      </c>
      <c r="E1378" s="244" t="s">
        <v>5181</v>
      </c>
      <c r="F1378" s="269" t="s">
        <v>9245</v>
      </c>
      <c r="G1378" s="273">
        <v>3.8</v>
      </c>
      <c r="H1378" s="283">
        <v>2000</v>
      </c>
      <c r="I1378" s="279">
        <v>1.8</v>
      </c>
      <c r="J1378" s="246">
        <v>5</v>
      </c>
      <c r="K1378" s="247" t="s">
        <v>4982</v>
      </c>
      <c r="L1378" s="248">
        <v>111448</v>
      </c>
      <c r="M1378" s="249">
        <f>15*(LEFT(TEXT($L1378,"000000"),2)+(MID(TEXT($L1378,"000000"),3,2)/60)+(RIGHT(TEXT($L1378,"000000"),2)/3600))</f>
        <v>168.7</v>
      </c>
      <c r="N1378" s="250">
        <v>550108</v>
      </c>
      <c r="O1378" s="251">
        <f>IF($N1378&gt;0,(LEFT(TEXT($N1378,"000000"),2)+(MID(TEXT($N1378,"000000"),3,2)/60)+(RIGHT(TEXT($N1378,"000000"),2)/3600)),-(MID(TEXT($N1378,"000000"),2,2)+(MID(TEXT($N1378,"000000"),4,2)/60)+(RIGHT(TEXT($N1378,"000000"),2)/3600)))</f>
        <v>55.018888888888888</v>
      </c>
      <c r="P1378" s="252" t="s">
        <v>37</v>
      </c>
      <c r="Q1378" s="253" t="s">
        <v>7042</v>
      </c>
      <c r="R1378" s="247" t="s">
        <v>3554</v>
      </c>
      <c r="S1378" s="272" t="s">
        <v>3293</v>
      </c>
      <c r="T1378" s="273">
        <v>9.9</v>
      </c>
      <c r="U1378" s="274"/>
      <c r="V1378" s="280"/>
      <c r="W1378" s="244"/>
      <c r="X1378" s="244"/>
      <c r="Y1378" s="362"/>
      <c r="Z1378" s="257">
        <f>altaz(J2000_Bas,$O1378,$M1378,DecLat,DecLong,1)</f>
        <v>11.337184962610584</v>
      </c>
      <c r="AA1378" s="257">
        <f>altaz((J2000_Bas+(2*0.04167)),$O1378,$M1378,DecLat,DecLong,1)</f>
        <v>0.46144524707120999</v>
      </c>
      <c r="AB1378" s="257">
        <f>altaz((J2000_Bas+(4*0.04167)),$O1378,$M1378,DecLat,DecLong,1)</f>
        <v>-3.9536370150640079</v>
      </c>
      <c r="AC1378" s="257">
        <f>altaz((J2000_Bas+(6*0.04167)),$O1378,$M1378,DecLat,DecLong,1)</f>
        <v>-0.78380264182727299</v>
      </c>
      <c r="AD1378" s="258">
        <f>1+ transit((J2000_Bas-1),$O1378,$M1378,DecLat,DecLong)/360 + (GMTOffset/24) + (IF(DST="Y", 1, 0)/24)</f>
        <v>1.4615110248797081</v>
      </c>
      <c r="AE1378" s="259">
        <f>DATE(2001,9,21)+(M1378/360)*365 - (360*((DecLong/360)- (GMTOffset/24) ))</f>
        <v>37331.043055555558</v>
      </c>
      <c r="AF1378" s="260">
        <f>IF(DecLat&gt;0,IF((90 - (DecLat-O1378))&gt;90, (90 - (O1378-DecLat)), (90 - (DecLat-O1378))),IF((90 + (DecLat-O1378))&gt;90, (90 + (O1378-DecLat)), (90 + (DecLat-O1378))))</f>
        <v>65.981111111111119</v>
      </c>
      <c r="AG1378" s="257">
        <f>angularseperation(MoonRA,MoonDec,$M1378,$O1378)</f>
        <v>106.80803290680659</v>
      </c>
      <c r="AH1378" s="261">
        <f ca="1">MIN(100,IF($O$5&gt;80,0+30*($AG1378/100),IF($O$5&gt;70,0+50*($AG1378/100),IF($O$5&gt;60,5+50*($AG1378/100),IF($O$5&gt;50,10+60*($AG1378/100),IF($O$5&gt;40,15+70*($AG1378/100),IF($O$5&gt;30,20+70*($AG1378/100),IF($O$5&gt;20,40+55*($AG1378/100),(80+(20-$O$5)+30*($AG1378/100))))))))))</f>
        <v>100</v>
      </c>
      <c r="AI1378" s="262">
        <v>3587</v>
      </c>
      <c r="AJ1378" s="262"/>
      <c r="AK1378" s="262"/>
      <c r="AL1378" s="263">
        <v>97</v>
      </c>
      <c r="AM1378" s="264"/>
      <c r="AN1378" s="263"/>
      <c r="AO1378" s="263"/>
      <c r="AP1378" s="265"/>
      <c r="AQ1378" s="266"/>
      <c r="AR1378" s="267"/>
      <c r="AS1378" s="263"/>
      <c r="AT1378" s="263"/>
      <c r="AU1378" s="263"/>
      <c r="AV1378" s="264"/>
      <c r="AW1378" s="263"/>
      <c r="AX1378" s="263"/>
      <c r="AY1378" s="263"/>
      <c r="AZ1378" s="263"/>
      <c r="BA1378" s="263"/>
      <c r="BB1378" s="263"/>
      <c r="BC1378" s="263"/>
      <c r="BD1378" s="264"/>
      <c r="BE1378" s="263"/>
      <c r="BF1378" s="263"/>
      <c r="BG1378" s="263"/>
      <c r="BH1378" s="263"/>
      <c r="BI1378" s="263"/>
      <c r="BJ1378" s="404">
        <f>altaz(J2000_Bas,$O1378,$M1378,DecLat,DecLong,2)</f>
        <v>328.69617245814931</v>
      </c>
      <c r="BK1378" s="378" t="s">
        <v>1425</v>
      </c>
      <c r="BL1378" s="379">
        <f>IF((2*G1378)/60&lt;0.2,0.2,(2*G1378)/60)</f>
        <v>0.2</v>
      </c>
      <c r="BM1378" s="380">
        <f>MOD((50000+AD1378-$B$3+(0/24)),1)</f>
        <v>0.67687795458186883</v>
      </c>
      <c r="BN1378" s="381" t="s">
        <v>8647</v>
      </c>
      <c r="BO1378" s="382">
        <v>1371</v>
      </c>
    </row>
    <row r="1379" spans="1:67" s="24" customFormat="1" ht="15" customHeight="1" x14ac:dyDescent="0.25">
      <c r="A1379" s="288" t="s">
        <v>1426</v>
      </c>
      <c r="B1379" s="241" t="str">
        <f>HYPERLINK(CONCATENATE($AT$3,BK1379,$AU$3),$AV$3)</f>
        <v>S</v>
      </c>
      <c r="C1379" s="242" t="str">
        <f>HYPERLINK(CONCATENATE($AT$4,BK1379,$AU$4,BL1379),$AV$4)</f>
        <v>A</v>
      </c>
      <c r="D1379" s="243" t="s">
        <v>5638</v>
      </c>
      <c r="E1379" s="244" t="s">
        <v>5192</v>
      </c>
      <c r="F1379" s="269" t="s">
        <v>8900</v>
      </c>
      <c r="G1379" s="273">
        <v>9</v>
      </c>
      <c r="H1379" s="283">
        <v>40</v>
      </c>
      <c r="I1379" s="246">
        <v>110</v>
      </c>
      <c r="J1379" s="246">
        <v>3</v>
      </c>
      <c r="K1379" s="247" t="s">
        <v>4984</v>
      </c>
      <c r="L1379" s="248">
        <v>121348</v>
      </c>
      <c r="M1379" s="249">
        <f>15*(LEFT(TEXT($L1379,"000000"),2)+(MID(TEXT($L1379,"000000"),3,2)/60)+(RIGHT(TEXT($L1379,"000000"),2)/3600))</f>
        <v>183.45000000000002</v>
      </c>
      <c r="N1379" s="250">
        <v>145401</v>
      </c>
      <c r="O1379" s="251">
        <f>IF($N1379&gt;0,(LEFT(TEXT($N1379,"000000"),2)+(MID(TEXT($N1379,"000000"),3,2)/60)+(RIGHT(TEXT($N1379,"000000"),2)/3600)),-(MID(TEXT($N1379,"000000"),2,2)+(MID(TEXT($N1379,"000000"),4,2)/60)+(RIGHT(TEXT($N1379,"000000"),2)/3600)))</f>
        <v>14.900277777777777</v>
      </c>
      <c r="P1379" s="252" t="s">
        <v>190</v>
      </c>
      <c r="Q1379" s="253"/>
      <c r="R1379" s="247" t="s">
        <v>4983</v>
      </c>
      <c r="S1379" s="272" t="s">
        <v>3293</v>
      </c>
      <c r="T1379" s="273">
        <v>10.1</v>
      </c>
      <c r="U1379" s="289">
        <v>22.39</v>
      </c>
      <c r="V1379" s="280">
        <v>80</v>
      </c>
      <c r="W1379" s="244"/>
      <c r="X1379" s="244"/>
      <c r="Y1379" s="362"/>
      <c r="Z1379" s="257">
        <f>altaz(J2000_Bas,$O1379,$M1379,DecLat,DecLong,1)</f>
        <v>-2.7279541490481964</v>
      </c>
      <c r="AA1379" s="257">
        <f>altaz((J2000_Bas+(2*0.04167)),$O1379,$M1379,DecLat,DecLong,1)</f>
        <v>-25.381702147360453</v>
      </c>
      <c r="AB1379" s="257">
        <f>altaz((J2000_Bas+(4*0.04167)),$O1379,$M1379,DecLat,DecLong,1)</f>
        <v>-41.187778708327905</v>
      </c>
      <c r="AC1379" s="257">
        <f>altaz((J2000_Bas+(6*0.04167)),$O1379,$M1379,DecLat,DecLong,1)</f>
        <v>-42.4777898383538</v>
      </c>
      <c r="AD1379" s="258">
        <f>1+ transit((J2000_Bas-1),$O1379,$M1379,DecLat,DecLong)/360 + (GMTOffset/24) + (IF(DST="Y", 1, 0)/24)</f>
        <v>1.5024832430047081</v>
      </c>
      <c r="AE1379" s="259">
        <f>DATE(2001,9,21)+(M1379/360)*365 - (360*((DecLong/360)- (GMTOffset/24) ))</f>
        <v>37345.997916666667</v>
      </c>
      <c r="AF1379" s="260">
        <f>IF(DecLat&gt;0,IF((90 - (DecLat-O1379))&gt;90, (90 - (O1379-DecLat)), (90 - (DecLat-O1379))),IF((90 + (DecLat-O1379))&gt;90, (90 + (O1379-DecLat)), (90 + (DecLat-O1379))))</f>
        <v>73.900277777777774</v>
      </c>
      <c r="AG1379" s="257">
        <f>angularseperation(MoonRA,MoonDec,$M1379,$O1379)</f>
        <v>76.365045810641362</v>
      </c>
      <c r="AH1379" s="261">
        <f ca="1">MIN(100,IF($O$5&gt;80,0+30*($AG1379/100),IF($O$5&gt;70,0+50*($AG1379/100),IF($O$5&gt;60,5+50*($AG1379/100),IF($O$5&gt;50,10+60*($AG1379/100),IF($O$5&gt;40,15+70*($AG1379/100),IF($O$5&gt;30,20+70*($AG1379/100),IF($O$5&gt;20,40+55*($AG1379/100),(80+(20-$O$5)+30*($AG1379/100))))))))))</f>
        <v>100</v>
      </c>
      <c r="AI1379" s="262">
        <v>4192</v>
      </c>
      <c r="AJ1379" s="262"/>
      <c r="AK1379" s="262"/>
      <c r="AL1379" s="263">
        <v>98</v>
      </c>
      <c r="AM1379" s="264"/>
      <c r="AN1379" s="263"/>
      <c r="AO1379" s="263"/>
      <c r="AP1379" s="265"/>
      <c r="AQ1379" s="266"/>
      <c r="AR1379" s="267">
        <v>39028</v>
      </c>
      <c r="AS1379" s="263"/>
      <c r="AT1379" s="263"/>
      <c r="AU1379" s="263"/>
      <c r="AV1379" s="264"/>
      <c r="AW1379" s="263"/>
      <c r="AX1379" s="263"/>
      <c r="AY1379" s="263"/>
      <c r="AZ1379" s="263"/>
      <c r="BA1379" s="263"/>
      <c r="BB1379" s="263"/>
      <c r="BC1379" s="263"/>
      <c r="BD1379" s="264"/>
      <c r="BE1379" s="263"/>
      <c r="BF1379" s="263"/>
      <c r="BG1379" s="263"/>
      <c r="BH1379" s="263"/>
      <c r="BI1379" s="263"/>
      <c r="BJ1379" s="404">
        <f>altaz(J2000_Bas,$O1379,$M1379,DecLat,DecLong,2)</f>
        <v>289.20537193136778</v>
      </c>
      <c r="BK1379" s="378" t="s">
        <v>1426</v>
      </c>
      <c r="BL1379" s="379">
        <f>IF((2*G1379)/60&lt;0.2,0.2,(2*G1379)/60)</f>
        <v>0.3</v>
      </c>
      <c r="BM1379" s="380">
        <f>MOD((50000+AD1379-$B$3+(0/24)),1)</f>
        <v>0.71785017271031393</v>
      </c>
      <c r="BN1379" s="381"/>
      <c r="BO1379" s="382">
        <v>1372</v>
      </c>
    </row>
    <row r="1380" spans="1:67" s="24" customFormat="1" ht="15" customHeight="1" x14ac:dyDescent="0.25">
      <c r="A1380" s="288" t="s">
        <v>1427</v>
      </c>
      <c r="B1380" s="241" t="str">
        <f>HYPERLINK(CONCATENATE($AT$3,BK1380,$AU$3),$AV$3)</f>
        <v>S</v>
      </c>
      <c r="C1380" s="242" t="str">
        <f>HYPERLINK(CONCATENATE($AT$4,BK1380,$AU$4,BL1380),$AV$4)</f>
        <v>A</v>
      </c>
      <c r="D1380" s="243" t="s">
        <v>5638</v>
      </c>
      <c r="E1380" s="244" t="s">
        <v>5192</v>
      </c>
      <c r="F1380" s="269" t="s">
        <v>8809</v>
      </c>
      <c r="G1380" s="273">
        <v>5</v>
      </c>
      <c r="H1380" s="283">
        <v>54</v>
      </c>
      <c r="I1380" s="246">
        <v>75</v>
      </c>
      <c r="J1380" s="246">
        <v>4</v>
      </c>
      <c r="K1380" s="247" t="s">
        <v>5015</v>
      </c>
      <c r="L1380" s="248">
        <v>121850</v>
      </c>
      <c r="M1380" s="249">
        <f>15*(LEFT(TEXT($L1380,"000000"),2)+(MID(TEXT($L1380,"000000"),3,2)/60)+(RIGHT(TEXT($L1380,"000000"),2)/3600))</f>
        <v>184.70833333333334</v>
      </c>
      <c r="N1380" s="250">
        <v>142501</v>
      </c>
      <c r="O1380" s="251">
        <f>IF($N1380&gt;0,(LEFT(TEXT($N1380,"000000"),2)+(MID(TEXT($N1380,"000000"),3,2)/60)+(RIGHT(TEXT($N1380,"000000"),2)/3600)),-(MID(TEXT($N1380,"000000"),2,2)+(MID(TEXT($N1380,"000000"),4,2)/60)+(RIGHT(TEXT($N1380,"000000"),2)/3600)))</f>
        <v>14.416944444444443</v>
      </c>
      <c r="P1380" s="252" t="s">
        <v>190</v>
      </c>
      <c r="Q1380" s="253" t="s">
        <v>6910</v>
      </c>
      <c r="R1380" s="247" t="s">
        <v>3577</v>
      </c>
      <c r="S1380" s="272" t="s">
        <v>3293</v>
      </c>
      <c r="T1380" s="273">
        <v>9.9</v>
      </c>
      <c r="U1380" s="289">
        <v>22.19</v>
      </c>
      <c r="V1380" s="280">
        <v>0</v>
      </c>
      <c r="W1380" s="244"/>
      <c r="X1380" s="244"/>
      <c r="Y1380" s="362"/>
      <c r="Z1380" s="257">
        <f>altaz(J2000_Bas,$O1380,$M1380,DecLat,DecLong,1)</f>
        <v>-1.9688512168498531</v>
      </c>
      <c r="AA1380" s="257">
        <f>altaz((J2000_Bas+(2*0.04167)),$O1380,$M1380,DecLat,DecLong,1)</f>
        <v>-24.868815604290738</v>
      </c>
      <c r="AB1380" s="257">
        <f>altaz((J2000_Bas+(4*0.04167)),$O1380,$M1380,DecLat,DecLong,1)</f>
        <v>-41.214018936169516</v>
      </c>
      <c r="AC1380" s="257">
        <f>altaz((J2000_Bas+(6*0.04167)),$O1380,$M1380,DecLat,DecLong,1)</f>
        <v>-43.246439111417537</v>
      </c>
      <c r="AD1380" s="258">
        <f>1+ transit((J2000_Bas-1),$O1380,$M1380,DecLat,DecLong)/360 + (GMTOffset/24) + (IF(DST="Y", 1, 0)/24)</f>
        <v>1.5059786130255415</v>
      </c>
      <c r="AE1380" s="259">
        <f>DATE(2001,9,21)+(M1380/360)*365 - (360*((DecLong/360)- (GMTOffset/24) ))</f>
        <v>37347.273726851854</v>
      </c>
      <c r="AF1380" s="260">
        <f>IF(DecLat&gt;0,IF((90 - (DecLat-O1380))&gt;90, (90 - (O1380-DecLat)), (90 - (DecLat-O1380))),IF((90 + (DecLat-O1380))&gt;90, (90 + (O1380-DecLat)), (90 + (DecLat-O1380))))</f>
        <v>73.416944444444439</v>
      </c>
      <c r="AG1380" s="257">
        <f>angularseperation(MoonRA,MoonDec,$M1380,$O1380)</f>
        <v>75.083204677003252</v>
      </c>
      <c r="AH1380" s="261">
        <f ca="1">MIN(100,IF($O$5&gt;80,0+30*($AG1380/100),IF($O$5&gt;70,0+50*($AG1380/100),IF($O$5&gt;60,5+50*($AG1380/100),IF($O$5&gt;50,10+60*($AG1380/100),IF($O$5&gt;40,15+70*($AG1380/100),IF($O$5&gt;30,20+70*($AG1380/100),IF($O$5&gt;20,40+55*($AG1380/100),(80+(20-$O$5)+30*($AG1380/100))))))))))</f>
        <v>100</v>
      </c>
      <c r="AI1380" s="262">
        <v>4254</v>
      </c>
      <c r="AJ1380" s="262"/>
      <c r="AK1380" s="262"/>
      <c r="AL1380" s="263">
        <v>99</v>
      </c>
      <c r="AM1380" s="264"/>
      <c r="AN1380" s="263"/>
      <c r="AO1380" s="263"/>
      <c r="AP1380" s="265"/>
      <c r="AQ1380" s="266"/>
      <c r="AR1380" s="267">
        <v>39578</v>
      </c>
      <c r="AS1380" s="263"/>
      <c r="AT1380" s="263"/>
      <c r="AU1380" s="263"/>
      <c r="AV1380" s="264"/>
      <c r="AW1380" s="263"/>
      <c r="AX1380" s="263"/>
      <c r="AY1380" s="263"/>
      <c r="AZ1380" s="263"/>
      <c r="BA1380" s="263"/>
      <c r="BB1380" s="263"/>
      <c r="BC1380" s="263"/>
      <c r="BD1380" s="264"/>
      <c r="BE1380" s="263"/>
      <c r="BF1380" s="263"/>
      <c r="BG1380" s="263"/>
      <c r="BH1380" s="263"/>
      <c r="BI1380" s="263"/>
      <c r="BJ1380" s="404">
        <f>altaz(J2000_Bas,$O1380,$M1380,DecLat,DecLong,2)</f>
        <v>288.13705743545711</v>
      </c>
      <c r="BK1380" s="378" t="s">
        <v>1427</v>
      </c>
      <c r="BL1380" s="379">
        <f>IF((2*G1380)/60&lt;0.2,0.2,(2*G1380)/60)</f>
        <v>0.2</v>
      </c>
      <c r="BM1380" s="380">
        <f>MOD((50000+AD1380-$B$3+(0/24)),1)</f>
        <v>0.72134554272633977</v>
      </c>
      <c r="BN1380" s="381" t="s">
        <v>9287</v>
      </c>
      <c r="BO1380" s="382">
        <v>1373</v>
      </c>
    </row>
    <row r="1381" spans="1:67" s="24" customFormat="1" ht="15" customHeight="1" x14ac:dyDescent="0.25">
      <c r="A1381" s="288" t="s">
        <v>1428</v>
      </c>
      <c r="B1381" s="241" t="str">
        <f>HYPERLINK(CONCATENATE($AT$3,BK1381,$AU$3),$AV$3)</f>
        <v>S</v>
      </c>
      <c r="C1381" s="242" t="str">
        <f>HYPERLINK(CONCATENATE($AT$4,BK1381,$AU$4,BL1381),$AV$4)</f>
        <v>A</v>
      </c>
      <c r="D1381" s="243" t="s">
        <v>5638</v>
      </c>
      <c r="E1381" s="244" t="s">
        <v>5192</v>
      </c>
      <c r="F1381" s="269" t="s">
        <v>8922</v>
      </c>
      <c r="G1381" s="273">
        <v>7</v>
      </c>
      <c r="H1381" s="283">
        <v>46</v>
      </c>
      <c r="I1381" s="246">
        <v>100</v>
      </c>
      <c r="J1381" s="246">
        <v>4</v>
      </c>
      <c r="K1381" s="247" t="s">
        <v>8542</v>
      </c>
      <c r="L1381" s="248">
        <v>122255</v>
      </c>
      <c r="M1381" s="249">
        <f>15*(LEFT(TEXT($L1381,"000000"),2)+(MID(TEXT($L1381,"000000"),3,2)/60)+(RIGHT(TEXT($L1381,"000000"),2)/3600))</f>
        <v>185.72916666666666</v>
      </c>
      <c r="N1381" s="250">
        <v>154921</v>
      </c>
      <c r="O1381" s="251">
        <f>IF($N1381&gt;0,(LEFT(TEXT($N1381,"000000"),2)+(MID(TEXT($N1381,"000000"),3,2)/60)+(RIGHT(TEXT($N1381,"000000"),2)/3600)),-(MID(TEXT($N1381,"000000"),2,2)+(MID(TEXT($N1381,"000000"),4,2)/60)+(RIGHT(TEXT($N1381,"000000"),2)/3600)))</f>
        <v>15.8225</v>
      </c>
      <c r="P1381" s="252" t="s">
        <v>190</v>
      </c>
      <c r="Q1381" s="253" t="s">
        <v>6888</v>
      </c>
      <c r="R1381" s="247" t="s">
        <v>3580</v>
      </c>
      <c r="S1381" s="272" t="s">
        <v>3293</v>
      </c>
      <c r="T1381" s="273">
        <v>9.4</v>
      </c>
      <c r="U1381" s="289">
        <v>22.29</v>
      </c>
      <c r="V1381" s="280">
        <v>0</v>
      </c>
      <c r="W1381" s="244"/>
      <c r="X1381" s="244"/>
      <c r="Y1381" s="362"/>
      <c r="Z1381" s="257">
        <f>altaz(J2000_Bas,$O1381,$M1381,DecLat,DecLong,1)</f>
        <v>-0.38109173278283504</v>
      </c>
      <c r="AA1381" s="257">
        <f>altaz((J2000_Bas+(2*0.04167)),$O1381,$M1381,DecLat,DecLong,1)</f>
        <v>-23.179204832792529</v>
      </c>
      <c r="AB1381" s="257">
        <f>altaz((J2000_Bas+(4*0.04167)),$O1381,$M1381,DecLat,DecLong,1)</f>
        <v>-39.544800065359546</v>
      </c>
      <c r="AC1381" s="257">
        <f>altaz((J2000_Bas+(6*0.04167)),$O1381,$M1381,DecLat,DecLong,1)</f>
        <v>-42.096409666031576</v>
      </c>
      <c r="AD1381" s="258">
        <f>1+ transit((J2000_Bas-1),$O1381,$M1381,DecLat,DecLong)/360 + (GMTOffset/24) + (IF(DST="Y", 1, 0)/24)</f>
        <v>1.5088142608901247</v>
      </c>
      <c r="AE1381" s="259">
        <f>DATE(2001,9,21)+(M1381/360)*365 - (360*((DecLong/360)- (GMTOffset/24) ))</f>
        <v>37348.308738425927</v>
      </c>
      <c r="AF1381" s="260">
        <f>IF(DecLat&gt;0,IF((90 - (DecLat-O1381))&gt;90, (90 - (O1381-DecLat)), (90 - (DecLat-O1381))),IF((90 + (DecLat-O1381))&gt;90, (90 + (O1381-DecLat)), (90 + (DecLat-O1381))))</f>
        <v>74.822500000000005</v>
      </c>
      <c r="AG1381" s="257">
        <f>angularseperation(MoonRA,MoonDec,$M1381,$O1381)</f>
        <v>75.054258902994107</v>
      </c>
      <c r="AH1381" s="261">
        <f ca="1">MIN(100,IF($O$5&gt;80,0+30*($AG1381/100),IF($O$5&gt;70,0+50*($AG1381/100),IF($O$5&gt;60,5+50*($AG1381/100),IF($O$5&gt;50,10+60*($AG1381/100),IF($O$5&gt;40,15+70*($AG1381/100),IF($O$5&gt;30,20+70*($AG1381/100),IF($O$5&gt;20,40+55*($AG1381/100),(80+(20-$O$5)+30*($AG1381/100))))))))))</f>
        <v>100</v>
      </c>
      <c r="AI1381" s="262">
        <v>4321</v>
      </c>
      <c r="AJ1381" s="262"/>
      <c r="AK1381" s="262"/>
      <c r="AL1381" s="263">
        <v>100</v>
      </c>
      <c r="AM1381" s="264"/>
      <c r="AN1381" s="263"/>
      <c r="AO1381" s="263"/>
      <c r="AP1381" s="265"/>
      <c r="AQ1381" s="266"/>
      <c r="AR1381" s="267">
        <v>40153</v>
      </c>
      <c r="AS1381" s="263"/>
      <c r="AT1381" s="263"/>
      <c r="AU1381" s="263"/>
      <c r="AV1381" s="264"/>
      <c r="AW1381" s="263"/>
      <c r="AX1381" s="263"/>
      <c r="AY1381" s="263"/>
      <c r="AZ1381" s="263"/>
      <c r="BA1381" s="263"/>
      <c r="BB1381" s="263"/>
      <c r="BC1381" s="263"/>
      <c r="BD1381" s="264"/>
      <c r="BE1381" s="263"/>
      <c r="BF1381" s="263"/>
      <c r="BG1381" s="263"/>
      <c r="BH1381" s="263"/>
      <c r="BI1381" s="263"/>
      <c r="BJ1381" s="404">
        <f>altaz(J2000_Bas,$O1381,$M1381,DecLat,DecLong,2)</f>
        <v>288.78970741533755</v>
      </c>
      <c r="BK1381" s="378" t="s">
        <v>1428</v>
      </c>
      <c r="BL1381" s="379">
        <f>IF((2*G1381)/60&lt;0.2,0.2,(2*G1381)/60)</f>
        <v>0.23333333333333334</v>
      </c>
      <c r="BM1381" s="380">
        <f>MOD((50000+AD1381-$B$3+(0/24)),1)</f>
        <v>0.72418119059148012</v>
      </c>
      <c r="BN1381" s="381"/>
      <c r="BO1381" s="382">
        <v>1374</v>
      </c>
    </row>
    <row r="1382" spans="1:67" s="24" customFormat="1" ht="15" customHeight="1" x14ac:dyDescent="0.25">
      <c r="A1382" s="288" t="s">
        <v>1429</v>
      </c>
      <c r="B1382" s="241" t="str">
        <f>HYPERLINK(CONCATENATE($AT$3,BK1382,$AU$3),$AV$3)</f>
        <v>S</v>
      </c>
      <c r="C1382" s="242" t="str">
        <f>HYPERLINK(CONCATENATE($AT$4,BK1382,$AU$4,BL1382),$AV$4)</f>
        <v>A</v>
      </c>
      <c r="D1382" s="243" t="s">
        <v>5638</v>
      </c>
      <c r="E1382" s="244" t="s">
        <v>5192</v>
      </c>
      <c r="F1382" s="269" t="s">
        <v>8889</v>
      </c>
      <c r="G1382" s="276">
        <v>20</v>
      </c>
      <c r="H1382" s="283">
        <v>25</v>
      </c>
      <c r="I1382" s="246">
        <v>160</v>
      </c>
      <c r="J1382" s="246">
        <v>4</v>
      </c>
      <c r="K1382" s="247" t="s">
        <v>3835</v>
      </c>
      <c r="L1382" s="248">
        <v>140313</v>
      </c>
      <c r="M1382" s="249">
        <f>15*(LEFT(TEXT($L1382,"000000"),2)+(MID(TEXT($L1382,"000000"),3,2)/60)+(RIGHT(TEXT($L1382,"000000"),2)/3600))</f>
        <v>210.80416666666667</v>
      </c>
      <c r="N1382" s="250">
        <v>542056</v>
      </c>
      <c r="O1382" s="251">
        <f>IF($N1382&gt;0,(LEFT(TEXT($N1382,"000000"),2)+(MID(TEXT($N1382,"000000"),3,2)/60)+(RIGHT(TEXT($N1382,"000000"),2)/3600)),-(MID(TEXT($N1382,"000000"),2,2)+(MID(TEXT($N1382,"000000"),4,2)/60)+(RIGHT(TEXT($N1382,"000000"),2)/3600)))</f>
        <v>54.348888888888894</v>
      </c>
      <c r="P1382" s="252" t="s">
        <v>37</v>
      </c>
      <c r="Q1382" s="253" t="s">
        <v>6895</v>
      </c>
      <c r="R1382" s="247" t="s">
        <v>3619</v>
      </c>
      <c r="S1382" s="272" t="s">
        <v>3293</v>
      </c>
      <c r="T1382" s="273">
        <v>7.9</v>
      </c>
      <c r="U1382" s="289">
        <v>23.79</v>
      </c>
      <c r="V1382" s="280">
        <v>20</v>
      </c>
      <c r="W1382" s="244"/>
      <c r="X1382" s="244"/>
      <c r="Y1382" s="362"/>
      <c r="Z1382" s="257">
        <f>altaz(J2000_Bas,$O1382,$M1382,DecLat,DecLong,1)</f>
        <v>33.10283974218531</v>
      </c>
      <c r="AA1382" s="257">
        <f>altaz((J2000_Bas+(2*0.04167)),$O1382,$M1382,DecLat,DecLong,1)</f>
        <v>16.667828182816429</v>
      </c>
      <c r="AB1382" s="257">
        <f>altaz((J2000_Bas+(4*0.04167)),$O1382,$M1382,DecLat,DecLong,1)</f>
        <v>3.6109910026974799</v>
      </c>
      <c r="AC1382" s="257">
        <f>altaz((J2000_Bas+(6*0.04167)),$O1382,$M1382,DecLat,DecLong,1)</f>
        <v>-3.730868214572689</v>
      </c>
      <c r="AD1382" s="258">
        <f>1+ transit((J2000_Bas-1),$O1382,$M1382,DecLat,DecLong)/360 + (GMTOffset/24) + (IF(DST="Y", 1, 0)/24)</f>
        <v>1.5784670317026246</v>
      </c>
      <c r="AE1382" s="259">
        <f>DATE(2001,9,21)+(M1382/360)*365 - (360*((DecLong/360)- (GMTOffset/24) ))</f>
        <v>37373.732002314813</v>
      </c>
      <c r="AF1382" s="260">
        <f>IF(DecLat&gt;0,IF((90 - (DecLat-O1382))&gt;90, (90 - (O1382-DecLat)), (90 - (DecLat-O1382))),IF((90 + (DecLat-O1382))&gt;90, (90 + (O1382-DecLat)), (90 + (DecLat-O1382))))</f>
        <v>66.651111111111106</v>
      </c>
      <c r="AG1382" s="257">
        <f>angularseperation(MoonRA,MoonDec,$M1382,$O1382)</f>
        <v>87.907940551128874</v>
      </c>
      <c r="AH1382" s="261">
        <f ca="1">MIN(100,IF($O$5&gt;80,0+30*($AG1382/100),IF($O$5&gt;70,0+50*($AG1382/100),IF($O$5&gt;60,5+50*($AG1382/100),IF($O$5&gt;50,10+60*($AG1382/100),IF($O$5&gt;40,15+70*($AG1382/100),IF($O$5&gt;30,20+70*($AG1382/100),IF($O$5&gt;20,40+55*($AG1382/100),(80+(20-$O$5)+30*($AG1382/100))))))))))</f>
        <v>100</v>
      </c>
      <c r="AI1382" s="262">
        <v>5457</v>
      </c>
      <c r="AJ1382" s="262"/>
      <c r="AK1382" s="262"/>
      <c r="AL1382" s="263">
        <v>101</v>
      </c>
      <c r="AM1382" s="264"/>
      <c r="AN1382" s="263">
        <v>26</v>
      </c>
      <c r="AO1382" s="263"/>
      <c r="AP1382" s="265"/>
      <c r="AQ1382" s="266"/>
      <c r="AR1382" s="267">
        <v>50063</v>
      </c>
      <c r="AS1382" s="263"/>
      <c r="AT1382" s="263"/>
      <c r="AU1382" s="263"/>
      <c r="AV1382" s="264"/>
      <c r="AW1382" s="263"/>
      <c r="AX1382" s="263"/>
      <c r="AY1382" s="263"/>
      <c r="AZ1382" s="263"/>
      <c r="BA1382" s="263"/>
      <c r="BB1382" s="263"/>
      <c r="BC1382" s="263"/>
      <c r="BD1382" s="264"/>
      <c r="BE1382" s="263"/>
      <c r="BF1382" s="263"/>
      <c r="BG1382" s="263"/>
      <c r="BH1382" s="263"/>
      <c r="BI1382" s="263"/>
      <c r="BJ1382" s="404">
        <f>altaz(J2000_Bas,$O1382,$M1382,DecLat,DecLong,2)</f>
        <v>317.72494630099067</v>
      </c>
      <c r="BK1382" s="378" t="s">
        <v>1429</v>
      </c>
      <c r="BL1382" s="379">
        <f>IF((2*G1382)/60&lt;0.2,0.2,(2*G1382)/60)</f>
        <v>0.66666666666666663</v>
      </c>
      <c r="BM1382" s="380">
        <f>MOD((50000+AD1382-$B$3+(0/24)),1)</f>
        <v>0.7938339614047436</v>
      </c>
      <c r="BN1382" s="381" t="s">
        <v>9275</v>
      </c>
      <c r="BO1382" s="382">
        <v>1375</v>
      </c>
    </row>
    <row r="1383" spans="1:67" s="24" customFormat="1" ht="15" customHeight="1" x14ac:dyDescent="0.25">
      <c r="A1383" s="288" t="s">
        <v>1430</v>
      </c>
      <c r="B1383" s="241" t="str">
        <f>HYPERLINK(CONCATENATE($AT$3,BK1383,$AU$3),$AV$3)</f>
        <v>S</v>
      </c>
      <c r="C1383" s="242" t="str">
        <f>HYPERLINK(CONCATENATE($AT$4,BK1383,$AU$4,BL1383),$AV$4)</f>
        <v>A</v>
      </c>
      <c r="D1383" s="243" t="s">
        <v>5638</v>
      </c>
      <c r="E1383" s="244" t="s">
        <v>5182</v>
      </c>
      <c r="F1383" s="269" t="s">
        <v>8673</v>
      </c>
      <c r="G1383" s="273">
        <v>4</v>
      </c>
      <c r="H1383" s="283">
        <v>50</v>
      </c>
      <c r="I1383" s="246">
        <v>60</v>
      </c>
      <c r="J1383" s="246">
        <v>3</v>
      </c>
      <c r="K1383" s="247" t="s">
        <v>5016</v>
      </c>
      <c r="L1383" s="248">
        <v>150630</v>
      </c>
      <c r="M1383" s="249">
        <f>15*(LEFT(TEXT($L1383,"000000"),2)+(MID(TEXT($L1383,"000000"),3,2)/60)+(RIGHT(TEXT($L1383,"000000"),2)/3600))</f>
        <v>226.625</v>
      </c>
      <c r="N1383" s="250">
        <v>554547</v>
      </c>
      <c r="O1383" s="251">
        <f>IF($N1383&gt;0,(LEFT(TEXT($N1383,"000000"),2)+(MID(TEXT($N1383,"000000"),3,2)/60)+(RIGHT(TEXT($N1383,"000000"),2)/3600)),-(MID(TEXT($N1383,"000000"),2,2)+(MID(TEXT($N1383,"000000"),4,2)/60)+(RIGHT(TEXT($N1383,"000000"),2)/3600)))</f>
        <v>55.763055555555553</v>
      </c>
      <c r="P1383" s="252" t="s">
        <v>34</v>
      </c>
      <c r="Q1383" s="253" t="s">
        <v>6908</v>
      </c>
      <c r="R1383" s="247" t="s">
        <v>3242</v>
      </c>
      <c r="S1383" s="272" t="s">
        <v>3293</v>
      </c>
      <c r="T1383" s="273">
        <v>9.9</v>
      </c>
      <c r="U1383" s="289">
        <v>21.09</v>
      </c>
      <c r="V1383" s="280">
        <v>85</v>
      </c>
      <c r="W1383" s="244"/>
      <c r="X1383" s="244"/>
      <c r="Y1383" s="362"/>
      <c r="Z1383" s="257">
        <f>altaz(J2000_Bas,$O1383,$M1383,DecLat,DecLong,1)</f>
        <v>42.178444816287147</v>
      </c>
      <c r="AA1383" s="257">
        <f>altaz((J2000_Bas+(2*0.04167)),$O1383,$M1383,DecLat,DecLong,1)</f>
        <v>25.487746347990569</v>
      </c>
      <c r="AB1383" s="257">
        <f>altaz((J2000_Bas+(4*0.04167)),$O1383,$M1383,DecLat,DecLong,1)</f>
        <v>10.834608710850985</v>
      </c>
      <c r="AC1383" s="257">
        <f>altaz((J2000_Bas+(6*0.04167)),$O1383,$M1383,DecLat,DecLong,1)</f>
        <v>0.5560822063247276</v>
      </c>
      <c r="AD1383" s="258">
        <f>1+ transit((J2000_Bas-1),$O1383,$M1383,DecLat,DecLong)/360 + (GMTOffset/24) + (IF(DST="Y", 1, 0)/24)</f>
        <v>1.6224137865672081</v>
      </c>
      <c r="AE1383" s="259">
        <f>DATE(2001,9,21)+(M1383/360)*365 - (360*((DecLong/360)- (GMTOffset/24) ))</f>
        <v>37389.772569444445</v>
      </c>
      <c r="AF1383" s="260">
        <f>IF(DecLat&gt;0,IF((90 - (DecLat-O1383))&gt;90, (90 - (O1383-DecLat)), (90 - (DecLat-O1383))),IF((90 + (DecLat-O1383))&gt;90, (90 + (O1383-DecLat)), (90 + (DecLat-O1383))))</f>
        <v>65.236944444444447</v>
      </c>
      <c r="AG1383" s="257">
        <f>angularseperation(MoonRA,MoonDec,$M1383,$O1383)</f>
        <v>85.066789021420234</v>
      </c>
      <c r="AH1383" s="261">
        <f ca="1">MIN(100,IF($O$5&gt;80,0+30*($AG1383/100),IF($O$5&gt;70,0+50*($AG1383/100),IF($O$5&gt;60,5+50*($AG1383/100),IF($O$5&gt;50,10+60*($AG1383/100),IF($O$5&gt;40,15+70*($AG1383/100),IF($O$5&gt;30,20+70*($AG1383/100),IF($O$5&gt;20,40+55*($AG1383/100),(80+(20-$O$5)+30*($AG1383/100))))))))))</f>
        <v>100</v>
      </c>
      <c r="AI1383" s="262">
        <v>5866</v>
      </c>
      <c r="AJ1383" s="262"/>
      <c r="AK1383" s="262">
        <v>311</v>
      </c>
      <c r="AL1383" s="263">
        <v>102</v>
      </c>
      <c r="AM1383" s="264"/>
      <c r="AN1383" s="263"/>
      <c r="AO1383" s="263"/>
      <c r="AP1383" s="265"/>
      <c r="AQ1383" s="266"/>
      <c r="AR1383" s="267">
        <v>53933</v>
      </c>
      <c r="AS1383" s="263"/>
      <c r="AT1383" s="263"/>
      <c r="AU1383" s="263"/>
      <c r="AV1383" s="264"/>
      <c r="AW1383" s="263"/>
      <c r="AX1383" s="263"/>
      <c r="AY1383" s="263"/>
      <c r="AZ1383" s="263"/>
      <c r="BA1383" s="263"/>
      <c r="BB1383" s="263"/>
      <c r="BC1383" s="263"/>
      <c r="BD1383" s="264"/>
      <c r="BE1383" s="263">
        <v>75</v>
      </c>
      <c r="BF1383" s="263"/>
      <c r="BG1383" s="263"/>
      <c r="BH1383" s="263"/>
      <c r="BI1383" s="263"/>
      <c r="BJ1383" s="404">
        <f>altaz(J2000_Bas,$O1383,$M1383,DecLat,DecLong,2)</f>
        <v>319.20676349580901</v>
      </c>
      <c r="BK1383" s="378" t="s">
        <v>1430</v>
      </c>
      <c r="BL1383" s="379">
        <f>IF((2*G1383)/60&lt;0.2,0.2,(2*G1383)/60)</f>
        <v>0.2</v>
      </c>
      <c r="BM1383" s="380">
        <f>MOD((50000+AD1383-$B$3+(0/24)),1)</f>
        <v>0.83778071626875317</v>
      </c>
      <c r="BN1383" s="381"/>
      <c r="BO1383" s="382">
        <v>1376</v>
      </c>
    </row>
    <row r="1384" spans="1:67" s="24" customFormat="1" ht="15" customHeight="1" x14ac:dyDescent="0.25">
      <c r="A1384" s="288" t="s">
        <v>1431</v>
      </c>
      <c r="B1384" s="241" t="str">
        <f>HYPERLINK(CONCATENATE($AT$3,BK1384,$AU$3),$AV$3)</f>
        <v>S</v>
      </c>
      <c r="C1384" s="242" t="str">
        <f>HYPERLINK(CONCATENATE($AT$4,BK1384,$AU$4,BL1384),$AV$4)</f>
        <v>A</v>
      </c>
      <c r="D1384" s="243" t="s">
        <v>5335</v>
      </c>
      <c r="E1384" s="244" t="s">
        <v>5185</v>
      </c>
      <c r="F1384" s="269" t="s">
        <v>4916</v>
      </c>
      <c r="G1384" s="273">
        <v>6</v>
      </c>
      <c r="H1384" s="283">
        <v>10000</v>
      </c>
      <c r="I1384" s="246">
        <v>18</v>
      </c>
      <c r="J1384" s="246">
        <v>3</v>
      </c>
      <c r="K1384" s="247" t="s">
        <v>5017</v>
      </c>
      <c r="L1384" s="248">
        <v>13323</v>
      </c>
      <c r="M1384" s="249">
        <f>15*(LEFT(TEXT($L1384,"000000"),2)+(MID(TEXT($L1384,"000000"),3,2)/60)+(RIGHT(TEXT($L1384,"000000"),2)/3600))</f>
        <v>23.345833333333335</v>
      </c>
      <c r="N1384" s="250">
        <v>603900</v>
      </c>
      <c r="O1384" s="251">
        <f>IF($N1384&gt;0,(LEFT(TEXT($N1384,"000000"),2)+(MID(TEXT($N1384,"000000"),3,2)/60)+(RIGHT(TEXT($N1384,"000000"),2)/3600)),-(MID(TEXT($N1384,"000000"),2,2)+(MID(TEXT($N1384,"000000"),4,2)/60)+(RIGHT(TEXT($N1384,"000000"),2)/3600)))</f>
        <v>60.65</v>
      </c>
      <c r="P1384" s="252" t="s">
        <v>49</v>
      </c>
      <c r="Q1384" s="253"/>
      <c r="R1384" s="247" t="s">
        <v>3468</v>
      </c>
      <c r="S1384" s="272" t="s">
        <v>3293</v>
      </c>
      <c r="T1384" s="273">
        <v>7.4</v>
      </c>
      <c r="U1384" s="274"/>
      <c r="V1384" s="280"/>
      <c r="W1384" s="244"/>
      <c r="X1384" s="244"/>
      <c r="Y1384" s="362"/>
      <c r="Z1384" s="257">
        <f>altaz(J2000_Bas,$O1384,$M1384,DecLat,DecLong,1)</f>
        <v>23.280334997918288</v>
      </c>
      <c r="AA1384" s="257">
        <f>altaz((J2000_Bas+(2*0.04167)),$O1384,$M1384,DecLat,DecLong,1)</f>
        <v>37.686522419610718</v>
      </c>
      <c r="AB1384" s="257">
        <f>altaz((J2000_Bas+(4*0.04167)),$O1384,$M1384,DecLat,DecLong,1)</f>
        <v>51.599994518079015</v>
      </c>
      <c r="AC1384" s="257">
        <f>altaz((J2000_Bas+(6*0.04167)),$O1384,$M1384,DecLat,DecLong,1)</f>
        <v>59.980063773915077</v>
      </c>
      <c r="AD1384" s="258">
        <f>1+ transit((J2000_Bas-1),$O1384,$M1384,DecLat,DecLong)/360 + (GMTOffset/24) + (IF(DST="Y", 1, 0)/24)</f>
        <v>1.0577494911817913</v>
      </c>
      <c r="AE1384" s="259">
        <f>DATE(2001,9,21)+(M1384/360)*365 - (360*((DecLong/360)- (GMTOffset/24) ))</f>
        <v>37183.670081018521</v>
      </c>
      <c r="AF1384" s="260">
        <f>IF(DecLat&gt;0,IF((90 - (DecLat-O1384))&gt;90, (90 - (O1384-DecLat)), (90 - (DecLat-O1384))),IF((90 + (DecLat-O1384))&gt;90, (90 + (O1384-DecLat)), (90 + (DecLat-O1384))))</f>
        <v>60.35</v>
      </c>
      <c r="AG1384" s="257">
        <f>angularseperation(MoonRA,MoonDec,$M1384,$O1384)</f>
        <v>134.47275759086671</v>
      </c>
      <c r="AH1384" s="261">
        <f ca="1">MIN(100,IF($O$5&gt;80,0+30*($AG1384/100),IF($O$5&gt;70,0+50*($AG1384/100),IF($O$5&gt;60,5+50*($AG1384/100),IF($O$5&gt;50,10+60*($AG1384/100),IF($O$5&gt;40,15+70*($AG1384/100),IF($O$5&gt;30,20+70*($AG1384/100),IF($O$5&gt;20,40+55*($AG1384/100),(80+(20-$O$5)+30*($AG1384/100))))))))))</f>
        <v>100</v>
      </c>
      <c r="AI1384" s="262">
        <v>581</v>
      </c>
      <c r="AJ1384" s="262"/>
      <c r="AK1384" s="262"/>
      <c r="AL1384" s="263">
        <v>103</v>
      </c>
      <c r="AM1384" s="264"/>
      <c r="AN1384" s="263"/>
      <c r="AO1384" s="263"/>
      <c r="AP1384" s="265"/>
      <c r="AQ1384" s="266"/>
      <c r="AR1384" s="267"/>
      <c r="AS1384" s="263"/>
      <c r="AT1384" s="263"/>
      <c r="AU1384" s="263"/>
      <c r="AV1384" s="264"/>
      <c r="AW1384" s="263"/>
      <c r="AX1384" s="263"/>
      <c r="AY1384" s="263"/>
      <c r="AZ1384" s="263"/>
      <c r="BA1384" s="263"/>
      <c r="BB1384" s="263"/>
      <c r="BC1384" s="263"/>
      <c r="BD1384" s="264"/>
      <c r="BE1384" s="263"/>
      <c r="BF1384" s="263"/>
      <c r="BG1384" s="263"/>
      <c r="BH1384" s="263"/>
      <c r="BI1384" s="263"/>
      <c r="BJ1384" s="404">
        <f>altaz(J2000_Bas,$O1384,$M1384,DecLat,DecLong,2)</f>
        <v>31.95212822583067</v>
      </c>
      <c r="BK1384" s="378" t="s">
        <v>1431</v>
      </c>
      <c r="BL1384" s="379">
        <f>IF((2*G1384)/60&lt;0.2,0.2,(2*G1384)/60)</f>
        <v>0.2</v>
      </c>
      <c r="BM1384" s="380">
        <f>MOD((50000+AD1384-$B$3+(0/24)),1)</f>
        <v>0.27311642088898225</v>
      </c>
      <c r="BN1384" s="381"/>
      <c r="BO1384" s="382">
        <v>1377</v>
      </c>
    </row>
    <row r="1385" spans="1:67" s="24" customFormat="1" ht="15" customHeight="1" x14ac:dyDescent="0.25">
      <c r="A1385" s="288" t="s">
        <v>1432</v>
      </c>
      <c r="B1385" s="241" t="str">
        <f>HYPERLINK(CONCATENATE($AT$3,BK1385,$AU$3),$AV$3)</f>
        <v>S</v>
      </c>
      <c r="C1385" s="242" t="str">
        <f>HYPERLINK(CONCATENATE($AT$4,BK1385,$AU$4,BL1385),$AV$4)</f>
        <v>A</v>
      </c>
      <c r="D1385" s="243" t="s">
        <v>5638</v>
      </c>
      <c r="E1385" s="244" t="s">
        <v>5192</v>
      </c>
      <c r="F1385" s="269" t="s">
        <v>8716</v>
      </c>
      <c r="G1385" s="273">
        <v>7</v>
      </c>
      <c r="H1385" s="283">
        <v>30</v>
      </c>
      <c r="I1385" s="246">
        <v>60</v>
      </c>
      <c r="J1385" s="246">
        <v>4</v>
      </c>
      <c r="K1385" s="247" t="s">
        <v>5018</v>
      </c>
      <c r="L1385" s="248">
        <v>123959</v>
      </c>
      <c r="M1385" s="249">
        <f>15*(LEFT(TEXT($L1385,"000000"),2)+(MID(TEXT($L1385,"000000"),3,2)/60)+(RIGHT(TEXT($L1385,"000000"),2)/3600))</f>
        <v>189.99583333333334</v>
      </c>
      <c r="N1385" s="250">
        <v>-113723</v>
      </c>
      <c r="O1385" s="251">
        <f>IF($N1385&gt;0,(LEFT(TEXT($N1385,"000000"),2)+(MID(TEXT($N1385,"000000"),3,2)/60)+(RIGHT(TEXT($N1385,"000000"),2)/3600)),-(MID(TEXT($N1385,"000000"),2,2)+(MID(TEXT($N1385,"000000"),4,2)/60)+(RIGHT(TEXT($N1385,"000000"),2)/3600)))</f>
        <v>-11.623055555555556</v>
      </c>
      <c r="P1385" s="252" t="s">
        <v>61</v>
      </c>
      <c r="Q1385" s="253" t="s">
        <v>6905</v>
      </c>
      <c r="R1385" s="247" t="s">
        <v>3591</v>
      </c>
      <c r="S1385" s="272" t="s">
        <v>3293</v>
      </c>
      <c r="T1385" s="273">
        <v>8</v>
      </c>
      <c r="U1385" s="289">
        <v>20.490000000000002</v>
      </c>
      <c r="V1385" s="280">
        <v>87</v>
      </c>
      <c r="W1385" s="244"/>
      <c r="X1385" s="244"/>
      <c r="Y1385" s="362"/>
      <c r="Z1385" s="257">
        <f>altaz(J2000_Bas,$O1385,$M1385,DecLat,DecLong,1)</f>
        <v>-11.047684947380619</v>
      </c>
      <c r="AA1385" s="257">
        <f>altaz((J2000_Bas+(2*0.04167)),$O1385,$M1385,DecLat,DecLong,1)</f>
        <v>-36.751591545322874</v>
      </c>
      <c r="AB1385" s="257">
        <f>altaz((J2000_Bas+(4*0.04167)),$O1385,$M1385,DecLat,DecLong,1)</f>
        <v>-60.670185611797585</v>
      </c>
      <c r="AC1385" s="257">
        <f>altaz((J2000_Bas+(6*0.04167)),$O1385,$M1385,DecLat,DecLong,1)</f>
        <v>-69.776174480306949</v>
      </c>
      <c r="AD1385" s="258">
        <f>1+ transit((J2000_Bas-1),$O1385,$M1385,DecLat,DecLong)/360 + (GMTOffset/24) + (IF(DST="Y", 1, 0)/24)</f>
        <v>1.5206661115567914</v>
      </c>
      <c r="AE1385" s="259">
        <f>DATE(2001,9,21)+(M1385/360)*365 - (360*((DecLong/360)- (GMTOffset/24) ))</f>
        <v>37352.634664351855</v>
      </c>
      <c r="AF1385" s="260">
        <f>IF(DecLat&gt;0,IF((90 - (DecLat-O1385))&gt;90, (90 - (O1385-DecLat)), (90 - (DecLat-O1385))),IF((90 + (DecLat-O1385))&gt;90, (90 + (O1385-DecLat)), (90 + (DecLat-O1385))))</f>
        <v>47.376944444444447</v>
      </c>
      <c r="AG1385" s="257">
        <f>angularseperation(MoonRA,MoonDec,$M1385,$O1385)</f>
        <v>57.474789086925114</v>
      </c>
      <c r="AH1385" s="261">
        <f ca="1">MIN(100,IF($O$5&gt;80,0+30*($AG1385/100),IF($O$5&gt;70,0+50*($AG1385/100),IF($O$5&gt;60,5+50*($AG1385/100),IF($O$5&gt;50,10+60*($AG1385/100),IF($O$5&gt;40,15+70*($AG1385/100),IF($O$5&gt;30,20+70*($AG1385/100),IF($O$5&gt;20,40+55*($AG1385/100),(80+(20-$O$5)+30*($AG1385/100))))))))))</f>
        <v>100</v>
      </c>
      <c r="AI1385" s="262">
        <v>4594</v>
      </c>
      <c r="AJ1385" s="262"/>
      <c r="AK1385" s="262">
        <v>262</v>
      </c>
      <c r="AL1385" s="263">
        <v>104</v>
      </c>
      <c r="AM1385" s="264"/>
      <c r="AN1385" s="263"/>
      <c r="AO1385" s="263"/>
      <c r="AP1385" s="265"/>
      <c r="AQ1385" s="266"/>
      <c r="AR1385" s="267">
        <v>42407</v>
      </c>
      <c r="AS1385" s="263"/>
      <c r="AT1385" s="263"/>
      <c r="AU1385" s="263"/>
      <c r="AV1385" s="264"/>
      <c r="AW1385" s="263"/>
      <c r="AX1385" s="263"/>
      <c r="AY1385" s="263"/>
      <c r="AZ1385" s="263"/>
      <c r="BA1385" s="263"/>
      <c r="BB1385" s="263"/>
      <c r="BC1385" s="263"/>
      <c r="BD1385" s="264"/>
      <c r="BE1385" s="263"/>
      <c r="BF1385" s="263"/>
      <c r="BG1385" s="263"/>
      <c r="BH1385" s="263"/>
      <c r="BI1385" s="263"/>
      <c r="BJ1385" s="404">
        <f>altaz(J2000_Bas,$O1385,$M1385,DecLat,DecLong,2)</f>
        <v>262.98278201743227</v>
      </c>
      <c r="BK1385" s="378" t="s">
        <v>1432</v>
      </c>
      <c r="BL1385" s="379">
        <f>IF((2*G1385)/60&lt;0.2,0.2,(2*G1385)/60)</f>
        <v>0.23333333333333334</v>
      </c>
      <c r="BM1385" s="380">
        <f>MOD((50000+AD1385-$B$3+(0/24)),1)</f>
        <v>0.73603304126299918</v>
      </c>
      <c r="BN1385" s="381" t="s">
        <v>9218</v>
      </c>
      <c r="BO1385" s="382">
        <v>1378</v>
      </c>
    </row>
    <row r="1386" spans="1:67" s="24" customFormat="1" ht="15" customHeight="1" x14ac:dyDescent="0.25">
      <c r="A1386" s="288" t="s">
        <v>1433</v>
      </c>
      <c r="B1386" s="241" t="str">
        <f>HYPERLINK(CONCATENATE($AT$3,BK1386,$AU$3),$AV$3)</f>
        <v>S</v>
      </c>
      <c r="C1386" s="242" t="str">
        <f>HYPERLINK(CONCATENATE($AT$4,BK1386,$AU$4,BL1386),$AV$4)</f>
        <v>A</v>
      </c>
      <c r="D1386" s="243" t="s">
        <v>5638</v>
      </c>
      <c r="E1386" s="244" t="s">
        <v>5193</v>
      </c>
      <c r="F1386" s="269" t="s">
        <v>3311</v>
      </c>
      <c r="G1386" s="273">
        <v>5</v>
      </c>
      <c r="H1386" s="283">
        <v>37</v>
      </c>
      <c r="I1386" s="246">
        <v>55</v>
      </c>
      <c r="J1386" s="246">
        <v>2</v>
      </c>
      <c r="K1386" s="247" t="s">
        <v>5019</v>
      </c>
      <c r="L1386" s="248">
        <v>104750</v>
      </c>
      <c r="M1386" s="249">
        <f>15*(LEFT(TEXT($L1386,"000000"),2)+(MID(TEXT($L1386,"000000"),3,2)/60)+(RIGHT(TEXT($L1386,"000000"),2)/3600))</f>
        <v>161.95833333333334</v>
      </c>
      <c r="N1386" s="250">
        <v>123455</v>
      </c>
      <c r="O1386" s="251">
        <f>IF($N1386&gt;0,(LEFT(TEXT($N1386,"000000"),2)+(MID(TEXT($N1386,"000000"),3,2)/60)+(RIGHT(TEXT($N1386,"000000"),2)/3600)),-(MID(TEXT($N1386,"000000"),2,2)+(MID(TEXT($N1386,"000000"),4,2)/60)+(RIGHT(TEXT($N1386,"000000"),2)/3600)))</f>
        <v>12.581944444444444</v>
      </c>
      <c r="P1386" s="252" t="s">
        <v>183</v>
      </c>
      <c r="Q1386" s="253" t="s">
        <v>1434</v>
      </c>
      <c r="R1386" s="247" t="s">
        <v>3546</v>
      </c>
      <c r="S1386" s="272" t="s">
        <v>3293</v>
      </c>
      <c r="T1386" s="273">
        <v>9.8000000000000007</v>
      </c>
      <c r="U1386" s="289">
        <v>21.69</v>
      </c>
      <c r="V1386" s="280"/>
      <c r="W1386" s="244"/>
      <c r="X1386" s="244"/>
      <c r="Y1386" s="362"/>
      <c r="Z1386" s="257">
        <f>altaz(J2000_Bas,$O1386,$M1386,DecLat,DecLong,1)</f>
        <v>-20.864158144965685</v>
      </c>
      <c r="AA1386" s="257">
        <f>altaz((J2000_Bas+(2*0.04167)),$O1386,$M1386,DecLat,DecLong,1)</f>
        <v>-39.83245081857757</v>
      </c>
      <c r="AB1386" s="257">
        <f>altaz((J2000_Bas+(4*0.04167)),$O1386,$M1386,DecLat,DecLong,1)</f>
        <v>-46.230465118786789</v>
      </c>
      <c r="AC1386" s="257">
        <f>altaz((J2000_Bas+(6*0.04167)),$O1386,$M1386,DecLat,DecLong,1)</f>
        <v>-35.374830383628968</v>
      </c>
      <c r="AD1386" s="258">
        <f>1+ transit((J2000_Bas-1),$O1386,$M1386,DecLat,DecLong)/360 + (GMTOffset/24) + (IF(DST="Y", 1, 0)/24)</f>
        <v>1.4427841749005414</v>
      </c>
      <c r="AE1386" s="259">
        <f>DATE(2001,9,21)+(M1386/360)*365 - (360*((DecLong/360)- (GMTOffset/24) ))</f>
        <v>37324.207754629628</v>
      </c>
      <c r="AF1386" s="260">
        <f>IF(DecLat&gt;0,IF((90 - (DecLat-O1386))&gt;90, (90 - (O1386-DecLat)), (90 - (DecLat-O1386))),IF((90 + (DecLat-O1386))&gt;90, (90 + (O1386-DecLat)), (90 + (DecLat-O1386))))</f>
        <v>71.581944444444446</v>
      </c>
      <c r="AG1386" s="257">
        <f>angularseperation(MoonRA,MoonDec,$M1386,$O1386)</f>
        <v>93.324894787945851</v>
      </c>
      <c r="AH1386" s="261">
        <f ca="1">MIN(100,IF($O$5&gt;80,0+30*($AG1386/100),IF($O$5&gt;70,0+50*($AG1386/100),IF($O$5&gt;60,5+50*($AG1386/100),IF($O$5&gt;50,10+60*($AG1386/100),IF($O$5&gt;40,15+70*($AG1386/100),IF($O$5&gt;30,20+70*($AG1386/100),IF($O$5&gt;20,40+55*($AG1386/100),(80+(20-$O$5)+30*($AG1386/100))))))))))</f>
        <v>100</v>
      </c>
      <c r="AI1386" s="262">
        <v>3379</v>
      </c>
      <c r="AJ1386" s="262"/>
      <c r="AK1386" s="262">
        <v>156</v>
      </c>
      <c r="AL1386" s="263">
        <v>105</v>
      </c>
      <c r="AM1386" s="264"/>
      <c r="AN1386" s="263"/>
      <c r="AO1386" s="263"/>
      <c r="AP1386" s="265"/>
      <c r="AQ1386" s="266"/>
      <c r="AR1386" s="267">
        <v>32256</v>
      </c>
      <c r="AS1386" s="263"/>
      <c r="AT1386" s="263"/>
      <c r="AU1386" s="263"/>
      <c r="AV1386" s="264"/>
      <c r="AW1386" s="263"/>
      <c r="AX1386" s="263"/>
      <c r="AY1386" s="263"/>
      <c r="AZ1386" s="263"/>
      <c r="BA1386" s="263"/>
      <c r="BB1386" s="263"/>
      <c r="BC1386" s="263"/>
      <c r="BD1386" s="264"/>
      <c r="BE1386" s="263"/>
      <c r="BF1386" s="263"/>
      <c r="BG1386" s="263"/>
      <c r="BH1386" s="263"/>
      <c r="BI1386" s="263"/>
      <c r="BJ1386" s="404">
        <f>altaz(J2000_Bas,$O1386,$M1386,DecLat,DecLong,2)</f>
        <v>300.06510955924171</v>
      </c>
      <c r="BK1386" s="378" t="s">
        <v>1433</v>
      </c>
      <c r="BL1386" s="379">
        <f>IF((2*G1386)/60&lt;0.2,0.2,(2*G1386)/60)</f>
        <v>0.2</v>
      </c>
      <c r="BM1386" s="380">
        <f>MOD((50000+AD1386-$B$3+(0/24)),1)</f>
        <v>0.65815110460243886</v>
      </c>
      <c r="BN1386" s="381"/>
      <c r="BO1386" s="382">
        <v>1379</v>
      </c>
    </row>
    <row r="1387" spans="1:67" s="24" customFormat="1" ht="15" customHeight="1" x14ac:dyDescent="0.25">
      <c r="A1387" s="288" t="s">
        <v>1435</v>
      </c>
      <c r="B1387" s="241" t="str">
        <f>HYPERLINK(CONCATENATE($AT$3,BK1387,$AU$3),$AV$3)</f>
        <v>S</v>
      </c>
      <c r="C1387" s="242" t="str">
        <f>HYPERLINK(CONCATENATE($AT$4,BK1387,$AU$4,BL1387),$AV$4)</f>
        <v>A</v>
      </c>
      <c r="D1387" s="243" t="s">
        <v>5638</v>
      </c>
      <c r="E1387" s="244" t="s">
        <v>5192</v>
      </c>
      <c r="F1387" s="269" t="s">
        <v>8890</v>
      </c>
      <c r="G1387" s="276">
        <v>21</v>
      </c>
      <c r="H1387" s="283">
        <v>25</v>
      </c>
      <c r="I1387" s="246">
        <v>150</v>
      </c>
      <c r="J1387" s="246">
        <v>4</v>
      </c>
      <c r="K1387" s="247" t="s">
        <v>5020</v>
      </c>
      <c r="L1387" s="248">
        <v>121858</v>
      </c>
      <c r="M1387" s="249">
        <f>15*(LEFT(TEXT($L1387,"000000"),2)+(MID(TEXT($L1387,"000000"),3,2)/60)+(RIGHT(TEXT($L1387,"000000"),2)/3600))</f>
        <v>184.74166666666667</v>
      </c>
      <c r="N1387" s="250">
        <v>471816</v>
      </c>
      <c r="O1387" s="251">
        <f>IF($N1387&gt;0,(LEFT(TEXT($N1387,"000000"),2)+(MID(TEXT($N1387,"000000"),3,2)/60)+(RIGHT(TEXT($N1387,"000000"),2)/3600)),-(MID(TEXT($N1387,"000000"),2,2)+(MID(TEXT($N1387,"000000"),4,2)/60)+(RIGHT(TEXT($N1387,"000000"),2)/3600)))</f>
        <v>47.304444444444442</v>
      </c>
      <c r="P1387" s="252" t="s">
        <v>242</v>
      </c>
      <c r="Q1387" s="253"/>
      <c r="R1387" s="247" t="s">
        <v>3578</v>
      </c>
      <c r="S1387" s="272" t="s">
        <v>3293</v>
      </c>
      <c r="T1387" s="273">
        <v>8.4</v>
      </c>
      <c r="U1387" s="289">
        <v>22.490000000000002</v>
      </c>
      <c r="V1387" s="280">
        <v>75</v>
      </c>
      <c r="W1387" s="244"/>
      <c r="X1387" s="244"/>
      <c r="Y1387" s="362"/>
      <c r="Z1387" s="257">
        <f>altaz(J2000_Bas,$O1387,$M1387,DecLat,DecLong,1)</f>
        <v>15.368812232880234</v>
      </c>
      <c r="AA1387" s="257">
        <f>altaz((J2000_Bas+(2*0.04167)),$O1387,$M1387,DecLat,DecLong,1)</f>
        <v>-0.31139618249002915</v>
      </c>
      <c r="AB1387" s="257">
        <f>altaz((J2000_Bas+(4*0.04167)),$O1387,$M1387,DecLat,DecLong,1)</f>
        <v>-9.9302403469942568</v>
      </c>
      <c r="AC1387" s="257">
        <f>altaz((J2000_Bas+(6*0.04167)),$O1387,$M1387,DecLat,DecLong,1)</f>
        <v>-11.011912964523724</v>
      </c>
      <c r="AD1387" s="258">
        <f>1+ transit((J2000_Bas-1),$O1387,$M1387,DecLat,DecLong)/360 + (GMTOffset/24) + (IF(DST="Y", 1, 0)/24)</f>
        <v>1.5060712056088748</v>
      </c>
      <c r="AE1387" s="259">
        <f>DATE(2001,9,21)+(M1387/360)*365 - (360*((DecLong/360)- (GMTOffset/24) ))</f>
        <v>37347.307523148149</v>
      </c>
      <c r="AF1387" s="260">
        <f>IF(DecLat&gt;0,IF((90 - (DecLat-O1387))&gt;90, (90 - (O1387-DecLat)), (90 - (DecLat-O1387))),IF((90 + (DecLat-O1387))&gt;90, (90 + (O1387-DecLat)), (90 + (DecLat-O1387))))</f>
        <v>73.695555555555558</v>
      </c>
      <c r="AG1387" s="257">
        <f>angularseperation(MoonRA,MoonDec,$M1387,$O1387)</f>
        <v>94.284781871664975</v>
      </c>
      <c r="AH1387" s="261">
        <f ca="1">MIN(100,IF($O$5&gt;80,0+30*($AG1387/100),IF($O$5&gt;70,0+50*($AG1387/100),IF($O$5&gt;60,5+50*($AG1387/100),IF($O$5&gt;50,10+60*($AG1387/100),IF($O$5&gt;40,15+70*($AG1387/100),IF($O$5&gt;30,20+70*($AG1387/100),IF($O$5&gt;20,40+55*($AG1387/100),(80+(20-$O$5)+30*($AG1387/100))))))))))</f>
        <v>100</v>
      </c>
      <c r="AI1387" s="262">
        <v>4258</v>
      </c>
      <c r="AJ1387" s="262"/>
      <c r="AK1387" s="262">
        <v>221</v>
      </c>
      <c r="AL1387" s="263">
        <v>106</v>
      </c>
      <c r="AM1387" s="264"/>
      <c r="AN1387" s="263"/>
      <c r="AO1387" s="263"/>
      <c r="AP1387" s="265"/>
      <c r="AQ1387" s="266"/>
      <c r="AR1387" s="267">
        <v>39600</v>
      </c>
      <c r="AS1387" s="263"/>
      <c r="AT1387" s="263"/>
      <c r="AU1387" s="263"/>
      <c r="AV1387" s="264"/>
      <c r="AW1387" s="263"/>
      <c r="AX1387" s="263"/>
      <c r="AY1387" s="263"/>
      <c r="AZ1387" s="263"/>
      <c r="BA1387" s="263"/>
      <c r="BB1387" s="263"/>
      <c r="BC1387" s="263"/>
      <c r="BD1387" s="264"/>
      <c r="BE1387" s="263"/>
      <c r="BF1387" s="263"/>
      <c r="BG1387" s="263"/>
      <c r="BH1387" s="263"/>
      <c r="BI1387" s="263"/>
      <c r="BJ1387" s="404">
        <f>altaz(J2000_Bas,$O1387,$M1387,DecLat,DecLong,2)</f>
        <v>316.39268282030662</v>
      </c>
      <c r="BK1387" s="378" t="s">
        <v>1435</v>
      </c>
      <c r="BL1387" s="379">
        <f>IF((2*G1387)/60&lt;0.2,0.2,(2*G1387)/60)</f>
        <v>0.7</v>
      </c>
      <c r="BM1387" s="380">
        <f>MOD((50000+AD1387-$B$3+(0/24)),1)</f>
        <v>0.72143813531147316</v>
      </c>
      <c r="BN1387" s="381"/>
      <c r="BO1387" s="382">
        <v>1380</v>
      </c>
    </row>
    <row r="1388" spans="1:67" s="24" customFormat="1" ht="15" customHeight="1" x14ac:dyDescent="0.25">
      <c r="A1388" s="288" t="s">
        <v>1436</v>
      </c>
      <c r="B1388" s="241" t="str">
        <f>HYPERLINK(CONCATENATE($AT$3,BK1388,$AU$3),$AV$3)</f>
        <v>S</v>
      </c>
      <c r="C1388" s="242" t="str">
        <f>HYPERLINK(CONCATENATE($AT$4,BK1388,$AU$4,BL1388),$AV$4)</f>
        <v>A</v>
      </c>
      <c r="D1388" s="243" t="s">
        <v>5335</v>
      </c>
      <c r="E1388" s="244" t="s">
        <v>5184</v>
      </c>
      <c r="F1388" s="269" t="s">
        <v>3179</v>
      </c>
      <c r="G1388" s="276">
        <v>10</v>
      </c>
      <c r="H1388" s="283">
        <v>20000</v>
      </c>
      <c r="I1388" s="246">
        <v>60</v>
      </c>
      <c r="J1388" s="246">
        <v>2</v>
      </c>
      <c r="K1388" s="247" t="s">
        <v>8174</v>
      </c>
      <c r="L1388" s="248">
        <v>163232</v>
      </c>
      <c r="M1388" s="249">
        <f>15*(LEFT(TEXT($L1388,"000000"),2)+(MID(TEXT($L1388,"000000"),3,2)/60)+(RIGHT(TEXT($L1388,"000000"),2)/3600))</f>
        <v>248.13333333333338</v>
      </c>
      <c r="N1388" s="250">
        <v>-130311</v>
      </c>
      <c r="O1388" s="251">
        <f>IF($N1388&gt;0,(LEFT(TEXT($N1388,"000000"),2)+(MID(TEXT($N1388,"000000"),3,2)/60)+(RIGHT(TEXT($N1388,"000000"),2)/3600)),-(MID(TEXT($N1388,"000000"),2,2)+(MID(TEXT($N1388,"000000"),4,2)/60)+(RIGHT(TEXT($N1388,"000000"),2)/3600)))</f>
        <v>-13.053055555555556</v>
      </c>
      <c r="P1388" s="252" t="s">
        <v>113</v>
      </c>
      <c r="Q1388" s="253"/>
      <c r="R1388" s="247" t="s">
        <v>3642</v>
      </c>
      <c r="S1388" s="272" t="s">
        <v>3293</v>
      </c>
      <c r="T1388" s="273">
        <v>7.8</v>
      </c>
      <c r="U1388" s="274"/>
      <c r="V1388" s="280"/>
      <c r="W1388" s="244"/>
      <c r="X1388" s="244"/>
      <c r="Y1388" s="362"/>
      <c r="Z1388" s="257">
        <f>altaz(J2000_Bas,$O1388,$M1388,DecLat,DecLong,1)</f>
        <v>32.87801215268869</v>
      </c>
      <c r="AA1388" s="257">
        <f>altaz((J2000_Bas+(2*0.04167)),$O1388,$M1388,DecLat,DecLong,1)</f>
        <v>11.367682180475567</v>
      </c>
      <c r="AB1388" s="257">
        <f>altaz((J2000_Bas+(4*0.04167)),$O1388,$M1388,DecLat,DecLong,1)</f>
        <v>-13.479009586965987</v>
      </c>
      <c r="AC1388" s="257">
        <f>altaz((J2000_Bas+(6*0.04167)),$O1388,$M1388,DecLat,DecLong,1)</f>
        <v>-39.184727919914202</v>
      </c>
      <c r="AD1388" s="258">
        <f>1+ transit((J2000_Bas-1),$O1388,$M1388,DecLat,DecLong)/360 + (GMTOffset/24) + (IF(DST="Y", 1, 0)/24)</f>
        <v>1.6821591509630416</v>
      </c>
      <c r="AE1388" s="259">
        <f>DATE(2001,9,21)+(M1388/360)*365 - (360*((DecLong/360)- (GMTOffset/24) ))</f>
        <v>37411.579629629632</v>
      </c>
      <c r="AF1388" s="260">
        <f>IF(DecLat&gt;0,IF((90 - (DecLat-O1388))&gt;90, (90 - (O1388-DecLat)), (90 - (DecLat-O1388))),IF((90 + (DecLat-O1388))&gt;90, (90 + (O1388-DecLat)), (90 + (DecLat-O1388))))</f>
        <v>45.946944444444441</v>
      </c>
      <c r="AG1388" s="257">
        <f>angularseperation(MoonRA,MoonDec,$M1388,$O1388)</f>
        <v>14.069351348887206</v>
      </c>
      <c r="AH1388" s="261">
        <f ca="1">MIN(100,IF($O$5&gt;80,0+30*($AG1388/100),IF($O$5&gt;70,0+50*($AG1388/100),IF($O$5&gt;60,5+50*($AG1388/100),IF($O$5&gt;50,10+60*($AG1388/100),IF($O$5&gt;40,15+70*($AG1388/100),IF($O$5&gt;30,20+70*($AG1388/100),IF($O$5&gt;20,40+55*($AG1388/100),(80+(20-$O$5)+30*($AG1388/100))))))))))</f>
        <v>87.491865748816593</v>
      </c>
      <c r="AI1388" s="262">
        <v>6171</v>
      </c>
      <c r="AJ1388" s="262"/>
      <c r="AK1388" s="262">
        <v>317</v>
      </c>
      <c r="AL1388" s="263">
        <v>107</v>
      </c>
      <c r="AM1388" s="264"/>
      <c r="AN1388" s="263"/>
      <c r="AO1388" s="263"/>
      <c r="AP1388" s="265"/>
      <c r="AQ1388" s="266"/>
      <c r="AR1388" s="267"/>
      <c r="AS1388" s="263"/>
      <c r="AT1388" s="263"/>
      <c r="AU1388" s="263"/>
      <c r="AV1388" s="264"/>
      <c r="AW1388" s="263"/>
      <c r="AX1388" s="263"/>
      <c r="AY1388" s="263"/>
      <c r="AZ1388" s="263"/>
      <c r="BA1388" s="263"/>
      <c r="BB1388" s="263"/>
      <c r="BC1388" s="263"/>
      <c r="BD1388" s="264"/>
      <c r="BE1388" s="263"/>
      <c r="BF1388" s="263"/>
      <c r="BG1388" s="263"/>
      <c r="BH1388" s="263"/>
      <c r="BI1388" s="263"/>
      <c r="BJ1388" s="404">
        <f>altaz(J2000_Bas,$O1388,$M1388,DecLat,DecLong,2)</f>
        <v>225.40206533764874</v>
      </c>
      <c r="BK1388" s="378" t="s">
        <v>1436</v>
      </c>
      <c r="BL1388" s="379">
        <f>IF((2*G1388)/60&lt;0.2,0.2,(2*G1388)/60)</f>
        <v>0.33333333333333331</v>
      </c>
      <c r="BM1388" s="380">
        <f>MOD((50000+AD1388-$B$3+(0/24)),1)</f>
        <v>0.89752608066919493</v>
      </c>
      <c r="BN1388" s="381"/>
      <c r="BO1388" s="382">
        <v>1381</v>
      </c>
    </row>
    <row r="1389" spans="1:67" s="24" customFormat="1" ht="15" customHeight="1" x14ac:dyDescent="0.25">
      <c r="A1389" s="288" t="s">
        <v>1437</v>
      </c>
      <c r="B1389" s="241" t="str">
        <f>HYPERLINK(CONCATENATE($AT$3,BK1389,$AU$3),$AV$3)</f>
        <v>S</v>
      </c>
      <c r="C1389" s="242" t="str">
        <f>HYPERLINK(CONCATENATE($AT$4,BK1389,$AU$4,BL1389),$AV$4)</f>
        <v>A</v>
      </c>
      <c r="D1389" s="243" t="s">
        <v>5638</v>
      </c>
      <c r="E1389" s="244" t="s">
        <v>5192</v>
      </c>
      <c r="F1389" s="269" t="s">
        <v>8689</v>
      </c>
      <c r="G1389" s="273">
        <v>8</v>
      </c>
      <c r="H1389" s="283">
        <v>30</v>
      </c>
      <c r="I1389" s="246">
        <v>70</v>
      </c>
      <c r="J1389" s="246">
        <v>4</v>
      </c>
      <c r="K1389" s="247" t="s">
        <v>8043</v>
      </c>
      <c r="L1389" s="248">
        <v>111131</v>
      </c>
      <c r="M1389" s="249">
        <f>15*(LEFT(TEXT($L1389,"000000"),2)+(MID(TEXT($L1389,"000000"),3,2)/60)+(RIGHT(TEXT($L1389,"000000"),2)/3600))</f>
        <v>167.87916666666666</v>
      </c>
      <c r="N1389" s="250">
        <v>554026</v>
      </c>
      <c r="O1389" s="251">
        <f>IF($N1389&gt;0,(LEFT(TEXT($N1389,"000000"),2)+(MID(TEXT($N1389,"000000"),3,2)/60)+(RIGHT(TEXT($N1389,"000000"),2)/3600)),-(MID(TEXT($N1389,"000000"),2,2)+(MID(TEXT($N1389,"000000"),4,2)/60)+(RIGHT(TEXT($N1389,"000000"),2)/3600)))</f>
        <v>55.673888888888889</v>
      </c>
      <c r="P1389" s="252" t="s">
        <v>37</v>
      </c>
      <c r="Q1389" s="253" t="s">
        <v>6913</v>
      </c>
      <c r="R1389" s="247" t="s">
        <v>3552</v>
      </c>
      <c r="S1389" s="272" t="s">
        <v>3293</v>
      </c>
      <c r="T1389" s="273">
        <v>10.7</v>
      </c>
      <c r="U1389" s="289">
        <v>21.990000000000002</v>
      </c>
      <c r="V1389" s="280">
        <v>75</v>
      </c>
      <c r="W1389" s="244"/>
      <c r="X1389" s="244"/>
      <c r="Y1389" s="362"/>
      <c r="Z1389" s="257">
        <f>altaz(J2000_Bas,$O1389,$M1389,DecLat,DecLong,1)</f>
        <v>11.390656459200013</v>
      </c>
      <c r="AA1389" s="257">
        <f>altaz((J2000_Bas+(2*0.04167)),$O1389,$M1389,DecLat,DecLong,1)</f>
        <v>0.83088164301200718</v>
      </c>
      <c r="AB1389" s="257">
        <f>altaz((J2000_Bas+(4*0.04167)),$O1389,$M1389,DecLat,DecLong,1)</f>
        <v>-3.3137939304557724</v>
      </c>
      <c r="AC1389" s="257">
        <f>altaz((J2000_Bas+(6*0.04167)),$O1389,$M1389,DecLat,DecLong,1)</f>
        <v>3.5547154762367843E-3</v>
      </c>
      <c r="AD1389" s="258">
        <f>1+ transit((J2000_Bas-1),$O1389,$M1389,DecLat,DecLong)/360 + (GMTOffset/24) + (IF(DST="Y", 1, 0)/24)</f>
        <v>1.4592309325151247</v>
      </c>
      <c r="AE1389" s="259">
        <f>DATE(2001,9,21)+(M1389/360)*365 - (360*((DecLong/360)- (GMTOffset/24) ))</f>
        <v>37330.210821759261</v>
      </c>
      <c r="AF1389" s="260">
        <f>IF(DecLat&gt;0,IF((90 - (DecLat-O1389))&gt;90, (90 - (O1389-DecLat)), (90 - (DecLat-O1389))),IF((90 + (DecLat-O1389))&gt;90, (90 + (O1389-DecLat)), (90 + (DecLat-O1389))))</f>
        <v>65.326111111111118</v>
      </c>
      <c r="AG1389" s="257">
        <f>angularseperation(MoonRA,MoonDec,$M1389,$O1389)</f>
        <v>107.49391887707944</v>
      </c>
      <c r="AH1389" s="261">
        <f ca="1">MIN(100,IF($O$5&gt;80,0+30*($AG1389/100),IF($O$5&gt;70,0+50*($AG1389/100),IF($O$5&gt;60,5+50*($AG1389/100),IF($O$5&gt;50,10+60*($AG1389/100),IF($O$5&gt;40,15+70*($AG1389/100),IF($O$5&gt;30,20+70*($AG1389/100),IF($O$5&gt;20,40+55*($AG1389/100),(80+(20-$O$5)+30*($AG1389/100))))))))))</f>
        <v>100</v>
      </c>
      <c r="AI1389" s="262">
        <v>3556</v>
      </c>
      <c r="AJ1389" s="262"/>
      <c r="AK1389" s="262">
        <v>166</v>
      </c>
      <c r="AL1389" s="263">
        <v>108</v>
      </c>
      <c r="AM1389" s="264"/>
      <c r="AN1389" s="263"/>
      <c r="AO1389" s="263"/>
      <c r="AP1389" s="265"/>
      <c r="AQ1389" s="266"/>
      <c r="AR1389" s="267">
        <v>34030</v>
      </c>
      <c r="AS1389" s="263"/>
      <c r="AT1389" s="263"/>
      <c r="AU1389" s="263"/>
      <c r="AV1389" s="264"/>
      <c r="AW1389" s="263"/>
      <c r="AX1389" s="263"/>
      <c r="AY1389" s="263"/>
      <c r="AZ1389" s="263"/>
      <c r="BA1389" s="263"/>
      <c r="BB1389" s="263"/>
      <c r="BC1389" s="263"/>
      <c r="BD1389" s="264"/>
      <c r="BE1389" s="263"/>
      <c r="BF1389" s="263"/>
      <c r="BG1389" s="263"/>
      <c r="BH1389" s="263"/>
      <c r="BI1389" s="263"/>
      <c r="BJ1389" s="404">
        <f>altaz(J2000_Bas,$O1389,$M1389,DecLat,DecLong,2)</f>
        <v>329.51470937598833</v>
      </c>
      <c r="BK1389" s="378" t="s">
        <v>1437</v>
      </c>
      <c r="BL1389" s="379">
        <f>IF((2*G1389)/60&lt;0.2,0.2,(2*G1389)/60)</f>
        <v>0.26666666666666666</v>
      </c>
      <c r="BM1389" s="380">
        <f>MOD((50000+AD1389-$B$3+(0/24)),1)</f>
        <v>0.67459786222025286</v>
      </c>
      <c r="BN1389" s="381"/>
      <c r="BO1389" s="382">
        <v>1382</v>
      </c>
    </row>
    <row r="1390" spans="1:67" s="24" customFormat="1" ht="15" customHeight="1" x14ac:dyDescent="0.25">
      <c r="A1390" s="288" t="s">
        <v>1438</v>
      </c>
      <c r="B1390" s="241" t="str">
        <f>HYPERLINK(CONCATENATE($AT$3,BK1390,$AU$3),$AV$3)</f>
        <v>S</v>
      </c>
      <c r="C1390" s="242" t="str">
        <f>HYPERLINK(CONCATENATE($AT$4,BK1390,$AU$4,BL1390),$AV$4)</f>
        <v>A</v>
      </c>
      <c r="D1390" s="243" t="s">
        <v>5638</v>
      </c>
      <c r="E1390" s="244" t="s">
        <v>5192</v>
      </c>
      <c r="F1390" s="269" t="s">
        <v>8890</v>
      </c>
      <c r="G1390" s="273">
        <v>7</v>
      </c>
      <c r="H1390" s="283">
        <v>85</v>
      </c>
      <c r="I1390" s="246">
        <v>180</v>
      </c>
      <c r="J1390" s="246">
        <v>4</v>
      </c>
      <c r="K1390" s="247" t="s">
        <v>5021</v>
      </c>
      <c r="L1390" s="248">
        <v>115736</v>
      </c>
      <c r="M1390" s="249">
        <f>15*(LEFT(TEXT($L1390,"000000"),2)+(MID(TEXT($L1390,"000000"),3,2)/60)+(RIGHT(TEXT($L1390,"000000"),2)/3600))</f>
        <v>179.39999999999998</v>
      </c>
      <c r="N1390" s="250">
        <v>532229</v>
      </c>
      <c r="O1390" s="251">
        <f>IF($N1390&gt;0,(LEFT(TEXT($N1390,"000000"),2)+(MID(TEXT($N1390,"000000"),3,2)/60)+(RIGHT(TEXT($N1390,"000000"),2)/3600)),-(MID(TEXT($N1390,"000000"),2,2)+(MID(TEXT($N1390,"000000"),4,2)/60)+(RIGHT(TEXT($N1390,"000000"),2)/3600)))</f>
        <v>53.374722222222225</v>
      </c>
      <c r="P1390" s="252" t="s">
        <v>37</v>
      </c>
      <c r="Q1390" s="253"/>
      <c r="R1390" s="247" t="s">
        <v>3569</v>
      </c>
      <c r="S1390" s="272" t="s">
        <v>3293</v>
      </c>
      <c r="T1390" s="273">
        <v>10.6</v>
      </c>
      <c r="U1390" s="289">
        <v>22.490000000000002</v>
      </c>
      <c r="V1390" s="280">
        <v>60</v>
      </c>
      <c r="W1390" s="244"/>
      <c r="X1390" s="244"/>
      <c r="Y1390" s="362"/>
      <c r="Z1390" s="257">
        <f>altaz(J2000_Bas,$O1390,$M1390,DecLat,DecLong,1)</f>
        <v>15.499602333375956</v>
      </c>
      <c r="AA1390" s="257">
        <f>altaz((J2000_Bas+(2*0.04167)),$O1390,$M1390,DecLat,DecLong,1)</f>
        <v>2.3649747208920555</v>
      </c>
      <c r="AB1390" s="257">
        <f>altaz((J2000_Bas+(4*0.04167)),$O1390,$M1390,DecLat,DecLong,1)</f>
        <v>-4.8445913159948502</v>
      </c>
      <c r="AC1390" s="257">
        <f>altaz((J2000_Bas+(6*0.04167)),$O1390,$M1390,DecLat,DecLong,1)</f>
        <v>-4.3616218178296045</v>
      </c>
      <c r="AD1390" s="258">
        <f>1+ transit((J2000_Bas-1),$O1390,$M1390,DecLat,DecLong)/360 + (GMTOffset/24) + (IF(DST="Y", 1, 0)/24)</f>
        <v>1.491233244129708</v>
      </c>
      <c r="AE1390" s="259">
        <f>DATE(2001,9,21)+(M1390/360)*365 - (360*((DecLong/360)- (GMTOffset/24) ))</f>
        <v>37341.89166666667</v>
      </c>
      <c r="AF1390" s="260">
        <f>IF(DecLat&gt;0,IF((90 - (DecLat-O1390))&gt;90, (90 - (O1390-DecLat)), (90 - (DecLat-O1390))),IF((90 + (DecLat-O1390))&gt;90, (90 + (O1390-DecLat)), (90 + (DecLat-O1390))))</f>
        <v>67.625277777777768</v>
      </c>
      <c r="AG1390" s="257">
        <f>angularseperation(MoonRA,MoonDec,$M1390,$O1390)</f>
        <v>100.50714181230535</v>
      </c>
      <c r="AH1390" s="261">
        <f ca="1">MIN(100,IF($O$5&gt;80,0+30*($AG1390/100),IF($O$5&gt;70,0+50*($AG1390/100),IF($O$5&gt;60,5+50*($AG1390/100),IF($O$5&gt;50,10+60*($AG1390/100),IF($O$5&gt;40,15+70*($AG1390/100),IF($O$5&gt;30,20+70*($AG1390/100),IF($O$5&gt;20,40+55*($AG1390/100),(80+(20-$O$5)+30*($AG1390/100))))))))))</f>
        <v>100</v>
      </c>
      <c r="AI1390" s="262">
        <v>3992</v>
      </c>
      <c r="AJ1390" s="262"/>
      <c r="AK1390" s="262">
        <v>198</v>
      </c>
      <c r="AL1390" s="263">
        <v>109</v>
      </c>
      <c r="AM1390" s="264"/>
      <c r="AN1390" s="263"/>
      <c r="AO1390" s="263"/>
      <c r="AP1390" s="265"/>
      <c r="AQ1390" s="266"/>
      <c r="AR1390" s="267">
        <v>37617</v>
      </c>
      <c r="AS1390" s="263"/>
      <c r="AT1390" s="263"/>
      <c r="AU1390" s="263"/>
      <c r="AV1390" s="264"/>
      <c r="AW1390" s="263"/>
      <c r="AX1390" s="263"/>
      <c r="AY1390" s="263"/>
      <c r="AZ1390" s="263"/>
      <c r="BA1390" s="263"/>
      <c r="BB1390" s="263"/>
      <c r="BC1390" s="263"/>
      <c r="BD1390" s="264"/>
      <c r="BE1390" s="263"/>
      <c r="BF1390" s="263"/>
      <c r="BG1390" s="263"/>
      <c r="BH1390" s="263"/>
      <c r="BI1390" s="263"/>
      <c r="BJ1390" s="404">
        <f>altaz(J2000_Bas,$O1390,$M1390,DecLat,DecLong,2)</f>
        <v>323.60962468924436</v>
      </c>
      <c r="BK1390" s="378" t="s">
        <v>1438</v>
      </c>
      <c r="BL1390" s="379">
        <f>IF((2*G1390)/60&lt;0.2,0.2,(2*G1390)/60)</f>
        <v>0.23333333333333334</v>
      </c>
      <c r="BM1390" s="380">
        <f>MOD((50000+AD1390-$B$3+(0/24)),1)</f>
        <v>0.70660017383488594</v>
      </c>
      <c r="BN1390" s="381"/>
      <c r="BO1390" s="382">
        <v>1383</v>
      </c>
    </row>
    <row r="1391" spans="1:67" s="24" customFormat="1" ht="15" customHeight="1" x14ac:dyDescent="0.25">
      <c r="A1391" s="288" t="s">
        <v>1439</v>
      </c>
      <c r="B1391" s="241" t="str">
        <f>HYPERLINK(CONCATENATE($AT$3,BK1391,$AU$3),$AV$3)</f>
        <v>S</v>
      </c>
      <c r="C1391" s="242" t="str">
        <f>HYPERLINK(CONCATENATE($AT$4,BK1391,$AU$4,BL1391),$AV$4)</f>
        <v>A</v>
      </c>
      <c r="D1391" s="243" t="s">
        <v>5638</v>
      </c>
      <c r="E1391" s="244" t="s">
        <v>13</v>
      </c>
      <c r="F1391" s="269" t="s">
        <v>3309</v>
      </c>
      <c r="G1391" s="276">
        <v>18</v>
      </c>
      <c r="H1391" s="289">
        <v>2.5</v>
      </c>
      <c r="I1391" s="246">
        <v>13</v>
      </c>
      <c r="J1391" s="246">
        <v>2</v>
      </c>
      <c r="K1391" s="247" t="s">
        <v>5022</v>
      </c>
      <c r="L1391" s="248">
        <v>4022</v>
      </c>
      <c r="M1391" s="249">
        <f>15*(LEFT(TEXT($L1391,"000000"),2)+(MID(TEXT($L1391,"000000"),3,2)/60)+(RIGHT(TEXT($L1391,"000000"),2)/3600))</f>
        <v>10.091666666666665</v>
      </c>
      <c r="N1391" s="250">
        <v>414107</v>
      </c>
      <c r="O1391" s="251">
        <f>IF($N1391&gt;0,(LEFT(TEXT($N1391,"000000"),2)+(MID(TEXT($N1391,"000000"),3,2)/60)+(RIGHT(TEXT($N1391,"000000"),2)/3600)),-(MID(TEXT($N1391,"000000"),2,2)+(MID(TEXT($N1391,"000000"),4,2)/60)+(RIGHT(TEXT($N1391,"000000"),2)/3600)))</f>
        <v>41.685277777777777</v>
      </c>
      <c r="P1391" s="252" t="s">
        <v>36</v>
      </c>
      <c r="Q1391" s="253" t="s">
        <v>6851</v>
      </c>
      <c r="R1391" s="247" t="s">
        <v>3455</v>
      </c>
      <c r="S1391" s="272" t="s">
        <v>4240</v>
      </c>
      <c r="T1391" s="273">
        <v>8.1</v>
      </c>
      <c r="U1391" s="289">
        <v>22.89</v>
      </c>
      <c r="V1391" s="280"/>
      <c r="W1391" s="244"/>
      <c r="X1391" s="244"/>
      <c r="Y1391" s="362"/>
      <c r="Z1391" s="257">
        <f>altaz(J2000_Bas,$O1391,$M1391,DecLat,DecLong,1)</f>
        <v>24.107101198365648</v>
      </c>
      <c r="AA1391" s="257">
        <f>altaz((J2000_Bas+(2*0.04167)),$O1391,$M1391,DecLat,DecLong,1)</f>
        <v>45.950925037215193</v>
      </c>
      <c r="AB1391" s="257">
        <f>altaz((J2000_Bas+(4*0.04167)),$O1391,$M1391,DecLat,DecLong,1)</f>
        <v>68.076105355162881</v>
      </c>
      <c r="AC1391" s="257">
        <f>altaz((J2000_Bas+(6*0.04167)),$O1391,$M1391,DecLat,DecLong,1)</f>
        <v>78.225658885491768</v>
      </c>
      <c r="AD1391" s="258">
        <f>1+ transit((J2000_Bas-1),$O1391,$M1391,DecLat,DecLong)/360 + (GMTOffset/24) + (IF(DST="Y", 1, 0)/24)</f>
        <v>1.0209323652338747</v>
      </c>
      <c r="AE1391" s="259">
        <f>DATE(2001,9,21)+(M1391/360)*365 - (360*((DecLong/360)- (GMTOffset/24) ))</f>
        <v>37170.231828703705</v>
      </c>
      <c r="AF1391" s="260">
        <f>IF(DecLat&gt;0,IF((90 - (DecLat-O1391))&gt;90, (90 - (O1391-DecLat)), (90 - (DecLat-O1391))),IF((90 + (DecLat-O1391))&gt;90, (90 + (O1391-DecLat)), (90 + (DecLat-O1391))))</f>
        <v>79.31472222222223</v>
      </c>
      <c r="AG1391" s="257">
        <f>angularseperation(MoonRA,MoonDec,$M1391,$O1391)</f>
        <v>130.07205929169376</v>
      </c>
      <c r="AH1391" s="261">
        <f ca="1">MIN(100,IF($O$5&gt;80,0+30*($AG1391/100),IF($O$5&gt;70,0+50*($AG1391/100),IF($O$5&gt;60,5+50*($AG1391/100),IF($O$5&gt;50,10+60*($AG1391/100),IF($O$5&gt;40,15+70*($AG1391/100),IF($O$5&gt;30,20+70*($AG1391/100),IF($O$5&gt;20,40+55*($AG1391/100),(80+(20-$O$5)+30*($AG1391/100))))))))))</f>
        <v>100</v>
      </c>
      <c r="AI1391" s="262">
        <v>205</v>
      </c>
      <c r="AJ1391" s="262"/>
      <c r="AK1391" s="262">
        <v>6</v>
      </c>
      <c r="AL1391" s="263">
        <v>110</v>
      </c>
      <c r="AM1391" s="264"/>
      <c r="AN1391" s="263"/>
      <c r="AO1391" s="263"/>
      <c r="AP1391" s="265"/>
      <c r="AQ1391" s="266"/>
      <c r="AR1391" s="267">
        <v>2429</v>
      </c>
      <c r="AS1391" s="263"/>
      <c r="AT1391" s="263"/>
      <c r="AU1391" s="263"/>
      <c r="AV1391" s="264"/>
      <c r="AW1391" s="263"/>
      <c r="AX1391" s="263"/>
      <c r="AY1391" s="263"/>
      <c r="AZ1391" s="263"/>
      <c r="BA1391" s="263"/>
      <c r="BB1391" s="263"/>
      <c r="BC1391" s="263"/>
      <c r="BD1391" s="264"/>
      <c r="BE1391" s="263"/>
      <c r="BF1391" s="263"/>
      <c r="BG1391" s="263"/>
      <c r="BH1391" s="263"/>
      <c r="BI1391" s="263"/>
      <c r="BJ1391" s="404">
        <f>altaz(J2000_Bas,$O1391,$M1391,DecLat,DecLong,2)</f>
        <v>54.470516574971114</v>
      </c>
      <c r="BK1391" s="378" t="s">
        <v>1439</v>
      </c>
      <c r="BL1391" s="379">
        <f>IF((2*G1391)/60&lt;0.2,0.2,(2*G1391)/60)</f>
        <v>0.6</v>
      </c>
      <c r="BM1391" s="380">
        <f>MOD((50000+AD1391-$B$3+(0/24)),1)</f>
        <v>0.23629929493472446</v>
      </c>
      <c r="BN1391" s="381" t="s">
        <v>9235</v>
      </c>
      <c r="BO1391" s="382">
        <v>1384</v>
      </c>
    </row>
    <row r="1392" spans="1:67" s="24" customFormat="1" ht="15" customHeight="1" x14ac:dyDescent="0.25">
      <c r="A1392" s="288" t="s">
        <v>1440</v>
      </c>
      <c r="B1392" s="241" t="str">
        <f>HYPERLINK(CONCATENATE($AT$3,BK1392,$AU$3),$AV$3)</f>
        <v>S</v>
      </c>
      <c r="C1392" s="242" t="str">
        <f>HYPERLINK(CONCATENATE($AT$4,BK1392,$AU$4,BL1392),$AV$4)</f>
        <v>A</v>
      </c>
      <c r="D1392" s="243" t="s">
        <v>5638</v>
      </c>
      <c r="E1392" s="244" t="s">
        <v>5193</v>
      </c>
      <c r="F1392" s="269" t="s">
        <v>4287</v>
      </c>
      <c r="G1392" s="273">
        <v>3.5</v>
      </c>
      <c r="H1392" s="283">
        <v>10</v>
      </c>
      <c r="I1392" s="244">
        <v>10</v>
      </c>
      <c r="J1392" s="246">
        <v>1</v>
      </c>
      <c r="K1392" s="247" t="s">
        <v>5025</v>
      </c>
      <c r="L1392" s="248">
        <v>23635</v>
      </c>
      <c r="M1392" s="249">
        <f>15*(LEFT(TEXT($L1392,"000000"),2)+(MID(TEXT($L1392,"000000"),3,2)/60)+(RIGHT(TEXT($L1392,"000000"),2)/3600))</f>
        <v>39.145833333333336</v>
      </c>
      <c r="N1392" s="250">
        <v>593918</v>
      </c>
      <c r="O1392" s="251">
        <f>IF($N1392&gt;0,(LEFT(TEXT($N1392,"000000"),2)+(MID(TEXT($N1392,"000000"),3,2)/60)+(RIGHT(TEXT($N1392,"000000"),2)/3600)),-(MID(TEXT($N1392,"000000"),2,2)+(MID(TEXT($N1392,"000000"),4,2)/60)+(RIGHT(TEXT($N1392,"000000"),2)/3600)))</f>
        <v>59.655000000000001</v>
      </c>
      <c r="P1392" s="252" t="s">
        <v>49</v>
      </c>
      <c r="Q1392" s="253"/>
      <c r="R1392" s="247" t="s">
        <v>5024</v>
      </c>
      <c r="S1392" s="272" t="s">
        <v>5026</v>
      </c>
      <c r="T1392" s="273">
        <v>16</v>
      </c>
      <c r="U1392" s="274"/>
      <c r="V1392" s="280"/>
      <c r="W1392" s="244"/>
      <c r="X1392" s="244"/>
      <c r="Y1392" s="362"/>
      <c r="Z1392" s="257">
        <f>altaz(J2000_Bas,$O1392,$M1392,DecLat,DecLong,1)</f>
        <v>15.918940544769534</v>
      </c>
      <c r="AA1392" s="257">
        <f>altaz((J2000_Bas+(2*0.04167)),$O1392,$M1392,DecLat,DecLong,1)</f>
        <v>29.789323676549451</v>
      </c>
      <c r="AB1392" s="257">
        <f>altaz((J2000_Bas+(4*0.04167)),$O1392,$M1392,DecLat,DecLong,1)</f>
        <v>44.84949936898623</v>
      </c>
      <c r="AC1392" s="257">
        <f>altaz((J2000_Bas+(6*0.04167)),$O1392,$M1392,DecLat,DecLong,1)</f>
        <v>57.503406857593198</v>
      </c>
      <c r="AD1392" s="258">
        <f>1+ transit((J2000_Bas-1),$O1392,$M1392,DecLat,DecLong)/360 + (GMTOffset/24) + (IF(DST="Y", 1, 0)/24)</f>
        <v>1.1016383756817913</v>
      </c>
      <c r="AE1392" s="259">
        <f>DATE(2001,9,21)+(M1392/360)*365 - (360*((DecLong/360)- (GMTOffset/24) ))</f>
        <v>37199.689525462964</v>
      </c>
      <c r="AF1392" s="260">
        <f>IF(DecLat&gt;0,IF((90 - (DecLat-O1392))&gt;90, (90 - (O1392-DecLat)), (90 - (DecLat-O1392))),IF((90 + (DecLat-O1392))&gt;90, (90 + (O1392-DecLat)), (90 + (DecLat-O1392))))</f>
        <v>61.344999999999999</v>
      </c>
      <c r="AG1392" s="257">
        <f>angularseperation(MoonRA,MoonDec,$M1392,$O1392)</f>
        <v>141.45194978781021</v>
      </c>
      <c r="AH1392" s="261">
        <f ca="1">MIN(100,IF($O$5&gt;80,0+30*($AG1392/100),IF($O$5&gt;70,0+50*($AG1392/100),IF($O$5&gt;60,5+50*($AG1392/100),IF($O$5&gt;50,10+60*($AG1392/100),IF($O$5&gt;40,15+70*($AG1392/100),IF($O$5&gt;30,20+70*($AG1392/100),IF($O$5&gt;20,40+55*($AG1392/100),(80+(20-$O$5)+30*($AG1392/100))))))))))</f>
        <v>100</v>
      </c>
      <c r="AI1392" s="262"/>
      <c r="AJ1392" s="262"/>
      <c r="AK1392" s="262"/>
      <c r="AL1392" s="263"/>
      <c r="AM1392" s="264"/>
      <c r="AN1392" s="263"/>
      <c r="AO1392" s="263"/>
      <c r="AP1392" s="265"/>
      <c r="AQ1392" s="266"/>
      <c r="AR1392" s="267">
        <v>9892</v>
      </c>
      <c r="AS1392" s="263"/>
      <c r="AT1392" s="263"/>
      <c r="AU1392" s="263"/>
      <c r="AV1392" s="264"/>
      <c r="AW1392" s="263"/>
      <c r="AX1392" s="263"/>
      <c r="AY1392" s="263"/>
      <c r="AZ1392" s="263"/>
      <c r="BA1392" s="263"/>
      <c r="BB1392" s="263">
        <v>191</v>
      </c>
      <c r="BC1392" s="263"/>
      <c r="BD1392" s="264"/>
      <c r="BE1392" s="263"/>
      <c r="BF1392" s="263"/>
      <c r="BG1392" s="263"/>
      <c r="BH1392" s="263"/>
      <c r="BI1392" s="263"/>
      <c r="BJ1392" s="404">
        <f>altaz(J2000_Bas,$O1392,$M1392,DecLat,DecLong,2)</f>
        <v>28.886424404547121</v>
      </c>
      <c r="BK1392" s="378" t="s">
        <v>1440</v>
      </c>
      <c r="BL1392" s="379">
        <f>IF((2*G1392)/60&lt;0.2,0.2,(2*G1392)/60)</f>
        <v>0.2</v>
      </c>
      <c r="BM1392" s="380">
        <f>MOD((50000+AD1392-$B$3+(0/24)),1)</f>
        <v>0.31700530538364546</v>
      </c>
      <c r="BN1392" s="381"/>
      <c r="BO1392" s="382">
        <v>1385</v>
      </c>
    </row>
    <row r="1393" spans="1:67" s="24" customFormat="1" ht="15" customHeight="1" x14ac:dyDescent="0.25">
      <c r="A1393" s="288" t="s">
        <v>1441</v>
      </c>
      <c r="B1393" s="241" t="str">
        <f>HYPERLINK(CONCATENATE($AT$3,BK1393,$AU$3),$AV$3)</f>
        <v>S</v>
      </c>
      <c r="C1393" s="242" t="str">
        <f>HYPERLINK(CONCATENATE($AT$4,BK1393,$AU$4,BL1393),$AV$4)</f>
        <v>A</v>
      </c>
      <c r="D1393" s="243" t="s">
        <v>5638</v>
      </c>
      <c r="E1393" s="244" t="s">
        <v>5193</v>
      </c>
      <c r="F1393" s="269" t="s">
        <v>4287</v>
      </c>
      <c r="G1393" s="276">
        <v>12</v>
      </c>
      <c r="H1393" s="283">
        <v>10</v>
      </c>
      <c r="I1393" s="246">
        <v>35</v>
      </c>
      <c r="J1393" s="246">
        <v>1</v>
      </c>
      <c r="K1393" s="247" t="s">
        <v>5025</v>
      </c>
      <c r="L1393" s="248">
        <v>24155</v>
      </c>
      <c r="M1393" s="249">
        <f>15*(LEFT(TEXT($L1393,"000000"),2)+(MID(TEXT($L1393,"000000"),3,2)/60)+(RIGHT(TEXT($L1393,"000000"),2)/3600))</f>
        <v>40.479166666666671</v>
      </c>
      <c r="N1393" s="250">
        <v>593615</v>
      </c>
      <c r="O1393" s="251">
        <f>IF($N1393&gt;0,(LEFT(TEXT($N1393,"000000"),2)+(MID(TEXT($N1393,"000000"),3,2)/60)+(RIGHT(TEXT($N1393,"000000"),2)/3600)),-(MID(TEXT($N1393,"000000"),2,2)+(MID(TEXT($N1393,"000000"),4,2)/60)+(RIGHT(TEXT($N1393,"000000"),2)/3600)))</f>
        <v>59.604166666666671</v>
      </c>
      <c r="P1393" s="252" t="s">
        <v>49</v>
      </c>
      <c r="Q1393" s="253"/>
      <c r="R1393" s="247" t="s">
        <v>5023</v>
      </c>
      <c r="S1393" s="272" t="s">
        <v>3293</v>
      </c>
      <c r="T1393" s="273"/>
      <c r="U1393" s="274"/>
      <c r="V1393" s="280"/>
      <c r="W1393" s="244"/>
      <c r="X1393" s="244"/>
      <c r="Y1393" s="362"/>
      <c r="Z1393" s="257">
        <f>altaz(J2000_Bas,$O1393,$M1393,DecLat,DecLong,1)</f>
        <v>15.340496038017539</v>
      </c>
      <c r="AA1393" s="257">
        <f>altaz((J2000_Bas+(2*0.04167)),$O1393,$M1393,DecLat,DecLong,1)</f>
        <v>29.119223289267584</v>
      </c>
      <c r="AB1393" s="257">
        <f>altaz((J2000_Bas+(4*0.04167)),$O1393,$M1393,DecLat,DecLong,1)</f>
        <v>44.209456133985398</v>
      </c>
      <c r="AC1393" s="257">
        <f>altaz((J2000_Bas+(6*0.04167)),$O1393,$M1393,DecLat,DecLong,1)</f>
        <v>57.115141711943672</v>
      </c>
      <c r="AD1393" s="258">
        <f>1+ transit((J2000_Bas-1),$O1393,$M1393,DecLat,DecLong)/360 + (GMTOffset/24) + (IF(DST="Y", 1, 0)/24)</f>
        <v>1.1053420790151247</v>
      </c>
      <c r="AE1393" s="259">
        <f>DATE(2001,9,21)+(M1393/360)*365 - (360*((DecLong/360)- (GMTOffset/24) ))</f>
        <v>37201.041377314818</v>
      </c>
      <c r="AF1393" s="260">
        <f>IF(DecLat&gt;0,IF((90 - (DecLat-O1393))&gt;90, (90 - (O1393-DecLat)), (90 - (DecLat-O1393))),IF((90 + (DecLat-O1393))&gt;90, (90 + (O1393-DecLat)), (90 + (DecLat-O1393))))</f>
        <v>61.395833333333329</v>
      </c>
      <c r="AG1393" s="257">
        <f>angularseperation(MoonRA,MoonDec,$M1393,$O1393)</f>
        <v>141.96384372149026</v>
      </c>
      <c r="AH1393" s="261">
        <f ca="1">MIN(100,IF($O$5&gt;80,0+30*($AG1393/100),IF($O$5&gt;70,0+50*($AG1393/100),IF($O$5&gt;60,5+50*($AG1393/100),IF($O$5&gt;50,10+60*($AG1393/100),IF($O$5&gt;40,15+70*($AG1393/100),IF($O$5&gt;30,20+70*($AG1393/100),IF($O$5&gt;20,40+55*($AG1393/100),(80+(20-$O$5)+30*($AG1393/100))))))))))</f>
        <v>100</v>
      </c>
      <c r="AI1393" s="262"/>
      <c r="AJ1393" s="262"/>
      <c r="AK1393" s="262"/>
      <c r="AL1393" s="263"/>
      <c r="AM1393" s="264"/>
      <c r="AN1393" s="263"/>
      <c r="AO1393" s="263"/>
      <c r="AP1393" s="265"/>
      <c r="AQ1393" s="266"/>
      <c r="AR1393" s="267">
        <v>10217</v>
      </c>
      <c r="AS1393" s="263"/>
      <c r="AT1393" s="263"/>
      <c r="AU1393" s="263"/>
      <c r="AV1393" s="264"/>
      <c r="AW1393" s="263"/>
      <c r="AX1393" s="263"/>
      <c r="AY1393" s="263"/>
      <c r="AZ1393" s="263"/>
      <c r="BA1393" s="263"/>
      <c r="BB1393" s="263">
        <v>197</v>
      </c>
      <c r="BC1393" s="263"/>
      <c r="BD1393" s="264"/>
      <c r="BE1393" s="263"/>
      <c r="BF1393" s="263"/>
      <c r="BG1393" s="263"/>
      <c r="BH1393" s="263"/>
      <c r="BI1393" s="263"/>
      <c r="BJ1393" s="404">
        <f>altaz(J2000_Bas,$O1393,$M1393,DecLat,DecLong,2)</f>
        <v>28.523124144183647</v>
      </c>
      <c r="BK1393" s="378" t="s">
        <v>1441</v>
      </c>
      <c r="BL1393" s="379">
        <f>IF((2*G1393)/60&lt;0.2,0.2,(2*G1393)/60)</f>
        <v>0.4</v>
      </c>
      <c r="BM1393" s="380">
        <f>MOD((50000+AD1393-$B$3+(0/24)),1)</f>
        <v>0.32070900871622143</v>
      </c>
      <c r="BN1393" s="381"/>
      <c r="BO1393" s="382">
        <v>1386</v>
      </c>
    </row>
    <row r="1394" spans="1:67" s="24" customFormat="1" ht="15" customHeight="1" x14ac:dyDescent="0.25">
      <c r="A1394" s="288" t="s">
        <v>1412</v>
      </c>
      <c r="B1394" s="241" t="str">
        <f>HYPERLINK(CONCATENATE($AT$3,BK1394,$AU$3),$AV$3)</f>
        <v>S</v>
      </c>
      <c r="C1394" s="242" t="str">
        <f>HYPERLINK(CONCATENATE($AT$4,BK1394,$AU$4,BL1394),$AV$4)</f>
        <v>A</v>
      </c>
      <c r="D1394" s="243" t="s">
        <v>5638</v>
      </c>
      <c r="E1394" s="244" t="s">
        <v>5626</v>
      </c>
      <c r="F1394" s="269">
        <v>12</v>
      </c>
      <c r="G1394" s="282">
        <v>90</v>
      </c>
      <c r="H1394" s="283">
        <v>50</v>
      </c>
      <c r="I1394" s="284">
        <v>1400</v>
      </c>
      <c r="J1394" s="246">
        <v>5</v>
      </c>
      <c r="K1394" s="247" t="s">
        <v>5027</v>
      </c>
      <c r="L1394" s="248">
        <v>122613</v>
      </c>
      <c r="M1394" s="249">
        <f>15*(LEFT(TEXT($L1394,"000000"),2)+(MID(TEXT($L1394,"000000"),3,2)/60)+(RIGHT(TEXT($L1394,"000000"),2)/3600))</f>
        <v>186.55416666666667</v>
      </c>
      <c r="N1394" s="250">
        <v>125646</v>
      </c>
      <c r="O1394" s="251">
        <f>IF($N1394&gt;0,(LEFT(TEXT($N1394,"000000"),2)+(MID(TEXT($N1394,"000000"),3,2)/60)+(RIGHT(TEXT($N1394,"000000"),2)/3600)),-(MID(TEXT($N1394,"000000"),2,2)+(MID(TEXT($N1394,"000000"),4,2)/60)+(RIGHT(TEXT($N1394,"000000"),2)/3600)))</f>
        <v>12.946111111111112</v>
      </c>
      <c r="P1394" s="252" t="s">
        <v>61</v>
      </c>
      <c r="Q1394" s="253" t="s">
        <v>1412</v>
      </c>
      <c r="R1394" s="247" t="s">
        <v>1442</v>
      </c>
      <c r="S1394" s="272" t="s">
        <v>3293</v>
      </c>
      <c r="T1394" s="273"/>
      <c r="U1394" s="274"/>
      <c r="V1394" s="280"/>
      <c r="W1394" s="244"/>
      <c r="X1394" s="244"/>
      <c r="Y1394" s="362"/>
      <c r="Z1394" s="257">
        <f>altaz(J2000_Bas,$O1394,$M1394,DecLat,DecLong,1)</f>
        <v>-1.2462708063734165</v>
      </c>
      <c r="AA1394" s="257">
        <f>altaz((J2000_Bas+(2*0.04167)),$O1394,$M1394,DecLat,DecLong,1)</f>
        <v>-24.604448882479236</v>
      </c>
      <c r="AB1394" s="257">
        <f>altaz((J2000_Bas+(4*0.04167)),$O1394,$M1394,DecLat,DecLong,1)</f>
        <v>-41.888924388422829</v>
      </c>
      <c r="AC1394" s="257">
        <f>altaz((J2000_Bas+(6*0.04167)),$O1394,$M1394,DecLat,DecLong,1)</f>
        <v>-45.076046337688666</v>
      </c>
      <c r="AD1394" s="258">
        <f>1+ transit((J2000_Bas-1),$O1394,$M1394,DecLat,DecLong)/360 + (GMTOffset/24) + (IF(DST="Y", 1, 0)/24)</f>
        <v>1.5111059273276248</v>
      </c>
      <c r="AE1394" s="259">
        <f>DATE(2001,9,21)+(M1394/360)*365 - (360*((DecLong/360)- (GMTOffset/24) ))</f>
        <v>37349.145196759258</v>
      </c>
      <c r="AF1394" s="260">
        <f>IF(DecLat&gt;0,IF((90 - (DecLat-O1394))&gt;90, (90 - (O1394-DecLat)), (90 - (DecLat-O1394))),IF((90 + (DecLat-O1394))&gt;90, (90 + (O1394-DecLat)), (90 + (DecLat-O1394))))</f>
        <v>71.946111111111108</v>
      </c>
      <c r="AG1394" s="257">
        <f>angularseperation(MoonRA,MoonDec,$M1394,$O1394)</f>
        <v>72.774310658328275</v>
      </c>
      <c r="AH1394" s="261">
        <f ca="1">MIN(100,IF($O$5&gt;80,0+30*($AG1394/100),IF($O$5&gt;70,0+50*($AG1394/100),IF($O$5&gt;60,5+50*($AG1394/100),IF($O$5&gt;50,10+60*($AG1394/100),IF($O$5&gt;40,15+70*($AG1394/100),IF($O$5&gt;30,20+70*($AG1394/100),IF($O$5&gt;20,40+55*($AG1394/100),(80+(20-$O$5)+30*($AG1394/100))))))))))</f>
        <v>100</v>
      </c>
      <c r="AI1394" s="262"/>
      <c r="AJ1394" s="262"/>
      <c r="AK1394" s="262"/>
      <c r="AL1394" s="263"/>
      <c r="AM1394" s="264"/>
      <c r="AN1394" s="263"/>
      <c r="AO1394" s="263"/>
      <c r="AP1394" s="265"/>
      <c r="AQ1394" s="266"/>
      <c r="AR1394" s="267"/>
      <c r="AS1394" s="263"/>
      <c r="AT1394" s="263"/>
      <c r="AU1394" s="263"/>
      <c r="AV1394" s="264"/>
      <c r="AW1394" s="263"/>
      <c r="AX1394" s="263"/>
      <c r="AY1394" s="263"/>
      <c r="AZ1394" s="263"/>
      <c r="BA1394" s="263"/>
      <c r="BB1394" s="263"/>
      <c r="BC1394" s="263"/>
      <c r="BD1394" s="264"/>
      <c r="BE1394" s="263"/>
      <c r="BF1394" s="263"/>
      <c r="BG1394" s="263"/>
      <c r="BH1394" s="263"/>
      <c r="BI1394" s="263"/>
      <c r="BJ1394" s="404">
        <f>altaz(J2000_Bas,$O1394,$M1394,DecLat,DecLong,2)</f>
        <v>285.93220158750728</v>
      </c>
      <c r="BK1394" s="378" t="s">
        <v>1412</v>
      </c>
      <c r="BL1394" s="379">
        <f>IF((2*G1394)/60&lt;0.2,0.2,(2*G1394)/60)</f>
        <v>3</v>
      </c>
      <c r="BM1394" s="380">
        <f>MOD((50000+AD1394-$B$3+(0/24)),1)</f>
        <v>0.72647285702987574</v>
      </c>
      <c r="BN1394" s="381"/>
      <c r="BO1394" s="382">
        <v>1387</v>
      </c>
    </row>
    <row r="1395" spans="1:67" s="24" customFormat="1" ht="15" customHeight="1" x14ac:dyDescent="0.25">
      <c r="A1395" s="288" t="s">
        <v>1443</v>
      </c>
      <c r="B1395" s="241" t="str">
        <f>HYPERLINK(CONCATENATE($AT$3,BK1395,$AU$3),$AV$3)</f>
        <v>S</v>
      </c>
      <c r="C1395" s="242" t="str">
        <f>HYPERLINK(CONCATENATE($AT$4,BK1395,$AU$4,BL1395),$AV$4)</f>
        <v>A</v>
      </c>
      <c r="D1395" s="243" t="s">
        <v>5638</v>
      </c>
      <c r="E1395" s="244" t="s">
        <v>5192</v>
      </c>
      <c r="F1395" s="269" t="s">
        <v>8663</v>
      </c>
      <c r="G1395" s="273">
        <v>1.4</v>
      </c>
      <c r="H1395" s="283">
        <v>360</v>
      </c>
      <c r="I1395" s="246">
        <v>140</v>
      </c>
      <c r="J1395" s="246">
        <v>2</v>
      </c>
      <c r="K1395" s="247" t="s">
        <v>5028</v>
      </c>
      <c r="L1395" s="248">
        <v>112009</v>
      </c>
      <c r="M1395" s="249">
        <f>15*(LEFT(TEXT($L1395,"000000"),2)+(MID(TEXT($L1395,"000000"),3,2)/60)+(RIGHT(TEXT($L1395,"000000"),2)/3600))</f>
        <v>170.03749999999999</v>
      </c>
      <c r="N1395" s="286">
        <v>-30336</v>
      </c>
      <c r="O1395" s="251">
        <f>IF($N1395&gt;0,(LEFT(TEXT($N1395,"000000"),2)+(MID(TEXT($N1395,"000000"),3,2)/60)+(RIGHT(TEXT($N1395,"000000"),2)/3600)),-(MID(TEXT($N1395,"000000"),2,2)+(MID(TEXT($N1395,"000000"),4,2)/60)+(RIGHT(TEXT($N1395,"000000"),2)/3600)))</f>
        <v>-3.0599999999999996</v>
      </c>
      <c r="P1395" s="252" t="s">
        <v>183</v>
      </c>
      <c r="Q1395" s="253"/>
      <c r="R1395" s="247" t="s">
        <v>3293</v>
      </c>
      <c r="S1395" s="272" t="s">
        <v>3293</v>
      </c>
      <c r="T1395" s="273">
        <v>13.4</v>
      </c>
      <c r="U1395" s="274"/>
      <c r="V1395" s="280">
        <v>50</v>
      </c>
      <c r="W1395" s="244"/>
      <c r="X1395" s="244"/>
      <c r="Y1395" s="362"/>
      <c r="Z1395" s="257">
        <f>altaz(J2000_Bas,$O1395,$M1395,DecLat,DecLong,1)</f>
        <v>-23.718720817955003</v>
      </c>
      <c r="AA1395" s="257">
        <f>altaz((J2000_Bas+(2*0.04167)),$O1395,$M1395,DecLat,DecLong,1)</f>
        <v>-47.52049520248535</v>
      </c>
      <c r="AB1395" s="257">
        <f>altaz((J2000_Bas+(4*0.04167)),$O1395,$M1395,DecLat,DecLong,1)</f>
        <v>-61.822774976715777</v>
      </c>
      <c r="AC1395" s="257">
        <f>altaz((J2000_Bas+(6*0.04167)),$O1395,$M1395,DecLat,DecLong,1)</f>
        <v>-52.690573713799118</v>
      </c>
      <c r="AD1395" s="258">
        <f>1+ transit((J2000_Bas-1),$O1395,$M1395,DecLat,DecLong)/360 + (GMTOffset/24) + (IF(DST="Y", 1, 0)/24)</f>
        <v>1.4652263022859582</v>
      </c>
      <c r="AE1395" s="259">
        <f>DATE(2001,9,21)+(M1395/360)*365 - (360*((DecLong/360)- (GMTOffset/24) ))</f>
        <v>37332.399131944447</v>
      </c>
      <c r="AF1395" s="260">
        <f>IF(DecLat&gt;0,IF((90 - (DecLat-O1395))&gt;90, (90 - (O1395-DecLat)), (90 - (DecLat-O1395))),IF((90 + (DecLat-O1395))&gt;90, (90 + (O1395-DecLat)), (90 + (DecLat-O1395))))</f>
        <v>55.94</v>
      </c>
      <c r="AG1395" s="257">
        <f>angularseperation(MoonRA,MoonDec,$M1395,$O1395)</f>
        <v>78.998635473928942</v>
      </c>
      <c r="AH1395" s="261">
        <f ca="1">MIN(100,IF($O$5&gt;80,0+30*($AG1395/100),IF($O$5&gt;70,0+50*($AG1395/100),IF($O$5&gt;60,5+50*($AG1395/100),IF($O$5&gt;50,10+60*($AG1395/100),IF($O$5&gt;40,15+70*($AG1395/100),IF($O$5&gt;30,20+70*($AG1395/100),IF($O$5&gt;20,40+55*($AG1395/100),(80+(20-$O$5)+30*($AG1395/100))))))))))</f>
        <v>100</v>
      </c>
      <c r="AI1395" s="262"/>
      <c r="AJ1395" s="262"/>
      <c r="AK1395" s="262"/>
      <c r="AL1395" s="263"/>
      <c r="AM1395" s="264"/>
      <c r="AN1395" s="263"/>
      <c r="AO1395" s="263"/>
      <c r="AP1395" s="265"/>
      <c r="AQ1395" s="266"/>
      <c r="AR1395" s="267">
        <v>34689</v>
      </c>
      <c r="AS1395" s="263"/>
      <c r="AT1395" s="263"/>
      <c r="AU1395" s="263"/>
      <c r="AV1395" s="264"/>
      <c r="AW1395" s="263"/>
      <c r="AX1395" s="263"/>
      <c r="AY1395" s="263"/>
      <c r="AZ1395" s="263"/>
      <c r="BA1395" s="263"/>
      <c r="BB1395" s="263"/>
      <c r="BC1395" s="263"/>
      <c r="BD1395" s="264"/>
      <c r="BE1395" s="263"/>
      <c r="BF1395" s="263"/>
      <c r="BG1395" s="263"/>
      <c r="BH1395" s="263"/>
      <c r="BI1395" s="263"/>
      <c r="BJ1395" s="404">
        <f>altaz(J2000_Bas,$O1395,$M1395,DecLat,DecLong,2)</f>
        <v>281.30144688498274</v>
      </c>
      <c r="BK1395" s="378" t="s">
        <v>1443</v>
      </c>
      <c r="BL1395" s="379">
        <f>IF((2*G1395)/60&lt;0.2,0.2,(2*G1395)/60)</f>
        <v>0.2</v>
      </c>
      <c r="BM1395" s="380">
        <f>MOD((50000+AD1395-$B$3+(0/24)),1)</f>
        <v>0.68059323199122446</v>
      </c>
      <c r="BN1395" s="381"/>
      <c r="BO1395" s="382">
        <v>1388</v>
      </c>
    </row>
    <row r="1396" spans="1:67" s="24" customFormat="1" ht="15" customHeight="1" x14ac:dyDescent="0.25">
      <c r="A1396" s="288" t="s">
        <v>1444</v>
      </c>
      <c r="B1396" s="241" t="str">
        <f>HYPERLINK(CONCATENATE($AT$3,BK1396,$AU$3),$AV$3)</f>
        <v>S</v>
      </c>
      <c r="C1396" s="242" t="str">
        <f>HYPERLINK(CONCATENATE($AT$4,BK1396,$AU$4,BL1396),$AV$4)</f>
        <v>A</v>
      </c>
      <c r="D1396" s="243" t="s">
        <v>5638</v>
      </c>
      <c r="E1396" s="244" t="s">
        <v>5182</v>
      </c>
      <c r="F1396" s="269" t="s">
        <v>5642</v>
      </c>
      <c r="G1396" s="273">
        <v>3</v>
      </c>
      <c r="H1396" s="283">
        <v>200</v>
      </c>
      <c r="I1396" s="246">
        <v>170</v>
      </c>
      <c r="J1396" s="246">
        <v>2</v>
      </c>
      <c r="K1396" s="247" t="s">
        <v>8055</v>
      </c>
      <c r="L1396" s="248">
        <v>25749</v>
      </c>
      <c r="M1396" s="249">
        <f>15*(LEFT(TEXT($L1396,"000000"),2)+(MID(TEXT($L1396,"000000"),3,2)/60)+(RIGHT(TEXT($L1396,"000000"),2)/3600))</f>
        <v>44.454166666666666</v>
      </c>
      <c r="N1396" s="286">
        <v>-101004</v>
      </c>
      <c r="O1396" s="251">
        <f>IF($N1396&gt;0,(LEFT(TEXT($N1396,"000000"),2)+(MID(TEXT($N1396,"000000"),3,2)/60)+(RIGHT(TEXT($N1396,"000000"),2)/3600)),-(MID(TEXT($N1396,"000000"),2,2)+(MID(TEXT($N1396,"000000"),4,2)/60)+(RIGHT(TEXT($N1396,"000000"),2)/3600)))</f>
        <v>-10.167777777777777</v>
      </c>
      <c r="P1396" s="252" t="s">
        <v>257</v>
      </c>
      <c r="Q1396" s="253"/>
      <c r="R1396" s="247" t="s">
        <v>3293</v>
      </c>
      <c r="S1396" s="272" t="s">
        <v>3293</v>
      </c>
      <c r="T1396" s="273">
        <v>13</v>
      </c>
      <c r="U1396" s="274"/>
      <c r="V1396" s="280">
        <v>80</v>
      </c>
      <c r="W1396" s="244"/>
      <c r="X1396" s="244"/>
      <c r="Y1396" s="362"/>
      <c r="Z1396" s="257">
        <f>altaz(J2000_Bas,$O1396,$M1396,DecLat,DecLong,1)</f>
        <v>-29.529690710387168</v>
      </c>
      <c r="AA1396" s="257">
        <f>altaz((J2000_Bas+(2*0.04167)),$O1396,$M1396,DecLat,DecLong,1)</f>
        <v>-3.8346232826299267</v>
      </c>
      <c r="AB1396" s="257">
        <f>altaz((J2000_Bas+(4*0.04167)),$O1396,$M1396,DecLat,DecLong,1)</f>
        <v>20.64905014524231</v>
      </c>
      <c r="AC1396" s="257">
        <f>altaz((J2000_Bas+(6*0.04167)),$O1396,$M1396,DecLat,DecLong,1)</f>
        <v>40.742066444594421</v>
      </c>
      <c r="AD1396" s="258">
        <f>1+ transit((J2000_Bas-1),$O1396,$M1396,DecLat,DecLong)/360 + (GMTOffset/24) + (IF(DST="Y", 1, 0)/24)</f>
        <v>1.1163837445776246</v>
      </c>
      <c r="AE1396" s="259">
        <f>DATE(2001,9,21)+(M1396/360)*365 - (360*((DecLong/360)- (GMTOffset/24) ))</f>
        <v>37205.071585648147</v>
      </c>
      <c r="AF1396" s="260">
        <f>IF(DecLat&gt;0,IF((90 - (DecLat-O1396))&gt;90, (90 - (O1396-DecLat)), (90 - (DecLat-O1396))),IF((90 + (DecLat-O1396))&gt;90, (90 + (O1396-DecLat)), (90 + (DecLat-O1396))))</f>
        <v>48.832222222222221</v>
      </c>
      <c r="AG1396" s="257">
        <f>angularseperation(MoonRA,MoonDec,$M1396,$O1396)</f>
        <v>135.66295615997922</v>
      </c>
      <c r="AH1396" s="261">
        <f ca="1">MIN(100,IF($O$5&gt;80,0+30*($AG1396/100),IF($O$5&gt;70,0+50*($AG1396/100),IF($O$5&gt;60,5+50*($AG1396/100),IF($O$5&gt;50,10+60*($AG1396/100),IF($O$5&gt;40,15+70*($AG1396/100),IF($O$5&gt;30,20+70*($AG1396/100),IF($O$5&gt;20,40+55*($AG1396/100),(80+(20-$O$5)+30*($AG1396/100))))))))))</f>
        <v>100</v>
      </c>
      <c r="AI1396" s="262"/>
      <c r="AJ1396" s="262"/>
      <c r="AK1396" s="262"/>
      <c r="AL1396" s="263"/>
      <c r="AM1396" s="264"/>
      <c r="AN1396" s="263"/>
      <c r="AO1396" s="263"/>
      <c r="AP1396" s="265"/>
      <c r="AQ1396" s="266"/>
      <c r="AR1396" s="267">
        <v>11198</v>
      </c>
      <c r="AS1396" s="263"/>
      <c r="AT1396" s="263"/>
      <c r="AU1396" s="263"/>
      <c r="AV1396" s="264"/>
      <c r="AW1396" s="263"/>
      <c r="AX1396" s="263"/>
      <c r="AY1396" s="263"/>
      <c r="AZ1396" s="263"/>
      <c r="BA1396" s="263"/>
      <c r="BB1396" s="263"/>
      <c r="BC1396" s="263"/>
      <c r="BD1396" s="264"/>
      <c r="BE1396" s="263"/>
      <c r="BF1396" s="263"/>
      <c r="BG1396" s="263"/>
      <c r="BH1396" s="263"/>
      <c r="BI1396" s="263"/>
      <c r="BJ1396" s="404">
        <f>altaz(J2000_Bas,$O1396,$M1396,DecLat,DecLong,2)</f>
        <v>84.049563398309161</v>
      </c>
      <c r="BK1396" s="378" t="s">
        <v>1444</v>
      </c>
      <c r="BL1396" s="379">
        <f>IF((2*G1396)/60&lt;0.2,0.2,(2*G1396)/60)</f>
        <v>0.2</v>
      </c>
      <c r="BM1396" s="380">
        <f>MOD((50000+AD1396-$B$3+(0/24)),1)</f>
        <v>0.33175067428237526</v>
      </c>
      <c r="BN1396" s="381"/>
      <c r="BO1396" s="382">
        <v>1389</v>
      </c>
    </row>
    <row r="1397" spans="1:67" s="24" customFormat="1" ht="15" customHeight="1" x14ac:dyDescent="0.25">
      <c r="A1397" s="288" t="s">
        <v>1445</v>
      </c>
      <c r="B1397" s="241" t="str">
        <f>HYPERLINK(CONCATENATE($AT$3,BK1397,$AU$3),$AV$3)</f>
        <v>S</v>
      </c>
      <c r="C1397" s="242" t="str">
        <f>HYPERLINK(CONCATENATE($AT$4,BK1397,$AU$4,BL1397),$AV$4)</f>
        <v>A</v>
      </c>
      <c r="D1397" s="243" t="s">
        <v>5335</v>
      </c>
      <c r="E1397" s="244" t="s">
        <v>5185</v>
      </c>
      <c r="F1397" s="269" t="s">
        <v>5029</v>
      </c>
      <c r="G1397" s="276">
        <v>15</v>
      </c>
      <c r="H1397" s="283">
        <v>7500</v>
      </c>
      <c r="I1397" s="246">
        <v>35</v>
      </c>
      <c r="J1397" s="246">
        <v>4</v>
      </c>
      <c r="K1397" s="247" t="s">
        <v>5030</v>
      </c>
      <c r="L1397" s="248">
        <v>23250</v>
      </c>
      <c r="M1397" s="249">
        <f>15*(LEFT(TEXT($L1397,"000000"),2)+(MID(TEXT($L1397,"000000"),3,2)/60)+(RIGHT(TEXT($L1397,"000000"),2)/3600))</f>
        <v>38.208333333333329</v>
      </c>
      <c r="N1397" s="250">
        <v>612742</v>
      </c>
      <c r="O1397" s="251">
        <f>IF($N1397&gt;0,(LEFT(TEXT($N1397,"000000"),2)+(MID(TEXT($N1397,"000000"),3,2)/60)+(RIGHT(TEXT($N1397,"000000"),2)/3600)),-(MID(TEXT($N1397,"000000"),2,2)+(MID(TEXT($N1397,"000000"),4,2)/60)+(RIGHT(TEXT($N1397,"000000"),2)/3600)))</f>
        <v>61.461666666666666</v>
      </c>
      <c r="P1397" s="252" t="s">
        <v>49</v>
      </c>
      <c r="Q1397" s="253" t="s">
        <v>7121</v>
      </c>
      <c r="R1397" s="277" t="s">
        <v>1187</v>
      </c>
      <c r="S1397" s="272" t="s">
        <v>3293</v>
      </c>
      <c r="T1397" s="273">
        <v>6.5</v>
      </c>
      <c r="U1397" s="274"/>
      <c r="V1397" s="280"/>
      <c r="W1397" s="244"/>
      <c r="X1397" s="244"/>
      <c r="Y1397" s="362"/>
      <c r="Z1397" s="257">
        <f>altaz(J2000_Bas,$O1397,$M1397,DecLat,DecLong,1)</f>
        <v>17.31908419955516</v>
      </c>
      <c r="AA1397" s="257">
        <f>altaz((J2000_Bas+(2*0.04167)),$O1397,$M1397,DecLat,DecLong,1)</f>
        <v>30.570267191993789</v>
      </c>
      <c r="AB1397" s="257">
        <f>altaz((J2000_Bas+(4*0.04167)),$O1397,$M1397,DecLat,DecLong,1)</f>
        <v>44.778850510246627</v>
      </c>
      <c r="AC1397" s="257">
        <f>altaz((J2000_Bas+(6*0.04167)),$O1397,$M1397,DecLat,DecLong,1)</f>
        <v>56.333445755005584</v>
      </c>
      <c r="AD1397" s="258">
        <f>1+ transit((J2000_Bas-1),$O1397,$M1397,DecLat,DecLong)/360 + (GMTOffset/24) + (IF(DST="Y", 1, 0)/24)</f>
        <v>1.0990342092755412</v>
      </c>
      <c r="AE1397" s="259">
        <f>DATE(2001,9,21)+(M1397/360)*365 - (360*((DecLong/360)- (GMTOffset/24) ))</f>
        <v>37198.739004629628</v>
      </c>
      <c r="AF1397" s="260">
        <f>IF(DecLat&gt;0,IF((90 - (DecLat-O1397))&gt;90, (90 - (O1397-DecLat)), (90 - (DecLat-O1397))),IF((90 + (DecLat-O1397))&gt;90, (90 + (O1397-DecLat)), (90 + (DecLat-O1397))))</f>
        <v>59.538333333333334</v>
      </c>
      <c r="AG1397" s="257">
        <f>angularseperation(MoonRA,MoonDec,$M1397,$O1397)</f>
        <v>139.85820114856415</v>
      </c>
      <c r="AH1397" s="261">
        <f ca="1">MIN(100,IF($O$5&gt;80,0+30*($AG1397/100),IF($O$5&gt;70,0+50*($AG1397/100),IF($O$5&gt;60,5+50*($AG1397/100),IF($O$5&gt;50,10+60*($AG1397/100),IF($O$5&gt;40,15+70*($AG1397/100),IF($O$5&gt;30,20+70*($AG1397/100),IF($O$5&gt;20,40+55*($AG1397/100),(80+(20-$O$5)+30*($AG1397/100))))))))))</f>
        <v>100</v>
      </c>
      <c r="AI1397" s="262"/>
      <c r="AJ1397" s="262"/>
      <c r="AK1397" s="262"/>
      <c r="AL1397" s="263"/>
      <c r="AM1397" s="264"/>
      <c r="AN1397" s="263"/>
      <c r="AO1397" s="263"/>
      <c r="AP1397" s="265"/>
      <c r="AQ1397" s="266"/>
      <c r="AR1397" s="267"/>
      <c r="AS1397" s="263"/>
      <c r="AT1397" s="263"/>
      <c r="AU1397" s="263"/>
      <c r="AV1397" s="264"/>
      <c r="AW1397" s="263"/>
      <c r="AX1397" s="263"/>
      <c r="AY1397" s="263"/>
      <c r="AZ1397" s="263"/>
      <c r="BA1397" s="263"/>
      <c r="BB1397" s="263"/>
      <c r="BC1397" s="263"/>
      <c r="BD1397" s="264"/>
      <c r="BE1397" s="263"/>
      <c r="BF1397" s="263"/>
      <c r="BG1397" s="263">
        <v>12</v>
      </c>
      <c r="BH1397" s="263"/>
      <c r="BI1397" s="263"/>
      <c r="BJ1397" s="404">
        <f>altaz(J2000_Bas,$O1397,$M1397,DecLat,DecLong,2)</f>
        <v>27.601529421760056</v>
      </c>
      <c r="BK1397" s="378" t="s">
        <v>1445</v>
      </c>
      <c r="BL1397" s="379">
        <f>IF((2*G1397)/60&lt;0.2,0.2,(2*G1397)/60)</f>
        <v>0.5</v>
      </c>
      <c r="BM1397" s="380">
        <f>MOD((50000+AD1397-$B$3+(0/24)),1)</f>
        <v>0.31440113898133859</v>
      </c>
      <c r="BN1397" s="381"/>
      <c r="BO1397" s="382">
        <v>1390</v>
      </c>
    </row>
    <row r="1398" spans="1:67" s="24" customFormat="1" ht="15" customHeight="1" x14ac:dyDescent="0.25">
      <c r="A1398" s="288" t="s">
        <v>1446</v>
      </c>
      <c r="B1398" s="241" t="str">
        <f>HYPERLINK(CONCATENATE($AT$3,BK1398,$AU$3),$AV$3)</f>
        <v>S</v>
      </c>
      <c r="C1398" s="242" t="str">
        <f>HYPERLINK(CONCATENATE($AT$4,BK1398,$AU$4,BL1398),$AV$4)</f>
        <v>A</v>
      </c>
      <c r="D1398" s="243" t="s">
        <v>5335</v>
      </c>
      <c r="E1398" s="244" t="s">
        <v>5185</v>
      </c>
      <c r="F1398" s="269" t="s">
        <v>4909</v>
      </c>
      <c r="G1398" s="276">
        <v>240</v>
      </c>
      <c r="H1398" s="283">
        <v>600</v>
      </c>
      <c r="I1398" s="246">
        <v>40</v>
      </c>
      <c r="J1398" s="246">
        <v>2</v>
      </c>
      <c r="K1398" s="247" t="s">
        <v>5031</v>
      </c>
      <c r="L1398" s="248">
        <v>32418</v>
      </c>
      <c r="M1398" s="249">
        <f>15*(LEFT(TEXT($L1398,"000000"),2)+(MID(TEXT($L1398,"000000"),3,2)/60)+(RIGHT(TEXT($L1398,"000000"),2)/3600))</f>
        <v>51.074999999999996</v>
      </c>
      <c r="N1398" s="250">
        <v>495200</v>
      </c>
      <c r="O1398" s="251">
        <f>IF($N1398&gt;0,(LEFT(TEXT($N1398,"000000"),2)+(MID(TEXT($N1398,"000000"),3,2)/60)+(RIGHT(TEXT($N1398,"000000"),2)/3600)),-(MID(TEXT($N1398,"000000"),2,2)+(MID(TEXT($N1398,"000000"),4,2)/60)+(RIGHT(TEXT($N1398,"000000"),2)/3600)))</f>
        <v>49.866666666666667</v>
      </c>
      <c r="P1398" s="252" t="s">
        <v>43</v>
      </c>
      <c r="Q1398" s="253" t="s">
        <v>5032</v>
      </c>
      <c r="R1398" s="277" t="s">
        <v>3293</v>
      </c>
      <c r="S1398" s="272" t="s">
        <v>3293</v>
      </c>
      <c r="T1398" s="273">
        <v>1.2</v>
      </c>
      <c r="U1398" s="274"/>
      <c r="V1398" s="280"/>
      <c r="W1398" s="244"/>
      <c r="X1398" s="244"/>
      <c r="Y1398" s="362"/>
      <c r="Z1398" s="257">
        <f>altaz(J2000_Bas,$O1398,$M1398,DecLat,DecLong,1)</f>
        <v>4.3757143614126308</v>
      </c>
      <c r="AA1398" s="257">
        <f>altaz((J2000_Bas+(2*0.04167)),$O1398,$M1398,DecLat,DecLong,1)</f>
        <v>20.226588625352839</v>
      </c>
      <c r="AB1398" s="257">
        <f>altaz((J2000_Bas+(4*0.04167)),$O1398,$M1398,DecLat,DecLong,1)</f>
        <v>38.911067161286908</v>
      </c>
      <c r="AC1398" s="257">
        <f>altaz((J2000_Bas+(6*0.04167)),$O1398,$M1398,DecLat,DecLong,1)</f>
        <v>57.925125383330894</v>
      </c>
      <c r="AD1398" s="258">
        <f>1+ transit((J2000_Bas-1),$O1398,$M1398,DecLat,DecLong)/360 + (GMTOffset/24) + (IF(DST="Y", 1, 0)/24)</f>
        <v>1.1347749464422081</v>
      </c>
      <c r="AE1398" s="259">
        <f>DATE(2001,9,21)+(M1398/360)*365 - (360*((DecLong/360)- (GMTOffset/24) ))</f>
        <v>37211.784375000003</v>
      </c>
      <c r="AF1398" s="260">
        <f>IF(DecLat&gt;0,IF((90 - (DecLat-O1398))&gt;90, (90 - (O1398-DecLat)), (90 - (DecLat-O1398))),IF((90 + (DecLat-O1398))&gt;90, (90 + (O1398-DecLat)), (90 + (DecLat-O1398))))</f>
        <v>71.133333333333326</v>
      </c>
      <c r="AG1398" s="257">
        <f>angularseperation(MoonRA,MoonDec,$M1398,$O1398)</f>
        <v>153.30034833488128</v>
      </c>
      <c r="AH1398" s="261">
        <f ca="1">MIN(100,IF($O$5&gt;80,0+30*($AG1398/100),IF($O$5&gt;70,0+50*($AG1398/100),IF($O$5&gt;60,5+50*($AG1398/100),IF($O$5&gt;50,10+60*($AG1398/100),IF($O$5&gt;40,15+70*($AG1398/100),IF($O$5&gt;30,20+70*($AG1398/100),IF($O$5&gt;20,40+55*($AG1398/100),(80+(20-$O$5)+30*($AG1398/100))))))))))</f>
        <v>100</v>
      </c>
      <c r="AI1398" s="262"/>
      <c r="AJ1398" s="262"/>
      <c r="AK1398" s="262"/>
      <c r="AL1398" s="263"/>
      <c r="AM1398" s="264"/>
      <c r="AN1398" s="263"/>
      <c r="AO1398" s="263"/>
      <c r="AP1398" s="265"/>
      <c r="AQ1398" s="266"/>
      <c r="AR1398" s="267"/>
      <c r="AS1398" s="263"/>
      <c r="AT1398" s="263"/>
      <c r="AU1398" s="263"/>
      <c r="AV1398" s="264"/>
      <c r="AW1398" s="263"/>
      <c r="AX1398" s="263"/>
      <c r="AY1398" s="263"/>
      <c r="AZ1398" s="263"/>
      <c r="BA1398" s="263"/>
      <c r="BB1398" s="263"/>
      <c r="BC1398" s="263"/>
      <c r="BD1398" s="264"/>
      <c r="BE1398" s="263">
        <v>14</v>
      </c>
      <c r="BF1398" s="263"/>
      <c r="BG1398" s="263"/>
      <c r="BH1398" s="263"/>
      <c r="BI1398" s="263"/>
      <c r="BJ1398" s="404">
        <f>altaz(J2000_Bas,$O1398,$M1398,DecLat,DecLong,2)</f>
        <v>31.942935023756799</v>
      </c>
      <c r="BK1398" s="378" t="s">
        <v>1446</v>
      </c>
      <c r="BL1398" s="379">
        <f>IF((2*G1398)/60&lt;0.2,0.2,(2*G1398)/60)</f>
        <v>8</v>
      </c>
      <c r="BM1398" s="380">
        <f>MOD((50000+AD1398-$B$3+(0/24)),1)</f>
        <v>0.35014187614433467</v>
      </c>
      <c r="BN1398" s="381"/>
      <c r="BO1398" s="382">
        <v>1391</v>
      </c>
    </row>
    <row r="1399" spans="1:67" s="24" customFormat="1" ht="15" customHeight="1" x14ac:dyDescent="0.25">
      <c r="A1399" s="288" t="s">
        <v>1447</v>
      </c>
      <c r="B1399" s="241" t="str">
        <f>HYPERLINK(CONCATENATE($AT$3,BK1399,$AU$3),$AV$3)</f>
        <v>S</v>
      </c>
      <c r="C1399" s="242" t="str">
        <f>HYPERLINK(CONCATENATE($AT$4,BK1399,$AU$4,BL1399),$AV$4)</f>
        <v>A</v>
      </c>
      <c r="D1399" s="243" t="s">
        <v>5335</v>
      </c>
      <c r="E1399" s="244" t="s">
        <v>5185</v>
      </c>
      <c r="F1399" s="269" t="s">
        <v>4941</v>
      </c>
      <c r="G1399" s="276">
        <v>330</v>
      </c>
      <c r="H1399" s="283">
        <v>150</v>
      </c>
      <c r="I1399" s="246">
        <v>15</v>
      </c>
      <c r="J1399" s="246">
        <v>2</v>
      </c>
      <c r="K1399" s="247" t="s">
        <v>5033</v>
      </c>
      <c r="L1399" s="248">
        <v>42700</v>
      </c>
      <c r="M1399" s="249">
        <f>15*(LEFT(TEXT($L1399,"000000"),2)+(MID(TEXT($L1399,"000000"),3,2)/60)+(RIGHT(TEXT($L1399,"000000"),2)/3600))</f>
        <v>66.75</v>
      </c>
      <c r="N1399" s="250">
        <v>160000</v>
      </c>
      <c r="O1399" s="251">
        <f>IF($N1399&gt;0,(LEFT(TEXT($N1399,"000000"),2)+(MID(TEXT($N1399,"000000"),3,2)/60)+(RIGHT(TEXT($N1399,"000000"),2)/3600)),-(MID(TEXT($N1399,"000000"),2,2)+(MID(TEXT($N1399,"000000"),4,2)/60)+(RIGHT(TEXT($N1399,"000000"),2)/3600)))</f>
        <v>16</v>
      </c>
      <c r="P1399" s="252" t="s">
        <v>56</v>
      </c>
      <c r="Q1399" s="253" t="s">
        <v>7124</v>
      </c>
      <c r="R1399" s="247" t="s">
        <v>5034</v>
      </c>
      <c r="S1399" s="272" t="s">
        <v>3293</v>
      </c>
      <c r="T1399" s="273">
        <v>0.5</v>
      </c>
      <c r="U1399" s="274"/>
      <c r="V1399" s="280"/>
      <c r="W1399" s="244"/>
      <c r="X1399" s="244"/>
      <c r="Y1399" s="362"/>
      <c r="Z1399" s="257">
        <f>altaz(J2000_Bas,$O1399,$M1399,DecLat,DecLong,1)</f>
        <v>-29.741160130674263</v>
      </c>
      <c r="AA1399" s="257">
        <f>altaz((J2000_Bas+(2*0.04167)),$O1399,$M1399,DecLat,DecLong,1)</f>
        <v>-8.5565822502481268</v>
      </c>
      <c r="AB1399" s="257">
        <f>altaz((J2000_Bas+(4*0.04167)),$O1399,$M1399,DecLat,DecLong,1)</f>
        <v>16.072066329631273</v>
      </c>
      <c r="AC1399" s="257">
        <f>altaz((J2000_Bas+(6*0.04167)),$O1399,$M1399,DecLat,DecLong,1)</f>
        <v>41.769652119416477</v>
      </c>
      <c r="AD1399" s="258">
        <f>1+ transit((J2000_Bas-1),$O1399,$M1399,DecLat,DecLong)/360 + (GMTOffset/24) + (IF(DST="Y", 1, 0)/24)</f>
        <v>1.1783166087547079</v>
      </c>
      <c r="AE1399" s="259">
        <f>DATE(2001,9,21)+(M1399/360)*365 - (360*((DecLong/360)- (GMTOffset/24) ))</f>
        <v>37227.677083333336</v>
      </c>
      <c r="AF1399" s="260">
        <f>IF(DecLat&gt;0,IF((90 - (DecLat-O1399))&gt;90, (90 - (O1399-DecLat)), (90 - (DecLat-O1399))),IF((90 + (DecLat-O1399))&gt;90, (90 + (O1399-DecLat)), (90 + (DecLat-O1399))))</f>
        <v>75</v>
      </c>
      <c r="AG1399" s="257">
        <f>angularseperation(MoonRA,MoonDec,$M1399,$O1399)</f>
        <v>168.6772440749865</v>
      </c>
      <c r="AH1399" s="261">
        <f ca="1">MIN(100,IF($O$5&gt;80,0+30*($AG1399/100),IF($O$5&gt;70,0+50*($AG1399/100),IF($O$5&gt;60,5+50*($AG1399/100),IF($O$5&gt;50,10+60*($AG1399/100),IF($O$5&gt;40,15+70*($AG1399/100),IF($O$5&gt;30,20+70*($AG1399/100),IF($O$5&gt;20,40+55*($AG1399/100),(80+(20-$O$5)+30*($AG1399/100))))))))))</f>
        <v>100</v>
      </c>
      <c r="AI1399" s="262"/>
      <c r="AJ1399" s="262"/>
      <c r="AK1399" s="262"/>
      <c r="AL1399" s="263"/>
      <c r="AM1399" s="264">
        <v>41</v>
      </c>
      <c r="AN1399" s="263"/>
      <c r="AO1399" s="263"/>
      <c r="AP1399" s="265"/>
      <c r="AQ1399" s="266"/>
      <c r="AR1399" s="267"/>
      <c r="AS1399" s="263"/>
      <c r="AT1399" s="263"/>
      <c r="AU1399" s="263"/>
      <c r="AV1399" s="264"/>
      <c r="AW1399" s="263"/>
      <c r="AX1399" s="263"/>
      <c r="AY1399" s="263"/>
      <c r="AZ1399" s="263"/>
      <c r="BA1399" s="263"/>
      <c r="BB1399" s="263"/>
      <c r="BC1399" s="263"/>
      <c r="BD1399" s="264"/>
      <c r="BE1399" s="263"/>
      <c r="BF1399" s="263"/>
      <c r="BG1399" s="263"/>
      <c r="BH1399" s="263"/>
      <c r="BI1399" s="263"/>
      <c r="BJ1399" s="404">
        <f>altaz(J2000_Bas,$O1399,$M1399,DecLat,DecLong,2)</f>
        <v>44.467376464372599</v>
      </c>
      <c r="BK1399" s="378" t="s">
        <v>1447</v>
      </c>
      <c r="BL1399" s="379">
        <f>IF((2*G1399)/60&lt;0.2,0.2,(2*G1399)/60)</f>
        <v>11</v>
      </c>
      <c r="BM1399" s="380">
        <f>MOD((50000+AD1399-$B$3+(0/24)),1)</f>
        <v>0.3936835384592996</v>
      </c>
      <c r="BN1399" s="381"/>
      <c r="BO1399" s="382">
        <v>1392</v>
      </c>
    </row>
    <row r="1400" spans="1:67" s="24" customFormat="1" ht="15" customHeight="1" x14ac:dyDescent="0.25">
      <c r="A1400" s="288" t="s">
        <v>1448</v>
      </c>
      <c r="B1400" s="241" t="str">
        <f>HYPERLINK(CONCATENATE($AT$3,BK1400,$AU$3),$AV$3)</f>
        <v>S</v>
      </c>
      <c r="C1400" s="242" t="str">
        <f>HYPERLINK(CONCATENATE($AT$4,BK1400,$AU$4,BL1400),$AV$4)</f>
        <v>A</v>
      </c>
      <c r="D1400" s="243" t="s">
        <v>5335</v>
      </c>
      <c r="E1400" s="244" t="s">
        <v>5185</v>
      </c>
      <c r="F1400" s="269" t="s">
        <v>5036</v>
      </c>
      <c r="G1400" s="276">
        <v>275</v>
      </c>
      <c r="H1400" s="283">
        <v>300</v>
      </c>
      <c r="I1400" s="246">
        <v>25</v>
      </c>
      <c r="J1400" s="246">
        <v>2</v>
      </c>
      <c r="K1400" s="247" t="s">
        <v>5035</v>
      </c>
      <c r="L1400" s="248">
        <v>122500</v>
      </c>
      <c r="M1400" s="249">
        <f>15*(LEFT(TEXT($L1400,"000000"),2)+(MID(TEXT($L1400,"000000"),3,2)/60)+(RIGHT(TEXT($L1400,"000000"),2)/3600))</f>
        <v>186.25</v>
      </c>
      <c r="N1400" s="250">
        <v>260000</v>
      </c>
      <c r="O1400" s="251">
        <f>IF($N1400&gt;0,(LEFT(TEXT($N1400,"000000"),2)+(MID(TEXT($N1400,"000000"),3,2)/60)+(RIGHT(TEXT($N1400,"000000"),2)/3600)),-(MID(TEXT($N1400,"000000"),2,2)+(MID(TEXT($N1400,"000000"),4,2)/60)+(RIGHT(TEXT($N1400,"000000"),2)/3600)))</f>
        <v>26</v>
      </c>
      <c r="P1400" s="252" t="s">
        <v>190</v>
      </c>
      <c r="Q1400" s="253" t="s">
        <v>7104</v>
      </c>
      <c r="R1400" s="247" t="s">
        <v>3293</v>
      </c>
      <c r="S1400" s="272" t="s">
        <v>3293</v>
      </c>
      <c r="T1400" s="273">
        <v>1.8</v>
      </c>
      <c r="U1400" s="274"/>
      <c r="V1400" s="280"/>
      <c r="W1400" s="244"/>
      <c r="X1400" s="244"/>
      <c r="Y1400" s="362"/>
      <c r="Z1400" s="257">
        <f>altaz(J2000_Bas,$O1400,$M1400,DecLat,DecLong,1)</f>
        <v>5.4670503759923399</v>
      </c>
      <c r="AA1400" s="257">
        <f>altaz((J2000_Bas+(2*0.04167)),$O1400,$M1400,DecLat,DecLong,1)</f>
        <v>-15.530860753140468</v>
      </c>
      <c r="AB1400" s="257">
        <f>altaz((J2000_Bas+(4*0.04167)),$O1400,$M1400,DecLat,DecLong,1)</f>
        <v>-29.855646306476434</v>
      </c>
      <c r="AC1400" s="257">
        <f>altaz((J2000_Bas+(6*0.04167)),$O1400,$M1400,DecLat,DecLong,1)</f>
        <v>-32.202964252915713</v>
      </c>
      <c r="AD1400" s="258">
        <f>1+ transit((J2000_Bas-1),$O1400,$M1400,DecLat,DecLong)/360 + (GMTOffset/24) + (IF(DST="Y", 1, 0)/24)</f>
        <v>1.5102610200047082</v>
      </c>
      <c r="AE1400" s="259">
        <f>DATE(2001,9,21)+(M1400/360)*365 - (360*((DecLong/360)- (GMTOffset/24) ))</f>
        <v>37348.836805555555</v>
      </c>
      <c r="AF1400" s="260">
        <f>IF(DecLat&gt;0,IF((90 - (DecLat-O1400))&gt;90, (90 - (O1400-DecLat)), (90 - (DecLat-O1400))),IF((90 + (DecLat-O1400))&gt;90, (90 + (O1400-DecLat)), (90 + (DecLat-O1400))))</f>
        <v>85</v>
      </c>
      <c r="AG1400" s="257">
        <f>angularseperation(MoonRA,MoonDec,$M1400,$O1400)</f>
        <v>80.571957840425128</v>
      </c>
      <c r="AH1400" s="261">
        <f ca="1">MIN(100,IF($O$5&gt;80,0+30*($AG1400/100),IF($O$5&gt;70,0+50*($AG1400/100),IF($O$5&gt;60,5+50*($AG1400/100),IF($O$5&gt;50,10+60*($AG1400/100),IF($O$5&gt;40,15+70*($AG1400/100),IF($O$5&gt;30,20+70*($AG1400/100),IF($O$5&gt;20,40+55*($AG1400/100),(80+(20-$O$5)+30*($AG1400/100))))))))))</f>
        <v>100</v>
      </c>
      <c r="AI1400" s="262"/>
      <c r="AJ1400" s="262"/>
      <c r="AK1400" s="262"/>
      <c r="AL1400" s="263"/>
      <c r="AM1400" s="264"/>
      <c r="AN1400" s="263"/>
      <c r="AO1400" s="263"/>
      <c r="AP1400" s="265"/>
      <c r="AQ1400" s="266"/>
      <c r="AR1400" s="267"/>
      <c r="AS1400" s="263"/>
      <c r="AT1400" s="263"/>
      <c r="AU1400" s="263"/>
      <c r="AV1400" s="264"/>
      <c r="AW1400" s="263"/>
      <c r="AX1400" s="263"/>
      <c r="AY1400" s="263"/>
      <c r="AZ1400" s="263"/>
      <c r="BA1400" s="263"/>
      <c r="BB1400" s="263"/>
      <c r="BC1400" s="263"/>
      <c r="BD1400" s="264"/>
      <c r="BE1400" s="263">
        <v>62</v>
      </c>
      <c r="BF1400" s="263"/>
      <c r="BG1400" s="263"/>
      <c r="BH1400" s="263"/>
      <c r="BI1400" s="263"/>
      <c r="BJ1400" s="404">
        <f>altaz(J2000_Bas,$O1400,$M1400,DecLat,DecLong,2)</f>
        <v>297.14525155859661</v>
      </c>
      <c r="BK1400" s="378" t="s">
        <v>1448</v>
      </c>
      <c r="BL1400" s="379">
        <f>IF((2*G1400)/60&lt;0.2,0.2,(2*G1400)/60)</f>
        <v>9.1666666666666661</v>
      </c>
      <c r="BM1400" s="380">
        <f>MOD((50000+AD1400-$B$3+(0/24)),1)</f>
        <v>0.72562794970872346</v>
      </c>
      <c r="BN1400" s="381"/>
      <c r="BO1400" s="382">
        <v>1393</v>
      </c>
    </row>
    <row r="1401" spans="1:67" s="24" customFormat="1" ht="15" customHeight="1" x14ac:dyDescent="0.25">
      <c r="A1401" s="287" t="s">
        <v>8636</v>
      </c>
      <c r="B1401" s="241" t="str">
        <f>HYPERLINK(CONCATENATE($AT$3,BK1401,$AU$3),$AV$3)</f>
        <v>S</v>
      </c>
      <c r="C1401" s="242" t="str">
        <f>HYPERLINK(CONCATENATE($AT$4,BK1401,$AU$4,BL1401),$AV$4)</f>
        <v>A</v>
      </c>
      <c r="D1401" s="243" t="s">
        <v>5335</v>
      </c>
      <c r="E1401" s="244" t="s">
        <v>5185</v>
      </c>
      <c r="F1401" s="269" t="s">
        <v>6500</v>
      </c>
      <c r="G1401" s="276">
        <v>50</v>
      </c>
      <c r="H1401" s="283">
        <v>390</v>
      </c>
      <c r="I1401" s="279">
        <v>6</v>
      </c>
      <c r="J1401" s="246">
        <v>2</v>
      </c>
      <c r="K1401" s="247" t="s">
        <v>8637</v>
      </c>
      <c r="L1401" s="248">
        <v>201200</v>
      </c>
      <c r="M1401" s="249">
        <f>15*(LEFT(TEXT($L1401,"000000"),2)+(MID(TEXT($L1401,"000000"),3,2)/60)+(RIGHT(TEXT($L1401,"000000"),2)/3600))</f>
        <v>303</v>
      </c>
      <c r="N1401" s="250">
        <v>-791900</v>
      </c>
      <c r="O1401" s="251">
        <f>IF($N1401&gt;0,(LEFT(TEXT($N1401,"000000"),2)+(MID(TEXT($N1401,"000000"),3,2)/60)+(RIGHT(TEXT($N1401,"000000"),2)/3600)),-(MID(TEXT($N1401,"000000"),2,2)+(MID(TEXT($N1401,"000000"),4,2)/60)+(RIGHT(TEXT($N1401,"000000"),2)/3600)))</f>
        <v>-79.316666666666663</v>
      </c>
      <c r="P1401" s="252" t="s">
        <v>5536</v>
      </c>
      <c r="Q1401" s="253"/>
      <c r="R1401" s="277" t="s">
        <v>3293</v>
      </c>
      <c r="S1401" s="272" t="s">
        <v>3293</v>
      </c>
      <c r="T1401" s="273">
        <v>5.3</v>
      </c>
      <c r="U1401" s="274"/>
      <c r="V1401" s="280"/>
      <c r="W1401" s="244"/>
      <c r="X1401" s="244"/>
      <c r="Y1401" s="362"/>
      <c r="Z1401" s="257">
        <f>altaz(J2000_Bas,$O1401,$M1401,DecLat,DecLong,1)</f>
        <v>-20.741334600902171</v>
      </c>
      <c r="AA1401" s="257">
        <f>altaz((J2000_Bas+(2*0.04167)),$O1401,$M1401,DecLat,DecLong,1)</f>
        <v>-20.569032866128364</v>
      </c>
      <c r="AB1401" s="257">
        <f>altaz((J2000_Bas+(4*0.04167)),$O1401,$M1401,DecLat,DecLong,1)</f>
        <v>-22.968331731030283</v>
      </c>
      <c r="AC1401" s="257">
        <f>altaz((J2000_Bas+(6*0.04167)),$O1401,$M1401,DecLat,DecLong,1)</f>
        <v>-27.408556005768496</v>
      </c>
      <c r="AD1401" s="258">
        <f>1+ transit((J2000_Bas-1),$O1401,$M1401,DecLat,DecLong)/360 + (GMTOffset/24) + (IF(DST="Y", 1, 0)/24)</f>
        <v>1.8345665431297078</v>
      </c>
      <c r="AE1401" s="259">
        <f>DATE(2001,9,21)+(M1401/360)*365 - (360*((DecLong/360)- (GMTOffset/24) ))</f>
        <v>37467.208333333336</v>
      </c>
      <c r="AF1401" s="260">
        <f>IF(DecLat&gt;0,IF((90 - (DecLat-O1401))&gt;90, (90 - (O1401-DecLat)), (90 - (DecLat-O1401))),IF((90 + (DecLat-O1401))&gt;90, (90 + (O1401-DecLat)), (90 + (DecLat-O1401))))</f>
        <v>-20.316666666666663</v>
      </c>
      <c r="AG1401" s="257">
        <f>angularseperation(MoonRA,MoonDec,$M1401,$O1401)</f>
        <v>56.976438015132466</v>
      </c>
      <c r="AH1401" s="261">
        <f ca="1">MIN(100,IF($O$5&gt;80,0+30*($AG1401/100),IF($O$5&gt;70,0+50*($AG1401/100),IF($O$5&gt;60,5+50*($AG1401/100),IF($O$5&gt;50,10+60*($AG1401/100),IF($O$5&gt;40,15+70*($AG1401/100),IF($O$5&gt;30,20+70*($AG1401/100),IF($O$5&gt;20,40+55*($AG1401/100),(80+(20-$O$5)+30*($AG1401/100))))))))))</f>
        <v>100</v>
      </c>
      <c r="AI1401" s="262"/>
      <c r="AJ1401" s="263"/>
      <c r="AK1401" s="263"/>
      <c r="AL1401" s="263"/>
      <c r="AM1401" s="264"/>
      <c r="AN1401" s="263"/>
      <c r="AO1401" s="263"/>
      <c r="AP1401" s="265"/>
      <c r="AQ1401" s="265"/>
      <c r="AR1401" s="285"/>
      <c r="AS1401" s="263"/>
      <c r="AT1401" s="263"/>
      <c r="AU1401" s="263"/>
      <c r="AV1401" s="264"/>
      <c r="AW1401" s="263"/>
      <c r="AX1401" s="263"/>
      <c r="AY1401" s="263"/>
      <c r="AZ1401" s="263"/>
      <c r="BA1401" s="263"/>
      <c r="BB1401" s="263"/>
      <c r="BC1401" s="263"/>
      <c r="BD1401" s="264"/>
      <c r="BE1401" s="263"/>
      <c r="BF1401" s="263"/>
      <c r="BG1401" s="263"/>
      <c r="BH1401" s="263"/>
      <c r="BI1401" s="263"/>
      <c r="BJ1401" s="404">
        <f>altaz(J2000_Bas,$O1401,$M1401,DecLat,DecLong,2)</f>
        <v>176.67798490063828</v>
      </c>
      <c r="BK1401" s="378" t="s">
        <v>8636</v>
      </c>
      <c r="BL1401" s="379">
        <f>IF((2*G1401)/60&lt;0.2,0.2,(2*G1401)/60)</f>
        <v>1.6666666666666667</v>
      </c>
      <c r="BM1401" s="380">
        <f>MOD((50000+AD1401-$B$3+(0/24)),1)</f>
        <v>4.9933472830161918E-2</v>
      </c>
      <c r="BN1401" s="381"/>
      <c r="BO1401" s="382">
        <v>1394</v>
      </c>
    </row>
    <row r="1402" spans="1:67" s="24" customFormat="1" ht="15" customHeight="1" x14ac:dyDescent="0.25">
      <c r="A1402" s="287" t="s">
        <v>5530</v>
      </c>
      <c r="B1402" s="241" t="str">
        <f>HYPERLINK(CONCATENATE($AT$3,BK1402,$AU$3),$AV$3)</f>
        <v>S</v>
      </c>
      <c r="C1402" s="242" t="str">
        <f>HYPERLINK(CONCATENATE($AT$4,BK1402,$AU$4,BL1402),$AV$4)</f>
        <v>A</v>
      </c>
      <c r="D1402" s="243" t="s">
        <v>5187</v>
      </c>
      <c r="E1402" s="244" t="s">
        <v>5181</v>
      </c>
      <c r="F1402" s="269" t="s">
        <v>4813</v>
      </c>
      <c r="G1402" s="273">
        <v>1.3</v>
      </c>
      <c r="H1402" s="283">
        <v>3400</v>
      </c>
      <c r="I1402" s="279">
        <v>1.3</v>
      </c>
      <c r="J1402" s="246">
        <v>2</v>
      </c>
      <c r="K1402" s="247" t="s">
        <v>5531</v>
      </c>
      <c r="L1402" s="248">
        <v>153418</v>
      </c>
      <c r="M1402" s="249">
        <f>15*(LEFT(TEXT($L1402,"000000"),2)+(MID(TEXT($L1402,"000000"),3,2)/60)+(RIGHT(TEXT($L1402,"000000"),2)/3600))</f>
        <v>233.57500000000002</v>
      </c>
      <c r="N1402" s="250">
        <v>-590900</v>
      </c>
      <c r="O1402" s="251">
        <f>IF($N1402&gt;0,(LEFT(TEXT($N1402,"000000"),2)+(MID(TEXT($N1402,"000000"),3,2)/60)+(RIGHT(TEXT($N1402,"000000"),2)/3600)),-(MID(TEXT($N1402,"000000"),2,2)+(MID(TEXT($N1402,"000000"),4,2)/60)+(RIGHT(TEXT($N1402,"000000"),2)/3600)))</f>
        <v>-59.15</v>
      </c>
      <c r="P1402" s="252" t="s">
        <v>1012</v>
      </c>
      <c r="Q1402" s="253"/>
      <c r="R1402" s="277" t="s">
        <v>5528</v>
      </c>
      <c r="S1402" s="272" t="s">
        <v>3293</v>
      </c>
      <c r="T1402" s="273">
        <v>12</v>
      </c>
      <c r="U1402" s="274"/>
      <c r="V1402" s="280"/>
      <c r="W1402" s="244"/>
      <c r="X1402" s="244"/>
      <c r="Y1402" s="362"/>
      <c r="Z1402" s="257">
        <f>altaz(J2000_Bas,$O1402,$M1402,DecLat,DecLong,1)</f>
        <v>-10.02897305782586</v>
      </c>
      <c r="AA1402" s="257">
        <f>altaz((J2000_Bas+(2*0.04167)),$O1402,$M1402,DecLat,DecLong,1)</f>
        <v>-22.636706004237755</v>
      </c>
      <c r="AB1402" s="257">
        <f>altaz((J2000_Bas+(4*0.04167)),$O1402,$M1402,DecLat,DecLong,1)</f>
        <v>-37.666187659739045</v>
      </c>
      <c r="AC1402" s="257">
        <f>altaz((J2000_Bas+(6*0.04167)),$O1402,$M1402,DecLat,DecLong,1)</f>
        <v>-52.347381513986171</v>
      </c>
      <c r="AD1402" s="258">
        <f>1+ transit((J2000_Bas-1),$O1402,$M1402,DecLat,DecLong)/360 + (GMTOffset/24) + (IF(DST="Y", 1, 0)/24)</f>
        <v>1.6417193401922081</v>
      </c>
      <c r="AE1402" s="259">
        <f>DATE(2001,9,21)+(M1402/360)*365 - (360*((DecLong/360)- (GMTOffset/24) ))</f>
        <v>37396.819097222222</v>
      </c>
      <c r="AF1402" s="260">
        <f>IF(DecLat&gt;0,IF((90 - (DecLat-O1402))&gt;90, (90 - (O1402-DecLat)), (90 - (DecLat-O1402))),IF((90 + (DecLat-O1402))&gt;90, (90 + (O1402-DecLat)), (90 + (DecLat-O1402))))</f>
        <v>-0.15000000000000568</v>
      </c>
      <c r="AG1402" s="257">
        <f>angularseperation(MoonRA,MoonDec,$M1402,$O1402)</f>
        <v>33.852352245240013</v>
      </c>
      <c r="AH1402" s="261">
        <f ca="1">MIN(100,IF($O$5&gt;80,0+30*($AG1402/100),IF($O$5&gt;70,0+50*($AG1402/100),IF($O$5&gt;60,5+50*($AG1402/100),IF($O$5&gt;50,10+60*($AG1402/100),IF($O$5&gt;40,15+70*($AG1402/100),IF($O$5&gt;30,20+70*($AG1402/100),IF($O$5&gt;20,40+55*($AG1402/100),(80+(20-$O$5)+30*($AG1402/100))))))))))</f>
        <v>93.426766017722429</v>
      </c>
      <c r="AI1402" s="263"/>
      <c r="AJ1402" s="263"/>
      <c r="AK1402" s="263"/>
      <c r="AL1402" s="263"/>
      <c r="AM1402" s="264"/>
      <c r="AN1402" s="263"/>
      <c r="AO1402" s="263"/>
      <c r="AP1402" s="265"/>
      <c r="AQ1402" s="265"/>
      <c r="AR1402" s="285"/>
      <c r="AS1402" s="263"/>
      <c r="AT1402" s="263"/>
      <c r="AU1402" s="263"/>
      <c r="AV1402" s="264"/>
      <c r="AW1402" s="263"/>
      <c r="AX1402" s="263"/>
      <c r="AY1402" s="263"/>
      <c r="AZ1402" s="263"/>
      <c r="BA1402" s="263"/>
      <c r="BB1402" s="263"/>
      <c r="BC1402" s="263"/>
      <c r="BD1402" s="264"/>
      <c r="BE1402" s="263"/>
      <c r="BF1402" s="263"/>
      <c r="BG1402" s="263"/>
      <c r="BH1402" s="263"/>
      <c r="BI1402" s="263"/>
      <c r="BJ1402" s="404">
        <f>altaz(J2000_Bas,$O1402,$M1402,DecLat,DecLong,2)</f>
        <v>204.37691748444973</v>
      </c>
      <c r="BK1402" s="378" t="s">
        <v>5529</v>
      </c>
      <c r="BL1402" s="379">
        <f>IF((2*G1402)/60&lt;0.2,0.2,(2*G1402)/60)</f>
        <v>0.2</v>
      </c>
      <c r="BM1402" s="380">
        <f>MOD((50000+AD1402-$B$3+(0/24)),1)</f>
        <v>0.85708626989799086</v>
      </c>
      <c r="BN1402" s="381"/>
      <c r="BO1402" s="382">
        <v>1395</v>
      </c>
    </row>
    <row r="1403" spans="1:67" s="24" customFormat="1" ht="15" customHeight="1" x14ac:dyDescent="0.25">
      <c r="A1403" s="287" t="s">
        <v>5532</v>
      </c>
      <c r="B1403" s="241" t="str">
        <f>HYPERLINK(CONCATENATE($AT$3,BK1403,$AU$3),$AV$3)</f>
        <v>S</v>
      </c>
      <c r="C1403" s="242" t="str">
        <f>HYPERLINK(CONCATENATE($AT$4,BK1403,$AU$4,BL1403),$AV$4)</f>
        <v>A</v>
      </c>
      <c r="D1403" s="243" t="s">
        <v>5187</v>
      </c>
      <c r="E1403" s="244" t="s">
        <v>5181</v>
      </c>
      <c r="F1403" s="269" t="s">
        <v>4813</v>
      </c>
      <c r="G1403" s="270">
        <v>0.4</v>
      </c>
      <c r="H1403" s="283">
        <v>7500</v>
      </c>
      <c r="I1403" s="309">
        <v>0.9</v>
      </c>
      <c r="J1403" s="246">
        <v>3</v>
      </c>
      <c r="K1403" s="247" t="s">
        <v>5534</v>
      </c>
      <c r="L1403" s="248">
        <v>161430</v>
      </c>
      <c r="M1403" s="249">
        <f>15*(LEFT(TEXT($L1403,"000000"),2)+(MID(TEXT($L1403,"000000"),3,2)/60)+(RIGHT(TEXT($L1403,"000000"),2)/3600))</f>
        <v>243.625</v>
      </c>
      <c r="N1403" s="250">
        <v>-545700</v>
      </c>
      <c r="O1403" s="251">
        <f>IF($N1403&gt;0,(LEFT(TEXT($N1403,"000000"),2)+(MID(TEXT($N1403,"000000"),3,2)/60)+(RIGHT(TEXT($N1403,"000000"),2)/3600)),-(MID(TEXT($N1403,"000000"),2,2)+(MID(TEXT($N1403,"000000"),4,2)/60)+(RIGHT(TEXT($N1403,"000000"),2)/3600)))</f>
        <v>-54.95</v>
      </c>
      <c r="P1403" s="252" t="s">
        <v>1012</v>
      </c>
      <c r="Q1403" s="253"/>
      <c r="R1403" s="277" t="s">
        <v>3293</v>
      </c>
      <c r="S1403" s="272"/>
      <c r="T1403" s="273">
        <v>13</v>
      </c>
      <c r="U1403" s="274"/>
      <c r="V1403" s="280"/>
      <c r="W1403" s="244"/>
      <c r="X1403" s="244"/>
      <c r="Y1403" s="362"/>
      <c r="Z1403" s="257">
        <f>altaz(J2000_Bas,$O1403,$M1403,DecLat,DecLong,1)</f>
        <v>-3.3245805423624466</v>
      </c>
      <c r="AA1403" s="257">
        <f>altaz((J2000_Bas+(2*0.04167)),$O1403,$M1403,DecLat,DecLong,1)</f>
        <v>-15.860736793079417</v>
      </c>
      <c r="AB1403" s="257">
        <f>altaz((J2000_Bas+(4*0.04167)),$O1403,$M1403,DecLat,DecLong,1)</f>
        <v>-31.909133748555956</v>
      </c>
      <c r="AC1403" s="257">
        <f>altaz((J2000_Bas+(6*0.04167)),$O1403,$M1403,DecLat,DecLong,1)</f>
        <v>-49.028473472632946</v>
      </c>
      <c r="AD1403" s="258">
        <f>1+ transit((J2000_Bas-1),$O1403,$M1403,DecLat,DecLong)/360 + (GMTOffset/24) + (IF(DST="Y", 1, 0)/24)</f>
        <v>1.669636004067208</v>
      </c>
      <c r="AE1403" s="259">
        <f>DATE(2001,9,21)+(M1403/360)*365 - (360*((DecLong/360)- (GMTOffset/24) ))</f>
        <v>37407.008680555555</v>
      </c>
      <c r="AF1403" s="260">
        <f>IF(DecLat&gt;0,IF((90 - (DecLat-O1403))&gt;90, (90 - (O1403-DecLat)), (90 - (DecLat-O1403))),IF((90 + (DecLat-O1403))&gt;90, (90 + (O1403-DecLat)), (90 + (DecLat-O1403))))</f>
        <v>4.0499999999999972</v>
      </c>
      <c r="AG1403" s="257">
        <f>angularseperation(MoonRA,MoonDec,$M1403,$O1403)</f>
        <v>28.165375069789601</v>
      </c>
      <c r="AH1403" s="261">
        <f ca="1">MIN(100,IF($O$5&gt;80,0+30*($AG1403/100),IF($O$5&gt;70,0+50*($AG1403/100),IF($O$5&gt;60,5+50*($AG1403/100),IF($O$5&gt;50,10+60*($AG1403/100),IF($O$5&gt;40,15+70*($AG1403/100),IF($O$5&gt;30,20+70*($AG1403/100),IF($O$5&gt;20,40+55*($AG1403/100),(80+(20-$O$5)+30*($AG1403/100))))))))))</f>
        <v>91.720672865087309</v>
      </c>
      <c r="AI1403" s="263"/>
      <c r="AJ1403" s="263"/>
      <c r="AK1403" s="263"/>
      <c r="AL1403" s="263"/>
      <c r="AM1403" s="264"/>
      <c r="AN1403" s="263"/>
      <c r="AO1403" s="263"/>
      <c r="AP1403" s="265"/>
      <c r="AQ1403" s="265"/>
      <c r="AR1403" s="285"/>
      <c r="AS1403" s="263"/>
      <c r="AT1403" s="263"/>
      <c r="AU1403" s="263"/>
      <c r="AV1403" s="264"/>
      <c r="AW1403" s="263"/>
      <c r="AX1403" s="263"/>
      <c r="AY1403" s="263"/>
      <c r="AZ1403" s="263"/>
      <c r="BA1403" s="263"/>
      <c r="BB1403" s="263"/>
      <c r="BC1403" s="263"/>
      <c r="BD1403" s="264"/>
      <c r="BE1403" s="263"/>
      <c r="BF1403" s="263"/>
      <c r="BG1403" s="263"/>
      <c r="BH1403" s="263"/>
      <c r="BI1403" s="263"/>
      <c r="BJ1403" s="404">
        <f>altaz(J2000_Bas,$O1403,$M1403,DecLat,DecLong,2)</f>
        <v>202.81349778326751</v>
      </c>
      <c r="BK1403" s="378" t="s">
        <v>5533</v>
      </c>
      <c r="BL1403" s="379">
        <f>IF((2*G1403)/60&lt;0.2,0.2,(2*G1403)/60)</f>
        <v>0.2</v>
      </c>
      <c r="BM1403" s="380">
        <f>MOD((50000+AD1403-$B$3+(0/24)),1)</f>
        <v>0.88500293377001071</v>
      </c>
      <c r="BN1403" s="381"/>
      <c r="BO1403" s="382">
        <v>1396</v>
      </c>
    </row>
    <row r="1404" spans="1:67" s="24" customFormat="1" ht="15" customHeight="1" x14ac:dyDescent="0.25">
      <c r="A1404" s="288" t="s">
        <v>1449</v>
      </c>
      <c r="B1404" s="241" t="str">
        <f>HYPERLINK(CONCATENATE($AT$3,BK1404,$AU$3),$AV$3)</f>
        <v>S</v>
      </c>
      <c r="C1404" s="242" t="str">
        <f>HYPERLINK(CONCATENATE($AT$4,BK1404,$AU$4,BL1404),$AV$4)</f>
        <v>A</v>
      </c>
      <c r="D1404" s="243" t="s">
        <v>5187</v>
      </c>
      <c r="E1404" s="244" t="s">
        <v>5181</v>
      </c>
      <c r="F1404" s="269" t="s">
        <v>4813</v>
      </c>
      <c r="G1404" s="270">
        <v>0.5</v>
      </c>
      <c r="H1404" s="283">
        <v>20000</v>
      </c>
      <c r="I1404" s="279">
        <v>3</v>
      </c>
      <c r="J1404" s="246">
        <v>2</v>
      </c>
      <c r="K1404" s="247" t="s">
        <v>5037</v>
      </c>
      <c r="L1404" s="248">
        <v>63721</v>
      </c>
      <c r="M1404" s="249">
        <f>15*(LEFT(TEXT($L1404,"000000"),2)+(MID(TEXT($L1404,"000000"),3,2)/60)+(RIGHT(TEXT($L1404,"000000"),2)/3600))</f>
        <v>99.337500000000006</v>
      </c>
      <c r="N1404" s="250">
        <v>240036</v>
      </c>
      <c r="O1404" s="251">
        <f>IF($N1404&gt;0,(LEFT(TEXT($N1404,"000000"),2)+(MID(TEXT($N1404,"000000"),3,2)/60)+(RIGHT(TEXT($N1404,"000000"),2)/3600)),-(MID(TEXT($N1404,"000000"),2,2)+(MID(TEXT($N1404,"000000"),4,2)/60)+(RIGHT(TEXT($N1404,"000000"),2)/3600)))</f>
        <v>24.01</v>
      </c>
      <c r="P1404" s="252" t="s">
        <v>85</v>
      </c>
      <c r="Q1404" s="253"/>
      <c r="R1404" s="247" t="s">
        <v>3293</v>
      </c>
      <c r="S1404" s="272" t="s">
        <v>3293</v>
      </c>
      <c r="T1404" s="273">
        <v>13.5</v>
      </c>
      <c r="U1404" s="274"/>
      <c r="V1404" s="280"/>
      <c r="W1404" s="244"/>
      <c r="X1404" s="244"/>
      <c r="Y1404" s="362"/>
      <c r="Z1404" s="257">
        <f>altaz(J2000_Bas,$O1404,$M1404,DecLat,DecLong,1)</f>
        <v>-34.620730564752897</v>
      </c>
      <c r="AA1404" s="257">
        <f>altaz((J2000_Bas+(2*0.04167)),$O1404,$M1404,DecLat,DecLong,1)</f>
        <v>-24.696892522532533</v>
      </c>
      <c r="AB1404" s="257">
        <f>altaz((J2000_Bas+(4*0.04167)),$O1404,$M1404,DecLat,DecLong,1)</f>
        <v>-5.6504910784710107</v>
      </c>
      <c r="AC1404" s="257">
        <f>altaz((J2000_Bas+(6*0.04167)),$O1404,$M1404,DecLat,DecLong,1)</f>
        <v>17.691315635861073</v>
      </c>
      <c r="AD1404" s="258">
        <f>1+ transit((J2000_Bas-1),$O1404,$M1404,DecLat,DecLong)/360 + (GMTOffset/24) + (IF(DST="Y", 1, 0)/24)</f>
        <v>1.268837433035958</v>
      </c>
      <c r="AE1404" s="259">
        <f>DATE(2001,9,21)+(M1404/360)*365 - (360*((DecLong/360)- (GMTOffset/24) ))</f>
        <v>37260.717187499999</v>
      </c>
      <c r="AF1404" s="260">
        <f>IF(DecLat&gt;0,IF((90 - (DecLat-O1404))&gt;90, (90 - (O1404-DecLat)), (90 - (DecLat-O1404))),IF((90 + (DecLat-O1404))&gt;90, (90 + (O1404-DecLat)), (90 + (DecLat-O1404))))</f>
        <v>83.01</v>
      </c>
      <c r="AG1404" s="257">
        <f>angularseperation(MoonRA,MoonDec,$M1404,$O1404)</f>
        <v>152.73782031330336</v>
      </c>
      <c r="AH1404" s="261">
        <f ca="1">MIN(100,IF($O$5&gt;80,0+30*($AG1404/100),IF($O$5&gt;70,0+50*($AG1404/100),IF($O$5&gt;60,5+50*($AG1404/100),IF($O$5&gt;50,10+60*($AG1404/100),IF($O$5&gt;40,15+70*($AG1404/100),IF($O$5&gt;30,20+70*($AG1404/100),IF($O$5&gt;20,40+55*($AG1404/100),(80+(20-$O$5)+30*($AG1404/100))))))))))</f>
        <v>100</v>
      </c>
      <c r="AI1404" s="262"/>
      <c r="AJ1404" s="262"/>
      <c r="AK1404" s="262"/>
      <c r="AL1404" s="263"/>
      <c r="AM1404" s="264"/>
      <c r="AN1404" s="263"/>
      <c r="AO1404" s="263"/>
      <c r="AP1404" s="265"/>
      <c r="AQ1404" s="266"/>
      <c r="AR1404" s="267"/>
      <c r="AS1404" s="263"/>
      <c r="AT1404" s="263"/>
      <c r="AU1404" s="263"/>
      <c r="AV1404" s="264">
        <v>107</v>
      </c>
      <c r="AW1404" s="263"/>
      <c r="AX1404" s="263"/>
      <c r="AY1404" s="263"/>
      <c r="AZ1404" s="263"/>
      <c r="BA1404" s="263"/>
      <c r="BB1404" s="263"/>
      <c r="BC1404" s="263"/>
      <c r="BD1404" s="264"/>
      <c r="BE1404" s="263"/>
      <c r="BF1404" s="263"/>
      <c r="BG1404" s="263"/>
      <c r="BH1404" s="263"/>
      <c r="BI1404" s="263"/>
      <c r="BJ1404" s="404">
        <f>altaz(J2000_Bas,$O1404,$M1404,DecLat,DecLong,2)</f>
        <v>7.4023631419820477</v>
      </c>
      <c r="BK1404" s="378" t="s">
        <v>4756</v>
      </c>
      <c r="BL1404" s="379">
        <f>IF((2*G1404)/60&lt;0.2,0.2,(2*G1404)/60)</f>
        <v>0.2</v>
      </c>
      <c r="BM1404" s="380">
        <f>MOD((50000+AD1404-$B$3+(0/24)),1)</f>
        <v>0.4842043627431849</v>
      </c>
      <c r="BN1404" s="381"/>
      <c r="BO1404" s="382">
        <v>1397</v>
      </c>
    </row>
    <row r="1405" spans="1:67" s="24" customFormat="1" ht="15" customHeight="1" x14ac:dyDescent="0.25">
      <c r="A1405" s="288" t="s">
        <v>1450</v>
      </c>
      <c r="B1405" s="241" t="str">
        <f>HYPERLINK(CONCATENATE($AT$3,BK1405,$AU$3),$AV$3)</f>
        <v>S</v>
      </c>
      <c r="C1405" s="242" t="str">
        <f>HYPERLINK(CONCATENATE($AT$4,BK1405,$AU$4,BL1405),$AV$4)</f>
        <v>A</v>
      </c>
      <c r="D1405" s="243" t="s">
        <v>5187</v>
      </c>
      <c r="E1405" s="244" t="s">
        <v>5181</v>
      </c>
      <c r="F1405" s="269" t="s">
        <v>5057</v>
      </c>
      <c r="G1405" s="270">
        <v>0.3</v>
      </c>
      <c r="H1405" s="283">
        <v>13000</v>
      </c>
      <c r="I1405" s="279">
        <v>1.2</v>
      </c>
      <c r="J1405" s="246">
        <v>1</v>
      </c>
      <c r="K1405" s="247" t="s">
        <v>6216</v>
      </c>
      <c r="L1405" s="248">
        <v>65334</v>
      </c>
      <c r="M1405" s="249">
        <f>15*(LEFT(TEXT($L1405,"000000"),2)+(MID(TEXT($L1405,"000000"),3,2)/60)+(RIGHT(TEXT($L1405,"000000"),2)/3600))</f>
        <v>103.39166666666665</v>
      </c>
      <c r="N1405" s="250">
        <v>30824</v>
      </c>
      <c r="O1405" s="251">
        <f>IF($N1405&gt;0,(LEFT(TEXT($N1405,"000000"),2)+(MID(TEXT($N1405,"000000"),3,2)/60)+(RIGHT(TEXT($N1405,"000000"),2)/3600)),-(MID(TEXT($N1405,"000000"),2,2)+(MID(TEXT($N1405,"000000"),4,2)/60)+(RIGHT(TEXT($N1405,"000000"),2)/3600)))</f>
        <v>3.14</v>
      </c>
      <c r="P1405" s="252" t="s">
        <v>47</v>
      </c>
      <c r="Q1405" s="253"/>
      <c r="R1405" s="277" t="s">
        <v>3293</v>
      </c>
      <c r="S1405" s="272" t="s">
        <v>3293</v>
      </c>
      <c r="T1405" s="273"/>
      <c r="U1405" s="274"/>
      <c r="V1405" s="280"/>
      <c r="W1405" s="244"/>
      <c r="X1405" s="244"/>
      <c r="Y1405" s="362"/>
      <c r="Z1405" s="257">
        <f>altaz(J2000_Bas,$O1405,$M1405,DecLat,DecLong,1)</f>
        <v>-55.769395635812664</v>
      </c>
      <c r="AA1405" s="257">
        <f>altaz((J2000_Bas+(2*0.04167)),$O1405,$M1405,DecLat,DecLong,1)</f>
        <v>-43.793175125065282</v>
      </c>
      <c r="AB1405" s="257">
        <f>altaz((J2000_Bas+(4*0.04167)),$O1405,$M1405,DecLat,DecLong,1)</f>
        <v>-21.301433610724199</v>
      </c>
      <c r="AC1405" s="257">
        <f>altaz((J2000_Bas+(6*0.04167)),$O1405,$M1405,DecLat,DecLong,1)</f>
        <v>4.0705603001655835</v>
      </c>
      <c r="AD1405" s="258">
        <f>1+ transit((J2000_Bas-1),$O1405,$M1405,DecLat,DecLong)/360 + (GMTOffset/24) + (IF(DST="Y", 1, 0)/24)</f>
        <v>1.2800990059838746</v>
      </c>
      <c r="AE1405" s="259">
        <f>DATE(2001,9,21)+(M1405/360)*365 - (360*((DecLong/360)- (GMTOffset/24) ))</f>
        <v>37264.827662037038</v>
      </c>
      <c r="AF1405" s="260">
        <f>IF(DecLat&gt;0,IF((90 - (DecLat-O1405))&gt;90, (90 - (O1405-DecLat)), (90 - (DecLat-O1405))),IF((90 + (DecLat-O1405))&gt;90, (90 + (O1405-DecLat)), (90 + (DecLat-O1405))))</f>
        <v>62.14</v>
      </c>
      <c r="AG1405" s="257">
        <f>angularseperation(MoonRA,MoonDec,$M1405,$O1405)</f>
        <v>139.52188820210858</v>
      </c>
      <c r="AH1405" s="261">
        <f ca="1">MIN(100,IF($O$5&gt;80,0+30*($AG1405/100),IF($O$5&gt;70,0+50*($AG1405/100),IF($O$5&gt;60,5+50*($AG1405/100),IF($O$5&gt;50,10+60*($AG1405/100),IF($O$5&gt;40,15+70*($AG1405/100),IF($O$5&gt;30,20+70*($AG1405/100),IF($O$5&gt;20,40+55*($AG1405/100),(80+(20-$O$5)+30*($AG1405/100))))))))))</f>
        <v>100</v>
      </c>
      <c r="AI1405" s="263"/>
      <c r="AJ1405" s="263"/>
      <c r="AK1405" s="263"/>
      <c r="AL1405" s="263"/>
      <c r="AM1405" s="264"/>
      <c r="AN1405" s="263"/>
      <c r="AO1405" s="263"/>
      <c r="AP1405" s="265"/>
      <c r="AQ1405" s="265"/>
      <c r="AR1405" s="285"/>
      <c r="AS1405" s="263"/>
      <c r="AT1405" s="263"/>
      <c r="AU1405" s="263"/>
      <c r="AV1405" s="264">
        <v>108</v>
      </c>
      <c r="AW1405" s="263"/>
      <c r="AX1405" s="263"/>
      <c r="AY1405" s="263"/>
      <c r="AZ1405" s="263"/>
      <c r="BA1405" s="263"/>
      <c r="BB1405" s="263"/>
      <c r="BC1405" s="263"/>
      <c r="BD1405" s="264"/>
      <c r="BE1405" s="263"/>
      <c r="BF1405" s="263"/>
      <c r="BG1405" s="263"/>
      <c r="BH1405" s="263"/>
      <c r="BI1405" s="263"/>
      <c r="BJ1405" s="404">
        <f>altaz(J2000_Bas,$O1405,$M1405,DecLat,DecLong,2)</f>
        <v>4.6379914787617436</v>
      </c>
      <c r="BK1405" s="378" t="s">
        <v>4757</v>
      </c>
      <c r="BL1405" s="379">
        <f>IF((2*G1405)/60&lt;0.2,0.2,(2*G1405)/60)</f>
        <v>0.2</v>
      </c>
      <c r="BM1405" s="380">
        <f>MOD((50000+AD1405-$B$3+(0/24)),1)</f>
        <v>0.49546593568811659</v>
      </c>
      <c r="BN1405" s="381"/>
      <c r="BO1405" s="382">
        <v>1398</v>
      </c>
    </row>
    <row r="1406" spans="1:67" s="24" customFormat="1" ht="15" customHeight="1" x14ac:dyDescent="0.25">
      <c r="A1406" s="288" t="s">
        <v>1451</v>
      </c>
      <c r="B1406" s="241" t="str">
        <f>HYPERLINK(CONCATENATE($AT$3,BK1406,$AU$3),$AV$3)</f>
        <v>S</v>
      </c>
      <c r="C1406" s="242" t="str">
        <f>HYPERLINK(CONCATENATE($AT$4,BK1406,$AU$4,BL1406),$AV$4)</f>
        <v>A</v>
      </c>
      <c r="D1406" s="243" t="s">
        <v>5187</v>
      </c>
      <c r="E1406" s="244" t="s">
        <v>5181</v>
      </c>
      <c r="F1406" s="269" t="s">
        <v>5741</v>
      </c>
      <c r="G1406" s="270">
        <v>0.5</v>
      </c>
      <c r="H1406" s="283">
        <v>15000</v>
      </c>
      <c r="I1406" s="279">
        <v>2.2000000000000002</v>
      </c>
      <c r="J1406" s="246">
        <v>2</v>
      </c>
      <c r="K1406" s="247" t="s">
        <v>5039</v>
      </c>
      <c r="L1406" s="248">
        <v>74206</v>
      </c>
      <c r="M1406" s="249">
        <f>15*(LEFT(TEXT($L1406,"000000"),2)+(MID(TEXT($L1406,"000000"),3,2)/60)+(RIGHT(TEXT($L1406,"000000"),2)/3600))</f>
        <v>115.52500000000001</v>
      </c>
      <c r="N1406" s="250">
        <v>-141200</v>
      </c>
      <c r="O1406" s="251">
        <f>IF($N1406&gt;0,(LEFT(TEXT($N1406,"000000"),2)+(MID(TEXT($N1406,"000000"),3,2)/60)+(RIGHT(TEXT($N1406,"000000"),2)/3600)),-(MID(TEXT($N1406,"000000"),2,2)+(MID(TEXT($N1406,"000000"),4,2)/60)+(RIGHT(TEXT($N1406,"000000"),2)/3600)))</f>
        <v>-14.2</v>
      </c>
      <c r="P1406" s="252" t="s">
        <v>91</v>
      </c>
      <c r="Q1406" s="253"/>
      <c r="R1406" s="247" t="s">
        <v>3293</v>
      </c>
      <c r="S1406" s="272" t="s">
        <v>5038</v>
      </c>
      <c r="T1406" s="273">
        <v>14</v>
      </c>
      <c r="U1406" s="274"/>
      <c r="V1406" s="280"/>
      <c r="W1406" s="244"/>
      <c r="X1406" s="244"/>
      <c r="Y1406" s="362"/>
      <c r="Z1406" s="257">
        <f>altaz(J2000_Bas,$O1406,$M1406,DecLat,DecLong,1)</f>
        <v>-71.061860833585584</v>
      </c>
      <c r="AA1406" s="257">
        <f>altaz((J2000_Bas+(2*0.04167)),$O1406,$M1406,DecLat,DecLong,1)</f>
        <v>-64.739817095837523</v>
      </c>
      <c r="AB1406" s="257">
        <f>altaz((J2000_Bas+(4*0.04167)),$O1406,$M1406,DecLat,DecLong,1)</f>
        <v>-40.788245870889043</v>
      </c>
      <c r="AC1406" s="257">
        <f>altaz((J2000_Bas+(6*0.04167)),$O1406,$M1406,DecLat,DecLong,1)</f>
        <v>-15.080996145132213</v>
      </c>
      <c r="AD1406" s="258">
        <f>1+ transit((J2000_Bas-1),$O1406,$M1406,DecLat,DecLong)/360 + (GMTOffset/24) + (IF(DST="Y", 1, 0)/24)</f>
        <v>1.313802706317208</v>
      </c>
      <c r="AE1406" s="259">
        <f>DATE(2001,9,21)+(M1406/360)*365 - (360*((DecLong/360)- (GMTOffset/24) ))</f>
        <v>37277.129513888889</v>
      </c>
      <c r="AF1406" s="260">
        <f>IF(DecLat&gt;0,IF((90 - (DecLat-O1406))&gt;90, (90 - (O1406-DecLat)), (90 - (DecLat-O1406))),IF((90 + (DecLat-O1406))&gt;90, (90 + (O1406-DecLat)), (90 + (DecLat-O1406))))</f>
        <v>44.8</v>
      </c>
      <c r="AG1406" s="257">
        <f>angularseperation(MoonRA,MoonDec,$M1406,$O1406)</f>
        <v>119.00076015121495</v>
      </c>
      <c r="AH1406" s="261">
        <f ca="1">MIN(100,IF($O$5&gt;80,0+30*($AG1406/100),IF($O$5&gt;70,0+50*($AG1406/100),IF($O$5&gt;60,5+50*($AG1406/100),IF($O$5&gt;50,10+60*($AG1406/100),IF($O$5&gt;40,15+70*($AG1406/100),IF($O$5&gt;30,20+70*($AG1406/100),IF($O$5&gt;20,40+55*($AG1406/100),(80+(20-$O$5)+30*($AG1406/100))))))))))</f>
        <v>100</v>
      </c>
      <c r="AI1406" s="262"/>
      <c r="AJ1406" s="262"/>
      <c r="AK1406" s="262"/>
      <c r="AL1406" s="263"/>
      <c r="AM1406" s="264"/>
      <c r="AN1406" s="263"/>
      <c r="AO1406" s="263"/>
      <c r="AP1406" s="265"/>
      <c r="AQ1406" s="266"/>
      <c r="AR1406" s="267"/>
      <c r="AS1406" s="263"/>
      <c r="AT1406" s="263"/>
      <c r="AU1406" s="263"/>
      <c r="AV1406" s="264">
        <v>118</v>
      </c>
      <c r="AW1406" s="263"/>
      <c r="AX1406" s="263"/>
      <c r="AY1406" s="263"/>
      <c r="AZ1406" s="263"/>
      <c r="BA1406" s="263"/>
      <c r="BB1406" s="263"/>
      <c r="BC1406" s="263"/>
      <c r="BD1406" s="264"/>
      <c r="BE1406" s="263"/>
      <c r="BF1406" s="263"/>
      <c r="BG1406" s="263"/>
      <c r="BH1406" s="263"/>
      <c r="BI1406" s="263"/>
      <c r="BJ1406" s="404">
        <f>altaz(J2000_Bas,$O1406,$M1406,DecLat,DecLong,2)</f>
        <v>330.38566934666466</v>
      </c>
      <c r="BK1406" s="378" t="s">
        <v>4758</v>
      </c>
      <c r="BL1406" s="379">
        <f>IF((2*G1406)/60&lt;0.2,0.2,(2*G1406)/60)</f>
        <v>0.2</v>
      </c>
      <c r="BM1406" s="380">
        <f>MOD((50000+AD1406-$B$3+(0/24)),1)</f>
        <v>0.52916963602183387</v>
      </c>
      <c r="BN1406" s="381" t="s">
        <v>8665</v>
      </c>
      <c r="BO1406" s="382">
        <v>1399</v>
      </c>
    </row>
    <row r="1407" spans="1:67" s="24" customFormat="1" ht="15" customHeight="1" x14ac:dyDescent="0.25">
      <c r="A1407" s="288" t="s">
        <v>1452</v>
      </c>
      <c r="B1407" s="241" t="str">
        <f>HYPERLINK(CONCATENATE($AT$3,BK1407,$AU$3),$AV$3)</f>
        <v>S</v>
      </c>
      <c r="C1407" s="242" t="str">
        <f>HYPERLINK(CONCATENATE($AT$4,BK1407,$AU$4,BL1407),$AV$4)</f>
        <v>A</v>
      </c>
      <c r="D1407" s="243" t="s">
        <v>5187</v>
      </c>
      <c r="E1407" s="244" t="s">
        <v>5181</v>
      </c>
      <c r="F1407" s="269" t="s">
        <v>5211</v>
      </c>
      <c r="G1407" s="270">
        <v>0.9</v>
      </c>
      <c r="H1407" s="283">
        <v>15000</v>
      </c>
      <c r="I1407" s="279">
        <v>4</v>
      </c>
      <c r="J1407" s="246">
        <v>3</v>
      </c>
      <c r="K1407" s="247" t="s">
        <v>5040</v>
      </c>
      <c r="L1407" s="248">
        <v>174736</v>
      </c>
      <c r="M1407" s="249">
        <f>15*(LEFT(TEXT($L1407,"000000"),2)+(MID(TEXT($L1407,"000000"),3,2)/60)+(RIGHT(TEXT($L1407,"000000"),2)/3600))</f>
        <v>266.90000000000003</v>
      </c>
      <c r="N1407" s="250">
        <v>-220400</v>
      </c>
      <c r="O1407" s="251">
        <f>IF($N1407&gt;0,(LEFT(TEXT($N1407,"000000"),2)+(MID(TEXT($N1407,"000000"),3,2)/60)+(RIGHT(TEXT($N1407,"000000"),2)/3600)),-(MID(TEXT($N1407,"000000"),2,2)+(MID(TEXT($N1407,"000000"),4,2)/60)+(RIGHT(TEXT($N1407,"000000"),2)/3600)))</f>
        <v>-22.066666666666666</v>
      </c>
      <c r="P1407" s="252" t="s">
        <v>119</v>
      </c>
      <c r="Q1407" s="253"/>
      <c r="R1407" s="277" t="s">
        <v>3293</v>
      </c>
      <c r="S1407" s="272" t="s">
        <v>3293</v>
      </c>
      <c r="T1407" s="273">
        <v>17</v>
      </c>
      <c r="U1407" s="274"/>
      <c r="V1407" s="280"/>
      <c r="W1407" s="244"/>
      <c r="X1407" s="244"/>
      <c r="Y1407" s="362"/>
      <c r="Z1407" s="257">
        <f>altaz(J2000_Bas,$O1407,$M1407,DecLat,DecLong,1)</f>
        <v>33.858384130206879</v>
      </c>
      <c r="AA1407" s="257">
        <f>altaz((J2000_Bas+(2*0.04167)),$O1407,$M1407,DecLat,DecLong,1)</f>
        <v>19.008299447031874</v>
      </c>
      <c r="AB1407" s="257">
        <f>altaz((J2000_Bas+(4*0.04167)),$O1407,$M1407,DecLat,DecLong,1)</f>
        <v>-2.614594870224296</v>
      </c>
      <c r="AC1407" s="257">
        <f>altaz((J2000_Bas+(6*0.04167)),$O1407,$M1407,DecLat,DecLong,1)</f>
        <v>-27.179611703093919</v>
      </c>
      <c r="AD1407" s="258">
        <f>1+ transit((J2000_Bas-1),$O1407,$M1407,DecLat,DecLong)/360 + (GMTOffset/24) + (IF(DST="Y", 1, 0)/24)</f>
        <v>1.734288775379708</v>
      </c>
      <c r="AE1407" s="259">
        <f>DATE(2001,9,21)+(M1407/360)*365 - (360*((DecLong/360)- (GMTOffset/24) ))</f>
        <v>37430.606944444444</v>
      </c>
      <c r="AF1407" s="260">
        <f>IF(DecLat&gt;0,IF((90 - (DecLat-O1407))&gt;90, (90 - (O1407-DecLat)), (90 - (DecLat-O1407))),IF((90 + (DecLat-O1407))&gt;90, (90 + (O1407-DecLat)), (90 + (DecLat-O1407))))</f>
        <v>36.933333333333337</v>
      </c>
      <c r="AG1407" s="257">
        <f>angularseperation(MoonRA,MoonDec,$M1407,$O1407)</f>
        <v>16.805548119349762</v>
      </c>
      <c r="AH1407" s="261">
        <f ca="1">MIN(100,IF($O$5&gt;80,0+30*($AG1407/100),IF($O$5&gt;70,0+50*($AG1407/100),IF($O$5&gt;60,5+50*($AG1407/100),IF($O$5&gt;50,10+60*($AG1407/100),IF($O$5&gt;40,15+70*($AG1407/100),IF($O$5&gt;30,20+70*($AG1407/100),IF($O$5&gt;20,40+55*($AG1407/100),(80+(20-$O$5)+30*($AG1407/100))))))))))</f>
        <v>88.31272477995536</v>
      </c>
      <c r="AI1407" s="263"/>
      <c r="AJ1407" s="263"/>
      <c r="AK1407" s="263"/>
      <c r="AL1407" s="263"/>
      <c r="AM1407" s="264"/>
      <c r="AN1407" s="263"/>
      <c r="AO1407" s="263"/>
      <c r="AP1407" s="265"/>
      <c r="AQ1407" s="265"/>
      <c r="AR1407" s="285"/>
      <c r="AS1407" s="263"/>
      <c r="AT1407" s="263"/>
      <c r="AU1407" s="263"/>
      <c r="AV1407" s="264">
        <v>128</v>
      </c>
      <c r="AW1407" s="263"/>
      <c r="AX1407" s="263"/>
      <c r="AY1407" s="263"/>
      <c r="AZ1407" s="263"/>
      <c r="BA1407" s="263"/>
      <c r="BB1407" s="263"/>
      <c r="BC1407" s="263"/>
      <c r="BD1407" s="264"/>
      <c r="BE1407" s="263"/>
      <c r="BF1407" s="263"/>
      <c r="BG1407" s="263"/>
      <c r="BH1407" s="263"/>
      <c r="BI1407" s="263"/>
      <c r="BJ1407" s="404">
        <f>altaz(J2000_Bas,$O1407,$M1407,DecLat,DecLong,2)</f>
        <v>201.42138279090258</v>
      </c>
      <c r="BK1407" s="378" t="s">
        <v>4759</v>
      </c>
      <c r="BL1407" s="379">
        <f>IF((2*G1407)/60&lt;0.2,0.2,(2*G1407)/60)</f>
        <v>0.2</v>
      </c>
      <c r="BM1407" s="380">
        <f>MOD((50000+AD1407-$B$3+(0/24)),1)</f>
        <v>0.94965570508065866</v>
      </c>
      <c r="BN1407" s="381"/>
      <c r="BO1407" s="382">
        <v>1400</v>
      </c>
    </row>
    <row r="1408" spans="1:67" s="24" customFormat="1" ht="15" customHeight="1" x14ac:dyDescent="0.25">
      <c r="A1408" s="288" t="s">
        <v>1453</v>
      </c>
      <c r="B1408" s="241" t="str">
        <f>HYPERLINK(CONCATENATE($AT$3,BK1408,$AU$3),$AV$3)</f>
        <v>S</v>
      </c>
      <c r="C1408" s="242" t="str">
        <f>HYPERLINK(CONCATENATE($AT$4,BK1408,$AU$4,BL1408),$AV$4)</f>
        <v>A</v>
      </c>
      <c r="D1408" s="243" t="s">
        <v>5187</v>
      </c>
      <c r="E1408" s="244" t="s">
        <v>5181</v>
      </c>
      <c r="F1408" s="269" t="s">
        <v>5742</v>
      </c>
      <c r="G1408" s="273">
        <v>2</v>
      </c>
      <c r="H1408" s="283">
        <v>2800</v>
      </c>
      <c r="I1408" s="279">
        <v>1.8</v>
      </c>
      <c r="J1408" s="246">
        <v>3</v>
      </c>
      <c r="K1408" s="247" t="s">
        <v>5041</v>
      </c>
      <c r="L1408" s="248">
        <v>180930</v>
      </c>
      <c r="M1408" s="249">
        <f>15*(LEFT(TEXT($L1408,"000000"),2)+(MID(TEXT($L1408,"000000"),3,2)/60)+(RIGHT(TEXT($L1408,"000000"),2)/3600))</f>
        <v>272.375</v>
      </c>
      <c r="N1408" s="250">
        <v>-241215</v>
      </c>
      <c r="O1408" s="251">
        <f>IF($N1408&gt;0,(LEFT(TEXT($N1408,"000000"),2)+(MID(TEXT($N1408,"000000"),3,2)/60)+(RIGHT(TEXT($N1408,"000000"),2)/3600)),-(MID(TEXT($N1408,"000000"),2,2)+(MID(TEXT($N1408,"000000"),4,2)/60)+(RIGHT(TEXT($N1408,"000000"),2)/3600)))</f>
        <v>-24.204166666666666</v>
      </c>
      <c r="P1408" s="252" t="s">
        <v>119</v>
      </c>
      <c r="Q1408" s="253"/>
      <c r="R1408" s="247" t="s">
        <v>3293</v>
      </c>
      <c r="S1408" s="272" t="s">
        <v>3293</v>
      </c>
      <c r="T1408" s="273">
        <v>17</v>
      </c>
      <c r="U1408" s="274"/>
      <c r="V1408" s="280"/>
      <c r="W1408" s="244"/>
      <c r="X1408" s="244"/>
      <c r="Y1408" s="362"/>
      <c r="Z1408" s="257">
        <f>altaz(J2000_Bas,$O1408,$M1408,DecLat,DecLong,1)</f>
        <v>33.27402420846618</v>
      </c>
      <c r="AA1408" s="257">
        <f>altaz((J2000_Bas+(2*0.04167)),$O1408,$M1408,DecLat,DecLong,1)</f>
        <v>20.729163695887596</v>
      </c>
      <c r="AB1408" s="257">
        <f>altaz((J2000_Bas+(4*0.04167)),$O1408,$M1408,DecLat,DecLong,1)</f>
        <v>0.40119198891259628</v>
      </c>
      <c r="AC1408" s="257">
        <f>altaz((J2000_Bas+(6*0.04167)),$O1408,$M1408,DecLat,DecLong,1)</f>
        <v>-23.498528878411168</v>
      </c>
      <c r="AD1408" s="258">
        <f>1+ transit((J2000_Bas-1),$O1408,$M1408,DecLat,DecLong)/360 + (GMTOffset/24) + (IF(DST="Y", 1, 0)/24)</f>
        <v>1.7494971071922081</v>
      </c>
      <c r="AE1408" s="259">
        <f>DATE(2001,9,21)+(M1408/360)*365 - (360*((DecLong/360)- (GMTOffset/24) ))</f>
        <v>37436.157986111109</v>
      </c>
      <c r="AF1408" s="260">
        <f>IF(DecLat&gt;0,IF((90 - (DecLat-O1408))&gt;90, (90 - (O1408-DecLat)), (90 - (DecLat-O1408))),IF((90 + (DecLat-O1408))&gt;90, (90 + (O1408-DecLat)), (90 + (DecLat-O1408))))</f>
        <v>34.795833333333334</v>
      </c>
      <c r="AG1408" s="257">
        <f>angularseperation(MoonRA,MoonDec,$M1408,$O1408)</f>
        <v>21.022062093973172</v>
      </c>
      <c r="AH1408" s="261">
        <f ca="1">MIN(100,IF($O$5&gt;80,0+30*($AG1408/100),IF($O$5&gt;70,0+50*($AG1408/100),IF($O$5&gt;60,5+50*($AG1408/100),IF($O$5&gt;50,10+60*($AG1408/100),IF($O$5&gt;40,15+70*($AG1408/100),IF($O$5&gt;30,20+70*($AG1408/100),IF($O$5&gt;20,40+55*($AG1408/100),(80+(20-$O$5)+30*($AG1408/100))))))))))</f>
        <v>89.577678972342383</v>
      </c>
      <c r="AI1408" s="262"/>
      <c r="AJ1408" s="262"/>
      <c r="AK1408" s="262"/>
      <c r="AL1408" s="263"/>
      <c r="AM1408" s="264"/>
      <c r="AN1408" s="263"/>
      <c r="AO1408" s="263"/>
      <c r="AP1408" s="265"/>
      <c r="AQ1408" s="266"/>
      <c r="AR1408" s="267"/>
      <c r="AS1408" s="263"/>
      <c r="AT1408" s="263"/>
      <c r="AU1408" s="263"/>
      <c r="AV1408" s="264">
        <v>141</v>
      </c>
      <c r="AW1408" s="263"/>
      <c r="AX1408" s="263"/>
      <c r="AY1408" s="263"/>
      <c r="AZ1408" s="263"/>
      <c r="BA1408" s="263"/>
      <c r="BB1408" s="263"/>
      <c r="BC1408" s="263"/>
      <c r="BD1408" s="264"/>
      <c r="BE1408" s="263"/>
      <c r="BF1408" s="263"/>
      <c r="BG1408" s="263"/>
      <c r="BH1408" s="263"/>
      <c r="BI1408" s="263"/>
      <c r="BJ1408" s="404">
        <f>altaz(J2000_Bas,$O1408,$M1408,DecLat,DecLong,2)</f>
        <v>194.89438474681762</v>
      </c>
      <c r="BK1408" s="378" t="s">
        <v>4760</v>
      </c>
      <c r="BL1408" s="379">
        <f>IF((2*G1408)/60&lt;0.2,0.2,(2*G1408)/60)</f>
        <v>0.2</v>
      </c>
      <c r="BM1408" s="380">
        <f>MOD((50000+AD1408-$B$3+(0/24)),1)</f>
        <v>0.96486403689777944</v>
      </c>
      <c r="BN1408" s="381"/>
      <c r="BO1408" s="382">
        <v>1401</v>
      </c>
    </row>
    <row r="1409" spans="1:67" s="24" customFormat="1" ht="15" customHeight="1" x14ac:dyDescent="0.25">
      <c r="A1409" s="287" t="s">
        <v>1454</v>
      </c>
      <c r="B1409" s="241" t="str">
        <f>HYPERLINK(CONCATENATE($AT$3,BK1409,$AU$3),$AV$3)</f>
        <v>S</v>
      </c>
      <c r="C1409" s="242" t="str">
        <f>HYPERLINK(CONCATENATE($AT$4,BK1409,$AU$4,BL1409),$AV$4)</f>
        <v>A</v>
      </c>
      <c r="D1409" s="243" t="s">
        <v>5187</v>
      </c>
      <c r="E1409" s="244" t="s">
        <v>5181</v>
      </c>
      <c r="F1409" s="269" t="s">
        <v>4813</v>
      </c>
      <c r="G1409" s="270">
        <v>0.5</v>
      </c>
      <c r="H1409" s="283">
        <v>19000</v>
      </c>
      <c r="I1409" s="279">
        <v>3</v>
      </c>
      <c r="J1409" s="246">
        <v>1</v>
      </c>
      <c r="K1409" s="247" t="s">
        <v>6217</v>
      </c>
      <c r="L1409" s="248">
        <v>181105</v>
      </c>
      <c r="M1409" s="249">
        <f>15*(LEFT(TEXT($L1409,"000000"),2)+(MID(TEXT($L1409,"000000"),3,2)/60)+(RIGHT(TEXT($L1409,"000000"),2)/3600))</f>
        <v>272.77083333333337</v>
      </c>
      <c r="N1409" s="250">
        <v>-285859</v>
      </c>
      <c r="O1409" s="251">
        <f>IF($N1409&gt;0,(LEFT(TEXT($N1409,"000000"),2)+(MID(TEXT($N1409,"000000"),3,2)/60)+(RIGHT(TEXT($N1409,"000000"),2)/3600)),-(MID(TEXT($N1409,"000000"),2,2)+(MID(TEXT($N1409,"000000"),4,2)/60)+(RIGHT(TEXT($N1409,"000000"),2)/3600)))</f>
        <v>-28.983055555555556</v>
      </c>
      <c r="P1409" s="252" t="s">
        <v>119</v>
      </c>
      <c r="Q1409" s="253"/>
      <c r="R1409" s="277" t="s">
        <v>3293</v>
      </c>
      <c r="S1409" s="272" t="s">
        <v>3293</v>
      </c>
      <c r="T1409" s="273">
        <v>14</v>
      </c>
      <c r="U1409" s="274"/>
      <c r="V1409" s="280"/>
      <c r="W1409" s="244"/>
      <c r="X1409" s="244"/>
      <c r="Y1409" s="362"/>
      <c r="Z1409" s="257">
        <f>altaz(J2000_Bas,$O1409,$M1409,DecLat,DecLong,1)</f>
        <v>28.708260154735321</v>
      </c>
      <c r="AA1409" s="257">
        <f>altaz((J2000_Bas+(2*0.04167)),$O1409,$M1409,DecLat,DecLong,1)</f>
        <v>17.216820271225409</v>
      </c>
      <c r="AB1409" s="257">
        <f>altaz((J2000_Bas+(4*0.04167)),$O1409,$M1409,DecLat,DecLong,1)</f>
        <v>-2.0263368646174258</v>
      </c>
      <c r="AC1409" s="257">
        <f>altaz((J2000_Bas+(6*0.04167)),$O1409,$M1409,DecLat,DecLong,1)</f>
        <v>-25.113850009565123</v>
      </c>
      <c r="AD1409" s="258">
        <f>1+ transit((J2000_Bas-1),$O1409,$M1409,DecLat,DecLong)/360 + (GMTOffset/24) + (IF(DST="Y", 1, 0)/24)</f>
        <v>1.7505966441192915</v>
      </c>
      <c r="AE1409" s="259">
        <f>DATE(2001,9,21)+(M1409/360)*365 - (360*((DecLong/360)- (GMTOffset/24) ))</f>
        <v>37436.559317129628</v>
      </c>
      <c r="AF1409" s="260">
        <f>IF(DecLat&gt;0,IF((90 - (DecLat-O1409))&gt;90, (90 - (O1409-DecLat)), (90 - (DecLat-O1409))),IF((90 + (DecLat-O1409))&gt;90, (90 + (O1409-DecLat)), (90 + (DecLat-O1409))))</f>
        <v>30.016944444444448</v>
      </c>
      <c r="AG1409" s="257">
        <f>angularseperation(MoonRA,MoonDec,$M1409,$O1409)</f>
        <v>20.820691236565999</v>
      </c>
      <c r="AH1409" s="261">
        <f ca="1">MIN(100,IF($O$5&gt;80,0+30*($AG1409/100),IF($O$5&gt;70,0+50*($AG1409/100),IF($O$5&gt;60,5+50*($AG1409/100),IF($O$5&gt;50,10+60*($AG1409/100),IF($O$5&gt;40,15+70*($AG1409/100),IF($O$5&gt;30,20+70*($AG1409/100),IF($O$5&gt;20,40+55*($AG1409/100),(80+(20-$O$5)+30*($AG1409/100))))))))))</f>
        <v>89.517267715120227</v>
      </c>
      <c r="AI1409" s="263"/>
      <c r="AJ1409" s="263"/>
      <c r="AK1409" s="263"/>
      <c r="AL1409" s="263"/>
      <c r="AM1409" s="264"/>
      <c r="AN1409" s="263"/>
      <c r="AO1409" s="263"/>
      <c r="AP1409" s="265"/>
      <c r="AQ1409" s="265"/>
      <c r="AR1409" s="285"/>
      <c r="AS1409" s="263"/>
      <c r="AT1409" s="263"/>
      <c r="AU1409" s="263"/>
      <c r="AV1409" s="264">
        <v>142</v>
      </c>
      <c r="AW1409" s="263"/>
      <c r="AX1409" s="263"/>
      <c r="AY1409" s="263"/>
      <c r="AZ1409" s="263"/>
      <c r="BA1409" s="263"/>
      <c r="BB1409" s="263"/>
      <c r="BC1409" s="263"/>
      <c r="BD1409" s="264"/>
      <c r="BE1409" s="263"/>
      <c r="BF1409" s="263"/>
      <c r="BG1409" s="263"/>
      <c r="BH1409" s="263"/>
      <c r="BI1409" s="263"/>
      <c r="BJ1409" s="404">
        <f>altaz(J2000_Bas,$O1409,$M1409,DecLat,DecLong,2)</f>
        <v>193.19625440088018</v>
      </c>
      <c r="BK1409" s="378" t="s">
        <v>4761</v>
      </c>
      <c r="BL1409" s="379">
        <f>IF((2*G1409)/60&lt;0.2,0.2,(2*G1409)/60)</f>
        <v>0.2</v>
      </c>
      <c r="BM1409" s="380">
        <f>MOD((50000+AD1409-$B$3+(0/24)),1)</f>
        <v>0.96596357382077258</v>
      </c>
      <c r="BN1409" s="381"/>
      <c r="BO1409" s="382">
        <v>1402</v>
      </c>
    </row>
    <row r="1410" spans="1:67" s="24" customFormat="1" ht="15" customHeight="1" x14ac:dyDescent="0.25">
      <c r="A1410" s="288" t="s">
        <v>1455</v>
      </c>
      <c r="B1410" s="241" t="str">
        <f>HYPERLINK(CONCATENATE($AT$3,BK1410,$AU$3),$AV$3)</f>
        <v>S</v>
      </c>
      <c r="C1410" s="242" t="str">
        <f>HYPERLINK(CONCATENATE($AT$4,BK1410,$AU$4,BL1410),$AV$4)</f>
        <v>A</v>
      </c>
      <c r="D1410" s="243" t="s">
        <v>5187</v>
      </c>
      <c r="E1410" s="244" t="s">
        <v>5181</v>
      </c>
      <c r="F1410" s="269" t="s">
        <v>5739</v>
      </c>
      <c r="G1410" s="270">
        <v>0.5</v>
      </c>
      <c r="H1410" s="283">
        <v>15000</v>
      </c>
      <c r="I1410" s="279">
        <v>2.2999999999999998</v>
      </c>
      <c r="J1410" s="246">
        <v>2</v>
      </c>
      <c r="K1410" s="247" t="s">
        <v>5042</v>
      </c>
      <c r="L1410" s="248">
        <v>184020</v>
      </c>
      <c r="M1410" s="249">
        <f>15*(LEFT(TEXT($L1410,"000000"),2)+(MID(TEXT($L1410,"000000"),3,2)/60)+(RIGHT(TEXT($L1410,"000000"),2)/3600))</f>
        <v>280.08333333333337</v>
      </c>
      <c r="N1410" s="250">
        <v>-103947</v>
      </c>
      <c r="O1410" s="251">
        <f>IF($N1410&gt;0,(LEFT(TEXT($N1410,"000000"),2)+(MID(TEXT($N1410,"000000"),3,2)/60)+(RIGHT(TEXT($N1410,"000000"),2)/3600)),-(MID(TEXT($N1410,"000000"),2,2)+(MID(TEXT($N1410,"000000"),4,2)/60)+(RIGHT(TEXT($N1410,"000000"),2)/3600)))</f>
        <v>-10.663055555555555</v>
      </c>
      <c r="P1410" s="252" t="s">
        <v>121</v>
      </c>
      <c r="Q1410" s="253"/>
      <c r="R1410" s="277" t="s">
        <v>3293</v>
      </c>
      <c r="S1410" s="272" t="s">
        <v>3293</v>
      </c>
      <c r="T1410" s="273">
        <v>14</v>
      </c>
      <c r="U1410" s="274"/>
      <c r="V1410" s="280"/>
      <c r="W1410" s="244"/>
      <c r="X1410" s="244"/>
      <c r="Y1410" s="362"/>
      <c r="Z1410" s="257">
        <f>altaz(J2000_Bas,$O1410,$M1410,DecLat,DecLong,1)</f>
        <v>47.951281560650202</v>
      </c>
      <c r="AA1410" s="257">
        <f>altaz((J2000_Bas+(2*0.04167)),$O1410,$M1410,DecLat,DecLong,1)</f>
        <v>35.8847133227722</v>
      </c>
      <c r="AB1410" s="257">
        <f>altaz((J2000_Bas+(4*0.04167)),$O1410,$M1410,DecLat,DecLong,1)</f>
        <v>14.248896750811564</v>
      </c>
      <c r="AC1410" s="257">
        <f>altaz((J2000_Bas+(6*0.04167)),$O1410,$M1410,DecLat,DecLong,1)</f>
        <v>-10.712342385724339</v>
      </c>
      <c r="AD1410" s="258">
        <f>1+ transit((J2000_Bas-1),$O1410,$M1410,DecLat,DecLong)/360 + (GMTOffset/24) + (IF(DST="Y", 1, 0)/24)</f>
        <v>1.7709091420880414</v>
      </c>
      <c r="AE1410" s="259">
        <f>DATE(2001,9,21)+(M1410/360)*365 - (360*((DecLong/360)- (GMTOffset/24) ))</f>
        <v>37443.973379629628</v>
      </c>
      <c r="AF1410" s="260">
        <f>IF(DecLat&gt;0,IF((90 - (DecLat-O1410))&gt;90, (90 - (O1410-DecLat)), (90 - (DecLat-O1410))),IF((90 + (DecLat-O1410))&gt;90, (90 + (O1410-DecLat)), (90 + (DecLat-O1410))))</f>
        <v>48.336944444444441</v>
      </c>
      <c r="AG1410" s="257">
        <f>angularseperation(MoonRA,MoonDec,$M1410,$O1410)</f>
        <v>33.334045349437098</v>
      </c>
      <c r="AH1410" s="261">
        <f ca="1">MIN(100,IF($O$5&gt;80,0+30*($AG1410/100),IF($O$5&gt;70,0+50*($AG1410/100),IF($O$5&gt;60,5+50*($AG1410/100),IF($O$5&gt;50,10+60*($AG1410/100),IF($O$5&gt;40,15+70*($AG1410/100),IF($O$5&gt;30,20+70*($AG1410/100),IF($O$5&gt;20,40+55*($AG1410/100),(80+(20-$O$5)+30*($AG1410/100))))))))))</f>
        <v>93.271273948981559</v>
      </c>
      <c r="AI1410" s="263"/>
      <c r="AJ1410" s="263"/>
      <c r="AK1410" s="263"/>
      <c r="AL1410" s="263"/>
      <c r="AM1410" s="264"/>
      <c r="AN1410" s="263"/>
      <c r="AO1410" s="263"/>
      <c r="AP1410" s="265"/>
      <c r="AQ1410" s="265"/>
      <c r="AR1410" s="285"/>
      <c r="AS1410" s="263"/>
      <c r="AT1410" s="263"/>
      <c r="AU1410" s="263"/>
      <c r="AV1410" s="264">
        <v>157</v>
      </c>
      <c r="AW1410" s="263"/>
      <c r="AX1410" s="263"/>
      <c r="AY1410" s="263"/>
      <c r="AZ1410" s="263"/>
      <c r="BA1410" s="263"/>
      <c r="BB1410" s="263"/>
      <c r="BC1410" s="263"/>
      <c r="BD1410" s="264"/>
      <c r="BE1410" s="263"/>
      <c r="BF1410" s="263"/>
      <c r="BG1410" s="263"/>
      <c r="BH1410" s="263"/>
      <c r="BI1410" s="263"/>
      <c r="BJ1410" s="404">
        <f>altaz(J2000_Bas,$O1410,$M1410,DecLat,DecLong,2)</f>
        <v>188.70328191851223</v>
      </c>
      <c r="BK1410" s="378" t="s">
        <v>4762</v>
      </c>
      <c r="BL1410" s="379">
        <f>IF((2*G1410)/60&lt;0.2,0.2,(2*G1410)/60)</f>
        <v>0.2</v>
      </c>
      <c r="BM1410" s="380">
        <f>MOD((50000+AD1410-$B$3+(0/24)),1)</f>
        <v>0.98627607179514598</v>
      </c>
      <c r="BN1410" s="381"/>
      <c r="BO1410" s="382">
        <v>1403</v>
      </c>
    </row>
    <row r="1411" spans="1:67" s="24" customFormat="1" ht="15" customHeight="1" x14ac:dyDescent="0.25">
      <c r="A1411" s="287" t="s">
        <v>1456</v>
      </c>
      <c r="B1411" s="241" t="str">
        <f>HYPERLINK(CONCATENATE($AT$3,BK1411,$AU$3),$AV$3)</f>
        <v>S</v>
      </c>
      <c r="C1411" s="242" t="str">
        <f>HYPERLINK(CONCATENATE($AT$4,BK1411,$AU$4,BL1411),$AV$4)</f>
        <v>A</v>
      </c>
      <c r="D1411" s="243" t="s">
        <v>5187</v>
      </c>
      <c r="E1411" s="244" t="s">
        <v>5181</v>
      </c>
      <c r="F1411" s="269" t="s">
        <v>5057</v>
      </c>
      <c r="G1411" s="270">
        <v>0.5</v>
      </c>
      <c r="H1411" s="283">
        <v>18000</v>
      </c>
      <c r="I1411" s="279">
        <v>2.5</v>
      </c>
      <c r="J1411" s="246">
        <v>2</v>
      </c>
      <c r="K1411" s="247" t="s">
        <v>6218</v>
      </c>
      <c r="L1411" s="248">
        <v>184320</v>
      </c>
      <c r="M1411" s="249">
        <f>15*(LEFT(TEXT($L1411,"000000"),2)+(MID(TEXT($L1411,"000000"),3,2)/60)+(RIGHT(TEXT($L1411,"000000"),2)/3600))</f>
        <v>280.83333333333331</v>
      </c>
      <c r="N1411" s="250">
        <v>-90449</v>
      </c>
      <c r="O1411" s="251">
        <f>IF($N1411&gt;0,(LEFT(TEXT($N1411,"000000"),2)+(MID(TEXT($N1411,"000000"),3,2)/60)+(RIGHT(TEXT($N1411,"000000"),2)/3600)),-(MID(TEXT($N1411,"000000"),2,2)+(MID(TEXT($N1411,"000000"),4,2)/60)+(RIGHT(TEXT($N1411,"000000"),2)/3600)))</f>
        <v>-9.080277777777777</v>
      </c>
      <c r="P1411" s="252" t="s">
        <v>121</v>
      </c>
      <c r="Q1411" s="253"/>
      <c r="R1411" s="277" t="s">
        <v>3293</v>
      </c>
      <c r="S1411" s="272" t="s">
        <v>3293</v>
      </c>
      <c r="T1411" s="273"/>
      <c r="U1411" s="274"/>
      <c r="V1411" s="280"/>
      <c r="W1411" s="244"/>
      <c r="X1411" s="244"/>
      <c r="Y1411" s="362"/>
      <c r="Z1411" s="257">
        <f>altaz(J2000_Bas,$O1411,$M1411,DecLat,DecLong,1)</f>
        <v>49.614341882573818</v>
      </c>
      <c r="AA1411" s="257">
        <f>altaz((J2000_Bas+(2*0.04167)),$O1411,$M1411,DecLat,DecLong,1)</f>
        <v>37.58307528593015</v>
      </c>
      <c r="AB1411" s="257">
        <f>altaz((J2000_Bas+(4*0.04167)),$O1411,$M1411,DecLat,DecLong,1)</f>
        <v>15.777106084280634</v>
      </c>
      <c r="AC1411" s="257">
        <f>altaz((J2000_Bas+(6*0.04167)),$O1411,$M1411,DecLat,DecLong,1)</f>
        <v>-9.280921177672786</v>
      </c>
      <c r="AD1411" s="258">
        <f>1+ transit((J2000_Bas-1),$O1411,$M1411,DecLat,DecLong)/360 + (GMTOffset/24) + (IF(DST="Y", 1, 0)/24)</f>
        <v>1.7729924752130413</v>
      </c>
      <c r="AE1411" s="259">
        <f>DATE(2001,9,21)+(M1411/360)*365 - (360*((DecLong/360)- (GMTOffset/24) ))</f>
        <v>37444.733796296299</v>
      </c>
      <c r="AF1411" s="260">
        <f>IF(DecLat&gt;0,IF((90 - (DecLat-O1411))&gt;90, (90 - (O1411-DecLat)), (90 - (DecLat-O1411))),IF((90 + (DecLat-O1411))&gt;90, (90 + (O1411-DecLat)), (90 + (DecLat-O1411))))</f>
        <v>49.919722222222219</v>
      </c>
      <c r="AG1411" s="257">
        <f>angularseperation(MoonRA,MoonDec,$M1411,$O1411)</f>
        <v>34.84046463736469</v>
      </c>
      <c r="AH1411" s="261">
        <f ca="1">MIN(100,IF($O$5&gt;80,0+30*($AG1411/100),IF($O$5&gt;70,0+50*($AG1411/100),IF($O$5&gt;60,5+50*($AG1411/100),IF($O$5&gt;50,10+60*($AG1411/100),IF($O$5&gt;40,15+70*($AG1411/100),IF($O$5&gt;30,20+70*($AG1411/100),IF($O$5&gt;20,40+55*($AG1411/100),(80+(20-$O$5)+30*($AG1411/100))))))))))</f>
        <v>93.723199735359827</v>
      </c>
      <c r="AI1411" s="263"/>
      <c r="AJ1411" s="263"/>
      <c r="AK1411" s="263"/>
      <c r="AL1411" s="263"/>
      <c r="AM1411" s="264"/>
      <c r="AN1411" s="263"/>
      <c r="AO1411" s="263"/>
      <c r="AP1411" s="265"/>
      <c r="AQ1411" s="265"/>
      <c r="AR1411" s="285"/>
      <c r="AS1411" s="263"/>
      <c r="AT1411" s="263"/>
      <c r="AU1411" s="263"/>
      <c r="AV1411" s="264">
        <v>159</v>
      </c>
      <c r="AW1411" s="263"/>
      <c r="AX1411" s="263"/>
      <c r="AY1411" s="263"/>
      <c r="AZ1411" s="263"/>
      <c r="BA1411" s="263"/>
      <c r="BB1411" s="263"/>
      <c r="BC1411" s="263"/>
      <c r="BD1411" s="264"/>
      <c r="BE1411" s="263"/>
      <c r="BF1411" s="263"/>
      <c r="BG1411" s="263"/>
      <c r="BH1411" s="263"/>
      <c r="BI1411" s="263"/>
      <c r="BJ1411" s="404">
        <f>altaz(J2000_Bas,$O1411,$M1411,DecLat,DecLong,2)</f>
        <v>187.89244739590791</v>
      </c>
      <c r="BK1411" s="378" t="s">
        <v>4763</v>
      </c>
      <c r="BL1411" s="379">
        <f>IF((2*G1411)/60&lt;0.2,0.2,(2*G1411)/60)</f>
        <v>0.2</v>
      </c>
      <c r="BM1411" s="380">
        <f>MOD((50000+AD1411-$B$3+(0/24)),1)</f>
        <v>0.98835940491699148</v>
      </c>
      <c r="BN1411" s="381"/>
      <c r="BO1411" s="382">
        <v>1404</v>
      </c>
    </row>
    <row r="1412" spans="1:67" s="24" customFormat="1" ht="15" customHeight="1" x14ac:dyDescent="0.25">
      <c r="A1412" s="288" t="s">
        <v>1457</v>
      </c>
      <c r="B1412" s="241" t="str">
        <f>HYPERLINK(CONCATENATE($AT$3,BK1412,$AU$3),$AV$3)</f>
        <v>S</v>
      </c>
      <c r="C1412" s="242" t="str">
        <f>HYPERLINK(CONCATENATE($AT$4,BK1412,$AU$4,BL1412),$AV$4)</f>
        <v>A</v>
      </c>
      <c r="D1412" s="243" t="s">
        <v>5187</v>
      </c>
      <c r="E1412" s="244" t="s">
        <v>5181</v>
      </c>
      <c r="F1412" s="269" t="s">
        <v>5226</v>
      </c>
      <c r="G1412" s="270">
        <v>0.4</v>
      </c>
      <c r="H1412" s="283">
        <v>18000</v>
      </c>
      <c r="I1412" s="279">
        <v>2.2999999999999998</v>
      </c>
      <c r="J1412" s="246">
        <v>2</v>
      </c>
      <c r="K1412" s="247" t="s">
        <v>5043</v>
      </c>
      <c r="L1412" s="248">
        <v>185000</v>
      </c>
      <c r="M1412" s="249">
        <f>15*(LEFT(TEXT($L1412,"000000"),2)+(MID(TEXT($L1412,"000000"),3,2)/60)+(RIGHT(TEXT($L1412,"000000"),2)/3600))</f>
        <v>282.5</v>
      </c>
      <c r="N1412" s="250">
        <v>351500</v>
      </c>
      <c r="O1412" s="251">
        <f>IF($N1412&gt;0,(LEFT(TEXT($N1412,"000000"),2)+(MID(TEXT($N1412,"000000"),3,2)/60)+(RIGHT(TEXT($N1412,"000000"),2)/3600)),-(MID(TEXT($N1412,"000000"),2,2)+(MID(TEXT($N1412,"000000"),4,2)/60)+(RIGHT(TEXT($N1412,"000000"),2)/3600)))</f>
        <v>35.25</v>
      </c>
      <c r="P1412" s="252" t="s">
        <v>123</v>
      </c>
      <c r="Q1412" s="253"/>
      <c r="R1412" s="247" t="s">
        <v>3293</v>
      </c>
      <c r="S1412" s="272" t="s">
        <v>3293</v>
      </c>
      <c r="T1412" s="273"/>
      <c r="U1412" s="274"/>
      <c r="V1412" s="280"/>
      <c r="W1412" s="244"/>
      <c r="X1412" s="244"/>
      <c r="Y1412" s="362"/>
      <c r="Z1412" s="257">
        <f>altaz(J2000_Bas,$O1412,$M1412,DecLat,DecLong,1)</f>
        <v>84.836915917274823</v>
      </c>
      <c r="AA1412" s="257">
        <f>altaz((J2000_Bas+(2*0.04167)),$O1412,$M1412,DecLat,DecLong,1)</f>
        <v>61.688482749547518</v>
      </c>
      <c r="AB1412" s="257">
        <f>altaz((J2000_Bas+(4*0.04167)),$O1412,$M1412,DecLat,DecLong,1)</f>
        <v>37.424151482434262</v>
      </c>
      <c r="AC1412" s="257">
        <f>altaz((J2000_Bas+(6*0.04167)),$O1412,$M1412,DecLat,DecLong,1)</f>
        <v>14.559979451055996</v>
      </c>
      <c r="AD1412" s="258">
        <f>1+ transit((J2000_Bas-1),$O1412,$M1412,DecLat,DecLong)/360 + (GMTOffset/24) + (IF(DST="Y", 1, 0)/24)</f>
        <v>1.777622104379708</v>
      </c>
      <c r="AE1412" s="259">
        <f>DATE(2001,9,21)+(M1412/360)*365 - (360*((DecLong/360)- (GMTOffset/24) ))</f>
        <v>37446.423611111109</v>
      </c>
      <c r="AF1412" s="260">
        <f>IF(DecLat&gt;0,IF((90 - (DecLat-O1412))&gt;90, (90 - (O1412-DecLat)), (90 - (DecLat-O1412))),IF((90 + (DecLat-O1412))&gt;90, (90 + (O1412-DecLat)), (90 + (DecLat-O1412))))</f>
        <v>85.75</v>
      </c>
      <c r="AG1412" s="257">
        <f>angularseperation(MoonRA,MoonDec,$M1412,$O1412)</f>
        <v>69.804501364749981</v>
      </c>
      <c r="AH1412" s="261">
        <f ca="1">MIN(100,IF($O$5&gt;80,0+30*($AG1412/100),IF($O$5&gt;70,0+50*($AG1412/100),IF($O$5&gt;60,5+50*($AG1412/100),IF($O$5&gt;50,10+60*($AG1412/100),IF($O$5&gt;40,15+70*($AG1412/100),IF($O$5&gt;30,20+70*($AG1412/100),IF($O$5&gt;20,40+55*($AG1412/100),(80+(20-$O$5)+30*($AG1412/100))))))))))</f>
        <v>100</v>
      </c>
      <c r="AI1412" s="262"/>
      <c r="AJ1412" s="262"/>
      <c r="AK1412" s="262"/>
      <c r="AL1412" s="263"/>
      <c r="AM1412" s="264"/>
      <c r="AN1412" s="263"/>
      <c r="AO1412" s="263"/>
      <c r="AP1412" s="265"/>
      <c r="AQ1412" s="266"/>
      <c r="AR1412" s="267"/>
      <c r="AS1412" s="263"/>
      <c r="AT1412" s="263"/>
      <c r="AU1412" s="263"/>
      <c r="AV1412" s="264">
        <v>164</v>
      </c>
      <c r="AW1412" s="263"/>
      <c r="AX1412" s="263"/>
      <c r="AY1412" s="263"/>
      <c r="AZ1412" s="263"/>
      <c r="BA1412" s="263"/>
      <c r="BB1412" s="263"/>
      <c r="BC1412" s="263"/>
      <c r="BD1412" s="264"/>
      <c r="BE1412" s="263"/>
      <c r="BF1412" s="263"/>
      <c r="BG1412" s="263"/>
      <c r="BH1412" s="263"/>
      <c r="BI1412" s="263"/>
      <c r="BJ1412" s="404">
        <f>altaz(J2000_Bas,$O1412,$M1412,DecLat,DecLong,2)</f>
        <v>326.32969384354828</v>
      </c>
      <c r="BK1412" s="378" t="s">
        <v>4764</v>
      </c>
      <c r="BL1412" s="379">
        <f>IF((2*G1412)/60&lt;0.2,0.2,(2*G1412)/60)</f>
        <v>0.2</v>
      </c>
      <c r="BM1412" s="380">
        <f>MOD((50000+AD1412-$B$3+(0/24)),1)</f>
        <v>0.99298903408634942</v>
      </c>
      <c r="BN1412" s="381" t="s">
        <v>8665</v>
      </c>
      <c r="BO1412" s="382">
        <v>1405</v>
      </c>
    </row>
    <row r="1413" spans="1:67" s="24" customFormat="1" ht="15" customHeight="1" x14ac:dyDescent="0.25">
      <c r="A1413" s="288" t="s">
        <v>1458</v>
      </c>
      <c r="B1413" s="241" t="str">
        <f>HYPERLINK(CONCATENATE($AT$3,BK1413,$AU$3),$AV$3)</f>
        <v>S</v>
      </c>
      <c r="C1413" s="242" t="str">
        <f>HYPERLINK(CONCATENATE($AT$4,BK1413,$AU$4,BL1413),$AV$4)</f>
        <v>A</v>
      </c>
      <c r="D1413" s="243" t="s">
        <v>5187</v>
      </c>
      <c r="E1413" s="244" t="s">
        <v>5181</v>
      </c>
      <c r="F1413" s="269" t="s">
        <v>5743</v>
      </c>
      <c r="G1413" s="270">
        <v>0.3</v>
      </c>
      <c r="H1413" s="283">
        <v>14000</v>
      </c>
      <c r="I1413" s="279">
        <v>1.2</v>
      </c>
      <c r="J1413" s="246">
        <v>3</v>
      </c>
      <c r="K1413" s="247" t="s">
        <v>5044</v>
      </c>
      <c r="L1413" s="248">
        <v>200442</v>
      </c>
      <c r="M1413" s="249">
        <f>15*(LEFT(TEXT($L1413,"000000"),2)+(MID(TEXT($L1413,"000000"),3,2)/60)+(RIGHT(TEXT($L1413,"000000"),2)/3600))</f>
        <v>301.17500000000001</v>
      </c>
      <c r="N1413" s="250">
        <v>311500</v>
      </c>
      <c r="O1413" s="251">
        <f>IF($N1413&gt;0,(LEFT(TEXT($N1413,"000000"),2)+(MID(TEXT($N1413,"000000"),3,2)/60)+(RIGHT(TEXT($N1413,"000000"),2)/3600)),-(MID(TEXT($N1413,"000000"),2,2)+(MID(TEXT($N1413,"000000"),4,2)/60)+(RIGHT(TEXT($N1413,"000000"),2)/3600)))</f>
        <v>31.25</v>
      </c>
      <c r="P1413" s="252" t="s">
        <v>60</v>
      </c>
      <c r="Q1413" s="253"/>
      <c r="R1413" s="277" t="s">
        <v>3293</v>
      </c>
      <c r="S1413" s="272" t="s">
        <v>3293</v>
      </c>
      <c r="T1413" s="273"/>
      <c r="U1413" s="274"/>
      <c r="V1413" s="280"/>
      <c r="W1413" s="244"/>
      <c r="X1413" s="244"/>
      <c r="Y1413" s="362"/>
      <c r="Z1413" s="257">
        <f>altaz(J2000_Bas,$O1413,$M1413,DecLat,DecLong,1)</f>
        <v>77.019620672968941</v>
      </c>
      <c r="AA1413" s="257">
        <f>altaz((J2000_Bas+(2*0.04167)),$O1413,$M1413,DecLat,DecLong,1)</f>
        <v>77.24180537136057</v>
      </c>
      <c r="AB1413" s="257">
        <f>altaz((J2000_Bas+(4*0.04167)),$O1413,$M1413,DecLat,DecLong,1)</f>
        <v>51.756513765838477</v>
      </c>
      <c r="AC1413" s="257">
        <f>altaz((J2000_Bas+(6*0.04167)),$O1413,$M1413,DecLat,DecLong,1)</f>
        <v>27.11945553131449</v>
      </c>
      <c r="AD1413" s="258">
        <f>1+ transit((J2000_Bas-1),$O1413,$M1413,DecLat,DecLong)/360 + (GMTOffset/24) + (IF(DST="Y", 1, 0)/24)</f>
        <v>1.8294970991922079</v>
      </c>
      <c r="AE1413" s="259">
        <f>DATE(2001,9,21)+(M1413/360)*365 - (360*((DecLong/360)- (GMTOffset/24) ))</f>
        <v>37465.357986111114</v>
      </c>
      <c r="AF1413" s="260">
        <f>IF(DecLat&gt;0,IF((90 - (DecLat-O1413))&gt;90, (90 - (O1413-DecLat)), (90 - (DecLat-O1413))),IF((90 + (DecLat-O1413))&gt;90, (90 + (O1413-DecLat)), (90 + (DecLat-O1413))))</f>
        <v>89.75</v>
      </c>
      <c r="AG1413" s="257">
        <f>angularseperation(MoonRA,MoonDec,$M1413,$O1413)</f>
        <v>76.519069173119618</v>
      </c>
      <c r="AH1413" s="261">
        <f ca="1">MIN(100,IF($O$5&gt;80,0+30*($AG1413/100),IF($O$5&gt;70,0+50*($AG1413/100),IF($O$5&gt;60,5+50*($AG1413/100),IF($O$5&gt;50,10+60*($AG1413/100),IF($O$5&gt;40,15+70*($AG1413/100),IF($O$5&gt;30,20+70*($AG1413/100),IF($O$5&gt;20,40+55*($AG1413/100),(80+(20-$O$5)+30*($AG1413/100))))))))))</f>
        <v>100</v>
      </c>
      <c r="AI1413" s="263"/>
      <c r="AJ1413" s="263"/>
      <c r="AK1413" s="263"/>
      <c r="AL1413" s="263"/>
      <c r="AM1413" s="264"/>
      <c r="AN1413" s="263"/>
      <c r="AO1413" s="263"/>
      <c r="AP1413" s="265"/>
      <c r="AQ1413" s="265"/>
      <c r="AR1413" s="285"/>
      <c r="AS1413" s="263"/>
      <c r="AT1413" s="263"/>
      <c r="AU1413" s="263"/>
      <c r="AV1413" s="264">
        <v>175</v>
      </c>
      <c r="AW1413" s="263"/>
      <c r="AX1413" s="263"/>
      <c r="AY1413" s="263"/>
      <c r="AZ1413" s="263"/>
      <c r="BA1413" s="263"/>
      <c r="BB1413" s="263"/>
      <c r="BC1413" s="263"/>
      <c r="BD1413" s="264"/>
      <c r="BE1413" s="263"/>
      <c r="BF1413" s="263"/>
      <c r="BG1413" s="263"/>
      <c r="BH1413" s="263"/>
      <c r="BI1413" s="263"/>
      <c r="BJ1413" s="404">
        <f>altaz(J2000_Bas,$O1413,$M1413,DecLat,DecLong,2)</f>
        <v>84.965517996294849</v>
      </c>
      <c r="BK1413" s="378" t="s">
        <v>4765</v>
      </c>
      <c r="BL1413" s="379">
        <f>IF((2*G1413)/60&lt;0.2,0.2,(2*G1413)/60)</f>
        <v>0.2</v>
      </c>
      <c r="BM1413" s="380">
        <f>MOD((50000+AD1413-$B$3+(0/24)),1)</f>
        <v>4.4864028895972297E-2</v>
      </c>
      <c r="BN1413" s="381"/>
      <c r="BO1413" s="382">
        <v>1406</v>
      </c>
    </row>
    <row r="1414" spans="1:67" s="24" customFormat="1" ht="15" customHeight="1" x14ac:dyDescent="0.25">
      <c r="A1414" s="288" t="s">
        <v>1459</v>
      </c>
      <c r="B1414" s="241" t="str">
        <f>HYPERLINK(CONCATENATE($AT$3,BK1414,$AU$3),$AV$3)</f>
        <v>S</v>
      </c>
      <c r="C1414" s="242" t="str">
        <f>HYPERLINK(CONCATENATE($AT$4,BK1414,$AU$4,BL1414),$AV$4)</f>
        <v>A</v>
      </c>
      <c r="D1414" s="243" t="s">
        <v>5187</v>
      </c>
      <c r="E1414" s="244" t="s">
        <v>5181</v>
      </c>
      <c r="F1414" s="269" t="s">
        <v>5743</v>
      </c>
      <c r="G1414" s="270">
        <v>0.8</v>
      </c>
      <c r="H1414" s="283">
        <v>8600</v>
      </c>
      <c r="I1414" s="279">
        <v>2</v>
      </c>
      <c r="J1414" s="246">
        <v>3</v>
      </c>
      <c r="K1414" s="247" t="s">
        <v>5045</v>
      </c>
      <c r="L1414" s="248">
        <v>213702</v>
      </c>
      <c r="M1414" s="249">
        <f>15*(LEFT(TEXT($L1414,"000000"),2)+(MID(TEXT($L1414,"000000"),3,2)/60)+(RIGHT(TEXT($L1414,"000000"),2)/3600))</f>
        <v>324.25833333333333</v>
      </c>
      <c r="N1414" s="250">
        <v>485606</v>
      </c>
      <c r="O1414" s="251">
        <f>IF($N1414&gt;0,(LEFT(TEXT($N1414,"000000"),2)+(MID(TEXT($N1414,"000000"),3,2)/60)+(RIGHT(TEXT($N1414,"000000"),2)/3600)),-(MID(TEXT($N1414,"000000"),2,2)+(MID(TEXT($N1414,"000000"),4,2)/60)+(RIGHT(TEXT($N1414,"000000"),2)/3600)))</f>
        <v>48.934999999999995</v>
      </c>
      <c r="P1414" s="252" t="s">
        <v>60</v>
      </c>
      <c r="Q1414" s="253"/>
      <c r="R1414" s="247" t="s">
        <v>3293</v>
      </c>
      <c r="S1414" s="272" t="s">
        <v>3293</v>
      </c>
      <c r="T1414" s="273">
        <v>13</v>
      </c>
      <c r="U1414" s="274"/>
      <c r="V1414" s="280"/>
      <c r="W1414" s="244"/>
      <c r="X1414" s="244"/>
      <c r="Y1414" s="362"/>
      <c r="Z1414" s="257">
        <f>altaz(J2000_Bas,$O1414,$M1414,DecLat,DecLong,1)</f>
        <v>56.148771080494384</v>
      </c>
      <c r="AA1414" s="257">
        <f>altaz((J2000_Bas+(2*0.04167)),$O1414,$M1414,DecLat,DecLong,1)</f>
        <v>71.030185258234141</v>
      </c>
      <c r="AB1414" s="257">
        <f>altaz((J2000_Bas+(4*0.04167)),$O1414,$M1414,DecLat,DecLong,1)</f>
        <v>65.605459672531495</v>
      </c>
      <c r="AC1414" s="257">
        <f>altaz((J2000_Bas+(6*0.04167)),$O1414,$M1414,DecLat,DecLong,1)</f>
        <v>47.307802773027468</v>
      </c>
      <c r="AD1414" s="258">
        <f>1+ transit((J2000_Bas-1),$O1414,$M1414,DecLat,DecLong)/360 + (GMTOffset/24) + (IF(DST="Y", 1, 0)/24)</f>
        <v>1.8936174631505416</v>
      </c>
      <c r="AE1414" s="259">
        <f>DATE(2001,9,21)+(M1414/360)*365 - (360*((DecLong/360)- (GMTOffset/24) ))</f>
        <v>37488.761921296296</v>
      </c>
      <c r="AF1414" s="260">
        <f>IF(DecLat&gt;0,IF((90 - (DecLat-O1414))&gt;90, (90 - (O1414-DecLat)), (90 - (DecLat-O1414))),IF((90 + (DecLat-O1414))&gt;90, (90 + (O1414-DecLat)), (90 + (DecLat-O1414))))</f>
        <v>72.064999999999998</v>
      </c>
      <c r="AG1414" s="257">
        <f>angularseperation(MoonRA,MoonDec,$M1414,$O1414)</f>
        <v>101.0732082303184</v>
      </c>
      <c r="AH1414" s="261">
        <f ca="1">MIN(100,IF($O$5&gt;80,0+30*($AG1414/100),IF($O$5&gt;70,0+50*($AG1414/100),IF($O$5&gt;60,5+50*($AG1414/100),IF($O$5&gt;50,10+60*($AG1414/100),IF($O$5&gt;40,15+70*($AG1414/100),IF($O$5&gt;30,20+70*($AG1414/100),IF($O$5&gt;20,40+55*($AG1414/100),(80+(20-$O$5)+30*($AG1414/100))))))))))</f>
        <v>100</v>
      </c>
      <c r="AI1414" s="262"/>
      <c r="AJ1414" s="262"/>
      <c r="AK1414" s="262"/>
      <c r="AL1414" s="263"/>
      <c r="AM1414" s="264"/>
      <c r="AN1414" s="263"/>
      <c r="AO1414" s="263"/>
      <c r="AP1414" s="265"/>
      <c r="AQ1414" s="266"/>
      <c r="AR1414" s="267"/>
      <c r="AS1414" s="263"/>
      <c r="AT1414" s="263"/>
      <c r="AU1414" s="263"/>
      <c r="AV1414" s="264">
        <v>179</v>
      </c>
      <c r="AW1414" s="263"/>
      <c r="AX1414" s="263"/>
      <c r="AY1414" s="263"/>
      <c r="AZ1414" s="263"/>
      <c r="BA1414" s="263"/>
      <c r="BB1414" s="263"/>
      <c r="BC1414" s="263"/>
      <c r="BD1414" s="264"/>
      <c r="BE1414" s="263"/>
      <c r="BF1414" s="263"/>
      <c r="BG1414" s="263"/>
      <c r="BH1414" s="263"/>
      <c r="BI1414" s="263"/>
      <c r="BJ1414" s="404">
        <f>altaz(J2000_Bas,$O1414,$M1414,DecLat,DecLong,2)</f>
        <v>46.902248608954139</v>
      </c>
      <c r="BK1414" s="378" t="s">
        <v>4766</v>
      </c>
      <c r="BL1414" s="379">
        <f>IF((2*G1414)/60&lt;0.2,0.2,(2*G1414)/60)</f>
        <v>0.2</v>
      </c>
      <c r="BM1414" s="380">
        <f>MOD((50000+AD1414-$B$3+(0/24)),1)</f>
        <v>0.10898439285665518</v>
      </c>
      <c r="BN1414" s="381"/>
      <c r="BO1414" s="382">
        <v>1407</v>
      </c>
    </row>
    <row r="1415" spans="1:67" s="24" customFormat="1" ht="15" customHeight="1" x14ac:dyDescent="0.25">
      <c r="A1415" s="288" t="s">
        <v>1460</v>
      </c>
      <c r="B1415" s="241" t="str">
        <f>HYPERLINK(CONCATENATE($AT$3,BK1415,$AU$3),$AV$3)</f>
        <v>S</v>
      </c>
      <c r="C1415" s="242" t="str">
        <f>HYPERLINK(CONCATENATE($AT$4,BK1415,$AU$4,BL1415),$AV$4)</f>
        <v>A</v>
      </c>
      <c r="D1415" s="243" t="s">
        <v>5187</v>
      </c>
      <c r="E1415" s="244" t="s">
        <v>936</v>
      </c>
      <c r="F1415" s="269" t="s">
        <v>9121</v>
      </c>
      <c r="G1415" s="270">
        <v>0.4</v>
      </c>
      <c r="H1415" s="283">
        <v>5600</v>
      </c>
      <c r="I1415" s="309">
        <v>0.7</v>
      </c>
      <c r="J1415" s="246">
        <v>3</v>
      </c>
      <c r="K1415" s="247" t="s">
        <v>5050</v>
      </c>
      <c r="L1415" s="248">
        <v>193258</v>
      </c>
      <c r="M1415" s="249">
        <f>15*(LEFT(TEXT($L1415,"000000"),2)+(MID(TEXT($L1415,"000000"),3,2)/60)+(RIGHT(TEXT($L1415,"000000"),2)/3600))</f>
        <v>293.24166666666667</v>
      </c>
      <c r="N1415" s="250">
        <v>265241</v>
      </c>
      <c r="O1415" s="251">
        <f>IF($N1415&gt;0,(LEFT(TEXT($N1415,"000000"),2)+(MID(TEXT($N1415,"000000"),3,2)/60)+(RIGHT(TEXT($N1415,"000000"),2)/3600)),-(MID(TEXT($N1415,"000000"),2,2)+(MID(TEXT($N1415,"000000"),4,2)/60)+(RIGHT(TEXT($N1415,"000000"),2)/3600)))</f>
        <v>26.878055555555555</v>
      </c>
      <c r="P1415" s="252" t="s">
        <v>133</v>
      </c>
      <c r="Q1415" s="253"/>
      <c r="R1415" s="247" t="s">
        <v>5049</v>
      </c>
      <c r="S1415" s="272" t="s">
        <v>3293</v>
      </c>
      <c r="T1415" s="273">
        <v>17</v>
      </c>
      <c r="U1415" s="274"/>
      <c r="V1415" s="280"/>
      <c r="W1415" s="244"/>
      <c r="X1415" s="244"/>
      <c r="Y1415" s="362"/>
      <c r="Z1415" s="257">
        <f>altaz(J2000_Bas,$O1415,$M1415,DecLat,DecLong,1)</f>
        <v>82.444956539932761</v>
      </c>
      <c r="AA1415" s="257">
        <f>altaz((J2000_Bas+(2*0.04167)),$O1415,$M1415,DecLat,DecLong,1)</f>
        <v>69.625470268967675</v>
      </c>
      <c r="AB1415" s="257">
        <f>altaz((J2000_Bas+(4*0.04167)),$O1415,$M1415,DecLat,DecLong,1)</f>
        <v>43.9252193514425</v>
      </c>
      <c r="AC1415" s="257">
        <f>altaz((J2000_Bas+(6*0.04167)),$O1415,$M1415,DecLat,DecLong,1)</f>
        <v>19.015826562846506</v>
      </c>
      <c r="AD1415" s="258">
        <f>1+ transit((J2000_Bas-1),$O1415,$M1415,DecLat,DecLong)/360 + (GMTOffset/24) + (IF(DST="Y", 1, 0)/24)</f>
        <v>1.8074600643588747</v>
      </c>
      <c r="AE1415" s="259">
        <f>DATE(2001,9,21)+(M1415/360)*365 - (360*((DecLong/360)- (GMTOffset/24) ))</f>
        <v>37457.314467592594</v>
      </c>
      <c r="AF1415" s="260">
        <f>IF(DecLat&gt;0,IF((90 - (DecLat-O1415))&gt;90, (90 - (O1415-DecLat)), (90 - (DecLat-O1415))),IF((90 + (DecLat-O1415))&gt;90, (90 + (O1415-DecLat)), (90 + (DecLat-O1415))))</f>
        <v>85.878055555555562</v>
      </c>
      <c r="AG1415" s="257">
        <f>angularseperation(MoonRA,MoonDec,$M1415,$O1415)</f>
        <v>68.565717377044891</v>
      </c>
      <c r="AH1415" s="261">
        <f ca="1">MIN(100,IF($O$5&gt;80,0+30*($AG1415/100),IF($O$5&gt;70,0+50*($AG1415/100),IF($O$5&gt;60,5+50*($AG1415/100),IF($O$5&gt;50,10+60*($AG1415/100),IF($O$5&gt;40,15+70*($AG1415/100),IF($O$5&gt;30,20+70*($AG1415/100),IF($O$5&gt;20,40+55*($AG1415/100),(80+(20-$O$5)+30*($AG1415/100))))))))))</f>
        <v>100</v>
      </c>
      <c r="AI1415" s="262"/>
      <c r="AJ1415" s="262"/>
      <c r="AK1415" s="262"/>
      <c r="AL1415" s="263"/>
      <c r="AM1415" s="264"/>
      <c r="AN1415" s="263"/>
      <c r="AO1415" s="263"/>
      <c r="AP1415" s="265"/>
      <c r="AQ1415" s="266"/>
      <c r="AR1415" s="267"/>
      <c r="AS1415" s="263"/>
      <c r="AT1415" s="263"/>
      <c r="AU1415" s="263"/>
      <c r="AV1415" s="264">
        <v>191</v>
      </c>
      <c r="AW1415" s="263"/>
      <c r="AX1415" s="263"/>
      <c r="AY1415" s="263"/>
      <c r="AZ1415" s="263"/>
      <c r="BA1415" s="263"/>
      <c r="BB1415" s="263"/>
      <c r="BC1415" s="263"/>
      <c r="BD1415" s="264"/>
      <c r="BE1415" s="263"/>
      <c r="BF1415" s="263"/>
      <c r="BG1415" s="263"/>
      <c r="BH1415" s="263"/>
      <c r="BI1415" s="263"/>
      <c r="BJ1415" s="404">
        <f>altaz(J2000_Bas,$O1415,$M1415,DecLat,DecLong,2)</f>
        <v>121.25511961073572</v>
      </c>
      <c r="BK1415" s="378" t="s">
        <v>5046</v>
      </c>
      <c r="BL1415" s="379">
        <f>IF((2*G1415)/60&lt;0.2,0.2,(2*G1415)/60)</f>
        <v>0.2</v>
      </c>
      <c r="BM1415" s="380">
        <f>MOD((50000+AD1415-$B$3+(0/24)),1)</f>
        <v>2.28269940635073E-2</v>
      </c>
      <c r="BN1415" s="381"/>
      <c r="BO1415" s="382">
        <v>1408</v>
      </c>
    </row>
    <row r="1416" spans="1:67" s="24" customFormat="1" ht="15" customHeight="1" x14ac:dyDescent="0.25">
      <c r="A1416" s="288" t="s">
        <v>1461</v>
      </c>
      <c r="B1416" s="241" t="str">
        <f>HYPERLINK(CONCATENATE($AT$3,BK1416,$AU$3),$AV$3)</f>
        <v>S</v>
      </c>
      <c r="C1416" s="242" t="str">
        <f>HYPERLINK(CONCATENATE($AT$4,BK1416,$AU$4,BL1416),$AV$4)</f>
        <v>A</v>
      </c>
      <c r="D1416" s="243" t="s">
        <v>5187</v>
      </c>
      <c r="E1416" s="244" t="s">
        <v>936</v>
      </c>
      <c r="F1416" s="269" t="s">
        <v>9121</v>
      </c>
      <c r="G1416" s="270">
        <v>0.2</v>
      </c>
      <c r="H1416" s="283">
        <v>5200</v>
      </c>
      <c r="I1416" s="309">
        <v>0.3</v>
      </c>
      <c r="J1416" s="246">
        <v>3</v>
      </c>
      <c r="K1416" s="247" t="s">
        <v>5052</v>
      </c>
      <c r="L1416" s="248">
        <v>193618</v>
      </c>
      <c r="M1416" s="249">
        <f>15*(LEFT(TEXT($L1416,"000000"),2)+(MID(TEXT($L1416,"000000"),3,2)/60)+(RIGHT(TEXT($L1416,"000000"),2)/3600))</f>
        <v>294.07499999999999</v>
      </c>
      <c r="N1416" s="250">
        <v>293300</v>
      </c>
      <c r="O1416" s="251">
        <f>IF($N1416&gt;0,(LEFT(TEXT($N1416,"000000"),2)+(MID(TEXT($N1416,"000000"),3,2)/60)+(RIGHT(TEXT($N1416,"000000"),2)/3600)),-(MID(TEXT($N1416,"000000"),2,2)+(MID(TEXT($N1416,"000000"),4,2)/60)+(RIGHT(TEXT($N1416,"000000"),2)/3600)))</f>
        <v>29.55</v>
      </c>
      <c r="P1416" s="252" t="s">
        <v>60</v>
      </c>
      <c r="Q1416" s="253" t="s">
        <v>1462</v>
      </c>
      <c r="R1416" s="247" t="s">
        <v>3293</v>
      </c>
      <c r="S1416" s="272" t="s">
        <v>3293</v>
      </c>
      <c r="T1416" s="273">
        <v>12</v>
      </c>
      <c r="U1416" s="274"/>
      <c r="V1416" s="280"/>
      <c r="W1416" s="244"/>
      <c r="X1416" s="244"/>
      <c r="Y1416" s="362"/>
      <c r="Z1416" s="257">
        <f>altaz(J2000_Bas,$O1416,$M1416,DecLat,DecLong,1)</f>
        <v>82.881180459939515</v>
      </c>
      <c r="AA1416" s="257">
        <f>altaz((J2000_Bas+(2*0.04167)),$O1416,$M1416,DecLat,DecLong,1)</f>
        <v>70.965697065128722</v>
      </c>
      <c r="AB1416" s="257">
        <f>altaz((J2000_Bas+(4*0.04167)),$O1416,$M1416,DecLat,DecLong,1)</f>
        <v>45.405779594745241</v>
      </c>
      <c r="AC1416" s="257">
        <f>altaz((J2000_Bas+(6*0.04167)),$O1416,$M1416,DecLat,DecLong,1)</f>
        <v>20.820958737211551</v>
      </c>
      <c r="AD1416" s="258">
        <f>1+ transit((J2000_Bas-1),$O1416,$M1416,DecLat,DecLong)/360 + (GMTOffset/24) + (IF(DST="Y", 1, 0)/24)</f>
        <v>1.8097748789422081</v>
      </c>
      <c r="AE1416" s="259">
        <f>DATE(2001,9,21)+(M1416/360)*365 - (360*((DecLong/360)- (GMTOffset/24) ))</f>
        <v>37458.159375000003</v>
      </c>
      <c r="AF1416" s="260">
        <f>IF(DecLat&gt;0,IF((90 - (DecLat-O1416))&gt;90, (90 - (O1416-DecLat)), (90 - (DecLat-O1416))),IF((90 + (DecLat-O1416))&gt;90, (90 + (O1416-DecLat)), (90 + (DecLat-O1416))))</f>
        <v>88.55</v>
      </c>
      <c r="AG1416" s="257">
        <f>angularseperation(MoonRA,MoonDec,$M1416,$O1416)</f>
        <v>71.051221523781194</v>
      </c>
      <c r="AH1416" s="261">
        <f ca="1">MIN(100,IF($O$5&gt;80,0+30*($AG1416/100),IF($O$5&gt;70,0+50*($AG1416/100),IF($O$5&gt;60,5+50*($AG1416/100),IF($O$5&gt;50,10+60*($AG1416/100),IF($O$5&gt;40,15+70*($AG1416/100),IF($O$5&gt;30,20+70*($AG1416/100),IF($O$5&gt;20,40+55*($AG1416/100),(80+(20-$O$5)+30*($AG1416/100))))))))))</f>
        <v>100</v>
      </c>
      <c r="AI1416" s="262"/>
      <c r="AJ1416" s="262"/>
      <c r="AK1416" s="262"/>
      <c r="AL1416" s="263"/>
      <c r="AM1416" s="264"/>
      <c r="AN1416" s="263"/>
      <c r="AO1416" s="263"/>
      <c r="AP1416" s="265"/>
      <c r="AQ1416" s="266"/>
      <c r="AR1416" s="267"/>
      <c r="AS1416" s="263"/>
      <c r="AT1416" s="263"/>
      <c r="AU1416" s="263"/>
      <c r="AV1416" s="264">
        <v>192</v>
      </c>
      <c r="AW1416" s="263"/>
      <c r="AX1416" s="263"/>
      <c r="AY1416" s="263"/>
      <c r="AZ1416" s="263"/>
      <c r="BA1416" s="263"/>
      <c r="BB1416" s="263"/>
      <c r="BC1416" s="263"/>
      <c r="BD1416" s="264"/>
      <c r="BE1416" s="263"/>
      <c r="BF1416" s="263"/>
      <c r="BG1416" s="263"/>
      <c r="BH1416" s="263"/>
      <c r="BI1416" s="263"/>
      <c r="BJ1416" s="404">
        <f>altaz(J2000_Bas,$O1416,$M1416,DecLat,DecLong,2)</f>
        <v>99.692804888698859</v>
      </c>
      <c r="BK1416" s="378" t="s">
        <v>5047</v>
      </c>
      <c r="BL1416" s="379">
        <f>IF((2*G1416)/60&lt;0.2,0.2,(2*G1416)/60)</f>
        <v>0.2</v>
      </c>
      <c r="BM1416" s="380">
        <f>MOD((50000+AD1416-$B$3+(0/24)),1)</f>
        <v>2.514180864818627E-2</v>
      </c>
      <c r="BN1416" s="381"/>
      <c r="BO1416" s="382">
        <v>1409</v>
      </c>
    </row>
    <row r="1417" spans="1:67" s="24" customFormat="1" ht="15" customHeight="1" x14ac:dyDescent="0.25">
      <c r="A1417" s="288" t="s">
        <v>1463</v>
      </c>
      <c r="B1417" s="241" t="str">
        <f>HYPERLINK(CONCATENATE($AT$3,BK1417,$AU$3),$AV$3)</f>
        <v>S</v>
      </c>
      <c r="C1417" s="242" t="str">
        <f>HYPERLINK(CONCATENATE($AT$4,BK1417,$AU$4,BL1417),$AV$4)</f>
        <v>A</v>
      </c>
      <c r="D1417" s="243" t="s">
        <v>5187</v>
      </c>
      <c r="E1417" s="244" t="s">
        <v>936</v>
      </c>
      <c r="F1417" s="269" t="s">
        <v>9121</v>
      </c>
      <c r="G1417" s="270">
        <v>0.5</v>
      </c>
      <c r="H1417" s="283">
        <v>5500</v>
      </c>
      <c r="I1417" s="309">
        <v>0.85</v>
      </c>
      <c r="J1417" s="246">
        <v>3</v>
      </c>
      <c r="K1417" s="247" t="s">
        <v>5054</v>
      </c>
      <c r="L1417" s="248">
        <v>170538</v>
      </c>
      <c r="M1417" s="249">
        <f>15*(LEFT(TEXT($L1417,"000000"),2)+(MID(TEXT($L1417,"000000"),3,2)/60)+(RIGHT(TEXT($L1417,"000000"),2)/3600))</f>
        <v>256.4083333333333</v>
      </c>
      <c r="N1417" s="250">
        <v>-100835</v>
      </c>
      <c r="O1417" s="251">
        <f>IF($N1417&gt;0,(LEFT(TEXT($N1417,"000000"),2)+(MID(TEXT($N1417,"000000"),3,2)/60)+(RIGHT(TEXT($N1417,"000000"),2)/3600)),-(MID(TEXT($N1417,"000000"),2,2)+(MID(TEXT($N1417,"000000"),4,2)/60)+(RIGHT(TEXT($N1417,"000000"),2)/3600)))</f>
        <v>-10.143055555555556</v>
      </c>
      <c r="P1417" s="252" t="s">
        <v>113</v>
      </c>
      <c r="Q1417" s="253" t="s">
        <v>5053</v>
      </c>
      <c r="R1417" s="247" t="s">
        <v>3293</v>
      </c>
      <c r="S1417" s="272" t="s">
        <v>3293</v>
      </c>
      <c r="T1417" s="273"/>
      <c r="U1417" s="274"/>
      <c r="V1417" s="280"/>
      <c r="W1417" s="244"/>
      <c r="X1417" s="244"/>
      <c r="Y1417" s="362"/>
      <c r="Z1417" s="257">
        <f>altaz(J2000_Bas,$O1417,$M1417,DecLat,DecLong,1)</f>
        <v>40.015463488006006</v>
      </c>
      <c r="AA1417" s="257">
        <f>altaz((J2000_Bas+(2*0.04167)),$O1417,$M1417,DecLat,DecLong,1)</f>
        <v>19.589148620998184</v>
      </c>
      <c r="AB1417" s="257">
        <f>altaz((J2000_Bas+(4*0.04167)),$O1417,$M1417,DecLat,DecLong,1)</f>
        <v>-5.0035217959235334</v>
      </c>
      <c r="AC1417" s="257">
        <f>altaz((J2000_Bas+(6*0.04167)),$O1417,$M1417,DecLat,DecLong,1)</f>
        <v>-30.706864625312779</v>
      </c>
      <c r="AD1417" s="258">
        <f>1+ transit((J2000_Bas-1),$O1417,$M1417,DecLat,DecLong)/360 + (GMTOffset/24) + (IF(DST="Y", 1, 0)/24)</f>
        <v>1.7051452597755412</v>
      </c>
      <c r="AE1417" s="259">
        <f>DATE(2001,9,21)+(M1417/360)*365 - (360*((DecLong/360)- (GMTOffset/24) ))</f>
        <v>37419.969560185185</v>
      </c>
      <c r="AF1417" s="260">
        <f>IF(DecLat&gt;0,IF((90 - (DecLat-O1417))&gt;90, (90 - (O1417-DecLat)), (90 - (DecLat-O1417))),IF((90 + (DecLat-O1417))&gt;90, (90 + (O1417-DecLat)), (90 + (DecLat-O1417))))</f>
        <v>48.856944444444444</v>
      </c>
      <c r="AG1417" s="257">
        <f>angularseperation(MoonRA,MoonDec,$M1417,$O1417)</f>
        <v>18.239136556259382</v>
      </c>
      <c r="AH1417" s="261">
        <f ca="1">MIN(100,IF($O$5&gt;80,0+30*($AG1417/100),IF($O$5&gt;70,0+50*($AG1417/100),IF($O$5&gt;60,5+50*($AG1417/100),IF($O$5&gt;50,10+60*($AG1417/100),IF($O$5&gt;40,15+70*($AG1417/100),IF($O$5&gt;30,20+70*($AG1417/100),IF($O$5&gt;20,40+55*($AG1417/100),(80+(20-$O$5)+30*($AG1417/100))))))))))</f>
        <v>88.742801311028245</v>
      </c>
      <c r="AI1417" s="262"/>
      <c r="AJ1417" s="262"/>
      <c r="AK1417" s="262"/>
      <c r="AL1417" s="263"/>
      <c r="AM1417" s="264"/>
      <c r="AN1417" s="263"/>
      <c r="AO1417" s="263"/>
      <c r="AP1417" s="265"/>
      <c r="AQ1417" s="266"/>
      <c r="AR1417" s="267"/>
      <c r="AS1417" s="263"/>
      <c r="AT1417" s="263"/>
      <c r="AU1417" s="263"/>
      <c r="AV1417" s="264">
        <v>209</v>
      </c>
      <c r="AW1417" s="263"/>
      <c r="AX1417" s="263"/>
      <c r="AY1417" s="263"/>
      <c r="AZ1417" s="263"/>
      <c r="BA1417" s="263"/>
      <c r="BB1417" s="263"/>
      <c r="BC1417" s="263"/>
      <c r="BD1417" s="264"/>
      <c r="BE1417" s="263"/>
      <c r="BF1417" s="263"/>
      <c r="BG1417" s="263"/>
      <c r="BH1417" s="263"/>
      <c r="BI1417" s="263"/>
      <c r="BJ1417" s="404">
        <f>altaz(J2000_Bas,$O1417,$M1417,DecLat,DecLong,2)</f>
        <v>219.40147269302872</v>
      </c>
      <c r="BK1417" s="378" t="s">
        <v>5048</v>
      </c>
      <c r="BL1417" s="379">
        <f>IF((2*G1417)/60&lt;0.2,0.2,(2*G1417)/60)</f>
        <v>0.2</v>
      </c>
      <c r="BM1417" s="380">
        <f>MOD((50000+AD1417-$B$3+(0/24)),1)</f>
        <v>0.92051218947744928</v>
      </c>
      <c r="BN1417" s="381"/>
      <c r="BO1417" s="382">
        <v>1410</v>
      </c>
    </row>
    <row r="1418" spans="1:67" s="24" customFormat="1" ht="15" customHeight="1" x14ac:dyDescent="0.25">
      <c r="A1418" s="287" t="s">
        <v>1464</v>
      </c>
      <c r="B1418" s="241" t="str">
        <f>HYPERLINK(CONCATENATE($AT$3,BK1418,$AU$3),$AV$3)</f>
        <v>S</v>
      </c>
      <c r="C1418" s="242" t="str">
        <f>HYPERLINK(CONCATENATE($AT$4,BK1418,$AU$4,BL1418),$AV$4)</f>
        <v>A</v>
      </c>
      <c r="D1418" s="243" t="s">
        <v>5187</v>
      </c>
      <c r="E1418" s="244" t="s">
        <v>5181</v>
      </c>
      <c r="F1418" s="269" t="s">
        <v>5057</v>
      </c>
      <c r="G1418" s="270">
        <v>0.3</v>
      </c>
      <c r="H1418" s="283">
        <v>45000</v>
      </c>
      <c r="I1418" s="279">
        <v>3.8</v>
      </c>
      <c r="J1418" s="246">
        <v>1</v>
      </c>
      <c r="K1418" s="247" t="s">
        <v>7249</v>
      </c>
      <c r="L1418" s="248">
        <v>184635</v>
      </c>
      <c r="M1418" s="249">
        <f>15*(LEFT(TEXT($L1418,"000000"),2)+(MID(TEXT($L1418,"000000"),3,2)/60)+(RIGHT(TEXT($L1418,"000000"),2)/3600))</f>
        <v>281.64583333333331</v>
      </c>
      <c r="N1418" s="250">
        <v>-82800</v>
      </c>
      <c r="O1418" s="251">
        <f>IF($N1418&gt;0,(LEFT(TEXT($N1418,"000000"),2)+(MID(TEXT($N1418,"000000"),3,2)/60)+(RIGHT(TEXT($N1418,"000000"),2)/3600)),-(MID(TEXT($N1418,"000000"),2,2)+(MID(TEXT($N1418,"000000"),4,2)/60)+(RIGHT(TEXT($N1418,"000000"),2)/3600)))</f>
        <v>-8.4666666666666668</v>
      </c>
      <c r="P1418" s="252" t="s">
        <v>121</v>
      </c>
      <c r="Q1418" s="253"/>
      <c r="R1418" s="277" t="s">
        <v>3293</v>
      </c>
      <c r="S1418" s="272" t="s">
        <v>3293</v>
      </c>
      <c r="T1418" s="273"/>
      <c r="U1418" s="274"/>
      <c r="V1418" s="280"/>
      <c r="W1418" s="244"/>
      <c r="X1418" s="244"/>
      <c r="Y1418" s="362"/>
      <c r="Z1418" s="257">
        <f>altaz(J2000_Bas,$O1418,$M1418,DecLat,DecLong,1)</f>
        <v>50.313008794206986</v>
      </c>
      <c r="AA1418" s="257">
        <f>altaz((J2000_Bas+(2*0.04167)),$O1418,$M1418,DecLat,DecLong,1)</f>
        <v>38.563051581475506</v>
      </c>
      <c r="AB1418" s="257">
        <f>altaz((J2000_Bas+(4*0.04167)),$O1418,$M1418,DecLat,DecLong,1)</f>
        <v>16.787415203471667</v>
      </c>
      <c r="AC1418" s="257">
        <f>altaz((J2000_Bas+(6*0.04167)),$O1418,$M1418,DecLat,DecLong,1)</f>
        <v>-8.278193748651562</v>
      </c>
      <c r="AD1418" s="258">
        <f>1+ transit((J2000_Bas-1),$O1418,$M1418,DecLat,DecLong)/360 + (GMTOffset/24) + (IF(DST="Y", 1, 0)/24)</f>
        <v>1.7752494194317914</v>
      </c>
      <c r="AE1418" s="259">
        <f>DATE(2001,9,21)+(M1418/360)*365 - (360*((DecLong/360)- (GMTOffset/24) ))</f>
        <v>37445.557581018518</v>
      </c>
      <c r="AF1418" s="260">
        <f>IF(DecLat&gt;0,IF((90 - (DecLat-O1418))&gt;90, (90 - (O1418-DecLat)), (90 - (DecLat-O1418))),IF((90 + (DecLat-O1418))&gt;90, (90 + (O1418-DecLat)), (90 + (DecLat-O1418))))</f>
        <v>50.533333333333331</v>
      </c>
      <c r="AG1418" s="257">
        <f>angularseperation(MoonRA,MoonDec,$M1418,$O1418)</f>
        <v>35.850432212653104</v>
      </c>
      <c r="AH1418" s="261">
        <f ca="1">MIN(100,IF($O$5&gt;80,0+30*($AG1418/100),IF($O$5&gt;70,0+50*($AG1418/100),IF($O$5&gt;60,5+50*($AG1418/100),IF($O$5&gt;50,10+60*($AG1418/100),IF($O$5&gt;40,15+70*($AG1418/100),IF($O$5&gt;30,20+70*($AG1418/100),IF($O$5&gt;20,40+55*($AG1418/100),(80+(20-$O$5)+30*($AG1418/100))))))))))</f>
        <v>94.026190007946354</v>
      </c>
      <c r="AI1418" s="263"/>
      <c r="AJ1418" s="263"/>
      <c r="AK1418" s="263"/>
      <c r="AL1418" s="263"/>
      <c r="AM1418" s="264"/>
      <c r="AN1418" s="263"/>
      <c r="AO1418" s="263"/>
      <c r="AP1418" s="265"/>
      <c r="AQ1418" s="265"/>
      <c r="AR1418" s="285"/>
      <c r="AS1418" s="263"/>
      <c r="AT1418" s="263"/>
      <c r="AU1418" s="263"/>
      <c r="AV1418" s="264">
        <v>246</v>
      </c>
      <c r="AW1418" s="263"/>
      <c r="AX1418" s="263"/>
      <c r="AY1418" s="263"/>
      <c r="AZ1418" s="263"/>
      <c r="BA1418" s="263"/>
      <c r="BB1418" s="263"/>
      <c r="BC1418" s="263"/>
      <c r="BD1418" s="264"/>
      <c r="BE1418" s="263"/>
      <c r="BF1418" s="263"/>
      <c r="BG1418" s="263"/>
      <c r="BH1418" s="263"/>
      <c r="BI1418" s="263"/>
      <c r="BJ1418" s="404">
        <f>altaz(J2000_Bas,$O1418,$M1418,DecLat,DecLong,2)</f>
        <v>186.75728658795265</v>
      </c>
      <c r="BK1418" s="378" t="s">
        <v>4767</v>
      </c>
      <c r="BL1418" s="379">
        <f>IF((2*G1418)/60&lt;0.2,0.2,(2*G1418)/60)</f>
        <v>0.2</v>
      </c>
      <c r="BM1418" s="380">
        <f>MOD((50000+AD1418-$B$3+(0/24)),1)</f>
        <v>0.9906163491323241</v>
      </c>
      <c r="BN1418" s="381"/>
      <c r="BO1418" s="382">
        <v>1411</v>
      </c>
    </row>
    <row r="1419" spans="1:67" s="24" customFormat="1" ht="15" customHeight="1" x14ac:dyDescent="0.25">
      <c r="A1419" s="288" t="s">
        <v>1465</v>
      </c>
      <c r="B1419" s="241" t="str">
        <f>HYPERLINK(CONCATENATE($AT$3,BK1419,$AU$3),$AV$3)</f>
        <v>S</v>
      </c>
      <c r="C1419" s="242" t="str">
        <f>HYPERLINK(CONCATENATE($AT$4,BK1419,$AU$4,BL1419),$AV$4)</f>
        <v>A</v>
      </c>
      <c r="D1419" s="243" t="s">
        <v>5187</v>
      </c>
      <c r="E1419" s="244" t="s">
        <v>5181</v>
      </c>
      <c r="F1419" s="269" t="s">
        <v>5211</v>
      </c>
      <c r="G1419" s="270">
        <v>0.5</v>
      </c>
      <c r="H1419" s="283">
        <v>21000</v>
      </c>
      <c r="I1419" s="279">
        <v>3</v>
      </c>
      <c r="J1419" s="246">
        <v>3</v>
      </c>
      <c r="K1419" s="247" t="s">
        <v>5055</v>
      </c>
      <c r="L1419" s="248">
        <v>195028</v>
      </c>
      <c r="M1419" s="249">
        <f>15*(LEFT(TEXT($L1419,"000000"),2)+(MID(TEXT($L1419,"000000"),3,2)/60)+(RIGHT(TEXT($L1419,"000000"),2)/3600))</f>
        <v>297.61666666666667</v>
      </c>
      <c r="N1419" s="250">
        <v>255422</v>
      </c>
      <c r="O1419" s="251">
        <f>IF($N1419&gt;0,(LEFT(TEXT($N1419,"000000"),2)+(MID(TEXT($N1419,"000000"),3,2)/60)+(RIGHT(TEXT($N1419,"000000"),2)/3600)),-(MID(TEXT($N1419,"000000"),2,2)+(MID(TEXT($N1419,"000000"),4,2)/60)+(RIGHT(TEXT($N1419,"000000"),2)/3600)))</f>
        <v>25.906111111111109</v>
      </c>
      <c r="P1419" s="252" t="s">
        <v>133</v>
      </c>
      <c r="Q1419" s="253"/>
      <c r="R1419" s="277" t="s">
        <v>3293</v>
      </c>
      <c r="S1419" s="272" t="s">
        <v>3293</v>
      </c>
      <c r="T1419" s="273"/>
      <c r="U1419" s="274"/>
      <c r="V1419" s="280"/>
      <c r="W1419" s="244"/>
      <c r="X1419" s="244"/>
      <c r="Y1419" s="362"/>
      <c r="Z1419" s="257">
        <f>altaz(J2000_Bas,$O1419,$M1419,DecLat,DecLong,1)</f>
        <v>78.598036599075826</v>
      </c>
      <c r="AA1419" s="257">
        <f>altaz((J2000_Bas+(2*0.04167)),$O1419,$M1419,DecLat,DecLong,1)</f>
        <v>73.005398115511412</v>
      </c>
      <c r="AB1419" s="257">
        <f>altaz((J2000_Bas+(4*0.04167)),$O1419,$M1419,DecLat,DecLong,1)</f>
        <v>47.338058360182877</v>
      </c>
      <c r="AC1419" s="257">
        <f>altaz((J2000_Bas+(6*0.04167)),$O1419,$M1419,DecLat,DecLong,1)</f>
        <v>22.141589264302389</v>
      </c>
      <c r="AD1419" s="258">
        <f>1+ transit((J2000_Bas-1),$O1419,$M1419,DecLat,DecLong)/360 + (GMTOffset/24) + (IF(DST="Y", 1, 0)/24)</f>
        <v>1.8196128409213748</v>
      </c>
      <c r="AE1419" s="259">
        <f>DATE(2001,9,21)+(M1419/360)*365 - (360*((DecLong/360)- (GMTOffset/24) ))</f>
        <v>37461.750231481485</v>
      </c>
      <c r="AF1419" s="260">
        <f>IF(DecLat&gt;0,IF((90 - (DecLat-O1419))&gt;90, (90 - (O1419-DecLat)), (90 - (DecLat-O1419))),IF((90 + (DecLat-O1419))&gt;90, (90 + (O1419-DecLat)), (90 + (DecLat-O1419))))</f>
        <v>84.906111111111102</v>
      </c>
      <c r="AG1419" s="257">
        <f>angularseperation(MoonRA,MoonDec,$M1419,$O1419)</f>
        <v>70.545150171219731</v>
      </c>
      <c r="AH1419" s="261">
        <f ca="1">MIN(100,IF($O$5&gt;80,0+30*($AG1419/100),IF($O$5&gt;70,0+50*($AG1419/100),IF($O$5&gt;60,5+50*($AG1419/100),IF($O$5&gt;50,10+60*($AG1419/100),IF($O$5&gt;40,15+70*($AG1419/100),IF($O$5&gt;30,20+70*($AG1419/100),IF($O$5&gt;20,40+55*($AG1419/100),(80+(20-$O$5)+30*($AG1419/100))))))))))</f>
        <v>100</v>
      </c>
      <c r="AI1419" s="263"/>
      <c r="AJ1419" s="263"/>
      <c r="AK1419" s="263"/>
      <c r="AL1419" s="263"/>
      <c r="AM1419" s="264"/>
      <c r="AN1419" s="263"/>
      <c r="AO1419" s="263"/>
      <c r="AP1419" s="265"/>
      <c r="AQ1419" s="265"/>
      <c r="AR1419" s="285"/>
      <c r="AS1419" s="263"/>
      <c r="AT1419" s="263"/>
      <c r="AU1419" s="263"/>
      <c r="AV1419" s="264">
        <v>248</v>
      </c>
      <c r="AW1419" s="263"/>
      <c r="AX1419" s="263"/>
      <c r="AY1419" s="263"/>
      <c r="AZ1419" s="263"/>
      <c r="BA1419" s="263"/>
      <c r="BB1419" s="263"/>
      <c r="BC1419" s="263"/>
      <c r="BD1419" s="264"/>
      <c r="BE1419" s="263"/>
      <c r="BF1419" s="263"/>
      <c r="BG1419" s="263"/>
      <c r="BH1419" s="263"/>
      <c r="BI1419" s="263"/>
      <c r="BJ1419" s="404">
        <f>altaz(J2000_Bas,$O1419,$M1419,DecLat,DecLong,2)</f>
        <v>113.64979667000613</v>
      </c>
      <c r="BK1419" s="378" t="s">
        <v>4768</v>
      </c>
      <c r="BL1419" s="379">
        <f>IF((2*G1419)/60&lt;0.2,0.2,(2*G1419)/60)</f>
        <v>0.2</v>
      </c>
      <c r="BM1419" s="380">
        <f>MOD((50000+AD1419-$B$3+(0/24)),1)</f>
        <v>3.4979770622157957E-2</v>
      </c>
      <c r="BN1419" s="381"/>
      <c r="BO1419" s="382">
        <v>1412</v>
      </c>
    </row>
    <row r="1420" spans="1:67" s="24" customFormat="1" ht="15" customHeight="1" x14ac:dyDescent="0.25">
      <c r="A1420" s="288" t="s">
        <v>1466</v>
      </c>
      <c r="B1420" s="241" t="str">
        <f>HYPERLINK(CONCATENATE($AT$3,BK1420,$AU$3),$AV$3)</f>
        <v>S</v>
      </c>
      <c r="C1420" s="242" t="str">
        <f>HYPERLINK(CONCATENATE($AT$4,BK1420,$AU$4,BL1420),$AV$4)</f>
        <v>A</v>
      </c>
      <c r="D1420" s="243" t="s">
        <v>5187</v>
      </c>
      <c r="E1420" s="244" t="s">
        <v>5181</v>
      </c>
      <c r="F1420" s="269" t="s">
        <v>5744</v>
      </c>
      <c r="G1420" s="273">
        <v>1</v>
      </c>
      <c r="H1420" s="283">
        <v>6000</v>
      </c>
      <c r="I1420" s="279">
        <v>1.8</v>
      </c>
      <c r="J1420" s="246">
        <v>2</v>
      </c>
      <c r="K1420" s="247" t="s">
        <v>5056</v>
      </c>
      <c r="L1420" s="248">
        <v>221603</v>
      </c>
      <c r="M1420" s="249">
        <f>15*(LEFT(TEXT($L1420,"000000"),2)+(MID(TEXT($L1420,"000000"),3,2)/60)+(RIGHT(TEXT($L1420,"000000"),2)/3600))</f>
        <v>334.01249999999999</v>
      </c>
      <c r="N1420" s="250">
        <v>572831</v>
      </c>
      <c r="O1420" s="251">
        <f>IF($N1420&gt;0,(LEFT(TEXT($N1420,"000000"),2)+(MID(TEXT($N1420,"000000"),3,2)/60)+(RIGHT(TEXT($N1420,"000000"),2)/3600)),-(MID(TEXT($N1420,"000000"),2,2)+(MID(TEXT($N1420,"000000"),4,2)/60)+(RIGHT(TEXT($N1420,"000000"),2)/3600)))</f>
        <v>57.475277777777777</v>
      </c>
      <c r="P1420" s="252" t="s">
        <v>52</v>
      </c>
      <c r="Q1420" s="253"/>
      <c r="R1420" s="247" t="s">
        <v>3293</v>
      </c>
      <c r="S1420" s="272" t="s">
        <v>3293</v>
      </c>
      <c r="T1420" s="273"/>
      <c r="U1420" s="274"/>
      <c r="V1420" s="280"/>
      <c r="W1420" s="244"/>
      <c r="X1420" s="244"/>
      <c r="Y1420" s="362"/>
      <c r="Z1420" s="257">
        <f>altaz(J2000_Bas,$O1420,$M1420,DecLat,DecLong,1)</f>
        <v>47.951728293854678</v>
      </c>
      <c r="AA1420" s="257">
        <f>altaz((J2000_Bas+(2*0.04167)),$O1420,$M1420,DecLat,DecLong,1)</f>
        <v>60.780451287906537</v>
      </c>
      <c r="AB1420" s="257">
        <f>altaz((J2000_Bas+(4*0.04167)),$O1420,$M1420,DecLat,DecLong,1)</f>
        <v>62.225411578231949</v>
      </c>
      <c r="AC1420" s="257">
        <f>altaz((J2000_Bas+(6*0.04167)),$O1420,$M1420,DecLat,DecLong,1)</f>
        <v>50.844535540962752</v>
      </c>
      <c r="AD1420" s="258">
        <f>1+ transit((J2000_Bas-1),$O1420,$M1420,DecLat,DecLong)/360 + (GMTOffset/24) + (IF(DST="Y", 1, 0)/24)</f>
        <v>1.9207123678484581</v>
      </c>
      <c r="AE1420" s="259">
        <f>DATE(2001,9,21)+(M1420/360)*365 - (360*((DecLong/360)- (GMTOffset/24) ))</f>
        <v>37498.651562500003</v>
      </c>
      <c r="AF1420" s="260">
        <f>IF(DecLat&gt;0,IF((90 - (DecLat-O1420))&gt;90, (90 - (O1420-DecLat)), (90 - (DecLat-O1420))),IF((90 + (DecLat-O1420))&gt;90, (90 + (O1420-DecLat)), (90 + (DecLat-O1420))))</f>
        <v>63.524722222222223</v>
      </c>
      <c r="AG1420" s="257">
        <f>angularseperation(MoonRA,MoonDec,$M1420,$O1420)</f>
        <v>109.89258338809357</v>
      </c>
      <c r="AH1420" s="261">
        <f ca="1">MIN(100,IF($O$5&gt;80,0+30*($AG1420/100),IF($O$5&gt;70,0+50*($AG1420/100),IF($O$5&gt;60,5+50*($AG1420/100),IF($O$5&gt;50,10+60*($AG1420/100),IF($O$5&gt;40,15+70*($AG1420/100),IF($O$5&gt;30,20+70*($AG1420/100),IF($O$5&gt;20,40+55*($AG1420/100),(80+(20-$O$5)+30*($AG1420/100))))))))))</f>
        <v>100</v>
      </c>
      <c r="AI1420" s="262"/>
      <c r="AJ1420" s="262"/>
      <c r="AK1420" s="262"/>
      <c r="AL1420" s="263"/>
      <c r="AM1420" s="264"/>
      <c r="AN1420" s="263"/>
      <c r="AO1420" s="263"/>
      <c r="AP1420" s="265"/>
      <c r="AQ1420" s="266"/>
      <c r="AR1420" s="267"/>
      <c r="AS1420" s="263"/>
      <c r="AT1420" s="263"/>
      <c r="AU1420" s="263"/>
      <c r="AV1420" s="264">
        <v>251</v>
      </c>
      <c r="AW1420" s="263"/>
      <c r="AX1420" s="263"/>
      <c r="AY1420" s="263"/>
      <c r="AZ1420" s="263"/>
      <c r="BA1420" s="263"/>
      <c r="BB1420" s="263"/>
      <c r="BC1420" s="263"/>
      <c r="BD1420" s="264"/>
      <c r="BE1420" s="263"/>
      <c r="BF1420" s="263"/>
      <c r="BG1420" s="263"/>
      <c r="BH1420" s="263"/>
      <c r="BI1420" s="263"/>
      <c r="BJ1420" s="404">
        <f>altaz(J2000_Bas,$O1420,$M1420,DecLat,DecLong,2)</f>
        <v>36.631797890078985</v>
      </c>
      <c r="BK1420" s="378" t="s">
        <v>4769</v>
      </c>
      <c r="BL1420" s="379">
        <f>IF((2*G1420)/60&lt;0.2,0.2,(2*G1420)/60)</f>
        <v>0.2</v>
      </c>
      <c r="BM1420" s="380">
        <f>MOD((50000+AD1420-$B$3+(0/24)),1)</f>
        <v>0.1360792975538061</v>
      </c>
      <c r="BN1420" s="381" t="s">
        <v>8665</v>
      </c>
      <c r="BO1420" s="382">
        <v>1413</v>
      </c>
    </row>
    <row r="1421" spans="1:67" s="24" customFormat="1" ht="15" customHeight="1" x14ac:dyDescent="0.25">
      <c r="A1421" s="288" t="s">
        <v>1467</v>
      </c>
      <c r="B1421" s="241" t="str">
        <f>HYPERLINK(CONCATENATE($AT$3,BK1421,$AU$3),$AV$3)</f>
        <v>S</v>
      </c>
      <c r="C1421" s="242" t="str">
        <f>HYPERLINK(CONCATENATE($AT$4,BK1421,$AU$4,BL1421),$AV$4)</f>
        <v>A</v>
      </c>
      <c r="D1421" s="243" t="s">
        <v>5187</v>
      </c>
      <c r="E1421" s="244" t="s">
        <v>5181</v>
      </c>
      <c r="F1421" s="269" t="s">
        <v>5057</v>
      </c>
      <c r="G1421" s="270">
        <v>0.5</v>
      </c>
      <c r="H1421" s="283">
        <v>15000</v>
      </c>
      <c r="I1421" s="279">
        <v>2.2000000000000002</v>
      </c>
      <c r="J1421" s="246">
        <v>3</v>
      </c>
      <c r="K1421" s="247" t="s">
        <v>5058</v>
      </c>
      <c r="L1421" s="248">
        <v>222031</v>
      </c>
      <c r="M1421" s="249">
        <f>15*(LEFT(TEXT($L1421,"000000"),2)+(MID(TEXT($L1421,"000000"),3,2)/60)+(RIGHT(TEXT($L1421,"000000"),2)/3600))</f>
        <v>335.12916666666666</v>
      </c>
      <c r="N1421" s="250">
        <v>573618</v>
      </c>
      <c r="O1421" s="251">
        <f>IF($N1421&gt;0,(LEFT(TEXT($N1421,"000000"),2)+(MID(TEXT($N1421,"000000"),3,2)/60)+(RIGHT(TEXT($N1421,"000000"),2)/3600)),-(MID(TEXT($N1421,"000000"),2,2)+(MID(TEXT($N1421,"000000"),4,2)/60)+(RIGHT(TEXT($N1421,"000000"),2)/3600)))</f>
        <v>57.605000000000004</v>
      </c>
      <c r="P1421" s="252" t="s">
        <v>52</v>
      </c>
      <c r="Q1421" s="253"/>
      <c r="R1421" s="277" t="s">
        <v>3293</v>
      </c>
      <c r="S1421" s="272" t="s">
        <v>3293</v>
      </c>
      <c r="T1421" s="273">
        <v>14</v>
      </c>
      <c r="U1421" s="274"/>
      <c r="V1421" s="280"/>
      <c r="W1421" s="244"/>
      <c r="X1421" s="244"/>
      <c r="Y1421" s="362"/>
      <c r="Z1421" s="257">
        <f>altaz(J2000_Bas,$O1421,$M1421,DecLat,DecLong,1)</f>
        <v>47.341106767180946</v>
      </c>
      <c r="AA1421" s="257">
        <f>altaz((J2000_Bas+(2*0.04167)),$O1421,$M1421,DecLat,DecLong,1)</f>
        <v>60.341013230050358</v>
      </c>
      <c r="AB1421" s="257">
        <f>altaz((J2000_Bas+(4*0.04167)),$O1421,$M1421,DecLat,DecLong,1)</f>
        <v>62.327004384625766</v>
      </c>
      <c r="AC1421" s="257">
        <f>altaz((J2000_Bas+(6*0.04167)),$O1421,$M1421,DecLat,DecLong,1)</f>
        <v>51.333998547603827</v>
      </c>
      <c r="AD1421" s="258">
        <f>1+ transit((J2000_Bas-1),$O1421,$M1421,DecLat,DecLong)/360 + (GMTOffset/24) + (IF(DST="Y", 1, 0)/24)</f>
        <v>1.9238142193901246</v>
      </c>
      <c r="AE1421" s="259">
        <f>DATE(2001,9,21)+(M1421/360)*365 - (360*((DecLong/360)- (GMTOffset/24) ))</f>
        <v>37499.783738425926</v>
      </c>
      <c r="AF1421" s="260">
        <f>IF(DecLat&gt;0,IF((90 - (DecLat-O1421))&gt;90, (90 - (O1421-DecLat)), (90 - (DecLat-O1421))),IF((90 + (DecLat-O1421))&gt;90, (90 + (O1421-DecLat)), (90 + (DecLat-O1421))))</f>
        <v>63.394999999999996</v>
      </c>
      <c r="AG1421" s="257">
        <f>angularseperation(MoonRA,MoonDec,$M1421,$O1421)</f>
        <v>110.50148285768019</v>
      </c>
      <c r="AH1421" s="261">
        <f ca="1">MIN(100,IF($O$5&gt;80,0+30*($AG1421/100),IF($O$5&gt;70,0+50*($AG1421/100),IF($O$5&gt;60,5+50*($AG1421/100),IF($O$5&gt;50,10+60*($AG1421/100),IF($O$5&gt;40,15+70*($AG1421/100),IF($O$5&gt;30,20+70*($AG1421/100),IF($O$5&gt;20,40+55*($AG1421/100),(80+(20-$O$5)+30*($AG1421/100))))))))))</f>
        <v>100</v>
      </c>
      <c r="AI1421" s="263"/>
      <c r="AJ1421" s="263"/>
      <c r="AK1421" s="263"/>
      <c r="AL1421" s="263"/>
      <c r="AM1421" s="264"/>
      <c r="AN1421" s="263"/>
      <c r="AO1421" s="263"/>
      <c r="AP1421" s="265"/>
      <c r="AQ1421" s="265"/>
      <c r="AR1421" s="285"/>
      <c r="AS1421" s="263"/>
      <c r="AT1421" s="263"/>
      <c r="AU1421" s="263"/>
      <c r="AV1421" s="264">
        <v>252</v>
      </c>
      <c r="AW1421" s="263"/>
      <c r="AX1421" s="263"/>
      <c r="AY1421" s="263"/>
      <c r="AZ1421" s="263"/>
      <c r="BA1421" s="263"/>
      <c r="BB1421" s="263"/>
      <c r="BC1421" s="263"/>
      <c r="BD1421" s="264"/>
      <c r="BE1421" s="263"/>
      <c r="BF1421" s="263"/>
      <c r="BG1421" s="263"/>
      <c r="BH1421" s="263"/>
      <c r="BI1421" s="263"/>
      <c r="BJ1421" s="404">
        <f>altaz(J2000_Bas,$O1421,$M1421,DecLat,DecLong,2)</f>
        <v>36.715105577255514</v>
      </c>
      <c r="BK1421" s="378" t="s">
        <v>4770</v>
      </c>
      <c r="BL1421" s="379">
        <f>IF((2*G1421)/60&lt;0.2,0.2,(2*G1421)/60)</f>
        <v>0.2</v>
      </c>
      <c r="BM1421" s="380">
        <f>MOD((50000+AD1421-$B$3+(0/24)),1)</f>
        <v>0.13918114909756696</v>
      </c>
      <c r="BN1421" s="381"/>
      <c r="BO1421" s="382">
        <v>1414</v>
      </c>
    </row>
    <row r="1422" spans="1:67" s="24" customFormat="1" ht="15" customHeight="1" x14ac:dyDescent="0.25">
      <c r="A1422" s="288" t="s">
        <v>1468</v>
      </c>
      <c r="B1422" s="241" t="str">
        <f>HYPERLINK(CONCATENATE($AT$3,BK1422,$AU$3),$AV$3)</f>
        <v>S</v>
      </c>
      <c r="C1422" s="242" t="str">
        <f>HYPERLINK(CONCATENATE($AT$4,BK1422,$AU$4,BL1422),$AV$4)</f>
        <v>A</v>
      </c>
      <c r="D1422" s="243" t="s">
        <v>5187</v>
      </c>
      <c r="E1422" s="244" t="s">
        <v>5181</v>
      </c>
      <c r="F1422" s="269" t="s">
        <v>5745</v>
      </c>
      <c r="G1422" s="273">
        <v>1</v>
      </c>
      <c r="H1422" s="283">
        <v>7800</v>
      </c>
      <c r="I1422" s="279">
        <v>2.2000000000000002</v>
      </c>
      <c r="J1422" s="246">
        <v>3</v>
      </c>
      <c r="K1422" s="247" t="s">
        <v>5059</v>
      </c>
      <c r="L1422" s="248">
        <v>233154</v>
      </c>
      <c r="M1422" s="249">
        <f>15*(LEFT(TEXT($L1422,"000000"),2)+(MID(TEXT($L1422,"000000"),3,2)/60)+(RIGHT(TEXT($L1422,"000000"),2)/3600))</f>
        <v>352.97500000000002</v>
      </c>
      <c r="N1422" s="250">
        <v>702200</v>
      </c>
      <c r="O1422" s="251">
        <f>IF($N1422&gt;0,(LEFT(TEXT($N1422,"000000"),2)+(MID(TEXT($N1422,"000000"),3,2)/60)+(RIGHT(TEXT($N1422,"000000"),2)/3600)),-(MID(TEXT($N1422,"000000"),2,2)+(MID(TEXT($N1422,"000000"),4,2)/60)+(RIGHT(TEXT($N1422,"000000"),2)/3600)))</f>
        <v>70.36666666666666</v>
      </c>
      <c r="P1422" s="252" t="s">
        <v>52</v>
      </c>
      <c r="Q1422" s="253"/>
      <c r="R1422" s="247" t="s">
        <v>3293</v>
      </c>
      <c r="S1422" s="272" t="s">
        <v>3293</v>
      </c>
      <c r="T1422" s="273"/>
      <c r="U1422" s="274"/>
      <c r="V1422" s="280"/>
      <c r="W1422" s="244"/>
      <c r="X1422" s="244"/>
      <c r="Y1422" s="362"/>
      <c r="Z1422" s="257">
        <f>altaz(J2000_Bas,$O1422,$M1422,DecLat,DecLong,1)</f>
        <v>36.709373897152808</v>
      </c>
      <c r="AA1422" s="257">
        <f>altaz((J2000_Bas+(2*0.04167)),$O1422,$M1422,DecLat,DecLong,1)</f>
        <v>45.679848548237153</v>
      </c>
      <c r="AB1422" s="257">
        <f>altaz((J2000_Bas+(4*0.04167)),$O1422,$M1422,DecLat,DecLong,1)</f>
        <v>50.450500526595604</v>
      </c>
      <c r="AC1422" s="257">
        <f>altaz((J2000_Bas+(6*0.04167)),$O1422,$M1422,DecLat,DecLong,1)</f>
        <v>48.560231705496953</v>
      </c>
      <c r="AD1422" s="258">
        <f>1+ transit((J2000_Bas-1),$O1422,$M1422,DecLat,DecLong)/360 + (GMTOffset/24) + (IF(DST="Y", 1, 0)/24)</f>
        <v>1.9733859736922079</v>
      </c>
      <c r="AE1422" s="259">
        <f>DATE(2001,9,21)+(M1422/360)*365 - (360*((DecLong/360)- (GMTOffset/24) ))</f>
        <v>37517.877430555556</v>
      </c>
      <c r="AF1422" s="260">
        <f>IF(DecLat&gt;0,IF((90 - (DecLat-O1422))&gt;90, (90 - (O1422-DecLat)), (90 - (DecLat-O1422))),IF((90 + (DecLat-O1422))&gt;90, (90 + (O1422-DecLat)), (90 + (DecLat-O1422))))</f>
        <v>50.63333333333334</v>
      </c>
      <c r="AG1422" s="257">
        <f>angularseperation(MoonRA,MoonDec,$M1422,$O1422)</f>
        <v>119.98984646833256</v>
      </c>
      <c r="AH1422" s="261">
        <f ca="1">MIN(100,IF($O$5&gt;80,0+30*($AG1422/100),IF($O$5&gt;70,0+50*($AG1422/100),IF($O$5&gt;60,5+50*($AG1422/100),IF($O$5&gt;50,10+60*($AG1422/100),IF($O$5&gt;40,15+70*($AG1422/100),IF($O$5&gt;30,20+70*($AG1422/100),IF($O$5&gt;20,40+55*($AG1422/100),(80+(20-$O$5)+30*($AG1422/100))))))))))</f>
        <v>100</v>
      </c>
      <c r="AI1422" s="262"/>
      <c r="AJ1422" s="262"/>
      <c r="AK1422" s="262"/>
      <c r="AL1422" s="263"/>
      <c r="AM1422" s="264"/>
      <c r="AN1422" s="263"/>
      <c r="AO1422" s="263"/>
      <c r="AP1422" s="265"/>
      <c r="AQ1422" s="266"/>
      <c r="AR1422" s="267"/>
      <c r="AS1422" s="263"/>
      <c r="AT1422" s="263"/>
      <c r="AU1422" s="263"/>
      <c r="AV1422" s="264">
        <v>255</v>
      </c>
      <c r="AW1422" s="263"/>
      <c r="AX1422" s="263"/>
      <c r="AY1422" s="263"/>
      <c r="AZ1422" s="263"/>
      <c r="BA1422" s="263"/>
      <c r="BB1422" s="263"/>
      <c r="BC1422" s="263"/>
      <c r="BD1422" s="264"/>
      <c r="BE1422" s="263"/>
      <c r="BF1422" s="263"/>
      <c r="BG1422" s="263"/>
      <c r="BH1422" s="263"/>
      <c r="BI1422" s="263"/>
      <c r="BJ1422" s="404">
        <f>altaz(J2000_Bas,$O1422,$M1422,DecLat,DecLong,2)</f>
        <v>22.68865678383159</v>
      </c>
      <c r="BK1422" s="378" t="s">
        <v>4771</v>
      </c>
      <c r="BL1422" s="379">
        <f>IF((2*G1422)/60&lt;0.2,0.2,(2*G1422)/60)</f>
        <v>0.2</v>
      </c>
      <c r="BM1422" s="380">
        <f>MOD((50000+AD1422-$B$3+(0/24)),1)</f>
        <v>0.18875290339929052</v>
      </c>
      <c r="BN1422" s="381" t="s">
        <v>8647</v>
      </c>
      <c r="BO1422" s="382">
        <v>1415</v>
      </c>
    </row>
    <row r="1423" spans="1:67" s="24" customFormat="1" ht="15" customHeight="1" x14ac:dyDescent="0.25">
      <c r="A1423" s="288" t="s">
        <v>1469</v>
      </c>
      <c r="B1423" s="241" t="str">
        <f>HYPERLINK(CONCATENATE($AT$3,BK1423,$AU$3),$AV$3)</f>
        <v>S</v>
      </c>
      <c r="C1423" s="242" t="str">
        <f>HYPERLINK(CONCATENATE($AT$4,BK1423,$AU$4,BL1423),$AV$4)</f>
        <v>A</v>
      </c>
      <c r="D1423" s="243" t="s">
        <v>5187</v>
      </c>
      <c r="E1423" s="244" t="s">
        <v>5181</v>
      </c>
      <c r="F1423" s="269" t="s">
        <v>8683</v>
      </c>
      <c r="G1423" s="270">
        <v>0.5</v>
      </c>
      <c r="H1423" s="283">
        <v>15000</v>
      </c>
      <c r="I1423" s="279">
        <v>2.2000000000000002</v>
      </c>
      <c r="J1423" s="246">
        <v>3</v>
      </c>
      <c r="K1423" s="247" t="s">
        <v>5060</v>
      </c>
      <c r="L1423" s="248">
        <v>70250</v>
      </c>
      <c r="M1423" s="249">
        <f>15*(LEFT(TEXT($L1423,"000000"),2)+(MID(TEXT($L1423,"000000"),3,2)/60)+(RIGHT(TEXT($L1423,"000000"),2)/3600))</f>
        <v>105.70833333333334</v>
      </c>
      <c r="N1423" s="250">
        <v>-313530</v>
      </c>
      <c r="O1423" s="251">
        <f>IF($N1423&gt;0,(LEFT(TEXT($N1423,"000000"),2)+(MID(TEXT($N1423,"000000"),3,2)/60)+(RIGHT(TEXT($N1423,"000000"),2)/3600)),-(MID(TEXT($N1423,"000000"),2,2)+(MID(TEXT($N1423,"000000"),4,2)/60)+(RIGHT(TEXT($N1423,"000000"),2)/3600)))</f>
        <v>-31.591666666666665</v>
      </c>
      <c r="P1423" s="252" t="s">
        <v>80</v>
      </c>
      <c r="Q1423" s="253"/>
      <c r="R1423" s="247" t="s">
        <v>3293</v>
      </c>
      <c r="S1423" s="272" t="s">
        <v>3293</v>
      </c>
      <c r="T1423" s="273">
        <v>13</v>
      </c>
      <c r="U1423" s="274"/>
      <c r="V1423" s="280"/>
      <c r="W1423" s="244"/>
      <c r="X1423" s="244"/>
      <c r="Y1423" s="362"/>
      <c r="Z1423" s="257">
        <f>altaz(J2000_Bas,$O1423,$M1423,DecLat,DecLong,1)</f>
        <v>-89.357110549960112</v>
      </c>
      <c r="AA1423" s="257">
        <f>altaz((J2000_Bas+(2*0.04167)),$O1423,$M1423,DecLat,DecLong,1)</f>
        <v>-64.118548667508051</v>
      </c>
      <c r="AB1423" s="257">
        <f>altaz((J2000_Bas+(4*0.04167)),$O1423,$M1423,DecLat,DecLong,1)</f>
        <v>-39.031828750805232</v>
      </c>
      <c r="AC1423" s="257">
        <f>altaz((J2000_Bas+(6*0.04167)),$O1423,$M1423,DecLat,DecLong,1)</f>
        <v>-15.237849751761694</v>
      </c>
      <c r="AD1423" s="258">
        <f>1+ transit((J2000_Bas-1),$O1423,$M1423,DecLat,DecLong)/360 + (GMTOffset/24) + (IF(DST="Y", 1, 0)/24)</f>
        <v>1.2865341905255414</v>
      </c>
      <c r="AE1423" s="259">
        <f>DATE(2001,9,21)+(M1423/360)*365 - (360*((DecLong/360)- (GMTOffset/24) ))</f>
        <v>37267.176504629628</v>
      </c>
      <c r="AF1423" s="260">
        <f>IF(DecLat&gt;0,IF((90 - (DecLat-O1423))&gt;90, (90 - (O1423-DecLat)), (90 - (DecLat-O1423))),IF((90 + (DecLat-O1423))&gt;90, (90 + (O1423-DecLat)), (90 + (DecLat-O1423))))</f>
        <v>27.408333333333331</v>
      </c>
      <c r="AG1423" s="257">
        <f>angularseperation(MoonRA,MoonDec,$M1423,$O1423)</f>
        <v>111.80143588165747</v>
      </c>
      <c r="AH1423" s="261">
        <f ca="1">MIN(100,IF($O$5&gt;80,0+30*($AG1423/100),IF($O$5&gt;70,0+50*($AG1423/100),IF($O$5&gt;60,5+50*($AG1423/100),IF($O$5&gt;50,10+60*($AG1423/100),IF($O$5&gt;40,15+70*($AG1423/100),IF($O$5&gt;30,20+70*($AG1423/100),IF($O$5&gt;20,40+55*($AG1423/100),(80+(20-$O$5)+30*($AG1423/100))))))))))</f>
        <v>100</v>
      </c>
      <c r="AI1423" s="262"/>
      <c r="AJ1423" s="262"/>
      <c r="AK1423" s="262"/>
      <c r="AL1423" s="263"/>
      <c r="AM1423" s="264"/>
      <c r="AN1423" s="263"/>
      <c r="AO1423" s="263"/>
      <c r="AP1423" s="265"/>
      <c r="AQ1423" s="266"/>
      <c r="AR1423" s="267"/>
      <c r="AS1423" s="263"/>
      <c r="AT1423" s="263"/>
      <c r="AU1423" s="263"/>
      <c r="AV1423" s="264">
        <v>301</v>
      </c>
      <c r="AW1423" s="263"/>
      <c r="AX1423" s="263"/>
      <c r="AY1423" s="263"/>
      <c r="AZ1423" s="263"/>
      <c r="BA1423" s="263"/>
      <c r="BB1423" s="263"/>
      <c r="BC1423" s="263"/>
      <c r="BD1423" s="264"/>
      <c r="BE1423" s="263"/>
      <c r="BF1423" s="263"/>
      <c r="BG1423" s="263"/>
      <c r="BH1423" s="263"/>
      <c r="BI1423" s="263"/>
      <c r="BJ1423" s="404">
        <f>altaz(J2000_Bas,$O1423,$M1423,DecLat,DecLong,2)</f>
        <v>157.04961320277155</v>
      </c>
      <c r="BK1423" s="378" t="s">
        <v>4772</v>
      </c>
      <c r="BL1423" s="379">
        <f>IF((2*G1423)/60&lt;0.2,0.2,(2*G1423)/60)</f>
        <v>0.2</v>
      </c>
      <c r="BM1423" s="380">
        <f>MOD((50000+AD1423-$B$3+(0/24)),1)</f>
        <v>0.50190112023119582</v>
      </c>
      <c r="BN1423" s="381" t="s">
        <v>9121</v>
      </c>
      <c r="BO1423" s="382">
        <v>1416</v>
      </c>
    </row>
    <row r="1424" spans="1:67" s="24" customFormat="1" ht="15" customHeight="1" x14ac:dyDescent="0.25">
      <c r="A1424" s="288" t="s">
        <v>1470</v>
      </c>
      <c r="B1424" s="241" t="str">
        <f>HYPERLINK(CONCATENATE($AT$3,BK1424,$AU$3),$AV$3)</f>
        <v>S</v>
      </c>
      <c r="C1424" s="242" t="str">
        <f>HYPERLINK(CONCATENATE($AT$4,BK1424,$AU$4,BL1424),$AV$4)</f>
        <v>A</v>
      </c>
      <c r="D1424" s="243" t="s">
        <v>5187</v>
      </c>
      <c r="E1424" s="244" t="s">
        <v>5181</v>
      </c>
      <c r="F1424" s="269" t="s">
        <v>4813</v>
      </c>
      <c r="G1424" s="270">
        <v>0.3</v>
      </c>
      <c r="H1424" s="283">
        <v>19000</v>
      </c>
      <c r="I1424" s="279">
        <v>1.6</v>
      </c>
      <c r="J1424" s="246">
        <v>2</v>
      </c>
      <c r="K1424" s="247" t="s">
        <v>5061</v>
      </c>
      <c r="L1424" s="248">
        <v>72634</v>
      </c>
      <c r="M1424" s="249">
        <f>15*(LEFT(TEXT($L1424,"000000"),2)+(MID(TEXT($L1424,"000000"),3,2)/60)+(RIGHT(TEXT($L1424,"000000"),2)/3600))</f>
        <v>111.64166666666667</v>
      </c>
      <c r="N1424" s="250">
        <v>-52152</v>
      </c>
      <c r="O1424" s="251">
        <f>IF($N1424&gt;0,(LEFT(TEXT($N1424,"000000"),2)+(MID(TEXT($N1424,"000000"),3,2)/60)+(RIGHT(TEXT($N1424,"000000"),2)/3600)),-(MID(TEXT($N1424,"000000"),2,2)+(MID(TEXT($N1424,"000000"),4,2)/60)+(RIGHT(TEXT($N1424,"000000"),2)/3600)))</f>
        <v>-5.3644444444444437</v>
      </c>
      <c r="P1424" s="252" t="s">
        <v>47</v>
      </c>
      <c r="Q1424" s="253"/>
      <c r="R1424" s="247" t="s">
        <v>3293</v>
      </c>
      <c r="S1424" s="272" t="s">
        <v>3293</v>
      </c>
      <c r="T1424" s="273"/>
      <c r="U1424" s="274"/>
      <c r="V1424" s="280"/>
      <c r="W1424" s="244"/>
      <c r="X1424" s="244"/>
      <c r="Y1424" s="362"/>
      <c r="Z1424" s="257">
        <f>altaz(J2000_Bas,$O1424,$M1424,DecLat,DecLong,1)</f>
        <v>-63.822837375880695</v>
      </c>
      <c r="AA1424" s="257">
        <f>altaz((J2000_Bas+(2*0.04167)),$O1424,$M1424,DecLat,DecLong,1)</f>
        <v>-55.594600101136209</v>
      </c>
      <c r="AB1424" s="257">
        <f>altaz((J2000_Bas+(4*0.04167)),$O1424,$M1424,DecLat,DecLong,1)</f>
        <v>-32.913086736301651</v>
      </c>
      <c r="AC1424" s="257">
        <f>altaz((J2000_Bas+(6*0.04167)),$O1424,$M1424,DecLat,DecLong,1)</f>
        <v>-7.3683650992352954</v>
      </c>
      <c r="AD1424" s="258">
        <f>1+ transit((J2000_Bas-1),$O1424,$M1424,DecLat,DecLong)/360 + (GMTOffset/24) + (IF(DST="Y", 1, 0)/24)</f>
        <v>1.3030156703588747</v>
      </c>
      <c r="AE1424" s="259">
        <f>DATE(2001,9,21)+(M1424/360)*365 - (360*((DecLong/360)- (GMTOffset/24) ))</f>
        <v>37273.192245370374</v>
      </c>
      <c r="AF1424" s="260">
        <f>IF(DecLat&gt;0,IF((90 - (DecLat-O1424))&gt;90, (90 - (O1424-DecLat)), (90 - (DecLat-O1424))),IF((90 + (DecLat-O1424))&gt;90, (90 + (O1424-DecLat)), (90 + (DecLat-O1424))))</f>
        <v>53.635555555555555</v>
      </c>
      <c r="AG1424" s="257">
        <f>angularseperation(MoonRA,MoonDec,$M1424,$O1424)</f>
        <v>127.73662541310259</v>
      </c>
      <c r="AH1424" s="261">
        <f ca="1">MIN(100,IF($O$5&gt;80,0+30*($AG1424/100),IF($O$5&gt;70,0+50*($AG1424/100),IF($O$5&gt;60,5+50*($AG1424/100),IF($O$5&gt;50,10+60*($AG1424/100),IF($O$5&gt;40,15+70*($AG1424/100),IF($O$5&gt;30,20+70*($AG1424/100),IF($O$5&gt;20,40+55*($AG1424/100),(80+(20-$O$5)+30*($AG1424/100))))))))))</f>
        <v>100</v>
      </c>
      <c r="AI1424" s="262"/>
      <c r="AJ1424" s="262"/>
      <c r="AK1424" s="262"/>
      <c r="AL1424" s="263"/>
      <c r="AM1424" s="264"/>
      <c r="AN1424" s="263"/>
      <c r="AO1424" s="263"/>
      <c r="AP1424" s="265"/>
      <c r="AQ1424" s="266"/>
      <c r="AR1424" s="267"/>
      <c r="AS1424" s="263"/>
      <c r="AT1424" s="263"/>
      <c r="AU1424" s="263"/>
      <c r="AV1424" s="264">
        <v>303</v>
      </c>
      <c r="AW1424" s="263"/>
      <c r="AX1424" s="263"/>
      <c r="AY1424" s="263"/>
      <c r="AZ1424" s="263"/>
      <c r="BA1424" s="263"/>
      <c r="BB1424" s="263"/>
      <c r="BC1424" s="263"/>
      <c r="BD1424" s="264"/>
      <c r="BE1424" s="263"/>
      <c r="BF1424" s="263"/>
      <c r="BG1424" s="263"/>
      <c r="BH1424" s="263"/>
      <c r="BI1424" s="263"/>
      <c r="BJ1424" s="404">
        <f>altaz(J2000_Bas,$O1424,$M1424,DecLat,DecLong,2)</f>
        <v>347.18735829595136</v>
      </c>
      <c r="BK1424" s="378" t="s">
        <v>4773</v>
      </c>
      <c r="BL1424" s="379">
        <f>IF((2*G1424)/60&lt;0.2,0.2,(2*G1424)/60)</f>
        <v>0.2</v>
      </c>
      <c r="BM1424" s="380">
        <f>MOD((50000+AD1424-$B$3+(0/24)),1)</f>
        <v>0.51838260006479686</v>
      </c>
      <c r="BN1424" s="381"/>
      <c r="BO1424" s="382">
        <v>1417</v>
      </c>
    </row>
    <row r="1425" spans="1:67" s="24" customFormat="1" ht="15" customHeight="1" x14ac:dyDescent="0.25">
      <c r="A1425" s="287" t="s">
        <v>1471</v>
      </c>
      <c r="B1425" s="241" t="str">
        <f>HYPERLINK(CONCATENATE($AT$3,BK1425,$AU$3),$AV$3)</f>
        <v>S</v>
      </c>
      <c r="C1425" s="242" t="str">
        <f>HYPERLINK(CONCATENATE($AT$4,BK1425,$AU$4,BL1425),$AV$4)</f>
        <v>A</v>
      </c>
      <c r="D1425" s="243" t="s">
        <v>5187</v>
      </c>
      <c r="E1425" s="244" t="s">
        <v>5181</v>
      </c>
      <c r="F1425" s="269" t="s">
        <v>6212</v>
      </c>
      <c r="G1425" s="270">
        <v>0.3</v>
      </c>
      <c r="H1425" s="283">
        <v>11000</v>
      </c>
      <c r="I1425" s="279">
        <v>1</v>
      </c>
      <c r="J1425" s="246">
        <v>2</v>
      </c>
      <c r="K1425" s="247" t="s">
        <v>6219</v>
      </c>
      <c r="L1425" s="248">
        <v>172543</v>
      </c>
      <c r="M1425" s="249">
        <f>15*(LEFT(TEXT($L1425,"000000"),2)+(MID(TEXT($L1425,"000000"),3,2)/60)+(RIGHT(TEXT($L1425,"000000"),2)/3600))</f>
        <v>261.42916666666667</v>
      </c>
      <c r="N1425" s="250">
        <v>-261156</v>
      </c>
      <c r="O1425" s="251">
        <f>IF($N1425&gt;0,(LEFT(TEXT($N1425,"000000"),2)+(MID(TEXT($N1425,"000000"),3,2)/60)+(RIGHT(TEXT($N1425,"000000"),2)/3600)),-(MID(TEXT($N1425,"000000"),2,2)+(MID(TEXT($N1425,"000000"),4,2)/60)+(RIGHT(TEXT($N1425,"000000"),2)/3600)))</f>
        <v>-26.198888888888888</v>
      </c>
      <c r="P1425" s="252" t="s">
        <v>113</v>
      </c>
      <c r="Q1425" s="253"/>
      <c r="R1425" s="277" t="s">
        <v>3293</v>
      </c>
      <c r="S1425" s="272" t="s">
        <v>3293</v>
      </c>
      <c r="T1425" s="273">
        <v>15.8</v>
      </c>
      <c r="U1425" s="274"/>
      <c r="V1425" s="280"/>
      <c r="W1425" s="244"/>
      <c r="X1425" s="244"/>
      <c r="Y1425" s="362"/>
      <c r="Z1425" s="257">
        <f>altaz(J2000_Bas,$O1425,$M1425,DecLat,DecLong,1)</f>
        <v>28.168457308404051</v>
      </c>
      <c r="AA1425" s="257">
        <f>altaz((J2000_Bas+(2*0.04167)),$O1425,$M1425,DecLat,DecLong,1)</f>
        <v>12.562910264895025</v>
      </c>
      <c r="AB1425" s="257">
        <f>altaz((J2000_Bas+(4*0.04167)),$O1425,$M1425,DecLat,DecLong,1)</f>
        <v>-9.027536696458986</v>
      </c>
      <c r="AC1425" s="257">
        <f>altaz((J2000_Bas+(6*0.04167)),$O1425,$M1425,DecLat,DecLong,1)</f>
        <v>-33.388787510846512</v>
      </c>
      <c r="AD1425" s="258">
        <f>1+ transit((J2000_Bas-1),$O1425,$M1425,DecLat,DecLong)/360 + (GMTOffset/24) + (IF(DST="Y", 1, 0)/24)</f>
        <v>1.7190920176401245</v>
      </c>
      <c r="AE1425" s="259">
        <f>DATE(2001,9,21)+(M1425/360)*365 - (360*((DecLong/360)- (GMTOffset/24) ))</f>
        <v>37425.060127314813</v>
      </c>
      <c r="AF1425" s="260">
        <f>IF(DecLat&gt;0,IF((90 - (DecLat-O1425))&gt;90, (90 - (O1425-DecLat)), (90 - (DecLat-O1425))),IF((90 + (DecLat-O1425))&gt;90, (90 + (O1425-DecLat)), (90 + (DecLat-O1425))))</f>
        <v>32.801111111111112</v>
      </c>
      <c r="AG1425" s="257">
        <f>angularseperation(MoonRA,MoonDec,$M1425,$O1425)</f>
        <v>10.92491801160593</v>
      </c>
      <c r="AH1425" s="261">
        <f ca="1">MIN(100,IF($O$5&gt;80,0+30*($AG1425/100),IF($O$5&gt;70,0+50*($AG1425/100),IF($O$5&gt;60,5+50*($AG1425/100),IF($O$5&gt;50,10+60*($AG1425/100),IF($O$5&gt;40,15+70*($AG1425/100),IF($O$5&gt;30,20+70*($AG1425/100),IF($O$5&gt;20,40+55*($AG1425/100),(80+(20-$O$5)+30*($AG1425/100))))))))))</f>
        <v>86.548535747632201</v>
      </c>
      <c r="AI1425" s="263"/>
      <c r="AJ1425" s="263"/>
      <c r="AK1425" s="263"/>
      <c r="AL1425" s="263"/>
      <c r="AM1425" s="264"/>
      <c r="AN1425" s="263"/>
      <c r="AO1425" s="263"/>
      <c r="AP1425" s="265"/>
      <c r="AQ1425" s="265"/>
      <c r="AR1425" s="285"/>
      <c r="AS1425" s="263"/>
      <c r="AT1425" s="263"/>
      <c r="AU1425" s="263"/>
      <c r="AV1425" s="264">
        <v>309</v>
      </c>
      <c r="AW1425" s="263"/>
      <c r="AX1425" s="263"/>
      <c r="AY1425" s="263"/>
      <c r="AZ1425" s="263"/>
      <c r="BA1425" s="263"/>
      <c r="BB1425" s="263"/>
      <c r="BC1425" s="263"/>
      <c r="BD1425" s="264"/>
      <c r="BE1425" s="263"/>
      <c r="BF1425" s="263"/>
      <c r="BG1425" s="263"/>
      <c r="BH1425" s="263"/>
      <c r="BI1425" s="263"/>
      <c r="BJ1425" s="404">
        <f>altaz(J2000_Bas,$O1425,$M1425,DecLat,DecLong,2)</f>
        <v>205.04104294411641</v>
      </c>
      <c r="BK1425" s="378" t="s">
        <v>4774</v>
      </c>
      <c r="BL1425" s="379">
        <f>IF((2*G1425)/60&lt;0.2,0.2,(2*G1425)/60)</f>
        <v>0.2</v>
      </c>
      <c r="BM1425" s="380">
        <f>MOD((50000+AD1425-$B$3+(0/24)),1)</f>
        <v>0.93445894734759349</v>
      </c>
      <c r="BN1425" s="381"/>
      <c r="BO1425" s="382">
        <v>1418</v>
      </c>
    </row>
    <row r="1426" spans="1:67" s="24" customFormat="1" ht="15" customHeight="1" x14ac:dyDescent="0.25">
      <c r="A1426" s="288" t="s">
        <v>1472</v>
      </c>
      <c r="B1426" s="241" t="str">
        <f>HYPERLINK(CONCATENATE($AT$3,BK1426,$AU$3),$AV$3)</f>
        <v>S</v>
      </c>
      <c r="C1426" s="242" t="str">
        <f>HYPERLINK(CONCATENATE($AT$4,BK1426,$AU$4,BL1426),$AV$4)</f>
        <v>A</v>
      </c>
      <c r="D1426" s="243" t="s">
        <v>5187</v>
      </c>
      <c r="E1426" s="244" t="s">
        <v>5181</v>
      </c>
      <c r="F1426" s="269" t="s">
        <v>5739</v>
      </c>
      <c r="G1426" s="270">
        <v>0.4</v>
      </c>
      <c r="H1426" s="283">
        <v>16000</v>
      </c>
      <c r="I1426" s="279">
        <v>2</v>
      </c>
      <c r="J1426" s="246">
        <v>3</v>
      </c>
      <c r="K1426" s="247" t="s">
        <v>5062</v>
      </c>
      <c r="L1426" s="248">
        <v>183241</v>
      </c>
      <c r="M1426" s="249">
        <f>15*(LEFT(TEXT($L1426,"000000"),2)+(MID(TEXT($L1426,"000000"),3,2)/60)+(RIGHT(TEXT($L1426,"000000"),2)/3600))</f>
        <v>278.17083333333335</v>
      </c>
      <c r="N1426" s="250">
        <v>-100548</v>
      </c>
      <c r="O1426" s="251">
        <f>IF($N1426&gt;0,(LEFT(TEXT($N1426,"000000"),2)+(MID(TEXT($N1426,"000000"),3,2)/60)+(RIGHT(TEXT($N1426,"000000"),2)/3600)),-(MID(TEXT($N1426,"000000"),2,2)+(MID(TEXT($N1426,"000000"),4,2)/60)+(RIGHT(TEXT($N1426,"000000"),2)/3600)))</f>
        <v>-10.096666666666668</v>
      </c>
      <c r="P1426" s="252" t="s">
        <v>121</v>
      </c>
      <c r="Q1426" s="253"/>
      <c r="R1426" s="277" t="s">
        <v>3293</v>
      </c>
      <c r="S1426" s="272" t="s">
        <v>3293</v>
      </c>
      <c r="T1426" s="273">
        <v>15</v>
      </c>
      <c r="U1426" s="274"/>
      <c r="V1426" s="280"/>
      <c r="W1426" s="244"/>
      <c r="X1426" s="244"/>
      <c r="Y1426" s="362"/>
      <c r="Z1426" s="257">
        <f>altaz(J2000_Bas,$O1426,$M1426,DecLat,DecLong,1)</f>
        <v>48.221849469946896</v>
      </c>
      <c r="AA1426" s="257">
        <f>altaz((J2000_Bas+(2*0.04167)),$O1426,$M1426,DecLat,DecLong,1)</f>
        <v>35.132090618149924</v>
      </c>
      <c r="AB1426" s="257">
        <f>altaz((J2000_Bas+(4*0.04167)),$O1426,$M1426,DecLat,DecLong,1)</f>
        <v>13.051377262775034</v>
      </c>
      <c r="AC1426" s="257">
        <f>altaz((J2000_Bas+(6*0.04167)),$O1426,$M1426,DecLat,DecLong,1)</f>
        <v>-12.062820395512142</v>
      </c>
      <c r="AD1426" s="258">
        <f>1+ transit((J2000_Bas-1),$O1426,$M1426,DecLat,DecLong)/360 + (GMTOffset/24) + (IF(DST="Y", 1, 0)/24)</f>
        <v>1.7655966426192915</v>
      </c>
      <c r="AE1426" s="259">
        <f>DATE(2001,9,21)+(M1426/360)*365 - (360*((DecLong/360)- (GMTOffset/24) ))</f>
        <v>37442.034317129626</v>
      </c>
      <c r="AF1426" s="260">
        <f>IF(DecLat&gt;0,IF((90 - (DecLat-O1426))&gt;90, (90 - (O1426-DecLat)), (90 - (DecLat-O1426))),IF((90 + (DecLat-O1426))&gt;90, (90 + (O1426-DecLat)), (90 + (DecLat-O1426))))</f>
        <v>48.903333333333336</v>
      </c>
      <c r="AG1426" s="257">
        <f>angularseperation(MoonRA,MoonDec,$M1426,$O1426)</f>
        <v>32.113867001895571</v>
      </c>
      <c r="AH1426" s="261">
        <f ca="1">MIN(100,IF($O$5&gt;80,0+30*($AG1426/100),IF($O$5&gt;70,0+50*($AG1426/100),IF($O$5&gt;60,5+50*($AG1426/100),IF($O$5&gt;50,10+60*($AG1426/100),IF($O$5&gt;40,15+70*($AG1426/100),IF($O$5&gt;30,20+70*($AG1426/100),IF($O$5&gt;20,40+55*($AG1426/100),(80+(20-$O$5)+30*($AG1426/100))))))))))</f>
        <v>92.905220444719106</v>
      </c>
      <c r="AI1426" s="263"/>
      <c r="AJ1426" s="263"/>
      <c r="AK1426" s="263"/>
      <c r="AL1426" s="263"/>
      <c r="AM1426" s="264"/>
      <c r="AN1426" s="263"/>
      <c r="AO1426" s="263"/>
      <c r="AP1426" s="265"/>
      <c r="AQ1426" s="265"/>
      <c r="AR1426" s="285"/>
      <c r="AS1426" s="263"/>
      <c r="AT1426" s="263"/>
      <c r="AU1426" s="263"/>
      <c r="AV1426" s="264">
        <v>328</v>
      </c>
      <c r="AW1426" s="263"/>
      <c r="AX1426" s="263"/>
      <c r="AY1426" s="263"/>
      <c r="AZ1426" s="263"/>
      <c r="BA1426" s="263"/>
      <c r="BB1426" s="263"/>
      <c r="BC1426" s="263"/>
      <c r="BD1426" s="264"/>
      <c r="BE1426" s="263"/>
      <c r="BF1426" s="263"/>
      <c r="BG1426" s="263"/>
      <c r="BH1426" s="263"/>
      <c r="BI1426" s="263"/>
      <c r="BJ1426" s="404">
        <f>altaz(J2000_Bas,$O1426,$M1426,DecLat,DecLong,2)</f>
        <v>191.61643853436135</v>
      </c>
      <c r="BK1426" s="378" t="s">
        <v>4775</v>
      </c>
      <c r="BL1426" s="379">
        <f>IF((2*G1426)/60&lt;0.2,0.2,(2*G1426)/60)</f>
        <v>0.2</v>
      </c>
      <c r="BM1426" s="380">
        <f>MOD((50000+AD1426-$B$3+(0/24)),1)</f>
        <v>0.98096357232134324</v>
      </c>
      <c r="BN1426" s="381"/>
      <c r="BO1426" s="382">
        <v>1419</v>
      </c>
    </row>
    <row r="1427" spans="1:67" s="24" customFormat="1" ht="15" customHeight="1" x14ac:dyDescent="0.25">
      <c r="A1427" s="287" t="s">
        <v>1473</v>
      </c>
      <c r="B1427" s="241" t="str">
        <f>HYPERLINK(CONCATENATE($AT$3,BK1427,$AU$3),$AV$3)</f>
        <v>S</v>
      </c>
      <c r="C1427" s="242" t="str">
        <f>HYPERLINK(CONCATENATE($AT$4,BK1427,$AU$4,BL1427),$AV$4)</f>
        <v>A</v>
      </c>
      <c r="D1427" s="243" t="s">
        <v>5187</v>
      </c>
      <c r="E1427" s="244" t="s">
        <v>5181</v>
      </c>
      <c r="F1427" s="269" t="s">
        <v>6221</v>
      </c>
      <c r="G1427" s="270">
        <v>0.3</v>
      </c>
      <c r="H1427" s="283">
        <v>15000</v>
      </c>
      <c r="I1427" s="279">
        <v>1.3</v>
      </c>
      <c r="J1427" s="246">
        <v>1</v>
      </c>
      <c r="K1427" s="247" t="s">
        <v>6220</v>
      </c>
      <c r="L1427" s="248">
        <v>184115</v>
      </c>
      <c r="M1427" s="249">
        <f>15*(LEFT(TEXT($L1427,"000000"),2)+(MID(TEXT($L1427,"000000"),3,2)/60)+(RIGHT(TEXT($L1427,"000000"),2)/3600))</f>
        <v>280.3125</v>
      </c>
      <c r="N1427" s="250">
        <v>-153344</v>
      </c>
      <c r="O1427" s="251">
        <f>IF($N1427&gt;0,(LEFT(TEXT($N1427,"000000"),2)+(MID(TEXT($N1427,"000000"),3,2)/60)+(RIGHT(TEXT($N1427,"000000"),2)/3600)),-(MID(TEXT($N1427,"000000"),2,2)+(MID(TEXT($N1427,"000000"),4,2)/60)+(RIGHT(TEXT($N1427,"000000"),2)/3600)))</f>
        <v>-15.562222222222223</v>
      </c>
      <c r="P1427" s="252" t="s">
        <v>121</v>
      </c>
      <c r="Q1427" s="253"/>
      <c r="R1427" s="277" t="s">
        <v>3293</v>
      </c>
      <c r="S1427" s="272" t="s">
        <v>3293</v>
      </c>
      <c r="T1427" s="273">
        <v>17.899999999999999</v>
      </c>
      <c r="U1427" s="274"/>
      <c r="V1427" s="280"/>
      <c r="W1427" s="244"/>
      <c r="X1427" s="244"/>
      <c r="Y1427" s="362"/>
      <c r="Z1427" s="257">
        <f>altaz(J2000_Bas,$O1427,$M1427,DecLat,DecLong,1)</f>
        <v>43.117575270554411</v>
      </c>
      <c r="AA1427" s="257">
        <f>altaz((J2000_Bas+(2*0.04167)),$O1427,$M1427,DecLat,DecLong,1)</f>
        <v>32.124929689070775</v>
      </c>
      <c r="AB1427" s="257">
        <f>altaz((J2000_Bas+(4*0.04167)),$O1427,$M1427,DecLat,DecLong,1)</f>
        <v>11.509813091334147</v>
      </c>
      <c r="AC1427" s="257">
        <f>altaz((J2000_Bas+(6*0.04167)),$O1427,$M1427,DecLat,DecLong,1)</f>
        <v>-12.925525978423272</v>
      </c>
      <c r="AD1427" s="258">
        <f>1+ transit((J2000_Bas-1),$O1427,$M1427,DecLat,DecLong)/360 + (GMTOffset/24) + (IF(DST="Y", 1, 0)/24)</f>
        <v>1.771545716098458</v>
      </c>
      <c r="AE1427" s="259">
        <f>DATE(2001,9,21)+(M1427/360)*365 - (360*((DecLong/360)- (GMTOffset/24) ))</f>
        <v>37444.205729166664</v>
      </c>
      <c r="AF1427" s="260">
        <f>IF(DecLat&gt;0,IF((90 - (DecLat-O1427))&gt;90, (90 - (O1427-DecLat)), (90 - (DecLat-O1427))),IF((90 + (DecLat-O1427))&gt;90, (90 + (O1427-DecLat)), (90 + (DecLat-O1427))))</f>
        <v>43.437777777777775</v>
      </c>
      <c r="AG1427" s="257">
        <f>angularseperation(MoonRA,MoonDec,$M1427,$O1427)</f>
        <v>31.041251348429512</v>
      </c>
      <c r="AH1427" s="261">
        <f ca="1">MIN(100,IF($O$5&gt;80,0+30*($AG1427/100),IF($O$5&gt;70,0+50*($AG1427/100),IF($O$5&gt;60,5+50*($AG1427/100),IF($O$5&gt;50,10+60*($AG1427/100),IF($O$5&gt;40,15+70*($AG1427/100),IF($O$5&gt;30,20+70*($AG1427/100),IF($O$5&gt;20,40+55*($AG1427/100),(80+(20-$O$5)+30*($AG1427/100))))))))))</f>
        <v>92.583435748679278</v>
      </c>
      <c r="AI1427" s="263"/>
      <c r="AJ1427" s="263"/>
      <c r="AK1427" s="263"/>
      <c r="AL1427" s="263"/>
      <c r="AM1427" s="264"/>
      <c r="AN1427" s="263"/>
      <c r="AO1427" s="263"/>
      <c r="AP1427" s="265"/>
      <c r="AQ1427" s="265"/>
      <c r="AR1427" s="285"/>
      <c r="AS1427" s="263"/>
      <c r="AT1427" s="263"/>
      <c r="AU1427" s="263"/>
      <c r="AV1427" s="264">
        <v>330</v>
      </c>
      <c r="AW1427" s="263"/>
      <c r="AX1427" s="263"/>
      <c r="AY1427" s="263"/>
      <c r="AZ1427" s="263"/>
      <c r="BA1427" s="263"/>
      <c r="BB1427" s="263"/>
      <c r="BC1427" s="263"/>
      <c r="BD1427" s="264"/>
      <c r="BE1427" s="263"/>
      <c r="BF1427" s="263"/>
      <c r="BG1427" s="263"/>
      <c r="BH1427" s="263"/>
      <c r="BI1427" s="263"/>
      <c r="BJ1427" s="404">
        <f>altaz(J2000_Bas,$O1427,$M1427,DecLat,DecLong,2)</f>
        <v>187.51864760163946</v>
      </c>
      <c r="BK1427" s="378" t="s">
        <v>4776</v>
      </c>
      <c r="BL1427" s="379">
        <f>IF((2*G1427)/60&lt;0.2,0.2,(2*G1427)/60)</f>
        <v>0.2</v>
      </c>
      <c r="BM1427" s="380">
        <f>MOD((50000+AD1427-$B$3+(0/24)),1)</f>
        <v>0.98691264579974813</v>
      </c>
      <c r="BN1427" s="381"/>
      <c r="BO1427" s="382">
        <v>1420</v>
      </c>
    </row>
    <row r="1428" spans="1:67" s="24" customFormat="1" ht="15" customHeight="1" x14ac:dyDescent="0.25">
      <c r="A1428" s="288" t="s">
        <v>1474</v>
      </c>
      <c r="B1428" s="241" t="str">
        <f>HYPERLINK(CONCATENATE($AT$3,BK1428,$AU$3),$AV$3)</f>
        <v>S</v>
      </c>
      <c r="C1428" s="242" t="str">
        <f>HYPERLINK(CONCATENATE($AT$4,BK1428,$AU$4,BL1428),$AV$4)</f>
        <v>A</v>
      </c>
      <c r="D1428" s="243" t="s">
        <v>5187</v>
      </c>
      <c r="E1428" s="244" t="s">
        <v>5181</v>
      </c>
      <c r="F1428" s="269" t="s">
        <v>5739</v>
      </c>
      <c r="G1428" s="270">
        <v>0.2</v>
      </c>
      <c r="H1428" s="271" t="s">
        <v>6500</v>
      </c>
      <c r="I1428" s="244" t="s">
        <v>6500</v>
      </c>
      <c r="J1428" s="246">
        <v>1</v>
      </c>
      <c r="K1428" s="247" t="s">
        <v>5063</v>
      </c>
      <c r="L1428" s="248">
        <v>183315</v>
      </c>
      <c r="M1428" s="249">
        <f>15*(LEFT(TEXT($L1428,"000000"),2)+(MID(TEXT($L1428,"000000"),3,2)/60)+(RIGHT(TEXT($L1428,"000000"),2)/3600))</f>
        <v>278.3125</v>
      </c>
      <c r="N1428" s="250">
        <v>-101507</v>
      </c>
      <c r="O1428" s="251">
        <f>IF($N1428&gt;0,(LEFT(TEXT($N1428,"000000"),2)+(MID(TEXT($N1428,"000000"),3,2)/60)+(RIGHT(TEXT($N1428,"000000"),2)/3600)),-(MID(TEXT($N1428,"000000"),2,2)+(MID(TEXT($N1428,"000000"),4,2)/60)+(RIGHT(TEXT($N1428,"000000"),2)/3600)))</f>
        <v>-10.251944444444444</v>
      </c>
      <c r="P1428" s="252" t="s">
        <v>121</v>
      </c>
      <c r="Q1428" s="253"/>
      <c r="R1428" s="277" t="s">
        <v>3293</v>
      </c>
      <c r="S1428" s="272" t="s">
        <v>3293</v>
      </c>
      <c r="T1428" s="273">
        <v>20</v>
      </c>
      <c r="U1428" s="274"/>
      <c r="V1428" s="280"/>
      <c r="W1428" s="244"/>
      <c r="X1428" s="244"/>
      <c r="Y1428" s="362"/>
      <c r="Z1428" s="257">
        <f>altaz(J2000_Bas,$O1428,$M1428,DecLat,DecLong,1)</f>
        <v>48.093122804119794</v>
      </c>
      <c r="AA1428" s="257">
        <f>altaz((J2000_Bas+(2*0.04167)),$O1428,$M1428,DecLat,DecLong,1)</f>
        <v>35.102809541120003</v>
      </c>
      <c r="AB1428" s="257">
        <f>altaz((J2000_Bas+(4*0.04167)),$O1428,$M1428,DecLat,DecLong,1)</f>
        <v>13.075208099812656</v>
      </c>
      <c r="AC1428" s="257">
        <f>altaz((J2000_Bas+(6*0.04167)),$O1428,$M1428,DecLat,DecLong,1)</f>
        <v>-12.018938316864585</v>
      </c>
      <c r="AD1428" s="258">
        <f>1+ transit((J2000_Bas-1),$O1428,$M1428,DecLat,DecLong)/360 + (GMTOffset/24) + (IF(DST="Y", 1, 0)/24)</f>
        <v>1.7659901610984581</v>
      </c>
      <c r="AE1428" s="259">
        <f>DATE(2001,9,21)+(M1428/360)*365 - (360*((DecLong/360)- (GMTOffset/24) ))</f>
        <v>37442.177951388891</v>
      </c>
      <c r="AF1428" s="260">
        <f>IF(DecLat&gt;0,IF((90 - (DecLat-O1428))&gt;90, (90 - (O1428-DecLat)), (90 - (DecLat-O1428))),IF((90 + (DecLat-O1428))&gt;90, (90 + (O1428-DecLat)), (90 + (DecLat-O1428))))</f>
        <v>48.748055555555553</v>
      </c>
      <c r="AG1428" s="257">
        <f>angularseperation(MoonRA,MoonDec,$M1428,$O1428)</f>
        <v>32.136359382217947</v>
      </c>
      <c r="AH1428" s="261">
        <f ca="1">MIN(100,IF($O$5&gt;80,0+30*($AG1428/100),IF($O$5&gt;70,0+50*($AG1428/100),IF($O$5&gt;60,5+50*($AG1428/100),IF($O$5&gt;50,10+60*($AG1428/100),IF($O$5&gt;40,15+70*($AG1428/100),IF($O$5&gt;30,20+70*($AG1428/100),IF($O$5&gt;20,40+55*($AG1428/100),(80+(20-$O$5)+30*($AG1428/100))))))))))</f>
        <v>92.91196815881581</v>
      </c>
      <c r="AI1428" s="263"/>
      <c r="AJ1428" s="263"/>
      <c r="AK1428" s="263"/>
      <c r="AL1428" s="263"/>
      <c r="AM1428" s="264"/>
      <c r="AN1428" s="263"/>
      <c r="AO1428" s="263"/>
      <c r="AP1428" s="265"/>
      <c r="AQ1428" s="265"/>
      <c r="AR1428" s="285"/>
      <c r="AS1428" s="263"/>
      <c r="AT1428" s="263"/>
      <c r="AU1428" s="263"/>
      <c r="AV1428" s="264">
        <v>355</v>
      </c>
      <c r="AW1428" s="263"/>
      <c r="AX1428" s="263"/>
      <c r="AY1428" s="263"/>
      <c r="AZ1428" s="263"/>
      <c r="BA1428" s="263"/>
      <c r="BB1428" s="263"/>
      <c r="BC1428" s="263"/>
      <c r="BD1428" s="264"/>
      <c r="BE1428" s="263"/>
      <c r="BF1428" s="263"/>
      <c r="BG1428" s="263"/>
      <c r="BH1428" s="263"/>
      <c r="BI1428" s="263"/>
      <c r="BJ1428" s="404">
        <f>altaz(J2000_Bas,$O1428,$M1428,DecLat,DecLong,2)</f>
        <v>191.370191482042</v>
      </c>
      <c r="BK1428" s="378" t="s">
        <v>4777</v>
      </c>
      <c r="BL1428" s="379">
        <f>IF((2*G1428)/60&lt;0.2,0.2,(2*G1428)/60)</f>
        <v>0.2</v>
      </c>
      <c r="BM1428" s="380">
        <f>MOD((50000+AD1428-$B$3+(0/24)),1)</f>
        <v>0.98135709080088418</v>
      </c>
      <c r="BN1428" s="381"/>
      <c r="BO1428" s="382">
        <v>1421</v>
      </c>
    </row>
    <row r="1429" spans="1:67" s="24" customFormat="1" ht="15" customHeight="1" x14ac:dyDescent="0.25">
      <c r="A1429" s="288" t="s">
        <v>1475</v>
      </c>
      <c r="B1429" s="241" t="str">
        <f>HYPERLINK(CONCATENATE($AT$3,BK1429,$AU$3),$AV$3)</f>
        <v>S</v>
      </c>
      <c r="C1429" s="242" t="str">
        <f>HYPERLINK(CONCATENATE($AT$4,BK1429,$AU$4,BL1429),$AV$4)</f>
        <v>A</v>
      </c>
      <c r="D1429" s="243" t="s">
        <v>5187</v>
      </c>
      <c r="E1429" s="244" t="s">
        <v>5181</v>
      </c>
      <c r="F1429" s="269" t="s">
        <v>4796</v>
      </c>
      <c r="G1429" s="270">
        <v>0.7</v>
      </c>
      <c r="H1429" s="283">
        <v>6000</v>
      </c>
      <c r="I1429" s="279">
        <v>1.3</v>
      </c>
      <c r="J1429" s="246">
        <v>2</v>
      </c>
      <c r="K1429" s="247" t="s">
        <v>5064</v>
      </c>
      <c r="L1429" s="248">
        <v>181418</v>
      </c>
      <c r="M1429" s="249">
        <f>15*(LEFT(TEXT($L1429,"000000"),2)+(MID(TEXT($L1429,"000000"),3,2)/60)+(RIGHT(TEXT($L1429,"000000"),2)/3600))</f>
        <v>273.57499999999999</v>
      </c>
      <c r="N1429" s="250">
        <v>-45922</v>
      </c>
      <c r="O1429" s="251">
        <f>IF($N1429&gt;0,(LEFT(TEXT($N1429,"000000"),2)+(MID(TEXT($N1429,"000000"),3,2)/60)+(RIGHT(TEXT($N1429,"000000"),2)/3600)),-(MID(TEXT($N1429,"000000"),2,2)+(MID(TEXT($N1429,"000000"),4,2)/60)+(RIGHT(TEXT($N1429,"000000"),2)/3600)))</f>
        <v>-4.9894444444444446</v>
      </c>
      <c r="P1429" s="252" t="s">
        <v>115</v>
      </c>
      <c r="Q1429" s="253"/>
      <c r="R1429" s="247" t="s">
        <v>3293</v>
      </c>
      <c r="S1429" s="272" t="s">
        <v>3293</v>
      </c>
      <c r="T1429" s="273"/>
      <c r="U1429" s="274"/>
      <c r="V1429" s="280"/>
      <c r="W1429" s="244"/>
      <c r="X1429" s="244"/>
      <c r="Y1429" s="362"/>
      <c r="Z1429" s="257">
        <f>altaz(J2000_Bas,$O1429,$M1429,DecLat,DecLong,1)</f>
        <v>52.103048153233502</v>
      </c>
      <c r="AA1429" s="257">
        <f>altaz((J2000_Bas+(2*0.04167)),$O1429,$M1429,DecLat,DecLong,1)</f>
        <v>35.778886889304999</v>
      </c>
      <c r="AB1429" s="257">
        <f>altaz((J2000_Bas+(4*0.04167)),$O1429,$M1429,DecLat,DecLong,1)</f>
        <v>12.158067971775539</v>
      </c>
      <c r="AC1429" s="257">
        <f>altaz((J2000_Bas+(6*0.04167)),$O1429,$M1429,DecLat,DecLong,1)</f>
        <v>-13.42971733603383</v>
      </c>
      <c r="AD1429" s="258">
        <f>1+ transit((J2000_Bas-1),$O1429,$M1429,DecLat,DecLong)/360 + (GMTOffset/24) + (IF(DST="Y", 1, 0)/24)</f>
        <v>1.7528304401922081</v>
      </c>
      <c r="AE1429" s="259">
        <f>DATE(2001,9,21)+(M1429/360)*365 - (360*((DecLong/360)- (GMTOffset/24) ))</f>
        <v>37437.374652777777</v>
      </c>
      <c r="AF1429" s="260">
        <f>IF(DecLat&gt;0,IF((90 - (DecLat-O1429))&gt;90, (90 - (O1429-DecLat)), (90 - (DecLat-O1429))),IF((90 + (DecLat-O1429))&gt;90, (90 + (O1429-DecLat)), (90 + (DecLat-O1429))))</f>
        <v>54.010555555555555</v>
      </c>
      <c r="AG1429" s="257">
        <f>angularseperation(MoonRA,MoonDec,$M1429,$O1429)</f>
        <v>32.029989799544694</v>
      </c>
      <c r="AH1429" s="261">
        <f ca="1">MIN(100,IF($O$5&gt;80,0+30*($AG1429/100),IF($O$5&gt;70,0+50*($AG1429/100),IF($O$5&gt;60,5+50*($AG1429/100),IF($O$5&gt;50,10+60*($AG1429/100),IF($O$5&gt;40,15+70*($AG1429/100),IF($O$5&gt;30,20+70*($AG1429/100),IF($O$5&gt;20,40+55*($AG1429/100),(80+(20-$O$5)+30*($AG1429/100))))))))))</f>
        <v>92.88005728401383</v>
      </c>
      <c r="AI1429" s="262"/>
      <c r="AJ1429" s="262"/>
      <c r="AK1429" s="262"/>
      <c r="AL1429" s="263"/>
      <c r="AM1429" s="264"/>
      <c r="AN1429" s="263"/>
      <c r="AO1429" s="263"/>
      <c r="AP1429" s="265"/>
      <c r="AQ1429" s="266"/>
      <c r="AR1429" s="267"/>
      <c r="AS1429" s="263"/>
      <c r="AT1429" s="263"/>
      <c r="AU1429" s="263"/>
      <c r="AV1429" s="264">
        <v>409</v>
      </c>
      <c r="AW1429" s="263"/>
      <c r="AX1429" s="263"/>
      <c r="AY1429" s="263"/>
      <c r="AZ1429" s="263"/>
      <c r="BA1429" s="263"/>
      <c r="BB1429" s="263"/>
      <c r="BC1429" s="263"/>
      <c r="BD1429" s="264"/>
      <c r="BE1429" s="263"/>
      <c r="BF1429" s="263"/>
      <c r="BG1429" s="263"/>
      <c r="BH1429" s="263"/>
      <c r="BI1429" s="263"/>
      <c r="BJ1429" s="404">
        <f>altaz(J2000_Bas,$O1429,$M1429,DecLat,DecLong,2)</f>
        <v>200.4281415519182</v>
      </c>
      <c r="BK1429" s="378" t="s">
        <v>4778</v>
      </c>
      <c r="BL1429" s="379">
        <f>IF((2*G1429)/60&lt;0.2,0.2,(2*G1429)/60)</f>
        <v>0.2</v>
      </c>
      <c r="BM1429" s="380">
        <f>MOD((50000+AD1429-$B$3+(0/24)),1)</f>
        <v>0.96819736989709781</v>
      </c>
      <c r="BN1429" s="381"/>
      <c r="BO1429" s="382">
        <v>1422</v>
      </c>
    </row>
    <row r="1430" spans="1:67" s="24" customFormat="1" ht="15" customHeight="1" x14ac:dyDescent="0.25">
      <c r="A1430" s="287" t="s">
        <v>1476</v>
      </c>
      <c r="B1430" s="241" t="str">
        <f>HYPERLINK(CONCATENATE($AT$3,BK1430,$AU$3),$AV$3)</f>
        <v>S</v>
      </c>
      <c r="C1430" s="242" t="str">
        <f>HYPERLINK(CONCATENATE($AT$4,BK1430,$AU$4,BL1430),$AV$4)</f>
        <v>A</v>
      </c>
      <c r="D1430" s="243" t="s">
        <v>5187</v>
      </c>
      <c r="E1430" s="244" t="s">
        <v>5181</v>
      </c>
      <c r="F1430" s="269" t="s">
        <v>6222</v>
      </c>
      <c r="G1430" s="270">
        <v>0.3</v>
      </c>
      <c r="H1430" s="283">
        <v>13000</v>
      </c>
      <c r="I1430" s="279">
        <v>1.2</v>
      </c>
      <c r="J1430" s="246">
        <v>2</v>
      </c>
      <c r="K1430" s="247" t="s">
        <v>6223</v>
      </c>
      <c r="L1430" s="248">
        <v>185418</v>
      </c>
      <c r="M1430" s="249">
        <f>15*(LEFT(TEXT($L1430,"000000"),2)+(MID(TEXT($L1430,"000000"),3,2)/60)+(RIGHT(TEXT($L1430,"000000"),2)/3600))</f>
        <v>283.57499999999999</v>
      </c>
      <c r="N1430" s="250">
        <v>-100300</v>
      </c>
      <c r="O1430" s="251">
        <f>IF($N1430&gt;0,(LEFT(TEXT($N1430,"000000"),2)+(MID(TEXT($N1430,"000000"),3,2)/60)+(RIGHT(TEXT($N1430,"000000"),2)/3600)),-(MID(TEXT($N1430,"000000"),2,2)+(MID(TEXT($N1430,"000000"),4,2)/60)+(RIGHT(TEXT($N1430,"000000"),2)/3600)))</f>
        <v>-10.050000000000001</v>
      </c>
      <c r="P1430" s="252" t="s">
        <v>121</v>
      </c>
      <c r="Q1430" s="253"/>
      <c r="R1430" s="277" t="s">
        <v>3293</v>
      </c>
      <c r="S1430" s="272" t="s">
        <v>3293</v>
      </c>
      <c r="T1430" s="273"/>
      <c r="U1430" s="274"/>
      <c r="V1430" s="280"/>
      <c r="W1430" s="244"/>
      <c r="X1430" s="244"/>
      <c r="Y1430" s="362"/>
      <c r="Z1430" s="257">
        <f>altaz(J2000_Bas,$O1430,$M1430,DecLat,DecLong,1)</f>
        <v>48.883956420144536</v>
      </c>
      <c r="AA1430" s="257">
        <f>altaz((J2000_Bas+(2*0.04167)),$O1430,$M1430,DecLat,DecLong,1)</f>
        <v>38.452125035085679</v>
      </c>
      <c r="AB1430" s="257">
        <f>altaz((J2000_Bas+(4*0.04167)),$O1430,$M1430,DecLat,DecLong,1)</f>
        <v>17.372357044013796</v>
      </c>
      <c r="AC1430" s="257">
        <f>altaz((J2000_Bas+(6*0.04167)),$O1430,$M1430,DecLat,DecLong,1)</f>
        <v>-7.432656042368631</v>
      </c>
      <c r="AD1430" s="258">
        <f>1+ transit((J2000_Bas-1),$O1430,$M1430,DecLat,DecLong)/360 + (GMTOffset/24) + (IF(DST="Y", 1, 0)/24)</f>
        <v>1.780608215192208</v>
      </c>
      <c r="AE1430" s="259">
        <f>DATE(2001,9,21)+(M1430/360)*365 - (360*((DecLong/360)- (GMTOffset/24) ))</f>
        <v>37447.513541666667</v>
      </c>
      <c r="AF1430" s="260">
        <f>IF(DecLat&gt;0,IF((90 - (DecLat-O1430))&gt;90, (90 - (O1430-DecLat)), (90 - (DecLat-O1430))),IF((90 + (DecLat-O1430))&gt;90, (90 + (O1430-DecLat)), (90 + (DecLat-O1430))))</f>
        <v>48.95</v>
      </c>
      <c r="AG1430" s="257">
        <f>angularseperation(MoonRA,MoonDec,$M1430,$O1430)</f>
        <v>36.544999740691544</v>
      </c>
      <c r="AH1430" s="261">
        <f ca="1">MIN(100,IF($O$5&gt;80,0+30*($AG1430/100),IF($O$5&gt;70,0+50*($AG1430/100),IF($O$5&gt;60,5+50*($AG1430/100),IF($O$5&gt;50,10+60*($AG1430/100),IF($O$5&gt;40,15+70*($AG1430/100),IF($O$5&gt;30,20+70*($AG1430/100),IF($O$5&gt;20,40+55*($AG1430/100),(80+(20-$O$5)+30*($AG1430/100))))))))))</f>
        <v>94.234560266357889</v>
      </c>
      <c r="AI1430" s="263"/>
      <c r="AJ1430" s="263"/>
      <c r="AK1430" s="263"/>
      <c r="AL1430" s="263"/>
      <c r="AM1430" s="264"/>
      <c r="AN1430" s="263"/>
      <c r="AO1430" s="263"/>
      <c r="AP1430" s="265"/>
      <c r="AQ1430" s="265"/>
      <c r="AR1430" s="285"/>
      <c r="AS1430" s="263"/>
      <c r="AT1430" s="263"/>
      <c r="AU1430" s="263"/>
      <c r="AV1430" s="264">
        <v>411</v>
      </c>
      <c r="AW1430" s="263"/>
      <c r="AX1430" s="263"/>
      <c r="AY1430" s="263"/>
      <c r="AZ1430" s="263"/>
      <c r="BA1430" s="263"/>
      <c r="BB1430" s="263"/>
      <c r="BC1430" s="263"/>
      <c r="BD1430" s="264"/>
      <c r="BE1430" s="263"/>
      <c r="BF1430" s="263"/>
      <c r="BG1430" s="263"/>
      <c r="BH1430" s="263"/>
      <c r="BI1430" s="263"/>
      <c r="BJ1430" s="404">
        <f>altaz(J2000_Bas,$O1430,$M1430,DecLat,DecLong,2)</f>
        <v>183.63643107829796</v>
      </c>
      <c r="BK1430" s="378" t="s">
        <v>4779</v>
      </c>
      <c r="BL1430" s="379">
        <f>IF((2*G1430)/60&lt;0.2,0.2,(2*G1430)/60)</f>
        <v>0.2</v>
      </c>
      <c r="BM1430" s="380">
        <f>MOD((50000+AD1430-$B$3+(0/24)),1)</f>
        <v>0.99597514489869354</v>
      </c>
      <c r="BN1430" s="381"/>
      <c r="BO1430" s="382">
        <v>1423</v>
      </c>
    </row>
    <row r="1431" spans="1:67" s="24" customFormat="1" ht="15" customHeight="1" x14ac:dyDescent="0.25">
      <c r="A1431" s="288" t="s">
        <v>1477</v>
      </c>
      <c r="B1431" s="241" t="str">
        <f>HYPERLINK(CONCATENATE($AT$3,BK1431,$AU$3),$AV$3)</f>
        <v>S</v>
      </c>
      <c r="C1431" s="242" t="str">
        <f>HYPERLINK(CONCATENATE($AT$4,BK1431,$AU$4,BL1431),$AV$4)</f>
        <v>A</v>
      </c>
      <c r="D1431" s="243" t="s">
        <v>5187</v>
      </c>
      <c r="E1431" s="244" t="s">
        <v>5181</v>
      </c>
      <c r="F1431" s="269" t="s">
        <v>6225</v>
      </c>
      <c r="G1431" s="270">
        <v>0.2</v>
      </c>
      <c r="H1431" s="283">
        <v>25000</v>
      </c>
      <c r="I1431" s="279">
        <v>1.6</v>
      </c>
      <c r="J1431" s="246">
        <v>1</v>
      </c>
      <c r="K1431" s="247" t="s">
        <v>6224</v>
      </c>
      <c r="L1431" s="248">
        <v>192101</v>
      </c>
      <c r="M1431" s="249">
        <f>15*(LEFT(TEXT($L1431,"000000"),2)+(MID(TEXT($L1431,"000000"),3,2)/60)+(RIGHT(TEXT($L1431,"000000"),2)/3600))</f>
        <v>290.25416666666672</v>
      </c>
      <c r="N1431" s="250">
        <v>73659</v>
      </c>
      <c r="O1431" s="251">
        <f>IF($N1431&gt;0,(LEFT(TEXT($N1431,"000000"),2)+(MID(TEXT($N1431,"000000"),3,2)/60)+(RIGHT(TEXT($N1431,"000000"),2)/3600)),-(MID(TEXT($N1431,"000000"),2,2)+(MID(TEXT($N1431,"000000"),4,2)/60)+(RIGHT(TEXT($N1431,"000000"),2)/3600)))</f>
        <v>7.6163888888888884</v>
      </c>
      <c r="P1431" s="252" t="s">
        <v>126</v>
      </c>
      <c r="Q1431" s="253"/>
      <c r="R1431" s="277" t="s">
        <v>3293</v>
      </c>
      <c r="S1431" s="272" t="s">
        <v>3293</v>
      </c>
      <c r="T1431" s="273"/>
      <c r="U1431" s="274"/>
      <c r="V1431" s="280"/>
      <c r="W1431" s="244"/>
      <c r="X1431" s="244"/>
      <c r="Y1431" s="362"/>
      <c r="Z1431" s="257">
        <f>altaz(J2000_Bas,$O1431,$M1431,DecLat,DecLong,1)</f>
        <v>66.281140622163846</v>
      </c>
      <c r="AA1431" s="257">
        <f>altaz((J2000_Bas+(2*0.04167)),$O1431,$M1431,DecLat,DecLong,1)</f>
        <v>56.404570363138575</v>
      </c>
      <c r="AB1431" s="257">
        <f>altaz((J2000_Bas+(4*0.04167)),$O1431,$M1431,DecLat,DecLong,1)</f>
        <v>32.981577890132662</v>
      </c>
      <c r="AC1431" s="257">
        <f>altaz((J2000_Bas+(6*0.04167)),$O1431,$M1431,DecLat,DecLong,1)</f>
        <v>7.3250127551716133</v>
      </c>
      <c r="AD1431" s="258">
        <f>1+ transit((J2000_Bas-1),$O1431,$M1431,DecLat,DecLong)/360 + (GMTOffset/24) + (IF(DST="Y", 1, 0)/24)</f>
        <v>1.7991614540776248</v>
      </c>
      <c r="AE1431" s="259">
        <f>DATE(2001,9,21)+(M1431/360)*365 - (360*((DecLong/360)- (GMTOffset/24) ))</f>
        <v>37454.285474537035</v>
      </c>
      <c r="AF1431" s="260">
        <f>IF(DecLat&gt;0,IF((90 - (DecLat-O1431))&gt;90, (90 - (O1431-DecLat)), (90 - (DecLat-O1431))),IF((90 + (DecLat-O1431))&gt;90, (90 + (O1431-DecLat)), (90 + (DecLat-O1431))))</f>
        <v>66.616388888888892</v>
      </c>
      <c r="AG1431" s="257">
        <f>angularseperation(MoonRA,MoonDec,$M1431,$O1431)</f>
        <v>52.731538053576038</v>
      </c>
      <c r="AH1431" s="261">
        <f ca="1">MIN(100,IF($O$5&gt;80,0+30*($AG1431/100),IF($O$5&gt;70,0+50*($AG1431/100),IF($O$5&gt;60,5+50*($AG1431/100),IF($O$5&gt;50,10+60*($AG1431/100),IF($O$5&gt;40,15+70*($AG1431/100),IF($O$5&gt;30,20+70*($AG1431/100),IF($O$5&gt;20,40+55*($AG1431/100),(80+(20-$O$5)+30*($AG1431/100))))))))))</f>
        <v>99.09052176022324</v>
      </c>
      <c r="AI1431" s="263"/>
      <c r="AJ1431" s="263"/>
      <c r="AK1431" s="263"/>
      <c r="AL1431" s="263"/>
      <c r="AM1431" s="264"/>
      <c r="AN1431" s="263"/>
      <c r="AO1431" s="263"/>
      <c r="AP1431" s="265"/>
      <c r="AQ1431" s="265"/>
      <c r="AR1431" s="285"/>
      <c r="AS1431" s="263"/>
      <c r="AT1431" s="263"/>
      <c r="AU1431" s="263"/>
      <c r="AV1431" s="264">
        <v>414</v>
      </c>
      <c r="AW1431" s="263"/>
      <c r="AX1431" s="263"/>
      <c r="AY1431" s="263"/>
      <c r="AZ1431" s="263"/>
      <c r="BA1431" s="263"/>
      <c r="BB1431" s="263"/>
      <c r="BC1431" s="263"/>
      <c r="BD1431" s="264"/>
      <c r="BE1431" s="263"/>
      <c r="BF1431" s="263"/>
      <c r="BG1431" s="263"/>
      <c r="BH1431" s="263"/>
      <c r="BI1431" s="263"/>
      <c r="BJ1431" s="404">
        <f>altaz(J2000_Bas,$O1431,$M1431,DecLat,DecLong,2)</f>
        <v>169.47433514966937</v>
      </c>
      <c r="BK1431" s="378" t="s">
        <v>4780</v>
      </c>
      <c r="BL1431" s="379">
        <f>IF((2*G1431)/60&lt;0.2,0.2,(2*G1431)/60)</f>
        <v>0.2</v>
      </c>
      <c r="BM1431" s="380">
        <f>MOD((50000+AD1431-$B$3+(0/24)),1)</f>
        <v>1.4528383784636389E-2</v>
      </c>
      <c r="BN1431" s="381"/>
      <c r="BO1431" s="382">
        <v>1424</v>
      </c>
    </row>
    <row r="1432" spans="1:67" s="24" customFormat="1" ht="15" customHeight="1" x14ac:dyDescent="0.25">
      <c r="A1432" s="288" t="s">
        <v>1478</v>
      </c>
      <c r="B1432" s="241" t="str">
        <f>HYPERLINK(CONCATENATE($AT$3,BK1432,$AU$3),$AV$3)</f>
        <v>S</v>
      </c>
      <c r="C1432" s="242" t="str">
        <f>HYPERLINK(CONCATENATE($AT$4,BK1432,$AU$4,BL1432),$AV$4)</f>
        <v>A</v>
      </c>
      <c r="D1432" s="243" t="s">
        <v>5187</v>
      </c>
      <c r="E1432" s="244" t="s">
        <v>5181</v>
      </c>
      <c r="F1432" s="269" t="s">
        <v>5746</v>
      </c>
      <c r="G1432" s="273">
        <v>1</v>
      </c>
      <c r="H1432" s="271" t="s">
        <v>6500</v>
      </c>
      <c r="I1432" s="244" t="s">
        <v>6500</v>
      </c>
      <c r="J1432" s="246">
        <v>2</v>
      </c>
      <c r="K1432" s="247" t="s">
        <v>5065</v>
      </c>
      <c r="L1432" s="248">
        <v>200900</v>
      </c>
      <c r="M1432" s="249">
        <f>15*(LEFT(TEXT($L1432,"000000"),2)+(MID(TEXT($L1432,"000000"),3,2)/60)+(RIGHT(TEXT($L1432,"000000"),2)/3600))</f>
        <v>302.25</v>
      </c>
      <c r="N1432" s="250">
        <v>434400</v>
      </c>
      <c r="O1432" s="251">
        <f>IF($N1432&gt;0,(LEFT(TEXT($N1432,"000000"),2)+(MID(TEXT($N1432,"000000"),3,2)/60)+(RIGHT(TEXT($N1432,"000000"),2)/3600)),-(MID(TEXT($N1432,"000000"),2,2)+(MID(TEXT($N1432,"000000"),4,2)/60)+(RIGHT(TEXT($N1432,"000000"),2)/3600)))</f>
        <v>43.733333333333334</v>
      </c>
      <c r="P1432" s="252" t="s">
        <v>60</v>
      </c>
      <c r="Q1432" s="253"/>
      <c r="R1432" s="247" t="s">
        <v>3293</v>
      </c>
      <c r="S1432" s="272" t="s">
        <v>3293</v>
      </c>
      <c r="T1432" s="273"/>
      <c r="U1432" s="274"/>
      <c r="V1432" s="280"/>
      <c r="W1432" s="244"/>
      <c r="X1432" s="244"/>
      <c r="Y1432" s="362"/>
      <c r="Z1432" s="257">
        <f>altaz(J2000_Bas,$O1432,$M1432,DecLat,DecLong,1)</f>
        <v>71.928644833375813</v>
      </c>
      <c r="AA1432" s="257">
        <f>altaz((J2000_Bas+(2*0.04167)),$O1432,$M1432,DecLat,DecLong,1)</f>
        <v>73.222367225117168</v>
      </c>
      <c r="AB1432" s="257">
        <f>altaz((J2000_Bas+(4*0.04167)),$O1432,$M1432,DecLat,DecLong,1)</f>
        <v>53.337292231851123</v>
      </c>
      <c r="AC1432" s="257">
        <f>altaz((J2000_Bas+(6*0.04167)),$O1432,$M1432,DecLat,DecLong,1)</f>
        <v>31.78281117110204</v>
      </c>
      <c r="AD1432" s="258">
        <f>1+ transit((J2000_Bas-1),$O1432,$M1432,DecLat,DecLong)/360 + (GMTOffset/24) + (IF(DST="Y", 1, 0)/24)</f>
        <v>1.8324832100047084</v>
      </c>
      <c r="AE1432" s="259">
        <f>DATE(2001,9,21)+(M1432/360)*365 - (360*((DecLong/360)- (GMTOffset/24) ))</f>
        <v>37466.447916666664</v>
      </c>
      <c r="AF1432" s="260">
        <f>IF(DecLat&gt;0,IF((90 - (DecLat-O1432))&gt;90, (90 - (O1432-DecLat)), (90 - (DecLat-O1432))),IF((90 + (DecLat-O1432))&gt;90, (90 + (O1432-DecLat)), (90 + (DecLat-O1432))))</f>
        <v>77.266666666666666</v>
      </c>
      <c r="AG1432" s="257">
        <f>angularseperation(MoonRA,MoonDec,$M1432,$O1432)</f>
        <v>85.851409780216528</v>
      </c>
      <c r="AH1432" s="261">
        <f ca="1">MIN(100,IF($O$5&gt;80,0+30*($AG1432/100),IF($O$5&gt;70,0+50*($AG1432/100),IF($O$5&gt;60,5+50*($AG1432/100),IF($O$5&gt;50,10+60*($AG1432/100),IF($O$5&gt;40,15+70*($AG1432/100),IF($O$5&gt;30,20+70*($AG1432/100),IF($O$5&gt;20,40+55*($AG1432/100),(80+(20-$O$5)+30*($AG1432/100))))))))))</f>
        <v>100</v>
      </c>
      <c r="AI1432" s="262"/>
      <c r="AJ1432" s="262"/>
      <c r="AK1432" s="262"/>
      <c r="AL1432" s="263"/>
      <c r="AM1432" s="264"/>
      <c r="AN1432" s="263"/>
      <c r="AO1432" s="263"/>
      <c r="AP1432" s="265"/>
      <c r="AQ1432" s="266"/>
      <c r="AR1432" s="267"/>
      <c r="AS1432" s="263"/>
      <c r="AT1432" s="263"/>
      <c r="AU1432" s="263"/>
      <c r="AV1432" s="264">
        <v>417</v>
      </c>
      <c r="AW1432" s="263"/>
      <c r="AX1432" s="263"/>
      <c r="AY1432" s="263"/>
      <c r="AZ1432" s="263"/>
      <c r="BA1432" s="263"/>
      <c r="BB1432" s="263"/>
      <c r="BC1432" s="263"/>
      <c r="BD1432" s="264"/>
      <c r="BE1432" s="263"/>
      <c r="BF1432" s="263"/>
      <c r="BG1432" s="263"/>
      <c r="BH1432" s="263"/>
      <c r="BI1432" s="263"/>
      <c r="BJ1432" s="404">
        <f>altaz(J2000_Bas,$O1432,$M1432,DecLat,DecLong,2)</f>
        <v>40.671056253704023</v>
      </c>
      <c r="BK1432" s="378" t="s">
        <v>4781</v>
      </c>
      <c r="BL1432" s="379">
        <f>IF((2*G1432)/60&lt;0.2,0.2,(2*G1432)/60)</f>
        <v>0.2</v>
      </c>
      <c r="BM1432" s="380">
        <f>MOD((50000+AD1432-$B$3+(0/24)),1)</f>
        <v>4.7850139708316419E-2</v>
      </c>
      <c r="BN1432" s="381" t="s">
        <v>8665</v>
      </c>
      <c r="BO1432" s="382">
        <v>1425</v>
      </c>
    </row>
    <row r="1433" spans="1:67" s="24" customFormat="1" ht="15" customHeight="1" x14ac:dyDescent="0.25">
      <c r="A1433" s="288" t="s">
        <v>1479</v>
      </c>
      <c r="B1433" s="241" t="str">
        <f>HYPERLINK(CONCATENATE($AT$3,BK1433,$AU$3),$AV$3)</f>
        <v>S</v>
      </c>
      <c r="C1433" s="242" t="str">
        <f>HYPERLINK(CONCATENATE($AT$4,BK1433,$AU$4,BL1433),$AV$4)</f>
        <v>A</v>
      </c>
      <c r="D1433" s="243" t="s">
        <v>5638</v>
      </c>
      <c r="E1433" s="244" t="s">
        <v>5337</v>
      </c>
      <c r="F1433" s="269" t="s">
        <v>3317</v>
      </c>
      <c r="G1433" s="270">
        <v>0.3</v>
      </c>
      <c r="H1433" s="283">
        <v>550</v>
      </c>
      <c r="I1433" s="246">
        <v>50</v>
      </c>
      <c r="J1433" s="246">
        <v>2</v>
      </c>
      <c r="K1433" s="247" t="s">
        <v>8432</v>
      </c>
      <c r="L1433" s="248">
        <v>134442</v>
      </c>
      <c r="M1433" s="249">
        <f>15*(LEFT(TEXT($L1433,"000000"),2)+(MID(TEXT($L1433,"000000"),3,2)/60)+(RIGHT(TEXT($L1433,"000000"),2)/3600))</f>
        <v>206.17499999999998</v>
      </c>
      <c r="N1433" s="250">
        <v>555319</v>
      </c>
      <c r="O1433" s="251">
        <f>IF($N1433&gt;0,(LEFT(TEXT($N1433,"000000"),2)+(MID(TEXT($N1433,"000000"),3,2)/60)+(RIGHT(TEXT($N1433,"000000"),2)/3600)),-(MID(TEXT($N1433,"000000"),2,2)+(MID(TEXT($N1433,"000000"),4,2)/60)+(RIGHT(TEXT($N1433,"000000"),2)/3600)))</f>
        <v>55.888611111111111</v>
      </c>
      <c r="P1433" s="252" t="s">
        <v>37</v>
      </c>
      <c r="Q1433" s="253"/>
      <c r="R1433" s="247" t="s">
        <v>3293</v>
      </c>
      <c r="S1433" s="272" t="s">
        <v>3293</v>
      </c>
      <c r="T1433" s="273">
        <v>14.9</v>
      </c>
      <c r="U1433" s="274"/>
      <c r="V1433" s="280"/>
      <c r="W1433" s="244"/>
      <c r="X1433" s="244"/>
      <c r="Y1433" s="362"/>
      <c r="Z1433" s="257">
        <f>altaz(J2000_Bas,$O1433,$M1433,DecLat,DecLong,1)</f>
        <v>30.751936986953858</v>
      </c>
      <c r="AA1433" s="257">
        <f>altaz((J2000_Bas+(2*0.04167)),$O1433,$M1433,DecLat,DecLong,1)</f>
        <v>15.230799525617321</v>
      </c>
      <c r="AB1433" s="257">
        <f>altaz((J2000_Bas+(4*0.04167)),$O1433,$M1433,DecLat,DecLong,1)</f>
        <v>3.3366973326402305</v>
      </c>
      <c r="AC1433" s="257">
        <f>altaz((J2000_Bas+(6*0.04167)),$O1433,$M1433,DecLat,DecLong,1)</f>
        <v>-2.6991855420718411</v>
      </c>
      <c r="AD1433" s="258">
        <f>1+ transit((J2000_Bas-1),$O1433,$M1433,DecLat,DecLong)/360 + (GMTOffset/24) + (IF(DST="Y", 1, 0)/24)</f>
        <v>1.5656082366922079</v>
      </c>
      <c r="AE1433" s="259">
        <f>DATE(2001,9,21)+(M1433/360)*365 - (360*((DecLong/360)- (GMTOffset/24) ))</f>
        <v>37369.038541666669</v>
      </c>
      <c r="AF1433" s="260">
        <f>IF(DecLat&gt;0,IF((90 - (DecLat-O1433))&gt;90, (90 - (O1433-DecLat)), (90 - (DecLat-O1433))),IF((90 + (DecLat-O1433))&gt;90, (90 + (O1433-DecLat)), (90 + (DecLat-O1433))))</f>
        <v>65.111388888888882</v>
      </c>
      <c r="AG1433" s="257">
        <f>angularseperation(MoonRA,MoonDec,$M1433,$O1433)</f>
        <v>90.698584922497588</v>
      </c>
      <c r="AH1433" s="261">
        <f ca="1">MIN(100,IF($O$5&gt;80,0+30*($AG1433/100),IF($O$5&gt;70,0+50*($AG1433/100),IF($O$5&gt;60,5+50*($AG1433/100),IF($O$5&gt;50,10+60*($AG1433/100),IF($O$5&gt;40,15+70*($AG1433/100),IF($O$5&gt;30,20+70*($AG1433/100),IF($O$5&gt;20,40+55*($AG1433/100),(80+(20-$O$5)+30*($AG1433/100))))))))))</f>
        <v>100</v>
      </c>
      <c r="AI1433" s="262"/>
      <c r="AJ1433" s="262"/>
      <c r="AK1433" s="262"/>
      <c r="AL1433" s="263"/>
      <c r="AM1433" s="264"/>
      <c r="AN1433" s="263"/>
      <c r="AO1433" s="263"/>
      <c r="AP1433" s="265"/>
      <c r="AQ1433" s="266">
        <v>8696</v>
      </c>
      <c r="AR1433" s="267">
        <v>48711</v>
      </c>
      <c r="AS1433" s="263"/>
      <c r="AT1433" s="263"/>
      <c r="AU1433" s="263"/>
      <c r="AV1433" s="264"/>
      <c r="AW1433" s="263"/>
      <c r="AX1433" s="263"/>
      <c r="AY1433" s="263"/>
      <c r="AZ1433" s="263"/>
      <c r="BA1433" s="263"/>
      <c r="BB1433" s="263"/>
      <c r="BC1433" s="263"/>
      <c r="BD1433" s="264"/>
      <c r="BE1433" s="263"/>
      <c r="BF1433" s="263"/>
      <c r="BG1433" s="263"/>
      <c r="BH1433" s="263"/>
      <c r="BI1433" s="263"/>
      <c r="BJ1433" s="404">
        <f>altaz(J2000_Bas,$O1433,$M1433,DecLat,DecLong,2)</f>
        <v>320.03623401923846</v>
      </c>
      <c r="BK1433" s="378" t="s">
        <v>1479</v>
      </c>
      <c r="BL1433" s="379">
        <f>IF((2*G1433)/60&lt;0.2,0.2,(2*G1433)/60)</f>
        <v>0.2</v>
      </c>
      <c r="BM1433" s="380">
        <f>MOD((50000+AD1433-$B$3+(0/24)),1)</f>
        <v>0.78097516639536479</v>
      </c>
      <c r="BN1433" s="381" t="s">
        <v>9281</v>
      </c>
      <c r="BO1433" s="382">
        <v>1426</v>
      </c>
    </row>
    <row r="1434" spans="1:67" s="24" customFormat="1" ht="15" customHeight="1" x14ac:dyDescent="0.25">
      <c r="A1434" s="288" t="s">
        <v>7648</v>
      </c>
      <c r="B1434" s="241" t="str">
        <f>HYPERLINK(CONCATENATE($AT$3,BK1434,$AU$3),$AV$3)</f>
        <v>S</v>
      </c>
      <c r="C1434" s="242" t="str">
        <f>HYPERLINK(CONCATENATE($AT$4,BK1434,$AU$4,BL1434),$AV$4)</f>
        <v>A</v>
      </c>
      <c r="D1434" s="243" t="s">
        <v>5638</v>
      </c>
      <c r="E1434" s="244" t="s">
        <v>5194</v>
      </c>
      <c r="F1434" s="293"/>
      <c r="G1434" s="273">
        <v>1</v>
      </c>
      <c r="H1434" s="271">
        <v>250</v>
      </c>
      <c r="I1434" s="246">
        <v>75</v>
      </c>
      <c r="J1434" s="295">
        <v>2</v>
      </c>
      <c r="K1434" s="247" t="s">
        <v>6226</v>
      </c>
      <c r="L1434" s="248">
        <v>235119</v>
      </c>
      <c r="M1434" s="249">
        <f>15*(LEFT(TEXT($L1434,"000000"),2)+(MID(TEXT($L1434,"000000"),3,2)/60)+(RIGHT(TEXT($L1434,"000000"),2)/3600))</f>
        <v>357.82916666666671</v>
      </c>
      <c r="N1434" s="250">
        <v>203436</v>
      </c>
      <c r="O1434" s="251">
        <f>IF($N1434&gt;0,(LEFT(TEXT($N1434,"000000"),2)+(MID(TEXT($N1434,"000000"),3,2)/60)+(RIGHT(TEXT($N1434,"000000"),2)/3600)),-(MID(TEXT($N1434,"000000"),2,2)+(MID(TEXT($N1434,"000000"),4,2)/60)+(RIGHT(TEXT($N1434,"000000"),2)/3600)))</f>
        <v>20.576666666666668</v>
      </c>
      <c r="P1434" s="252" t="s">
        <v>39</v>
      </c>
      <c r="Q1434" s="253"/>
      <c r="R1434" s="277" t="s">
        <v>3293</v>
      </c>
      <c r="S1434" s="272" t="s">
        <v>3293</v>
      </c>
      <c r="T1434" s="273"/>
      <c r="U1434" s="274"/>
      <c r="V1434" s="280"/>
      <c r="W1434" s="244"/>
      <c r="X1434" s="244"/>
      <c r="Y1434" s="362"/>
      <c r="Z1434" s="257">
        <f>altaz(J2000_Bas,$O1434,$M1434,DecLat,DecLong,1)</f>
        <v>25.550446575974036</v>
      </c>
      <c r="AA1434" s="257">
        <f>altaz((J2000_Bas+(2*0.04167)),$O1434,$M1434,DecLat,DecLong,1)</f>
        <v>51.241172245425247</v>
      </c>
      <c r="AB1434" s="257">
        <f>altaz((J2000_Bas+(4*0.04167)),$O1434,$M1434,DecLat,DecLong,1)</f>
        <v>75.227341068709435</v>
      </c>
      <c r="AC1434" s="257">
        <f>altaz((J2000_Bas+(6*0.04167)),$O1434,$M1434,DecLat,DecLong,1)</f>
        <v>70.450357199142189</v>
      </c>
      <c r="AD1434" s="258">
        <f>1+ transit((J2000_Bas-1),$O1434,$M1434,DecLat,DecLong)/360 + (GMTOffset/24) + (IF(DST="Y", 1, 0)/24)</f>
        <v>1.9868697686401251</v>
      </c>
      <c r="AE1434" s="259">
        <f>DATE(2001,9,21)+(M1434/360)*365 - (360*((DecLong/360)- (GMTOffset/24) ))</f>
        <v>37522.799016203702</v>
      </c>
      <c r="AF1434" s="260">
        <f>IF(DecLat&gt;0,IF((90 - (DecLat-O1434))&gt;90, (90 - (O1434-DecLat)), (90 - (DecLat-O1434))),IF((90 + (DecLat-O1434))&gt;90, (90 + (O1434-DecLat)), (90 + (DecLat-O1434))))</f>
        <v>79.576666666666668</v>
      </c>
      <c r="AG1434" s="257">
        <f>angularseperation(MoonRA,MoonDec,$M1434,$O1434)</f>
        <v>115.19549250430646</v>
      </c>
      <c r="AH1434" s="261">
        <f ca="1">MIN(100,IF($O$5&gt;80,0+30*($AG1434/100),IF($O$5&gt;70,0+50*($AG1434/100),IF($O$5&gt;60,5+50*($AG1434/100),IF($O$5&gt;50,10+60*($AG1434/100),IF($O$5&gt;40,15+70*($AG1434/100),IF($O$5&gt;30,20+70*($AG1434/100),IF($O$5&gt;20,40+55*($AG1434/100),(80+(20-$O$5)+30*($AG1434/100))))))))))</f>
        <v>100</v>
      </c>
      <c r="AI1434" s="263"/>
      <c r="AJ1434" s="263"/>
      <c r="AK1434" s="263"/>
      <c r="AL1434" s="263"/>
      <c r="AM1434" s="264"/>
      <c r="AN1434" s="263"/>
      <c r="AO1434" s="263"/>
      <c r="AP1434" s="265"/>
      <c r="AQ1434" s="265"/>
      <c r="AR1434" s="285"/>
      <c r="AS1434" s="263"/>
      <c r="AT1434" s="263"/>
      <c r="AU1434" s="263"/>
      <c r="AV1434" s="264"/>
      <c r="AW1434" s="263"/>
      <c r="AX1434" s="263"/>
      <c r="AY1434" s="263"/>
      <c r="AZ1434" s="263"/>
      <c r="BA1434" s="263"/>
      <c r="BB1434" s="263"/>
      <c r="BC1434" s="263"/>
      <c r="BD1434" s="264"/>
      <c r="BE1434" s="263"/>
      <c r="BF1434" s="263"/>
      <c r="BG1434" s="263"/>
      <c r="BH1434" s="263"/>
      <c r="BI1434" s="263"/>
      <c r="BJ1434" s="404">
        <f>altaz(J2000_Bas,$O1434,$M1434,DecLat,DecLong,2)</f>
        <v>80.373517383924465</v>
      </c>
      <c r="BK1434" s="378" t="s">
        <v>3281</v>
      </c>
      <c r="BL1434" s="379">
        <f>IF((2*G1434)/60&lt;0.2,0.2,(2*G1434)/60)</f>
        <v>0.2</v>
      </c>
      <c r="BM1434" s="380">
        <f>MOD((50000+AD1434-$B$3+(0/24)),1)</f>
        <v>0.20223669834376778</v>
      </c>
      <c r="BN1434" s="381"/>
      <c r="BO1434" s="382">
        <v>1427</v>
      </c>
    </row>
    <row r="1435" spans="1:67" s="24" customFormat="1" ht="15" customHeight="1" x14ac:dyDescent="0.25">
      <c r="A1435" s="287" t="s">
        <v>5544</v>
      </c>
      <c r="B1435" s="241" t="str">
        <f>HYPERLINK(CONCATENATE($AT$3,BK1435,$AU$3),$AV$3)</f>
        <v>S</v>
      </c>
      <c r="C1435" s="242" t="str">
        <f>HYPERLINK(CONCATENATE($AT$4,BK1435,$AU$4,BL1435),$AV$4)</f>
        <v>A</v>
      </c>
      <c r="D1435" s="243" t="s">
        <v>5187</v>
      </c>
      <c r="E1435" s="244" t="s">
        <v>7522</v>
      </c>
      <c r="F1435" s="269"/>
      <c r="G1435" s="276">
        <v>240</v>
      </c>
      <c r="H1435" s="271" t="s">
        <v>6500</v>
      </c>
      <c r="I1435" s="244" t="s">
        <v>6500</v>
      </c>
      <c r="J1435" s="246">
        <v>3</v>
      </c>
      <c r="K1435" s="247" t="s">
        <v>5547</v>
      </c>
      <c r="L1435" s="248">
        <v>172450</v>
      </c>
      <c r="M1435" s="249">
        <f>15*(LEFT(TEXT($L1435,"000000"),2)+(MID(TEXT($L1435,"000000"),3,2)/60)+(RIGHT(TEXT($L1435,"000000"),2)/3600))</f>
        <v>261.20833333333331</v>
      </c>
      <c r="N1435" s="250">
        <v>-790010</v>
      </c>
      <c r="O1435" s="251">
        <f>IF($N1435&gt;0,(LEFT(TEXT($N1435,"000000"),2)+(MID(TEXT($N1435,"000000"),3,2)/60)+(RIGHT(TEXT($N1435,"000000"),2)/3600)),-(MID(TEXT($N1435,"000000"),2,2)+(MID(TEXT($N1435,"000000"),4,2)/60)+(RIGHT(TEXT($N1435,"000000"),2)/3600)))</f>
        <v>-79.00277777777778</v>
      </c>
      <c r="P1435" s="252" t="s">
        <v>5548</v>
      </c>
      <c r="Q1435" s="253" t="s">
        <v>7073</v>
      </c>
      <c r="R1435" s="277"/>
      <c r="S1435" s="272" t="s">
        <v>3293</v>
      </c>
      <c r="T1435" s="273"/>
      <c r="U1435" s="274"/>
      <c r="V1435" s="280"/>
      <c r="W1435" s="244"/>
      <c r="X1435" s="244"/>
      <c r="Y1435" s="362"/>
      <c r="Z1435" s="257">
        <f>altaz(J2000_Bas,$O1435,$M1435,DecLat,DecLong,1)</f>
        <v>-20.924570317901438</v>
      </c>
      <c r="AA1435" s="257">
        <f>altaz((J2000_Bas+(2*0.04167)),$O1435,$M1435,DecLat,DecLong,1)</f>
        <v>-24.299667670183343</v>
      </c>
      <c r="AB1435" s="257">
        <f>altaz((J2000_Bas+(4*0.04167)),$O1435,$M1435,DecLat,DecLong,1)</f>
        <v>-29.421116761873645</v>
      </c>
      <c r="AC1435" s="257">
        <f>altaz((J2000_Bas+(6*0.04167)),$O1435,$M1435,DecLat,DecLong,1)</f>
        <v>-35.086205611301125</v>
      </c>
      <c r="AD1435" s="258">
        <f>1+ transit((J2000_Bas-1),$O1435,$M1435,DecLat,DecLong)/360 + (GMTOffset/24) + (IF(DST="Y", 1, 0)/24)</f>
        <v>1.7184785917755414</v>
      </c>
      <c r="AE1435" s="259">
        <f>DATE(2001,9,21)+(M1435/360)*365 - (360*((DecLong/360)- (GMTOffset/24) ))</f>
        <v>37424.836226851854</v>
      </c>
      <c r="AF1435" s="260">
        <f>IF(DecLat&gt;0,IF((90 - (DecLat-O1435))&gt;90, (90 - (O1435-DecLat)), (90 - (DecLat-O1435))),IF((90 + (DecLat-O1435))&gt;90, (90 + (O1435-DecLat)), (90 + (DecLat-O1435))))</f>
        <v>-20.00277777777778</v>
      </c>
      <c r="AG1435" s="257">
        <f>angularseperation(MoonRA,MoonDec,$M1435,$O1435)</f>
        <v>52.186847633502389</v>
      </c>
      <c r="AH1435" s="261">
        <f ca="1">MIN(100,IF($O$5&gt;80,0+30*($AG1435/100),IF($O$5&gt;70,0+50*($AG1435/100),IF($O$5&gt;60,5+50*($AG1435/100),IF($O$5&gt;50,10+60*($AG1435/100),IF($O$5&gt;40,15+70*($AG1435/100),IF($O$5&gt;30,20+70*($AG1435/100),IF($O$5&gt;20,40+55*($AG1435/100),(80+(20-$O$5)+30*($AG1435/100))))))))))</f>
        <v>98.927114634201146</v>
      </c>
      <c r="AI1435" s="263"/>
      <c r="AJ1435" s="263"/>
      <c r="AK1435" s="263"/>
      <c r="AL1435" s="263"/>
      <c r="AM1435" s="264"/>
      <c r="AN1435" s="263"/>
      <c r="AO1435" s="263"/>
      <c r="AP1435" s="265"/>
      <c r="AQ1435" s="265"/>
      <c r="AR1435" s="285"/>
      <c r="AS1435" s="263"/>
      <c r="AT1435" s="263"/>
      <c r="AU1435" s="263"/>
      <c r="AV1435" s="264"/>
      <c r="AW1435" s="263"/>
      <c r="AX1435" s="263"/>
      <c r="AY1435" s="263"/>
      <c r="AZ1435" s="263"/>
      <c r="BA1435" s="263"/>
      <c r="BB1435" s="263"/>
      <c r="BC1435" s="263"/>
      <c r="BD1435" s="264"/>
      <c r="BE1435" s="263"/>
      <c r="BF1435" s="263"/>
      <c r="BG1435" s="263"/>
      <c r="BH1435" s="263"/>
      <c r="BI1435" s="263"/>
      <c r="BJ1435" s="404">
        <f>altaz(J2000_Bas,$O1435,$M1435,DecLat,DecLong,2)</f>
        <v>184.91318907380111</v>
      </c>
      <c r="BK1435" s="378" t="s">
        <v>5546</v>
      </c>
      <c r="BL1435" s="379">
        <f>IF((2*G1435)/60&lt;0.2,0.2,(2*G1435)/60)</f>
        <v>8</v>
      </c>
      <c r="BM1435" s="380">
        <f>MOD((50000+AD1435-$B$3+(0/24)),1)</f>
        <v>0.93384552148199873</v>
      </c>
      <c r="BN1435" s="381"/>
      <c r="BO1435" s="382">
        <v>1428</v>
      </c>
    </row>
    <row r="1436" spans="1:67" s="24" customFormat="1" ht="15" customHeight="1" x14ac:dyDescent="0.25">
      <c r="A1436" s="288" t="s">
        <v>1480</v>
      </c>
      <c r="B1436" s="241" t="str">
        <f>HYPERLINK(CONCATENATE($AT$3,BK1436,$AU$3),$AV$3)</f>
        <v>S</v>
      </c>
      <c r="C1436" s="242" t="str">
        <f>HYPERLINK(CONCATENATE($AT$4,BK1436,$AU$4,BL1436),$AV$4)</f>
        <v>A</v>
      </c>
      <c r="D1436" s="243" t="s">
        <v>5187</v>
      </c>
      <c r="E1436" s="244" t="s">
        <v>5181</v>
      </c>
      <c r="F1436" s="269" t="s">
        <v>5747</v>
      </c>
      <c r="G1436" s="276">
        <v>13</v>
      </c>
      <c r="H1436" s="283">
        <v>4500</v>
      </c>
      <c r="I1436" s="246">
        <v>17</v>
      </c>
      <c r="J1436" s="246">
        <v>2</v>
      </c>
      <c r="K1436" s="247" t="s">
        <v>5066</v>
      </c>
      <c r="L1436" s="248">
        <v>211708</v>
      </c>
      <c r="M1436" s="249">
        <f>15*(LEFT(TEXT($L1436,"000000"),2)+(MID(TEXT($L1436,"000000"),3,2)/60)+(RIGHT(TEXT($L1436,"000000"),2)/3600))</f>
        <v>319.28333333333336</v>
      </c>
      <c r="N1436" s="250">
        <v>341227</v>
      </c>
      <c r="O1436" s="251">
        <f>IF($N1436&gt;0,(LEFT(TEXT($N1436,"000000"),2)+(MID(TEXT($N1436,"000000"),3,2)/60)+(RIGHT(TEXT($N1436,"000000"),2)/3600)),-(MID(TEXT($N1436,"000000"),2,2)+(MID(TEXT($N1436,"000000"),4,2)/60)+(RIGHT(TEXT($N1436,"000000"),2)/3600)))</f>
        <v>34.207500000000003</v>
      </c>
      <c r="P1436" s="252" t="s">
        <v>60</v>
      </c>
      <c r="Q1436" s="253"/>
      <c r="R1436" s="247" t="s">
        <v>3293</v>
      </c>
      <c r="S1436" s="272" t="s">
        <v>3293</v>
      </c>
      <c r="T1436" s="273">
        <v>12.3</v>
      </c>
      <c r="U1436" s="274"/>
      <c r="V1436" s="280"/>
      <c r="W1436" s="244"/>
      <c r="X1436" s="244"/>
      <c r="Y1436" s="362"/>
      <c r="Z1436" s="257">
        <f>altaz(J2000_Bas,$O1436,$M1436,DecLat,DecLong,1)</f>
        <v>61.905374360265128</v>
      </c>
      <c r="AA1436" s="257">
        <f>altaz((J2000_Bas+(2*0.04167)),$O1436,$M1436,DecLat,DecLong,1)</f>
        <v>85.812774210186177</v>
      </c>
      <c r="AB1436" s="257">
        <f>altaz((J2000_Bas+(4*0.04167)),$O1436,$M1436,DecLat,DecLong,1)</f>
        <v>67.190005941251627</v>
      </c>
      <c r="AC1436" s="257">
        <f>altaz((J2000_Bas+(6*0.04167)),$O1436,$M1436,DecLat,DecLong,1)</f>
        <v>42.525365016243548</v>
      </c>
      <c r="AD1436" s="258">
        <f>1+ transit((J2000_Bas-1),$O1436,$M1436,DecLat,DecLong)/360 + (GMTOffset/24) + (IF(DST="Y", 1, 0)/24)</f>
        <v>1.8797980200880413</v>
      </c>
      <c r="AE1436" s="259">
        <f>DATE(2001,9,21)+(M1436/360)*365 - (360*((DecLong/360)- (GMTOffset/24) ))</f>
        <v>37483.717824074076</v>
      </c>
      <c r="AF1436" s="260">
        <f>IF(DecLat&gt;0,IF((90 - (DecLat-O1436))&gt;90, (90 - (O1436-DecLat)), (90 - (DecLat-O1436))),IF((90 + (DecLat-O1436))&gt;90, (90 + (O1436-DecLat)), (90 + (DecLat-O1436))))</f>
        <v>86.79249999999999</v>
      </c>
      <c r="AG1436" s="257">
        <f>angularseperation(MoonRA,MoonDec,$M1436,$O1436)</f>
        <v>90.265262396733334</v>
      </c>
      <c r="AH1436" s="261">
        <f ca="1">MIN(100,IF($O$5&gt;80,0+30*($AG1436/100),IF($O$5&gt;70,0+50*($AG1436/100),IF($O$5&gt;60,5+50*($AG1436/100),IF($O$5&gt;50,10+60*($AG1436/100),IF($O$5&gt;40,15+70*($AG1436/100),IF($O$5&gt;30,20+70*($AG1436/100),IF($O$5&gt;20,40+55*($AG1436/100),(80+(20-$O$5)+30*($AG1436/100))))))))))</f>
        <v>100</v>
      </c>
      <c r="AI1436" s="262"/>
      <c r="AJ1436" s="262"/>
      <c r="AK1436" s="262"/>
      <c r="AL1436" s="263"/>
      <c r="AM1436" s="264"/>
      <c r="AN1436" s="263"/>
      <c r="AO1436" s="263"/>
      <c r="AP1436" s="265"/>
      <c r="AQ1436" s="266"/>
      <c r="AR1436" s="267"/>
      <c r="AS1436" s="263"/>
      <c r="AT1436" s="263"/>
      <c r="AU1436" s="263"/>
      <c r="AV1436" s="264"/>
      <c r="AW1436" s="263"/>
      <c r="AX1436" s="263"/>
      <c r="AY1436" s="263"/>
      <c r="AZ1436" s="263"/>
      <c r="BA1436" s="263"/>
      <c r="BB1436" s="263"/>
      <c r="BC1436" s="263"/>
      <c r="BD1436" s="264"/>
      <c r="BE1436" s="263"/>
      <c r="BF1436" s="263"/>
      <c r="BG1436" s="263"/>
      <c r="BH1436" s="263"/>
      <c r="BI1436" s="263"/>
      <c r="BJ1436" s="404">
        <f>altaz(J2000_Bas,$O1436,$M1436,DecLat,DecLong,2)</f>
        <v>74.505130578260761</v>
      </c>
      <c r="BK1436" s="378" t="s">
        <v>1480</v>
      </c>
      <c r="BL1436" s="379">
        <f>IF((2*G1436)/60&lt;0.2,0.2,(2*G1436)/60)</f>
        <v>0.43333333333333335</v>
      </c>
      <c r="BM1436" s="380">
        <f>MOD((50000+AD1436-$B$3+(0/24)),1)</f>
        <v>9.5164949794707354E-2</v>
      </c>
      <c r="BN1436" s="381"/>
      <c r="BO1436" s="382">
        <v>1429</v>
      </c>
    </row>
    <row r="1437" spans="1:67" s="24" customFormat="1" ht="15" customHeight="1" x14ac:dyDescent="0.25">
      <c r="A1437" s="287" t="s">
        <v>5589</v>
      </c>
      <c r="B1437" s="241" t="str">
        <f>HYPERLINK(CONCATENATE($AT$3,BK1437,$AU$3),$AV$3)</f>
        <v>S</v>
      </c>
      <c r="C1437" s="242" t="str">
        <f>HYPERLINK(CONCATENATE($AT$4,BK1437,$AU$4,BL1437),$AV$4)</f>
        <v>A</v>
      </c>
      <c r="D1437" s="243" t="s">
        <v>5187</v>
      </c>
      <c r="E1437" s="244" t="s">
        <v>5183</v>
      </c>
      <c r="F1437" s="269" t="s">
        <v>9158</v>
      </c>
      <c r="G1437" s="276">
        <v>20</v>
      </c>
      <c r="H1437" s="271" t="s">
        <v>6500</v>
      </c>
      <c r="I1437" s="244" t="s">
        <v>6500</v>
      </c>
      <c r="J1437" s="246">
        <v>5</v>
      </c>
      <c r="K1437" s="247" t="s">
        <v>5583</v>
      </c>
      <c r="L1437" s="248">
        <v>45700</v>
      </c>
      <c r="M1437" s="249">
        <f>15*(LEFT(TEXT($L1437,"000000"),2)+(MID(TEXT($L1437,"000000"),3,2)/60)+(RIGHT(TEXT($L1437,"000000"),2)/3600))</f>
        <v>74.25</v>
      </c>
      <c r="N1437" s="250">
        <v>-662525</v>
      </c>
      <c r="O1437" s="251">
        <f>IF($N1437&gt;0,(LEFT(TEXT($N1437,"000000"),2)+(MID(TEXT($N1437,"000000"),3,2)/60)+(RIGHT(TEXT($N1437,"000000"),2)/3600)),-(MID(TEXT($N1437,"000000"),2,2)+(MID(TEXT($N1437,"000000"),4,2)/60)+(RIGHT(TEXT($N1437,"000000"),2)/3600)))</f>
        <v>-66.423611111111114</v>
      </c>
      <c r="P1437" s="252" t="s">
        <v>1697</v>
      </c>
      <c r="Q1437" s="253" t="s">
        <v>5582</v>
      </c>
      <c r="R1437" s="277" t="s">
        <v>3293</v>
      </c>
      <c r="S1437" s="272" t="s">
        <v>5588</v>
      </c>
      <c r="T1437" s="273"/>
      <c r="U1437" s="274"/>
      <c r="V1437" s="280"/>
      <c r="W1437" s="244"/>
      <c r="X1437" s="244"/>
      <c r="Y1437" s="362"/>
      <c r="Z1437" s="257">
        <f>altaz(J2000_Bas,$O1437,$M1437,DecLat,DecLong,1)</f>
        <v>-49.780396023140199</v>
      </c>
      <c r="AA1437" s="257">
        <f>altaz((J2000_Bas+(2*0.04167)),$O1437,$M1437,DecLat,DecLong,1)</f>
        <v>-39.335558338046113</v>
      </c>
      <c r="AB1437" s="257">
        <f>altaz((J2000_Bas+(4*0.04167)),$O1437,$M1437,DecLat,DecLong,1)</f>
        <v>-27.42258849518878</v>
      </c>
      <c r="AC1437" s="257">
        <f>altaz((J2000_Bas+(6*0.04167)),$O1437,$M1437,DecLat,DecLong,1)</f>
        <v>-16.878078106952135</v>
      </c>
      <c r="AD1437" s="258">
        <f>1+ transit((J2000_Bas-1),$O1437,$M1437,DecLat,DecLong)/360 + (GMTOffset/24) + (IF(DST="Y", 1, 0)/24)</f>
        <v>1.1991499400047081</v>
      </c>
      <c r="AE1437" s="259">
        <f>DATE(2001,9,21)+(M1437/360)*365 - (360*((DecLong/360)- (GMTOffset/24) ))</f>
        <v>37235.28125</v>
      </c>
      <c r="AF1437" s="260">
        <f>IF(DecLat&gt;0,IF((90 - (DecLat-O1437))&gt;90, (90 - (O1437-DecLat)), (90 - (DecLat-O1437))),IF((90 + (DecLat-O1437))&gt;90, (90 + (O1437-DecLat)), (90 + (DecLat-O1437))))</f>
        <v>-7.4236111111111143</v>
      </c>
      <c r="AG1437" s="257">
        <f>angularseperation(MoonRA,MoonDec,$M1437,$O1437)</f>
        <v>86.414253170651506</v>
      </c>
      <c r="AH1437" s="261">
        <f ca="1">MIN(100,IF($O$5&gt;80,0+30*($AG1437/100),IF($O$5&gt;70,0+50*($AG1437/100),IF($O$5&gt;60,5+50*($AG1437/100),IF($O$5&gt;50,10+60*($AG1437/100),IF($O$5&gt;40,15+70*($AG1437/100),IF($O$5&gt;30,20+70*($AG1437/100),IF($O$5&gt;20,40+55*($AG1437/100),(80+(20-$O$5)+30*($AG1437/100))))))))))</f>
        <v>100</v>
      </c>
      <c r="AI1437" s="263">
        <v>1760</v>
      </c>
      <c r="AJ1437" s="263"/>
      <c r="AK1437" s="263"/>
      <c r="AL1437" s="263"/>
      <c r="AM1437" s="264"/>
      <c r="AN1437" s="263"/>
      <c r="AO1437" s="263"/>
      <c r="AP1437" s="265"/>
      <c r="AQ1437" s="265"/>
      <c r="AR1437" s="285"/>
      <c r="AS1437" s="263"/>
      <c r="AT1437" s="263"/>
      <c r="AU1437" s="263"/>
      <c r="AV1437" s="264"/>
      <c r="AW1437" s="263"/>
      <c r="AX1437" s="263"/>
      <c r="AY1437" s="263"/>
      <c r="AZ1437" s="263"/>
      <c r="BA1437" s="263"/>
      <c r="BB1437" s="263"/>
      <c r="BC1437" s="263"/>
      <c r="BD1437" s="264"/>
      <c r="BE1437" s="263"/>
      <c r="BF1437" s="263"/>
      <c r="BG1437" s="263"/>
      <c r="BH1437" s="263"/>
      <c r="BI1437" s="263"/>
      <c r="BJ1437" s="404">
        <f>altaz(J2000_Bas,$O1437,$M1437,DecLat,DecLong,2)</f>
        <v>160.97554597930213</v>
      </c>
      <c r="BK1437" s="378" t="s">
        <v>5596</v>
      </c>
      <c r="BL1437" s="379">
        <f>IF((2*G1437)/60&lt;0.2,0.2,(2*G1437)/60)</f>
        <v>0.66666666666666663</v>
      </c>
      <c r="BM1437" s="380">
        <f>MOD((50000+AD1437-$B$3+(0/24)),1)</f>
        <v>0.41451686970685842</v>
      </c>
      <c r="BN1437" s="381"/>
      <c r="BO1437" s="382">
        <v>1430</v>
      </c>
    </row>
    <row r="1438" spans="1:67" s="24" customFormat="1" ht="15" customHeight="1" x14ac:dyDescent="0.25">
      <c r="A1438" s="287" t="s">
        <v>5592</v>
      </c>
      <c r="B1438" s="241" t="str">
        <f>HYPERLINK(CONCATENATE($AT$3,BK1438,$AU$3),$AV$3)</f>
        <v>S</v>
      </c>
      <c r="C1438" s="242" t="str">
        <f>HYPERLINK(CONCATENATE($AT$4,BK1438,$AU$4,BL1438),$AV$4)</f>
        <v>A</v>
      </c>
      <c r="D1438" s="243" t="s">
        <v>5595</v>
      </c>
      <c r="E1438" s="244" t="s">
        <v>5183</v>
      </c>
      <c r="F1438" s="269" t="s">
        <v>9158</v>
      </c>
      <c r="G1438" s="273">
        <v>7</v>
      </c>
      <c r="H1438" s="271" t="s">
        <v>6500</v>
      </c>
      <c r="I1438" s="244" t="s">
        <v>6500</v>
      </c>
      <c r="J1438" s="246">
        <v>3</v>
      </c>
      <c r="K1438" s="247" t="s">
        <v>5594</v>
      </c>
      <c r="L1438" s="248">
        <v>5025</v>
      </c>
      <c r="M1438" s="249">
        <f>15*(LEFT(TEXT($L1438,"000000"),2)+(MID(TEXT($L1438,"000000"),3,2)/60)+(RIGHT(TEXT($L1438,"000000"),2)/3600))</f>
        <v>12.604166666666666</v>
      </c>
      <c r="N1438" s="250">
        <v>-725253</v>
      </c>
      <c r="O1438" s="251">
        <f>IF($N1438&gt;0,(LEFT(TEXT($N1438,"000000"),2)+(MID(TEXT($N1438,"000000"),3,2)/60)+(RIGHT(TEXT($N1438,"000000"),2)/3600)),-(MID(TEXT($N1438,"000000"),2,2)+(MID(TEXT($N1438,"000000"),4,2)/60)+(RIGHT(TEXT($N1438,"000000"),2)/3600)))</f>
        <v>-72.881388888888878</v>
      </c>
      <c r="P1438" s="252" t="s">
        <v>1491</v>
      </c>
      <c r="Q1438" s="253"/>
      <c r="R1438" s="277" t="s">
        <v>3293</v>
      </c>
      <c r="S1438" s="272" t="s">
        <v>5593</v>
      </c>
      <c r="T1438" s="273"/>
      <c r="U1438" s="274"/>
      <c r="V1438" s="280"/>
      <c r="W1438" s="244"/>
      <c r="X1438" s="244"/>
      <c r="Y1438" s="362"/>
      <c r="Z1438" s="257">
        <f>altaz(J2000_Bas,$O1438,$M1438,DecLat,DecLong,1)</f>
        <v>-28.50685368342052</v>
      </c>
      <c r="AA1438" s="257">
        <f>altaz((J2000_Bas+(2*0.04167)),$O1438,$M1438,DecLat,DecLong,1)</f>
        <v>-20.672446802193161</v>
      </c>
      <c r="AB1438" s="257">
        <f>altaz((J2000_Bas+(4*0.04167)),$O1438,$M1438,DecLat,DecLong,1)</f>
        <v>-15.443561623189311</v>
      </c>
      <c r="AC1438" s="257">
        <f>altaz((J2000_Bas+(6*0.04167)),$O1438,$M1438,DecLat,DecLong,1)</f>
        <v>-13.91163123945598</v>
      </c>
      <c r="AD1438" s="258">
        <f>1+ transit((J2000_Bas-1),$O1438,$M1438,DecLat,DecLong)/360 + (GMTOffset/24) + (IF(DST="Y", 1, 0)/24)</f>
        <v>1.0279115312026246</v>
      </c>
      <c r="AE1438" s="259">
        <f>DATE(2001,9,21)+(M1438/360)*365 - (360*((DecLong/360)- (GMTOffset/24) ))</f>
        <v>37172.779224537036</v>
      </c>
      <c r="AF1438" s="260">
        <f>IF(DecLat&gt;0,IF((90 - (DecLat-O1438))&gt;90, (90 - (O1438-DecLat)), (90 - (DecLat-O1438))),IF((90 + (DecLat-O1438))&gt;90, (90 + (O1438-DecLat)), (90 + (DecLat-O1438))))</f>
        <v>-13.881388888888878</v>
      </c>
      <c r="AG1438" s="257">
        <f>angularseperation(MoonRA,MoonDec,$M1438,$O1438)</f>
        <v>73.081839847494081</v>
      </c>
      <c r="AH1438" s="261">
        <f ca="1">MIN(100,IF($O$5&gt;80,0+30*($AG1438/100),IF($O$5&gt;70,0+50*($AG1438/100),IF($O$5&gt;60,5+50*($AG1438/100),IF($O$5&gt;50,10+60*($AG1438/100),IF($O$5&gt;40,15+70*($AG1438/100),IF($O$5&gt;30,20+70*($AG1438/100),IF($O$5&gt;20,40+55*($AG1438/100),(80+(20-$O$5)+30*($AG1438/100))))))))))</f>
        <v>100</v>
      </c>
      <c r="AI1438" s="263"/>
      <c r="AJ1438" s="263"/>
      <c r="AK1438" s="263"/>
      <c r="AL1438" s="263"/>
      <c r="AM1438" s="264"/>
      <c r="AN1438" s="263"/>
      <c r="AO1438" s="263"/>
      <c r="AP1438" s="265"/>
      <c r="AQ1438" s="265"/>
      <c r="AR1438" s="285"/>
      <c r="AS1438" s="263"/>
      <c r="AT1438" s="263"/>
      <c r="AU1438" s="263"/>
      <c r="AV1438" s="264"/>
      <c r="AW1438" s="263"/>
      <c r="AX1438" s="263"/>
      <c r="AY1438" s="263"/>
      <c r="AZ1438" s="263"/>
      <c r="BA1438" s="263"/>
      <c r="BB1438" s="263"/>
      <c r="BC1438" s="263"/>
      <c r="BD1438" s="264"/>
      <c r="BE1438" s="263"/>
      <c r="BF1438" s="263"/>
      <c r="BG1438" s="263"/>
      <c r="BH1438" s="263"/>
      <c r="BI1438" s="263"/>
      <c r="BJ1438" s="404">
        <f>altaz(J2000_Bas,$O1438,$M1438,DecLat,DecLong,2)</f>
        <v>160.46561903989584</v>
      </c>
      <c r="BK1438" s="378" t="s">
        <v>5591</v>
      </c>
      <c r="BL1438" s="379">
        <f>IF((2*G1438)/60&lt;0.2,0.2,(2*G1438)/60)</f>
        <v>0.23333333333333334</v>
      </c>
      <c r="BM1438" s="380">
        <f>MOD((50000+AD1438-$B$3+(0/24)),1)</f>
        <v>0.24327846090454841</v>
      </c>
      <c r="BN1438" s="381"/>
      <c r="BO1438" s="382">
        <v>1431</v>
      </c>
    </row>
    <row r="1439" spans="1:67" s="24" customFormat="1" ht="15" customHeight="1" x14ac:dyDescent="0.25">
      <c r="A1439" s="287" t="s">
        <v>5590</v>
      </c>
      <c r="B1439" s="241" t="str">
        <f>HYPERLINK(CONCATENATE($AT$3,BK1439,$AU$3),$AV$3)</f>
        <v>S</v>
      </c>
      <c r="C1439" s="242" t="str">
        <f>HYPERLINK(CONCATENATE($AT$4,BK1439,$AU$4,BL1439),$AV$4)</f>
        <v>A</v>
      </c>
      <c r="D1439" s="243" t="s">
        <v>5187</v>
      </c>
      <c r="E1439" s="244" t="s">
        <v>5183</v>
      </c>
      <c r="F1439" s="269" t="s">
        <v>9158</v>
      </c>
      <c r="G1439" s="276">
        <v>20</v>
      </c>
      <c r="H1439" s="271" t="s">
        <v>6500</v>
      </c>
      <c r="I1439" s="244" t="s">
        <v>6500</v>
      </c>
      <c r="J1439" s="246">
        <v>4</v>
      </c>
      <c r="K1439" s="247" t="s">
        <v>5586</v>
      </c>
      <c r="L1439" s="248">
        <v>52225</v>
      </c>
      <c r="M1439" s="249">
        <f>15*(LEFT(TEXT($L1439,"000000"),2)+(MID(TEXT($L1439,"000000"),3,2)/60)+(RIGHT(TEXT($L1439,"000000"),2)/3600))</f>
        <v>80.604166666666657</v>
      </c>
      <c r="N1439" s="250">
        <v>-675732</v>
      </c>
      <c r="O1439" s="251">
        <f>IF($N1439&gt;0,(LEFT(TEXT($N1439,"000000"),2)+(MID(TEXT($N1439,"000000"),3,2)/60)+(RIGHT(TEXT($N1439,"000000"),2)/3600)),-(MID(TEXT($N1439,"000000"),2,2)+(MID(TEXT($N1439,"000000"),4,2)/60)+(RIGHT(TEXT($N1439,"000000"),2)/3600)))</f>
        <v>-67.958888888888893</v>
      </c>
      <c r="P1439" s="252" t="s">
        <v>1697</v>
      </c>
      <c r="Q1439" s="253"/>
      <c r="R1439" s="277" t="s">
        <v>3293</v>
      </c>
      <c r="S1439" s="272" t="s">
        <v>5585</v>
      </c>
      <c r="T1439" s="273"/>
      <c r="U1439" s="274"/>
      <c r="V1439" s="280"/>
      <c r="W1439" s="244"/>
      <c r="X1439" s="244"/>
      <c r="Y1439" s="362"/>
      <c r="Z1439" s="257">
        <f>altaz(J2000_Bas,$O1439,$M1439,DecLat,DecLong,1)</f>
        <v>-50.172537672793538</v>
      </c>
      <c r="AA1439" s="257">
        <f>altaz((J2000_Bas+(2*0.04167)),$O1439,$M1439,DecLat,DecLong,1)</f>
        <v>-41.274812403388189</v>
      </c>
      <c r="AB1439" s="257">
        <f>altaz((J2000_Bas+(4*0.04167)),$O1439,$M1439,DecLat,DecLong,1)</f>
        <v>-30.149391022844409</v>
      </c>
      <c r="AC1439" s="257">
        <f>altaz((J2000_Bas+(6*0.04167)),$O1439,$M1439,DecLat,DecLong,1)</f>
        <v>-19.763801351819449</v>
      </c>
      <c r="AD1439" s="258">
        <f>1+ transit((J2000_Bas-1),$O1439,$M1439,DecLat,DecLong)/360 + (GMTOffset/24) + (IF(DST="Y", 1, 0)/24)</f>
        <v>1.2168004012026246</v>
      </c>
      <c r="AE1439" s="259">
        <f>DATE(2001,9,21)+(M1439/360)*365 - (360*((DecLong/360)- (GMTOffset/24) ))</f>
        <v>37241.723668981482</v>
      </c>
      <c r="AF1439" s="260">
        <f>IF(DecLat&gt;0,IF((90 - (DecLat-O1439))&gt;90, (90 - (O1439-DecLat)), (90 - (DecLat-O1439))),IF((90 + (DecLat-O1439))&gt;90, (90 + (O1439-DecLat)), (90 + (DecLat-O1439))))</f>
        <v>-8.9588888888888931</v>
      </c>
      <c r="AG1439" s="257">
        <f>angularseperation(MoonRA,MoonDec,$M1439,$O1439)</f>
        <v>84.580255540355878</v>
      </c>
      <c r="AH1439" s="261">
        <f ca="1">MIN(100,IF($O$5&gt;80,0+30*($AG1439/100),IF($O$5&gt;70,0+50*($AG1439/100),IF($O$5&gt;60,5+50*($AG1439/100),IF($O$5&gt;50,10+60*($AG1439/100),IF($O$5&gt;40,15+70*($AG1439/100),IF($O$5&gt;30,20+70*($AG1439/100),IF($O$5&gt;20,40+55*($AG1439/100),(80+(20-$O$5)+30*($AG1439/100))))))))))</f>
        <v>100</v>
      </c>
      <c r="AI1439" s="263">
        <v>1929</v>
      </c>
      <c r="AJ1439" s="263"/>
      <c r="AK1439" s="263"/>
      <c r="AL1439" s="263"/>
      <c r="AM1439" s="264"/>
      <c r="AN1439" s="263"/>
      <c r="AO1439" s="263"/>
      <c r="AP1439" s="265"/>
      <c r="AQ1439" s="265"/>
      <c r="AR1439" s="285"/>
      <c r="AS1439" s="263"/>
      <c r="AT1439" s="263"/>
      <c r="AU1439" s="263"/>
      <c r="AV1439" s="264"/>
      <c r="AW1439" s="263"/>
      <c r="AX1439" s="263"/>
      <c r="AY1439" s="263"/>
      <c r="AZ1439" s="263"/>
      <c r="BA1439" s="263"/>
      <c r="BB1439" s="263"/>
      <c r="BC1439" s="263"/>
      <c r="BD1439" s="264"/>
      <c r="BE1439" s="263"/>
      <c r="BF1439" s="263"/>
      <c r="BG1439" s="263"/>
      <c r="BH1439" s="263"/>
      <c r="BI1439" s="263"/>
      <c r="BJ1439" s="404">
        <f>altaz(J2000_Bas,$O1439,$M1439,DecLat,DecLong,2)</f>
        <v>165.44498804454389</v>
      </c>
      <c r="BK1439" s="378" t="s">
        <v>5584</v>
      </c>
      <c r="BL1439" s="379">
        <f>IF((2*G1439)/60&lt;0.2,0.2,(2*G1439)/60)</f>
        <v>0.66666666666666663</v>
      </c>
      <c r="BM1439" s="380">
        <f>MOD((50000+AD1439-$B$3+(0/24)),1)</f>
        <v>0.4321673309095786</v>
      </c>
      <c r="BN1439" s="381"/>
      <c r="BO1439" s="382">
        <v>1432</v>
      </c>
    </row>
    <row r="1440" spans="1:67" s="24" customFormat="1" ht="15" customHeight="1" x14ac:dyDescent="0.25">
      <c r="A1440" s="287" t="s">
        <v>5598</v>
      </c>
      <c r="B1440" s="241" t="str">
        <f>HYPERLINK(CONCATENATE($AT$3,BK1440,$AU$3),$AV$3)</f>
        <v>S</v>
      </c>
      <c r="C1440" s="242" t="str">
        <f>HYPERLINK(CONCATENATE($AT$4,BK1440,$AU$4,BL1440),$AV$4)</f>
        <v>A</v>
      </c>
      <c r="D1440" s="243" t="s">
        <v>5187</v>
      </c>
      <c r="E1440" s="244" t="s">
        <v>5183</v>
      </c>
      <c r="F1440" s="269" t="s">
        <v>9158</v>
      </c>
      <c r="G1440" s="276">
        <v>20</v>
      </c>
      <c r="H1440" s="271" t="s">
        <v>6500</v>
      </c>
      <c r="I1440" s="244" t="s">
        <v>6500</v>
      </c>
      <c r="J1440" s="246">
        <v>4</v>
      </c>
      <c r="K1440" s="247" t="s">
        <v>5600</v>
      </c>
      <c r="L1440" s="248">
        <v>52630</v>
      </c>
      <c r="M1440" s="249">
        <f>15*(LEFT(TEXT($L1440,"000000"),2)+(MID(TEXT($L1440,"000000"),3,2)/60)+(RIGHT(TEXT($L1440,"000000"),2)/3600))</f>
        <v>81.625000000000014</v>
      </c>
      <c r="N1440" s="250">
        <v>-673130</v>
      </c>
      <c r="O1440" s="251">
        <f>IF($N1440&gt;0,(LEFT(TEXT($N1440,"000000"),2)+(MID(TEXT($N1440,"000000"),3,2)/60)+(RIGHT(TEXT($N1440,"000000"),2)/3600)),-(MID(TEXT($N1440,"000000"),2,2)+(MID(TEXT($N1440,"000000"),4,2)/60)+(RIGHT(TEXT($N1440,"000000"),2)/3600)))</f>
        <v>-67.525000000000006</v>
      </c>
      <c r="P1440" s="252" t="s">
        <v>1697</v>
      </c>
      <c r="Q1440" s="253"/>
      <c r="R1440" s="277" t="s">
        <v>3293</v>
      </c>
      <c r="S1440" s="272" t="s">
        <v>5599</v>
      </c>
      <c r="T1440" s="273"/>
      <c r="U1440" s="274"/>
      <c r="V1440" s="280"/>
      <c r="W1440" s="244"/>
      <c r="X1440" s="244"/>
      <c r="Y1440" s="362"/>
      <c r="Z1440" s="257">
        <f>altaz(J2000_Bas,$O1440,$M1440,DecLat,DecLong,1)</f>
        <v>-50.749132621528005</v>
      </c>
      <c r="AA1440" s="257">
        <f>altaz((J2000_Bas+(2*0.04167)),$O1440,$M1440,DecLat,DecLong,1)</f>
        <v>-41.788194361001992</v>
      </c>
      <c r="AB1440" s="257">
        <f>altaz((J2000_Bas+(4*0.04167)),$O1440,$M1440,DecLat,DecLong,1)</f>
        <v>-30.468175860911415</v>
      </c>
      <c r="AC1440" s="257">
        <f>altaz((J2000_Bas+(6*0.04167)),$O1440,$M1440,DecLat,DecLong,1)</f>
        <v>-19.837304650259107</v>
      </c>
      <c r="AD1440" s="258">
        <f>1+ transit((J2000_Bas-1),$O1440,$M1440,DecLat,DecLong)/360 + (GMTOffset/24) + (IF(DST="Y", 1, 0)/24)</f>
        <v>1.219636049067208</v>
      </c>
      <c r="AE1440" s="259">
        <f>DATE(2001,9,21)+(M1440/360)*365 - (360*((DecLong/360)- (GMTOffset/24) ))</f>
        <v>37242.758680555555</v>
      </c>
      <c r="AF1440" s="260">
        <f>IF(DecLat&gt;0,IF((90 - (DecLat-O1440))&gt;90, (90 - (O1440-DecLat)), (90 - (DecLat-O1440))),IF((90 + (DecLat-O1440))&gt;90, (90 + (O1440-DecLat)), (90 + (DecLat-O1440))))</f>
        <v>-8.5250000000000057</v>
      </c>
      <c r="AG1440" s="257">
        <f>angularseperation(MoonRA,MoonDec,$M1440,$O1440)</f>
        <v>84.935602382672073</v>
      </c>
      <c r="AH1440" s="261">
        <f ca="1">MIN(100,IF($O$5&gt;80,0+30*($AG1440/100),IF($O$5&gt;70,0+50*($AG1440/100),IF($O$5&gt;60,5+50*($AG1440/100),IF($O$5&gt;50,10+60*($AG1440/100),IF($O$5&gt;40,15+70*($AG1440/100),IF($O$5&gt;30,20+70*($AG1440/100),IF($O$5&gt;20,40+55*($AG1440/100),(80+(20-$O$5)+30*($AG1440/100))))))))))</f>
        <v>100</v>
      </c>
      <c r="AI1440" s="263"/>
      <c r="AJ1440" s="263"/>
      <c r="AK1440" s="263"/>
      <c r="AL1440" s="263"/>
      <c r="AM1440" s="264"/>
      <c r="AN1440" s="263"/>
      <c r="AO1440" s="263"/>
      <c r="AP1440" s="265"/>
      <c r="AQ1440" s="265"/>
      <c r="AR1440" s="285"/>
      <c r="AS1440" s="263"/>
      <c r="AT1440" s="263"/>
      <c r="AU1440" s="263"/>
      <c r="AV1440" s="264"/>
      <c r="AW1440" s="263"/>
      <c r="AX1440" s="263"/>
      <c r="AY1440" s="263"/>
      <c r="AZ1440" s="263"/>
      <c r="BA1440" s="263"/>
      <c r="BB1440" s="263"/>
      <c r="BC1440" s="263"/>
      <c r="BD1440" s="264"/>
      <c r="BE1440" s="263"/>
      <c r="BF1440" s="263"/>
      <c r="BG1440" s="263"/>
      <c r="BH1440" s="263"/>
      <c r="BI1440" s="263"/>
      <c r="BJ1440" s="404">
        <f>altaz(J2000_Bas,$O1440,$M1440,DecLat,DecLong,2)</f>
        <v>165.55929060152127</v>
      </c>
      <c r="BK1440" s="378" t="s">
        <v>5597</v>
      </c>
      <c r="BL1440" s="379">
        <f>IF((2*G1440)/60&lt;0.2,0.2,(2*G1440)/60)</f>
        <v>0.66666666666666663</v>
      </c>
      <c r="BM1440" s="380">
        <f>MOD((50000+AD1440-$B$3+(0/24)),1)</f>
        <v>0.43500297877471894</v>
      </c>
      <c r="BN1440" s="381"/>
      <c r="BO1440" s="382">
        <v>1433</v>
      </c>
    </row>
    <row r="1441" spans="1:67" s="24" customFormat="1" ht="15" customHeight="1" x14ac:dyDescent="0.25">
      <c r="A1441" s="287" t="s">
        <v>5615</v>
      </c>
      <c r="B1441" s="241" t="str">
        <f>HYPERLINK(CONCATENATE($AT$3,BK1441,$AU$3),$AV$3)</f>
        <v>S</v>
      </c>
      <c r="C1441" s="242" t="str">
        <f>HYPERLINK(CONCATENATE($AT$4,BK1441,$AU$4,BL1441),$AV$4)</f>
        <v>A</v>
      </c>
      <c r="D1441" s="243" t="s">
        <v>5187</v>
      </c>
      <c r="E1441" s="244" t="s">
        <v>16</v>
      </c>
      <c r="F1441" s="269"/>
      <c r="G1441" s="273">
        <v>7</v>
      </c>
      <c r="H1441" s="271" t="s">
        <v>6500</v>
      </c>
      <c r="I1441" s="244" t="s">
        <v>6500</v>
      </c>
      <c r="J1441" s="246">
        <v>4</v>
      </c>
      <c r="K1441" s="247" t="s">
        <v>5614</v>
      </c>
      <c r="L1441" s="248">
        <v>54325</v>
      </c>
      <c r="M1441" s="249">
        <f>15*(LEFT(TEXT($L1441,"000000"),2)+(MID(TEXT($L1441,"000000"),3,2)/60)+(RIGHT(TEXT($L1441,"000000"),2)/3600))</f>
        <v>85.854166666666671</v>
      </c>
      <c r="N1441" s="250">
        <v>-675000</v>
      </c>
      <c r="O1441" s="251">
        <f>IF($N1441&gt;0,(LEFT(TEXT($N1441,"000000"),2)+(MID(TEXT($N1441,"000000"),3,2)/60)+(RIGHT(TEXT($N1441,"000000"),2)/3600)),-(MID(TEXT($N1441,"000000"),2,2)+(MID(TEXT($N1441,"000000"),4,2)/60)+(RIGHT(TEXT($N1441,"000000"),2)/3600)))</f>
        <v>-67.833333333333329</v>
      </c>
      <c r="P1441" s="252" t="s">
        <v>1697</v>
      </c>
      <c r="Q1441" s="253"/>
      <c r="R1441" s="277" t="s">
        <v>3293</v>
      </c>
      <c r="S1441" s="272" t="s">
        <v>3293</v>
      </c>
      <c r="T1441" s="273"/>
      <c r="U1441" s="274"/>
      <c r="V1441" s="280"/>
      <c r="W1441" s="244"/>
      <c r="X1441" s="244"/>
      <c r="Y1441" s="362"/>
      <c r="Z1441" s="257">
        <f>altaz(J2000_Bas,$O1441,$M1441,DecLat,DecLong,1)</f>
        <v>-51.314722007821835</v>
      </c>
      <c r="AA1441" s="257">
        <f>altaz((J2000_Bas+(2*0.04167)),$O1441,$M1441,DecLat,DecLong,1)</f>
        <v>-43.14500496794308</v>
      </c>
      <c r="AB1441" s="257">
        <f>altaz((J2000_Bas+(4*0.04167)),$O1441,$M1441,DecLat,DecLong,1)</f>
        <v>-32.097757188987011</v>
      </c>
      <c r="AC1441" s="257">
        <f>altaz((J2000_Bas+(6*0.04167)),$O1441,$M1441,DecLat,DecLong,1)</f>
        <v>-21.360119402208124</v>
      </c>
      <c r="AD1441" s="258">
        <f>1+ transit((J2000_Bas-1),$O1441,$M1441,DecLat,DecLong)/360 + (GMTOffset/24) + (IF(DST="Y", 1, 0)/24)</f>
        <v>1.2313837330776247</v>
      </c>
      <c r="AE1441" s="259">
        <f>DATE(2001,9,21)+(M1441/360)*365 - (360*((DecLong/360)- (GMTOffset/24) ))</f>
        <v>37247.046585648146</v>
      </c>
      <c r="AF1441" s="260">
        <f>IF(DecLat&gt;0,IF((90 - (DecLat-O1441))&gt;90, (90 - (O1441-DecLat)), (90 - (DecLat-O1441))),IF((90 + (DecLat-O1441))&gt;90, (90 + (O1441-DecLat)), (90 + (DecLat-O1441))))</f>
        <v>-8.8333333333333286</v>
      </c>
      <c r="AG1441" s="257">
        <f>angularseperation(MoonRA,MoonDec,$M1441,$O1441)</f>
        <v>84.275740478140037</v>
      </c>
      <c r="AH1441" s="261">
        <f ca="1">MIN(100,IF($O$5&gt;80,0+30*($AG1441/100),IF($O$5&gt;70,0+50*($AG1441/100),IF($O$5&gt;60,5+50*($AG1441/100),IF($O$5&gt;50,10+60*($AG1441/100),IF($O$5&gt;40,15+70*($AG1441/100),IF($O$5&gt;30,20+70*($AG1441/100),IF($O$5&gt;20,40+55*($AG1441/100),(80+(20-$O$5)+30*($AG1441/100))))))))))</f>
        <v>100</v>
      </c>
      <c r="AI1441" s="263"/>
      <c r="AJ1441" s="263"/>
      <c r="AK1441" s="263"/>
      <c r="AL1441" s="263"/>
      <c r="AM1441" s="264"/>
      <c r="AN1441" s="263"/>
      <c r="AO1441" s="263"/>
      <c r="AP1441" s="265"/>
      <c r="AQ1441" s="265"/>
      <c r="AR1441" s="285"/>
      <c r="AS1441" s="263"/>
      <c r="AT1441" s="263"/>
      <c r="AU1441" s="263"/>
      <c r="AV1441" s="264"/>
      <c r="AW1441" s="263"/>
      <c r="AX1441" s="263"/>
      <c r="AY1441" s="263"/>
      <c r="AZ1441" s="263"/>
      <c r="BA1441" s="263"/>
      <c r="BB1441" s="263"/>
      <c r="BC1441" s="263"/>
      <c r="BD1441" s="264"/>
      <c r="BE1441" s="263"/>
      <c r="BF1441" s="263"/>
      <c r="BG1441" s="263"/>
      <c r="BH1441" s="263"/>
      <c r="BI1441" s="263"/>
      <c r="BJ1441" s="404">
        <f>altaz(J2000_Bas,$O1441,$M1441,DecLat,DecLong,2)</f>
        <v>167.99910122293369</v>
      </c>
      <c r="BK1441" s="378" t="s">
        <v>5613</v>
      </c>
      <c r="BL1441" s="379">
        <f>IF((2*G1441)/60&lt;0.2,0.2,(2*G1441)/60)</f>
        <v>0.23333333333333334</v>
      </c>
      <c r="BM1441" s="380">
        <f>MOD((50000+AD1441-$B$3+(0/24)),1)</f>
        <v>0.44675066278432496</v>
      </c>
      <c r="BN1441" s="381"/>
      <c r="BO1441" s="382">
        <v>1434</v>
      </c>
    </row>
    <row r="1442" spans="1:67" s="24" customFormat="1" ht="15" customHeight="1" x14ac:dyDescent="0.25">
      <c r="A1442" s="288" t="s">
        <v>1481</v>
      </c>
      <c r="B1442" s="241" t="str">
        <f>HYPERLINK(CONCATENATE($AT$3,BK1442,$AU$3),$AV$3)</f>
        <v>S</v>
      </c>
      <c r="C1442" s="242" t="str">
        <f>HYPERLINK(CONCATENATE($AT$4,BK1442,$AU$4,BL1442),$AV$4)</f>
        <v>A</v>
      </c>
      <c r="D1442" s="243" t="s">
        <v>5187</v>
      </c>
      <c r="E1442" s="244" t="s">
        <v>5181</v>
      </c>
      <c r="F1442" s="269" t="s">
        <v>9168</v>
      </c>
      <c r="G1442" s="270">
        <v>0.5</v>
      </c>
      <c r="H1442" s="283">
        <v>15000</v>
      </c>
      <c r="I1442" s="279">
        <v>2.2000000000000002</v>
      </c>
      <c r="J1442" s="246">
        <v>2</v>
      </c>
      <c r="K1442" s="247" t="s">
        <v>5068</v>
      </c>
      <c r="L1442" s="248">
        <v>194359</v>
      </c>
      <c r="M1442" s="249">
        <f>15*(LEFT(TEXT($L1442,"000000"),2)+(MID(TEXT($L1442,"000000"),3,2)/60)+(RIGHT(TEXT($L1442,"000000"),2)/3600))</f>
        <v>295.99583333333334</v>
      </c>
      <c r="N1442" s="250">
        <v>170902</v>
      </c>
      <c r="O1442" s="251">
        <f>IF($N1442&gt;0,(LEFT(TEXT($N1442,"000000"),2)+(MID(TEXT($N1442,"000000"),3,2)/60)+(RIGHT(TEXT($N1442,"000000"),2)/3600)),-(MID(TEXT($N1442,"000000"),2,2)+(MID(TEXT($N1442,"000000"),4,2)/60)+(RIGHT(TEXT($N1442,"000000"),2)/3600)))</f>
        <v>17.150555555555552</v>
      </c>
      <c r="P1442" s="252" t="s">
        <v>139</v>
      </c>
      <c r="Q1442" s="253" t="s">
        <v>1481</v>
      </c>
      <c r="R1442" s="247" t="s">
        <v>3293</v>
      </c>
      <c r="S1442" s="272" t="s">
        <v>3293</v>
      </c>
      <c r="T1442" s="273">
        <v>11</v>
      </c>
      <c r="U1442" s="274"/>
      <c r="V1442" s="280"/>
      <c r="W1442" s="244"/>
      <c r="X1442" s="244"/>
      <c r="Y1442" s="362"/>
      <c r="Z1442" s="257">
        <f>altaz(J2000_Bas,$O1442,$M1442,DecLat,DecLong,1)</f>
        <v>73.435960587155947</v>
      </c>
      <c r="AA1442" s="257">
        <f>altaz((J2000_Bas+(2*0.04167)),$O1442,$M1442,DecLat,DecLong,1)</f>
        <v>67.085317007150778</v>
      </c>
      <c r="AB1442" s="257">
        <f>altaz((J2000_Bas+(4*0.04167)),$O1442,$M1442,DecLat,DecLong,1)</f>
        <v>42.564838599437643</v>
      </c>
      <c r="AC1442" s="257">
        <f>altaz((J2000_Bas+(6*0.04167)),$O1442,$M1442,DecLat,DecLong,1)</f>
        <v>16.884024677441584</v>
      </c>
      <c r="AD1442" s="258">
        <f>1+ transit((J2000_Bas-1),$O1442,$M1442,DecLat,DecLong)/360 + (GMTOffset/24) + (IF(DST="Y", 1, 0)/24)</f>
        <v>1.8151105265567915</v>
      </c>
      <c r="AE1442" s="259">
        <f>DATE(2001,9,21)+(M1442/360)*365 - (360*((DecLong/360)- (GMTOffset/24) ))</f>
        <v>37460.106886574074</v>
      </c>
      <c r="AF1442" s="260">
        <f>IF(DecLat&gt;0,IF((90 - (DecLat-O1442))&gt;90, (90 - (O1442-DecLat)), (90 - (DecLat-O1442))),IF((90 + (DecLat-O1442))&gt;90, (90 + (O1442-DecLat)), (90 + (DecLat-O1442))))</f>
        <v>76.150555555555556</v>
      </c>
      <c r="AG1442" s="257">
        <f>angularseperation(MoonRA,MoonDec,$M1442,$O1442)</f>
        <v>63.345057689775864</v>
      </c>
      <c r="AH1442" s="261">
        <f ca="1">MIN(100,IF($O$5&gt;80,0+30*($AG1442/100),IF($O$5&gt;70,0+50*($AG1442/100),IF($O$5&gt;60,5+50*($AG1442/100),IF($O$5&gt;50,10+60*($AG1442/100),IF($O$5&gt;40,15+70*($AG1442/100),IF($O$5&gt;30,20+70*($AG1442/100),IF($O$5&gt;20,40+55*($AG1442/100),(80+(20-$O$5)+30*($AG1442/100))))))))))</f>
        <v>100</v>
      </c>
      <c r="AI1442" s="262"/>
      <c r="AJ1442" s="262"/>
      <c r="AK1442" s="262"/>
      <c r="AL1442" s="263"/>
      <c r="AM1442" s="264"/>
      <c r="AN1442" s="263"/>
      <c r="AO1442" s="263"/>
      <c r="AP1442" s="265"/>
      <c r="AQ1442" s="266"/>
      <c r="AR1442" s="267"/>
      <c r="AS1442" s="263"/>
      <c r="AT1442" s="263"/>
      <c r="AU1442" s="263"/>
      <c r="AV1442" s="264"/>
      <c r="AW1442" s="263"/>
      <c r="AX1442" s="263"/>
      <c r="AY1442" s="263"/>
      <c r="AZ1442" s="263"/>
      <c r="BA1442" s="263"/>
      <c r="BB1442" s="263"/>
      <c r="BC1442" s="263"/>
      <c r="BD1442" s="264"/>
      <c r="BE1442" s="263"/>
      <c r="BF1442" s="263"/>
      <c r="BG1442" s="263"/>
      <c r="BH1442" s="263"/>
      <c r="BI1442" s="263"/>
      <c r="BJ1442" s="404">
        <f>altaz(J2000_Bas,$O1442,$M1442,DecLat,DecLong,2)</f>
        <v>144.43473958818279</v>
      </c>
      <c r="BK1442" s="378" t="s">
        <v>5067</v>
      </c>
      <c r="BL1442" s="379">
        <f>IF((2*G1442)/60&lt;0.2,0.2,(2*G1442)/60)</f>
        <v>0.2</v>
      </c>
      <c r="BM1442" s="380">
        <f>MOD((50000+AD1442-$B$3+(0/24)),1)</f>
        <v>3.0477456260996405E-2</v>
      </c>
      <c r="BN1442" s="381" t="s">
        <v>9217</v>
      </c>
      <c r="BO1442" s="382">
        <v>1435</v>
      </c>
    </row>
    <row r="1443" spans="1:67" s="24" customFormat="1" ht="15" customHeight="1" x14ac:dyDescent="0.25">
      <c r="A1443" s="288" t="s">
        <v>3147</v>
      </c>
      <c r="B1443" s="241" t="str">
        <f>HYPERLINK(CONCATENATE($AT$3,BK1443,$AU$3),$AV$3)</f>
        <v>S</v>
      </c>
      <c r="C1443" s="242" t="str">
        <f>HYPERLINK(CONCATENATE($AT$4,BK1443,$AU$4,BL1443),$AV$4)</f>
        <v>A</v>
      </c>
      <c r="D1443" s="243" t="s">
        <v>5638</v>
      </c>
      <c r="E1443" s="244" t="s">
        <v>5192</v>
      </c>
      <c r="F1443" s="269" t="s">
        <v>8688</v>
      </c>
      <c r="G1443" s="273">
        <v>2</v>
      </c>
      <c r="H1443" s="283">
        <v>208.98728999999997</v>
      </c>
      <c r="I1443" s="246">
        <v>120</v>
      </c>
      <c r="J1443" s="246">
        <v>3</v>
      </c>
      <c r="K1443" s="277" t="s">
        <v>3294</v>
      </c>
      <c r="L1443" s="248">
        <v>716</v>
      </c>
      <c r="M1443" s="249">
        <f>15*(LEFT(TEXT($L1443,"000000"),2)+(MID(TEXT($L1443,"000000"),3,2)/60)+(RIGHT(TEXT($L1443,"000000"),2)/3600))</f>
        <v>1.8166666666666667</v>
      </c>
      <c r="N1443" s="250">
        <v>274230</v>
      </c>
      <c r="O1443" s="251">
        <f>IF($N1443&gt;0,(LEFT(TEXT($N1443,"000000"),2)+(MID(TEXT($N1443,"000000"),3,2)/60)+(RIGHT(TEXT($N1443,"000000"),2)/3600)),-(MID(TEXT($N1443,"000000"),2,2)+(MID(TEXT($N1443,"000000"),4,2)/60)+(RIGHT(TEXT($N1443,"000000"),2)/3600)))</f>
        <v>27.708333333333332</v>
      </c>
      <c r="P1443" s="252" t="s">
        <v>39</v>
      </c>
      <c r="Q1443" s="253"/>
      <c r="R1443" s="277" t="s">
        <v>3293</v>
      </c>
      <c r="S1443" s="272" t="s">
        <v>3289</v>
      </c>
      <c r="T1443" s="273">
        <v>12.9</v>
      </c>
      <c r="U1443" s="289">
        <v>22.39</v>
      </c>
      <c r="V1443" s="280">
        <v>40</v>
      </c>
      <c r="W1443" s="244"/>
      <c r="X1443" s="244"/>
      <c r="Y1443" s="362"/>
      <c r="Z1443" s="257">
        <f>altaz(J2000_Bas,$O1443,$M1443,DecLat,DecLong,1)</f>
        <v>25.179430548508908</v>
      </c>
      <c r="AA1443" s="257">
        <f>altaz((J2000_Bas+(2*0.04167)),$O1443,$M1443,DecLat,DecLong,1)</f>
        <v>50.282656384920777</v>
      </c>
      <c r="AB1443" s="257">
        <f>altaz((J2000_Bas+(4*0.04167)),$O1443,$M1443,DecLat,DecLong,1)</f>
        <v>75.9856081408943</v>
      </c>
      <c r="AC1443" s="257">
        <f>altaz((J2000_Bas+(6*0.04167)),$O1443,$M1443,DecLat,DecLong,1)</f>
        <v>77.002076805493743</v>
      </c>
      <c r="AD1443" s="258">
        <f>1+ transit((J2000_Bas-1),$O1443,$M1443,DecLat,DecLong)/360 + (GMTOffset/24) + (IF(DST="Y", 1, 0)/24)</f>
        <v>0.99794625642137447</v>
      </c>
      <c r="AE1443" s="259">
        <f>DATE(2001,9,21)+(M1443/360)*365 - (360*((DecLong/360)- (GMTOffset/24) ))</f>
        <v>37161.841898148145</v>
      </c>
      <c r="AF1443" s="260">
        <f>IF(DecLat&gt;0,IF((90 - (DecLat-O1443))&gt;90, (90 - (O1443-DecLat)), (90 - (DecLat-O1443))),IF((90 + (DecLat-O1443))&gt;90, (90 + (O1443-DecLat)), (90 + (DecLat-O1443))))</f>
        <v>86.708333333333329</v>
      </c>
      <c r="AG1443" s="257">
        <f>angularseperation(MoonRA,MoonDec,$M1443,$O1443)</f>
        <v>120.95045181442971</v>
      </c>
      <c r="AH1443" s="261">
        <f ca="1">MIN(100,IF($O$5&gt;80,0+30*($AG1443/100),IF($O$5&gt;70,0+50*($AG1443/100),IF($O$5&gt;60,5+50*($AG1443/100),IF($O$5&gt;50,10+60*($AG1443/100),IF($O$5&gt;40,15+70*($AG1443/100),IF($O$5&gt;30,20+70*($AG1443/100),IF($O$5&gt;20,40+55*($AG1443/100),(80+(20-$O$5)+30*($AG1443/100))))))))))</f>
        <v>100</v>
      </c>
      <c r="AI1443" s="263">
        <v>1</v>
      </c>
      <c r="AJ1443" s="263"/>
      <c r="AK1443" s="263"/>
      <c r="AL1443" s="263"/>
      <c r="AM1443" s="264"/>
      <c r="AN1443" s="263"/>
      <c r="AO1443" s="263"/>
      <c r="AP1443" s="265"/>
      <c r="AQ1443" s="265">
        <v>57</v>
      </c>
      <c r="AR1443" s="285">
        <v>564</v>
      </c>
      <c r="AS1443" s="263"/>
      <c r="AT1443" s="263"/>
      <c r="AU1443" s="263"/>
      <c r="AV1443" s="264"/>
      <c r="AW1443" s="263"/>
      <c r="AX1443" s="263"/>
      <c r="AY1443" s="263"/>
      <c r="AZ1443" s="263"/>
      <c r="BA1443" s="263"/>
      <c r="BB1443" s="263"/>
      <c r="BC1443" s="263"/>
      <c r="BD1443" s="264"/>
      <c r="BE1443" s="263"/>
      <c r="BF1443" s="263"/>
      <c r="BG1443" s="263"/>
      <c r="BH1443" s="263"/>
      <c r="BI1443" s="263"/>
      <c r="BJ1443" s="404">
        <f>altaz(J2000_Bas,$O1443,$M1443,DecLat,DecLong,2)</f>
        <v>71.522874239028539</v>
      </c>
      <c r="BK1443" s="378" t="s">
        <v>3147</v>
      </c>
      <c r="BL1443" s="379">
        <f>IF((2*G1443)/60&lt;0.2,0.2,(2*G1443)/60)</f>
        <v>0.2</v>
      </c>
      <c r="BM1443" s="380">
        <f>MOD((50000+AD1443-$B$3+(0/24)),1)</f>
        <v>0.2133131861264701</v>
      </c>
      <c r="BN1443" s="381"/>
      <c r="BO1443" s="382">
        <v>1436</v>
      </c>
    </row>
    <row r="1444" spans="1:67" s="24" customFormat="1" ht="15" customHeight="1" x14ac:dyDescent="0.25">
      <c r="A1444" s="288" t="s">
        <v>1482</v>
      </c>
      <c r="B1444" s="241" t="str">
        <f>HYPERLINK(CONCATENATE($AT$3,BK1444,$AU$3),$AV$3)</f>
        <v>S</v>
      </c>
      <c r="C1444" s="242" t="str">
        <f>HYPERLINK(CONCATENATE($AT$4,BK1444,$AU$4,BL1444),$AV$4)</f>
        <v>A</v>
      </c>
      <c r="D1444" s="243" t="s">
        <v>5638</v>
      </c>
      <c r="E1444" s="244" t="s">
        <v>5337</v>
      </c>
      <c r="F1444" s="269" t="s">
        <v>3317</v>
      </c>
      <c r="G1444" s="273">
        <v>1</v>
      </c>
      <c r="H1444" s="283">
        <v>270.12608999999998</v>
      </c>
      <c r="I1444" s="246">
        <v>75</v>
      </c>
      <c r="J1444" s="246">
        <v>2</v>
      </c>
      <c r="K1444" s="247" t="s">
        <v>8433</v>
      </c>
      <c r="L1444" s="248">
        <v>1107</v>
      </c>
      <c r="M1444" s="249">
        <f>15*(LEFT(TEXT($L1444,"000000"),2)+(MID(TEXT($L1444,"000000"),3,2)/60)+(RIGHT(TEXT($L1444,"000000"),2)/3600))</f>
        <v>2.7791666666666663</v>
      </c>
      <c r="N1444" s="250">
        <v>-120626</v>
      </c>
      <c r="O1444" s="251">
        <f>IF($N1444&gt;0,(LEFT(TEXT($N1444,"000000"),2)+(MID(TEXT($N1444,"000000"),3,2)/60)+(RIGHT(TEXT($N1444,"000000"),2)/3600)),-(MID(TEXT($N1444,"000000"),2,2)+(MID(TEXT($N1444,"000000"),4,2)/60)+(RIGHT(TEXT($N1444,"000000"),2)/3600)))</f>
        <v>-12.107222222222221</v>
      </c>
      <c r="P1444" s="252" t="s">
        <v>75</v>
      </c>
      <c r="Q1444" s="253"/>
      <c r="R1444" s="247" t="s">
        <v>3295</v>
      </c>
      <c r="S1444" s="272" t="s">
        <v>3297</v>
      </c>
      <c r="T1444" s="273">
        <v>14.4</v>
      </c>
      <c r="U1444" s="289">
        <v>23.69</v>
      </c>
      <c r="V1444" s="280"/>
      <c r="W1444" s="244"/>
      <c r="X1444" s="244"/>
      <c r="Y1444" s="362"/>
      <c r="Z1444" s="257">
        <f>altaz(J2000_Bas,$O1444,$M1444,DecLat,DecLong,1)</f>
        <v>4.8007102390670937</v>
      </c>
      <c r="AA1444" s="257">
        <f>altaz((J2000_Bas+(2*0.04167)),$O1444,$M1444,DecLat,DecLong,1)</f>
        <v>27.829714979523526</v>
      </c>
      <c r="AB1444" s="257">
        <f>altaz((J2000_Bas+(4*0.04167)),$O1444,$M1444,DecLat,DecLong,1)</f>
        <v>44.03638958556374</v>
      </c>
      <c r="AC1444" s="257">
        <f>altaz((J2000_Bas+(6*0.04167)),$O1444,$M1444,DecLat,DecLong,1)</f>
        <v>44.991145939205289</v>
      </c>
      <c r="AD1444" s="258">
        <f>1+ transit((J2000_Bas-1),$O1444,$M1444,DecLat,DecLong)/360 + (GMTOffset/24) + (IF(DST="Y", 1, 0)/24)</f>
        <v>1.0006198672651248</v>
      </c>
      <c r="AE1444" s="259">
        <f>DATE(2001,9,21)+(M1444/360)*365 - (360*((DecLong/360)- (GMTOffset/24) ))</f>
        <v>37162.817766203705</v>
      </c>
      <c r="AF1444" s="260">
        <f>IF(DecLat&gt;0,IF((90 - (DecLat-O1444))&gt;90, (90 - (O1444-DecLat)), (90 - (DecLat-O1444))),IF((90 + (DecLat-O1444))&gt;90, (90 + (O1444-DecLat)), (90 + (DecLat-O1444))))</f>
        <v>46.892777777777781</v>
      </c>
      <c r="AG1444" s="257">
        <f>angularseperation(MoonRA,MoonDec,$M1444,$O1444)</f>
        <v>104.604724973198</v>
      </c>
      <c r="AH1444" s="261">
        <f ca="1">MIN(100,IF($O$5&gt;80,0+30*($AG1444/100),IF($O$5&gt;70,0+50*($AG1444/100),IF($O$5&gt;60,5+50*($AG1444/100),IF($O$5&gt;50,10+60*($AG1444/100),IF($O$5&gt;40,15+70*($AG1444/100),IF($O$5&gt;30,20+70*($AG1444/100),IF($O$5&gt;20,40+55*($AG1444/100),(80+(20-$O$5)+30*($AG1444/100))))))))))</f>
        <v>100</v>
      </c>
      <c r="AI1444" s="262">
        <v>17</v>
      </c>
      <c r="AJ1444" s="262"/>
      <c r="AK1444" s="262"/>
      <c r="AL1444" s="263"/>
      <c r="AM1444" s="264"/>
      <c r="AN1444" s="263"/>
      <c r="AO1444" s="263"/>
      <c r="AP1444" s="265"/>
      <c r="AQ1444" s="266"/>
      <c r="AR1444" s="267">
        <v>781</v>
      </c>
      <c r="AS1444" s="263"/>
      <c r="AT1444" s="263"/>
      <c r="AU1444" s="263"/>
      <c r="AV1444" s="264"/>
      <c r="AW1444" s="263"/>
      <c r="AX1444" s="263"/>
      <c r="AY1444" s="263"/>
      <c r="AZ1444" s="263"/>
      <c r="BA1444" s="263"/>
      <c r="BB1444" s="263"/>
      <c r="BC1444" s="263"/>
      <c r="BD1444" s="264"/>
      <c r="BE1444" s="263"/>
      <c r="BF1444" s="263"/>
      <c r="BG1444" s="263"/>
      <c r="BH1444" s="263"/>
      <c r="BI1444" s="263"/>
      <c r="BJ1444" s="404">
        <f>altaz(J2000_Bas,$O1444,$M1444,DecLat,DecLong,2)</f>
        <v>107.21849662559828</v>
      </c>
      <c r="BK1444" s="378" t="s">
        <v>1482</v>
      </c>
      <c r="BL1444" s="379">
        <f>IF((2*G1444)/60&lt;0.2,0.2,(2*G1444)/60)</f>
        <v>0.2</v>
      </c>
      <c r="BM1444" s="380">
        <f>MOD((50000+AD1444-$B$3+(0/24)),1)</f>
        <v>0.21598679696762701</v>
      </c>
      <c r="BN1444" s="381" t="s">
        <v>9281</v>
      </c>
      <c r="BO1444" s="382">
        <v>1437</v>
      </c>
    </row>
    <row r="1445" spans="1:67" s="24" customFormat="1" ht="15" customHeight="1" x14ac:dyDescent="0.25">
      <c r="A1445" s="288" t="s">
        <v>1483</v>
      </c>
      <c r="B1445" s="241" t="str">
        <f>HYPERLINK(CONCATENATE($AT$3,BK1445,$AU$3),$AV$3)</f>
        <v>S</v>
      </c>
      <c r="C1445" s="242" t="str">
        <f>HYPERLINK(CONCATENATE($AT$4,BK1445,$AU$4,BL1445),$AV$4)</f>
        <v>A</v>
      </c>
      <c r="D1445" s="243" t="s">
        <v>5638</v>
      </c>
      <c r="E1445" s="244" t="s">
        <v>5192</v>
      </c>
      <c r="F1445" s="269" t="s">
        <v>8911</v>
      </c>
      <c r="G1445" s="273">
        <v>2.7</v>
      </c>
      <c r="H1445" s="283">
        <v>209.73087000000001</v>
      </c>
      <c r="I1445" s="246">
        <v>160</v>
      </c>
      <c r="J1445" s="246">
        <v>3</v>
      </c>
      <c r="K1445" s="247" t="s">
        <v>3299</v>
      </c>
      <c r="L1445" s="248">
        <v>953</v>
      </c>
      <c r="M1445" s="249">
        <f>15*(LEFT(TEXT($L1445,"000000"),2)+(MID(TEXT($L1445,"000000"),3,2)/60)+(RIGHT(TEXT($L1445,"000000"),2)/3600))</f>
        <v>2.4708333333333332</v>
      </c>
      <c r="N1445" s="250">
        <v>255526</v>
      </c>
      <c r="O1445" s="251">
        <f>IF($N1445&gt;0,(LEFT(TEXT($N1445,"000000"),2)+(MID(TEXT($N1445,"000000"),3,2)/60)+(RIGHT(TEXT($N1445,"000000"),2)/3600)),-(MID(TEXT($N1445,"000000"),2,2)+(MID(TEXT($N1445,"000000"),4,2)/60)+(RIGHT(TEXT($N1445,"000000"),2)/3600)))</f>
        <v>25.923888888888889</v>
      </c>
      <c r="P1445" s="252" t="s">
        <v>39</v>
      </c>
      <c r="Q1445" s="253"/>
      <c r="R1445" s="247" t="s">
        <v>3293</v>
      </c>
      <c r="S1445" s="272" t="s">
        <v>3298</v>
      </c>
      <c r="T1445" s="273">
        <v>12</v>
      </c>
      <c r="U1445" s="289">
        <v>21.89</v>
      </c>
      <c r="V1445" s="280">
        <v>50</v>
      </c>
      <c r="W1445" s="244"/>
      <c r="X1445" s="244"/>
      <c r="Y1445" s="362"/>
      <c r="Z1445" s="257">
        <f>altaz(J2000_Bas,$O1445,$M1445,DecLat,DecLong,1)</f>
        <v>23.92529991742639</v>
      </c>
      <c r="AA1445" s="257">
        <f>altaz((J2000_Bas+(2*0.04167)),$O1445,$M1445,DecLat,DecLong,1)</f>
        <v>49.196939740780564</v>
      </c>
      <c r="AB1445" s="257">
        <f>altaz((J2000_Bas+(4*0.04167)),$O1445,$M1445,DecLat,DecLong,1)</f>
        <v>74.817089368596655</v>
      </c>
      <c r="AC1445" s="257">
        <f>altaz((J2000_Bas+(6*0.04167)),$O1445,$M1445,DecLat,DecLong,1)</f>
        <v>76.873685468455193</v>
      </c>
      <c r="AD1445" s="258">
        <f>1+ transit((J2000_Bas-1),$O1445,$M1445,DecLat,DecLong)/360 + (GMTOffset/24) + (IF(DST="Y", 1, 0)/24)</f>
        <v>0.99976338586929125</v>
      </c>
      <c r="AE1445" s="259">
        <f>DATE(2001,9,21)+(M1445/360)*365 - (360*((DecLong/360)- (GMTOffset/24) ))</f>
        <v>37162.505150462966</v>
      </c>
      <c r="AF1445" s="260">
        <f>IF(DecLat&gt;0,IF((90 - (DecLat-O1445))&gt;90, (90 - (O1445-DecLat)), (90 - (DecLat-O1445))),IF((90 + (DecLat-O1445))&gt;90, (90 + (O1445-DecLat)), (90 + (DecLat-O1445))))</f>
        <v>84.923888888888882</v>
      </c>
      <c r="AG1445" s="257">
        <f>angularseperation(MoonRA,MoonDec,$M1445,$O1445)</f>
        <v>120.9884866248396</v>
      </c>
      <c r="AH1445" s="261">
        <f ca="1">MIN(100,IF($O$5&gt;80,0+30*($AG1445/100),IF($O$5&gt;70,0+50*($AG1445/100),IF($O$5&gt;60,5+50*($AG1445/100),IF($O$5&gt;50,10+60*($AG1445/100),IF($O$5&gt;40,15+70*($AG1445/100),IF($O$5&gt;30,20+70*($AG1445/100),IF($O$5&gt;20,40+55*($AG1445/100),(80+(20-$O$5)+30*($AG1445/100))))))))))</f>
        <v>100</v>
      </c>
      <c r="AI1445" s="262">
        <v>23</v>
      </c>
      <c r="AJ1445" s="262"/>
      <c r="AK1445" s="262"/>
      <c r="AL1445" s="263"/>
      <c r="AM1445" s="264"/>
      <c r="AN1445" s="263"/>
      <c r="AO1445" s="263"/>
      <c r="AP1445" s="265"/>
      <c r="AQ1445" s="266">
        <v>89</v>
      </c>
      <c r="AR1445" s="267">
        <v>698</v>
      </c>
      <c r="AS1445" s="263"/>
      <c r="AT1445" s="263"/>
      <c r="AU1445" s="263"/>
      <c r="AV1445" s="264"/>
      <c r="AW1445" s="263"/>
      <c r="AX1445" s="263"/>
      <c r="AY1445" s="263"/>
      <c r="AZ1445" s="263"/>
      <c r="BA1445" s="263"/>
      <c r="BB1445" s="263"/>
      <c r="BC1445" s="263"/>
      <c r="BD1445" s="264"/>
      <c r="BE1445" s="263"/>
      <c r="BF1445" s="263"/>
      <c r="BG1445" s="263"/>
      <c r="BH1445" s="263"/>
      <c r="BI1445" s="263"/>
      <c r="BJ1445" s="404">
        <f>altaz(J2000_Bas,$O1445,$M1445,DecLat,DecLong,2)</f>
        <v>73.059031610780593</v>
      </c>
      <c r="BK1445" s="378" t="s">
        <v>1483</v>
      </c>
      <c r="BL1445" s="379">
        <f>IF((2*G1445)/60&lt;0.2,0.2,(2*G1445)/60)</f>
        <v>0.2</v>
      </c>
      <c r="BM1445" s="380">
        <f>MOD((50000+AD1445-$B$3+(0/24)),1)</f>
        <v>0.21513031556969509</v>
      </c>
      <c r="BN1445" s="381"/>
      <c r="BO1445" s="382">
        <v>1438</v>
      </c>
    </row>
    <row r="1446" spans="1:67" s="24" customFormat="1" ht="15" customHeight="1" x14ac:dyDescent="0.25">
      <c r="A1446" s="288" t="s">
        <v>1484</v>
      </c>
      <c r="B1446" s="241" t="str">
        <f>HYPERLINK(CONCATENATE($AT$3,BK1446,$AU$3),$AV$3)</f>
        <v>S</v>
      </c>
      <c r="C1446" s="242" t="str">
        <f>HYPERLINK(CONCATENATE($AT$4,BK1446,$AU$4,BL1446),$AV$4)</f>
        <v>A</v>
      </c>
      <c r="D1446" s="243" t="s">
        <v>5638</v>
      </c>
      <c r="E1446" s="244" t="s">
        <v>5192</v>
      </c>
      <c r="F1446" s="269" t="s">
        <v>8689</v>
      </c>
      <c r="G1446" s="273">
        <v>7</v>
      </c>
      <c r="H1446" s="283">
        <v>25.446960000000001</v>
      </c>
      <c r="I1446" s="246">
        <v>50</v>
      </c>
      <c r="J1446" s="246">
        <v>2</v>
      </c>
      <c r="K1446" s="247" t="s">
        <v>4648</v>
      </c>
      <c r="L1446" s="248">
        <v>956</v>
      </c>
      <c r="M1446" s="249">
        <f>15*(LEFT(TEXT($L1446,"000000"),2)+(MID(TEXT($L1446,"000000"),3,2)/60)+(RIGHT(TEXT($L1446,"000000"),2)/3600))</f>
        <v>2.4833333333333329</v>
      </c>
      <c r="N1446" s="250">
        <v>-245752</v>
      </c>
      <c r="O1446" s="251">
        <f>IF($N1446&gt;0,(LEFT(TEXT($N1446,"000000"),2)+(MID(TEXT($N1446,"000000"),3,2)/60)+(RIGHT(TEXT($N1446,"000000"),2)/3600)),-(MID(TEXT($N1446,"000000"),2,2)+(MID(TEXT($N1446,"000000"),4,2)/60)+(RIGHT(TEXT($N1446,"000000"),2)/3600)))</f>
        <v>-24.964444444444442</v>
      </c>
      <c r="P1446" s="252" t="s">
        <v>1181</v>
      </c>
      <c r="Q1446" s="253"/>
      <c r="R1446" s="247" t="s">
        <v>3293</v>
      </c>
      <c r="S1446" s="272" t="s">
        <v>3293</v>
      </c>
      <c r="T1446" s="273">
        <v>11.6</v>
      </c>
      <c r="U1446" s="289">
        <v>22.59</v>
      </c>
      <c r="V1446" s="280">
        <v>80</v>
      </c>
      <c r="W1446" s="244"/>
      <c r="X1446" s="244"/>
      <c r="Y1446" s="362"/>
      <c r="Z1446" s="257">
        <f>altaz(J2000_Bas,$O1446,$M1446,DecLat,DecLong,1)</f>
        <v>-2.0467054377428098</v>
      </c>
      <c r="AA1446" s="257">
        <f>altaz((J2000_Bas+(2*0.04167)),$O1446,$M1446,DecLat,DecLong,1)</f>
        <v>18.575491738041194</v>
      </c>
      <c r="AB1446" s="257">
        <f>altaz((J2000_Bas+(4*0.04167)),$O1446,$M1446,DecLat,DecLong,1)</f>
        <v>31.899331931499301</v>
      </c>
      <c r="AC1446" s="257">
        <f>altaz((J2000_Bas+(6*0.04167)),$O1446,$M1446,DecLat,DecLong,1)</f>
        <v>32.504356769603653</v>
      </c>
      <c r="AD1446" s="258">
        <f>1+ transit((J2000_Bas-1),$O1446,$M1446,DecLat,DecLong)/360 + (GMTOffset/24) + (IF(DST="Y", 1, 0)/24)</f>
        <v>0.99979810808804126</v>
      </c>
      <c r="AE1446" s="259">
        <f>DATE(2001,9,21)+(M1446/360)*365 - (360*((DecLong/360)- (GMTOffset/24) ))</f>
        <v>37162.517824074072</v>
      </c>
      <c r="AF1446" s="260">
        <f>IF(DecLat&gt;0,IF((90 - (DecLat-O1446))&gt;90, (90 - (O1446-DecLat)), (90 - (DecLat-O1446))),IF((90 + (DecLat-O1446))&gt;90, (90 + (O1446-DecLat)), (90 + (DecLat-O1446))))</f>
        <v>34.035555555555561</v>
      </c>
      <c r="AG1446" s="257">
        <f>angularseperation(MoonRA,MoonDec,$M1446,$O1446)</f>
        <v>97.25856689239761</v>
      </c>
      <c r="AH1446" s="261">
        <f ca="1">MIN(100,IF($O$5&gt;80,0+30*($AG1446/100),IF($O$5&gt;70,0+50*($AG1446/100),IF($O$5&gt;60,5+50*($AG1446/100),IF($O$5&gt;50,10+60*($AG1446/100),IF($O$5&gt;40,15+70*($AG1446/100),IF($O$5&gt;30,20+70*($AG1446/100),IF($O$5&gt;20,40+55*($AG1446/100),(80+(20-$O$5)+30*($AG1446/100))))))))))</f>
        <v>100</v>
      </c>
      <c r="AI1446" s="262">
        <v>24</v>
      </c>
      <c r="AJ1446" s="262"/>
      <c r="AK1446" s="262"/>
      <c r="AL1446" s="263"/>
      <c r="AM1446" s="264"/>
      <c r="AN1446" s="263"/>
      <c r="AO1446" s="263"/>
      <c r="AP1446" s="265"/>
      <c r="AQ1446" s="266"/>
      <c r="AR1446" s="267">
        <v>701</v>
      </c>
      <c r="AS1446" s="263"/>
      <c r="AT1446" s="263"/>
      <c r="AU1446" s="263"/>
      <c r="AV1446" s="264"/>
      <c r="AW1446" s="263"/>
      <c r="AX1446" s="263"/>
      <c r="AY1446" s="263"/>
      <c r="AZ1446" s="263"/>
      <c r="BA1446" s="263"/>
      <c r="BB1446" s="263"/>
      <c r="BC1446" s="263"/>
      <c r="BD1446" s="264"/>
      <c r="BE1446" s="263"/>
      <c r="BF1446" s="263"/>
      <c r="BG1446" s="263"/>
      <c r="BH1446" s="263"/>
      <c r="BI1446" s="263"/>
      <c r="BJ1446" s="404">
        <f>altaz(J2000_Bas,$O1446,$M1446,DecLat,DecLong,2)</f>
        <v>118.11389133393173</v>
      </c>
      <c r="BK1446" s="378" t="s">
        <v>1484</v>
      </c>
      <c r="BL1446" s="379">
        <f>IF((2*G1446)/60&lt;0.2,0.2,(2*G1446)/60)</f>
        <v>0.23333333333333334</v>
      </c>
      <c r="BM1446" s="380">
        <f>MOD((50000+AD1446-$B$3+(0/24)),1)</f>
        <v>0.21516503779275808</v>
      </c>
      <c r="BN1446" s="381"/>
      <c r="BO1446" s="382">
        <v>1439</v>
      </c>
    </row>
    <row r="1447" spans="1:67" s="24" customFormat="1" ht="15" customHeight="1" x14ac:dyDescent="0.25">
      <c r="A1447" s="288" t="s">
        <v>1485</v>
      </c>
      <c r="B1447" s="241" t="str">
        <f>HYPERLINK(CONCATENATE($AT$3,BK1447,$AU$3),$AV$3)</f>
        <v>S</v>
      </c>
      <c r="C1447" s="242" t="str">
        <f>HYPERLINK(CONCATENATE($AT$4,BK1447,$AU$4,BL1447),$AV$4)</f>
        <v>A</v>
      </c>
      <c r="D1447" s="243" t="s">
        <v>5638</v>
      </c>
      <c r="E1447" s="244" t="s">
        <v>5192</v>
      </c>
      <c r="F1447" s="269" t="s">
        <v>8690</v>
      </c>
      <c r="G1447" s="273">
        <v>1.4</v>
      </c>
      <c r="H1447" s="283">
        <v>210.91509000000002</v>
      </c>
      <c r="I1447" s="246">
        <v>95</v>
      </c>
      <c r="J1447" s="246">
        <v>2</v>
      </c>
      <c r="K1447" s="247" t="s">
        <v>6509</v>
      </c>
      <c r="L1447" s="248">
        <v>1026</v>
      </c>
      <c r="M1447" s="249">
        <f>15*(LEFT(TEXT($L1447,"000000"),2)+(MID(TEXT($L1447,"000000"),3,2)/60)+(RIGHT(TEXT($L1447,"000000"),2)/3600))</f>
        <v>2.6083333333333329</v>
      </c>
      <c r="N1447" s="286">
        <v>254955</v>
      </c>
      <c r="O1447" s="251">
        <f>IF($N1447&gt;0,(LEFT(TEXT($N1447,"000000"),2)+(MID(TEXT($N1447,"000000"),3,2)/60)+(RIGHT(TEXT($N1447,"000000"),2)/3600)),-(MID(TEXT($N1447,"000000"),2,2)+(MID(TEXT($N1447,"000000"),4,2)/60)+(RIGHT(TEXT($N1447,"000000"),2)/3600)))</f>
        <v>25.831944444444446</v>
      </c>
      <c r="P1447" s="252" t="s">
        <v>39</v>
      </c>
      <c r="Q1447" s="253"/>
      <c r="R1447" s="247" t="s">
        <v>3293</v>
      </c>
      <c r="S1447" s="272" t="s">
        <v>3296</v>
      </c>
      <c r="T1447" s="273">
        <v>12.9</v>
      </c>
      <c r="U1447" s="289">
        <v>22.79</v>
      </c>
      <c r="V1447" s="280">
        <v>15</v>
      </c>
      <c r="W1447" s="244"/>
      <c r="X1447" s="244"/>
      <c r="Y1447" s="362"/>
      <c r="Z1447" s="257">
        <f>altaz(J2000_Bas,$O1447,$M1447,DecLat,DecLong,1)</f>
        <v>23.774714883734386</v>
      </c>
      <c r="AA1447" s="257">
        <f>altaz((J2000_Bas+(2*0.04167)),$O1447,$M1447,DecLat,DecLong,1)</f>
        <v>49.050601914424703</v>
      </c>
      <c r="AB1447" s="257">
        <f>altaz((J2000_Bas+(4*0.04167)),$O1447,$M1447,DecLat,DecLong,1)</f>
        <v>74.667047378113011</v>
      </c>
      <c r="AC1447" s="257">
        <f>altaz((J2000_Bas+(6*0.04167)),$O1447,$M1447,DecLat,DecLong,1)</f>
        <v>76.944127545706209</v>
      </c>
      <c r="AD1447" s="258">
        <f>1+ transit((J2000_Bas-1),$O1447,$M1447,DecLat,DecLong)/360 + (GMTOffset/24) + (IF(DST="Y", 1, 0)/24)</f>
        <v>1.0001453302755414</v>
      </c>
      <c r="AE1447" s="259">
        <f>DATE(2001,9,21)+(M1447/360)*365 - (360*((DecLong/360)- (GMTOffset/24) ))</f>
        <v>37162.644560185188</v>
      </c>
      <c r="AF1447" s="260">
        <f>IF(DecLat&gt;0,IF((90 - (DecLat-O1447))&gt;90, (90 - (O1447-DecLat)), (90 - (DecLat-O1447))),IF((90 + (DecLat-O1447))&gt;90, (90 + (O1447-DecLat)), (90 + (DecLat-O1447))))</f>
        <v>84.831944444444446</v>
      </c>
      <c r="AG1447" s="257">
        <f>angularseperation(MoonRA,MoonDec,$M1447,$O1447)</f>
        <v>121.07908628843055</v>
      </c>
      <c r="AH1447" s="261">
        <f ca="1">MIN(100,IF($O$5&gt;80,0+30*($AG1447/100),IF($O$5&gt;70,0+50*($AG1447/100),IF($O$5&gt;60,5+50*($AG1447/100),IF($O$5&gt;50,10+60*($AG1447/100),IF($O$5&gt;40,15+70*($AG1447/100),IF($O$5&gt;30,20+70*($AG1447/100),IF($O$5&gt;20,40+55*($AG1447/100),(80+(20-$O$5)+30*($AG1447/100))))))))))</f>
        <v>100</v>
      </c>
      <c r="AI1447" s="262">
        <v>26</v>
      </c>
      <c r="AJ1447" s="262"/>
      <c r="AK1447" s="262"/>
      <c r="AL1447" s="263"/>
      <c r="AM1447" s="264"/>
      <c r="AN1447" s="263"/>
      <c r="AO1447" s="263"/>
      <c r="AP1447" s="265"/>
      <c r="AQ1447" s="266">
        <v>94</v>
      </c>
      <c r="AR1447" s="267">
        <v>732</v>
      </c>
      <c r="AS1447" s="263"/>
      <c r="AT1447" s="263"/>
      <c r="AU1447" s="263"/>
      <c r="AV1447" s="264"/>
      <c r="AW1447" s="263"/>
      <c r="AX1447" s="263"/>
      <c r="AY1447" s="263"/>
      <c r="AZ1447" s="263"/>
      <c r="BA1447" s="263"/>
      <c r="BB1447" s="263"/>
      <c r="BC1447" s="263"/>
      <c r="BD1447" s="264"/>
      <c r="BE1447" s="263"/>
      <c r="BF1447" s="263"/>
      <c r="BG1447" s="263"/>
      <c r="BH1447" s="263"/>
      <c r="BI1447" s="263"/>
      <c r="BJ1447" s="404">
        <f>altaz(J2000_Bas,$O1447,$M1447,DecLat,DecLong,2)</f>
        <v>73.095007563366735</v>
      </c>
      <c r="BK1447" s="378" t="s">
        <v>1485</v>
      </c>
      <c r="BL1447" s="379">
        <f>IF((2*G1447)/60&lt;0.2,0.2,(2*G1447)/60)</f>
        <v>0.2</v>
      </c>
      <c r="BM1447" s="380">
        <f>MOD((50000+AD1447-$B$3+(0/24)),1)</f>
        <v>0.21551225997973233</v>
      </c>
      <c r="BN1447" s="381"/>
      <c r="BO1447" s="382">
        <v>1440</v>
      </c>
    </row>
    <row r="1448" spans="1:67" s="24" customFormat="1" ht="15" customHeight="1" x14ac:dyDescent="0.25">
      <c r="A1448" s="288" t="s">
        <v>7649</v>
      </c>
      <c r="B1448" s="241" t="str">
        <f>HYPERLINK(CONCATENATE($AT$3,BK1448,$AU$3),$AV$3)</f>
        <v>S</v>
      </c>
      <c r="C1448" s="242" t="str">
        <f>HYPERLINK(CONCATENATE($AT$4,BK1448,$AU$4,BL1448),$AV$4)</f>
        <v>A</v>
      </c>
      <c r="D1448" s="243" t="s">
        <v>5638</v>
      </c>
      <c r="E1448" s="244" t="s">
        <v>5625</v>
      </c>
      <c r="F1448" s="269">
        <v>4</v>
      </c>
      <c r="G1448" s="282">
        <v>15</v>
      </c>
      <c r="H1448" s="283">
        <v>360</v>
      </c>
      <c r="I1448" s="284">
        <v>1600</v>
      </c>
      <c r="J1448" s="246">
        <v>2</v>
      </c>
      <c r="K1448" s="247" t="s">
        <v>7650</v>
      </c>
      <c r="L1448" s="248">
        <v>1033</v>
      </c>
      <c r="M1448" s="249">
        <f>15*(LEFT(TEXT($L1448,"000000"),2)+(MID(TEXT($L1448,"000000"),3,2)/60)+(RIGHT(TEXT($L1448,"000000"),2)/3600))</f>
        <v>2.6374999999999997</v>
      </c>
      <c r="N1448" s="250">
        <v>285942</v>
      </c>
      <c r="O1448" s="251">
        <f>IF($N1448&gt;0,(LEFT(TEXT($N1448,"000000"),2)+(MID(TEXT($N1448,"000000"),3,2)/60)+(RIGHT(TEXT($N1448,"000000"),2)/3600)),-(MID(TEXT($N1448,"000000"),2,2)+(MID(TEXT($N1448,"000000"),4,2)/60)+(RIGHT(TEXT($N1448,"000000"),2)/3600)))</f>
        <v>28.995000000000001</v>
      </c>
      <c r="P1448" s="252" t="s">
        <v>36</v>
      </c>
      <c r="Q1448" s="253"/>
      <c r="R1448" s="277" t="s">
        <v>3293</v>
      </c>
      <c r="S1448" s="272" t="s">
        <v>6510</v>
      </c>
      <c r="T1448" s="273">
        <v>13.5</v>
      </c>
      <c r="U1448" s="289">
        <v>21.990000000000002</v>
      </c>
      <c r="V1448" s="280">
        <v>70</v>
      </c>
      <c r="W1448" s="244"/>
      <c r="X1448" s="244"/>
      <c r="Y1448" s="362"/>
      <c r="Z1448" s="257">
        <f>altaz(J2000_Bas,$O1448,$M1448,DecLat,DecLong,1)</f>
        <v>25.02166397121313</v>
      </c>
      <c r="AA1448" s="257">
        <f>altaz((J2000_Bas+(2*0.04167)),$O1448,$M1448,DecLat,DecLong,1)</f>
        <v>49.930076814816587</v>
      </c>
      <c r="AB1448" s="257">
        <f>altaz((J2000_Bas+(4*0.04167)),$O1448,$M1448,DecLat,DecLong,1)</f>
        <v>75.613252343089457</v>
      </c>
      <c r="AC1448" s="257">
        <f>altaz((J2000_Bas+(6*0.04167)),$O1448,$M1448,DecLat,DecLong,1)</f>
        <v>78.044364386109507</v>
      </c>
      <c r="AD1448" s="258">
        <f>1+ transit((J2000_Bas-1),$O1448,$M1448,DecLat,DecLong)/360 + (GMTOffset/24) + (IF(DST="Y", 1, 0)/24)</f>
        <v>1.000226348785958</v>
      </c>
      <c r="AE1448" s="259">
        <f>DATE(2001,9,21)+(M1448/360)*365 - (360*((DecLong/360)- (GMTOffset/24) ))</f>
        <v>37162.674131944441</v>
      </c>
      <c r="AF1448" s="260">
        <f>IF(DecLat&gt;0,IF((90 - (DecLat-O1448))&gt;90, (90 - (O1448-DecLat)), (90 - (DecLat-O1448))),IF((90 + (DecLat-O1448))&gt;90, (90 + (O1448-DecLat)), (90 + (DecLat-O1448))))</f>
        <v>87.995000000000005</v>
      </c>
      <c r="AG1448" s="257">
        <f>angularseperation(MoonRA,MoonDec,$M1448,$O1448)</f>
        <v>122.00006536867062</v>
      </c>
      <c r="AH1448" s="261">
        <f ca="1">MIN(100,IF($O$5&gt;80,0+30*($AG1448/100),IF($O$5&gt;70,0+50*($AG1448/100),IF($O$5&gt;60,5+50*($AG1448/100),IF($O$5&gt;50,10+60*($AG1448/100),IF($O$5&gt;40,15+70*($AG1448/100),IF($O$5&gt;30,20+70*($AG1448/100),IF($O$5&gt;20,40+55*($AG1448/100),(80+(20-$O$5)+30*($AG1448/100))))))))))</f>
        <v>100</v>
      </c>
      <c r="AI1448" s="263">
        <v>27</v>
      </c>
      <c r="AJ1448" s="263"/>
      <c r="AK1448" s="263"/>
      <c r="AL1448" s="263"/>
      <c r="AM1448" s="264"/>
      <c r="AN1448" s="263"/>
      <c r="AO1448" s="263"/>
      <c r="AP1448" s="265"/>
      <c r="AQ1448" s="265">
        <v>96</v>
      </c>
      <c r="AR1448" s="285">
        <v>742</v>
      </c>
      <c r="AS1448" s="263"/>
      <c r="AT1448" s="263"/>
      <c r="AU1448" s="263"/>
      <c r="AV1448" s="264"/>
      <c r="AW1448" s="263"/>
      <c r="AX1448" s="263"/>
      <c r="AY1448" s="263"/>
      <c r="AZ1448" s="263"/>
      <c r="BA1448" s="263"/>
      <c r="BB1448" s="263"/>
      <c r="BC1448" s="263"/>
      <c r="BD1448" s="264"/>
      <c r="BE1448" s="263"/>
      <c r="BF1448" s="263"/>
      <c r="BG1448" s="263"/>
      <c r="BH1448" s="263"/>
      <c r="BI1448" s="263"/>
      <c r="BJ1448" s="404">
        <f>altaz(J2000_Bas,$O1448,$M1448,DecLat,DecLong,2)</f>
        <v>69.902762377539489</v>
      </c>
      <c r="BK1448" s="378" t="s">
        <v>3106</v>
      </c>
      <c r="BL1448" s="379">
        <f>IF((2*G1448)/60&lt;0.2,0.2,(2*G1448)/60)</f>
        <v>0.5</v>
      </c>
      <c r="BM1448" s="380">
        <f>MOD((50000+AD1448-$B$3+(0/24)),1)</f>
        <v>0.21559327848808607</v>
      </c>
      <c r="BN1448" s="381"/>
      <c r="BO1448" s="382">
        <v>1441</v>
      </c>
    </row>
    <row r="1449" spans="1:67" s="24" customFormat="1" ht="15" customHeight="1" x14ac:dyDescent="0.25">
      <c r="A1449" s="288" t="s">
        <v>1486</v>
      </c>
      <c r="B1449" s="241" t="str">
        <f>HYPERLINK(CONCATENATE($AT$3,BK1449,$AU$3),$AV$3)</f>
        <v>S</v>
      </c>
      <c r="C1449" s="242" t="str">
        <f>HYPERLINK(CONCATENATE($AT$4,BK1449,$AU$4,BL1449),$AV$4)</f>
        <v>A</v>
      </c>
      <c r="D1449" s="243" t="s">
        <v>5187</v>
      </c>
      <c r="E1449" s="244" t="s">
        <v>5181</v>
      </c>
      <c r="F1449" s="269" t="s">
        <v>6511</v>
      </c>
      <c r="G1449" s="270">
        <v>0.6</v>
      </c>
      <c r="H1449" s="283">
        <v>3500</v>
      </c>
      <c r="I1449" s="309">
        <v>0.6</v>
      </c>
      <c r="J1449" s="246">
        <v>4</v>
      </c>
      <c r="K1449" s="247" t="s">
        <v>6512</v>
      </c>
      <c r="L1449" s="248">
        <v>1301</v>
      </c>
      <c r="M1449" s="249">
        <f>15*(LEFT(TEXT($L1449,"000000"),2)+(MID(TEXT($L1449,"000000"),3,2)/60)+(RIGHT(TEXT($L1449,"000000"),2)/3600))</f>
        <v>3.2541666666666664</v>
      </c>
      <c r="N1449" s="250">
        <v>723119</v>
      </c>
      <c r="O1449" s="251">
        <f>IF($N1449&gt;0,(LEFT(TEXT($N1449,"000000"),2)+(MID(TEXT($N1449,"000000"),3,2)/60)+(RIGHT(TEXT($N1449,"000000"),2)/3600)),-(MID(TEXT($N1449,"000000"),2,2)+(MID(TEXT($N1449,"000000"),4,2)/60)+(RIGHT(TEXT($N1449,"000000"),2)/3600)))</f>
        <v>72.521944444444443</v>
      </c>
      <c r="P1449" s="252" t="s">
        <v>52</v>
      </c>
      <c r="Q1449" s="253" t="s">
        <v>5155</v>
      </c>
      <c r="R1449" s="247" t="s">
        <v>7326</v>
      </c>
      <c r="S1449" s="272" t="s">
        <v>3293</v>
      </c>
      <c r="T1449" s="273">
        <v>11.5</v>
      </c>
      <c r="U1449" s="274"/>
      <c r="V1449" s="280"/>
      <c r="W1449" s="244"/>
      <c r="X1449" s="244"/>
      <c r="Y1449" s="362"/>
      <c r="Z1449" s="257">
        <f>altaz(J2000_Bas,$O1449,$M1449,DecLat,DecLong,1)</f>
        <v>33.234699025115603</v>
      </c>
      <c r="AA1449" s="257">
        <f>altaz((J2000_Bas+(2*0.04167)),$O1449,$M1449,DecLat,DecLong,1)</f>
        <v>41.78101116862743</v>
      </c>
      <c r="AB1449" s="257">
        <f>altaz((J2000_Bas+(4*0.04167)),$O1449,$M1449,DecLat,DecLong,1)</f>
        <v>47.50568070663595</v>
      </c>
      <c r="AC1449" s="257">
        <f>altaz((J2000_Bas+(6*0.04167)),$O1449,$M1449,DecLat,DecLong,1)</f>
        <v>47.910743801010518</v>
      </c>
      <c r="AD1449" s="258">
        <f>1+ transit((J2000_Bas-1),$O1449,$M1449,DecLat,DecLong)/360 + (GMTOffset/24) + (IF(DST="Y", 1, 0)/24)</f>
        <v>1.0019393115776247</v>
      </c>
      <c r="AE1449" s="259">
        <f>DATE(2001,9,21)+(M1449/360)*365 - (360*((DecLong/360)- (GMTOffset/24) ))</f>
        <v>37163.299363425926</v>
      </c>
      <c r="AF1449" s="260">
        <f>IF(DecLat&gt;0,IF((90 - (DecLat-O1449))&gt;90, (90 - (O1449-DecLat)), (90 - (DecLat-O1449))),IF((90 + (DecLat-O1449))&gt;90, (90 + (O1449-DecLat)), (90 + (DecLat-O1449))))</f>
        <v>48.478055555555557</v>
      </c>
      <c r="AG1449" s="257">
        <f>angularseperation(MoonRA,MoonDec,$M1449,$O1449)</f>
        <v>122.89445636697897</v>
      </c>
      <c r="AH1449" s="261">
        <f ca="1">MIN(100,IF($O$5&gt;80,0+30*($AG1449/100),IF($O$5&gt;70,0+50*($AG1449/100),IF($O$5&gt;60,5+50*($AG1449/100),IF($O$5&gt;50,10+60*($AG1449/100),IF($O$5&gt;40,15+70*($AG1449/100),IF($O$5&gt;30,20+70*($AG1449/100),IF($O$5&gt;20,40+55*($AG1449/100),(80+(20-$O$5)+30*($AG1449/100))))))))))</f>
        <v>100</v>
      </c>
      <c r="AI1449" s="262">
        <v>40</v>
      </c>
      <c r="AJ1449" s="262"/>
      <c r="AK1449" s="262">
        <v>1</v>
      </c>
      <c r="AL1449" s="263"/>
      <c r="AM1449" s="264">
        <v>2</v>
      </c>
      <c r="AN1449" s="263"/>
      <c r="AO1449" s="263"/>
      <c r="AP1449" s="265"/>
      <c r="AQ1449" s="266"/>
      <c r="AR1449" s="267"/>
      <c r="AS1449" s="263"/>
      <c r="AT1449" s="263">
        <v>1</v>
      </c>
      <c r="AU1449" s="263"/>
      <c r="AV1449" s="264"/>
      <c r="AW1449" s="263"/>
      <c r="AX1449" s="263"/>
      <c r="AY1449" s="263"/>
      <c r="AZ1449" s="263"/>
      <c r="BA1449" s="263"/>
      <c r="BB1449" s="263"/>
      <c r="BC1449" s="263"/>
      <c r="BD1449" s="264"/>
      <c r="BE1449" s="263"/>
      <c r="BF1449" s="263"/>
      <c r="BG1449" s="263"/>
      <c r="BH1449" s="263"/>
      <c r="BI1449" s="263"/>
      <c r="BJ1449" s="404">
        <f>altaz(J2000_Bas,$O1449,$M1449,DecLat,DecLong,2)</f>
        <v>20.50085782823226</v>
      </c>
      <c r="BK1449" s="378" t="s">
        <v>1486</v>
      </c>
      <c r="BL1449" s="379">
        <f>IF((2*G1449)/60&lt;0.2,0.2,(2*G1449)/60)</f>
        <v>0.2</v>
      </c>
      <c r="BM1449" s="380">
        <f>MOD((50000+AD1449-$B$3+(0/24)),1)</f>
        <v>0.21730624128394993</v>
      </c>
      <c r="BN1449" s="381"/>
      <c r="BO1449" s="382">
        <v>1442</v>
      </c>
    </row>
    <row r="1450" spans="1:67" s="24" customFormat="1" ht="15" customHeight="1" x14ac:dyDescent="0.25">
      <c r="A1450" s="288" t="s">
        <v>1487</v>
      </c>
      <c r="B1450" s="241" t="str">
        <f>HYPERLINK(CONCATENATE($AT$3,BK1450,$AU$3),$AV$3)</f>
        <v>S</v>
      </c>
      <c r="C1450" s="242" t="str">
        <f>HYPERLINK(CONCATENATE($AT$4,BK1450,$AU$4,BL1450),$AV$4)</f>
        <v>A</v>
      </c>
      <c r="D1450" s="243" t="s">
        <v>5638</v>
      </c>
      <c r="E1450" s="244" t="s">
        <v>3259</v>
      </c>
      <c r="F1450" s="269"/>
      <c r="G1450" s="273">
        <v>9</v>
      </c>
      <c r="H1450" s="283">
        <v>30</v>
      </c>
      <c r="I1450" s="246">
        <v>80</v>
      </c>
      <c r="J1450" s="246">
        <v>2</v>
      </c>
      <c r="K1450" s="247" t="s">
        <v>6513</v>
      </c>
      <c r="L1450" s="248">
        <v>1404</v>
      </c>
      <c r="M1450" s="249">
        <f>15*(LEFT(TEXT($L1450,"000000"),2)+(MID(TEXT($L1450,"000000"),3,2)/60)+(RIGHT(TEXT($L1450,"000000"),2)/3600))</f>
        <v>3.5166666666666666</v>
      </c>
      <c r="N1450" s="250">
        <v>-231053</v>
      </c>
      <c r="O1450" s="251">
        <f>IF($N1450&gt;0,(LEFT(TEXT($N1450,"000000"),2)+(MID(TEXT($N1450,"000000"),3,2)/60)+(RIGHT(TEXT($N1450,"000000"),2)/3600)),-(MID(TEXT($N1450,"000000"),2,2)+(MID(TEXT($N1450,"000000"),4,2)/60)+(RIGHT(TEXT($N1450,"000000"),2)/3600)))</f>
        <v>-23.18138888888889</v>
      </c>
      <c r="P1450" s="252" t="s">
        <v>75</v>
      </c>
      <c r="Q1450" s="253"/>
      <c r="R1450" s="247" t="s">
        <v>3293</v>
      </c>
      <c r="S1450" s="272" t="s">
        <v>3293</v>
      </c>
      <c r="T1450" s="273">
        <v>10.6</v>
      </c>
      <c r="U1450" s="289">
        <v>23.59</v>
      </c>
      <c r="V1450" s="280">
        <v>50</v>
      </c>
      <c r="W1450" s="244"/>
      <c r="X1450" s="244"/>
      <c r="Y1450" s="362"/>
      <c r="Z1450" s="257">
        <f>altaz(J2000_Bas,$O1450,$M1450,DecLat,DecLong,1)</f>
        <v>-1.8557643398761972</v>
      </c>
      <c r="AA1450" s="257">
        <f>altaz((J2000_Bas+(2*0.04167)),$O1450,$M1450,DecLat,DecLong,1)</f>
        <v>19.287765188843224</v>
      </c>
      <c r="AB1450" s="257">
        <f>altaz((J2000_Bas+(4*0.04167)),$O1450,$M1450,DecLat,DecLong,1)</f>
        <v>33.325190877236935</v>
      </c>
      <c r="AC1450" s="257">
        <f>altaz((J2000_Bas+(6*0.04167)),$O1450,$M1450,DecLat,DecLong,1)</f>
        <v>34.459485847722881</v>
      </c>
      <c r="AD1450" s="258">
        <f>1+ transit((J2000_Bas-1),$O1450,$M1450,DecLat,DecLong)/360 + (GMTOffset/24) + (IF(DST="Y", 1, 0)/24)</f>
        <v>1.0026684781713746</v>
      </c>
      <c r="AE1450" s="259">
        <f>DATE(2001,9,21)+(M1450/360)*365 - (360*((DecLong/360)- (GMTOffset/24) ))</f>
        <v>37163.565509259257</v>
      </c>
      <c r="AF1450" s="260">
        <f>IF(DecLat&gt;0,IF((90 - (DecLat-O1450))&gt;90, (90 - (O1450-DecLat)), (90 - (DecLat-O1450))),IF((90 + (DecLat-O1450))&gt;90, (90 + (O1450-DecLat)), (90 + (DecLat-O1450))))</f>
        <v>35.81861111111111</v>
      </c>
      <c r="AG1450" s="257">
        <f>angularseperation(MoonRA,MoonDec,$M1450,$O1450)</f>
        <v>99.047476330634623</v>
      </c>
      <c r="AH1450" s="261">
        <f ca="1">MIN(100,IF($O$5&gt;80,0+30*($AG1450/100),IF($O$5&gt;70,0+50*($AG1450/100),IF($O$5&gt;60,5+50*($AG1450/100),IF($O$5&gt;50,10+60*($AG1450/100),IF($O$5&gt;40,15+70*($AG1450/100),IF($O$5&gt;30,20+70*($AG1450/100),IF($O$5&gt;20,40+55*($AG1450/100),(80+(20-$O$5)+30*($AG1450/100))))))))))</f>
        <v>100</v>
      </c>
      <c r="AI1450" s="262">
        <v>45</v>
      </c>
      <c r="AJ1450" s="262"/>
      <c r="AK1450" s="262"/>
      <c r="AL1450" s="263"/>
      <c r="AM1450" s="264"/>
      <c r="AN1450" s="263"/>
      <c r="AO1450" s="263"/>
      <c r="AP1450" s="265"/>
      <c r="AQ1450" s="266"/>
      <c r="AR1450" s="267">
        <v>930</v>
      </c>
      <c r="AS1450" s="263"/>
      <c r="AT1450" s="263"/>
      <c r="AU1450" s="263"/>
      <c r="AV1450" s="264"/>
      <c r="AW1450" s="263"/>
      <c r="AX1450" s="263"/>
      <c r="AY1450" s="263"/>
      <c r="AZ1450" s="263"/>
      <c r="BA1450" s="263"/>
      <c r="BB1450" s="263"/>
      <c r="BC1450" s="263"/>
      <c r="BD1450" s="264"/>
      <c r="BE1450" s="263"/>
      <c r="BF1450" s="263"/>
      <c r="BG1450" s="263"/>
      <c r="BH1450" s="263"/>
      <c r="BI1450" s="263"/>
      <c r="BJ1450" s="404">
        <f>altaz(J2000_Bas,$O1450,$M1450,DecLat,DecLong,2)</f>
        <v>116.10453471091196</v>
      </c>
      <c r="BK1450" s="378" t="s">
        <v>1487</v>
      </c>
      <c r="BL1450" s="379">
        <f>IF((2*G1450)/60&lt;0.2,0.2,(2*G1450)/60)</f>
        <v>0.3</v>
      </c>
      <c r="BM1450" s="380">
        <f>MOD((50000+AD1450-$B$3+(0/24)),1)</f>
        <v>0.21803540787368547</v>
      </c>
      <c r="BN1450" s="381"/>
      <c r="BO1450" s="382">
        <v>1443</v>
      </c>
    </row>
    <row r="1451" spans="1:67" s="24" customFormat="1" ht="15" customHeight="1" x14ac:dyDescent="0.25">
      <c r="A1451" s="288" t="s">
        <v>6514</v>
      </c>
      <c r="B1451" s="241" t="str">
        <f>HYPERLINK(CONCATENATE($AT$3,BK1451,$AU$3),$AV$3)</f>
        <v>S</v>
      </c>
      <c r="C1451" s="242" t="str">
        <f>HYPERLINK(CONCATENATE($AT$4,BK1451,$AU$4,BL1451),$AV$4)</f>
        <v>A</v>
      </c>
      <c r="D1451" s="243" t="s">
        <v>5638</v>
      </c>
      <c r="E1451" s="244" t="s">
        <v>5625</v>
      </c>
      <c r="F1451" s="269">
        <v>6</v>
      </c>
      <c r="G1451" s="282">
        <v>15</v>
      </c>
      <c r="H1451" s="283">
        <v>230</v>
      </c>
      <c r="I1451" s="284">
        <v>1000</v>
      </c>
      <c r="J1451" s="246">
        <v>2</v>
      </c>
      <c r="K1451" s="247" t="s">
        <v>6515</v>
      </c>
      <c r="L1451" s="248">
        <v>1435</v>
      </c>
      <c r="M1451" s="249">
        <f>15*(LEFT(TEXT($L1451,"000000"),2)+(MID(TEXT($L1451,"000000"),3,2)/60)+(RIGHT(TEXT($L1451,"000000"),2)/3600))</f>
        <v>3.6458333333333335</v>
      </c>
      <c r="N1451" s="250">
        <v>481518</v>
      </c>
      <c r="O1451" s="251">
        <f>IF($N1451&gt;0,(LEFT(TEXT($N1451,"000000"),2)+(MID(TEXT($N1451,"000000"),3,2)/60)+(RIGHT(TEXT($N1451,"000000"),2)/3600)),-(MID(TEXT($N1451,"000000"),2,2)+(MID(TEXT($N1451,"000000"),4,2)/60)+(RIGHT(TEXT($N1451,"000000"),2)/3600)))</f>
        <v>48.255000000000003</v>
      </c>
      <c r="P1451" s="252" t="s">
        <v>36</v>
      </c>
      <c r="Q1451" s="253"/>
      <c r="R1451" s="277" t="s">
        <v>3293</v>
      </c>
      <c r="S1451" s="272" t="s">
        <v>3293</v>
      </c>
      <c r="T1451" s="273">
        <v>13.1</v>
      </c>
      <c r="U1451" s="289">
        <v>22.19</v>
      </c>
      <c r="V1451" s="280"/>
      <c r="W1451" s="244"/>
      <c r="X1451" s="244"/>
      <c r="Y1451" s="362"/>
      <c r="Z1451" s="257">
        <f>altaz(J2000_Bas,$O1451,$M1451,DecLat,DecLong,1)</f>
        <v>30.425025256369828</v>
      </c>
      <c r="AA1451" s="257">
        <f>altaz((J2000_Bas+(2*0.04167)),$O1451,$M1451,DecLat,DecLong,1)</f>
        <v>50.301576395849857</v>
      </c>
      <c r="AB1451" s="257">
        <f>altaz((J2000_Bas+(4*0.04167)),$O1451,$M1451,DecLat,DecLong,1)</f>
        <v>68.226431181001089</v>
      </c>
      <c r="AC1451" s="257">
        <f>altaz((J2000_Bas+(6*0.04167)),$O1451,$M1451,DecLat,DecLong,1)</f>
        <v>70.258596871618494</v>
      </c>
      <c r="AD1451" s="258">
        <f>1+ transit((J2000_Bas-1),$O1451,$M1451,DecLat,DecLong)/360 + (GMTOffset/24) + (IF(DST="Y", 1, 0)/24)</f>
        <v>1.0030272744317914</v>
      </c>
      <c r="AE1451" s="259">
        <f>DATE(2001,9,21)+(M1451/360)*365 - (360*((DecLong/360)- (GMTOffset/24) ))</f>
        <v>37163.696469907409</v>
      </c>
      <c r="AF1451" s="260">
        <f>IF(DecLat&gt;0,IF((90 - (DecLat-O1451))&gt;90, (90 - (O1451-DecLat)), (90 - (DecLat-O1451))),IF((90 + (DecLat-O1451))&gt;90, (90 + (O1451-DecLat)), (90 + (DecLat-O1451))))</f>
        <v>72.745000000000005</v>
      </c>
      <c r="AG1451" s="257">
        <f>angularseperation(MoonRA,MoonDec,$M1451,$O1451)</f>
        <v>125.776927734201</v>
      </c>
      <c r="AH1451" s="261">
        <f ca="1">MIN(100,IF($O$5&gt;80,0+30*($AG1451/100),IF($O$5&gt;70,0+50*($AG1451/100),IF($O$5&gt;60,5+50*($AG1451/100),IF($O$5&gt;50,10+60*($AG1451/100),IF($O$5&gt;40,15+70*($AG1451/100),IF($O$5&gt;30,20+70*($AG1451/100),IF($O$5&gt;20,40+55*($AG1451/100),(80+(20-$O$5)+30*($AG1451/100))))))))))</f>
        <v>100</v>
      </c>
      <c r="AI1451" s="263">
        <v>51</v>
      </c>
      <c r="AJ1451" s="263"/>
      <c r="AK1451" s="263"/>
      <c r="AL1451" s="263"/>
      <c r="AM1451" s="264"/>
      <c r="AN1451" s="263"/>
      <c r="AO1451" s="263"/>
      <c r="AP1451" s="265"/>
      <c r="AQ1451" s="265">
        <v>138</v>
      </c>
      <c r="AR1451" s="285">
        <v>974</v>
      </c>
      <c r="AS1451" s="263"/>
      <c r="AT1451" s="263"/>
      <c r="AU1451" s="263"/>
      <c r="AV1451" s="264"/>
      <c r="AW1451" s="263"/>
      <c r="AX1451" s="263"/>
      <c r="AY1451" s="263"/>
      <c r="AZ1451" s="263"/>
      <c r="BA1451" s="263"/>
      <c r="BB1451" s="263"/>
      <c r="BC1451" s="263"/>
      <c r="BD1451" s="264"/>
      <c r="BE1451" s="263"/>
      <c r="BF1451" s="263"/>
      <c r="BG1451" s="263"/>
      <c r="BH1451" s="263"/>
      <c r="BI1451" s="263"/>
      <c r="BJ1451" s="404">
        <f>altaz(J2000_Bas,$O1451,$M1451,DecLat,DecLong,2)</f>
        <v>48.960692985406631</v>
      </c>
      <c r="BK1451" s="378" t="s">
        <v>3107</v>
      </c>
      <c r="BL1451" s="379">
        <f>IF((2*G1451)/60&lt;0.2,0.2,(2*G1451)/60)</f>
        <v>0.5</v>
      </c>
      <c r="BM1451" s="380">
        <f>MOD((50000+AD1451-$B$3+(0/24)),1)</f>
        <v>0.21839420413743937</v>
      </c>
      <c r="BN1451" s="381"/>
      <c r="BO1451" s="382">
        <v>1444</v>
      </c>
    </row>
    <row r="1452" spans="1:67" s="24" customFormat="1" ht="15" customHeight="1" x14ac:dyDescent="0.25">
      <c r="A1452" s="288" t="s">
        <v>1488</v>
      </c>
      <c r="B1452" s="241" t="str">
        <f>HYPERLINK(CONCATENATE($AT$3,BK1452,$AU$3),$AV$3)</f>
        <v>S</v>
      </c>
      <c r="C1452" s="242" t="str">
        <f>HYPERLINK(CONCATENATE($AT$4,BK1452,$AU$4,BL1452),$AV$4)</f>
        <v>A</v>
      </c>
      <c r="D1452" s="243" t="s">
        <v>5638</v>
      </c>
      <c r="E1452" s="244" t="s">
        <v>3259</v>
      </c>
      <c r="F1452" s="269" t="s">
        <v>8665</v>
      </c>
      <c r="G1452" s="276">
        <v>32</v>
      </c>
      <c r="H1452" s="289">
        <v>7</v>
      </c>
      <c r="I1452" s="246">
        <v>60</v>
      </c>
      <c r="J1452" s="246">
        <v>3</v>
      </c>
      <c r="K1452" s="247" t="s">
        <v>6516</v>
      </c>
      <c r="L1452" s="248">
        <v>1508</v>
      </c>
      <c r="M1452" s="249">
        <f>15*(LEFT(TEXT($L1452,"000000"),2)+(MID(TEXT($L1452,"000000"),3,2)/60)+(RIGHT(TEXT($L1452,"000000"),2)/3600))</f>
        <v>3.7833333333333337</v>
      </c>
      <c r="N1452" s="250">
        <v>-391312</v>
      </c>
      <c r="O1452" s="251">
        <f>IF($N1452&gt;0,(LEFT(TEXT($N1452,"000000"),2)+(MID(TEXT($N1452,"000000"),3,2)/60)+(RIGHT(TEXT($N1452,"000000"),2)/3600)),-(MID(TEXT($N1452,"000000"),2,2)+(MID(TEXT($N1452,"000000"),4,2)/60)+(RIGHT(TEXT($N1452,"000000"),2)/3600)))</f>
        <v>-39.22</v>
      </c>
      <c r="P1452" s="252" t="s">
        <v>1181</v>
      </c>
      <c r="Q1452" s="253" t="s">
        <v>6911</v>
      </c>
      <c r="R1452" s="247" t="s">
        <v>7384</v>
      </c>
      <c r="S1452" s="272" t="s">
        <v>3293</v>
      </c>
      <c r="T1452" s="273">
        <v>7.9</v>
      </c>
      <c r="U1452" s="289">
        <v>22.29</v>
      </c>
      <c r="V1452" s="280">
        <v>85</v>
      </c>
      <c r="W1452" s="244"/>
      <c r="X1452" s="244"/>
      <c r="Y1452" s="362"/>
      <c r="Z1452" s="257">
        <f>altaz(J2000_Bas,$O1452,$M1452,DecLat,DecLong,1)</f>
        <v>-10.667305428582813</v>
      </c>
      <c r="AA1452" s="257">
        <f>altaz((J2000_Bas+(2*0.04167)),$O1452,$M1452,DecLat,DecLong,1)</f>
        <v>6.967161961697264</v>
      </c>
      <c r="AB1452" s="257">
        <f>altaz((J2000_Bas+(4*0.04167)),$O1452,$M1452,DecLat,DecLong,1)</f>
        <v>17.895637541516649</v>
      </c>
      <c r="AC1452" s="257">
        <f>altaz((J2000_Bas+(6*0.04167)),$O1452,$M1452,DecLat,DecLong,1)</f>
        <v>18.828482994769445</v>
      </c>
      <c r="AD1452" s="258">
        <f>1+ transit((J2000_Bas-1),$O1452,$M1452,DecLat,DecLong)/360 + (GMTOffset/24) + (IF(DST="Y", 1, 0)/24)</f>
        <v>1.0034092188380412</v>
      </c>
      <c r="AE1452" s="259">
        <f>DATE(2001,9,21)+(M1452/360)*365 - (360*((DecLong/360)- (GMTOffset/24) ))</f>
        <v>37163.835879629631</v>
      </c>
      <c r="AF1452" s="260">
        <f>IF(DecLat&gt;0,IF((90 - (DecLat-O1452))&gt;90, (90 - (O1452-DecLat)), (90 - (DecLat-O1452))),IF((90 + (DecLat-O1452))&gt;90, (90 + (O1452-DecLat)), (90 + (DecLat-O1452))))</f>
        <v>19.78</v>
      </c>
      <c r="AG1452" s="257">
        <f>angularseperation(MoonRA,MoonDec,$M1452,$O1452)</f>
        <v>89.920401660547697</v>
      </c>
      <c r="AH1452" s="261">
        <f ca="1">MIN(100,IF($O$5&gt;80,0+30*($AG1452/100),IF($O$5&gt;70,0+50*($AG1452/100),IF($O$5&gt;60,5+50*($AG1452/100),IF($O$5&gt;50,10+60*($AG1452/100),IF($O$5&gt;40,15+70*($AG1452/100),IF($O$5&gt;30,20+70*($AG1452/100),IF($O$5&gt;20,40+55*($AG1452/100),(80+(20-$O$5)+30*($AG1452/100))))))))))</f>
        <v>100</v>
      </c>
      <c r="AI1452" s="262">
        <v>55</v>
      </c>
      <c r="AJ1452" s="262">
        <v>1537</v>
      </c>
      <c r="AK1452" s="262"/>
      <c r="AL1452" s="263"/>
      <c r="AM1452" s="264">
        <v>72</v>
      </c>
      <c r="AN1452" s="263"/>
      <c r="AO1452" s="263"/>
      <c r="AP1452" s="265"/>
      <c r="AQ1452" s="266"/>
      <c r="AR1452" s="267">
        <v>1014</v>
      </c>
      <c r="AS1452" s="263"/>
      <c r="AT1452" s="263"/>
      <c r="AU1452" s="263"/>
      <c r="AV1452" s="264"/>
      <c r="AW1452" s="263"/>
      <c r="AX1452" s="263"/>
      <c r="AY1452" s="263"/>
      <c r="AZ1452" s="263"/>
      <c r="BA1452" s="263"/>
      <c r="BB1452" s="263"/>
      <c r="BC1452" s="263"/>
      <c r="BD1452" s="264"/>
      <c r="BE1452" s="263"/>
      <c r="BF1452" s="263"/>
      <c r="BG1452" s="263"/>
      <c r="BH1452" s="263"/>
      <c r="BI1452" s="263"/>
      <c r="BJ1452" s="404">
        <f>altaz(J2000_Bas,$O1452,$M1452,DecLat,DecLong,2)</f>
        <v>129.6023303662607</v>
      </c>
      <c r="BK1452" s="378" t="s">
        <v>1488</v>
      </c>
      <c r="BL1452" s="379">
        <f>IF((2*G1452)/60&lt;0.2,0.2,(2*G1452)/60)</f>
        <v>1.0666666666666667</v>
      </c>
      <c r="BM1452" s="380">
        <f>MOD((50000+AD1452-$B$3+(0/24)),1)</f>
        <v>0.21877614854020067</v>
      </c>
      <c r="BN1452" s="381"/>
      <c r="BO1452" s="382">
        <v>1445</v>
      </c>
    </row>
    <row r="1453" spans="1:67" s="24" customFormat="1" ht="15" customHeight="1" x14ac:dyDescent="0.25">
      <c r="A1453" s="288" t="s">
        <v>1489</v>
      </c>
      <c r="B1453" s="241" t="str">
        <f>HYPERLINK(CONCATENATE($AT$3,BK1453,$AU$3),$AV$3)</f>
        <v>S</v>
      </c>
      <c r="C1453" s="242" t="str">
        <f>HYPERLINK(CONCATENATE($AT$4,BK1453,$AU$4,BL1453),$AV$4)</f>
        <v>A</v>
      </c>
      <c r="D1453" s="243" t="s">
        <v>5638</v>
      </c>
      <c r="E1453" s="244" t="s">
        <v>5192</v>
      </c>
      <c r="F1453" s="269" t="s">
        <v>8691</v>
      </c>
      <c r="G1453" s="273">
        <v>5</v>
      </c>
      <c r="H1453" s="283">
        <v>60</v>
      </c>
      <c r="I1453" s="246">
        <v>85</v>
      </c>
      <c r="J1453" s="246">
        <v>3</v>
      </c>
      <c r="K1453" s="247" t="s">
        <v>6517</v>
      </c>
      <c r="L1453" s="248">
        <v>2403</v>
      </c>
      <c r="M1453" s="249">
        <f>15*(LEFT(TEXT($L1453,"000000"),2)+(MID(TEXT($L1453,"000000"),3,2)/60)+(RIGHT(TEXT($L1453,"000000"),2)/3600))</f>
        <v>6.0125000000000011</v>
      </c>
      <c r="N1453" s="250">
        <v>162909</v>
      </c>
      <c r="O1453" s="251">
        <f>IF($N1453&gt;0,(LEFT(TEXT($N1453,"000000"),2)+(MID(TEXT($N1453,"000000"),3,2)/60)+(RIGHT(TEXT($N1453,"000000"),2)/3600)),-(MID(TEXT($N1453,"000000"),2,2)+(MID(TEXT($N1453,"000000"),4,2)/60)+(RIGHT(TEXT($N1453,"000000"),2)/3600)))</f>
        <v>16.485833333333336</v>
      </c>
      <c r="P1453" s="252" t="s">
        <v>158</v>
      </c>
      <c r="Q1453" s="253"/>
      <c r="R1453" s="247" t="s">
        <v>3293</v>
      </c>
      <c r="S1453" s="272" t="s">
        <v>3293</v>
      </c>
      <c r="T1453" s="273">
        <v>13.3</v>
      </c>
      <c r="U1453" s="289">
        <v>23.490000000000002</v>
      </c>
      <c r="V1453" s="280">
        <v>90</v>
      </c>
      <c r="W1453" s="244"/>
      <c r="X1453" s="244"/>
      <c r="Y1453" s="362"/>
      <c r="Z1453" s="257">
        <f>altaz(J2000_Bas,$O1453,$M1453,DecLat,DecLong,1)</f>
        <v>16.782753131077897</v>
      </c>
      <c r="AA1453" s="257">
        <f>altaz((J2000_Bas+(2*0.04167)),$O1453,$M1453,DecLat,DecLong,1)</f>
        <v>42.477650914256486</v>
      </c>
      <c r="AB1453" s="257">
        <f>altaz((J2000_Bas+(4*0.04167)),$O1453,$M1453,DecLat,DecLong,1)</f>
        <v>66.823305514577044</v>
      </c>
      <c r="AC1453" s="257">
        <f>altaz((J2000_Bas+(6*0.04167)),$O1453,$M1453,DecLat,DecLong,1)</f>
        <v>72.743098086194379</v>
      </c>
      <c r="AD1453" s="258">
        <f>1+ transit((J2000_Bas-1),$O1453,$M1453,DecLat,DecLong)/360 + (GMTOffset/24) + (IF(DST="Y", 1, 0)/24)</f>
        <v>1.009601347848458</v>
      </c>
      <c r="AE1453" s="259">
        <f>DATE(2001,9,21)+(M1453/360)*365 - (360*((DecLong/360)- (GMTOffset/24) ))</f>
        <v>37166.096006944441</v>
      </c>
      <c r="AF1453" s="260">
        <f>IF(DecLat&gt;0,IF((90 - (DecLat-O1453))&gt;90, (90 - (O1453-DecLat)), (90 - (DecLat-O1453))),IF((90 + (DecLat-O1453))&gt;90, (90 + (O1453-DecLat)), (90 + (DecLat-O1453))))</f>
        <v>75.485833333333332</v>
      </c>
      <c r="AG1453" s="257">
        <f>angularseperation(MoonRA,MoonDec,$M1453,$O1453)</f>
        <v>120.91349621872608</v>
      </c>
      <c r="AH1453" s="261">
        <f ca="1">MIN(100,IF($O$5&gt;80,0+30*($AG1453/100),IF($O$5&gt;70,0+50*($AG1453/100),IF($O$5&gt;60,5+50*($AG1453/100),IF($O$5&gt;50,10+60*($AG1453/100),IF($O$5&gt;40,15+70*($AG1453/100),IF($O$5&gt;30,20+70*($AG1453/100),IF($O$5&gt;20,40+55*($AG1453/100),(80+(20-$O$5)+30*($AG1453/100))))))))))</f>
        <v>100</v>
      </c>
      <c r="AI1453" s="262">
        <v>100</v>
      </c>
      <c r="AJ1453" s="262"/>
      <c r="AK1453" s="262"/>
      <c r="AL1453" s="263"/>
      <c r="AM1453" s="264"/>
      <c r="AN1453" s="263"/>
      <c r="AO1453" s="263"/>
      <c r="AP1453" s="265"/>
      <c r="AQ1453" s="266">
        <v>231</v>
      </c>
      <c r="AR1453" s="267">
        <v>1525</v>
      </c>
      <c r="AS1453" s="263"/>
      <c r="AT1453" s="263"/>
      <c r="AU1453" s="263"/>
      <c r="AV1453" s="264"/>
      <c r="AW1453" s="263"/>
      <c r="AX1453" s="263"/>
      <c r="AY1453" s="263"/>
      <c r="AZ1453" s="263"/>
      <c r="BA1453" s="263"/>
      <c r="BB1453" s="263"/>
      <c r="BC1453" s="263"/>
      <c r="BD1453" s="264"/>
      <c r="BE1453" s="263"/>
      <c r="BF1453" s="263"/>
      <c r="BG1453" s="263"/>
      <c r="BH1453" s="263"/>
      <c r="BI1453" s="263"/>
      <c r="BJ1453" s="404">
        <f>altaz(J2000_Bas,$O1453,$M1453,DecLat,DecLong,2)</f>
        <v>80.527128351591188</v>
      </c>
      <c r="BK1453" s="378" t="s">
        <v>1489</v>
      </c>
      <c r="BL1453" s="379">
        <f>IF((2*G1453)/60&lt;0.2,0.2,(2*G1453)/60)</f>
        <v>0.2</v>
      </c>
      <c r="BM1453" s="380">
        <f>MOD((50000+AD1453-$B$3+(0/24)),1)</f>
        <v>0.22496827755094273</v>
      </c>
      <c r="BN1453" s="381"/>
      <c r="BO1453" s="382">
        <v>1446</v>
      </c>
    </row>
    <row r="1454" spans="1:67" s="24" customFormat="1" ht="15" customHeight="1" x14ac:dyDescent="0.25">
      <c r="A1454" s="298" t="s">
        <v>1490</v>
      </c>
      <c r="B1454" s="241" t="str">
        <f>HYPERLINK(CONCATENATE($AT$3,BK1454,$AU$3),$AV$3)</f>
        <v>S</v>
      </c>
      <c r="C1454" s="242" t="str">
        <f>HYPERLINK(CONCATENATE($AT$4,BK1454,$AU$4,BL1454),$AV$4)</f>
        <v>A</v>
      </c>
      <c r="D1454" s="243" t="s">
        <v>5335</v>
      </c>
      <c r="E1454" s="244" t="s">
        <v>5184</v>
      </c>
      <c r="F1454" s="269" t="s">
        <v>3301</v>
      </c>
      <c r="G1454" s="276">
        <v>30</v>
      </c>
      <c r="H1454" s="283">
        <v>17000</v>
      </c>
      <c r="I1454" s="246">
        <v>145</v>
      </c>
      <c r="J1454" s="246">
        <v>5</v>
      </c>
      <c r="K1454" s="247" t="s">
        <v>5549</v>
      </c>
      <c r="L1454" s="248">
        <v>2406</v>
      </c>
      <c r="M1454" s="249">
        <f>15*(LEFT(TEXT($L1454,"000000"),2)+(MID(TEXT($L1454,"000000"),3,2)/60)+(RIGHT(TEXT($L1454,"000000"),2)/3600))</f>
        <v>6.0250000000000004</v>
      </c>
      <c r="N1454" s="286">
        <v>-720500</v>
      </c>
      <c r="O1454" s="251">
        <f>IF($N1454&gt;0,(LEFT(TEXT($N1454,"000000"),2)+(MID(TEXT($N1454,"000000"),3,2)/60)+(RIGHT(TEXT($N1454,"000000"),2)/3600)),-(MID(TEXT($N1454,"000000"),2,2)+(MID(TEXT($N1454,"000000"),4,2)/60)+(RIGHT(TEXT($N1454,"000000"),2)/3600)))</f>
        <v>-72.083333333333329</v>
      </c>
      <c r="P1454" s="252" t="s">
        <v>1491</v>
      </c>
      <c r="Q1454" s="253"/>
      <c r="R1454" s="247" t="s">
        <v>7418</v>
      </c>
      <c r="S1454" s="272" t="s">
        <v>3293</v>
      </c>
      <c r="T1454" s="273">
        <v>4</v>
      </c>
      <c r="U1454" s="274"/>
      <c r="V1454" s="280"/>
      <c r="W1454" s="244"/>
      <c r="X1454" s="244"/>
      <c r="Y1454" s="362"/>
      <c r="Z1454" s="257">
        <f>altaz(J2000_Bas,$O1454,$M1454,DecLat,DecLong,1)</f>
        <v>-26.383219406601032</v>
      </c>
      <c r="AA1454" s="257">
        <f>altaz((J2000_Bas+(2*0.04167)),$O1454,$M1454,DecLat,DecLong,1)</f>
        <v>-18.683693893351705</v>
      </c>
      <c r="AB1454" s="257">
        <f>altaz((J2000_Bas+(4*0.04167)),$O1454,$M1454,DecLat,DecLong,1)</f>
        <v>-14.007003848846072</v>
      </c>
      <c r="AC1454" s="257">
        <f>altaz((J2000_Bas+(6*0.04167)),$O1454,$M1454,DecLat,DecLong,1)</f>
        <v>-13.330102776475337</v>
      </c>
      <c r="AD1454" s="258">
        <f>1+ transit((J2000_Bas-1),$O1454,$M1454,DecLat,DecLong)/360 + (GMTOffset/24) + (IF(DST="Y", 1, 0)/24)</f>
        <v>1.009636070067208</v>
      </c>
      <c r="AE1454" s="259">
        <f>DATE(2001,9,21)+(M1454/360)*365 - (360*((DecLong/360)- (GMTOffset/24) ))</f>
        <v>37166.108680555553</v>
      </c>
      <c r="AF1454" s="260">
        <f>IF(DecLat&gt;0,IF((90 - (DecLat-O1454))&gt;90, (90 - (O1454-DecLat)), (90 - (DecLat-O1454))),IF((90 + (DecLat-O1454))&gt;90, (90 + (O1454-DecLat)), (90 + (DecLat-O1454))))</f>
        <v>-13.083333333333329</v>
      </c>
      <c r="AG1454" s="257">
        <f>angularseperation(MoonRA,MoonDec,$M1454,$O1454)</f>
        <v>71.953079567532498</v>
      </c>
      <c r="AH1454" s="261">
        <f ca="1">MIN(100,IF($O$5&gt;80,0+30*($AG1454/100),IF($O$5&gt;70,0+50*($AG1454/100),IF($O$5&gt;60,5+50*($AG1454/100),IF($O$5&gt;50,10+60*($AG1454/100),IF($O$5&gt;40,15+70*($AG1454/100),IF($O$5&gt;30,20+70*($AG1454/100),IF($O$5&gt;20,40+55*($AG1454/100),(80+(20-$O$5)+30*($AG1454/100))))))))))</f>
        <v>100</v>
      </c>
      <c r="AI1454" s="262">
        <v>104</v>
      </c>
      <c r="AJ1454" s="262"/>
      <c r="AK1454" s="262"/>
      <c r="AL1454" s="263"/>
      <c r="AM1454" s="264">
        <v>106</v>
      </c>
      <c r="AN1454" s="263"/>
      <c r="AO1454" s="263"/>
      <c r="AP1454" s="265"/>
      <c r="AQ1454" s="266"/>
      <c r="AR1454" s="267"/>
      <c r="AS1454" s="263"/>
      <c r="AT1454" s="263"/>
      <c r="AU1454" s="263"/>
      <c r="AV1454" s="264"/>
      <c r="AW1454" s="263"/>
      <c r="AX1454" s="263"/>
      <c r="AY1454" s="263"/>
      <c r="AZ1454" s="263"/>
      <c r="BA1454" s="263"/>
      <c r="BB1454" s="263"/>
      <c r="BC1454" s="263"/>
      <c r="BD1454" s="264"/>
      <c r="BE1454" s="263"/>
      <c r="BF1454" s="263"/>
      <c r="BG1454" s="263"/>
      <c r="BH1454" s="263"/>
      <c r="BI1454" s="263"/>
      <c r="BJ1454" s="404">
        <f>altaz(J2000_Bas,$O1454,$M1454,DecLat,DecLong,2)</f>
        <v>160.23228752692796</v>
      </c>
      <c r="BK1454" s="378" t="s">
        <v>1490</v>
      </c>
      <c r="BL1454" s="379">
        <f>IF((2*G1454)/60&lt;0.2,0.2,(2*G1454)/60)</f>
        <v>1</v>
      </c>
      <c r="BM1454" s="380">
        <f>MOD((50000+AD1454-$B$3+(0/24)),1)</f>
        <v>0.22500299977400573</v>
      </c>
      <c r="BN1454" s="381"/>
      <c r="BO1454" s="382">
        <v>1447</v>
      </c>
    </row>
    <row r="1455" spans="1:67" s="24" customFormat="1" ht="15" customHeight="1" x14ac:dyDescent="0.25">
      <c r="A1455" s="288" t="s">
        <v>1492</v>
      </c>
      <c r="B1455" s="241" t="str">
        <f>HYPERLINK(CONCATENATE($AT$3,BK1455,$AU$3),$AV$3)</f>
        <v>S</v>
      </c>
      <c r="C1455" s="242" t="str">
        <f>HYPERLINK(CONCATENATE($AT$4,BK1455,$AU$4,BL1455),$AV$4)</f>
        <v>A</v>
      </c>
      <c r="D1455" s="243" t="s">
        <v>5638</v>
      </c>
      <c r="E1455" s="244" t="s">
        <v>5182</v>
      </c>
      <c r="F1455" s="269" t="s">
        <v>8674</v>
      </c>
      <c r="G1455" s="273">
        <v>3</v>
      </c>
      <c r="H1455" s="283">
        <v>190</v>
      </c>
      <c r="I1455" s="246">
        <v>160</v>
      </c>
      <c r="J1455" s="246">
        <v>3</v>
      </c>
      <c r="K1455" s="247" t="s">
        <v>6518</v>
      </c>
      <c r="L1455" s="248">
        <v>2850</v>
      </c>
      <c r="M1455" s="249">
        <f>15*(LEFT(TEXT($L1455,"000000"),2)+(MID(TEXT($L1455,"000000"),3,2)/60)+(RIGHT(TEXT($L1455,"000000"),2)/3600))</f>
        <v>7.2083333333333339</v>
      </c>
      <c r="N1455" s="250">
        <v>25020</v>
      </c>
      <c r="O1455" s="251">
        <f>IF($N1455&gt;0,(LEFT(TEXT($N1455,"000000"),2)+(MID(TEXT($N1455,"000000"),3,2)/60)+(RIGHT(TEXT($N1455,"000000"),2)/3600)),-(MID(TEXT($N1455,"000000"),2,2)+(MID(TEXT($N1455,"000000"),4,2)/60)+(RIGHT(TEXT($N1455,"000000"),2)/3600)))</f>
        <v>2.838888888888889</v>
      </c>
      <c r="P1455" s="252" t="s">
        <v>158</v>
      </c>
      <c r="Q1455" s="253"/>
      <c r="R1455" s="247" t="s">
        <v>3293</v>
      </c>
      <c r="S1455" s="272" t="s">
        <v>3293</v>
      </c>
      <c r="T1455" s="273">
        <v>11.8</v>
      </c>
      <c r="U1455" s="289">
        <v>21.59</v>
      </c>
      <c r="V1455" s="280">
        <v>90</v>
      </c>
      <c r="W1455" s="244"/>
      <c r="X1455" s="244"/>
      <c r="Y1455" s="362"/>
      <c r="Z1455" s="257">
        <f>altaz(J2000_Bas,$O1455,$M1455,DecLat,DecLong,1)</f>
        <v>8.9978791421363464</v>
      </c>
      <c r="AA1455" s="257">
        <f>altaz((J2000_Bas+(2*0.04167)),$O1455,$M1455,DecLat,DecLong,1)</f>
        <v>34.254602684666409</v>
      </c>
      <c r="AB1455" s="257">
        <f>altaz((J2000_Bas+(4*0.04167)),$O1455,$M1455,DecLat,DecLong,1)</f>
        <v>55.544406155309503</v>
      </c>
      <c r="AC1455" s="257">
        <f>altaz((J2000_Bas+(6*0.04167)),$O1455,$M1455,DecLat,DecLong,1)</f>
        <v>60.571727417780814</v>
      </c>
      <c r="AD1455" s="258">
        <f>1+ transit((J2000_Bas-1),$O1455,$M1455,DecLat,DecLong)/360 + (GMTOffset/24) + (IF(DST="Y", 1, 0)/24)</f>
        <v>1.0129231067755413</v>
      </c>
      <c r="AE1455" s="259">
        <f>DATE(2001,9,21)+(M1455/360)*365 - (360*((DecLong/360)- (GMTOffset/24) ))</f>
        <v>37167.308449074073</v>
      </c>
      <c r="AF1455" s="260">
        <f>IF(DecLat&gt;0,IF((90 - (DecLat-O1455))&gt;90, (90 - (O1455-DecLat)), (90 - (DecLat-O1455))),IF((90 + (DecLat-O1455))&gt;90, (90 + (O1455-DecLat)), (90 + (DecLat-O1455))))</f>
        <v>61.838888888888889</v>
      </c>
      <c r="AG1455" s="257">
        <f>angularseperation(MoonRA,MoonDec,$M1455,$O1455)</f>
        <v>116.07616796321796</v>
      </c>
      <c r="AH1455" s="261">
        <f ca="1">MIN(100,IF($O$5&gt;80,0+30*($AG1455/100),IF($O$5&gt;70,0+50*($AG1455/100),IF($O$5&gt;60,5+50*($AG1455/100),IF($O$5&gt;50,10+60*($AG1455/100),IF($O$5&gt;40,15+70*($AG1455/100),IF($O$5&gt;30,20+70*($AG1455/100),IF($O$5&gt;20,40+55*($AG1455/100),(80+(20-$O$5)+30*($AG1455/100))))))))))</f>
        <v>100</v>
      </c>
      <c r="AI1455" s="262">
        <v>128</v>
      </c>
      <c r="AJ1455" s="262"/>
      <c r="AK1455" s="262"/>
      <c r="AL1455" s="263"/>
      <c r="AM1455" s="264"/>
      <c r="AN1455" s="263"/>
      <c r="AO1455" s="263"/>
      <c r="AP1455" s="265"/>
      <c r="AQ1455" s="266">
        <v>292</v>
      </c>
      <c r="AR1455" s="267">
        <v>1791</v>
      </c>
      <c r="AS1455" s="263"/>
      <c r="AT1455" s="263"/>
      <c r="AU1455" s="263"/>
      <c r="AV1455" s="264"/>
      <c r="AW1455" s="263"/>
      <c r="AX1455" s="263"/>
      <c r="AY1455" s="263"/>
      <c r="AZ1455" s="263"/>
      <c r="BA1455" s="263"/>
      <c r="BB1455" s="263"/>
      <c r="BC1455" s="263"/>
      <c r="BD1455" s="264"/>
      <c r="BE1455" s="263"/>
      <c r="BF1455" s="263"/>
      <c r="BG1455" s="263"/>
      <c r="BH1455" s="263">
        <v>89</v>
      </c>
      <c r="BI1455" s="263"/>
      <c r="BJ1455" s="404">
        <f>altaz(J2000_Bas,$O1455,$M1455,DecLat,DecLong,2)</f>
        <v>92.099994874901057</v>
      </c>
      <c r="BK1455" s="378" t="s">
        <v>1492</v>
      </c>
      <c r="BL1455" s="379">
        <f>IF((2*G1455)/60&lt;0.2,0.2,(2*G1455)/60)</f>
        <v>0.2</v>
      </c>
      <c r="BM1455" s="380">
        <f>MOD((50000+AD1455-$B$3+(0/24)),1)</f>
        <v>0.22829003648075741</v>
      </c>
      <c r="BN1455" s="381"/>
      <c r="BO1455" s="382">
        <v>1448</v>
      </c>
    </row>
    <row r="1456" spans="1:67" s="24" customFormat="1" ht="15" customHeight="1" x14ac:dyDescent="0.25">
      <c r="A1456" s="288" t="s">
        <v>1493</v>
      </c>
      <c r="B1456" s="241" t="str">
        <f>HYPERLINK(CONCATENATE($AT$3,BK1456,$AU$3),$AV$3)</f>
        <v>S</v>
      </c>
      <c r="C1456" s="242" t="str">
        <f>HYPERLINK(CONCATENATE($AT$4,BK1456,$AU$4,BL1456),$AV$4)</f>
        <v>A</v>
      </c>
      <c r="D1456" s="243" t="s">
        <v>5335</v>
      </c>
      <c r="E1456" s="244" t="s">
        <v>5185</v>
      </c>
      <c r="F1456" s="269" t="s">
        <v>6519</v>
      </c>
      <c r="G1456" s="276">
        <v>11</v>
      </c>
      <c r="H1456" s="283">
        <v>5000</v>
      </c>
      <c r="I1456" s="246">
        <v>16</v>
      </c>
      <c r="J1456" s="246">
        <v>2</v>
      </c>
      <c r="K1456" s="247" t="s">
        <v>6520</v>
      </c>
      <c r="L1456" s="248">
        <v>3000</v>
      </c>
      <c r="M1456" s="249">
        <f>15*(LEFT(TEXT($L1456,"000000"),2)+(MID(TEXT($L1456,"000000"),3,2)/60)+(RIGHT(TEXT($L1456,"000000"),2)/3600))</f>
        <v>7.5</v>
      </c>
      <c r="N1456" s="250">
        <v>601306</v>
      </c>
      <c r="O1456" s="251">
        <f>IF($N1456&gt;0,(LEFT(TEXT($N1456,"000000"),2)+(MID(TEXT($N1456,"000000"),3,2)/60)+(RIGHT(TEXT($N1456,"000000"),2)/3600)),-(MID(TEXT($N1456,"000000"),2,2)+(MID(TEXT($N1456,"000000"),4,2)/60)+(RIGHT(TEXT($N1456,"000000"),2)/3600)))</f>
        <v>60.218333333333334</v>
      </c>
      <c r="P1456" s="252" t="s">
        <v>49</v>
      </c>
      <c r="Q1456" s="253"/>
      <c r="R1456" s="247" t="s">
        <v>3293</v>
      </c>
      <c r="S1456" s="272" t="s">
        <v>3293</v>
      </c>
      <c r="T1456" s="273">
        <v>6.5</v>
      </c>
      <c r="U1456" s="274"/>
      <c r="V1456" s="280"/>
      <c r="W1456" s="244"/>
      <c r="X1456" s="244"/>
      <c r="Y1456" s="362"/>
      <c r="Z1456" s="257">
        <f>altaz(J2000_Bas,$O1456,$M1456,DecLat,DecLong,1)</f>
        <v>30.661402264478198</v>
      </c>
      <c r="AA1456" s="257">
        <f>altaz((J2000_Bas+(2*0.04167)),$O1456,$M1456,DecLat,DecLong,1)</f>
        <v>45.443381727562524</v>
      </c>
      <c r="AB1456" s="257">
        <f>altaz((J2000_Bas+(4*0.04167)),$O1456,$M1456,DecLat,DecLong,1)</f>
        <v>57.522987718629366</v>
      </c>
      <c r="AC1456" s="257">
        <f>altaz((J2000_Bas+(6*0.04167)),$O1456,$M1456,DecLat,DecLong,1)</f>
        <v>60.204414764062967</v>
      </c>
      <c r="AD1456" s="258">
        <f>1+ transit((J2000_Bas-1),$O1456,$M1456,DecLat,DecLong)/360 + (GMTOffset/24) + (IF(DST="Y", 1, 0)/24)</f>
        <v>1.013733291879708</v>
      </c>
      <c r="AE1456" s="259">
        <f>DATE(2001,9,21)+(M1456/360)*365 - (360*((DecLong/360)- (GMTOffset/24) ))</f>
        <v>37167.604166666664</v>
      </c>
      <c r="AF1456" s="260">
        <f>IF(DecLat&gt;0,IF((90 - (DecLat-O1456))&gt;90, (90 - (O1456-DecLat)), (90 - (DecLat-O1456))),IF((90 + (DecLat-O1456))&gt;90, (90 + (O1456-DecLat)), (90 + (DecLat-O1456))))</f>
        <v>60.781666666666666</v>
      </c>
      <c r="AG1456" s="257">
        <f>angularseperation(MoonRA,MoonDec,$M1456,$O1456)</f>
        <v>127.19533897331908</v>
      </c>
      <c r="AH1456" s="261">
        <f ca="1">MIN(100,IF($O$5&gt;80,0+30*($AG1456/100),IF($O$5&gt;70,0+50*($AG1456/100),IF($O$5&gt;60,5+50*($AG1456/100),IF($O$5&gt;50,10+60*($AG1456/100),IF($O$5&gt;40,15+70*($AG1456/100),IF($O$5&gt;30,20+70*($AG1456/100),IF($O$5&gt;20,40+55*($AG1456/100),(80+(20-$O$5)+30*($AG1456/100))))))))))</f>
        <v>100</v>
      </c>
      <c r="AI1456" s="262">
        <v>129</v>
      </c>
      <c r="AJ1456" s="262"/>
      <c r="AK1456" s="262">
        <v>2</v>
      </c>
      <c r="AL1456" s="263"/>
      <c r="AM1456" s="264"/>
      <c r="AN1456" s="263"/>
      <c r="AO1456" s="263"/>
      <c r="AP1456" s="265"/>
      <c r="AQ1456" s="266"/>
      <c r="AR1456" s="267"/>
      <c r="AS1456" s="263"/>
      <c r="AT1456" s="263"/>
      <c r="AU1456" s="263"/>
      <c r="AV1456" s="264"/>
      <c r="AW1456" s="263"/>
      <c r="AX1456" s="263"/>
      <c r="AY1456" s="263"/>
      <c r="AZ1456" s="263"/>
      <c r="BA1456" s="263"/>
      <c r="BB1456" s="263"/>
      <c r="BC1456" s="263"/>
      <c r="BD1456" s="264"/>
      <c r="BE1456" s="263"/>
      <c r="BF1456" s="263"/>
      <c r="BG1456" s="263"/>
      <c r="BH1456" s="263"/>
      <c r="BI1456" s="263"/>
      <c r="BJ1456" s="404">
        <f>altaz(J2000_Bas,$O1456,$M1456,DecLat,DecLong,2)</f>
        <v>34.825278767209774</v>
      </c>
      <c r="BK1456" s="378" t="s">
        <v>1493</v>
      </c>
      <c r="BL1456" s="379">
        <f>IF((2*G1456)/60&lt;0.2,0.2,(2*G1456)/60)</f>
        <v>0.36666666666666664</v>
      </c>
      <c r="BM1456" s="380">
        <f>MOD((50000+AD1456-$B$3+(0/24)),1)</f>
        <v>0.22910022158612264</v>
      </c>
      <c r="BN1456" s="381"/>
      <c r="BO1456" s="382">
        <v>1449</v>
      </c>
    </row>
    <row r="1457" spans="1:67" s="24" customFormat="1" ht="15" customHeight="1" x14ac:dyDescent="0.25">
      <c r="A1457" s="288" t="s">
        <v>1494</v>
      </c>
      <c r="B1457" s="241" t="str">
        <f>HYPERLINK(CONCATENATE($AT$3,BK1457,$AU$3),$AV$3)</f>
        <v>S</v>
      </c>
      <c r="C1457" s="242" t="str">
        <f>HYPERLINK(CONCATENATE($AT$4,BK1457,$AU$4,BL1457),$AV$4)</f>
        <v>A</v>
      </c>
      <c r="D1457" s="243" t="s">
        <v>5638</v>
      </c>
      <c r="E1457" s="244" t="s">
        <v>5192</v>
      </c>
      <c r="F1457" s="269" t="s">
        <v>8886</v>
      </c>
      <c r="G1457" s="273">
        <v>9</v>
      </c>
      <c r="H1457" s="283">
        <v>60</v>
      </c>
      <c r="I1457" s="246">
        <v>160</v>
      </c>
      <c r="J1457" s="246">
        <v>2</v>
      </c>
      <c r="K1457" s="247" t="s">
        <v>8835</v>
      </c>
      <c r="L1457" s="248">
        <v>3022</v>
      </c>
      <c r="M1457" s="249">
        <f>15*(LEFT(TEXT($L1457,"000000"),2)+(MID(TEXT($L1457,"000000"),3,2)/60)+(RIGHT(TEXT($L1457,"000000"),2)/3600))</f>
        <v>7.5916666666666659</v>
      </c>
      <c r="N1457" s="250">
        <v>-331444</v>
      </c>
      <c r="O1457" s="251">
        <f>IF($N1457&gt;0,(LEFT(TEXT($N1457,"000000"),2)+(MID(TEXT($N1457,"000000"),3,2)/60)+(RIGHT(TEXT($N1457,"000000"),2)/3600)),-(MID(TEXT($N1457,"000000"),2,2)+(MID(TEXT($N1457,"000000"),4,2)/60)+(RIGHT(TEXT($N1457,"000000"),2)/3600)))</f>
        <v>-33.245555555555555</v>
      </c>
      <c r="P1457" s="252" t="s">
        <v>1181</v>
      </c>
      <c r="Q1457" s="253" t="s">
        <v>6873</v>
      </c>
      <c r="R1457" s="247" t="s">
        <v>3293</v>
      </c>
      <c r="S1457" s="272" t="s">
        <v>3293</v>
      </c>
      <c r="T1457" s="273">
        <v>10.4</v>
      </c>
      <c r="U1457" s="289">
        <v>22.19</v>
      </c>
      <c r="V1457" s="280">
        <v>80</v>
      </c>
      <c r="W1457" s="244"/>
      <c r="X1457" s="244"/>
      <c r="Y1457" s="362"/>
      <c r="Z1457" s="257">
        <f>altaz(J2000_Bas,$O1457,$M1457,DecLat,DecLong,1)</f>
        <v>-10.224161105062773</v>
      </c>
      <c r="AA1457" s="257">
        <f>altaz((J2000_Bas+(2*0.04167)),$O1457,$M1457,DecLat,DecLong,1)</f>
        <v>9.4311209469313226</v>
      </c>
      <c r="AB1457" s="257">
        <f>altaz((J2000_Bas+(4*0.04167)),$O1457,$M1457,DecLat,DecLong,1)</f>
        <v>22.643723575383749</v>
      </c>
      <c r="AC1457" s="257">
        <f>altaz((J2000_Bas+(6*0.04167)),$O1457,$M1457,DecLat,DecLong,1)</f>
        <v>25.235103332306007</v>
      </c>
      <c r="AD1457" s="258">
        <f>1+ transit((J2000_Bas-1),$O1457,$M1457,DecLat,DecLong)/360 + (GMTOffset/24) + (IF(DST="Y", 1, 0)/24)</f>
        <v>1.0139879214838747</v>
      </c>
      <c r="AE1457" s="259">
        <f>DATE(2001,9,21)+(M1457/360)*365 - (360*((DecLong/360)- (GMTOffset/24) ))</f>
        <v>37167.697106481479</v>
      </c>
      <c r="AF1457" s="260">
        <f>IF(DecLat&gt;0,IF((90 - (DecLat-O1457))&gt;90, (90 - (O1457-DecLat)), (90 - (DecLat-O1457))),IF((90 + (DecLat-O1457))&gt;90, (90 + (O1457-DecLat)), (90 + (DecLat-O1457))))</f>
        <v>25.754444444444445</v>
      </c>
      <c r="AG1457" s="257">
        <f>angularseperation(MoonRA,MoonDec,$M1457,$O1457)</f>
        <v>95.968163596818243</v>
      </c>
      <c r="AH1457" s="261">
        <f ca="1">MIN(100,IF($O$5&gt;80,0+30*($AG1457/100),IF($O$5&gt;70,0+50*($AG1457/100),IF($O$5&gt;60,5+50*($AG1457/100),IF($O$5&gt;50,10+60*($AG1457/100),IF($O$5&gt;40,15+70*($AG1457/100),IF($O$5&gt;30,20+70*($AG1457/100),IF($O$5&gt;20,40+55*($AG1457/100),(80+(20-$O$5)+30*($AG1457/100))))))))))</f>
        <v>100</v>
      </c>
      <c r="AI1457" s="262">
        <v>134</v>
      </c>
      <c r="AJ1457" s="262"/>
      <c r="AK1457" s="262"/>
      <c r="AL1457" s="263"/>
      <c r="AM1457" s="264"/>
      <c r="AN1457" s="263"/>
      <c r="AO1457" s="263"/>
      <c r="AP1457" s="265"/>
      <c r="AQ1457" s="266"/>
      <c r="AR1457" s="267">
        <v>1851</v>
      </c>
      <c r="AS1457" s="263"/>
      <c r="AT1457" s="263"/>
      <c r="AU1457" s="263"/>
      <c r="AV1457" s="264"/>
      <c r="AW1457" s="263"/>
      <c r="AX1457" s="263"/>
      <c r="AY1457" s="263"/>
      <c r="AZ1457" s="263"/>
      <c r="BA1457" s="263"/>
      <c r="BB1457" s="263"/>
      <c r="BC1457" s="263"/>
      <c r="BD1457" s="264"/>
      <c r="BE1457" s="263"/>
      <c r="BF1457" s="263">
        <v>2</v>
      </c>
      <c r="BG1457" s="263"/>
      <c r="BH1457" s="263"/>
      <c r="BI1457" s="263"/>
      <c r="BJ1457" s="404">
        <f>altaz(J2000_Bas,$O1457,$M1457,DecLat,DecLong,2)</f>
        <v>122.7877106980698</v>
      </c>
      <c r="BK1457" s="378" t="s">
        <v>1494</v>
      </c>
      <c r="BL1457" s="379">
        <f>IF((2*G1457)/60&lt;0.2,0.2,(2*G1457)/60)</f>
        <v>0.3</v>
      </c>
      <c r="BM1457" s="380">
        <f>MOD((50000+AD1457-$B$3+(0/24)),1)</f>
        <v>0.2293548511879635</v>
      </c>
      <c r="BN1457" s="381"/>
      <c r="BO1457" s="382">
        <v>1450</v>
      </c>
    </row>
    <row r="1458" spans="1:67" s="24" customFormat="1" ht="15" customHeight="1" x14ac:dyDescent="0.25">
      <c r="A1458" s="288" t="s">
        <v>1495</v>
      </c>
      <c r="B1458" s="241" t="str">
        <f>HYPERLINK(CONCATENATE($AT$3,BK1458,$AU$3),$AV$3)</f>
        <v>S</v>
      </c>
      <c r="C1458" s="242" t="str">
        <f>HYPERLINK(CONCATENATE($AT$4,BK1458,$AU$4,BL1458),$AV$4)</f>
        <v>A</v>
      </c>
      <c r="D1458" s="243" t="s">
        <v>5335</v>
      </c>
      <c r="E1458" s="244" t="s">
        <v>5185</v>
      </c>
      <c r="F1458" s="269" t="s">
        <v>6521</v>
      </c>
      <c r="G1458" s="273">
        <v>1</v>
      </c>
      <c r="H1458" s="283">
        <v>17000</v>
      </c>
      <c r="I1458" s="279">
        <v>5</v>
      </c>
      <c r="J1458" s="246">
        <v>2</v>
      </c>
      <c r="K1458" s="247" t="s">
        <v>6522</v>
      </c>
      <c r="L1458" s="248">
        <v>3131</v>
      </c>
      <c r="M1458" s="249">
        <f>15*(LEFT(TEXT($L1458,"000000"),2)+(MID(TEXT($L1458,"000000"),3,2)/60)+(RIGHT(TEXT($L1458,"000000"),2)/3600))</f>
        <v>7.8791666666666673</v>
      </c>
      <c r="N1458" s="250">
        <v>613036</v>
      </c>
      <c r="O1458" s="251">
        <f>IF($N1458&gt;0,(LEFT(TEXT($N1458,"000000"),2)+(MID(TEXT($N1458,"000000"),3,2)/60)+(RIGHT(TEXT($N1458,"000000"),2)/3600)),-(MID(TEXT($N1458,"000000"),2,2)+(MID(TEXT($N1458,"000000"),4,2)/60)+(RIGHT(TEXT($N1458,"000000"),2)/3600)))</f>
        <v>61.51</v>
      </c>
      <c r="P1458" s="252" t="s">
        <v>49</v>
      </c>
      <c r="Q1458" s="253"/>
      <c r="R1458" s="277" t="s">
        <v>3293</v>
      </c>
      <c r="S1458" s="272" t="s">
        <v>3293</v>
      </c>
      <c r="T1458" s="273">
        <v>11.5</v>
      </c>
      <c r="U1458" s="274"/>
      <c r="V1458" s="280"/>
      <c r="W1458" s="244"/>
      <c r="X1458" s="244"/>
      <c r="Y1458" s="362"/>
      <c r="Z1458" s="257">
        <f>altaz(J2000_Bas,$O1458,$M1458,DecLat,DecLong,1)</f>
        <v>30.693386759409762</v>
      </c>
      <c r="AA1458" s="257">
        <f>altaz((J2000_Bas+(2*0.04167)),$O1458,$M1458,DecLat,DecLong,1)</f>
        <v>44.875029039311713</v>
      </c>
      <c r="AB1458" s="257">
        <f>altaz((J2000_Bas+(4*0.04167)),$O1458,$M1458,DecLat,DecLong,1)</f>
        <v>56.361075120179969</v>
      </c>
      <c r="AC1458" s="257">
        <f>altaz((J2000_Bas+(6*0.04167)),$O1458,$M1458,DecLat,DecLong,1)</f>
        <v>59.001207656207043</v>
      </c>
      <c r="AD1458" s="258">
        <f>1+ transit((J2000_Bas-1),$O1458,$M1458,DecLat,DecLong)/360 + (GMTOffset/24) + (IF(DST="Y", 1, 0)/24)</f>
        <v>1.0147865325151246</v>
      </c>
      <c r="AE1458" s="259">
        <f>DATE(2001,9,21)+(M1458/360)*365 - (360*((DecLong/360)- (GMTOffset/24) ))</f>
        <v>37167.988599537035</v>
      </c>
      <c r="AF1458" s="260">
        <f>IF(DecLat&gt;0,IF((90 - (DecLat-O1458))&gt;90, (90 - (O1458-DecLat)), (90 - (DecLat-O1458))),IF((90 + (DecLat-O1458))&gt;90, (90 + (O1458-DecLat)), (90 + (DecLat-O1458))))</f>
        <v>59.49</v>
      </c>
      <c r="AG1458" s="257">
        <f>angularseperation(MoonRA,MoonDec,$M1458,$O1458)</f>
        <v>127.1355373677584</v>
      </c>
      <c r="AH1458" s="261">
        <f ca="1">MIN(100,IF($O$5&gt;80,0+30*($AG1458/100),IF($O$5&gt;70,0+50*($AG1458/100),IF($O$5&gt;60,5+50*($AG1458/100),IF($O$5&gt;50,10+60*($AG1458/100),IF($O$5&gt;40,15+70*($AG1458/100),IF($O$5&gt;30,20+70*($AG1458/100),IF($O$5&gt;20,40+55*($AG1458/100),(80+(20-$O$5)+30*($AG1458/100))))))))))</f>
        <v>100</v>
      </c>
      <c r="AI1458" s="262">
        <v>136</v>
      </c>
      <c r="AJ1458" s="263"/>
      <c r="AK1458" s="263">
        <v>3</v>
      </c>
      <c r="AL1458" s="263"/>
      <c r="AM1458" s="264"/>
      <c r="AN1458" s="263"/>
      <c r="AO1458" s="263"/>
      <c r="AP1458" s="265"/>
      <c r="AQ1458" s="265"/>
      <c r="AR1458" s="285"/>
      <c r="AS1458" s="263"/>
      <c r="AT1458" s="263"/>
      <c r="AU1458" s="263"/>
      <c r="AV1458" s="264"/>
      <c r="AW1458" s="263"/>
      <c r="AX1458" s="263"/>
      <c r="AY1458" s="263"/>
      <c r="AZ1458" s="263"/>
      <c r="BA1458" s="263"/>
      <c r="BB1458" s="263"/>
      <c r="BC1458" s="263"/>
      <c r="BD1458" s="264"/>
      <c r="BE1458" s="263"/>
      <c r="BF1458" s="263"/>
      <c r="BG1458" s="263"/>
      <c r="BH1458" s="263"/>
      <c r="BI1458" s="263"/>
      <c r="BJ1458" s="404">
        <f>altaz(J2000_Bas,$O1458,$M1458,DecLat,DecLong,2)</f>
        <v>33.308624045369172</v>
      </c>
      <c r="BK1458" s="378" t="s">
        <v>1495</v>
      </c>
      <c r="BL1458" s="379">
        <f>IF((2*G1458)/60&lt;0.2,0.2,(2*G1458)/60)</f>
        <v>0.2</v>
      </c>
      <c r="BM1458" s="380">
        <f>MOD((50000+AD1458-$B$3+(0/24)),1)</f>
        <v>0.23015346221654909</v>
      </c>
      <c r="BN1458" s="381"/>
      <c r="BO1458" s="382">
        <v>1451</v>
      </c>
    </row>
    <row r="1459" spans="1:67" s="24" customFormat="1" ht="15" customHeight="1" x14ac:dyDescent="0.25">
      <c r="A1459" s="288" t="s">
        <v>1496</v>
      </c>
      <c r="B1459" s="241" t="str">
        <f>HYPERLINK(CONCATENATE($AT$3,BK1459,$AU$3),$AV$3)</f>
        <v>S</v>
      </c>
      <c r="C1459" s="242" t="str">
        <f>HYPERLINK(CONCATENATE($AT$4,BK1459,$AU$4,BL1459),$AV$4)</f>
        <v>A</v>
      </c>
      <c r="D1459" s="243" t="s">
        <v>5638</v>
      </c>
      <c r="E1459" s="244" t="s">
        <v>13</v>
      </c>
      <c r="F1459" s="269" t="s">
        <v>3309</v>
      </c>
      <c r="G1459" s="276">
        <v>14</v>
      </c>
      <c r="H1459" s="289">
        <v>2.5</v>
      </c>
      <c r="I1459" s="246">
        <v>11</v>
      </c>
      <c r="J1459" s="246">
        <v>2</v>
      </c>
      <c r="K1459" s="247" t="s">
        <v>6523</v>
      </c>
      <c r="L1459" s="248">
        <v>3312</v>
      </c>
      <c r="M1459" s="249">
        <f>15*(LEFT(TEXT($L1459,"000000"),2)+(MID(TEXT($L1459,"000000"),3,2)/60)+(RIGHT(TEXT($L1459,"000000"),2)/3600))</f>
        <v>8.3000000000000007</v>
      </c>
      <c r="N1459" s="250">
        <v>483027</v>
      </c>
      <c r="O1459" s="251">
        <f>IF($N1459&gt;0,(LEFT(TEXT($N1459,"000000"),2)+(MID(TEXT($N1459,"000000"),3,2)/60)+(RIGHT(TEXT($N1459,"000000"),2)/3600)),-(MID(TEXT($N1459,"000000"),2,2)+(MID(TEXT($N1459,"000000"),4,2)/60)+(RIGHT(TEXT($N1459,"000000"),2)/3600)))</f>
        <v>48.5075</v>
      </c>
      <c r="P1459" s="252" t="s">
        <v>49</v>
      </c>
      <c r="Q1459" s="253"/>
      <c r="R1459" s="247" t="s">
        <v>7341</v>
      </c>
      <c r="S1459" s="272" t="s">
        <v>3293</v>
      </c>
      <c r="T1459" s="273">
        <v>9.5</v>
      </c>
      <c r="U1459" s="289">
        <v>23.39</v>
      </c>
      <c r="V1459" s="280"/>
      <c r="W1459" s="244"/>
      <c r="X1459" s="244"/>
      <c r="Y1459" s="362"/>
      <c r="Z1459" s="257">
        <f>altaz(J2000_Bas,$O1459,$M1459,DecLat,DecLong,1)</f>
        <v>27.509836893812995</v>
      </c>
      <c r="AA1459" s="257">
        <f>altaz((J2000_Bas+(2*0.04167)),$O1459,$M1459,DecLat,DecLong,1)</f>
        <v>47.201700800866966</v>
      </c>
      <c r="AB1459" s="257">
        <f>altaz((J2000_Bas+(4*0.04167)),$O1459,$M1459,DecLat,DecLong,1)</f>
        <v>65.762024991178194</v>
      </c>
      <c r="AC1459" s="257">
        <f>altaz((J2000_Bas+(6*0.04167)),$O1459,$M1459,DecLat,DecLong,1)</f>
        <v>71.47968063716489</v>
      </c>
      <c r="AD1459" s="258">
        <f>1+ transit((J2000_Bas-1),$O1459,$M1459,DecLat,DecLong)/360 + (GMTOffset/24) + (IF(DST="Y", 1, 0)/24)</f>
        <v>1.0159555138797081</v>
      </c>
      <c r="AE1459" s="259">
        <f>DATE(2001,9,21)+(M1459/360)*365 - (360*((DecLong/360)- (GMTOffset/24) ))</f>
        <v>37168.415277777778</v>
      </c>
      <c r="AF1459" s="260">
        <f>IF(DecLat&gt;0,IF((90 - (DecLat-O1459))&gt;90, (90 - (O1459-DecLat)), (90 - (DecLat-O1459))),IF((90 + (DecLat-O1459))&gt;90, (90 + (O1459-DecLat)), (90 + (DecLat-O1459))))</f>
        <v>72.492500000000007</v>
      </c>
      <c r="AG1459" s="257">
        <f>angularseperation(MoonRA,MoonDec,$M1459,$O1459)</f>
        <v>128.86846035336643</v>
      </c>
      <c r="AH1459" s="261">
        <f ca="1">MIN(100,IF($O$5&gt;80,0+30*($AG1459/100),IF($O$5&gt;70,0+50*($AG1459/100),IF($O$5&gt;60,5+50*($AG1459/100),IF($O$5&gt;50,10+60*($AG1459/100),IF($O$5&gt;40,15+70*($AG1459/100),IF($O$5&gt;30,20+70*($AG1459/100),IF($O$5&gt;20,40+55*($AG1459/100),(80+(20-$O$5)+30*($AG1459/100))))))))))</f>
        <v>100</v>
      </c>
      <c r="AI1459" s="262">
        <v>147</v>
      </c>
      <c r="AJ1459" s="262"/>
      <c r="AK1459" s="262"/>
      <c r="AL1459" s="263"/>
      <c r="AM1459" s="264">
        <v>17</v>
      </c>
      <c r="AN1459" s="263"/>
      <c r="AO1459" s="263"/>
      <c r="AP1459" s="265"/>
      <c r="AQ1459" s="266">
        <v>326</v>
      </c>
      <c r="AR1459" s="267">
        <v>2004</v>
      </c>
      <c r="AS1459" s="263"/>
      <c r="AT1459" s="263"/>
      <c r="AU1459" s="263"/>
      <c r="AV1459" s="264"/>
      <c r="AW1459" s="263"/>
      <c r="AX1459" s="263"/>
      <c r="AY1459" s="263"/>
      <c r="AZ1459" s="263"/>
      <c r="BA1459" s="263"/>
      <c r="BB1459" s="263"/>
      <c r="BC1459" s="263"/>
      <c r="BD1459" s="264"/>
      <c r="BE1459" s="263"/>
      <c r="BF1459" s="263"/>
      <c r="BG1459" s="263"/>
      <c r="BH1459" s="263"/>
      <c r="BI1459" s="263"/>
      <c r="BJ1459" s="404">
        <f>altaz(J2000_Bas,$O1459,$M1459,DecLat,DecLong,2)</f>
        <v>47.752046350301256</v>
      </c>
      <c r="BK1459" s="378" t="s">
        <v>1496</v>
      </c>
      <c r="BL1459" s="379">
        <f>IF((2*G1459)/60&lt;0.2,0.2,(2*G1459)/60)</f>
        <v>0.46666666666666667</v>
      </c>
      <c r="BM1459" s="380">
        <f>MOD((50000+AD1459-$B$3+(0/24)),1)</f>
        <v>0.23132244358566822</v>
      </c>
      <c r="BN1459" s="381" t="s">
        <v>9235</v>
      </c>
      <c r="BO1459" s="382">
        <v>1452</v>
      </c>
    </row>
    <row r="1460" spans="1:67" s="24" customFormat="1" ht="15" customHeight="1" x14ac:dyDescent="0.25">
      <c r="A1460" s="288" t="s">
        <v>1497</v>
      </c>
      <c r="B1460" s="241" t="str">
        <f>HYPERLINK(CONCATENATE($AT$3,BK1460,$AU$3),$AV$3)</f>
        <v>S</v>
      </c>
      <c r="C1460" s="242" t="str">
        <f>HYPERLINK(CONCATENATE($AT$4,BK1460,$AU$4,BL1460),$AV$4)</f>
        <v>A</v>
      </c>
      <c r="D1460" s="243" t="s">
        <v>5638</v>
      </c>
      <c r="E1460" s="244" t="s">
        <v>5192</v>
      </c>
      <c r="F1460" s="269" t="s">
        <v>8900</v>
      </c>
      <c r="G1460" s="273">
        <v>2</v>
      </c>
      <c r="H1460" s="283">
        <v>70</v>
      </c>
      <c r="I1460" s="246">
        <v>42</v>
      </c>
      <c r="J1460" s="246">
        <v>2</v>
      </c>
      <c r="K1460" s="247" t="s">
        <v>6524</v>
      </c>
      <c r="L1460" s="248">
        <v>3416</v>
      </c>
      <c r="M1460" s="249">
        <f>15*(LEFT(TEXT($L1460,"000000"),2)+(MID(TEXT($L1460,"000000"),3,2)/60)+(RIGHT(TEXT($L1460,"000000"),2)/3600))</f>
        <v>8.5666666666666664</v>
      </c>
      <c r="N1460" s="250">
        <v>-274816</v>
      </c>
      <c r="O1460" s="251">
        <f>IF($N1460&gt;0,(LEFT(TEXT($N1460,"000000"),2)+(MID(TEXT($N1460,"000000"),3,2)/60)+(RIGHT(TEXT($N1460,"000000"),2)/3600)),-(MID(TEXT($N1460,"000000"),2,2)+(MID(TEXT($N1460,"000000"),4,2)/60)+(RIGHT(TEXT($N1460,"000000"),2)/3600)))</f>
        <v>-27.804444444444446</v>
      </c>
      <c r="P1460" s="252" t="s">
        <v>1181</v>
      </c>
      <c r="Q1460" s="253"/>
      <c r="R1460" s="277" t="s">
        <v>3293</v>
      </c>
      <c r="S1460" s="272" t="s">
        <v>3293</v>
      </c>
      <c r="T1460" s="273">
        <v>11.4</v>
      </c>
      <c r="U1460" s="289">
        <v>22.19</v>
      </c>
      <c r="V1460" s="280">
        <v>60</v>
      </c>
      <c r="W1460" s="244"/>
      <c r="X1460" s="244"/>
      <c r="Y1460" s="362"/>
      <c r="Z1460" s="257">
        <f>altaz(J2000_Bas,$O1460,$M1460,DecLat,DecLong,1)</f>
        <v>-8.1703746346612753</v>
      </c>
      <c r="AA1460" s="257">
        <f>altaz((J2000_Bas+(2*0.04167)),$O1460,$M1460,DecLat,DecLong,1)</f>
        <v>12.799364540033515</v>
      </c>
      <c r="AB1460" s="257">
        <f>altaz((J2000_Bas+(4*0.04167)),$O1460,$M1460,DecLat,DecLong,1)</f>
        <v>27.437237637500608</v>
      </c>
      <c r="AC1460" s="257">
        <f>altaz((J2000_Bas+(6*0.04167)),$O1460,$M1460,DecLat,DecLong,1)</f>
        <v>30.739963431151473</v>
      </c>
      <c r="AD1460" s="258">
        <f>1+ transit((J2000_Bas-1),$O1460,$M1460,DecLat,DecLong)/360 + (GMTOffset/24) + (IF(DST="Y", 1, 0)/24)</f>
        <v>1.0166962545463747</v>
      </c>
      <c r="AE1460" s="259">
        <f>DATE(2001,9,21)+(M1460/360)*365 - (360*((DecLong/360)- (GMTOffset/24) ))</f>
        <v>37168.685648148145</v>
      </c>
      <c r="AF1460" s="260">
        <f>IF(DecLat&gt;0,IF((90 - (DecLat-O1460))&gt;90, (90 - (O1460-DecLat)), (90 - (DecLat-O1460))),IF((90 + (DecLat-O1460))&gt;90, (90 + (O1460-DecLat)), (90 + (DecLat-O1460))))</f>
        <v>31.195555555555558</v>
      </c>
      <c r="AG1460" s="257">
        <f>angularseperation(MoonRA,MoonDec,$M1460,$O1460)</f>
        <v>99.981567035405334</v>
      </c>
      <c r="AH1460" s="261">
        <f ca="1">MIN(100,IF($O$5&gt;80,0+30*($AG1460/100),IF($O$5&gt;70,0+50*($AG1460/100),IF($O$5&gt;60,5+50*($AG1460/100),IF($O$5&gt;50,10+60*($AG1460/100),IF($O$5&gt;40,15+70*($AG1460/100),IF($O$5&gt;30,20+70*($AG1460/100),IF($O$5&gt;20,40+55*($AG1460/100),(80+(20-$O$5)+30*($AG1460/100))))))))))</f>
        <v>100</v>
      </c>
      <c r="AI1460" s="262">
        <v>150</v>
      </c>
      <c r="AJ1460" s="263"/>
      <c r="AK1460" s="263"/>
      <c r="AL1460" s="263"/>
      <c r="AM1460" s="264"/>
      <c r="AN1460" s="263"/>
      <c r="AO1460" s="263"/>
      <c r="AP1460" s="265"/>
      <c r="AQ1460" s="265"/>
      <c r="AR1460" s="285">
        <v>2052</v>
      </c>
      <c r="AS1460" s="263"/>
      <c r="AT1460" s="263"/>
      <c r="AU1460" s="263"/>
      <c r="AV1460" s="264"/>
      <c r="AW1460" s="263"/>
      <c r="AX1460" s="263"/>
      <c r="AY1460" s="263"/>
      <c r="AZ1460" s="263"/>
      <c r="BA1460" s="263"/>
      <c r="BB1460" s="263"/>
      <c r="BC1460" s="263"/>
      <c r="BD1460" s="264"/>
      <c r="BE1460" s="263"/>
      <c r="BF1460" s="263"/>
      <c r="BG1460" s="263"/>
      <c r="BH1460" s="263"/>
      <c r="BI1460" s="263"/>
      <c r="BJ1460" s="404">
        <f>altaz(J2000_Bas,$O1460,$M1460,DecLat,DecLong,2)</f>
        <v>117.6128142953844</v>
      </c>
      <c r="BK1460" s="378" t="s">
        <v>1497</v>
      </c>
      <c r="BL1460" s="379">
        <f>IF((2*G1460)/60&lt;0.2,0.2,(2*G1460)/60)</f>
        <v>0.2</v>
      </c>
      <c r="BM1460" s="380">
        <f>MOD((50000+AD1460-$B$3+(0/24)),1)</f>
        <v>0.23206318425218342</v>
      </c>
      <c r="BN1460" s="381" t="s">
        <v>9221</v>
      </c>
      <c r="BO1460" s="382">
        <v>1453</v>
      </c>
    </row>
    <row r="1461" spans="1:67" s="24" customFormat="1" ht="15" customHeight="1" x14ac:dyDescent="0.25">
      <c r="A1461" s="288" t="s">
        <v>1498</v>
      </c>
      <c r="B1461" s="241" t="str">
        <f>HYPERLINK(CONCATENATE($AT$3,BK1461,$AU$3),$AV$3)</f>
        <v>S</v>
      </c>
      <c r="C1461" s="242" t="str">
        <f>HYPERLINK(CONCATENATE($AT$4,BK1461,$AU$4,BL1461),$AV$4)</f>
        <v>A</v>
      </c>
      <c r="D1461" s="243" t="s">
        <v>5638</v>
      </c>
      <c r="E1461" s="244" t="s">
        <v>5192</v>
      </c>
      <c r="F1461" s="269" t="s">
        <v>8893</v>
      </c>
      <c r="G1461" s="273">
        <v>2.5</v>
      </c>
      <c r="H1461" s="283">
        <v>170</v>
      </c>
      <c r="I1461" s="246">
        <v>125</v>
      </c>
      <c r="J1461" s="246">
        <v>2</v>
      </c>
      <c r="K1461" s="247" t="s">
        <v>6525</v>
      </c>
      <c r="L1461" s="248">
        <v>3403</v>
      </c>
      <c r="M1461" s="249">
        <f>15*(LEFT(TEXT($L1461,"000000"),2)+(MID(TEXT($L1461,"000000"),3,2)/60)+(RIGHT(TEXT($L1461,"000000"),2)/3600))</f>
        <v>8.5124999999999993</v>
      </c>
      <c r="N1461" s="250">
        <v>-94220</v>
      </c>
      <c r="O1461" s="251">
        <f>IF($N1461&gt;0,(LEFT(TEXT($N1461,"000000"),2)+(MID(TEXT($N1461,"000000"),3,2)/60)+(RIGHT(TEXT($N1461,"000000"),2)/3600)),-(MID(TEXT($N1461,"000000"),2,2)+(MID(TEXT($N1461,"000000"),4,2)/60)+(RIGHT(TEXT($N1461,"000000"),2)/3600)))</f>
        <v>-9.7055555555555557</v>
      </c>
      <c r="P1461" s="252" t="s">
        <v>75</v>
      </c>
      <c r="Q1461" s="253"/>
      <c r="R1461" s="247" t="s">
        <v>3293</v>
      </c>
      <c r="S1461" s="272" t="s">
        <v>3293</v>
      </c>
      <c r="T1461" s="273">
        <v>11.6</v>
      </c>
      <c r="U1461" s="289">
        <v>22.29</v>
      </c>
      <c r="V1461" s="280">
        <v>65</v>
      </c>
      <c r="W1461" s="244"/>
      <c r="X1461" s="244"/>
      <c r="Y1461" s="362"/>
      <c r="Z1461" s="257">
        <f>altaz(J2000_Bas,$O1461,$M1461,DecLat,DecLong,1)</f>
        <v>1.3356513514056567</v>
      </c>
      <c r="AA1461" s="257">
        <f>altaz((J2000_Bas+(2*0.04167)),$O1461,$M1461,DecLat,DecLong,1)</f>
        <v>25.365254508037388</v>
      </c>
      <c r="AB1461" s="257">
        <f>altaz((J2000_Bas+(4*0.04167)),$O1461,$M1461,DecLat,DecLong,1)</f>
        <v>43.999530127803546</v>
      </c>
      <c r="AC1461" s="257">
        <f>altaz((J2000_Bas+(6*0.04167)),$O1461,$M1461,DecLat,DecLong,1)</f>
        <v>48.622102101606082</v>
      </c>
      <c r="AD1461" s="258">
        <f>1+ transit((J2000_Bas-1),$O1461,$M1461,DecLat,DecLong)/360 + (GMTOffset/24) + (IF(DST="Y", 1, 0)/24)</f>
        <v>1.0165457915984579</v>
      </c>
      <c r="AE1461" s="259">
        <f>DATE(2001,9,21)+(M1461/360)*365 - (360*((DecLong/360)- (GMTOffset/24) ))</f>
        <v>37168.630729166667</v>
      </c>
      <c r="AF1461" s="260">
        <f>IF(DecLat&gt;0,IF((90 - (DecLat-O1461))&gt;90, (90 - (O1461-DecLat)), (90 - (DecLat-O1461))),IF((90 + (DecLat-O1461))&gt;90, (90 + (O1461-DecLat)), (90 + (DecLat-O1461))))</f>
        <v>49.294444444444444</v>
      </c>
      <c r="AG1461" s="257">
        <f>angularseperation(MoonRA,MoonDec,$M1461,$O1461)</f>
        <v>110.62994182495463</v>
      </c>
      <c r="AH1461" s="261">
        <f ca="1">MIN(100,IF($O$5&gt;80,0+30*($AG1461/100),IF($O$5&gt;70,0+50*($AG1461/100),IF($O$5&gt;60,5+50*($AG1461/100),IF($O$5&gt;50,10+60*($AG1461/100),IF($O$5&gt;40,15+70*($AG1461/100),IF($O$5&gt;30,20+70*($AG1461/100),IF($O$5&gt;20,40+55*($AG1461/100),(80+(20-$O$5)+30*($AG1461/100))))))))))</f>
        <v>100</v>
      </c>
      <c r="AI1461" s="262">
        <v>151</v>
      </c>
      <c r="AJ1461" s="262"/>
      <c r="AK1461" s="262"/>
      <c r="AL1461" s="263"/>
      <c r="AM1461" s="264"/>
      <c r="AN1461" s="263"/>
      <c r="AO1461" s="263"/>
      <c r="AP1461" s="265"/>
      <c r="AQ1461" s="266"/>
      <c r="AR1461" s="267">
        <v>2035</v>
      </c>
      <c r="AS1461" s="263"/>
      <c r="AT1461" s="263"/>
      <c r="AU1461" s="263"/>
      <c r="AV1461" s="264"/>
      <c r="AW1461" s="263"/>
      <c r="AX1461" s="263"/>
      <c r="AY1461" s="263"/>
      <c r="AZ1461" s="263"/>
      <c r="BA1461" s="263"/>
      <c r="BB1461" s="263"/>
      <c r="BC1461" s="263"/>
      <c r="BD1461" s="264"/>
      <c r="BE1461" s="263"/>
      <c r="BF1461" s="263"/>
      <c r="BG1461" s="263"/>
      <c r="BH1461" s="263">
        <v>93</v>
      </c>
      <c r="BI1461" s="263"/>
      <c r="BJ1461" s="404">
        <f>altaz(J2000_Bas,$O1461,$M1461,DecLat,DecLong,2)</f>
        <v>102.16570988686277</v>
      </c>
      <c r="BK1461" s="378" t="s">
        <v>1498</v>
      </c>
      <c r="BL1461" s="379">
        <f>IF((2*G1461)/60&lt;0.2,0.2,(2*G1461)/60)</f>
        <v>0.2</v>
      </c>
      <c r="BM1461" s="380">
        <f>MOD((50000+AD1461-$B$3+(0/24)),1)</f>
        <v>0.23191272130497964</v>
      </c>
      <c r="BN1461" s="381" t="s">
        <v>9271</v>
      </c>
      <c r="BO1461" s="382">
        <v>1454</v>
      </c>
    </row>
    <row r="1462" spans="1:67" s="24" customFormat="1" ht="15" customHeight="1" x14ac:dyDescent="0.25">
      <c r="A1462" s="288" t="s">
        <v>1499</v>
      </c>
      <c r="B1462" s="241" t="str">
        <f>HYPERLINK(CONCATENATE($AT$3,BK1462,$AU$3),$AV$3)</f>
        <v>S</v>
      </c>
      <c r="C1462" s="242" t="str">
        <f>HYPERLINK(CONCATENATE($AT$4,BK1462,$AU$4,BL1462),$AV$4)</f>
        <v>A</v>
      </c>
      <c r="D1462" s="243" t="s">
        <v>5638</v>
      </c>
      <c r="E1462" s="244" t="s">
        <v>5192</v>
      </c>
      <c r="F1462" s="269" t="s">
        <v>8923</v>
      </c>
      <c r="G1462" s="273">
        <v>4</v>
      </c>
      <c r="H1462" s="283">
        <v>40</v>
      </c>
      <c r="I1462" s="246">
        <v>50</v>
      </c>
      <c r="J1462" s="246">
        <v>2</v>
      </c>
      <c r="K1462" s="247" t="s">
        <v>6526</v>
      </c>
      <c r="L1462" s="248">
        <v>3447</v>
      </c>
      <c r="M1462" s="249">
        <f>15*(LEFT(TEXT($L1462,"000000"),2)+(MID(TEXT($L1462,"000000"),3,2)/60)+(RIGHT(TEXT($L1462,"000000"),2)/3600))</f>
        <v>8.6958333333333329</v>
      </c>
      <c r="N1462" s="250">
        <v>-82346</v>
      </c>
      <c r="O1462" s="251">
        <f>IF($N1462&gt;0,(LEFT(TEXT($N1462,"000000"),2)+(MID(TEXT($N1462,"000000"),3,2)/60)+(RIGHT(TEXT($N1462,"000000"),2)/3600)),-(MID(TEXT($N1462,"000000"),2,2)+(MID(TEXT($N1462,"000000"),4,2)/60)+(RIGHT(TEXT($N1462,"000000"),2)/3600)))</f>
        <v>-8.3961111111111109</v>
      </c>
      <c r="P1462" s="252" t="s">
        <v>75</v>
      </c>
      <c r="Q1462" s="253"/>
      <c r="R1462" s="247" t="s">
        <v>3293</v>
      </c>
      <c r="S1462" s="272" t="s">
        <v>3293</v>
      </c>
      <c r="T1462" s="273">
        <v>10.4</v>
      </c>
      <c r="U1462" s="289">
        <v>21.79</v>
      </c>
      <c r="V1462" s="280">
        <v>45</v>
      </c>
      <c r="W1462" s="244"/>
      <c r="X1462" s="244"/>
      <c r="Y1462" s="362"/>
      <c r="Z1462" s="257">
        <f>altaz(J2000_Bas,$O1462,$M1462,DecLat,DecLong,1)</f>
        <v>1.8707122794121354</v>
      </c>
      <c r="AA1462" s="257">
        <f>altaz((J2000_Bas+(2*0.04167)),$O1462,$M1462,DecLat,DecLong,1)</f>
        <v>26.087115273860821</v>
      </c>
      <c r="AB1462" s="257">
        <f>altaz((J2000_Bas+(4*0.04167)),$O1462,$M1462,DecLat,DecLong,1)</f>
        <v>45.079831179627902</v>
      </c>
      <c r="AC1462" s="257">
        <f>altaz((J2000_Bas+(6*0.04167)),$O1462,$M1462,DecLat,DecLong,1)</f>
        <v>49.943024234710968</v>
      </c>
      <c r="AD1462" s="258">
        <f>1+ transit((J2000_Bas-1),$O1462,$M1462,DecLat,DecLong)/360 + (GMTOffset/24) + (IF(DST="Y", 1, 0)/24)</f>
        <v>1.0170550508067913</v>
      </c>
      <c r="AE1462" s="259">
        <f>DATE(2001,9,21)+(M1462/360)*365 - (360*((DecLong/360)- (GMTOffset/24) ))</f>
        <v>37168.816608796296</v>
      </c>
      <c r="AF1462" s="260">
        <f>IF(DecLat&gt;0,IF((90 - (DecLat-O1462))&gt;90, (90 - (O1462-DecLat)), (90 - (DecLat-O1462))),IF((90 + (DecLat-O1462))&gt;90, (90 + (O1462-DecLat)), (90 + (DecLat-O1462))))</f>
        <v>50.603888888888889</v>
      </c>
      <c r="AG1462" s="257">
        <f>angularseperation(MoonRA,MoonDec,$M1462,$O1462)</f>
        <v>111.50779034406501</v>
      </c>
      <c r="AH1462" s="261">
        <f ca="1">MIN(100,IF($O$5&gt;80,0+30*($AG1462/100),IF($O$5&gt;70,0+50*($AG1462/100),IF($O$5&gt;60,5+50*($AG1462/100),IF($O$5&gt;50,10+60*($AG1462/100),IF($O$5&gt;40,15+70*($AG1462/100),IF($O$5&gt;30,20+70*($AG1462/100),IF($O$5&gt;20,40+55*($AG1462/100),(80+(20-$O$5)+30*($AG1462/100))))))))))</f>
        <v>100</v>
      </c>
      <c r="AI1462" s="262">
        <v>157</v>
      </c>
      <c r="AJ1462" s="262"/>
      <c r="AK1462" s="262">
        <v>4</v>
      </c>
      <c r="AL1462" s="263"/>
      <c r="AM1462" s="264"/>
      <c r="AN1462" s="263"/>
      <c r="AO1462" s="263"/>
      <c r="AP1462" s="265"/>
      <c r="AQ1462" s="266"/>
      <c r="AR1462" s="267">
        <v>2081</v>
      </c>
      <c r="AS1462" s="263"/>
      <c r="AT1462" s="263"/>
      <c r="AU1462" s="263"/>
      <c r="AV1462" s="264"/>
      <c r="AW1462" s="263"/>
      <c r="AX1462" s="263"/>
      <c r="AY1462" s="263"/>
      <c r="AZ1462" s="263"/>
      <c r="BA1462" s="263"/>
      <c r="BB1462" s="263"/>
      <c r="BC1462" s="263"/>
      <c r="BD1462" s="264"/>
      <c r="BE1462" s="263"/>
      <c r="BF1462" s="263"/>
      <c r="BG1462" s="263"/>
      <c r="BH1462" s="263"/>
      <c r="BI1462" s="263"/>
      <c r="BJ1462" s="404">
        <f>altaz(J2000_Bas,$O1462,$M1462,DecLat,DecLong,2)</f>
        <v>100.95645903682774</v>
      </c>
      <c r="BK1462" s="378" t="s">
        <v>1499</v>
      </c>
      <c r="BL1462" s="379">
        <f>IF((2*G1462)/60&lt;0.2,0.2,(2*G1462)/60)</f>
        <v>0.2</v>
      </c>
      <c r="BM1462" s="380">
        <f>MOD((50000+AD1462-$B$3+(0/24)),1)</f>
        <v>0.23242198050866136</v>
      </c>
      <c r="BN1462" s="381"/>
      <c r="BO1462" s="382">
        <v>1455</v>
      </c>
    </row>
    <row r="1463" spans="1:67" s="24" customFormat="1" ht="15" customHeight="1" x14ac:dyDescent="0.25">
      <c r="A1463" s="288" t="s">
        <v>3041</v>
      </c>
      <c r="B1463" s="241" t="str">
        <f>HYPERLINK(CONCATENATE($AT$3,BK1463,$AU$3),$AV$3)</f>
        <v>S</v>
      </c>
      <c r="C1463" s="242" t="str">
        <f>HYPERLINK(CONCATENATE($AT$4,BK1463,$AU$4,BL1463),$AV$4)</f>
        <v>A</v>
      </c>
      <c r="D1463" s="243" t="s">
        <v>5638</v>
      </c>
      <c r="E1463" s="244" t="s">
        <v>5182</v>
      </c>
      <c r="F1463" s="269" t="s">
        <v>3300</v>
      </c>
      <c r="G1463" s="273">
        <v>2.2000000000000002</v>
      </c>
      <c r="H1463" s="283">
        <v>270</v>
      </c>
      <c r="I1463" s="246">
        <v>170</v>
      </c>
      <c r="J1463" s="246">
        <v>2</v>
      </c>
      <c r="K1463" s="247" t="s">
        <v>6527</v>
      </c>
      <c r="L1463" s="248">
        <v>3600</v>
      </c>
      <c r="M1463" s="249">
        <f>15*(LEFT(TEXT($L1463,"000000"),2)+(MID(TEXT($L1463,"000000"),3,2)/60)+(RIGHT(TEXT($L1463,"000000"),2)/3600))</f>
        <v>9</v>
      </c>
      <c r="N1463" s="250">
        <v>235700</v>
      </c>
      <c r="O1463" s="251">
        <f>IF($N1463&gt;0,(LEFT(TEXT($N1463,"000000"),2)+(MID(TEXT($N1463,"000000"),3,2)/60)+(RIGHT(TEXT($N1463,"000000"),2)/3600)),-(MID(TEXT($N1463,"000000"),2,2)+(MID(TEXT($N1463,"000000"),4,2)/60)+(RIGHT(TEXT($N1463,"000000"),2)/3600)))</f>
        <v>23.95</v>
      </c>
      <c r="P1463" s="252" t="s">
        <v>36</v>
      </c>
      <c r="Q1463" s="253"/>
      <c r="R1463" s="277" t="s">
        <v>3293</v>
      </c>
      <c r="S1463" s="272" t="s">
        <v>3293</v>
      </c>
      <c r="T1463" s="273">
        <v>12.7</v>
      </c>
      <c r="U1463" s="289">
        <v>23.19</v>
      </c>
      <c r="V1463" s="280">
        <v>50</v>
      </c>
      <c r="W1463" s="244"/>
      <c r="X1463" s="244"/>
      <c r="Y1463" s="362"/>
      <c r="Z1463" s="257">
        <f>altaz(J2000_Bas,$O1463,$M1463,DecLat,DecLong,1)</f>
        <v>17.732779378443514</v>
      </c>
      <c r="AA1463" s="257">
        <f>altaz((J2000_Bas+(2*0.04167)),$O1463,$M1463,DecLat,DecLong,1)</f>
        <v>42.958342385367459</v>
      </c>
      <c r="AB1463" s="257">
        <f>altaz((J2000_Bas+(4*0.04167)),$O1463,$M1463,DecLat,DecLong,1)</f>
        <v>68.60376354166155</v>
      </c>
      <c r="AC1463" s="257">
        <f>altaz((J2000_Bas+(6*0.04167)),$O1463,$M1463,DecLat,DecLong,1)</f>
        <v>80.458423237685153</v>
      </c>
      <c r="AD1463" s="258">
        <f>1+ transit((J2000_Bas-1),$O1463,$M1463,DecLat,DecLong)/360 + (GMTOffset/24) + (IF(DST="Y", 1, 0)/24)</f>
        <v>1.0178999581297079</v>
      </c>
      <c r="AE1463" s="259">
        <f>DATE(2001,9,21)+(M1463/360)*365 - (360*((DecLong/360)- (GMTOffset/24) ))</f>
        <v>37169.125</v>
      </c>
      <c r="AF1463" s="260">
        <f>IF(DecLat&gt;0,IF((90 - (DecLat-O1463))&gt;90, (90 - (O1463-DecLat)), (90 - (DecLat-O1463))),IF((90 + (DecLat-O1463))&gt;90, (90 + (O1463-DecLat)), (90 + (DecLat-O1463))))</f>
        <v>82.95</v>
      </c>
      <c r="AG1463" s="257">
        <f>angularseperation(MoonRA,MoonDec,$M1463,$O1463)</f>
        <v>126.06374223395258</v>
      </c>
      <c r="AH1463" s="261">
        <f ca="1">MIN(100,IF($O$5&gt;80,0+30*($AG1463/100),IF($O$5&gt;70,0+50*($AG1463/100),IF($O$5&gt;60,5+50*($AG1463/100),IF($O$5&gt;50,10+60*($AG1463/100),IF($O$5&gt;40,15+70*($AG1463/100),IF($O$5&gt;30,20+70*($AG1463/100),IF($O$5&gt;20,40+55*($AG1463/100),(80+(20-$O$5)+30*($AG1463/100))))))))))</f>
        <v>100</v>
      </c>
      <c r="AI1463" s="262">
        <v>160</v>
      </c>
      <c r="AJ1463" s="263"/>
      <c r="AK1463" s="263"/>
      <c r="AL1463" s="263"/>
      <c r="AM1463" s="264"/>
      <c r="AN1463" s="263"/>
      <c r="AO1463" s="263"/>
      <c r="AP1463" s="265"/>
      <c r="AQ1463" s="265">
        <v>356</v>
      </c>
      <c r="AR1463" s="285">
        <v>2154</v>
      </c>
      <c r="AS1463" s="263"/>
      <c r="AT1463" s="263"/>
      <c r="AU1463" s="263"/>
      <c r="AV1463" s="264"/>
      <c r="AW1463" s="263"/>
      <c r="AX1463" s="263"/>
      <c r="AY1463" s="263"/>
      <c r="AZ1463" s="263"/>
      <c r="BA1463" s="263"/>
      <c r="BB1463" s="263"/>
      <c r="BC1463" s="263"/>
      <c r="BD1463" s="264"/>
      <c r="BE1463" s="263"/>
      <c r="BF1463" s="263"/>
      <c r="BG1463" s="263"/>
      <c r="BH1463" s="263"/>
      <c r="BI1463" s="263"/>
      <c r="BJ1463" s="404">
        <f>altaz(J2000_Bas,$O1463,$M1463,DecLat,DecLong,2)</f>
        <v>72.237748810474287</v>
      </c>
      <c r="BK1463" s="378" t="s">
        <v>3041</v>
      </c>
      <c r="BL1463" s="379">
        <f>IF((2*G1463)/60&lt;0.2,0.2,(2*G1463)/60)</f>
        <v>0.2</v>
      </c>
      <c r="BM1463" s="380">
        <f>MOD((50000+AD1463-$B$3+(0/24)),1)</f>
        <v>0.2332668878370896</v>
      </c>
      <c r="BN1463" s="381"/>
      <c r="BO1463" s="382">
        <v>1456</v>
      </c>
    </row>
    <row r="1464" spans="1:67" s="24" customFormat="1" ht="15" customHeight="1" x14ac:dyDescent="0.25">
      <c r="A1464" s="288" t="s">
        <v>3042</v>
      </c>
      <c r="B1464" s="241" t="str">
        <f>HYPERLINK(CONCATENATE($AT$3,BK1464,$AU$3),$AV$3)</f>
        <v>S</v>
      </c>
      <c r="C1464" s="242" t="str">
        <f>HYPERLINK(CONCATENATE($AT$4,BK1464,$AU$4,BL1464),$AV$4)</f>
        <v>A</v>
      </c>
      <c r="D1464" s="243" t="s">
        <v>5638</v>
      </c>
      <c r="E1464" s="244" t="s">
        <v>5192</v>
      </c>
      <c r="F1464" s="269" t="s">
        <v>8693</v>
      </c>
      <c r="G1464" s="273">
        <v>4</v>
      </c>
      <c r="H1464" s="283">
        <v>190</v>
      </c>
      <c r="I1464" s="246">
        <v>220</v>
      </c>
      <c r="J1464" s="246">
        <v>2</v>
      </c>
      <c r="K1464" s="247" t="s">
        <v>6528</v>
      </c>
      <c r="L1464" s="248">
        <v>3700</v>
      </c>
      <c r="M1464" s="249">
        <f>15*(LEFT(TEXT($L1464,"000000"),2)+(MID(TEXT($L1464,"000000"),3,2)/60)+(RIGHT(TEXT($L1464,"000000"),2)/3600))</f>
        <v>9.25</v>
      </c>
      <c r="N1464" s="250">
        <v>15600</v>
      </c>
      <c r="O1464" s="251">
        <f>IF($N1464&gt;0,(LEFT(TEXT($N1464,"000000"),2)+(MID(TEXT($N1464,"000000"),3,2)/60)+(RIGHT(TEXT($N1464,"000000"),2)/3600)),-(MID(TEXT($N1464,"000000"),2,2)+(MID(TEXT($N1464,"000000"),4,2)/60)+(RIGHT(TEXT($N1464,"000000"),2)/3600)))</f>
        <v>1.9333333333333333</v>
      </c>
      <c r="P1464" s="252" t="s">
        <v>75</v>
      </c>
      <c r="Q1464" s="253"/>
      <c r="R1464" s="277" t="s">
        <v>3293</v>
      </c>
      <c r="S1464" s="272" t="s">
        <v>3293</v>
      </c>
      <c r="T1464" s="273">
        <v>13</v>
      </c>
      <c r="U1464" s="289">
        <v>24.09</v>
      </c>
      <c r="V1464" s="280">
        <v>30</v>
      </c>
      <c r="W1464" s="244"/>
      <c r="X1464" s="244"/>
      <c r="Y1464" s="362"/>
      <c r="Z1464" s="257">
        <f>altaz(J2000_Bas,$O1464,$M1464,DecLat,DecLong,1)</f>
        <v>6.7828368813143047</v>
      </c>
      <c r="AA1464" s="257">
        <f>altaz((J2000_Bas+(2*0.04167)),$O1464,$M1464,DecLat,DecLong,1)</f>
        <v>32.072485987767493</v>
      </c>
      <c r="AB1464" s="257">
        <f>altaz((J2000_Bas+(4*0.04167)),$O1464,$M1464,DecLat,DecLong,1)</f>
        <v>53.658094061336229</v>
      </c>
      <c r="AC1464" s="257">
        <f>altaz((J2000_Bas+(6*0.04167)),$O1464,$M1464,DecLat,DecLong,1)</f>
        <v>60.187619454153861</v>
      </c>
      <c r="AD1464" s="258">
        <f>1+ transit((J2000_Bas-1),$O1464,$M1464,DecLat,DecLong)/360 + (GMTOffset/24) + (IF(DST="Y", 1, 0)/24)</f>
        <v>1.018594402504708</v>
      </c>
      <c r="AE1464" s="259">
        <f>DATE(2001,9,21)+(M1464/360)*365 - (360*((DecLong/360)- (GMTOffset/24) ))</f>
        <v>37169.378472222219</v>
      </c>
      <c r="AF1464" s="260">
        <f>IF(DecLat&gt;0,IF((90 - (DecLat-O1464))&gt;90, (90 - (O1464-DecLat)), (90 - (DecLat-O1464))),IF((90 + (DecLat-O1464))&gt;90, (90 + (O1464-DecLat)), (90 + (DecLat-O1464))))</f>
        <v>60.933333333333337</v>
      </c>
      <c r="AG1464" s="257">
        <f>angularseperation(MoonRA,MoonDec,$M1464,$O1464)</f>
        <v>117.4119663605623</v>
      </c>
      <c r="AH1464" s="261">
        <f ca="1">MIN(100,IF($O$5&gt;80,0+30*($AG1464/100),IF($O$5&gt;70,0+50*($AG1464/100),IF($O$5&gt;60,5+50*($AG1464/100),IF($O$5&gt;50,10+60*($AG1464/100),IF($O$5&gt;40,15+70*($AG1464/100),IF($O$5&gt;30,20+70*($AG1464/100),IF($O$5&gt;20,40+55*($AG1464/100),(80+(20-$O$5)+30*($AG1464/100))))))))))</f>
        <v>100</v>
      </c>
      <c r="AI1464" s="262">
        <v>173</v>
      </c>
      <c r="AJ1464" s="263"/>
      <c r="AK1464" s="263"/>
      <c r="AL1464" s="263"/>
      <c r="AM1464" s="264"/>
      <c r="AN1464" s="263"/>
      <c r="AO1464" s="263"/>
      <c r="AP1464" s="265"/>
      <c r="AQ1464" s="265">
        <v>369</v>
      </c>
      <c r="AR1464" s="285">
        <v>2223</v>
      </c>
      <c r="AS1464" s="263"/>
      <c r="AT1464" s="263"/>
      <c r="AU1464" s="263"/>
      <c r="AV1464" s="264"/>
      <c r="AW1464" s="263"/>
      <c r="AX1464" s="263"/>
      <c r="AY1464" s="263"/>
      <c r="AZ1464" s="263"/>
      <c r="BA1464" s="263"/>
      <c r="BB1464" s="263"/>
      <c r="BC1464" s="263"/>
      <c r="BD1464" s="264"/>
      <c r="BE1464" s="263"/>
      <c r="BF1464" s="263"/>
      <c r="BG1464" s="263"/>
      <c r="BH1464" s="263"/>
      <c r="BI1464" s="263"/>
      <c r="BJ1464" s="404">
        <f>altaz(J2000_Bas,$O1464,$M1464,DecLat,DecLong,2)</f>
        <v>91.824036041123676</v>
      </c>
      <c r="BK1464" s="378" t="s">
        <v>3042</v>
      </c>
      <c r="BL1464" s="379">
        <f>IF((2*G1464)/60&lt;0.2,0.2,(2*G1464)/60)</f>
        <v>0.2</v>
      </c>
      <c r="BM1464" s="380">
        <f>MOD((50000+AD1464-$B$3+(0/24)),1)</f>
        <v>0.2339613322110381</v>
      </c>
      <c r="BN1464" s="381"/>
      <c r="BO1464" s="382">
        <v>1457</v>
      </c>
    </row>
    <row r="1465" spans="1:67" s="24" customFormat="1" ht="15" customHeight="1" x14ac:dyDescent="0.25">
      <c r="A1465" s="288" t="s">
        <v>1500</v>
      </c>
      <c r="B1465" s="241" t="str">
        <f>HYPERLINK(CONCATENATE($AT$3,BK1465,$AU$3),$AV$3)</f>
        <v>S</v>
      </c>
      <c r="C1465" s="242" t="str">
        <f>HYPERLINK(CONCATENATE($AT$4,BK1465,$AU$4,BL1465),$AV$4)</f>
        <v>A</v>
      </c>
      <c r="D1465" s="243" t="s">
        <v>5638</v>
      </c>
      <c r="E1465" s="244" t="s">
        <v>3259</v>
      </c>
      <c r="F1465" s="269"/>
      <c r="G1465" s="273">
        <v>2</v>
      </c>
      <c r="H1465" s="283">
        <v>70</v>
      </c>
      <c r="I1465" s="246">
        <v>40</v>
      </c>
      <c r="J1465" s="246">
        <v>1</v>
      </c>
      <c r="K1465" s="247" t="s">
        <v>6529</v>
      </c>
      <c r="L1465" s="248">
        <v>3908</v>
      </c>
      <c r="M1465" s="249">
        <f>15*(LEFT(TEXT($L1465,"000000"),2)+(MID(TEXT($L1465,"000000"),3,2)/60)+(RIGHT(TEXT($L1465,"000000"),2)/3600))</f>
        <v>9.7833333333333332</v>
      </c>
      <c r="N1465" s="250">
        <v>-141021</v>
      </c>
      <c r="O1465" s="251">
        <f>IF($N1465&gt;0,(LEFT(TEXT($N1465,"000000"),2)+(MID(TEXT($N1465,"000000"),3,2)/60)+(RIGHT(TEXT($N1465,"000000"),2)/3600)),-(MID(TEXT($N1465,"000000"),2,2)+(MID(TEXT($N1465,"000000"),4,2)/60)+(RIGHT(TEXT($N1465,"000000"),2)/3600)))</f>
        <v>-14.172499999999999</v>
      </c>
      <c r="P1465" s="252" t="s">
        <v>75</v>
      </c>
      <c r="Q1465" s="253"/>
      <c r="R1465" s="247" t="s">
        <v>3293</v>
      </c>
      <c r="S1465" s="272" t="s">
        <v>3293</v>
      </c>
      <c r="T1465" s="273">
        <v>12.6</v>
      </c>
      <c r="U1465" s="289">
        <v>22.09</v>
      </c>
      <c r="V1465" s="280">
        <v>70</v>
      </c>
      <c r="W1465" s="244"/>
      <c r="X1465" s="244"/>
      <c r="Y1465" s="362"/>
      <c r="Z1465" s="257">
        <f>altaz(J2000_Bas,$O1465,$M1465,DecLat,DecLong,1)</f>
        <v>-2.067044955243277</v>
      </c>
      <c r="AA1465" s="257">
        <f>altaz((J2000_Bas+(2*0.04167)),$O1465,$M1465,DecLat,DecLong,1)</f>
        <v>21.466109292884113</v>
      </c>
      <c r="AB1465" s="257">
        <f>altaz((J2000_Bas+(4*0.04167)),$O1465,$M1465,DecLat,DecLong,1)</f>
        <v>39.44952027860252</v>
      </c>
      <c r="AC1465" s="257">
        <f>altaz((J2000_Bas+(6*0.04167)),$O1465,$M1465,DecLat,DecLong,1)</f>
        <v>44.40107745482684</v>
      </c>
      <c r="AD1465" s="258">
        <f>1+ transit((J2000_Bas-1),$O1465,$M1465,DecLat,DecLong)/360 + (GMTOffset/24) + (IF(DST="Y", 1, 0)/24)</f>
        <v>1.0200758838380413</v>
      </c>
      <c r="AE1465" s="259">
        <f>DATE(2001,9,21)+(M1465/360)*365 - (360*((DecLong/360)- (GMTOffset/24) ))</f>
        <v>37169.919212962966</v>
      </c>
      <c r="AF1465" s="260">
        <f>IF(DecLat&gt;0,IF((90 - (DecLat-O1465))&gt;90, (90 - (O1465-DecLat)), (90 - (DecLat-O1465))),IF((90 + (DecLat-O1465))&gt;90, (90 + (O1465-DecLat)), (90 + (DecLat-O1465))))</f>
        <v>44.827500000000001</v>
      </c>
      <c r="AG1465" s="257">
        <f>angularseperation(MoonRA,MoonDec,$M1465,$O1465)</f>
        <v>109.0982454643093</v>
      </c>
      <c r="AH1465" s="261">
        <f ca="1">MIN(100,IF($O$5&gt;80,0+30*($AG1465/100),IF($O$5&gt;70,0+50*($AG1465/100),IF($O$5&gt;60,5+50*($AG1465/100),IF($O$5&gt;50,10+60*($AG1465/100),IF($O$5&gt;40,15+70*($AG1465/100),IF($O$5&gt;30,20+70*($AG1465/100),IF($O$5&gt;20,40+55*($AG1465/100),(80+(20-$O$5)+30*($AG1465/100))))))))))</f>
        <v>100</v>
      </c>
      <c r="AI1465" s="262">
        <v>178</v>
      </c>
      <c r="AJ1465" s="262">
        <v>39</v>
      </c>
      <c r="AK1465" s="262"/>
      <c r="AL1465" s="263"/>
      <c r="AM1465" s="264"/>
      <c r="AN1465" s="263"/>
      <c r="AO1465" s="263"/>
      <c r="AP1465" s="265"/>
      <c r="AQ1465" s="266"/>
      <c r="AR1465" s="267">
        <v>2349</v>
      </c>
      <c r="AS1465" s="263"/>
      <c r="AT1465" s="263"/>
      <c r="AU1465" s="263"/>
      <c r="AV1465" s="264"/>
      <c r="AW1465" s="263"/>
      <c r="AX1465" s="263"/>
      <c r="AY1465" s="263"/>
      <c r="AZ1465" s="263"/>
      <c r="BA1465" s="263"/>
      <c r="BB1465" s="263"/>
      <c r="BC1465" s="263"/>
      <c r="BD1465" s="264"/>
      <c r="BE1465" s="263"/>
      <c r="BF1465" s="263"/>
      <c r="BG1465" s="263"/>
      <c r="BH1465" s="263"/>
      <c r="BI1465" s="263"/>
      <c r="BJ1465" s="404">
        <f>altaz(J2000_Bas,$O1465,$M1465,DecLat,DecLong,2)</f>
        <v>105.31588180865604</v>
      </c>
      <c r="BK1465" s="378" t="s">
        <v>1500</v>
      </c>
      <c r="BL1465" s="379">
        <f>IF((2*G1465)/60&lt;0.2,0.2,(2*G1465)/60)</f>
        <v>0.2</v>
      </c>
      <c r="BM1465" s="380">
        <f>MOD((50000+AD1465-$B$3+(0/24)),1)</f>
        <v>0.23544281354406849</v>
      </c>
      <c r="BN1465" s="381"/>
      <c r="BO1465" s="382">
        <v>1458</v>
      </c>
    </row>
    <row r="1466" spans="1:67" s="24" customFormat="1" ht="15" customHeight="1" x14ac:dyDescent="0.25">
      <c r="A1466" s="288" t="s">
        <v>1501</v>
      </c>
      <c r="B1466" s="241" t="str">
        <f>HYPERLINK(CONCATENATE($AT$3,BK1466,$AU$3),$AV$3)</f>
        <v>S</v>
      </c>
      <c r="C1466" s="242" t="str">
        <f>HYPERLINK(CONCATENATE($AT$4,BK1466,$AU$4,BL1466),$AV$4)</f>
        <v>A</v>
      </c>
      <c r="D1466" s="243" t="s">
        <v>5638</v>
      </c>
      <c r="E1466" s="244" t="s">
        <v>13</v>
      </c>
      <c r="F1466" s="269" t="s">
        <v>3303</v>
      </c>
      <c r="G1466" s="276">
        <v>12</v>
      </c>
      <c r="H1466" s="289">
        <v>2.2000000000000002</v>
      </c>
      <c r="I1466" s="279">
        <v>8</v>
      </c>
      <c r="J1466" s="246">
        <v>1</v>
      </c>
      <c r="K1466" s="247" t="s">
        <v>6530</v>
      </c>
      <c r="L1466" s="248">
        <v>3858</v>
      </c>
      <c r="M1466" s="249">
        <f>15*(LEFT(TEXT($L1466,"000000"),2)+(MID(TEXT($L1466,"000000"),3,2)/60)+(RIGHT(TEXT($L1466,"000000"),2)/3600))</f>
        <v>9.7416666666666654</v>
      </c>
      <c r="N1466" s="250">
        <v>482014</v>
      </c>
      <c r="O1466" s="251">
        <f>IF($N1466&gt;0,(LEFT(TEXT($N1466,"000000"),2)+(MID(TEXT($N1466,"000000"),3,2)/60)+(RIGHT(TEXT($N1466,"000000"),2)/3600)),-(MID(TEXT($N1466,"000000"),2,2)+(MID(TEXT($N1466,"000000"),4,2)/60)+(RIGHT(TEXT($N1466,"000000"),2)/3600)))</f>
        <v>48.337222222222223</v>
      </c>
      <c r="P1466" s="252" t="s">
        <v>49</v>
      </c>
      <c r="Q1466" s="253"/>
      <c r="R1466" s="247" t="s">
        <v>7342</v>
      </c>
      <c r="S1466" s="272" t="s">
        <v>3293</v>
      </c>
      <c r="T1466" s="273">
        <v>9.1999999999999993</v>
      </c>
      <c r="U1466" s="289">
        <v>23.29</v>
      </c>
      <c r="V1466" s="280"/>
      <c r="W1466" s="244"/>
      <c r="X1466" s="244"/>
      <c r="Y1466" s="362"/>
      <c r="Z1466" s="257">
        <f>altaz(J2000_Bas,$O1466,$M1466,DecLat,DecLong,1)</f>
        <v>26.545608137313621</v>
      </c>
      <c r="AA1466" s="257">
        <f>altaz((J2000_Bas+(2*0.04167)),$O1466,$M1466,DecLat,DecLong,1)</f>
        <v>46.258124502626444</v>
      </c>
      <c r="AB1466" s="257">
        <f>altaz((J2000_Bas+(4*0.04167)),$O1466,$M1466,DecLat,DecLong,1)</f>
        <v>65.098179507447639</v>
      </c>
      <c r="AC1466" s="257">
        <f>altaz((J2000_Bas+(6*0.04167)),$O1466,$M1466,DecLat,DecLong,1)</f>
        <v>71.96882179101209</v>
      </c>
      <c r="AD1466" s="258">
        <f>1+ transit((J2000_Bas-1),$O1466,$M1466,DecLat,DecLong)/360 + (GMTOffset/24) + (IF(DST="Y", 1, 0)/24)</f>
        <v>1.0199601431088747</v>
      </c>
      <c r="AE1466" s="259">
        <f>DATE(2001,9,21)+(M1466/360)*365 - (360*((DecLong/360)- (GMTOffset/24) ))</f>
        <v>37169.876967592594</v>
      </c>
      <c r="AF1466" s="260">
        <f>IF(DecLat&gt;0,IF((90 - (DecLat-O1466))&gt;90, (90 - (O1466-DecLat)), (90 - (DecLat-O1466))),IF((90 + (DecLat-O1466))&gt;90, (90 + (O1466-DecLat)), (90 + (DecLat-O1466))))</f>
        <v>72.662777777777777</v>
      </c>
      <c r="AG1466" s="257">
        <f>angularseperation(MoonRA,MoonDec,$M1466,$O1466)</f>
        <v>129.83083735243446</v>
      </c>
      <c r="AH1466" s="261">
        <f ca="1">MIN(100,IF($O$5&gt;80,0+30*($AG1466/100),IF($O$5&gt;70,0+50*($AG1466/100),IF($O$5&gt;60,5+50*($AG1466/100),IF($O$5&gt;50,10+60*($AG1466/100),IF($O$5&gt;40,15+70*($AG1466/100),IF($O$5&gt;30,20+70*($AG1466/100),IF($O$5&gt;20,40+55*($AG1466/100),(80+(20-$O$5)+30*($AG1466/100))))))))))</f>
        <v>100</v>
      </c>
      <c r="AI1466" s="262">
        <v>185</v>
      </c>
      <c r="AJ1466" s="262"/>
      <c r="AK1466" s="262">
        <v>5</v>
      </c>
      <c r="AL1466" s="263"/>
      <c r="AM1466" s="264">
        <v>18</v>
      </c>
      <c r="AN1466" s="263"/>
      <c r="AO1466" s="263"/>
      <c r="AP1466" s="265"/>
      <c r="AQ1466" s="266">
        <v>396</v>
      </c>
      <c r="AR1466" s="267">
        <v>2329</v>
      </c>
      <c r="AS1466" s="263"/>
      <c r="AT1466" s="263"/>
      <c r="AU1466" s="263"/>
      <c r="AV1466" s="264"/>
      <c r="AW1466" s="263"/>
      <c r="AX1466" s="263"/>
      <c r="AY1466" s="263"/>
      <c r="AZ1466" s="263"/>
      <c r="BA1466" s="263"/>
      <c r="BB1466" s="263"/>
      <c r="BC1466" s="263"/>
      <c r="BD1466" s="264"/>
      <c r="BE1466" s="263"/>
      <c r="BF1466" s="263"/>
      <c r="BG1466" s="263"/>
      <c r="BH1466" s="263"/>
      <c r="BI1466" s="263"/>
      <c r="BJ1466" s="404">
        <f>altaz(J2000_Bas,$O1466,$M1466,DecLat,DecLong,2)</f>
        <v>47.616503054000425</v>
      </c>
      <c r="BK1466" s="378" t="s">
        <v>1501</v>
      </c>
      <c r="BL1466" s="379">
        <f>IF((2*G1466)/60&lt;0.2,0.2,(2*G1466)/60)</f>
        <v>0.4</v>
      </c>
      <c r="BM1466" s="380">
        <f>MOD((50000+AD1466-$B$3+(0/24)),1)</f>
        <v>0.23532707281265175</v>
      </c>
      <c r="BN1466" s="381" t="s">
        <v>9235</v>
      </c>
      <c r="BO1466" s="382">
        <v>1459</v>
      </c>
    </row>
    <row r="1467" spans="1:67" s="24" customFormat="1" ht="15" customHeight="1" x14ac:dyDescent="0.25">
      <c r="A1467" s="288" t="s">
        <v>1502</v>
      </c>
      <c r="B1467" s="241" t="str">
        <f>HYPERLINK(CONCATENATE($AT$3,BK1467,$AU$3),$AV$3)</f>
        <v>S</v>
      </c>
      <c r="C1467" s="242" t="str">
        <f>HYPERLINK(CONCATENATE($AT$4,BK1467,$AU$4,BL1467),$AV$4)</f>
        <v>A</v>
      </c>
      <c r="D1467" s="243" t="s">
        <v>5335</v>
      </c>
      <c r="E1467" s="244" t="s">
        <v>5185</v>
      </c>
      <c r="F1467" s="269" t="s">
        <v>6531</v>
      </c>
      <c r="G1467" s="276">
        <v>14</v>
      </c>
      <c r="H1467" s="283">
        <v>5000</v>
      </c>
      <c r="I1467" s="246">
        <v>20</v>
      </c>
      <c r="J1467" s="246">
        <v>2</v>
      </c>
      <c r="K1467" s="247" t="s">
        <v>6532</v>
      </c>
      <c r="L1467" s="248">
        <v>4728</v>
      </c>
      <c r="M1467" s="249">
        <f>15*(LEFT(TEXT($L1467,"000000"),2)+(MID(TEXT($L1467,"000000"),3,2)/60)+(RIGHT(TEXT($L1467,"000000"),2)/3600))</f>
        <v>11.866666666666667</v>
      </c>
      <c r="N1467" s="250">
        <v>851518</v>
      </c>
      <c r="O1467" s="251">
        <f>IF($N1467&gt;0,(LEFT(TEXT($N1467,"000000"),2)+(MID(TEXT($N1467,"000000"),3,2)/60)+(RIGHT(TEXT($N1467,"000000"),2)/3600)),-(MID(TEXT($N1467,"000000"),2,2)+(MID(TEXT($N1467,"000000"),4,2)/60)+(RIGHT(TEXT($N1467,"000000"),2)/3600)))</f>
        <v>85.254999999999995</v>
      </c>
      <c r="P1467" s="252" t="s">
        <v>52</v>
      </c>
      <c r="Q1467" s="253"/>
      <c r="R1467" s="247" t="s">
        <v>7324</v>
      </c>
      <c r="S1467" s="272" t="s">
        <v>3293</v>
      </c>
      <c r="T1467" s="273">
        <v>8.1</v>
      </c>
      <c r="U1467" s="274"/>
      <c r="V1467" s="280"/>
      <c r="W1467" s="244"/>
      <c r="X1467" s="244"/>
      <c r="Y1467" s="362"/>
      <c r="Z1467" s="257">
        <f>altaz(J2000_Bas,$O1467,$M1467,DecLat,DecLong,1)</f>
        <v>31.224108604214109</v>
      </c>
      <c r="AA1467" s="257">
        <f>altaz((J2000_Bas+(2*0.04167)),$O1467,$M1467,DecLat,DecLong,1)</f>
        <v>33.583312355526544</v>
      </c>
      <c r="AB1467" s="257">
        <f>altaz((J2000_Bas+(4*0.04167)),$O1467,$M1467,DecLat,DecLong,1)</f>
        <v>35.251552803515033</v>
      </c>
      <c r="AC1467" s="257">
        <f>altaz((J2000_Bas+(6*0.04167)),$O1467,$M1467,DecLat,DecLong,1)</f>
        <v>35.730318500576502</v>
      </c>
      <c r="AD1467" s="258">
        <f>1+ transit((J2000_Bas-1),$O1467,$M1467,DecLat,DecLong)/360 + (GMTOffset/24) + (IF(DST="Y", 1, 0)/24)</f>
        <v>1.0258629202963747</v>
      </c>
      <c r="AE1467" s="259">
        <f>DATE(2001,9,21)+(M1467/360)*365 - (360*((DecLong/360)- (GMTOffset/24) ))</f>
        <v>37172.031481481485</v>
      </c>
      <c r="AF1467" s="260">
        <f>IF(DecLat&gt;0,IF((90 - (DecLat-O1467))&gt;90, (90 - (O1467-DecLat)), (90 - (DecLat-O1467))),IF((90 + (DecLat-O1467))&gt;90, (90 + (O1467-DecLat)), (90 + (DecLat-O1467))))</f>
        <v>35.745000000000005</v>
      </c>
      <c r="AG1467" s="257">
        <f>angularseperation(MoonRA,MoonDec,$M1467,$O1467)</f>
        <v>119.56723540065812</v>
      </c>
      <c r="AH1467" s="261">
        <f ca="1">MIN(100,IF($O$5&gt;80,0+30*($AG1467/100),IF($O$5&gt;70,0+50*($AG1467/100),IF($O$5&gt;60,5+50*($AG1467/100),IF($O$5&gt;50,10+60*($AG1467/100),IF($O$5&gt;40,15+70*($AG1467/100),IF($O$5&gt;30,20+70*($AG1467/100),IF($O$5&gt;20,40+55*($AG1467/100),(80+(20-$O$5)+30*($AG1467/100))))))))))</f>
        <v>100</v>
      </c>
      <c r="AI1467" s="262">
        <v>188</v>
      </c>
      <c r="AJ1467" s="262"/>
      <c r="AK1467" s="262"/>
      <c r="AL1467" s="263"/>
      <c r="AM1467" s="264">
        <v>1</v>
      </c>
      <c r="AN1467" s="263"/>
      <c r="AO1467" s="263"/>
      <c r="AP1467" s="265"/>
      <c r="AQ1467" s="266"/>
      <c r="AR1467" s="267"/>
      <c r="AS1467" s="263"/>
      <c r="AT1467" s="263"/>
      <c r="AU1467" s="263"/>
      <c r="AV1467" s="264"/>
      <c r="AW1467" s="263"/>
      <c r="AX1467" s="263"/>
      <c r="AY1467" s="263"/>
      <c r="AZ1467" s="263"/>
      <c r="BA1467" s="263"/>
      <c r="BB1467" s="263"/>
      <c r="BC1467" s="263"/>
      <c r="BD1467" s="264"/>
      <c r="BE1467" s="263"/>
      <c r="BF1467" s="263"/>
      <c r="BG1467" s="263"/>
      <c r="BH1467" s="263"/>
      <c r="BI1467" s="263"/>
      <c r="BJ1467" s="404">
        <f>altaz(J2000_Bas,$O1467,$M1467,DecLat,DecLong,2)</f>
        <v>5.536596684252471</v>
      </c>
      <c r="BK1467" s="378" t="s">
        <v>1502</v>
      </c>
      <c r="BL1467" s="379">
        <f>IF((2*G1467)/60&lt;0.2,0.2,(2*G1467)/60)</f>
        <v>0.46666666666666667</v>
      </c>
      <c r="BM1467" s="380">
        <f>MOD((50000+AD1467-$B$3+(0/24)),1)</f>
        <v>0.24122984999848995</v>
      </c>
      <c r="BN1467" s="381"/>
      <c r="BO1467" s="382">
        <v>1460</v>
      </c>
    </row>
    <row r="1468" spans="1:67" s="24" customFormat="1" ht="15" customHeight="1" x14ac:dyDescent="0.25">
      <c r="A1468" s="288" t="s">
        <v>1503</v>
      </c>
      <c r="B1468" s="241" t="str">
        <f>HYPERLINK(CONCATENATE($AT$3,BK1468,$AU$3),$AV$3)</f>
        <v>S</v>
      </c>
      <c r="C1468" s="242" t="str">
        <f>HYPERLINK(CONCATENATE($AT$4,BK1468,$AU$4,BL1468),$AV$4)</f>
        <v>A</v>
      </c>
      <c r="D1468" s="243" t="s">
        <v>5335</v>
      </c>
      <c r="E1468" s="244" t="s">
        <v>5185</v>
      </c>
      <c r="F1468" s="269" t="s">
        <v>4923</v>
      </c>
      <c r="G1468" s="273">
        <v>5</v>
      </c>
      <c r="H1468" s="283">
        <v>2400</v>
      </c>
      <c r="I1468" s="279">
        <v>3.8</v>
      </c>
      <c r="J1468" s="246">
        <v>1</v>
      </c>
      <c r="K1468" s="247" t="s">
        <v>6533</v>
      </c>
      <c r="L1468" s="248">
        <v>3935</v>
      </c>
      <c r="M1468" s="249">
        <f>15*(LEFT(TEXT($L1468,"000000"),2)+(MID(TEXT($L1468,"000000"),3,2)/60)+(RIGHT(TEXT($L1468,"000000"),2)/3600))</f>
        <v>9.8958333333333339</v>
      </c>
      <c r="N1468" s="250">
        <v>610506</v>
      </c>
      <c r="O1468" s="251">
        <f>IF($N1468&gt;0,(LEFT(TEXT($N1468,"000000"),2)+(MID(TEXT($N1468,"000000"),3,2)/60)+(RIGHT(TEXT($N1468,"000000"),2)/3600)),-(MID(TEXT($N1468,"000000"),2,2)+(MID(TEXT($N1468,"000000"),4,2)/60)+(RIGHT(TEXT($N1468,"000000"),2)/3600)))</f>
        <v>61.085000000000001</v>
      </c>
      <c r="P1468" s="252" t="s">
        <v>49</v>
      </c>
      <c r="Q1468" s="253"/>
      <c r="R1468" s="247" t="s">
        <v>3293</v>
      </c>
      <c r="S1468" s="272" t="s">
        <v>3293</v>
      </c>
      <c r="T1468" s="273">
        <v>8.8000000000000007</v>
      </c>
      <c r="U1468" s="274"/>
      <c r="V1468" s="280"/>
      <c r="W1468" s="244"/>
      <c r="X1468" s="244"/>
      <c r="Y1468" s="362"/>
      <c r="Z1468" s="257">
        <f>altaz(J2000_Bas,$O1468,$M1468,DecLat,DecLong,1)</f>
        <v>29.664635063602056</v>
      </c>
      <c r="AA1468" s="257">
        <f>altaz((J2000_Bas+(2*0.04167)),$O1468,$M1468,DecLat,DecLong,1)</f>
        <v>44.071740314480131</v>
      </c>
      <c r="AB1468" s="257">
        <f>altaz((J2000_Bas+(4*0.04167)),$O1468,$M1468,DecLat,DecLong,1)</f>
        <v>56.125338774913516</v>
      </c>
      <c r="AC1468" s="257">
        <f>altaz((J2000_Bas+(6*0.04167)),$O1468,$M1468,DecLat,DecLong,1)</f>
        <v>59.624685432217085</v>
      </c>
      <c r="AD1468" s="258">
        <f>1+ transit((J2000_Bas-1),$O1468,$M1468,DecLat,DecLong)/360 + (GMTOffset/24) + (IF(DST="Y", 1, 0)/24)</f>
        <v>1.0203883838067913</v>
      </c>
      <c r="AE1468" s="259">
        <f>DATE(2001,9,21)+(M1468/360)*365 - (360*((DecLong/360)- (GMTOffset/24) ))</f>
        <v>37170.033275462964</v>
      </c>
      <c r="AF1468" s="260">
        <f>IF(DecLat&gt;0,IF((90 - (DecLat-O1468))&gt;90, (90 - (O1468-DecLat)), (90 - (DecLat-O1468))),IF((90 + (DecLat-O1468))&gt;90, (90 + (O1468-DecLat)), (90 + (DecLat-O1468))))</f>
        <v>59.914999999999999</v>
      </c>
      <c r="AG1468" s="257">
        <f>angularseperation(MoonRA,MoonDec,$M1468,$O1468)</f>
        <v>128.17204622006579</v>
      </c>
      <c r="AH1468" s="261">
        <f ca="1">MIN(100,IF($O$5&gt;80,0+30*($AG1468/100),IF($O$5&gt;70,0+50*($AG1468/100),IF($O$5&gt;60,5+50*($AG1468/100),IF($O$5&gt;50,10+60*($AG1468/100),IF($O$5&gt;40,15+70*($AG1468/100),IF($O$5&gt;30,20+70*($AG1468/100),IF($O$5&gt;20,40+55*($AG1468/100),(80+(20-$O$5)+30*($AG1468/100))))))))))</f>
        <v>100</v>
      </c>
      <c r="AI1468" s="262">
        <v>189</v>
      </c>
      <c r="AJ1468" s="262"/>
      <c r="AK1468" s="262"/>
      <c r="AL1468" s="263"/>
      <c r="AM1468" s="264"/>
      <c r="AN1468" s="263"/>
      <c r="AO1468" s="263"/>
      <c r="AP1468" s="265"/>
      <c r="AQ1468" s="266"/>
      <c r="AR1468" s="267"/>
      <c r="AS1468" s="263"/>
      <c r="AT1468" s="263"/>
      <c r="AU1468" s="263"/>
      <c r="AV1468" s="264"/>
      <c r="AW1468" s="263"/>
      <c r="AX1468" s="263"/>
      <c r="AY1468" s="263"/>
      <c r="AZ1468" s="263"/>
      <c r="BA1468" s="263"/>
      <c r="BB1468" s="263"/>
      <c r="BC1468" s="263"/>
      <c r="BD1468" s="264"/>
      <c r="BE1468" s="263">
        <v>1</v>
      </c>
      <c r="BF1468" s="263"/>
      <c r="BG1468" s="263"/>
      <c r="BH1468" s="263"/>
      <c r="BI1468" s="263"/>
      <c r="BJ1468" s="404">
        <f>altaz(J2000_Bas,$O1468,$M1468,DecLat,DecLong,2)</f>
        <v>33.592504622233854</v>
      </c>
      <c r="BK1468" s="378" t="s">
        <v>1503</v>
      </c>
      <c r="BL1468" s="379">
        <f>IF((2*G1468)/60&lt;0.2,0.2,(2*G1468)/60)</f>
        <v>0.2</v>
      </c>
      <c r="BM1468" s="380">
        <f>MOD((50000+AD1468-$B$3+(0/24)),1)</f>
        <v>0.23575531350797974</v>
      </c>
      <c r="BN1468" s="381"/>
      <c r="BO1468" s="382">
        <v>1461</v>
      </c>
    </row>
    <row r="1469" spans="1:67" s="24" customFormat="1" ht="15" customHeight="1" x14ac:dyDescent="0.25">
      <c r="A1469" s="288" t="s">
        <v>1504</v>
      </c>
      <c r="B1469" s="241" t="str">
        <f>HYPERLINK(CONCATENATE($AT$3,BK1469,$AU$3),$AV$3)</f>
        <v>S</v>
      </c>
      <c r="C1469" s="242" t="str">
        <f>HYPERLINK(CONCATENATE($AT$4,BK1469,$AU$4,BL1469),$AV$4)</f>
        <v>A</v>
      </c>
      <c r="D1469" s="243" t="s">
        <v>5335</v>
      </c>
      <c r="E1469" s="244" t="s">
        <v>7523</v>
      </c>
      <c r="F1469" s="269"/>
      <c r="G1469" s="273">
        <v>5</v>
      </c>
      <c r="H1469" s="289">
        <v>2.5</v>
      </c>
      <c r="I1469" s="279">
        <v>4</v>
      </c>
      <c r="J1469" s="246">
        <v>2</v>
      </c>
      <c r="K1469" s="247" t="s">
        <v>6534</v>
      </c>
      <c r="L1469" s="248">
        <v>4032</v>
      </c>
      <c r="M1469" s="249">
        <f>15*(LEFT(TEXT($L1469,"000000"),2)+(MID(TEXT($L1469,"000000"),3,2)/60)+(RIGHT(TEXT($L1469,"000000"),2)/3600))</f>
        <v>10.133333333333333</v>
      </c>
      <c r="N1469" s="250">
        <v>404419</v>
      </c>
      <c r="O1469" s="251">
        <f>IF($N1469&gt;0,(LEFT(TEXT($N1469,"000000"),2)+(MID(TEXT($N1469,"000000"),3,2)/60)+(RIGHT(TEXT($N1469,"000000"),2)/3600)),-(MID(TEXT($N1469,"000000"),2,2)+(MID(TEXT($N1469,"000000"),4,2)/60)+(RIGHT(TEXT($N1469,"000000"),2)/3600)))</f>
        <v>40.738611111111112</v>
      </c>
      <c r="P1469" s="252" t="s">
        <v>36</v>
      </c>
      <c r="Q1469" s="253"/>
      <c r="R1469" s="277" t="s">
        <v>3293</v>
      </c>
      <c r="S1469" s="272" t="s">
        <v>3293</v>
      </c>
      <c r="T1469" s="273">
        <v>14</v>
      </c>
      <c r="U1469" s="274"/>
      <c r="V1469" s="280"/>
      <c r="W1469" s="244"/>
      <c r="X1469" s="244"/>
      <c r="Y1469" s="362"/>
      <c r="Z1469" s="257">
        <f>altaz(J2000_Bas,$O1469,$M1469,DecLat,DecLong,1)</f>
        <v>23.736631472309131</v>
      </c>
      <c r="AA1469" s="257">
        <f>altaz((J2000_Bas+(2*0.04167)),$O1469,$M1469,DecLat,DecLong,1)</f>
        <v>45.843907933301871</v>
      </c>
      <c r="AB1469" s="257">
        <f>altaz((J2000_Bas+(4*0.04167)),$O1469,$M1469,DecLat,DecLong,1)</f>
        <v>68.375159203509767</v>
      </c>
      <c r="AC1469" s="257">
        <f>altaz((J2000_Bas+(6*0.04167)),$O1469,$M1469,DecLat,DecLong,1)</f>
        <v>79.07759507011987</v>
      </c>
      <c r="AD1469" s="258">
        <f>1+ transit((J2000_Bas-1),$O1469,$M1469,DecLat,DecLong)/360 + (GMTOffset/24) + (IF(DST="Y", 1, 0)/24)</f>
        <v>1.0210481059630414</v>
      </c>
      <c r="AE1469" s="259">
        <f>DATE(2001,9,21)+(M1469/360)*365 - (360*((DecLong/360)- (GMTOffset/24) ))</f>
        <v>37170.274074074077</v>
      </c>
      <c r="AF1469" s="260">
        <f>IF(DecLat&gt;0,IF((90 - (DecLat-O1469))&gt;90, (90 - (O1469-DecLat)), (90 - (DecLat-O1469))),IF((90 + (DecLat-O1469))&gt;90, (90 + (O1469-DecLat)), (90 + (DecLat-O1469))))</f>
        <v>80.261388888888888</v>
      </c>
      <c r="AG1469" s="257">
        <f>angularseperation(MoonRA,MoonDec,$M1469,$O1469)</f>
        <v>130.05199153085817</v>
      </c>
      <c r="AH1469" s="261">
        <f ca="1">MIN(100,IF($O$5&gt;80,0+30*($AG1469/100),IF($O$5&gt;70,0+50*($AG1469/100),IF($O$5&gt;60,5+50*($AG1469/100),IF($O$5&gt;50,10+60*($AG1469/100),IF($O$5&gt;40,15+70*($AG1469/100),IF($O$5&gt;30,20+70*($AG1469/100),IF($O$5&gt;20,40+55*($AG1469/100),(80+(20-$O$5)+30*($AG1469/100))))))))))</f>
        <v>100</v>
      </c>
      <c r="AI1469" s="262">
        <v>206</v>
      </c>
      <c r="AJ1469" s="262"/>
      <c r="AK1469" s="262"/>
      <c r="AL1469" s="263"/>
      <c r="AM1469" s="264"/>
      <c r="AN1469" s="263"/>
      <c r="AO1469" s="263"/>
      <c r="AP1469" s="265"/>
      <c r="AQ1469" s="266"/>
      <c r="AR1469" s="267"/>
      <c r="AS1469" s="263"/>
      <c r="AT1469" s="263"/>
      <c r="AU1469" s="263"/>
      <c r="AV1469" s="264"/>
      <c r="AW1469" s="263"/>
      <c r="AX1469" s="263"/>
      <c r="AY1469" s="263"/>
      <c r="AZ1469" s="263"/>
      <c r="BA1469" s="263"/>
      <c r="BB1469" s="263"/>
      <c r="BC1469" s="263"/>
      <c r="BD1469" s="264"/>
      <c r="BE1469" s="263"/>
      <c r="BF1469" s="263"/>
      <c r="BG1469" s="263"/>
      <c r="BH1469" s="263"/>
      <c r="BI1469" s="263"/>
      <c r="BJ1469" s="404">
        <f>altaz(J2000_Bas,$O1469,$M1469,DecLat,DecLong,2)</f>
        <v>55.424169680689793</v>
      </c>
      <c r="BK1469" s="378" t="s">
        <v>1504</v>
      </c>
      <c r="BL1469" s="379">
        <f>IF((2*G1469)/60&lt;0.2,0.2,(2*G1469)/60)</f>
        <v>0.2</v>
      </c>
      <c r="BM1469" s="380">
        <f>MOD((50000+AD1469-$B$3+(0/24)),1)</f>
        <v>0.23641503566614119</v>
      </c>
      <c r="BN1469" s="381"/>
      <c r="BO1469" s="382">
        <v>1462</v>
      </c>
    </row>
    <row r="1470" spans="1:67" s="24" customFormat="1" ht="15" customHeight="1" x14ac:dyDescent="0.25">
      <c r="A1470" s="288" t="s">
        <v>1505</v>
      </c>
      <c r="B1470" s="241" t="str">
        <f>HYPERLINK(CONCATENATE($AT$3,BK1470,$AU$3),$AV$3)</f>
        <v>S</v>
      </c>
      <c r="C1470" s="242" t="str">
        <f>HYPERLINK(CONCATENATE($AT$4,BK1470,$AU$4,BL1470),$AV$4)</f>
        <v>A</v>
      </c>
      <c r="D1470" s="243" t="s">
        <v>5638</v>
      </c>
      <c r="E1470" s="244" t="s">
        <v>5192</v>
      </c>
      <c r="F1470" s="269" t="s">
        <v>8900</v>
      </c>
      <c r="G1470" s="273">
        <v>5</v>
      </c>
      <c r="H1470" s="283">
        <v>70</v>
      </c>
      <c r="I1470" s="246">
        <v>100</v>
      </c>
      <c r="J1470" s="246">
        <v>4</v>
      </c>
      <c r="K1470" s="247" t="s">
        <v>6535</v>
      </c>
      <c r="L1470" s="248">
        <v>4035</v>
      </c>
      <c r="M1470" s="249">
        <f>15*(LEFT(TEXT($L1470,"000000"),2)+(MID(TEXT($L1470,"000000"),3,2)/60)+(RIGHT(TEXT($L1470,"000000"),2)/3600))</f>
        <v>10.145833333333332</v>
      </c>
      <c r="N1470" s="250">
        <v>-135224</v>
      </c>
      <c r="O1470" s="251">
        <f>IF($N1470&gt;0,(LEFT(TEXT($N1470,"000000"),2)+(MID(TEXT($N1470,"000000"),3,2)/60)+(RIGHT(TEXT($N1470,"000000"),2)/3600)),-(MID(TEXT($N1470,"000000"),2,2)+(MID(TEXT($N1470,"000000"),4,2)/60)+(RIGHT(TEXT($N1470,"000000"),2)/3600)))</f>
        <v>-13.873333333333333</v>
      </c>
      <c r="P1470" s="252" t="s">
        <v>75</v>
      </c>
      <c r="Q1470" s="253"/>
      <c r="R1470" s="247" t="s">
        <v>3293</v>
      </c>
      <c r="S1470" s="272" t="s">
        <v>3293</v>
      </c>
      <c r="T1470" s="273">
        <v>10.9</v>
      </c>
      <c r="U1470" s="289">
        <v>22.69</v>
      </c>
      <c r="V1470" s="280">
        <v>55</v>
      </c>
      <c r="W1470" s="244"/>
      <c r="X1470" s="244"/>
      <c r="Y1470" s="362"/>
      <c r="Z1470" s="257">
        <f>altaz(J2000_Bas,$O1470,$M1470,DecLat,DecLong,1)</f>
        <v>-2.2109082195199763</v>
      </c>
      <c r="AA1470" s="257">
        <f>altaz((J2000_Bas+(2*0.04167)),$O1470,$M1470,DecLat,DecLong,1)</f>
        <v>21.404457594981071</v>
      </c>
      <c r="AB1470" s="257">
        <f>altaz((J2000_Bas+(4*0.04167)),$O1470,$M1470,DecLat,DecLong,1)</f>
        <v>39.559330292219101</v>
      </c>
      <c r="AC1470" s="257">
        <f>altaz((J2000_Bas+(6*0.04167)),$O1470,$M1470,DecLat,DecLong,1)</f>
        <v>44.744006936533239</v>
      </c>
      <c r="AD1470" s="258">
        <f>1+ transit((J2000_Bas-1),$O1470,$M1470,DecLat,DecLong)/360 + (GMTOffset/24) + (IF(DST="Y", 1, 0)/24)</f>
        <v>1.0210828281817914</v>
      </c>
      <c r="AE1470" s="259">
        <f>DATE(2001,9,21)+(M1470/360)*365 - (360*((DecLong/360)- (GMTOffset/24) ))</f>
        <v>37170.286747685182</v>
      </c>
      <c r="AF1470" s="260">
        <f>IF(DecLat&gt;0,IF((90 - (DecLat-O1470))&gt;90, (90 - (O1470-DecLat)), (90 - (DecLat-O1470))),IF((90 + (DecLat-O1470))&gt;90, (90 + (O1470-DecLat)), (90 + (DecLat-O1470))))</f>
        <v>45.126666666666665</v>
      </c>
      <c r="AG1470" s="257">
        <f>angularseperation(MoonRA,MoonDec,$M1470,$O1470)</f>
        <v>109.5584916444456</v>
      </c>
      <c r="AH1470" s="261">
        <f ca="1">MIN(100,IF($O$5&gt;80,0+30*($AG1470/100),IF($O$5&gt;70,0+50*($AG1470/100),IF($O$5&gt;60,5+50*($AG1470/100),IF($O$5&gt;50,10+60*($AG1470/100),IF($O$5&gt;40,15+70*($AG1470/100),IF($O$5&gt;30,20+70*($AG1470/100),IF($O$5&gt;20,40+55*($AG1470/100),(80+(20-$O$5)+30*($AG1470/100))))))))))</f>
        <v>100</v>
      </c>
      <c r="AI1470" s="262">
        <v>210</v>
      </c>
      <c r="AJ1470" s="262"/>
      <c r="AK1470" s="262"/>
      <c r="AL1470" s="263"/>
      <c r="AM1470" s="264"/>
      <c r="AN1470" s="263"/>
      <c r="AO1470" s="263"/>
      <c r="AP1470" s="265"/>
      <c r="AQ1470" s="266"/>
      <c r="AR1470" s="267">
        <v>2437</v>
      </c>
      <c r="AS1470" s="263"/>
      <c r="AT1470" s="263"/>
      <c r="AU1470" s="263"/>
      <c r="AV1470" s="264"/>
      <c r="AW1470" s="263"/>
      <c r="AX1470" s="263"/>
      <c r="AY1470" s="263"/>
      <c r="AZ1470" s="263"/>
      <c r="BA1470" s="263"/>
      <c r="BB1470" s="263"/>
      <c r="BC1470" s="263"/>
      <c r="BD1470" s="264"/>
      <c r="BE1470" s="263"/>
      <c r="BF1470" s="263"/>
      <c r="BG1470" s="263">
        <v>3</v>
      </c>
      <c r="BH1470" s="263"/>
      <c r="BI1470" s="263"/>
      <c r="BJ1470" s="404">
        <f>altaz(J2000_Bas,$O1470,$M1470,DecLat,DecLong,2)</f>
        <v>104.87683377477606</v>
      </c>
      <c r="BK1470" s="378" t="s">
        <v>1505</v>
      </c>
      <c r="BL1470" s="379">
        <f>IF((2*G1470)/60&lt;0.2,0.2,(2*G1470)/60)</f>
        <v>0.2</v>
      </c>
      <c r="BM1470" s="380">
        <f>MOD((50000+AD1470-$B$3+(0/24)),1)</f>
        <v>0.23644975788920419</v>
      </c>
      <c r="BN1470" s="381"/>
      <c r="BO1470" s="382">
        <v>1463</v>
      </c>
    </row>
    <row r="1471" spans="1:67" s="24" customFormat="1" ht="15" customHeight="1" x14ac:dyDescent="0.25">
      <c r="A1471" s="288" t="s">
        <v>1506</v>
      </c>
      <c r="B1471" s="241" t="str">
        <f>HYPERLINK(CONCATENATE($AT$3,BK1471,$AU$3),$AV$3)</f>
        <v>S</v>
      </c>
      <c r="C1471" s="242" t="str">
        <f>HYPERLINK(CONCATENATE($AT$4,BK1471,$AU$4,BL1471),$AV$4)</f>
        <v>A</v>
      </c>
      <c r="D1471" s="243" t="s">
        <v>5638</v>
      </c>
      <c r="E1471" s="244" t="s">
        <v>5337</v>
      </c>
      <c r="F1471" s="269" t="s">
        <v>9279</v>
      </c>
      <c r="G1471" s="273">
        <v>1.3</v>
      </c>
      <c r="H1471" s="283">
        <v>500</v>
      </c>
      <c r="I1471" s="246">
        <v>175</v>
      </c>
      <c r="J1471" s="246">
        <v>3</v>
      </c>
      <c r="K1471" s="247" t="s">
        <v>6537</v>
      </c>
      <c r="L1471" s="248">
        <v>4632</v>
      </c>
      <c r="M1471" s="249">
        <f>15*(LEFT(TEXT($L1471,"000000"),2)+(MID(TEXT($L1471,"000000"),3,2)/60)+(RIGHT(TEXT($L1471,"000000"),2)/3600))</f>
        <v>11.633333333333333</v>
      </c>
      <c r="N1471" s="250">
        <v>361930</v>
      </c>
      <c r="O1471" s="251">
        <f>IF($N1471&gt;0,(LEFT(TEXT($N1471,"000000"),2)+(MID(TEXT($N1471,"000000"),3,2)/60)+(RIGHT(TEXT($N1471,"000000"),2)/3600)),-(MID(TEXT($N1471,"000000"),2,2)+(MID(TEXT($N1471,"000000"),4,2)/60)+(RIGHT(TEXT($N1471,"000000"),2)/3600)))</f>
        <v>36.325000000000003</v>
      </c>
      <c r="P1471" s="252" t="s">
        <v>36</v>
      </c>
      <c r="Q1471" s="253"/>
      <c r="R1471" s="277" t="s">
        <v>3293</v>
      </c>
      <c r="S1471" s="272" t="s">
        <v>6538</v>
      </c>
      <c r="T1471" s="273">
        <v>12.6</v>
      </c>
      <c r="U1471" s="289">
        <v>22.19</v>
      </c>
      <c r="V1471" s="280">
        <v>10</v>
      </c>
      <c r="W1471" s="244"/>
      <c r="X1471" s="244"/>
      <c r="Y1471" s="362"/>
      <c r="Z1471" s="257">
        <f>altaz(J2000_Bas,$O1471,$M1471,DecLat,DecLong,1)</f>
        <v>20.959201152956904</v>
      </c>
      <c r="AA1471" s="257">
        <f>altaz((J2000_Bas+(2*0.04167)),$O1471,$M1471,DecLat,DecLong,1)</f>
        <v>44.090077760273807</v>
      </c>
      <c r="AB1471" s="257">
        <f>altaz((J2000_Bas+(4*0.04167)),$O1471,$M1471,DecLat,DecLong,1)</f>
        <v>68.219059799058485</v>
      </c>
      <c r="AC1471" s="257">
        <f>altaz((J2000_Bas+(6*0.04167)),$O1471,$M1471,DecLat,DecLong,1)</f>
        <v>83.432397188783099</v>
      </c>
      <c r="AD1471" s="258">
        <f>1+ transit((J2000_Bas-1),$O1471,$M1471,DecLat,DecLong)/360 + (GMTOffset/24) + (IF(DST="Y", 1, 0)/24)</f>
        <v>1.0252147722130414</v>
      </c>
      <c r="AE1471" s="259">
        <f>DATE(2001,9,21)+(M1471/360)*365 - (360*((DecLong/360)- (GMTOffset/24) ))</f>
        <v>37171.794907407406</v>
      </c>
      <c r="AF1471" s="260">
        <f>IF(DecLat&gt;0,IF((90 - (DecLat-O1471))&gt;90, (90 - (O1471-DecLat)), (90 - (DecLat-O1471))),IF((90 + (DecLat-O1471))&gt;90, (90 + (O1471-DecLat)), (90 + (DecLat-O1471))))</f>
        <v>84.674999999999997</v>
      </c>
      <c r="AG1471" s="257">
        <f>angularseperation(MoonRA,MoonDec,$M1471,$O1471)</f>
        <v>130.84164708856713</v>
      </c>
      <c r="AH1471" s="261">
        <f ca="1">MIN(100,IF($O$5&gt;80,0+30*($AG1471/100),IF($O$5&gt;70,0+50*($AG1471/100),IF($O$5&gt;60,5+50*($AG1471/100),IF($O$5&gt;50,10+60*($AG1471/100),IF($O$5&gt;40,15+70*($AG1471/100),IF($O$5&gt;30,20+70*($AG1471/100),IF($O$5&gt;20,40+55*($AG1471/100),(80+(20-$O$5)+30*($AG1471/100))))))))))</f>
        <v>100</v>
      </c>
      <c r="AI1471" s="262">
        <v>218</v>
      </c>
      <c r="AJ1471" s="262"/>
      <c r="AK1471" s="262"/>
      <c r="AL1471" s="263"/>
      <c r="AM1471" s="264"/>
      <c r="AN1471" s="263"/>
      <c r="AO1471" s="263"/>
      <c r="AP1471" s="265"/>
      <c r="AQ1471" s="266">
        <v>480</v>
      </c>
      <c r="AR1471" s="267">
        <v>2720</v>
      </c>
      <c r="AS1471" s="263"/>
      <c r="AT1471" s="263"/>
      <c r="AU1471" s="263"/>
      <c r="AV1471" s="264"/>
      <c r="AW1471" s="263"/>
      <c r="AX1471" s="263"/>
      <c r="AY1471" s="263"/>
      <c r="AZ1471" s="263"/>
      <c r="BA1471" s="263"/>
      <c r="BB1471" s="263"/>
      <c r="BC1471" s="263"/>
      <c r="BD1471" s="264"/>
      <c r="BE1471" s="263"/>
      <c r="BF1471" s="263"/>
      <c r="BG1471" s="263"/>
      <c r="BH1471" s="263"/>
      <c r="BI1471" s="263"/>
      <c r="BJ1471" s="404">
        <f>altaz(J2000_Bas,$O1471,$M1471,DecLat,DecLong,2)</f>
        <v>59.344244734348642</v>
      </c>
      <c r="BK1471" s="378" t="s">
        <v>6536</v>
      </c>
      <c r="BL1471" s="379">
        <f>IF((2*G1471)/60&lt;0.2,0.2,(2*G1471)/60)</f>
        <v>0.2</v>
      </c>
      <c r="BM1471" s="380">
        <f>MOD((50000+AD1471-$B$3+(0/24)),1)</f>
        <v>0.24058170191710815</v>
      </c>
      <c r="BN1471" s="381"/>
      <c r="BO1471" s="382">
        <v>1464</v>
      </c>
    </row>
    <row r="1472" spans="1:67" s="24" customFormat="1" ht="15" customHeight="1" x14ac:dyDescent="0.25">
      <c r="A1472" s="288" t="s">
        <v>1507</v>
      </c>
      <c r="B1472" s="241" t="str">
        <f>HYPERLINK(CONCATENATE($AT$3,BK1472,$AU$3),$AV$3)</f>
        <v>S</v>
      </c>
      <c r="C1472" s="242" t="str">
        <f>HYPERLINK(CONCATENATE($AT$4,BK1472,$AU$4,BL1472),$AV$4)</f>
        <v>A</v>
      </c>
      <c r="D1472" s="243" t="s">
        <v>5335</v>
      </c>
      <c r="E1472" s="244" t="s">
        <v>5185</v>
      </c>
      <c r="F1472" s="269" t="s">
        <v>9085</v>
      </c>
      <c r="G1472" s="276">
        <v>12</v>
      </c>
      <c r="H1472" s="283">
        <v>2000</v>
      </c>
      <c r="I1472" s="279">
        <v>7</v>
      </c>
      <c r="J1472" s="246">
        <v>3</v>
      </c>
      <c r="K1472" s="247" t="s">
        <v>6540</v>
      </c>
      <c r="L1472" s="248">
        <v>4339</v>
      </c>
      <c r="M1472" s="249">
        <f>15*(LEFT(TEXT($L1472,"000000"),2)+(MID(TEXT($L1472,"000000"),3,2)/60)+(RIGHT(TEXT($L1472,"000000"),2)/3600))</f>
        <v>10.912500000000001</v>
      </c>
      <c r="N1472" s="250">
        <v>614630</v>
      </c>
      <c r="O1472" s="251">
        <f>IF($N1472&gt;0,(LEFT(TEXT($N1472,"000000"),2)+(MID(TEXT($N1472,"000000"),3,2)/60)+(RIGHT(TEXT($N1472,"000000"),2)/3600)),-(MID(TEXT($N1472,"000000"),2,2)+(MID(TEXT($N1472,"000000"),4,2)/60)+(RIGHT(TEXT($N1472,"000000"),2)/3600)))</f>
        <v>61.774999999999999</v>
      </c>
      <c r="P1472" s="252" t="s">
        <v>49</v>
      </c>
      <c r="Q1472" s="253" t="s">
        <v>5157</v>
      </c>
      <c r="R1472" s="277" t="s">
        <v>3293</v>
      </c>
      <c r="S1472" s="272" t="s">
        <v>6541</v>
      </c>
      <c r="T1472" s="273">
        <v>7</v>
      </c>
      <c r="U1472" s="274"/>
      <c r="V1472" s="280"/>
      <c r="W1472" s="244"/>
      <c r="X1472" s="244"/>
      <c r="Y1472" s="362"/>
      <c r="Z1472" s="257">
        <f>altaz(J2000_Bas,$O1472,$M1472,DecLat,DecLong,1)</f>
        <v>29.325163090359279</v>
      </c>
      <c r="AA1472" s="257">
        <f>altaz((J2000_Bas+(2*0.04167)),$O1472,$M1472,DecLat,DecLong,1)</f>
        <v>43.419041302415835</v>
      </c>
      <c r="AB1472" s="257">
        <f>altaz((J2000_Bas+(4*0.04167)),$O1472,$M1472,DecLat,DecLong,1)</f>
        <v>55.282807211614745</v>
      </c>
      <c r="AC1472" s="257">
        <f>altaz((J2000_Bas+(6*0.04167)),$O1472,$M1472,DecLat,DecLong,1)</f>
        <v>59.028276651877505</v>
      </c>
      <c r="AD1472" s="258">
        <f>1+ transit((J2000_Bas-1),$O1472,$M1472,DecLat,DecLong)/360 + (GMTOffset/24) + (IF(DST="Y", 1, 0)/24)</f>
        <v>1.023212457598458</v>
      </c>
      <c r="AE1472" s="259">
        <f>DATE(2001,9,21)+(M1472/360)*365 - (360*((DecLong/360)- (GMTOffset/24) ))</f>
        <v>37171.064062500001</v>
      </c>
      <c r="AF1472" s="260">
        <f>IF(DecLat&gt;0,IF((90 - (DecLat-O1472))&gt;90, (90 - (O1472-DecLat)), (90 - (DecLat-O1472))),IF((90 + (DecLat-O1472))&gt;90, (90 + (O1472-DecLat)), (90 + (DecLat-O1472))))</f>
        <v>59.225000000000001</v>
      </c>
      <c r="AG1472" s="257">
        <f>angularseperation(MoonRA,MoonDec,$M1472,$O1472)</f>
        <v>128.47985617198844</v>
      </c>
      <c r="AH1472" s="261">
        <f ca="1">MIN(100,IF($O$5&gt;80,0+30*($AG1472/100),IF($O$5&gt;70,0+50*($AG1472/100),IF($O$5&gt;60,5+50*($AG1472/100),IF($O$5&gt;50,10+60*($AG1472/100),IF($O$5&gt;40,15+70*($AG1472/100),IF($O$5&gt;30,20+70*($AG1472/100),IF($O$5&gt;20,40+55*($AG1472/100),(80+(20-$O$5)+30*($AG1472/100))))))))))</f>
        <v>100</v>
      </c>
      <c r="AI1472" s="262">
        <v>225</v>
      </c>
      <c r="AJ1472" s="262"/>
      <c r="AK1472" s="262">
        <v>7</v>
      </c>
      <c r="AL1472" s="263"/>
      <c r="AM1472" s="264"/>
      <c r="AN1472" s="263"/>
      <c r="AO1472" s="263"/>
      <c r="AP1472" s="265"/>
      <c r="AQ1472" s="266"/>
      <c r="AR1472" s="267"/>
      <c r="AS1472" s="263"/>
      <c r="AT1472" s="263"/>
      <c r="AU1472" s="263"/>
      <c r="AV1472" s="264"/>
      <c r="AW1472" s="263"/>
      <c r="AX1472" s="263"/>
      <c r="AY1472" s="263"/>
      <c r="AZ1472" s="263">
        <v>1302</v>
      </c>
      <c r="BA1472" s="263"/>
      <c r="BB1472" s="263"/>
      <c r="BC1472" s="263"/>
      <c r="BD1472" s="264"/>
      <c r="BE1472" s="263">
        <v>2</v>
      </c>
      <c r="BF1472" s="263"/>
      <c r="BG1472" s="263"/>
      <c r="BH1472" s="263"/>
      <c r="BI1472" s="263"/>
      <c r="BJ1472" s="404">
        <f>altaz(J2000_Bas,$O1472,$M1472,DecLat,DecLong,2)</f>
        <v>32.704635234785492</v>
      </c>
      <c r="BK1472" s="378" t="s">
        <v>1507</v>
      </c>
      <c r="BL1472" s="379">
        <f>IF((2*G1472)/60&lt;0.2,0.2,(2*G1472)/60)</f>
        <v>0.4</v>
      </c>
      <c r="BM1472" s="380">
        <f>MOD((50000+AD1472-$B$3+(0/24)),1)</f>
        <v>0.23857938730361639</v>
      </c>
      <c r="BN1472" s="381"/>
      <c r="BO1472" s="382">
        <v>1465</v>
      </c>
    </row>
    <row r="1473" spans="1:67" s="24" customFormat="1" ht="15" customHeight="1" x14ac:dyDescent="0.25">
      <c r="A1473" s="288" t="s">
        <v>1508</v>
      </c>
      <c r="B1473" s="241" t="str">
        <f>HYPERLINK(CONCATENATE($AT$3,BK1473,$AU$3),$AV$3)</f>
        <v>S</v>
      </c>
      <c r="C1473" s="242" t="str">
        <f>HYPERLINK(CONCATENATE($AT$4,BK1473,$AU$4,BL1473),$AV$4)</f>
        <v>A</v>
      </c>
      <c r="D1473" s="243" t="s">
        <v>5187</v>
      </c>
      <c r="E1473" s="244" t="s">
        <v>5181</v>
      </c>
      <c r="F1473" s="269" t="s">
        <v>6542</v>
      </c>
      <c r="G1473" s="273">
        <v>4.5</v>
      </c>
      <c r="H1473" s="283">
        <v>1600</v>
      </c>
      <c r="I1473" s="279">
        <v>2.2000000000000002</v>
      </c>
      <c r="J1473" s="246">
        <v>4</v>
      </c>
      <c r="K1473" s="247" t="s">
        <v>8822</v>
      </c>
      <c r="L1473" s="248">
        <v>4703</v>
      </c>
      <c r="M1473" s="249">
        <f>15*(LEFT(TEXT($L1473,"000000"),2)+(MID(TEXT($L1473,"000000"),3,2)/60)+(RIGHT(TEXT($L1473,"000000"),2)/3600))</f>
        <v>11.762499999999999</v>
      </c>
      <c r="N1473" s="250">
        <v>-115219</v>
      </c>
      <c r="O1473" s="251">
        <f>IF($N1473&gt;0,(LEFT(TEXT($N1473,"000000"),2)+(MID(TEXT($N1473,"000000"),3,2)/60)+(RIGHT(TEXT($N1473,"000000"),2)/3600)),-(MID(TEXT($N1473,"000000"),2,2)+(MID(TEXT($N1473,"000000"),4,2)/60)+(RIGHT(TEXT($N1473,"000000"),2)/3600)))</f>
        <v>-11.871944444444445</v>
      </c>
      <c r="P1473" s="252" t="s">
        <v>75</v>
      </c>
      <c r="Q1473" s="253" t="s">
        <v>5156</v>
      </c>
      <c r="R1473" s="277" t="s">
        <v>7325</v>
      </c>
      <c r="S1473" s="272"/>
      <c r="T1473" s="273">
        <v>10.9</v>
      </c>
      <c r="U1473" s="274"/>
      <c r="V1473" s="280"/>
      <c r="W1473" s="244"/>
      <c r="X1473" s="244"/>
      <c r="Y1473" s="362"/>
      <c r="Z1473" s="257">
        <f>altaz(J2000_Bas,$O1473,$M1473,DecLat,DecLong,1)</f>
        <v>-2.5181447111826674</v>
      </c>
      <c r="AA1473" s="257">
        <f>altaz((J2000_Bas+(2*0.04167)),$O1473,$M1473,DecLat,DecLong,1)</f>
        <v>21.533551228870532</v>
      </c>
      <c r="AB1473" s="257">
        <f>altaz((J2000_Bas+(4*0.04167)),$O1473,$M1473,DecLat,DecLong,1)</f>
        <v>40.585976574342517</v>
      </c>
      <c r="AC1473" s="257">
        <f>altaz((J2000_Bas+(6*0.04167)),$O1473,$M1473,DecLat,DecLong,1)</f>
        <v>46.911336823688394</v>
      </c>
      <c r="AD1473" s="258">
        <f>1+ transit((J2000_Bas-1),$O1473,$M1473,DecLat,DecLong)/360 + (GMTOffset/24) + (IF(DST="Y", 1, 0)/24)</f>
        <v>1.0255735684734579</v>
      </c>
      <c r="AE1473" s="259">
        <f>DATE(2001,9,21)+(M1473/360)*365 - (360*((DecLong/360)- (GMTOffset/24) ))</f>
        <v>37171.925868055558</v>
      </c>
      <c r="AF1473" s="260">
        <f>IF(DecLat&gt;0,IF((90 - (DecLat-O1473))&gt;90, (90 - (O1473-DecLat)), (90 - (DecLat-O1473))),IF((90 + (DecLat-O1473))&gt;90, (90 + (O1473-DecLat)), (90 + (DecLat-O1473))))</f>
        <v>47.128055555555555</v>
      </c>
      <c r="AG1473" s="257">
        <f>angularseperation(MoonRA,MoonDec,$M1473,$O1473)</f>
        <v>112.00850381872097</v>
      </c>
      <c r="AH1473" s="261">
        <f ca="1">MIN(100,IF($O$5&gt;80,0+30*($AG1473/100),IF($O$5&gt;70,0+50*($AG1473/100),IF($O$5&gt;60,5+50*($AG1473/100),IF($O$5&gt;50,10+60*($AG1473/100),IF($O$5&gt;40,15+70*($AG1473/100),IF($O$5&gt;30,20+70*($AG1473/100),IF($O$5&gt;20,40+55*($AG1473/100),(80+(20-$O$5)+30*($AG1473/100))))))))))</f>
        <v>100</v>
      </c>
      <c r="AI1473" s="262">
        <v>246</v>
      </c>
      <c r="AJ1473" s="262"/>
      <c r="AK1473" s="262">
        <v>8</v>
      </c>
      <c r="AL1473" s="263"/>
      <c r="AM1473" s="264">
        <v>56</v>
      </c>
      <c r="AN1473" s="263"/>
      <c r="AO1473" s="263"/>
      <c r="AP1473" s="265"/>
      <c r="AQ1473" s="266"/>
      <c r="AR1473" s="267"/>
      <c r="AS1473" s="263"/>
      <c r="AT1473" s="263">
        <v>2</v>
      </c>
      <c r="AU1473" s="263"/>
      <c r="AV1473" s="264"/>
      <c r="AW1473" s="263"/>
      <c r="AX1473" s="263"/>
      <c r="AY1473" s="263"/>
      <c r="AZ1473" s="263"/>
      <c r="BA1473" s="263"/>
      <c r="BB1473" s="263"/>
      <c r="BC1473" s="263"/>
      <c r="BD1473" s="264"/>
      <c r="BE1473" s="263"/>
      <c r="BF1473" s="263"/>
      <c r="BG1473" s="263"/>
      <c r="BH1473" s="263"/>
      <c r="BI1473" s="263"/>
      <c r="BJ1473" s="404">
        <f>altaz(J2000_Bas,$O1473,$M1473,DecLat,DecLong,2)</f>
        <v>102.34589061877428</v>
      </c>
      <c r="BK1473" s="378" t="s">
        <v>1508</v>
      </c>
      <c r="BL1473" s="379">
        <f>IF((2*G1473)/60&lt;0.2,0.2,(2*G1473)/60)</f>
        <v>0.2</v>
      </c>
      <c r="BM1473" s="380">
        <f>MOD((50000+AD1473-$B$3+(0/24)),1)</f>
        <v>0.24094049818086205</v>
      </c>
      <c r="BN1473" s="381" t="s">
        <v>8647</v>
      </c>
      <c r="BO1473" s="382">
        <v>1466</v>
      </c>
    </row>
    <row r="1474" spans="1:67" s="24" customFormat="1" ht="15" customHeight="1" x14ac:dyDescent="0.25">
      <c r="A1474" s="288" t="s">
        <v>1509</v>
      </c>
      <c r="B1474" s="241" t="str">
        <f>HYPERLINK(CONCATENATE($AT$3,BK1474,$AU$3),$AV$3)</f>
        <v>S</v>
      </c>
      <c r="C1474" s="242" t="str">
        <f>HYPERLINK(CONCATENATE($AT$4,BK1474,$AU$4,BL1474),$AV$4)</f>
        <v>A</v>
      </c>
      <c r="D1474" s="243" t="s">
        <v>5638</v>
      </c>
      <c r="E1474" s="244" t="s">
        <v>3259</v>
      </c>
      <c r="F1474" s="269"/>
      <c r="G1474" s="276">
        <v>20</v>
      </c>
      <c r="H1474" s="283">
        <v>11</v>
      </c>
      <c r="I1474" s="246">
        <v>60</v>
      </c>
      <c r="J1474" s="246">
        <v>2</v>
      </c>
      <c r="K1474" s="247" t="s">
        <v>6543</v>
      </c>
      <c r="L1474" s="248">
        <v>4708</v>
      </c>
      <c r="M1474" s="249">
        <f>15*(LEFT(TEXT($L1474,"000000"),2)+(MID(TEXT($L1474,"000000"),3,2)/60)+(RIGHT(TEXT($L1474,"000000"),2)/3600))</f>
        <v>11.783333333333333</v>
      </c>
      <c r="N1474" s="250">
        <v>-204535</v>
      </c>
      <c r="O1474" s="251">
        <f>IF($N1474&gt;0,(LEFT(TEXT($N1474,"000000"),2)+(MID(TEXT($N1474,"000000"),3,2)/60)+(RIGHT(TEXT($N1474,"000000"),2)/3600)),-(MID(TEXT($N1474,"000000"),2,2)+(MID(TEXT($N1474,"000000"),4,2)/60)+(RIGHT(TEXT($N1474,"000000"),2)/3600)))</f>
        <v>-20.759722222222223</v>
      </c>
      <c r="P1474" s="252" t="s">
        <v>75</v>
      </c>
      <c r="Q1474" s="253" t="s">
        <v>6890</v>
      </c>
      <c r="R1474" s="277" t="s">
        <v>7374</v>
      </c>
      <c r="S1474" s="272" t="s">
        <v>3293</v>
      </c>
      <c r="T1474" s="273">
        <v>9.1</v>
      </c>
      <c r="U1474" s="289">
        <v>23.29</v>
      </c>
      <c r="V1474" s="280">
        <v>75</v>
      </c>
      <c r="W1474" s="244"/>
      <c r="X1474" s="244"/>
      <c r="Y1474" s="362"/>
      <c r="Z1474" s="257">
        <f>altaz(J2000_Bas,$O1474,$M1474,DecLat,DecLong,1)</f>
        <v>-7.099011357501027</v>
      </c>
      <c r="AA1474" s="257">
        <f>altaz((J2000_Bas+(2*0.04167)),$O1474,$M1474,DecLat,DecLong,1)</f>
        <v>15.61454214517982</v>
      </c>
      <c r="AB1474" s="257">
        <f>altaz((J2000_Bas+(4*0.04167)),$O1474,$M1474,DecLat,DecLong,1)</f>
        <v>32.697776352619996</v>
      </c>
      <c r="AC1474" s="257">
        <f>altaz((J2000_Bas+(6*0.04167)),$O1474,$M1474,DecLat,DecLong,1)</f>
        <v>38.062413436700837</v>
      </c>
      <c r="AD1474" s="258">
        <f>1+ transit((J2000_Bas-1),$O1474,$M1474,DecLat,DecLong)/360 + (GMTOffset/24) + (IF(DST="Y", 1, 0)/24)</f>
        <v>1.0256314388380414</v>
      </c>
      <c r="AE1474" s="259">
        <f>DATE(2001,9,21)+(M1474/360)*365 - (360*((DecLong/360)- (GMTOffset/24) ))</f>
        <v>37171.94699074074</v>
      </c>
      <c r="AF1474" s="260">
        <f>IF(DecLat&gt;0,IF((90 - (DecLat-O1474))&gt;90, (90 - (O1474-DecLat)), (90 - (DecLat-O1474))),IF((90 + (DecLat-O1474))&gt;90, (90 + (O1474-DecLat)), (90 + (DecLat-O1474))))</f>
        <v>38.240277777777777</v>
      </c>
      <c r="AG1474" s="257">
        <f>angularseperation(MoonRA,MoonDec,$M1474,$O1474)</f>
        <v>106.64539513831363</v>
      </c>
      <c r="AH1474" s="261">
        <f ca="1">MIN(100,IF($O$5&gt;80,0+30*($AG1474/100),IF($O$5&gt;70,0+50*($AG1474/100),IF($O$5&gt;60,5+50*($AG1474/100),IF($O$5&gt;50,10+60*($AG1474/100),IF($O$5&gt;40,15+70*($AG1474/100),IF($O$5&gt;30,20+70*($AG1474/100),IF($O$5&gt;20,40+55*($AG1474/100),(80+(20-$O$5)+30*($AG1474/100))))))))))</f>
        <v>100</v>
      </c>
      <c r="AI1474" s="262">
        <v>247</v>
      </c>
      <c r="AJ1474" s="262"/>
      <c r="AK1474" s="262">
        <v>9</v>
      </c>
      <c r="AL1474" s="263"/>
      <c r="AM1474" s="264">
        <v>62</v>
      </c>
      <c r="AN1474" s="263"/>
      <c r="AO1474" s="263"/>
      <c r="AP1474" s="265"/>
      <c r="AQ1474" s="266"/>
      <c r="AR1474" s="267">
        <v>2758</v>
      </c>
      <c r="AS1474" s="263"/>
      <c r="AT1474" s="263"/>
      <c r="AU1474" s="263"/>
      <c r="AV1474" s="264"/>
      <c r="AW1474" s="263"/>
      <c r="AX1474" s="263"/>
      <c r="AY1474" s="263"/>
      <c r="AZ1474" s="263"/>
      <c r="BA1474" s="263"/>
      <c r="BB1474" s="263"/>
      <c r="BC1474" s="263"/>
      <c r="BD1474" s="264"/>
      <c r="BE1474" s="263"/>
      <c r="BF1474" s="263"/>
      <c r="BG1474" s="263"/>
      <c r="BH1474" s="263"/>
      <c r="BI1474" s="263"/>
      <c r="BJ1474" s="404">
        <f>altaz(J2000_Bas,$O1474,$M1474,DecLat,DecLong,2)</f>
        <v>109.99125420346327</v>
      </c>
      <c r="BK1474" s="378" t="s">
        <v>1509</v>
      </c>
      <c r="BL1474" s="379">
        <f>IF((2*G1474)/60&lt;0.2,0.2,(2*G1474)/60)</f>
        <v>0.66666666666666663</v>
      </c>
      <c r="BM1474" s="380">
        <f>MOD((50000+AD1474-$B$3+(0/24)),1)</f>
        <v>0.24099836854293244</v>
      </c>
      <c r="BN1474" s="381"/>
      <c r="BO1474" s="382">
        <v>1467</v>
      </c>
    </row>
    <row r="1475" spans="1:67" s="24" customFormat="1" ht="15" customHeight="1" x14ac:dyDescent="0.25">
      <c r="A1475" s="288" t="s">
        <v>1510</v>
      </c>
      <c r="B1475" s="241" t="str">
        <f>HYPERLINK(CONCATENATE($AT$3,BK1475,$AU$3),$AV$3)</f>
        <v>S</v>
      </c>
      <c r="C1475" s="242" t="str">
        <f>HYPERLINK(CONCATENATE($AT$4,BK1475,$AU$4,BL1475),$AV$4)</f>
        <v>A</v>
      </c>
      <c r="D1475" s="243" t="s">
        <v>5638</v>
      </c>
      <c r="E1475" s="244" t="s">
        <v>4292</v>
      </c>
      <c r="F1475" s="269"/>
      <c r="G1475" s="276">
        <v>25</v>
      </c>
      <c r="H1475" s="283">
        <v>12</v>
      </c>
      <c r="I1475" s="246">
        <v>95</v>
      </c>
      <c r="J1475" s="246">
        <v>4</v>
      </c>
      <c r="K1475" s="247" t="s">
        <v>6544</v>
      </c>
      <c r="L1475" s="248">
        <v>4733</v>
      </c>
      <c r="M1475" s="249">
        <f>15*(LEFT(TEXT($L1475,"000000"),2)+(MID(TEXT($L1475,"000000"),3,2)/60)+(RIGHT(TEXT($L1475,"000000"),2)/3600))</f>
        <v>11.887499999999999</v>
      </c>
      <c r="N1475" s="250">
        <v>-251718</v>
      </c>
      <c r="O1475" s="251">
        <f>IF($N1475&gt;0,(LEFT(TEXT($N1475,"000000"),2)+(MID(TEXT($N1475,"000000"),3,2)/60)+(RIGHT(TEXT($N1475,"000000"),2)/3600)),-(MID(TEXT($N1475,"000000"),2,2)+(MID(TEXT($N1475,"000000"),4,2)/60)+(RIGHT(TEXT($N1475,"000000"),2)/3600)))</f>
        <v>-25.288333333333334</v>
      </c>
      <c r="P1475" s="252" t="s">
        <v>1181</v>
      </c>
      <c r="Q1475" s="253" t="s">
        <v>6899</v>
      </c>
      <c r="R1475" s="277" t="s">
        <v>7377</v>
      </c>
      <c r="S1475" s="272" t="s">
        <v>3293</v>
      </c>
      <c r="T1475" s="273">
        <v>7.2</v>
      </c>
      <c r="U1475" s="289">
        <v>21.59</v>
      </c>
      <c r="V1475" s="280">
        <v>80</v>
      </c>
      <c r="W1475" s="244"/>
      <c r="X1475" s="244"/>
      <c r="Y1475" s="362"/>
      <c r="Z1475" s="257">
        <f>altaz(J2000_Bas,$O1475,$M1475,DecLat,DecLong,1)</f>
        <v>-9.4620548143704823</v>
      </c>
      <c r="AA1475" s="257">
        <f>altaz((J2000_Bas+(2*0.04167)),$O1475,$M1475,DecLat,DecLong,1)</f>
        <v>12.451551469244528</v>
      </c>
      <c r="AB1475" s="257">
        <f>altaz((J2000_Bas+(4*0.04167)),$O1475,$M1475,DecLat,DecLong,1)</f>
        <v>28.571394573008245</v>
      </c>
      <c r="AC1475" s="257">
        <f>altaz((J2000_Bas+(6*0.04167)),$O1475,$M1475,DecLat,DecLong,1)</f>
        <v>33.556700476236045</v>
      </c>
      <c r="AD1475" s="258">
        <f>1+ transit((J2000_Bas-1),$O1475,$M1475,DecLat,DecLong)/360 + (GMTOffset/24) + (IF(DST="Y", 1, 0)/24)</f>
        <v>1.025920790660958</v>
      </c>
      <c r="AE1475" s="259">
        <f>DATE(2001,9,21)+(M1475/360)*365 - (360*((DecLong/360)- (GMTOffset/24) ))</f>
        <v>37172.052604166667</v>
      </c>
      <c r="AF1475" s="260">
        <f>IF(DecLat&gt;0,IF((90 - (DecLat-O1475))&gt;90, (90 - (O1475-DecLat)), (90 - (DecLat-O1475))),IF((90 + (DecLat-O1475))&gt;90, (90 + (O1475-DecLat)), (90 + (DecLat-O1475))))</f>
        <v>33.711666666666666</v>
      </c>
      <c r="AG1475" s="257">
        <f>angularseperation(MoonRA,MoonDec,$M1475,$O1475)</f>
        <v>103.87285972061018</v>
      </c>
      <c r="AH1475" s="261">
        <f ca="1">MIN(100,IF($O$5&gt;80,0+30*($AG1475/100),IF($O$5&gt;70,0+50*($AG1475/100),IF($O$5&gt;60,5+50*($AG1475/100),IF($O$5&gt;50,10+60*($AG1475/100),IF($O$5&gt;40,15+70*($AG1475/100),IF($O$5&gt;30,20+70*($AG1475/100),IF($O$5&gt;20,40+55*($AG1475/100),(80+(20-$O$5)+30*($AG1475/100))))))))))</f>
        <v>100</v>
      </c>
      <c r="AI1475" s="262">
        <v>253</v>
      </c>
      <c r="AJ1475" s="262"/>
      <c r="AK1475" s="262">
        <v>10</v>
      </c>
      <c r="AL1475" s="263"/>
      <c r="AM1475" s="264">
        <v>65</v>
      </c>
      <c r="AN1475" s="263"/>
      <c r="AO1475" s="263"/>
      <c r="AP1475" s="265"/>
      <c r="AQ1475" s="266"/>
      <c r="AR1475" s="267">
        <v>2789</v>
      </c>
      <c r="AS1475" s="263"/>
      <c r="AT1475" s="263"/>
      <c r="AU1475" s="263"/>
      <c r="AV1475" s="264"/>
      <c r="AW1475" s="263"/>
      <c r="AX1475" s="263"/>
      <c r="AY1475" s="263"/>
      <c r="AZ1475" s="263"/>
      <c r="BA1475" s="263"/>
      <c r="BB1475" s="263"/>
      <c r="BC1475" s="263"/>
      <c r="BD1475" s="264"/>
      <c r="BE1475" s="263"/>
      <c r="BF1475" s="263"/>
      <c r="BG1475" s="263"/>
      <c r="BH1475" s="263"/>
      <c r="BI1475" s="263"/>
      <c r="BJ1475" s="404">
        <f>altaz(J2000_Bas,$O1475,$M1475,DecLat,DecLong,2)</f>
        <v>113.89666816991119</v>
      </c>
      <c r="BK1475" s="378" t="s">
        <v>1510</v>
      </c>
      <c r="BL1475" s="379">
        <f>IF((2*G1475)/60&lt;0.2,0.2,(2*G1475)/60)</f>
        <v>0.83333333333333337</v>
      </c>
      <c r="BM1475" s="380">
        <f>MOD((50000+AD1475-$B$3+(0/24)),1)</f>
        <v>0.2412877203678363</v>
      </c>
      <c r="BN1475" s="381"/>
      <c r="BO1475" s="382">
        <v>1468</v>
      </c>
    </row>
    <row r="1476" spans="1:67" s="24" customFormat="1" ht="15" customHeight="1" x14ac:dyDescent="0.25">
      <c r="A1476" s="288" t="s">
        <v>1511</v>
      </c>
      <c r="B1476" s="241" t="str">
        <f>HYPERLINK(CONCATENATE($AT$3,BK1476,$AU$3),$AV$3)</f>
        <v>S</v>
      </c>
      <c r="C1476" s="242" t="str">
        <f>HYPERLINK(CONCATENATE($AT$4,BK1476,$AU$4,BL1476),$AV$4)</f>
        <v>A</v>
      </c>
      <c r="D1476" s="243" t="s">
        <v>5638</v>
      </c>
      <c r="E1476" s="244" t="s">
        <v>5192</v>
      </c>
      <c r="F1476" s="269" t="s">
        <v>8886</v>
      </c>
      <c r="G1476" s="273">
        <v>2.6</v>
      </c>
      <c r="H1476" s="283">
        <v>75</v>
      </c>
      <c r="I1476" s="246">
        <v>60</v>
      </c>
      <c r="J1476" s="246">
        <v>2</v>
      </c>
      <c r="K1476" s="247" t="s">
        <v>6545</v>
      </c>
      <c r="L1476" s="248">
        <v>4747</v>
      </c>
      <c r="M1476" s="249">
        <f>15*(LEFT(TEXT($L1476,"000000"),2)+(MID(TEXT($L1476,"000000"),3,2)/60)+(RIGHT(TEXT($L1476,"000000"),2)/3600))</f>
        <v>11.945833333333335</v>
      </c>
      <c r="N1476" s="250">
        <v>-112806</v>
      </c>
      <c r="O1476" s="251">
        <f>IF($N1476&gt;0,(LEFT(TEXT($N1476,"000000"),2)+(MID(TEXT($N1476,"000000"),3,2)/60)+(RIGHT(TEXT($N1476,"000000"),2)/3600)),-(MID(TEXT($N1476,"000000"),2,2)+(MID(TEXT($N1476,"000000"),4,2)/60)+(RIGHT(TEXT($N1476,"000000"),2)/3600)))</f>
        <v>-11.468333333333334</v>
      </c>
      <c r="P1476" s="252" t="s">
        <v>75</v>
      </c>
      <c r="Q1476" s="253"/>
      <c r="R1476" s="277" t="s">
        <v>3293</v>
      </c>
      <c r="S1476" s="272" t="s">
        <v>3293</v>
      </c>
      <c r="T1476" s="273">
        <v>11.9</v>
      </c>
      <c r="U1476" s="289">
        <v>22.79</v>
      </c>
      <c r="V1476" s="280">
        <v>75</v>
      </c>
      <c r="W1476" s="244"/>
      <c r="X1476" s="244"/>
      <c r="Y1476" s="362"/>
      <c r="Z1476" s="257">
        <f>altaz(J2000_Bas,$O1476,$M1476,DecLat,DecLong,1)</f>
        <v>-2.4629472030829702</v>
      </c>
      <c r="AA1476" s="257">
        <f>altaz((J2000_Bas+(2*0.04167)),$O1476,$M1476,DecLat,DecLong,1)</f>
        <v>21.657996233689442</v>
      </c>
      <c r="AB1476" s="257">
        <f>altaz((J2000_Bas+(4*0.04167)),$O1476,$M1476,DecLat,DecLong,1)</f>
        <v>40.849783801884413</v>
      </c>
      <c r="AC1476" s="257">
        <f>altaz((J2000_Bas+(6*0.04167)),$O1476,$M1476,DecLat,DecLong,1)</f>
        <v>47.330416169237083</v>
      </c>
      <c r="AD1476" s="258">
        <f>1+ transit((J2000_Bas-1),$O1476,$M1476,DecLat,DecLong)/360 + (GMTOffset/24) + (IF(DST="Y", 1, 0)/24)</f>
        <v>1.0260828276817913</v>
      </c>
      <c r="AE1476" s="259">
        <f>DATE(2001,9,21)+(M1476/360)*365 - (360*((DecLong/360)- (GMTOffset/24) ))</f>
        <v>37172.111747685187</v>
      </c>
      <c r="AF1476" s="260">
        <f>IF(DecLat&gt;0,IF((90 - (DecLat-O1476))&gt;90, (90 - (O1476-DecLat)), (90 - (DecLat-O1476))),IF((90 + (DecLat-O1476))&gt;90, (90 + (O1476-DecLat)), (90 + (DecLat-O1476))))</f>
        <v>47.531666666666666</v>
      </c>
      <c r="AG1476" s="257">
        <f>angularseperation(MoonRA,MoonDec,$M1476,$O1476)</f>
        <v>112.39061951022535</v>
      </c>
      <c r="AH1476" s="261">
        <f ca="1">MIN(100,IF($O$5&gt;80,0+30*($AG1476/100),IF($O$5&gt;70,0+50*($AG1476/100),IF($O$5&gt;60,5+50*($AG1476/100),IF($O$5&gt;50,10+60*($AG1476/100),IF($O$5&gt;40,15+70*($AG1476/100),IF($O$5&gt;30,20+70*($AG1476/100),IF($O$5&gt;20,40+55*($AG1476/100),(80+(20-$O$5)+30*($AG1476/100))))))))))</f>
        <v>100</v>
      </c>
      <c r="AI1476" s="262">
        <v>255</v>
      </c>
      <c r="AJ1476" s="263"/>
      <c r="AK1476" s="263"/>
      <c r="AL1476" s="263"/>
      <c r="AM1476" s="264"/>
      <c r="AN1476" s="263"/>
      <c r="AO1476" s="263"/>
      <c r="AP1476" s="265"/>
      <c r="AQ1476" s="265"/>
      <c r="AR1476" s="285">
        <v>2802</v>
      </c>
      <c r="AS1476" s="263"/>
      <c r="AT1476" s="263"/>
      <c r="AU1476" s="263"/>
      <c r="AV1476" s="264"/>
      <c r="AW1476" s="263"/>
      <c r="AX1476" s="263"/>
      <c r="AY1476" s="263"/>
      <c r="AZ1476" s="263"/>
      <c r="BA1476" s="263"/>
      <c r="BB1476" s="263"/>
      <c r="BC1476" s="263"/>
      <c r="BD1476" s="264"/>
      <c r="BE1476" s="263"/>
      <c r="BF1476" s="263"/>
      <c r="BG1476" s="263"/>
      <c r="BH1476" s="263"/>
      <c r="BI1476" s="263"/>
      <c r="BJ1476" s="404">
        <f>altaz(J2000_Bas,$O1476,$M1476,DecLat,DecLong,2)</f>
        <v>101.90719445886116</v>
      </c>
      <c r="BK1476" s="378" t="s">
        <v>1511</v>
      </c>
      <c r="BL1476" s="379">
        <f>IF((2*G1476)/60&lt;0.2,0.2,(2*G1476)/60)</f>
        <v>0.2</v>
      </c>
      <c r="BM1476" s="380">
        <f>MOD((50000+AD1476-$B$3+(0/24)),1)</f>
        <v>0.24144975738454377</v>
      </c>
      <c r="BN1476" s="381"/>
      <c r="BO1476" s="382">
        <v>1469</v>
      </c>
    </row>
    <row r="1477" spans="1:67" s="24" customFormat="1" ht="15" customHeight="1" x14ac:dyDescent="0.25">
      <c r="A1477" s="288" t="s">
        <v>1512</v>
      </c>
      <c r="B1477" s="241" t="str">
        <f>HYPERLINK(CONCATENATE($AT$3,BK1477,$AU$3),$AV$3)</f>
        <v>S</v>
      </c>
      <c r="C1477" s="242" t="str">
        <f>HYPERLINK(CONCATENATE($AT$4,BK1477,$AU$4,BL1477),$AV$4)</f>
        <v>A</v>
      </c>
      <c r="D1477" s="243" t="s">
        <v>5638</v>
      </c>
      <c r="E1477" s="244" t="s">
        <v>5182</v>
      </c>
      <c r="F1477" s="269" t="s">
        <v>3300</v>
      </c>
      <c r="G1477" s="273">
        <v>2</v>
      </c>
      <c r="H1477" s="283">
        <v>210</v>
      </c>
      <c r="I1477" s="246">
        <v>130</v>
      </c>
      <c r="J1477" s="246">
        <v>2</v>
      </c>
      <c r="K1477" s="247" t="s">
        <v>6546</v>
      </c>
      <c r="L1477" s="248">
        <v>4847</v>
      </c>
      <c r="M1477" s="249">
        <f>15*(LEFT(TEXT($L1477,"000000"),2)+(MID(TEXT($L1477,"000000"),3,2)/60)+(RIGHT(TEXT($L1477,"000000"),2)/3600))</f>
        <v>12.195833333333335</v>
      </c>
      <c r="N1477" s="250">
        <v>315725</v>
      </c>
      <c r="O1477" s="251">
        <f>IF($N1477&gt;0,(LEFT(TEXT($N1477,"000000"),2)+(MID(TEXT($N1477,"000000"),3,2)/60)+(RIGHT(TEXT($N1477,"000000"),2)/3600)),-(MID(TEXT($N1477,"000000"),2,2)+(MID(TEXT($N1477,"000000"),4,2)/60)+(RIGHT(TEXT($N1477,"000000"),2)/3600)))</f>
        <v>31.956944444444442</v>
      </c>
      <c r="P1477" s="252" t="s">
        <v>36</v>
      </c>
      <c r="Q1477" s="253"/>
      <c r="R1477" s="247" t="s">
        <v>3293</v>
      </c>
      <c r="S1477" s="272" t="s">
        <v>3293</v>
      </c>
      <c r="T1477" s="273">
        <v>13.1</v>
      </c>
      <c r="U1477" s="289">
        <v>21.990000000000002</v>
      </c>
      <c r="V1477" s="280">
        <v>25</v>
      </c>
      <c r="W1477" s="244"/>
      <c r="X1477" s="244"/>
      <c r="Y1477" s="362"/>
      <c r="Z1477" s="257">
        <f>altaz(J2000_Bas,$O1477,$M1477,DecLat,DecLong,1)</f>
        <v>18.71643705473614</v>
      </c>
      <c r="AA1477" s="257">
        <f>altaz((J2000_Bas+(2*0.04167)),$O1477,$M1477,DecLat,DecLong,1)</f>
        <v>42.698066327636404</v>
      </c>
      <c r="AB1477" s="257">
        <f>altaz((J2000_Bas+(4*0.04167)),$O1477,$M1477,DecLat,DecLong,1)</f>
        <v>67.838338261504575</v>
      </c>
      <c r="AC1477" s="257">
        <f>altaz((J2000_Bas+(6*0.04167)),$O1477,$M1477,DecLat,DecLong,1)</f>
        <v>86.407604016759322</v>
      </c>
      <c r="AD1477" s="258">
        <f>1+ transit((J2000_Bas-1),$O1477,$M1477,DecLat,DecLong)/360 + (GMTOffset/24) + (IF(DST="Y", 1, 0)/24)</f>
        <v>1.0267772720567914</v>
      </c>
      <c r="AE1477" s="259">
        <f>DATE(2001,9,21)+(M1477/360)*365 - (360*((DecLong/360)- (GMTOffset/24) ))</f>
        <v>37172.365219907406</v>
      </c>
      <c r="AF1477" s="260">
        <f>IF(DecLat&gt;0,IF((90 - (DecLat-O1477))&gt;90, (90 - (O1477-DecLat)), (90 - (DecLat-O1477))),IF((90 + (DecLat-O1477))&gt;90, (90 + (O1477-DecLat)), (90 + (DecLat-O1477))))</f>
        <v>89.043055555555554</v>
      </c>
      <c r="AG1477" s="257">
        <f>angularseperation(MoonRA,MoonDec,$M1477,$O1477)</f>
        <v>130.68456490831389</v>
      </c>
      <c r="AH1477" s="261">
        <f ca="1">MIN(100,IF($O$5&gt;80,0+30*($AG1477/100),IF($O$5&gt;70,0+50*($AG1477/100),IF($O$5&gt;60,5+50*($AG1477/100),IF($O$5&gt;50,10+60*($AG1477/100),IF($O$5&gt;40,15+70*($AG1477/100),IF($O$5&gt;30,20+70*($AG1477/100),IF($O$5&gt;20,40+55*($AG1477/100),(80+(20-$O$5)+30*($AG1477/100))))))))))</f>
        <v>100</v>
      </c>
      <c r="AI1477" s="262">
        <v>262</v>
      </c>
      <c r="AJ1477" s="262"/>
      <c r="AK1477" s="262"/>
      <c r="AL1477" s="263"/>
      <c r="AM1477" s="264"/>
      <c r="AN1477" s="263"/>
      <c r="AO1477" s="263"/>
      <c r="AP1477" s="265"/>
      <c r="AQ1477" s="266">
        <v>499</v>
      </c>
      <c r="AR1477" s="267">
        <v>2855</v>
      </c>
      <c r="AS1477" s="263"/>
      <c r="AT1477" s="263"/>
      <c r="AU1477" s="263"/>
      <c r="AV1477" s="264"/>
      <c r="AW1477" s="263"/>
      <c r="AX1477" s="263"/>
      <c r="AY1477" s="263"/>
      <c r="AZ1477" s="263"/>
      <c r="BA1477" s="263"/>
      <c r="BB1477" s="263"/>
      <c r="BC1477" s="263"/>
      <c r="BD1477" s="264"/>
      <c r="BE1477" s="263"/>
      <c r="BF1477" s="263"/>
      <c r="BG1477" s="263"/>
      <c r="BH1477" s="263"/>
      <c r="BI1477" s="263"/>
      <c r="BJ1477" s="404">
        <f>altaz(J2000_Bas,$O1477,$M1477,DecLat,DecLong,2)</f>
        <v>63.360071012975091</v>
      </c>
      <c r="BK1477" s="378" t="s">
        <v>1512</v>
      </c>
      <c r="BL1477" s="379">
        <f>IF((2*G1477)/60&lt;0.2,0.2,(2*G1477)/60)</f>
        <v>0.2</v>
      </c>
      <c r="BM1477" s="380">
        <f>MOD((50000+AD1477-$B$3+(0/24)),1)</f>
        <v>0.24214420175849227</v>
      </c>
      <c r="BN1477" s="381"/>
      <c r="BO1477" s="382">
        <v>1470</v>
      </c>
    </row>
    <row r="1478" spans="1:67" s="24" customFormat="1" ht="15" customHeight="1" x14ac:dyDescent="0.25">
      <c r="A1478" s="288" t="s">
        <v>1513</v>
      </c>
      <c r="B1478" s="241" t="str">
        <f>HYPERLINK(CONCATENATE($AT$3,BK1478,$AU$3),$AV$3)</f>
        <v>S</v>
      </c>
      <c r="C1478" s="242" t="str">
        <f>HYPERLINK(CONCATENATE($AT$4,BK1478,$AU$4,BL1478),$AV$4)</f>
        <v>A</v>
      </c>
      <c r="D1478" s="243" t="s">
        <v>5638</v>
      </c>
      <c r="E1478" s="244" t="s">
        <v>5192</v>
      </c>
      <c r="F1478" s="269" t="s">
        <v>8924</v>
      </c>
      <c r="G1478" s="273">
        <v>3</v>
      </c>
      <c r="H1478" s="283">
        <v>220</v>
      </c>
      <c r="I1478" s="246">
        <v>180</v>
      </c>
      <c r="J1478" s="246">
        <v>3</v>
      </c>
      <c r="K1478" s="247" t="s">
        <v>6547</v>
      </c>
      <c r="L1478" s="248">
        <v>4948</v>
      </c>
      <c r="M1478" s="249">
        <f>15*(LEFT(TEXT($L1478,"000000"),2)+(MID(TEXT($L1478,"000000"),3,2)/60)+(RIGHT(TEXT($L1478,"000000"),2)/3600))</f>
        <v>12.45</v>
      </c>
      <c r="N1478" s="250">
        <v>321639</v>
      </c>
      <c r="O1478" s="251">
        <f>IF($N1478&gt;0,(LEFT(TEXT($N1478,"000000"),2)+(MID(TEXT($N1478,"000000"),3,2)/60)+(RIGHT(TEXT($N1478,"000000"),2)/3600)),-(MID(TEXT($N1478,"000000"),2,2)+(MID(TEXT($N1478,"000000"),4,2)/60)+(RIGHT(TEXT($N1478,"000000"),2)/3600)))</f>
        <v>32.277499999999996</v>
      </c>
      <c r="P1478" s="252" t="s">
        <v>158</v>
      </c>
      <c r="Q1478" s="253"/>
      <c r="R1478" s="247" t="s">
        <v>3293</v>
      </c>
      <c r="S1478" s="272" t="s">
        <v>3293</v>
      </c>
      <c r="T1478" s="273">
        <v>11.6</v>
      </c>
      <c r="U1478" s="289">
        <v>22.69</v>
      </c>
      <c r="V1478" s="280">
        <v>10</v>
      </c>
      <c r="W1478" s="244"/>
      <c r="X1478" s="244"/>
      <c r="Y1478" s="362"/>
      <c r="Z1478" s="257">
        <f>altaz(J2000_Bas,$O1478,$M1478,DecLat,DecLong,1)</f>
        <v>18.659764859172</v>
      </c>
      <c r="AA1478" s="257">
        <f>altaz((J2000_Bas+(2*0.04167)),$O1478,$M1478,DecLat,DecLong,1)</f>
        <v>42.569270174956088</v>
      </c>
      <c r="AB1478" s="257">
        <f>altaz((J2000_Bas+(4*0.04167)),$O1478,$M1478,DecLat,DecLong,1)</f>
        <v>67.646606732761185</v>
      </c>
      <c r="AC1478" s="257">
        <f>altaz((J2000_Bas+(6*0.04167)),$O1478,$M1478,DecLat,DecLong,1)</f>
        <v>86.517022315513231</v>
      </c>
      <c r="AD1478" s="258">
        <f>1+ transit((J2000_Bas-1),$O1478,$M1478,DecLat,DecLong)/360 + (GMTOffset/24) + (IF(DST="Y", 1, 0)/24)</f>
        <v>1.027483290504708</v>
      </c>
      <c r="AE1478" s="259">
        <f>DATE(2001,9,21)+(M1478/360)*365 - (360*((DecLong/360)- (GMTOffset/24) ))</f>
        <v>37172.622916666667</v>
      </c>
      <c r="AF1478" s="260">
        <f>IF(DecLat&gt;0,IF((90 - (DecLat-O1478))&gt;90, (90 - (O1478-DecLat)), (90 - (DecLat-O1478))),IF((90 + (DecLat-O1478))&gt;90, (90 + (O1478-DecLat)), (90 + (DecLat-O1478))))</f>
        <v>88.722499999999997</v>
      </c>
      <c r="AG1478" s="257">
        <f>angularseperation(MoonRA,MoonDec,$M1478,$O1478)</f>
        <v>130.95066844050351</v>
      </c>
      <c r="AH1478" s="261">
        <f ca="1">MIN(100,IF($O$5&gt;80,0+30*($AG1478/100),IF($O$5&gt;70,0+50*($AG1478/100),IF($O$5&gt;60,5+50*($AG1478/100),IF($O$5&gt;50,10+60*($AG1478/100),IF($O$5&gt;40,15+70*($AG1478/100),IF($O$5&gt;30,20+70*($AG1478/100),IF($O$5&gt;20,40+55*($AG1478/100),(80+(20-$O$5)+30*($AG1478/100))))))))))</f>
        <v>100</v>
      </c>
      <c r="AI1478" s="262">
        <v>266</v>
      </c>
      <c r="AJ1478" s="262"/>
      <c r="AK1478" s="262"/>
      <c r="AL1478" s="263"/>
      <c r="AM1478" s="264"/>
      <c r="AN1478" s="263"/>
      <c r="AO1478" s="263"/>
      <c r="AP1478" s="265"/>
      <c r="AQ1478" s="266">
        <v>508</v>
      </c>
      <c r="AR1478" s="267">
        <v>2901</v>
      </c>
      <c r="AS1478" s="263"/>
      <c r="AT1478" s="263"/>
      <c r="AU1478" s="263"/>
      <c r="AV1478" s="264"/>
      <c r="AW1478" s="263"/>
      <c r="AX1478" s="263"/>
      <c r="AY1478" s="263"/>
      <c r="AZ1478" s="263"/>
      <c r="BA1478" s="263"/>
      <c r="BB1478" s="263"/>
      <c r="BC1478" s="263"/>
      <c r="BD1478" s="264"/>
      <c r="BE1478" s="263"/>
      <c r="BF1478" s="263"/>
      <c r="BG1478" s="263"/>
      <c r="BH1478" s="263"/>
      <c r="BI1478" s="263"/>
      <c r="BJ1478" s="404">
        <f>altaz(J2000_Bas,$O1478,$M1478,DecLat,DecLong,2)</f>
        <v>62.956863842840747</v>
      </c>
      <c r="BK1478" s="378" t="s">
        <v>1513</v>
      </c>
      <c r="BL1478" s="379">
        <f>IF((2*G1478)/60&lt;0.2,0.2,(2*G1478)/60)</f>
        <v>0.2</v>
      </c>
      <c r="BM1478" s="380">
        <f>MOD((50000+AD1478-$B$3+(0/24)),1)</f>
        <v>0.24285022020922042</v>
      </c>
      <c r="BN1478" s="381"/>
      <c r="BO1478" s="382">
        <v>1471</v>
      </c>
    </row>
    <row r="1479" spans="1:67" s="24" customFormat="1" ht="15" customHeight="1" x14ac:dyDescent="0.25">
      <c r="A1479" s="287" t="s">
        <v>8038</v>
      </c>
      <c r="B1479" s="241" t="str">
        <f>HYPERLINK(CONCATENATE($AT$3,BK1479,$AU$3),$AV$3)</f>
        <v>S</v>
      </c>
      <c r="C1479" s="242" t="str">
        <f>HYPERLINK(CONCATENATE($AT$4,BK1479,$AU$4,BL1479),$AV$4)</f>
        <v>A</v>
      </c>
      <c r="D1479" s="243" t="s">
        <v>5187</v>
      </c>
      <c r="E1479" s="244" t="s">
        <v>5183</v>
      </c>
      <c r="F1479" s="269" t="s">
        <v>9158</v>
      </c>
      <c r="G1479" s="273">
        <v>3</v>
      </c>
      <c r="H1479" s="271">
        <v>200000</v>
      </c>
      <c r="I1479" s="246">
        <v>180</v>
      </c>
      <c r="J1479" s="246">
        <v>4</v>
      </c>
      <c r="K1479" s="247" t="s">
        <v>5577</v>
      </c>
      <c r="L1479" s="248">
        <v>4700</v>
      </c>
      <c r="M1479" s="249">
        <f>15*(LEFT(TEXT($L1479,"000000"),2)+(MID(TEXT($L1479,"000000"),3,2)/60)+(RIGHT(TEXT($L1479,"000000"),2)/3600))</f>
        <v>11.75</v>
      </c>
      <c r="N1479" s="250">
        <v>-731200</v>
      </c>
      <c r="O1479" s="251">
        <f>IF($N1479&gt;0,(LEFT(TEXT($N1479,"000000"),2)+(MID(TEXT($N1479,"000000"),3,2)/60)+(RIGHT(TEXT($N1479,"000000"),2)/3600)),-(MID(TEXT($N1479,"000000"),2,2)+(MID(TEXT($N1479,"000000"),4,2)/60)+(RIGHT(TEXT($N1479,"000000"),2)/3600)))</f>
        <v>-73.2</v>
      </c>
      <c r="P1479" s="252" t="s">
        <v>1491</v>
      </c>
      <c r="Q1479" s="253" t="s">
        <v>7028</v>
      </c>
      <c r="R1479" s="277" t="s">
        <v>3293</v>
      </c>
      <c r="S1479" s="272" t="s">
        <v>3293</v>
      </c>
      <c r="T1479" s="273"/>
      <c r="U1479" s="274"/>
      <c r="V1479" s="280"/>
      <c r="W1479" s="244"/>
      <c r="X1479" s="244"/>
      <c r="Y1479" s="362"/>
      <c r="Z1479" s="257">
        <f>altaz(J2000_Bas,$O1479,$M1479,DecLat,DecLong,1)</f>
        <v>-28.338802566473799</v>
      </c>
      <c r="AA1479" s="257">
        <f>altaz((J2000_Bas+(2*0.04167)),$O1479,$M1479,DecLat,DecLong,1)</f>
        <v>-20.689931305804063</v>
      </c>
      <c r="AB1479" s="257">
        <f>altaz((J2000_Bas+(4*0.04167)),$O1479,$M1479,DecLat,DecLong,1)</f>
        <v>-15.63973324437908</v>
      </c>
      <c r="AC1479" s="257">
        <f>altaz((J2000_Bas+(6*0.04167)),$O1479,$M1479,DecLat,DecLong,1)</f>
        <v>-14.245267555696261</v>
      </c>
      <c r="AD1479" s="258">
        <f>1+ transit((J2000_Bas-1),$O1479,$M1479,DecLat,DecLong)/360 + (GMTOffset/24) + (IF(DST="Y", 1, 0)/24)</f>
        <v>1.0255388462547079</v>
      </c>
      <c r="AE1479" s="259">
        <f>DATE(2001,9,21)+(M1479/360)*365 - (360*((DecLong/360)- (GMTOffset/24) ))</f>
        <v>37171.913194444445</v>
      </c>
      <c r="AF1479" s="260">
        <f>IF(DecLat&gt;0,IF((90 - (DecLat-O1479))&gt;90, (90 - (O1479-DecLat)), (90 - (DecLat-O1479))),IF((90 + (DecLat-O1479))&gt;90, (90 + (O1479-DecLat)), (90 + (DecLat-O1479))))</f>
        <v>-14.200000000000003</v>
      </c>
      <c r="AG1479" s="257">
        <f>angularseperation(MoonRA,MoonDec,$M1479,$O1479)</f>
        <v>72.68840701940897</v>
      </c>
      <c r="AH1479" s="261">
        <f ca="1">MIN(100,IF($O$5&gt;80,0+30*($AG1479/100),IF($O$5&gt;70,0+50*($AG1479/100),IF($O$5&gt;60,5+50*($AG1479/100),IF($O$5&gt;50,10+60*($AG1479/100),IF($O$5&gt;40,15+70*($AG1479/100),IF($O$5&gt;30,20+70*($AG1479/100),IF($O$5&gt;20,40+55*($AG1479/100),(80+(20-$O$5)+30*($AG1479/100))))))))))</f>
        <v>100</v>
      </c>
      <c r="AI1479" s="263">
        <v>267</v>
      </c>
      <c r="AJ1479" s="263"/>
      <c r="AK1479" s="263"/>
      <c r="AL1479" s="263"/>
      <c r="AM1479" s="264"/>
      <c r="AN1479" s="263"/>
      <c r="AO1479" s="263"/>
      <c r="AP1479" s="265"/>
      <c r="AQ1479" s="265"/>
      <c r="AR1479" s="285"/>
      <c r="AS1479" s="263"/>
      <c r="AT1479" s="263"/>
      <c r="AU1479" s="263"/>
      <c r="AV1479" s="264"/>
      <c r="AW1479" s="263"/>
      <c r="AX1479" s="263"/>
      <c r="AY1479" s="263"/>
      <c r="AZ1479" s="263"/>
      <c r="BA1479" s="263"/>
      <c r="BB1479" s="263"/>
      <c r="BC1479" s="263"/>
      <c r="BD1479" s="264"/>
      <c r="BE1479" s="263"/>
      <c r="BF1479" s="263"/>
      <c r="BG1479" s="263"/>
      <c r="BH1479" s="263"/>
      <c r="BI1479" s="263"/>
      <c r="BJ1479" s="404">
        <f>altaz(J2000_Bas,$O1479,$M1479,DecLat,DecLong,2)</f>
        <v>160.88393370598124</v>
      </c>
      <c r="BK1479" s="378" t="s">
        <v>5573</v>
      </c>
      <c r="BL1479" s="379">
        <f>IF((2*G1479)/60&lt;0.2,0.2,(2*G1479)/60)</f>
        <v>0.2</v>
      </c>
      <c r="BM1479" s="380">
        <f>MOD((50000+AD1479-$B$3+(0/24)),1)</f>
        <v>0.24090577595779905</v>
      </c>
      <c r="BN1479" s="381"/>
      <c r="BO1479" s="382">
        <v>1472</v>
      </c>
    </row>
    <row r="1480" spans="1:67" s="24" customFormat="1" ht="15" customHeight="1" x14ac:dyDescent="0.25">
      <c r="A1480" s="288" t="s">
        <v>3199</v>
      </c>
      <c r="B1480" s="241" t="str">
        <f>HYPERLINK(CONCATENATE($AT$3,BK1480,$AU$3),$AV$3)</f>
        <v>S</v>
      </c>
      <c r="C1480" s="242" t="str">
        <f>HYPERLINK(CONCATENATE($AT$4,BK1480,$AU$4,BL1480),$AV$4)</f>
        <v>A</v>
      </c>
      <c r="D1480" s="243" t="s">
        <v>5638</v>
      </c>
      <c r="E1480" s="244" t="s">
        <v>5192</v>
      </c>
      <c r="F1480" s="269" t="s">
        <v>8919</v>
      </c>
      <c r="G1480" s="273">
        <v>2</v>
      </c>
      <c r="H1480" s="283">
        <v>180</v>
      </c>
      <c r="I1480" s="246">
        <v>110</v>
      </c>
      <c r="J1480" s="246">
        <v>2</v>
      </c>
      <c r="K1480" s="247" t="s">
        <v>6548</v>
      </c>
      <c r="L1480" s="248">
        <v>5042</v>
      </c>
      <c r="M1480" s="249">
        <f>15*(LEFT(TEXT($L1480,"000000"),2)+(MID(TEXT($L1480,"000000"),3,2)/60)+(RIGHT(TEXT($L1480,"000000"),2)/3600))</f>
        <v>12.675000000000001</v>
      </c>
      <c r="N1480" s="250">
        <v>-15436</v>
      </c>
      <c r="O1480" s="251">
        <f>IF($N1480&gt;0,(LEFT(TEXT($N1480,"000000"),2)+(MID(TEXT($N1480,"000000"),3,2)/60)+(RIGHT(TEXT($N1480,"000000"),2)/3600)),-(MID(TEXT($N1480,"000000"),2,2)+(MID(TEXT($N1480,"000000"),4,2)/60)+(RIGHT(TEXT($N1480,"000000"),2)/3600)))</f>
        <v>-1.91</v>
      </c>
      <c r="P1480" s="252" t="s">
        <v>75</v>
      </c>
      <c r="Q1480" s="253"/>
      <c r="R1480" s="277" t="s">
        <v>3293</v>
      </c>
      <c r="S1480" s="272" t="s">
        <v>3293</v>
      </c>
      <c r="T1480" s="273">
        <v>13</v>
      </c>
      <c r="U1480" s="289">
        <v>22.09</v>
      </c>
      <c r="V1480" s="280">
        <v>45</v>
      </c>
      <c r="W1480" s="244"/>
      <c r="X1480" s="244"/>
      <c r="Y1480" s="362"/>
      <c r="Z1480" s="257">
        <f>altaz(J2000_Bas,$O1480,$M1480,DecLat,DecLong,1)</f>
        <v>1.8659352298673217</v>
      </c>
      <c r="AA1480" s="257">
        <f>altaz((J2000_Bas+(2*0.04167)),$O1480,$M1480,DecLat,DecLong,1)</f>
        <v>27.037774231203617</v>
      </c>
      <c r="AB1480" s="257">
        <f>altaz((J2000_Bas+(4*0.04167)),$O1480,$M1480,DecLat,DecLong,1)</f>
        <v>48.546594686480951</v>
      </c>
      <c r="AC1480" s="257">
        <f>altaz((J2000_Bas+(6*0.04167)),$O1480,$M1480,DecLat,DecLong,1)</f>
        <v>56.913998527635918</v>
      </c>
      <c r="AD1480" s="258">
        <f>1+ transit((J2000_Bas-1),$O1480,$M1480,DecLat,DecLong)/360 + (GMTOffset/24) + (IF(DST="Y", 1, 0)/24)</f>
        <v>1.0281082904422081</v>
      </c>
      <c r="AE1480" s="259">
        <f>DATE(2001,9,21)+(M1480/360)*365 - (360*((DecLong/360)- (GMTOffset/24) ))</f>
        <v>37172.851041666669</v>
      </c>
      <c r="AF1480" s="260">
        <f>IF(DecLat&gt;0,IF((90 - (DecLat-O1480))&gt;90, (90 - (O1480-DecLat)), (90 - (DecLat-O1480))),IF((90 + (DecLat-O1480))&gt;90, (90 + (O1480-DecLat)), (90 + (DecLat-O1480))))</f>
        <v>57.09</v>
      </c>
      <c r="AG1480" s="257">
        <f>angularseperation(MoonRA,MoonDec,$M1480,$O1480)</f>
        <v>118.36562242287191</v>
      </c>
      <c r="AH1480" s="261">
        <f ca="1">MIN(100,IF($O$5&gt;80,0+30*($AG1480/100),IF($O$5&gt;70,0+50*($AG1480/100),IF($O$5&gt;60,5+50*($AG1480/100),IF($O$5&gt;50,10+60*($AG1480/100),IF($O$5&gt;40,15+70*($AG1480/100),IF($O$5&gt;30,20+70*($AG1480/100),IF($O$5&gt;20,40+55*($AG1480/100),(80+(20-$O$5)+30*($AG1480/100))))))))))</f>
        <v>100</v>
      </c>
      <c r="AI1480" s="263">
        <v>271</v>
      </c>
      <c r="AJ1480" s="263"/>
      <c r="AK1480" s="263"/>
      <c r="AL1480" s="263"/>
      <c r="AM1480" s="264"/>
      <c r="AN1480" s="263"/>
      <c r="AO1480" s="263"/>
      <c r="AP1480" s="265"/>
      <c r="AQ1480" s="265">
        <v>519</v>
      </c>
      <c r="AR1480" s="285">
        <v>2949</v>
      </c>
      <c r="AS1480" s="263"/>
      <c r="AT1480" s="263"/>
      <c r="AU1480" s="263"/>
      <c r="AV1480" s="264"/>
      <c r="AW1480" s="263"/>
      <c r="AX1480" s="263"/>
      <c r="AY1480" s="263"/>
      <c r="AZ1480" s="263"/>
      <c r="BA1480" s="263"/>
      <c r="BB1480" s="263"/>
      <c r="BC1480" s="263"/>
      <c r="BD1480" s="264"/>
      <c r="BE1480" s="263"/>
      <c r="BF1480" s="263"/>
      <c r="BG1480" s="263"/>
      <c r="BH1480" s="263"/>
      <c r="BI1480" s="263"/>
      <c r="BJ1480" s="404">
        <f>altaz(J2000_Bas,$O1480,$M1480,DecLat,DecLong,2)</f>
        <v>93.352515261055231</v>
      </c>
      <c r="BK1480" s="378" t="s">
        <v>3199</v>
      </c>
      <c r="BL1480" s="379">
        <f>IF((2*G1480)/60&lt;0.2,0.2,(2*G1480)/60)</f>
        <v>0.2</v>
      </c>
      <c r="BM1480" s="380">
        <f>MOD((50000+AD1480-$B$3+(0/24)),1)</f>
        <v>0.24347522014431888</v>
      </c>
      <c r="BN1480" s="381"/>
      <c r="BO1480" s="382">
        <v>1473</v>
      </c>
    </row>
    <row r="1481" spans="1:67" s="24" customFormat="1" ht="15" customHeight="1" x14ac:dyDescent="0.25">
      <c r="A1481" s="288" t="s">
        <v>1514</v>
      </c>
      <c r="B1481" s="241" t="str">
        <f>HYPERLINK(CONCATENATE($AT$3,BK1481,$AU$3),$AV$3)</f>
        <v>S</v>
      </c>
      <c r="C1481" s="242" t="str">
        <f>HYPERLINK(CONCATENATE($AT$4,BK1481,$AU$4,BL1481),$AV$4)</f>
        <v>A</v>
      </c>
      <c r="D1481" s="243" t="s">
        <v>5638</v>
      </c>
      <c r="E1481" s="244" t="s">
        <v>5192</v>
      </c>
      <c r="F1481" s="269" t="s">
        <v>8925</v>
      </c>
      <c r="G1481" s="273">
        <v>2</v>
      </c>
      <c r="H1481" s="283">
        <v>40</v>
      </c>
      <c r="I1481" s="246">
        <v>25</v>
      </c>
      <c r="J1481" s="246">
        <v>3</v>
      </c>
      <c r="K1481" s="247" t="s">
        <v>7248</v>
      </c>
      <c r="L1481" s="248">
        <v>5204</v>
      </c>
      <c r="M1481" s="249">
        <f>15*(LEFT(TEXT($L1481,"000000"),2)+(MID(TEXT($L1481,"000000"),3,2)/60)+(RIGHT(TEXT($L1481,"000000"),2)/3600))</f>
        <v>13.016666666666666</v>
      </c>
      <c r="N1481" s="250">
        <v>473302</v>
      </c>
      <c r="O1481" s="251">
        <f>IF($N1481&gt;0,(LEFT(TEXT($N1481,"000000"),2)+(MID(TEXT($N1481,"000000"),3,2)/60)+(RIGHT(TEXT($N1481,"000000"),2)/3600)),-(MID(TEXT($N1481,"000000"),2,2)+(MID(TEXT($N1481,"000000"),4,2)/60)+(RIGHT(TEXT($N1481,"000000"),2)/3600)))</f>
        <v>47.550555555555555</v>
      </c>
      <c r="P1481" s="252" t="s">
        <v>49</v>
      </c>
      <c r="Q1481" s="253"/>
      <c r="R1481" s="247" t="s">
        <v>3293</v>
      </c>
      <c r="S1481" s="272" t="s">
        <v>3293</v>
      </c>
      <c r="T1481" s="273">
        <v>10.8</v>
      </c>
      <c r="U1481" s="289">
        <v>21.09</v>
      </c>
      <c r="V1481" s="280">
        <v>5</v>
      </c>
      <c r="W1481" s="244"/>
      <c r="X1481" s="244"/>
      <c r="Y1481" s="362"/>
      <c r="Z1481" s="257">
        <f>altaz(J2000_Bas,$O1481,$M1481,DecLat,DecLong,1)</f>
        <v>24.215479033778596</v>
      </c>
      <c r="AA1481" s="257">
        <f>altaz((J2000_Bas+(2*0.04167)),$O1481,$M1481,DecLat,DecLong,1)</f>
        <v>44.084848579512403</v>
      </c>
      <c r="AB1481" s="257">
        <f>altaz((J2000_Bas+(4*0.04167)),$O1481,$M1481,DecLat,DecLong,1)</f>
        <v>63.665693763607088</v>
      </c>
      <c r="AC1481" s="257">
        <f>altaz((J2000_Bas+(6*0.04167)),$O1481,$M1481,DecLat,DecLong,1)</f>
        <v>73.264493033386557</v>
      </c>
      <c r="AD1481" s="258">
        <f>1+ transit((J2000_Bas-1),$O1481,$M1481,DecLat,DecLong)/360 + (GMTOffset/24) + (IF(DST="Y", 1, 0)/24)</f>
        <v>1.0290573644213747</v>
      </c>
      <c r="AE1481" s="259">
        <f>DATE(2001,9,21)+(M1481/360)*365 - (360*((DecLong/360)- (GMTOffset/24) ))</f>
        <v>37173.197453703702</v>
      </c>
      <c r="AF1481" s="260">
        <f>IF(DecLat&gt;0,IF((90 - (DecLat-O1481))&gt;90, (90 - (O1481-DecLat)), (90 - (DecLat-O1481))),IF((90 + (DecLat-O1481))&gt;90, (90 + (O1481-DecLat)), (90 + (DecLat-O1481))))</f>
        <v>73.449444444444453</v>
      </c>
      <c r="AG1481" s="257">
        <f>angularseperation(MoonRA,MoonDec,$M1481,$O1481)</f>
        <v>132.06890848624801</v>
      </c>
      <c r="AH1481" s="261">
        <f ca="1">MIN(100,IF($O$5&gt;80,0+30*($AG1481/100),IF($O$5&gt;70,0+50*($AG1481/100),IF($O$5&gt;60,5+50*($AG1481/100),IF($O$5&gt;50,10+60*($AG1481/100),IF($O$5&gt;40,15+70*($AG1481/100),IF($O$5&gt;30,20+70*($AG1481/100),IF($O$5&gt;20,40+55*($AG1481/100),(80+(20-$O$5)+30*($AG1481/100))))))))))</f>
        <v>100</v>
      </c>
      <c r="AI1481" s="262">
        <v>278</v>
      </c>
      <c r="AJ1481" s="262"/>
      <c r="AK1481" s="262">
        <v>11</v>
      </c>
      <c r="AL1481" s="263"/>
      <c r="AM1481" s="264"/>
      <c r="AN1481" s="263"/>
      <c r="AO1481" s="263"/>
      <c r="AP1481" s="265"/>
      <c r="AQ1481" s="266">
        <v>528</v>
      </c>
      <c r="AR1481" s="267">
        <v>3051</v>
      </c>
      <c r="AS1481" s="263"/>
      <c r="AT1481" s="263"/>
      <c r="AU1481" s="263"/>
      <c r="AV1481" s="264"/>
      <c r="AW1481" s="263"/>
      <c r="AX1481" s="263"/>
      <c r="AY1481" s="263"/>
      <c r="AZ1481" s="263"/>
      <c r="BA1481" s="263"/>
      <c r="BB1481" s="263"/>
      <c r="BC1481" s="263"/>
      <c r="BD1481" s="264"/>
      <c r="BE1481" s="263"/>
      <c r="BF1481" s="263"/>
      <c r="BG1481" s="263"/>
      <c r="BH1481" s="263"/>
      <c r="BI1481" s="263"/>
      <c r="BJ1481" s="404">
        <f>altaz(J2000_Bas,$O1481,$M1481,DecLat,DecLong,2)</f>
        <v>47.650791012295315</v>
      </c>
      <c r="BK1481" s="378" t="s">
        <v>1514</v>
      </c>
      <c r="BL1481" s="379">
        <f>IF((2*G1481)/60&lt;0.2,0.2,(2*G1481)/60)</f>
        <v>0.2</v>
      </c>
      <c r="BM1481" s="380">
        <f>MOD((50000+AD1481-$B$3+(0/24)),1)</f>
        <v>0.2444242941273842</v>
      </c>
      <c r="BN1481" s="381" t="s">
        <v>9116</v>
      </c>
      <c r="BO1481" s="382">
        <v>1474</v>
      </c>
    </row>
    <row r="1482" spans="1:67" s="24" customFormat="1" ht="15" customHeight="1" x14ac:dyDescent="0.25">
      <c r="A1482" s="288" t="s">
        <v>3131</v>
      </c>
      <c r="B1482" s="241" t="str">
        <f>HYPERLINK(CONCATENATE($AT$3,BK1482,$AU$3),$AV$3)</f>
        <v>S</v>
      </c>
      <c r="C1482" s="242" t="str">
        <f>HYPERLINK(CONCATENATE($AT$4,BK1482,$AU$4,BL1482),$AV$4)</f>
        <v>A</v>
      </c>
      <c r="D1482" s="243" t="s">
        <v>5638</v>
      </c>
      <c r="E1482" s="244" t="s">
        <v>5182</v>
      </c>
      <c r="F1482" s="269" t="s">
        <v>3300</v>
      </c>
      <c r="G1482" s="273">
        <v>1.4</v>
      </c>
      <c r="H1482" s="283">
        <v>160</v>
      </c>
      <c r="I1482" s="246">
        <v>70</v>
      </c>
      <c r="J1482" s="246">
        <v>1</v>
      </c>
      <c r="K1482" s="247" t="s">
        <v>6549</v>
      </c>
      <c r="L1482" s="248">
        <v>5209</v>
      </c>
      <c r="M1482" s="249">
        <f>15*(LEFT(TEXT($L1482,"000000"),2)+(MID(TEXT($L1482,"000000"),3,2)/60)+(RIGHT(TEXT($L1482,"000000"),2)/3600))</f>
        <v>13.0375</v>
      </c>
      <c r="N1482" s="250">
        <v>-21300</v>
      </c>
      <c r="O1482" s="251">
        <f>IF($N1482&gt;0,(LEFT(TEXT($N1482,"000000"),2)+(MID(TEXT($N1482,"000000"),3,2)/60)+(RIGHT(TEXT($N1482,"000000"),2)/3600)),-(MID(TEXT($N1482,"000000"),2,2)+(MID(TEXT($N1482,"000000"),4,2)/60)+(RIGHT(TEXT($N1482,"000000"),2)/3600)))</f>
        <v>-2.2166666666666668</v>
      </c>
      <c r="P1482" s="252" t="s">
        <v>75</v>
      </c>
      <c r="Q1482" s="253"/>
      <c r="R1482" s="277" t="s">
        <v>3293</v>
      </c>
      <c r="S1482" s="272" t="s">
        <v>3293</v>
      </c>
      <c r="T1482" s="273">
        <v>12.7</v>
      </c>
      <c r="U1482" s="289">
        <v>22.09</v>
      </c>
      <c r="V1482" s="280">
        <v>45</v>
      </c>
      <c r="W1482" s="244"/>
      <c r="X1482" s="244"/>
      <c r="Y1482" s="362"/>
      <c r="Z1482" s="257">
        <f>altaz(J2000_Bas,$O1482,$M1482,DecLat,DecLong,1)</f>
        <v>1.3973300823111574</v>
      </c>
      <c r="AA1482" s="257">
        <f>altaz((J2000_Bas+(2*0.04167)),$O1482,$M1482,DecLat,DecLong,1)</f>
        <v>26.56412345830206</v>
      </c>
      <c r="AB1482" s="257">
        <f>altaz((J2000_Bas+(4*0.04167)),$O1482,$M1482,DecLat,DecLong,1)</f>
        <v>48.086833299576035</v>
      </c>
      <c r="AC1482" s="257">
        <f>altaz((J2000_Bas+(6*0.04167)),$O1482,$M1482,DecLat,DecLong,1)</f>
        <v>56.642272020724633</v>
      </c>
      <c r="AD1482" s="258">
        <f>1+ transit((J2000_Bas-1),$O1482,$M1482,DecLat,DecLong)/360 + (GMTOffset/24) + (IF(DST="Y", 1, 0)/24)</f>
        <v>1.029115234785958</v>
      </c>
      <c r="AE1482" s="259">
        <f>DATE(2001,9,21)+(M1482/360)*365 - (360*((DecLong/360)- (GMTOffset/24) ))</f>
        <v>37173.218576388892</v>
      </c>
      <c r="AF1482" s="260">
        <f>IF(DecLat&gt;0,IF((90 - (DecLat-O1482))&gt;90, (90 - (O1482-DecLat)), (90 - (DecLat-O1482))),IF((90 + (DecLat-O1482))&gt;90, (90 + (O1482-DecLat)), (90 + (DecLat-O1482))))</f>
        <v>56.783333333333331</v>
      </c>
      <c r="AG1482" s="257">
        <f>angularseperation(MoonRA,MoonDec,$M1482,$O1482)</f>
        <v>118.50621171281952</v>
      </c>
      <c r="AH1482" s="261">
        <f ca="1">MIN(100,IF($O$5&gt;80,0+30*($AG1482/100),IF($O$5&gt;70,0+50*($AG1482/100),IF($O$5&gt;60,5+50*($AG1482/100),IF($O$5&gt;50,10+60*($AG1482/100),IF($O$5&gt;40,15+70*($AG1482/100),IF($O$5&gt;30,20+70*($AG1482/100),IF($O$5&gt;20,40+55*($AG1482/100),(80+(20-$O$5)+30*($AG1482/100))))))))))</f>
        <v>100</v>
      </c>
      <c r="AI1482" s="263">
        <v>279</v>
      </c>
      <c r="AJ1482" s="263"/>
      <c r="AK1482" s="263"/>
      <c r="AL1482" s="263"/>
      <c r="AM1482" s="264"/>
      <c r="AN1482" s="263"/>
      <c r="AO1482" s="263"/>
      <c r="AP1482" s="265"/>
      <c r="AQ1482" s="265">
        <v>532</v>
      </c>
      <c r="AR1482" s="285">
        <v>3055</v>
      </c>
      <c r="AS1482" s="263"/>
      <c r="AT1482" s="263"/>
      <c r="AU1482" s="263"/>
      <c r="AV1482" s="264"/>
      <c r="AW1482" s="263"/>
      <c r="AX1482" s="263"/>
      <c r="AY1482" s="263"/>
      <c r="AZ1482" s="263"/>
      <c r="BA1482" s="263"/>
      <c r="BB1482" s="263"/>
      <c r="BC1482" s="263"/>
      <c r="BD1482" s="264"/>
      <c r="BE1482" s="263"/>
      <c r="BF1482" s="263"/>
      <c r="BG1482" s="263"/>
      <c r="BH1482" s="263"/>
      <c r="BI1482" s="263"/>
      <c r="BJ1482" s="404">
        <f>altaz(J2000_Bas,$O1482,$M1482,DecLat,DecLong,2)</f>
        <v>93.427973203577977</v>
      </c>
      <c r="BK1482" s="378" t="s">
        <v>3131</v>
      </c>
      <c r="BL1482" s="379">
        <f>IF((2*G1482)/60&lt;0.2,0.2,(2*G1482)/60)</f>
        <v>0.2</v>
      </c>
      <c r="BM1482" s="380">
        <f>MOD((50000+AD1482-$B$3+(0/24)),1)</f>
        <v>0.24448216448945459</v>
      </c>
      <c r="BN1482" s="381"/>
      <c r="BO1482" s="382">
        <v>1475</v>
      </c>
    </row>
    <row r="1483" spans="1:67" s="24" customFormat="1" ht="15" customHeight="1" x14ac:dyDescent="0.25">
      <c r="A1483" s="288" t="s">
        <v>1515</v>
      </c>
      <c r="B1483" s="241" t="str">
        <f>HYPERLINK(CONCATENATE($AT$3,BK1483,$AU$3),$AV$3)</f>
        <v>S</v>
      </c>
      <c r="C1483" s="242" t="str">
        <f>HYPERLINK(CONCATENATE($AT$4,BK1483,$AU$4,BL1483),$AV$4)</f>
        <v>A</v>
      </c>
      <c r="D1483" s="243" t="s">
        <v>5187</v>
      </c>
      <c r="E1483" s="244" t="s">
        <v>5183</v>
      </c>
      <c r="F1483" s="269" t="s">
        <v>9161</v>
      </c>
      <c r="G1483" s="276">
        <v>35</v>
      </c>
      <c r="H1483" s="283">
        <v>10000</v>
      </c>
      <c r="I1483" s="246">
        <v>100</v>
      </c>
      <c r="J1483" s="246">
        <v>4</v>
      </c>
      <c r="K1483" s="247" t="s">
        <v>6550</v>
      </c>
      <c r="L1483" s="248">
        <v>5254</v>
      </c>
      <c r="M1483" s="249">
        <f>15*(LEFT(TEXT($L1483,"000000"),2)+(MID(TEXT($L1483,"000000"),3,2)/60)+(RIGHT(TEXT($L1483,"000000"),2)/3600))</f>
        <v>13.225000000000001</v>
      </c>
      <c r="N1483" s="250">
        <v>563729</v>
      </c>
      <c r="O1483" s="251">
        <f>IF($N1483&gt;0,(LEFT(TEXT($N1483,"000000"),2)+(MID(TEXT($N1483,"000000"),3,2)/60)+(RIGHT(TEXT($N1483,"000000"),2)/3600)),-(MID(TEXT($N1483,"000000"),2,2)+(MID(TEXT($N1483,"000000"),4,2)/60)+(RIGHT(TEXT($N1483,"000000"),2)/3600)))</f>
        <v>56.624722222222225</v>
      </c>
      <c r="P1483" s="252" t="s">
        <v>49</v>
      </c>
      <c r="Q1483" s="253" t="s">
        <v>7044</v>
      </c>
      <c r="R1483" s="277" t="s">
        <v>3293</v>
      </c>
      <c r="S1483" s="272" t="s">
        <v>3293</v>
      </c>
      <c r="T1483" s="273"/>
      <c r="U1483" s="274"/>
      <c r="V1483" s="280"/>
      <c r="W1483" s="244"/>
      <c r="X1483" s="244"/>
      <c r="Y1483" s="362"/>
      <c r="Z1483" s="257">
        <f>altaz(J2000_Bas,$O1483,$M1483,DecLat,DecLong,1)</f>
        <v>26.933219983526328</v>
      </c>
      <c r="AA1483" s="257">
        <f>altaz((J2000_Bas+(2*0.04167)),$O1483,$M1483,DecLat,DecLong,1)</f>
        <v>43.311988505038563</v>
      </c>
      <c r="AB1483" s="257">
        <f>altaz((J2000_Bas+(4*0.04167)),$O1483,$M1483,DecLat,DecLong,1)</f>
        <v>58.217257273731931</v>
      </c>
      <c r="AC1483" s="257">
        <f>altaz((J2000_Bas+(6*0.04167)),$O1483,$M1483,DecLat,DecLong,1)</f>
        <v>64.288007625807978</v>
      </c>
      <c r="AD1483" s="258">
        <f>1+ transit((J2000_Bas-1),$O1483,$M1483,DecLat,DecLong)/360 + (GMTOffset/24) + (IF(DST="Y", 1, 0)/24)</f>
        <v>1.0296360680672081</v>
      </c>
      <c r="AE1483" s="259">
        <f>DATE(2001,9,21)+(M1483/360)*365 - (360*((DecLong/360)- (GMTOffset/24) ))</f>
        <v>37173.408680555556</v>
      </c>
      <c r="AF1483" s="260">
        <f>IF(DecLat&gt;0,IF((90 - (DecLat-O1483))&gt;90, (90 - (O1483-DecLat)), (90 - (DecLat-O1483))),IF((90 + (DecLat-O1483))&gt;90, (90 + (O1483-DecLat)), (90 + (DecLat-O1483))))</f>
        <v>64.375277777777768</v>
      </c>
      <c r="AG1483" s="257">
        <f>angularseperation(MoonRA,MoonDec,$M1483,$O1483)</f>
        <v>130.84249150114582</v>
      </c>
      <c r="AH1483" s="261">
        <f ca="1">MIN(100,IF($O$5&gt;80,0+30*($AG1483/100),IF($O$5&gt;70,0+50*($AG1483/100),IF($O$5&gt;60,5+50*($AG1483/100),IF($O$5&gt;50,10+60*($AG1483/100),IF($O$5&gt;40,15+70*($AG1483/100),IF($O$5&gt;30,20+70*($AG1483/100),IF($O$5&gt;20,40+55*($AG1483/100),(80+(20-$O$5)+30*($AG1483/100))))))))))</f>
        <v>100</v>
      </c>
      <c r="AI1483" s="262">
        <v>281</v>
      </c>
      <c r="AJ1483" s="262"/>
      <c r="AK1483" s="262"/>
      <c r="AL1483" s="263"/>
      <c r="AM1483" s="264"/>
      <c r="AN1483" s="263"/>
      <c r="AO1483" s="263"/>
      <c r="AP1483" s="265"/>
      <c r="AQ1483" s="266"/>
      <c r="AR1483" s="267"/>
      <c r="AS1483" s="263"/>
      <c r="AT1483" s="263"/>
      <c r="AU1483" s="263"/>
      <c r="AV1483" s="264"/>
      <c r="AW1483" s="263"/>
      <c r="AX1483" s="263"/>
      <c r="AY1483" s="263"/>
      <c r="AZ1483" s="263"/>
      <c r="BA1483" s="263"/>
      <c r="BB1483" s="263">
        <v>184</v>
      </c>
      <c r="BC1483" s="263"/>
      <c r="BD1483" s="264"/>
      <c r="BE1483" s="263">
        <v>3</v>
      </c>
      <c r="BF1483" s="263"/>
      <c r="BG1483" s="263"/>
      <c r="BH1483" s="263"/>
      <c r="BI1483" s="263"/>
      <c r="BJ1483" s="404">
        <f>altaz(J2000_Bas,$O1483,$M1483,DecLat,DecLong,2)</f>
        <v>38.048162704060651</v>
      </c>
      <c r="BK1483" s="378" t="s">
        <v>1515</v>
      </c>
      <c r="BL1483" s="379">
        <f>IF((2*G1483)/60&lt;0.2,0.2,(2*G1483)/60)</f>
        <v>1.1666666666666667</v>
      </c>
      <c r="BM1483" s="380">
        <f>MOD((50000+AD1483-$B$3+(0/24)),1)</f>
        <v>0.24500299776991596</v>
      </c>
      <c r="BN1483" s="381" t="s">
        <v>8664</v>
      </c>
      <c r="BO1483" s="382">
        <v>1476</v>
      </c>
    </row>
    <row r="1484" spans="1:67" s="24" customFormat="1" ht="15" customHeight="1" x14ac:dyDescent="0.25">
      <c r="A1484" s="288" t="s">
        <v>1516</v>
      </c>
      <c r="B1484" s="241" t="str">
        <f>HYPERLINK(CONCATENATE($AT$3,BK1484,$AU$3),$AV$3)</f>
        <v>S</v>
      </c>
      <c r="C1484" s="242" t="str">
        <f>HYPERLINK(CONCATENATE($AT$4,BK1484,$AU$4,BL1484),$AV$4)</f>
        <v>A</v>
      </c>
      <c r="D1484" s="243" t="s">
        <v>5335</v>
      </c>
      <c r="E1484" s="244" t="s">
        <v>5184</v>
      </c>
      <c r="F1484" s="269" t="s">
        <v>3179</v>
      </c>
      <c r="G1484" s="276">
        <v>13</v>
      </c>
      <c r="H1484" s="283">
        <v>30000</v>
      </c>
      <c r="I1484" s="246">
        <v>110</v>
      </c>
      <c r="J1484" s="246">
        <v>3</v>
      </c>
      <c r="K1484" s="247" t="s">
        <v>6551</v>
      </c>
      <c r="L1484" s="248">
        <v>5245</v>
      </c>
      <c r="M1484" s="249">
        <f>15*(LEFT(TEXT($L1484,"000000"),2)+(MID(TEXT($L1484,"000000"),3,2)/60)+(RIGHT(TEXT($L1484,"000000"),2)/3600))</f>
        <v>13.1875</v>
      </c>
      <c r="N1484" s="250">
        <v>-263501</v>
      </c>
      <c r="O1484" s="251">
        <f>IF($N1484&gt;0,(LEFT(TEXT($N1484,"000000"),2)+(MID(TEXT($N1484,"000000"),3,2)/60)+(RIGHT(TEXT($N1484,"000000"),2)/3600)),-(MID(TEXT($N1484,"000000"),2,2)+(MID(TEXT($N1484,"000000"),4,2)/60)+(RIGHT(TEXT($N1484,"000000"),2)/3600)))</f>
        <v>-26.583611111111111</v>
      </c>
      <c r="P1484" s="252" t="s">
        <v>1181</v>
      </c>
      <c r="Q1484" s="253"/>
      <c r="R1484" s="247" t="s">
        <v>3293</v>
      </c>
      <c r="S1484" s="272" t="s">
        <v>3293</v>
      </c>
      <c r="T1484" s="273">
        <v>8.1</v>
      </c>
      <c r="U1484" s="274"/>
      <c r="V1484" s="280"/>
      <c r="W1484" s="244"/>
      <c r="X1484" s="244"/>
      <c r="Y1484" s="362"/>
      <c r="Z1484" s="257">
        <f>altaz(J2000_Bas,$O1484,$M1484,DecLat,DecLong,1)</f>
        <v>-11.118180785549635</v>
      </c>
      <c r="AA1484" s="257">
        <f>altaz((J2000_Bas+(2*0.04167)),$O1484,$M1484,DecLat,DecLong,1)</f>
        <v>10.71274458029511</v>
      </c>
      <c r="AB1484" s="257">
        <f>altaz((J2000_Bas+(4*0.04167)),$O1484,$M1484,DecLat,DecLong,1)</f>
        <v>26.89927878795503</v>
      </c>
      <c r="AC1484" s="257">
        <f>altaz((J2000_Bas+(6*0.04167)),$O1484,$M1484,DecLat,DecLong,1)</f>
        <v>32.341813146631694</v>
      </c>
      <c r="AD1484" s="258">
        <f>1+ transit((J2000_Bas-1),$O1484,$M1484,DecLat,DecLong)/360 + (GMTOffset/24) + (IF(DST="Y", 1, 0)/24)</f>
        <v>1.0295319014109581</v>
      </c>
      <c r="AE1484" s="259">
        <f>DATE(2001,9,21)+(M1484/360)*365 - (360*((DecLong/360)- (GMTOffset/24) ))</f>
        <v>37173.370659722219</v>
      </c>
      <c r="AF1484" s="260">
        <f>IF(DecLat&gt;0,IF((90 - (DecLat-O1484))&gt;90, (90 - (O1484-DecLat)), (90 - (DecLat-O1484))),IF((90 + (DecLat-O1484))&gt;90, (90 + (O1484-DecLat)), (90 + (DecLat-O1484))))</f>
        <v>32.416388888888889</v>
      </c>
      <c r="AG1484" s="257">
        <f>angularseperation(MoonRA,MoonDec,$M1484,$O1484)</f>
        <v>103.93749508029838</v>
      </c>
      <c r="AH1484" s="261">
        <f ca="1">MIN(100,IF($O$5&gt;80,0+30*($AG1484/100),IF($O$5&gt;70,0+50*($AG1484/100),IF($O$5&gt;60,5+50*($AG1484/100),IF($O$5&gt;50,10+60*($AG1484/100),IF($O$5&gt;40,15+70*($AG1484/100),IF($O$5&gt;30,20+70*($AG1484/100),IF($O$5&gt;20,40+55*($AG1484/100),(80+(20-$O$5)+30*($AG1484/100))))))))))</f>
        <v>100</v>
      </c>
      <c r="AI1484" s="262">
        <v>288</v>
      </c>
      <c r="AJ1484" s="262"/>
      <c r="AK1484" s="262">
        <v>12</v>
      </c>
      <c r="AL1484" s="263"/>
      <c r="AM1484" s="264"/>
      <c r="AN1484" s="263"/>
      <c r="AO1484" s="263"/>
      <c r="AP1484" s="265"/>
      <c r="AQ1484" s="266"/>
      <c r="AR1484" s="267"/>
      <c r="AS1484" s="263"/>
      <c r="AT1484" s="263"/>
      <c r="AU1484" s="263"/>
      <c r="AV1484" s="264"/>
      <c r="AW1484" s="263"/>
      <c r="AX1484" s="263"/>
      <c r="AY1484" s="263"/>
      <c r="AZ1484" s="263"/>
      <c r="BA1484" s="263"/>
      <c r="BB1484" s="263"/>
      <c r="BC1484" s="263"/>
      <c r="BD1484" s="264"/>
      <c r="BE1484" s="263">
        <v>4</v>
      </c>
      <c r="BF1484" s="263"/>
      <c r="BG1484" s="263"/>
      <c r="BH1484" s="263"/>
      <c r="BI1484" s="263"/>
      <c r="BJ1484" s="404">
        <f>altaz(J2000_Bas,$O1484,$M1484,DecLat,DecLong,2)</f>
        <v>114.4548496136823</v>
      </c>
      <c r="BK1484" s="378" t="s">
        <v>1516</v>
      </c>
      <c r="BL1484" s="379">
        <f>IF((2*G1484)/60&lt;0.2,0.2,(2*G1484)/60)</f>
        <v>0.43333333333333335</v>
      </c>
      <c r="BM1484" s="380">
        <f>MOD((50000+AD1484-$B$3+(0/24)),1)</f>
        <v>0.24489883111527888</v>
      </c>
      <c r="BN1484" s="381"/>
      <c r="BO1484" s="382">
        <v>1477</v>
      </c>
    </row>
    <row r="1485" spans="1:67" s="24" customFormat="1" ht="15" customHeight="1" x14ac:dyDescent="0.25">
      <c r="A1485" s="288" t="s">
        <v>1517</v>
      </c>
      <c r="B1485" s="241" t="str">
        <f>HYPERLINK(CONCATENATE($AT$3,BK1485,$AU$3),$AV$3)</f>
        <v>S</v>
      </c>
      <c r="C1485" s="242" t="str">
        <f>HYPERLINK(CONCATENATE($AT$4,BK1485,$AU$4,BL1485),$AV$4)</f>
        <v>A</v>
      </c>
      <c r="D1485" s="243" t="s">
        <v>5638</v>
      </c>
      <c r="E1485" s="244" t="s">
        <v>5192</v>
      </c>
      <c r="F1485" s="269" t="s">
        <v>8890</v>
      </c>
      <c r="G1485" s="273">
        <v>3</v>
      </c>
      <c r="H1485" s="283">
        <v>70</v>
      </c>
      <c r="I1485" s="246">
        <v>60</v>
      </c>
      <c r="J1485" s="246">
        <v>3</v>
      </c>
      <c r="K1485" s="247" t="s">
        <v>6552</v>
      </c>
      <c r="L1485" s="248">
        <v>5242</v>
      </c>
      <c r="M1485" s="249">
        <f>15*(LEFT(TEXT($L1485,"000000"),2)+(MID(TEXT($L1485,"000000"),3,2)/60)+(RIGHT(TEXT($L1485,"000000"),2)/3600))</f>
        <v>13.175000000000001</v>
      </c>
      <c r="N1485" s="250">
        <v>-311222</v>
      </c>
      <c r="O1485" s="251">
        <f>IF($N1485&gt;0,(LEFT(TEXT($N1485,"000000"),2)+(MID(TEXT($N1485,"000000"),3,2)/60)+(RIGHT(TEXT($N1485,"000000"),2)/3600)),-(MID(TEXT($N1485,"000000"),2,2)+(MID(TEXT($N1485,"000000"),4,2)/60)+(RIGHT(TEXT($N1485,"000000"),2)/3600)))</f>
        <v>-31.20611111111111</v>
      </c>
      <c r="P1485" s="252" t="s">
        <v>1181</v>
      </c>
      <c r="Q1485" s="253"/>
      <c r="R1485" s="247" t="s">
        <v>3293</v>
      </c>
      <c r="S1485" s="272" t="s">
        <v>3293</v>
      </c>
      <c r="T1485" s="273">
        <v>11</v>
      </c>
      <c r="U1485" s="289">
        <v>22.89</v>
      </c>
      <c r="V1485" s="280">
        <v>30</v>
      </c>
      <c r="W1485" s="244"/>
      <c r="X1485" s="244"/>
      <c r="Y1485" s="362"/>
      <c r="Z1485" s="257">
        <f>altaz(J2000_Bas,$O1485,$M1485,DecLat,DecLong,1)</f>
        <v>-13.337325954271366</v>
      </c>
      <c r="AA1485" s="257">
        <f>altaz((J2000_Bas+(2*0.04167)),$O1485,$M1485,DecLat,DecLong,1)</f>
        <v>7.5565475107662179</v>
      </c>
      <c r="AB1485" s="257">
        <f>altaz((J2000_Bas+(4*0.04167)),$O1485,$M1485,DecLat,DecLong,1)</f>
        <v>22.728532719969401</v>
      </c>
      <c r="AC1485" s="257">
        <f>altaz((J2000_Bas+(6*0.04167)),$O1485,$M1485,DecLat,DecLong,1)</f>
        <v>27.725262897364772</v>
      </c>
      <c r="AD1485" s="258">
        <f>1+ transit((J2000_Bas-1),$O1485,$M1485,DecLat,DecLong)/360 + (GMTOffset/24) + (IF(DST="Y", 1, 0)/24)</f>
        <v>1.0294971791922081</v>
      </c>
      <c r="AE1485" s="259">
        <f>DATE(2001,9,21)+(M1485/360)*365 - (360*((DecLong/360)- (GMTOffset/24) ))</f>
        <v>37173.357986111114</v>
      </c>
      <c r="AF1485" s="260">
        <f>IF(DecLat&gt;0,IF((90 - (DecLat-O1485))&gt;90, (90 - (O1485-DecLat)), (90 - (DecLat-O1485))),IF((90 + (DecLat-O1485))&gt;90, (90 + (O1485-DecLat)), (90 + (DecLat-O1485))))</f>
        <v>27.793888888888887</v>
      </c>
      <c r="AG1485" s="257">
        <f>angularseperation(MoonRA,MoonDec,$M1485,$O1485)</f>
        <v>100.90599802421308</v>
      </c>
      <c r="AH1485" s="261">
        <f ca="1">MIN(100,IF($O$5&gt;80,0+30*($AG1485/100),IF($O$5&gt;70,0+50*($AG1485/100),IF($O$5&gt;60,5+50*($AG1485/100),IF($O$5&gt;50,10+60*($AG1485/100),IF($O$5&gt;40,15+70*($AG1485/100),IF($O$5&gt;30,20+70*($AG1485/100),IF($O$5&gt;20,40+55*($AG1485/100),(80+(20-$O$5)+30*($AG1485/100))))))))))</f>
        <v>100</v>
      </c>
      <c r="AI1485" s="262">
        <v>289</v>
      </c>
      <c r="AJ1485" s="262"/>
      <c r="AK1485" s="262"/>
      <c r="AL1485" s="263"/>
      <c r="AM1485" s="264"/>
      <c r="AN1485" s="263"/>
      <c r="AO1485" s="263"/>
      <c r="AP1485" s="265"/>
      <c r="AQ1485" s="266"/>
      <c r="AR1485" s="267">
        <v>3089</v>
      </c>
      <c r="AS1485" s="263"/>
      <c r="AT1485" s="263"/>
      <c r="AU1485" s="263"/>
      <c r="AV1485" s="264"/>
      <c r="AW1485" s="263"/>
      <c r="AX1485" s="263"/>
      <c r="AY1485" s="263"/>
      <c r="AZ1485" s="263"/>
      <c r="BA1485" s="263"/>
      <c r="BB1485" s="263"/>
      <c r="BC1485" s="263"/>
      <c r="BD1485" s="264"/>
      <c r="BE1485" s="263"/>
      <c r="BF1485" s="263"/>
      <c r="BG1485" s="263"/>
      <c r="BH1485" s="263"/>
      <c r="BI1485" s="263"/>
      <c r="BJ1485" s="404">
        <f>altaz(J2000_Bas,$O1485,$M1485,DecLat,DecLong,2)</f>
        <v>118.6043152947307</v>
      </c>
      <c r="BK1485" s="378" t="s">
        <v>1517</v>
      </c>
      <c r="BL1485" s="379">
        <f>IF((2*G1485)/60&lt;0.2,0.2,(2*G1485)/60)</f>
        <v>0.2</v>
      </c>
      <c r="BM1485" s="380">
        <f>MOD((50000+AD1485-$B$3+(0/24)),1)</f>
        <v>0.24486410889949184</v>
      </c>
      <c r="BN1485" s="381"/>
      <c r="BO1485" s="382">
        <v>1478</v>
      </c>
    </row>
    <row r="1486" spans="1:67" s="24" customFormat="1" ht="15" customHeight="1" x14ac:dyDescent="0.25">
      <c r="A1486" s="288" t="s">
        <v>1518</v>
      </c>
      <c r="B1486" s="241" t="str">
        <f>HYPERLINK(CONCATENATE($AT$3,BK1486,$AU$3),$AV$3)</f>
        <v>S</v>
      </c>
      <c r="C1486" s="242" t="str">
        <f>HYPERLINK(CONCATENATE($AT$4,BK1486,$AU$4,BL1486),$AV$4)</f>
        <v>A</v>
      </c>
      <c r="D1486" s="243" t="s">
        <v>5638</v>
      </c>
      <c r="E1486" s="244" t="s">
        <v>5192</v>
      </c>
      <c r="F1486" s="269" t="s">
        <v>8900</v>
      </c>
      <c r="G1486" s="273">
        <v>2.2000000000000002</v>
      </c>
      <c r="H1486" s="283">
        <v>180</v>
      </c>
      <c r="I1486" s="246">
        <v>120</v>
      </c>
      <c r="J1486" s="246">
        <v>2</v>
      </c>
      <c r="K1486" s="247" t="s">
        <v>8543</v>
      </c>
      <c r="L1486" s="248">
        <v>5508</v>
      </c>
      <c r="M1486" s="249">
        <f>15*(LEFT(TEXT($L1486,"000000"),2)+(MID(TEXT($L1486,"000000"),3,2)/60)+(RIGHT(TEXT($L1486,"000000"),2)/3600))</f>
        <v>13.783333333333333</v>
      </c>
      <c r="N1486" s="250">
        <v>313232</v>
      </c>
      <c r="O1486" s="251">
        <f>IF($N1486&gt;0,(LEFT(TEXT($N1486,"000000"),2)+(MID(TEXT($N1486,"000000"),3,2)/60)+(RIGHT(TEXT($N1486,"000000"),2)/3600)),-(MID(TEXT($N1486,"000000"),2,2)+(MID(TEXT($N1486,"000000"),4,2)/60)+(RIGHT(TEXT($N1486,"000000"),2)/3600)))</f>
        <v>31.542222222222225</v>
      </c>
      <c r="P1486" s="252" t="s">
        <v>158</v>
      </c>
      <c r="Q1486" s="253"/>
      <c r="R1486" s="247" t="s">
        <v>3293</v>
      </c>
      <c r="S1486" s="272" t="s">
        <v>3293</v>
      </c>
      <c r="T1486" s="273">
        <v>12.6</v>
      </c>
      <c r="U1486" s="289">
        <v>22.19</v>
      </c>
      <c r="V1486" s="280">
        <v>75</v>
      </c>
      <c r="W1486" s="244"/>
      <c r="X1486" s="244"/>
      <c r="Y1486" s="362"/>
      <c r="Z1486" s="257">
        <f>altaz(J2000_Bas,$O1486,$M1486,DecLat,DecLong,1)</f>
        <v>17.320668000179367</v>
      </c>
      <c r="AA1486" s="257">
        <f>altaz((J2000_Bas+(2*0.04167)),$O1486,$M1486,DecLat,DecLong,1)</f>
        <v>41.286856616687665</v>
      </c>
      <c r="AB1486" s="257">
        <f>altaz((J2000_Bas+(4*0.04167)),$O1486,$M1486,DecLat,DecLong,1)</f>
        <v>66.456266110773569</v>
      </c>
      <c r="AC1486" s="257">
        <f>altaz((J2000_Bas+(6*0.04167)),$O1486,$M1486,DecLat,DecLong,1)</f>
        <v>87.817957951169447</v>
      </c>
      <c r="AD1486" s="258">
        <f>1+ transit((J2000_Bas-1),$O1486,$M1486,DecLat,DecLong)/360 + (GMTOffset/24) + (IF(DST="Y", 1, 0)/24)</f>
        <v>1.0311869938380414</v>
      </c>
      <c r="AE1486" s="259">
        <f>DATE(2001,9,21)+(M1486/360)*365 - (360*((DecLong/360)- (GMTOffset/24) ))</f>
        <v>37173.974768518521</v>
      </c>
      <c r="AF1486" s="260">
        <f>IF(DecLat&gt;0,IF((90 - (DecLat-O1486))&gt;90, (90 - (O1486-DecLat)), (90 - (DecLat-O1486))),IF((90 + (DecLat-O1486))&gt;90, (90 + (O1486-DecLat)), (90 + (DecLat-O1486))))</f>
        <v>89.457777777777778</v>
      </c>
      <c r="AG1486" s="257">
        <f>angularseperation(MoonRA,MoonDec,$M1486,$O1486)</f>
        <v>131.94501853598859</v>
      </c>
      <c r="AH1486" s="261">
        <f ca="1">MIN(100,IF($O$5&gt;80,0+30*($AG1486/100),IF($O$5&gt;70,0+50*($AG1486/100),IF($O$5&gt;60,5+50*($AG1486/100),IF($O$5&gt;50,10+60*($AG1486/100),IF($O$5&gt;40,15+70*($AG1486/100),IF($O$5&gt;30,20+70*($AG1486/100),IF($O$5&gt;20,40+55*($AG1486/100),(80+(20-$O$5)+30*($AG1486/100))))))))))</f>
        <v>100</v>
      </c>
      <c r="AI1486" s="262">
        <v>296</v>
      </c>
      <c r="AJ1486" s="262"/>
      <c r="AK1486" s="262"/>
      <c r="AL1486" s="263"/>
      <c r="AM1486" s="264"/>
      <c r="AN1486" s="263"/>
      <c r="AO1486" s="263"/>
      <c r="AP1486" s="265"/>
      <c r="AQ1486" s="266">
        <v>562</v>
      </c>
      <c r="AR1486" s="267">
        <v>3260</v>
      </c>
      <c r="AS1486" s="263"/>
      <c r="AT1486" s="263"/>
      <c r="AU1486" s="263"/>
      <c r="AV1486" s="264"/>
      <c r="AW1486" s="263"/>
      <c r="AX1486" s="263"/>
      <c r="AY1486" s="263"/>
      <c r="AZ1486" s="263"/>
      <c r="BA1486" s="263"/>
      <c r="BB1486" s="263"/>
      <c r="BC1486" s="263"/>
      <c r="BD1486" s="264"/>
      <c r="BE1486" s="263"/>
      <c r="BF1486" s="263"/>
      <c r="BG1486" s="263"/>
      <c r="BH1486" s="263"/>
      <c r="BI1486" s="263"/>
      <c r="BJ1486" s="404">
        <f>altaz(J2000_Bas,$O1486,$M1486,DecLat,DecLong,2)</f>
        <v>63.134250707550535</v>
      </c>
      <c r="BK1486" s="378" t="s">
        <v>1518</v>
      </c>
      <c r="BL1486" s="379">
        <f>IF((2*G1486)/60&lt;0.2,0.2,(2*G1486)/60)</f>
        <v>0.2</v>
      </c>
      <c r="BM1486" s="380">
        <f>MOD((50000+AD1486-$B$3+(0/24)),1)</f>
        <v>0.24655392354179639</v>
      </c>
      <c r="BN1486" s="381"/>
      <c r="BO1486" s="382">
        <v>1479</v>
      </c>
    </row>
    <row r="1487" spans="1:67" s="24" customFormat="1" ht="15" customHeight="1" x14ac:dyDescent="0.25">
      <c r="A1487" s="288" t="s">
        <v>1519</v>
      </c>
      <c r="B1487" s="241" t="str">
        <f>HYPERLINK(CONCATENATE($AT$3,BK1487,$AU$3),$AV$3)</f>
        <v>S</v>
      </c>
      <c r="C1487" s="242" t="str">
        <f>HYPERLINK(CONCATENATE($AT$4,BK1487,$AU$4,BL1487),$AV$4)</f>
        <v>A</v>
      </c>
      <c r="D1487" s="243" t="s">
        <v>5638</v>
      </c>
      <c r="E1487" s="244" t="s">
        <v>5192</v>
      </c>
      <c r="F1487" s="269" t="s">
        <v>8689</v>
      </c>
      <c r="G1487" s="276">
        <v>22</v>
      </c>
      <c r="H1487" s="289">
        <v>6.5</v>
      </c>
      <c r="I1487" s="246">
        <v>45</v>
      </c>
      <c r="J1487" s="246">
        <v>2</v>
      </c>
      <c r="K1487" s="247" t="s">
        <v>6553</v>
      </c>
      <c r="L1487" s="248">
        <v>5453</v>
      </c>
      <c r="M1487" s="249">
        <f>15*(LEFT(TEXT($L1487,"000000"),2)+(MID(TEXT($L1487,"000000"),3,2)/60)+(RIGHT(TEXT($L1487,"000000"),2)/3600))</f>
        <v>13.720833333333333</v>
      </c>
      <c r="N1487" s="250">
        <v>-374103</v>
      </c>
      <c r="O1487" s="251">
        <f>IF($N1487&gt;0,(LEFT(TEXT($N1487,"000000"),2)+(MID(TEXT($N1487,"000000"),3,2)/60)+(RIGHT(TEXT($N1487,"000000"),2)/3600)),-(MID(TEXT($N1487,"000000"),2,2)+(MID(TEXT($N1487,"000000"),4,2)/60)+(RIGHT(TEXT($N1487,"000000"),2)/3600)))</f>
        <v>-37.684166666666663</v>
      </c>
      <c r="P1487" s="252" t="s">
        <v>1181</v>
      </c>
      <c r="Q1487" s="253"/>
      <c r="R1487" s="247" t="s">
        <v>7382</v>
      </c>
      <c r="S1487" s="272" t="s">
        <v>3293</v>
      </c>
      <c r="T1487" s="273">
        <v>8.1</v>
      </c>
      <c r="U1487" s="289">
        <v>23.19</v>
      </c>
      <c r="V1487" s="280">
        <v>55</v>
      </c>
      <c r="W1487" s="244"/>
      <c r="X1487" s="244"/>
      <c r="Y1487" s="362"/>
      <c r="Z1487" s="257">
        <f>altaz(J2000_Bas,$O1487,$M1487,DecLat,DecLong,1)</f>
        <v>-16.728614343252367</v>
      </c>
      <c r="AA1487" s="257">
        <f>altaz((J2000_Bas+(2*0.04167)),$O1487,$M1487,DecLat,DecLong,1)</f>
        <v>2.7683223992271921</v>
      </c>
      <c r="AB1487" s="257">
        <f>altaz((J2000_Bas+(4*0.04167)),$O1487,$M1487,DecLat,DecLong,1)</f>
        <v>16.654098376366147</v>
      </c>
      <c r="AC1487" s="257">
        <f>altaz((J2000_Bas+(6*0.04167)),$O1487,$M1487,DecLat,DecLong,1)</f>
        <v>21.274996686167079</v>
      </c>
      <c r="AD1487" s="258">
        <f>1+ transit((J2000_Bas-1),$O1487,$M1487,DecLat,DecLong)/360 + (GMTOffset/24) + (IF(DST="Y", 1, 0)/24)</f>
        <v>1.0310133827442913</v>
      </c>
      <c r="AE1487" s="259">
        <f>DATE(2001,9,21)+(M1487/360)*365 - (360*((DecLong/360)- (GMTOffset/24) ))</f>
        <v>37173.911400462966</v>
      </c>
      <c r="AF1487" s="260">
        <f>IF(DecLat&gt;0,IF((90 - (DecLat-O1487))&gt;90, (90 - (O1487-DecLat)), (90 - (DecLat-O1487))),IF((90 + (DecLat-O1487))&gt;90, (90 + (O1487-DecLat)), (90 + (DecLat-O1487))))</f>
        <v>21.31583333333333</v>
      </c>
      <c r="AG1487" s="257">
        <f>angularseperation(MoonRA,MoonDec,$M1487,$O1487)</f>
        <v>96.924034450869428</v>
      </c>
      <c r="AH1487" s="261">
        <f ca="1">MIN(100,IF($O$5&gt;80,0+30*($AG1487/100),IF($O$5&gt;70,0+50*($AG1487/100),IF($O$5&gt;60,5+50*($AG1487/100),IF($O$5&gt;50,10+60*($AG1487/100),IF($O$5&gt;40,15+70*($AG1487/100),IF($O$5&gt;30,20+70*($AG1487/100),IF($O$5&gt;20,40+55*($AG1487/100),(80+(20-$O$5)+30*($AG1487/100))))))))))</f>
        <v>100</v>
      </c>
      <c r="AI1487" s="262">
        <v>300</v>
      </c>
      <c r="AJ1487" s="262"/>
      <c r="AK1487" s="262"/>
      <c r="AL1487" s="263"/>
      <c r="AM1487" s="264">
        <v>70</v>
      </c>
      <c r="AN1487" s="263"/>
      <c r="AO1487" s="263"/>
      <c r="AP1487" s="265"/>
      <c r="AQ1487" s="266"/>
      <c r="AR1487" s="267">
        <v>3238</v>
      </c>
      <c r="AS1487" s="263"/>
      <c r="AT1487" s="263"/>
      <c r="AU1487" s="263"/>
      <c r="AV1487" s="264"/>
      <c r="AW1487" s="263"/>
      <c r="AX1487" s="263"/>
      <c r="AY1487" s="263"/>
      <c r="AZ1487" s="263"/>
      <c r="BA1487" s="263"/>
      <c r="BB1487" s="263"/>
      <c r="BC1487" s="263"/>
      <c r="BD1487" s="264"/>
      <c r="BE1487" s="263"/>
      <c r="BF1487" s="263"/>
      <c r="BG1487" s="263"/>
      <c r="BH1487" s="263"/>
      <c r="BI1487" s="263"/>
      <c r="BJ1487" s="404">
        <f>altaz(J2000_Bas,$O1487,$M1487,DecLat,DecLong,2)</f>
        <v>124.33946126009583</v>
      </c>
      <c r="BK1487" s="378" t="s">
        <v>1519</v>
      </c>
      <c r="BL1487" s="379">
        <f>IF((2*G1487)/60&lt;0.2,0.2,(2*G1487)/60)</f>
        <v>0.73333333333333328</v>
      </c>
      <c r="BM1487" s="380">
        <f>MOD((50000+AD1487-$B$3+(0/24)),1)</f>
        <v>0.24638031244830927</v>
      </c>
      <c r="BN1487" s="381"/>
      <c r="BO1487" s="382">
        <v>1480</v>
      </c>
    </row>
    <row r="1488" spans="1:67" s="24" customFormat="1" ht="15" customHeight="1" x14ac:dyDescent="0.25">
      <c r="A1488" s="288" t="s">
        <v>1520</v>
      </c>
      <c r="B1488" s="241" t="str">
        <f>HYPERLINK(CONCATENATE($AT$3,BK1488,$AU$3),$AV$3)</f>
        <v>S</v>
      </c>
      <c r="C1488" s="242" t="str">
        <f>HYPERLINK(CONCATENATE($AT$4,BK1488,$AU$4,BL1488),$AV$4)</f>
        <v>A</v>
      </c>
      <c r="D1488" s="243" t="s">
        <v>5638</v>
      </c>
      <c r="E1488" s="244" t="s">
        <v>5192</v>
      </c>
      <c r="F1488" s="269" t="s">
        <v>8895</v>
      </c>
      <c r="G1488" s="273">
        <v>2.6</v>
      </c>
      <c r="H1488" s="283">
        <v>260.06022000000002</v>
      </c>
      <c r="I1488" s="246">
        <v>200</v>
      </c>
      <c r="J1488" s="246">
        <v>3</v>
      </c>
      <c r="K1488" s="247" t="s">
        <v>6554</v>
      </c>
      <c r="L1488" s="248">
        <v>5643</v>
      </c>
      <c r="M1488" s="249">
        <f>15*(LEFT(TEXT($L1488,"000000"),2)+(MID(TEXT($L1488,"000000"),3,2)/60)+(RIGHT(TEXT($L1488,"000000"),2)/3600))</f>
        <v>14.179166666666667</v>
      </c>
      <c r="N1488" s="250">
        <v>-95450</v>
      </c>
      <c r="O1488" s="251">
        <f>IF($N1488&gt;0,(LEFT(TEXT($N1488,"000000"),2)+(MID(TEXT($N1488,"000000"),3,2)/60)+(RIGHT(TEXT($N1488,"000000"),2)/3600)),-(MID(TEXT($N1488,"000000"),2,2)+(MID(TEXT($N1488,"000000"),4,2)/60)+(RIGHT(TEXT($N1488,"000000"),2)/3600)))</f>
        <v>-9.9138888888888896</v>
      </c>
      <c r="P1488" s="252" t="s">
        <v>75</v>
      </c>
      <c r="Q1488" s="253"/>
      <c r="R1488" s="247" t="s">
        <v>3293</v>
      </c>
      <c r="S1488" s="272" t="s">
        <v>3293</v>
      </c>
      <c r="T1488" s="273">
        <v>11.9</v>
      </c>
      <c r="U1488" s="289">
        <v>22.89</v>
      </c>
      <c r="V1488" s="280">
        <v>25</v>
      </c>
      <c r="W1488" s="244"/>
      <c r="X1488" s="244"/>
      <c r="Y1488" s="362"/>
      <c r="Z1488" s="257">
        <f>altaz(J2000_Bas,$O1488,$M1488,DecLat,DecLong,1)</f>
        <v>-3.5434369892500408</v>
      </c>
      <c r="AA1488" s="257">
        <f>altaz((J2000_Bas+(2*0.04167)),$O1488,$M1488,DecLat,DecLong,1)</f>
        <v>20.954312880142769</v>
      </c>
      <c r="AB1488" s="257">
        <f>altaz((J2000_Bas+(4*0.04167)),$O1488,$M1488,DecLat,DecLong,1)</f>
        <v>41.056876437347647</v>
      </c>
      <c r="AC1488" s="257">
        <f>altaz((J2000_Bas+(6*0.04167)),$O1488,$M1488,DecLat,DecLong,1)</f>
        <v>49.037600148254214</v>
      </c>
      <c r="AD1488" s="258">
        <f>1+ transit((J2000_Bas-1),$O1488,$M1488,DecLat,DecLong)/360 + (GMTOffset/24) + (IF(DST="Y", 1, 0)/24)</f>
        <v>1.0322865307651246</v>
      </c>
      <c r="AE1488" s="259">
        <f>DATE(2001,9,21)+(M1488/360)*365 - (360*((DecLong/360)- (GMTOffset/24) ))</f>
        <v>37174.376099537039</v>
      </c>
      <c r="AF1488" s="260">
        <f>IF(DecLat&gt;0,IF((90 - (DecLat-O1488))&gt;90, (90 - (O1488-DecLat)), (90 - (DecLat-O1488))),IF((90 + (DecLat-O1488))&gt;90, (90 + (O1488-DecLat)), (90 + (DecLat-O1488))))</f>
        <v>49.086111111111109</v>
      </c>
      <c r="AG1488" s="257">
        <f>angularseperation(MoonRA,MoonDec,$M1488,$O1488)</f>
        <v>115.07961802574955</v>
      </c>
      <c r="AH1488" s="261">
        <f ca="1">MIN(100,IF($O$5&gt;80,0+30*($AG1488/100),IF($O$5&gt;70,0+50*($AG1488/100),IF($O$5&gt;60,5+50*($AG1488/100),IF($O$5&gt;50,10+60*($AG1488/100),IF($O$5&gt;40,15+70*($AG1488/100),IF($O$5&gt;30,20+70*($AG1488/100),IF($O$5&gt;20,40+55*($AG1488/100),(80+(20-$O$5)+30*($AG1488/100))))))))))</f>
        <v>100</v>
      </c>
      <c r="AI1488" s="262">
        <v>309</v>
      </c>
      <c r="AJ1488" s="262"/>
      <c r="AK1488" s="262"/>
      <c r="AL1488" s="263"/>
      <c r="AM1488" s="264"/>
      <c r="AN1488" s="263"/>
      <c r="AO1488" s="263"/>
      <c r="AP1488" s="265"/>
      <c r="AQ1488" s="266"/>
      <c r="AR1488" s="267">
        <v>3377</v>
      </c>
      <c r="AS1488" s="263"/>
      <c r="AT1488" s="263"/>
      <c r="AU1488" s="263"/>
      <c r="AV1488" s="264"/>
      <c r="AW1488" s="263"/>
      <c r="AX1488" s="263"/>
      <c r="AY1488" s="263"/>
      <c r="AZ1488" s="263"/>
      <c r="BA1488" s="263"/>
      <c r="BB1488" s="263"/>
      <c r="BC1488" s="263"/>
      <c r="BD1488" s="264"/>
      <c r="BE1488" s="263"/>
      <c r="BF1488" s="263"/>
      <c r="BG1488" s="263"/>
      <c r="BH1488" s="263"/>
      <c r="BI1488" s="263"/>
      <c r="BJ1488" s="404">
        <f>altaz(J2000_Bas,$O1488,$M1488,DecLat,DecLong,2)</f>
        <v>99.4411269464035</v>
      </c>
      <c r="BK1488" s="378" t="s">
        <v>1520</v>
      </c>
      <c r="BL1488" s="379">
        <f>IF((2*G1488)/60&lt;0.2,0.2,(2*G1488)/60)</f>
        <v>0.2</v>
      </c>
      <c r="BM1488" s="380">
        <f>MOD((50000+AD1488-$B$3+(0/24)),1)</f>
        <v>0.24765346047206549</v>
      </c>
      <c r="BN1488" s="381" t="s">
        <v>9220</v>
      </c>
      <c r="BO1488" s="382">
        <v>1481</v>
      </c>
    </row>
    <row r="1489" spans="1:67" s="24" customFormat="1" ht="15" customHeight="1" x14ac:dyDescent="0.25">
      <c r="A1489" s="287" t="s">
        <v>3043</v>
      </c>
      <c r="B1489" s="241" t="str">
        <f>HYPERLINK(CONCATENATE($AT$3,BK1489,$AU$3),$AV$3)</f>
        <v>S</v>
      </c>
      <c r="C1489" s="242" t="str">
        <f>HYPERLINK(CONCATENATE($AT$4,BK1489,$AU$4,BL1489),$AV$4)</f>
        <v>A</v>
      </c>
      <c r="D1489" s="243" t="s">
        <v>5638</v>
      </c>
      <c r="E1489" s="244" t="s">
        <v>5193</v>
      </c>
      <c r="F1489" s="269" t="s">
        <v>3304</v>
      </c>
      <c r="G1489" s="273">
        <v>3</v>
      </c>
      <c r="H1489" s="283">
        <v>210</v>
      </c>
      <c r="I1489" s="246">
        <v>180</v>
      </c>
      <c r="J1489" s="246">
        <v>2</v>
      </c>
      <c r="K1489" s="247" t="s">
        <v>7452</v>
      </c>
      <c r="L1489" s="248">
        <v>5749</v>
      </c>
      <c r="M1489" s="249">
        <f>15*(LEFT(TEXT($L1489,"000000"),2)+(MID(TEXT($L1489,"000000"),3,2)/60)+(RIGHT(TEXT($L1489,"000000"),2)/3600))</f>
        <v>14.454166666666666</v>
      </c>
      <c r="N1489" s="250">
        <v>302109</v>
      </c>
      <c r="O1489" s="251">
        <f>IF($N1489&gt;0,(LEFT(TEXT($N1489,"000000"),2)+(MID(TEXT($N1489,"000000"),3,2)/60)+(RIGHT(TEXT($N1489,"000000"),2)/3600)),-(MID(TEXT($N1489,"000000"),2,2)+(MID(TEXT($N1489,"000000"),4,2)/60)+(RIGHT(TEXT($N1489,"000000"),2)/3600)))</f>
        <v>30.352500000000003</v>
      </c>
      <c r="P1489" s="252" t="s">
        <v>158</v>
      </c>
      <c r="Q1489" s="253"/>
      <c r="R1489" s="277" t="s">
        <v>3293</v>
      </c>
      <c r="S1489" s="272" t="s">
        <v>3293</v>
      </c>
      <c r="T1489" s="273">
        <v>11.2</v>
      </c>
      <c r="U1489" s="289">
        <v>22.09</v>
      </c>
      <c r="V1489" s="280"/>
      <c r="W1489" s="244"/>
      <c r="X1489" s="244"/>
      <c r="Y1489" s="362"/>
      <c r="Z1489" s="257">
        <f>altaz(J2000_Bas,$O1489,$M1489,DecLat,DecLong,1)</f>
        <v>16.27489856812506</v>
      </c>
      <c r="AA1489" s="257">
        <f>altaz((J2000_Bas+(2*0.04167)),$O1489,$M1489,DecLat,DecLong,1)</f>
        <v>40.406169388248451</v>
      </c>
      <c r="AB1489" s="257">
        <f>altaz((J2000_Bas+(4*0.04167)),$O1489,$M1489,DecLat,DecLong,1)</f>
        <v>65.732319508266229</v>
      </c>
      <c r="AC1489" s="257">
        <f>altaz((J2000_Bas+(6*0.04167)),$O1489,$M1489,DecLat,DecLong,1)</f>
        <v>88.320301935757755</v>
      </c>
      <c r="AD1489" s="258">
        <f>1+ transit((J2000_Bas-1),$O1489,$M1489,DecLat,DecLong)/360 + (GMTOffset/24) + (IF(DST="Y", 1, 0)/24)</f>
        <v>1.0330504195776247</v>
      </c>
      <c r="AE1489" s="259">
        <f>DATE(2001,9,21)+(M1489/360)*365 - (360*((DecLong/360)- (GMTOffset/24) ))</f>
        <v>37174.654918981483</v>
      </c>
      <c r="AF1489" s="260">
        <f>IF(DecLat&gt;0,IF((90 - (DecLat-O1489))&gt;90, (90 - (O1489-DecLat)), (90 - (DecLat-O1489))),IF((90 + (DecLat-O1489))&gt;90, (90 + (O1489-DecLat)), (90 + (DecLat-O1489))))</f>
        <v>89.352500000000006</v>
      </c>
      <c r="AG1489" s="257">
        <f>angularseperation(MoonRA,MoonDec,$M1489,$O1489)</f>
        <v>132.30517723908073</v>
      </c>
      <c r="AH1489" s="261">
        <f ca="1">MIN(100,IF($O$5&gt;80,0+30*($AG1489/100),IF($O$5&gt;70,0+50*($AG1489/100),IF($O$5&gt;60,5+50*($AG1489/100),IF($O$5&gt;50,10+60*($AG1489/100),IF($O$5&gt;40,15+70*($AG1489/100),IF($O$5&gt;30,20+70*($AG1489/100),IF($O$5&gt;20,40+55*($AG1489/100),(80+(20-$O$5)+30*($AG1489/100))))))))))</f>
        <v>100</v>
      </c>
      <c r="AI1489" s="262">
        <v>315</v>
      </c>
      <c r="AJ1489" s="263"/>
      <c r="AK1489" s="263"/>
      <c r="AL1489" s="263"/>
      <c r="AM1489" s="264"/>
      <c r="AN1489" s="263"/>
      <c r="AO1489" s="263"/>
      <c r="AP1489" s="265"/>
      <c r="AQ1489" s="265">
        <v>597</v>
      </c>
      <c r="AR1489" s="285">
        <v>3455</v>
      </c>
      <c r="AS1489" s="263"/>
      <c r="AT1489" s="263"/>
      <c r="AU1489" s="263"/>
      <c r="AV1489" s="264"/>
      <c r="AW1489" s="263"/>
      <c r="AX1489" s="263"/>
      <c r="AY1489" s="263"/>
      <c r="AZ1489" s="263"/>
      <c r="BA1489" s="263"/>
      <c r="BB1489" s="263"/>
      <c r="BC1489" s="263"/>
      <c r="BD1489" s="264"/>
      <c r="BE1489" s="263"/>
      <c r="BF1489" s="263"/>
      <c r="BG1489" s="263"/>
      <c r="BH1489" s="263"/>
      <c r="BI1489" s="263"/>
      <c r="BJ1489" s="404">
        <f>altaz(J2000_Bas,$O1489,$M1489,DecLat,DecLong,2)</f>
        <v>63.97823078879577</v>
      </c>
      <c r="BK1489" s="378" t="s">
        <v>3043</v>
      </c>
      <c r="BL1489" s="379">
        <f>IF((2*G1489)/60&lt;0.2,0.2,(2*G1489)/60)</f>
        <v>0.2</v>
      </c>
      <c r="BM1489" s="380">
        <f>MOD((50000+AD1489-$B$3+(0/24)),1)</f>
        <v>0.24841734928486403</v>
      </c>
      <c r="BN1489" s="381"/>
      <c r="BO1489" s="382">
        <v>1482</v>
      </c>
    </row>
    <row r="1490" spans="1:67" s="24" customFormat="1" ht="15" customHeight="1" x14ac:dyDescent="0.25">
      <c r="A1490" s="288" t="s">
        <v>1521</v>
      </c>
      <c r="B1490" s="241" t="str">
        <f>HYPERLINK(CONCATENATE($AT$3,BK1490,$AU$3),$AV$3)</f>
        <v>S</v>
      </c>
      <c r="C1490" s="242" t="str">
        <f>HYPERLINK(CONCATENATE($AT$4,BK1490,$AU$4,BL1490),$AV$4)</f>
        <v>A</v>
      </c>
      <c r="D1490" s="243" t="s">
        <v>5638</v>
      </c>
      <c r="E1490" s="244" t="s">
        <v>5337</v>
      </c>
      <c r="F1490" s="269" t="s">
        <v>3310</v>
      </c>
      <c r="G1490" s="273">
        <v>2.5</v>
      </c>
      <c r="H1490" s="283">
        <v>220</v>
      </c>
      <c r="I1490" s="246">
        <v>150</v>
      </c>
      <c r="J1490" s="246">
        <v>2</v>
      </c>
      <c r="K1490" s="247" t="s">
        <v>6555</v>
      </c>
      <c r="L1490" s="248">
        <v>5740</v>
      </c>
      <c r="M1490" s="249">
        <f>15*(LEFT(TEXT($L1490,"000000"),2)+(MID(TEXT($L1490,"000000"),3,2)/60)+(RIGHT(TEXT($L1490,"000000"),2)/3600))</f>
        <v>14.416666666666666</v>
      </c>
      <c r="N1490" s="250">
        <v>434732</v>
      </c>
      <c r="O1490" s="251">
        <f>IF($N1490&gt;0,(LEFT(TEXT($N1490,"000000"),2)+(MID(TEXT($N1490,"000000"),3,2)/60)+(RIGHT(TEXT($N1490,"000000"),2)/3600)),-(MID(TEXT($N1490,"000000"),2,2)+(MID(TEXT($N1490,"000000"),4,2)/60)+(RIGHT(TEXT($N1490,"000000"),2)/3600)))</f>
        <v>43.792222222222222</v>
      </c>
      <c r="P1490" s="252" t="s">
        <v>36</v>
      </c>
      <c r="Q1490" s="253"/>
      <c r="R1490" s="247" t="s">
        <v>3293</v>
      </c>
      <c r="S1490" s="272" t="s">
        <v>3293</v>
      </c>
      <c r="T1490" s="273">
        <v>13.5</v>
      </c>
      <c r="U1490" s="289">
        <v>22.89</v>
      </c>
      <c r="V1490" s="280"/>
      <c r="W1490" s="244"/>
      <c r="X1490" s="244"/>
      <c r="Y1490" s="362"/>
      <c r="Z1490" s="257">
        <f>altaz(J2000_Bas,$O1490,$M1490,DecLat,DecLong,1)</f>
        <v>21.935004671101794</v>
      </c>
      <c r="AA1490" s="257">
        <f>altaz((J2000_Bas+(2*0.04167)),$O1490,$M1490,DecLat,DecLong,1)</f>
        <v>42.944847335270204</v>
      </c>
      <c r="AB1490" s="257">
        <f>altaz((J2000_Bas+(4*0.04167)),$O1490,$M1490,DecLat,DecLong,1)</f>
        <v>64.35678728452784</v>
      </c>
      <c r="AC1490" s="257">
        <f>altaz((J2000_Bas+(6*0.04167)),$O1490,$M1490,DecLat,DecLong,1)</f>
        <v>77.125517894923064</v>
      </c>
      <c r="AD1490" s="258">
        <f>1+ transit((J2000_Bas-1),$O1490,$M1490,DecLat,DecLong)/360 + (GMTOffset/24) + (IF(DST="Y", 1, 0)/24)</f>
        <v>1.0329462529213747</v>
      </c>
      <c r="AE1490" s="259">
        <f>DATE(2001,9,21)+(M1490/360)*365 - (360*((DecLong/360)- (GMTOffset/24) ))</f>
        <v>37174.616898148146</v>
      </c>
      <c r="AF1490" s="260">
        <f>IF(DecLat&gt;0,IF((90 - (DecLat-O1490))&gt;90, (90 - (O1490-DecLat)), (90 - (DecLat-O1490))),IF((90 + (DecLat-O1490))&gt;90, (90 + (O1490-DecLat)), (90 + (DecLat-O1490))))</f>
        <v>77.207777777777778</v>
      </c>
      <c r="AG1490" s="257">
        <f>angularseperation(MoonRA,MoonDec,$M1490,$O1490)</f>
        <v>133.26120345716765</v>
      </c>
      <c r="AH1490" s="261">
        <f ca="1">MIN(100,IF($O$5&gt;80,0+30*($AG1490/100),IF($O$5&gt;70,0+50*($AG1490/100),IF($O$5&gt;60,5+50*($AG1490/100),IF($O$5&gt;50,10+60*($AG1490/100),IF($O$5&gt;40,15+70*($AG1490/100),IF($O$5&gt;30,20+70*($AG1490/100),IF($O$5&gt;20,40+55*($AG1490/100),(80+(20-$O$5)+30*($AG1490/100))))))))))</f>
        <v>100</v>
      </c>
      <c r="AI1490" s="262">
        <v>317</v>
      </c>
      <c r="AJ1490" s="262"/>
      <c r="AK1490" s="262"/>
      <c r="AL1490" s="263"/>
      <c r="AM1490" s="264"/>
      <c r="AN1490" s="263"/>
      <c r="AO1490" s="263"/>
      <c r="AP1490" s="265"/>
      <c r="AQ1490" s="266">
        <v>593</v>
      </c>
      <c r="AR1490" s="267">
        <v>3442</v>
      </c>
      <c r="AS1490" s="263"/>
      <c r="AT1490" s="263"/>
      <c r="AU1490" s="263"/>
      <c r="AV1490" s="264"/>
      <c r="AW1490" s="263"/>
      <c r="AX1490" s="263"/>
      <c r="AY1490" s="263"/>
      <c r="AZ1490" s="263"/>
      <c r="BA1490" s="263"/>
      <c r="BB1490" s="263"/>
      <c r="BC1490" s="263"/>
      <c r="BD1490" s="264"/>
      <c r="BE1490" s="263"/>
      <c r="BF1490" s="263"/>
      <c r="BG1490" s="263"/>
      <c r="BH1490" s="263"/>
      <c r="BI1490" s="263"/>
      <c r="BJ1490" s="404">
        <f>altaz(J2000_Bas,$O1490,$M1490,DecLat,DecLong,2)</f>
        <v>51.067839720445548</v>
      </c>
      <c r="BK1490" s="378" t="s">
        <v>1521</v>
      </c>
      <c r="BL1490" s="379">
        <f>IF((2*G1490)/60&lt;0.2,0.2,(2*G1490)/60)</f>
        <v>0.2</v>
      </c>
      <c r="BM1490" s="380">
        <f>MOD((50000+AD1490-$B$3+(0/24)),1)</f>
        <v>0.24831318262295099</v>
      </c>
      <c r="BN1490" s="381"/>
      <c r="BO1490" s="382">
        <v>1483</v>
      </c>
    </row>
    <row r="1491" spans="1:67" s="24" customFormat="1" ht="15" customHeight="1" x14ac:dyDescent="0.25">
      <c r="A1491" s="288" t="s">
        <v>1522</v>
      </c>
      <c r="B1491" s="241" t="str">
        <f>HYPERLINK(CONCATENATE($AT$3,BK1491,$AU$3),$AV$3)</f>
        <v>S</v>
      </c>
      <c r="C1491" s="242" t="str">
        <f>HYPERLINK(CONCATENATE($AT$4,BK1491,$AU$4,BL1491),$AV$4)</f>
        <v>A</v>
      </c>
      <c r="D1491" s="243" t="s">
        <v>5638</v>
      </c>
      <c r="E1491" s="244" t="s">
        <v>5192</v>
      </c>
      <c r="F1491" s="269" t="s">
        <v>8895</v>
      </c>
      <c r="G1491" s="273">
        <v>2.8</v>
      </c>
      <c r="H1491" s="283">
        <v>60</v>
      </c>
      <c r="I1491" s="246">
        <v>50</v>
      </c>
      <c r="J1491" s="246">
        <v>3</v>
      </c>
      <c r="K1491" s="247" t="s">
        <v>6556</v>
      </c>
      <c r="L1491" s="248">
        <v>5950</v>
      </c>
      <c r="M1491" s="249">
        <f>15*(LEFT(TEXT($L1491,"000000"),2)+(MID(TEXT($L1491,"000000"),3,2)/60)+(RIGHT(TEXT($L1491,"000000"),2)/3600))</f>
        <v>14.958333333333332</v>
      </c>
      <c r="N1491" s="250">
        <v>-73439</v>
      </c>
      <c r="O1491" s="251">
        <f>IF($N1491&gt;0,(LEFT(TEXT($N1491,"000000"),2)+(MID(TEXT($N1491,"000000"),3,2)/60)+(RIGHT(TEXT($N1491,"000000"),2)/3600)),-(MID(TEXT($N1491,"000000"),2,2)+(MID(TEXT($N1491,"000000"),4,2)/60)+(RIGHT(TEXT($N1491,"000000"),2)/3600)))</f>
        <v>-7.5774999999999997</v>
      </c>
      <c r="P1491" s="252" t="s">
        <v>75</v>
      </c>
      <c r="Q1491" s="253"/>
      <c r="R1491" s="277" t="s">
        <v>3293</v>
      </c>
      <c r="S1491" s="272" t="s">
        <v>3293</v>
      </c>
      <c r="T1491" s="273">
        <v>11.6</v>
      </c>
      <c r="U1491" s="289">
        <v>22.19</v>
      </c>
      <c r="V1491" s="280">
        <v>60</v>
      </c>
      <c r="W1491" s="244"/>
      <c r="X1491" s="244"/>
      <c r="Y1491" s="362"/>
      <c r="Z1491" s="257">
        <f>altaz(J2000_Bas,$O1491,$M1491,DecLat,DecLong,1)</f>
        <v>-3.0054438346883234</v>
      </c>
      <c r="AA1491" s="257">
        <f>altaz((J2000_Bas+(2*0.04167)),$O1491,$M1491,DecLat,DecLong,1)</f>
        <v>21.798196486573346</v>
      </c>
      <c r="AB1491" s="257">
        <f>altaz((J2000_Bas+(4*0.04167)),$O1491,$M1491,DecLat,DecLong,1)</f>
        <v>42.591051802727371</v>
      </c>
      <c r="AC1491" s="257">
        <f>altaz((J2000_Bas+(6*0.04167)),$O1491,$M1491,DecLat,DecLong,1)</f>
        <v>51.402473624838279</v>
      </c>
      <c r="AD1491" s="258">
        <f>1+ transit((J2000_Bas-1),$O1491,$M1491,DecLat,DecLong)/360 + (GMTOffset/24) + (IF(DST="Y", 1, 0)/24)</f>
        <v>1.0344508824005414</v>
      </c>
      <c r="AE1491" s="259">
        <f>DATE(2001,9,21)+(M1491/360)*365 - (360*((DecLong/360)- (GMTOffset/24) ))</f>
        <v>37175.166087962964</v>
      </c>
      <c r="AF1491" s="260">
        <f>IF(DecLat&gt;0,IF((90 - (DecLat-O1491))&gt;90, (90 - (O1491-DecLat)), (90 - (DecLat-O1491))),IF((90 + (DecLat-O1491))&gt;90, (90 + (O1491-DecLat)), (90 + (DecLat-O1491))))</f>
        <v>51.422499999999999</v>
      </c>
      <c r="AG1491" s="257">
        <f>angularseperation(MoonRA,MoonDec,$M1491,$O1491)</f>
        <v>117.07646519902167</v>
      </c>
      <c r="AH1491" s="261">
        <f ca="1">MIN(100,IF($O$5&gt;80,0+30*($AG1491/100),IF($O$5&gt;70,0+50*($AG1491/100),IF($O$5&gt;60,5+50*($AG1491/100),IF($O$5&gt;50,10+60*($AG1491/100),IF($O$5&gt;40,15+70*($AG1491/100),IF($O$5&gt;30,20+70*($AG1491/100),IF($O$5&gt;20,40+55*($AG1491/100),(80+(20-$O$5)+30*($AG1491/100))))))))))</f>
        <v>100</v>
      </c>
      <c r="AI1491" s="262">
        <v>337</v>
      </c>
      <c r="AJ1491" s="263"/>
      <c r="AK1491" s="263"/>
      <c r="AL1491" s="263"/>
      <c r="AM1491" s="264"/>
      <c r="AN1491" s="263"/>
      <c r="AO1491" s="263"/>
      <c r="AP1491" s="265"/>
      <c r="AQ1491" s="265"/>
      <c r="AR1491" s="285">
        <v>3572</v>
      </c>
      <c r="AS1491" s="263"/>
      <c r="AT1491" s="263"/>
      <c r="AU1491" s="263"/>
      <c r="AV1491" s="264"/>
      <c r="AW1491" s="263"/>
      <c r="AX1491" s="263"/>
      <c r="AY1491" s="263"/>
      <c r="AZ1491" s="263"/>
      <c r="BA1491" s="263"/>
      <c r="BB1491" s="263"/>
      <c r="BC1491" s="263"/>
      <c r="BD1491" s="264"/>
      <c r="BE1491" s="263"/>
      <c r="BF1491" s="263"/>
      <c r="BG1491" s="263"/>
      <c r="BH1491" s="263"/>
      <c r="BI1491" s="263"/>
      <c r="BJ1491" s="404">
        <f>altaz(J2000_Bas,$O1491,$M1491,DecLat,DecLong,2)</f>
        <v>97.036722625283744</v>
      </c>
      <c r="BK1491" s="378" t="s">
        <v>1522</v>
      </c>
      <c r="BL1491" s="379">
        <f>IF((2*G1491)/60&lt;0.2,0.2,(2*G1491)/60)</f>
        <v>0.2</v>
      </c>
      <c r="BM1491" s="380">
        <f>MOD((50000+AD1491-$B$3+(0/24)),1)</f>
        <v>0.24981781210226472</v>
      </c>
      <c r="BN1491" s="381" t="s">
        <v>9221</v>
      </c>
      <c r="BO1491" s="382">
        <v>1484</v>
      </c>
    </row>
    <row r="1492" spans="1:67" s="24" customFormat="1" ht="15" customHeight="1" x14ac:dyDescent="0.25">
      <c r="A1492" s="287" t="s">
        <v>5641</v>
      </c>
      <c r="B1492" s="241" t="str">
        <f>HYPERLINK(CONCATENATE($AT$3,BK1492,$AU$3),$AV$3)</f>
        <v>S</v>
      </c>
      <c r="C1492" s="242" t="str">
        <f>HYPERLINK(CONCATENATE($AT$4,BK1492,$AU$4,BL1492),$AV$4)</f>
        <v>A</v>
      </c>
      <c r="D1492" s="243" t="s">
        <v>5187</v>
      </c>
      <c r="E1492" s="244" t="s">
        <v>5183</v>
      </c>
      <c r="F1492" s="269" t="s">
        <v>9158</v>
      </c>
      <c r="G1492" s="273">
        <v>5</v>
      </c>
      <c r="H1492" s="271">
        <v>200000</v>
      </c>
      <c r="I1492" s="246">
        <v>300</v>
      </c>
      <c r="J1492" s="246">
        <v>5</v>
      </c>
      <c r="K1492" s="247" t="s">
        <v>5576</v>
      </c>
      <c r="L1492" s="248">
        <v>5918</v>
      </c>
      <c r="M1492" s="249">
        <f>15*(LEFT(TEXT($L1492,"000000"),2)+(MID(TEXT($L1492,"000000"),3,2)/60)+(RIGHT(TEXT($L1492,"000000"),2)/3600))</f>
        <v>14.824999999999999</v>
      </c>
      <c r="N1492" s="250">
        <v>-720948</v>
      </c>
      <c r="O1492" s="251">
        <f>IF($N1492&gt;0,(LEFT(TEXT($N1492,"000000"),2)+(MID(TEXT($N1492,"000000"),3,2)/60)+(RIGHT(TEXT($N1492,"000000"),2)/3600)),-(MID(TEXT($N1492,"000000"),2,2)+(MID(TEXT($N1492,"000000"),4,2)/60)+(RIGHT(TEXT($N1492,"000000"),2)/3600)))</f>
        <v>-72.163333333333341</v>
      </c>
      <c r="P1492" s="252" t="s">
        <v>1491</v>
      </c>
      <c r="Q1492" s="253"/>
      <c r="R1492" s="277" t="s">
        <v>3293</v>
      </c>
      <c r="S1492" s="272" t="s">
        <v>3293</v>
      </c>
      <c r="T1492" s="273">
        <v>10.3</v>
      </c>
      <c r="U1492" s="274"/>
      <c r="V1492" s="280"/>
      <c r="W1492" s="244"/>
      <c r="X1492" s="244"/>
      <c r="Y1492" s="362"/>
      <c r="Z1492" s="257">
        <f>altaz(J2000_Bas,$O1492,$M1492,DecLat,DecLong,1)</f>
        <v>-29.005004445616322</v>
      </c>
      <c r="AA1492" s="257">
        <f>altaz((J2000_Bas+(2*0.04167)),$O1492,$M1492,DecLat,DecLong,1)</f>
        <v>-20.733898525985808</v>
      </c>
      <c r="AB1492" s="257">
        <f>altaz((J2000_Bas+(4*0.04167)),$O1492,$M1492,DecLat,DecLong,1)</f>
        <v>-15.062992416524377</v>
      </c>
      <c r="AC1492" s="257">
        <f>altaz((J2000_Bas+(6*0.04167)),$O1492,$M1492,DecLat,DecLong,1)</f>
        <v>-13.168153344459816</v>
      </c>
      <c r="AD1492" s="258">
        <f>1+ transit((J2000_Bas-1),$O1492,$M1492,DecLat,DecLong)/360 + (GMTOffset/24) + (IF(DST="Y", 1, 0)/24)</f>
        <v>1.0340805120672081</v>
      </c>
      <c r="AE1492" s="259">
        <f>DATE(2001,9,21)+(M1492/360)*365 - (360*((DecLong/360)- (GMTOffset/24) ))</f>
        <v>37175.030902777777</v>
      </c>
      <c r="AF1492" s="260">
        <f>IF(DecLat&gt;0,IF((90 - (DecLat-O1492))&gt;90, (90 - (O1492-DecLat)), (90 - (DecLat-O1492))),IF((90 + (DecLat-O1492))&gt;90, (90 + (O1492-DecLat)), (90 + (DecLat-O1492))))</f>
        <v>-13.163333333333341</v>
      </c>
      <c r="AG1492" s="257">
        <f>angularseperation(MoonRA,MoonDec,$M1492,$O1492)</f>
        <v>74.054372477443124</v>
      </c>
      <c r="AH1492" s="261">
        <f ca="1">MIN(100,IF($O$5&gt;80,0+30*($AG1492/100),IF($O$5&gt;70,0+50*($AG1492/100),IF($O$5&gt;60,5+50*($AG1492/100),IF($O$5&gt;50,10+60*($AG1492/100),IF($O$5&gt;40,15+70*($AG1492/100),IF($O$5&gt;30,20+70*($AG1492/100),IF($O$5&gt;20,40+55*($AG1492/100),(80+(20-$O$5)+30*($AG1492/100))))))))))</f>
        <v>100</v>
      </c>
      <c r="AI1492" s="263">
        <v>346</v>
      </c>
      <c r="AJ1492" s="263"/>
      <c r="AK1492" s="263"/>
      <c r="AL1492" s="263"/>
      <c r="AM1492" s="264"/>
      <c r="AN1492" s="263"/>
      <c r="AO1492" s="263"/>
      <c r="AP1492" s="265"/>
      <c r="AQ1492" s="265"/>
      <c r="AR1492" s="285"/>
      <c r="AS1492" s="263"/>
      <c r="AT1492" s="263"/>
      <c r="AU1492" s="263"/>
      <c r="AV1492" s="264"/>
      <c r="AW1492" s="263"/>
      <c r="AX1492" s="263"/>
      <c r="AY1492" s="263"/>
      <c r="AZ1492" s="263"/>
      <c r="BA1492" s="263"/>
      <c r="BB1492" s="263"/>
      <c r="BC1492" s="263"/>
      <c r="BD1492" s="264"/>
      <c r="BE1492" s="263"/>
      <c r="BF1492" s="263"/>
      <c r="BG1492" s="263"/>
      <c r="BH1492" s="263"/>
      <c r="BI1492" s="263"/>
      <c r="BJ1492" s="404">
        <f>altaz(J2000_Bas,$O1492,$M1492,DecLat,DecLong,2)</f>
        <v>159.50304811721904</v>
      </c>
      <c r="BK1492" s="378" t="s">
        <v>5575</v>
      </c>
      <c r="BL1492" s="379">
        <f>IF((2*G1492)/60&lt;0.2,0.2,(2*G1492)/60)</f>
        <v>0.2</v>
      </c>
      <c r="BM1492" s="380">
        <f>MOD((50000+AD1492-$B$3+(0/24)),1)</f>
        <v>0.24944744176900713</v>
      </c>
      <c r="BN1492" s="381"/>
      <c r="BO1492" s="382">
        <v>1485</v>
      </c>
    </row>
    <row r="1493" spans="1:67" s="24" customFormat="1" ht="15" customHeight="1" x14ac:dyDescent="0.25">
      <c r="A1493" s="298" t="s">
        <v>1523</v>
      </c>
      <c r="B1493" s="241" t="str">
        <f>HYPERLINK(CONCATENATE($AT$3,BK1493,$AU$3),$AV$3)</f>
        <v>S</v>
      </c>
      <c r="C1493" s="242" t="str">
        <f>HYPERLINK(CONCATENATE($AT$4,BK1493,$AU$4,BL1493),$AV$4)</f>
        <v>A</v>
      </c>
      <c r="D1493" s="243" t="s">
        <v>5335</v>
      </c>
      <c r="E1493" s="244" t="s">
        <v>5184</v>
      </c>
      <c r="F1493" s="269" t="s">
        <v>3301</v>
      </c>
      <c r="G1493" s="276">
        <v>14</v>
      </c>
      <c r="H1493" s="283">
        <v>30000</v>
      </c>
      <c r="I1493" s="246">
        <v>120</v>
      </c>
      <c r="J1493" s="246">
        <v>4</v>
      </c>
      <c r="K1493" s="247" t="s">
        <v>5550</v>
      </c>
      <c r="L1493" s="248">
        <v>10312</v>
      </c>
      <c r="M1493" s="249">
        <f>15*(LEFT(TEXT($L1493,"000000"),2)+(MID(TEXT($L1493,"000000"),3,2)/60)+(RIGHT(TEXT($L1493,"000000"),2)/3600))</f>
        <v>15.800000000000002</v>
      </c>
      <c r="N1493" s="286">
        <v>-705100</v>
      </c>
      <c r="O1493" s="251">
        <f>IF($N1493&gt;0,(LEFT(TEXT($N1493,"000000"),2)+(MID(TEXT($N1493,"000000"),3,2)/60)+(RIGHT(TEXT($N1493,"000000"),2)/3600)),-(MID(TEXT($N1493,"000000"),2,2)+(MID(TEXT($N1493,"000000"),4,2)/60)+(RIGHT(TEXT($N1493,"000000"),2)/3600)))</f>
        <v>-70.849999999999994</v>
      </c>
      <c r="P1493" s="252" t="s">
        <v>1491</v>
      </c>
      <c r="Q1493" s="253"/>
      <c r="R1493" s="247" t="s">
        <v>7416</v>
      </c>
      <c r="S1493" s="272" t="s">
        <v>3293</v>
      </c>
      <c r="T1493" s="273">
        <v>6.8</v>
      </c>
      <c r="U1493" s="274"/>
      <c r="V1493" s="280"/>
      <c r="W1493" s="244"/>
      <c r="X1493" s="244"/>
      <c r="Y1493" s="362"/>
      <c r="Z1493" s="257">
        <f>altaz(J2000_Bas,$O1493,$M1493,DecLat,DecLong,1)</f>
        <v>-29.048054072502712</v>
      </c>
      <c r="AA1493" s="257">
        <f>altaz((J2000_Bas+(2*0.04167)),$O1493,$M1493,DecLat,DecLong,1)</f>
        <v>-20.165013256783023</v>
      </c>
      <c r="AB1493" s="257">
        <f>altaz((J2000_Bas+(4*0.04167)),$O1493,$M1493,DecLat,DecLong,1)</f>
        <v>-14.011411938702867</v>
      </c>
      <c r="AC1493" s="257">
        <f>altaz((J2000_Bas+(6*0.04167)),$O1493,$M1493,DecLat,DecLong,1)</f>
        <v>-11.850521937526644</v>
      </c>
      <c r="AD1493" s="258">
        <f>1+ transit((J2000_Bas-1),$O1493,$M1493,DecLat,DecLong)/360 + (GMTOffset/24) + (IF(DST="Y", 1, 0)/24)</f>
        <v>1.036788845129708</v>
      </c>
      <c r="AE1493" s="259">
        <f>DATE(2001,9,21)+(M1493/360)*365 - (360*((DecLong/360)- (GMTOffset/24) ))</f>
        <v>37176.019444444442</v>
      </c>
      <c r="AF1493" s="260">
        <f>IF(DecLat&gt;0,IF((90 - (DecLat-O1493))&gt;90, (90 - (O1493-DecLat)), (90 - (DecLat-O1493))),IF((90 + (DecLat-O1493))&gt;90, (90 + (O1493-DecLat)), (90 + (DecLat-O1493))))</f>
        <v>-11.849999999999994</v>
      </c>
      <c r="AG1493" s="257">
        <f>angularseperation(MoonRA,MoonDec,$M1493,$O1493)</f>
        <v>75.159109737406609</v>
      </c>
      <c r="AH1493" s="261">
        <f ca="1">MIN(100,IF($O$5&gt;80,0+30*($AG1493/100),IF($O$5&gt;70,0+50*($AG1493/100),IF($O$5&gt;60,5+50*($AG1493/100),IF($O$5&gt;50,10+60*($AG1493/100),IF($O$5&gt;40,15+70*($AG1493/100),IF($O$5&gt;30,20+70*($AG1493/100),IF($O$5&gt;20,40+55*($AG1493/100),(80+(20-$O$5)+30*($AG1493/100))))))))))</f>
        <v>100</v>
      </c>
      <c r="AI1493" s="262">
        <v>362</v>
      </c>
      <c r="AJ1493" s="262"/>
      <c r="AK1493" s="262"/>
      <c r="AL1493" s="263"/>
      <c r="AM1493" s="264">
        <v>104</v>
      </c>
      <c r="AN1493" s="263"/>
      <c r="AO1493" s="263"/>
      <c r="AP1493" s="265"/>
      <c r="AQ1493" s="266"/>
      <c r="AR1493" s="267"/>
      <c r="AS1493" s="263"/>
      <c r="AT1493" s="263"/>
      <c r="AU1493" s="263"/>
      <c r="AV1493" s="264"/>
      <c r="AW1493" s="263"/>
      <c r="AX1493" s="263"/>
      <c r="AY1493" s="263"/>
      <c r="AZ1493" s="263"/>
      <c r="BA1493" s="263"/>
      <c r="BB1493" s="263"/>
      <c r="BC1493" s="263"/>
      <c r="BD1493" s="264"/>
      <c r="BE1493" s="263"/>
      <c r="BF1493" s="263"/>
      <c r="BG1493" s="263"/>
      <c r="BH1493" s="263"/>
      <c r="BI1493" s="263"/>
      <c r="BJ1493" s="404">
        <f>altaz(J2000_Bas,$O1493,$M1493,DecLat,DecLong,2)</f>
        <v>157.96080063840245</v>
      </c>
      <c r="BK1493" s="378" t="s">
        <v>1523</v>
      </c>
      <c r="BL1493" s="379">
        <f>IF((2*G1493)/60&lt;0.2,0.2,(2*G1493)/60)</f>
        <v>0.46666666666666667</v>
      </c>
      <c r="BM1493" s="380">
        <f>MOD((50000+AD1493-$B$3+(0/24)),1)</f>
        <v>0.25215577483322704</v>
      </c>
      <c r="BN1493" s="381"/>
      <c r="BO1493" s="382">
        <v>1486</v>
      </c>
    </row>
    <row r="1494" spans="1:67" s="24" customFormat="1" ht="15" customHeight="1" x14ac:dyDescent="0.25">
      <c r="A1494" s="287" t="s">
        <v>1524</v>
      </c>
      <c r="B1494" s="241" t="str">
        <f>HYPERLINK(CONCATENATE($AT$3,BK1494,$AU$3),$AV$3)</f>
        <v>S</v>
      </c>
      <c r="C1494" s="242" t="str">
        <f>HYPERLINK(CONCATENATE($AT$4,BK1494,$AU$4,BL1494),$AV$4)</f>
        <v>A</v>
      </c>
      <c r="D1494" s="243" t="s">
        <v>5335</v>
      </c>
      <c r="E1494" s="244" t="s">
        <v>5185</v>
      </c>
      <c r="F1494" s="269" t="s">
        <v>4923</v>
      </c>
      <c r="G1494" s="273">
        <v>7</v>
      </c>
      <c r="H1494" s="283">
        <v>3120</v>
      </c>
      <c r="I1494" s="279">
        <v>6</v>
      </c>
      <c r="J1494" s="246">
        <v>2</v>
      </c>
      <c r="K1494" s="247" t="s">
        <v>6557</v>
      </c>
      <c r="L1494" s="248">
        <v>10819</v>
      </c>
      <c r="M1494" s="249">
        <f>15*(LEFT(TEXT($L1494,"000000"),2)+(MID(TEXT($L1494,"000000"),3,2)/60)+(RIGHT(TEXT($L1494,"000000"),2)/3600))</f>
        <v>17.079166666666666</v>
      </c>
      <c r="N1494" s="250">
        <v>613500</v>
      </c>
      <c r="O1494" s="251">
        <f>IF($N1494&gt;0,(LEFT(TEXT($N1494,"000000"),2)+(MID(TEXT($N1494,"000000"),3,2)/60)+(RIGHT(TEXT($N1494,"000000"),2)/3600)),-(MID(TEXT($N1494,"000000"),2,2)+(MID(TEXT($N1494,"000000"),4,2)/60)+(RIGHT(TEXT($N1494,"000000"),2)/3600)))</f>
        <v>61.583333333333336</v>
      </c>
      <c r="P1494" s="252" t="s">
        <v>49</v>
      </c>
      <c r="Q1494" s="253"/>
      <c r="R1494" s="277" t="s">
        <v>3293</v>
      </c>
      <c r="S1494" s="272" t="s">
        <v>3293</v>
      </c>
      <c r="T1494" s="273">
        <v>9.3000000000000007</v>
      </c>
      <c r="U1494" s="274"/>
      <c r="V1494" s="280"/>
      <c r="W1494" s="244"/>
      <c r="X1494" s="244"/>
      <c r="Y1494" s="362"/>
      <c r="Z1494" s="257">
        <f>altaz(J2000_Bas,$O1494,$M1494,DecLat,DecLong,1)</f>
        <v>26.443648782958917</v>
      </c>
      <c r="AA1494" s="257">
        <f>altaz((J2000_Bas+(2*0.04167)),$O1494,$M1494,DecLat,DecLong,1)</f>
        <v>40.601130291606495</v>
      </c>
      <c r="AB1494" s="257">
        <f>altaz((J2000_Bas+(4*0.04167)),$O1494,$M1494,DecLat,DecLong,1)</f>
        <v>53.414298141008516</v>
      </c>
      <c r="AC1494" s="257">
        <f>altaz((J2000_Bas+(6*0.04167)),$O1494,$M1494,DecLat,DecLong,1)</f>
        <v>59.411929311642432</v>
      </c>
      <c r="AD1494" s="258">
        <f>1+ transit((J2000_Bas-1),$O1494,$M1494,DecLat,DecLong)/360 + (GMTOffset/24) + (IF(DST="Y", 1, 0)/24)</f>
        <v>1.0403420855151246</v>
      </c>
      <c r="AE1494" s="259">
        <f>DATE(2001,9,21)+(M1494/360)*365 - (360*((DecLong/360)- (GMTOffset/24) ))</f>
        <v>37177.316377314812</v>
      </c>
      <c r="AF1494" s="260">
        <f>IF(DecLat&gt;0,IF((90 - (DecLat-O1494))&gt;90, (90 - (O1494-DecLat)), (90 - (DecLat-O1494))),IF((90 + (DecLat-O1494))&gt;90, (90 + (O1494-DecLat)), (90 + (DecLat-O1494))))</f>
        <v>59.416666666666664</v>
      </c>
      <c r="AG1494" s="257">
        <f>angularseperation(MoonRA,MoonDec,$M1494,$O1494)</f>
        <v>131.32596818929588</v>
      </c>
      <c r="AH1494" s="261">
        <f ca="1">MIN(100,IF($O$5&gt;80,0+30*($AG1494/100),IF($O$5&gt;70,0+50*($AG1494/100),IF($O$5&gt;60,5+50*($AG1494/100),IF($O$5&gt;50,10+60*($AG1494/100),IF($O$5&gt;40,15+70*($AG1494/100),IF($O$5&gt;30,20+70*($AG1494/100),IF($O$5&gt;20,40+55*($AG1494/100),(80+(20-$O$5)+30*($AG1494/100))))))))))</f>
        <v>100</v>
      </c>
      <c r="AI1494" s="262">
        <v>381</v>
      </c>
      <c r="AJ1494" s="263"/>
      <c r="AK1494" s="263">
        <v>13</v>
      </c>
      <c r="AL1494" s="263"/>
      <c r="AM1494" s="264"/>
      <c r="AN1494" s="263"/>
      <c r="AO1494" s="263"/>
      <c r="AP1494" s="265"/>
      <c r="AQ1494" s="265"/>
      <c r="AR1494" s="285"/>
      <c r="AS1494" s="263"/>
      <c r="AT1494" s="263"/>
      <c r="AU1494" s="263"/>
      <c r="AV1494" s="264"/>
      <c r="AW1494" s="263"/>
      <c r="AX1494" s="263"/>
      <c r="AY1494" s="263"/>
      <c r="AZ1494" s="263"/>
      <c r="BA1494" s="263"/>
      <c r="BB1494" s="263"/>
      <c r="BC1494" s="263"/>
      <c r="BD1494" s="264"/>
      <c r="BE1494" s="263"/>
      <c r="BF1494" s="263"/>
      <c r="BG1494" s="263"/>
      <c r="BH1494" s="263"/>
      <c r="BI1494" s="263"/>
      <c r="BJ1494" s="404">
        <f>altaz(J2000_Bas,$O1494,$M1494,DecLat,DecLong,2)</f>
        <v>32.099716862195095</v>
      </c>
      <c r="BK1494" s="378" t="s">
        <v>1524</v>
      </c>
      <c r="BL1494" s="379">
        <f>IF((2*G1494)/60&lt;0.2,0.2,(2*G1494)/60)</f>
        <v>0.23333333333333334</v>
      </c>
      <c r="BM1494" s="380">
        <f>MOD((50000+AD1494-$B$3+(0/24)),1)</f>
        <v>0.25570901521859923</v>
      </c>
      <c r="BN1494" s="381"/>
      <c r="BO1494" s="382">
        <v>1487</v>
      </c>
    </row>
    <row r="1495" spans="1:67" s="24" customFormat="1" ht="15" customHeight="1" x14ac:dyDescent="0.25">
      <c r="A1495" s="288" t="s">
        <v>1525</v>
      </c>
      <c r="B1495" s="241" t="str">
        <f>HYPERLINK(CONCATENATE($AT$3,BK1495,$AU$3),$AV$3)</f>
        <v>S</v>
      </c>
      <c r="C1495" s="242" t="str">
        <f>HYPERLINK(CONCATENATE($AT$4,BK1495,$AU$4,BL1495),$AV$4)</f>
        <v>A</v>
      </c>
      <c r="D1495" s="243" t="s">
        <v>5638</v>
      </c>
      <c r="E1495" s="244" t="s">
        <v>5182</v>
      </c>
      <c r="F1495" s="269" t="s">
        <v>3300</v>
      </c>
      <c r="G1495" s="273">
        <v>7</v>
      </c>
      <c r="H1495" s="289">
        <v>8</v>
      </c>
      <c r="I1495" s="246">
        <v>18</v>
      </c>
      <c r="J1495" s="246">
        <v>1</v>
      </c>
      <c r="K1495" s="247" t="s">
        <v>6558</v>
      </c>
      <c r="L1495" s="248">
        <v>10927</v>
      </c>
      <c r="M1495" s="249">
        <f>15*(LEFT(TEXT($L1495,"000000"),2)+(MID(TEXT($L1495,"000000"),3,2)/60)+(RIGHT(TEXT($L1495,"000000"),2)/3600))</f>
        <v>17.362500000000001</v>
      </c>
      <c r="N1495" s="250">
        <v>354305</v>
      </c>
      <c r="O1495" s="251">
        <f>IF($N1495&gt;0,(LEFT(TEXT($N1495,"000000"),2)+(MID(TEXT($N1495,"000000"),3,2)/60)+(RIGHT(TEXT($N1495,"000000"),2)/3600)),-(MID(TEXT($N1495,"000000"),2,2)+(MID(TEXT($N1495,"000000"),4,2)/60)+(RIGHT(TEXT($N1495,"000000"),2)/3600)))</f>
        <v>35.718055555555559</v>
      </c>
      <c r="P1495" s="252" t="s">
        <v>36</v>
      </c>
      <c r="Q1495" s="253" t="s">
        <v>3380</v>
      </c>
      <c r="R1495" s="277" t="s">
        <v>3293</v>
      </c>
      <c r="S1495" s="272" t="s">
        <v>3293</v>
      </c>
      <c r="T1495" s="273">
        <v>10.3</v>
      </c>
      <c r="U1495" s="289">
        <v>21.69</v>
      </c>
      <c r="V1495" s="280">
        <v>70</v>
      </c>
      <c r="W1495" s="244"/>
      <c r="X1495" s="244"/>
      <c r="Y1495" s="362"/>
      <c r="Z1495" s="257">
        <f>altaz(J2000_Bas,$O1495,$M1495,DecLat,DecLong,1)</f>
        <v>16.508752287173255</v>
      </c>
      <c r="AA1495" s="257">
        <f>altaz((J2000_Bas+(2*0.04167)),$O1495,$M1495,DecLat,DecLong,1)</f>
        <v>39.43068789517595</v>
      </c>
      <c r="AB1495" s="257">
        <f>altaz((J2000_Bas+(4*0.04167)),$O1495,$M1495,DecLat,DecLong,1)</f>
        <v>63.638791497300232</v>
      </c>
      <c r="AC1495" s="257">
        <f>altaz((J2000_Bas+(6*0.04167)),$O1495,$M1495,DecLat,DecLong,1)</f>
        <v>85.192436532439402</v>
      </c>
      <c r="AD1495" s="258">
        <f>1+ transit((J2000_Bas-1),$O1495,$M1495,DecLat,DecLong)/360 + (GMTOffset/24) + (IF(DST="Y", 1, 0)/24)</f>
        <v>1.041129122473458</v>
      </c>
      <c r="AE1495" s="259">
        <f>DATE(2001,9,21)+(M1495/360)*365 - (360*((DecLong/360)- (GMTOffset/24) ))</f>
        <v>37177.603645833333</v>
      </c>
      <c r="AF1495" s="260">
        <f>IF(DecLat&gt;0,IF((90 - (DecLat-O1495))&gt;90, (90 - (O1495-DecLat)), (90 - (DecLat-O1495))),IF((90 + (DecLat-O1495))&gt;90, (90 + (O1495-DecLat)), (90 + (DecLat-O1495))))</f>
        <v>85.281944444444434</v>
      </c>
      <c r="AG1495" s="257">
        <f>angularseperation(MoonRA,MoonDec,$M1495,$O1495)</f>
        <v>135.40115246495924</v>
      </c>
      <c r="AH1495" s="261">
        <f ca="1">MIN(100,IF($O$5&gt;80,0+30*($AG1495/100),IF($O$5&gt;70,0+50*($AG1495/100),IF($O$5&gt;60,5+50*($AG1495/100),IF($O$5&gt;50,10+60*($AG1495/100),IF($O$5&gt;40,15+70*($AG1495/100),IF($O$5&gt;30,20+70*($AG1495/100),IF($O$5&gt;20,40+55*($AG1495/100),(80+(20-$O$5)+30*($AG1495/100))))))))))</f>
        <v>100</v>
      </c>
      <c r="AI1495" s="262">
        <v>404</v>
      </c>
      <c r="AJ1495" s="262"/>
      <c r="AK1495" s="262">
        <v>14</v>
      </c>
      <c r="AL1495" s="263"/>
      <c r="AM1495" s="264"/>
      <c r="AN1495" s="263"/>
      <c r="AO1495" s="263"/>
      <c r="AP1495" s="265"/>
      <c r="AQ1495" s="266">
        <v>718</v>
      </c>
      <c r="AR1495" s="267">
        <v>4126</v>
      </c>
      <c r="AS1495" s="263"/>
      <c r="AT1495" s="263"/>
      <c r="AU1495" s="263"/>
      <c r="AV1495" s="264"/>
      <c r="AW1495" s="263"/>
      <c r="AX1495" s="263"/>
      <c r="AY1495" s="263"/>
      <c r="AZ1495" s="263"/>
      <c r="BA1495" s="263"/>
      <c r="BB1495" s="263"/>
      <c r="BC1495" s="263"/>
      <c r="BD1495" s="264"/>
      <c r="BE1495" s="263">
        <v>5</v>
      </c>
      <c r="BF1495" s="263"/>
      <c r="BG1495" s="263"/>
      <c r="BH1495" s="263"/>
      <c r="BI1495" s="263"/>
      <c r="BJ1495" s="404">
        <f>altaz(J2000_Bas,$O1495,$M1495,DecLat,DecLong,2)</f>
        <v>57.840500638761824</v>
      </c>
      <c r="BK1495" s="378" t="s">
        <v>1525</v>
      </c>
      <c r="BL1495" s="379">
        <f>IF((2*G1495)/60&lt;0.2,0.2,(2*G1495)/60)</f>
        <v>0.23333333333333334</v>
      </c>
      <c r="BM1495" s="380">
        <f>MOD((50000+AD1495-$B$3+(0/24)),1)</f>
        <v>0.25649605217768112</v>
      </c>
      <c r="BN1495" s="381"/>
      <c r="BO1495" s="382">
        <v>1488</v>
      </c>
    </row>
    <row r="1496" spans="1:67" s="24" customFormat="1" ht="15" customHeight="1" x14ac:dyDescent="0.25">
      <c r="A1496" s="288" t="s">
        <v>1526</v>
      </c>
      <c r="B1496" s="241" t="str">
        <f>HYPERLINK(CONCATENATE($AT$3,BK1496,$AU$3),$AV$3)</f>
        <v>S</v>
      </c>
      <c r="C1496" s="242" t="str">
        <f>HYPERLINK(CONCATENATE($AT$4,BK1496,$AU$4,BL1496),$AV$4)</f>
        <v>A</v>
      </c>
      <c r="D1496" s="243" t="s">
        <v>5638</v>
      </c>
      <c r="E1496" s="244" t="s">
        <v>3259</v>
      </c>
      <c r="F1496" s="269"/>
      <c r="G1496" s="273">
        <v>4</v>
      </c>
      <c r="H1496" s="283">
        <v>40</v>
      </c>
      <c r="I1496" s="246">
        <v>50</v>
      </c>
      <c r="J1496" s="246">
        <v>2</v>
      </c>
      <c r="K1496" s="247" t="s">
        <v>6559</v>
      </c>
      <c r="L1496" s="248">
        <v>11256</v>
      </c>
      <c r="M1496" s="249">
        <f>15*(LEFT(TEXT($L1496,"000000"),2)+(MID(TEXT($L1496,"000000"),3,2)/60)+(RIGHT(TEXT($L1496,"000000"),2)/3600))</f>
        <v>18.233333333333334</v>
      </c>
      <c r="N1496" s="250">
        <v>5855</v>
      </c>
      <c r="O1496" s="251">
        <f>IF($N1496&gt;0,(LEFT(TEXT($N1496,"000000"),2)+(MID(TEXT($N1496,"000000"),3,2)/60)+(RIGHT(TEXT($N1496,"000000"),2)/3600)),-(MID(TEXT($N1496,"000000"),2,2)+(MID(TEXT($N1496,"000000"),4,2)/60)+(RIGHT(TEXT($N1496,"000000"),2)/3600)))</f>
        <v>0.9819444444444444</v>
      </c>
      <c r="P1496" s="252" t="s">
        <v>75</v>
      </c>
      <c r="Q1496" s="253"/>
      <c r="R1496" s="247" t="s">
        <v>3293</v>
      </c>
      <c r="S1496" s="272" t="s">
        <v>3293</v>
      </c>
      <c r="T1496" s="273">
        <v>11.5</v>
      </c>
      <c r="U1496" s="289">
        <v>22.990000000000002</v>
      </c>
      <c r="V1496" s="280">
        <v>25</v>
      </c>
      <c r="W1496" s="244"/>
      <c r="X1496" s="244"/>
      <c r="Y1496" s="362"/>
      <c r="Z1496" s="257">
        <f>altaz(J2000_Bas,$O1496,$M1496,DecLat,DecLong,1)</f>
        <v>-1.4057518251506098</v>
      </c>
      <c r="AA1496" s="257">
        <f>altaz((J2000_Bas+(2*0.04167)),$O1496,$M1496,DecLat,DecLong,1)</f>
        <v>24.157806957646908</v>
      </c>
      <c r="AB1496" s="257">
        <f>altaz((J2000_Bas+(4*0.04167)),$O1496,$M1496,DecLat,DecLong,1)</f>
        <v>47.319881585670373</v>
      </c>
      <c r="AC1496" s="257">
        <f>altaz((J2000_Bas+(6*0.04167)),$O1496,$M1496,DecLat,DecLong,1)</f>
        <v>59.923564640604717</v>
      </c>
      <c r="AD1496" s="258">
        <f>1+ transit((J2000_Bas-1),$O1496,$M1496,DecLat,DecLong)/360 + (GMTOffset/24) + (IF(DST="Y", 1, 0)/24)</f>
        <v>1.0435481037130414</v>
      </c>
      <c r="AE1496" s="259">
        <f>DATE(2001,9,21)+(M1496/360)*365 - (360*((DecLong/360)- (GMTOffset/24) ))</f>
        <v>37178.486574074072</v>
      </c>
      <c r="AF1496" s="260">
        <f>IF(DecLat&gt;0,IF((90 - (DecLat-O1496))&gt;90, (90 - (O1496-DecLat)), (90 - (DecLat-O1496))),IF((90 + (DecLat-O1496))&gt;90, (90 + (O1496-DecLat)), (90 + (DecLat-O1496))))</f>
        <v>59.981944444444444</v>
      </c>
      <c r="AG1496" s="257">
        <f>angularseperation(MoonRA,MoonDec,$M1496,$O1496)</f>
        <v>124.60568031585117</v>
      </c>
      <c r="AH1496" s="261">
        <f ca="1">MIN(100,IF($O$5&gt;80,0+30*($AG1496/100),IF($O$5&gt;70,0+50*($AG1496/100),IF($O$5&gt;60,5+50*($AG1496/100),IF($O$5&gt;50,10+60*($AG1496/100),IF($O$5&gt;40,15+70*($AG1496/100),IF($O$5&gt;30,20+70*($AG1496/100),IF($O$5&gt;20,40+55*($AG1496/100),(80+(20-$O$5)+30*($AG1496/100))))))))))</f>
        <v>100</v>
      </c>
      <c r="AI1496" s="262">
        <v>428</v>
      </c>
      <c r="AJ1496" s="262"/>
      <c r="AK1496" s="262"/>
      <c r="AL1496" s="263"/>
      <c r="AM1496" s="264"/>
      <c r="AN1496" s="263"/>
      <c r="AO1496" s="263"/>
      <c r="AP1496" s="265"/>
      <c r="AQ1496" s="266">
        <v>763</v>
      </c>
      <c r="AR1496" s="267">
        <v>4367</v>
      </c>
      <c r="AS1496" s="263"/>
      <c r="AT1496" s="263"/>
      <c r="AU1496" s="263"/>
      <c r="AV1496" s="264"/>
      <c r="AW1496" s="263"/>
      <c r="AX1496" s="263"/>
      <c r="AY1496" s="263"/>
      <c r="AZ1496" s="263"/>
      <c r="BA1496" s="263"/>
      <c r="BB1496" s="263"/>
      <c r="BC1496" s="263"/>
      <c r="BD1496" s="264"/>
      <c r="BE1496" s="263"/>
      <c r="BF1496" s="263"/>
      <c r="BG1496" s="263"/>
      <c r="BH1496" s="263"/>
      <c r="BI1496" s="263"/>
      <c r="BJ1496" s="404">
        <f>altaz(J2000_Bas,$O1496,$M1496,DecLat,DecLong,2)</f>
        <v>88.008910862196146</v>
      </c>
      <c r="BK1496" s="378" t="s">
        <v>1526</v>
      </c>
      <c r="BL1496" s="379">
        <f>IF((2*G1496)/60&lt;0.2,0.2,(2*G1496)/60)</f>
        <v>0.2</v>
      </c>
      <c r="BM1496" s="380">
        <f>MOD((50000+AD1496-$B$3+(0/24)),1)</f>
        <v>0.25891503341699718</v>
      </c>
      <c r="BN1496" s="381"/>
      <c r="BO1496" s="382">
        <v>1489</v>
      </c>
    </row>
    <row r="1497" spans="1:67" s="24" customFormat="1" ht="15" customHeight="1" x14ac:dyDescent="0.25">
      <c r="A1497" s="288" t="s">
        <v>1527</v>
      </c>
      <c r="B1497" s="241" t="str">
        <f>HYPERLINK(CONCATENATE($AT$3,BK1497,$AU$3),$AV$3)</f>
        <v>S</v>
      </c>
      <c r="C1497" s="242" t="str">
        <f>HYPERLINK(CONCATENATE($AT$4,BK1497,$AU$4,BL1497),$AV$4)</f>
        <v>A</v>
      </c>
      <c r="D1497" s="243" t="s">
        <v>5335</v>
      </c>
      <c r="E1497" s="244" t="s">
        <v>5185</v>
      </c>
      <c r="F1497" s="269" t="s">
        <v>6562</v>
      </c>
      <c r="G1497" s="273">
        <v>5</v>
      </c>
      <c r="H1497" s="283">
        <v>10000</v>
      </c>
      <c r="I1497" s="246">
        <v>15</v>
      </c>
      <c r="J1497" s="246">
        <v>2</v>
      </c>
      <c r="K1497" s="247" t="s">
        <v>6560</v>
      </c>
      <c r="L1497" s="248">
        <v>11558</v>
      </c>
      <c r="M1497" s="249">
        <f>15*(LEFT(TEXT($L1497,"000000"),2)+(MID(TEXT($L1497,"000000"),3,2)/60)+(RIGHT(TEXT($L1497,"000000"),2)/3600))</f>
        <v>18.991666666666667</v>
      </c>
      <c r="N1497" s="250">
        <v>584842</v>
      </c>
      <c r="O1497" s="251">
        <f>IF($N1497&gt;0,(LEFT(TEXT($N1497,"000000"),2)+(MID(TEXT($N1497,"000000"),3,2)/60)+(RIGHT(TEXT($N1497,"000000"),2)/3600)),-(MID(TEXT($N1497,"000000"),2,2)+(MID(TEXT($N1497,"000000"),4,2)/60)+(RIGHT(TEXT($N1497,"000000"),2)/3600)))</f>
        <v>58.81166666666666</v>
      </c>
      <c r="P1497" s="252" t="s">
        <v>49</v>
      </c>
      <c r="Q1497" s="253"/>
      <c r="R1497" s="247" t="s">
        <v>3293</v>
      </c>
      <c r="S1497" s="272" t="s">
        <v>3293</v>
      </c>
      <c r="T1497" s="273">
        <v>8.8000000000000007</v>
      </c>
      <c r="U1497" s="274"/>
      <c r="V1497" s="280"/>
      <c r="W1497" s="244"/>
      <c r="X1497" s="244"/>
      <c r="Y1497" s="362"/>
      <c r="Z1497" s="257">
        <f>altaz(J2000_Bas,$O1497,$M1497,DecLat,DecLong,1)</f>
        <v>24.67389208383797</v>
      </c>
      <c r="AA1497" s="257">
        <f>altaz((J2000_Bas+(2*0.04167)),$O1497,$M1497,DecLat,DecLong,1)</f>
        <v>39.999334491024207</v>
      </c>
      <c r="AB1497" s="257">
        <f>altaz((J2000_Bas+(4*0.04167)),$O1497,$M1497,DecLat,DecLong,1)</f>
        <v>54.452310998529718</v>
      </c>
      <c r="AC1497" s="257">
        <f>altaz((J2000_Bas+(6*0.04167)),$O1497,$M1497,DecLat,DecLong,1)</f>
        <v>62.12628618339712</v>
      </c>
      <c r="AD1497" s="258">
        <f>1+ transit((J2000_Bas-1),$O1497,$M1497,DecLat,DecLong)/360 + (GMTOffset/24) + (IF(DST="Y", 1, 0)/24)</f>
        <v>1.0456545849838748</v>
      </c>
      <c r="AE1497" s="259">
        <f>DATE(2001,9,21)+(M1497/360)*365 - (360*((DecLong/360)- (GMTOffset/24) ))</f>
        <v>37179.255439814813</v>
      </c>
      <c r="AF1497" s="260">
        <f>IF(DecLat&gt;0,IF((90 - (DecLat-O1497))&gt;90, (90 - (O1497-DecLat)), (90 - (DecLat-O1497))),IF((90 + (DecLat-O1497))&gt;90, (90 + (O1497-DecLat)), (90 + (DecLat-O1497))))</f>
        <v>62.18833333333334</v>
      </c>
      <c r="AG1497" s="257">
        <f>angularseperation(MoonRA,MoonDec,$M1497,$O1497)</f>
        <v>133.18173302696945</v>
      </c>
      <c r="AH1497" s="261">
        <f ca="1">MIN(100,IF($O$5&gt;80,0+30*($AG1497/100),IF($O$5&gt;70,0+50*($AG1497/100),IF($O$5&gt;60,5+50*($AG1497/100),IF($O$5&gt;50,10+60*($AG1497/100),IF($O$5&gt;40,15+70*($AG1497/100),IF($O$5&gt;30,20+70*($AG1497/100),IF($O$5&gt;20,40+55*($AG1497/100),(80+(20-$O$5)+30*($AG1497/100))))))))))</f>
        <v>100</v>
      </c>
      <c r="AI1497" s="262">
        <v>436</v>
      </c>
      <c r="AJ1497" s="262"/>
      <c r="AK1497" s="262">
        <v>15</v>
      </c>
      <c r="AL1497" s="263"/>
      <c r="AM1497" s="264"/>
      <c r="AN1497" s="263"/>
      <c r="AO1497" s="263"/>
      <c r="AP1497" s="265"/>
      <c r="AQ1497" s="266"/>
      <c r="AR1497" s="267"/>
      <c r="AS1497" s="263"/>
      <c r="AT1497" s="263"/>
      <c r="AU1497" s="263"/>
      <c r="AV1497" s="264"/>
      <c r="AW1497" s="263"/>
      <c r="AX1497" s="263"/>
      <c r="AY1497" s="263"/>
      <c r="AZ1497" s="263"/>
      <c r="BA1497" s="263"/>
      <c r="BB1497" s="263"/>
      <c r="BC1497" s="263"/>
      <c r="BD1497" s="264"/>
      <c r="BE1497" s="263"/>
      <c r="BF1497" s="263"/>
      <c r="BG1497" s="263"/>
      <c r="BH1497" s="263"/>
      <c r="BI1497" s="263"/>
      <c r="BJ1497" s="404">
        <f>altaz(J2000_Bas,$O1497,$M1497,DecLat,DecLong,2)</f>
        <v>34.688102645031123</v>
      </c>
      <c r="BK1497" s="378" t="s">
        <v>1527</v>
      </c>
      <c r="BL1497" s="379">
        <f>IF((2*G1497)/60&lt;0.2,0.2,(2*G1497)/60)</f>
        <v>0.2</v>
      </c>
      <c r="BM1497" s="380">
        <f>MOD((50000+AD1497-$B$3+(0/24)),1)</f>
        <v>0.26102151468512602</v>
      </c>
      <c r="BN1497" s="381"/>
      <c r="BO1497" s="382">
        <v>1490</v>
      </c>
    </row>
    <row r="1498" spans="1:67" s="24" customFormat="1" ht="15" customHeight="1" x14ac:dyDescent="0.25">
      <c r="A1498" s="288" t="s">
        <v>1528</v>
      </c>
      <c r="B1498" s="241" t="str">
        <f>HYPERLINK(CONCATENATE($AT$3,BK1498,$AU$3),$AV$3)</f>
        <v>S</v>
      </c>
      <c r="C1498" s="242" t="str">
        <f>HYPERLINK(CONCATENATE($AT$4,BK1498,$AU$4,BL1498),$AV$4)</f>
        <v>A</v>
      </c>
      <c r="D1498" s="243" t="s">
        <v>5638</v>
      </c>
      <c r="E1498" s="244" t="s">
        <v>5192</v>
      </c>
      <c r="F1498" s="269" t="s">
        <v>8895</v>
      </c>
      <c r="G1498" s="273">
        <v>3</v>
      </c>
      <c r="H1498" s="283">
        <v>60</v>
      </c>
      <c r="I1498" s="246">
        <v>55</v>
      </c>
      <c r="J1498" s="246">
        <v>2</v>
      </c>
      <c r="K1498" s="247" t="s">
        <v>6561</v>
      </c>
      <c r="L1498" s="248">
        <v>11531</v>
      </c>
      <c r="M1498" s="249">
        <f>15*(LEFT(TEXT($L1498,"000000"),2)+(MID(TEXT($L1498,"000000"),3,2)/60)+(RIGHT(TEXT($L1498,"000000"),2)/3600))</f>
        <v>18.879166666666666</v>
      </c>
      <c r="N1498" s="250">
        <v>-5140</v>
      </c>
      <c r="O1498" s="251">
        <f>IF($N1498&gt;0,(LEFT(TEXT($N1498,"000000"),2)+(MID(TEXT($N1498,"000000"),3,2)/60)+(RIGHT(TEXT($N1498,"000000"),2)/3600)),-(MID(TEXT($N1498,"000000"),2,2)+(MID(TEXT($N1498,"000000"),4,2)/60)+(RIGHT(TEXT($N1498,"000000"),2)/3600)))</f>
        <v>-0.86111111111111105</v>
      </c>
      <c r="P1498" s="252" t="s">
        <v>75</v>
      </c>
      <c r="Q1498" s="253"/>
      <c r="R1498" s="277" t="s">
        <v>3293</v>
      </c>
      <c r="S1498" s="272" t="s">
        <v>3293</v>
      </c>
      <c r="T1498" s="273">
        <v>11.8</v>
      </c>
      <c r="U1498" s="289">
        <v>22.69</v>
      </c>
      <c r="V1498" s="280">
        <v>50</v>
      </c>
      <c r="W1498" s="244"/>
      <c r="X1498" s="244"/>
      <c r="Y1498" s="362"/>
      <c r="Z1498" s="257">
        <f>altaz(J2000_Bas,$O1498,$M1498,DecLat,DecLong,1)</f>
        <v>-2.909099809937175</v>
      </c>
      <c r="AA1498" s="257">
        <f>altaz((J2000_Bas+(2*0.04167)),$O1498,$M1498,DecLat,DecLong,1)</f>
        <v>22.589821066830677</v>
      </c>
      <c r="AB1498" s="257">
        <f>altaz((J2000_Bas+(4*0.04167)),$O1498,$M1498,DecLat,DecLong,1)</f>
        <v>45.514965740988046</v>
      </c>
      <c r="AC1498" s="257">
        <f>altaz((J2000_Bas+(6*0.04167)),$O1498,$M1498,DecLat,DecLong,1)</f>
        <v>58.041560181905339</v>
      </c>
      <c r="AD1498" s="258">
        <f>1+ transit((J2000_Bas-1),$O1498,$M1498,DecLat,DecLong)/360 + (GMTOffset/24) + (IF(DST="Y", 1, 0)/24)</f>
        <v>1.0453420850151247</v>
      </c>
      <c r="AE1498" s="259">
        <f>DATE(2001,9,21)+(M1498/360)*365 - (360*((DecLong/360)- (GMTOffset/24) ))</f>
        <v>37179.141377314816</v>
      </c>
      <c r="AF1498" s="260">
        <f>IF(DecLat&gt;0,IF((90 - (DecLat-O1498))&gt;90, (90 - (O1498-DecLat)), (90 - (DecLat-O1498))),IF((90 + (DecLat-O1498))&gt;90, (90 + (O1498-DecLat)), (90 + (DecLat-O1498))))</f>
        <v>58.138888888888886</v>
      </c>
      <c r="AG1498" s="257">
        <f>angularseperation(MoonRA,MoonDec,$M1498,$O1498)</f>
        <v>124.12933423027178</v>
      </c>
      <c r="AH1498" s="261">
        <f ca="1">MIN(100,IF($O$5&gt;80,0+30*($AG1498/100),IF($O$5&gt;70,0+50*($AG1498/100),IF($O$5&gt;60,5+50*($AG1498/100),IF($O$5&gt;50,10+60*($AG1498/100),IF($O$5&gt;40,15+70*($AG1498/100),IF($O$5&gt;30,20+70*($AG1498/100),IF($O$5&gt;20,40+55*($AG1498/100),(80+(20-$O$5)+30*($AG1498/100))))))))))</f>
        <v>100</v>
      </c>
      <c r="AI1498" s="262">
        <v>450</v>
      </c>
      <c r="AJ1498" s="263"/>
      <c r="AK1498" s="263"/>
      <c r="AL1498" s="263"/>
      <c r="AM1498" s="264"/>
      <c r="AN1498" s="263"/>
      <c r="AO1498" s="263"/>
      <c r="AP1498" s="265"/>
      <c r="AQ1498" s="265">
        <v>806</v>
      </c>
      <c r="AR1498" s="285">
        <v>4540</v>
      </c>
      <c r="AS1498" s="263"/>
      <c r="AT1498" s="263"/>
      <c r="AU1498" s="263"/>
      <c r="AV1498" s="264"/>
      <c r="AW1498" s="263"/>
      <c r="AX1498" s="263"/>
      <c r="AY1498" s="263"/>
      <c r="AZ1498" s="263"/>
      <c r="BA1498" s="263"/>
      <c r="BB1498" s="263"/>
      <c r="BC1498" s="263"/>
      <c r="BD1498" s="264"/>
      <c r="BE1498" s="263"/>
      <c r="BF1498" s="263"/>
      <c r="BG1498" s="263"/>
      <c r="BH1498" s="263"/>
      <c r="BI1498" s="263"/>
      <c r="BJ1498" s="404">
        <f>altaz(J2000_Bas,$O1498,$M1498,DecLat,DecLong,2)</f>
        <v>89.256371417920846</v>
      </c>
      <c r="BK1498" s="378" t="s">
        <v>1528</v>
      </c>
      <c r="BL1498" s="379">
        <f>IF((2*G1498)/60&lt;0.2,0.2,(2*G1498)/60)</f>
        <v>0.2</v>
      </c>
      <c r="BM1498" s="380">
        <f>MOD((50000+AD1498-$B$3+(0/24)),1)</f>
        <v>0.26070901472121477</v>
      </c>
      <c r="BN1498" s="381"/>
      <c r="BO1498" s="382">
        <v>1491</v>
      </c>
    </row>
    <row r="1499" spans="1:67" s="24" customFormat="1" ht="15" customHeight="1" x14ac:dyDescent="0.25">
      <c r="A1499" s="287" t="s">
        <v>8277</v>
      </c>
      <c r="B1499" s="241" t="str">
        <f>HYPERLINK(CONCATENATE($AT$3,BK1499,$AU$3),$AV$3)</f>
        <v>S</v>
      </c>
      <c r="C1499" s="242" t="str">
        <f>HYPERLINK(CONCATENATE($AT$4,BK1499,$AU$4,BL1499),$AV$4)</f>
        <v>A</v>
      </c>
      <c r="D1499" s="243" t="s">
        <v>5187</v>
      </c>
      <c r="E1499" s="244" t="s">
        <v>5183</v>
      </c>
      <c r="F1499" s="269" t="s">
        <v>9158</v>
      </c>
      <c r="G1499" s="273">
        <v>4</v>
      </c>
      <c r="H1499" s="271">
        <v>190000</v>
      </c>
      <c r="I1499" s="246">
        <v>210</v>
      </c>
      <c r="J1499" s="246">
        <v>4</v>
      </c>
      <c r="K1499" s="247" t="s">
        <v>5578</v>
      </c>
      <c r="L1499" s="248">
        <v>11525</v>
      </c>
      <c r="M1499" s="249">
        <f>15*(LEFT(TEXT($L1499,"000000"),2)+(MID(TEXT($L1499,"000000"),3,2)/60)+(RIGHT(TEXT($L1499,"000000"),2)/3600))</f>
        <v>18.854166666666668</v>
      </c>
      <c r="N1499" s="250">
        <v>-731751</v>
      </c>
      <c r="O1499" s="251">
        <f>IF($N1499&gt;0,(LEFT(TEXT($N1499,"000000"),2)+(MID(TEXT($N1499,"000000"),3,2)/60)+(RIGHT(TEXT($N1499,"000000"),2)/3600)),-(MID(TEXT($N1499,"000000"),2,2)+(MID(TEXT($N1499,"000000"),4,2)/60)+(RIGHT(TEXT($N1499,"000000"),2)/3600)))</f>
        <v>-73.297499999999999</v>
      </c>
      <c r="P1499" s="252" t="s">
        <v>1491</v>
      </c>
      <c r="Q1499" s="253"/>
      <c r="R1499" s="277" t="s">
        <v>3293</v>
      </c>
      <c r="S1499" s="272" t="s">
        <v>3293</v>
      </c>
      <c r="T1499" s="273"/>
      <c r="U1499" s="274"/>
      <c r="V1499" s="280"/>
      <c r="W1499" s="244"/>
      <c r="X1499" s="244"/>
      <c r="Y1499" s="362"/>
      <c r="Z1499" s="257">
        <f>altaz(J2000_Bas,$O1499,$M1499,DecLat,DecLong,1)</f>
        <v>-30.368809773509682</v>
      </c>
      <c r="AA1499" s="257">
        <f>altaz((J2000_Bas+(2*0.04167)),$O1499,$M1499,DecLat,DecLong,1)</f>
        <v>-22.369333389208812</v>
      </c>
      <c r="AB1499" s="257">
        <f>altaz((J2000_Bas+(4*0.04167)),$O1499,$M1499,DecLat,DecLong,1)</f>
        <v>-16.616246559953332</v>
      </c>
      <c r="AC1499" s="257">
        <f>altaz((J2000_Bas+(6*0.04167)),$O1499,$M1499,DecLat,DecLong,1)</f>
        <v>-14.312471151693627</v>
      </c>
      <c r="AD1499" s="258">
        <f>1+ transit((J2000_Bas-1),$O1499,$M1499,DecLat,DecLong)/360 + (GMTOffset/24) + (IF(DST="Y", 1, 0)/24)</f>
        <v>1.0452726405776247</v>
      </c>
      <c r="AE1499" s="259">
        <f>DATE(2001,9,21)+(M1499/360)*365 - (360*((DecLong/360)- (GMTOffset/24) ))</f>
        <v>37179.116030092591</v>
      </c>
      <c r="AF1499" s="260">
        <f>IF(DecLat&gt;0,IF((90 - (DecLat-O1499))&gt;90, (90 - (O1499-DecLat)), (90 - (DecLat-O1499))),IF((90 + (DecLat-O1499))&gt;90, (90 + (O1499-DecLat)), (90 + (DecLat-O1499))))</f>
        <v>-14.297499999999999</v>
      </c>
      <c r="AG1499" s="257">
        <f>angularseperation(MoonRA,MoonDec,$M1499,$O1499)</f>
        <v>74.160773272905814</v>
      </c>
      <c r="AH1499" s="261">
        <f ca="1">MIN(100,IF($O$5&gt;80,0+30*($AG1499/100),IF($O$5&gt;70,0+50*($AG1499/100),IF($O$5&gt;60,5+50*($AG1499/100),IF($O$5&gt;50,10+60*($AG1499/100),IF($O$5&gt;40,15+70*($AG1499/100),IF($O$5&gt;30,20+70*($AG1499/100),IF($O$5&gt;20,40+55*($AG1499/100),(80+(20-$O$5)+30*($AG1499/100))))))))))</f>
        <v>100</v>
      </c>
      <c r="AI1499" s="263">
        <v>456</v>
      </c>
      <c r="AJ1499" s="263"/>
      <c r="AK1499" s="263"/>
      <c r="AL1499" s="263"/>
      <c r="AM1499" s="264"/>
      <c r="AN1499" s="263"/>
      <c r="AO1499" s="263"/>
      <c r="AP1499" s="265"/>
      <c r="AQ1499" s="265"/>
      <c r="AR1499" s="285"/>
      <c r="AS1499" s="263"/>
      <c r="AT1499" s="263"/>
      <c r="AU1499" s="263"/>
      <c r="AV1499" s="264"/>
      <c r="AW1499" s="263"/>
      <c r="AX1499" s="263"/>
      <c r="AY1499" s="263"/>
      <c r="AZ1499" s="263"/>
      <c r="BA1499" s="263"/>
      <c r="BB1499" s="263"/>
      <c r="BC1499" s="263"/>
      <c r="BD1499" s="264"/>
      <c r="BE1499" s="263"/>
      <c r="BF1499" s="263"/>
      <c r="BG1499" s="263"/>
      <c r="BH1499" s="263"/>
      <c r="BI1499" s="263"/>
      <c r="BJ1499" s="404">
        <f>altaz(J2000_Bas,$O1499,$M1499,DecLat,DecLong,2)</f>
        <v>160.5675066880471</v>
      </c>
      <c r="BK1499" s="378" t="s">
        <v>5574</v>
      </c>
      <c r="BL1499" s="379">
        <f>IF((2*G1499)/60&lt;0.2,0.2,(2*G1499)/60)</f>
        <v>0.2</v>
      </c>
      <c r="BM1499" s="380">
        <f>MOD((50000+AD1499-$B$3+(0/24)),1)</f>
        <v>0.26063957028236473</v>
      </c>
      <c r="BN1499" s="381"/>
      <c r="BO1499" s="382">
        <v>1492</v>
      </c>
    </row>
    <row r="1500" spans="1:67" s="24" customFormat="1" ht="15" customHeight="1" x14ac:dyDescent="0.25">
      <c r="A1500" s="288" t="s">
        <v>1529</v>
      </c>
      <c r="B1500" s="241" t="str">
        <f>HYPERLINK(CONCATENATE($AT$3,BK1500,$AU$3),$AV$3)</f>
        <v>S</v>
      </c>
      <c r="C1500" s="242" t="str">
        <f>HYPERLINK(CONCATENATE($AT$4,BK1500,$AU$4,BL1500),$AV$4)</f>
        <v>A</v>
      </c>
      <c r="D1500" s="243" t="s">
        <v>5335</v>
      </c>
      <c r="E1500" s="244" t="s">
        <v>5185</v>
      </c>
      <c r="F1500" s="269" t="s">
        <v>9084</v>
      </c>
      <c r="G1500" s="276">
        <v>13</v>
      </c>
      <c r="H1500" s="283">
        <v>10000</v>
      </c>
      <c r="I1500" s="246">
        <v>40</v>
      </c>
      <c r="J1500" s="246">
        <v>4</v>
      </c>
      <c r="K1500" s="247" t="s">
        <v>8544</v>
      </c>
      <c r="L1500" s="248">
        <v>11935</v>
      </c>
      <c r="M1500" s="249">
        <f>15*(LEFT(TEXT($L1500,"000000"),2)+(MID(TEXT($L1500,"000000"),3,2)/60)+(RIGHT(TEXT($L1500,"000000"),2)/3600))</f>
        <v>19.895833333333332</v>
      </c>
      <c r="N1500" s="250">
        <v>581712</v>
      </c>
      <c r="O1500" s="251">
        <f>IF($N1500&gt;0,(LEFT(TEXT($N1500,"000000"),2)+(MID(TEXT($N1500,"000000"),3,2)/60)+(RIGHT(TEXT($N1500,"000000"),2)/3600)),-(MID(TEXT($N1500,"000000"),2,2)+(MID(TEXT($N1500,"000000"),4,2)/60)+(RIGHT(TEXT($N1500,"000000"),2)/3600)))</f>
        <v>58.286666666666662</v>
      </c>
      <c r="P1500" s="252" t="s">
        <v>49</v>
      </c>
      <c r="Q1500" s="253" t="s">
        <v>7109</v>
      </c>
      <c r="R1500" s="277" t="s">
        <v>7337</v>
      </c>
      <c r="S1500" s="272" t="s">
        <v>3293</v>
      </c>
      <c r="T1500" s="273">
        <v>6.4</v>
      </c>
      <c r="U1500" s="274"/>
      <c r="V1500" s="280"/>
      <c r="W1500" s="244"/>
      <c r="X1500" s="244"/>
      <c r="Y1500" s="362"/>
      <c r="Z1500" s="257">
        <f>altaz(J2000_Bas,$O1500,$M1500,DecLat,DecLong,1)</f>
        <v>24.050622819679617</v>
      </c>
      <c r="AA1500" s="257">
        <f>altaz((J2000_Bas+(2*0.04167)),$O1500,$M1500,DecLat,DecLong,1)</f>
        <v>39.569424042406105</v>
      </c>
      <c r="AB1500" s="257">
        <f>altaz((J2000_Bas+(4*0.04167)),$O1500,$M1500,DecLat,DecLong,1)</f>
        <v>54.380186773368798</v>
      </c>
      <c r="AC1500" s="257">
        <f>altaz((J2000_Bas+(6*0.04167)),$O1500,$M1500,DecLat,DecLong,1)</f>
        <v>62.599972190663827</v>
      </c>
      <c r="AD1500" s="258">
        <f>1+ transit((J2000_Bas-1),$O1500,$M1500,DecLat,DecLong)/360 + (GMTOffset/24) + (IF(DST="Y", 1, 0)/24)</f>
        <v>1.0481661588067912</v>
      </c>
      <c r="AE1500" s="259">
        <f>DATE(2001,9,21)+(M1500/360)*365 - (360*((DecLong/360)- (GMTOffset/24) ))</f>
        <v>37180.172164351854</v>
      </c>
      <c r="AF1500" s="260">
        <f>IF(DecLat&gt;0,IF((90 - (DecLat-O1500))&gt;90, (90 - (O1500-DecLat)), (90 - (DecLat-O1500))),IF((90 + (DecLat-O1500))&gt;90, (90 + (O1500-DecLat)), (90 + (DecLat-O1500))))</f>
        <v>62.713333333333338</v>
      </c>
      <c r="AG1500" s="257">
        <f>angularseperation(MoonRA,MoonDec,$M1500,$O1500)</f>
        <v>133.80682393759278</v>
      </c>
      <c r="AH1500" s="261">
        <f ca="1">MIN(100,IF($O$5&gt;80,0+30*($AG1500/100),IF($O$5&gt;70,0+50*($AG1500/100),IF($O$5&gt;60,5+50*($AG1500/100),IF($O$5&gt;50,10+60*($AG1500/100),IF($O$5&gt;40,15+70*($AG1500/100),IF($O$5&gt;30,20+70*($AG1500/100),IF($O$5&gt;20,40+55*($AG1500/100),(80+(20-$O$5)+30*($AG1500/100))))))))))</f>
        <v>100</v>
      </c>
      <c r="AI1500" s="262">
        <v>457</v>
      </c>
      <c r="AJ1500" s="262"/>
      <c r="AK1500" s="262">
        <v>16</v>
      </c>
      <c r="AL1500" s="263"/>
      <c r="AM1500" s="264">
        <v>13</v>
      </c>
      <c r="AN1500" s="263"/>
      <c r="AO1500" s="263"/>
      <c r="AP1500" s="265"/>
      <c r="AQ1500" s="266"/>
      <c r="AR1500" s="267"/>
      <c r="AS1500" s="263"/>
      <c r="AT1500" s="263"/>
      <c r="AU1500" s="263"/>
      <c r="AV1500" s="264"/>
      <c r="AW1500" s="263"/>
      <c r="AX1500" s="263"/>
      <c r="AY1500" s="263"/>
      <c r="AZ1500" s="263"/>
      <c r="BA1500" s="263"/>
      <c r="BB1500" s="263"/>
      <c r="BC1500" s="263"/>
      <c r="BD1500" s="264"/>
      <c r="BE1500" s="263"/>
      <c r="BF1500" s="263"/>
      <c r="BG1500" s="263"/>
      <c r="BH1500" s="263"/>
      <c r="BI1500" s="263"/>
      <c r="BJ1500" s="404">
        <f>altaz(J2000_Bas,$O1500,$M1500,DecLat,DecLong,2)</f>
        <v>35.051697976878835</v>
      </c>
      <c r="BK1500" s="378" t="s">
        <v>1529</v>
      </c>
      <c r="BL1500" s="379">
        <f>IF((2*G1500)/60&lt;0.2,0.2,(2*G1500)/60)</f>
        <v>0.43333333333333335</v>
      </c>
      <c r="BM1500" s="380">
        <f>MOD((50000+AD1500-$B$3+(0/24)),1)</f>
        <v>0.26353308850957546</v>
      </c>
      <c r="BN1500" s="381"/>
      <c r="BO1500" s="382">
        <v>1493</v>
      </c>
    </row>
    <row r="1501" spans="1:67" s="24" customFormat="1" ht="15" customHeight="1" x14ac:dyDescent="0.25">
      <c r="A1501" s="288" t="s">
        <v>3039</v>
      </c>
      <c r="B1501" s="241" t="str">
        <f>HYPERLINK(CONCATENATE($AT$3,BK1501,$AU$3),$AV$3)</f>
        <v>S</v>
      </c>
      <c r="C1501" s="242" t="str">
        <f>HYPERLINK(CONCATENATE($AT$4,BK1501,$AU$4,BL1501),$AV$4)</f>
        <v>A</v>
      </c>
      <c r="D1501" s="243" t="s">
        <v>5638</v>
      </c>
      <c r="E1501" s="244" t="s">
        <v>5182</v>
      </c>
      <c r="F1501" s="269" t="s">
        <v>6572</v>
      </c>
      <c r="G1501" s="273">
        <v>5</v>
      </c>
      <c r="H1501" s="283">
        <v>95</v>
      </c>
      <c r="I1501" s="246">
        <v>140</v>
      </c>
      <c r="J1501" s="246">
        <v>3</v>
      </c>
      <c r="K1501" s="247" t="s">
        <v>6563</v>
      </c>
      <c r="L1501" s="248">
        <v>12000</v>
      </c>
      <c r="M1501" s="249">
        <f>15*(LEFT(TEXT($L1501,"000000"),2)+(MID(TEXT($L1501,"000000"),3,2)/60)+(RIGHT(TEXT($L1501,"000000"),2)/3600))</f>
        <v>20</v>
      </c>
      <c r="N1501" s="250">
        <v>32400</v>
      </c>
      <c r="O1501" s="251">
        <f>IF($N1501&gt;0,(LEFT(TEXT($N1501,"000000"),2)+(MID(TEXT($N1501,"000000"),3,2)/60)+(RIGHT(TEXT($N1501,"000000"),2)/3600)),-(MID(TEXT($N1501,"000000"),2,2)+(MID(TEXT($N1501,"000000"),4,2)/60)+(RIGHT(TEXT($N1501,"000000"),2)/3600)))</f>
        <v>3.4</v>
      </c>
      <c r="P1501" s="252" t="s">
        <v>75</v>
      </c>
      <c r="Q1501" s="253"/>
      <c r="R1501" s="277" t="s">
        <v>3293</v>
      </c>
      <c r="S1501" s="272" t="s">
        <v>3293</v>
      </c>
      <c r="T1501" s="273">
        <v>11.5</v>
      </c>
      <c r="U1501" s="289">
        <v>24.39</v>
      </c>
      <c r="V1501" s="280">
        <v>5</v>
      </c>
      <c r="W1501" s="244"/>
      <c r="X1501" s="244"/>
      <c r="Y1501" s="362"/>
      <c r="Z1501" s="257">
        <f>altaz(J2000_Bas,$O1501,$M1501,DecLat,DecLong,1)</f>
        <v>-1.6677458584934035</v>
      </c>
      <c r="AA1501" s="257">
        <f>altaz((J2000_Bas+(2*0.04167)),$O1501,$M1501,DecLat,DecLong,1)</f>
        <v>24.004643754949825</v>
      </c>
      <c r="AB1501" s="257">
        <f>altaz((J2000_Bas+(4*0.04167)),$O1501,$M1501,DecLat,DecLong,1)</f>
        <v>47.846450231083956</v>
      </c>
      <c r="AC1501" s="257">
        <f>altaz((J2000_Bas+(6*0.04167)),$O1501,$M1501,DecLat,DecLong,1)</f>
        <v>62.175032525781212</v>
      </c>
      <c r="AD1501" s="258">
        <f>1+ transit((J2000_Bas-1),$O1501,$M1501,DecLat,DecLong)/360 + (GMTOffset/24) + (IF(DST="Y", 1, 0)/24)</f>
        <v>1.048455510629708</v>
      </c>
      <c r="AE1501" s="259">
        <f>DATE(2001,9,21)+(M1501/360)*365 - (360*((DecLong/360)- (GMTOffset/24) ))</f>
        <v>37180.277777777781</v>
      </c>
      <c r="AF1501" s="260">
        <f>IF(DecLat&gt;0,IF((90 - (DecLat-O1501))&gt;90, (90 - (O1501-DecLat)), (90 - (DecLat-O1501))),IF((90 + (DecLat-O1501))&gt;90, (90 + (O1501-DecLat)), (90 + (DecLat-O1501))))</f>
        <v>62.4</v>
      </c>
      <c r="AG1501" s="257">
        <f>angularseperation(MoonRA,MoonDec,$M1501,$O1501)</f>
        <v>127.39105039919698</v>
      </c>
      <c r="AH1501" s="261">
        <f ca="1">MIN(100,IF($O$5&gt;80,0+30*($AG1501/100),IF($O$5&gt;70,0+50*($AG1501/100),IF($O$5&gt;60,5+50*($AG1501/100),IF($O$5&gt;50,10+60*($AG1501/100),IF($O$5&gt;40,15+70*($AG1501/100),IF($O$5&gt;30,20+70*($AG1501/100),IF($O$5&gt;20,40+55*($AG1501/100),(80+(20-$O$5)+30*($AG1501/100))))))))))</f>
        <v>100</v>
      </c>
      <c r="AI1501" s="262">
        <v>474</v>
      </c>
      <c r="AJ1501" s="263"/>
      <c r="AK1501" s="263"/>
      <c r="AL1501" s="263"/>
      <c r="AM1501" s="264"/>
      <c r="AN1501" s="263"/>
      <c r="AO1501" s="263"/>
      <c r="AP1501" s="265"/>
      <c r="AQ1501" s="265">
        <v>864</v>
      </c>
      <c r="AR1501" s="285">
        <v>4801</v>
      </c>
      <c r="AS1501" s="263"/>
      <c r="AT1501" s="263"/>
      <c r="AU1501" s="263"/>
      <c r="AV1501" s="264"/>
      <c r="AW1501" s="263"/>
      <c r="AX1501" s="263"/>
      <c r="AY1501" s="263"/>
      <c r="AZ1501" s="263"/>
      <c r="BA1501" s="263"/>
      <c r="BB1501" s="263"/>
      <c r="BC1501" s="263"/>
      <c r="BD1501" s="264"/>
      <c r="BE1501" s="263"/>
      <c r="BF1501" s="263"/>
      <c r="BG1501" s="263"/>
      <c r="BH1501" s="263"/>
      <c r="BI1501" s="263"/>
      <c r="BJ1501" s="404">
        <f>altaz(J2000_Bas,$O1501,$M1501,DecLat,DecLong,2)</f>
        <v>85.025480822804766</v>
      </c>
      <c r="BK1501" s="378" t="s">
        <v>3039</v>
      </c>
      <c r="BL1501" s="379">
        <f>IF((2*G1501)/60&lt;0.2,0.2,(2*G1501)/60)</f>
        <v>0.2</v>
      </c>
      <c r="BM1501" s="380">
        <f>MOD((50000+AD1501-$B$3+(0/24)),1)</f>
        <v>0.26382244033447932</v>
      </c>
      <c r="BN1501" s="381"/>
      <c r="BO1501" s="382">
        <v>1494</v>
      </c>
    </row>
    <row r="1502" spans="1:67" s="24" customFormat="1" ht="15" customHeight="1" x14ac:dyDescent="0.25">
      <c r="A1502" s="288" t="s">
        <v>1530</v>
      </c>
      <c r="B1502" s="241" t="str">
        <f>HYPERLINK(CONCATENATE($AT$3,BK1502,$AU$3),$AV$3)</f>
        <v>S</v>
      </c>
      <c r="C1502" s="242" t="str">
        <f>HYPERLINK(CONCATENATE($AT$4,BK1502,$AU$4,BL1502),$AV$4)</f>
        <v>A</v>
      </c>
      <c r="D1502" s="243" t="s">
        <v>5638</v>
      </c>
      <c r="E1502" s="244" t="s">
        <v>5192</v>
      </c>
      <c r="F1502" s="269" t="s">
        <v>8794</v>
      </c>
      <c r="G1502" s="273">
        <v>5</v>
      </c>
      <c r="H1502" s="283">
        <v>100</v>
      </c>
      <c r="I1502" s="246">
        <v>150</v>
      </c>
      <c r="J1502" s="246">
        <v>3</v>
      </c>
      <c r="K1502" s="247" t="s">
        <v>6564</v>
      </c>
      <c r="L1502" s="248">
        <v>12147</v>
      </c>
      <c r="M1502" s="249">
        <f>15*(LEFT(TEXT($L1502,"000000"),2)+(MID(TEXT($L1502,"000000"),3,2)/60)+(RIGHT(TEXT($L1502,"000000"),2)/3600))</f>
        <v>20.445833333333336</v>
      </c>
      <c r="N1502" s="250">
        <v>51523</v>
      </c>
      <c r="O1502" s="251">
        <f>IF($N1502&gt;0,(LEFT(TEXT($N1502,"000000"),2)+(MID(TEXT($N1502,"000000"),3,2)/60)+(RIGHT(TEXT($N1502,"000000"),2)/3600)),-(MID(TEXT($N1502,"000000"),2,2)+(MID(TEXT($N1502,"000000"),4,2)/60)+(RIGHT(TEXT($N1502,"000000"),2)/3600)))</f>
        <v>5.256388888888889</v>
      </c>
      <c r="P1502" s="252" t="s">
        <v>158</v>
      </c>
      <c r="Q1502" s="253" t="s">
        <v>6923</v>
      </c>
      <c r="R1502" s="277" t="s">
        <v>3293</v>
      </c>
      <c r="S1502" s="272" t="s">
        <v>3293</v>
      </c>
      <c r="T1502" s="273">
        <v>10.3</v>
      </c>
      <c r="U1502" s="289">
        <v>22.29</v>
      </c>
      <c r="V1502" s="280">
        <v>30</v>
      </c>
      <c r="W1502" s="244"/>
      <c r="X1502" s="244"/>
      <c r="Y1502" s="362"/>
      <c r="Z1502" s="257">
        <f>altaz(J2000_Bas,$O1502,$M1502,DecLat,DecLong,1)</f>
        <v>-1.0853754404689049</v>
      </c>
      <c r="AA1502" s="257">
        <f>altaz((J2000_Bas+(2*0.04167)),$O1502,$M1502,DecLat,DecLong,1)</f>
        <v>24.61706283767694</v>
      </c>
      <c r="AB1502" s="257">
        <f>altaz((J2000_Bas+(4*0.04167)),$O1502,$M1502,DecLat,DecLong,1)</f>
        <v>48.80982753863865</v>
      </c>
      <c r="AC1502" s="257">
        <f>altaz((J2000_Bas+(6*0.04167)),$O1502,$M1502,DecLat,DecLong,1)</f>
        <v>63.957127444613171</v>
      </c>
      <c r="AD1502" s="258">
        <f>1+ transit((J2000_Bas-1),$O1502,$M1502,DecLat,DecLong)/360 + (GMTOffset/24) + (IF(DST="Y", 1, 0)/24)</f>
        <v>1.0496939364317914</v>
      </c>
      <c r="AE1502" s="259">
        <f>DATE(2001,9,21)+(M1502/360)*365 - (360*((DecLong/360)- (GMTOffset/24) ))</f>
        <v>37180.729803240742</v>
      </c>
      <c r="AF1502" s="260">
        <f>IF(DecLat&gt;0,IF((90 - (DecLat-O1502))&gt;90, (90 - (O1502-DecLat)), (90 - (DecLat-O1502))),IF((90 + (DecLat-O1502))&gt;90, (90 + (O1502-DecLat)), (90 + (DecLat-O1502))))</f>
        <v>64.256388888888893</v>
      </c>
      <c r="AG1502" s="257">
        <f>angularseperation(MoonRA,MoonDec,$M1502,$O1502)</f>
        <v>128.73707631240168</v>
      </c>
      <c r="AH1502" s="261">
        <f ca="1">MIN(100,IF($O$5&gt;80,0+30*($AG1502/100),IF($O$5&gt;70,0+50*($AG1502/100),IF($O$5&gt;60,5+50*($AG1502/100),IF($O$5&gt;50,10+60*($AG1502/100),IF($O$5&gt;40,15+70*($AG1502/100),IF($O$5&gt;30,20+70*($AG1502/100),IF($O$5&gt;20,40+55*($AG1502/100),(80+(20-$O$5)+30*($AG1502/100))))))))))</f>
        <v>100</v>
      </c>
      <c r="AI1502" s="262">
        <v>488</v>
      </c>
      <c r="AJ1502" s="262"/>
      <c r="AK1502" s="262">
        <v>17</v>
      </c>
      <c r="AL1502" s="263"/>
      <c r="AM1502" s="264"/>
      <c r="AN1502" s="263"/>
      <c r="AO1502" s="263"/>
      <c r="AP1502" s="265"/>
      <c r="AQ1502" s="266">
        <v>907</v>
      </c>
      <c r="AR1502" s="267">
        <v>4946</v>
      </c>
      <c r="AS1502" s="263"/>
      <c r="AT1502" s="263"/>
      <c r="AU1502" s="263"/>
      <c r="AV1502" s="264"/>
      <c r="AW1502" s="263"/>
      <c r="AX1502" s="263"/>
      <c r="AY1502" s="263"/>
      <c r="AZ1502" s="263"/>
      <c r="BA1502" s="263"/>
      <c r="BB1502" s="263"/>
      <c r="BC1502" s="263"/>
      <c r="BD1502" s="264"/>
      <c r="BE1502" s="263"/>
      <c r="BF1502" s="263">
        <v>3</v>
      </c>
      <c r="BG1502" s="263"/>
      <c r="BH1502" s="263"/>
      <c r="BI1502" s="263"/>
      <c r="BJ1502" s="404">
        <f>altaz(J2000_Bas,$O1502,$M1502,DecLat,DecLong,2)</f>
        <v>83.207080701529122</v>
      </c>
      <c r="BK1502" s="378" t="s">
        <v>1530</v>
      </c>
      <c r="BL1502" s="379">
        <f>IF((2*G1502)/60&lt;0.2,0.2,(2*G1502)/60)</f>
        <v>0.2</v>
      </c>
      <c r="BM1502" s="380">
        <f>MOD((50000+AD1502-$B$3+(0/24)),1)</f>
        <v>0.26506086613517255</v>
      </c>
      <c r="BN1502" s="381"/>
      <c r="BO1502" s="382">
        <v>1495</v>
      </c>
    </row>
    <row r="1503" spans="1:67" s="24" customFormat="1" ht="15" customHeight="1" x14ac:dyDescent="0.25">
      <c r="A1503" s="288" t="s">
        <v>3040</v>
      </c>
      <c r="B1503" s="241" t="str">
        <f>HYPERLINK(CONCATENATE($AT$3,BK1503,$AU$3),$AV$3)</f>
        <v>S</v>
      </c>
      <c r="C1503" s="242" t="str">
        <f>HYPERLINK(CONCATENATE($AT$4,BK1503,$AU$4,BL1503),$AV$4)</f>
        <v>A</v>
      </c>
      <c r="D1503" s="243" t="s">
        <v>5638</v>
      </c>
      <c r="E1503" s="244" t="s">
        <v>5192</v>
      </c>
      <c r="F1503" s="269" t="s">
        <v>8895</v>
      </c>
      <c r="G1503" s="273">
        <v>3.5</v>
      </c>
      <c r="H1503" s="283">
        <v>70</v>
      </c>
      <c r="I1503" s="246">
        <v>70</v>
      </c>
      <c r="J1503" s="246">
        <v>2</v>
      </c>
      <c r="K1503" s="247" t="s">
        <v>8044</v>
      </c>
      <c r="L1503" s="248">
        <v>12200</v>
      </c>
      <c r="M1503" s="249">
        <f>15*(LEFT(TEXT($L1503,"000000"),2)+(MID(TEXT($L1503,"000000"),3,2)/60)+(RIGHT(TEXT($L1503,"000000"),2)/3600))</f>
        <v>20.5</v>
      </c>
      <c r="N1503" s="250">
        <v>5600</v>
      </c>
      <c r="O1503" s="251">
        <f>IF($N1503&gt;0,(LEFT(TEXT($N1503,"000000"),2)+(MID(TEXT($N1503,"000000"),3,2)/60)+(RIGHT(TEXT($N1503,"000000"),2)/3600)),-(MID(TEXT($N1503,"000000"),2,2)+(MID(TEXT($N1503,"000000"),4,2)/60)+(RIGHT(TEXT($N1503,"000000"),2)/3600)))</f>
        <v>0.93333333333333335</v>
      </c>
      <c r="P1503" s="252" t="s">
        <v>75</v>
      </c>
      <c r="Q1503" s="253"/>
      <c r="R1503" s="277" t="s">
        <v>3293</v>
      </c>
      <c r="S1503" s="272" t="s">
        <v>3293</v>
      </c>
      <c r="T1503" s="273">
        <v>12.5</v>
      </c>
      <c r="U1503" s="289">
        <v>22.59</v>
      </c>
      <c r="V1503" s="280">
        <v>80</v>
      </c>
      <c r="W1503" s="244"/>
      <c r="X1503" s="244"/>
      <c r="Y1503" s="362"/>
      <c r="Z1503" s="257">
        <f>altaz(J2000_Bas,$O1503,$M1503,DecLat,DecLong,1)</f>
        <v>-3.3717976733627562</v>
      </c>
      <c r="AA1503" s="257">
        <f>altaz((J2000_Bas+(2*0.04167)),$O1503,$M1503,DecLat,DecLong,1)</f>
        <v>22.243092121810193</v>
      </c>
      <c r="AB1503" s="257">
        <f>altaz((J2000_Bas+(4*0.04167)),$O1503,$M1503,DecLat,DecLong,1)</f>
        <v>45.738464950983371</v>
      </c>
      <c r="AC1503" s="257">
        <f>altaz((J2000_Bas+(6*0.04167)),$O1503,$M1503,DecLat,DecLong,1)</f>
        <v>59.665685685579099</v>
      </c>
      <c r="AD1503" s="258">
        <f>1+ transit((J2000_Bas-1),$O1503,$M1503,DecLat,DecLong)/360 + (GMTOffset/24) + (IF(DST="Y", 1, 0)/24)</f>
        <v>1.049844399379708</v>
      </c>
      <c r="AE1503" s="259">
        <f>DATE(2001,9,21)+(M1503/360)*365 - (360*((DecLong/360)- (GMTOffset/24) ))</f>
        <v>37180.784722222219</v>
      </c>
      <c r="AF1503" s="260">
        <f>IF(DecLat&gt;0,IF((90 - (DecLat-O1503))&gt;90, (90 - (O1503-DecLat)), (90 - (DecLat-O1503))),IF((90 + (DecLat-O1503))&gt;90, (90 + (O1503-DecLat)), (90 + (DecLat-O1503))))</f>
        <v>59.933333333333337</v>
      </c>
      <c r="AG1503" s="257">
        <f>angularseperation(MoonRA,MoonDec,$M1503,$O1503)</f>
        <v>126.47517182618795</v>
      </c>
      <c r="AH1503" s="261">
        <f ca="1">MIN(100,IF($O$5&gt;80,0+30*($AG1503/100),IF($O$5&gt;70,0+50*($AG1503/100),IF($O$5&gt;60,5+50*($AG1503/100),IF($O$5&gt;50,10+60*($AG1503/100),IF($O$5&gt;40,15+70*($AG1503/100),IF($O$5&gt;30,20+70*($AG1503/100),IF($O$5&gt;20,40+55*($AG1503/100),(80+(20-$O$5)+30*($AG1503/100))))))))))</f>
        <v>100</v>
      </c>
      <c r="AI1503" s="262">
        <v>493</v>
      </c>
      <c r="AJ1503" s="263"/>
      <c r="AK1503" s="263"/>
      <c r="AL1503" s="263"/>
      <c r="AM1503" s="264"/>
      <c r="AN1503" s="263"/>
      <c r="AO1503" s="263"/>
      <c r="AP1503" s="265"/>
      <c r="AQ1503" s="265">
        <v>914</v>
      </c>
      <c r="AR1503" s="285">
        <v>4979</v>
      </c>
      <c r="AS1503" s="263"/>
      <c r="AT1503" s="263"/>
      <c r="AU1503" s="263"/>
      <c r="AV1503" s="264"/>
      <c r="AW1503" s="263"/>
      <c r="AX1503" s="263"/>
      <c r="AY1503" s="263"/>
      <c r="AZ1503" s="263"/>
      <c r="BA1503" s="263"/>
      <c r="BB1503" s="263"/>
      <c r="BC1503" s="263"/>
      <c r="BD1503" s="264"/>
      <c r="BE1503" s="263"/>
      <c r="BF1503" s="263"/>
      <c r="BG1503" s="263"/>
      <c r="BH1503" s="263"/>
      <c r="BI1503" s="263"/>
      <c r="BJ1503" s="404">
        <f>altaz(J2000_Bas,$O1503,$M1503,DecLat,DecLong,2)</f>
        <v>86.879437190165149</v>
      </c>
      <c r="BK1503" s="378" t="s">
        <v>3040</v>
      </c>
      <c r="BL1503" s="379">
        <f>IF((2*G1503)/60&lt;0.2,0.2,(2*G1503)/60)</f>
        <v>0.2</v>
      </c>
      <c r="BM1503" s="380">
        <f>MOD((50000+AD1503-$B$3+(0/24)),1)</f>
        <v>0.26521132908237632</v>
      </c>
      <c r="BN1503" s="381"/>
      <c r="BO1503" s="382">
        <v>1496</v>
      </c>
    </row>
    <row r="1504" spans="1:67" s="24" customFormat="1" ht="15" customHeight="1" x14ac:dyDescent="0.25">
      <c r="A1504" s="288" t="s">
        <v>1531</v>
      </c>
      <c r="B1504" s="241" t="str">
        <f>HYPERLINK(CONCATENATE($AT$3,BK1504,$AU$3),$AV$3)</f>
        <v>S</v>
      </c>
      <c r="C1504" s="242" t="str">
        <f>HYPERLINK(CONCATENATE($AT$4,BK1504,$AU$4,BL1504),$AV$4)</f>
        <v>A</v>
      </c>
      <c r="D1504" s="243" t="s">
        <v>5638</v>
      </c>
      <c r="E1504" s="244" t="s">
        <v>5192</v>
      </c>
      <c r="F1504" s="269" t="s">
        <v>8895</v>
      </c>
      <c r="G1504" s="273">
        <v>3.5</v>
      </c>
      <c r="H1504" s="283">
        <v>80</v>
      </c>
      <c r="I1504" s="246">
        <v>80</v>
      </c>
      <c r="J1504" s="246">
        <v>2</v>
      </c>
      <c r="K1504" s="247" t="s">
        <v>6565</v>
      </c>
      <c r="L1504" s="248">
        <v>12404</v>
      </c>
      <c r="M1504" s="249">
        <f>15*(LEFT(TEXT($L1504,"000000"),2)+(MID(TEXT($L1504,"000000"),3,2)/60)+(RIGHT(TEXT($L1504,"000000"),2)/3600))</f>
        <v>21.016666666666666</v>
      </c>
      <c r="N1504" s="250">
        <v>125502</v>
      </c>
      <c r="O1504" s="251">
        <f>IF($N1504&gt;0,(LEFT(TEXT($N1504,"000000"),2)+(MID(TEXT($N1504,"000000"),3,2)/60)+(RIGHT(TEXT($N1504,"000000"),2)/3600)),-(MID(TEXT($N1504,"000000"),2,2)+(MID(TEXT($N1504,"000000"),4,2)/60)+(RIGHT(TEXT($N1504,"000000"),2)/3600)))</f>
        <v>12.917222222222222</v>
      </c>
      <c r="P1504" s="252" t="s">
        <v>158</v>
      </c>
      <c r="Q1504" s="253"/>
      <c r="R1504" s="277" t="s">
        <v>3293</v>
      </c>
      <c r="S1504" s="272" t="s">
        <v>3293</v>
      </c>
      <c r="T1504" s="273">
        <v>11.7</v>
      </c>
      <c r="U1504" s="289">
        <v>22.79</v>
      </c>
      <c r="V1504" s="280">
        <v>15</v>
      </c>
      <c r="W1504" s="244"/>
      <c r="X1504" s="244"/>
      <c r="Y1504" s="362"/>
      <c r="Z1504" s="257">
        <f>altaz(J2000_Bas,$O1504,$M1504,DecLat,DecLong,1)</f>
        <v>2.4135964681179507</v>
      </c>
      <c r="AA1504" s="257">
        <f>altaz((J2000_Bas+(2*0.04167)),$O1504,$M1504,DecLat,DecLong,1)</f>
        <v>27.979268611521501</v>
      </c>
      <c r="AB1504" s="257">
        <f>altaz((J2000_Bas+(4*0.04167)),$O1504,$M1504,DecLat,DecLong,1)</f>
        <v>53.207449779574517</v>
      </c>
      <c r="AC1504" s="257">
        <f>altaz((J2000_Bas+(6*0.04167)),$O1504,$M1504,DecLat,DecLong,1)</f>
        <v>71.392572133519963</v>
      </c>
      <c r="AD1504" s="258">
        <f>1+ transit((J2000_Bas-1),$O1504,$M1504,DecLat,DecLong)/360 + (GMTOffset/24) + (IF(DST="Y", 1, 0)/24)</f>
        <v>1.0512795844213747</v>
      </c>
      <c r="AE1504" s="259">
        <f>DATE(2001,9,21)+(M1504/360)*365 - (360*((DecLong/360)- (GMTOffset/24) ))</f>
        <v>37181.308564814812</v>
      </c>
      <c r="AF1504" s="260">
        <f>IF(DecLat&gt;0,IF((90 - (DecLat-O1504))&gt;90, (90 - (O1504-DecLat)), (90 - (DecLat-O1504))),IF((90 + (DecLat-O1504))&gt;90, (90 + (O1504-DecLat)), (90 + (DecLat-O1504))))</f>
        <v>71.917222222222222</v>
      </c>
      <c r="AG1504" s="257">
        <f>angularseperation(MoonRA,MoonDec,$M1504,$O1504)</f>
        <v>132.83708032764414</v>
      </c>
      <c r="AH1504" s="261">
        <f ca="1">MIN(100,IF($O$5&gt;80,0+30*($AG1504/100),IF($O$5&gt;70,0+50*($AG1504/100),IF($O$5&gt;60,5+50*($AG1504/100),IF($O$5&gt;50,10+60*($AG1504/100),IF($O$5&gt;40,15+70*($AG1504/100),IF($O$5&gt;30,20+70*($AG1504/100),IF($O$5&gt;20,40+55*($AG1504/100),(80+(20-$O$5)+30*($AG1504/100))))))))))</f>
        <v>100</v>
      </c>
      <c r="AI1504" s="262">
        <v>514</v>
      </c>
      <c r="AJ1504" s="263"/>
      <c r="AK1504" s="263"/>
      <c r="AL1504" s="263"/>
      <c r="AM1504" s="264"/>
      <c r="AN1504" s="263"/>
      <c r="AO1504" s="263"/>
      <c r="AP1504" s="265"/>
      <c r="AQ1504" s="265">
        <v>947</v>
      </c>
      <c r="AR1504" s="285">
        <v>5139</v>
      </c>
      <c r="AS1504" s="263"/>
      <c r="AT1504" s="263"/>
      <c r="AU1504" s="263"/>
      <c r="AV1504" s="264"/>
      <c r="AW1504" s="263"/>
      <c r="AX1504" s="263"/>
      <c r="AY1504" s="263"/>
      <c r="AZ1504" s="263"/>
      <c r="BA1504" s="263"/>
      <c r="BB1504" s="263"/>
      <c r="BC1504" s="263"/>
      <c r="BD1504" s="264"/>
      <c r="BE1504" s="263"/>
      <c r="BF1504" s="263"/>
      <c r="BG1504" s="263"/>
      <c r="BH1504" s="263"/>
      <c r="BI1504" s="263"/>
      <c r="BJ1504" s="404">
        <f>altaz(J2000_Bas,$O1504,$M1504,DecLat,DecLong,2)</f>
        <v>76.367225690153489</v>
      </c>
      <c r="BK1504" s="378" t="s">
        <v>1531</v>
      </c>
      <c r="BL1504" s="379">
        <f>IF((2*G1504)/60&lt;0.2,0.2,(2*G1504)/60)</f>
        <v>0.2</v>
      </c>
      <c r="BM1504" s="380">
        <f>MOD((50000+AD1504-$B$3+(0/24)),1)</f>
        <v>0.26664651412284002</v>
      </c>
      <c r="BN1504" s="381"/>
      <c r="BO1504" s="382">
        <v>1497</v>
      </c>
    </row>
    <row r="1505" spans="1:67" s="24" customFormat="1" ht="15" customHeight="1" x14ac:dyDescent="0.25">
      <c r="A1505" s="288" t="s">
        <v>1532</v>
      </c>
      <c r="B1505" s="241" t="str">
        <f>HYPERLINK(CONCATENATE($AT$3,BK1505,$AU$3),$AV$3)</f>
        <v>S</v>
      </c>
      <c r="C1505" s="242" t="str">
        <f>HYPERLINK(CONCATENATE($AT$4,BK1505,$AU$4,BL1505),$AV$4)</f>
        <v>A</v>
      </c>
      <c r="D1505" s="243" t="s">
        <v>5638</v>
      </c>
      <c r="E1505" s="244" t="s">
        <v>5192</v>
      </c>
      <c r="F1505" s="269" t="s">
        <v>8926</v>
      </c>
      <c r="G1505" s="273">
        <v>2</v>
      </c>
      <c r="H1505" s="283">
        <v>220</v>
      </c>
      <c r="I1505" s="246">
        <v>130</v>
      </c>
      <c r="J1505" s="246">
        <v>2</v>
      </c>
      <c r="K1505" s="247" t="s">
        <v>6568</v>
      </c>
      <c r="L1505" s="248">
        <v>12434</v>
      </c>
      <c r="M1505" s="249">
        <f>15*(LEFT(TEXT($L1505,"000000"),2)+(MID(TEXT($L1505,"000000"),3,2)/60)+(RIGHT(TEXT($L1505,"000000"),2)/3600))</f>
        <v>21.141666666666666</v>
      </c>
      <c r="N1505" s="250">
        <v>14353</v>
      </c>
      <c r="O1505" s="251">
        <f>IF($N1505&gt;0,(LEFT(TEXT($N1505,"000000"),2)+(MID(TEXT($N1505,"000000"),3,2)/60)+(RIGHT(TEXT($N1505,"000000"),2)/3600)),-(MID(TEXT($N1505,"000000"),2,2)+(MID(TEXT($N1505,"000000"),4,2)/60)+(RIGHT(TEXT($N1505,"000000"),2)/3600)))</f>
        <v>1.7313888888888891</v>
      </c>
      <c r="P1505" s="252" t="s">
        <v>75</v>
      </c>
      <c r="Q1505" s="253"/>
      <c r="R1505" s="247" t="s">
        <v>3293</v>
      </c>
      <c r="S1505" s="272" t="s">
        <v>6566</v>
      </c>
      <c r="T1505" s="273">
        <v>11.7</v>
      </c>
      <c r="U1505" s="289">
        <v>22.89</v>
      </c>
      <c r="V1505" s="280">
        <v>20</v>
      </c>
      <c r="W1505" s="244"/>
      <c r="X1505" s="244"/>
      <c r="Y1505" s="362"/>
      <c r="Z1505" s="257">
        <f>altaz(J2000_Bas,$O1505,$M1505,DecLat,DecLong,1)</f>
        <v>-3.5076997342019327</v>
      </c>
      <c r="AA1505" s="257">
        <f>altaz((J2000_Bas+(2*0.04167)),$O1505,$M1505,DecLat,DecLong,1)</f>
        <v>22.142518602577983</v>
      </c>
      <c r="AB1505" s="257">
        <f>altaz((J2000_Bas+(4*0.04167)),$O1505,$M1505,DecLat,DecLong,1)</f>
        <v>45.860691405495707</v>
      </c>
      <c r="AC1505" s="257">
        <f>altaz((J2000_Bas+(6*0.04167)),$O1505,$M1505,DecLat,DecLong,1)</f>
        <v>60.368656802986784</v>
      </c>
      <c r="AD1505" s="258">
        <f>1+ transit((J2000_Bas-1),$O1505,$M1505,DecLat,DecLong)/360 + (GMTOffset/24) + (IF(DST="Y", 1, 0)/24)</f>
        <v>1.0516268066088748</v>
      </c>
      <c r="AE1505" s="259">
        <f>DATE(2001,9,21)+(M1505/360)*365 - (360*((DecLong/360)- (GMTOffset/24) ))</f>
        <v>37181.435300925928</v>
      </c>
      <c r="AF1505" s="260">
        <f>IF(DecLat&gt;0,IF((90 - (DecLat-O1505))&gt;90, (90 - (O1505-DecLat)), (90 - (DecLat-O1505))),IF((90 + (DecLat-O1505))&gt;90, (90 + (O1505-DecLat)), (90 + (DecLat-O1505))))</f>
        <v>60.731388888888887</v>
      </c>
      <c r="AG1505" s="257">
        <f>angularseperation(MoonRA,MoonDec,$M1505,$O1505)</f>
        <v>127.45076931450564</v>
      </c>
      <c r="AH1505" s="261">
        <f ca="1">MIN(100,IF($O$5&gt;80,0+30*($AG1505/100),IF($O$5&gt;70,0+50*($AG1505/100),IF($O$5&gt;60,5+50*($AG1505/100),IF($O$5&gt;50,10+60*($AG1505/100),IF($O$5&gt;40,15+70*($AG1505/100),IF($O$5&gt;30,20+70*($AG1505/100),IF($O$5&gt;20,40+55*($AG1505/100),(80+(20-$O$5)+30*($AG1505/100))))))))))</f>
        <v>100</v>
      </c>
      <c r="AI1505" s="262">
        <v>521</v>
      </c>
      <c r="AJ1505" s="262"/>
      <c r="AK1505" s="262"/>
      <c r="AL1505" s="263"/>
      <c r="AM1505" s="264"/>
      <c r="AN1505" s="263"/>
      <c r="AO1505" s="263"/>
      <c r="AP1505" s="265"/>
      <c r="AQ1505" s="266">
        <v>962</v>
      </c>
      <c r="AR1505" s="267">
        <v>5190</v>
      </c>
      <c r="AS1505" s="263"/>
      <c r="AT1505" s="263"/>
      <c r="AU1505" s="263"/>
      <c r="AV1505" s="264"/>
      <c r="AW1505" s="263"/>
      <c r="AX1505" s="263"/>
      <c r="AY1505" s="263"/>
      <c r="AZ1505" s="263"/>
      <c r="BA1505" s="263"/>
      <c r="BB1505" s="263"/>
      <c r="BC1505" s="263"/>
      <c r="BD1505" s="264"/>
      <c r="BE1505" s="263"/>
      <c r="BF1505" s="263"/>
      <c r="BG1505" s="263"/>
      <c r="BH1505" s="263"/>
      <c r="BI1505" s="263"/>
      <c r="BJ1505" s="404">
        <f>altaz(J2000_Bas,$O1505,$M1505,DecLat,DecLong,2)</f>
        <v>85.862750546992174</v>
      </c>
      <c r="BK1505" s="378" t="s">
        <v>1532</v>
      </c>
      <c r="BL1505" s="379">
        <f>IF((2*G1505)/60&lt;0.2,0.2,(2*G1505)/60)</f>
        <v>0.2</v>
      </c>
      <c r="BM1505" s="380">
        <f>MOD((50000+AD1505-$B$3+(0/24)),1)</f>
        <v>0.26699373630981427</v>
      </c>
      <c r="BN1505" s="381" t="s">
        <v>9116</v>
      </c>
      <c r="BO1505" s="382">
        <v>1498</v>
      </c>
    </row>
    <row r="1506" spans="1:67" s="24" customFormat="1" ht="15" customHeight="1" x14ac:dyDescent="0.25">
      <c r="A1506" s="288" t="s">
        <v>1533</v>
      </c>
      <c r="B1506" s="241" t="str">
        <f>HYPERLINK(CONCATENATE($AT$3,BK1506,$AU$3),$AV$3)</f>
        <v>S</v>
      </c>
      <c r="C1506" s="242" t="str">
        <f>HYPERLINK(CONCATENATE($AT$4,BK1506,$AU$4,BL1506),$AV$4)</f>
        <v>A</v>
      </c>
      <c r="D1506" s="243" t="s">
        <v>5638</v>
      </c>
      <c r="E1506" s="244" t="s">
        <v>5192</v>
      </c>
      <c r="F1506" s="269" t="s">
        <v>8694</v>
      </c>
      <c r="G1506" s="273">
        <v>2.8</v>
      </c>
      <c r="H1506" s="283">
        <v>125.16930000000001</v>
      </c>
      <c r="I1506" s="246">
        <v>100</v>
      </c>
      <c r="J1506" s="246">
        <v>2</v>
      </c>
      <c r="K1506" s="247" t="s">
        <v>6571</v>
      </c>
      <c r="L1506" s="248">
        <v>12446</v>
      </c>
      <c r="M1506" s="249">
        <f>15*(LEFT(TEXT($L1506,"000000"),2)+(MID(TEXT($L1506,"000000"),3,2)/60)+(RIGHT(TEXT($L1506,"000000"),2)/3600))</f>
        <v>21.191666666666666</v>
      </c>
      <c r="N1506" s="250">
        <v>95940</v>
      </c>
      <c r="O1506" s="251">
        <f>IF($N1506&gt;0,(LEFT(TEXT($N1506,"000000"),2)+(MID(TEXT($N1506,"000000"),3,2)/60)+(RIGHT(TEXT($N1506,"000000"),2)/3600)),-(MID(TEXT($N1506,"000000"),2,2)+(MID(TEXT($N1506,"000000"),4,2)/60)+(RIGHT(TEXT($N1506,"000000"),2)/3600)))</f>
        <v>9.9944444444444436</v>
      </c>
      <c r="P1506" s="252" t="s">
        <v>158</v>
      </c>
      <c r="Q1506" s="253"/>
      <c r="R1506" s="277" t="s">
        <v>3293</v>
      </c>
      <c r="S1506" s="272" t="s">
        <v>3293</v>
      </c>
      <c r="T1506" s="273">
        <v>12.9</v>
      </c>
      <c r="U1506" s="289">
        <v>21.89</v>
      </c>
      <c r="V1506" s="280">
        <v>90</v>
      </c>
      <c r="W1506" s="244"/>
      <c r="X1506" s="244"/>
      <c r="Y1506" s="362"/>
      <c r="Z1506" s="257">
        <f>altaz(J2000_Bas,$O1506,$M1506,DecLat,DecLong,1)</f>
        <v>0.74708441128564573</v>
      </c>
      <c r="AA1506" s="257">
        <f>altaz((J2000_Bas+(2*0.04167)),$O1506,$M1506,DecLat,DecLong,1)</f>
        <v>26.407185796478757</v>
      </c>
      <c r="AB1506" s="257">
        <f>altaz((J2000_Bas+(4*0.04167)),$O1506,$M1506,DecLat,DecLong,1)</f>
        <v>51.325859041851579</v>
      </c>
      <c r="AC1506" s="257">
        <f>altaz((J2000_Bas+(6*0.04167)),$O1506,$M1506,DecLat,DecLong,1)</f>
        <v>68.499723623223858</v>
      </c>
      <c r="AD1506" s="258">
        <f>1+ transit((J2000_Bas-1),$O1506,$M1506,DecLat,DecLong)/360 + (GMTOffset/24) + (IF(DST="Y", 1, 0)/24)</f>
        <v>1.0517656954838748</v>
      </c>
      <c r="AE1506" s="259">
        <f>DATE(2001,9,21)+(M1506/360)*365 - (360*((DecLong/360)- (GMTOffset/24) ))</f>
        <v>37181.485995370371</v>
      </c>
      <c r="AF1506" s="260">
        <f>IF(DecLat&gt;0,IF((90 - (DecLat-O1506))&gt;90, (90 - (O1506-DecLat)), (90 - (DecLat-O1506))),IF((90 + (DecLat-O1506))&gt;90, (90 + (O1506-DecLat)), (90 + (DecLat-O1506))))</f>
        <v>68.99444444444444</v>
      </c>
      <c r="AG1506" s="257">
        <f>angularseperation(MoonRA,MoonDec,$M1506,$O1506)</f>
        <v>131.69451889365962</v>
      </c>
      <c r="AH1506" s="261">
        <f ca="1">MIN(100,IF($O$5&gt;80,0+30*($AG1506/100),IF($O$5&gt;70,0+50*($AG1506/100),IF($O$5&gt;60,5+50*($AG1506/100),IF($O$5&gt;50,10+60*($AG1506/100),IF($O$5&gt;40,15+70*($AG1506/100),IF($O$5&gt;30,20+70*($AG1506/100),IF($O$5&gt;20,40+55*($AG1506/100),(80+(20-$O$5)+30*($AG1506/100))))))))))</f>
        <v>100</v>
      </c>
      <c r="AI1506" s="262">
        <v>522</v>
      </c>
      <c r="AJ1506" s="263"/>
      <c r="AK1506" s="263"/>
      <c r="AL1506" s="263"/>
      <c r="AM1506" s="264"/>
      <c r="AN1506" s="263"/>
      <c r="AO1506" s="263"/>
      <c r="AP1506" s="265"/>
      <c r="AQ1506" s="265">
        <v>970</v>
      </c>
      <c r="AR1506" s="285">
        <v>5218</v>
      </c>
      <c r="AS1506" s="263"/>
      <c r="AT1506" s="263"/>
      <c r="AU1506" s="263"/>
      <c r="AV1506" s="264"/>
      <c r="AW1506" s="263"/>
      <c r="AX1506" s="263"/>
      <c r="AY1506" s="263"/>
      <c r="AZ1506" s="263"/>
      <c r="BA1506" s="263"/>
      <c r="BB1506" s="263"/>
      <c r="BC1506" s="263"/>
      <c r="BD1506" s="264"/>
      <c r="BE1506" s="263"/>
      <c r="BF1506" s="263"/>
      <c r="BG1506" s="263"/>
      <c r="BH1506" s="263"/>
      <c r="BI1506" s="263"/>
      <c r="BJ1506" s="404">
        <f>altaz(J2000_Bas,$O1506,$M1506,DecLat,DecLong,2)</f>
        <v>78.775461248591483</v>
      </c>
      <c r="BK1506" s="378" t="s">
        <v>1533</v>
      </c>
      <c r="BL1506" s="379">
        <f>IF((2*G1506)/60&lt;0.2,0.2,(2*G1506)/60)</f>
        <v>0.2</v>
      </c>
      <c r="BM1506" s="380">
        <f>MOD((50000+AD1506-$B$3+(0/24)),1)</f>
        <v>0.26713262518751435</v>
      </c>
      <c r="BN1506" s="381"/>
      <c r="BO1506" s="382">
        <v>1499</v>
      </c>
    </row>
    <row r="1507" spans="1:67" s="24" customFormat="1" ht="15" customHeight="1" x14ac:dyDescent="0.25">
      <c r="A1507" s="288" t="s">
        <v>1534</v>
      </c>
      <c r="B1507" s="241" t="str">
        <f>HYPERLINK(CONCATENATE($AT$3,BK1507,$AU$3),$AV$3)</f>
        <v>S</v>
      </c>
      <c r="C1507" s="242" t="str">
        <f>HYPERLINK(CONCATENATE($AT$4,BK1507,$AU$4,BL1507),$AV$4)</f>
        <v>A</v>
      </c>
      <c r="D1507" s="243" t="s">
        <v>5638</v>
      </c>
      <c r="E1507" s="244" t="s">
        <v>5182</v>
      </c>
      <c r="F1507" s="269" t="s">
        <v>6572</v>
      </c>
      <c r="G1507" s="273">
        <v>3.2</v>
      </c>
      <c r="H1507" s="283">
        <v>90</v>
      </c>
      <c r="I1507" s="246">
        <v>90</v>
      </c>
      <c r="J1507" s="246">
        <v>2</v>
      </c>
      <c r="K1507" s="247" t="s">
        <v>6570</v>
      </c>
      <c r="L1507" s="248">
        <v>12448</v>
      </c>
      <c r="M1507" s="249">
        <f>15*(LEFT(TEXT($L1507,"000000"),2)+(MID(TEXT($L1507,"000000"),3,2)/60)+(RIGHT(TEXT($L1507,"000000"),2)/3600))</f>
        <v>21.2</v>
      </c>
      <c r="N1507" s="250">
        <v>93221</v>
      </c>
      <c r="O1507" s="251">
        <f>IF($N1507&gt;0,(LEFT(TEXT($N1507,"000000"),2)+(MID(TEXT($N1507,"000000"),3,2)/60)+(RIGHT(TEXT($N1507,"000000"),2)/3600)),-(MID(TEXT($N1507,"000000"),2,2)+(MID(TEXT($N1507,"000000"),4,2)/60)+(RIGHT(TEXT($N1507,"000000"),2)/3600)))</f>
        <v>9.5391666666666666</v>
      </c>
      <c r="P1507" s="252" t="s">
        <v>158</v>
      </c>
      <c r="Q1507" s="253"/>
      <c r="R1507" s="247" t="s">
        <v>3293</v>
      </c>
      <c r="S1507" s="272" t="s">
        <v>3293</v>
      </c>
      <c r="T1507" s="273">
        <v>10.199999999999999</v>
      </c>
      <c r="U1507" s="289">
        <v>21.19</v>
      </c>
      <c r="V1507" s="280">
        <v>5</v>
      </c>
      <c r="W1507" s="244"/>
      <c r="X1507" s="244"/>
      <c r="Y1507" s="362"/>
      <c r="Z1507" s="257">
        <f>altaz(J2000_Bas,$O1507,$M1507,DecLat,DecLong,1)</f>
        <v>0.50298072685886008</v>
      </c>
      <c r="AA1507" s="257">
        <f>altaz((J2000_Bas+(2*0.04167)),$O1507,$M1507,DecLat,DecLong,1)</f>
        <v>26.173394846904799</v>
      </c>
      <c r="AB1507" s="257">
        <f>altaz((J2000_Bas+(4*0.04167)),$O1507,$M1507,DecLat,DecLong,1)</f>
        <v>51.037253522735007</v>
      </c>
      <c r="AC1507" s="257">
        <f>altaz((J2000_Bas+(6*0.04167)),$O1507,$M1507,DecLat,DecLong,1)</f>
        <v>68.051952080838731</v>
      </c>
      <c r="AD1507" s="258">
        <f>1+ transit((J2000_Bas-1),$O1507,$M1507,DecLat,DecLong)/360 + (GMTOffset/24) + (IF(DST="Y", 1, 0)/24)</f>
        <v>1.051788843629708</v>
      </c>
      <c r="AE1507" s="259">
        <f>DATE(2001,9,21)+(M1507/360)*365 - (360*((DecLong/360)- (GMTOffset/24) ))</f>
        <v>37181.494444444441</v>
      </c>
      <c r="AF1507" s="260">
        <f>IF(DecLat&gt;0,IF((90 - (DecLat-O1507))&gt;90, (90 - (O1507-DecLat)), (90 - (DecLat-O1507))),IF((90 + (DecLat-O1507))&gt;90, (90 + (O1507-DecLat)), (90 + (DecLat-O1507))))</f>
        <v>68.539166666666659</v>
      </c>
      <c r="AG1507" s="257">
        <f>angularseperation(MoonRA,MoonDec,$M1507,$O1507)</f>
        <v>131.49011100985916</v>
      </c>
      <c r="AH1507" s="261">
        <f ca="1">MIN(100,IF($O$5&gt;80,0+30*($AG1507/100),IF($O$5&gt;70,0+50*($AG1507/100),IF($O$5&gt;60,5+50*($AG1507/100),IF($O$5&gt;50,10+60*($AG1507/100),IF($O$5&gt;40,15+70*($AG1507/100),IF($O$5&gt;30,20+70*($AG1507/100),IF($O$5&gt;20,40+55*($AG1507/100),(80+(20-$O$5)+30*($AG1507/100))))))))))</f>
        <v>100</v>
      </c>
      <c r="AI1507" s="262">
        <v>524</v>
      </c>
      <c r="AJ1507" s="262"/>
      <c r="AK1507" s="262">
        <v>18</v>
      </c>
      <c r="AL1507" s="263"/>
      <c r="AM1507" s="264"/>
      <c r="AN1507" s="263"/>
      <c r="AO1507" s="263"/>
      <c r="AP1507" s="265"/>
      <c r="AQ1507" s="266">
        <v>968</v>
      </c>
      <c r="AR1507" s="267">
        <v>5222</v>
      </c>
      <c r="AS1507" s="263"/>
      <c r="AT1507" s="263"/>
      <c r="AU1507" s="263"/>
      <c r="AV1507" s="264"/>
      <c r="AW1507" s="263"/>
      <c r="AX1507" s="263"/>
      <c r="AY1507" s="263"/>
      <c r="AZ1507" s="263"/>
      <c r="BA1507" s="263"/>
      <c r="BB1507" s="263"/>
      <c r="BC1507" s="263"/>
      <c r="BD1507" s="264"/>
      <c r="BE1507" s="263"/>
      <c r="BF1507" s="263"/>
      <c r="BG1507" s="263"/>
      <c r="BH1507" s="263"/>
      <c r="BI1507" s="263"/>
      <c r="BJ1507" s="404">
        <f>altaz(J2000_Bas,$O1507,$M1507,DecLat,DecLong,2)</f>
        <v>79.159878340701226</v>
      </c>
      <c r="BK1507" s="378" t="s">
        <v>1534</v>
      </c>
      <c r="BL1507" s="379">
        <f>IF((2*G1507)/60&lt;0.2,0.2,(2*G1507)/60)</f>
        <v>0.2</v>
      </c>
      <c r="BM1507" s="380">
        <f>MOD((50000+AD1507-$B$3+(0/24)),1)</f>
        <v>0.2671557733337977</v>
      </c>
      <c r="BN1507" s="381"/>
      <c r="BO1507" s="382">
        <v>1500</v>
      </c>
    </row>
    <row r="1508" spans="1:67" s="24" customFormat="1" ht="15" customHeight="1" x14ac:dyDescent="0.25">
      <c r="A1508" s="288" t="s">
        <v>1535</v>
      </c>
      <c r="B1508" s="241" t="str">
        <f>HYPERLINK(CONCATENATE($AT$3,BK1508,$AU$3),$AV$3)</f>
        <v>S</v>
      </c>
      <c r="C1508" s="242" t="str">
        <f>HYPERLINK(CONCATENATE($AT$4,BK1508,$AU$4,BL1508),$AV$4)</f>
        <v>A</v>
      </c>
      <c r="D1508" s="243" t="s">
        <v>5638</v>
      </c>
      <c r="E1508" s="244" t="s">
        <v>5193</v>
      </c>
      <c r="F1508" s="269" t="s">
        <v>3303</v>
      </c>
      <c r="G1508" s="273">
        <v>2</v>
      </c>
      <c r="H1508" s="283">
        <v>220</v>
      </c>
      <c r="I1508" s="246">
        <v>130</v>
      </c>
      <c r="J1508" s="246">
        <v>2</v>
      </c>
      <c r="K1508" s="247" t="s">
        <v>6569</v>
      </c>
      <c r="L1508" s="248">
        <v>12531</v>
      </c>
      <c r="M1508" s="249">
        <f>15*(LEFT(TEXT($L1508,"000000"),2)+(MID(TEXT($L1508,"000000"),3,2)/60)+(RIGHT(TEXT($L1508,"000000"),2)/3600))</f>
        <v>21.379166666666666</v>
      </c>
      <c r="N1508" s="250">
        <v>14533</v>
      </c>
      <c r="O1508" s="251">
        <f>IF($N1508&gt;0,(LEFT(TEXT($N1508,"000000"),2)+(MID(TEXT($N1508,"000000"),3,2)/60)+(RIGHT(TEXT($N1508,"000000"),2)/3600)),-(MID(TEXT($N1508,"000000"),2,2)+(MID(TEXT($N1508,"000000"),4,2)/60)+(RIGHT(TEXT($N1508,"000000"),2)/3600)))</f>
        <v>1.7591666666666668</v>
      </c>
      <c r="P1508" s="252" t="s">
        <v>75</v>
      </c>
      <c r="Q1508" s="253"/>
      <c r="R1508" s="247" t="s">
        <v>3293</v>
      </c>
      <c r="S1508" s="272" t="s">
        <v>6567</v>
      </c>
      <c r="T1508" s="273">
        <v>11.4</v>
      </c>
      <c r="U1508" s="289">
        <v>22.69</v>
      </c>
      <c r="V1508" s="280"/>
      <c r="W1508" s="244"/>
      <c r="X1508" s="244"/>
      <c r="Y1508" s="362"/>
      <c r="Z1508" s="257">
        <f>altaz(J2000_Bas,$O1508,$M1508,DecLat,DecLong,1)</f>
        <v>-3.6963325175992949</v>
      </c>
      <c r="AA1508" s="257">
        <f>altaz((J2000_Bas+(2*0.04167)),$O1508,$M1508,DecLat,DecLong,1)</f>
        <v>21.958366924632831</v>
      </c>
      <c r="AB1508" s="257">
        <f>altaz((J2000_Bas+(4*0.04167)),$O1508,$M1508,DecLat,DecLong,1)</f>
        <v>45.712606752795864</v>
      </c>
      <c r="AC1508" s="257">
        <f>altaz((J2000_Bas+(6*0.04167)),$O1508,$M1508,DecLat,DecLong,1)</f>
        <v>60.360220051632574</v>
      </c>
      <c r="AD1508" s="258">
        <f>1+ transit((J2000_Bas-1),$O1508,$M1508,DecLat,DecLong)/360 + (GMTOffset/24) + (IF(DST="Y", 1, 0)/24)</f>
        <v>1.0522865287651246</v>
      </c>
      <c r="AE1508" s="259">
        <f>DATE(2001,9,21)+(M1508/360)*365 - (360*((DecLong/360)- (GMTOffset/24) ))</f>
        <v>37181.676099537035</v>
      </c>
      <c r="AF1508" s="260">
        <f>IF(DecLat&gt;0,IF((90 - (DecLat-O1508))&gt;90, (90 - (O1508-DecLat)), (90 - (DecLat-O1508))),IF((90 + (DecLat-O1508))&gt;90, (90 + (O1508-DecLat)), (90 + (DecLat-O1508))))</f>
        <v>60.759166666666665</v>
      </c>
      <c r="AG1508" s="257">
        <f>angularseperation(MoonRA,MoonDec,$M1508,$O1508)</f>
        <v>127.66415592553064</v>
      </c>
      <c r="AH1508" s="261">
        <f ca="1">MIN(100,IF($O$5&gt;80,0+30*($AG1508/100),IF($O$5&gt;70,0+50*($AG1508/100),IF($O$5&gt;60,5+50*($AG1508/100),IF($O$5&gt;50,10+60*($AG1508/100),IF($O$5&gt;40,15+70*($AG1508/100),IF($O$5&gt;30,20+70*($AG1508/100),IF($O$5&gt;20,40+55*($AG1508/100),(80+(20-$O$5)+30*($AG1508/100))))))))))</f>
        <v>100</v>
      </c>
      <c r="AI1508" s="262">
        <v>533</v>
      </c>
      <c r="AJ1508" s="262"/>
      <c r="AK1508" s="262"/>
      <c r="AL1508" s="263"/>
      <c r="AM1508" s="264"/>
      <c r="AN1508" s="263"/>
      <c r="AO1508" s="263"/>
      <c r="AP1508" s="265"/>
      <c r="AQ1508" s="266">
        <v>992</v>
      </c>
      <c r="AR1508" s="267">
        <v>5283</v>
      </c>
      <c r="AS1508" s="263"/>
      <c r="AT1508" s="263"/>
      <c r="AU1508" s="263"/>
      <c r="AV1508" s="264"/>
      <c r="AW1508" s="263"/>
      <c r="AX1508" s="263"/>
      <c r="AY1508" s="263"/>
      <c r="AZ1508" s="263"/>
      <c r="BA1508" s="263"/>
      <c r="BB1508" s="263"/>
      <c r="BC1508" s="263"/>
      <c r="BD1508" s="264"/>
      <c r="BE1508" s="263"/>
      <c r="BF1508" s="263"/>
      <c r="BG1508" s="263"/>
      <c r="BH1508" s="263"/>
      <c r="BI1508" s="263"/>
      <c r="BJ1508" s="404">
        <f>altaz(J2000_Bas,$O1508,$M1508,DecLat,DecLong,2)</f>
        <v>85.715683913069313</v>
      </c>
      <c r="BK1508" s="378" t="s">
        <v>1535</v>
      </c>
      <c r="BL1508" s="379">
        <f>IF((2*G1508)/60&lt;0.2,0.2,(2*G1508)/60)</f>
        <v>0.2</v>
      </c>
      <c r="BM1508" s="380">
        <f>MOD((50000+AD1508-$B$3+(0/24)),1)</f>
        <v>0.26765345846797572</v>
      </c>
      <c r="BN1508" s="381"/>
      <c r="BO1508" s="382">
        <v>1501</v>
      </c>
    </row>
    <row r="1509" spans="1:67" s="24" customFormat="1" ht="15" customHeight="1" x14ac:dyDescent="0.25">
      <c r="A1509" s="288" t="s">
        <v>3044</v>
      </c>
      <c r="B1509" s="241" t="str">
        <f>HYPERLINK(CONCATENATE($AT$3,BK1509,$AU$3),$AV$3)</f>
        <v>S</v>
      </c>
      <c r="C1509" s="242" t="str">
        <f>HYPERLINK(CONCATENATE($AT$4,BK1509,$AU$4,BL1509),$AV$4)</f>
        <v>A</v>
      </c>
      <c r="D1509" s="243" t="s">
        <v>5638</v>
      </c>
      <c r="E1509" s="244" t="s">
        <v>5192</v>
      </c>
      <c r="F1509" s="269" t="s">
        <v>8908</v>
      </c>
      <c r="G1509" s="273">
        <v>2.9</v>
      </c>
      <c r="H1509" s="283">
        <v>240</v>
      </c>
      <c r="I1509" s="246">
        <v>195</v>
      </c>
      <c r="J1509" s="246">
        <v>3</v>
      </c>
      <c r="K1509" s="247" t="s">
        <v>6574</v>
      </c>
      <c r="L1509" s="248">
        <v>12622</v>
      </c>
      <c r="M1509" s="249">
        <f>15*(LEFT(TEXT($L1509,"000000"),2)+(MID(TEXT($L1509,"000000"),3,2)/60)+(RIGHT(TEXT($L1509,"000000"),2)/3600))</f>
        <v>21.591666666666669</v>
      </c>
      <c r="N1509" s="250">
        <v>344200</v>
      </c>
      <c r="O1509" s="251">
        <f>IF($N1509&gt;0,(LEFT(TEXT($N1509,"000000"),2)+(MID(TEXT($N1509,"000000"),3,2)/60)+(RIGHT(TEXT($N1509,"000000"),2)/3600)),-(MID(TEXT($N1509,"000000"),2,2)+(MID(TEXT($N1509,"000000"),4,2)/60)+(RIGHT(TEXT($N1509,"000000"),2)/3600)))</f>
        <v>34.700000000000003</v>
      </c>
      <c r="P1509" s="252" t="s">
        <v>36</v>
      </c>
      <c r="Q1509" s="253"/>
      <c r="R1509" s="277" t="s">
        <v>6573</v>
      </c>
      <c r="S1509" s="272" t="s">
        <v>3293</v>
      </c>
      <c r="T1509" s="273">
        <v>12.4</v>
      </c>
      <c r="U1509" s="289">
        <v>22.39</v>
      </c>
      <c r="V1509" s="280">
        <v>75</v>
      </c>
      <c r="W1509" s="244"/>
      <c r="X1509" s="244"/>
      <c r="Y1509" s="362"/>
      <c r="Z1509" s="257">
        <f>altaz(J2000_Bas,$O1509,$M1509,DecLat,DecLong,1)</f>
        <v>12.977397696017375</v>
      </c>
      <c r="AA1509" s="257">
        <f>altaz((J2000_Bas+(2*0.04167)),$O1509,$M1509,DecLat,DecLong,1)</f>
        <v>35.830606878740952</v>
      </c>
      <c r="AB1509" s="257">
        <f>altaz((J2000_Bas+(4*0.04167)),$O1509,$M1509,DecLat,DecLong,1)</f>
        <v>60.168398310013174</v>
      </c>
      <c r="AC1509" s="257">
        <f>altaz((J2000_Bas+(6*0.04167)),$O1509,$M1509,DecLat,DecLong,1)</f>
        <v>84.189621386514943</v>
      </c>
      <c r="AD1509" s="258">
        <f>1+ transit((J2000_Bas-1),$O1509,$M1509,DecLat,DecLong)/360 + (GMTOffset/24) + (IF(DST="Y", 1, 0)/24)</f>
        <v>1.0528768064838747</v>
      </c>
      <c r="AE1509" s="259">
        <f>DATE(2001,9,21)+(M1509/360)*365 - (360*((DecLong/360)- (GMTOffset/24) ))</f>
        <v>37181.891550925924</v>
      </c>
      <c r="AF1509" s="260">
        <f>IF(DecLat&gt;0,IF((90 - (DecLat-O1509))&gt;90, (90 - (O1509-DecLat)), (90 - (DecLat-O1509))),IF((90 + (DecLat-O1509))&gt;90, (90 + (O1509-DecLat)), (90 + (DecLat-O1509))))</f>
        <v>86.3</v>
      </c>
      <c r="AG1509" s="257">
        <f>angularseperation(MoonRA,MoonDec,$M1509,$O1509)</f>
        <v>138.78984183916</v>
      </c>
      <c r="AH1509" s="261">
        <f ca="1">MIN(100,IF($O$5&gt;80,0+30*($AG1509/100),IF($O$5&gt;70,0+50*($AG1509/100),IF($O$5&gt;60,5+50*($AG1509/100),IF($O$5&gt;50,10+60*($AG1509/100),IF($O$5&gt;40,15+70*($AG1509/100),IF($O$5&gt;30,20+70*($AG1509/100),IF($O$5&gt;20,40+55*($AG1509/100),(80+(20-$O$5)+30*($AG1509/100))))))))))</f>
        <v>100</v>
      </c>
      <c r="AI1509" s="262">
        <v>536</v>
      </c>
      <c r="AJ1509" s="263"/>
      <c r="AK1509" s="263"/>
      <c r="AL1509" s="263"/>
      <c r="AM1509" s="264"/>
      <c r="AN1509" s="263"/>
      <c r="AO1509" s="263"/>
      <c r="AP1509" s="265"/>
      <c r="AQ1509" s="265">
        <v>1013</v>
      </c>
      <c r="AR1509" s="285">
        <v>5344</v>
      </c>
      <c r="AS1509" s="263"/>
      <c r="AT1509" s="263"/>
      <c r="AU1509" s="263"/>
      <c r="AV1509" s="264"/>
      <c r="AW1509" s="263"/>
      <c r="AX1509" s="263"/>
      <c r="AY1509" s="263"/>
      <c r="AZ1509" s="263"/>
      <c r="BA1509" s="263"/>
      <c r="BB1509" s="263"/>
      <c r="BC1509" s="263"/>
      <c r="BD1509" s="264"/>
      <c r="BE1509" s="263"/>
      <c r="BF1509" s="263"/>
      <c r="BG1509" s="263"/>
      <c r="BH1509" s="263"/>
      <c r="BI1509" s="263"/>
      <c r="BJ1509" s="404">
        <f>altaz(J2000_Bas,$O1509,$M1509,DecLat,DecLong,2)</f>
        <v>57.106571509507425</v>
      </c>
      <c r="BK1509" s="378" t="s">
        <v>3044</v>
      </c>
      <c r="BL1509" s="379">
        <f>IF((2*G1509)/60&lt;0.2,0.2,(2*G1509)/60)</f>
        <v>0.2</v>
      </c>
      <c r="BM1509" s="380">
        <f>MOD((50000+AD1509-$B$3+(0/24)),1)</f>
        <v>0.26824373618728714</v>
      </c>
      <c r="BN1509" s="381"/>
      <c r="BO1509" s="382">
        <v>1502</v>
      </c>
    </row>
    <row r="1510" spans="1:67" s="24" customFormat="1" ht="15" customHeight="1" x14ac:dyDescent="0.25">
      <c r="A1510" s="288" t="s">
        <v>1536</v>
      </c>
      <c r="B1510" s="241" t="str">
        <f>HYPERLINK(CONCATENATE($AT$3,BK1510,$AU$3),$AV$3)</f>
        <v>S</v>
      </c>
      <c r="C1510" s="242" t="str">
        <f>HYPERLINK(CONCATENATE($AT$4,BK1510,$AU$4,BL1510),$AV$4)</f>
        <v>A</v>
      </c>
      <c r="D1510" s="243" t="s">
        <v>5335</v>
      </c>
      <c r="E1510" s="244" t="s">
        <v>5185</v>
      </c>
      <c r="F1510" s="269" t="s">
        <v>6575</v>
      </c>
      <c r="G1510" s="273">
        <v>4</v>
      </c>
      <c r="H1510" s="283">
        <v>3700</v>
      </c>
      <c r="I1510" s="279">
        <v>4.5</v>
      </c>
      <c r="J1510" s="246">
        <v>3</v>
      </c>
      <c r="K1510" s="247" t="s">
        <v>6576</v>
      </c>
      <c r="L1510" s="248">
        <v>12931</v>
      </c>
      <c r="M1510" s="249">
        <f>15*(LEFT(TEXT($L1510,"000000"),2)+(MID(TEXT($L1510,"000000"),3,2)/60)+(RIGHT(TEXT($L1510,"000000"),2)/3600))</f>
        <v>22.379166666666666</v>
      </c>
      <c r="N1510" s="250">
        <v>631824</v>
      </c>
      <c r="O1510" s="251">
        <f>IF($N1510&gt;0,(LEFT(TEXT($N1510,"000000"),2)+(MID(TEXT($N1510,"000000"),3,2)/60)+(RIGHT(TEXT($N1510,"000000"),2)/3600)),-(MID(TEXT($N1510,"000000"),2,2)+(MID(TEXT($N1510,"000000"),4,2)/60)+(RIGHT(TEXT($N1510,"000000"),2)/3600)))</f>
        <v>63.306666666666665</v>
      </c>
      <c r="P1510" s="252" t="s">
        <v>49</v>
      </c>
      <c r="Q1510" s="253"/>
      <c r="R1510" s="247" t="s">
        <v>7332</v>
      </c>
      <c r="S1510" s="272" t="s">
        <v>3293</v>
      </c>
      <c r="T1510" s="273">
        <v>9.5</v>
      </c>
      <c r="U1510" s="274"/>
      <c r="V1510" s="280"/>
      <c r="W1510" s="244"/>
      <c r="X1510" s="244"/>
      <c r="Y1510" s="362"/>
      <c r="Z1510" s="257">
        <f>altaz(J2000_Bas,$O1510,$M1510,DecLat,DecLong,1)</f>
        <v>24.669443872641423</v>
      </c>
      <c r="AA1510" s="257">
        <f>altaz((J2000_Bas+(2*0.04167)),$O1510,$M1510,DecLat,DecLong,1)</f>
        <v>37.949553918000561</v>
      </c>
      <c r="AB1510" s="257">
        <f>altaz((J2000_Bas+(4*0.04167)),$O1510,$M1510,DecLat,DecLong,1)</f>
        <v>50.42935025629648</v>
      </c>
      <c r="AC1510" s="257">
        <f>altaz((J2000_Bas+(6*0.04167)),$O1510,$M1510,DecLat,DecLong,1)</f>
        <v>57.458608838391321</v>
      </c>
      <c r="AD1510" s="258">
        <f>1+ transit((J2000_Bas-1),$O1510,$M1510,DecLat,DecLong)/360 + (GMTOffset/24) + (IF(DST="Y", 1, 0)/24)</f>
        <v>1.0550643062651248</v>
      </c>
      <c r="AE1510" s="259">
        <f>DATE(2001,9,21)+(M1510/360)*365 - (360*((DecLong/360)- (GMTOffset/24) ))</f>
        <v>37182.689988425926</v>
      </c>
      <c r="AF1510" s="260">
        <f>IF(DecLat&gt;0,IF((90 - (DecLat-O1510))&gt;90, (90 - (O1510-DecLat)), (90 - (DecLat-O1510))),IF((90 + (DecLat-O1510))&gt;90, (90 + (O1510-DecLat)), (90 + (DecLat-O1510))))</f>
        <v>57.693333333333335</v>
      </c>
      <c r="AG1510" s="257">
        <f>angularseperation(MoonRA,MoonDec,$M1510,$O1510)</f>
        <v>132.86252012991065</v>
      </c>
      <c r="AH1510" s="261">
        <f ca="1">MIN(100,IF($O$5&gt;80,0+30*($AG1510/100),IF($O$5&gt;70,0+50*($AG1510/100),IF($O$5&gt;60,5+50*($AG1510/100),IF($O$5&gt;50,10+60*($AG1510/100),IF($O$5&gt;40,15+70*($AG1510/100),IF($O$5&gt;30,20+70*($AG1510/100),IF($O$5&gt;20,40+55*($AG1510/100),(80+(20-$O$5)+30*($AG1510/100))))))))))</f>
        <v>100</v>
      </c>
      <c r="AI1510" s="262">
        <v>559</v>
      </c>
      <c r="AJ1510" s="262"/>
      <c r="AK1510" s="262">
        <v>19</v>
      </c>
      <c r="AL1510" s="263"/>
      <c r="AM1510" s="264">
        <v>8</v>
      </c>
      <c r="AN1510" s="263"/>
      <c r="AO1510" s="263"/>
      <c r="AP1510" s="265"/>
      <c r="AQ1510" s="266"/>
      <c r="AR1510" s="267"/>
      <c r="AS1510" s="263"/>
      <c r="AT1510" s="263"/>
      <c r="AU1510" s="263"/>
      <c r="AV1510" s="264"/>
      <c r="AW1510" s="263"/>
      <c r="AX1510" s="263"/>
      <c r="AY1510" s="263"/>
      <c r="AZ1510" s="263"/>
      <c r="BA1510" s="263"/>
      <c r="BB1510" s="263"/>
      <c r="BC1510" s="263"/>
      <c r="BD1510" s="264"/>
      <c r="BE1510" s="263"/>
      <c r="BF1510" s="263"/>
      <c r="BG1510" s="263"/>
      <c r="BH1510" s="263"/>
      <c r="BI1510" s="263"/>
      <c r="BJ1510" s="404">
        <f>altaz(J2000_Bas,$O1510,$M1510,DecLat,DecLong,2)</f>
        <v>29.4243599145213</v>
      </c>
      <c r="BK1510" s="378" t="s">
        <v>1536</v>
      </c>
      <c r="BL1510" s="379">
        <f>IF((2*G1510)/60&lt;0.2,0.2,(2*G1510)/60)</f>
        <v>0.2</v>
      </c>
      <c r="BM1510" s="380">
        <f>MOD((50000+AD1510-$B$3+(0/24)),1)</f>
        <v>0.27043123597104568</v>
      </c>
      <c r="BN1510" s="381"/>
      <c r="BO1510" s="382">
        <v>1503</v>
      </c>
    </row>
    <row r="1511" spans="1:67" s="24" customFormat="1" ht="15" customHeight="1" x14ac:dyDescent="0.25">
      <c r="A1511" s="288" t="s">
        <v>1537</v>
      </c>
      <c r="B1511" s="241" t="str">
        <f>HYPERLINK(CONCATENATE($AT$3,BK1511,$AU$3),$AV$3)</f>
        <v>S</v>
      </c>
      <c r="C1511" s="242" t="str">
        <f>HYPERLINK(CONCATENATE($AT$4,BK1511,$AU$4,BL1511),$AV$4)</f>
        <v>A</v>
      </c>
      <c r="D1511" s="243" t="s">
        <v>5638</v>
      </c>
      <c r="E1511" s="244" t="s">
        <v>5192</v>
      </c>
      <c r="F1511" s="269" t="s">
        <v>8895</v>
      </c>
      <c r="G1511" s="273">
        <v>4</v>
      </c>
      <c r="H1511" s="283">
        <v>60</v>
      </c>
      <c r="I1511" s="246">
        <v>70</v>
      </c>
      <c r="J1511" s="246">
        <v>3</v>
      </c>
      <c r="K1511" s="247" t="s">
        <v>6577</v>
      </c>
      <c r="L1511" s="248">
        <v>13029</v>
      </c>
      <c r="M1511" s="249">
        <f>15*(LEFT(TEXT($L1511,"000000"),2)+(MID(TEXT($L1511,"000000"),3,2)/60)+(RIGHT(TEXT($L1511,"000000"),2)/3600))</f>
        <v>22.620833333333334</v>
      </c>
      <c r="N1511" s="250">
        <v>-223959</v>
      </c>
      <c r="O1511" s="251">
        <f>IF($N1511&gt;0,(LEFT(TEXT($N1511,"000000"),2)+(MID(TEXT($N1511,"000000"),3,2)/60)+(RIGHT(TEXT($N1511,"000000"),2)/3600)),-(MID(TEXT($N1511,"000000"),2,2)+(MID(TEXT($N1511,"000000"),4,2)/60)+(RIGHT(TEXT($N1511,"000000"),2)/3600)))</f>
        <v>-22.666388888888889</v>
      </c>
      <c r="P1511" s="252" t="s">
        <v>75</v>
      </c>
      <c r="Q1511" s="253"/>
      <c r="R1511" s="247" t="s">
        <v>3293</v>
      </c>
      <c r="S1511" s="272" t="s">
        <v>3293</v>
      </c>
      <c r="T1511" s="273">
        <v>10.9</v>
      </c>
      <c r="U1511" s="289">
        <v>22.69</v>
      </c>
      <c r="V1511" s="280">
        <v>55</v>
      </c>
      <c r="W1511" s="244"/>
      <c r="X1511" s="244"/>
      <c r="Y1511" s="362"/>
      <c r="Z1511" s="257">
        <f>altaz(J2000_Bas,$O1511,$M1511,DecLat,DecLong,1)</f>
        <v>-16.83630202263857</v>
      </c>
      <c r="AA1511" s="257">
        <f>altaz((J2000_Bas+(2*0.04167)),$O1511,$M1511,DecLat,DecLong,1)</f>
        <v>6.6896978480862019</v>
      </c>
      <c r="AB1511" s="257">
        <f>altaz((J2000_Bas+(4*0.04167)),$O1511,$M1511,DecLat,DecLong,1)</f>
        <v>25.961134805906852</v>
      </c>
      <c r="AC1511" s="257">
        <f>altaz((J2000_Bas+(6*0.04167)),$O1511,$M1511,DecLat,DecLong,1)</f>
        <v>35.987650892458383</v>
      </c>
      <c r="AD1511" s="258">
        <f>1+ transit((J2000_Bas-1),$O1511,$M1511,DecLat,DecLong)/360 + (GMTOffset/24) + (IF(DST="Y", 1, 0)/24)</f>
        <v>1.0557356024942914</v>
      </c>
      <c r="AE1511" s="259">
        <f>DATE(2001,9,21)+(M1511/360)*365 - (360*((DecLong/360)- (GMTOffset/24) ))</f>
        <v>37182.935011574074</v>
      </c>
      <c r="AF1511" s="260">
        <f>IF(DecLat&gt;0,IF((90 - (DecLat-O1511))&gt;90, (90 - (O1511-DecLat)), (90 - (DecLat-O1511))),IF((90 + (DecLat-O1511))&gt;90, (90 + (O1511-DecLat)), (90 + (DecLat-O1511))))</f>
        <v>36.333611111111111</v>
      </c>
      <c r="AG1511" s="257">
        <f>angularseperation(MoonRA,MoonDec,$M1511,$O1511)</f>
        <v>112.88093276044188</v>
      </c>
      <c r="AH1511" s="261">
        <f ca="1">MIN(100,IF($O$5&gt;80,0+30*($AG1511/100),IF($O$5&gt;70,0+50*($AG1511/100),IF($O$5&gt;60,5+50*($AG1511/100),IF($O$5&gt;50,10+60*($AG1511/100),IF($O$5&gt;40,15+70*($AG1511/100),IF($O$5&gt;30,20+70*($AG1511/100),IF($O$5&gt;20,40+55*($AG1511/100),(80+(20-$O$5)+30*($AG1511/100))))))))))</f>
        <v>100</v>
      </c>
      <c r="AI1511" s="262">
        <v>578</v>
      </c>
      <c r="AJ1511" s="262"/>
      <c r="AK1511" s="262"/>
      <c r="AL1511" s="263"/>
      <c r="AM1511" s="264"/>
      <c r="AN1511" s="263"/>
      <c r="AO1511" s="263"/>
      <c r="AP1511" s="265"/>
      <c r="AQ1511" s="266"/>
      <c r="AR1511" s="267">
        <v>5619</v>
      </c>
      <c r="AS1511" s="263"/>
      <c r="AT1511" s="263"/>
      <c r="AU1511" s="263"/>
      <c r="AV1511" s="264"/>
      <c r="AW1511" s="263"/>
      <c r="AX1511" s="263"/>
      <c r="AY1511" s="263"/>
      <c r="AZ1511" s="263"/>
      <c r="BA1511" s="263"/>
      <c r="BB1511" s="263"/>
      <c r="BC1511" s="263"/>
      <c r="BD1511" s="264"/>
      <c r="BE1511" s="263"/>
      <c r="BF1511" s="263"/>
      <c r="BG1511" s="263"/>
      <c r="BH1511" s="263"/>
      <c r="BI1511" s="263"/>
      <c r="BJ1511" s="404">
        <f>altaz(J2000_Bas,$O1511,$M1511,DecLat,DecLong,2)</f>
        <v>106.73150437184042</v>
      </c>
      <c r="BK1511" s="378" t="s">
        <v>1537</v>
      </c>
      <c r="BL1511" s="379">
        <f>IF((2*G1511)/60&lt;0.2,0.2,(2*G1511)/60)</f>
        <v>0.2</v>
      </c>
      <c r="BM1511" s="380">
        <f>MOD((50000+AD1511-$B$3+(0/24)),1)</f>
        <v>0.27110253219871083</v>
      </c>
      <c r="BN1511" s="381"/>
      <c r="BO1511" s="382">
        <v>1504</v>
      </c>
    </row>
    <row r="1512" spans="1:67" s="24" customFormat="1" ht="15" customHeight="1" x14ac:dyDescent="0.25">
      <c r="A1512" s="288" t="s">
        <v>1538</v>
      </c>
      <c r="B1512" s="241" t="str">
        <f>HYPERLINK(CONCATENATE($AT$3,BK1512,$AU$3),$AV$3)</f>
        <v>S</v>
      </c>
      <c r="C1512" s="242" t="str">
        <f>HYPERLINK(CONCATENATE($AT$4,BK1512,$AU$4,BL1512),$AV$4)</f>
        <v>A</v>
      </c>
      <c r="D1512" s="243" t="s">
        <v>5638</v>
      </c>
      <c r="E1512" s="244" t="s">
        <v>5193</v>
      </c>
      <c r="F1512" s="269" t="s">
        <v>3305</v>
      </c>
      <c r="G1512" s="273">
        <v>5</v>
      </c>
      <c r="H1512" s="283">
        <v>65</v>
      </c>
      <c r="I1512" s="246">
        <v>100</v>
      </c>
      <c r="J1512" s="246">
        <v>2</v>
      </c>
      <c r="K1512" s="247" t="s">
        <v>6578</v>
      </c>
      <c r="L1512" s="248">
        <v>13121</v>
      </c>
      <c r="M1512" s="249">
        <f>15*(LEFT(TEXT($L1512,"000000"),2)+(MID(TEXT($L1512,"000000"),3,2)/60)+(RIGHT(TEXT($L1512,"000000"),2)/3600))</f>
        <v>22.837499999999999</v>
      </c>
      <c r="N1512" s="250">
        <v>-65205</v>
      </c>
      <c r="O1512" s="251">
        <f>IF($N1512&gt;0,(LEFT(TEXT($N1512,"000000"),2)+(MID(TEXT($N1512,"000000"),3,2)/60)+(RIGHT(TEXT($N1512,"000000"),2)/3600)),-(MID(TEXT($N1512,"000000"),2,2)+(MID(TEXT($N1512,"000000"),4,2)/60)+(RIGHT(TEXT($N1512,"000000"),2)/3600)))</f>
        <v>-6.8680555555555562</v>
      </c>
      <c r="P1512" s="252" t="s">
        <v>75</v>
      </c>
      <c r="Q1512" s="253" t="s">
        <v>6884</v>
      </c>
      <c r="R1512" s="277" t="s">
        <v>3293</v>
      </c>
      <c r="S1512" s="272" t="s">
        <v>3293</v>
      </c>
      <c r="T1512" s="273">
        <v>10.5</v>
      </c>
      <c r="U1512" s="289">
        <v>21.79</v>
      </c>
      <c r="V1512" s="280"/>
      <c r="W1512" s="244"/>
      <c r="X1512" s="244"/>
      <c r="Y1512" s="362"/>
      <c r="Z1512" s="257">
        <f>altaz(J2000_Bas,$O1512,$M1512,DecLat,DecLong,1)</f>
        <v>-9.3734041635107932</v>
      </c>
      <c r="AA1512" s="257">
        <f>altaz((J2000_Bas+(2*0.04167)),$O1512,$M1512,DecLat,DecLong,1)</f>
        <v>15.922629375039287</v>
      </c>
      <c r="AB1512" s="257">
        <f>altaz((J2000_Bas+(4*0.04167)),$O1512,$M1512,DecLat,DecLong,1)</f>
        <v>38.391963782947407</v>
      </c>
      <c r="AC1512" s="257">
        <f>altaz((J2000_Bas+(6*0.04167)),$O1512,$M1512,DecLat,DecLong,1)</f>
        <v>51.611539451330188</v>
      </c>
      <c r="AD1512" s="258">
        <f>1+ transit((J2000_Bas-1),$O1512,$M1512,DecLat,DecLong)/360 + (GMTOffset/24) + (IF(DST="Y", 1, 0)/24)</f>
        <v>1.056337454285958</v>
      </c>
      <c r="AE1512" s="259">
        <f>DATE(2001,9,21)+(M1512/360)*365 - (360*((DecLong/360)- (GMTOffset/24) ))</f>
        <v>37183.154687499999</v>
      </c>
      <c r="AF1512" s="260">
        <f>IF(DecLat&gt;0,IF((90 - (DecLat-O1512))&gt;90, (90 - (O1512-DecLat)), (90 - (DecLat-O1512))),IF((90 + (DecLat-O1512))&gt;90, (90 + (O1512-DecLat)), (90 + (DecLat-O1512))))</f>
        <v>52.131944444444443</v>
      </c>
      <c r="AG1512" s="257">
        <f>angularseperation(MoonRA,MoonDec,$M1512,$O1512)</f>
        <v>123.7171964383529</v>
      </c>
      <c r="AH1512" s="261">
        <f ca="1">MIN(100,IF($O$5&gt;80,0+30*($AG1512/100),IF($O$5&gt;70,0+50*($AG1512/100),IF($O$5&gt;60,5+50*($AG1512/100),IF($O$5&gt;50,10+60*($AG1512/100),IF($O$5&gt;40,15+70*($AG1512/100),IF($O$5&gt;30,20+70*($AG1512/100),IF($O$5&gt;20,40+55*($AG1512/100),(80+(20-$O$5)+30*($AG1512/100))))))))))</f>
        <v>100</v>
      </c>
      <c r="AI1512" s="262">
        <v>584</v>
      </c>
      <c r="AJ1512" s="262"/>
      <c r="AK1512" s="262">
        <v>20</v>
      </c>
      <c r="AL1512" s="263"/>
      <c r="AM1512" s="264"/>
      <c r="AN1512" s="263"/>
      <c r="AO1512" s="263"/>
      <c r="AP1512" s="265"/>
      <c r="AQ1512" s="266"/>
      <c r="AR1512" s="267">
        <v>5663</v>
      </c>
      <c r="AS1512" s="263"/>
      <c r="AT1512" s="263"/>
      <c r="AU1512" s="263"/>
      <c r="AV1512" s="264"/>
      <c r="AW1512" s="263"/>
      <c r="AX1512" s="263"/>
      <c r="AY1512" s="263"/>
      <c r="AZ1512" s="263"/>
      <c r="BA1512" s="263"/>
      <c r="BB1512" s="263"/>
      <c r="BC1512" s="263"/>
      <c r="BD1512" s="264"/>
      <c r="BE1512" s="263">
        <v>6</v>
      </c>
      <c r="BF1512" s="263"/>
      <c r="BG1512" s="263"/>
      <c r="BH1512" s="263"/>
      <c r="BI1512" s="263"/>
      <c r="BJ1512" s="404">
        <f>altaz(J2000_Bas,$O1512,$M1512,DecLat,DecLong,2)</f>
        <v>92.419320535321489</v>
      </c>
      <c r="BK1512" s="378" t="s">
        <v>1538</v>
      </c>
      <c r="BL1512" s="379">
        <f>IF((2*G1512)/60&lt;0.2,0.2,(2*G1512)/60)</f>
        <v>0.2</v>
      </c>
      <c r="BM1512" s="380">
        <f>MOD((50000+AD1512-$B$3+(0/24)),1)</f>
        <v>0.27170438398752594</v>
      </c>
      <c r="BN1512" s="381"/>
      <c r="BO1512" s="382">
        <v>1505</v>
      </c>
    </row>
    <row r="1513" spans="1:67" s="24" customFormat="1" ht="15" customHeight="1" x14ac:dyDescent="0.25">
      <c r="A1513" s="288" t="s">
        <v>1539</v>
      </c>
      <c r="B1513" s="241" t="str">
        <f>HYPERLINK(CONCATENATE($AT$3,BK1513,$AU$3),$AV$3)</f>
        <v>S</v>
      </c>
      <c r="C1513" s="242" t="str">
        <f>HYPERLINK(CONCATENATE($AT$4,BK1513,$AU$4,BL1513),$AV$4)</f>
        <v>A</v>
      </c>
      <c r="D1513" s="243" t="s">
        <v>5638</v>
      </c>
      <c r="E1513" s="244" t="s">
        <v>5193</v>
      </c>
      <c r="F1513" s="269" t="s">
        <v>3305</v>
      </c>
      <c r="G1513" s="273">
        <v>3</v>
      </c>
      <c r="H1513" s="283">
        <v>70</v>
      </c>
      <c r="I1513" s="246">
        <v>60</v>
      </c>
      <c r="J1513" s="246">
        <v>1</v>
      </c>
      <c r="K1513" s="247" t="s">
        <v>6579</v>
      </c>
      <c r="L1513" s="248">
        <v>13254</v>
      </c>
      <c r="M1513" s="249">
        <f>15*(LEFT(TEXT($L1513,"000000"),2)+(MID(TEXT($L1513,"000000"),3,2)/60)+(RIGHT(TEXT($L1513,"000000"),2)/3600))</f>
        <v>23.224999999999998</v>
      </c>
      <c r="N1513" s="286">
        <v>-70200</v>
      </c>
      <c r="O1513" s="251">
        <f>IF($N1513&gt;0,(LEFT(TEXT($N1513,"000000"),2)+(MID(TEXT($N1513,"000000"),3,2)/60)+(RIGHT(TEXT($N1513,"000000"),2)/3600)),-(MID(TEXT($N1513,"000000"),2,2)+(MID(TEXT($N1513,"000000"),4,2)/60)+(RIGHT(TEXT($N1513,"000000"),2)/3600)))</f>
        <v>-7.0333333333333332</v>
      </c>
      <c r="P1513" s="252" t="s">
        <v>75</v>
      </c>
      <c r="Q1513" s="253"/>
      <c r="R1513" s="277" t="s">
        <v>3293</v>
      </c>
      <c r="S1513" s="272" t="s">
        <v>3293</v>
      </c>
      <c r="T1513" s="273">
        <v>10.9</v>
      </c>
      <c r="U1513" s="289">
        <v>21.89</v>
      </c>
      <c r="V1513" s="280"/>
      <c r="W1513" s="244"/>
      <c r="X1513" s="244"/>
      <c r="Y1513" s="362"/>
      <c r="Z1513" s="257">
        <f>altaz(J2000_Bas,$O1513,$M1513,DecLat,DecLong,1)</f>
        <v>-9.7888332969303509</v>
      </c>
      <c r="AA1513" s="257">
        <f>altaz((J2000_Bas+(2*0.04167)),$O1513,$M1513,DecLat,DecLong,1)</f>
        <v>15.512714188951108</v>
      </c>
      <c r="AB1513" s="257">
        <f>altaz((J2000_Bas+(4*0.04167)),$O1513,$M1513,DecLat,DecLong,1)</f>
        <v>38.015292578597908</v>
      </c>
      <c r="AC1513" s="257">
        <f>altaz((J2000_Bas+(6*0.04167)),$O1513,$M1513,DecLat,DecLong,1)</f>
        <v>51.385977589750453</v>
      </c>
      <c r="AD1513" s="258">
        <f>1+ transit((J2000_Bas-1),$O1513,$M1513,DecLat,DecLong)/360 + (GMTOffset/24) + (IF(DST="Y", 1, 0)/24)</f>
        <v>1.057413843067208</v>
      </c>
      <c r="AE1513" s="259">
        <f>DATE(2001,9,21)+(M1513/360)*365 - (360*((DecLong/360)- (GMTOffset/24) ))</f>
        <v>37183.547569444447</v>
      </c>
      <c r="AF1513" s="260">
        <f>IF(DecLat&gt;0,IF((90 - (DecLat-O1513))&gt;90, (90 - (O1513-DecLat)), (90 - (DecLat-O1513))),IF((90 + (DecLat-O1513))&gt;90, (90 + (O1513-DecLat)), (90 + (DecLat-O1513))))</f>
        <v>51.966666666666669</v>
      </c>
      <c r="AG1513" s="257">
        <f>angularseperation(MoonRA,MoonDec,$M1513,$O1513)</f>
        <v>123.91001616505633</v>
      </c>
      <c r="AH1513" s="261">
        <f ca="1">MIN(100,IF($O$5&gt;80,0+30*($AG1513/100),IF($O$5&gt;70,0+50*($AG1513/100),IF($O$5&gt;60,5+50*($AG1513/100),IF($O$5&gt;50,10+60*($AG1513/100),IF($O$5&gt;40,15+70*($AG1513/100),IF($O$5&gt;30,20+70*($AG1513/100),IF($O$5&gt;20,40+55*($AG1513/100),(80+(20-$O$5)+30*($AG1513/100))))))))))</f>
        <v>100</v>
      </c>
      <c r="AI1513" s="262">
        <v>596</v>
      </c>
      <c r="AJ1513" s="263"/>
      <c r="AK1513" s="263">
        <v>21</v>
      </c>
      <c r="AL1513" s="263"/>
      <c r="AM1513" s="264"/>
      <c r="AN1513" s="263"/>
      <c r="AO1513" s="263"/>
      <c r="AP1513" s="265"/>
      <c r="AQ1513" s="265"/>
      <c r="AR1513" s="285">
        <v>5766</v>
      </c>
      <c r="AS1513" s="263"/>
      <c r="AT1513" s="263"/>
      <c r="AU1513" s="263"/>
      <c r="AV1513" s="264"/>
      <c r="AW1513" s="263"/>
      <c r="AX1513" s="263"/>
      <c r="AY1513" s="263"/>
      <c r="AZ1513" s="263"/>
      <c r="BA1513" s="263"/>
      <c r="BB1513" s="263"/>
      <c r="BC1513" s="263"/>
      <c r="BD1513" s="264"/>
      <c r="BE1513" s="263"/>
      <c r="BF1513" s="263"/>
      <c r="BG1513" s="263"/>
      <c r="BH1513" s="263"/>
      <c r="BI1513" s="263"/>
      <c r="BJ1513" s="404">
        <f>altaz(J2000_Bas,$O1513,$M1513,DecLat,DecLong,2)</f>
        <v>92.366696818021282</v>
      </c>
      <c r="BK1513" s="378" t="s">
        <v>1539</v>
      </c>
      <c r="BL1513" s="379">
        <f>IF((2*G1513)/60&lt;0.2,0.2,(2*G1513)/60)</f>
        <v>0.2</v>
      </c>
      <c r="BM1513" s="380">
        <f>MOD((50000+AD1513-$B$3+(0/24)),1)</f>
        <v>0.27278077277151169</v>
      </c>
      <c r="BN1513" s="381"/>
      <c r="BO1513" s="382">
        <v>1506</v>
      </c>
    </row>
    <row r="1514" spans="1:67" s="24" customFormat="1" ht="15" customHeight="1" x14ac:dyDescent="0.25">
      <c r="A1514" s="288" t="s">
        <v>1540</v>
      </c>
      <c r="B1514" s="241" t="str">
        <f>HYPERLINK(CONCATENATE($AT$3,BK1514,$AU$3),$AV$3)</f>
        <v>S</v>
      </c>
      <c r="C1514" s="242" t="str">
        <f>HYPERLINK(CONCATENATE($AT$4,BK1514,$AU$4,BL1514),$AV$4)</f>
        <v>A</v>
      </c>
      <c r="D1514" s="243" t="s">
        <v>5187</v>
      </c>
      <c r="E1514" s="244" t="s">
        <v>5183</v>
      </c>
      <c r="F1514" s="269" t="s">
        <v>5180</v>
      </c>
      <c r="G1514" s="273">
        <v>2.2000000000000002</v>
      </c>
      <c r="H1514" s="289">
        <v>3</v>
      </c>
      <c r="I1514" s="279">
        <v>2</v>
      </c>
      <c r="J1514" s="246">
        <v>2</v>
      </c>
      <c r="K1514" s="253" t="s">
        <v>6580</v>
      </c>
      <c r="L1514" s="248">
        <v>13433</v>
      </c>
      <c r="M1514" s="249">
        <f>15*(LEFT(TEXT($L1514,"000000"),2)+(MID(TEXT($L1514,"000000"),3,2)/60)+(RIGHT(TEXT($L1514,"000000"),2)/3600))</f>
        <v>23.637500000000003</v>
      </c>
      <c r="N1514" s="250">
        <v>304702</v>
      </c>
      <c r="O1514" s="251">
        <f>IF($N1514&gt;0,(LEFT(TEXT($N1514,"000000"),2)+(MID(TEXT($N1514,"000000"),3,2)/60)+(RIGHT(TEXT($N1514,"000000"),2)/3600)),-(MID(TEXT($N1514,"000000"),2,2)+(MID(TEXT($N1514,"000000"),4,2)/60)+(RIGHT(TEXT($N1514,"000000"),2)/3600)))</f>
        <v>30.783888888888889</v>
      </c>
      <c r="P1514" s="252" t="s">
        <v>314</v>
      </c>
      <c r="Q1514" s="253"/>
      <c r="R1514" s="277" t="s">
        <v>3293</v>
      </c>
      <c r="S1514" s="272" t="s">
        <v>3293</v>
      </c>
      <c r="T1514" s="273">
        <v>12</v>
      </c>
      <c r="U1514" s="274"/>
      <c r="V1514" s="280"/>
      <c r="W1514" s="244"/>
      <c r="X1514" s="244"/>
      <c r="Y1514" s="362"/>
      <c r="Z1514" s="257">
        <f>altaz(J2000_Bas,$O1514,$M1514,DecLat,DecLong,1)</f>
        <v>9.5413797410518573</v>
      </c>
      <c r="AA1514" s="257">
        <f>altaz((J2000_Bas+(2*0.04167)),$O1514,$M1514,DecLat,DecLong,1)</f>
        <v>33.011399068923431</v>
      </c>
      <c r="AB1514" s="257">
        <f>altaz((J2000_Bas+(4*0.04167)),$O1514,$M1514,DecLat,DecLong,1)</f>
        <v>58.004181250322304</v>
      </c>
      <c r="AC1514" s="257">
        <f>altaz((J2000_Bas+(6*0.04167)),$O1514,$M1514,DecLat,DecLong,1)</f>
        <v>83.663360288352379</v>
      </c>
      <c r="AD1514" s="258">
        <f>1+ transit((J2000_Bas-1),$O1514,$M1514,DecLat,DecLong)/360 + (GMTOffset/24) + (IF(DST="Y", 1, 0)/24)</f>
        <v>1.0585596762859579</v>
      </c>
      <c r="AE1514" s="259">
        <f>DATE(2001,9,21)+(M1514/360)*365 - (360*((DecLong/360)- (GMTOffset/24) ))</f>
        <v>37183.965798611112</v>
      </c>
      <c r="AF1514" s="260">
        <f>IF(DecLat&gt;0,IF((90 - (DecLat-O1514))&gt;90, (90 - (O1514-DecLat)), (90 - (DecLat-O1514))),IF((90 + (DecLat-O1514))&gt;90, (90 + (O1514-DecLat)), (90 + (DecLat-O1514))))</f>
        <v>89.783888888888896</v>
      </c>
      <c r="AG1514" s="257">
        <f>angularseperation(MoonRA,MoonDec,$M1514,$O1514)</f>
        <v>140.1878792547115</v>
      </c>
      <c r="AH1514" s="261">
        <f ca="1">MIN(100,IF($O$5&gt;80,0+30*($AG1514/100),IF($O$5&gt;70,0+50*($AG1514/100),IF($O$5&gt;60,5+50*($AG1514/100),IF($O$5&gt;50,10+60*($AG1514/100),IF($O$5&gt;40,15+70*($AG1514/100),IF($O$5&gt;30,20+70*($AG1514/100),IF($O$5&gt;20,40+55*($AG1514/100),(80+(20-$O$5)+30*($AG1514/100))))))))))</f>
        <v>100</v>
      </c>
      <c r="AI1514" s="262">
        <v>604</v>
      </c>
      <c r="AJ1514" s="262"/>
      <c r="AK1514" s="262"/>
      <c r="AL1514" s="263"/>
      <c r="AM1514" s="264"/>
      <c r="AN1514" s="263"/>
      <c r="AO1514" s="263"/>
      <c r="AP1514" s="265"/>
      <c r="AQ1514" s="266"/>
      <c r="AR1514" s="267"/>
      <c r="AS1514" s="263"/>
      <c r="AT1514" s="263"/>
      <c r="AU1514" s="263"/>
      <c r="AV1514" s="264"/>
      <c r="AW1514" s="263"/>
      <c r="AX1514" s="263"/>
      <c r="AY1514" s="263"/>
      <c r="AZ1514" s="263"/>
      <c r="BA1514" s="263"/>
      <c r="BB1514" s="263"/>
      <c r="BC1514" s="263"/>
      <c r="BD1514" s="264"/>
      <c r="BE1514" s="263"/>
      <c r="BF1514" s="263"/>
      <c r="BG1514" s="263"/>
      <c r="BH1514" s="263"/>
      <c r="BI1514" s="263"/>
      <c r="BJ1514" s="404">
        <f>altaz(J2000_Bas,$O1514,$M1514,DecLat,DecLong,2)</f>
        <v>59.704181223568874</v>
      </c>
      <c r="BK1514" s="378" t="s">
        <v>1540</v>
      </c>
      <c r="BL1514" s="379">
        <f>IF((2*G1514)/60&lt;0.2,0.2,(2*G1514)/60)</f>
        <v>0.2</v>
      </c>
      <c r="BM1514" s="380">
        <f>MOD((50000+AD1514-$B$3+(0/24)),1)</f>
        <v>0.27392660598707153</v>
      </c>
      <c r="BN1514" s="381"/>
      <c r="BO1514" s="382">
        <v>1507</v>
      </c>
    </row>
    <row r="1515" spans="1:67" s="24" customFormat="1" ht="15" customHeight="1" x14ac:dyDescent="0.25">
      <c r="A1515" s="288" t="s">
        <v>1541</v>
      </c>
      <c r="B1515" s="241" t="str">
        <f>HYPERLINK(CONCATENATE($AT$3,BK1515,$AU$3),$AV$3)</f>
        <v>S</v>
      </c>
      <c r="C1515" s="242" t="str">
        <f>HYPERLINK(CONCATENATE($AT$4,BK1515,$AU$4,BL1515),$AV$4)</f>
        <v>A</v>
      </c>
      <c r="D1515" s="243" t="s">
        <v>5638</v>
      </c>
      <c r="E1515" s="244" t="s">
        <v>5192</v>
      </c>
      <c r="F1515" s="269" t="s">
        <v>8927</v>
      </c>
      <c r="G1515" s="273">
        <v>5.5</v>
      </c>
      <c r="H1515" s="283">
        <v>70</v>
      </c>
      <c r="I1515" s="246">
        <v>115</v>
      </c>
      <c r="J1515" s="246">
        <v>3</v>
      </c>
      <c r="K1515" s="247" t="s">
        <v>6581</v>
      </c>
      <c r="L1515" s="248">
        <v>13418</v>
      </c>
      <c r="M1515" s="249">
        <f>15*(LEFT(TEXT($L1515,"000000"),2)+(MID(TEXT($L1515,"000000"),3,2)/60)+(RIGHT(TEXT($L1515,"000000"),2)/3600))</f>
        <v>23.574999999999999</v>
      </c>
      <c r="N1515" s="250">
        <v>-292508</v>
      </c>
      <c r="O1515" s="251">
        <f>IF($N1515&gt;0,(LEFT(TEXT($N1515,"000000"),2)+(MID(TEXT($N1515,"000000"),3,2)/60)+(RIGHT(TEXT($N1515,"000000"),2)/3600)),-(MID(TEXT($N1515,"000000"),2,2)+(MID(TEXT($N1515,"000000"),4,2)/60)+(RIGHT(TEXT($N1515,"000000"),2)/3600)))</f>
        <v>-29.41888888888889</v>
      </c>
      <c r="P1515" s="252" t="s">
        <v>1181</v>
      </c>
      <c r="Q1515" s="253"/>
      <c r="R1515" s="247" t="s">
        <v>3293</v>
      </c>
      <c r="S1515" s="272" t="s">
        <v>3293</v>
      </c>
      <c r="T1515" s="273">
        <v>10.1</v>
      </c>
      <c r="U1515" s="289">
        <v>22.19</v>
      </c>
      <c r="V1515" s="280">
        <v>45</v>
      </c>
      <c r="W1515" s="244"/>
      <c r="X1515" s="244"/>
      <c r="Y1515" s="362"/>
      <c r="Z1515" s="257">
        <f>altaz(J2000_Bas,$O1515,$M1515,DecLat,DecLong,1)</f>
        <v>-20.571299726350226</v>
      </c>
      <c r="AA1515" s="257">
        <f>altaz((J2000_Bas+(2*0.04167)),$O1515,$M1515,DecLat,DecLong,1)</f>
        <v>1.8848085145883375</v>
      </c>
      <c r="AB1515" s="257">
        <f>altaz((J2000_Bas+(4*0.04167)),$O1515,$M1515,DecLat,DecLong,1)</f>
        <v>19.884885266272249</v>
      </c>
      <c r="AC1515" s="257">
        <f>altaz((J2000_Bas+(6*0.04167)),$O1515,$M1515,DecLat,DecLong,1)</f>
        <v>29.181134342572697</v>
      </c>
      <c r="AD1515" s="258">
        <f>1+ transit((J2000_Bas-1),$O1515,$M1515,DecLat,DecLong)/360 + (GMTOffset/24) + (IF(DST="Y", 1, 0)/24)</f>
        <v>1.0583860651922079</v>
      </c>
      <c r="AE1515" s="259">
        <f>DATE(2001,9,21)+(M1515/360)*365 - (360*((DecLong/360)- (GMTOffset/24) ))</f>
        <v>37183.902430555558</v>
      </c>
      <c r="AF1515" s="260">
        <f>IF(DecLat&gt;0,IF((90 - (DecLat-O1515))&gt;90, (90 - (O1515-DecLat)), (90 - (DecLat-O1515))),IF((90 + (DecLat-O1515))&gt;90, (90 + (O1515-DecLat)), (90 + (DecLat-O1515))))</f>
        <v>29.581111111111113</v>
      </c>
      <c r="AG1515" s="257">
        <f>angularseperation(MoonRA,MoonDec,$M1515,$O1515)</f>
        <v>108.56168935540137</v>
      </c>
      <c r="AH1515" s="261">
        <f ca="1">MIN(100,IF($O$5&gt;80,0+30*($AG1515/100),IF($O$5&gt;70,0+50*($AG1515/100),IF($O$5&gt;60,5+50*($AG1515/100),IF($O$5&gt;50,10+60*($AG1515/100),IF($O$5&gt;40,15+70*($AG1515/100),IF($O$5&gt;30,20+70*($AG1515/100),IF($O$5&gt;20,40+55*($AG1515/100),(80+(20-$O$5)+30*($AG1515/100))))))))))</f>
        <v>100</v>
      </c>
      <c r="AI1515" s="262">
        <v>613</v>
      </c>
      <c r="AJ1515" s="262"/>
      <c r="AK1515" s="262">
        <v>23</v>
      </c>
      <c r="AL1515" s="263"/>
      <c r="AM1515" s="264"/>
      <c r="AN1515" s="263"/>
      <c r="AO1515" s="263"/>
      <c r="AP1515" s="265"/>
      <c r="AQ1515" s="266"/>
      <c r="AR1515" s="267">
        <v>5849</v>
      </c>
      <c r="AS1515" s="263"/>
      <c r="AT1515" s="263"/>
      <c r="AU1515" s="263"/>
      <c r="AV1515" s="264"/>
      <c r="AW1515" s="263"/>
      <c r="AX1515" s="263"/>
      <c r="AY1515" s="263"/>
      <c r="AZ1515" s="263"/>
      <c r="BA1515" s="263"/>
      <c r="BB1515" s="263"/>
      <c r="BC1515" s="263"/>
      <c r="BD1515" s="264"/>
      <c r="BE1515" s="263"/>
      <c r="BF1515" s="263"/>
      <c r="BG1515" s="263">
        <v>6</v>
      </c>
      <c r="BH1515" s="263"/>
      <c r="BI1515" s="263"/>
      <c r="BJ1515" s="404">
        <f>altaz(J2000_Bas,$O1515,$M1515,DecLat,DecLong,2)</f>
        <v>112.74078520442968</v>
      </c>
      <c r="BK1515" s="378" t="s">
        <v>1541</v>
      </c>
      <c r="BL1515" s="379">
        <f>IF((2*G1515)/60&lt;0.2,0.2,(2*G1515)/60)</f>
        <v>0.2</v>
      </c>
      <c r="BM1515" s="380">
        <f>MOD((50000+AD1515-$B$3+(0/24)),1)</f>
        <v>0.2737529948935844</v>
      </c>
      <c r="BN1515" s="381" t="s">
        <v>6500</v>
      </c>
      <c r="BO1515" s="382">
        <v>1508</v>
      </c>
    </row>
    <row r="1516" spans="1:67" s="24" customFormat="1" ht="15" customHeight="1" x14ac:dyDescent="0.25">
      <c r="A1516" s="288" t="s">
        <v>1542</v>
      </c>
      <c r="B1516" s="241" t="str">
        <f>HYPERLINK(CONCATENATE($AT$3,BK1516,$AU$3),$AV$3)</f>
        <v>S</v>
      </c>
      <c r="C1516" s="242" t="str">
        <f>HYPERLINK(CONCATENATE($AT$4,BK1516,$AU$4,BL1516),$AV$4)</f>
        <v>A</v>
      </c>
      <c r="D1516" s="243" t="s">
        <v>5638</v>
      </c>
      <c r="E1516" s="244" t="s">
        <v>5192</v>
      </c>
      <c r="F1516" s="269" t="s">
        <v>8695</v>
      </c>
      <c r="G1516" s="273">
        <v>3</v>
      </c>
      <c r="H1516" s="283">
        <v>84.878280000000004</v>
      </c>
      <c r="I1516" s="246">
        <v>75</v>
      </c>
      <c r="J1516" s="246">
        <v>2</v>
      </c>
      <c r="K1516" s="247" t="s">
        <v>6582</v>
      </c>
      <c r="L1516" s="248">
        <v>13506</v>
      </c>
      <c r="M1516" s="249">
        <f>15*(LEFT(TEXT($L1516,"000000"),2)+(MID(TEXT($L1516,"000000"),3,2)/60)+(RIGHT(TEXT($L1516,"000000"),2)/3600))</f>
        <v>23.775000000000002</v>
      </c>
      <c r="N1516" s="286">
        <v>-72000</v>
      </c>
      <c r="O1516" s="251">
        <f>IF($N1516&gt;0,(LEFT(TEXT($N1516,"000000"),2)+(MID(TEXT($N1516,"000000"),3,2)/60)+(RIGHT(TEXT($N1516,"000000"),2)/3600)),-(MID(TEXT($N1516,"000000"),2,2)+(MID(TEXT($N1516,"000000"),4,2)/60)+(RIGHT(TEXT($N1516,"000000"),2)/3600)))</f>
        <v>-7.333333333333333</v>
      </c>
      <c r="P1516" s="252" t="s">
        <v>75</v>
      </c>
      <c r="Q1516" s="253"/>
      <c r="R1516" s="277" t="s">
        <v>3293</v>
      </c>
      <c r="S1516" s="272" t="s">
        <v>3293</v>
      </c>
      <c r="T1516" s="273">
        <v>11.6</v>
      </c>
      <c r="U1516" s="289">
        <v>22.09</v>
      </c>
      <c r="V1516" s="280">
        <v>75</v>
      </c>
      <c r="W1516" s="244"/>
      <c r="X1516" s="244"/>
      <c r="Y1516" s="362"/>
      <c r="Z1516" s="257">
        <f>altaz(J2000_Bas,$O1516,$M1516,DecLat,DecLong,1)</f>
        <v>-10.411325587033478</v>
      </c>
      <c r="AA1516" s="257">
        <f>altaz((J2000_Bas+(2*0.04167)),$O1516,$M1516,DecLat,DecLong,1)</f>
        <v>14.893531396992225</v>
      </c>
      <c r="AB1516" s="257">
        <f>altaz((J2000_Bas+(4*0.04167)),$O1516,$M1516,DecLat,DecLong,1)</f>
        <v>37.430577876989183</v>
      </c>
      <c r="AC1516" s="257">
        <f>altaz((J2000_Bas+(6*0.04167)),$O1516,$M1516,DecLat,DecLong,1)</f>
        <v>50.996372824710683</v>
      </c>
      <c r="AD1516" s="258">
        <f>1+ transit((J2000_Bas-1),$O1516,$M1516,DecLat,DecLong)/360 + (GMTOffset/24) + (IF(DST="Y", 1, 0)/24)</f>
        <v>1.058941620692208</v>
      </c>
      <c r="AE1516" s="259">
        <f>DATE(2001,9,21)+(M1516/360)*365 - (360*((DecLong/360)- (GMTOffset/24) ))</f>
        <v>37184.105208333334</v>
      </c>
      <c r="AF1516" s="260">
        <f>IF(DecLat&gt;0,IF((90 - (DecLat-O1516))&gt;90, (90 - (O1516-DecLat)), (90 - (DecLat-O1516))),IF((90 + (DecLat-O1516))&gt;90, (90 + (O1516-DecLat)), (90 + (DecLat-O1516))))</f>
        <v>51.666666666666664</v>
      </c>
      <c r="AG1516" s="257">
        <f>angularseperation(MoonRA,MoonDec,$M1516,$O1516)</f>
        <v>124.13821775200813</v>
      </c>
      <c r="AH1516" s="261">
        <f ca="1">MIN(100,IF($O$5&gt;80,0+30*($AG1516/100),IF($O$5&gt;70,0+50*($AG1516/100),IF($O$5&gt;60,5+50*($AG1516/100),IF($O$5&gt;50,10+60*($AG1516/100),IF($O$5&gt;40,15+70*($AG1516/100),IF($O$5&gt;30,20+70*($AG1516/100),IF($O$5&gt;20,40+55*($AG1516/100),(80+(20-$O$5)+30*($AG1516/100))))))))))</f>
        <v>100</v>
      </c>
      <c r="AI1516" s="262">
        <v>615</v>
      </c>
      <c r="AJ1516" s="263"/>
      <c r="AK1516" s="263">
        <v>24</v>
      </c>
      <c r="AL1516" s="263"/>
      <c r="AM1516" s="264"/>
      <c r="AN1516" s="263"/>
      <c r="AO1516" s="263"/>
      <c r="AP1516" s="265"/>
      <c r="AQ1516" s="265"/>
      <c r="AR1516" s="285">
        <v>5897</v>
      </c>
      <c r="AS1516" s="263"/>
      <c r="AT1516" s="263"/>
      <c r="AU1516" s="263"/>
      <c r="AV1516" s="264"/>
      <c r="AW1516" s="263"/>
      <c r="AX1516" s="263"/>
      <c r="AY1516" s="263"/>
      <c r="AZ1516" s="263"/>
      <c r="BA1516" s="263"/>
      <c r="BB1516" s="263"/>
      <c r="BC1516" s="263"/>
      <c r="BD1516" s="264"/>
      <c r="BE1516" s="263"/>
      <c r="BF1516" s="263"/>
      <c r="BG1516" s="263"/>
      <c r="BH1516" s="263"/>
      <c r="BI1516" s="263"/>
      <c r="BJ1516" s="404">
        <f>altaz(J2000_Bas,$O1516,$M1516,DecLat,DecLong,2)</f>
        <v>92.349924331912419</v>
      </c>
      <c r="BK1516" s="378" t="s">
        <v>1542</v>
      </c>
      <c r="BL1516" s="379">
        <f>IF((2*G1516)/60&lt;0.2,0.2,(2*G1516)/60)</f>
        <v>0.2</v>
      </c>
      <c r="BM1516" s="380">
        <f>MOD((50000+AD1516-$B$3+(0/24)),1)</f>
        <v>0.27430855039710877</v>
      </c>
      <c r="BN1516" s="381"/>
      <c r="BO1516" s="382">
        <v>1509</v>
      </c>
    </row>
    <row r="1517" spans="1:67" s="24" customFormat="1" ht="15" customHeight="1" x14ac:dyDescent="0.25">
      <c r="A1517" s="288" t="s">
        <v>1543</v>
      </c>
      <c r="B1517" s="241" t="str">
        <f>HYPERLINK(CONCATENATE($AT$3,BK1517,$AU$3),$AV$3)</f>
        <v>S</v>
      </c>
      <c r="C1517" s="242" t="str">
        <f>HYPERLINK(CONCATENATE($AT$4,BK1517,$AU$4,BL1517),$AV$4)</f>
        <v>A</v>
      </c>
      <c r="D1517" s="243" t="s">
        <v>5335</v>
      </c>
      <c r="E1517" s="244" t="s">
        <v>5185</v>
      </c>
      <c r="F1517" s="269" t="s">
        <v>6584</v>
      </c>
      <c r="G1517" s="273">
        <v>4</v>
      </c>
      <c r="H1517" s="283">
        <v>7000</v>
      </c>
      <c r="I1517" s="279">
        <v>8</v>
      </c>
      <c r="J1517" s="246">
        <v>2</v>
      </c>
      <c r="K1517" s="247" t="s">
        <v>6583</v>
      </c>
      <c r="L1517" s="248">
        <v>14304</v>
      </c>
      <c r="M1517" s="249">
        <f>15*(LEFT(TEXT($L1517,"000000"),2)+(MID(TEXT($L1517,"000000"),3,2)/60)+(RIGHT(TEXT($L1517,"000000"),2)/3600))</f>
        <v>25.766666666666669</v>
      </c>
      <c r="N1517" s="250">
        <v>640224</v>
      </c>
      <c r="O1517" s="251">
        <f>IF($N1517&gt;0,(LEFT(TEXT($N1517,"000000"),2)+(MID(TEXT($N1517,"000000"),3,2)/60)+(RIGHT(TEXT($N1517,"000000"),2)/3600)),-(MID(TEXT($N1517,"000000"),2,2)+(MID(TEXT($N1517,"000000"),4,2)/60)+(RIGHT(TEXT($N1517,"000000"),2)/3600)))</f>
        <v>64.039999999999992</v>
      </c>
      <c r="P1517" s="252" t="s">
        <v>49</v>
      </c>
      <c r="Q1517" s="253"/>
      <c r="R1517" s="247" t="s">
        <v>3293</v>
      </c>
      <c r="S1517" s="272" t="s">
        <v>3293</v>
      </c>
      <c r="T1517" s="273">
        <v>8.1999999999999993</v>
      </c>
      <c r="U1517" s="274"/>
      <c r="V1517" s="280"/>
      <c r="W1517" s="244"/>
      <c r="X1517" s="244"/>
      <c r="Y1517" s="362"/>
      <c r="Z1517" s="257">
        <f>altaz(J2000_Bas,$O1517,$M1517,DecLat,DecLong,1)</f>
        <v>23.542976151412475</v>
      </c>
      <c r="AA1517" s="257">
        <f>altaz((J2000_Bas+(2*0.04167)),$O1517,$M1517,DecLat,DecLong,1)</f>
        <v>36.396776757721085</v>
      </c>
      <c r="AB1517" s="257">
        <f>altaz((J2000_Bas+(4*0.04167)),$O1517,$M1517,DecLat,DecLong,1)</f>
        <v>48.781597185942069</v>
      </c>
      <c r="AC1517" s="257">
        <f>altaz((J2000_Bas+(6*0.04167)),$O1517,$M1517,DecLat,DecLong,1)</f>
        <v>56.421927709984345</v>
      </c>
      <c r="AD1517" s="258">
        <f>1+ transit((J2000_Bas-1),$O1517,$M1517,DecLat,DecLong)/360 + (GMTOffset/24) + (IF(DST="Y", 1, 0)/24)</f>
        <v>1.0644740275463747</v>
      </c>
      <c r="AE1517" s="259">
        <f>DATE(2001,9,21)+(M1517/360)*365 - (360*((DecLong/360)- (GMTOffset/24) ))</f>
        <v>37186.124537037038</v>
      </c>
      <c r="AF1517" s="260">
        <f>IF(DecLat&gt;0,IF((90 - (DecLat-O1517))&gt;90, (90 - (O1517-DecLat)), (90 - (DecLat-O1517))),IF((90 + (DecLat-O1517))&gt;90, (90 + (O1517-DecLat)), (90 + (DecLat-O1517))))</f>
        <v>56.960000000000008</v>
      </c>
      <c r="AG1517" s="257">
        <f>angularseperation(MoonRA,MoonDec,$M1517,$O1517)</f>
        <v>133.80305265519982</v>
      </c>
      <c r="AH1517" s="261">
        <f ca="1">MIN(100,IF($O$5&gt;80,0+30*($AG1517/100),IF($O$5&gt;70,0+50*($AG1517/100),IF($O$5&gt;60,5+50*($AG1517/100),IF($O$5&gt;50,10+60*($AG1517/100),IF($O$5&gt;40,15+70*($AG1517/100),IF($O$5&gt;30,20+70*($AG1517/100),IF($O$5&gt;20,40+55*($AG1517/100),(80+(20-$O$5)+30*($AG1517/100))))))))))</f>
        <v>100</v>
      </c>
      <c r="AI1517" s="262">
        <v>637</v>
      </c>
      <c r="AJ1517" s="262"/>
      <c r="AK1517" s="262">
        <v>25</v>
      </c>
      <c r="AL1517" s="263"/>
      <c r="AM1517" s="264"/>
      <c r="AN1517" s="263"/>
      <c r="AO1517" s="263"/>
      <c r="AP1517" s="265"/>
      <c r="AQ1517" s="266"/>
      <c r="AR1517" s="267"/>
      <c r="AS1517" s="263"/>
      <c r="AT1517" s="263"/>
      <c r="AU1517" s="263"/>
      <c r="AV1517" s="264"/>
      <c r="AW1517" s="263"/>
      <c r="AX1517" s="263"/>
      <c r="AY1517" s="263"/>
      <c r="AZ1517" s="263"/>
      <c r="BA1517" s="263"/>
      <c r="BB1517" s="263"/>
      <c r="BC1517" s="263"/>
      <c r="BD1517" s="264"/>
      <c r="BE1517" s="263"/>
      <c r="BF1517" s="263"/>
      <c r="BG1517" s="263"/>
      <c r="BH1517" s="263"/>
      <c r="BI1517" s="263"/>
      <c r="BJ1517" s="404">
        <f>altaz(J2000_Bas,$O1517,$M1517,DecLat,DecLong,2)</f>
        <v>28.071483372208125</v>
      </c>
      <c r="BK1517" s="378" t="s">
        <v>1543</v>
      </c>
      <c r="BL1517" s="379">
        <f>IF((2*G1517)/60&lt;0.2,0.2,(2*G1517)/60)</f>
        <v>0.2</v>
      </c>
      <c r="BM1517" s="380">
        <f>MOD((50000+AD1517-$B$3+(0/24)),1)</f>
        <v>0.27984095724968938</v>
      </c>
      <c r="BN1517" s="381"/>
      <c r="BO1517" s="382">
        <v>1510</v>
      </c>
    </row>
    <row r="1518" spans="1:67" s="24" customFormat="1" ht="15" customHeight="1" x14ac:dyDescent="0.25">
      <c r="A1518" s="288" t="s">
        <v>1544</v>
      </c>
      <c r="B1518" s="241" t="str">
        <f>HYPERLINK(CONCATENATE($AT$3,BK1518,$AU$3),$AV$3)</f>
        <v>S</v>
      </c>
      <c r="C1518" s="242" t="str">
        <f>HYPERLINK(CONCATENATE($AT$4,BK1518,$AU$4,BL1518),$AV$4)</f>
        <v>A</v>
      </c>
      <c r="D1518" s="243" t="s">
        <v>5335</v>
      </c>
      <c r="E1518" s="244" t="s">
        <v>5185</v>
      </c>
      <c r="F1518" s="269" t="s">
        <v>6586</v>
      </c>
      <c r="G1518" s="273">
        <v>8</v>
      </c>
      <c r="H1518" s="283">
        <v>10000</v>
      </c>
      <c r="I1518" s="246">
        <v>25</v>
      </c>
      <c r="J1518" s="246">
        <v>3</v>
      </c>
      <c r="K1518" s="247" t="s">
        <v>9536</v>
      </c>
      <c r="L1518" s="248">
        <v>14400</v>
      </c>
      <c r="M1518" s="249">
        <f>15*(LEFT(TEXT($L1518,"000000"),2)+(MID(TEXT($L1518,"000000"),3,2)/60)+(RIGHT(TEXT($L1518,"000000"),2)/3600))</f>
        <v>26</v>
      </c>
      <c r="N1518" s="250">
        <v>615306</v>
      </c>
      <c r="O1518" s="251">
        <f>IF($N1518&gt;0,(LEFT(TEXT($N1518,"000000"),2)+(MID(TEXT($N1518,"000000"),3,2)/60)+(RIGHT(TEXT($N1518,"000000"),2)/3600)),-(MID(TEXT($N1518,"000000"),2,2)+(MID(TEXT($N1518,"000000"),4,2)/60)+(RIGHT(TEXT($N1518,"000000"),2)/3600)))</f>
        <v>61.884999999999998</v>
      </c>
      <c r="P1518" s="252" t="s">
        <v>49</v>
      </c>
      <c r="Q1518" s="253"/>
      <c r="R1518" s="247"/>
      <c r="S1518" s="272" t="s">
        <v>6585</v>
      </c>
      <c r="T1518" s="273">
        <v>6.5</v>
      </c>
      <c r="U1518" s="274"/>
      <c r="V1518" s="280"/>
      <c r="W1518" s="244"/>
      <c r="X1518" s="244"/>
      <c r="Y1518" s="362"/>
      <c r="Z1518" s="257">
        <f>altaz(J2000_Bas,$O1518,$M1518,DecLat,DecLong,1)</f>
        <v>22.590438151805259</v>
      </c>
      <c r="AA1518" s="257">
        <f>altaz((J2000_Bas+(2*0.04167)),$O1518,$M1518,DecLat,DecLong,1)</f>
        <v>36.369921887955236</v>
      </c>
      <c r="AB1518" s="257">
        <f>altaz((J2000_Bas+(4*0.04167)),$O1518,$M1518,DecLat,DecLong,1)</f>
        <v>49.860174338051436</v>
      </c>
      <c r="AC1518" s="257">
        <f>altaz((J2000_Bas+(6*0.04167)),$O1518,$M1518,DecLat,DecLong,1)</f>
        <v>58.470649194991758</v>
      </c>
      <c r="AD1518" s="258">
        <f>1+ transit((J2000_Bas-1),$O1518,$M1518,DecLat,DecLong)/360 + (GMTOffset/24) + (IF(DST="Y", 1, 0)/24)</f>
        <v>1.065122175629708</v>
      </c>
      <c r="AE1518" s="259">
        <f>DATE(2001,9,21)+(M1518/360)*365 - (360*((DecLong/360)- (GMTOffset/24) ))</f>
        <v>37186.361111111109</v>
      </c>
      <c r="AF1518" s="260">
        <f>IF(DecLat&gt;0,IF((90 - (DecLat-O1518))&gt;90, (90 - (O1518-DecLat)), (90 - (DecLat-O1518))),IF((90 + (DecLat-O1518))&gt;90, (90 + (O1518-DecLat)), (90 + (DecLat-O1518))))</f>
        <v>59.115000000000002</v>
      </c>
      <c r="AG1518" s="257">
        <f>angularseperation(MoonRA,MoonDec,$M1518,$O1518)</f>
        <v>135.0087254848716</v>
      </c>
      <c r="AH1518" s="261">
        <f ca="1">MIN(100,IF($O$5&gt;80,0+30*($AG1518/100),IF($O$5&gt;70,0+50*($AG1518/100),IF($O$5&gt;60,5+50*($AG1518/100),IF($O$5&gt;50,10+60*($AG1518/100),IF($O$5&gt;40,15+70*($AG1518/100),IF($O$5&gt;30,20+70*($AG1518/100),IF($O$5&gt;20,40+55*($AG1518/100),(80+(20-$O$5)+30*($AG1518/100))))))))))</f>
        <v>100</v>
      </c>
      <c r="AI1518" s="262">
        <v>654</v>
      </c>
      <c r="AJ1518" s="262"/>
      <c r="AK1518" s="262">
        <v>27</v>
      </c>
      <c r="AL1518" s="263"/>
      <c r="AM1518" s="264"/>
      <c r="AN1518" s="263"/>
      <c r="AO1518" s="263"/>
      <c r="AP1518" s="265"/>
      <c r="AQ1518" s="266"/>
      <c r="AR1518" s="267"/>
      <c r="AS1518" s="263"/>
      <c r="AT1518" s="263"/>
      <c r="AU1518" s="263"/>
      <c r="AV1518" s="264"/>
      <c r="AW1518" s="263"/>
      <c r="AX1518" s="263"/>
      <c r="AY1518" s="263"/>
      <c r="AZ1518" s="263">
        <v>1332</v>
      </c>
      <c r="BA1518" s="263"/>
      <c r="BB1518" s="263"/>
      <c r="BC1518" s="263"/>
      <c r="BD1518" s="264"/>
      <c r="BE1518" s="263"/>
      <c r="BF1518" s="263">
        <v>4</v>
      </c>
      <c r="BG1518" s="263"/>
      <c r="BH1518" s="263"/>
      <c r="BI1518" s="263"/>
      <c r="BJ1518" s="404">
        <f>altaz(J2000_Bas,$O1518,$M1518,DecLat,DecLong,2)</f>
        <v>30.175727371905751</v>
      </c>
      <c r="BK1518" s="378" t="s">
        <v>1544</v>
      </c>
      <c r="BL1518" s="379">
        <f>IF((2*G1518)/60&lt;0.2,0.2,(2*G1518)/60)</f>
        <v>0.26666666666666666</v>
      </c>
      <c r="BM1518" s="380">
        <f>MOD((50000+AD1518-$B$3+(0/24)),1)</f>
        <v>0.28048910533107119</v>
      </c>
      <c r="BN1518" s="381"/>
      <c r="BO1518" s="382">
        <v>1511</v>
      </c>
    </row>
    <row r="1519" spans="1:67" s="24" customFormat="1" ht="15" customHeight="1" x14ac:dyDescent="0.25">
      <c r="A1519" s="288" t="s">
        <v>3045</v>
      </c>
      <c r="B1519" s="241" t="str">
        <f>HYPERLINK(CONCATENATE($AT$3,BK1519,$AU$3),$AV$3)</f>
        <v>S</v>
      </c>
      <c r="C1519" s="242" t="str">
        <f>HYPERLINK(CONCATENATE($AT$4,BK1519,$AU$4,BL1519),$AV$4)</f>
        <v>A</v>
      </c>
      <c r="D1519" s="243" t="s">
        <v>5638</v>
      </c>
      <c r="E1519" s="244" t="s">
        <v>5192</v>
      </c>
      <c r="F1519" s="269" t="s">
        <v>8688</v>
      </c>
      <c r="G1519" s="273">
        <v>3</v>
      </c>
      <c r="H1519" s="283">
        <v>125</v>
      </c>
      <c r="I1519" s="246">
        <v>110</v>
      </c>
      <c r="J1519" s="246">
        <v>2</v>
      </c>
      <c r="K1519" s="247" t="s">
        <v>6587</v>
      </c>
      <c r="L1519" s="248">
        <v>14200</v>
      </c>
      <c r="M1519" s="249">
        <f>15*(LEFT(TEXT($L1519,"000000"),2)+(MID(TEXT($L1519,"000000"),3,2)/60)+(RIGHT(TEXT($L1519,"000000"),2)/3600))</f>
        <v>25.5</v>
      </c>
      <c r="N1519" s="250">
        <v>123600</v>
      </c>
      <c r="O1519" s="251">
        <f>IF($N1519&gt;0,(LEFT(TEXT($N1519,"000000"),2)+(MID(TEXT($N1519,"000000"),3,2)/60)+(RIGHT(TEXT($N1519,"000000"),2)/3600)),-(MID(TEXT($N1519,"000000"),2,2)+(MID(TEXT($N1519,"000000"),4,2)/60)+(RIGHT(TEXT($N1519,"000000"),2)/3600)))</f>
        <v>12.6</v>
      </c>
      <c r="P1519" s="252" t="s">
        <v>158</v>
      </c>
      <c r="Q1519" s="253"/>
      <c r="R1519" s="277" t="s">
        <v>3293</v>
      </c>
      <c r="S1519" s="272" t="s">
        <v>3293</v>
      </c>
      <c r="T1519" s="273">
        <v>12.5</v>
      </c>
      <c r="U1519" s="289">
        <v>22.89</v>
      </c>
      <c r="V1519" s="280">
        <v>60</v>
      </c>
      <c r="W1519" s="244"/>
      <c r="X1519" s="244"/>
      <c r="Y1519" s="362"/>
      <c r="Z1519" s="257">
        <f>altaz(J2000_Bas,$O1519,$M1519,DecLat,DecLong,1)</f>
        <v>-1.4713093211446684</v>
      </c>
      <c r="AA1519" s="257">
        <f>altaz((J2000_Bas+(2*0.04167)),$O1519,$M1519,DecLat,DecLong,1)</f>
        <v>23.985202815475887</v>
      </c>
      <c r="AB1519" s="257">
        <f>altaz((J2000_Bas+(4*0.04167)),$O1519,$M1519,DecLat,DecLong,1)</f>
        <v>49.413646805700026</v>
      </c>
      <c r="AC1519" s="257">
        <f>altaz((J2000_Bas+(6*0.04167)),$O1519,$M1519,DecLat,DecLong,1)</f>
        <v>69.72047328297937</v>
      </c>
      <c r="AD1519" s="258">
        <f>1+ transit((J2000_Bas-1),$O1519,$M1519,DecLat,DecLong)/360 + (GMTOffset/24) + (IF(DST="Y", 1, 0)/24)</f>
        <v>1.063733286879708</v>
      </c>
      <c r="AE1519" s="259">
        <f>DATE(2001,9,21)+(M1519/360)*365 - (360*((DecLong/360)- (GMTOffset/24) ))</f>
        <v>37185.854166666664</v>
      </c>
      <c r="AF1519" s="260">
        <f>IF(DecLat&gt;0,IF((90 - (DecLat-O1519))&gt;90, (90 - (O1519-DecLat)), (90 - (DecLat-O1519))),IF((90 + (DecLat-O1519))&gt;90, (90 + (O1519-DecLat)), (90 + (DecLat-O1519))))</f>
        <v>71.599999999999994</v>
      </c>
      <c r="AG1519" s="257">
        <f>angularseperation(MoonRA,MoonDec,$M1519,$O1519)</f>
        <v>136.64088752163522</v>
      </c>
      <c r="AH1519" s="261">
        <f ca="1">MIN(100,IF($O$5&gt;80,0+30*($AG1519/100),IF($O$5&gt;70,0+50*($AG1519/100),IF($O$5&gt;60,5+50*($AG1519/100),IF($O$5&gt;50,10+60*($AG1519/100),IF($O$5&gt;40,15+70*($AG1519/100),IF($O$5&gt;30,20+70*($AG1519/100),IF($O$5&gt;20,40+55*($AG1519/100),(80+(20-$O$5)+30*($AG1519/100))))))))))</f>
        <v>100</v>
      </c>
      <c r="AI1519" s="262">
        <v>658</v>
      </c>
      <c r="AJ1519" s="263"/>
      <c r="AK1519" s="263"/>
      <c r="AL1519" s="263"/>
      <c r="AM1519" s="264"/>
      <c r="AN1519" s="263"/>
      <c r="AO1519" s="263"/>
      <c r="AP1519" s="265"/>
      <c r="AQ1519" s="265">
        <v>1192</v>
      </c>
      <c r="AR1519" s="285">
        <v>6275</v>
      </c>
      <c r="AS1519" s="263"/>
      <c r="AT1519" s="263"/>
      <c r="AU1519" s="263"/>
      <c r="AV1519" s="264"/>
      <c r="AW1519" s="263"/>
      <c r="AX1519" s="263"/>
      <c r="AY1519" s="263"/>
      <c r="AZ1519" s="263"/>
      <c r="BA1519" s="263"/>
      <c r="BB1519" s="263"/>
      <c r="BC1519" s="263"/>
      <c r="BD1519" s="264"/>
      <c r="BE1519" s="263"/>
      <c r="BF1519" s="263"/>
      <c r="BG1519" s="263"/>
      <c r="BH1519" s="263"/>
      <c r="BI1519" s="263"/>
      <c r="BJ1519" s="404">
        <f>altaz(J2000_Bas,$O1519,$M1519,DecLat,DecLong,2)</f>
        <v>74.335130322388707</v>
      </c>
      <c r="BK1519" s="378" t="s">
        <v>3045</v>
      </c>
      <c r="BL1519" s="379">
        <f>IF((2*G1519)/60&lt;0.2,0.2,(2*G1519)/60)</f>
        <v>0.2</v>
      </c>
      <c r="BM1519" s="380">
        <f>MOD((50000+AD1519-$B$3+(0/24)),1)</f>
        <v>0.27910021658317419</v>
      </c>
      <c r="BN1519" s="381"/>
      <c r="BO1519" s="382">
        <v>1512</v>
      </c>
    </row>
    <row r="1520" spans="1:67" s="24" customFormat="1" ht="15" customHeight="1" x14ac:dyDescent="0.25">
      <c r="A1520" s="288" t="s">
        <v>1545</v>
      </c>
      <c r="B1520" s="241" t="str">
        <f>HYPERLINK(CONCATENATE($AT$3,BK1520,$AU$3),$AV$3)</f>
        <v>S</v>
      </c>
      <c r="C1520" s="242" t="str">
        <f>HYPERLINK(CONCATENATE($AT$4,BK1520,$AU$4,BL1520),$AV$4)</f>
        <v>A</v>
      </c>
      <c r="D1520" s="243" t="s">
        <v>5335</v>
      </c>
      <c r="E1520" s="244" t="s">
        <v>5185</v>
      </c>
      <c r="F1520" s="269" t="s">
        <v>6539</v>
      </c>
      <c r="G1520" s="273">
        <v>6</v>
      </c>
      <c r="H1520" s="283">
        <v>8000</v>
      </c>
      <c r="I1520" s="246">
        <v>14</v>
      </c>
      <c r="J1520" s="246">
        <v>2</v>
      </c>
      <c r="K1520" s="247" t="s">
        <v>7247</v>
      </c>
      <c r="L1520" s="248">
        <v>14424</v>
      </c>
      <c r="M1520" s="249">
        <f>15*(LEFT(TEXT($L1520,"000000"),2)+(MID(TEXT($L1520,"000000"),3,2)/60)+(RIGHT(TEXT($L1520,"000000"),2)/3600))</f>
        <v>26.1</v>
      </c>
      <c r="N1520" s="250">
        <v>604024</v>
      </c>
      <c r="O1520" s="251">
        <f>IF($N1520&gt;0,(LEFT(TEXT($N1520,"000000"),2)+(MID(TEXT($N1520,"000000"),3,2)/60)+(RIGHT(TEXT($N1520,"000000"),2)/3600)),-(MID(TEXT($N1520,"000000"),2,2)+(MID(TEXT($N1520,"000000"),4,2)/60)+(RIGHT(TEXT($N1520,"000000"),2)/3600)))</f>
        <v>60.673333333333332</v>
      </c>
      <c r="P1520" s="252" t="s">
        <v>49</v>
      </c>
      <c r="Q1520" s="253"/>
      <c r="R1520" s="277" t="s">
        <v>3293</v>
      </c>
      <c r="S1520" s="272" t="s">
        <v>3293</v>
      </c>
      <c r="T1520" s="273">
        <v>7.9</v>
      </c>
      <c r="U1520" s="274"/>
      <c r="V1520" s="280"/>
      <c r="W1520" s="244"/>
      <c r="X1520" s="244"/>
      <c r="Y1520" s="362"/>
      <c r="Z1520" s="257">
        <f>altaz(J2000_Bas,$O1520,$M1520,DecLat,DecLong,1)</f>
        <v>22.050655308675903</v>
      </c>
      <c r="AA1520" s="257">
        <f>altaz((J2000_Bas+(2*0.04167)),$O1520,$M1520,DecLat,DecLong,1)</f>
        <v>36.337011883187067</v>
      </c>
      <c r="AB1520" s="257">
        <f>altaz((J2000_Bas+(4*0.04167)),$O1520,$M1520,DecLat,DecLong,1)</f>
        <v>50.441781407232398</v>
      </c>
      <c r="AC1520" s="257">
        <f>altaz((J2000_Bas+(6*0.04167)),$O1520,$M1520,DecLat,DecLong,1)</f>
        <v>59.618966502733109</v>
      </c>
      <c r="AD1520" s="258">
        <f>1+ transit((J2000_Bas-1),$O1520,$M1520,DecLat,DecLong)/360 + (GMTOffset/24) + (IF(DST="Y", 1, 0)/24)</f>
        <v>1.0653999533797081</v>
      </c>
      <c r="AE1520" s="259">
        <f>DATE(2001,9,21)+(M1520/360)*365 - (360*((DecLong/360)- (GMTOffset/24) ))</f>
        <v>37186.462500000001</v>
      </c>
      <c r="AF1520" s="260">
        <f>IF(DecLat&gt;0,IF((90 - (DecLat-O1520))&gt;90, (90 - (O1520-DecLat)), (90 - (DecLat-O1520))),IF((90 + (DecLat-O1520))&gt;90, (90 + (O1520-DecLat)), (90 + (DecLat-O1520))))</f>
        <v>60.326666666666668</v>
      </c>
      <c r="AG1520" s="257">
        <f>angularseperation(MoonRA,MoonDec,$M1520,$O1520)</f>
        <v>135.65441839866665</v>
      </c>
      <c r="AH1520" s="261">
        <f ca="1">MIN(100,IF($O$5&gt;80,0+30*($AG1520/100),IF($O$5&gt;70,0+50*($AG1520/100),IF($O$5&gt;60,5+50*($AG1520/100),IF($O$5&gt;50,10+60*($AG1520/100),IF($O$5&gt;40,15+70*($AG1520/100),IF($O$5&gt;30,20+70*($AG1520/100),IF($O$5&gt;20,40+55*($AG1520/100),(80+(20-$O$5)+30*($AG1520/100))))))))))</f>
        <v>100</v>
      </c>
      <c r="AI1520" s="262">
        <v>659</v>
      </c>
      <c r="AJ1520" s="262"/>
      <c r="AK1520" s="262">
        <v>28</v>
      </c>
      <c r="AL1520" s="263"/>
      <c r="AM1520" s="264"/>
      <c r="AN1520" s="263"/>
      <c r="AO1520" s="263"/>
      <c r="AP1520" s="265"/>
      <c r="AQ1520" s="266"/>
      <c r="AR1520" s="267"/>
      <c r="AS1520" s="263"/>
      <c r="AT1520" s="263"/>
      <c r="AU1520" s="263"/>
      <c r="AV1520" s="264"/>
      <c r="AW1520" s="263"/>
      <c r="AX1520" s="263"/>
      <c r="AY1520" s="263"/>
      <c r="AZ1520" s="263"/>
      <c r="BA1520" s="263"/>
      <c r="BB1520" s="263"/>
      <c r="BC1520" s="263"/>
      <c r="BD1520" s="264"/>
      <c r="BE1520" s="263">
        <v>7</v>
      </c>
      <c r="BF1520" s="263"/>
      <c r="BG1520" s="263"/>
      <c r="BH1520" s="263"/>
      <c r="BI1520" s="263"/>
      <c r="BJ1520" s="404">
        <f>altaz(J2000_Bas,$O1520,$M1520,DecLat,DecLong,2)</f>
        <v>31.349539684201577</v>
      </c>
      <c r="BK1520" s="378" t="s">
        <v>1545</v>
      </c>
      <c r="BL1520" s="379">
        <f>IF((2*G1520)/60&lt;0.2,0.2,(2*G1520)/60)</f>
        <v>0.2</v>
      </c>
      <c r="BM1520" s="380">
        <f>MOD((50000+AD1520-$B$3+(0/24)),1)</f>
        <v>0.28076688308647135</v>
      </c>
      <c r="BN1520" s="381"/>
      <c r="BO1520" s="382">
        <v>1513</v>
      </c>
    </row>
    <row r="1521" spans="1:67" s="24" customFormat="1" ht="15" customHeight="1" x14ac:dyDescent="0.25">
      <c r="A1521" s="288" t="s">
        <v>1546</v>
      </c>
      <c r="B1521" s="241" t="str">
        <f>HYPERLINK(CONCATENATE($AT$3,BK1521,$AU$3),$AV$3)</f>
        <v>S</v>
      </c>
      <c r="C1521" s="242" t="str">
        <f>HYPERLINK(CONCATENATE($AT$4,BK1521,$AU$4,BL1521),$AV$4)</f>
        <v>A</v>
      </c>
      <c r="D1521" s="243" t="s">
        <v>5638</v>
      </c>
      <c r="E1521" s="244" t="s">
        <v>28</v>
      </c>
      <c r="F1521" s="269"/>
      <c r="G1521" s="276">
        <v>10</v>
      </c>
      <c r="H1521" s="283">
        <v>45</v>
      </c>
      <c r="I1521" s="246">
        <v>130</v>
      </c>
      <c r="J1521" s="246">
        <v>4</v>
      </c>
      <c r="K1521" s="247" t="s">
        <v>6588</v>
      </c>
      <c r="L1521" s="248">
        <v>14302</v>
      </c>
      <c r="M1521" s="249">
        <f>15*(LEFT(TEXT($L1521,"000000"),2)+(MID(TEXT($L1521,"000000"),3,2)/60)+(RIGHT(TEXT($L1521,"000000"),2)/3600))</f>
        <v>25.758333333333336</v>
      </c>
      <c r="N1521" s="250">
        <v>133839</v>
      </c>
      <c r="O1521" s="251">
        <f>IF($N1521&gt;0,(LEFT(TEXT($N1521,"000000"),2)+(MID(TEXT($N1521,"000000"),3,2)/60)+(RIGHT(TEXT($N1521,"000000"),2)/3600)),-(MID(TEXT($N1521,"000000"),2,2)+(MID(TEXT($N1521,"000000"),4,2)/60)+(RIGHT(TEXT($N1521,"000000"),2)/3600)))</f>
        <v>13.644166666666667</v>
      </c>
      <c r="P1521" s="252" t="s">
        <v>158</v>
      </c>
      <c r="Q1521" s="253"/>
      <c r="R1521" s="247" t="s">
        <v>3293</v>
      </c>
      <c r="S1521" s="272" t="s">
        <v>3293</v>
      </c>
      <c r="T1521" s="273">
        <v>11.2</v>
      </c>
      <c r="U1521" s="289">
        <v>23.39</v>
      </c>
      <c r="V1521" s="280"/>
      <c r="W1521" s="244"/>
      <c r="X1521" s="244"/>
      <c r="Y1521" s="362"/>
      <c r="Z1521" s="257">
        <f>altaz(J2000_Bas,$O1521,$M1521,DecLat,DecLong,1)</f>
        <v>-1.1261126001120989</v>
      </c>
      <c r="AA1521" s="257">
        <f>altaz((J2000_Bas+(2*0.04167)),$O1521,$M1521,DecLat,DecLong,1)</f>
        <v>24.259861608296468</v>
      </c>
      <c r="AB1521" s="257">
        <f>altaz((J2000_Bas+(4*0.04167)),$O1521,$M1521,DecLat,DecLong,1)</f>
        <v>49.768160543825985</v>
      </c>
      <c r="AC1521" s="257">
        <f>altaz((J2000_Bas+(6*0.04167)),$O1521,$M1521,DecLat,DecLong,1)</f>
        <v>70.568826552044072</v>
      </c>
      <c r="AD1521" s="258">
        <f>1+ transit((J2000_Bas-1),$O1521,$M1521,DecLat,DecLong)/360 + (GMTOffset/24) + (IF(DST="Y", 1, 0)/24)</f>
        <v>1.0644508794005414</v>
      </c>
      <c r="AE1521" s="259">
        <f>DATE(2001,9,21)+(M1521/360)*365 - (360*((DecLong/360)- (GMTOffset/24) ))</f>
        <v>37186.116087962961</v>
      </c>
      <c r="AF1521" s="260">
        <f>IF(DecLat&gt;0,IF((90 - (DecLat-O1521))&gt;90, (90 - (O1521-DecLat)), (90 - (DecLat-O1521))),IF((90 + (DecLat-O1521))&gt;90, (90 + (O1521-DecLat)), (90 + (DecLat-O1521))))</f>
        <v>72.644166666666663</v>
      </c>
      <c r="AG1521" s="257">
        <f>angularseperation(MoonRA,MoonDec,$M1521,$O1521)</f>
        <v>137.32200940580861</v>
      </c>
      <c r="AH1521" s="261">
        <f ca="1">MIN(100,IF($O$5&gt;80,0+30*($AG1521/100),IF($O$5&gt;70,0+50*($AG1521/100),IF($O$5&gt;60,5+50*($AG1521/100),IF($O$5&gt;50,10+60*($AG1521/100),IF($O$5&gt;40,15+70*($AG1521/100),IF($O$5&gt;30,20+70*($AG1521/100),IF($O$5&gt;20,40+55*($AG1521/100),(80+(20-$O$5)+30*($AG1521/100))))))))))</f>
        <v>100</v>
      </c>
      <c r="AI1521" s="262">
        <v>660</v>
      </c>
      <c r="AJ1521" s="262"/>
      <c r="AK1521" s="262"/>
      <c r="AL1521" s="263"/>
      <c r="AM1521" s="264"/>
      <c r="AN1521" s="263"/>
      <c r="AO1521" s="263"/>
      <c r="AP1521" s="265"/>
      <c r="AQ1521" s="266">
        <v>1201</v>
      </c>
      <c r="AR1521" s="267">
        <v>6318</v>
      </c>
      <c r="AS1521" s="263"/>
      <c r="AT1521" s="263"/>
      <c r="AU1521" s="263"/>
      <c r="AV1521" s="264"/>
      <c r="AW1521" s="263"/>
      <c r="AX1521" s="263"/>
      <c r="AY1521" s="263"/>
      <c r="AZ1521" s="263"/>
      <c r="BA1521" s="263"/>
      <c r="BB1521" s="263"/>
      <c r="BC1521" s="263"/>
      <c r="BD1521" s="264"/>
      <c r="BE1521" s="263"/>
      <c r="BF1521" s="263"/>
      <c r="BG1521" s="263">
        <v>7</v>
      </c>
      <c r="BH1521" s="263"/>
      <c r="BI1521" s="263"/>
      <c r="BJ1521" s="404">
        <f>altaz(J2000_Bas,$O1521,$M1521,DecLat,DecLong,2)</f>
        <v>73.317804187979391</v>
      </c>
      <c r="BK1521" s="378" t="s">
        <v>1546</v>
      </c>
      <c r="BL1521" s="379">
        <f>IF((2*G1521)/60&lt;0.2,0.2,(2*G1521)/60)</f>
        <v>0.33333333333333331</v>
      </c>
      <c r="BM1521" s="380">
        <f>MOD((50000+AD1521-$B$3+(0/24)),1)</f>
        <v>0.27981780910340603</v>
      </c>
      <c r="BN1521" s="381"/>
      <c r="BO1521" s="382">
        <v>1514</v>
      </c>
    </row>
    <row r="1522" spans="1:67" s="24" customFormat="1" ht="15" customHeight="1" x14ac:dyDescent="0.25">
      <c r="A1522" s="288" t="s">
        <v>3206</v>
      </c>
      <c r="B1522" s="241" t="str">
        <f>HYPERLINK(CONCATENATE($AT$3,BK1522,$AU$3),$AV$3)</f>
        <v>S</v>
      </c>
      <c r="C1522" s="242" t="str">
        <f>HYPERLINK(CONCATENATE($AT$4,BK1522,$AU$4,BL1522),$AV$4)</f>
        <v>A</v>
      </c>
      <c r="D1522" s="243" t="s">
        <v>5638</v>
      </c>
      <c r="E1522" s="244" t="s">
        <v>5337</v>
      </c>
      <c r="F1522" s="269" t="s">
        <v>3310</v>
      </c>
      <c r="G1522" s="270">
        <v>0.8</v>
      </c>
      <c r="H1522" s="283">
        <v>250</v>
      </c>
      <c r="I1522" s="246">
        <v>60</v>
      </c>
      <c r="J1522" s="246">
        <v>2</v>
      </c>
      <c r="K1522" s="247" t="s">
        <v>8545</v>
      </c>
      <c r="L1522" s="248">
        <v>14435</v>
      </c>
      <c r="M1522" s="249">
        <f>15*(LEFT(TEXT($L1522,"000000"),2)+(MID(TEXT($L1522,"000000"),3,2)/60)+(RIGHT(TEXT($L1522,"000000"),2)/3600))</f>
        <v>26.145833333333332</v>
      </c>
      <c r="N1522" s="250">
        <v>374142</v>
      </c>
      <c r="O1522" s="251">
        <f>IF($N1522&gt;0,(LEFT(TEXT($N1522,"000000"),2)+(MID(TEXT($N1522,"000000"),3,2)/60)+(RIGHT(TEXT($N1522,"000000"),2)/3600)),-(MID(TEXT($N1522,"000000"),2,2)+(MID(TEXT($N1522,"000000"),4,2)/60)+(RIGHT(TEXT($N1522,"000000"),2)/3600)))</f>
        <v>37.694999999999993</v>
      </c>
      <c r="P1522" s="252" t="s">
        <v>36</v>
      </c>
      <c r="Q1522" s="253"/>
      <c r="R1522" s="277" t="s">
        <v>3293</v>
      </c>
      <c r="S1522" s="272" t="s">
        <v>3293</v>
      </c>
      <c r="T1522" s="273">
        <v>14</v>
      </c>
      <c r="U1522" s="289">
        <v>20.69</v>
      </c>
      <c r="V1522" s="280"/>
      <c r="W1522" s="244"/>
      <c r="X1522" s="244"/>
      <c r="Y1522" s="362"/>
      <c r="Z1522" s="257">
        <f>altaz(J2000_Bas,$O1522,$M1522,DecLat,DecLong,1)</f>
        <v>11.272589003426212</v>
      </c>
      <c r="AA1522" s="257">
        <f>altaz((J2000_Bas+(2*0.04167)),$O1522,$M1522,DecLat,DecLong,1)</f>
        <v>33.110051547735353</v>
      </c>
      <c r="AB1522" s="257">
        <f>altaz((J2000_Bas+(4*0.04167)),$O1522,$M1522,DecLat,DecLong,1)</f>
        <v>56.584175142741017</v>
      </c>
      <c r="AC1522" s="257">
        <f>altaz((J2000_Bas+(6*0.04167)),$O1522,$M1522,DecLat,DecLong,1)</f>
        <v>79.452138300541733</v>
      </c>
      <c r="AD1522" s="258">
        <f>1+ transit((J2000_Bas-1),$O1522,$M1522,DecLat,DecLong)/360 + (GMTOffset/24) + (IF(DST="Y", 1, 0)/24)</f>
        <v>1.0655272681817913</v>
      </c>
      <c r="AE1522" s="259">
        <f>DATE(2001,9,21)+(M1522/360)*365 - (360*((DecLong/360)- (GMTOffset/24) ))</f>
        <v>37186.508969907409</v>
      </c>
      <c r="AF1522" s="260">
        <f>IF(DecLat&gt;0,IF((90 - (DecLat-O1522))&gt;90, (90 - (O1522-DecLat)), (90 - (DecLat-O1522))),IF((90 + (DecLat-O1522))&gt;90, (90 + (O1522-DecLat)), (90 + (DecLat-O1522))))</f>
        <v>83.305000000000007</v>
      </c>
      <c r="AG1522" s="257">
        <f>angularseperation(MoonRA,MoonDec,$M1522,$O1522)</f>
        <v>142.45089043269846</v>
      </c>
      <c r="AH1522" s="261">
        <f ca="1">MIN(100,IF($O$5&gt;80,0+30*($AG1522/100),IF($O$5&gt;70,0+50*($AG1522/100),IF($O$5&gt;60,5+50*($AG1522/100),IF($O$5&gt;50,10+60*($AG1522/100),IF($O$5&gt;40,15+70*($AG1522/100),IF($O$5&gt;30,20+70*($AG1522/100),IF($O$5&gt;20,40+55*($AG1522/100),(80+(20-$O$5)+30*($AG1522/100))))))))))</f>
        <v>100</v>
      </c>
      <c r="AI1522" s="263">
        <v>662</v>
      </c>
      <c r="AJ1522" s="263"/>
      <c r="AK1522" s="263"/>
      <c r="AL1522" s="263"/>
      <c r="AM1522" s="264"/>
      <c r="AN1522" s="263"/>
      <c r="AO1522" s="263"/>
      <c r="AP1522" s="265"/>
      <c r="AQ1522" s="265">
        <v>1220</v>
      </c>
      <c r="AR1522" s="285">
        <v>6393</v>
      </c>
      <c r="AS1522" s="263"/>
      <c r="AT1522" s="263"/>
      <c r="AU1522" s="263"/>
      <c r="AV1522" s="264"/>
      <c r="AW1522" s="263"/>
      <c r="AX1522" s="263"/>
      <c r="AY1522" s="263"/>
      <c r="AZ1522" s="263"/>
      <c r="BA1522" s="263"/>
      <c r="BB1522" s="263"/>
      <c r="BC1522" s="263"/>
      <c r="BD1522" s="264"/>
      <c r="BE1522" s="263"/>
      <c r="BF1522" s="263"/>
      <c r="BG1522" s="263"/>
      <c r="BH1522" s="263"/>
      <c r="BI1522" s="263"/>
      <c r="BJ1522" s="404">
        <f>altaz(J2000_Bas,$O1522,$M1522,DecLat,DecLong,2)</f>
        <v>52.58276193663783</v>
      </c>
      <c r="BK1522" s="378" t="s">
        <v>3206</v>
      </c>
      <c r="BL1522" s="379">
        <f>IF((2*G1522)/60&lt;0.2,0.2,(2*G1522)/60)</f>
        <v>0.2</v>
      </c>
      <c r="BM1522" s="380">
        <f>MOD((50000+AD1522-$B$3+(0/24)),1)</f>
        <v>0.28089419788739178</v>
      </c>
      <c r="BN1522" s="381" t="s">
        <v>9276</v>
      </c>
      <c r="BO1522" s="382">
        <v>1515</v>
      </c>
    </row>
    <row r="1523" spans="1:67" s="24" customFormat="1" ht="15" customHeight="1" x14ac:dyDescent="0.25">
      <c r="A1523" s="288" t="s">
        <v>1547</v>
      </c>
      <c r="B1523" s="241" t="str">
        <f>HYPERLINK(CONCATENATE($AT$3,BK1523,$AU$3),$AV$3)</f>
        <v>S</v>
      </c>
      <c r="C1523" s="242" t="str">
        <f>HYPERLINK(CONCATENATE($AT$4,BK1523,$AU$4,BL1523),$AV$4)</f>
        <v>A</v>
      </c>
      <c r="D1523" s="243" t="s">
        <v>5335</v>
      </c>
      <c r="E1523" s="244" t="s">
        <v>5185</v>
      </c>
      <c r="F1523" s="269" t="s">
        <v>6589</v>
      </c>
      <c r="G1523" s="276">
        <v>16</v>
      </c>
      <c r="H1523" s="283">
        <v>7000</v>
      </c>
      <c r="I1523" s="246">
        <v>35</v>
      </c>
      <c r="J1523" s="246">
        <v>2</v>
      </c>
      <c r="K1523" s="247" t="s">
        <v>6590</v>
      </c>
      <c r="L1523" s="248">
        <v>14609</v>
      </c>
      <c r="M1523" s="249">
        <f>15*(LEFT(TEXT($L1523,"000000"),2)+(MID(TEXT($L1523,"000000"),3,2)/60)+(RIGHT(TEXT($L1523,"000000"),2)/3600))</f>
        <v>26.537499999999998</v>
      </c>
      <c r="N1523" s="250">
        <v>611406</v>
      </c>
      <c r="O1523" s="251">
        <f>IF($N1523&gt;0,(LEFT(TEXT($N1523,"000000"),2)+(MID(TEXT($N1523,"000000"),3,2)/60)+(RIGHT(TEXT($N1523,"000000"),2)/3600)),-(MID(TEXT($N1523,"000000"),2,2)+(MID(TEXT($N1523,"000000"),4,2)/60)+(RIGHT(TEXT($N1523,"000000"),2)/3600)))</f>
        <v>61.234999999999999</v>
      </c>
      <c r="P1523" s="252" t="s">
        <v>49</v>
      </c>
      <c r="Q1523" s="253"/>
      <c r="R1523" s="247" t="s">
        <v>7334</v>
      </c>
      <c r="S1523" s="272" t="s">
        <v>3293</v>
      </c>
      <c r="T1523" s="273">
        <v>7.1</v>
      </c>
      <c r="U1523" s="274"/>
      <c r="V1523" s="280"/>
      <c r="W1523" s="244"/>
      <c r="X1523" s="244"/>
      <c r="Y1523" s="362"/>
      <c r="Z1523" s="257">
        <f>altaz(J2000_Bas,$O1523,$M1523,DecLat,DecLong,1)</f>
        <v>22.090250984482225</v>
      </c>
      <c r="AA1523" s="257">
        <f>altaz((J2000_Bas+(2*0.04167)),$O1523,$M1523,DecLat,DecLong,1)</f>
        <v>36.122243887958746</v>
      </c>
      <c r="AB1523" s="257">
        <f>altaz((J2000_Bas+(4*0.04167)),$O1523,$M1523,DecLat,DecLong,1)</f>
        <v>49.975114098155913</v>
      </c>
      <c r="AC1523" s="257">
        <f>altaz((J2000_Bas+(6*0.04167)),$O1523,$M1523,DecLat,DecLong,1)</f>
        <v>59.019697711705106</v>
      </c>
      <c r="AD1523" s="258">
        <f>1+ transit((J2000_Bas-1),$O1523,$M1523,DecLat,DecLong)/360 + (GMTOffset/24) + (IF(DST="Y", 1, 0)/24)</f>
        <v>1.066615231035958</v>
      </c>
      <c r="AE1523" s="259">
        <f>DATE(2001,9,21)+(M1523/360)*365 - (360*((DecLong/360)- (GMTOffset/24) ))</f>
        <v>37186.906076388892</v>
      </c>
      <c r="AF1523" s="260">
        <f>IF(DecLat&gt;0,IF((90 - (DecLat-O1523))&gt;90, (90 - (O1523-DecLat)), (90 - (DecLat-O1523))),IF((90 + (DecLat-O1523))&gt;90, (90 + (O1523-DecLat)), (90 + (DecLat-O1523))))</f>
        <v>59.765000000000001</v>
      </c>
      <c r="AG1523" s="257">
        <f>angularseperation(MoonRA,MoonDec,$M1523,$O1523)</f>
        <v>135.55838594991374</v>
      </c>
      <c r="AH1523" s="261">
        <f ca="1">MIN(100,IF($O$5&gt;80,0+30*($AG1523/100),IF($O$5&gt;70,0+50*($AG1523/100),IF($O$5&gt;60,5+50*($AG1523/100),IF($O$5&gt;50,10+60*($AG1523/100),IF($O$5&gt;40,15+70*($AG1523/100),IF($O$5&gt;30,20+70*($AG1523/100),IF($O$5&gt;20,40+55*($AG1523/100),(80+(20-$O$5)+30*($AG1523/100))))))))))</f>
        <v>100</v>
      </c>
      <c r="AI1523" s="262">
        <v>663</v>
      </c>
      <c r="AJ1523" s="262"/>
      <c r="AK1523" s="262">
        <v>29</v>
      </c>
      <c r="AL1523" s="263"/>
      <c r="AM1523" s="264">
        <v>10</v>
      </c>
      <c r="AN1523" s="263"/>
      <c r="AO1523" s="263"/>
      <c r="AP1523" s="265"/>
      <c r="AQ1523" s="266"/>
      <c r="AR1523" s="267"/>
      <c r="AS1523" s="263"/>
      <c r="AT1523" s="263"/>
      <c r="AU1523" s="263"/>
      <c r="AV1523" s="264"/>
      <c r="AW1523" s="263"/>
      <c r="AX1523" s="263"/>
      <c r="AY1523" s="263"/>
      <c r="AZ1523" s="263"/>
      <c r="BA1523" s="263"/>
      <c r="BB1523" s="263"/>
      <c r="BC1523" s="263"/>
      <c r="BD1523" s="264"/>
      <c r="BE1523" s="263"/>
      <c r="BF1523" s="263"/>
      <c r="BG1523" s="263"/>
      <c r="BH1523" s="263"/>
      <c r="BI1523" s="263"/>
      <c r="BJ1523" s="404">
        <f>altaz(J2000_Bas,$O1523,$M1523,DecLat,DecLong,2)</f>
        <v>30.70298191341255</v>
      </c>
      <c r="BK1523" s="378" t="s">
        <v>1547</v>
      </c>
      <c r="BL1523" s="379">
        <f>IF((2*G1523)/60&lt;0.2,0.2,(2*G1523)/60)</f>
        <v>0.53333333333333333</v>
      </c>
      <c r="BM1523" s="380">
        <f>MOD((50000+AD1523-$B$3+(0/24)),1)</f>
        <v>0.28198216074088123</v>
      </c>
      <c r="BN1523" s="381"/>
      <c r="BO1523" s="382">
        <v>1516</v>
      </c>
    </row>
    <row r="1524" spans="1:67" s="24" customFormat="1" ht="15" customHeight="1" x14ac:dyDescent="0.25">
      <c r="A1524" s="288" t="s">
        <v>1548</v>
      </c>
      <c r="B1524" s="241" t="str">
        <f>HYPERLINK(CONCATENATE($AT$3,BK1524,$AU$3),$AV$3)</f>
        <v>S</v>
      </c>
      <c r="C1524" s="242" t="str">
        <f>HYPERLINK(CONCATENATE($AT$4,BK1524,$AU$4,BL1524),$AV$4)</f>
        <v>A</v>
      </c>
      <c r="D1524" s="243" t="s">
        <v>5638</v>
      </c>
      <c r="E1524" s="244" t="s">
        <v>5192</v>
      </c>
      <c r="F1524" s="269" t="s">
        <v>8696</v>
      </c>
      <c r="G1524" s="273">
        <v>3</v>
      </c>
      <c r="H1524" s="283">
        <v>214.68807000000001</v>
      </c>
      <c r="I1524" s="246">
        <v>185</v>
      </c>
      <c r="J1524" s="246">
        <v>2</v>
      </c>
      <c r="K1524" s="247" t="s">
        <v>8045</v>
      </c>
      <c r="L1524" s="248">
        <v>14716</v>
      </c>
      <c r="M1524" s="249">
        <f>15*(LEFT(TEXT($L1524,"000000"),2)+(MID(TEXT($L1524,"000000"),3,2)/60)+(RIGHT(TEXT($L1524,"000000"),2)/3600))</f>
        <v>26.816666666666666</v>
      </c>
      <c r="N1524" s="250">
        <v>353346</v>
      </c>
      <c r="O1524" s="251">
        <f>IF($N1524&gt;0,(LEFT(TEXT($N1524,"000000"),2)+(MID(TEXT($N1524,"000000"),3,2)/60)+(RIGHT(TEXT($N1524,"000000"),2)/3600)),-(MID(TEXT($N1524,"000000"),2,2)+(MID(TEXT($N1524,"000000"),4,2)/60)+(RIGHT(TEXT($N1524,"000000"),2)/3600)))</f>
        <v>35.562777777777775</v>
      </c>
      <c r="P1524" s="252" t="s">
        <v>314</v>
      </c>
      <c r="Q1524" s="253"/>
      <c r="R1524" s="277" t="s">
        <v>3293</v>
      </c>
      <c r="S1524" s="272" t="s">
        <v>3293</v>
      </c>
      <c r="T1524" s="273">
        <v>12.3</v>
      </c>
      <c r="U1524" s="289">
        <v>21.79</v>
      </c>
      <c r="V1524" s="280">
        <v>85</v>
      </c>
      <c r="W1524" s="244"/>
      <c r="X1524" s="244"/>
      <c r="Y1524" s="362"/>
      <c r="Z1524" s="257">
        <f>altaz(J2000_Bas,$O1524,$M1524,DecLat,DecLong,1)</f>
        <v>9.7132258717866318</v>
      </c>
      <c r="AA1524" s="257">
        <f>altaz((J2000_Bas+(2*0.04167)),$O1524,$M1524,DecLat,DecLong,1)</f>
        <v>31.983030523199997</v>
      </c>
      <c r="AB1524" s="257">
        <f>altaz((J2000_Bas+(4*0.04167)),$O1524,$M1524,DecLat,DecLong,1)</f>
        <v>55.956983419220471</v>
      </c>
      <c r="AC1524" s="257">
        <f>altaz((J2000_Bas+(6*0.04167)),$O1524,$M1524,DecLat,DecLong,1)</f>
        <v>80.070366816184674</v>
      </c>
      <c r="AD1524" s="258">
        <f>1+ transit((J2000_Bas-1),$O1524,$M1524,DecLat,DecLong)/360 + (GMTOffset/24) + (IF(DST="Y", 1, 0)/24)</f>
        <v>1.0673906939213746</v>
      </c>
      <c r="AE1524" s="259">
        <f>DATE(2001,9,21)+(M1524/360)*365 - (360*((DecLong/360)- (GMTOffset/24) ))</f>
        <v>37187.189120370371</v>
      </c>
      <c r="AF1524" s="260">
        <f>IF(DecLat&gt;0,IF((90 - (DecLat-O1524))&gt;90, (90 - (O1524-DecLat)), (90 - (DecLat-O1524))),IF((90 + (DecLat-O1524))&gt;90, (90 + (O1524-DecLat)), (90 + (DecLat-O1524))))</f>
        <v>85.437222222222232</v>
      </c>
      <c r="AG1524" s="257">
        <f>angularseperation(MoonRA,MoonDec,$M1524,$O1524)</f>
        <v>143.07532921295319</v>
      </c>
      <c r="AH1524" s="261">
        <f ca="1">MIN(100,IF($O$5&gt;80,0+30*($AG1524/100),IF($O$5&gt;70,0+50*($AG1524/100),IF($O$5&gt;60,5+50*($AG1524/100),IF($O$5&gt;50,10+60*($AG1524/100),IF($O$5&gt;40,15+70*($AG1524/100),IF($O$5&gt;30,20+70*($AG1524/100),IF($O$5&gt;20,40+55*($AG1524/100),(80+(20-$O$5)+30*($AG1524/100))))))))))</f>
        <v>100</v>
      </c>
      <c r="AI1524" s="262">
        <v>669</v>
      </c>
      <c r="AJ1524" s="263"/>
      <c r="AK1524" s="263"/>
      <c r="AL1524" s="263"/>
      <c r="AM1524" s="264"/>
      <c r="AN1524" s="263"/>
      <c r="AO1524" s="263"/>
      <c r="AP1524" s="265"/>
      <c r="AQ1524" s="265">
        <v>1248</v>
      </c>
      <c r="AR1524" s="285">
        <v>6560</v>
      </c>
      <c r="AS1524" s="263"/>
      <c r="AT1524" s="263"/>
      <c r="AU1524" s="263"/>
      <c r="AV1524" s="264"/>
      <c r="AW1524" s="263"/>
      <c r="AX1524" s="263"/>
      <c r="AY1524" s="263"/>
      <c r="AZ1524" s="263"/>
      <c r="BA1524" s="263"/>
      <c r="BB1524" s="263"/>
      <c r="BC1524" s="263"/>
      <c r="BD1524" s="264"/>
      <c r="BE1524" s="263"/>
      <c r="BF1524" s="263"/>
      <c r="BG1524" s="263"/>
      <c r="BH1524" s="263"/>
      <c r="BI1524" s="263"/>
      <c r="BJ1524" s="404">
        <f>altaz(J2000_Bas,$O1524,$M1524,DecLat,DecLong,2)</f>
        <v>54.159832133822889</v>
      </c>
      <c r="BK1524" s="378" t="s">
        <v>1548</v>
      </c>
      <c r="BL1524" s="379">
        <f>IF((2*G1524)/60&lt;0.2,0.2,(2*G1524)/60)</f>
        <v>0.2</v>
      </c>
      <c r="BM1524" s="380">
        <f>MOD((50000+AD1524-$B$3+(0/24)),1)</f>
        <v>0.28275762362318346</v>
      </c>
      <c r="BN1524" s="381"/>
      <c r="BO1524" s="382">
        <v>1517</v>
      </c>
    </row>
    <row r="1525" spans="1:67" s="24" customFormat="1" ht="15" customHeight="1" x14ac:dyDescent="0.25">
      <c r="A1525" s="288" t="s">
        <v>1549</v>
      </c>
      <c r="B1525" s="241" t="str">
        <f>HYPERLINK(CONCATENATE($AT$3,BK1525,$AU$3),$AV$3)</f>
        <v>S</v>
      </c>
      <c r="C1525" s="242" t="str">
        <f>HYPERLINK(CONCATENATE($AT$4,BK1525,$AU$4,BL1525),$AV$4)</f>
        <v>A</v>
      </c>
      <c r="D1525" s="243" t="s">
        <v>5638</v>
      </c>
      <c r="E1525" s="244" t="s">
        <v>3259</v>
      </c>
      <c r="F1525" s="269"/>
      <c r="G1525" s="273">
        <v>6</v>
      </c>
      <c r="H1525" s="283">
        <v>23</v>
      </c>
      <c r="I1525" s="246">
        <v>40</v>
      </c>
      <c r="J1525" s="246">
        <v>2</v>
      </c>
      <c r="K1525" s="247" t="s">
        <v>6592</v>
      </c>
      <c r="L1525" s="248">
        <v>14754</v>
      </c>
      <c r="M1525" s="249">
        <f>15*(LEFT(TEXT($L1525,"000000"),2)+(MID(TEXT($L1525,"000000"),3,2)/60)+(RIGHT(TEXT($L1525,"000000"),2)/3600))</f>
        <v>26.974999999999998</v>
      </c>
      <c r="N1525" s="250">
        <v>272559</v>
      </c>
      <c r="O1525" s="251">
        <f>IF($N1525&gt;0,(LEFT(TEXT($N1525,"000000"),2)+(MID(TEXT($N1525,"000000"),3,2)/60)+(RIGHT(TEXT($N1525,"000000"),2)/3600)),-(MID(TEXT($N1525,"000000"),2,2)+(MID(TEXT($N1525,"000000"),4,2)/60)+(RIGHT(TEXT($N1525,"000000"),2)/3600)))</f>
        <v>27.433055555555558</v>
      </c>
      <c r="P1525" s="252" t="s">
        <v>314</v>
      </c>
      <c r="Q1525" s="253" t="s">
        <v>3381</v>
      </c>
      <c r="R1525" s="277" t="s">
        <v>3293</v>
      </c>
      <c r="S1525" s="272" t="s">
        <v>6591</v>
      </c>
      <c r="T1525" s="273">
        <v>10.9</v>
      </c>
      <c r="U1525" s="289">
        <v>22.79</v>
      </c>
      <c r="V1525" s="280">
        <v>70</v>
      </c>
      <c r="W1525" s="244"/>
      <c r="X1525" s="244"/>
      <c r="Y1525" s="362"/>
      <c r="Z1525" s="257">
        <f>altaz(J2000_Bas,$O1525,$M1525,DecLat,DecLong,1)</f>
        <v>5.306346766918062</v>
      </c>
      <c r="AA1525" s="257">
        <f>altaz((J2000_Bas+(2*0.04167)),$O1525,$M1525,DecLat,DecLong,1)</f>
        <v>29.102746126936832</v>
      </c>
      <c r="AB1525" s="257">
        <f>altaz((J2000_Bas+(4*0.04167)),$O1525,$M1525,DecLat,DecLong,1)</f>
        <v>54.40596087481822</v>
      </c>
      <c r="AC1525" s="257">
        <f>altaz((J2000_Bas+(6*0.04167)),$O1525,$M1525,DecLat,DecLong,1)</f>
        <v>79.993725946953205</v>
      </c>
      <c r="AD1525" s="258">
        <f>1+ transit((J2000_Bas-1),$O1525,$M1525,DecLat,DecLong)/360 + (GMTOffset/24) + (IF(DST="Y", 1, 0)/24)</f>
        <v>1.067830508692208</v>
      </c>
      <c r="AE1525" s="259">
        <f>DATE(2001,9,21)+(M1525/360)*365 - (360*((DecLong/360)- (GMTOffset/24) ))</f>
        <v>37187.349652777775</v>
      </c>
      <c r="AF1525" s="260">
        <f>IF(DecLat&gt;0,IF((90 - (DecLat-O1525))&gt;90, (90 - (O1525-DecLat)), (90 - (DecLat-O1525))),IF((90 + (DecLat-O1525))&gt;90, (90 + (O1525-DecLat)), (90 + (DecLat-O1525))))</f>
        <v>86.433055555555555</v>
      </c>
      <c r="AG1525" s="257">
        <f>angularseperation(MoonRA,MoonDec,$M1525,$O1525)</f>
        <v>142.61179803545838</v>
      </c>
      <c r="AH1525" s="261">
        <f ca="1">MIN(100,IF($O$5&gt;80,0+30*($AG1525/100),IF($O$5&gt;70,0+50*($AG1525/100),IF($O$5&gt;60,5+50*($AG1525/100),IF($O$5&gt;50,10+60*($AG1525/100),IF($O$5&gt;40,15+70*($AG1525/100),IF($O$5&gt;30,20+70*($AG1525/100),IF($O$5&gt;20,40+55*($AG1525/100),(80+(20-$O$5)+30*($AG1525/100))))))))))</f>
        <v>100</v>
      </c>
      <c r="AI1525" s="262">
        <v>672</v>
      </c>
      <c r="AJ1525" s="262"/>
      <c r="AK1525" s="262"/>
      <c r="AL1525" s="263"/>
      <c r="AM1525" s="264"/>
      <c r="AN1525" s="263"/>
      <c r="AO1525" s="263"/>
      <c r="AP1525" s="265"/>
      <c r="AQ1525" s="266">
        <v>1256</v>
      </c>
      <c r="AR1525" s="267">
        <v>6595</v>
      </c>
      <c r="AS1525" s="263"/>
      <c r="AT1525" s="263"/>
      <c r="AU1525" s="263"/>
      <c r="AV1525" s="264"/>
      <c r="AW1525" s="263"/>
      <c r="AX1525" s="263"/>
      <c r="AY1525" s="263"/>
      <c r="AZ1525" s="263"/>
      <c r="BA1525" s="263"/>
      <c r="BB1525" s="263"/>
      <c r="BC1525" s="263"/>
      <c r="BD1525" s="264"/>
      <c r="BE1525" s="263"/>
      <c r="BF1525" s="263"/>
      <c r="BG1525" s="263">
        <v>8</v>
      </c>
      <c r="BH1525" s="263"/>
      <c r="BI1525" s="263"/>
      <c r="BJ1525" s="404">
        <f>altaz(J2000_Bas,$O1525,$M1525,DecLat,DecLong,2)</f>
        <v>61.053814206854057</v>
      </c>
      <c r="BK1525" s="378" t="s">
        <v>1549</v>
      </c>
      <c r="BL1525" s="379">
        <f>IF((2*G1525)/60&lt;0.2,0.2,(2*G1525)/60)</f>
        <v>0.2</v>
      </c>
      <c r="BM1525" s="380">
        <f>MOD((50000+AD1525-$B$3+(0/24)),1)</f>
        <v>0.2831974383952911</v>
      </c>
      <c r="BN1525" s="381"/>
      <c r="BO1525" s="382">
        <v>1518</v>
      </c>
    </row>
    <row r="1526" spans="1:67" s="24" customFormat="1" ht="15" customHeight="1" x14ac:dyDescent="0.25">
      <c r="A1526" s="288" t="s">
        <v>1550</v>
      </c>
      <c r="B1526" s="241" t="str">
        <f>HYPERLINK(CONCATENATE($AT$3,BK1526,$AU$3),$AV$3)</f>
        <v>S</v>
      </c>
      <c r="C1526" s="242" t="str">
        <f>HYPERLINK(CONCATENATE($AT$4,BK1526,$AU$4,BL1526),$AV$4)</f>
        <v>A</v>
      </c>
      <c r="D1526" s="243" t="s">
        <v>5638</v>
      </c>
      <c r="E1526" s="244" t="s">
        <v>5192</v>
      </c>
      <c r="F1526" s="269" t="s">
        <v>8886</v>
      </c>
      <c r="G1526" s="273">
        <v>4.5</v>
      </c>
      <c r="H1526" s="283">
        <v>105</v>
      </c>
      <c r="I1526" s="246">
        <v>140</v>
      </c>
      <c r="J1526" s="246">
        <v>2</v>
      </c>
      <c r="K1526" s="247" t="s">
        <v>6594</v>
      </c>
      <c r="L1526" s="248">
        <v>15117</v>
      </c>
      <c r="M1526" s="249">
        <f>15*(LEFT(TEXT($L1526,"000000"),2)+(MID(TEXT($L1526,"000000"),3,2)/60)+(RIGHT(TEXT($L1526,"000000"),2)/3600))</f>
        <v>27.820833333333336</v>
      </c>
      <c r="N1526" s="250">
        <v>222128</v>
      </c>
      <c r="O1526" s="251">
        <f>IF($N1526&gt;0,(LEFT(TEXT($N1526,"000000"),2)+(MID(TEXT($N1526,"000000"),3,2)/60)+(RIGHT(TEXT($N1526,"000000"),2)/3600)),-(MID(TEXT($N1526,"000000"),2,2)+(MID(TEXT($N1526,"000000"),4,2)/60)+(RIGHT(TEXT($N1526,"000000"),2)/3600)))</f>
        <v>22.35777777777778</v>
      </c>
      <c r="P1526" s="252" t="s">
        <v>249</v>
      </c>
      <c r="Q1526" s="253"/>
      <c r="R1526" s="247" t="s">
        <v>6593</v>
      </c>
      <c r="S1526" s="272" t="s">
        <v>3293</v>
      </c>
      <c r="T1526" s="273">
        <v>12</v>
      </c>
      <c r="U1526" s="289">
        <v>22.79</v>
      </c>
      <c r="V1526" s="280">
        <v>80</v>
      </c>
      <c r="W1526" s="244"/>
      <c r="X1526" s="244"/>
      <c r="Y1526" s="362"/>
      <c r="Z1526" s="257">
        <f>altaz(J2000_Bas,$O1526,$M1526,DecLat,DecLong,1)</f>
        <v>1.9230839716893893</v>
      </c>
      <c r="AA1526" s="257">
        <f>altaz((J2000_Bas+(2*0.04167)),$O1526,$M1526,DecLat,DecLong,1)</f>
        <v>26.383943840642942</v>
      </c>
      <c r="AB1526" s="257">
        <f>altaz((J2000_Bas+(4*0.04167)),$O1526,$M1526,DecLat,DecLong,1)</f>
        <v>52.023778832271354</v>
      </c>
      <c r="AC1526" s="257">
        <f>altaz((J2000_Bas+(6*0.04167)),$O1526,$M1526,DecLat,DecLong,1)</f>
        <v>76.545005171676991</v>
      </c>
      <c r="AD1526" s="258">
        <f>1+ transit((J2000_Bas-1),$O1526,$M1526,DecLat,DecLong)/360 + (GMTOffset/24) + (IF(DST="Y", 1, 0)/24)</f>
        <v>1.0701800454942914</v>
      </c>
      <c r="AE1526" s="259">
        <f>DATE(2001,9,21)+(M1526/360)*365 - (360*((DecLong/360)- (GMTOffset/24) ))</f>
        <v>37188.207233796296</v>
      </c>
      <c r="AF1526" s="260">
        <f>IF(DecLat&gt;0,IF((90 - (DecLat-O1526))&gt;90, (90 - (O1526-DecLat)), (90 - (DecLat-O1526))),IF((90 + (DecLat-O1526))&gt;90, (90 + (O1526-DecLat)), (90 + (DecLat-O1526))))</f>
        <v>81.357777777777784</v>
      </c>
      <c r="AG1526" s="257">
        <f>angularseperation(MoonRA,MoonDec,$M1526,$O1526)</f>
        <v>142.24520896986758</v>
      </c>
      <c r="AH1526" s="261">
        <f ca="1">MIN(100,IF($O$5&gt;80,0+30*($AG1526/100),IF($O$5&gt;70,0+50*($AG1526/100),IF($O$5&gt;60,5+50*($AG1526/100),IF($O$5&gt;50,10+60*($AG1526/100),IF($O$5&gt;40,15+70*($AG1526/100),IF($O$5&gt;30,20+70*($AG1526/100),IF($O$5&gt;20,40+55*($AG1526/100),(80+(20-$O$5)+30*($AG1526/100))))))))))</f>
        <v>100</v>
      </c>
      <c r="AI1526" s="262">
        <v>674</v>
      </c>
      <c r="AJ1526" s="262"/>
      <c r="AK1526" s="262"/>
      <c r="AL1526" s="263"/>
      <c r="AM1526" s="264"/>
      <c r="AN1526" s="263"/>
      <c r="AO1526" s="263"/>
      <c r="AP1526" s="265"/>
      <c r="AQ1526" s="266"/>
      <c r="AR1526" s="267">
        <v>6848</v>
      </c>
      <c r="AS1526" s="263"/>
      <c r="AT1526" s="263"/>
      <c r="AU1526" s="263"/>
      <c r="AV1526" s="264"/>
      <c r="AW1526" s="263"/>
      <c r="AX1526" s="263"/>
      <c r="AY1526" s="263"/>
      <c r="AZ1526" s="263"/>
      <c r="BA1526" s="263"/>
      <c r="BB1526" s="263"/>
      <c r="BC1526" s="263"/>
      <c r="BD1526" s="264"/>
      <c r="BE1526" s="263"/>
      <c r="BF1526" s="263"/>
      <c r="BG1526" s="263"/>
      <c r="BH1526" s="263"/>
      <c r="BI1526" s="263"/>
      <c r="BJ1526" s="404">
        <f>altaz(J2000_Bas,$O1526,$M1526,DecLat,DecLong,2)</f>
        <v>64.922131574934411</v>
      </c>
      <c r="BK1526" s="378" t="s">
        <v>1550</v>
      </c>
      <c r="BL1526" s="379">
        <f>IF((2*G1526)/60&lt;0.2,0.2,(2*G1526)/60)</f>
        <v>0.2</v>
      </c>
      <c r="BM1526" s="380">
        <f>MOD((50000+AD1526-$B$3+(0/24)),1)</f>
        <v>0.28554697519575711</v>
      </c>
      <c r="BN1526" s="381"/>
      <c r="BO1526" s="382">
        <v>1519</v>
      </c>
    </row>
    <row r="1527" spans="1:67" s="24" customFormat="1" ht="15" customHeight="1" x14ac:dyDescent="0.25">
      <c r="A1527" s="288" t="s">
        <v>1551</v>
      </c>
      <c r="B1527" s="241" t="str">
        <f>HYPERLINK(CONCATENATE($AT$3,BK1527,$AU$3),$AV$3)</f>
        <v>S</v>
      </c>
      <c r="C1527" s="242" t="str">
        <f>HYPERLINK(CONCATENATE($AT$4,BK1527,$AU$4,BL1527),$AV$4)</f>
        <v>A</v>
      </c>
      <c r="D1527" s="243" t="s">
        <v>5638</v>
      </c>
      <c r="E1527" s="244" t="s">
        <v>5182</v>
      </c>
      <c r="F1527" s="269" t="s">
        <v>3300</v>
      </c>
      <c r="G1527" s="273">
        <v>3</v>
      </c>
      <c r="H1527" s="283">
        <v>70</v>
      </c>
      <c r="I1527" s="246">
        <v>60</v>
      </c>
      <c r="J1527" s="246">
        <v>2</v>
      </c>
      <c r="K1527" s="247" t="s">
        <v>6595</v>
      </c>
      <c r="L1527" s="248">
        <v>14857</v>
      </c>
      <c r="M1527" s="249">
        <f>15*(LEFT(TEXT($L1527,"000000"),2)+(MID(TEXT($L1527,"000000"),3,2)/60)+(RIGHT(TEXT($L1527,"000000"),2)/3600))</f>
        <v>27.237500000000001</v>
      </c>
      <c r="N1527" s="250">
        <v>55426</v>
      </c>
      <c r="O1527" s="251">
        <f>IF($N1527&gt;0,(LEFT(TEXT($N1527,"000000"),2)+(MID(TEXT($N1527,"000000"),3,2)/60)+(RIGHT(TEXT($N1527,"000000"),2)/3600)),-(MID(TEXT($N1527,"000000"),2,2)+(MID(TEXT($N1527,"000000"),4,2)/60)+(RIGHT(TEXT($N1527,"000000"),2)/3600)))</f>
        <v>5.9072222222222228</v>
      </c>
      <c r="P1527" s="252" t="s">
        <v>158</v>
      </c>
      <c r="Q1527" s="253"/>
      <c r="R1527" s="247" t="s">
        <v>3293</v>
      </c>
      <c r="S1527" s="272" t="s">
        <v>3293</v>
      </c>
      <c r="T1527" s="273">
        <v>11.9</v>
      </c>
      <c r="U1527" s="289">
        <v>22.19</v>
      </c>
      <c r="V1527" s="280">
        <v>80</v>
      </c>
      <c r="W1527" s="244"/>
      <c r="X1527" s="244"/>
      <c r="Y1527" s="362"/>
      <c r="Z1527" s="257">
        <f>altaz(J2000_Bas,$O1527,$M1527,DecLat,DecLong,1)</f>
        <v>-6.4946030173181297</v>
      </c>
      <c r="AA1527" s="257">
        <f>altaz((J2000_Bas+(2*0.04167)),$O1527,$M1527,DecLat,DecLong,1)</f>
        <v>19.176241696842663</v>
      </c>
      <c r="AB1527" s="257">
        <f>altaz((J2000_Bas+(4*0.04167)),$O1527,$M1527,DecLat,DecLong,1)</f>
        <v>44.094283844304613</v>
      </c>
      <c r="AC1527" s="257">
        <f>altaz((J2000_Bas+(6*0.04167)),$O1527,$M1527,DecLat,DecLong,1)</f>
        <v>62.874570227418197</v>
      </c>
      <c r="AD1527" s="258">
        <f>1+ transit((J2000_Bas-1),$O1527,$M1527,DecLat,DecLong)/360 + (GMTOffset/24) + (IF(DST="Y", 1, 0)/24)</f>
        <v>1.0685596752859581</v>
      </c>
      <c r="AE1527" s="259">
        <f>DATE(2001,9,21)+(M1527/360)*365 - (360*((DecLong/360)- (GMTOffset/24) ))</f>
        <v>37187.615798611114</v>
      </c>
      <c r="AF1527" s="260">
        <f>IF(DecLat&gt;0,IF((90 - (DecLat-O1527))&gt;90, (90 - (O1527-DecLat)), (90 - (DecLat-O1527))),IF((90 + (DecLat-O1527))&gt;90, (90 + (O1527-DecLat)), (90 + (DecLat-O1527))))</f>
        <v>64.907222222222231</v>
      </c>
      <c r="AG1527" s="257">
        <f>angularseperation(MoonRA,MoonDec,$M1527,$O1527)</f>
        <v>134.82552061474468</v>
      </c>
      <c r="AH1527" s="261">
        <f ca="1">MIN(100,IF($O$5&gt;80,0+30*($AG1527/100),IF($O$5&gt;70,0+50*($AG1527/100),IF($O$5&gt;60,5+50*($AG1527/100),IF($O$5&gt;50,10+60*($AG1527/100),IF($O$5&gt;40,15+70*($AG1527/100),IF($O$5&gt;30,20+70*($AG1527/100),IF($O$5&gt;20,40+55*($AG1527/100),(80+(20-$O$5)+30*($AG1527/100))))))))))</f>
        <v>100</v>
      </c>
      <c r="AI1527" s="262">
        <v>676</v>
      </c>
      <c r="AJ1527" s="262"/>
      <c r="AK1527" s="262"/>
      <c r="AL1527" s="263"/>
      <c r="AM1527" s="264"/>
      <c r="AN1527" s="263"/>
      <c r="AO1527" s="263"/>
      <c r="AP1527" s="265"/>
      <c r="AQ1527" s="266">
        <v>1270</v>
      </c>
      <c r="AR1527" s="267">
        <v>6656</v>
      </c>
      <c r="AS1527" s="263"/>
      <c r="AT1527" s="263"/>
      <c r="AU1527" s="263"/>
      <c r="AV1527" s="264"/>
      <c r="AW1527" s="263"/>
      <c r="AX1527" s="263"/>
      <c r="AY1527" s="263"/>
      <c r="AZ1527" s="263"/>
      <c r="BA1527" s="263"/>
      <c r="BB1527" s="263"/>
      <c r="BC1527" s="263"/>
      <c r="BD1527" s="264"/>
      <c r="BE1527" s="263"/>
      <c r="BF1527" s="263"/>
      <c r="BG1527" s="263"/>
      <c r="BH1527" s="263"/>
      <c r="BI1527" s="263"/>
      <c r="BJ1527" s="404">
        <f>altaz(J2000_Bas,$O1527,$M1527,DecLat,DecLong,2)</f>
        <v>79.091268872525788</v>
      </c>
      <c r="BK1527" s="378" t="s">
        <v>1551</v>
      </c>
      <c r="BL1527" s="379">
        <f>IF((2*G1527)/60&lt;0.2,0.2,(2*G1527)/60)</f>
        <v>0.2</v>
      </c>
      <c r="BM1527" s="380">
        <f>MOD((50000+AD1527-$B$3+(0/24)),1)</f>
        <v>0.2839266049923026</v>
      </c>
      <c r="BN1527" s="381"/>
      <c r="BO1527" s="382">
        <v>1520</v>
      </c>
    </row>
    <row r="1528" spans="1:67" s="24" customFormat="1" ht="15" customHeight="1" x14ac:dyDescent="0.25">
      <c r="A1528" s="288" t="s">
        <v>1552</v>
      </c>
      <c r="B1528" s="241" t="str">
        <f>HYPERLINK(CONCATENATE($AT$3,BK1528,$AU$3),$AV$3)</f>
        <v>S</v>
      </c>
      <c r="C1528" s="242" t="str">
        <f>HYPERLINK(CONCATENATE($AT$4,BK1528,$AU$4,BL1528),$AV$4)</f>
        <v>A</v>
      </c>
      <c r="D1528" s="243" t="s">
        <v>5638</v>
      </c>
      <c r="E1528" s="244" t="s">
        <v>5192</v>
      </c>
      <c r="F1528" s="269" t="s">
        <v>8928</v>
      </c>
      <c r="G1528" s="273">
        <v>4.5</v>
      </c>
      <c r="H1528" s="283">
        <v>130.22289000000001</v>
      </c>
      <c r="I1528" s="246">
        <v>175</v>
      </c>
      <c r="J1528" s="246">
        <v>2</v>
      </c>
      <c r="K1528" s="247" t="s">
        <v>6597</v>
      </c>
      <c r="L1528" s="248">
        <v>14925</v>
      </c>
      <c r="M1528" s="249">
        <f>15*(LEFT(TEXT($L1528,"000000"),2)+(MID(TEXT($L1528,"000000"),3,2)/60)+(RIGHT(TEXT($L1528,"000000"),2)/3600))</f>
        <v>27.354166666666664</v>
      </c>
      <c r="N1528" s="250">
        <v>215950</v>
      </c>
      <c r="O1528" s="251">
        <f>IF($N1528&gt;0,(LEFT(TEXT($N1528,"000000"),2)+(MID(TEXT($N1528,"000000"),3,2)/60)+(RIGHT(TEXT($N1528,"000000"),2)/3600)),-(MID(TEXT($N1528,"000000"),2,2)+(MID(TEXT($N1528,"000000"),4,2)/60)+(RIGHT(TEXT($N1528,"000000"),2)/3600)))</f>
        <v>21.997222222222224</v>
      </c>
      <c r="P1528" s="252" t="s">
        <v>249</v>
      </c>
      <c r="Q1528" s="253"/>
      <c r="R1528" s="247" t="s">
        <v>6596</v>
      </c>
      <c r="S1528" s="272" t="s">
        <v>3293</v>
      </c>
      <c r="T1528" s="273">
        <v>12.2</v>
      </c>
      <c r="U1528" s="289">
        <v>22.29</v>
      </c>
      <c r="V1528" s="280">
        <v>88</v>
      </c>
      <c r="W1528" s="244"/>
      <c r="X1528" s="244"/>
      <c r="Y1528" s="362"/>
      <c r="Z1528" s="257">
        <f>altaz(J2000_Bas,$O1528,$M1528,DecLat,DecLong,1)</f>
        <v>2.0906671242684376</v>
      </c>
      <c r="AA1528" s="257">
        <f>altaz((J2000_Bas+(2*0.04167)),$O1528,$M1528,DecLat,DecLong,1)</f>
        <v>26.625680549778892</v>
      </c>
      <c r="AB1528" s="257">
        <f>altaz((J2000_Bas+(4*0.04167)),$O1528,$M1528,DecLat,DecLong,1)</f>
        <v>52.285480597314503</v>
      </c>
      <c r="AC1528" s="257">
        <f>altaz((J2000_Bas+(6*0.04167)),$O1528,$M1528,DecLat,DecLong,1)</f>
        <v>76.610507732457293</v>
      </c>
      <c r="AD1528" s="258">
        <f>1+ transit((J2000_Bas-1),$O1528,$M1528,DecLat,DecLong)/360 + (GMTOffset/24) + (IF(DST="Y", 1, 0)/24)</f>
        <v>1.0688837493276246</v>
      </c>
      <c r="AE1528" s="259">
        <f>DATE(2001,9,21)+(M1528/360)*365 - (360*((DecLong/360)- (GMTOffset/24) ))</f>
        <v>37187.734085648146</v>
      </c>
      <c r="AF1528" s="260">
        <f>IF(DecLat&gt;0,IF((90 - (DecLat-O1528))&gt;90, (90 - (O1528-DecLat)), (90 - (DecLat-O1528))),IF((90 + (DecLat-O1528))&gt;90, (90 + (O1528-DecLat)), (90 + (DecLat-O1528))))</f>
        <v>80.99722222222222</v>
      </c>
      <c r="AG1528" s="257">
        <f>angularseperation(MoonRA,MoonDec,$M1528,$O1528)</f>
        <v>141.73013775687858</v>
      </c>
      <c r="AH1528" s="261">
        <f ca="1">MIN(100,IF($O$5&gt;80,0+30*($AG1528/100),IF($O$5&gt;70,0+50*($AG1528/100),IF($O$5&gt;60,5+50*($AG1528/100),IF($O$5&gt;50,10+60*($AG1528/100),IF($O$5&gt;40,15+70*($AG1528/100),IF($O$5&gt;30,20+70*($AG1528/100),IF($O$5&gt;20,40+55*($AG1528/100),(80+(20-$O$5)+30*($AG1528/100))))))))))</f>
        <v>100</v>
      </c>
      <c r="AI1528" s="262">
        <v>678</v>
      </c>
      <c r="AJ1528" s="262"/>
      <c r="AK1528" s="262"/>
      <c r="AL1528" s="263"/>
      <c r="AM1528" s="264"/>
      <c r="AN1528" s="263"/>
      <c r="AO1528" s="263"/>
      <c r="AP1528" s="265"/>
      <c r="AQ1528" s="266">
        <v>1280</v>
      </c>
      <c r="AR1528" s="267">
        <v>6690</v>
      </c>
      <c r="AS1528" s="263"/>
      <c r="AT1528" s="263"/>
      <c r="AU1528" s="263"/>
      <c r="AV1528" s="264"/>
      <c r="AW1528" s="263"/>
      <c r="AX1528" s="263"/>
      <c r="AY1528" s="263"/>
      <c r="AZ1528" s="263"/>
      <c r="BA1528" s="263"/>
      <c r="BB1528" s="263"/>
      <c r="BC1528" s="263"/>
      <c r="BD1528" s="264"/>
      <c r="BE1528" s="263"/>
      <c r="BF1528" s="263"/>
      <c r="BG1528" s="263"/>
      <c r="BH1528" s="263">
        <v>100</v>
      </c>
      <c r="BI1528" s="263"/>
      <c r="BJ1528" s="404">
        <f>altaz(J2000_Bas,$O1528,$M1528,DecLat,DecLong,2)</f>
        <v>65.459734225338806</v>
      </c>
      <c r="BK1528" s="378" t="s">
        <v>1552</v>
      </c>
      <c r="BL1528" s="379">
        <f>IF((2*G1528)/60&lt;0.2,0.2,(2*G1528)/60)</f>
        <v>0.2</v>
      </c>
      <c r="BM1528" s="380">
        <f>MOD((50000+AD1528-$B$3+(0/24)),1)</f>
        <v>0.2842506790329935</v>
      </c>
      <c r="BN1528" s="381"/>
      <c r="BO1528" s="382">
        <v>1521</v>
      </c>
    </row>
    <row r="1529" spans="1:67" s="24" customFormat="1" ht="15" customHeight="1" x14ac:dyDescent="0.25">
      <c r="A1529" s="288" t="s">
        <v>1553</v>
      </c>
      <c r="B1529" s="241" t="str">
        <f>HYPERLINK(CONCATENATE($AT$3,BK1529,$AU$3),$AV$3)</f>
        <v>S</v>
      </c>
      <c r="C1529" s="242" t="str">
        <f>HYPERLINK(CONCATENATE($AT$4,BK1529,$AU$4,BL1529),$AV$4)</f>
        <v>A</v>
      </c>
      <c r="D1529" s="243" t="s">
        <v>5638</v>
      </c>
      <c r="E1529" s="244" t="s">
        <v>5192</v>
      </c>
      <c r="F1529" s="269" t="s">
        <v>8929</v>
      </c>
      <c r="G1529" s="273">
        <v>1.8</v>
      </c>
      <c r="H1529" s="283">
        <v>150</v>
      </c>
      <c r="I1529" s="246">
        <v>80</v>
      </c>
      <c r="J1529" s="246">
        <v>2</v>
      </c>
      <c r="K1529" s="247" t="s">
        <v>6598</v>
      </c>
      <c r="L1529" s="248">
        <v>14911</v>
      </c>
      <c r="M1529" s="249">
        <f>15*(LEFT(TEXT($L1529,"000000"),2)+(MID(TEXT($L1529,"000000"),3,2)/60)+(RIGHT(TEXT($L1529,"000000"),2)/3600))</f>
        <v>27.295833333333334</v>
      </c>
      <c r="N1529" s="250">
        <v>-102537</v>
      </c>
      <c r="O1529" s="251">
        <f>IF($N1529&gt;0,(LEFT(TEXT($N1529,"000000"),2)+(MID(TEXT($N1529,"000000"),3,2)/60)+(RIGHT(TEXT($N1529,"000000"),2)/3600)),-(MID(TEXT($N1529,"000000"),2,2)+(MID(TEXT($N1529,"000000"),4,2)/60)+(RIGHT(TEXT($N1529,"000000"),2)/3600)))</f>
        <v>-10.426944444444445</v>
      </c>
      <c r="P1529" s="252" t="s">
        <v>75</v>
      </c>
      <c r="Q1529" s="253" t="s">
        <v>6883</v>
      </c>
      <c r="R1529" s="247" t="s">
        <v>3293</v>
      </c>
      <c r="S1529" s="272" t="s">
        <v>3293</v>
      </c>
      <c r="T1529" s="273">
        <v>12</v>
      </c>
      <c r="U1529" s="289">
        <v>22.29</v>
      </c>
      <c r="V1529" s="280">
        <v>86</v>
      </c>
      <c r="W1529" s="244"/>
      <c r="X1529" s="244"/>
      <c r="Y1529" s="362"/>
      <c r="Z1529" s="257">
        <f>altaz(J2000_Bas,$O1529,$M1529,DecLat,DecLong,1)</f>
        <v>-14.969182452921908</v>
      </c>
      <c r="AA1529" s="257">
        <f>altaz((J2000_Bas+(2*0.04167)),$O1529,$M1529,DecLat,DecLong,1)</f>
        <v>10.273135804879212</v>
      </c>
      <c r="AB1529" s="257">
        <f>altaz((J2000_Bas+(4*0.04167)),$O1529,$M1529,DecLat,DecLong,1)</f>
        <v>32.807451833306637</v>
      </c>
      <c r="AC1529" s="257">
        <f>altaz((J2000_Bas+(6*0.04167)),$O1529,$M1529,DecLat,DecLong,1)</f>
        <v>47.239675320651394</v>
      </c>
      <c r="AD1529" s="258">
        <f>1+ transit((J2000_Bas-1),$O1529,$M1529,DecLat,DecLong)/360 + (GMTOffset/24) + (IF(DST="Y", 1, 0)/24)</f>
        <v>1.0687217123067914</v>
      </c>
      <c r="AE1529" s="259">
        <f>DATE(2001,9,21)+(M1529/360)*365 - (360*((DecLong/360)- (GMTOffset/24) ))</f>
        <v>37187.674942129626</v>
      </c>
      <c r="AF1529" s="260">
        <f>IF(DecLat&gt;0,IF((90 - (DecLat-O1529))&gt;90, (90 - (O1529-DecLat)), (90 - (DecLat-O1529))),IF((90 + (DecLat-O1529))&gt;90, (90 + (O1529-DecLat)), (90 + (DecLat-O1529))))</f>
        <v>48.573055555555555</v>
      </c>
      <c r="AG1529" s="257">
        <f>angularseperation(MoonRA,MoonDec,$M1529,$O1529)</f>
        <v>124.67183964505588</v>
      </c>
      <c r="AH1529" s="261">
        <f ca="1">MIN(100,IF($O$5&gt;80,0+30*($AG1529/100),IF($O$5&gt;70,0+50*($AG1529/100),IF($O$5&gt;60,5+50*($AG1529/100),IF($O$5&gt;50,10+60*($AG1529/100),IF($O$5&gt;40,15+70*($AG1529/100),IF($O$5&gt;30,20+70*($AG1529/100),IF($O$5&gt;20,40+55*($AG1529/100),(80+(20-$O$5)+30*($AG1529/100))))))))))</f>
        <v>100</v>
      </c>
      <c r="AI1529" s="262">
        <v>681</v>
      </c>
      <c r="AJ1529" s="262"/>
      <c r="AK1529" s="262"/>
      <c r="AL1529" s="263"/>
      <c r="AM1529" s="264"/>
      <c r="AN1529" s="263"/>
      <c r="AO1529" s="263"/>
      <c r="AP1529" s="265"/>
      <c r="AQ1529" s="266"/>
      <c r="AR1529" s="267">
        <v>6671</v>
      </c>
      <c r="AS1529" s="263"/>
      <c r="AT1529" s="263"/>
      <c r="AU1529" s="263"/>
      <c r="AV1529" s="264"/>
      <c r="AW1529" s="263"/>
      <c r="AX1529" s="263"/>
      <c r="AY1529" s="263"/>
      <c r="AZ1529" s="263"/>
      <c r="BA1529" s="263"/>
      <c r="BB1529" s="263"/>
      <c r="BC1529" s="263"/>
      <c r="BD1529" s="264"/>
      <c r="BE1529" s="263"/>
      <c r="BF1529" s="263"/>
      <c r="BG1529" s="263"/>
      <c r="BH1529" s="263"/>
      <c r="BI1529" s="263"/>
      <c r="BJ1529" s="404">
        <f>altaz(J2000_Bas,$O1529,$M1529,DecLat,DecLong,2)</f>
        <v>93.319408155190573</v>
      </c>
      <c r="BK1529" s="378" t="s">
        <v>1553</v>
      </c>
      <c r="BL1529" s="379">
        <f>IF((2*G1529)/60&lt;0.2,0.2,(2*G1529)/60)</f>
        <v>0.2</v>
      </c>
      <c r="BM1529" s="380">
        <f>MOD((50000+AD1529-$B$3+(0/24)),1)</f>
        <v>0.28408864200901007</v>
      </c>
      <c r="BN1529" s="381" t="s">
        <v>9218</v>
      </c>
      <c r="BO1529" s="382">
        <v>1522</v>
      </c>
    </row>
    <row r="1530" spans="1:67" s="24" customFormat="1" ht="15" customHeight="1" x14ac:dyDescent="0.25">
      <c r="A1530" s="410" t="s">
        <v>7308</v>
      </c>
      <c r="B1530" s="241" t="str">
        <f>HYPERLINK(CONCATENATE($AT$3,BK1530,$AU$3),$AV$3)</f>
        <v>S</v>
      </c>
      <c r="C1530" s="242" t="str">
        <f>HYPERLINK(CONCATENATE($AT$4,BK1530,$AU$4,BL1530),$AV$4)</f>
        <v>A</v>
      </c>
      <c r="D1530" s="243" t="s">
        <v>5638</v>
      </c>
      <c r="E1530" s="244" t="s">
        <v>5192</v>
      </c>
      <c r="F1530" s="269" t="s">
        <v>8900</v>
      </c>
      <c r="G1530" s="273">
        <v>2.2000000000000002</v>
      </c>
      <c r="H1530" s="283">
        <v>190</v>
      </c>
      <c r="I1530" s="246">
        <v>120</v>
      </c>
      <c r="J1530" s="246">
        <v>2</v>
      </c>
      <c r="K1530" s="247" t="s">
        <v>7309</v>
      </c>
      <c r="L1530" s="248">
        <v>15044</v>
      </c>
      <c r="M1530" s="249">
        <f>15*(LEFT(TEXT($L1530,"000000"),2)+(MID(TEXT($L1530,"000000"),3,2)/60)+(RIGHT(TEXT($L1530,"000000"),2)/3600))</f>
        <v>27.683333333333334</v>
      </c>
      <c r="N1530" s="250">
        <v>351704</v>
      </c>
      <c r="O1530" s="251">
        <f>IF($N1530&gt;0,(LEFT(TEXT($N1530,"000000"),2)+(MID(TEXT($N1530,"000000"),3,2)/60)+(RIGHT(TEXT($N1530,"000000"),2)/3600)),-(MID(TEXT($N1530,"000000"),2,2)+(MID(TEXT($N1530,"000000"),4,2)/60)+(RIGHT(TEXT($N1530,"000000"),2)/3600)))</f>
        <v>35.284444444444439</v>
      </c>
      <c r="P1530" s="252" t="s">
        <v>36</v>
      </c>
      <c r="Q1530" s="253"/>
      <c r="R1530" s="247" t="s">
        <v>3293</v>
      </c>
      <c r="S1530" s="272" t="s">
        <v>3293</v>
      </c>
      <c r="T1530" s="273">
        <v>13</v>
      </c>
      <c r="U1530" s="289">
        <v>22.5</v>
      </c>
      <c r="V1530" s="280">
        <v>45</v>
      </c>
      <c r="W1530" s="244"/>
      <c r="X1530" s="244"/>
      <c r="Y1530" s="362"/>
      <c r="Z1530" s="257">
        <f>altaz(J2000_Bas,$O1530,$M1530,DecLat,DecLong,1)</f>
        <v>8.9657963221882095</v>
      </c>
      <c r="AA1530" s="257">
        <f>altaz((J2000_Bas+(2*0.04167)),$O1530,$M1530,DecLat,DecLong,1)</f>
        <v>31.225586131760686</v>
      </c>
      <c r="AB1530" s="257">
        <f>altaz((J2000_Bas+(4*0.04167)),$O1530,$M1530,DecLat,DecLong,1)</f>
        <v>55.230762887189265</v>
      </c>
      <c r="AC1530" s="257">
        <f>altaz((J2000_Bas+(6*0.04167)),$O1530,$M1530,DecLat,DecLong,1)</f>
        <v>79.525446562514929</v>
      </c>
      <c r="AD1530" s="258">
        <f>1+ transit((J2000_Bas-1),$O1530,$M1530,DecLat,DecLong)/360 + (GMTOffset/24) + (IF(DST="Y", 1, 0)/24)</f>
        <v>1.0697981010880413</v>
      </c>
      <c r="AE1530" s="259">
        <f>DATE(2001,9,21)+(M1530/360)*365 - (360*((DecLong/360)- (GMTOffset/24) ))</f>
        <v>37188.067824074074</v>
      </c>
      <c r="AF1530" s="260">
        <f>IF(DecLat&gt;0,IF((90 - (DecLat-O1530))&gt;90, (90 - (O1530-DecLat)), (90 - (DecLat-O1530))),IF((90 + (DecLat-O1530))&gt;90, (90 + (O1530-DecLat)), (90 + (DecLat-O1530))))</f>
        <v>85.715555555555568</v>
      </c>
      <c r="AG1530" s="257">
        <f>angularseperation(MoonRA,MoonDec,$M1530,$O1530)</f>
        <v>143.78726346433439</v>
      </c>
      <c r="AH1530" s="261">
        <f ca="1">MIN(100,IF($O$5&gt;80,0+30*($AG1530/100),IF($O$5&gt;70,0+50*($AG1530/100),IF($O$5&gt;60,5+50*($AG1530/100),IF($O$5&gt;50,10+60*($AG1530/100),IF($O$5&gt;40,15+70*($AG1530/100),IF($O$5&gt;30,20+70*($AG1530/100),IF($O$5&gt;20,40+55*($AG1530/100),(80+(20-$O$5)+30*($AG1530/100))))))))))</f>
        <v>100</v>
      </c>
      <c r="AI1530" s="262">
        <v>688</v>
      </c>
      <c r="AJ1530" s="262"/>
      <c r="AK1530" s="262"/>
      <c r="AL1530" s="263"/>
      <c r="AM1530" s="264"/>
      <c r="AN1530" s="263"/>
      <c r="AO1530" s="263"/>
      <c r="AP1530" s="265"/>
      <c r="AQ1530" s="266">
        <v>1302</v>
      </c>
      <c r="AR1530" s="267">
        <v>6799</v>
      </c>
      <c r="AS1530" s="263"/>
      <c r="AT1530" s="263"/>
      <c r="AU1530" s="263"/>
      <c r="AV1530" s="264"/>
      <c r="AW1530" s="263"/>
      <c r="AX1530" s="263"/>
      <c r="AY1530" s="263"/>
      <c r="AZ1530" s="263"/>
      <c r="BA1530" s="263"/>
      <c r="BB1530" s="263"/>
      <c r="BC1530" s="263"/>
      <c r="BD1530" s="264"/>
      <c r="BE1530" s="263"/>
      <c r="BF1530" s="263"/>
      <c r="BG1530" s="263"/>
      <c r="BH1530" s="263"/>
      <c r="BI1530" s="263"/>
      <c r="BJ1530" s="404">
        <f>altaz(J2000_Bas,$O1530,$M1530,DecLat,DecLong,2)</f>
        <v>54.025445971413781</v>
      </c>
      <c r="BK1530" s="378" t="s">
        <v>7308</v>
      </c>
      <c r="BL1530" s="379">
        <f>IF((2*G1530)/60&lt;0.2,0.2,(2*G1530)/60)</f>
        <v>0.2</v>
      </c>
      <c r="BM1530" s="380">
        <f>MOD((50000+AD1530-$B$3+(0/24)),1)</f>
        <v>0.28516503079299582</v>
      </c>
      <c r="BN1530" s="381"/>
      <c r="BO1530" s="382">
        <v>1523</v>
      </c>
    </row>
    <row r="1531" spans="1:67" s="24" customFormat="1" ht="15" customHeight="1" x14ac:dyDescent="0.25">
      <c r="A1531" s="288" t="s">
        <v>1554</v>
      </c>
      <c r="B1531" s="241" t="str">
        <f>HYPERLINK(CONCATENATE($AT$3,BK1531,$AU$3),$AV$3)</f>
        <v>S</v>
      </c>
      <c r="C1531" s="242" t="str">
        <f>HYPERLINK(CONCATENATE($AT$4,BK1531,$AU$4,BL1531),$AV$4)</f>
        <v>A</v>
      </c>
      <c r="D1531" s="243" t="s">
        <v>5638</v>
      </c>
      <c r="E1531" s="244" t="s">
        <v>5192</v>
      </c>
      <c r="F1531" s="269" t="s">
        <v>8930</v>
      </c>
      <c r="G1531" s="273">
        <v>3</v>
      </c>
      <c r="H1531" s="283">
        <v>79.604369999999989</v>
      </c>
      <c r="I1531" s="246">
        <v>70</v>
      </c>
      <c r="J1531" s="246">
        <v>3</v>
      </c>
      <c r="K1531" s="247" t="s">
        <v>6599</v>
      </c>
      <c r="L1531" s="248">
        <v>15313</v>
      </c>
      <c r="M1531" s="249">
        <f>15*(LEFT(TEXT($L1531,"000000"),2)+(MID(TEXT($L1531,"000000"),3,2)/60)+(RIGHT(TEXT($L1531,"000000"),2)/3600))</f>
        <v>28.304166666666664</v>
      </c>
      <c r="N1531" s="250">
        <v>41143</v>
      </c>
      <c r="O1531" s="251">
        <f>IF($N1531&gt;0,(LEFT(TEXT($N1531,"000000"),2)+(MID(TEXT($N1531,"000000"),3,2)/60)+(RIGHT(TEXT($N1531,"000000"),2)/3600)),-(MID(TEXT($N1531,"000000"),2,2)+(MID(TEXT($N1531,"000000"),4,2)/60)+(RIGHT(TEXT($N1531,"000000"),2)/3600)))</f>
        <v>4.1952777777777781</v>
      </c>
      <c r="P1531" s="252" t="s">
        <v>158</v>
      </c>
      <c r="Q1531" s="253"/>
      <c r="R1531" s="247" t="s">
        <v>3293</v>
      </c>
      <c r="S1531" s="272" t="s">
        <v>3293</v>
      </c>
      <c r="T1531" s="273">
        <v>11.7</v>
      </c>
      <c r="U1531" s="289">
        <v>22.19</v>
      </c>
      <c r="V1531" s="280">
        <v>30</v>
      </c>
      <c r="W1531" s="244"/>
      <c r="X1531" s="244"/>
      <c r="Y1531" s="362"/>
      <c r="Z1531" s="257">
        <f>altaz(J2000_Bas,$O1531,$M1531,DecLat,DecLong,1)</f>
        <v>-8.3058781793722716</v>
      </c>
      <c r="AA1531" s="257">
        <f>altaz((J2000_Bas+(2*0.04167)),$O1531,$M1531,DecLat,DecLong,1)</f>
        <v>17.383535936725384</v>
      </c>
      <c r="AB1531" s="257">
        <f>altaz((J2000_Bas+(4*0.04167)),$O1531,$M1531,DecLat,DecLong,1)</f>
        <v>42.194284480375586</v>
      </c>
      <c r="AC1531" s="257">
        <f>altaz((J2000_Bas+(6*0.04167)),$O1531,$M1531,DecLat,DecLong,1)</f>
        <v>60.893703755362758</v>
      </c>
      <c r="AD1531" s="258">
        <f>1+ transit((J2000_Bas-1),$O1531,$M1531,DecLat,DecLong)/360 + (GMTOffset/24) + (IF(DST="Y", 1, 0)/24)</f>
        <v>1.0715226379526246</v>
      </c>
      <c r="AE1531" s="259">
        <f>DATE(2001,9,21)+(M1531/360)*365 - (360*((DecLong/360)- (GMTOffset/24) ))</f>
        <v>37188.697280092594</v>
      </c>
      <c r="AF1531" s="260">
        <f>IF(DecLat&gt;0,IF((90 - (DecLat-O1531))&gt;90, (90 - (O1531-DecLat)), (90 - (DecLat-O1531))),IF((90 + (DecLat-O1531))&gt;90, (90 + (O1531-DecLat)), (90 + (DecLat-O1531))))</f>
        <v>63.195277777777775</v>
      </c>
      <c r="AG1531" s="257">
        <f>angularseperation(MoonRA,MoonDec,$M1531,$O1531)</f>
        <v>134.75586446273766</v>
      </c>
      <c r="AH1531" s="261">
        <f ca="1">MIN(100,IF($O$5&gt;80,0+30*($AG1531/100),IF($O$5&gt;70,0+50*($AG1531/100),IF($O$5&gt;60,5+50*($AG1531/100),IF($O$5&gt;50,10+60*($AG1531/100),IF($O$5&gt;40,15+70*($AG1531/100),IF($O$5&gt;30,20+70*($AG1531/100),IF($O$5&gt;20,40+55*($AG1531/100),(80+(20-$O$5)+30*($AG1531/100))))))))))</f>
        <v>100</v>
      </c>
      <c r="AI1531" s="262">
        <v>718</v>
      </c>
      <c r="AJ1531" s="262"/>
      <c r="AK1531" s="262"/>
      <c r="AL1531" s="263"/>
      <c r="AM1531" s="264"/>
      <c r="AN1531" s="263"/>
      <c r="AO1531" s="263"/>
      <c r="AP1531" s="265"/>
      <c r="AQ1531" s="266">
        <v>1356</v>
      </c>
      <c r="AR1531" s="267">
        <v>6993</v>
      </c>
      <c r="AS1531" s="263"/>
      <c r="AT1531" s="263"/>
      <c r="AU1531" s="263"/>
      <c r="AV1531" s="264"/>
      <c r="AW1531" s="263"/>
      <c r="AX1531" s="263"/>
      <c r="AY1531" s="263"/>
      <c r="AZ1531" s="263"/>
      <c r="BA1531" s="263"/>
      <c r="BB1531" s="263"/>
      <c r="BC1531" s="263"/>
      <c r="BD1531" s="264"/>
      <c r="BE1531" s="263"/>
      <c r="BF1531" s="263"/>
      <c r="BG1531" s="263"/>
      <c r="BH1531" s="263"/>
      <c r="BI1531" s="263"/>
      <c r="BJ1531" s="404">
        <f>altaz(J2000_Bas,$O1531,$M1531,DecLat,DecLong,2)</f>
        <v>79.981278112498757</v>
      </c>
      <c r="BK1531" s="378" t="s">
        <v>1554</v>
      </c>
      <c r="BL1531" s="379">
        <f>IF((2*G1531)/60&lt;0.2,0.2,(2*G1531)/60)</f>
        <v>0.2</v>
      </c>
      <c r="BM1531" s="380">
        <f>MOD((50000+AD1531-$B$3+(0/24)),1)</f>
        <v>0.28688956765836338</v>
      </c>
      <c r="BN1531" s="381"/>
      <c r="BO1531" s="382">
        <v>1524</v>
      </c>
    </row>
    <row r="1532" spans="1:67" s="24" customFormat="1" ht="15" customHeight="1" x14ac:dyDescent="0.25">
      <c r="A1532" s="288" t="s">
        <v>1555</v>
      </c>
      <c r="B1532" s="241" t="str">
        <f>HYPERLINK(CONCATENATE($AT$3,BK1532,$AU$3),$AV$3)</f>
        <v>S</v>
      </c>
      <c r="C1532" s="242" t="str">
        <f>HYPERLINK(CONCATENATE($AT$4,BK1532,$AU$4,BL1532),$AV$4)</f>
        <v>A</v>
      </c>
      <c r="D1532" s="243" t="s">
        <v>5638</v>
      </c>
      <c r="E1532" s="244" t="s">
        <v>5193</v>
      </c>
      <c r="F1532" s="269" t="s">
        <v>3309</v>
      </c>
      <c r="G1532" s="273">
        <v>4.5</v>
      </c>
      <c r="H1532" s="283">
        <v>90</v>
      </c>
      <c r="I1532" s="246">
        <v>120</v>
      </c>
      <c r="J1532" s="246">
        <v>1</v>
      </c>
      <c r="K1532" s="247" t="s">
        <v>7310</v>
      </c>
      <c r="L1532" s="248">
        <v>15300</v>
      </c>
      <c r="M1532" s="249">
        <f>15*(LEFT(TEXT($L1532,"000000"),2)+(MID(TEXT($L1532,"000000"),3,2)/60)+(RIGHT(TEXT($L1532,"000000"),2)/3600))</f>
        <v>28.25</v>
      </c>
      <c r="N1532" s="250">
        <v>-134419</v>
      </c>
      <c r="O1532" s="251">
        <f>IF($N1532&gt;0,(LEFT(TEXT($N1532,"000000"),2)+(MID(TEXT($N1532,"000000"),3,2)/60)+(RIGHT(TEXT($N1532,"000000"),2)/3600)),-(MID(TEXT($N1532,"000000"),2,2)+(MID(TEXT($N1532,"000000"),4,2)/60)+(RIGHT(TEXT($N1532,"000000"),2)/3600)))</f>
        <v>-13.73861111111111</v>
      </c>
      <c r="P1532" s="252" t="s">
        <v>75</v>
      </c>
      <c r="Q1532" s="253"/>
      <c r="R1532" s="277" t="s">
        <v>3293</v>
      </c>
      <c r="S1532" s="272" t="s">
        <v>3293</v>
      </c>
      <c r="T1532" s="273">
        <v>10.199999999999999</v>
      </c>
      <c r="U1532" s="289">
        <v>21.69</v>
      </c>
      <c r="V1532" s="280"/>
      <c r="W1532" s="244"/>
      <c r="X1532" s="244"/>
      <c r="Y1532" s="362"/>
      <c r="Z1532" s="257">
        <f>altaz(J2000_Bas,$O1532,$M1532,DecLat,DecLong,1)</f>
        <v>-17.394477544674391</v>
      </c>
      <c r="AA1532" s="257">
        <f>altaz((J2000_Bas+(2*0.04167)),$O1532,$M1532,DecLat,DecLong,1)</f>
        <v>7.6274654413278418</v>
      </c>
      <c r="AB1532" s="257">
        <f>altaz((J2000_Bas+(4*0.04167)),$O1532,$M1532,DecLat,DecLong,1)</f>
        <v>29.715574960369761</v>
      </c>
      <c r="AC1532" s="257">
        <f>altaz((J2000_Bas+(6*0.04167)),$O1532,$M1532,DecLat,DecLong,1)</f>
        <v>43.800458983418402</v>
      </c>
      <c r="AD1532" s="258">
        <f>1+ transit((J2000_Bas-1),$O1532,$M1532,DecLat,DecLong)/360 + (GMTOffset/24) + (IF(DST="Y", 1, 0)/24)</f>
        <v>1.071372175004708</v>
      </c>
      <c r="AE1532" s="259">
        <f>DATE(2001,9,21)+(M1532/360)*365 - (360*((DecLong/360)- (GMTOffset/24) ))</f>
        <v>37188.642361111109</v>
      </c>
      <c r="AF1532" s="260">
        <f>IF(DecLat&gt;0,IF((90 - (DecLat-O1532))&gt;90, (90 - (O1532-DecLat)), (90 - (DecLat-O1532))),IF((90 + (DecLat-O1532))&gt;90, (90 + (O1532-DecLat)), (90 + (DecLat-O1532))))</f>
        <v>45.261388888888888</v>
      </c>
      <c r="AG1532" s="257">
        <f>angularseperation(MoonRA,MoonDec,$M1532,$O1532)</f>
        <v>123.00230743282059</v>
      </c>
      <c r="AH1532" s="261">
        <f ca="1">MIN(100,IF($O$5&gt;80,0+30*($AG1532/100),IF($O$5&gt;70,0+50*($AG1532/100),IF($O$5&gt;60,5+50*($AG1532/100),IF($O$5&gt;50,10+60*($AG1532/100),IF($O$5&gt;40,15+70*($AG1532/100),IF($O$5&gt;30,20+70*($AG1532/100),IF($O$5&gt;20,40+55*($AG1532/100),(80+(20-$O$5)+30*($AG1532/100))))))))))</f>
        <v>100</v>
      </c>
      <c r="AI1532" s="262">
        <v>720</v>
      </c>
      <c r="AJ1532" s="263"/>
      <c r="AK1532" s="263">
        <v>30</v>
      </c>
      <c r="AL1532" s="263"/>
      <c r="AM1532" s="264"/>
      <c r="AN1532" s="263"/>
      <c r="AO1532" s="263"/>
      <c r="AP1532" s="265"/>
      <c r="AQ1532" s="265"/>
      <c r="AR1532" s="285">
        <v>6983</v>
      </c>
      <c r="AS1532" s="263"/>
      <c r="AT1532" s="263"/>
      <c r="AU1532" s="263"/>
      <c r="AV1532" s="264"/>
      <c r="AW1532" s="263"/>
      <c r="AX1532" s="263"/>
      <c r="AY1532" s="263"/>
      <c r="AZ1532" s="263"/>
      <c r="BA1532" s="263"/>
      <c r="BB1532" s="263"/>
      <c r="BC1532" s="263"/>
      <c r="BD1532" s="264"/>
      <c r="BE1532" s="263"/>
      <c r="BF1532" s="263"/>
      <c r="BG1532" s="263"/>
      <c r="BH1532" s="263"/>
      <c r="BI1532" s="263"/>
      <c r="BJ1532" s="404">
        <f>altaz(J2000_Bas,$O1532,$M1532,DecLat,DecLong,2)</f>
        <v>95.860689722148109</v>
      </c>
      <c r="BK1532" s="378" t="s">
        <v>1555</v>
      </c>
      <c r="BL1532" s="379">
        <f>IF((2*G1532)/60&lt;0.2,0.2,(2*G1532)/60)</f>
        <v>0.2</v>
      </c>
      <c r="BM1532" s="380">
        <f>MOD((50000+AD1532-$B$3+(0/24)),1)</f>
        <v>0.2867391047111596</v>
      </c>
      <c r="BN1532" s="381"/>
      <c r="BO1532" s="382">
        <v>1525</v>
      </c>
    </row>
    <row r="1533" spans="1:67" s="24" customFormat="1" ht="15" customHeight="1" x14ac:dyDescent="0.25">
      <c r="A1533" s="288" t="s">
        <v>1556</v>
      </c>
      <c r="B1533" s="241" t="str">
        <f>HYPERLINK(CONCATENATE($AT$3,BK1533,$AU$3),$AV$3)</f>
        <v>S</v>
      </c>
      <c r="C1533" s="242" t="str">
        <f>HYPERLINK(CONCATENATE($AT$4,BK1533,$AU$4,BL1533),$AV$4)</f>
        <v>A</v>
      </c>
      <c r="D1533" s="243" t="s">
        <v>5335</v>
      </c>
      <c r="E1533" s="244" t="s">
        <v>5185</v>
      </c>
      <c r="F1533" s="269" t="s">
        <v>6600</v>
      </c>
      <c r="G1533" s="276">
        <v>60</v>
      </c>
      <c r="H1533" s="283">
        <v>1300</v>
      </c>
      <c r="I1533" s="246">
        <v>24</v>
      </c>
      <c r="J1533" s="246">
        <v>1</v>
      </c>
      <c r="K1533" s="247" t="s">
        <v>6601</v>
      </c>
      <c r="L1533" s="248">
        <v>15741</v>
      </c>
      <c r="M1533" s="249">
        <f>15*(LEFT(TEXT($L1533,"000000"),2)+(MID(TEXT($L1533,"000000"),3,2)/60)+(RIGHT(TEXT($L1533,"000000"),2)/3600))</f>
        <v>29.420833333333334</v>
      </c>
      <c r="N1533" s="250">
        <v>374706</v>
      </c>
      <c r="O1533" s="251">
        <f>IF($N1533&gt;0,(LEFT(TEXT($N1533,"000000"),2)+(MID(TEXT($N1533,"000000"),3,2)/60)+(RIGHT(TEXT($N1533,"000000"),2)/3600)),-(MID(TEXT($N1533,"000000"),2,2)+(MID(TEXT($N1533,"000000"),4,2)/60)+(RIGHT(TEXT($N1533,"000000"),2)/3600)))</f>
        <v>37.784999999999997</v>
      </c>
      <c r="P1533" s="252" t="s">
        <v>36</v>
      </c>
      <c r="Q1533" s="253"/>
      <c r="R1533" s="247" t="s">
        <v>7352</v>
      </c>
      <c r="S1533" s="272" t="s">
        <v>3293</v>
      </c>
      <c r="T1533" s="273">
        <v>5.7</v>
      </c>
      <c r="U1533" s="274"/>
      <c r="V1533" s="280"/>
      <c r="W1533" s="244"/>
      <c r="X1533" s="244"/>
      <c r="Y1533" s="362"/>
      <c r="Z1533" s="257">
        <f>altaz(J2000_Bas,$O1533,$M1533,DecLat,DecLong,1)</f>
        <v>9.1117725895357324</v>
      </c>
      <c r="AA1533" s="257">
        <f>altaz((J2000_Bas+(2*0.04167)),$O1533,$M1533,DecLat,DecLong,1)</f>
        <v>30.653841145067648</v>
      </c>
      <c r="AB1533" s="257">
        <f>altaz((J2000_Bas+(4*0.04167)),$O1533,$M1533,DecLat,DecLong,1)</f>
        <v>53.997686875155637</v>
      </c>
      <c r="AC1533" s="257">
        <f>altaz((J2000_Bas+(6*0.04167)),$O1533,$M1533,DecLat,DecLong,1)</f>
        <v>77.211416277846396</v>
      </c>
      <c r="AD1533" s="258">
        <f>1+ transit((J2000_Bas-1),$O1533,$M1533,DecLat,DecLong)/360 + (GMTOffset/24) + (IF(DST="Y", 1, 0)/24)</f>
        <v>1.0746244894942913</v>
      </c>
      <c r="AE1533" s="259">
        <f>DATE(2001,9,21)+(M1533/360)*365 - (360*((DecLong/360)- (GMTOffset/24) ))</f>
        <v>37189.829456018517</v>
      </c>
      <c r="AF1533" s="260">
        <f>IF(DecLat&gt;0,IF((90 - (DecLat-O1533))&gt;90, (90 - (O1533-DecLat)), (90 - (DecLat-O1533))),IF((90 + (DecLat-O1533))&gt;90, (90 + (O1533-DecLat)), (90 + (DecLat-O1533))))</f>
        <v>83.215000000000003</v>
      </c>
      <c r="AG1533" s="257">
        <f>angularseperation(MoonRA,MoonDec,$M1533,$O1533)</f>
        <v>145.02448490329061</v>
      </c>
      <c r="AH1533" s="261">
        <f ca="1">MIN(100,IF($O$5&gt;80,0+30*($AG1533/100),IF($O$5&gt;70,0+50*($AG1533/100),IF($O$5&gt;60,5+50*($AG1533/100),IF($O$5&gt;50,10+60*($AG1533/100),IF($O$5&gt;40,15+70*($AG1533/100),IF($O$5&gt;30,20+70*($AG1533/100),IF($O$5&gt;20,40+55*($AG1533/100),(80+(20-$O$5)+30*($AG1533/100))))))))))</f>
        <v>100</v>
      </c>
      <c r="AI1533" s="262">
        <v>752</v>
      </c>
      <c r="AJ1533" s="262"/>
      <c r="AK1533" s="262">
        <v>31</v>
      </c>
      <c r="AL1533" s="263"/>
      <c r="AM1533" s="264">
        <v>28</v>
      </c>
      <c r="AN1533" s="263"/>
      <c r="AO1533" s="263"/>
      <c r="AP1533" s="265"/>
      <c r="AQ1533" s="266"/>
      <c r="AR1533" s="267"/>
      <c r="AS1533" s="263"/>
      <c r="AT1533" s="263"/>
      <c r="AU1533" s="263"/>
      <c r="AV1533" s="264"/>
      <c r="AW1533" s="263"/>
      <c r="AX1533" s="263"/>
      <c r="AY1533" s="263"/>
      <c r="AZ1533" s="263"/>
      <c r="BA1533" s="263"/>
      <c r="BB1533" s="263"/>
      <c r="BC1533" s="263"/>
      <c r="BD1533" s="264"/>
      <c r="BE1533" s="263"/>
      <c r="BF1533" s="263"/>
      <c r="BG1533" s="263"/>
      <c r="BH1533" s="263"/>
      <c r="BI1533" s="263"/>
      <c r="BJ1533" s="404">
        <f>altaz(J2000_Bas,$O1533,$M1533,DecLat,DecLong,2)</f>
        <v>51.129472253280085</v>
      </c>
      <c r="BK1533" s="378" t="s">
        <v>1556</v>
      </c>
      <c r="BL1533" s="379">
        <f>IF((2*G1533)/60&lt;0.2,0.2,(2*G1533)/60)</f>
        <v>2</v>
      </c>
      <c r="BM1533" s="380">
        <f>MOD((50000+AD1533-$B$3+(0/24)),1)</f>
        <v>0.28999141919484828</v>
      </c>
      <c r="BN1533" s="381"/>
      <c r="BO1533" s="382">
        <v>1526</v>
      </c>
    </row>
    <row r="1534" spans="1:67" s="24" customFormat="1" ht="15" customHeight="1" x14ac:dyDescent="0.25">
      <c r="A1534" s="288" t="s">
        <v>1557</v>
      </c>
      <c r="B1534" s="241" t="str">
        <f>HYPERLINK(CONCATENATE($AT$3,BK1534,$AU$3),$AV$3)</f>
        <v>S</v>
      </c>
      <c r="C1534" s="242" t="str">
        <f>HYPERLINK(CONCATENATE($AT$4,BK1534,$AU$4,BL1534),$AV$4)</f>
        <v>A</v>
      </c>
      <c r="D1534" s="243" t="s">
        <v>5638</v>
      </c>
      <c r="E1534" s="244" t="s">
        <v>5192</v>
      </c>
      <c r="F1534" s="269" t="s">
        <v>8923</v>
      </c>
      <c r="G1534" s="273">
        <v>3</v>
      </c>
      <c r="H1534" s="283">
        <v>140</v>
      </c>
      <c r="I1534" s="246">
        <v>125</v>
      </c>
      <c r="J1534" s="246">
        <v>2</v>
      </c>
      <c r="K1534" s="247" t="s">
        <v>5028</v>
      </c>
      <c r="L1534" s="248">
        <v>15742</v>
      </c>
      <c r="M1534" s="249">
        <f>15*(LEFT(TEXT($L1534,"000000"),2)+(MID(TEXT($L1534,"000000"),3,2)/60)+(RIGHT(TEXT($L1534,"000000"),2)/3600))</f>
        <v>29.425000000000001</v>
      </c>
      <c r="N1534" s="250">
        <v>355456</v>
      </c>
      <c r="O1534" s="251">
        <f>IF($N1534&gt;0,(LEFT(TEXT($N1534,"000000"),2)+(MID(TEXT($N1534,"000000"),3,2)/60)+(RIGHT(TEXT($N1534,"000000"),2)/3600)),-(MID(TEXT($N1534,"000000"),2,2)+(MID(TEXT($N1534,"000000"),4,2)/60)+(RIGHT(TEXT($N1534,"000000"),2)/3600)))</f>
        <v>35.915555555555557</v>
      </c>
      <c r="P1534" s="252" t="s">
        <v>36</v>
      </c>
      <c r="Q1534" s="253"/>
      <c r="R1534" s="277" t="s">
        <v>3293</v>
      </c>
      <c r="S1534" s="272" t="s">
        <v>3293</v>
      </c>
      <c r="T1534" s="273">
        <v>12.3</v>
      </c>
      <c r="U1534" s="289">
        <v>22.79</v>
      </c>
      <c r="V1534" s="280">
        <v>25</v>
      </c>
      <c r="W1534" s="244"/>
      <c r="X1534" s="244"/>
      <c r="Y1534" s="362"/>
      <c r="Z1534" s="257">
        <f>altaz(J2000_Bas,$O1534,$M1534,DecLat,DecLong,1)</f>
        <v>8.1041636024534363</v>
      </c>
      <c r="AA1534" s="257">
        <f>altaz((J2000_Bas+(2*0.04167)),$O1534,$M1534,DecLat,DecLong,1)</f>
        <v>30.077127011012578</v>
      </c>
      <c r="AB1534" s="257">
        <f>altaz((J2000_Bas+(4*0.04167)),$O1534,$M1534,DecLat,DecLong,1)</f>
        <v>53.874603220313006</v>
      </c>
      <c r="AC1534" s="257">
        <f>altaz((J2000_Bas+(6*0.04167)),$O1534,$M1534,DecLat,DecLong,1)</f>
        <v>77.977754066417006</v>
      </c>
      <c r="AD1534" s="258">
        <f>1+ transit((J2000_Bas-1),$O1534,$M1534,DecLat,DecLong)/360 + (GMTOffset/24) + (IF(DST="Y", 1, 0)/24)</f>
        <v>1.0746360635672081</v>
      </c>
      <c r="AE1534" s="259">
        <f>DATE(2001,9,21)+(M1534/360)*365 - (360*((DecLong/360)- (GMTOffset/24) ))</f>
        <v>37189.833680555559</v>
      </c>
      <c r="AF1534" s="260">
        <f>IF(DecLat&gt;0,IF((90 - (DecLat-O1534))&gt;90, (90 - (O1534-DecLat)), (90 - (DecLat-O1534))),IF((90 + (DecLat-O1534))&gt;90, (90 + (O1534-DecLat)), (90 + (DecLat-O1534))))</f>
        <v>85.084444444444443</v>
      </c>
      <c r="AG1534" s="257">
        <f>angularseperation(MoonRA,MoonDec,$M1534,$O1534)</f>
        <v>145.17741067763063</v>
      </c>
      <c r="AH1534" s="261">
        <f ca="1">MIN(100,IF($O$5&gt;80,0+30*($AG1534/100),IF($O$5&gt;70,0+50*($AG1534/100),IF($O$5&gt;60,5+50*($AG1534/100),IF($O$5&gt;50,10+60*($AG1534/100),IF($O$5&gt;40,15+70*($AG1534/100),IF($O$5&gt;30,20+70*($AG1534/100),IF($O$5&gt;20,40+55*($AG1534/100),(80+(20-$O$5)+30*($AG1534/100))))))))))</f>
        <v>100</v>
      </c>
      <c r="AI1534" s="262">
        <v>753</v>
      </c>
      <c r="AJ1534" s="263"/>
      <c r="AK1534" s="263"/>
      <c r="AL1534" s="263"/>
      <c r="AM1534" s="264"/>
      <c r="AN1534" s="263"/>
      <c r="AO1534" s="263"/>
      <c r="AP1534" s="265"/>
      <c r="AQ1534" s="265">
        <v>1437</v>
      </c>
      <c r="AR1534" s="285">
        <v>7387</v>
      </c>
      <c r="AS1534" s="263"/>
      <c r="AT1534" s="263"/>
      <c r="AU1534" s="263"/>
      <c r="AV1534" s="264"/>
      <c r="AW1534" s="263"/>
      <c r="AX1534" s="263"/>
      <c r="AY1534" s="263"/>
      <c r="AZ1534" s="263"/>
      <c r="BA1534" s="263"/>
      <c r="BB1534" s="263"/>
      <c r="BC1534" s="263"/>
      <c r="BD1534" s="264"/>
      <c r="BE1534" s="263"/>
      <c r="BF1534" s="263"/>
      <c r="BG1534" s="263"/>
      <c r="BH1534" s="263"/>
      <c r="BI1534" s="263"/>
      <c r="BJ1534" s="404">
        <f>altaz(J2000_Bas,$O1534,$M1534,DecLat,DecLong,2)</f>
        <v>52.72209623041298</v>
      </c>
      <c r="BK1534" s="378" t="s">
        <v>1557</v>
      </c>
      <c r="BL1534" s="379">
        <f>IF((2*G1534)/60&lt;0.2,0.2,(2*G1534)/60)</f>
        <v>0.2</v>
      </c>
      <c r="BM1534" s="380">
        <f>MOD((50000+AD1534-$B$3+(0/24)),1)</f>
        <v>0.29000299327162793</v>
      </c>
      <c r="BN1534" s="381"/>
      <c r="BO1534" s="382">
        <v>1527</v>
      </c>
    </row>
    <row r="1535" spans="1:67" s="24" customFormat="1" ht="15" customHeight="1" x14ac:dyDescent="0.25">
      <c r="A1535" s="288" t="s">
        <v>1558</v>
      </c>
      <c r="B1535" s="241" t="str">
        <f>HYPERLINK(CONCATENATE($AT$3,BK1535,$AU$3),$AV$3)</f>
        <v>S</v>
      </c>
      <c r="C1535" s="242" t="str">
        <f>HYPERLINK(CONCATENATE($AT$4,BK1535,$AU$4,BL1535),$AV$4)</f>
        <v>A</v>
      </c>
      <c r="D1535" s="243" t="s">
        <v>5638</v>
      </c>
      <c r="E1535" s="244" t="s">
        <v>5192</v>
      </c>
      <c r="F1535" s="269" t="s">
        <v>8792</v>
      </c>
      <c r="G1535" s="273">
        <v>7</v>
      </c>
      <c r="H1535" s="283">
        <v>120</v>
      </c>
      <c r="I1535" s="246">
        <v>250</v>
      </c>
      <c r="J1535" s="246">
        <v>4</v>
      </c>
      <c r="K1535" s="277" t="s">
        <v>3869</v>
      </c>
      <c r="L1535" s="248">
        <v>15920</v>
      </c>
      <c r="M1535" s="249">
        <f>15*(LEFT(TEXT($L1535,"000000"),2)+(MID(TEXT($L1535,"000000"),3,2)/60)+(RIGHT(TEXT($L1535,"000000"),2)/3600))</f>
        <v>29.833333333333336</v>
      </c>
      <c r="N1535" s="250">
        <v>190029</v>
      </c>
      <c r="O1535" s="251">
        <f>IF($N1535&gt;0,(LEFT(TEXT($N1535,"000000"),2)+(MID(TEXT($N1535,"000000"),3,2)/60)+(RIGHT(TEXT($N1535,"000000"),2)/3600)),-(MID(TEXT($N1535,"000000"),2,2)+(MID(TEXT($N1535,"000000"),4,2)/60)+(RIGHT(TEXT($N1535,"000000"),2)/3600)))</f>
        <v>19.008055555555554</v>
      </c>
      <c r="P1535" s="252" t="s">
        <v>249</v>
      </c>
      <c r="Q1535" s="253" t="s">
        <v>6869</v>
      </c>
      <c r="R1535" s="277" t="s">
        <v>3384</v>
      </c>
      <c r="S1535" s="272" t="s">
        <v>3293</v>
      </c>
      <c r="T1535" s="273">
        <v>10.3</v>
      </c>
      <c r="U1535" s="289">
        <v>22.79</v>
      </c>
      <c r="V1535" s="280">
        <v>30</v>
      </c>
      <c r="W1535" s="244"/>
      <c r="X1535" s="244"/>
      <c r="Y1535" s="362"/>
      <c r="Z1535" s="257">
        <f>altaz(J2000_Bas,$O1535,$M1535,DecLat,DecLong,1)</f>
        <v>-1.4891465215040238</v>
      </c>
      <c r="AA1535" s="257">
        <f>altaz((J2000_Bas+(2*0.04167)),$O1535,$M1535,DecLat,DecLong,1)</f>
        <v>23.239903356885339</v>
      </c>
      <c r="AB1535" s="257">
        <f>altaz((J2000_Bas+(4*0.04167)),$O1535,$M1535,DecLat,DecLong,1)</f>
        <v>48.941250805711014</v>
      </c>
      <c r="AC1535" s="257">
        <f>altaz((J2000_Bas+(6*0.04167)),$O1535,$M1535,DecLat,DecLong,1)</f>
        <v>72.848709095945949</v>
      </c>
      <c r="AD1535" s="258">
        <f>1+ transit((J2000_Bas-1),$O1535,$M1535,DecLat,DecLong)/360 + (GMTOffset/24) + (IF(DST="Y", 1, 0)/24)</f>
        <v>1.0757703227130413</v>
      </c>
      <c r="AE1535" s="259">
        <f>DATE(2001,9,21)+(M1535/360)*365 - (360*((DecLong/360)- (GMTOffset/24) ))</f>
        <v>37190.247685185182</v>
      </c>
      <c r="AF1535" s="260">
        <f>IF(DecLat&gt;0,IF((90 - (DecLat-O1535))&gt;90, (90 - (O1535-DecLat)), (90 - (DecLat-O1535))),IF((90 + (DecLat-O1535))&gt;90, (90 + (O1535-DecLat)), (90 + (DecLat-O1535))))</f>
        <v>78.008055555555558</v>
      </c>
      <c r="AG1535" s="257">
        <f>angularseperation(MoonRA,MoonDec,$M1535,$O1535)</f>
        <v>143.00533433864874</v>
      </c>
      <c r="AH1535" s="261">
        <f ca="1">MIN(100,IF($O$5&gt;80,0+30*($AG1535/100),IF($O$5&gt;70,0+50*($AG1535/100),IF($O$5&gt;60,5+50*($AG1535/100),IF($O$5&gt;50,10+60*($AG1535/100),IF($O$5&gt;40,15+70*($AG1535/100),IF($O$5&gt;30,20+70*($AG1535/100),IF($O$5&gt;20,40+55*($AG1535/100),(80+(20-$O$5)+30*($AG1535/100))))))))))</f>
        <v>100</v>
      </c>
      <c r="AI1535" s="262">
        <v>772</v>
      </c>
      <c r="AJ1535" s="262"/>
      <c r="AK1535" s="262">
        <v>32</v>
      </c>
      <c r="AL1535" s="263"/>
      <c r="AM1535" s="264"/>
      <c r="AN1535" s="263">
        <v>78</v>
      </c>
      <c r="AO1535" s="263"/>
      <c r="AP1535" s="265"/>
      <c r="AQ1535" s="266">
        <v>1466</v>
      </c>
      <c r="AR1535" s="267">
        <v>7525</v>
      </c>
      <c r="AS1535" s="263"/>
      <c r="AT1535" s="263"/>
      <c r="AU1535" s="263"/>
      <c r="AV1535" s="264"/>
      <c r="AW1535" s="263"/>
      <c r="AX1535" s="263"/>
      <c r="AY1535" s="263"/>
      <c r="AZ1535" s="263"/>
      <c r="BA1535" s="263"/>
      <c r="BB1535" s="263"/>
      <c r="BC1535" s="263"/>
      <c r="BD1535" s="264"/>
      <c r="BE1535" s="263">
        <v>8</v>
      </c>
      <c r="BF1535" s="263"/>
      <c r="BG1535" s="263"/>
      <c r="BH1535" s="263"/>
      <c r="BI1535" s="263"/>
      <c r="BJ1535" s="404">
        <f>altaz(J2000_Bas,$O1535,$M1535,DecLat,DecLong,2)</f>
        <v>66.688968407843049</v>
      </c>
      <c r="BK1535" s="378" t="s">
        <v>1558</v>
      </c>
      <c r="BL1535" s="379">
        <f>IF((2*G1535)/60&lt;0.2,0.2,(2*G1535)/60)</f>
        <v>0.23333333333333334</v>
      </c>
      <c r="BM1535" s="380">
        <f>MOD((50000+AD1535-$B$3+(0/24)),1)</f>
        <v>0.29113725241768407</v>
      </c>
      <c r="BN1535" s="381"/>
      <c r="BO1535" s="382">
        <v>1528</v>
      </c>
    </row>
    <row r="1536" spans="1:67" s="24" customFormat="1" ht="15" customHeight="1" x14ac:dyDescent="0.25">
      <c r="A1536" s="288" t="s">
        <v>1559</v>
      </c>
      <c r="B1536" s="241" t="str">
        <f>HYPERLINK(CONCATENATE($AT$3,BK1536,$AU$3),$AV$3)</f>
        <v>S</v>
      </c>
      <c r="C1536" s="242" t="str">
        <f>HYPERLINK(CONCATENATE($AT$4,BK1536,$AU$4,BL1536),$AV$4)</f>
        <v>A</v>
      </c>
      <c r="D1536" s="243" t="s">
        <v>5638</v>
      </c>
      <c r="E1536" s="244" t="s">
        <v>5192</v>
      </c>
      <c r="F1536" s="269" t="s">
        <v>8908</v>
      </c>
      <c r="G1536" s="273">
        <v>5</v>
      </c>
      <c r="H1536" s="283">
        <v>65</v>
      </c>
      <c r="I1536" s="246">
        <v>90</v>
      </c>
      <c r="J1536" s="246">
        <v>2</v>
      </c>
      <c r="K1536" s="247" t="s">
        <v>6602</v>
      </c>
      <c r="L1536" s="248">
        <v>15942</v>
      </c>
      <c r="M1536" s="249">
        <f>15*(LEFT(TEXT($L1536,"000000"),2)+(MID(TEXT($L1536,"000000"),3,2)/60)+(RIGHT(TEXT($L1536,"000000"),2)/3600))</f>
        <v>29.925000000000001</v>
      </c>
      <c r="N1536" s="250">
        <v>-55751</v>
      </c>
      <c r="O1536" s="251">
        <f>IF($N1536&gt;0,(LEFT(TEXT($N1536,"000000"),2)+(MID(TEXT($N1536,"000000"),3,2)/60)+(RIGHT(TEXT($N1536,"000000"),2)/3600)),-(MID(TEXT($N1536,"000000"),2,2)+(MID(TEXT($N1536,"000000"),4,2)/60)+(RIGHT(TEXT($N1536,"000000"),2)/3600)))</f>
        <v>-5.9641666666666673</v>
      </c>
      <c r="P1536" s="252" t="s">
        <v>75</v>
      </c>
      <c r="Q1536" s="253"/>
      <c r="R1536" s="247" t="s">
        <v>3293</v>
      </c>
      <c r="S1536" s="272" t="s">
        <v>3293</v>
      </c>
      <c r="T1536" s="273">
        <v>11.2</v>
      </c>
      <c r="U1536" s="289">
        <v>21.59</v>
      </c>
      <c r="V1536" s="280">
        <v>75</v>
      </c>
      <c r="W1536" s="244"/>
      <c r="X1536" s="244"/>
      <c r="Y1536" s="362"/>
      <c r="Z1536" s="257">
        <f>altaz(J2000_Bas,$O1536,$M1536,DecLat,DecLong,1)</f>
        <v>-14.989375883351167</v>
      </c>
      <c r="AA1536" s="257">
        <f>altaz((J2000_Bas+(2*0.04167)),$O1536,$M1536,DecLat,DecLong,1)</f>
        <v>10.590666875972621</v>
      </c>
      <c r="AB1536" s="257">
        <f>altaz((J2000_Bas+(4*0.04167)),$O1536,$M1536,DecLat,DecLong,1)</f>
        <v>34.214007812258927</v>
      </c>
      <c r="AC1536" s="257">
        <f>altaz((J2000_Bas+(6*0.04167)),$O1536,$M1536,DecLat,DecLong,1)</f>
        <v>50.792940432862757</v>
      </c>
      <c r="AD1536" s="258">
        <f>1+ transit((J2000_Bas-1),$O1536,$M1536,DecLat,DecLong)/360 + (GMTOffset/24) + (IF(DST="Y", 1, 0)/24)</f>
        <v>1.0760249523172081</v>
      </c>
      <c r="AE1536" s="259">
        <f>DATE(2001,9,21)+(M1536/360)*365 - (360*((DecLong/360)- (GMTOffset/24) ))</f>
        <v>37190.340624999997</v>
      </c>
      <c r="AF1536" s="260">
        <f>IF(DecLat&gt;0,IF((90 - (DecLat-O1536))&gt;90, (90 - (O1536-DecLat)), (90 - (DecLat-O1536))),IF((90 + (DecLat-O1536))&gt;90, (90 + (O1536-DecLat)), (90 + (DecLat-O1536))))</f>
        <v>53.035833333333329</v>
      </c>
      <c r="AG1536" s="257">
        <f>angularseperation(MoonRA,MoonDec,$M1536,$O1536)</f>
        <v>129.62625094264365</v>
      </c>
      <c r="AH1536" s="261">
        <f ca="1">MIN(100,IF($O$5&gt;80,0+30*($AG1536/100),IF($O$5&gt;70,0+50*($AG1536/100),IF($O$5&gt;60,5+50*($AG1536/100),IF($O$5&gt;50,10+60*($AG1536/100),IF($O$5&gt;40,15+70*($AG1536/100),IF($O$5&gt;30,20+70*($AG1536/100),IF($O$5&gt;20,40+55*($AG1536/100),(80+(20-$O$5)+30*($AG1536/100))))))))))</f>
        <v>100</v>
      </c>
      <c r="AI1536" s="262">
        <v>779</v>
      </c>
      <c r="AJ1536" s="262"/>
      <c r="AK1536" s="262">
        <v>33</v>
      </c>
      <c r="AL1536" s="263"/>
      <c r="AM1536" s="264"/>
      <c r="AN1536" s="263"/>
      <c r="AO1536" s="263"/>
      <c r="AP1536" s="265"/>
      <c r="AQ1536" s="266"/>
      <c r="AR1536" s="267">
        <v>7544</v>
      </c>
      <c r="AS1536" s="263"/>
      <c r="AT1536" s="263"/>
      <c r="AU1536" s="263"/>
      <c r="AV1536" s="264"/>
      <c r="AW1536" s="263"/>
      <c r="AX1536" s="263"/>
      <c r="AY1536" s="263"/>
      <c r="AZ1536" s="263"/>
      <c r="BA1536" s="263"/>
      <c r="BB1536" s="263"/>
      <c r="BC1536" s="263"/>
      <c r="BD1536" s="264"/>
      <c r="BE1536" s="263"/>
      <c r="BF1536" s="263"/>
      <c r="BG1536" s="263"/>
      <c r="BH1536" s="263"/>
      <c r="BI1536" s="263"/>
      <c r="BJ1536" s="404">
        <f>altaz(J2000_Bas,$O1536,$M1536,DecLat,DecLong,2)</f>
        <v>87.971879340592267</v>
      </c>
      <c r="BK1536" s="378" t="s">
        <v>1559</v>
      </c>
      <c r="BL1536" s="379">
        <f>IF((2*G1536)/60&lt;0.2,0.2,(2*G1536)/60)</f>
        <v>0.2</v>
      </c>
      <c r="BM1536" s="380">
        <f>MOD((50000+AD1536-$B$3+(0/24)),1)</f>
        <v>0.29139188201952493</v>
      </c>
      <c r="BN1536" s="381"/>
      <c r="BO1536" s="382">
        <v>1529</v>
      </c>
    </row>
    <row r="1537" spans="1:67" s="24" customFormat="1" ht="15" customHeight="1" x14ac:dyDescent="0.25">
      <c r="A1537" s="288" t="s">
        <v>1560</v>
      </c>
      <c r="B1537" s="241" t="str">
        <f>HYPERLINK(CONCATENATE($AT$3,BK1537,$AU$3),$AV$3)</f>
        <v>S</v>
      </c>
      <c r="C1537" s="242" t="str">
        <f>HYPERLINK(CONCATENATE($AT$4,BK1537,$AU$4,BL1537),$AV$4)</f>
        <v>A</v>
      </c>
      <c r="D1537" s="243" t="s">
        <v>5638</v>
      </c>
      <c r="E1537" s="244" t="s">
        <v>5192</v>
      </c>
      <c r="F1537" s="269" t="s">
        <v>8931</v>
      </c>
      <c r="G1537" s="273">
        <v>6</v>
      </c>
      <c r="H1537" s="283">
        <v>18</v>
      </c>
      <c r="I1537" s="246">
        <v>30</v>
      </c>
      <c r="J1537" s="246">
        <v>1</v>
      </c>
      <c r="K1537" s="247" t="s">
        <v>6605</v>
      </c>
      <c r="L1537" s="248">
        <v>20117</v>
      </c>
      <c r="M1537" s="249">
        <f>15*(LEFT(TEXT($L1537,"000000"),2)+(MID(TEXT($L1537,"000000"),3,2)/60)+(RIGHT(TEXT($L1537,"000000"),2)/3600))</f>
        <v>30.320833333333329</v>
      </c>
      <c r="N1537" s="250">
        <v>285014</v>
      </c>
      <c r="O1537" s="251">
        <f>IF($N1537&gt;0,(LEFT(TEXT($N1537,"000000"),2)+(MID(TEXT($N1537,"000000"),3,2)/60)+(RIGHT(TEXT($N1537,"000000"),2)/3600)),-(MID(TEXT($N1537,"000000"),2,2)+(MID(TEXT($N1537,"000000"),4,2)/60)+(RIGHT(TEXT($N1537,"000000"),2)/3600)))</f>
        <v>28.83722222222222</v>
      </c>
      <c r="P1537" s="252" t="s">
        <v>314</v>
      </c>
      <c r="Q1537" s="253"/>
      <c r="R1537" s="247" t="s">
        <v>3293</v>
      </c>
      <c r="S1537" s="272" t="s">
        <v>3293</v>
      </c>
      <c r="T1537" s="273">
        <v>11.7</v>
      </c>
      <c r="U1537" s="289">
        <v>22.990000000000002</v>
      </c>
      <c r="V1537" s="280">
        <v>85</v>
      </c>
      <c r="W1537" s="244"/>
      <c r="X1537" s="244"/>
      <c r="Y1537" s="362"/>
      <c r="Z1537" s="257">
        <f>altaz(J2000_Bas,$O1537,$M1537,DecLat,DecLong,1)</f>
        <v>3.5958684921894974</v>
      </c>
      <c r="AA1537" s="257">
        <f>altaz((J2000_Bas+(2*0.04167)),$O1537,$M1537,DecLat,DecLong,1)</f>
        <v>26.900211757646908</v>
      </c>
      <c r="AB1537" s="257">
        <f>altaz((J2000_Bas+(4*0.04167)),$O1537,$M1537,DecLat,DecLong,1)</f>
        <v>51.923508529658072</v>
      </c>
      <c r="AC1537" s="257">
        <f>altaz((J2000_Bas+(6*0.04167)),$O1537,$M1537,DecLat,DecLong,1)</f>
        <v>77.628324309554642</v>
      </c>
      <c r="AD1537" s="258">
        <f>1+ transit((J2000_Bas-1),$O1537,$M1537,DecLat,DecLong)/360 + (GMTOffset/24) + (IF(DST="Y", 1, 0)/24)</f>
        <v>1.0771244892442913</v>
      </c>
      <c r="AE1537" s="259">
        <f>DATE(2001,9,21)+(M1537/360)*365 - (360*((DecLong/360)- (GMTOffset/24) ))</f>
        <v>37190.741956018515</v>
      </c>
      <c r="AF1537" s="260">
        <f>IF(DecLat&gt;0,IF((90 - (DecLat-O1537))&gt;90, (90 - (O1537-DecLat)), (90 - (DecLat-O1537))),IF((90 + (DecLat-O1537))&gt;90, (90 + (O1537-DecLat)), (90 + (DecLat-O1537))))</f>
        <v>87.837222222222223</v>
      </c>
      <c r="AG1537" s="257">
        <f>angularseperation(MoonRA,MoonDec,$M1537,$O1537)</f>
        <v>145.73033779482282</v>
      </c>
      <c r="AH1537" s="261">
        <f ca="1">MIN(100,IF($O$5&gt;80,0+30*($AG1537/100),IF($O$5&gt;70,0+50*($AG1537/100),IF($O$5&gt;60,5+50*($AG1537/100),IF($O$5&gt;50,10+60*($AG1537/100),IF($O$5&gt;40,15+70*($AG1537/100),IF($O$5&gt;30,20+70*($AG1537/100),IF($O$5&gt;20,40+55*($AG1537/100),(80+(20-$O$5)+30*($AG1537/100))))))))))</f>
        <v>100</v>
      </c>
      <c r="AI1537" s="262">
        <v>784</v>
      </c>
      <c r="AJ1537" s="262"/>
      <c r="AK1537" s="262"/>
      <c r="AL1537" s="263"/>
      <c r="AM1537" s="264"/>
      <c r="AN1537" s="263"/>
      <c r="AO1537" s="263"/>
      <c r="AP1537" s="265"/>
      <c r="AQ1537" s="266">
        <v>1501</v>
      </c>
      <c r="AR1537" s="267">
        <v>7671</v>
      </c>
      <c r="AS1537" s="263"/>
      <c r="AT1537" s="263"/>
      <c r="AU1537" s="263"/>
      <c r="AV1537" s="264"/>
      <c r="AW1537" s="263"/>
      <c r="AX1537" s="263"/>
      <c r="AY1537" s="263"/>
      <c r="AZ1537" s="263"/>
      <c r="BA1537" s="263"/>
      <c r="BB1537" s="263"/>
      <c r="BC1537" s="263"/>
      <c r="BD1537" s="264"/>
      <c r="BE1537" s="263"/>
      <c r="BF1537" s="263"/>
      <c r="BG1537" s="263"/>
      <c r="BH1537" s="263"/>
      <c r="BI1537" s="263"/>
      <c r="BJ1537" s="404">
        <f>altaz(J2000_Bas,$O1537,$M1537,DecLat,DecLong,2)</f>
        <v>58.261414707199577</v>
      </c>
      <c r="BK1537" s="378" t="s">
        <v>1560</v>
      </c>
      <c r="BL1537" s="379">
        <f>IF((2*G1537)/60&lt;0.2,0.2,(2*G1537)/60)</f>
        <v>0.2</v>
      </c>
      <c r="BM1537" s="380">
        <f>MOD((50000+AD1537-$B$3+(0/24)),1)</f>
        <v>0.29249141894979402</v>
      </c>
      <c r="BN1537" s="381"/>
      <c r="BO1537" s="382">
        <v>1530</v>
      </c>
    </row>
    <row r="1538" spans="1:67" s="24" customFormat="1" ht="15" customHeight="1" x14ac:dyDescent="0.25">
      <c r="A1538" s="288" t="s">
        <v>1561</v>
      </c>
      <c r="B1538" s="241" t="str">
        <f>HYPERLINK(CONCATENATE($AT$3,BK1538,$AU$3),$AV$3)</f>
        <v>S</v>
      </c>
      <c r="C1538" s="242" t="str">
        <f>HYPERLINK(CONCATENATE($AT$4,BK1538,$AU$4,BL1538),$AV$4)</f>
        <v>A</v>
      </c>
      <c r="D1538" s="243" t="s">
        <v>5638</v>
      </c>
      <c r="E1538" s="244" t="s">
        <v>5192</v>
      </c>
      <c r="F1538" s="269" t="s">
        <v>8932</v>
      </c>
      <c r="G1538" s="273">
        <v>1.8</v>
      </c>
      <c r="H1538" s="283">
        <v>280</v>
      </c>
      <c r="I1538" s="246">
        <v>150</v>
      </c>
      <c r="J1538" s="246">
        <v>2</v>
      </c>
      <c r="K1538" s="247" t="s">
        <v>6607</v>
      </c>
      <c r="L1538" s="248">
        <v>20212</v>
      </c>
      <c r="M1538" s="249">
        <f>15*(LEFT(TEXT($L1538,"000000"),2)+(MID(TEXT($L1538,"000000"),3,2)/60)+(RIGHT(TEXT($L1538,"000000"),2)/3600))</f>
        <v>30.55</v>
      </c>
      <c r="N1538" s="250">
        <v>-604</v>
      </c>
      <c r="O1538" s="251">
        <f>IF($N1538&gt;0,(LEFT(TEXT($N1538,"000000"),2)+(MID(TEXT($N1538,"000000"),3,2)/60)+(RIGHT(TEXT($N1538,"000000"),2)/3600)),-(MID(TEXT($N1538,"000000"),2,2)+(MID(TEXT($N1538,"000000"),4,2)/60)+(RIGHT(TEXT($N1538,"000000"),2)/3600)))</f>
        <v>-0.10111111111111111</v>
      </c>
      <c r="P1538" s="252" t="s">
        <v>75</v>
      </c>
      <c r="Q1538" s="253"/>
      <c r="R1538" s="247" t="s">
        <v>3293</v>
      </c>
      <c r="S1538" s="272" t="s">
        <v>6606</v>
      </c>
      <c r="T1538" s="273">
        <v>13.4</v>
      </c>
      <c r="U1538" s="289">
        <v>23.490000000000002</v>
      </c>
      <c r="V1538" s="280">
        <v>25</v>
      </c>
      <c r="W1538" s="244"/>
      <c r="X1538" s="244"/>
      <c r="Y1538" s="362"/>
      <c r="Z1538" s="257">
        <f>altaz(J2000_Bas,$O1538,$M1538,DecLat,DecLong,1)</f>
        <v>-12.486653352910809</v>
      </c>
      <c r="AA1538" s="257">
        <f>altaz((J2000_Bas+(2*0.04167)),$O1538,$M1538,DecLat,DecLong,1)</f>
        <v>13.220227129508801</v>
      </c>
      <c r="AB1538" s="257">
        <f>altaz((J2000_Bas+(4*0.04167)),$O1538,$M1538,DecLat,DecLong,1)</f>
        <v>37.71542395054162</v>
      </c>
      <c r="AC1538" s="257">
        <f>altaz((J2000_Bas+(6*0.04167)),$O1538,$M1538,DecLat,DecLong,1)</f>
        <v>56.070142869444332</v>
      </c>
      <c r="AD1538" s="258">
        <f>1+ transit((J2000_Bas-1),$O1538,$M1538,DecLat,DecLong)/360 + (GMTOffset/24) + (IF(DST="Y", 1, 0)/24)</f>
        <v>1.0777610632547081</v>
      </c>
      <c r="AE1538" s="259">
        <f>DATE(2001,9,21)+(M1538/360)*365 - (360*((DecLong/360)- (GMTOffset/24) ))</f>
        <v>37190.974305555559</v>
      </c>
      <c r="AF1538" s="260">
        <f>IF(DecLat&gt;0,IF((90 - (DecLat-O1538))&gt;90, (90 - (O1538-DecLat)), (90 - (DecLat-O1538))),IF((90 + (DecLat-O1538))&gt;90, (90 + (O1538-DecLat)), (90 + (DecLat-O1538))))</f>
        <v>58.898888888888891</v>
      </c>
      <c r="AG1538" s="257">
        <f>angularseperation(MoonRA,MoonDec,$M1538,$O1538)</f>
        <v>133.95728000576412</v>
      </c>
      <c r="AH1538" s="261">
        <f ca="1">MIN(100,IF($O$5&gt;80,0+30*($AG1538/100),IF($O$5&gt;70,0+50*($AG1538/100),IF($O$5&gt;60,5+50*($AG1538/100),IF($O$5&gt;50,10+60*($AG1538/100),IF($O$5&gt;40,15+70*($AG1538/100),IF($O$5&gt;30,20+70*($AG1538/100),IF($O$5&gt;20,40+55*($AG1538/100),(80+(20-$O$5)+30*($AG1538/100))))))))))</f>
        <v>100</v>
      </c>
      <c r="AI1538" s="262">
        <v>799</v>
      </c>
      <c r="AJ1538" s="262"/>
      <c r="AK1538" s="262"/>
      <c r="AL1538" s="263"/>
      <c r="AM1538" s="264"/>
      <c r="AN1538" s="263"/>
      <c r="AO1538" s="263"/>
      <c r="AP1538" s="265"/>
      <c r="AQ1538" s="266">
        <v>1527</v>
      </c>
      <c r="AR1538" s="267">
        <v>7741</v>
      </c>
      <c r="AS1538" s="263"/>
      <c r="AT1538" s="263"/>
      <c r="AU1538" s="263"/>
      <c r="AV1538" s="264"/>
      <c r="AW1538" s="263"/>
      <c r="AX1538" s="263"/>
      <c r="AY1538" s="263"/>
      <c r="AZ1538" s="263"/>
      <c r="BA1538" s="263"/>
      <c r="BB1538" s="263"/>
      <c r="BC1538" s="263"/>
      <c r="BD1538" s="264"/>
      <c r="BE1538" s="263"/>
      <c r="BF1538" s="263"/>
      <c r="BG1538" s="263"/>
      <c r="BH1538" s="263"/>
      <c r="BI1538" s="263"/>
      <c r="BJ1538" s="404">
        <f>altaz(J2000_Bas,$O1538,$M1538,DecLat,DecLong,2)</f>
        <v>82.475386319690131</v>
      </c>
      <c r="BK1538" s="378" t="s">
        <v>1561</v>
      </c>
      <c r="BL1538" s="379">
        <f>IF((2*G1538)/60&lt;0.2,0.2,(2*G1538)/60)</f>
        <v>0.2</v>
      </c>
      <c r="BM1538" s="380">
        <f>MOD((50000+AD1538-$B$3+(0/24)),1)</f>
        <v>0.29312799296167213</v>
      </c>
      <c r="BN1538" s="381"/>
      <c r="BO1538" s="382">
        <v>1531</v>
      </c>
    </row>
    <row r="1539" spans="1:67" s="24" customFormat="1" ht="15" customHeight="1" x14ac:dyDescent="0.25">
      <c r="A1539" s="288" t="s">
        <v>3046</v>
      </c>
      <c r="B1539" s="241" t="str">
        <f>HYPERLINK(CONCATENATE($AT$3,BK1539,$AU$3),$AV$3)</f>
        <v>S</v>
      </c>
      <c r="C1539" s="242" t="str">
        <f>HYPERLINK(CONCATENATE($AT$4,BK1539,$AU$4,BL1539),$AV$4)</f>
        <v>A</v>
      </c>
      <c r="D1539" s="243" t="s">
        <v>5638</v>
      </c>
      <c r="E1539" s="244" t="s">
        <v>5192</v>
      </c>
      <c r="F1539" s="269" t="s">
        <v>8697</v>
      </c>
      <c r="G1539" s="273">
        <v>4</v>
      </c>
      <c r="H1539" s="283">
        <v>170</v>
      </c>
      <c r="I1539" s="246">
        <v>200</v>
      </c>
      <c r="J1539" s="246">
        <v>2</v>
      </c>
      <c r="K1539" s="247" t="s">
        <v>6608</v>
      </c>
      <c r="L1539" s="248">
        <v>20344</v>
      </c>
      <c r="M1539" s="249">
        <f>15*(LEFT(TEXT($L1539,"000000"),2)+(MID(TEXT($L1539,"000000"),3,2)/60)+(RIGHT(TEXT($L1539,"000000"),2)/3600))</f>
        <v>30.933333333333334</v>
      </c>
      <c r="N1539" s="250">
        <v>381500</v>
      </c>
      <c r="O1539" s="251">
        <f>IF($N1539&gt;0,(LEFT(TEXT($N1539,"000000"),2)+(MID(TEXT($N1539,"000000"),3,2)/60)+(RIGHT(TEXT($N1539,"000000"),2)/3600)),-(MID(TEXT($N1539,"000000"),2,2)+(MID(TEXT($N1539,"000000"),4,2)/60)+(RIGHT(TEXT($N1539,"000000"),2)/3600)))</f>
        <v>38.25</v>
      </c>
      <c r="P1539" s="252" t="s">
        <v>36</v>
      </c>
      <c r="Q1539" s="253"/>
      <c r="R1539" s="277" t="s">
        <v>3293</v>
      </c>
      <c r="S1539" s="272" t="s">
        <v>5200</v>
      </c>
      <c r="T1539" s="273">
        <v>13.1</v>
      </c>
      <c r="U1539" s="289">
        <v>22.69</v>
      </c>
      <c r="V1539" s="280">
        <v>85</v>
      </c>
      <c r="W1539" s="244"/>
      <c r="X1539" s="244"/>
      <c r="Y1539" s="362"/>
      <c r="Z1539" s="257">
        <f>altaz(J2000_Bas,$O1539,$M1539,DecLat,DecLong,1)</f>
        <v>8.3615970732861413</v>
      </c>
      <c r="AA1539" s="257">
        <f>altaz((J2000_Bas+(2*0.04167)),$O1539,$M1539,DecLat,DecLong,1)</f>
        <v>29.658253776395181</v>
      </c>
      <c r="AB1539" s="257">
        <f>altaz((J2000_Bas+(4*0.04167)),$O1539,$M1539,DecLat,DecLong,1)</f>
        <v>52.82756574157262</v>
      </c>
      <c r="AC1539" s="257">
        <f>altaz((J2000_Bas+(6*0.04167)),$O1539,$M1539,DecLat,DecLong,1)</f>
        <v>75.939467912514516</v>
      </c>
      <c r="AD1539" s="258">
        <f>1+ transit((J2000_Bas-1),$O1539,$M1539,DecLat,DecLong)/360 + (GMTOffset/24) + (IF(DST="Y", 1, 0)/24)</f>
        <v>1.0788258779630413</v>
      </c>
      <c r="AE1539" s="259">
        <f>DATE(2001,9,21)+(M1539/360)*365 - (360*((DecLong/360)- (GMTOffset/24) ))</f>
        <v>37191.362962962965</v>
      </c>
      <c r="AF1539" s="260">
        <f>IF(DecLat&gt;0,IF((90 - (DecLat-O1539))&gt;90, (90 - (O1539-DecLat)), (90 - (DecLat-O1539))),IF((90 + (DecLat-O1539))&gt;90, (90 + (O1539-DecLat)), (90 + (DecLat-O1539))))</f>
        <v>82.75</v>
      </c>
      <c r="AG1539" s="257">
        <f>angularseperation(MoonRA,MoonDec,$M1539,$O1539)</f>
        <v>146.15235954658667</v>
      </c>
      <c r="AH1539" s="261">
        <f ca="1">MIN(100,IF($O$5&gt;80,0+30*($AG1539/100),IF($O$5&gt;70,0+50*($AG1539/100),IF($O$5&gt;60,5+50*($AG1539/100),IF($O$5&gt;50,10+60*($AG1539/100),IF($O$5&gt;40,15+70*($AG1539/100),IF($O$5&gt;30,20+70*($AG1539/100),IF($O$5&gt;20,40+55*($AG1539/100),(80+(20-$O$5)+30*($AG1539/100))))))))))</f>
        <v>100</v>
      </c>
      <c r="AI1539" s="262">
        <v>801</v>
      </c>
      <c r="AJ1539" s="263"/>
      <c r="AK1539" s="263"/>
      <c r="AL1539" s="263"/>
      <c r="AM1539" s="264"/>
      <c r="AN1539" s="263"/>
      <c r="AO1539" s="263"/>
      <c r="AP1539" s="265"/>
      <c r="AQ1539" s="265">
        <v>1550</v>
      </c>
      <c r="AR1539" s="285">
        <v>7847</v>
      </c>
      <c r="AS1539" s="263"/>
      <c r="AT1539" s="263"/>
      <c r="AU1539" s="263"/>
      <c r="AV1539" s="264"/>
      <c r="AW1539" s="263"/>
      <c r="AX1539" s="263"/>
      <c r="AY1539" s="263"/>
      <c r="AZ1539" s="263"/>
      <c r="BA1539" s="263"/>
      <c r="BB1539" s="263"/>
      <c r="BC1539" s="263"/>
      <c r="BD1539" s="264"/>
      <c r="BE1539" s="263"/>
      <c r="BF1539" s="263"/>
      <c r="BG1539" s="263"/>
      <c r="BH1539" s="263"/>
      <c r="BI1539" s="263"/>
      <c r="BJ1539" s="404">
        <f>altaz(J2000_Bas,$O1539,$M1539,DecLat,DecLong,2)</f>
        <v>50.081311911055991</v>
      </c>
      <c r="BK1539" s="378" t="s">
        <v>3046</v>
      </c>
      <c r="BL1539" s="379">
        <f>IF((2*G1539)/60&lt;0.2,0.2,(2*G1539)/60)</f>
        <v>0.2</v>
      </c>
      <c r="BM1539" s="380">
        <f>MOD((50000+AD1539-$B$3+(0/24)),1)</f>
        <v>0.29419280766887823</v>
      </c>
      <c r="BN1539" s="381"/>
      <c r="BO1539" s="382">
        <v>1532</v>
      </c>
    </row>
    <row r="1540" spans="1:67" s="24" customFormat="1" ht="15" customHeight="1" x14ac:dyDescent="0.25">
      <c r="A1540" s="288" t="s">
        <v>3047</v>
      </c>
      <c r="B1540" s="241" t="str">
        <f>HYPERLINK(CONCATENATE($AT$3,BK1540,$AU$3),$AV$3)</f>
        <v>S</v>
      </c>
      <c r="C1540" s="242" t="str">
        <f>HYPERLINK(CONCATENATE($AT$4,BK1540,$AU$4,BL1540),$AV$4)</f>
        <v>A</v>
      </c>
      <c r="D1540" s="243" t="s">
        <v>5638</v>
      </c>
      <c r="E1540" s="244" t="s">
        <v>5192</v>
      </c>
      <c r="F1540" s="269" t="s">
        <v>8698</v>
      </c>
      <c r="G1540" s="273">
        <v>4.5</v>
      </c>
      <c r="H1540" s="283">
        <v>75</v>
      </c>
      <c r="I1540" s="246">
        <v>100</v>
      </c>
      <c r="J1540" s="246">
        <v>2</v>
      </c>
      <c r="K1540" s="247" t="s">
        <v>9250</v>
      </c>
      <c r="L1540" s="248">
        <v>20345</v>
      </c>
      <c r="M1540" s="249">
        <f>15*(LEFT(TEXT($L1540,"000000"),2)+(MID(TEXT($L1540,"000000"),3,2)/60)+(RIGHT(TEXT($L1540,"000000"),2)/3600))</f>
        <v>30.9375</v>
      </c>
      <c r="N1540" s="250">
        <v>160100</v>
      </c>
      <c r="O1540" s="251">
        <f>IF($N1540&gt;0,(LEFT(TEXT($N1540,"000000"),2)+(MID(TEXT($N1540,"000000"),3,2)/60)+(RIGHT(TEXT($N1540,"000000"),2)/3600)),-(MID(TEXT($N1540,"000000"),2,2)+(MID(TEXT($N1540,"000000"),4,2)/60)+(RIGHT(TEXT($N1540,"000000"),2)/3600)))</f>
        <v>16.016666666666666</v>
      </c>
      <c r="P1540" s="252" t="s">
        <v>249</v>
      </c>
      <c r="Q1540" s="253"/>
      <c r="R1540" s="277" t="s">
        <v>3293</v>
      </c>
      <c r="S1540" s="272" t="s">
        <v>3293</v>
      </c>
      <c r="T1540" s="273">
        <v>12.6</v>
      </c>
      <c r="U1540" s="289">
        <v>22.69</v>
      </c>
      <c r="V1540" s="280">
        <v>70</v>
      </c>
      <c r="W1540" s="244"/>
      <c r="X1540" s="244"/>
      <c r="Y1540" s="362"/>
      <c r="Z1540" s="257">
        <f>altaz(J2000_Bas,$O1540,$M1540,DecLat,DecLong,1)</f>
        <v>-4.0270147227667952</v>
      </c>
      <c r="AA1540" s="257">
        <f>altaz((J2000_Bas+(2*0.04167)),$O1540,$M1540,DecLat,DecLong,1)</f>
        <v>20.942151240911773</v>
      </c>
      <c r="AB1540" s="257">
        <f>altaz((J2000_Bas+(4*0.04167)),$O1540,$M1540,DecLat,DecLong,1)</f>
        <v>46.640896299096291</v>
      </c>
      <c r="AC1540" s="257">
        <f>altaz((J2000_Bas+(6*0.04167)),$O1540,$M1540,DecLat,DecLong,1)</f>
        <v>69.901224901346652</v>
      </c>
      <c r="AD1540" s="258">
        <f>1+ transit((J2000_Bas-1),$O1540,$M1540,DecLat,DecLong)/360 + (GMTOffset/24) + (IF(DST="Y", 1, 0)/24)</f>
        <v>1.078837452035958</v>
      </c>
      <c r="AE1540" s="259">
        <f>DATE(2001,9,21)+(M1540/360)*365 - (360*((DecLong/360)- (GMTOffset/24) ))</f>
        <v>37191.3671875</v>
      </c>
      <c r="AF1540" s="260">
        <f>IF(DecLat&gt;0,IF((90 - (DecLat-O1540))&gt;90, (90 - (O1540-DecLat)), (90 - (DecLat-O1540))),IF((90 + (DecLat-O1540))&gt;90, (90 + (O1540-DecLat)), (90 + (DecLat-O1540))))</f>
        <v>75.016666666666666</v>
      </c>
      <c r="AG1540" s="257">
        <f>angularseperation(MoonRA,MoonDec,$M1540,$O1540)</f>
        <v>142.86141745004218</v>
      </c>
      <c r="AH1540" s="261">
        <f ca="1">MIN(100,IF($O$5&gt;80,0+30*($AG1540/100),IF($O$5&gt;70,0+50*($AG1540/100),IF($O$5&gt;60,5+50*($AG1540/100),IF($O$5&gt;50,10+60*($AG1540/100),IF($O$5&gt;40,15+70*($AG1540/100),IF($O$5&gt;30,20+70*($AG1540/100),IF($O$5&gt;20,40+55*($AG1540/100),(80+(20-$O$5)+30*($AG1540/100))))))))))</f>
        <v>100</v>
      </c>
      <c r="AI1540" s="262">
        <v>803</v>
      </c>
      <c r="AJ1540" s="263"/>
      <c r="AK1540" s="263"/>
      <c r="AL1540" s="263"/>
      <c r="AM1540" s="264"/>
      <c r="AN1540" s="263"/>
      <c r="AO1540" s="263"/>
      <c r="AP1540" s="265"/>
      <c r="AQ1540" s="265">
        <v>1554</v>
      </c>
      <c r="AR1540" s="285">
        <v>7849</v>
      </c>
      <c r="AS1540" s="263"/>
      <c r="AT1540" s="263"/>
      <c r="AU1540" s="263"/>
      <c r="AV1540" s="264"/>
      <c r="AW1540" s="263"/>
      <c r="AX1540" s="263"/>
      <c r="AY1540" s="263"/>
      <c r="AZ1540" s="263"/>
      <c r="BA1540" s="263"/>
      <c r="BB1540" s="263"/>
      <c r="BC1540" s="263"/>
      <c r="BD1540" s="264"/>
      <c r="BE1540" s="263"/>
      <c r="BF1540" s="263"/>
      <c r="BG1540" s="263"/>
      <c r="BH1540" s="263"/>
      <c r="BI1540" s="263"/>
      <c r="BJ1540" s="404">
        <f>altaz(J2000_Bas,$O1540,$M1540,DecLat,DecLong,2)</f>
        <v>68.592933160702898</v>
      </c>
      <c r="BK1540" s="378" t="s">
        <v>3047</v>
      </c>
      <c r="BL1540" s="379">
        <f>IF((2*G1540)/60&lt;0.2,0.2,(2*G1540)/60)</f>
        <v>0.2</v>
      </c>
      <c r="BM1540" s="380">
        <f>MOD((50000+AD1540-$B$3+(0/24)),1)</f>
        <v>0.29420438173838193</v>
      </c>
      <c r="BN1540" s="381"/>
      <c r="BO1540" s="382">
        <v>1533</v>
      </c>
    </row>
    <row r="1541" spans="1:67" s="24" customFormat="1" ht="15" customHeight="1" x14ac:dyDescent="0.25">
      <c r="A1541" s="288" t="s">
        <v>3246</v>
      </c>
      <c r="B1541" s="241" t="str">
        <f>HYPERLINK(CONCATENATE($AT$3,BK1541,$AU$3),$AV$3)</f>
        <v>S</v>
      </c>
      <c r="C1541" s="242" t="str">
        <f>HYPERLINK(CONCATENATE($AT$4,BK1541,$AU$4,BL1541),$AV$4)</f>
        <v>A</v>
      </c>
      <c r="D1541" s="243" t="s">
        <v>5638</v>
      </c>
      <c r="E1541" s="244" t="s">
        <v>5193</v>
      </c>
      <c r="F1541" s="269" t="s">
        <v>3304</v>
      </c>
      <c r="G1541" s="273">
        <v>1.1000000000000001</v>
      </c>
      <c r="H1541" s="283">
        <v>360</v>
      </c>
      <c r="I1541" s="246">
        <v>120</v>
      </c>
      <c r="J1541" s="246">
        <v>2</v>
      </c>
      <c r="K1541" s="247" t="s">
        <v>9061</v>
      </c>
      <c r="L1541" s="248">
        <v>20529</v>
      </c>
      <c r="M1541" s="249">
        <f>15*(LEFT(TEXT($L1541,"000000"),2)+(MID(TEXT($L1541,"000000"),3,2)/60)+(RIGHT(TEXT($L1541,"000000"),2)/3600))</f>
        <v>31.370833333333334</v>
      </c>
      <c r="N1541" s="250">
        <v>131506</v>
      </c>
      <c r="O1541" s="251">
        <f>IF($N1541&gt;0,(LEFT(TEXT($N1541,"000000"),2)+(MID(TEXT($N1541,"000000"),3,2)/60)+(RIGHT(TEXT($N1541,"000000"),2)/3600)),-(MID(TEXT($N1541,"000000"),2,2)+(MID(TEXT($N1541,"000000"),4,2)/60)+(RIGHT(TEXT($N1541,"000000"),2)/3600)))</f>
        <v>13.251666666666667</v>
      </c>
      <c r="P1541" s="252" t="s">
        <v>249</v>
      </c>
      <c r="Q1541" s="253"/>
      <c r="R1541" s="277" t="s">
        <v>3293</v>
      </c>
      <c r="S1541" s="272" t="s">
        <v>3293</v>
      </c>
      <c r="T1541" s="273">
        <v>13.9</v>
      </c>
      <c r="U1541" s="289">
        <v>23.69</v>
      </c>
      <c r="V1541" s="280"/>
      <c r="W1541" s="244"/>
      <c r="X1541" s="244"/>
      <c r="Y1541" s="362"/>
      <c r="Z1541" s="257">
        <f>altaz(J2000_Bas,$O1541,$M1541,DecLat,DecLong,1)</f>
        <v>-5.9152350983457227</v>
      </c>
      <c r="AA1541" s="257">
        <f>altaz((J2000_Bas+(2*0.04167)),$O1541,$M1541,DecLat,DecLong,1)</f>
        <v>19.269554016705008</v>
      </c>
      <c r="AB1541" s="257">
        <f>altaz((J2000_Bas+(4*0.04167)),$O1541,$M1541,DecLat,DecLong,1)</f>
        <v>44.908556724848445</v>
      </c>
      <c r="AC1541" s="257">
        <f>altaz((J2000_Bas+(6*0.04167)),$O1541,$M1541,DecLat,DecLong,1)</f>
        <v>67.449469838429039</v>
      </c>
      <c r="AD1541" s="258">
        <f>1+ transit((J2000_Bas-1),$O1541,$M1541,DecLat,DecLong)/360 + (GMTOffset/24) + (IF(DST="Y", 1, 0)/24)</f>
        <v>1.0800411556192913</v>
      </c>
      <c r="AE1541" s="259">
        <f>DATE(2001,9,21)+(M1541/360)*365 - (360*((DecLong/360)- (GMTOffset/24) ))</f>
        <v>37191.806539351855</v>
      </c>
      <c r="AF1541" s="260">
        <f>IF(DecLat&gt;0,IF((90 - (DecLat-O1541))&gt;90, (90 - (O1541-DecLat)), (90 - (DecLat-O1541))),IF((90 + (DecLat-O1541))&gt;90, (90 + (O1541-DecLat)), (90 + (DecLat-O1541))))</f>
        <v>72.251666666666665</v>
      </c>
      <c r="AG1541" s="257">
        <f>angularseperation(MoonRA,MoonDec,$M1541,$O1541)</f>
        <v>142.04381367945555</v>
      </c>
      <c r="AH1541" s="261">
        <f ca="1">MIN(100,IF($O$5&gt;80,0+30*($AG1541/100),IF($O$5&gt;70,0+50*($AG1541/100),IF($O$5&gt;60,5+50*($AG1541/100),IF($O$5&gt;50,10+60*($AG1541/100),IF($O$5&gt;40,15+70*($AG1541/100),IF($O$5&gt;30,20+70*($AG1541/100),IF($O$5&gt;20,40+55*($AG1541/100),(80+(20-$O$5)+30*($AG1541/100))))))))))</f>
        <v>100</v>
      </c>
      <c r="AI1541" s="263">
        <v>810</v>
      </c>
      <c r="AJ1541" s="263"/>
      <c r="AK1541" s="263"/>
      <c r="AL1541" s="263"/>
      <c r="AM1541" s="264"/>
      <c r="AN1541" s="263"/>
      <c r="AO1541" s="263"/>
      <c r="AP1541" s="265"/>
      <c r="AQ1541" s="265">
        <v>1583</v>
      </c>
      <c r="AR1541" s="285">
        <v>7965</v>
      </c>
      <c r="AS1541" s="263"/>
      <c r="AT1541" s="263"/>
      <c r="AU1541" s="263"/>
      <c r="AV1541" s="264"/>
      <c r="AW1541" s="263"/>
      <c r="AX1541" s="263"/>
      <c r="AY1541" s="263"/>
      <c r="AZ1541" s="263"/>
      <c r="BA1541" s="263"/>
      <c r="BB1541" s="263"/>
      <c r="BC1541" s="263"/>
      <c r="BD1541" s="264"/>
      <c r="BE1541" s="263"/>
      <c r="BF1541" s="263"/>
      <c r="BG1541" s="263"/>
      <c r="BH1541" s="263"/>
      <c r="BI1541" s="263"/>
      <c r="BJ1541" s="404">
        <f>altaz(J2000_Bas,$O1541,$M1541,DecLat,DecLong,2)</f>
        <v>70.663729252194258</v>
      </c>
      <c r="BK1541" s="378" t="s">
        <v>3246</v>
      </c>
      <c r="BL1541" s="379">
        <f>IF((2*G1541)/60&lt;0.2,0.2,(2*G1541)/60)</f>
        <v>0.2</v>
      </c>
      <c r="BM1541" s="380">
        <f>MOD((50000+AD1541-$B$3+(0/24)),1)</f>
        <v>0.29540808532328811</v>
      </c>
      <c r="BN1541" s="381"/>
      <c r="BO1541" s="382">
        <v>1534</v>
      </c>
    </row>
    <row r="1542" spans="1:67" s="24" customFormat="1" ht="15" customHeight="1" x14ac:dyDescent="0.25">
      <c r="A1542" s="288" t="s">
        <v>1562</v>
      </c>
      <c r="B1542" s="241" t="str">
        <f>HYPERLINK(CONCATENATE($AT$3,BK1542,$AU$3),$AV$3)</f>
        <v>S</v>
      </c>
      <c r="C1542" s="242" t="str">
        <f>HYPERLINK(CONCATENATE($AT$4,BK1542,$AU$4,BL1542),$AV$4)</f>
        <v>A</v>
      </c>
      <c r="D1542" s="243" t="s">
        <v>5638</v>
      </c>
      <c r="E1542" s="244" t="s">
        <v>5192</v>
      </c>
      <c r="F1542" s="269" t="s">
        <v>8699</v>
      </c>
      <c r="G1542" s="273">
        <v>2.2999999999999998</v>
      </c>
      <c r="H1542" s="283">
        <v>175</v>
      </c>
      <c r="I1542" s="246">
        <v>120</v>
      </c>
      <c r="J1542" s="246">
        <v>3</v>
      </c>
      <c r="K1542" s="247" t="s">
        <v>8546</v>
      </c>
      <c r="L1542" s="248">
        <v>20652</v>
      </c>
      <c r="M1542" s="249">
        <f>15*(LEFT(TEXT($L1542,"000000"),2)+(MID(TEXT($L1542,"000000"),3,2)/60)+(RIGHT(TEXT($L1542,"000000"),2)/3600))</f>
        <v>31.716666666666669</v>
      </c>
      <c r="N1542" s="250">
        <v>443416</v>
      </c>
      <c r="O1542" s="251">
        <f>IF($N1542&gt;0,(LEFT(TEXT($N1542,"000000"),2)+(MID(TEXT($N1542,"000000"),3,2)/60)+(RIGHT(TEXT($N1542,"000000"),2)/3600)),-(MID(TEXT($N1542,"000000"),2,2)+(MID(TEXT($N1542,"000000"),4,2)/60)+(RIGHT(TEXT($N1542,"000000"),2)/3600)))</f>
        <v>44.571111111111115</v>
      </c>
      <c r="P1542" s="252" t="s">
        <v>36</v>
      </c>
      <c r="Q1542" s="253"/>
      <c r="R1542" s="247" t="s">
        <v>3293</v>
      </c>
      <c r="S1542" s="272" t="s">
        <v>3293</v>
      </c>
      <c r="T1542" s="273">
        <v>11.3</v>
      </c>
      <c r="U1542" s="289">
        <v>20.69</v>
      </c>
      <c r="V1542" s="280">
        <v>75</v>
      </c>
      <c r="W1542" s="244"/>
      <c r="X1542" s="244"/>
      <c r="Y1542" s="362"/>
      <c r="Z1542" s="257">
        <f>altaz(J2000_Bas,$O1542,$M1542,DecLat,DecLong,1)</f>
        <v>11.30724461124114</v>
      </c>
      <c r="AA1542" s="257">
        <f>altaz((J2000_Bas+(2*0.04167)),$O1542,$M1542,DecLat,DecLong,1)</f>
        <v>30.86408772088808</v>
      </c>
      <c r="AB1542" s="257">
        <f>altaz((J2000_Bas+(4*0.04167)),$O1542,$M1542,DecLat,DecLong,1)</f>
        <v>52.101874276374986</v>
      </c>
      <c r="AC1542" s="257">
        <f>altaz((J2000_Bas+(6*0.04167)),$O1542,$M1542,DecLat,DecLong,1)</f>
        <v>71.80214869445949</v>
      </c>
      <c r="AD1542" s="258">
        <f>1+ transit((J2000_Bas-1),$O1542,$M1542,DecLat,DecLong)/360 + (GMTOffset/24) + (IF(DST="Y", 1, 0)/24)</f>
        <v>1.0810018036713747</v>
      </c>
      <c r="AE1542" s="259">
        <f>DATE(2001,9,21)+(M1542/360)*365 - (360*((DecLong/360)- (GMTOffset/24) ))</f>
        <v>37192.157175925924</v>
      </c>
      <c r="AF1542" s="260">
        <f>IF(DecLat&gt;0,IF((90 - (DecLat-O1542))&gt;90, (90 - (O1542-DecLat)), (90 - (DecLat-O1542))),IF((90 + (DecLat-O1542))&gt;90, (90 + (O1542-DecLat)), (90 + (DecLat-O1542))))</f>
        <v>76.428888888888878</v>
      </c>
      <c r="AG1542" s="257">
        <f>angularseperation(MoonRA,MoonDec,$M1542,$O1542)</f>
        <v>145.34059733048258</v>
      </c>
      <c r="AH1542" s="261">
        <f ca="1">MIN(100,IF($O$5&gt;80,0+30*($AG1542/100),IF($O$5&gt;70,0+50*($AG1542/100),IF($O$5&gt;60,5+50*($AG1542/100),IF($O$5&gt;50,10+60*($AG1542/100),IF($O$5&gt;40,15+70*($AG1542/100),IF($O$5&gt;30,20+70*($AG1542/100),IF($O$5&gt;20,40+55*($AG1542/100),(80+(20-$O$5)+30*($AG1542/100))))))))))</f>
        <v>100</v>
      </c>
      <c r="AI1542" s="262">
        <v>812</v>
      </c>
      <c r="AJ1542" s="262"/>
      <c r="AK1542" s="262"/>
      <c r="AL1542" s="263"/>
      <c r="AM1542" s="264"/>
      <c r="AN1542" s="263"/>
      <c r="AO1542" s="263"/>
      <c r="AP1542" s="265"/>
      <c r="AQ1542" s="266">
        <v>1598</v>
      </c>
      <c r="AR1542" s="267">
        <v>8066</v>
      </c>
      <c r="AS1542" s="263"/>
      <c r="AT1542" s="263"/>
      <c r="AU1542" s="263"/>
      <c r="AV1542" s="264"/>
      <c r="AW1542" s="263"/>
      <c r="AX1542" s="263"/>
      <c r="AY1542" s="263"/>
      <c r="AZ1542" s="263"/>
      <c r="BA1542" s="263"/>
      <c r="BB1542" s="263"/>
      <c r="BC1542" s="263"/>
      <c r="BD1542" s="264"/>
      <c r="BE1542" s="263"/>
      <c r="BF1542" s="263"/>
      <c r="BG1542" s="263"/>
      <c r="BH1542" s="263">
        <v>27</v>
      </c>
      <c r="BI1542" s="263"/>
      <c r="BJ1542" s="404">
        <f>altaz(J2000_Bas,$O1542,$M1542,DecLat,DecLong,2)</f>
        <v>44.373205687034584</v>
      </c>
      <c r="BK1542" s="378" t="s">
        <v>1562</v>
      </c>
      <c r="BL1542" s="379">
        <f>IF((2*G1542)/60&lt;0.2,0.2,(2*G1542)/60)</f>
        <v>0.2</v>
      </c>
      <c r="BM1542" s="380">
        <f>MOD((50000+AD1542-$B$3+(0/24)),1)</f>
        <v>0.29636873337585712</v>
      </c>
      <c r="BN1542" s="381" t="s">
        <v>9221</v>
      </c>
      <c r="BO1542" s="382">
        <v>1535</v>
      </c>
    </row>
    <row r="1543" spans="1:67" s="24" customFormat="1" ht="15" customHeight="1" x14ac:dyDescent="0.25">
      <c r="A1543" s="288" t="s">
        <v>1563</v>
      </c>
      <c r="B1543" s="241" t="str">
        <f>HYPERLINK(CONCATENATE($AT$3,BK1543,$AU$3),$AV$3)</f>
        <v>S</v>
      </c>
      <c r="C1543" s="242" t="str">
        <f>HYPERLINK(CONCATENATE($AT$4,BK1543,$AU$4,BL1543),$AV$4)</f>
        <v>A</v>
      </c>
      <c r="D1543" s="243" t="s">
        <v>5638</v>
      </c>
      <c r="E1543" s="244" t="s">
        <v>5337</v>
      </c>
      <c r="F1543" s="269" t="s">
        <v>3316</v>
      </c>
      <c r="G1543" s="273">
        <v>2.5</v>
      </c>
      <c r="H1543" s="283">
        <v>240</v>
      </c>
      <c r="I1543" s="246">
        <v>170</v>
      </c>
      <c r="J1543" s="246">
        <v>3</v>
      </c>
      <c r="K1543" s="247" t="s">
        <v>6609</v>
      </c>
      <c r="L1543" s="248">
        <v>21010</v>
      </c>
      <c r="M1543" s="249">
        <f>15*(LEFT(TEXT($L1543,"000000"),2)+(MID(TEXT($L1543,"000000"),3,2)/60)+(RIGHT(TEXT($L1543,"000000"),2)/3600))</f>
        <v>32.541666666666664</v>
      </c>
      <c r="N1543" s="250">
        <v>391128</v>
      </c>
      <c r="O1543" s="251">
        <f>IF($N1543&gt;0,(LEFT(TEXT($N1543,"000000"),2)+(MID(TEXT($N1543,"000000"),3,2)/60)+(RIGHT(TEXT($N1543,"000000"),2)/3600)),-(MID(TEXT($N1543,"000000"),2,2)+(MID(TEXT($N1543,"000000"),4,2)/60)+(RIGHT(TEXT($N1543,"000000"),2)/3600)))</f>
        <v>39.191111111111105</v>
      </c>
      <c r="P1543" s="252" t="s">
        <v>36</v>
      </c>
      <c r="Q1543" s="253"/>
      <c r="R1543" s="247" t="s">
        <v>3293</v>
      </c>
      <c r="S1543" s="272" t="s">
        <v>3293</v>
      </c>
      <c r="T1543" s="273">
        <v>12.3</v>
      </c>
      <c r="U1543" s="289">
        <v>22.990000000000002</v>
      </c>
      <c r="V1543" s="280"/>
      <c r="W1543" s="244"/>
      <c r="X1543" s="244"/>
      <c r="Y1543" s="362"/>
      <c r="Z1543" s="257">
        <f>altaz(J2000_Bas,$O1543,$M1543,DecLat,DecLong,1)</f>
        <v>7.8361232287520872</v>
      </c>
      <c r="AA1543" s="257">
        <f>altaz((J2000_Bas+(2*0.04167)),$O1543,$M1543,DecLat,DecLong,1)</f>
        <v>28.754496712113259</v>
      </c>
      <c r="AB1543" s="257">
        <f>altaz((J2000_Bas+(4*0.04167)),$O1543,$M1543,DecLat,DecLong,1)</f>
        <v>51.614634902095567</v>
      </c>
      <c r="AC1543" s="257">
        <f>altaz((J2000_Bas+(6*0.04167)),$O1543,$M1543,DecLat,DecLong,1)</f>
        <v>74.395792279372372</v>
      </c>
      <c r="AD1543" s="258">
        <f>1+ transit((J2000_Bas-1),$O1543,$M1543,DecLat,DecLong)/360 + (GMTOffset/24) + (IF(DST="Y", 1, 0)/24)</f>
        <v>1.0832934701088746</v>
      </c>
      <c r="AE1543" s="259">
        <f>DATE(2001,9,21)+(M1543/360)*365 - (360*((DecLong/360)- (GMTOffset/24) ))</f>
        <v>37192.993634259263</v>
      </c>
      <c r="AF1543" s="260">
        <f>IF(DecLat&gt;0,IF((90 - (DecLat-O1543))&gt;90, (90 - (O1543-DecLat)), (90 - (DecLat-O1543))),IF((90 + (DecLat-O1543))&gt;90, (90 + (O1543-DecLat)), (90 + (DecLat-O1543))))</f>
        <v>81.808888888888902</v>
      </c>
      <c r="AG1543" s="257">
        <f>angularseperation(MoonRA,MoonDec,$M1543,$O1543)</f>
        <v>147.24278826261173</v>
      </c>
      <c r="AH1543" s="261">
        <f ca="1">MIN(100,IF($O$5&gt;80,0+30*($AG1543/100),IF($O$5&gt;70,0+50*($AG1543/100),IF($O$5&gt;60,5+50*($AG1543/100),IF($O$5&gt;50,10+60*($AG1543/100),IF($O$5&gt;40,15+70*($AG1543/100),IF($O$5&gt;30,20+70*($AG1543/100),IF($O$5&gt;20,40+55*($AG1543/100),(80+(20-$O$5)+30*($AG1543/100))))))))))</f>
        <v>100</v>
      </c>
      <c r="AI1543" s="262">
        <v>828</v>
      </c>
      <c r="AJ1543" s="262"/>
      <c r="AK1543" s="262"/>
      <c r="AL1543" s="263"/>
      <c r="AM1543" s="264"/>
      <c r="AN1543" s="263"/>
      <c r="AO1543" s="263"/>
      <c r="AP1543" s="265"/>
      <c r="AQ1543" s="266">
        <v>1655</v>
      </c>
      <c r="AR1543" s="267">
        <v>8283</v>
      </c>
      <c r="AS1543" s="263"/>
      <c r="AT1543" s="263"/>
      <c r="AU1543" s="263"/>
      <c r="AV1543" s="264"/>
      <c r="AW1543" s="263"/>
      <c r="AX1543" s="263"/>
      <c r="AY1543" s="263"/>
      <c r="AZ1543" s="263"/>
      <c r="BA1543" s="263"/>
      <c r="BB1543" s="263"/>
      <c r="BC1543" s="263"/>
      <c r="BD1543" s="264"/>
      <c r="BE1543" s="263"/>
      <c r="BF1543" s="263"/>
      <c r="BG1543" s="263"/>
      <c r="BH1543" s="263"/>
      <c r="BI1543" s="263"/>
      <c r="BJ1543" s="404">
        <f>altaz(J2000_Bas,$O1543,$M1543,DecLat,DecLong,2)</f>
        <v>48.588572967726421</v>
      </c>
      <c r="BK1543" s="378" t="s">
        <v>1563</v>
      </c>
      <c r="BL1543" s="379">
        <f>IF((2*G1543)/60&lt;0.2,0.2,(2*G1543)/60)</f>
        <v>0.2</v>
      </c>
      <c r="BM1543" s="380">
        <f>MOD((50000+AD1543-$B$3+(0/24)),1)</f>
        <v>0.29866039981425274</v>
      </c>
      <c r="BN1543" s="381" t="s">
        <v>9281</v>
      </c>
      <c r="BO1543" s="382">
        <v>1536</v>
      </c>
    </row>
    <row r="1544" spans="1:67" s="24" customFormat="1" ht="15" customHeight="1" x14ac:dyDescent="0.25">
      <c r="A1544" s="288" t="s">
        <v>7572</v>
      </c>
      <c r="B1544" s="241" t="str">
        <f>HYPERLINK(CONCATENATE($AT$3,BK1544,$AU$3),$AV$3)</f>
        <v>S</v>
      </c>
      <c r="C1544" s="242" t="str">
        <f>HYPERLINK(CONCATENATE($AT$4,BK1544,$AU$4,BL1544),$AV$4)</f>
        <v>A</v>
      </c>
      <c r="D1544" s="243" t="s">
        <v>5638</v>
      </c>
      <c r="E1544" s="244" t="s">
        <v>5625</v>
      </c>
      <c r="F1544" s="269">
        <v>7</v>
      </c>
      <c r="G1544" s="282">
        <v>25</v>
      </c>
      <c r="H1544" s="283">
        <v>175</v>
      </c>
      <c r="I1544" s="284">
        <v>1400</v>
      </c>
      <c r="J1544" s="246">
        <v>2</v>
      </c>
      <c r="K1544" s="247" t="s">
        <v>6610</v>
      </c>
      <c r="L1544" s="248">
        <v>20842</v>
      </c>
      <c r="M1544" s="249">
        <f>15*(LEFT(TEXT($L1544,"000000"),2)+(MID(TEXT($L1544,"000000"),3,2)/60)+(RIGHT(TEXT($L1544,"000000"),2)/3600))</f>
        <v>32.174999999999997</v>
      </c>
      <c r="N1544" s="250">
        <v>-74726</v>
      </c>
      <c r="O1544" s="251">
        <f>IF($N1544&gt;0,(LEFT(TEXT($N1544,"000000"),2)+(MID(TEXT($N1544,"000000"),3,2)/60)+(RIGHT(TEXT($N1544,"000000"),2)/3600)),-(MID(TEXT($N1544,"000000"),2,2)+(MID(TEXT($N1544,"000000"),4,2)/60)+(RIGHT(TEXT($N1544,"000000"),2)/3600)))</f>
        <v>-7.7905555555555557</v>
      </c>
      <c r="P1544" s="252" t="s">
        <v>75</v>
      </c>
      <c r="Q1544" s="253"/>
      <c r="R1544" s="277" t="s">
        <v>3293</v>
      </c>
      <c r="S1544" s="272" t="s">
        <v>3293</v>
      </c>
      <c r="T1544" s="273">
        <v>13.5</v>
      </c>
      <c r="U1544" s="289">
        <v>22.19</v>
      </c>
      <c r="V1544" s="280"/>
      <c r="W1544" s="244"/>
      <c r="X1544" s="244"/>
      <c r="Y1544" s="362"/>
      <c r="Z1544" s="257">
        <f>altaz(J2000_Bas,$O1544,$M1544,DecLat,DecLong,1)</f>
        <v>-17.839770586632834</v>
      </c>
      <c r="AA1544" s="257">
        <f>altaz((J2000_Bas+(2*0.04167)),$O1544,$M1544,DecLat,DecLong,1)</f>
        <v>7.7225154204531963</v>
      </c>
      <c r="AB1544" s="257">
        <f>altaz((J2000_Bas+(4*0.04167)),$O1544,$M1544,DecLat,DecLong,1)</f>
        <v>31.338493763517519</v>
      </c>
      <c r="AC1544" s="257">
        <f>altaz((J2000_Bas+(6*0.04167)),$O1544,$M1544,DecLat,DecLong,1)</f>
        <v>48.320287169147811</v>
      </c>
      <c r="AD1544" s="258">
        <f>1+ transit((J2000_Bas-1),$O1544,$M1544,DecLat,DecLong)/360 + (GMTOffset/24) + (IF(DST="Y", 1, 0)/24)</f>
        <v>1.0822749516922079</v>
      </c>
      <c r="AE1544" s="259">
        <f>DATE(2001,9,21)+(M1544/360)*365 - (360*((DecLong/360)- (GMTOffset/24) ))</f>
        <v>37192.621874999997</v>
      </c>
      <c r="AF1544" s="260">
        <f>IF(DecLat&gt;0,IF((90 - (DecLat-O1544))&gt;90, (90 - (O1544-DecLat)), (90 - (DecLat-O1544))),IF((90 + (DecLat-O1544))&gt;90, (90 + (O1544-DecLat)), (90 + (DecLat-O1544))))</f>
        <v>51.209444444444443</v>
      </c>
      <c r="AG1544" s="257">
        <f>angularseperation(MoonRA,MoonDec,$M1544,$O1544)</f>
        <v>129.95281514927206</v>
      </c>
      <c r="AH1544" s="261">
        <f ca="1">MIN(100,IF($O$5&gt;80,0+30*($AG1544/100),IF($O$5&gt;70,0+50*($AG1544/100),IF($O$5&gt;60,5+50*($AG1544/100),IF($O$5&gt;50,10+60*($AG1544/100),IF($O$5&gt;40,15+70*($AG1544/100),IF($O$5&gt;30,20+70*($AG1544/100),IF($O$5&gt;20,40+55*($AG1544/100),(80+(20-$O$5)+30*($AG1544/100))))))))))</f>
        <v>100</v>
      </c>
      <c r="AI1544" s="262">
        <v>829</v>
      </c>
      <c r="AJ1544" s="263"/>
      <c r="AK1544" s="263"/>
      <c r="AL1544" s="263"/>
      <c r="AM1544" s="264"/>
      <c r="AN1544" s="263"/>
      <c r="AO1544" s="263"/>
      <c r="AP1544" s="265"/>
      <c r="AQ1544" s="265"/>
      <c r="AR1544" s="285">
        <v>8182</v>
      </c>
      <c r="AS1544" s="263"/>
      <c r="AT1544" s="263"/>
      <c r="AU1544" s="263"/>
      <c r="AV1544" s="264"/>
      <c r="AW1544" s="263"/>
      <c r="AX1544" s="263"/>
      <c r="AY1544" s="263"/>
      <c r="AZ1544" s="263"/>
      <c r="BA1544" s="263"/>
      <c r="BB1544" s="263"/>
      <c r="BC1544" s="263"/>
      <c r="BD1544" s="264"/>
      <c r="BE1544" s="263"/>
      <c r="BF1544" s="263"/>
      <c r="BG1544" s="263"/>
      <c r="BH1544" s="263"/>
      <c r="BI1544" s="263"/>
      <c r="BJ1544" s="404">
        <f>altaz(J2000_Bas,$O1544,$M1544,DecLat,DecLong,2)</f>
        <v>88.438628919946922</v>
      </c>
      <c r="BK1544" s="378" t="s">
        <v>1564</v>
      </c>
      <c r="BL1544" s="379">
        <f>IF((2*G1544)/60&lt;0.2,0.2,(2*G1544)/60)</f>
        <v>0.83333333333333337</v>
      </c>
      <c r="BM1544" s="380">
        <f>MOD((50000+AD1544-$B$3+(0/24)),1)</f>
        <v>0.29764188139961334</v>
      </c>
      <c r="BN1544" s="381"/>
      <c r="BO1544" s="382">
        <v>1537</v>
      </c>
    </row>
    <row r="1545" spans="1:67" s="24" customFormat="1" ht="15" customHeight="1" x14ac:dyDescent="0.25">
      <c r="A1545" s="288" t="s">
        <v>1565</v>
      </c>
      <c r="B1545" s="241" t="str">
        <f>HYPERLINK(CONCATENATE($AT$3,BK1545,$AU$3),$AV$3)</f>
        <v>S</v>
      </c>
      <c r="C1545" s="242" t="str">
        <f>HYPERLINK(CONCATENATE($AT$4,BK1545,$AU$4,BL1545),$AV$4)</f>
        <v>A</v>
      </c>
      <c r="D1545" s="243" t="s">
        <v>5638</v>
      </c>
      <c r="E1545" s="244" t="s">
        <v>5192</v>
      </c>
      <c r="F1545" s="269" t="s">
        <v>8895</v>
      </c>
      <c r="G1545" s="273">
        <v>5</v>
      </c>
      <c r="H1545" s="283">
        <v>70</v>
      </c>
      <c r="I1545" s="246">
        <v>100</v>
      </c>
      <c r="J1545" s="246">
        <v>3</v>
      </c>
      <c r="K1545" s="247" t="s">
        <v>6611</v>
      </c>
      <c r="L1545" s="248">
        <v>21528</v>
      </c>
      <c r="M1545" s="249">
        <f>15*(LEFT(TEXT($L1545,"000000"),2)+(MID(TEXT($L1545,"000000"),3,2)/60)+(RIGHT(TEXT($L1545,"000000"),2)/3600))</f>
        <v>33.866666666666667</v>
      </c>
      <c r="N1545" s="250">
        <v>60007</v>
      </c>
      <c r="O1545" s="251">
        <f>IF($N1545&gt;0,(LEFT(TEXT($N1545,"000000"),2)+(MID(TEXT($N1545,"000000"),3,2)/60)+(RIGHT(TEXT($N1545,"000000"),2)/3600)),-(MID(TEXT($N1545,"000000"),2,2)+(MID(TEXT($N1545,"000000"),4,2)/60)+(RIGHT(TEXT($N1545,"000000"),2)/3600)))</f>
        <v>6.0019444444444447</v>
      </c>
      <c r="P1545" s="252" t="s">
        <v>75</v>
      </c>
      <c r="Q1545" s="253"/>
      <c r="R1545" s="247" t="s">
        <v>3293</v>
      </c>
      <c r="S1545" s="272" t="s">
        <v>3293</v>
      </c>
      <c r="T1545" s="273">
        <v>10.9</v>
      </c>
      <c r="U1545" s="289">
        <v>22.59</v>
      </c>
      <c r="V1545" s="280">
        <v>60</v>
      </c>
      <c r="W1545" s="244"/>
      <c r="X1545" s="244"/>
      <c r="Y1545" s="362"/>
      <c r="Z1545" s="257">
        <f>altaz(J2000_Bas,$O1545,$M1545,DecLat,DecLong,1)</f>
        <v>-11.984622617226186</v>
      </c>
      <c r="AA1545" s="257">
        <f>altaz((J2000_Bas+(2*0.04167)),$O1545,$M1545,DecLat,DecLong,1)</f>
        <v>13.550330992127263</v>
      </c>
      <c r="AB1545" s="257">
        <f>altaz((J2000_Bas+(4*0.04167)),$O1545,$M1545,DecLat,DecLong,1)</f>
        <v>38.87556558571228</v>
      </c>
      <c r="AC1545" s="257">
        <f>altaz((J2000_Bas+(6*0.04167)),$O1545,$M1545,DecLat,DecLong,1)</f>
        <v>60.0397185404534</v>
      </c>
      <c r="AD1545" s="258">
        <f>1+ transit((J2000_Bas-1),$O1545,$M1545,DecLat,DecLong)/360 + (GMTOffset/24) + (IF(DST="Y", 1, 0)/24)</f>
        <v>1.0869740252963747</v>
      </c>
      <c r="AE1545" s="259">
        <f>DATE(2001,9,21)+(M1545/360)*365 - (360*((DecLong/360)- (GMTOffset/24) ))</f>
        <v>37194.337037037039</v>
      </c>
      <c r="AF1545" s="260">
        <f>IF(DecLat&gt;0,IF((90 - (DecLat-O1545))&gt;90, (90 - (O1545-DecLat)), (90 - (DecLat-O1545))),IF((90 + (DecLat-O1545))&gt;90, (90 + (O1545-DecLat)), (90 + (DecLat-O1545))))</f>
        <v>65.001944444444447</v>
      </c>
      <c r="AG1545" s="257">
        <f>angularseperation(MoonRA,MoonDec,$M1545,$O1545)</f>
        <v>140.31712941852004</v>
      </c>
      <c r="AH1545" s="261">
        <f ca="1">MIN(100,IF($O$5&gt;80,0+30*($AG1545/100),IF($O$5&gt;70,0+50*($AG1545/100),IF($O$5&gt;60,5+50*($AG1545/100),IF($O$5&gt;50,10+60*($AG1545/100),IF($O$5&gt;40,15+70*($AG1545/100),IF($O$5&gt;30,20+70*($AG1545/100),IF($O$5&gt;20,40+55*($AG1545/100),(80+(20-$O$5)+30*($AG1545/100))))))))))</f>
        <v>100</v>
      </c>
      <c r="AI1545" s="262">
        <v>864</v>
      </c>
      <c r="AJ1545" s="262"/>
      <c r="AK1545" s="262"/>
      <c r="AL1545" s="263"/>
      <c r="AM1545" s="264"/>
      <c r="AN1545" s="263"/>
      <c r="AO1545" s="263"/>
      <c r="AP1545" s="265"/>
      <c r="AQ1545" s="266">
        <v>1736</v>
      </c>
      <c r="AR1545" s="267">
        <v>8631</v>
      </c>
      <c r="AS1545" s="263"/>
      <c r="AT1545" s="263"/>
      <c r="AU1545" s="263"/>
      <c r="AV1545" s="264"/>
      <c r="AW1545" s="263"/>
      <c r="AX1545" s="263"/>
      <c r="AY1545" s="263"/>
      <c r="AZ1545" s="263"/>
      <c r="BA1545" s="263"/>
      <c r="BB1545" s="263"/>
      <c r="BC1545" s="263"/>
      <c r="BD1545" s="264"/>
      <c r="BE1545" s="263"/>
      <c r="BF1545" s="263"/>
      <c r="BG1545" s="263"/>
      <c r="BH1545" s="263"/>
      <c r="BI1545" s="263"/>
      <c r="BJ1545" s="404">
        <f>altaz(J2000_Bas,$O1545,$M1545,DecLat,DecLong,2)</f>
        <v>75.389172635226572</v>
      </c>
      <c r="BK1545" s="378" t="s">
        <v>1565</v>
      </c>
      <c r="BL1545" s="379">
        <f>IF((2*G1545)/60&lt;0.2,0.2,(2*G1545)/60)</f>
        <v>0.2</v>
      </c>
      <c r="BM1545" s="380">
        <f>MOD((50000+AD1545-$B$3+(0/24)),1)</f>
        <v>0.30234095500054536</v>
      </c>
      <c r="BN1545" s="381"/>
      <c r="BO1545" s="382">
        <v>1538</v>
      </c>
    </row>
    <row r="1546" spans="1:67" s="24" customFormat="1" ht="15" customHeight="1" x14ac:dyDescent="0.25">
      <c r="A1546" s="288" t="s">
        <v>1566</v>
      </c>
      <c r="B1546" s="241" t="str">
        <f>HYPERLINK(CONCATENATE($AT$3,BK1546,$AU$3),$AV$3)</f>
        <v>S</v>
      </c>
      <c r="C1546" s="242" t="str">
        <f>HYPERLINK(CONCATENATE($AT$4,BK1546,$AU$4,BL1546),$AV$4)</f>
        <v>A</v>
      </c>
      <c r="D1546" s="243" t="s">
        <v>5335</v>
      </c>
      <c r="E1546" s="244" t="s">
        <v>5185</v>
      </c>
      <c r="F1546" s="269" t="s">
        <v>6614</v>
      </c>
      <c r="G1546" s="276">
        <v>20</v>
      </c>
      <c r="H1546" s="283">
        <v>7000</v>
      </c>
      <c r="I1546" s="246">
        <v>40</v>
      </c>
      <c r="J1546" s="246">
        <v>5</v>
      </c>
      <c r="K1546" s="247" t="s">
        <v>6615</v>
      </c>
      <c r="L1546" s="248">
        <v>21900</v>
      </c>
      <c r="M1546" s="249">
        <f>15*(LEFT(TEXT($L1546,"000000"),2)+(MID(TEXT($L1546,"000000"),3,2)/60)+(RIGHT(TEXT($L1546,"000000"),2)/3600))</f>
        <v>34.75</v>
      </c>
      <c r="N1546" s="250">
        <v>570742</v>
      </c>
      <c r="O1546" s="251">
        <f>IF($N1546&gt;0,(LEFT(TEXT($N1546,"000000"),2)+(MID(TEXT($N1546,"000000"),3,2)/60)+(RIGHT(TEXT($N1546,"000000"),2)/3600)),-(MID(TEXT($N1546,"000000"),2,2)+(MID(TEXT($N1546,"000000"),4,2)/60)+(RIGHT(TEXT($N1546,"000000"),2)/3600)))</f>
        <v>57.12833333333333</v>
      </c>
      <c r="P1546" s="252" t="s">
        <v>43</v>
      </c>
      <c r="Q1546" s="253" t="s">
        <v>3254</v>
      </c>
      <c r="R1546" s="277" t="s">
        <v>7338</v>
      </c>
      <c r="S1546" s="272" t="s">
        <v>6613</v>
      </c>
      <c r="T1546" s="273">
        <v>5.3</v>
      </c>
      <c r="U1546" s="274"/>
      <c r="V1546" s="280"/>
      <c r="W1546" s="244"/>
      <c r="X1546" s="244"/>
      <c r="Y1546" s="362"/>
      <c r="Z1546" s="257">
        <f>altaz(J2000_Bas,$O1546,$M1546,DecLat,DecLong,1)</f>
        <v>16.442302622322398</v>
      </c>
      <c r="AA1546" s="257">
        <f>altaz((J2000_Bas+(2*0.04167)),$O1546,$M1546,DecLat,DecLong,1)</f>
        <v>31.603069047470477</v>
      </c>
      <c r="AB1546" s="257">
        <f>altaz((J2000_Bas+(4*0.04167)),$O1546,$M1546,DecLat,DecLong,1)</f>
        <v>47.763150708693608</v>
      </c>
      <c r="AC1546" s="257">
        <f>altaz((J2000_Bas+(6*0.04167)),$O1546,$M1546,DecLat,DecLong,1)</f>
        <v>60.901430821450816</v>
      </c>
      <c r="AD1546" s="258">
        <f>1+ transit((J2000_Bas-1),$O1546,$M1546,DecLat,DecLong)/360 + (GMTOffset/24) + (IF(DST="Y", 1, 0)/24)</f>
        <v>1.0894277287547081</v>
      </c>
      <c r="AE1546" s="259">
        <f>DATE(2001,9,21)+(M1546/360)*365 - (360*((DecLong/360)- (GMTOffset/24) ))</f>
        <v>37195.232638888891</v>
      </c>
      <c r="AF1546" s="260">
        <f>IF(DecLat&gt;0,IF((90 - (DecLat-O1546))&gt;90, (90 - (O1546-DecLat)), (90 - (DecLat-O1546))),IF((90 + (DecLat-O1546))&gt;90, (90 + (O1546-DecLat)), (90 + (DecLat-O1546))))</f>
        <v>63.87166666666667</v>
      </c>
      <c r="AG1546" s="257">
        <f>angularseperation(MoonRA,MoonDec,$M1546,$O1546)</f>
        <v>141.32365562107435</v>
      </c>
      <c r="AH1546" s="261">
        <f ca="1">MIN(100,IF($O$5&gt;80,0+30*($AG1546/100),IF($O$5&gt;70,0+50*($AG1546/100),IF($O$5&gt;60,5+50*($AG1546/100),IF($O$5&gt;50,10+60*($AG1546/100),IF($O$5&gt;40,15+70*($AG1546/100),IF($O$5&gt;30,20+70*($AG1546/100),IF($O$5&gt;20,40+55*($AG1546/100),(80+(20-$O$5)+30*($AG1546/100))))))))))</f>
        <v>100</v>
      </c>
      <c r="AI1546" s="262">
        <v>869</v>
      </c>
      <c r="AJ1546" s="262"/>
      <c r="AK1546" s="262">
        <v>34</v>
      </c>
      <c r="AL1546" s="263"/>
      <c r="AM1546" s="264">
        <v>14</v>
      </c>
      <c r="AN1546" s="263"/>
      <c r="AO1546" s="263"/>
      <c r="AP1546" s="265"/>
      <c r="AQ1546" s="266"/>
      <c r="AR1546" s="267"/>
      <c r="AS1546" s="263"/>
      <c r="AT1546" s="263"/>
      <c r="AU1546" s="263"/>
      <c r="AV1546" s="264"/>
      <c r="AW1546" s="263"/>
      <c r="AX1546" s="263"/>
      <c r="AY1546" s="263"/>
      <c r="AZ1546" s="263"/>
      <c r="BA1546" s="263"/>
      <c r="BB1546" s="263"/>
      <c r="BC1546" s="263"/>
      <c r="BD1546" s="264"/>
      <c r="BE1546" s="263"/>
      <c r="BF1546" s="263"/>
      <c r="BG1546" s="263"/>
      <c r="BH1546" s="263"/>
      <c r="BI1546" s="263"/>
      <c r="BJ1546" s="404">
        <f>altaz(J2000_Bas,$O1546,$M1546,DecLat,DecLong,2)</f>
        <v>32.403447678823646</v>
      </c>
      <c r="BK1546" s="378" t="s">
        <v>1566</v>
      </c>
      <c r="BL1546" s="379">
        <f>IF((2*G1546)/60&lt;0.2,0.2,(2*G1546)/60)</f>
        <v>0.66666666666666663</v>
      </c>
      <c r="BM1546" s="380">
        <f>MOD((50000+AD1546-$B$3+(0/24)),1)</f>
        <v>0.30479465845564846</v>
      </c>
      <c r="BN1546" s="381"/>
      <c r="BO1546" s="382">
        <v>1539</v>
      </c>
    </row>
    <row r="1547" spans="1:67" s="24" customFormat="1" ht="15" customHeight="1" x14ac:dyDescent="0.25">
      <c r="A1547" s="288" t="s">
        <v>1567</v>
      </c>
      <c r="B1547" s="241" t="str">
        <f>HYPERLINK(CONCATENATE($AT$3,BK1547,$AU$3),$AV$3)</f>
        <v>S</v>
      </c>
      <c r="C1547" s="242" t="str">
        <f>HYPERLINK(CONCATENATE($AT$4,BK1547,$AU$4,BL1547),$AV$4)</f>
        <v>A</v>
      </c>
      <c r="D1547" s="243" t="s">
        <v>5638</v>
      </c>
      <c r="E1547" s="244" t="s">
        <v>5192</v>
      </c>
      <c r="F1547" s="269" t="s">
        <v>8898</v>
      </c>
      <c r="G1547" s="273">
        <v>1.6</v>
      </c>
      <c r="H1547" s="283">
        <v>179.72603999999998</v>
      </c>
      <c r="I1547" s="246">
        <v>90</v>
      </c>
      <c r="J1547" s="246">
        <v>2</v>
      </c>
      <c r="K1547" s="247" t="s">
        <v>6617</v>
      </c>
      <c r="L1547" s="248">
        <v>21800</v>
      </c>
      <c r="M1547" s="249">
        <f>15*(LEFT(TEXT($L1547,"000000"),2)+(MID(TEXT($L1547,"000000"),3,2)/60)+(RIGHT(TEXT($L1547,"000000"),2)/3600))</f>
        <v>34.5</v>
      </c>
      <c r="N1547" s="250">
        <v>143239</v>
      </c>
      <c r="O1547" s="251">
        <f>IF($N1547&gt;0,(LEFT(TEXT($N1547,"000000"),2)+(MID(TEXT($N1547,"000000"),3,2)/60)+(RIGHT(TEXT($N1547,"000000"),2)/3600)),-(MID(TEXT($N1547,"000000"),2,2)+(MID(TEXT($N1547,"000000"),4,2)/60)+(RIGHT(TEXT($N1547,"000000"),2)/3600)))</f>
        <v>14.544166666666667</v>
      </c>
      <c r="P1547" s="252" t="s">
        <v>249</v>
      </c>
      <c r="Q1547" s="253"/>
      <c r="R1547" s="247" t="s">
        <v>3293</v>
      </c>
      <c r="S1547" s="272" t="s">
        <v>3293</v>
      </c>
      <c r="T1547" s="273">
        <v>11.9</v>
      </c>
      <c r="U1547" s="289">
        <v>22.29</v>
      </c>
      <c r="V1547" s="280">
        <v>40</v>
      </c>
      <c r="W1547" s="244"/>
      <c r="X1547" s="244"/>
      <c r="Y1547" s="362"/>
      <c r="Z1547" s="257">
        <f>altaz(J2000_Bas,$O1547,$M1547,DecLat,DecLong,1)</f>
        <v>-7.6945343746121146</v>
      </c>
      <c r="AA1547" s="257">
        <f>altaz((J2000_Bas+(2*0.04167)),$O1547,$M1547,DecLat,DecLong,1)</f>
        <v>17.21701320082202</v>
      </c>
      <c r="AB1547" s="257">
        <f>altaz((J2000_Bas+(4*0.04167)),$O1547,$M1547,DecLat,DecLong,1)</f>
        <v>42.919842235506565</v>
      </c>
      <c r="AC1547" s="257">
        <f>altaz((J2000_Bas+(6*0.04167)),$O1547,$M1547,DecLat,DecLong,1)</f>
        <v>66.539130139289753</v>
      </c>
      <c r="AD1547" s="258">
        <f>1+ transit((J2000_Bas-1),$O1547,$M1547,DecLat,DecLong)/360 + (GMTOffset/24) + (IF(DST="Y", 1, 0)/24)</f>
        <v>1.088733284379708</v>
      </c>
      <c r="AE1547" s="259">
        <f>DATE(2001,9,21)+(M1547/360)*365 - (360*((DecLong/360)- (GMTOffset/24) ))</f>
        <v>37194.979166666664</v>
      </c>
      <c r="AF1547" s="260">
        <f>IF(DecLat&gt;0,IF((90 - (DecLat-O1547))&gt;90, (90 - (O1547-DecLat)), (90 - (DecLat-O1547))),IF((90 + (DecLat-O1547))&gt;90, (90 + (O1547-DecLat)), (90 + (DecLat-O1547))))</f>
        <v>73.544166666666669</v>
      </c>
      <c r="AG1547" s="257">
        <f>angularseperation(MoonRA,MoonDec,$M1547,$O1547)</f>
        <v>145.33667105213664</v>
      </c>
      <c r="AH1547" s="261">
        <f ca="1">MIN(100,IF($O$5&gt;80,0+30*($AG1547/100),IF($O$5&gt;70,0+50*($AG1547/100),IF($O$5&gt;60,5+50*($AG1547/100),IF($O$5&gt;50,10+60*($AG1547/100),IF($O$5&gt;40,15+70*($AG1547/100),IF($O$5&gt;30,20+70*($AG1547/100),IF($O$5&gt;20,40+55*($AG1547/100),(80+(20-$O$5)+30*($AG1547/100))))))))))</f>
        <v>100</v>
      </c>
      <c r="AI1547" s="262">
        <v>877</v>
      </c>
      <c r="AJ1547" s="262"/>
      <c r="AK1547" s="262"/>
      <c r="AL1547" s="263"/>
      <c r="AM1547" s="264"/>
      <c r="AN1547" s="263"/>
      <c r="AO1547" s="263"/>
      <c r="AP1547" s="265"/>
      <c r="AQ1547" s="266">
        <v>1768</v>
      </c>
      <c r="AR1547" s="267">
        <v>8775</v>
      </c>
      <c r="AS1547" s="263"/>
      <c r="AT1547" s="263"/>
      <c r="AU1547" s="263"/>
      <c r="AV1547" s="264"/>
      <c r="AW1547" s="263"/>
      <c r="AX1547" s="263"/>
      <c r="AY1547" s="263"/>
      <c r="AZ1547" s="263"/>
      <c r="BA1547" s="263"/>
      <c r="BB1547" s="263"/>
      <c r="BC1547" s="263"/>
      <c r="BD1547" s="264"/>
      <c r="BE1547" s="263"/>
      <c r="BF1547" s="263"/>
      <c r="BG1547" s="263"/>
      <c r="BH1547" s="263"/>
      <c r="BI1547" s="263"/>
      <c r="BJ1547" s="404">
        <f>altaz(J2000_Bas,$O1547,$M1547,DecLat,DecLong,2)</f>
        <v>67.863444698627134</v>
      </c>
      <c r="BK1547" s="378" t="s">
        <v>1567</v>
      </c>
      <c r="BL1547" s="379">
        <f>IF((2*G1547)/60&lt;0.2,0.2,(2*G1547)/60)</f>
        <v>0.2</v>
      </c>
      <c r="BM1547" s="380">
        <f>MOD((50000+AD1547-$B$3+(0/24)),1)</f>
        <v>0.30410021408169996</v>
      </c>
      <c r="BN1547" s="381" t="s">
        <v>9218</v>
      </c>
      <c r="BO1547" s="382">
        <v>1540</v>
      </c>
    </row>
    <row r="1548" spans="1:67" s="24" customFormat="1" ht="15" customHeight="1" x14ac:dyDescent="0.25">
      <c r="A1548" s="288" t="s">
        <v>3207</v>
      </c>
      <c r="B1548" s="241" t="str">
        <f>HYPERLINK(CONCATENATE($AT$3,BK1548,$AU$3),$AV$3)</f>
        <v>S</v>
      </c>
      <c r="C1548" s="242" t="str">
        <f>HYPERLINK(CONCATENATE($AT$4,BK1548,$AU$4,BL1548),$AV$4)</f>
        <v>A</v>
      </c>
      <c r="D1548" s="243" t="s">
        <v>5335</v>
      </c>
      <c r="E1548" s="244" t="s">
        <v>5185</v>
      </c>
      <c r="F1548" s="269" t="s">
        <v>6614</v>
      </c>
      <c r="G1548" s="276">
        <v>30</v>
      </c>
      <c r="H1548" s="283">
        <v>7000</v>
      </c>
      <c r="I1548" s="246">
        <v>60</v>
      </c>
      <c r="J1548" s="246">
        <v>4</v>
      </c>
      <c r="K1548" s="247" t="s">
        <v>6616</v>
      </c>
      <c r="L1548" s="248">
        <v>22224</v>
      </c>
      <c r="M1548" s="249">
        <f>15*(LEFT(TEXT($L1548,"000000"),2)+(MID(TEXT($L1548,"000000"),3,2)/60)+(RIGHT(TEXT($L1548,"000000"),2)/3600))</f>
        <v>35.6</v>
      </c>
      <c r="N1548" s="250">
        <v>570700</v>
      </c>
      <c r="O1548" s="251">
        <f>IF($N1548&gt;0,(LEFT(TEXT($N1548,"000000"),2)+(MID(TEXT($N1548,"000000"),3,2)/60)+(RIGHT(TEXT($N1548,"000000"),2)/3600)),-(MID(TEXT($N1548,"000000"),2,2)+(MID(TEXT($N1548,"000000"),4,2)/60)+(RIGHT(TEXT($N1548,"000000"),2)/3600)))</f>
        <v>57.116666666666667</v>
      </c>
      <c r="P1548" s="252" t="s">
        <v>43</v>
      </c>
      <c r="Q1548" s="253" t="s">
        <v>3253</v>
      </c>
      <c r="R1548" s="277" t="s">
        <v>3293</v>
      </c>
      <c r="S1548" s="272" t="s">
        <v>6612</v>
      </c>
      <c r="T1548" s="273">
        <v>6.1</v>
      </c>
      <c r="U1548" s="274"/>
      <c r="V1548" s="280"/>
      <c r="W1548" s="244"/>
      <c r="X1548" s="244"/>
      <c r="Y1548" s="362"/>
      <c r="Z1548" s="257">
        <f>altaz(J2000_Bas,$O1548,$M1548,DecLat,DecLong,1)</f>
        <v>16.046925116211767</v>
      </c>
      <c r="AA1548" s="257">
        <f>altaz((J2000_Bas+(2*0.04167)),$O1548,$M1548,DecLat,DecLong,1)</f>
        <v>31.14624189574868</v>
      </c>
      <c r="AB1548" s="257">
        <f>altaz((J2000_Bas+(4*0.04167)),$O1548,$M1548,DecLat,DecLong,1)</f>
        <v>47.324261607506628</v>
      </c>
      <c r="AC1548" s="257">
        <f>altaz((J2000_Bas+(6*0.04167)),$O1548,$M1548,DecLat,DecLong,1)</f>
        <v>60.648376273085596</v>
      </c>
      <c r="AD1548" s="258">
        <f>1+ transit((J2000_Bas-1),$O1548,$M1548,DecLat,DecLong)/360 + (GMTOffset/24) + (IF(DST="Y", 1, 0)/24)</f>
        <v>1.091788839629708</v>
      </c>
      <c r="AE1548" s="259">
        <f>DATE(2001,9,21)+(M1548/360)*365 - (360*((DecLong/360)- (GMTOffset/24) ))</f>
        <v>37196.094444444447</v>
      </c>
      <c r="AF1548" s="260">
        <f>IF(DecLat&gt;0,IF((90 - (DecLat-O1548))&gt;90, (90 - (O1548-DecLat)), (90 - (DecLat-O1548))),IF((90 + (DecLat-O1548))&gt;90, (90 + (O1548-DecLat)), (90 + (DecLat-O1548))))</f>
        <v>63.883333333333333</v>
      </c>
      <c r="AG1548" s="257">
        <f>angularseperation(MoonRA,MoonDec,$M1548,$O1548)</f>
        <v>141.70039761483568</v>
      </c>
      <c r="AH1548" s="261">
        <f ca="1">MIN(100,IF($O$5&gt;80,0+30*($AG1548/100),IF($O$5&gt;70,0+50*($AG1548/100),IF($O$5&gt;60,5+50*($AG1548/100),IF($O$5&gt;50,10+60*($AG1548/100),IF($O$5&gt;40,15+70*($AG1548/100),IF($O$5&gt;30,20+70*($AG1548/100),IF($O$5&gt;20,40+55*($AG1548/100),(80+(20-$O$5)+30*($AG1548/100))))))))))</f>
        <v>100</v>
      </c>
      <c r="AI1548" s="262">
        <v>884</v>
      </c>
      <c r="AJ1548" s="263"/>
      <c r="AK1548" s="263">
        <v>35</v>
      </c>
      <c r="AL1548" s="263"/>
      <c r="AM1548" s="264"/>
      <c r="AN1548" s="263"/>
      <c r="AO1548" s="263"/>
      <c r="AP1548" s="265"/>
      <c r="AQ1548" s="265"/>
      <c r="AR1548" s="285"/>
      <c r="AS1548" s="263"/>
      <c r="AT1548" s="263"/>
      <c r="AU1548" s="263"/>
      <c r="AV1548" s="264"/>
      <c r="AW1548" s="263"/>
      <c r="AX1548" s="263"/>
      <c r="AY1548" s="263"/>
      <c r="AZ1548" s="263"/>
      <c r="BA1548" s="263"/>
      <c r="BB1548" s="263"/>
      <c r="BC1548" s="263"/>
      <c r="BD1548" s="264"/>
      <c r="BE1548" s="263"/>
      <c r="BF1548" s="263"/>
      <c r="BG1548" s="263"/>
      <c r="BH1548" s="263"/>
      <c r="BI1548" s="263"/>
      <c r="BJ1548" s="404">
        <f>altaz(J2000_Bas,$O1548,$M1548,DecLat,DecLong,2)</f>
        <v>32.155391370093533</v>
      </c>
      <c r="BK1548" s="378" t="s">
        <v>3207</v>
      </c>
      <c r="BL1548" s="379">
        <f>IF((2*G1548)/60&lt;0.2,0.2,(2*G1548)/60)</f>
        <v>1</v>
      </c>
      <c r="BM1548" s="380">
        <f>MOD((50000+AD1548-$B$3+(0/24)),1)</f>
        <v>0.30715576933289412</v>
      </c>
      <c r="BN1548" s="381"/>
      <c r="BO1548" s="382">
        <v>1541</v>
      </c>
    </row>
    <row r="1549" spans="1:67" s="24" customFormat="1" ht="15" customHeight="1" x14ac:dyDescent="0.25">
      <c r="A1549" s="288" t="s">
        <v>1568</v>
      </c>
      <c r="B1549" s="241" t="str">
        <f>HYPERLINK(CONCATENATE($AT$3,BK1549,$AU$3),$AV$3)</f>
        <v>S</v>
      </c>
      <c r="C1549" s="242" t="str">
        <f>HYPERLINK(CONCATENATE($AT$4,BK1549,$AU$4,BL1549),$AV$4)</f>
        <v>A</v>
      </c>
      <c r="D1549" s="243" t="s">
        <v>5638</v>
      </c>
      <c r="E1549" s="244" t="s">
        <v>5192</v>
      </c>
      <c r="F1549" s="269" t="s">
        <v>8700</v>
      </c>
      <c r="G1549" s="276">
        <v>12</v>
      </c>
      <c r="H1549" s="283">
        <v>30</v>
      </c>
      <c r="I1549" s="246">
        <v>100</v>
      </c>
      <c r="J1549" s="246">
        <v>4</v>
      </c>
      <c r="K1549" s="247" t="s">
        <v>6618</v>
      </c>
      <c r="L1549" s="248">
        <v>22233</v>
      </c>
      <c r="M1549" s="249">
        <f>15*(LEFT(TEXT($L1549,"000000"),2)+(MID(TEXT($L1549,"000000"),3,2)/60)+(RIGHT(TEXT($L1549,"000000"),2)/3600))</f>
        <v>35.637500000000003</v>
      </c>
      <c r="N1549" s="250">
        <v>422054</v>
      </c>
      <c r="O1549" s="251">
        <f>IF($N1549&gt;0,(LEFT(TEXT($N1549,"000000"),2)+(MID(TEXT($N1549,"000000"),3,2)/60)+(RIGHT(TEXT($N1549,"000000"),2)/3600)),-(MID(TEXT($N1549,"000000"),2,2)+(MID(TEXT($N1549,"000000"),4,2)/60)+(RIGHT(TEXT($N1549,"000000"),2)/3600)))</f>
        <v>42.348333333333336</v>
      </c>
      <c r="P1549" s="252" t="s">
        <v>36</v>
      </c>
      <c r="Q1549" s="253" t="s">
        <v>6892</v>
      </c>
      <c r="R1549" s="247" t="s">
        <v>7347</v>
      </c>
      <c r="S1549" s="272" t="s">
        <v>3293</v>
      </c>
      <c r="T1549" s="273">
        <v>9.9</v>
      </c>
      <c r="U1549" s="289">
        <v>22.490000000000002</v>
      </c>
      <c r="V1549" s="280">
        <v>90</v>
      </c>
      <c r="W1549" s="244"/>
      <c r="X1549" s="244"/>
      <c r="Y1549" s="362"/>
      <c r="Z1549" s="257">
        <f>altaz(J2000_Bas,$O1549,$M1549,DecLat,DecLong,1)</f>
        <v>7.7052094430069609</v>
      </c>
      <c r="AA1549" s="257">
        <f>altaz((J2000_Bas+(2*0.04167)),$O1549,$M1549,DecLat,DecLong,1)</f>
        <v>27.506383358880303</v>
      </c>
      <c r="AB1549" s="257">
        <f>altaz((J2000_Bas+(4*0.04167)),$O1549,$M1549,DecLat,DecLong,1)</f>
        <v>49.346357032825217</v>
      </c>
      <c r="AC1549" s="257">
        <f>altaz((J2000_Bas+(6*0.04167)),$O1549,$M1549,DecLat,DecLong,1)</f>
        <v>70.830166244336837</v>
      </c>
      <c r="AD1549" s="258">
        <f>1+ transit((J2000_Bas-1),$O1549,$M1549,DecLat,DecLong)/360 + (GMTOffset/24) + (IF(DST="Y", 1, 0)/24)</f>
        <v>1.091893006285958</v>
      </c>
      <c r="AE1549" s="259">
        <f>DATE(2001,9,21)+(M1549/360)*365 - (360*((DecLong/360)- (GMTOffset/24) ))</f>
        <v>37196.132465277777</v>
      </c>
      <c r="AF1549" s="260">
        <f>IF(DecLat&gt;0,IF((90 - (DecLat-O1549))&gt;90, (90 - (O1549-DecLat)), (90 - (DecLat-O1549))),IF((90 + (DecLat-O1549))&gt;90, (90 + (O1549-DecLat)), (90 + (DecLat-O1549))))</f>
        <v>78.651666666666671</v>
      </c>
      <c r="AG1549" s="257">
        <f>angularseperation(MoonRA,MoonDec,$M1549,$O1549)</f>
        <v>148.73248380704385</v>
      </c>
      <c r="AH1549" s="261">
        <f ca="1">MIN(100,IF($O$5&gt;80,0+30*($AG1549/100),IF($O$5&gt;70,0+50*($AG1549/100),IF($O$5&gt;60,5+50*($AG1549/100),IF($O$5&gt;50,10+60*($AG1549/100),IF($O$5&gt;40,15+70*($AG1549/100),IF($O$5&gt;30,20+70*($AG1549/100),IF($O$5&gt;20,40+55*($AG1549/100),(80+(20-$O$5)+30*($AG1549/100))))))))))</f>
        <v>100</v>
      </c>
      <c r="AI1549" s="262">
        <v>891</v>
      </c>
      <c r="AJ1549" s="262"/>
      <c r="AK1549" s="262">
        <v>36</v>
      </c>
      <c r="AL1549" s="263"/>
      <c r="AM1549" s="264">
        <v>23</v>
      </c>
      <c r="AN1549" s="263"/>
      <c r="AO1549" s="263"/>
      <c r="AP1549" s="265"/>
      <c r="AQ1549" s="266">
        <v>1831</v>
      </c>
      <c r="AR1549" s="267">
        <v>9031</v>
      </c>
      <c r="AS1549" s="263"/>
      <c r="AT1549" s="263"/>
      <c r="AU1549" s="263"/>
      <c r="AV1549" s="264"/>
      <c r="AW1549" s="263"/>
      <c r="AX1549" s="263"/>
      <c r="AY1549" s="263"/>
      <c r="AZ1549" s="263"/>
      <c r="BA1549" s="263"/>
      <c r="BB1549" s="263"/>
      <c r="BC1549" s="263"/>
      <c r="BD1549" s="264"/>
      <c r="BE1549" s="263"/>
      <c r="BF1549" s="263"/>
      <c r="BG1549" s="263"/>
      <c r="BH1549" s="263"/>
      <c r="BI1549" s="263"/>
      <c r="BJ1549" s="404">
        <f>altaz(J2000_Bas,$O1549,$M1549,DecLat,DecLong,2)</f>
        <v>44.622379382721888</v>
      </c>
      <c r="BK1549" s="378" t="s">
        <v>1568</v>
      </c>
      <c r="BL1549" s="379">
        <f>IF((2*G1549)/60&lt;0.2,0.2,(2*G1549)/60)</f>
        <v>0.4</v>
      </c>
      <c r="BM1549" s="380">
        <f>MOD((50000+AD1549-$B$3+(0/24)),1)</f>
        <v>0.30725993598753121</v>
      </c>
      <c r="BN1549" s="381" t="s">
        <v>9218</v>
      </c>
      <c r="BO1549" s="382">
        <v>1542</v>
      </c>
    </row>
    <row r="1550" spans="1:67" s="24" customFormat="1" ht="15" customHeight="1" x14ac:dyDescent="0.25">
      <c r="A1550" s="288" t="s">
        <v>1569</v>
      </c>
      <c r="B1550" s="241" t="str">
        <f>HYPERLINK(CONCATENATE($AT$3,BK1550,$AU$3),$AV$3)</f>
        <v>S</v>
      </c>
      <c r="C1550" s="242" t="str">
        <f>HYPERLINK(CONCATENATE($AT$4,BK1550,$AU$4,BL1550),$AV$4)</f>
        <v>A</v>
      </c>
      <c r="D1550" s="243" t="s">
        <v>5638</v>
      </c>
      <c r="E1550" s="244" t="s">
        <v>5192</v>
      </c>
      <c r="F1550" s="269" t="s">
        <v>8889</v>
      </c>
      <c r="G1550" s="273">
        <v>6</v>
      </c>
      <c r="H1550" s="283">
        <v>60</v>
      </c>
      <c r="I1550" s="246">
        <v>100</v>
      </c>
      <c r="J1550" s="246">
        <v>2</v>
      </c>
      <c r="K1550" s="247" t="s">
        <v>6621</v>
      </c>
      <c r="L1550" s="248">
        <v>22305</v>
      </c>
      <c r="M1550" s="249">
        <f>15*(LEFT(TEXT($L1550,"000000"),2)+(MID(TEXT($L1550,"000000"),3,2)/60)+(RIGHT(TEXT($L1550,"000000"),2)/3600))</f>
        <v>35.770833333333336</v>
      </c>
      <c r="N1550" s="250">
        <v>-211402</v>
      </c>
      <c r="O1550" s="251">
        <f>IF($N1550&gt;0,(LEFT(TEXT($N1550,"000000"),2)+(MID(TEXT($N1550,"000000"),3,2)/60)+(RIGHT(TEXT($N1550,"000000"),2)/3600)),-(MID(TEXT($N1550,"000000"),2,2)+(MID(TEXT($N1550,"000000"),4,2)/60)+(RIGHT(TEXT($N1550,"000000"),2)/3600)))</f>
        <v>-21.233888888888888</v>
      </c>
      <c r="P1550" s="252" t="s">
        <v>75</v>
      </c>
      <c r="Q1550" s="253"/>
      <c r="R1550" s="247" t="s">
        <v>3293</v>
      </c>
      <c r="S1550" s="272" t="s">
        <v>3293</v>
      </c>
      <c r="T1550" s="273">
        <v>10.199999999999999</v>
      </c>
      <c r="U1550" s="289">
        <v>21.89</v>
      </c>
      <c r="V1550" s="280">
        <v>70</v>
      </c>
      <c r="W1550" s="244"/>
      <c r="X1550" s="244"/>
      <c r="Y1550" s="362"/>
      <c r="Z1550" s="257">
        <f>altaz(J2000_Bas,$O1550,$M1550,DecLat,DecLong,1)</f>
        <v>-27.17823365590046</v>
      </c>
      <c r="AA1550" s="257">
        <f>altaz((J2000_Bas+(2*0.04167)),$O1550,$M1550,DecLat,DecLong,1)</f>
        <v>-2.4903968494800375</v>
      </c>
      <c r="AB1550" s="257">
        <f>altaz((J2000_Bas+(4*0.04167)),$O1550,$M1550,DecLat,DecLong,1)</f>
        <v>19.348057590136513</v>
      </c>
      <c r="AC1550" s="257">
        <f>altaz((J2000_Bas+(6*0.04167)),$O1550,$M1550,DecLat,DecLong,1)</f>
        <v>34.50956202044523</v>
      </c>
      <c r="AD1550" s="258">
        <f>1+ transit((J2000_Bas-1),$O1550,$M1550,DecLat,DecLong)/360 + (GMTOffset/24) + (IF(DST="Y", 1, 0)/24)</f>
        <v>1.0922633766192913</v>
      </c>
      <c r="AE1550" s="259">
        <f>DATE(2001,9,21)+(M1550/360)*365 - (360*((DecLong/360)- (GMTOffset/24) ))</f>
        <v>37196.267650462964</v>
      </c>
      <c r="AF1550" s="260">
        <f>IF(DecLat&gt;0,IF((90 - (DecLat-O1550))&gt;90, (90 - (O1550-DecLat)), (90 - (DecLat-O1550))),IF((90 + (DecLat-O1550))&gt;90, (90 + (O1550-DecLat)), (90 + (DecLat-O1550))))</f>
        <v>37.766111111111115</v>
      </c>
      <c r="AG1550" s="257">
        <f>angularseperation(MoonRA,MoonDec,$M1550,$O1550)</f>
        <v>121.82792612058648</v>
      </c>
      <c r="AH1550" s="261">
        <f ca="1">MIN(100,IF($O$5&gt;80,0+30*($AG1550/100),IF($O$5&gt;70,0+50*($AG1550/100),IF($O$5&gt;60,5+50*($AG1550/100),IF($O$5&gt;50,10+60*($AG1550/100),IF($O$5&gt;40,15+70*($AG1550/100),IF($O$5&gt;30,20+70*($AG1550/100),IF($O$5&gt;20,40+55*($AG1550/100),(80+(20-$O$5)+30*($AG1550/100))))))))))</f>
        <v>100</v>
      </c>
      <c r="AI1550" s="262">
        <v>908</v>
      </c>
      <c r="AJ1550" s="262"/>
      <c r="AK1550" s="262">
        <v>37</v>
      </c>
      <c r="AL1550" s="263"/>
      <c r="AM1550" s="264"/>
      <c r="AN1550" s="263"/>
      <c r="AO1550" s="263"/>
      <c r="AP1550" s="265"/>
      <c r="AQ1550" s="266"/>
      <c r="AR1550" s="267">
        <v>9057</v>
      </c>
      <c r="AS1550" s="263"/>
      <c r="AT1550" s="263"/>
      <c r="AU1550" s="263"/>
      <c r="AV1550" s="264"/>
      <c r="AW1550" s="263"/>
      <c r="AX1550" s="263"/>
      <c r="AY1550" s="263"/>
      <c r="AZ1550" s="263"/>
      <c r="BA1550" s="263"/>
      <c r="BB1550" s="263"/>
      <c r="BC1550" s="263"/>
      <c r="BD1550" s="264"/>
      <c r="BE1550" s="263">
        <v>9</v>
      </c>
      <c r="BF1550" s="263"/>
      <c r="BG1550" s="263"/>
      <c r="BH1550" s="263"/>
      <c r="BI1550" s="263"/>
      <c r="BJ1550" s="404">
        <f>altaz(J2000_Bas,$O1550,$M1550,DecLat,DecLong,2)</f>
        <v>99.581818534565286</v>
      </c>
      <c r="BK1550" s="378" t="s">
        <v>1569</v>
      </c>
      <c r="BL1550" s="379">
        <f>IF((2*G1550)/60&lt;0.2,0.2,(2*G1550)/60)</f>
        <v>0.2</v>
      </c>
      <c r="BM1550" s="380">
        <f>MOD((50000+AD1550-$B$3+(0/24)),1)</f>
        <v>0.3076303063207888</v>
      </c>
      <c r="BN1550" s="381" t="s">
        <v>9275</v>
      </c>
      <c r="BO1550" s="382">
        <v>1543</v>
      </c>
    </row>
    <row r="1551" spans="1:67" s="24" customFormat="1" ht="15" customHeight="1" x14ac:dyDescent="0.25">
      <c r="A1551" s="288" t="s">
        <v>1570</v>
      </c>
      <c r="B1551" s="241" t="str">
        <f>HYPERLINK(CONCATENATE($AT$3,BK1551,$AU$3),$AV$3)</f>
        <v>S</v>
      </c>
      <c r="C1551" s="242" t="str">
        <f>HYPERLINK(CONCATENATE($AT$4,BK1551,$AU$4,BL1551),$AV$4)</f>
        <v>A</v>
      </c>
      <c r="D1551" s="243" t="s">
        <v>5638</v>
      </c>
      <c r="E1551" s="244" t="s">
        <v>5192</v>
      </c>
      <c r="F1551" s="269" t="s">
        <v>8889</v>
      </c>
      <c r="G1551" s="273">
        <v>3</v>
      </c>
      <c r="H1551" s="283">
        <v>60</v>
      </c>
      <c r="I1551" s="246">
        <v>50</v>
      </c>
      <c r="J1551" s="246">
        <v>3</v>
      </c>
      <c r="K1551" s="247" t="s">
        <v>6622</v>
      </c>
      <c r="L1551" s="248">
        <v>22551</v>
      </c>
      <c r="M1551" s="249">
        <f>15*(LEFT(TEXT($L1551,"000000"),2)+(MID(TEXT($L1551,"000000"),3,2)/60)+(RIGHT(TEXT($L1551,"000000"),2)/3600))</f>
        <v>36.462499999999999</v>
      </c>
      <c r="N1551" s="250">
        <v>182945</v>
      </c>
      <c r="O1551" s="251">
        <f>IF($N1551&gt;0,(LEFT(TEXT($N1551,"000000"),2)+(MID(TEXT($N1551,"000000"),3,2)/60)+(RIGHT(TEXT($N1551,"000000"),2)/3600)),-(MID(TEXT($N1551,"000000"),2,2)+(MID(TEXT($N1551,"000000"),4,2)/60)+(RIGHT(TEXT($N1551,"000000"),2)/3600)))</f>
        <v>18.495833333333334</v>
      </c>
      <c r="P1551" s="252" t="s">
        <v>249</v>
      </c>
      <c r="Q1551" s="253"/>
      <c r="R1551" s="247" t="s">
        <v>3293</v>
      </c>
      <c r="S1551" s="272" t="s">
        <v>3293</v>
      </c>
      <c r="T1551" s="273">
        <v>12.2</v>
      </c>
      <c r="U1551" s="289">
        <v>23.09</v>
      </c>
      <c r="V1551" s="280">
        <v>60</v>
      </c>
      <c r="W1551" s="244"/>
      <c r="X1551" s="244"/>
      <c r="Y1551" s="362"/>
      <c r="Z1551" s="257">
        <f>altaz(J2000_Bas,$O1551,$M1551,DecLat,DecLong,1)</f>
        <v>-6.9359044059491932</v>
      </c>
      <c r="AA1551" s="257">
        <f>altaz((J2000_Bas+(2*0.04167)),$O1551,$M1551,DecLat,DecLong,1)</f>
        <v>17.415475110683488</v>
      </c>
      <c r="AB1551" s="257">
        <f>altaz((J2000_Bas+(4*0.04167)),$O1551,$M1551,DecLat,DecLong,1)</f>
        <v>43.057985166541606</v>
      </c>
      <c r="AC1551" s="257">
        <f>altaz((J2000_Bas+(6*0.04167)),$O1551,$M1551,DecLat,DecLong,1)</f>
        <v>67.857782671177645</v>
      </c>
      <c r="AD1551" s="258">
        <f>1+ transit((J2000_Bas-1),$O1551,$M1551,DecLat,DecLong)/360 + (GMTOffset/24) + (IF(DST="Y", 1, 0)/24)</f>
        <v>1.0941846727234579</v>
      </c>
      <c r="AE1551" s="259">
        <f>DATE(2001,9,21)+(M1551/360)*365 - (360*((DecLong/360)- (GMTOffset/24) ))</f>
        <v>37196.968923611108</v>
      </c>
      <c r="AF1551" s="260">
        <f>IF(DecLat&gt;0,IF((90 - (DecLat-O1551))&gt;90, (90 - (O1551-DecLat)), (90 - (DecLat-O1551))),IF((90 + (DecLat-O1551))&gt;90, (90 + (O1551-DecLat)), (90 + (DecLat-O1551))))</f>
        <v>77.495833333333337</v>
      </c>
      <c r="AG1551" s="257">
        <f>angularseperation(MoonRA,MoonDec,$M1551,$O1551)</f>
        <v>148.68619924673365</v>
      </c>
      <c r="AH1551" s="261">
        <f ca="1">MIN(100,IF($O$5&gt;80,0+30*($AG1551/100),IF($O$5&gt;70,0+50*($AG1551/100),IF($O$5&gt;60,5+50*($AG1551/100),IF($O$5&gt;50,10+60*($AG1551/100),IF($O$5&gt;40,15+70*($AG1551/100),IF($O$5&gt;30,20+70*($AG1551/100),IF($O$5&gt;20,40+55*($AG1551/100),(80+(20-$O$5)+30*($AG1551/100))))))))))</f>
        <v>100</v>
      </c>
      <c r="AI1551" s="262">
        <v>918</v>
      </c>
      <c r="AJ1551" s="262"/>
      <c r="AK1551" s="262"/>
      <c r="AL1551" s="263"/>
      <c r="AM1551" s="264"/>
      <c r="AN1551" s="263"/>
      <c r="AO1551" s="263"/>
      <c r="AP1551" s="265"/>
      <c r="AQ1551" s="266">
        <v>1888</v>
      </c>
      <c r="AR1551" s="267">
        <v>9236</v>
      </c>
      <c r="AS1551" s="263"/>
      <c r="AT1551" s="263"/>
      <c r="AU1551" s="263"/>
      <c r="AV1551" s="264"/>
      <c r="AW1551" s="263"/>
      <c r="AX1551" s="263"/>
      <c r="AY1551" s="263"/>
      <c r="AZ1551" s="263"/>
      <c r="BA1551" s="263"/>
      <c r="BB1551" s="263"/>
      <c r="BC1551" s="263"/>
      <c r="BD1551" s="264"/>
      <c r="BE1551" s="263"/>
      <c r="BF1551" s="263"/>
      <c r="BG1551" s="263">
        <v>9</v>
      </c>
      <c r="BH1551" s="263"/>
      <c r="BI1551" s="263"/>
      <c r="BJ1551" s="404">
        <f>altaz(J2000_Bas,$O1551,$M1551,DecLat,DecLong,2)</f>
        <v>63.517762972751584</v>
      </c>
      <c r="BK1551" s="378" t="s">
        <v>1570</v>
      </c>
      <c r="BL1551" s="379">
        <f>IF((2*G1551)/60&lt;0.2,0.2,(2*G1551)/60)</f>
        <v>0.2</v>
      </c>
      <c r="BM1551" s="380">
        <f>MOD((50000+AD1551-$B$3+(0/24)),1)</f>
        <v>0.30955160242592683</v>
      </c>
      <c r="BN1551" s="381"/>
      <c r="BO1551" s="382">
        <v>1544</v>
      </c>
    </row>
    <row r="1552" spans="1:67" s="24" customFormat="1" ht="15" customHeight="1" x14ac:dyDescent="0.25">
      <c r="A1552" s="288" t="s">
        <v>1571</v>
      </c>
      <c r="B1552" s="241" t="str">
        <f>HYPERLINK(CONCATENATE($AT$3,BK1552,$AU$3),$AV$3)</f>
        <v>S</v>
      </c>
      <c r="C1552" s="242" t="str">
        <f>HYPERLINK(CONCATENATE($AT$4,BK1552,$AU$4,BL1552),$AV$4)</f>
        <v>A</v>
      </c>
      <c r="D1552" s="243" t="s">
        <v>5638</v>
      </c>
      <c r="E1552" s="244" t="s">
        <v>8641</v>
      </c>
      <c r="F1552" s="269"/>
      <c r="G1552" s="273">
        <v>1.5</v>
      </c>
      <c r="H1552" s="283">
        <v>140</v>
      </c>
      <c r="I1552" s="246">
        <v>60</v>
      </c>
      <c r="J1552" s="246">
        <v>2</v>
      </c>
      <c r="K1552" s="247" t="s">
        <v>6623</v>
      </c>
      <c r="L1552" s="248">
        <v>22505</v>
      </c>
      <c r="M1552" s="249">
        <f>15*(LEFT(TEXT($L1552,"000000"),2)+(MID(TEXT($L1552,"000000"),3,2)/60)+(RIGHT(TEXT($L1552,"000000"),2)/3600))</f>
        <v>36.270833333333336</v>
      </c>
      <c r="N1552" s="250">
        <v>-244726</v>
      </c>
      <c r="O1552" s="251">
        <f>IF($N1552&gt;0,(LEFT(TEXT($N1552,"000000"),2)+(MID(TEXT($N1552,"000000"),3,2)/60)+(RIGHT(TEXT($N1552,"000000"),2)/3600)),-(MID(TEXT($N1552,"000000"),2,2)+(MID(TEXT($N1552,"000000"),4,2)/60)+(RIGHT(TEXT($N1552,"000000"),2)/3600)))</f>
        <v>-24.790555555555557</v>
      </c>
      <c r="P1552" s="252" t="s">
        <v>215</v>
      </c>
      <c r="Q1552" s="253"/>
      <c r="R1552" s="247" t="s">
        <v>3293</v>
      </c>
      <c r="S1552" s="272" t="s">
        <v>3293</v>
      </c>
      <c r="T1552" s="273">
        <v>12.1</v>
      </c>
      <c r="U1552" s="289">
        <v>22.09</v>
      </c>
      <c r="V1552" s="280">
        <v>25</v>
      </c>
      <c r="W1552" s="244"/>
      <c r="X1552" s="244"/>
      <c r="Y1552" s="362"/>
      <c r="Z1552" s="257">
        <f>altaz(J2000_Bas,$O1552,$M1552,DecLat,DecLong,1)</f>
        <v>-29.047125964581458</v>
      </c>
      <c r="AA1552" s="257">
        <f>altaz((J2000_Bas+(2*0.04167)),$O1552,$M1552,DecLat,DecLong,1)</f>
        <v>-4.777416026393567</v>
      </c>
      <c r="AB1552" s="257">
        <f>altaz((J2000_Bas+(4*0.04167)),$O1552,$M1552,DecLat,DecLong,1)</f>
        <v>16.452086982288513</v>
      </c>
      <c r="AC1552" s="257">
        <f>altaz((J2000_Bas+(6*0.04167)),$O1552,$M1552,DecLat,DecLong,1)</f>
        <v>31.012308004076647</v>
      </c>
      <c r="AD1552" s="258">
        <f>1+ transit((J2000_Bas-1),$O1552,$M1552,DecLat,DecLong)/360 + (GMTOffset/24) + (IF(DST="Y", 1, 0)/24)</f>
        <v>1.0936522653692913</v>
      </c>
      <c r="AE1552" s="259">
        <f>DATE(2001,9,21)+(M1552/360)*365 - (360*((DecLong/360)- (GMTOffset/24) ))</f>
        <v>37196.774594907409</v>
      </c>
      <c r="AF1552" s="260">
        <f>IF(DecLat&gt;0,IF((90 - (DecLat-O1552))&gt;90, (90 - (O1552-DecLat)), (90 - (DecLat-O1552))),IF((90 + (DecLat-O1552))&gt;90, (90 + (O1552-DecLat)), (90 + (DecLat-O1552))))</f>
        <v>34.209444444444443</v>
      </c>
      <c r="AG1552" s="257">
        <f>angularseperation(MoonRA,MoonDec,$M1552,$O1552)</f>
        <v>119.15703465165979</v>
      </c>
      <c r="AH1552" s="261">
        <f ca="1">MIN(100,IF($O$5&gt;80,0+30*($AG1552/100),IF($O$5&gt;70,0+50*($AG1552/100),IF($O$5&gt;60,5+50*($AG1552/100),IF($O$5&gt;50,10+60*($AG1552/100),IF($O$5&gt;40,15+70*($AG1552/100),IF($O$5&gt;30,20+70*($AG1552/100),IF($O$5&gt;20,40+55*($AG1552/100),(80+(20-$O$5)+30*($AG1552/100))))))))))</f>
        <v>100</v>
      </c>
      <c r="AI1552" s="262">
        <v>922</v>
      </c>
      <c r="AJ1552" s="262"/>
      <c r="AK1552" s="262"/>
      <c r="AL1552" s="263"/>
      <c r="AM1552" s="264"/>
      <c r="AN1552" s="263"/>
      <c r="AO1552" s="263"/>
      <c r="AP1552" s="265"/>
      <c r="AQ1552" s="266"/>
      <c r="AR1552" s="267">
        <v>9172</v>
      </c>
      <c r="AS1552" s="263"/>
      <c r="AT1552" s="263"/>
      <c r="AU1552" s="263"/>
      <c r="AV1552" s="264"/>
      <c r="AW1552" s="263"/>
      <c r="AX1552" s="263"/>
      <c r="AY1552" s="263"/>
      <c r="AZ1552" s="263"/>
      <c r="BA1552" s="263"/>
      <c r="BB1552" s="263"/>
      <c r="BC1552" s="263"/>
      <c r="BD1552" s="264"/>
      <c r="BE1552" s="263"/>
      <c r="BF1552" s="263"/>
      <c r="BG1552" s="263"/>
      <c r="BH1552" s="263"/>
      <c r="BI1552" s="263"/>
      <c r="BJ1552" s="404">
        <f>altaz(J2000_Bas,$O1552,$M1552,DecLat,DecLong,2)</f>
        <v>103.05248557583599</v>
      </c>
      <c r="BK1552" s="378" t="s">
        <v>1571</v>
      </c>
      <c r="BL1552" s="379">
        <f>IF((2*G1552)/60&lt;0.2,0.2,(2*G1552)/60)</f>
        <v>0.2</v>
      </c>
      <c r="BM1552" s="380">
        <f>MOD((50000+AD1552-$B$3+(0/24)),1)</f>
        <v>0.30901919507596176</v>
      </c>
      <c r="BN1552" s="381" t="s">
        <v>9291</v>
      </c>
      <c r="BO1552" s="382">
        <v>1545</v>
      </c>
    </row>
    <row r="1553" spans="1:67" s="24" customFormat="1" ht="15" customHeight="1" x14ac:dyDescent="0.25">
      <c r="A1553" s="288" t="s">
        <v>1572</v>
      </c>
      <c r="B1553" s="241" t="str">
        <f>HYPERLINK(CONCATENATE($AT$3,BK1553,$AU$3),$AV$3)</f>
        <v>S</v>
      </c>
      <c r="C1553" s="242" t="str">
        <f>HYPERLINK(CONCATENATE($AT$4,BK1553,$AU$4,BL1553),$AV$4)</f>
        <v>A</v>
      </c>
      <c r="D1553" s="243" t="s">
        <v>5638</v>
      </c>
      <c r="E1553" s="244" t="s">
        <v>5192</v>
      </c>
      <c r="F1553" s="269" t="s">
        <v>8895</v>
      </c>
      <c r="G1553" s="276">
        <v>10</v>
      </c>
      <c r="H1553" s="283">
        <v>30</v>
      </c>
      <c r="I1553" s="246">
        <v>90</v>
      </c>
      <c r="J1553" s="246">
        <v>3</v>
      </c>
      <c r="K1553" s="247" t="s">
        <v>6624</v>
      </c>
      <c r="L1553" s="248">
        <v>22717</v>
      </c>
      <c r="M1553" s="249">
        <f>15*(LEFT(TEXT($L1553,"000000"),2)+(MID(TEXT($L1553,"000000"),3,2)/60)+(RIGHT(TEXT($L1553,"000000"),2)/3600))</f>
        <v>36.820833333333333</v>
      </c>
      <c r="N1553" s="250">
        <v>333444</v>
      </c>
      <c r="O1553" s="251">
        <f>IF($N1553&gt;0,(LEFT(TEXT($N1553,"000000"),2)+(MID(TEXT($N1553,"000000"),3,2)/60)+(RIGHT(TEXT($N1553,"000000"),2)/3600)),-(MID(TEXT($N1553,"000000"),2,2)+(MID(TEXT($N1553,"000000"),4,2)/60)+(RIGHT(TEXT($N1553,"000000"),2)/3600)))</f>
        <v>33.578888888888891</v>
      </c>
      <c r="P1553" s="252" t="s">
        <v>314</v>
      </c>
      <c r="Q1553" s="253"/>
      <c r="R1553" s="247" t="s">
        <v>3293</v>
      </c>
      <c r="S1553" s="272" t="s">
        <v>3293</v>
      </c>
      <c r="T1553" s="273">
        <v>10.1</v>
      </c>
      <c r="U1553" s="289">
        <v>23.29</v>
      </c>
      <c r="V1553" s="280">
        <v>55</v>
      </c>
      <c r="W1553" s="244"/>
      <c r="X1553" s="244"/>
      <c r="Y1553" s="362"/>
      <c r="Z1553" s="257">
        <f>altaz(J2000_Bas,$O1553,$M1553,DecLat,DecLong,1)</f>
        <v>1.7796546813801262</v>
      </c>
      <c r="AA1553" s="257">
        <f>altaz((J2000_Bas+(2*0.04167)),$O1553,$M1553,DecLat,DecLong,1)</f>
        <v>23.568883517187189</v>
      </c>
      <c r="AB1553" s="257">
        <f>altaz((J2000_Bas+(4*0.04167)),$O1553,$M1553,DecLat,DecLong,1)</f>
        <v>47.532884060794096</v>
      </c>
      <c r="AC1553" s="257">
        <f>altaz((J2000_Bas+(6*0.04167)),$O1553,$M1553,DecLat,DecLong,1)</f>
        <v>72.455058372220563</v>
      </c>
      <c r="AD1553" s="258">
        <f>1+ transit((J2000_Bas-1),$O1553,$M1553,DecLat,DecLong)/360 + (GMTOffset/24) + (IF(DST="Y", 1, 0)/24)</f>
        <v>1.0951800429942913</v>
      </c>
      <c r="AE1553" s="259">
        <f>DATE(2001,9,21)+(M1553/360)*365 - (360*((DecLong/360)- (GMTOffset/24) ))</f>
        <v>37197.332233796296</v>
      </c>
      <c r="AF1553" s="260">
        <f>IF(DecLat&gt;0,IF((90 - (DecLat-O1553))&gt;90, (90 - (O1553-DecLat)), (90 - (DecLat-O1553))),IF((90 + (DecLat-O1553))&gt;90, (90 + (O1553-DecLat)), (90 + (DecLat-O1553))))</f>
        <v>87.421111111111117</v>
      </c>
      <c r="AG1553" s="257">
        <f>angularseperation(MoonRA,MoonDec,$M1553,$O1553)</f>
        <v>151.39772101294895</v>
      </c>
      <c r="AH1553" s="261">
        <f ca="1">MIN(100,IF($O$5&gt;80,0+30*($AG1553/100),IF($O$5&gt;70,0+50*($AG1553/100),IF($O$5&gt;60,5+50*($AG1553/100),IF($O$5&gt;50,10+60*($AG1553/100),IF($O$5&gt;40,15+70*($AG1553/100),IF($O$5&gt;30,20+70*($AG1553/100),IF($O$5&gt;20,40+55*($AG1553/100),(80+(20-$O$5)+30*($AG1553/100))))))))))</f>
        <v>100</v>
      </c>
      <c r="AI1553" s="262">
        <v>925</v>
      </c>
      <c r="AJ1553" s="262"/>
      <c r="AK1553" s="262"/>
      <c r="AL1553" s="263"/>
      <c r="AM1553" s="264"/>
      <c r="AN1553" s="263"/>
      <c r="AO1553" s="263"/>
      <c r="AP1553" s="265"/>
      <c r="AQ1553" s="266">
        <v>1913</v>
      </c>
      <c r="AR1553" s="267">
        <v>9332</v>
      </c>
      <c r="AS1553" s="263"/>
      <c r="AT1553" s="263"/>
      <c r="AU1553" s="263"/>
      <c r="AV1553" s="264"/>
      <c r="AW1553" s="263"/>
      <c r="AX1553" s="263"/>
      <c r="AY1553" s="263"/>
      <c r="AZ1553" s="263"/>
      <c r="BA1553" s="263"/>
      <c r="BB1553" s="263"/>
      <c r="BC1553" s="263"/>
      <c r="BD1553" s="264"/>
      <c r="BE1553" s="263"/>
      <c r="BF1553" s="263"/>
      <c r="BG1553" s="263"/>
      <c r="BH1553" s="263"/>
      <c r="BI1553" s="263"/>
      <c r="BJ1553" s="404">
        <f>altaz(J2000_Bas,$O1553,$M1553,DecLat,DecLong,2)</f>
        <v>51.179020594258596</v>
      </c>
      <c r="BK1553" s="378" t="s">
        <v>1572</v>
      </c>
      <c r="BL1553" s="379">
        <f>IF((2*G1553)/60&lt;0.2,0.2,(2*G1553)/60)</f>
        <v>0.33333333333333331</v>
      </c>
      <c r="BM1553" s="380">
        <f>MOD((50000+AD1553-$B$3+(0/24)),1)</f>
        <v>0.31054697270155884</v>
      </c>
      <c r="BN1553" s="381"/>
      <c r="BO1553" s="382">
        <v>1546</v>
      </c>
    </row>
    <row r="1554" spans="1:67" s="24" customFormat="1" ht="15" customHeight="1" x14ac:dyDescent="0.25">
      <c r="A1554" s="288" t="s">
        <v>1573</v>
      </c>
      <c r="B1554" s="241" t="str">
        <f>HYPERLINK(CONCATENATE($AT$3,BK1554,$AU$3),$AV$3)</f>
        <v>S</v>
      </c>
      <c r="C1554" s="242" t="str">
        <f>HYPERLINK(CONCATENATE($AT$4,BK1554,$AU$4,BL1554),$AV$4)</f>
        <v>A</v>
      </c>
      <c r="D1554" s="243" t="s">
        <v>5638</v>
      </c>
      <c r="E1554" s="244" t="s">
        <v>5182</v>
      </c>
      <c r="F1554" s="269" t="s">
        <v>8933</v>
      </c>
      <c r="G1554" s="273">
        <v>6</v>
      </c>
      <c r="H1554" s="283">
        <v>90</v>
      </c>
      <c r="I1554" s="246">
        <v>150</v>
      </c>
      <c r="J1554" s="246">
        <v>2</v>
      </c>
      <c r="K1554" s="247" t="s">
        <v>6626</v>
      </c>
      <c r="L1554" s="248">
        <v>22737</v>
      </c>
      <c r="M1554" s="249">
        <f>15*(LEFT(TEXT($L1554,"000000"),2)+(MID(TEXT($L1554,"000000"),3,2)/60)+(RIGHT(TEXT($L1554,"000000"),2)/3600))</f>
        <v>36.904166666666669</v>
      </c>
      <c r="N1554" s="250">
        <v>-10920</v>
      </c>
      <c r="O1554" s="251">
        <f>IF($N1554&gt;0,(LEFT(TEXT($N1554,"000000"),2)+(MID(TEXT($N1554,"000000"),3,2)/60)+(RIGHT(TEXT($N1554,"000000"),2)/3600)),-(MID(TEXT($N1554,"000000"),2,2)+(MID(TEXT($N1554,"000000"),4,2)/60)+(RIGHT(TEXT($N1554,"000000"),2)/3600)))</f>
        <v>-1.1555555555555554</v>
      </c>
      <c r="P1554" s="252" t="s">
        <v>75</v>
      </c>
      <c r="Q1554" s="253" t="s">
        <v>6625</v>
      </c>
      <c r="R1554" s="277" t="s">
        <v>3293</v>
      </c>
      <c r="S1554" s="272" t="s">
        <v>3293</v>
      </c>
      <c r="T1554" s="273">
        <v>10.199999999999999</v>
      </c>
      <c r="U1554" s="289">
        <v>22.09</v>
      </c>
      <c r="V1554" s="280">
        <v>40</v>
      </c>
      <c r="W1554" s="244"/>
      <c r="X1554" s="244"/>
      <c r="Y1554" s="362"/>
      <c r="Z1554" s="257">
        <f>altaz(J2000_Bas,$O1554,$M1554,DecLat,DecLong,1)</f>
        <v>-18.429055602872648</v>
      </c>
      <c r="AA1554" s="257">
        <f>altaz((J2000_Bas+(2*0.04167)),$O1554,$M1554,DecLat,DecLong,1)</f>
        <v>7.2604210260846358</v>
      </c>
      <c r="AB1554" s="257">
        <f>altaz((J2000_Bas+(4*0.04167)),$O1554,$M1554,DecLat,DecLong,1)</f>
        <v>32.143429946483366</v>
      </c>
      <c r="AC1554" s="257">
        <f>altaz((J2000_Bas+(6*0.04167)),$O1554,$M1554,DecLat,DecLong,1)</f>
        <v>52.331285779434026</v>
      </c>
      <c r="AD1554" s="258">
        <f>1+ transit((J2000_Bas-1),$O1554,$M1554,DecLat,DecLong)/360 + (GMTOffset/24) + (IF(DST="Y", 1, 0)/24)</f>
        <v>1.0954115244526246</v>
      </c>
      <c r="AE1554" s="259">
        <f>DATE(2001,9,21)+(M1554/360)*365 - (360*((DecLong/360)- (GMTOffset/24) ))</f>
        <v>37197.416724537034</v>
      </c>
      <c r="AF1554" s="260">
        <f>IF(DecLat&gt;0,IF((90 - (DecLat-O1554))&gt;90, (90 - (O1554-DecLat)), (90 - (DecLat-O1554))),IF((90 + (DecLat-O1554))&gt;90, (90 + (O1554-DecLat)), (90 + (DecLat-O1554))))</f>
        <v>57.844444444444441</v>
      </c>
      <c r="AG1554" s="257">
        <f>angularseperation(MoonRA,MoonDec,$M1554,$O1554)</f>
        <v>137.98086136044924</v>
      </c>
      <c r="AH1554" s="261">
        <f ca="1">MIN(100,IF($O$5&gt;80,0+30*($AG1554/100),IF($O$5&gt;70,0+50*($AG1554/100),IF($O$5&gt;60,5+50*($AG1554/100),IF($O$5&gt;50,10+60*($AG1554/100),IF($O$5&gt;40,15+70*($AG1554/100),IF($O$5&gt;30,20+70*($AG1554/100),IF($O$5&gt;20,40+55*($AG1554/100),(80+(20-$O$5)+30*($AG1554/100))))))))))</f>
        <v>100</v>
      </c>
      <c r="AI1554" s="262">
        <v>936</v>
      </c>
      <c r="AJ1554" s="262"/>
      <c r="AK1554" s="262">
        <v>38</v>
      </c>
      <c r="AL1554" s="263"/>
      <c r="AM1554" s="264"/>
      <c r="AN1554" s="263"/>
      <c r="AO1554" s="263"/>
      <c r="AP1554" s="265"/>
      <c r="AQ1554" s="266">
        <v>1929</v>
      </c>
      <c r="AR1554" s="267">
        <v>9359</v>
      </c>
      <c r="AS1554" s="263"/>
      <c r="AT1554" s="263"/>
      <c r="AU1554" s="263"/>
      <c r="AV1554" s="264"/>
      <c r="AW1554" s="263"/>
      <c r="AX1554" s="263"/>
      <c r="AY1554" s="263"/>
      <c r="AZ1554" s="263"/>
      <c r="BA1554" s="263"/>
      <c r="BB1554" s="263"/>
      <c r="BC1554" s="263"/>
      <c r="BD1554" s="264"/>
      <c r="BE1554" s="263"/>
      <c r="BF1554" s="263">
        <v>7</v>
      </c>
      <c r="BG1554" s="263"/>
      <c r="BH1554" s="263"/>
      <c r="BI1554" s="263"/>
      <c r="BJ1554" s="404">
        <f>altaz(J2000_Bas,$O1554,$M1554,DecLat,DecLong,2)</f>
        <v>79.89695522946981</v>
      </c>
      <c r="BK1554" s="378" t="s">
        <v>1573</v>
      </c>
      <c r="BL1554" s="379">
        <f>IF((2*G1554)/60&lt;0.2,0.2,(2*G1554)/60)</f>
        <v>0.2</v>
      </c>
      <c r="BM1554" s="380">
        <f>MOD((50000+AD1554-$B$3+(0/24)),1)</f>
        <v>0.31077845415711636</v>
      </c>
      <c r="BN1554" s="381"/>
      <c r="BO1554" s="382">
        <v>1547</v>
      </c>
    </row>
    <row r="1555" spans="1:67" s="24" customFormat="1" ht="15" customHeight="1" x14ac:dyDescent="0.25">
      <c r="A1555" s="288" t="s">
        <v>1574</v>
      </c>
      <c r="B1555" s="241" t="str">
        <f>HYPERLINK(CONCATENATE($AT$3,BK1555,$AU$3),$AV$3)</f>
        <v>S</v>
      </c>
      <c r="C1555" s="242" t="str">
        <f>HYPERLINK(CONCATENATE($AT$4,BK1555,$AU$4,BL1555),$AV$4)</f>
        <v>A</v>
      </c>
      <c r="D1555" s="243" t="s">
        <v>5638</v>
      </c>
      <c r="E1555" s="244" t="s">
        <v>5192</v>
      </c>
      <c r="F1555" s="269" t="s">
        <v>8690</v>
      </c>
      <c r="G1555" s="273">
        <v>3.5</v>
      </c>
      <c r="H1555" s="283">
        <v>50</v>
      </c>
      <c r="I1555" s="246">
        <v>50</v>
      </c>
      <c r="J1555" s="246">
        <v>2</v>
      </c>
      <c r="K1555" s="247" t="s">
        <v>6627</v>
      </c>
      <c r="L1555" s="248">
        <v>23413</v>
      </c>
      <c r="M1555" s="249">
        <f>15*(LEFT(TEXT($L1555,"000000"),2)+(MID(TEXT($L1555,"000000"),3,2)/60)+(RIGHT(TEXT($L1555,"000000"),2)/3600))</f>
        <v>38.554166666666667</v>
      </c>
      <c r="N1555" s="250">
        <v>291841</v>
      </c>
      <c r="O1555" s="251">
        <f>IF($N1555&gt;0,(LEFT(TEXT($N1555,"000000"),2)+(MID(TEXT($N1555,"000000"),3,2)/60)+(RIGHT(TEXT($N1555,"000000"),2)/3600)),-(MID(TEXT($N1555,"000000"),2,2)+(MID(TEXT($N1555,"000000"),4,2)/60)+(RIGHT(TEXT($N1555,"000000"),2)/3600)))</f>
        <v>29.311388888888889</v>
      </c>
      <c r="P1555" s="252" t="s">
        <v>249</v>
      </c>
      <c r="Q1555" s="253"/>
      <c r="R1555" s="247" t="s">
        <v>3293</v>
      </c>
      <c r="S1555" s="272" t="s">
        <v>3293</v>
      </c>
      <c r="T1555" s="273">
        <v>13.6</v>
      </c>
      <c r="U1555" s="289">
        <v>21.990000000000002</v>
      </c>
      <c r="V1555" s="280">
        <v>70</v>
      </c>
      <c r="W1555" s="244"/>
      <c r="X1555" s="244"/>
      <c r="Y1555" s="362"/>
      <c r="Z1555" s="257">
        <f>altaz(J2000_Bas,$O1555,$M1555,DecLat,DecLong,1)</f>
        <v>-1.9775937682896541</v>
      </c>
      <c r="AA1555" s="257">
        <f>altaz((J2000_Bas+(2*0.04167)),$O1555,$M1555,DecLat,DecLong,1)</f>
        <v>20.494983077262056</v>
      </c>
      <c r="AB1555" s="257">
        <f>altaz((J2000_Bas+(4*0.04167)),$O1555,$M1555,DecLat,DecLong,1)</f>
        <v>45.101595470937255</v>
      </c>
      <c r="AC1555" s="257">
        <f>altaz((J2000_Bas+(6*0.04167)),$O1555,$M1555,DecLat,DecLong,1)</f>
        <v>70.678333650504229</v>
      </c>
      <c r="AD1555" s="258">
        <f>1+ transit((J2000_Bas-1),$O1555,$M1555,DecLat,DecLong)/360 + (GMTOffset/24) + (IF(DST="Y", 1, 0)/24)</f>
        <v>1.0999948573276246</v>
      </c>
      <c r="AE1555" s="259">
        <f>DATE(2001,9,21)+(M1555/360)*365 - (360*((DecLong/360)- (GMTOffset/24) ))</f>
        <v>37199.089641203704</v>
      </c>
      <c r="AF1555" s="260">
        <f>IF(DecLat&gt;0,IF((90 - (DecLat-O1555))&gt;90, (90 - (O1555-DecLat)), (90 - (DecLat-O1555))),IF((90 + (DecLat-O1555))&gt;90, (90 + (O1555-DecLat)), (90 + (DecLat-O1555))))</f>
        <v>88.311388888888885</v>
      </c>
      <c r="AG1555" s="257">
        <f>angularseperation(MoonRA,MoonDec,$M1555,$O1555)</f>
        <v>152.93935066101227</v>
      </c>
      <c r="AH1555" s="261">
        <f ca="1">MIN(100,IF($O$5&gt;80,0+30*($AG1555/100),IF($O$5&gt;70,0+50*($AG1555/100),IF($O$5&gt;60,5+50*($AG1555/100),IF($O$5&gt;50,10+60*($AG1555/100),IF($O$5&gt;40,15+70*($AG1555/100),IF($O$5&gt;30,20+70*($AG1555/100),IF($O$5&gt;20,40+55*($AG1555/100),(80+(20-$O$5)+30*($AG1555/100))))))))))</f>
        <v>100</v>
      </c>
      <c r="AI1555" s="262">
        <v>972</v>
      </c>
      <c r="AJ1555" s="262"/>
      <c r="AK1555" s="262"/>
      <c r="AL1555" s="263"/>
      <c r="AM1555" s="264"/>
      <c r="AN1555" s="263"/>
      <c r="AO1555" s="263"/>
      <c r="AP1555" s="265"/>
      <c r="AQ1555" s="266">
        <v>2045</v>
      </c>
      <c r="AR1555" s="267">
        <v>9788</v>
      </c>
      <c r="AS1555" s="263"/>
      <c r="AT1555" s="263"/>
      <c r="AU1555" s="263"/>
      <c r="AV1555" s="264"/>
      <c r="AW1555" s="263"/>
      <c r="AX1555" s="263"/>
      <c r="AY1555" s="263"/>
      <c r="AZ1555" s="263"/>
      <c r="BA1555" s="263"/>
      <c r="BB1555" s="263"/>
      <c r="BC1555" s="263"/>
      <c r="BD1555" s="264"/>
      <c r="BE1555" s="263"/>
      <c r="BF1555" s="263"/>
      <c r="BG1555" s="263"/>
      <c r="BH1555" s="263"/>
      <c r="BI1555" s="263"/>
      <c r="BJ1555" s="404">
        <f>altaz(J2000_Bas,$O1555,$M1555,DecLat,DecLong,2)</f>
        <v>53.68531230863038</v>
      </c>
      <c r="BK1555" s="378" t="s">
        <v>1574</v>
      </c>
      <c r="BL1555" s="379">
        <f>IF((2*G1555)/60&lt;0.2,0.2,(2*G1555)/60)</f>
        <v>0.2</v>
      </c>
      <c r="BM1555" s="380">
        <f>MOD((50000+AD1555-$B$3+(0/24)),1)</f>
        <v>0.3153617870339076</v>
      </c>
      <c r="BN1555" s="381"/>
      <c r="BO1555" s="382">
        <v>1548</v>
      </c>
    </row>
    <row r="1556" spans="1:67" s="24" customFormat="1" ht="15" customHeight="1" x14ac:dyDescent="0.25">
      <c r="A1556" s="288" t="s">
        <v>1575</v>
      </c>
      <c r="B1556" s="241" t="str">
        <f>HYPERLINK(CONCATENATE($AT$3,BK1556,$AU$3),$AV$3)</f>
        <v>S</v>
      </c>
      <c r="C1556" s="242" t="str">
        <f>HYPERLINK(CONCATENATE($AT$4,BK1556,$AU$4,BL1556),$AV$4)</f>
        <v>A</v>
      </c>
      <c r="D1556" s="243" t="s">
        <v>5638</v>
      </c>
      <c r="E1556" s="244" t="s">
        <v>5192</v>
      </c>
      <c r="F1556" s="269" t="s">
        <v>8700</v>
      </c>
      <c r="G1556" s="273">
        <v>3</v>
      </c>
      <c r="H1556" s="283">
        <v>200</v>
      </c>
      <c r="I1556" s="246">
        <v>180</v>
      </c>
      <c r="J1556" s="246">
        <v>2</v>
      </c>
      <c r="K1556" s="247" t="s">
        <v>6628</v>
      </c>
      <c r="L1556" s="248">
        <v>23420</v>
      </c>
      <c r="M1556" s="249">
        <f>15*(LEFT(TEXT($L1556,"000000"),2)+(MID(TEXT($L1556,"000000"),3,2)/60)+(RIGHT(TEXT($L1556,"000000"),2)/3600))</f>
        <v>38.583333333333329</v>
      </c>
      <c r="N1556" s="250">
        <v>323017</v>
      </c>
      <c r="O1556" s="251">
        <f>IF($N1556&gt;0,(LEFT(TEXT($N1556,"000000"),2)+(MID(TEXT($N1556,"000000"),3,2)/60)+(RIGHT(TEXT($N1556,"000000"),2)/3600)),-(MID(TEXT($N1556,"000000"),2,2)+(MID(TEXT($N1556,"000000"),4,2)/60)+(RIGHT(TEXT($N1556,"000000"),2)/3600)))</f>
        <v>32.50472222222222</v>
      </c>
      <c r="P1556" s="252" t="s">
        <v>314</v>
      </c>
      <c r="Q1556" s="253"/>
      <c r="R1556" s="247" t="s">
        <v>3293</v>
      </c>
      <c r="S1556" s="272" t="s">
        <v>3293</v>
      </c>
      <c r="T1556" s="273">
        <v>13.7</v>
      </c>
      <c r="U1556" s="289">
        <v>22.19</v>
      </c>
      <c r="V1556" s="280">
        <v>90</v>
      </c>
      <c r="W1556" s="244"/>
      <c r="X1556" s="244"/>
      <c r="Y1556" s="362"/>
      <c r="Z1556" s="257">
        <f>altaz(J2000_Bas,$O1556,$M1556,DecLat,DecLong,1)</f>
        <v>-4.6569575607472567E-2</v>
      </c>
      <c r="AA1556" s="257">
        <f>altaz((J2000_Bas+(2*0.04167)),$O1556,$M1556,DecLat,DecLong,1)</f>
        <v>21.78776677582351</v>
      </c>
      <c r="AB1556" s="257">
        <f>altaz((J2000_Bas+(4*0.04167)),$O1556,$M1556,DecLat,DecLong,1)</f>
        <v>45.866312241930778</v>
      </c>
      <c r="AC1556" s="257">
        <f>altaz((J2000_Bas+(6*0.04167)),$O1556,$M1556,DecLat,DecLong,1)</f>
        <v>70.989755837889177</v>
      </c>
      <c r="AD1556" s="258">
        <f>1+ transit((J2000_Bas-1),$O1556,$M1556,DecLat,DecLong)/360 + (GMTOffset/24) + (IF(DST="Y", 1, 0)/24)</f>
        <v>1.1000758758380413</v>
      </c>
      <c r="AE1556" s="259">
        <f>DATE(2001,9,21)+(M1556/360)*365 - (360*((DecLong/360)- (GMTOffset/24) ))</f>
        <v>37199.119212962964</v>
      </c>
      <c r="AF1556" s="260">
        <f>IF(DecLat&gt;0,IF((90 - (DecLat-O1556))&gt;90, (90 - (O1556-DecLat)), (90 - (DecLat-O1556))),IF((90 + (DecLat-O1556))&gt;90, (90 + (O1556-DecLat)), (90 + (DecLat-O1556))))</f>
        <v>88.495277777777773</v>
      </c>
      <c r="AG1556" s="257">
        <f>angularseperation(MoonRA,MoonDec,$M1556,$O1556)</f>
        <v>152.94533202878497</v>
      </c>
      <c r="AH1556" s="261">
        <f ca="1">MIN(100,IF($O$5&gt;80,0+30*($AG1556/100),IF($O$5&gt;70,0+50*($AG1556/100),IF($O$5&gt;60,5+50*($AG1556/100),IF($O$5&gt;50,10+60*($AG1556/100),IF($O$5&gt;40,15+70*($AG1556/100),IF($O$5&gt;30,20+70*($AG1556/100),IF($O$5&gt;20,40+55*($AG1556/100),(80+(20-$O$5)+30*($AG1556/100))))))))))</f>
        <v>100</v>
      </c>
      <c r="AI1556" s="262">
        <v>973</v>
      </c>
      <c r="AJ1556" s="262"/>
      <c r="AK1556" s="262"/>
      <c r="AL1556" s="263"/>
      <c r="AM1556" s="264"/>
      <c r="AN1556" s="263"/>
      <c r="AO1556" s="263"/>
      <c r="AP1556" s="265"/>
      <c r="AQ1556" s="266">
        <v>2048</v>
      </c>
      <c r="AR1556" s="267">
        <v>9795</v>
      </c>
      <c r="AS1556" s="263"/>
      <c r="AT1556" s="263"/>
      <c r="AU1556" s="263"/>
      <c r="AV1556" s="264"/>
      <c r="AW1556" s="263"/>
      <c r="AX1556" s="263"/>
      <c r="AY1556" s="263"/>
      <c r="AZ1556" s="263"/>
      <c r="BA1556" s="263"/>
      <c r="BB1556" s="263"/>
      <c r="BC1556" s="263"/>
      <c r="BD1556" s="264"/>
      <c r="BE1556" s="263"/>
      <c r="BF1556" s="263"/>
      <c r="BG1556" s="263"/>
      <c r="BH1556" s="263"/>
      <c r="BI1556" s="263"/>
      <c r="BJ1556" s="404">
        <f>altaz(J2000_Bas,$O1556,$M1556,DecLat,DecLong,2)</f>
        <v>51.141342631220553</v>
      </c>
      <c r="BK1556" s="378" t="s">
        <v>1575</v>
      </c>
      <c r="BL1556" s="379">
        <f>IF((2*G1556)/60&lt;0.2,0.2,(2*G1556)/60)</f>
        <v>0.2</v>
      </c>
      <c r="BM1556" s="380">
        <f>MOD((50000+AD1556-$B$3+(0/24)),1)</f>
        <v>0.31544280554226134</v>
      </c>
      <c r="BN1556" s="381"/>
      <c r="BO1556" s="382">
        <v>1549</v>
      </c>
    </row>
    <row r="1557" spans="1:67" s="24" customFormat="1" ht="15" customHeight="1" x14ac:dyDescent="0.25">
      <c r="A1557" s="288" t="s">
        <v>7573</v>
      </c>
      <c r="B1557" s="241" t="str">
        <f>HYPERLINK(CONCATENATE($AT$3,BK1557,$AU$3),$AV$3)</f>
        <v>S</v>
      </c>
      <c r="C1557" s="242" t="str">
        <f>HYPERLINK(CONCATENATE($AT$4,BK1557,$AU$4,BL1557),$AV$4)</f>
        <v>A</v>
      </c>
      <c r="D1557" s="243" t="s">
        <v>5638</v>
      </c>
      <c r="E1557" s="244" t="s">
        <v>5625</v>
      </c>
      <c r="F1557" s="269">
        <v>6</v>
      </c>
      <c r="G1557" s="282">
        <v>12</v>
      </c>
      <c r="H1557" s="283">
        <v>200</v>
      </c>
      <c r="I1557" s="284">
        <v>700</v>
      </c>
      <c r="J1557" s="246">
        <v>2</v>
      </c>
      <c r="K1557" s="247" t="s">
        <v>6629</v>
      </c>
      <c r="L1557" s="248">
        <v>23426</v>
      </c>
      <c r="M1557" s="249">
        <f>15*(LEFT(TEXT($L1557,"000000"),2)+(MID(TEXT($L1557,"000000"),3,2)/60)+(RIGHT(TEXT($L1557,"000000"),2)/3600))</f>
        <v>38.608333333333327</v>
      </c>
      <c r="N1557" s="250">
        <v>325715</v>
      </c>
      <c r="O1557" s="251">
        <f>IF($N1557&gt;0,(LEFT(TEXT($N1557,"000000"),2)+(MID(TEXT($N1557,"000000"),3,2)/60)+(RIGHT(TEXT($N1557,"000000"),2)/3600)),-(MID(TEXT($N1557,"000000"),2,2)+(MID(TEXT($N1557,"000000"),4,2)/60)+(RIGHT(TEXT($N1557,"000000"),2)/3600)))</f>
        <v>32.954166666666673</v>
      </c>
      <c r="P1557" s="252" t="s">
        <v>314</v>
      </c>
      <c r="Q1557" s="253"/>
      <c r="R1557" s="247" t="s">
        <v>3293</v>
      </c>
      <c r="S1557" s="272" t="s">
        <v>3293</v>
      </c>
      <c r="T1557" s="273">
        <v>12.8</v>
      </c>
      <c r="U1557" s="289">
        <v>22.29</v>
      </c>
      <c r="V1557" s="280"/>
      <c r="W1557" s="244"/>
      <c r="X1557" s="244"/>
      <c r="Y1557" s="362"/>
      <c r="Z1557" s="257">
        <f>altaz(J2000_Bas,$O1557,$M1557,DecLat,DecLong,1)</f>
        <v>0.21153980385427457</v>
      </c>
      <c r="AA1557" s="257">
        <f>altaz((J2000_Bas+(2*0.04167)),$O1557,$M1557,DecLat,DecLong,1)</f>
        <v>21.9490737525683</v>
      </c>
      <c r="AB1557" s="257">
        <f>altaz((J2000_Bas+(4*0.04167)),$O1557,$M1557,DecLat,DecLong,1)</f>
        <v>45.943084586270153</v>
      </c>
      <c r="AC1557" s="257">
        <f>altaz((J2000_Bas+(6*0.04167)),$O1557,$M1557,DecLat,DecLong,1)</f>
        <v>70.975077328990594</v>
      </c>
      <c r="AD1557" s="258">
        <f>1+ transit((J2000_Bas-1),$O1557,$M1557,DecLat,DecLong)/360 + (GMTOffset/24) + (IF(DST="Y", 1, 0)/24)</f>
        <v>1.1001453202755413</v>
      </c>
      <c r="AE1557" s="259">
        <f>DATE(2001,9,21)+(M1557/360)*365 - (360*((DecLong/360)- (GMTOffset/24) ))</f>
        <v>37199.144560185188</v>
      </c>
      <c r="AF1557" s="260">
        <f>IF(DecLat&gt;0,IF((90 - (DecLat-O1557))&gt;90, (90 - (O1557-DecLat)), (90 - (DecLat-O1557))),IF((90 + (DecLat-O1557))&gt;90, (90 + (O1557-DecLat)), (90 + (DecLat-O1557))))</f>
        <v>88.04583333333332</v>
      </c>
      <c r="AG1557" s="257">
        <f>angularseperation(MoonRA,MoonDec,$M1557,$O1557)</f>
        <v>152.93555023808861</v>
      </c>
      <c r="AH1557" s="261">
        <f ca="1">MIN(100,IF($O$5&gt;80,0+30*($AG1557/100),IF($O$5&gt;70,0+50*($AG1557/100),IF($O$5&gt;60,5+50*($AG1557/100),IF($O$5&gt;50,10+60*($AG1557/100),IF($O$5&gt;40,15+70*($AG1557/100),IF($O$5&gt;30,20+70*($AG1557/100),IF($O$5&gt;20,40+55*($AG1557/100),(80+(20-$O$5)+30*($AG1557/100))))))))))</f>
        <v>100</v>
      </c>
      <c r="AI1557" s="262">
        <v>974</v>
      </c>
      <c r="AJ1557" s="262"/>
      <c r="AK1557" s="262"/>
      <c r="AL1557" s="263"/>
      <c r="AM1557" s="264"/>
      <c r="AN1557" s="263"/>
      <c r="AO1557" s="263"/>
      <c r="AP1557" s="265"/>
      <c r="AQ1557" s="266">
        <v>2049</v>
      </c>
      <c r="AR1557" s="267">
        <v>9802</v>
      </c>
      <c r="AS1557" s="263"/>
      <c r="AT1557" s="263"/>
      <c r="AU1557" s="263"/>
      <c r="AV1557" s="264"/>
      <c r="AW1557" s="263"/>
      <c r="AX1557" s="263"/>
      <c r="AY1557" s="263"/>
      <c r="AZ1557" s="263"/>
      <c r="BA1557" s="263"/>
      <c r="BB1557" s="263"/>
      <c r="BC1557" s="263"/>
      <c r="BD1557" s="264"/>
      <c r="BE1557" s="263"/>
      <c r="BF1557" s="263"/>
      <c r="BG1557" s="263"/>
      <c r="BH1557" s="263"/>
      <c r="BI1557" s="263"/>
      <c r="BJ1557" s="404">
        <f>altaz(J2000_Bas,$O1557,$M1557,DecLat,DecLong,2)</f>
        <v>50.772801373509616</v>
      </c>
      <c r="BK1557" s="378" t="s">
        <v>1576</v>
      </c>
      <c r="BL1557" s="379">
        <f>IF((2*G1557)/60&lt;0.2,0.2,(2*G1557)/60)</f>
        <v>0.4</v>
      </c>
      <c r="BM1557" s="380">
        <f>MOD((50000+AD1557-$B$3+(0/24)),1)</f>
        <v>0.31551224998111138</v>
      </c>
      <c r="BN1557" s="381"/>
      <c r="BO1557" s="382">
        <v>1550</v>
      </c>
    </row>
    <row r="1558" spans="1:67" s="24" customFormat="1" ht="15" customHeight="1" x14ac:dyDescent="0.25">
      <c r="A1558" s="288" t="s">
        <v>1577</v>
      </c>
      <c r="B1558" s="241" t="str">
        <f>HYPERLINK(CONCATENATE($AT$3,BK1558,$AU$3),$AV$3)</f>
        <v>S</v>
      </c>
      <c r="C1558" s="242" t="str">
        <f>HYPERLINK(CONCATENATE($AT$4,BK1558,$AU$4,BL1558),$AV$4)</f>
        <v>A</v>
      </c>
      <c r="D1558" s="243" t="s">
        <v>5638</v>
      </c>
      <c r="E1558" s="244" t="s">
        <v>8641</v>
      </c>
      <c r="F1558" s="269"/>
      <c r="G1558" s="270">
        <v>0.9</v>
      </c>
      <c r="H1558" s="283">
        <v>600</v>
      </c>
      <c r="I1558" s="246">
        <v>150</v>
      </c>
      <c r="J1558" s="246">
        <v>2</v>
      </c>
      <c r="K1558" s="247" t="s">
        <v>6630</v>
      </c>
      <c r="L1558" s="248">
        <v>23438</v>
      </c>
      <c r="M1558" s="249">
        <f>15*(LEFT(TEXT($L1558,"000000"),2)+(MID(TEXT($L1558,"000000"),3,2)/60)+(RIGHT(TEXT($L1558,"000000"),2)/3600))</f>
        <v>38.658333333333331</v>
      </c>
      <c r="N1558" s="250">
        <v>-84717</v>
      </c>
      <c r="O1558" s="251">
        <f>IF($N1558&gt;0,(LEFT(TEXT($N1558,"000000"),2)+(MID(TEXT($N1558,"000000"),3,2)/60)+(RIGHT(TEXT($N1558,"000000"),2)/3600)),-(MID(TEXT($N1558,"000000"),2,2)+(MID(TEXT($N1558,"000000"),4,2)/60)+(RIGHT(TEXT($N1558,"000000"),2)/3600)))</f>
        <v>-8.7880555555555553</v>
      </c>
      <c r="P1558" s="252" t="s">
        <v>75</v>
      </c>
      <c r="Q1558" s="253"/>
      <c r="R1558" s="247" t="s">
        <v>3293</v>
      </c>
      <c r="S1558" s="272" t="s">
        <v>3293</v>
      </c>
      <c r="T1558" s="273">
        <v>14.3</v>
      </c>
      <c r="U1558" s="289">
        <v>21.990000000000002</v>
      </c>
      <c r="V1558" s="280"/>
      <c r="W1558" s="244"/>
      <c r="X1558" s="244"/>
      <c r="Y1558" s="362"/>
      <c r="Z1558" s="257">
        <f>altaz(J2000_Bas,$O1558,$M1558,DecLat,DecLong,1)</f>
        <v>-23.890242204464847</v>
      </c>
      <c r="AA1558" s="257">
        <f>altaz((J2000_Bas+(2*0.04167)),$O1558,$M1558,DecLat,DecLong,1)</f>
        <v>1.7672064288003844</v>
      </c>
      <c r="AB1558" s="257">
        <f>altaz((J2000_Bas+(4*0.04167)),$O1558,$M1558,DecLat,DecLong,1)</f>
        <v>25.922434929720851</v>
      </c>
      <c r="AC1558" s="257">
        <f>altaz((J2000_Bas+(6*0.04167)),$O1558,$M1558,DecLat,DecLong,1)</f>
        <v>44.788185124302217</v>
      </c>
      <c r="AD1558" s="258">
        <f>1+ transit((J2000_Bas-1),$O1558,$M1558,DecLat,DecLong)/360 + (GMTOffset/24) + (IF(DST="Y", 1, 0)/24)</f>
        <v>1.1002842091505414</v>
      </c>
      <c r="AE1558" s="259">
        <f>DATE(2001,9,21)+(M1558/360)*365 - (360*((DecLong/360)- (GMTOffset/24) ))</f>
        <v>37199.195254629631</v>
      </c>
      <c r="AF1558" s="260">
        <f>IF(DecLat&gt;0,IF((90 - (DecLat-O1558))&gt;90, (90 - (O1558-DecLat)), (90 - (DecLat-O1558))),IF((90 + (DecLat-O1558))&gt;90, (90 + (O1558-DecLat)), (90 + (DecLat-O1558))))</f>
        <v>50.211944444444441</v>
      </c>
      <c r="AG1558" s="257">
        <f>angularseperation(MoonRA,MoonDec,$M1558,$O1558)</f>
        <v>133.46597187006461</v>
      </c>
      <c r="AH1558" s="261">
        <f ca="1">MIN(100,IF($O$5&gt;80,0+30*($AG1558/100),IF($O$5&gt;70,0+50*($AG1558/100),IF($O$5&gt;60,5+50*($AG1558/100),IF($O$5&gt;50,10+60*($AG1558/100),IF($O$5&gt;40,15+70*($AG1558/100),IF($O$5&gt;30,20+70*($AG1558/100),IF($O$5&gt;20,40+55*($AG1558/100),(80+(20-$O$5)+30*($AG1558/100))))))))))</f>
        <v>100</v>
      </c>
      <c r="AI1558" s="262">
        <v>985</v>
      </c>
      <c r="AJ1558" s="262"/>
      <c r="AK1558" s="262"/>
      <c r="AL1558" s="263"/>
      <c r="AM1558" s="264"/>
      <c r="AN1558" s="263"/>
      <c r="AO1558" s="263"/>
      <c r="AP1558" s="265"/>
      <c r="AQ1558" s="266"/>
      <c r="AR1558" s="267">
        <v>9817</v>
      </c>
      <c r="AS1558" s="263"/>
      <c r="AT1558" s="263"/>
      <c r="AU1558" s="263"/>
      <c r="AV1558" s="264"/>
      <c r="AW1558" s="263"/>
      <c r="AX1558" s="263"/>
      <c r="AY1558" s="263"/>
      <c r="AZ1558" s="263"/>
      <c r="BA1558" s="263"/>
      <c r="BB1558" s="263"/>
      <c r="BC1558" s="263"/>
      <c r="BD1558" s="264"/>
      <c r="BE1558" s="263"/>
      <c r="BF1558" s="263"/>
      <c r="BG1558" s="263"/>
      <c r="BH1558" s="263"/>
      <c r="BI1558" s="263"/>
      <c r="BJ1558" s="404">
        <f>altaz(J2000_Bas,$O1558,$M1558,DecLat,DecLong,2)</f>
        <v>85.916945428250955</v>
      </c>
      <c r="BK1558" s="378" t="s">
        <v>1577</v>
      </c>
      <c r="BL1558" s="379">
        <f>IF((2*G1558)/60&lt;0.2,0.2,(2*G1558)/60)</f>
        <v>0.2</v>
      </c>
      <c r="BM1558" s="380">
        <f>MOD((50000+AD1558-$B$3+(0/24)),1)</f>
        <v>0.31565113885153551</v>
      </c>
      <c r="BN1558" s="381"/>
      <c r="BO1558" s="382">
        <v>1551</v>
      </c>
    </row>
    <row r="1559" spans="1:67" s="24" customFormat="1" ht="15" customHeight="1" x14ac:dyDescent="0.25">
      <c r="A1559" s="328" t="s">
        <v>1578</v>
      </c>
      <c r="B1559" s="241" t="str">
        <f>HYPERLINK(CONCATENATE($AT$3,BK1559,$AU$3),$AV$3)</f>
        <v>S</v>
      </c>
      <c r="C1559" s="242" t="str">
        <f>HYPERLINK(CONCATENATE($AT$4,BK1559,$AU$4,BL1559),$AV$4)</f>
        <v>A</v>
      </c>
      <c r="D1559" s="243" t="s">
        <v>5638</v>
      </c>
      <c r="E1559" s="244" t="s">
        <v>5192</v>
      </c>
      <c r="F1559" s="269" t="s">
        <v>8934</v>
      </c>
      <c r="G1559" s="273">
        <v>3.4</v>
      </c>
      <c r="H1559" s="283">
        <v>80</v>
      </c>
      <c r="I1559" s="246">
        <v>80</v>
      </c>
      <c r="J1559" s="246">
        <v>3</v>
      </c>
      <c r="K1559" s="247" t="s">
        <v>6631</v>
      </c>
      <c r="L1559" s="248">
        <v>23334</v>
      </c>
      <c r="M1559" s="249">
        <f>15*(LEFT(TEXT($L1559,"000000"),2)+(MID(TEXT($L1559,"000000"),3,2)/60)+(RIGHT(TEXT($L1559,"000000"),2)/3600))</f>
        <v>38.391666666666666</v>
      </c>
      <c r="N1559" s="250">
        <v>-390244</v>
      </c>
      <c r="O1559" s="251">
        <f>IF($N1559&gt;0,(LEFT(TEXT($N1559,"000000"),2)+(MID(TEXT($N1559,"000000"),3,2)/60)+(RIGHT(TEXT($N1559,"000000"),2)/3600)),-(MID(TEXT($N1559,"000000"),2,2)+(MID(TEXT($N1559,"000000"),4,2)/60)+(RIGHT(TEXT($N1559,"000000"),2)/3600)))</f>
        <v>-39.045555555555552</v>
      </c>
      <c r="P1559" s="252" t="s">
        <v>215</v>
      </c>
      <c r="Q1559" s="253"/>
      <c r="R1559" s="247" t="s">
        <v>3293</v>
      </c>
      <c r="S1559" s="272" t="s">
        <v>3293</v>
      </c>
      <c r="T1559" s="273">
        <v>10.9</v>
      </c>
      <c r="U1559" s="289">
        <v>22.29</v>
      </c>
      <c r="V1559" s="280">
        <v>60</v>
      </c>
      <c r="W1559" s="244"/>
      <c r="X1559" s="244"/>
      <c r="Y1559" s="362"/>
      <c r="Z1559" s="257">
        <f>altaz(J2000_Bas,$O1559,$M1559,DecLat,DecLong,1)</f>
        <v>-35.310601533981199</v>
      </c>
      <c r="AA1559" s="257">
        <f>altaz((J2000_Bas+(2*0.04167)),$O1559,$M1559,DecLat,DecLong,1)</f>
        <v>-13.609145753517504</v>
      </c>
      <c r="AB1559" s="257">
        <f>altaz((J2000_Bas+(4*0.04167)),$O1559,$M1559,DecLat,DecLong,1)</f>
        <v>4.7838014160718512</v>
      </c>
      <c r="AC1559" s="257">
        <f>altaz((J2000_Bas+(6*0.04167)),$O1559,$M1559,DecLat,DecLong,1)</f>
        <v>16.990132226298826</v>
      </c>
      <c r="AD1559" s="258">
        <f>1+ transit((J2000_Bas-1),$O1559,$M1559,DecLat,DecLong)/360 + (GMTOffset/24) + (IF(DST="Y", 1, 0)/24)</f>
        <v>1.0995434684838747</v>
      </c>
      <c r="AE1559" s="259">
        <f>DATE(2001,9,21)+(M1559/360)*365 - (360*((DecLong/360)- (GMTOffset/24) ))</f>
        <v>37198.924884259257</v>
      </c>
      <c r="AF1559" s="260">
        <f>IF(DecLat&gt;0,IF((90 - (DecLat-O1559))&gt;90, (90 - (O1559-DecLat)), (90 - (DecLat-O1559))),IF((90 + (DecLat-O1559))&gt;90, (90 + (O1559-DecLat)), (90 + (DecLat-O1559))))</f>
        <v>19.954444444444448</v>
      </c>
      <c r="AG1559" s="257">
        <f>angularseperation(MoonRA,MoonDec,$M1559,$O1559)</f>
        <v>107.86839163893318</v>
      </c>
      <c r="AH1559" s="261">
        <f ca="1">MIN(100,IF($O$5&gt;80,0+30*($AG1559/100),IF($O$5&gt;70,0+50*($AG1559/100),IF($O$5&gt;60,5+50*($AG1559/100),IF($O$5&gt;50,10+60*($AG1559/100),IF($O$5&gt;40,15+70*($AG1559/100),IF($O$5&gt;30,20+70*($AG1559/100),IF($O$5&gt;20,40+55*($AG1559/100),(80+(20-$O$5)+30*($AG1559/100))))))))))</f>
        <v>100</v>
      </c>
      <c r="AI1559" s="262">
        <v>986</v>
      </c>
      <c r="AJ1559" s="262"/>
      <c r="AK1559" s="262"/>
      <c r="AL1559" s="263"/>
      <c r="AM1559" s="264"/>
      <c r="AN1559" s="263"/>
      <c r="AO1559" s="263"/>
      <c r="AP1559" s="265"/>
      <c r="AQ1559" s="266"/>
      <c r="AR1559" s="267">
        <v>9747</v>
      </c>
      <c r="AS1559" s="263"/>
      <c r="AT1559" s="263"/>
      <c r="AU1559" s="263"/>
      <c r="AV1559" s="264"/>
      <c r="AW1559" s="263"/>
      <c r="AX1559" s="263"/>
      <c r="AY1559" s="263"/>
      <c r="AZ1559" s="263"/>
      <c r="BA1559" s="263"/>
      <c r="BB1559" s="263"/>
      <c r="BC1559" s="263"/>
      <c r="BD1559" s="264"/>
      <c r="BE1559" s="263"/>
      <c r="BF1559" s="263"/>
      <c r="BG1559" s="263"/>
      <c r="BH1559" s="263"/>
      <c r="BI1559" s="263"/>
      <c r="BJ1559" s="404">
        <f>altaz(J2000_Bas,$O1559,$M1559,DecLat,DecLong,2)</f>
        <v>118.35852343262977</v>
      </c>
      <c r="BK1559" s="378" t="s">
        <v>1578</v>
      </c>
      <c r="BL1559" s="379">
        <f>IF((2*G1559)/60&lt;0.2,0.2,(2*G1559)/60)</f>
        <v>0.2</v>
      </c>
      <c r="BM1559" s="380">
        <f>MOD((50000+AD1559-$B$3+(0/24)),1)</f>
        <v>0.31491039818502031</v>
      </c>
      <c r="BN1559" s="381"/>
      <c r="BO1559" s="382">
        <v>1552</v>
      </c>
    </row>
    <row r="1560" spans="1:67" s="24" customFormat="1" ht="15" customHeight="1" x14ac:dyDescent="0.25">
      <c r="A1560" s="288" t="s">
        <v>1579</v>
      </c>
      <c r="B1560" s="241" t="str">
        <f>HYPERLINK(CONCATENATE($AT$3,BK1560,$AU$3),$AV$3)</f>
        <v>S</v>
      </c>
      <c r="C1560" s="242" t="str">
        <f>HYPERLINK(CONCATENATE($AT$4,BK1560,$AU$4,BL1560),$AV$4)</f>
        <v>A</v>
      </c>
      <c r="D1560" s="243" t="s">
        <v>5638</v>
      </c>
      <c r="E1560" s="244" t="s">
        <v>5192</v>
      </c>
      <c r="F1560" s="269" t="s">
        <v>8689</v>
      </c>
      <c r="G1560" s="273">
        <v>7</v>
      </c>
      <c r="H1560" s="283">
        <v>35</v>
      </c>
      <c r="I1560" s="246">
        <v>70</v>
      </c>
      <c r="J1560" s="246">
        <v>2</v>
      </c>
      <c r="K1560" s="247" t="s">
        <v>6632</v>
      </c>
      <c r="L1560" s="248">
        <v>23917</v>
      </c>
      <c r="M1560" s="249">
        <f>15*(LEFT(TEXT($L1560,"000000"),2)+(MID(TEXT($L1560,"000000"),3,2)/60)+(RIGHT(TEXT($L1560,"000000"),2)/3600))</f>
        <v>39.820833333333333</v>
      </c>
      <c r="N1560" s="250">
        <v>405220</v>
      </c>
      <c r="O1560" s="251">
        <f>IF($N1560&gt;0,(LEFT(TEXT($N1560,"000000"),2)+(MID(TEXT($N1560,"000000"),3,2)/60)+(RIGHT(TEXT($N1560,"000000"),2)/3600)),-(MID(TEXT($N1560,"000000"),2,2)+(MID(TEXT($N1560,"000000"),4,2)/60)+(RIGHT(TEXT($N1560,"000000"),2)/3600)))</f>
        <v>40.87222222222222</v>
      </c>
      <c r="P1560" s="252" t="s">
        <v>43</v>
      </c>
      <c r="Q1560" s="253"/>
      <c r="R1560" s="247" t="s">
        <v>3293</v>
      </c>
      <c r="S1560" s="272" t="s">
        <v>3293</v>
      </c>
      <c r="T1560" s="273">
        <v>10.6</v>
      </c>
      <c r="U1560" s="289">
        <v>22.69</v>
      </c>
      <c r="V1560" s="280">
        <v>75</v>
      </c>
      <c r="W1560" s="244"/>
      <c r="X1560" s="244"/>
      <c r="Y1560" s="362"/>
      <c r="Z1560" s="257">
        <f>altaz(J2000_Bas,$O1560,$M1560,DecLat,DecLong,1)</f>
        <v>4.3170433015814487</v>
      </c>
      <c r="AA1560" s="257">
        <f>altaz((J2000_Bas+(2*0.04167)),$O1560,$M1560,DecLat,DecLong,1)</f>
        <v>24.065145109182193</v>
      </c>
      <c r="AB1560" s="257">
        <f>altaz((J2000_Bas+(4*0.04167)),$O1560,$M1560,DecLat,DecLong,1)</f>
        <v>46.154766324259178</v>
      </c>
      <c r="AC1560" s="257">
        <f>altaz((J2000_Bas+(6*0.04167)),$O1560,$M1560,DecLat,DecLong,1)</f>
        <v>68.613560736120462</v>
      </c>
      <c r="AD1560" s="258">
        <f>1+ transit((J2000_Bas-1),$O1560,$M1560,DecLat,DecLong)/360 + (GMTOffset/24) + (IF(DST="Y", 1, 0)/24)</f>
        <v>1.1035133754942914</v>
      </c>
      <c r="AE1560" s="259">
        <f>DATE(2001,9,21)+(M1560/360)*365 - (360*((DecLong/360)- (GMTOffset/24) ))</f>
        <v>37200.373900462961</v>
      </c>
      <c r="AF1560" s="260">
        <f>IF(DecLat&gt;0,IF((90 - (DecLat-O1560))&gt;90, (90 - (O1560-DecLat)), (90 - (DecLat-O1560))),IF((90 + (DecLat-O1560))&gt;90, (90 + (O1560-DecLat)), (90 + (DecLat-O1560))))</f>
        <v>80.12777777777778</v>
      </c>
      <c r="AG1560" s="257">
        <f>angularseperation(MoonRA,MoonDec,$M1560,$O1560)</f>
        <v>152.17248923792448</v>
      </c>
      <c r="AH1560" s="261">
        <f ca="1">MIN(100,IF($O$5&gt;80,0+30*($AG1560/100),IF($O$5&gt;70,0+50*($AG1560/100),IF($O$5&gt;60,5+50*($AG1560/100),IF($O$5&gt;50,10+60*($AG1560/100),IF($O$5&gt;40,15+70*($AG1560/100),IF($O$5&gt;30,20+70*($AG1560/100),IF($O$5&gt;20,40+55*($AG1560/100),(80+(20-$O$5)+30*($AG1560/100))))))))))</f>
        <v>100</v>
      </c>
      <c r="AI1560" s="262">
        <v>1003</v>
      </c>
      <c r="AJ1560" s="262"/>
      <c r="AK1560" s="262"/>
      <c r="AL1560" s="263"/>
      <c r="AM1560" s="264"/>
      <c r="AN1560" s="263"/>
      <c r="AO1560" s="263"/>
      <c r="AP1560" s="265"/>
      <c r="AQ1560" s="266">
        <v>2137</v>
      </c>
      <c r="AR1560" s="267">
        <v>10052</v>
      </c>
      <c r="AS1560" s="263"/>
      <c r="AT1560" s="263"/>
      <c r="AU1560" s="263"/>
      <c r="AV1560" s="264"/>
      <c r="AW1560" s="263"/>
      <c r="AX1560" s="263"/>
      <c r="AY1560" s="263"/>
      <c r="AZ1560" s="263"/>
      <c r="BA1560" s="263"/>
      <c r="BB1560" s="263"/>
      <c r="BC1560" s="263"/>
      <c r="BD1560" s="264"/>
      <c r="BE1560" s="263"/>
      <c r="BF1560" s="263"/>
      <c r="BG1560" s="263"/>
      <c r="BH1560" s="263"/>
      <c r="BI1560" s="263"/>
      <c r="BJ1560" s="404">
        <f>altaz(J2000_Bas,$O1560,$M1560,DecLat,DecLong,2)</f>
        <v>43.926663412438984</v>
      </c>
      <c r="BK1560" s="378" t="s">
        <v>1579</v>
      </c>
      <c r="BL1560" s="379">
        <f>IF((2*G1560)/60&lt;0.2,0.2,(2*G1560)/60)</f>
        <v>0.23333333333333334</v>
      </c>
      <c r="BM1560" s="380">
        <f>MOD((50000+AD1560-$B$3+(0/24)),1)</f>
        <v>0.3188803051962168</v>
      </c>
      <c r="BN1560" s="381"/>
      <c r="BO1560" s="382">
        <v>1553</v>
      </c>
    </row>
    <row r="1561" spans="1:67" s="24" customFormat="1" ht="15" customHeight="1" x14ac:dyDescent="0.25">
      <c r="A1561" s="288" t="s">
        <v>1580</v>
      </c>
      <c r="B1561" s="241" t="str">
        <f>HYPERLINK(CONCATENATE($AT$3,BK1561,$AU$3),$AV$3)</f>
        <v>S</v>
      </c>
      <c r="C1561" s="242" t="str">
        <f>HYPERLINK(CONCATENATE($AT$4,BK1561,$AU$4,BL1561),$AV$4)</f>
        <v>A</v>
      </c>
      <c r="D1561" s="243" t="s">
        <v>5638</v>
      </c>
      <c r="E1561" s="244" t="s">
        <v>5192</v>
      </c>
      <c r="F1561" s="269" t="s">
        <v>8935</v>
      </c>
      <c r="G1561" s="273">
        <v>2</v>
      </c>
      <c r="H1561" s="283">
        <v>60</v>
      </c>
      <c r="I1561" s="246">
        <v>35</v>
      </c>
      <c r="J1561" s="246">
        <v>2</v>
      </c>
      <c r="K1561" s="247" t="s">
        <v>8434</v>
      </c>
      <c r="L1561" s="248">
        <v>23833</v>
      </c>
      <c r="M1561" s="249">
        <f>15*(LEFT(TEXT($L1561,"000000"),2)+(MID(TEXT($L1561,"000000"),3,2)/60)+(RIGHT(TEXT($L1561,"000000"),2)/3600))</f>
        <v>39.637500000000003</v>
      </c>
      <c r="N1561" s="250">
        <v>-64039</v>
      </c>
      <c r="O1561" s="251">
        <f>IF($N1561&gt;0,(LEFT(TEXT($N1561,"000000"),2)+(MID(TEXT($N1561,"000000"),3,2)/60)+(RIGHT(TEXT($N1561,"000000"),2)/3600)),-(MID(TEXT($N1561,"000000"),2,2)+(MID(TEXT($N1561,"000000"),4,2)/60)+(RIGHT(TEXT($N1561,"000000"),2)/3600)))</f>
        <v>-6.6775000000000002</v>
      </c>
      <c r="P1561" s="252" t="s">
        <v>75</v>
      </c>
      <c r="Q1561" s="253"/>
      <c r="R1561" s="277" t="s">
        <v>3293</v>
      </c>
      <c r="S1561" s="272" t="s">
        <v>3293</v>
      </c>
      <c r="T1561" s="273">
        <v>11.3</v>
      </c>
      <c r="U1561" s="289">
        <v>21.79</v>
      </c>
      <c r="V1561" s="280">
        <v>10</v>
      </c>
      <c r="W1561" s="244"/>
      <c r="X1561" s="244"/>
      <c r="Y1561" s="362"/>
      <c r="Z1561" s="257">
        <f>altaz(J2000_Bas,$O1561,$M1561,DecLat,DecLong,1)</f>
        <v>-23.653340403598357</v>
      </c>
      <c r="AA1561" s="257">
        <f>altaz((J2000_Bas+(2*0.04167)),$O1561,$M1561,DecLat,DecLong,1)</f>
        <v>2.0484047423746019</v>
      </c>
      <c r="AB1561" s="257">
        <f>altaz((J2000_Bas+(4*0.04167)),$O1561,$M1561,DecLat,DecLong,1)</f>
        <v>26.546471094601092</v>
      </c>
      <c r="AC1561" s="257">
        <f>altaz((J2000_Bas+(6*0.04167)),$O1561,$M1561,DecLat,DecLong,1)</f>
        <v>46.182969058197799</v>
      </c>
      <c r="AD1561" s="258">
        <f>1+ transit((J2000_Bas-1),$O1561,$M1561,DecLat,DecLong)/360 + (GMTOffset/24) + (IF(DST="Y", 1, 0)/24)</f>
        <v>1.1030041162859581</v>
      </c>
      <c r="AE1561" s="259">
        <f>DATE(2001,9,21)+(M1561/360)*365 - (360*((DecLong/360)- (GMTOffset/24) ))</f>
        <v>37200.188020833331</v>
      </c>
      <c r="AF1561" s="260">
        <f>IF(DecLat&gt;0,IF((90 - (DecLat-O1561))&gt;90, (90 - (O1561-DecLat)), (90 - (DecLat-O1561))),IF((90 + (DecLat-O1561))&gt;90, (90 + (O1561-DecLat)), (90 + (DecLat-O1561))))</f>
        <v>52.322499999999998</v>
      </c>
      <c r="AG1561" s="257">
        <f>angularseperation(MoonRA,MoonDec,$M1561,$O1561)</f>
        <v>135.71848082497144</v>
      </c>
      <c r="AH1561" s="261">
        <f ca="1">MIN(100,IF($O$5&gt;80,0+30*($AG1561/100),IF($O$5&gt;70,0+50*($AG1561/100),IF($O$5&gt;60,5+50*($AG1561/100),IF($O$5&gt;50,10+60*($AG1561/100),IF($O$5&gt;40,15+70*($AG1561/100),IF($O$5&gt;30,20+70*($AG1561/100),IF($O$5&gt;20,40+55*($AG1561/100),(80+(20-$O$5)+30*($AG1561/100))))))))))</f>
        <v>100</v>
      </c>
      <c r="AI1561" s="262">
        <v>1022</v>
      </c>
      <c r="AJ1561" s="263"/>
      <c r="AK1561" s="263">
        <v>39</v>
      </c>
      <c r="AL1561" s="263"/>
      <c r="AM1561" s="264"/>
      <c r="AN1561" s="263"/>
      <c r="AO1561" s="263"/>
      <c r="AP1561" s="265"/>
      <c r="AQ1561" s="265"/>
      <c r="AR1561" s="285">
        <v>10010</v>
      </c>
      <c r="AS1561" s="263"/>
      <c r="AT1561" s="263"/>
      <c r="AU1561" s="263"/>
      <c r="AV1561" s="264"/>
      <c r="AW1561" s="263"/>
      <c r="AX1561" s="263"/>
      <c r="AY1561" s="263"/>
      <c r="AZ1561" s="263"/>
      <c r="BA1561" s="263"/>
      <c r="BB1561" s="263"/>
      <c r="BC1561" s="263"/>
      <c r="BD1561" s="264"/>
      <c r="BE1561" s="263"/>
      <c r="BF1561" s="263"/>
      <c r="BG1561" s="263"/>
      <c r="BH1561" s="263"/>
      <c r="BI1561" s="263"/>
      <c r="BJ1561" s="404">
        <f>altaz(J2000_Bas,$O1561,$M1561,DecLat,DecLong,2)</f>
        <v>83.391923596982579</v>
      </c>
      <c r="BK1561" s="378" t="s">
        <v>1580</v>
      </c>
      <c r="BL1561" s="379">
        <f>IF((2*G1561)/60&lt;0.2,0.2,(2*G1561)/60)</f>
        <v>0.2</v>
      </c>
      <c r="BM1561" s="380">
        <f>MOD((50000+AD1561-$B$3+(0/24)),1)</f>
        <v>0.31837104599253507</v>
      </c>
      <c r="BN1561" s="381"/>
      <c r="BO1561" s="382">
        <v>1554</v>
      </c>
    </row>
    <row r="1562" spans="1:67" s="24" customFormat="1" ht="15" customHeight="1" x14ac:dyDescent="0.25">
      <c r="A1562" s="288" t="s">
        <v>1581</v>
      </c>
      <c r="B1562" s="241" t="str">
        <f>HYPERLINK(CONCATENATE($AT$3,BK1562,$AU$3),$AV$3)</f>
        <v>S</v>
      </c>
      <c r="C1562" s="242" t="str">
        <f>HYPERLINK(CONCATENATE($AT$4,BK1562,$AU$4,BL1562),$AV$4)</f>
        <v>A</v>
      </c>
      <c r="D1562" s="243" t="s">
        <v>5335</v>
      </c>
      <c r="E1562" s="244" t="s">
        <v>5185</v>
      </c>
      <c r="F1562" s="269" t="s">
        <v>6633</v>
      </c>
      <c r="G1562" s="273">
        <v>5</v>
      </c>
      <c r="H1562" s="283">
        <v>4000</v>
      </c>
      <c r="I1562" s="279">
        <v>6</v>
      </c>
      <c r="J1562" s="246">
        <v>2</v>
      </c>
      <c r="K1562" s="247" t="s">
        <v>9578</v>
      </c>
      <c r="L1562" s="248">
        <v>24242</v>
      </c>
      <c r="M1562" s="249">
        <f>15*(LEFT(TEXT($L1562,"000000"),2)+(MID(TEXT($L1562,"000000"),3,2)/60)+(RIGHT(TEXT($L1562,"000000"),2)/3600))</f>
        <v>40.675000000000004</v>
      </c>
      <c r="N1562" s="286">
        <v>613658</v>
      </c>
      <c r="O1562" s="251">
        <f>IF($N1562&gt;0,(LEFT(TEXT($N1562,"000000"),2)+(MID(TEXT($N1562,"000000"),3,2)/60)+(RIGHT(TEXT($N1562,"000000"),2)/3600)),-(MID(TEXT($N1562,"000000"),2,2)+(MID(TEXT($N1562,"000000"),4,2)/60)+(RIGHT(TEXT($N1562,"000000"),2)/3600)))</f>
        <v>61.61611111111111</v>
      </c>
      <c r="P1562" s="252" t="s">
        <v>49</v>
      </c>
      <c r="Q1562" s="253"/>
      <c r="R1562" s="277" t="s">
        <v>3293</v>
      </c>
      <c r="S1562" s="272" t="s">
        <v>4609</v>
      </c>
      <c r="T1562" s="273">
        <v>6.7</v>
      </c>
      <c r="U1562" s="274"/>
      <c r="V1562" s="280"/>
      <c r="W1562" s="244"/>
      <c r="X1562" s="244"/>
      <c r="Y1562" s="362"/>
      <c r="Z1562" s="257">
        <f>altaz(J2000_Bas,$O1562,$M1562,DecLat,DecLong,1)</f>
        <v>16.441036729574588</v>
      </c>
      <c r="AA1562" s="257">
        <f>altaz((J2000_Bas+(2*0.04167)),$O1562,$M1562,DecLat,DecLong,1)</f>
        <v>29.442809731670621</v>
      </c>
      <c r="AB1562" s="257">
        <f>altaz((J2000_Bas+(4*0.04167)),$O1562,$M1562,DecLat,DecLong,1)</f>
        <v>43.608401820165412</v>
      </c>
      <c r="AC1562" s="257">
        <f>altaz((J2000_Bas+(6*0.04167)),$O1562,$M1562,DecLat,DecLong,1)</f>
        <v>55.502345691024281</v>
      </c>
      <c r="AD1562" s="258">
        <f>1+ transit((J2000_Bas-1),$O1562,$M1562,DecLat,DecLong)/360 + (GMTOffset/24) + (IF(DST="Y", 1, 0)/24)</f>
        <v>1.1058860604422081</v>
      </c>
      <c r="AE1562" s="259">
        <f>DATE(2001,9,21)+(M1562/360)*365 - (360*((DecLong/360)- (GMTOffset/24) ))</f>
        <v>37201.239930555559</v>
      </c>
      <c r="AF1562" s="260">
        <f>IF(DecLat&gt;0,IF((90 - (DecLat-O1562))&gt;90, (90 - (O1562-DecLat)), (90 - (DecLat-O1562))),IF((90 + (DecLat-O1562))&gt;90, (90 + (O1562-DecLat)), (90 + (DecLat-O1562))))</f>
        <v>59.38388888888889</v>
      </c>
      <c r="AG1562" s="257">
        <f>angularseperation(MoonRA,MoonDec,$M1562,$O1562)</f>
        <v>140.55936181259321</v>
      </c>
      <c r="AH1562" s="261">
        <f ca="1">MIN(100,IF($O$5&gt;80,0+30*($AG1562/100),IF($O$5&gt;70,0+50*($AG1562/100),IF($O$5&gt;60,5+50*($AG1562/100),IF($O$5&gt;50,10+60*($AG1562/100),IF($O$5&gt;40,15+70*($AG1562/100),IF($O$5&gt;30,20+70*($AG1562/100),IF($O$5&gt;20,40+55*($AG1562/100),(80+(20-$O$5)+30*($AG1562/100))))))))))</f>
        <v>100</v>
      </c>
      <c r="AI1562" s="262">
        <v>1027</v>
      </c>
      <c r="AJ1562" s="263"/>
      <c r="AK1562" s="263">
        <v>41</v>
      </c>
      <c r="AL1562" s="263"/>
      <c r="AM1562" s="264"/>
      <c r="AN1562" s="263"/>
      <c r="AO1562" s="263"/>
      <c r="AP1562" s="265"/>
      <c r="AQ1562" s="265"/>
      <c r="AR1562" s="285"/>
      <c r="AS1562" s="263"/>
      <c r="AT1562" s="263"/>
      <c r="AU1562" s="263"/>
      <c r="AV1562" s="264"/>
      <c r="AW1562" s="263"/>
      <c r="AX1562" s="263"/>
      <c r="AY1562" s="263"/>
      <c r="AZ1562" s="263"/>
      <c r="BA1562" s="263"/>
      <c r="BB1562" s="263"/>
      <c r="BC1562" s="263"/>
      <c r="BD1562" s="264"/>
      <c r="BE1562" s="263"/>
      <c r="BF1562" s="263"/>
      <c r="BG1562" s="263"/>
      <c r="BH1562" s="263"/>
      <c r="BI1562" s="263"/>
      <c r="BJ1562" s="404">
        <f>altaz(J2000_Bas,$O1562,$M1562,DecLat,DecLong,2)</f>
        <v>26.769059765020138</v>
      </c>
      <c r="BK1562" s="378" t="s">
        <v>1581</v>
      </c>
      <c r="BL1562" s="379">
        <f>IF((2*G1562)/60&lt;0.2,0.2,(2*G1562)/60)</f>
        <v>0.2</v>
      </c>
      <c r="BM1562" s="380">
        <f>MOD((50000+AD1562-$B$3+(0/24)),1)</f>
        <v>0.32125299014296615</v>
      </c>
      <c r="BN1562" s="381"/>
      <c r="BO1562" s="382">
        <v>1555</v>
      </c>
    </row>
    <row r="1563" spans="1:67" s="24" customFormat="1" ht="15" customHeight="1" x14ac:dyDescent="0.25">
      <c r="A1563" s="288" t="s">
        <v>1582</v>
      </c>
      <c r="B1563" s="241" t="str">
        <f>HYPERLINK(CONCATENATE($AT$3,BK1563,$AU$3),$AV$3)</f>
        <v>S</v>
      </c>
      <c r="C1563" s="242" t="str">
        <f>HYPERLINK(CONCATENATE($AT$4,BK1563,$AU$4,BL1563),$AV$4)</f>
        <v>A</v>
      </c>
      <c r="D1563" s="243" t="s">
        <v>5638</v>
      </c>
      <c r="E1563" s="244" t="s">
        <v>5192</v>
      </c>
      <c r="F1563" s="269" t="s">
        <v>8936</v>
      </c>
      <c r="G1563" s="273">
        <v>5</v>
      </c>
      <c r="H1563" s="283">
        <v>60</v>
      </c>
      <c r="I1563" s="246">
        <v>90</v>
      </c>
      <c r="J1563" s="246">
        <v>3</v>
      </c>
      <c r="K1563" s="247" t="s">
        <v>6636</v>
      </c>
      <c r="L1563" s="248">
        <v>24024</v>
      </c>
      <c r="M1563" s="249">
        <f>15*(LEFT(TEXT($L1563,"000000"),2)+(MID(TEXT($L1563,"000000"),3,2)/60)+(RIGHT(TEXT($L1563,"000000"),2)/3600))</f>
        <v>40.1</v>
      </c>
      <c r="N1563" s="250">
        <v>-82601</v>
      </c>
      <c r="O1563" s="251">
        <f>IF($N1563&gt;0,(LEFT(TEXT($N1563,"000000"),2)+(MID(TEXT($N1563,"000000"),3,2)/60)+(RIGHT(TEXT($N1563,"000000"),2)/3600)),-(MID(TEXT($N1563,"000000"),2,2)+(MID(TEXT($N1563,"000000"),4,2)/60)+(RIGHT(TEXT($N1563,"000000"),2)/3600)))</f>
        <v>-8.4336111111111105</v>
      </c>
      <c r="P1563" s="252" t="s">
        <v>75</v>
      </c>
      <c r="Q1563" s="253"/>
      <c r="R1563" s="247" t="s">
        <v>3293</v>
      </c>
      <c r="S1563" s="272" t="s">
        <v>6634</v>
      </c>
      <c r="T1563" s="273">
        <v>11</v>
      </c>
      <c r="U1563" s="289">
        <v>22.89</v>
      </c>
      <c r="V1563" s="280">
        <v>45</v>
      </c>
      <c r="W1563" s="244"/>
      <c r="X1563" s="244"/>
      <c r="Y1563" s="362"/>
      <c r="Z1563" s="257">
        <f>altaz(J2000_Bas,$O1563,$M1563,DecLat,DecLong,1)</f>
        <v>-24.943504978928146</v>
      </c>
      <c r="AA1563" s="257">
        <f>altaz((J2000_Bas+(2*0.04167)),$O1563,$M1563,DecLat,DecLong,1)</f>
        <v>0.73933589880025563</v>
      </c>
      <c r="AB1563" s="257">
        <f>altaz((J2000_Bas+(4*0.04167)),$O1563,$M1563,DecLat,DecLong,1)</f>
        <v>25.068602208872452</v>
      </c>
      <c r="AC1563" s="257">
        <f>altaz((J2000_Bas+(6*0.04167)),$O1563,$M1563,DecLat,DecLong,1)</f>
        <v>44.426530097900383</v>
      </c>
      <c r="AD1563" s="258">
        <f>1+ transit((J2000_Bas-1),$O1563,$M1563,DecLat,DecLong)/360 + (GMTOffset/24) + (IF(DST="Y", 1, 0)/24)</f>
        <v>1.104288838379708</v>
      </c>
      <c r="AE1563" s="259">
        <f>DATE(2001,9,21)+(M1563/360)*365 - (360*((DecLong/360)- (GMTOffset/24) ))</f>
        <v>37200.656944444447</v>
      </c>
      <c r="AF1563" s="260">
        <f>IF(DecLat&gt;0,IF((90 - (DecLat-O1563))&gt;90, (90 - (O1563-DecLat)), (90 - (DecLat-O1563))),IF((90 + (DecLat-O1563))&gt;90, (90 + (O1563-DecLat)), (90 + (DecLat-O1563))))</f>
        <v>50.566388888888888</v>
      </c>
      <c r="AG1563" s="257">
        <f>angularseperation(MoonRA,MoonDec,$M1563,$O1563)</f>
        <v>134.6240817619765</v>
      </c>
      <c r="AH1563" s="261">
        <f ca="1">MIN(100,IF($O$5&gt;80,0+30*($AG1563/100),IF($O$5&gt;70,0+50*($AG1563/100),IF($O$5&gt;60,5+50*($AG1563/100),IF($O$5&gt;50,10+60*($AG1563/100),IF($O$5&gt;40,15+70*($AG1563/100),IF($O$5&gt;30,20+70*($AG1563/100),IF($O$5&gt;20,40+55*($AG1563/100),(80+(20-$O$5)+30*($AG1563/100))))))))))</f>
        <v>100</v>
      </c>
      <c r="AI1563" s="262">
        <v>1042</v>
      </c>
      <c r="AJ1563" s="262"/>
      <c r="AK1563" s="262"/>
      <c r="AL1563" s="263"/>
      <c r="AM1563" s="264"/>
      <c r="AN1563" s="263"/>
      <c r="AO1563" s="263"/>
      <c r="AP1563" s="265"/>
      <c r="AQ1563" s="266"/>
      <c r="AR1563" s="267">
        <v>10122</v>
      </c>
      <c r="AS1563" s="263"/>
      <c r="AT1563" s="263"/>
      <c r="AU1563" s="263"/>
      <c r="AV1563" s="264"/>
      <c r="AW1563" s="263"/>
      <c r="AX1563" s="263"/>
      <c r="AY1563" s="263"/>
      <c r="AZ1563" s="263"/>
      <c r="BA1563" s="263"/>
      <c r="BB1563" s="263"/>
      <c r="BC1563" s="263"/>
      <c r="BD1563" s="264"/>
      <c r="BE1563" s="263"/>
      <c r="BF1563" s="263"/>
      <c r="BG1563" s="263"/>
      <c r="BH1563" s="263"/>
      <c r="BI1563" s="263"/>
      <c r="BJ1563" s="404">
        <f>altaz(J2000_Bas,$O1563,$M1563,DecLat,DecLong,2)</f>
        <v>84.792607429581253</v>
      </c>
      <c r="BK1563" s="378" t="s">
        <v>1582</v>
      </c>
      <c r="BL1563" s="379">
        <f>IF((2*G1563)/60&lt;0.2,0.2,(2*G1563)/60)</f>
        <v>0.2</v>
      </c>
      <c r="BM1563" s="380">
        <f>MOD((50000+AD1563-$B$3+(0/24)),1)</f>
        <v>0.31965576808579499</v>
      </c>
      <c r="BN1563" s="381"/>
      <c r="BO1563" s="382">
        <v>1556</v>
      </c>
    </row>
    <row r="1564" spans="1:67" s="24" customFormat="1" ht="15" customHeight="1" x14ac:dyDescent="0.25">
      <c r="A1564" s="288" t="s">
        <v>1583</v>
      </c>
      <c r="B1564" s="241" t="str">
        <f>HYPERLINK(CONCATENATE($AT$3,BK1564,$AU$3),$AV$3)</f>
        <v>S</v>
      </c>
      <c r="C1564" s="242" t="str">
        <f>HYPERLINK(CONCATENATE($AT$4,BK1564,$AU$4,BL1564),$AV$4)</f>
        <v>A</v>
      </c>
      <c r="D1564" s="243" t="s">
        <v>5638</v>
      </c>
      <c r="E1564" s="244" t="s">
        <v>5193</v>
      </c>
      <c r="F1564" s="269" t="s">
        <v>3305</v>
      </c>
      <c r="G1564" s="273">
        <v>3</v>
      </c>
      <c r="H1564" s="283">
        <v>60</v>
      </c>
      <c r="I1564" s="246">
        <v>55</v>
      </c>
      <c r="J1564" s="246">
        <v>1</v>
      </c>
      <c r="K1564" s="247" t="s">
        <v>6637</v>
      </c>
      <c r="L1564" s="248">
        <v>24106</v>
      </c>
      <c r="M1564" s="249">
        <f>15*(LEFT(TEXT($L1564,"000000"),2)+(MID(TEXT($L1564,"000000"),3,2)/60)+(RIGHT(TEXT($L1564,"000000"),2)/3600))</f>
        <v>40.274999999999999</v>
      </c>
      <c r="N1564" s="286">
        <v>-81500</v>
      </c>
      <c r="O1564" s="251">
        <f>IF($N1564&gt;0,(LEFT(TEXT($N1564,"000000"),2)+(MID(TEXT($N1564,"000000"),3,2)/60)+(RIGHT(TEXT($N1564,"000000"),2)/3600)),-(MID(TEXT($N1564,"000000"),2,2)+(MID(TEXT($N1564,"000000"),4,2)/60)+(RIGHT(TEXT($N1564,"000000"),2)/3600)))</f>
        <v>-8.25</v>
      </c>
      <c r="P1564" s="252" t="s">
        <v>75</v>
      </c>
      <c r="Q1564" s="253"/>
      <c r="R1564" s="277" t="s">
        <v>3293</v>
      </c>
      <c r="S1564" s="272" t="s">
        <v>6635</v>
      </c>
      <c r="T1564" s="273">
        <v>10.5</v>
      </c>
      <c r="U1564" s="289">
        <v>21.39</v>
      </c>
      <c r="V1564" s="280"/>
      <c r="W1564" s="244"/>
      <c r="X1564" s="244"/>
      <c r="Y1564" s="362"/>
      <c r="Z1564" s="257">
        <f>altaz(J2000_Bas,$O1564,$M1564,DecLat,DecLong,1)</f>
        <v>-24.99996107553763</v>
      </c>
      <c r="AA1564" s="257">
        <f>altaz((J2000_Bas+(2*0.04167)),$O1564,$M1564,DecLat,DecLong,1)</f>
        <v>0.68761410104768705</v>
      </c>
      <c r="AB1564" s="257">
        <f>altaz((J2000_Bas+(4*0.04167)),$O1564,$M1564,DecLat,DecLong,1)</f>
        <v>25.054125450721788</v>
      </c>
      <c r="AC1564" s="257">
        <f>altaz((J2000_Bas+(6*0.04167)),$O1564,$M1564,DecLat,DecLong,1)</f>
        <v>44.502519652960089</v>
      </c>
      <c r="AD1564" s="258">
        <f>1+ transit((J2000_Bas-1),$O1564,$M1564,DecLat,DecLong)/360 + (GMTOffset/24) + (IF(DST="Y", 1, 0)/24)</f>
        <v>1.1047749494422081</v>
      </c>
      <c r="AE1564" s="259">
        <f>DATE(2001,9,21)+(M1564/360)*365 - (360*((DecLong/360)- (GMTOffset/24) ))</f>
        <v>37200.834374999999</v>
      </c>
      <c r="AF1564" s="260">
        <f>IF(DecLat&gt;0,IF((90 - (DecLat-O1564))&gt;90, (90 - (O1564-DecLat)), (90 - (DecLat-O1564))),IF((90 + (DecLat-O1564))&gt;90, (90 + (O1564-DecLat)), (90 + (DecLat-O1564))))</f>
        <v>50.75</v>
      </c>
      <c r="AG1564" s="257">
        <f>angularseperation(MoonRA,MoonDec,$M1564,$O1564)</f>
        <v>134.87515852287081</v>
      </c>
      <c r="AH1564" s="261">
        <f ca="1">MIN(100,IF($O$5&gt;80,0+30*($AG1564/100),IF($O$5&gt;70,0+50*($AG1564/100),IF($O$5&gt;60,5+50*($AG1564/100),IF($O$5&gt;50,10+60*($AG1564/100),IF($O$5&gt;40,15+70*($AG1564/100),IF($O$5&gt;30,20+70*($AG1564/100),IF($O$5&gt;20,40+55*($AG1564/100),(80+(20-$O$5)+30*($AG1564/100))))))))))</f>
        <v>100</v>
      </c>
      <c r="AI1564" s="262">
        <v>1052</v>
      </c>
      <c r="AJ1564" s="263"/>
      <c r="AK1564" s="263">
        <v>42</v>
      </c>
      <c r="AL1564" s="263"/>
      <c r="AM1564" s="264"/>
      <c r="AN1564" s="263"/>
      <c r="AO1564" s="263"/>
      <c r="AP1564" s="265"/>
      <c r="AQ1564" s="265"/>
      <c r="AR1564" s="285">
        <v>10175</v>
      </c>
      <c r="AS1564" s="263"/>
      <c r="AT1564" s="263"/>
      <c r="AU1564" s="263"/>
      <c r="AV1564" s="264"/>
      <c r="AW1564" s="263"/>
      <c r="AX1564" s="263"/>
      <c r="AY1564" s="263"/>
      <c r="AZ1564" s="263"/>
      <c r="BA1564" s="263"/>
      <c r="BB1564" s="263"/>
      <c r="BC1564" s="263"/>
      <c r="BD1564" s="264"/>
      <c r="BE1564" s="263"/>
      <c r="BF1564" s="263"/>
      <c r="BG1564" s="263"/>
      <c r="BH1564" s="263"/>
      <c r="BI1564" s="263"/>
      <c r="BJ1564" s="404">
        <f>altaz(J2000_Bas,$O1564,$M1564,DecLat,DecLong,2)</f>
        <v>84.521260910673362</v>
      </c>
      <c r="BK1564" s="378" t="s">
        <v>1583</v>
      </c>
      <c r="BL1564" s="379">
        <f>IF((2*G1564)/60&lt;0.2,0.2,(2*G1564)/60)</f>
        <v>0.2</v>
      </c>
      <c r="BM1564" s="380">
        <f>MOD((50000+AD1564-$B$3+(0/24)),1)</f>
        <v>0.32014187914319336</v>
      </c>
      <c r="BN1564" s="381"/>
      <c r="BO1564" s="382">
        <v>1557</v>
      </c>
    </row>
    <row r="1565" spans="1:67" s="24" customFormat="1" ht="15" customHeight="1" x14ac:dyDescent="0.25">
      <c r="A1565" s="288" t="s">
        <v>1584</v>
      </c>
      <c r="B1565" s="241" t="str">
        <f>HYPERLINK(CONCATENATE($AT$3,BK1565,$AU$3),$AV$3)</f>
        <v>S</v>
      </c>
      <c r="C1565" s="242" t="str">
        <f>HYPERLINK(CONCATENATE($AT$4,BK1565,$AU$4,BL1565),$AV$4)</f>
        <v>A</v>
      </c>
      <c r="D1565" s="243" t="s">
        <v>5638</v>
      </c>
      <c r="E1565" s="244" t="s">
        <v>5192</v>
      </c>
      <c r="F1565" s="269" t="s">
        <v>8928</v>
      </c>
      <c r="G1565" s="273">
        <v>7</v>
      </c>
      <c r="H1565" s="283">
        <v>52</v>
      </c>
      <c r="I1565" s="246">
        <v>110</v>
      </c>
      <c r="J1565" s="246">
        <v>3</v>
      </c>
      <c r="K1565" s="253" t="s">
        <v>6638</v>
      </c>
      <c r="L1565" s="248">
        <v>24145</v>
      </c>
      <c r="M1565" s="249">
        <f>15*(LEFT(TEXT($L1565,"000000"),2)+(MID(TEXT($L1565,"000000"),3,2)/60)+(RIGHT(TEXT($L1565,"000000"),2)/3600))</f>
        <v>40.437500000000007</v>
      </c>
      <c r="N1565" s="250">
        <v>2633</v>
      </c>
      <c r="O1565" s="251">
        <f>IF($N1565&gt;0,(LEFT(TEXT($N1565,"000000"),2)+(MID(TEXT($N1565,"000000"),3,2)/60)+(RIGHT(TEXT($N1565,"000000"),2)/3600)),-(MID(TEXT($N1565,"000000"),2,2)+(MID(TEXT($N1565,"000000"),4,2)/60)+(RIGHT(TEXT($N1565,"000000"),2)/3600)))</f>
        <v>0.4425</v>
      </c>
      <c r="P1565" s="252" t="s">
        <v>75</v>
      </c>
      <c r="Q1565" s="253"/>
      <c r="R1565" s="247" t="s">
        <v>3293</v>
      </c>
      <c r="S1565" s="272" t="s">
        <v>3293</v>
      </c>
      <c r="T1565" s="273">
        <v>10.6</v>
      </c>
      <c r="U1565" s="289">
        <v>22.59</v>
      </c>
      <c r="V1565" s="280">
        <v>86</v>
      </c>
      <c r="W1565" s="244"/>
      <c r="X1565" s="244"/>
      <c r="Y1565" s="362"/>
      <c r="Z1565" s="257">
        <f>altaz(J2000_Bas,$O1565,$M1565,DecLat,DecLong,1)</f>
        <v>-20.523188835218626</v>
      </c>
      <c r="AA1565" s="257">
        <f>altaz((J2000_Bas+(2*0.04167)),$O1565,$M1565,DecLat,DecLong,1)</f>
        <v>5.0692380731311086</v>
      </c>
      <c r="AB1565" s="257">
        <f>altaz((J2000_Bas+(4*0.04167)),$O1565,$M1565,DecLat,DecLong,1)</f>
        <v>30.302861599814975</v>
      </c>
      <c r="AC1565" s="257">
        <f>altaz((J2000_Bas+(6*0.04167)),$O1565,$M1565,DecLat,DecLong,1)</f>
        <v>51.804814655995678</v>
      </c>
      <c r="AD1565" s="258">
        <f>1+ transit((J2000_Bas-1),$O1565,$M1565,DecLat,DecLong)/360 + (GMTOffset/24) + (IF(DST="Y", 1, 0)/24)</f>
        <v>1.105226338285958</v>
      </c>
      <c r="AE1565" s="259">
        <f>DATE(2001,9,21)+(M1565/360)*365 - (360*((DecLong/360)- (GMTOffset/24) ))</f>
        <v>37200.999131944445</v>
      </c>
      <c r="AF1565" s="260">
        <f>IF(DecLat&gt;0,IF((90 - (DecLat-O1565))&gt;90, (90 - (O1565-DecLat)), (90 - (DecLat-O1565))),IF((90 + (DecLat-O1565))&gt;90, (90 + (O1565-DecLat)), (90 + (DecLat-O1565))))</f>
        <v>59.442499999999995</v>
      </c>
      <c r="AG1565" s="257">
        <f>angularseperation(MoonRA,MoonDec,$M1565,$O1565)</f>
        <v>141.59785401655913</v>
      </c>
      <c r="AH1565" s="261">
        <f ca="1">MIN(100,IF($O$5&gt;80,0+30*($AG1565/100),IF($O$5&gt;70,0+50*($AG1565/100),IF($O$5&gt;60,5+50*($AG1565/100),IF($O$5&gt;50,10+60*($AG1565/100),IF($O$5&gt;40,15+70*($AG1565/100),IF($O$5&gt;30,20+70*($AG1565/100),IF($O$5&gt;20,40+55*($AG1565/100),(80+(20-$O$5)+30*($AG1565/100))))))))))</f>
        <v>100</v>
      </c>
      <c r="AI1565" s="262">
        <v>1055</v>
      </c>
      <c r="AJ1565" s="262"/>
      <c r="AK1565" s="262">
        <v>43</v>
      </c>
      <c r="AL1565" s="263"/>
      <c r="AM1565" s="264"/>
      <c r="AN1565" s="263"/>
      <c r="AO1565" s="263"/>
      <c r="AP1565" s="265"/>
      <c r="AQ1565" s="266">
        <v>2173</v>
      </c>
      <c r="AR1565" s="267">
        <v>10208</v>
      </c>
      <c r="AS1565" s="263"/>
      <c r="AT1565" s="263"/>
      <c r="AU1565" s="263"/>
      <c r="AV1565" s="264"/>
      <c r="AW1565" s="263"/>
      <c r="AX1565" s="263"/>
      <c r="AY1565" s="263"/>
      <c r="AZ1565" s="263"/>
      <c r="BA1565" s="263"/>
      <c r="BB1565" s="263"/>
      <c r="BC1565" s="263"/>
      <c r="BD1565" s="264"/>
      <c r="BE1565" s="263"/>
      <c r="BF1565" s="263"/>
      <c r="BG1565" s="263">
        <v>13</v>
      </c>
      <c r="BH1565" s="263"/>
      <c r="BI1565" s="263"/>
      <c r="BJ1565" s="404">
        <f>altaz(J2000_Bas,$O1565,$M1565,DecLat,DecLong,2)</f>
        <v>76.43488257416962</v>
      </c>
      <c r="BK1565" s="378" t="s">
        <v>1584</v>
      </c>
      <c r="BL1565" s="379">
        <f>IF((2*G1565)/60&lt;0.2,0.2,(2*G1565)/60)</f>
        <v>0.23333333333333334</v>
      </c>
      <c r="BM1565" s="380">
        <f>MOD((50000+AD1565-$B$3+(0/24)),1)</f>
        <v>0.32059326799208065</v>
      </c>
      <c r="BN1565" s="381" t="s">
        <v>9218</v>
      </c>
      <c r="BO1565" s="382">
        <v>1558</v>
      </c>
    </row>
    <row r="1566" spans="1:67" s="24" customFormat="1" ht="15" customHeight="1" x14ac:dyDescent="0.25">
      <c r="A1566" s="288" t="s">
        <v>3036</v>
      </c>
      <c r="B1566" s="241" t="str">
        <f>HYPERLINK(CONCATENATE($AT$3,BK1566,$AU$3),$AV$3)</f>
        <v>S</v>
      </c>
      <c r="C1566" s="242" t="str">
        <f>HYPERLINK(CONCATENATE($AT$4,BK1566,$AU$4,BL1566),$AV$4)</f>
        <v>A</v>
      </c>
      <c r="D1566" s="243" t="s">
        <v>5638</v>
      </c>
      <c r="E1566" s="244" t="s">
        <v>5192</v>
      </c>
      <c r="F1566" s="269" t="s">
        <v>8689</v>
      </c>
      <c r="G1566" s="273">
        <v>2.6</v>
      </c>
      <c r="H1566" s="283">
        <v>30</v>
      </c>
      <c r="I1566" s="246">
        <v>24</v>
      </c>
      <c r="J1566" s="246">
        <v>2</v>
      </c>
      <c r="K1566" s="247" t="s">
        <v>7732</v>
      </c>
      <c r="L1566" s="248">
        <v>24300</v>
      </c>
      <c r="M1566" s="249">
        <f>15*(LEFT(TEXT($L1566,"000000"),2)+(MID(TEXT($L1566,"000000"),3,2)/60)+(RIGHT(TEXT($L1566,"000000"),2)/3600))</f>
        <v>40.75</v>
      </c>
      <c r="N1566" s="250">
        <v>372000</v>
      </c>
      <c r="O1566" s="251">
        <f>IF($N1566&gt;0,(LEFT(TEXT($N1566,"000000"),2)+(MID(TEXT($N1566,"000000"),3,2)/60)+(RIGHT(TEXT($N1566,"000000"),2)/3600)),-(MID(TEXT($N1566,"000000"),2,2)+(MID(TEXT($N1566,"000000"),4,2)/60)+(RIGHT(TEXT($N1566,"000000"),2)/3600)))</f>
        <v>37.333333333333336</v>
      </c>
      <c r="P1566" s="252" t="s">
        <v>43</v>
      </c>
      <c r="Q1566" s="253"/>
      <c r="R1566" s="277" t="s">
        <v>3293</v>
      </c>
      <c r="S1566" s="272"/>
      <c r="T1566" s="273">
        <v>11.7</v>
      </c>
      <c r="U1566" s="289">
        <v>22.29</v>
      </c>
      <c r="V1566" s="280">
        <v>4</v>
      </c>
      <c r="W1566" s="244"/>
      <c r="X1566" s="244"/>
      <c r="Y1566" s="362"/>
      <c r="Z1566" s="257">
        <f>altaz(J2000_Bas,$O1566,$M1566,DecLat,DecLong,1)</f>
        <v>1.5492137552970739</v>
      </c>
      <c r="AA1566" s="257">
        <f>altaz((J2000_Bas+(2*0.04167)),$O1566,$M1566,DecLat,DecLong,1)</f>
        <v>22.070116789393357</v>
      </c>
      <c r="AB1566" s="257">
        <f>altaz((J2000_Bas+(4*0.04167)),$O1566,$M1566,DecLat,DecLong,1)</f>
        <v>45.020999858943888</v>
      </c>
      <c r="AC1566" s="257">
        <f>altaz((J2000_Bas+(6*0.04167)),$O1566,$M1566,DecLat,DecLong,1)</f>
        <v>68.837737437309755</v>
      </c>
      <c r="AD1566" s="258">
        <f>1+ transit((J2000_Bas-1),$O1566,$M1566,DecLat,DecLong)/360 + (GMTOffset/24) + (IF(DST="Y", 1, 0)/24)</f>
        <v>1.1060943937547079</v>
      </c>
      <c r="AE1566" s="259">
        <f>DATE(2001,9,21)+(M1566/360)*365 - (360*((DecLong/360)- (GMTOffset/24) ))</f>
        <v>37201.315972222219</v>
      </c>
      <c r="AF1566" s="260">
        <f>IF(DecLat&gt;0,IF((90 - (DecLat-O1566))&gt;90, (90 - (O1566-DecLat)), (90 - (DecLat-O1566))),IF((90 + (DecLat-O1566))&gt;90, (90 + (O1566-DecLat)), (90 + (DecLat-O1566))))</f>
        <v>83.666666666666657</v>
      </c>
      <c r="AG1566" s="257">
        <f>angularseperation(MoonRA,MoonDec,$M1566,$O1566)</f>
        <v>153.9357711327601</v>
      </c>
      <c r="AH1566" s="261">
        <f ca="1">MIN(100,IF($O$5&gt;80,0+30*($AG1566/100),IF($O$5&gt;70,0+50*($AG1566/100),IF($O$5&gt;60,5+50*($AG1566/100),IF($O$5&gt;50,10+60*($AG1566/100),IF($O$5&gt;40,15+70*($AG1566/100),IF($O$5&gt;30,20+70*($AG1566/100),IF($O$5&gt;20,40+55*($AG1566/100),(80+(20-$O$5)+30*($AG1566/100))))))))))</f>
        <v>100</v>
      </c>
      <c r="AI1566" s="262">
        <v>1058</v>
      </c>
      <c r="AJ1566" s="263"/>
      <c r="AK1566" s="263"/>
      <c r="AL1566" s="263"/>
      <c r="AM1566" s="264"/>
      <c r="AN1566" s="263"/>
      <c r="AO1566" s="263"/>
      <c r="AP1566" s="265"/>
      <c r="AQ1566" s="265">
        <v>2193</v>
      </c>
      <c r="AR1566" s="285">
        <v>10314</v>
      </c>
      <c r="AS1566" s="263"/>
      <c r="AT1566" s="263"/>
      <c r="AU1566" s="263"/>
      <c r="AV1566" s="264"/>
      <c r="AW1566" s="263"/>
      <c r="AX1566" s="263"/>
      <c r="AY1566" s="263"/>
      <c r="AZ1566" s="263"/>
      <c r="BA1566" s="263"/>
      <c r="BB1566" s="263"/>
      <c r="BC1566" s="263"/>
      <c r="BD1566" s="264"/>
      <c r="BE1566" s="263"/>
      <c r="BF1566" s="263"/>
      <c r="BG1566" s="263"/>
      <c r="BH1566" s="263"/>
      <c r="BI1566" s="263"/>
      <c r="BJ1566" s="404">
        <f>altaz(J2000_Bas,$O1566,$M1566,DecLat,DecLong,2)</f>
        <v>46.249906158450976</v>
      </c>
      <c r="BK1566" s="378" t="s">
        <v>3036</v>
      </c>
      <c r="BL1566" s="379">
        <f>IF((2*G1566)/60&lt;0.2,0.2,(2*G1566)/60)</f>
        <v>0.2</v>
      </c>
      <c r="BM1566" s="380">
        <f>MOD((50000+AD1566-$B$3+(0/24)),1)</f>
        <v>0.32146132345951628</v>
      </c>
      <c r="BN1566" s="381"/>
      <c r="BO1566" s="382">
        <v>1559</v>
      </c>
    </row>
    <row r="1567" spans="1:67" s="24" customFormat="1" ht="15" customHeight="1" x14ac:dyDescent="0.25">
      <c r="A1567" s="288" t="s">
        <v>7566</v>
      </c>
      <c r="B1567" s="241" t="str">
        <f>HYPERLINK(CONCATENATE($AT$3,BK1567,$AU$3),$AV$3)</f>
        <v>S</v>
      </c>
      <c r="C1567" s="242" t="str">
        <f>HYPERLINK(CONCATENATE($AT$4,BK1567,$AU$4,BL1567),$AV$4)</f>
        <v>A</v>
      </c>
      <c r="D1567" s="243" t="s">
        <v>5638</v>
      </c>
      <c r="E1567" s="244" t="s">
        <v>5336</v>
      </c>
      <c r="F1567" s="269">
        <v>15</v>
      </c>
      <c r="G1567" s="282">
        <v>35</v>
      </c>
      <c r="H1567" s="283">
        <v>250</v>
      </c>
      <c r="I1567" s="284">
        <v>2550</v>
      </c>
      <c r="J1567" s="246">
        <v>2</v>
      </c>
      <c r="K1567" s="247" t="s">
        <v>6642</v>
      </c>
      <c r="L1567" s="248">
        <v>24315</v>
      </c>
      <c r="M1567" s="249">
        <f>15*(LEFT(TEXT($L1567,"000000"),2)+(MID(TEXT($L1567,"000000"),3,2)/60)+(RIGHT(TEXT($L1567,"000000"),2)/3600))</f>
        <v>40.812500000000007</v>
      </c>
      <c r="N1567" s="250">
        <v>322529</v>
      </c>
      <c r="O1567" s="251">
        <f>IF($N1567&gt;0,(LEFT(TEXT($N1567,"000000"),2)+(MID(TEXT($N1567,"000000"),3,2)/60)+(RIGHT(TEXT($N1567,"000000"),2)/3600)),-(MID(TEXT($N1567,"000000"),2,2)+(MID(TEXT($N1567,"000000"),4,2)/60)+(RIGHT(TEXT($N1567,"000000"),2)/3600)))</f>
        <v>32.424722222222222</v>
      </c>
      <c r="P1567" s="252" t="s">
        <v>314</v>
      </c>
      <c r="Q1567" s="253"/>
      <c r="R1567" s="247" t="s">
        <v>3293</v>
      </c>
      <c r="S1567" s="272" t="s">
        <v>3293</v>
      </c>
      <c r="T1567" s="273">
        <v>11.8</v>
      </c>
      <c r="U1567" s="289">
        <v>22.09</v>
      </c>
      <c r="V1567" s="280"/>
      <c r="W1567" s="244"/>
      <c r="X1567" s="244"/>
      <c r="Y1567" s="362"/>
      <c r="Z1567" s="257">
        <f>altaz(J2000_Bas,$O1567,$M1567,DecLat,DecLong,1)</f>
        <v>-1.5724729903451167</v>
      </c>
      <c r="AA1567" s="257">
        <f>altaz((J2000_Bas+(2*0.04167)),$O1567,$M1567,DecLat,DecLong,1)</f>
        <v>20.039835653989091</v>
      </c>
      <c r="AB1567" s="257">
        <f>altaz((J2000_Bas+(4*0.04167)),$O1567,$M1567,DecLat,DecLong,1)</f>
        <v>44.016649541592734</v>
      </c>
      <c r="AC1567" s="257">
        <f>altaz((J2000_Bas+(6*0.04167)),$O1567,$M1567,DecLat,DecLong,1)</f>
        <v>69.107330629976559</v>
      </c>
      <c r="AD1567" s="258">
        <f>1+ transit((J2000_Bas-1),$O1567,$M1567,DecLat,DecLong)/360 + (GMTOffset/24) + (IF(DST="Y", 1, 0)/24)</f>
        <v>1.1062680048484579</v>
      </c>
      <c r="AE1567" s="259">
        <f>DATE(2001,9,21)+(M1567/360)*365 - (360*((DecLong/360)- (GMTOffset/24) ))</f>
        <v>37201.379340277781</v>
      </c>
      <c r="AF1567" s="260">
        <f>IF(DecLat&gt;0,IF((90 - (DecLat-O1567))&gt;90, (90 - (O1567-DecLat)), (90 - (DecLat-O1567))),IF((90 + (DecLat-O1567))&gt;90, (90 + (O1567-DecLat)), (90 + (DecLat-O1567))))</f>
        <v>88.575277777777785</v>
      </c>
      <c r="AG1567" s="257">
        <f>angularseperation(MoonRA,MoonDec,$M1567,$O1567)</f>
        <v>154.82697019945203</v>
      </c>
      <c r="AH1567" s="261">
        <f ca="1">MIN(100,IF($O$5&gt;80,0+30*($AG1567/100),IF($O$5&gt;70,0+50*($AG1567/100),IF($O$5&gt;60,5+50*($AG1567/100),IF($O$5&gt;50,10+60*($AG1567/100),IF($O$5&gt;40,15+70*($AG1567/100),IF($O$5&gt;30,20+70*($AG1567/100),IF($O$5&gt;20,40+55*($AG1567/100),(80+(20-$O$5)+30*($AG1567/100))))))))))</f>
        <v>100</v>
      </c>
      <c r="AI1567" s="262">
        <v>1060</v>
      </c>
      <c r="AJ1567" s="262"/>
      <c r="AK1567" s="262"/>
      <c r="AL1567" s="263"/>
      <c r="AM1567" s="264"/>
      <c r="AN1567" s="263"/>
      <c r="AO1567" s="263"/>
      <c r="AP1567" s="265"/>
      <c r="AQ1567" s="266">
        <v>2191</v>
      </c>
      <c r="AR1567" s="267">
        <v>10302</v>
      </c>
      <c r="AS1567" s="263"/>
      <c r="AT1567" s="263"/>
      <c r="AU1567" s="263"/>
      <c r="AV1567" s="264"/>
      <c r="AW1567" s="263"/>
      <c r="AX1567" s="263"/>
      <c r="AY1567" s="263"/>
      <c r="AZ1567" s="263"/>
      <c r="BA1567" s="263"/>
      <c r="BB1567" s="263"/>
      <c r="BC1567" s="263"/>
      <c r="BD1567" s="264"/>
      <c r="BE1567" s="263"/>
      <c r="BF1567" s="263"/>
      <c r="BG1567" s="263"/>
      <c r="BH1567" s="263"/>
      <c r="BI1567" s="263"/>
      <c r="BJ1567" s="404">
        <f>altaz(J2000_Bas,$O1567,$M1567,DecLat,DecLong,2)</f>
        <v>50.038799409341983</v>
      </c>
      <c r="BK1567" s="378" t="s">
        <v>1585</v>
      </c>
      <c r="BL1567" s="379">
        <f>IF((2*G1567)/60&lt;0.2,0.2,(2*G1567)/60)</f>
        <v>1.1666666666666667</v>
      </c>
      <c r="BM1567" s="380">
        <f>MOD((50000+AD1567-$B$3+(0/24)),1)</f>
        <v>0.3216349345530034</v>
      </c>
      <c r="BN1567" s="381"/>
      <c r="BO1567" s="382">
        <v>1560</v>
      </c>
    </row>
    <row r="1568" spans="1:67" s="24" customFormat="1" ht="15" customHeight="1" x14ac:dyDescent="0.25">
      <c r="A1568" s="288" t="s">
        <v>1586</v>
      </c>
      <c r="B1568" s="241" t="str">
        <f>HYPERLINK(CONCATENATE($AT$3,BK1568,$AU$3),$AV$3)</f>
        <v>S</v>
      </c>
      <c r="C1568" s="242" t="str">
        <f>HYPERLINK(CONCATENATE($AT$4,BK1568,$AU$4,BL1568),$AV$4)</f>
        <v>A</v>
      </c>
      <c r="D1568" s="243" t="s">
        <v>5638</v>
      </c>
      <c r="E1568" s="244" t="s">
        <v>5192</v>
      </c>
      <c r="F1568" s="269" t="s">
        <v>8688</v>
      </c>
      <c r="G1568" s="273">
        <v>2.2000000000000002</v>
      </c>
      <c r="H1568" s="283">
        <v>190</v>
      </c>
      <c r="I1568" s="246">
        <v>120</v>
      </c>
      <c r="J1568" s="246">
        <v>2</v>
      </c>
      <c r="K1568" s="247" t="s">
        <v>6643</v>
      </c>
      <c r="L1568" s="248">
        <v>24322</v>
      </c>
      <c r="M1568" s="249">
        <f>15*(LEFT(TEXT($L1568,"000000"),2)+(MID(TEXT($L1568,"000000"),3,2)/60)+(RIGHT(TEXT($L1568,"000000"),2)/3600))</f>
        <v>40.841666666666669</v>
      </c>
      <c r="N1568" s="250">
        <v>45805</v>
      </c>
      <c r="O1568" s="251">
        <f>IF($N1568&gt;0,(LEFT(TEXT($N1568,"000000"),2)+(MID(TEXT($N1568,"000000"),3,2)/60)+(RIGHT(TEXT($N1568,"000000"),2)/3600)),-(MID(TEXT($N1568,"000000"),2,2)+(MID(TEXT($N1568,"000000"),4,2)/60)+(RIGHT(TEXT($N1568,"000000"),2)/3600)))</f>
        <v>4.9680555555555559</v>
      </c>
      <c r="P1568" s="252" t="s">
        <v>75</v>
      </c>
      <c r="Q1568" s="253"/>
      <c r="R1568" s="277" t="s">
        <v>3293</v>
      </c>
      <c r="S1568" s="272" t="s">
        <v>3293</v>
      </c>
      <c r="T1568" s="273">
        <v>11.9</v>
      </c>
      <c r="U1568" s="289">
        <v>22.29</v>
      </c>
      <c r="V1568" s="280">
        <v>20</v>
      </c>
      <c r="W1568" s="244"/>
      <c r="X1568" s="244"/>
      <c r="Y1568" s="362"/>
      <c r="Z1568" s="257">
        <f>altaz(J2000_Bas,$O1568,$M1568,DecLat,DecLong,1)</f>
        <v>-18.307426577961785</v>
      </c>
      <c r="AA1568" s="257">
        <f>altaz((J2000_Bas+(2*0.04167)),$O1568,$M1568,DecLat,DecLong,1)</f>
        <v>7.0464098140619074</v>
      </c>
      <c r="AB1568" s="257">
        <f>altaz((J2000_Bas+(4*0.04167)),$O1568,$M1568,DecLat,DecLong,1)</f>
        <v>32.576669527344706</v>
      </c>
      <c r="AC1568" s="257">
        <f>altaz((J2000_Bas+(6*0.04167)),$O1568,$M1568,DecLat,DecLong,1)</f>
        <v>55.198317582403611</v>
      </c>
      <c r="AD1568" s="258">
        <f>1+ transit((J2000_Bas-1),$O1568,$M1568,DecLat,DecLong)/360 + (GMTOffset/24) + (IF(DST="Y", 1, 0)/24)</f>
        <v>1.1063490233588746</v>
      </c>
      <c r="AE1568" s="259">
        <f>DATE(2001,9,21)+(M1568/360)*365 - (360*((DecLong/360)- (GMTOffset/24) ))</f>
        <v>37201.408912037034</v>
      </c>
      <c r="AF1568" s="260">
        <f>IF(DecLat&gt;0,IF((90 - (DecLat-O1568))&gt;90, (90 - (O1568-DecLat)), (90 - (DecLat-O1568))),IF((90 + (DecLat-O1568))&gt;90, (90 + (O1568-DecLat)), (90 + (DecLat-O1568))))</f>
        <v>63.968055555555551</v>
      </c>
      <c r="AG1568" s="257">
        <f>angularseperation(MoonRA,MoonDec,$M1568,$O1568)</f>
        <v>145.05181724144742</v>
      </c>
      <c r="AH1568" s="261">
        <f ca="1">MIN(100,IF($O$5&gt;80,0+30*($AG1568/100),IF($O$5&gt;70,0+50*($AG1568/100),IF($O$5&gt;60,5+50*($AG1568/100),IF($O$5&gt;50,10+60*($AG1568/100),IF($O$5&gt;40,15+70*($AG1568/100),IF($O$5&gt;30,20+70*($AG1568/100),IF($O$5&gt;20,40+55*($AG1568/100),(80+(20-$O$5)+30*($AG1568/100))))))))))</f>
        <v>100</v>
      </c>
      <c r="AI1568" s="262">
        <v>1070</v>
      </c>
      <c r="AJ1568" s="263"/>
      <c r="AK1568" s="263"/>
      <c r="AL1568" s="263"/>
      <c r="AM1568" s="264"/>
      <c r="AN1568" s="263"/>
      <c r="AO1568" s="263"/>
      <c r="AP1568" s="265"/>
      <c r="AQ1568" s="265">
        <v>2200</v>
      </c>
      <c r="AR1568" s="285">
        <v>10309</v>
      </c>
      <c r="AS1568" s="263"/>
      <c r="AT1568" s="263"/>
      <c r="AU1568" s="263"/>
      <c r="AV1568" s="264"/>
      <c r="AW1568" s="263"/>
      <c r="AX1568" s="263"/>
      <c r="AY1568" s="263"/>
      <c r="AZ1568" s="263"/>
      <c r="BA1568" s="263"/>
      <c r="BB1568" s="263"/>
      <c r="BC1568" s="263"/>
      <c r="BD1568" s="264"/>
      <c r="BE1568" s="263"/>
      <c r="BF1568" s="263"/>
      <c r="BG1568" s="263"/>
      <c r="BH1568" s="263"/>
      <c r="BI1568" s="263"/>
      <c r="BJ1568" s="404">
        <f>altaz(J2000_Bas,$O1568,$M1568,DecLat,DecLong,2)</f>
        <v>72.228647815298856</v>
      </c>
      <c r="BK1568" s="378" t="s">
        <v>1586</v>
      </c>
      <c r="BL1568" s="379">
        <f>IF((2*G1568)/60&lt;0.2,0.2,(2*G1568)/60)</f>
        <v>0.2</v>
      </c>
      <c r="BM1568" s="380">
        <f>MOD((50000+AD1568-$B$3+(0/24)),1)</f>
        <v>0.32171595306135714</v>
      </c>
      <c r="BN1568" s="381"/>
      <c r="BO1568" s="382">
        <v>1561</v>
      </c>
    </row>
    <row r="1569" spans="1:67" s="24" customFormat="1" ht="15" customHeight="1" x14ac:dyDescent="0.25">
      <c r="A1569" s="288" t="s">
        <v>1587</v>
      </c>
      <c r="B1569" s="241" t="str">
        <f>HYPERLINK(CONCATENATE($AT$3,BK1569,$AU$3),$AV$3)</f>
        <v>S</v>
      </c>
      <c r="C1569" s="242" t="str">
        <f>HYPERLINK(CONCATENATE($AT$4,BK1569,$AU$4,BL1569),$AV$4)</f>
        <v>A</v>
      </c>
      <c r="D1569" s="243" t="s">
        <v>5638</v>
      </c>
      <c r="E1569" s="244" t="s">
        <v>5192</v>
      </c>
      <c r="F1569" s="269" t="s">
        <v>8895</v>
      </c>
      <c r="G1569" s="273">
        <v>5</v>
      </c>
      <c r="H1569" s="283">
        <v>50</v>
      </c>
      <c r="I1569" s="246">
        <v>75</v>
      </c>
      <c r="J1569" s="246">
        <v>2</v>
      </c>
      <c r="K1569" s="247" t="s">
        <v>6644</v>
      </c>
      <c r="L1569" s="248">
        <v>24340</v>
      </c>
      <c r="M1569" s="249">
        <f>15*(LEFT(TEXT($L1569,"000000"),2)+(MID(TEXT($L1569,"000000"),3,2)/60)+(RIGHT(TEXT($L1569,"000000"),2)/3600))</f>
        <v>40.916666666666671</v>
      </c>
      <c r="N1569" s="250">
        <v>12233</v>
      </c>
      <c r="O1569" s="251">
        <f>IF($N1569&gt;0,(LEFT(TEXT($N1569,"000000"),2)+(MID(TEXT($N1569,"000000"),3,2)/60)+(RIGHT(TEXT($N1569,"000000"),2)/3600)),-(MID(TEXT($N1569,"000000"),2,2)+(MID(TEXT($N1569,"000000"),4,2)/60)+(RIGHT(TEXT($N1569,"000000"),2)/3600)))</f>
        <v>1.3758333333333335</v>
      </c>
      <c r="P1569" s="252" t="s">
        <v>75</v>
      </c>
      <c r="Q1569" s="253"/>
      <c r="R1569" s="247" t="s">
        <v>3293</v>
      </c>
      <c r="S1569" s="272" t="s">
        <v>3293</v>
      </c>
      <c r="T1569" s="273">
        <v>11</v>
      </c>
      <c r="U1569" s="289">
        <v>23.09</v>
      </c>
      <c r="V1569" s="280">
        <v>15</v>
      </c>
      <c r="W1569" s="244"/>
      <c r="X1569" s="244"/>
      <c r="Y1569" s="362"/>
      <c r="Z1569" s="257">
        <f>altaz(J2000_Bas,$O1569,$M1569,DecLat,DecLong,1)</f>
        <v>-20.402821771502595</v>
      </c>
      <c r="AA1569" s="257">
        <f>altaz((J2000_Bas+(2*0.04167)),$O1569,$M1569,DecLat,DecLong,1)</f>
        <v>5.1401286454105968</v>
      </c>
      <c r="AB1569" s="257">
        <f>altaz((J2000_Bas+(4*0.04167)),$O1569,$M1569,DecLat,DecLong,1)</f>
        <v>30.463897601427036</v>
      </c>
      <c r="AC1569" s="257">
        <f>altaz((J2000_Bas+(6*0.04167)),$O1569,$M1569,DecLat,DecLong,1)</f>
        <v>52.291478557835191</v>
      </c>
      <c r="AD1569" s="258">
        <f>1+ transit((J2000_Bas-1),$O1569,$M1569,DecLat,DecLong)/360 + (GMTOffset/24) + (IF(DST="Y", 1, 0)/24)</f>
        <v>1.1065573566713747</v>
      </c>
      <c r="AE1569" s="259">
        <f>DATE(2001,9,21)+(M1569/360)*365 - (360*((DecLong/360)- (GMTOffset/24) ))</f>
        <v>37201.484953703701</v>
      </c>
      <c r="AF1569" s="260">
        <f>IF(DecLat&gt;0,IF((90 - (DecLat-O1569))&gt;90, (90 - (O1569-DecLat)), (90 - (DecLat-O1569))),IF((90 + (DecLat-O1569))&gt;90, (90 + (O1569-DecLat)), (90 + (DecLat-O1569))))</f>
        <v>60.375833333333333</v>
      </c>
      <c r="AG1569" s="257">
        <f>angularseperation(MoonRA,MoonDec,$M1569,$O1569)</f>
        <v>142.60272105380992</v>
      </c>
      <c r="AH1569" s="261">
        <f ca="1">MIN(100,IF($O$5&gt;80,0+30*($AG1569/100),IF($O$5&gt;70,0+50*($AG1569/100),IF($O$5&gt;60,5+50*($AG1569/100),IF($O$5&gt;50,10+60*($AG1569/100),IF($O$5&gt;40,15+70*($AG1569/100),IF($O$5&gt;30,20+70*($AG1569/100),IF($O$5&gt;20,40+55*($AG1569/100),(80+(20-$O$5)+30*($AG1569/100))))))))))</f>
        <v>100</v>
      </c>
      <c r="AI1569" s="262">
        <v>1073</v>
      </c>
      <c r="AJ1569" s="262"/>
      <c r="AK1569" s="262"/>
      <c r="AL1569" s="263"/>
      <c r="AM1569" s="264"/>
      <c r="AN1569" s="263"/>
      <c r="AO1569" s="263"/>
      <c r="AP1569" s="265"/>
      <c r="AQ1569" s="266">
        <v>2210</v>
      </c>
      <c r="AR1569" s="267">
        <v>10329</v>
      </c>
      <c r="AS1569" s="263"/>
      <c r="AT1569" s="263"/>
      <c r="AU1569" s="263"/>
      <c r="AV1569" s="264"/>
      <c r="AW1569" s="263"/>
      <c r="AX1569" s="263"/>
      <c r="AY1569" s="263"/>
      <c r="AZ1569" s="263"/>
      <c r="BA1569" s="263"/>
      <c r="BB1569" s="263"/>
      <c r="BC1569" s="263"/>
      <c r="BD1569" s="264"/>
      <c r="BE1569" s="263"/>
      <c r="BF1569" s="263"/>
      <c r="BG1569" s="263"/>
      <c r="BH1569" s="263"/>
      <c r="BI1569" s="263"/>
      <c r="BJ1569" s="404">
        <f>altaz(J2000_Bas,$O1569,$M1569,DecLat,DecLong,2)</f>
        <v>75.322496299463609</v>
      </c>
      <c r="BK1569" s="378" t="s">
        <v>1587</v>
      </c>
      <c r="BL1569" s="379">
        <f>IF((2*G1569)/60&lt;0.2,0.2,(2*G1569)/60)</f>
        <v>0.2</v>
      </c>
      <c r="BM1569" s="380">
        <f>MOD((50000+AD1569-$B$3+(0/24)),1)</f>
        <v>0.32192428637790726</v>
      </c>
      <c r="BN1569" s="381"/>
      <c r="BO1569" s="382">
        <v>1562</v>
      </c>
    </row>
    <row r="1570" spans="1:67" s="24" customFormat="1" ht="15" customHeight="1" x14ac:dyDescent="0.25">
      <c r="A1570" s="288" t="s">
        <v>1588</v>
      </c>
      <c r="B1570" s="241" t="str">
        <f>HYPERLINK(CONCATENATE($AT$3,BK1570,$AU$3),$AV$3)</f>
        <v>S</v>
      </c>
      <c r="C1570" s="242" t="str">
        <f>HYPERLINK(CONCATENATE($AT$4,BK1570,$AU$4,BL1570),$AV$4)</f>
        <v>A</v>
      </c>
      <c r="D1570" s="243" t="s">
        <v>5638</v>
      </c>
      <c r="E1570" s="244" t="s">
        <v>5182</v>
      </c>
      <c r="F1570" s="269" t="s">
        <v>8903</v>
      </c>
      <c r="G1570" s="273">
        <v>5</v>
      </c>
      <c r="H1570" s="283">
        <v>80</v>
      </c>
      <c r="I1570" s="246">
        <v>120</v>
      </c>
      <c r="J1570" s="246">
        <v>2</v>
      </c>
      <c r="K1570" s="247" t="s">
        <v>6645</v>
      </c>
      <c r="L1570" s="248">
        <v>24345</v>
      </c>
      <c r="M1570" s="249">
        <f>15*(LEFT(TEXT($L1570,"000000"),2)+(MID(TEXT($L1570,"000000"),3,2)/60)+(RIGHT(TEXT($L1570,"000000"),2)/3600))</f>
        <v>40.937500000000007</v>
      </c>
      <c r="N1570" s="250">
        <v>-290012</v>
      </c>
      <c r="O1570" s="251">
        <f>IF($N1570&gt;0,(LEFT(TEXT($N1570,"000000"),2)+(MID(TEXT($N1570,"000000"),3,2)/60)+(RIGHT(TEXT($N1570,"000000"),2)/3600)),-(MID(TEXT($N1570,"000000"),2,2)+(MID(TEXT($N1570,"000000"),4,2)/60)+(RIGHT(TEXT($N1570,"000000"),2)/3600)))</f>
        <v>-29.003333333333334</v>
      </c>
      <c r="P1570" s="252" t="s">
        <v>215</v>
      </c>
      <c r="Q1570" s="253"/>
      <c r="R1570" s="247" t="s">
        <v>3293</v>
      </c>
      <c r="S1570" s="272" t="s">
        <v>3293</v>
      </c>
      <c r="T1570" s="273">
        <v>11.5</v>
      </c>
      <c r="U1570" s="289">
        <v>22.39</v>
      </c>
      <c r="V1570" s="280">
        <v>65</v>
      </c>
      <c r="W1570" s="244"/>
      <c r="X1570" s="244"/>
      <c r="Y1570" s="362"/>
      <c r="Z1570" s="257">
        <f>altaz(J2000_Bas,$O1570,$M1570,DecLat,DecLong,1)</f>
        <v>-34.456047651204194</v>
      </c>
      <c r="AA1570" s="257">
        <f>altaz((J2000_Bas+(2*0.04167)),$O1570,$M1570,DecLat,DecLong,1)</f>
        <v>-10.511496646718619</v>
      </c>
      <c r="AB1570" s="257">
        <f>altaz((J2000_Bas+(4*0.04167)),$O1570,$M1570,DecLat,DecLong,1)</f>
        <v>10.53166158255714</v>
      </c>
      <c r="AC1570" s="257">
        <f>altaz((J2000_Bas+(6*0.04167)),$O1570,$M1570,DecLat,DecLong,1)</f>
        <v>25.560464120439249</v>
      </c>
      <c r="AD1570" s="258">
        <f>1+ transit((J2000_Bas-1),$O1570,$M1570,DecLat,DecLong)/360 + (GMTOffset/24) + (IF(DST="Y", 1, 0)/24)</f>
        <v>1.1066152270359579</v>
      </c>
      <c r="AE1570" s="259">
        <f>DATE(2001,9,21)+(M1570/360)*365 - (360*((DecLong/360)- (GMTOffset/24) ))</f>
        <v>37201.506076388891</v>
      </c>
      <c r="AF1570" s="260">
        <f>IF(DecLat&gt;0,IF((90 - (DecLat-O1570))&gt;90, (90 - (O1570-DecLat)), (90 - (DecLat-O1570))),IF((90 + (DecLat-O1570))&gt;90, (90 + (O1570-DecLat)), (90 + (DecLat-O1570))))</f>
        <v>29.99666666666667</v>
      </c>
      <c r="AG1570" s="257">
        <f>angularseperation(MoonRA,MoonDec,$M1570,$O1570)</f>
        <v>117.69912614599447</v>
      </c>
      <c r="AH1570" s="261">
        <f ca="1">MIN(100,IF($O$5&gt;80,0+30*($AG1570/100),IF($O$5&gt;70,0+50*($AG1570/100),IF($O$5&gt;60,5+50*($AG1570/100),IF($O$5&gt;50,10+60*($AG1570/100),IF($O$5&gt;40,15+70*($AG1570/100),IF($O$5&gt;30,20+70*($AG1570/100),IF($O$5&gt;20,40+55*($AG1570/100),(80+(20-$O$5)+30*($AG1570/100))))))))))</f>
        <v>100</v>
      </c>
      <c r="AI1570" s="262">
        <v>1079</v>
      </c>
      <c r="AJ1570" s="262"/>
      <c r="AK1570" s="262"/>
      <c r="AL1570" s="263"/>
      <c r="AM1570" s="264"/>
      <c r="AN1570" s="263"/>
      <c r="AO1570" s="263"/>
      <c r="AP1570" s="265"/>
      <c r="AQ1570" s="266"/>
      <c r="AR1570" s="267">
        <v>10330</v>
      </c>
      <c r="AS1570" s="263"/>
      <c r="AT1570" s="263"/>
      <c r="AU1570" s="263"/>
      <c r="AV1570" s="264"/>
      <c r="AW1570" s="263"/>
      <c r="AX1570" s="263"/>
      <c r="AY1570" s="263"/>
      <c r="AZ1570" s="263"/>
      <c r="BA1570" s="263"/>
      <c r="BB1570" s="263"/>
      <c r="BC1570" s="263"/>
      <c r="BD1570" s="264"/>
      <c r="BE1570" s="263"/>
      <c r="BF1570" s="263"/>
      <c r="BG1570" s="263"/>
      <c r="BH1570" s="263"/>
      <c r="BI1570" s="263"/>
      <c r="BJ1570" s="404">
        <f>altaz(J2000_Bas,$O1570,$M1570,DecLat,DecLong,2)</f>
        <v>105.8860764360609</v>
      </c>
      <c r="BK1570" s="378" t="s">
        <v>1588</v>
      </c>
      <c r="BL1570" s="379">
        <f>IF((2*G1570)/60&lt;0.2,0.2,(2*G1570)/60)</f>
        <v>0.2</v>
      </c>
      <c r="BM1570" s="380">
        <f>MOD((50000+AD1570-$B$3+(0/24)),1)</f>
        <v>0.32198215673997765</v>
      </c>
      <c r="BN1570" s="381"/>
      <c r="BO1570" s="382">
        <v>1563</v>
      </c>
    </row>
    <row r="1571" spans="1:67" s="24" customFormat="1" ht="15" customHeight="1" x14ac:dyDescent="0.25">
      <c r="A1571" s="288" t="s">
        <v>1589</v>
      </c>
      <c r="B1571" s="241" t="str">
        <f>HYPERLINK(CONCATENATE($AT$3,BK1571,$AU$3),$AV$3)</f>
        <v>S</v>
      </c>
      <c r="C1571" s="242" t="str">
        <f>HYPERLINK(CONCATENATE($AT$4,BK1571,$AU$4,BL1571),$AV$4)</f>
        <v>A</v>
      </c>
      <c r="D1571" s="243" t="s">
        <v>5638</v>
      </c>
      <c r="E1571" s="244" t="s">
        <v>5192</v>
      </c>
      <c r="F1571" s="269" t="s">
        <v>8698</v>
      </c>
      <c r="G1571" s="273">
        <v>3</v>
      </c>
      <c r="H1571" s="283">
        <v>60</v>
      </c>
      <c r="I1571" s="246">
        <v>55</v>
      </c>
      <c r="J1571" s="246">
        <v>2</v>
      </c>
      <c r="K1571" s="247" t="s">
        <v>6649</v>
      </c>
      <c r="L1571" s="248">
        <v>24600</v>
      </c>
      <c r="M1571" s="249">
        <f>15*(LEFT(TEXT($L1571,"000000"),2)+(MID(TEXT($L1571,"000000"),3,2)/60)+(RIGHT(TEXT($L1571,"000000"),2)/3600))</f>
        <v>41.5</v>
      </c>
      <c r="N1571" s="250">
        <v>-73438</v>
      </c>
      <c r="O1571" s="251">
        <f>IF($N1571&gt;0,(LEFT(TEXT($N1571,"000000"),2)+(MID(TEXT($N1571,"000000"),3,2)/60)+(RIGHT(TEXT($N1571,"000000"),2)/3600)),-(MID(TEXT($N1571,"000000"),2,2)+(MID(TEXT($N1571,"000000"),4,2)/60)+(RIGHT(TEXT($N1571,"000000"),2)/3600)))</f>
        <v>-7.5772222222222219</v>
      </c>
      <c r="P1571" s="252" t="s">
        <v>257</v>
      </c>
      <c r="Q1571" s="253" t="s">
        <v>6919</v>
      </c>
      <c r="R1571" s="277" t="s">
        <v>3293</v>
      </c>
      <c r="S1571" s="272" t="s">
        <v>3293</v>
      </c>
      <c r="T1571" s="273">
        <v>10.7</v>
      </c>
      <c r="U1571" s="289">
        <v>21.39</v>
      </c>
      <c r="V1571" s="280">
        <v>65</v>
      </c>
      <c r="W1571" s="244"/>
      <c r="X1571" s="244"/>
      <c r="Y1571" s="362"/>
      <c r="Z1571" s="257">
        <f>altaz(J2000_Bas,$O1571,$M1571,DecLat,DecLong,1)</f>
        <v>-25.701121494069621</v>
      </c>
      <c r="AA1571" s="257">
        <f>altaz((J2000_Bas+(2*0.04167)),$O1571,$M1571,DecLat,DecLong,1)</f>
        <v>2.2841533892369306E-3</v>
      </c>
      <c r="AB1571" s="257">
        <f>altaz((J2000_Bas+(4*0.04167)),$O1571,$M1571,DecLat,DecLong,1)</f>
        <v>24.547522265168123</v>
      </c>
      <c r="AC1571" s="257">
        <f>altaz((J2000_Bas+(6*0.04167)),$O1571,$M1571,DecLat,DecLong,1)</f>
        <v>44.477187263106345</v>
      </c>
      <c r="AD1571" s="258">
        <f>1+ transit((J2000_Bas-1),$O1571,$M1571,DecLat,DecLong)/360 + (GMTOffset/24) + (IF(DST="Y", 1, 0)/24)</f>
        <v>1.1081777268797079</v>
      </c>
      <c r="AE1571" s="259">
        <f>DATE(2001,9,21)+(M1571/360)*365 - (360*((DecLong/360)- (GMTOffset/24) ))</f>
        <v>37202.076388888891</v>
      </c>
      <c r="AF1571" s="260">
        <f>IF(DecLat&gt;0,IF((90 - (DecLat-O1571))&gt;90, (90 - (O1571-DecLat)), (90 - (DecLat-O1571))),IF((90 + (DecLat-O1571))&gt;90, (90 + (O1571-DecLat)), (90 + (DecLat-O1571))))</f>
        <v>51.422777777777782</v>
      </c>
      <c r="AG1571" s="257">
        <f>angularseperation(MoonRA,MoonDec,$M1571,$O1571)</f>
        <v>136.14374821731175</v>
      </c>
      <c r="AH1571" s="261">
        <f ca="1">MIN(100,IF($O$5&gt;80,0+30*($AG1571/100),IF($O$5&gt;70,0+50*($AG1571/100),IF($O$5&gt;60,5+50*($AG1571/100),IF($O$5&gt;50,10+60*($AG1571/100),IF($O$5&gt;40,15+70*($AG1571/100),IF($O$5&gt;30,20+70*($AG1571/100),IF($O$5&gt;20,40+55*($AG1571/100),(80+(20-$O$5)+30*($AG1571/100))))))))))</f>
        <v>100</v>
      </c>
      <c r="AI1571" s="262">
        <v>1084</v>
      </c>
      <c r="AJ1571" s="262"/>
      <c r="AK1571" s="262">
        <v>44</v>
      </c>
      <c r="AL1571" s="263"/>
      <c r="AM1571" s="264"/>
      <c r="AN1571" s="263"/>
      <c r="AO1571" s="263"/>
      <c r="AP1571" s="265"/>
      <c r="AQ1571" s="266"/>
      <c r="AR1571" s="267">
        <v>10464</v>
      </c>
      <c r="AS1571" s="263"/>
      <c r="AT1571" s="263"/>
      <c r="AU1571" s="263"/>
      <c r="AV1571" s="264"/>
      <c r="AW1571" s="263"/>
      <c r="AX1571" s="263"/>
      <c r="AY1571" s="263"/>
      <c r="AZ1571" s="263"/>
      <c r="BA1571" s="263"/>
      <c r="BB1571" s="263"/>
      <c r="BC1571" s="263"/>
      <c r="BD1571" s="264"/>
      <c r="BE1571" s="263"/>
      <c r="BF1571" s="263">
        <v>8</v>
      </c>
      <c r="BG1571" s="263"/>
      <c r="BH1571" s="263"/>
      <c r="BI1571" s="263"/>
      <c r="BJ1571" s="404">
        <f>altaz(J2000_Bas,$O1571,$M1571,DecLat,DecLong,2)</f>
        <v>83.196530360780059</v>
      </c>
      <c r="BK1571" s="378" t="s">
        <v>1589</v>
      </c>
      <c r="BL1571" s="379">
        <f>IF((2*G1571)/60&lt;0.2,0.2,(2*G1571)/60)</f>
        <v>0.2</v>
      </c>
      <c r="BM1571" s="380">
        <f>MOD((50000+AD1571-$B$3+(0/24)),1)</f>
        <v>0.32354465658136178</v>
      </c>
      <c r="BN1571" s="381"/>
      <c r="BO1571" s="382">
        <v>1564</v>
      </c>
    </row>
    <row r="1572" spans="1:67" s="24" customFormat="1" ht="15" customHeight="1" x14ac:dyDescent="0.25">
      <c r="A1572" s="288" t="s">
        <v>3164</v>
      </c>
      <c r="B1572" s="241" t="str">
        <f>HYPERLINK(CONCATENATE($AT$3,BK1572,$AU$3),$AV$3)</f>
        <v>S</v>
      </c>
      <c r="C1572" s="242" t="str">
        <f>HYPERLINK(CONCATENATE($AT$4,BK1572,$AU$4,BL1572),$AV$4)</f>
        <v>A</v>
      </c>
      <c r="D1572" s="243" t="s">
        <v>5638</v>
      </c>
      <c r="E1572" s="244" t="s">
        <v>5192</v>
      </c>
      <c r="F1572" s="269" t="s">
        <v>8699</v>
      </c>
      <c r="G1572" s="273">
        <v>2</v>
      </c>
      <c r="H1572" s="283">
        <v>360</v>
      </c>
      <c r="I1572" s="246">
        <v>210</v>
      </c>
      <c r="J1572" s="246">
        <v>2</v>
      </c>
      <c r="K1572" s="247" t="s">
        <v>6646</v>
      </c>
      <c r="L1572" s="248">
        <v>24625</v>
      </c>
      <c r="M1572" s="249">
        <f>15*(LEFT(TEXT($L1572,"000000"),2)+(MID(TEXT($L1572,"000000"),3,2)/60)+(RIGHT(TEXT($L1572,"000000"),2)/3600))</f>
        <v>41.604166666666671</v>
      </c>
      <c r="N1572" s="250">
        <v>33624</v>
      </c>
      <c r="O1572" s="251">
        <f>IF($N1572&gt;0,(LEFT(TEXT($N1572,"000000"),2)+(MID(TEXT($N1572,"000000"),3,2)/60)+(RIGHT(TEXT($N1572,"000000"),2)/3600)),-(MID(TEXT($N1572,"000000"),2,2)+(MID(TEXT($N1572,"000000"),4,2)/60)+(RIGHT(TEXT($N1572,"000000"),2)/3600)))</f>
        <v>3.6066666666666669</v>
      </c>
      <c r="P1572" s="252" t="s">
        <v>75</v>
      </c>
      <c r="Q1572" s="253"/>
      <c r="R1572" s="277" t="s">
        <v>3293</v>
      </c>
      <c r="S1572" s="272" t="s">
        <v>3293</v>
      </c>
      <c r="T1572" s="273">
        <v>12.4</v>
      </c>
      <c r="U1572" s="289">
        <v>22.09</v>
      </c>
      <c r="V1572" s="280">
        <v>20</v>
      </c>
      <c r="W1572" s="244"/>
      <c r="X1572" s="244"/>
      <c r="Y1572" s="362"/>
      <c r="Z1572" s="257">
        <f>altaz(J2000_Bas,$O1572,$M1572,DecLat,DecLong,1)</f>
        <v>-19.709882557820663</v>
      </c>
      <c r="AA1572" s="257">
        <f>altaz((J2000_Bas+(2*0.04167)),$O1572,$M1572,DecLat,DecLong,1)</f>
        <v>5.6968882254728426</v>
      </c>
      <c r="AB1572" s="257">
        <f>altaz((J2000_Bas+(4*0.04167)),$O1572,$M1572,DecLat,DecLong,1)</f>
        <v>31.183018347336535</v>
      </c>
      <c r="AC1572" s="257">
        <f>altaz((J2000_Bas+(6*0.04167)),$O1572,$M1572,DecLat,DecLong,1)</f>
        <v>53.659392580522542</v>
      </c>
      <c r="AD1572" s="258">
        <f>1+ transit((J2000_Bas-1),$O1572,$M1572,DecLat,DecLong)/360 + (GMTOffset/24) + (IF(DST="Y", 1, 0)/24)</f>
        <v>1.1084670787026247</v>
      </c>
      <c r="AE1572" s="259">
        <f>DATE(2001,9,21)+(M1572/360)*365 - (360*((DecLong/360)- (GMTOffset/24) ))</f>
        <v>37202.182002314818</v>
      </c>
      <c r="AF1572" s="260">
        <f>IF(DecLat&gt;0,IF((90 - (DecLat-O1572))&gt;90, (90 - (O1572-DecLat)), (90 - (DecLat-O1572))),IF((90 + (DecLat-O1572))&gt;90, (90 + (O1572-DecLat)), (90 + (DecLat-O1572))))</f>
        <v>62.606666666666669</v>
      </c>
      <c r="AG1572" s="257">
        <f>angularseperation(MoonRA,MoonDec,$M1572,$O1572)</f>
        <v>144.66941189991852</v>
      </c>
      <c r="AH1572" s="261">
        <f ca="1">MIN(100,IF($O$5&gt;80,0+30*($AG1572/100),IF($O$5&gt;70,0+50*($AG1572/100),IF($O$5&gt;60,5+50*($AG1572/100),IF($O$5&gt;50,10+60*($AG1572/100),IF($O$5&gt;40,15+70*($AG1572/100),IF($O$5&gt;30,20+70*($AG1572/100),IF($O$5&gt;20,40+55*($AG1572/100),(80+(20-$O$5)+30*($AG1572/100))))))))))</f>
        <v>100</v>
      </c>
      <c r="AI1572" s="263">
        <v>1085</v>
      </c>
      <c r="AJ1572" s="263"/>
      <c r="AK1572" s="263"/>
      <c r="AL1572" s="263"/>
      <c r="AM1572" s="264"/>
      <c r="AN1572" s="263"/>
      <c r="AO1572" s="263"/>
      <c r="AP1572" s="265"/>
      <c r="AQ1572" s="265">
        <v>2241</v>
      </c>
      <c r="AR1572" s="285">
        <v>10498</v>
      </c>
      <c r="AS1572" s="263"/>
      <c r="AT1572" s="263"/>
      <c r="AU1572" s="263"/>
      <c r="AV1572" s="264"/>
      <c r="AW1572" s="263"/>
      <c r="AX1572" s="263"/>
      <c r="AY1572" s="263"/>
      <c r="AZ1572" s="263"/>
      <c r="BA1572" s="263"/>
      <c r="BB1572" s="263"/>
      <c r="BC1572" s="263"/>
      <c r="BD1572" s="264"/>
      <c r="BE1572" s="263"/>
      <c r="BF1572" s="263"/>
      <c r="BG1572" s="263"/>
      <c r="BH1572" s="263"/>
      <c r="BI1572" s="263"/>
      <c r="BJ1572" s="404">
        <f>altaz(J2000_Bas,$O1572,$M1572,DecLat,DecLong,2)</f>
        <v>72.949621347727472</v>
      </c>
      <c r="BK1572" s="378" t="s">
        <v>3164</v>
      </c>
      <c r="BL1572" s="379">
        <f>IF((2*G1572)/60&lt;0.2,0.2,(2*G1572)/60)</f>
        <v>0.2</v>
      </c>
      <c r="BM1572" s="380">
        <f>MOD((50000+AD1572-$B$3+(0/24)),1)</f>
        <v>0.32383400840626564</v>
      </c>
      <c r="BN1572" s="381"/>
      <c r="BO1572" s="382">
        <v>1565</v>
      </c>
    </row>
    <row r="1573" spans="1:67" s="24" customFormat="1" ht="15" customHeight="1" x14ac:dyDescent="0.25">
      <c r="A1573" s="288" t="s">
        <v>1590</v>
      </c>
      <c r="B1573" s="241" t="str">
        <f>HYPERLINK(CONCATENATE($AT$3,BK1573,$AU$3),$AV$3)</f>
        <v>S</v>
      </c>
      <c r="C1573" s="242" t="str">
        <f>HYPERLINK(CONCATENATE($AT$4,BK1573,$AU$4,BL1573),$AV$4)</f>
        <v>A</v>
      </c>
      <c r="D1573" s="243" t="s">
        <v>5638</v>
      </c>
      <c r="E1573" s="244" t="s">
        <v>4292</v>
      </c>
      <c r="F1573" s="269"/>
      <c r="G1573" s="273">
        <v>5</v>
      </c>
      <c r="H1573" s="283">
        <v>45</v>
      </c>
      <c r="I1573" s="246">
        <v>65</v>
      </c>
      <c r="J1573" s="246">
        <v>2</v>
      </c>
      <c r="K1573" s="247" t="s">
        <v>6650</v>
      </c>
      <c r="L1573" s="248">
        <v>24625</v>
      </c>
      <c r="M1573" s="249">
        <f>15*(LEFT(TEXT($L1573,"000000"),2)+(MID(TEXT($L1573,"000000"),3,2)/60)+(RIGHT(TEXT($L1573,"000000"),2)/3600))</f>
        <v>41.604166666666671</v>
      </c>
      <c r="N1573" s="250">
        <v>-2956</v>
      </c>
      <c r="O1573" s="251">
        <f>IF($N1573&gt;0,(LEFT(TEXT($N1573,"000000"),2)+(MID(TEXT($N1573,"000000"),3,2)/60)+(RIGHT(TEXT($N1573,"000000"),2)/3600)),-(MID(TEXT($N1573,"000000"),2,2)+(MID(TEXT($N1573,"000000"),4,2)/60)+(RIGHT(TEXT($N1573,"000000"),2)/3600)))</f>
        <v>-0.49888888888888888</v>
      </c>
      <c r="P1573" s="252" t="s">
        <v>75</v>
      </c>
      <c r="Q1573" s="253"/>
      <c r="R1573" s="247" t="s">
        <v>3293</v>
      </c>
      <c r="S1573" s="272" t="s">
        <v>6647</v>
      </c>
      <c r="T1573" s="273">
        <v>10.9</v>
      </c>
      <c r="U1573" s="289">
        <v>21.990000000000002</v>
      </c>
      <c r="V1573" s="280">
        <v>45</v>
      </c>
      <c r="W1573" s="244"/>
      <c r="X1573" s="244"/>
      <c r="Y1573" s="362"/>
      <c r="Z1573" s="257">
        <f>altaz(J2000_Bas,$O1573,$M1573,DecLat,DecLong,1)</f>
        <v>-22.015723162124161</v>
      </c>
      <c r="AA1573" s="257">
        <f>altaz((J2000_Bas+(2*0.04167)),$O1573,$M1573,DecLat,DecLong,1)</f>
        <v>3.5840127314895116</v>
      </c>
      <c r="AB1573" s="257">
        <f>altaz((J2000_Bas+(4*0.04167)),$O1573,$M1573,DecLat,DecLong,1)</f>
        <v>28.80528069230963</v>
      </c>
      <c r="AC1573" s="257">
        <f>altaz((J2000_Bas+(6*0.04167)),$O1573,$M1573,DecLat,DecLong,1)</f>
        <v>50.365524139715532</v>
      </c>
      <c r="AD1573" s="258">
        <f>1+ transit((J2000_Bas-1),$O1573,$M1573,DecLat,DecLong)/360 + (GMTOffset/24) + (IF(DST="Y", 1, 0)/24)</f>
        <v>1.1084670787026247</v>
      </c>
      <c r="AE1573" s="259">
        <f>DATE(2001,9,21)+(M1573/360)*365 - (360*((DecLong/360)- (GMTOffset/24) ))</f>
        <v>37202.182002314818</v>
      </c>
      <c r="AF1573" s="260">
        <f>IF(DecLat&gt;0,IF((90 - (DecLat-O1573))&gt;90, (90 - (O1573-DecLat)), (90 - (DecLat-O1573))),IF((90 + (DecLat-O1573))&gt;90, (90 + (O1573-DecLat)), (90 + (DecLat-O1573))))</f>
        <v>58.501111111111115</v>
      </c>
      <c r="AG1573" s="257">
        <f>angularseperation(MoonRA,MoonDec,$M1573,$O1573)</f>
        <v>141.69808605786588</v>
      </c>
      <c r="AH1573" s="261">
        <f ca="1">MIN(100,IF($O$5&gt;80,0+30*($AG1573/100),IF($O$5&gt;70,0+50*($AG1573/100),IF($O$5&gt;60,5+50*($AG1573/100),IF($O$5&gt;50,10+60*($AG1573/100),IF($O$5&gt;40,15+70*($AG1573/100),IF($O$5&gt;30,20+70*($AG1573/100),IF($O$5&gt;20,40+55*($AG1573/100),(80+(20-$O$5)+30*($AG1573/100))))))))))</f>
        <v>100</v>
      </c>
      <c r="AI1573" s="262">
        <v>1087</v>
      </c>
      <c r="AJ1573" s="262"/>
      <c r="AK1573" s="262"/>
      <c r="AL1573" s="263"/>
      <c r="AM1573" s="264"/>
      <c r="AN1573" s="263"/>
      <c r="AO1573" s="263"/>
      <c r="AP1573" s="265"/>
      <c r="AQ1573" s="266">
        <v>2245</v>
      </c>
      <c r="AR1573" s="267">
        <v>10496</v>
      </c>
      <c r="AS1573" s="263"/>
      <c r="AT1573" s="263"/>
      <c r="AU1573" s="263"/>
      <c r="AV1573" s="264"/>
      <c r="AW1573" s="263"/>
      <c r="AX1573" s="263"/>
      <c r="AY1573" s="263"/>
      <c r="AZ1573" s="263"/>
      <c r="BA1573" s="263"/>
      <c r="BB1573" s="263"/>
      <c r="BC1573" s="263"/>
      <c r="BD1573" s="264"/>
      <c r="BE1573" s="263"/>
      <c r="BF1573" s="263"/>
      <c r="BG1573" s="263"/>
      <c r="BH1573" s="263"/>
      <c r="BI1573" s="263"/>
      <c r="BJ1573" s="404">
        <f>altaz(J2000_Bas,$O1573,$M1573,DecLat,DecLong,2)</f>
        <v>76.585254037945745</v>
      </c>
      <c r="BK1573" s="378" t="s">
        <v>1590</v>
      </c>
      <c r="BL1573" s="379">
        <f>IF((2*G1573)/60&lt;0.2,0.2,(2*G1573)/60)</f>
        <v>0.2</v>
      </c>
      <c r="BM1573" s="380">
        <f>MOD((50000+AD1573-$B$3+(0/24)),1)</f>
        <v>0.32383400840626564</v>
      </c>
      <c r="BN1573" s="381"/>
      <c r="BO1573" s="382">
        <v>1566</v>
      </c>
    </row>
    <row r="1574" spans="1:67" s="24" customFormat="1" ht="15" customHeight="1" x14ac:dyDescent="0.25">
      <c r="A1574" s="288" t="s">
        <v>1591</v>
      </c>
      <c r="B1574" s="241" t="str">
        <f>HYPERLINK(CONCATENATE($AT$3,BK1574,$AU$3),$AV$3)</f>
        <v>S</v>
      </c>
      <c r="C1574" s="242" t="str">
        <f>HYPERLINK(CONCATENATE($AT$4,BK1574,$AU$4,BL1574),$AV$4)</f>
        <v>A</v>
      </c>
      <c r="D1574" s="243" t="s">
        <v>5638</v>
      </c>
      <c r="E1574" s="244" t="s">
        <v>5192</v>
      </c>
      <c r="F1574" s="269" t="s">
        <v>8886</v>
      </c>
      <c r="G1574" s="273">
        <v>4</v>
      </c>
      <c r="H1574" s="283">
        <v>100</v>
      </c>
      <c r="I1574" s="246">
        <v>120</v>
      </c>
      <c r="J1574" s="246">
        <v>3</v>
      </c>
      <c r="K1574" s="247" t="s">
        <v>6651</v>
      </c>
      <c r="L1574" s="248">
        <v>24634</v>
      </c>
      <c r="M1574" s="249">
        <f>15*(LEFT(TEXT($L1574,"000000"),2)+(MID(TEXT($L1574,"000000"),3,2)/60)+(RIGHT(TEXT($L1574,"000000"),2)/3600))</f>
        <v>41.641666666666666</v>
      </c>
      <c r="N1574" s="250">
        <v>-1450</v>
      </c>
      <c r="O1574" s="251">
        <f>IF($N1574&gt;0,(LEFT(TEXT($N1574,"000000"),2)+(MID(TEXT($N1574,"000000"),3,2)/60)+(RIGHT(TEXT($N1574,"000000"),2)/3600)),-(MID(TEXT($N1574,"000000"),2,2)+(MID(TEXT($N1574,"000000"),4,2)/60)+(RIGHT(TEXT($N1574,"000000"),2)/3600)))</f>
        <v>-0.24722222222222223</v>
      </c>
      <c r="P1574" s="252" t="s">
        <v>75</v>
      </c>
      <c r="Q1574" s="253"/>
      <c r="R1574" s="247" t="s">
        <v>3293</v>
      </c>
      <c r="S1574" s="272" t="s">
        <v>6648</v>
      </c>
      <c r="T1574" s="273">
        <v>11.8</v>
      </c>
      <c r="U1574" s="289">
        <v>22.69</v>
      </c>
      <c r="V1574" s="280">
        <v>65</v>
      </c>
      <c r="W1574" s="244"/>
      <c r="X1574" s="244"/>
      <c r="Y1574" s="362"/>
      <c r="Z1574" s="257">
        <f>altaz(J2000_Bas,$O1574,$M1574,DecLat,DecLong,1)</f>
        <v>-21.907871704714097</v>
      </c>
      <c r="AA1574" s="257">
        <f>altaz((J2000_Bas+(2*0.04167)),$O1574,$M1574,DecLat,DecLong,1)</f>
        <v>3.6818883240393605</v>
      </c>
      <c r="AB1574" s="257">
        <f>altaz((J2000_Bas+(4*0.04167)),$O1574,$M1574,DecLat,DecLong,1)</f>
        <v>28.92396264080244</v>
      </c>
      <c r="AC1574" s="257">
        <f>altaz((J2000_Bas+(6*0.04167)),$O1574,$M1574,DecLat,DecLong,1)</f>
        <v>50.549477341662978</v>
      </c>
      <c r="AD1574" s="258">
        <f>1+ transit((J2000_Bas-1),$O1574,$M1574,DecLat,DecLong)/360 + (GMTOffset/24) + (IF(DST="Y", 1, 0)/24)</f>
        <v>1.1085712453588747</v>
      </c>
      <c r="AE1574" s="259">
        <f>DATE(2001,9,21)+(M1574/360)*365 - (360*((DecLong/360)- (GMTOffset/24) ))</f>
        <v>37202.220023148147</v>
      </c>
      <c r="AF1574" s="260">
        <f>IF(DecLat&gt;0,IF((90 - (DecLat-O1574))&gt;90, (90 - (O1574-DecLat)), (90 - (DecLat-O1574))),IF((90 + (DecLat-O1574))&gt;90, (90 + (O1574-DecLat)), (90 + (DecLat-O1574))))</f>
        <v>58.75277777777778</v>
      </c>
      <c r="AG1574" s="257">
        <f>angularseperation(MoonRA,MoonDec,$M1574,$O1574)</f>
        <v>141.91050854556661</v>
      </c>
      <c r="AH1574" s="261">
        <f ca="1">MIN(100,IF($O$5&gt;80,0+30*($AG1574/100),IF($O$5&gt;70,0+50*($AG1574/100),IF($O$5&gt;60,5+50*($AG1574/100),IF($O$5&gt;50,10+60*($AG1574/100),IF($O$5&gt;40,15+70*($AG1574/100),IF($O$5&gt;30,20+70*($AG1574/100),IF($O$5&gt;20,40+55*($AG1574/100),(80+(20-$O$5)+30*($AG1574/100))))))))))</f>
        <v>100</v>
      </c>
      <c r="AI1574" s="262">
        <v>1090</v>
      </c>
      <c r="AJ1574" s="262"/>
      <c r="AK1574" s="262"/>
      <c r="AL1574" s="263"/>
      <c r="AM1574" s="264"/>
      <c r="AN1574" s="263"/>
      <c r="AO1574" s="263"/>
      <c r="AP1574" s="265"/>
      <c r="AQ1574" s="266">
        <v>2247</v>
      </c>
      <c r="AR1574" s="267">
        <v>10507</v>
      </c>
      <c r="AS1574" s="263"/>
      <c r="AT1574" s="263"/>
      <c r="AU1574" s="263"/>
      <c r="AV1574" s="264"/>
      <c r="AW1574" s="263"/>
      <c r="AX1574" s="263"/>
      <c r="AY1574" s="263"/>
      <c r="AZ1574" s="263"/>
      <c r="BA1574" s="263"/>
      <c r="BB1574" s="263"/>
      <c r="BC1574" s="263"/>
      <c r="BD1574" s="264"/>
      <c r="BE1574" s="263"/>
      <c r="BF1574" s="263"/>
      <c r="BG1574" s="263"/>
      <c r="BH1574" s="263"/>
      <c r="BI1574" s="263"/>
      <c r="BJ1574" s="404">
        <f>altaz(J2000_Bas,$O1574,$M1574,DecLat,DecLong,2)</f>
        <v>76.336765115352989</v>
      </c>
      <c r="BK1574" s="378" t="s">
        <v>1591</v>
      </c>
      <c r="BL1574" s="379">
        <f>IF((2*G1574)/60&lt;0.2,0.2,(2*G1574)/60)</f>
        <v>0.2</v>
      </c>
      <c r="BM1574" s="380">
        <f>MOD((50000+AD1574-$B$3+(0/24)),1)</f>
        <v>0.32393817506090272</v>
      </c>
      <c r="BN1574" s="381"/>
      <c r="BO1574" s="382">
        <v>1567</v>
      </c>
    </row>
    <row r="1575" spans="1:67" s="24" customFormat="1" ht="15" customHeight="1" x14ac:dyDescent="0.25">
      <c r="A1575" s="288" t="s">
        <v>1592</v>
      </c>
      <c r="B1575" s="241" t="str">
        <f>HYPERLINK(CONCATENATE($AT$3,BK1575,$AU$3),$AV$3)</f>
        <v>S</v>
      </c>
      <c r="C1575" s="242" t="str">
        <f>HYPERLINK(CONCATENATE($AT$4,BK1575,$AU$4,BL1575),$AV$4)</f>
        <v>A</v>
      </c>
      <c r="D1575" s="243" t="s">
        <v>5638</v>
      </c>
      <c r="E1575" s="244" t="s">
        <v>5192</v>
      </c>
      <c r="F1575" s="269" t="s">
        <v>8900</v>
      </c>
      <c r="G1575" s="273">
        <v>9.3000000000000007</v>
      </c>
      <c r="H1575" s="283">
        <v>50</v>
      </c>
      <c r="I1575" s="246">
        <v>150</v>
      </c>
      <c r="J1575" s="246">
        <v>4</v>
      </c>
      <c r="K1575" s="247" t="s">
        <v>4390</v>
      </c>
      <c r="L1575" s="248">
        <v>24619</v>
      </c>
      <c r="M1575" s="249">
        <f>15*(LEFT(TEXT($L1575,"000000"),2)+(MID(TEXT($L1575,"000000"),3,2)/60)+(RIGHT(TEXT($L1575,"000000"),2)/3600))</f>
        <v>41.579166666666666</v>
      </c>
      <c r="N1575" s="250">
        <v>-301629</v>
      </c>
      <c r="O1575" s="251">
        <f>IF($N1575&gt;0,(LEFT(TEXT($N1575,"000000"),2)+(MID(TEXT($N1575,"000000"),3,2)/60)+(RIGHT(TEXT($N1575,"000000"),2)/3600)),-(MID(TEXT($N1575,"000000"),2,2)+(MID(TEXT($N1575,"000000"),4,2)/60)+(RIGHT(TEXT($N1575,"000000"),2)/3600)))</f>
        <v>-30.27472222222222</v>
      </c>
      <c r="P1575" s="252" t="s">
        <v>215</v>
      </c>
      <c r="Q1575" s="253"/>
      <c r="R1575" s="247" t="s">
        <v>7379</v>
      </c>
      <c r="S1575" s="272" t="s">
        <v>3293</v>
      </c>
      <c r="T1575" s="273">
        <v>9.5</v>
      </c>
      <c r="U1575" s="289">
        <v>22.69</v>
      </c>
      <c r="V1575" s="280">
        <v>50</v>
      </c>
      <c r="W1575" s="244"/>
      <c r="X1575" s="244"/>
      <c r="Y1575" s="362"/>
      <c r="Z1575" s="257">
        <f>altaz(J2000_Bas,$O1575,$M1575,DecLat,DecLong,1)</f>
        <v>-35.397061779894003</v>
      </c>
      <c r="AA1575" s="257">
        <f>altaz((J2000_Bas+(2*0.04167)),$O1575,$M1575,DecLat,DecLong,1)</f>
        <v>-11.622997944504466</v>
      </c>
      <c r="AB1575" s="257">
        <f>altaz((J2000_Bas+(4*0.04167)),$O1575,$M1575,DecLat,DecLong,1)</f>
        <v>9.2429406335237818</v>
      </c>
      <c r="AC1575" s="257">
        <f>altaz((J2000_Bas+(6*0.04167)),$O1575,$M1575,DecLat,DecLong,1)</f>
        <v>24.172144727232826</v>
      </c>
      <c r="AD1575" s="258">
        <f>1+ transit((J2000_Bas-1),$O1575,$M1575,DecLat,DecLong)/360 + (GMTOffset/24) + (IF(DST="Y", 1, 0)/24)</f>
        <v>1.1083976342651247</v>
      </c>
      <c r="AE1575" s="259">
        <f>DATE(2001,9,21)+(M1575/360)*365 - (360*((DecLong/360)- (GMTOffset/24) ))</f>
        <v>37202.156655092593</v>
      </c>
      <c r="AF1575" s="260">
        <f>IF(DecLat&gt;0,IF((90 - (DecLat-O1575))&gt;90, (90 - (O1575-DecLat)), (90 - (DecLat-O1575))),IF((90 + (DecLat-O1575))&gt;90, (90 + (O1575-DecLat)), (90 + (DecLat-O1575))))</f>
        <v>28.725277777777777</v>
      </c>
      <c r="AG1575" s="257">
        <f>angularseperation(MoonRA,MoonDec,$M1575,$O1575)</f>
        <v>116.83907243706733</v>
      </c>
      <c r="AH1575" s="261">
        <f ca="1">MIN(100,IF($O$5&gt;80,0+30*($AG1575/100),IF($O$5&gt;70,0+50*($AG1575/100),IF($O$5&gt;60,5+50*($AG1575/100),IF($O$5&gt;50,10+60*($AG1575/100),IF($O$5&gt;40,15+70*($AG1575/100),IF($O$5&gt;30,20+70*($AG1575/100),IF($O$5&gt;20,40+55*($AG1575/100),(80+(20-$O$5)+30*($AG1575/100))))))))))</f>
        <v>100</v>
      </c>
      <c r="AI1575" s="262">
        <v>1097</v>
      </c>
      <c r="AJ1575" s="262"/>
      <c r="AK1575" s="262"/>
      <c r="AL1575" s="263"/>
      <c r="AM1575" s="264">
        <v>67</v>
      </c>
      <c r="AN1575" s="263">
        <v>77</v>
      </c>
      <c r="AO1575" s="263"/>
      <c r="AP1575" s="265"/>
      <c r="AQ1575" s="266"/>
      <c r="AR1575" s="267">
        <v>10488</v>
      </c>
      <c r="AS1575" s="263"/>
      <c r="AT1575" s="263"/>
      <c r="AU1575" s="263"/>
      <c r="AV1575" s="264"/>
      <c r="AW1575" s="263"/>
      <c r="AX1575" s="263"/>
      <c r="AY1575" s="263"/>
      <c r="AZ1575" s="263"/>
      <c r="BA1575" s="263"/>
      <c r="BB1575" s="263"/>
      <c r="BC1575" s="263"/>
      <c r="BD1575" s="264"/>
      <c r="BE1575" s="263"/>
      <c r="BF1575" s="263"/>
      <c r="BG1575" s="263"/>
      <c r="BH1575" s="263"/>
      <c r="BI1575" s="263"/>
      <c r="BJ1575" s="404">
        <f>altaz(J2000_Bas,$O1575,$M1575,DecLat,DecLong,2)</f>
        <v>107.13111168949271</v>
      </c>
      <c r="BK1575" s="378" t="s">
        <v>1592</v>
      </c>
      <c r="BL1575" s="379">
        <f>IF((2*G1575)/60&lt;0.2,0.2,(2*G1575)/60)</f>
        <v>0.31</v>
      </c>
      <c r="BM1575" s="380">
        <f>MOD((50000+AD1575-$B$3+(0/24)),1)</f>
        <v>0.3237645639674156</v>
      </c>
      <c r="BN1575" s="381"/>
      <c r="BO1575" s="382">
        <v>1568</v>
      </c>
    </row>
    <row r="1576" spans="1:67" s="24" customFormat="1" ht="15" customHeight="1" x14ac:dyDescent="0.25">
      <c r="A1576" s="288" t="s">
        <v>3122</v>
      </c>
      <c r="B1576" s="241" t="str">
        <f>HYPERLINK(CONCATENATE($AT$3,BK1576,$AU$3),$AV$3)</f>
        <v>S</v>
      </c>
      <c r="C1576" s="242" t="str">
        <f>HYPERLINK(CONCATENATE($AT$4,BK1576,$AU$4,BL1576),$AV$4)</f>
        <v>A</v>
      </c>
      <c r="D1576" s="243" t="s">
        <v>5638</v>
      </c>
      <c r="E1576" s="244" t="s">
        <v>3259</v>
      </c>
      <c r="F1576" s="269" t="s">
        <v>8665</v>
      </c>
      <c r="G1576" s="273">
        <v>3</v>
      </c>
      <c r="H1576" s="283">
        <v>65</v>
      </c>
      <c r="I1576" s="246">
        <v>60</v>
      </c>
      <c r="J1576" s="246">
        <v>2</v>
      </c>
      <c r="K1576" s="247" t="s">
        <v>6652</v>
      </c>
      <c r="L1576" s="248">
        <v>24910</v>
      </c>
      <c r="M1576" s="249">
        <f>15*(LEFT(TEXT($L1576,"000000"),2)+(MID(TEXT($L1576,"000000"),3,2)/60)+(RIGHT(TEXT($L1576,"000000"),2)/3600))</f>
        <v>42.291666666666664</v>
      </c>
      <c r="N1576" s="250">
        <v>-75012</v>
      </c>
      <c r="O1576" s="251">
        <f>IF($N1576&gt;0,(LEFT(TEXT($N1576,"000000"),2)+(MID(TEXT($N1576,"000000"),3,2)/60)+(RIGHT(TEXT($N1576,"000000"),2)/3600)),-(MID(TEXT($N1576,"000000"),2,2)+(MID(TEXT($N1576,"000000"),4,2)/60)+(RIGHT(TEXT($N1576,"000000"),2)/3600)))</f>
        <v>-7.836666666666666</v>
      </c>
      <c r="P1576" s="252" t="s">
        <v>257</v>
      </c>
      <c r="Q1576" s="253"/>
      <c r="R1576" s="277" t="s">
        <v>3293</v>
      </c>
      <c r="S1576" s="272" t="s">
        <v>3293</v>
      </c>
      <c r="T1576" s="273">
        <v>13.9</v>
      </c>
      <c r="U1576" s="289">
        <v>23.09</v>
      </c>
      <c r="V1576" s="280">
        <v>90</v>
      </c>
      <c r="W1576" s="244"/>
      <c r="X1576" s="244"/>
      <c r="Y1576" s="362"/>
      <c r="Z1576" s="257">
        <f>altaz(J2000_Bas,$O1576,$M1576,DecLat,DecLong,1)</f>
        <v>-26.507747750827495</v>
      </c>
      <c r="AA1576" s="257">
        <f>altaz((J2000_Bas+(2*0.04167)),$O1576,$M1576,DecLat,DecLong,1)</f>
        <v>-0.80299394111798461</v>
      </c>
      <c r="AB1576" s="257">
        <f>altaz((J2000_Bas+(4*0.04167)),$O1576,$M1576,DecLat,DecLong,1)</f>
        <v>23.774953003088097</v>
      </c>
      <c r="AC1576" s="257">
        <f>altaz((J2000_Bas+(6*0.04167)),$O1576,$M1576,DecLat,DecLong,1)</f>
        <v>43.849491418851628</v>
      </c>
      <c r="AD1576" s="258">
        <f>1+ transit((J2000_Bas-1),$O1576,$M1576,DecLat,DecLong)/360 + (GMTOffset/24) + (IF(DST="Y", 1, 0)/24)</f>
        <v>1.1103768007338746</v>
      </c>
      <c r="AE1576" s="259">
        <f>DATE(2001,9,21)+(M1576/360)*365 - (360*((DecLong/360)- (GMTOffset/24) ))</f>
        <v>37202.879050925927</v>
      </c>
      <c r="AF1576" s="260">
        <f>IF(DecLat&gt;0,IF((90 - (DecLat-O1576))&gt;90, (90 - (O1576-DecLat)), (90 - (DecLat-O1576))),IF((90 + (DecLat-O1576))&gt;90, (90 + (O1576-DecLat)), (90 + (DecLat-O1576))))</f>
        <v>51.163333333333334</v>
      </c>
      <c r="AG1576" s="257">
        <f>angularseperation(MoonRA,MoonDec,$M1576,$O1576)</f>
        <v>136.39877083870198</v>
      </c>
      <c r="AH1576" s="261">
        <f ca="1">MIN(100,IF($O$5&gt;80,0+30*($AG1576/100),IF($O$5&gt;70,0+50*($AG1576/100),IF($O$5&gt;60,5+50*($AG1576/100),IF($O$5&gt;50,10+60*($AG1576/100),IF($O$5&gt;40,15+70*($AG1576/100),IF($O$5&gt;30,20+70*($AG1576/100),IF($O$5&gt;20,40+55*($AG1576/100),(80+(20-$O$5)+30*($AG1576/100))))))))))</f>
        <v>100</v>
      </c>
      <c r="AI1576" s="263">
        <v>1110</v>
      </c>
      <c r="AJ1576" s="263"/>
      <c r="AK1576" s="263"/>
      <c r="AL1576" s="263"/>
      <c r="AM1576" s="264"/>
      <c r="AN1576" s="263"/>
      <c r="AO1576" s="263"/>
      <c r="AP1576" s="265"/>
      <c r="AQ1576" s="265"/>
      <c r="AR1576" s="285">
        <v>10673</v>
      </c>
      <c r="AS1576" s="263"/>
      <c r="AT1576" s="263"/>
      <c r="AU1576" s="263"/>
      <c r="AV1576" s="264"/>
      <c r="AW1576" s="263"/>
      <c r="AX1576" s="263"/>
      <c r="AY1576" s="263"/>
      <c r="AZ1576" s="263"/>
      <c r="BA1576" s="263"/>
      <c r="BB1576" s="263"/>
      <c r="BC1576" s="263"/>
      <c r="BD1576" s="264"/>
      <c r="BE1576" s="263"/>
      <c r="BF1576" s="263"/>
      <c r="BG1576" s="263"/>
      <c r="BH1576" s="263"/>
      <c r="BI1576" s="263"/>
      <c r="BJ1576" s="404">
        <f>altaz(J2000_Bas,$O1576,$M1576,DecLat,DecLong,2)</f>
        <v>82.996921318134724</v>
      </c>
      <c r="BK1576" s="378" t="s">
        <v>3122</v>
      </c>
      <c r="BL1576" s="379">
        <f>IF((2*G1576)/60&lt;0.2,0.2,(2*G1576)/60)</f>
        <v>0.2</v>
      </c>
      <c r="BM1576" s="380">
        <f>MOD((50000+AD1576-$B$3+(0/24)),1)</f>
        <v>0.32574373043462401</v>
      </c>
      <c r="BN1576" s="381"/>
      <c r="BO1576" s="382">
        <v>1569</v>
      </c>
    </row>
    <row r="1577" spans="1:67" s="24" customFormat="1" ht="15" customHeight="1" x14ac:dyDescent="0.25">
      <c r="A1577" s="288" t="s">
        <v>1593</v>
      </c>
      <c r="B1577" s="241" t="str">
        <f>HYPERLINK(CONCATENATE($AT$3,BK1577,$AU$3),$AV$3)</f>
        <v>S</v>
      </c>
      <c r="C1577" s="242" t="str">
        <f>HYPERLINK(CONCATENATE($AT$4,BK1577,$AU$4,BL1577),$AV$4)</f>
        <v>A</v>
      </c>
      <c r="D1577" s="243" t="s">
        <v>5638</v>
      </c>
      <c r="E1577" s="244" t="s">
        <v>5193</v>
      </c>
      <c r="F1577" s="269" t="s">
        <v>3303</v>
      </c>
      <c r="G1577" s="273">
        <v>4</v>
      </c>
      <c r="H1577" s="283">
        <v>230</v>
      </c>
      <c r="I1577" s="246">
        <v>260</v>
      </c>
      <c r="J1577" s="246">
        <v>2</v>
      </c>
      <c r="K1577" s="247" t="s">
        <v>7733</v>
      </c>
      <c r="L1577" s="248">
        <v>25427</v>
      </c>
      <c r="M1577" s="249">
        <f>15*(LEFT(TEXT($L1577,"000000"),2)+(MID(TEXT($L1577,"000000"),3,2)/60)+(RIGHT(TEXT($L1577,"000000"),2)/3600))</f>
        <v>43.612499999999997</v>
      </c>
      <c r="N1577" s="250">
        <v>413446</v>
      </c>
      <c r="O1577" s="251">
        <f>IF($N1577&gt;0,(LEFT(TEXT($N1577,"000000"),2)+(MID(TEXT($N1577,"000000"),3,2)/60)+(RIGHT(TEXT($N1577,"000000"),2)/3600)),-(MID(TEXT($N1577,"000000"),2,2)+(MID(TEXT($N1577,"000000"),4,2)/60)+(RIGHT(TEXT($N1577,"000000"),2)/3600)))</f>
        <v>41.579444444444448</v>
      </c>
      <c r="P1577" s="252" t="s">
        <v>43</v>
      </c>
      <c r="Q1577" s="253"/>
      <c r="R1577" s="277" t="s">
        <v>3293</v>
      </c>
      <c r="S1577" s="272" t="s">
        <v>3293</v>
      </c>
      <c r="T1577" s="273">
        <v>12.4</v>
      </c>
      <c r="U1577" s="289">
        <v>23.29</v>
      </c>
      <c r="V1577" s="280"/>
      <c r="W1577" s="244"/>
      <c r="X1577" s="244"/>
      <c r="Y1577" s="362"/>
      <c r="Z1577" s="257">
        <f>altaz(J2000_Bas,$O1577,$M1577,DecLat,DecLong,1)</f>
        <v>2.5590710285748322</v>
      </c>
      <c r="AA1577" s="257">
        <f>altaz((J2000_Bas+(2*0.04167)),$O1577,$M1577,DecLat,DecLong,1)</f>
        <v>21.684432988979591</v>
      </c>
      <c r="AB1577" s="257">
        <f>altaz((J2000_Bas+(4*0.04167)),$O1577,$M1577,DecLat,DecLong,1)</f>
        <v>43.383646477982509</v>
      </c>
      <c r="AC1577" s="257">
        <f>altaz((J2000_Bas+(6*0.04167)),$O1577,$M1577,DecLat,DecLong,1)</f>
        <v>65.684869521834855</v>
      </c>
      <c r="AD1577" s="258">
        <f>1+ transit((J2000_Bas-1),$O1577,$M1577,DecLat,DecLong)/360 + (GMTOffset/24) + (IF(DST="Y", 1, 0)/24)</f>
        <v>1.1140457818484579</v>
      </c>
      <c r="AE1577" s="259">
        <f>DATE(2001,9,21)+(M1577/360)*365 - (360*((DecLong/360)- (GMTOffset/24) ))</f>
        <v>37204.218229166669</v>
      </c>
      <c r="AF1577" s="260">
        <f>IF(DecLat&gt;0,IF((90 - (DecLat-O1577))&gt;90, (90 - (O1577-DecLat)), (90 - (DecLat-O1577))),IF((90 + (DecLat-O1577))&gt;90, (90 + (O1577-DecLat)), (90 + (DecLat-O1577))))</f>
        <v>79.420555555555552</v>
      </c>
      <c r="AG1577" s="257">
        <f>angularseperation(MoonRA,MoonDec,$M1577,$O1577)</f>
        <v>154.50728559522389</v>
      </c>
      <c r="AH1577" s="261">
        <f ca="1">MIN(100,IF($O$5&gt;80,0+30*($AG1577/100),IF($O$5&gt;70,0+50*($AG1577/100),IF($O$5&gt;60,5+50*($AG1577/100),IF($O$5&gt;50,10+60*($AG1577/100),IF($O$5&gt;40,15+70*($AG1577/100),IF($O$5&gt;30,20+70*($AG1577/100),IF($O$5&gt;20,40+55*($AG1577/100),(80+(20-$O$5)+30*($AG1577/100))))))))))</f>
        <v>100</v>
      </c>
      <c r="AI1577" s="262">
        <v>1129</v>
      </c>
      <c r="AJ1577" s="263"/>
      <c r="AK1577" s="263"/>
      <c r="AL1577" s="263"/>
      <c r="AM1577" s="264"/>
      <c r="AN1577" s="263"/>
      <c r="AO1577" s="263"/>
      <c r="AP1577" s="265"/>
      <c r="AQ1577" s="265">
        <v>2373</v>
      </c>
      <c r="AR1577" s="285">
        <v>10959</v>
      </c>
      <c r="AS1577" s="263"/>
      <c r="AT1577" s="263"/>
      <c r="AU1577" s="263"/>
      <c r="AV1577" s="264"/>
      <c r="AW1577" s="263"/>
      <c r="AX1577" s="263"/>
      <c r="AY1577" s="263"/>
      <c r="AZ1577" s="263"/>
      <c r="BA1577" s="263"/>
      <c r="BB1577" s="263"/>
      <c r="BC1577" s="263"/>
      <c r="BD1577" s="264"/>
      <c r="BE1577" s="263"/>
      <c r="BF1577" s="263"/>
      <c r="BG1577" s="263"/>
      <c r="BH1577" s="263"/>
      <c r="BI1577" s="263"/>
      <c r="BJ1577" s="404">
        <f>altaz(J2000_Bas,$O1577,$M1577,DecLat,DecLong,2)</f>
        <v>41.568452551595662</v>
      </c>
      <c r="BK1577" s="378" t="s">
        <v>1593</v>
      </c>
      <c r="BL1577" s="379">
        <f>IF((2*G1577)/60&lt;0.2,0.2,(2*G1577)/60)</f>
        <v>0.2</v>
      </c>
      <c r="BM1577" s="380">
        <f>MOD((50000+AD1577-$B$3+(0/24)),1)</f>
        <v>0.32941271155141294</v>
      </c>
      <c r="BN1577" s="381"/>
      <c r="BO1577" s="382">
        <v>1570</v>
      </c>
    </row>
    <row r="1578" spans="1:67" s="24" customFormat="1" ht="15" customHeight="1" x14ac:dyDescent="0.25">
      <c r="A1578" s="288" t="s">
        <v>1594</v>
      </c>
      <c r="B1578" s="241" t="str">
        <f>HYPERLINK(CONCATENATE($AT$3,BK1578,$AU$3),$AV$3)</f>
        <v>S</v>
      </c>
      <c r="C1578" s="242" t="str">
        <f>HYPERLINK(CONCATENATE($AT$4,BK1578,$AU$4,BL1578),$AV$4)</f>
        <v>A</v>
      </c>
      <c r="D1578" s="243" t="s">
        <v>5638</v>
      </c>
      <c r="E1578" s="244" t="s">
        <v>3259</v>
      </c>
      <c r="F1578" s="269"/>
      <c r="G1578" s="273">
        <v>1.7</v>
      </c>
      <c r="H1578" s="283">
        <v>60</v>
      </c>
      <c r="I1578" s="246">
        <v>30</v>
      </c>
      <c r="J1578" s="246">
        <v>2</v>
      </c>
      <c r="K1578" s="247" t="s">
        <v>6653</v>
      </c>
      <c r="L1578" s="248">
        <v>25434</v>
      </c>
      <c r="M1578" s="249">
        <f>15*(LEFT(TEXT($L1578,"000000"),2)+(MID(TEXT($L1578,"000000"),3,2)/60)+(RIGHT(TEXT($L1578,"000000"),2)/3600))</f>
        <v>43.641666666666666</v>
      </c>
      <c r="N1578" s="250">
        <v>-100141</v>
      </c>
      <c r="O1578" s="251">
        <f>IF($N1578&gt;0,(LEFT(TEXT($N1578,"000000"),2)+(MID(TEXT($N1578,"000000"),3,2)/60)+(RIGHT(TEXT($N1578,"000000"),2)/3600)),-(MID(TEXT($N1578,"000000"),2,2)+(MID(TEXT($N1578,"000000"),4,2)/60)+(RIGHT(TEXT($N1578,"000000"),2)/3600)))</f>
        <v>-10.028055555555556</v>
      </c>
      <c r="P1578" s="252" t="s">
        <v>257</v>
      </c>
      <c r="Q1578" s="253"/>
      <c r="R1578" s="247" t="s">
        <v>3293</v>
      </c>
      <c r="S1578" s="272" t="s">
        <v>3293</v>
      </c>
      <c r="T1578" s="273">
        <v>12.5</v>
      </c>
      <c r="U1578" s="289">
        <v>21.69</v>
      </c>
      <c r="V1578" s="280"/>
      <c r="W1578" s="244"/>
      <c r="X1578" s="244"/>
      <c r="Y1578" s="362"/>
      <c r="Z1578" s="257">
        <f>altaz(J2000_Bas,$O1578,$M1578,DecLat,DecLong,1)</f>
        <v>-28.766980745957262</v>
      </c>
      <c r="AA1578" s="257">
        <f>altaz((J2000_Bas+(2*0.04167)),$O1578,$M1578,DecLat,DecLong,1)</f>
        <v>-3.0764249080301753</v>
      </c>
      <c r="AB1578" s="257">
        <f>altaz((J2000_Bas+(4*0.04167)),$O1578,$M1578,DecLat,DecLong,1)</f>
        <v>21.358915286455581</v>
      </c>
      <c r="AC1578" s="257">
        <f>altaz((J2000_Bas+(6*0.04167)),$O1578,$M1578,DecLat,DecLong,1)</f>
        <v>41.284259328103751</v>
      </c>
      <c r="AD1578" s="258">
        <f>1+ transit((J2000_Bas-1),$O1578,$M1578,DecLat,DecLong)/360 + (GMTOffset/24) + (IF(DST="Y", 1, 0)/24)</f>
        <v>1.1141268003588747</v>
      </c>
      <c r="AE1578" s="259">
        <f>DATE(2001,9,21)+(M1578/360)*365 - (360*((DecLong/360)- (GMTOffset/24) ))</f>
        <v>37204.247800925928</v>
      </c>
      <c r="AF1578" s="260">
        <f>IF(DecLat&gt;0,IF((90 - (DecLat-O1578))&gt;90, (90 - (O1578-DecLat)), (90 - (DecLat-O1578))),IF((90 + (DecLat-O1578))&gt;90, (90 + (O1578-DecLat)), (90 + (DecLat-O1578))))</f>
        <v>48.971944444444446</v>
      </c>
      <c r="AG1578" s="257">
        <f>angularseperation(MoonRA,MoonDec,$M1578,$O1578)</f>
        <v>135.34790327716675</v>
      </c>
      <c r="AH1578" s="261">
        <f ca="1">MIN(100,IF($O$5&gt;80,0+30*($AG1578/100),IF($O$5&gt;70,0+50*($AG1578/100),IF($O$5&gt;60,5+50*($AG1578/100),IF($O$5&gt;50,10+60*($AG1578/100),IF($O$5&gt;40,15+70*($AG1578/100),IF($O$5&gt;30,20+70*($AG1578/100),IF($O$5&gt;20,40+55*($AG1578/100),(80+(20-$O$5)+30*($AG1578/100))))))))))</f>
        <v>100</v>
      </c>
      <c r="AI1578" s="262">
        <v>1140</v>
      </c>
      <c r="AJ1578" s="262"/>
      <c r="AK1578" s="262"/>
      <c r="AL1578" s="263"/>
      <c r="AM1578" s="264"/>
      <c r="AN1578" s="263"/>
      <c r="AO1578" s="263"/>
      <c r="AP1578" s="265"/>
      <c r="AQ1578" s="266"/>
      <c r="AR1578" s="267">
        <v>10966</v>
      </c>
      <c r="AS1578" s="263"/>
      <c r="AT1578" s="263"/>
      <c r="AU1578" s="263"/>
      <c r="AV1578" s="264"/>
      <c r="AW1578" s="263"/>
      <c r="AX1578" s="263"/>
      <c r="AY1578" s="263"/>
      <c r="AZ1578" s="263"/>
      <c r="BA1578" s="263"/>
      <c r="BB1578" s="263"/>
      <c r="BC1578" s="263"/>
      <c r="BD1578" s="264"/>
      <c r="BE1578" s="263"/>
      <c r="BF1578" s="263"/>
      <c r="BG1578" s="263"/>
      <c r="BH1578" s="263"/>
      <c r="BI1578" s="263"/>
      <c r="BJ1578" s="404">
        <f>altaz(J2000_Bas,$O1578,$M1578,DecLat,DecLong,2)</f>
        <v>84.36864671771572</v>
      </c>
      <c r="BK1578" s="378" t="s">
        <v>1594</v>
      </c>
      <c r="BL1578" s="379">
        <f>IF((2*G1578)/60&lt;0.2,0.2,(2*G1578)/60)</f>
        <v>0.2</v>
      </c>
      <c r="BM1578" s="380">
        <f>MOD((50000+AD1578-$B$3+(0/24)),1)</f>
        <v>0.32949373005976668</v>
      </c>
      <c r="BN1578" s="381"/>
      <c r="BO1578" s="382">
        <v>1571</v>
      </c>
    </row>
    <row r="1579" spans="1:67" s="24" customFormat="1" ht="15" customHeight="1" x14ac:dyDescent="0.25">
      <c r="A1579" s="288" t="s">
        <v>1595</v>
      </c>
      <c r="B1579" s="241" t="str">
        <f>HYPERLINK(CONCATENATE($AT$3,BK1579,$AU$3),$AV$3)</f>
        <v>S</v>
      </c>
      <c r="C1579" s="242" t="str">
        <f>HYPERLINK(CONCATENATE($AT$4,BK1579,$AU$4,BL1579),$AV$4)</f>
        <v>A</v>
      </c>
      <c r="D1579" s="243" t="s">
        <v>5638</v>
      </c>
      <c r="E1579" s="244" t="s">
        <v>5337</v>
      </c>
      <c r="F1579" s="269" t="s">
        <v>3319</v>
      </c>
      <c r="G1579" s="273">
        <v>1</v>
      </c>
      <c r="H1579" s="283">
        <v>200</v>
      </c>
      <c r="I1579" s="246">
        <v>60</v>
      </c>
      <c r="J1579" s="246">
        <v>2</v>
      </c>
      <c r="K1579" s="247" t="s">
        <v>6655</v>
      </c>
      <c r="L1579" s="248">
        <v>25808</v>
      </c>
      <c r="M1579" s="249">
        <f>15*(LEFT(TEXT($L1579,"000000"),2)+(MID(TEXT($L1579,"000000"),3,2)/60)+(RIGHT(TEXT($L1579,"000000"),2)/3600))</f>
        <v>44.533333333333331</v>
      </c>
      <c r="N1579" s="250">
        <v>-102149</v>
      </c>
      <c r="O1579" s="251">
        <f>IF($N1579&gt;0,(LEFT(TEXT($N1579,"000000"),2)+(MID(TEXT($N1579,"000000"),3,2)/60)+(RIGHT(TEXT($N1579,"000000"),2)/3600)),-(MID(TEXT($N1579,"000000"),2,2)+(MID(TEXT($N1579,"000000"),4,2)/60)+(RIGHT(TEXT($N1579,"000000"),2)/3600)))</f>
        <v>-10.36361111111111</v>
      </c>
      <c r="P1579" s="252" t="s">
        <v>257</v>
      </c>
      <c r="Q1579" s="253"/>
      <c r="R1579" s="247" t="s">
        <v>3293</v>
      </c>
      <c r="S1579" s="272" t="s">
        <v>6654</v>
      </c>
      <c r="T1579" s="273">
        <v>13.2</v>
      </c>
      <c r="U1579" s="289">
        <v>21.39</v>
      </c>
      <c r="V1579" s="280"/>
      <c r="W1579" s="244"/>
      <c r="X1579" s="244"/>
      <c r="Y1579" s="362"/>
      <c r="Z1579" s="257">
        <f>altaz(J2000_Bas,$O1579,$M1579,DecLat,DecLong,1)</f>
        <v>-29.694936373749716</v>
      </c>
      <c r="AA1579" s="257">
        <f>altaz((J2000_Bas+(2*0.04167)),$O1579,$M1579,DecLat,DecLong,1)</f>
        <v>-4.0018398781939082</v>
      </c>
      <c r="AB1579" s="257">
        <f>altaz((J2000_Bas+(4*0.04167)),$O1579,$M1579,DecLat,DecLong,1)</f>
        <v>20.465586149898062</v>
      </c>
      <c r="AC1579" s="257">
        <f>altaz((J2000_Bas+(6*0.04167)),$O1579,$M1579,DecLat,DecLong,1)</f>
        <v>40.534914238348811</v>
      </c>
      <c r="AD1579" s="258">
        <f>1+ transit((J2000_Bas-1),$O1579,$M1579,DecLat,DecLong)/360 + (GMTOffset/24) + (IF(DST="Y", 1, 0)/24)</f>
        <v>1.1166036519630413</v>
      </c>
      <c r="AE1579" s="259">
        <f>DATE(2001,9,21)+(M1579/360)*365 - (360*((DecLong/360)- (GMTOffset/24) ))</f>
        <v>37205.15185185185</v>
      </c>
      <c r="AF1579" s="260">
        <f>IF(DecLat&gt;0,IF((90 - (DecLat-O1579))&gt;90, (90 - (O1579-DecLat)), (90 - (DecLat-O1579))),IF((90 + (DecLat-O1579))&gt;90, (90 + (O1579-DecLat)), (90 + (DecLat-O1579))))</f>
        <v>48.636388888888888</v>
      </c>
      <c r="AG1579" s="257">
        <f>angularseperation(MoonRA,MoonDec,$M1579,$O1579)</f>
        <v>135.53872411701568</v>
      </c>
      <c r="AH1579" s="261">
        <f ca="1">MIN(100,IF($O$5&gt;80,0+30*($AG1579/100),IF($O$5&gt;70,0+50*($AG1579/100),IF($O$5&gt;60,5+50*($AG1579/100),IF($O$5&gt;50,10+60*($AG1579/100),IF($O$5&gt;40,15+70*($AG1579/100),IF($O$5&gt;30,20+70*($AG1579/100),IF($O$5&gt;20,40+55*($AG1579/100),(80+(20-$O$5)+30*($AG1579/100))))))))))</f>
        <v>100</v>
      </c>
      <c r="AI1579" s="262">
        <v>1154</v>
      </c>
      <c r="AJ1579" s="262"/>
      <c r="AK1579" s="262"/>
      <c r="AL1579" s="263"/>
      <c r="AM1579" s="264"/>
      <c r="AN1579" s="263"/>
      <c r="AO1579" s="263"/>
      <c r="AP1579" s="265"/>
      <c r="AQ1579" s="266"/>
      <c r="AR1579" s="267">
        <v>11221</v>
      </c>
      <c r="AS1579" s="263"/>
      <c r="AT1579" s="263"/>
      <c r="AU1579" s="263"/>
      <c r="AV1579" s="264"/>
      <c r="AW1579" s="263"/>
      <c r="AX1579" s="263"/>
      <c r="AY1579" s="263"/>
      <c r="AZ1579" s="263"/>
      <c r="BA1579" s="263"/>
      <c r="BB1579" s="263"/>
      <c r="BC1579" s="263"/>
      <c r="BD1579" s="264"/>
      <c r="BE1579" s="263"/>
      <c r="BF1579" s="263"/>
      <c r="BG1579" s="263"/>
      <c r="BH1579" s="263"/>
      <c r="BI1579" s="263"/>
      <c r="BJ1579" s="404">
        <f>altaz(J2000_Bas,$O1579,$M1579,DecLat,DecLong,2)</f>
        <v>84.200032636016047</v>
      </c>
      <c r="BK1579" s="378" t="s">
        <v>1595</v>
      </c>
      <c r="BL1579" s="379">
        <f>IF((2*G1579)/60&lt;0.2,0.2,(2*G1579)/60)</f>
        <v>0.2</v>
      </c>
      <c r="BM1579" s="380">
        <f>MOD((50000+AD1579-$B$3+(0/24)),1)</f>
        <v>0.33197058166842908</v>
      </c>
      <c r="BN1579" s="381"/>
      <c r="BO1579" s="382">
        <v>1572</v>
      </c>
    </row>
    <row r="1580" spans="1:67" s="24" customFormat="1" ht="15" customHeight="1" x14ac:dyDescent="0.25">
      <c r="A1580" s="288" t="s">
        <v>1596</v>
      </c>
      <c r="B1580" s="241" t="str">
        <f>HYPERLINK(CONCATENATE($AT$3,BK1580,$AU$3),$AV$3)</f>
        <v>S</v>
      </c>
      <c r="C1580" s="242" t="str">
        <f>HYPERLINK(CONCATENATE($AT$4,BK1580,$AU$4,BL1580),$AV$4)</f>
        <v>A</v>
      </c>
      <c r="D1580" s="243" t="s">
        <v>5638</v>
      </c>
      <c r="E1580" s="244" t="s">
        <v>3259</v>
      </c>
      <c r="F1580" s="269"/>
      <c r="G1580" s="273">
        <v>3.4</v>
      </c>
      <c r="H1580" s="283">
        <v>25</v>
      </c>
      <c r="I1580" s="246">
        <v>25</v>
      </c>
      <c r="J1580" s="246">
        <v>1</v>
      </c>
      <c r="K1580" s="247" t="s">
        <v>6656</v>
      </c>
      <c r="L1580" s="248">
        <v>25942</v>
      </c>
      <c r="M1580" s="249">
        <f>15*(LEFT(TEXT($L1580,"000000"),2)+(MID(TEXT($L1580,"000000"),3,2)/60)+(RIGHT(TEXT($L1580,"000000"),2)/3600))</f>
        <v>44.925000000000004</v>
      </c>
      <c r="N1580" s="250">
        <v>251417</v>
      </c>
      <c r="O1580" s="251">
        <f>IF($N1580&gt;0,(LEFT(TEXT($N1580,"000000"),2)+(MID(TEXT($N1580,"000000"),3,2)/60)+(RIGHT(TEXT($N1580,"000000"),2)/3600)),-(MID(TEXT($N1580,"000000"),2,2)+(MID(TEXT($N1580,"000000"),4,2)/60)+(RIGHT(TEXT($N1580,"000000"),2)/3600)))</f>
        <v>25.238055555555558</v>
      </c>
      <c r="P1580" s="252" t="s">
        <v>249</v>
      </c>
      <c r="Q1580" s="253"/>
      <c r="R1580" s="247" t="s">
        <v>3293</v>
      </c>
      <c r="S1580" s="272" t="s">
        <v>3293</v>
      </c>
      <c r="T1580" s="273">
        <v>11.7</v>
      </c>
      <c r="U1580" s="289">
        <v>22.79</v>
      </c>
      <c r="V1580" s="280"/>
      <c r="W1580" s="244"/>
      <c r="X1580" s="244"/>
      <c r="Y1580" s="362"/>
      <c r="Z1580" s="257">
        <f>altaz(J2000_Bas,$O1580,$M1580,DecLat,DecLong,1)</f>
        <v>-8.9384796373367585</v>
      </c>
      <c r="AA1580" s="257">
        <f>altaz((J2000_Bas+(2*0.04167)),$O1580,$M1580,DecLat,DecLong,1)</f>
        <v>13.610948067036109</v>
      </c>
      <c r="AB1580" s="257">
        <f>altaz((J2000_Bas+(4*0.04167)),$O1580,$M1580,DecLat,DecLong,1)</f>
        <v>38.447156124680468</v>
      </c>
      <c r="AC1580" s="257">
        <f>altaz((J2000_Bas+(6*0.04167)),$O1580,$M1580,DecLat,DecLong,1)</f>
        <v>64.144461312579423</v>
      </c>
      <c r="AD1580" s="258">
        <f>1+ transit((J2000_Bas-1),$O1580,$M1580,DecLat,DecLong)/360 + (GMTOffset/24) + (IF(DST="Y", 1, 0)/24)</f>
        <v>1.117691614817208</v>
      </c>
      <c r="AE1580" s="259">
        <f>DATE(2001,9,21)+(M1580/360)*365 - (360*((DecLong/360)- (GMTOffset/24) ))</f>
        <v>37205.548958333333</v>
      </c>
      <c r="AF1580" s="260">
        <f>IF(DecLat&gt;0,IF((90 - (DecLat-O1580))&gt;90, (90 - (O1580-DecLat)), (90 - (DecLat-O1580))),IF((90 + (DecLat-O1580))&gt;90, (90 + (O1580-DecLat)), (90 + (DecLat-O1580))))</f>
        <v>84.238055555555562</v>
      </c>
      <c r="AG1580" s="257">
        <f>angularseperation(MoonRA,MoonDec,$M1580,$O1580)</f>
        <v>158.13003904603318</v>
      </c>
      <c r="AH1580" s="261">
        <f ca="1">MIN(100,IF($O$5&gt;80,0+30*($AG1580/100),IF($O$5&gt;70,0+50*($AG1580/100),IF($O$5&gt;60,5+50*($AG1580/100),IF($O$5&gt;50,10+60*($AG1580/100),IF($O$5&gt;40,15+70*($AG1580/100),IF($O$5&gt;30,20+70*($AG1580/100),IF($O$5&gt;20,40+55*($AG1580/100),(80+(20-$O$5)+30*($AG1580/100))))))))))</f>
        <v>100</v>
      </c>
      <c r="AI1580" s="262">
        <v>1156</v>
      </c>
      <c r="AJ1580" s="262"/>
      <c r="AK1580" s="262"/>
      <c r="AL1580" s="263"/>
      <c r="AM1580" s="264"/>
      <c r="AN1580" s="263"/>
      <c r="AO1580" s="263"/>
      <c r="AP1580" s="265"/>
      <c r="AQ1580" s="266">
        <v>2455</v>
      </c>
      <c r="AR1580" s="267">
        <v>11329</v>
      </c>
      <c r="AS1580" s="263"/>
      <c r="AT1580" s="263"/>
      <c r="AU1580" s="263"/>
      <c r="AV1580" s="264"/>
      <c r="AW1580" s="263"/>
      <c r="AX1580" s="263"/>
      <c r="AY1580" s="263"/>
      <c r="AZ1580" s="263"/>
      <c r="BA1580" s="263"/>
      <c r="BB1580" s="263"/>
      <c r="BC1580" s="263"/>
      <c r="BD1580" s="264"/>
      <c r="BE1580" s="263"/>
      <c r="BF1580" s="263"/>
      <c r="BG1580" s="263"/>
      <c r="BH1580" s="263"/>
      <c r="BI1580" s="263"/>
      <c r="BJ1580" s="404">
        <f>altaz(J2000_Bas,$O1580,$M1580,DecLat,DecLong,2)</f>
        <v>53.269614277579031</v>
      </c>
      <c r="BK1580" s="378" t="s">
        <v>1596</v>
      </c>
      <c r="BL1580" s="379">
        <f>IF((2*G1580)/60&lt;0.2,0.2,(2*G1580)/60)</f>
        <v>0.2</v>
      </c>
      <c r="BM1580" s="380">
        <f>MOD((50000+AD1580-$B$3+(0/24)),1)</f>
        <v>0.33305854452191852</v>
      </c>
      <c r="BN1580" s="381"/>
      <c r="BO1580" s="382">
        <v>1573</v>
      </c>
    </row>
    <row r="1581" spans="1:67" s="24" customFormat="1" ht="15" customHeight="1" x14ac:dyDescent="0.25">
      <c r="A1581" s="288" t="s">
        <v>1597</v>
      </c>
      <c r="B1581" s="241" t="str">
        <f>HYPERLINK(CONCATENATE($AT$3,BK1581,$AU$3),$AV$3)</f>
        <v>S</v>
      </c>
      <c r="C1581" s="242" t="str">
        <f>HYPERLINK(CONCATENATE($AT$4,BK1581,$AU$4,BL1581),$AV$4)</f>
        <v>A</v>
      </c>
      <c r="D1581" s="243" t="s">
        <v>5638</v>
      </c>
      <c r="E1581" s="244" t="s">
        <v>5192</v>
      </c>
      <c r="F1581" s="269" t="s">
        <v>8689</v>
      </c>
      <c r="G1581" s="273">
        <v>1.5</v>
      </c>
      <c r="H1581" s="283">
        <v>80</v>
      </c>
      <c r="I1581" s="246">
        <v>35</v>
      </c>
      <c r="J1581" s="246">
        <v>1</v>
      </c>
      <c r="K1581" s="247" t="s">
        <v>8703</v>
      </c>
      <c r="L1581" s="248">
        <v>30113</v>
      </c>
      <c r="M1581" s="249">
        <f>15*(LEFT(TEXT($L1581,"000000"),2)+(MID(TEXT($L1581,"000000"),3,2)/60)+(RIGHT(TEXT($L1581,"000000"),2)/3600))</f>
        <v>45.304166666666667</v>
      </c>
      <c r="N1581" s="250">
        <v>445717</v>
      </c>
      <c r="O1581" s="251">
        <f>IF($N1581&gt;0,(LEFT(TEXT($N1581,"000000"),2)+(MID(TEXT($N1581,"000000"),3,2)/60)+(RIGHT(TEXT($N1581,"000000"),2)/3600)),-(MID(TEXT($N1581,"000000"),2,2)+(MID(TEXT($N1581,"000000"),4,2)/60)+(RIGHT(TEXT($N1581,"000000"),2)/3600)))</f>
        <v>44.954722222222223</v>
      </c>
      <c r="P1581" s="252" t="s">
        <v>43</v>
      </c>
      <c r="Q1581" s="253"/>
      <c r="R1581" s="247" t="s">
        <v>3293</v>
      </c>
      <c r="S1581" s="272" t="s">
        <v>1598</v>
      </c>
      <c r="T1581" s="273">
        <v>12.8</v>
      </c>
      <c r="U1581" s="289">
        <v>22.19</v>
      </c>
      <c r="V1581" s="280">
        <v>65</v>
      </c>
      <c r="W1581" s="244"/>
      <c r="X1581" s="244"/>
      <c r="Y1581" s="362"/>
      <c r="Z1581" s="257">
        <f>altaz(J2000_Bas,$O1581,$M1581,DecLat,DecLong,1)</f>
        <v>3.8435019144988343</v>
      </c>
      <c r="AA1581" s="257">
        <f>altaz((J2000_Bas+(2*0.04167)),$O1581,$M1581,DecLat,DecLong,1)</f>
        <v>21.850643345693079</v>
      </c>
      <c r="AB1581" s="257">
        <f>altaz((J2000_Bas+(4*0.04167)),$O1581,$M1581,DecLat,DecLong,1)</f>
        <v>42.462840865523987</v>
      </c>
      <c r="AC1581" s="257">
        <f>altaz((J2000_Bas+(6*0.04167)),$O1581,$M1581,DecLat,DecLong,1)</f>
        <v>63.404114544307582</v>
      </c>
      <c r="AD1581" s="258">
        <f>1+ transit((J2000_Bas-1),$O1581,$M1581,DecLat,DecLong)/360 + (GMTOffset/24) + (IF(DST="Y", 1, 0)/24)</f>
        <v>1.1187448554526247</v>
      </c>
      <c r="AE1581" s="259">
        <f>DATE(2001,9,21)+(M1581/360)*365 - (360*((DecLong/360)- (GMTOffset/24) ))</f>
        <v>37205.933391203704</v>
      </c>
      <c r="AF1581" s="260">
        <f>IF(DecLat&gt;0,IF((90 - (DecLat-O1581))&gt;90, (90 - (O1581-DecLat)), (90 - (DecLat-O1581))),IF((90 + (DecLat-O1581))&gt;90, (90 + (O1581-DecLat)), (90 + (DecLat-O1581))))</f>
        <v>76.045277777777784</v>
      </c>
      <c r="AG1581" s="257">
        <f>angularseperation(MoonRA,MoonDec,$M1581,$O1581)</f>
        <v>153.83893720305534</v>
      </c>
      <c r="AH1581" s="261">
        <f ca="1">MIN(100,IF($O$5&gt;80,0+30*($AG1581/100),IF($O$5&gt;70,0+50*($AG1581/100),IF($O$5&gt;60,5+50*($AG1581/100),IF($O$5&gt;50,10+60*($AG1581/100),IF($O$5&gt;40,15+70*($AG1581/100),IF($O$5&gt;30,20+70*($AG1581/100),IF($O$5&gt;20,40+55*($AG1581/100),(80+(20-$O$5)+30*($AG1581/100))))))))))</f>
        <v>100</v>
      </c>
      <c r="AI1581" s="262">
        <v>1160</v>
      </c>
      <c r="AJ1581" s="262"/>
      <c r="AK1581" s="262"/>
      <c r="AL1581" s="263"/>
      <c r="AM1581" s="264"/>
      <c r="AN1581" s="263"/>
      <c r="AO1581" s="263"/>
      <c r="AP1581" s="265"/>
      <c r="AQ1581" s="266">
        <v>2475</v>
      </c>
      <c r="AR1581" s="267">
        <v>11403</v>
      </c>
      <c r="AS1581" s="263"/>
      <c r="AT1581" s="263"/>
      <c r="AU1581" s="263"/>
      <c r="AV1581" s="264"/>
      <c r="AW1581" s="263"/>
      <c r="AX1581" s="263"/>
      <c r="AY1581" s="263"/>
      <c r="AZ1581" s="263"/>
      <c r="BA1581" s="263"/>
      <c r="BB1581" s="263"/>
      <c r="BC1581" s="263"/>
      <c r="BD1581" s="264"/>
      <c r="BE1581" s="263"/>
      <c r="BF1581" s="263"/>
      <c r="BG1581" s="263"/>
      <c r="BH1581" s="263"/>
      <c r="BI1581" s="263"/>
      <c r="BJ1581" s="404">
        <f>altaz(J2000_Bas,$O1581,$M1581,DecLat,DecLong,2)</f>
        <v>38.207774614035081</v>
      </c>
      <c r="BK1581" s="378" t="s">
        <v>1597</v>
      </c>
      <c r="BL1581" s="379">
        <f>IF((2*G1581)/60&lt;0.2,0.2,(2*G1581)/60)</f>
        <v>0.2</v>
      </c>
      <c r="BM1581" s="380">
        <f>MOD((50000+AD1581-$B$3+(0/24)),1)</f>
        <v>0.33411178515962092</v>
      </c>
      <c r="BN1581" s="381"/>
      <c r="BO1581" s="382">
        <v>1574</v>
      </c>
    </row>
    <row r="1582" spans="1:67" s="24" customFormat="1" ht="15" customHeight="1" x14ac:dyDescent="0.25">
      <c r="A1582" s="288" t="s">
        <v>1598</v>
      </c>
      <c r="B1582" s="241" t="str">
        <f>HYPERLINK(CONCATENATE($AT$3,BK1582,$AU$3),$AV$3)</f>
        <v>S</v>
      </c>
      <c r="C1582" s="242" t="str">
        <f>HYPERLINK(CONCATENATE($AT$4,BK1582,$AU$4,BL1582),$AV$4)</f>
        <v>A</v>
      </c>
      <c r="D1582" s="243" t="s">
        <v>5638</v>
      </c>
      <c r="E1582" s="244" t="s">
        <v>5182</v>
      </c>
      <c r="F1582" s="269" t="s">
        <v>3300</v>
      </c>
      <c r="G1582" s="273">
        <v>1.7</v>
      </c>
      <c r="H1582" s="283">
        <v>90</v>
      </c>
      <c r="I1582" s="246">
        <v>45</v>
      </c>
      <c r="J1582" s="246">
        <v>1</v>
      </c>
      <c r="K1582" s="247" t="s">
        <v>6657</v>
      </c>
      <c r="L1582" s="248">
        <v>30114</v>
      </c>
      <c r="M1582" s="249">
        <f>15*(LEFT(TEXT($L1582,"000000"),2)+(MID(TEXT($L1582,"000000"),3,2)/60)+(RIGHT(TEXT($L1582,"000000"),2)/3600))</f>
        <v>45.308333333333337</v>
      </c>
      <c r="N1582" s="286">
        <v>445351</v>
      </c>
      <c r="O1582" s="251">
        <f>IF($N1582&gt;0,(LEFT(TEXT($N1582,"000000"),2)+(MID(TEXT($N1582,"000000"),3,2)/60)+(RIGHT(TEXT($N1582,"000000"),2)/3600)),-(MID(TEXT($N1582,"000000"),2,2)+(MID(TEXT($N1582,"000000"),4,2)/60)+(RIGHT(TEXT($N1582,"000000"),2)/3600)))</f>
        <v>44.897500000000001</v>
      </c>
      <c r="P1582" s="252" t="s">
        <v>43</v>
      </c>
      <c r="Q1582" s="253"/>
      <c r="R1582" s="247" t="s">
        <v>3293</v>
      </c>
      <c r="S1582" s="272" t="s">
        <v>1597</v>
      </c>
      <c r="T1582" s="273">
        <v>11</v>
      </c>
      <c r="U1582" s="289">
        <v>21.59</v>
      </c>
      <c r="V1582" s="280">
        <v>25</v>
      </c>
      <c r="W1582" s="244"/>
      <c r="X1582" s="244"/>
      <c r="Y1582" s="362"/>
      <c r="Z1582" s="257">
        <f>altaz(J2000_Bas,$O1582,$M1582,DecLat,DecLong,1)</f>
        <v>3.8033878533537835</v>
      </c>
      <c r="AA1582" s="257">
        <f>altaz((J2000_Bas+(2*0.04167)),$O1582,$M1582,DecLat,DecLong,1)</f>
        <v>21.825948344604779</v>
      </c>
      <c r="AB1582" s="257">
        <f>altaz((J2000_Bas+(4*0.04167)),$O1582,$M1582,DecLat,DecLong,1)</f>
        <v>42.455701898561266</v>
      </c>
      <c r="AC1582" s="257">
        <f>altaz((J2000_Bas+(6*0.04167)),$O1582,$M1582,DecLat,DecLong,1)</f>
        <v>63.422405642413175</v>
      </c>
      <c r="AD1582" s="258">
        <f>1+ transit((J2000_Bas-1),$O1582,$M1582,DecLat,DecLong)/360 + (GMTOffset/24) + (IF(DST="Y", 1, 0)/24)</f>
        <v>1.1187564295255414</v>
      </c>
      <c r="AE1582" s="259">
        <f>DATE(2001,9,21)+(M1582/360)*365 - (360*((DecLong/360)- (GMTOffset/24) ))</f>
        <v>37205.937615740739</v>
      </c>
      <c r="AF1582" s="260">
        <f>IF(DecLat&gt;0,IF((90 - (DecLat-O1582))&gt;90, (90 - (O1582-DecLat)), (90 - (DecLat-O1582))),IF((90 + (DecLat-O1582))&gt;90, (90 + (O1582-DecLat)), (90 + (DecLat-O1582))))</f>
        <v>76.102499999999992</v>
      </c>
      <c r="AG1582" s="257">
        <f>angularseperation(MoonRA,MoonDec,$M1582,$O1582)</f>
        <v>153.8741240424624</v>
      </c>
      <c r="AH1582" s="261">
        <f ca="1">MIN(100,IF($O$5&gt;80,0+30*($AG1582/100),IF($O$5&gt;70,0+50*($AG1582/100),IF($O$5&gt;60,5+50*($AG1582/100),IF($O$5&gt;50,10+60*($AG1582/100),IF($O$5&gt;40,15+70*($AG1582/100),IF($O$5&gt;30,20+70*($AG1582/100),IF($O$5&gt;20,40+55*($AG1582/100),(80+(20-$O$5)+30*($AG1582/100))))))))))</f>
        <v>100</v>
      </c>
      <c r="AI1582" s="262">
        <v>1161</v>
      </c>
      <c r="AJ1582" s="262"/>
      <c r="AK1582" s="262"/>
      <c r="AL1582" s="263"/>
      <c r="AM1582" s="264"/>
      <c r="AN1582" s="263"/>
      <c r="AO1582" s="263"/>
      <c r="AP1582" s="265"/>
      <c r="AQ1582" s="266">
        <v>2474</v>
      </c>
      <c r="AR1582" s="267">
        <v>11404</v>
      </c>
      <c r="AS1582" s="263"/>
      <c r="AT1582" s="263"/>
      <c r="AU1582" s="263"/>
      <c r="AV1582" s="264"/>
      <c r="AW1582" s="263"/>
      <c r="AX1582" s="263"/>
      <c r="AY1582" s="263"/>
      <c r="AZ1582" s="263"/>
      <c r="BA1582" s="263"/>
      <c r="BB1582" s="263"/>
      <c r="BC1582" s="263"/>
      <c r="BD1582" s="264"/>
      <c r="BE1582" s="263"/>
      <c r="BF1582" s="263"/>
      <c r="BG1582" s="263"/>
      <c r="BH1582" s="263"/>
      <c r="BI1582" s="263"/>
      <c r="BJ1582" s="404">
        <f>altaz(J2000_Bas,$O1582,$M1582,DecLat,DecLong,2)</f>
        <v>38.248779788125951</v>
      </c>
      <c r="BK1582" s="378" t="s">
        <v>1598</v>
      </c>
      <c r="BL1582" s="379">
        <f>IF((2*G1582)/60&lt;0.2,0.2,(2*G1582)/60)</f>
        <v>0.2</v>
      </c>
      <c r="BM1582" s="380">
        <f>MOD((50000+AD1582-$B$3+(0/24)),1)</f>
        <v>0.33412335922912462</v>
      </c>
      <c r="BN1582" s="381"/>
      <c r="BO1582" s="382">
        <v>1575</v>
      </c>
    </row>
    <row r="1583" spans="1:67" s="24" customFormat="1" ht="15" customHeight="1" x14ac:dyDescent="0.25">
      <c r="A1583" s="288" t="s">
        <v>1599</v>
      </c>
      <c r="B1583" s="241" t="str">
        <f>HYPERLINK(CONCATENATE($AT$3,BK1583,$AU$3),$AV$3)</f>
        <v>S</v>
      </c>
      <c r="C1583" s="242" t="str">
        <f>HYPERLINK(CONCATENATE($AT$4,BK1583,$AU$4,BL1583),$AV$4)</f>
        <v>A</v>
      </c>
      <c r="D1583" s="243" t="s">
        <v>5638</v>
      </c>
      <c r="E1583" s="244" t="s">
        <v>5192</v>
      </c>
      <c r="F1583" s="269" t="s">
        <v>8937</v>
      </c>
      <c r="G1583" s="273">
        <v>4</v>
      </c>
      <c r="H1583" s="283">
        <v>120</v>
      </c>
      <c r="I1583" s="246">
        <v>130</v>
      </c>
      <c r="J1583" s="246">
        <v>2</v>
      </c>
      <c r="K1583" s="247" t="s">
        <v>6658</v>
      </c>
      <c r="L1583" s="248">
        <v>30335</v>
      </c>
      <c r="M1583" s="249">
        <f>15*(LEFT(TEXT($L1583,"000000"),2)+(MID(TEXT($L1583,"000000"),3,2)/60)+(RIGHT(TEXT($L1583,"000000"),2)/3600))</f>
        <v>45.895833333333336</v>
      </c>
      <c r="N1583" s="250">
        <v>462308</v>
      </c>
      <c r="O1583" s="251">
        <f>IF($N1583&gt;0,(LEFT(TEXT($N1583,"000000"),2)+(MID(TEXT($N1583,"000000"),3,2)/60)+(RIGHT(TEXT($N1583,"000000"),2)/3600)),-(MID(TEXT($N1583,"000000"),2,2)+(MID(TEXT($N1583,"000000"),4,2)/60)+(RIGHT(TEXT($N1583,"000000"),2)/3600)))</f>
        <v>46.385555555555555</v>
      </c>
      <c r="P1583" s="252" t="s">
        <v>43</v>
      </c>
      <c r="Q1583" s="253"/>
      <c r="R1583" s="247" t="s">
        <v>3293</v>
      </c>
      <c r="S1583" s="272" t="s">
        <v>3293</v>
      </c>
      <c r="T1583" s="273">
        <v>11.3</v>
      </c>
      <c r="U1583" s="289">
        <v>22.69</v>
      </c>
      <c r="V1583" s="280">
        <v>50</v>
      </c>
      <c r="W1583" s="244"/>
      <c r="X1583" s="244"/>
      <c r="Y1583" s="362"/>
      <c r="Z1583" s="257">
        <f>altaz(J2000_Bas,$O1583,$M1583,DecLat,DecLong,1)</f>
        <v>4.4853144613082998</v>
      </c>
      <c r="AA1583" s="257">
        <f>altaz((J2000_Bas+(2*0.04167)),$O1583,$M1583,DecLat,DecLong,1)</f>
        <v>22.015726440083782</v>
      </c>
      <c r="AB1583" s="257">
        <f>altaz((J2000_Bas+(4*0.04167)),$O1583,$M1583,DecLat,DecLong,1)</f>
        <v>42.143254878855011</v>
      </c>
      <c r="AC1583" s="257">
        <f>altaz((J2000_Bas+(6*0.04167)),$O1583,$M1583,DecLat,DecLong,1)</f>
        <v>62.473352383870029</v>
      </c>
      <c r="AD1583" s="258">
        <f>1+ transit((J2000_Bas-1),$O1583,$M1583,DecLat,DecLong)/360 + (GMTOffset/24) + (IF(DST="Y", 1, 0)/24)</f>
        <v>1.1203883738067912</v>
      </c>
      <c r="AE1583" s="259">
        <f>DATE(2001,9,21)+(M1583/360)*365 - (360*((DecLong/360)- (GMTOffset/24) ))</f>
        <v>37206.533275462964</v>
      </c>
      <c r="AF1583" s="260">
        <f>IF(DecLat&gt;0,IF((90 - (DecLat-O1583))&gt;90, (90 - (O1583-DecLat)), (90 - (DecLat-O1583))),IF((90 + (DecLat-O1583))&gt;90, (90 + (O1583-DecLat)), (90 + (DecLat-O1583))))</f>
        <v>74.614444444444445</v>
      </c>
      <c r="AG1583" s="257">
        <f>angularseperation(MoonRA,MoonDec,$M1583,$O1583)</f>
        <v>153.31770205049853</v>
      </c>
      <c r="AH1583" s="261">
        <f ca="1">MIN(100,IF($O$5&gt;80,0+30*($AG1583/100),IF($O$5&gt;70,0+50*($AG1583/100),IF($O$5&gt;60,5+50*($AG1583/100),IF($O$5&gt;50,10+60*($AG1583/100),IF($O$5&gt;40,15+70*($AG1583/100),IF($O$5&gt;30,20+70*($AG1583/100),IF($O$5&gt;20,40+55*($AG1583/100),(80+(20-$O$5)+30*($AG1583/100))))))))))</f>
        <v>100</v>
      </c>
      <c r="AI1583" s="262">
        <v>1169</v>
      </c>
      <c r="AJ1583" s="262"/>
      <c r="AK1583" s="262"/>
      <c r="AL1583" s="263"/>
      <c r="AM1583" s="264"/>
      <c r="AN1583" s="263"/>
      <c r="AO1583" s="263"/>
      <c r="AP1583" s="265"/>
      <c r="AQ1583" s="266">
        <v>2503</v>
      </c>
      <c r="AR1583" s="267">
        <v>11521</v>
      </c>
      <c r="AS1583" s="263"/>
      <c r="AT1583" s="263"/>
      <c r="AU1583" s="263"/>
      <c r="AV1583" s="264"/>
      <c r="AW1583" s="263"/>
      <c r="AX1583" s="263"/>
      <c r="AY1583" s="263"/>
      <c r="AZ1583" s="263"/>
      <c r="BA1583" s="263"/>
      <c r="BB1583" s="263"/>
      <c r="BC1583" s="263"/>
      <c r="BD1583" s="264"/>
      <c r="BE1583" s="263"/>
      <c r="BF1583" s="263"/>
      <c r="BG1583" s="263"/>
      <c r="BH1583" s="263"/>
      <c r="BI1583" s="263"/>
      <c r="BJ1583" s="404">
        <f>altaz(J2000_Bas,$O1583,$M1583,DecLat,DecLong,2)</f>
        <v>36.860236401136696</v>
      </c>
      <c r="BK1583" s="378" t="s">
        <v>1599</v>
      </c>
      <c r="BL1583" s="379">
        <f>IF((2*G1583)/60&lt;0.2,0.2,(2*G1583)/60)</f>
        <v>0.2</v>
      </c>
      <c r="BM1583" s="380">
        <f>MOD((50000+AD1583-$B$3+(0/24)),1)</f>
        <v>0.33575530350935878</v>
      </c>
      <c r="BN1583" s="381"/>
      <c r="BO1583" s="382">
        <v>1576</v>
      </c>
    </row>
    <row r="1584" spans="1:67" s="24" customFormat="1" ht="15" customHeight="1" x14ac:dyDescent="0.25">
      <c r="A1584" s="288" t="s">
        <v>1601</v>
      </c>
      <c r="B1584" s="241" t="str">
        <f>HYPERLINK(CONCATENATE($AT$3,BK1584,$AU$3),$AV$3)</f>
        <v>S</v>
      </c>
      <c r="C1584" s="242" t="str">
        <f>HYPERLINK(CONCATENATE($AT$4,BK1584,$AU$4,BL1584),$AV$4)</f>
        <v>A</v>
      </c>
      <c r="D1584" s="243" t="s">
        <v>5638</v>
      </c>
      <c r="E1584" s="244" t="s">
        <v>5192</v>
      </c>
      <c r="F1584" s="269" t="s">
        <v>8910</v>
      </c>
      <c r="G1584" s="273">
        <v>4</v>
      </c>
      <c r="H1584" s="283">
        <v>55</v>
      </c>
      <c r="I1584" s="246">
        <v>70</v>
      </c>
      <c r="J1584" s="246">
        <v>3</v>
      </c>
      <c r="K1584" s="247" t="s">
        <v>6660</v>
      </c>
      <c r="L1584" s="248">
        <v>30238</v>
      </c>
      <c r="M1584" s="249">
        <f>15*(LEFT(TEXT($L1584,"000000"),2)+(MID(TEXT($L1584,"000000"),3,2)/60)+(RIGHT(TEXT($L1584,"000000"),2)/3600))</f>
        <v>45.658333333333331</v>
      </c>
      <c r="N1584" s="250">
        <v>-185354</v>
      </c>
      <c r="O1584" s="251">
        <f>IF($N1584&gt;0,(LEFT(TEXT($N1584,"000000"),2)+(MID(TEXT($N1584,"000000"),3,2)/60)+(RIGHT(TEXT($N1584,"000000"),2)/3600)),-(MID(TEXT($N1584,"000000"),2,2)+(MID(TEXT($N1584,"000000"),4,2)/60)+(RIGHT(TEXT($N1584,"000000"),2)/3600)))</f>
        <v>-18.898333333333333</v>
      </c>
      <c r="P1584" s="252" t="s">
        <v>257</v>
      </c>
      <c r="Q1584" s="253"/>
      <c r="R1584" s="277" t="s">
        <v>3293</v>
      </c>
      <c r="S1584" s="272" t="s">
        <v>3293</v>
      </c>
      <c r="T1584" s="273">
        <v>12</v>
      </c>
      <c r="U1584" s="289">
        <v>23.89</v>
      </c>
      <c r="V1584" s="280">
        <v>5</v>
      </c>
      <c r="W1584" s="244"/>
      <c r="X1584" s="244"/>
      <c r="Y1584" s="362"/>
      <c r="Z1584" s="257">
        <f>altaz(J2000_Bas,$O1584,$M1584,DecLat,DecLong,1)</f>
        <v>-34.6156701457423</v>
      </c>
      <c r="AA1584" s="257">
        <f>altaz((J2000_Bas+(2*0.04167)),$O1584,$M1584,DecLat,DecLong,1)</f>
        <v>-9.2501960256544837</v>
      </c>
      <c r="AB1584" s="257">
        <f>altaz((J2000_Bas+(4*0.04167)),$O1584,$M1584,DecLat,DecLong,1)</f>
        <v>14.178384142208813</v>
      </c>
      <c r="AC1584" s="257">
        <f>altaz((J2000_Bas+(6*0.04167)),$O1584,$M1584,DecLat,DecLong,1)</f>
        <v>32.662594191067747</v>
      </c>
      <c r="AD1584" s="258">
        <f>1+ transit((J2000_Bas-1),$O1584,$M1584,DecLat,DecLong)/360 + (GMTOffset/24) + (IF(DST="Y", 1, 0)/24)</f>
        <v>1.1197286516505414</v>
      </c>
      <c r="AE1584" s="259">
        <f>DATE(2001,9,21)+(M1584/360)*365 - (360*((DecLong/360)- (GMTOffset/24) ))</f>
        <v>37206.29247685185</v>
      </c>
      <c r="AF1584" s="260">
        <f>IF(DecLat&gt;0,IF((90 - (DecLat-O1584))&gt;90, (90 - (O1584-DecLat)), (90 - (DecLat-O1584))),IF((90 + (DecLat-O1584))&gt;90, (90 + (O1584-DecLat)), (90 + (DecLat-O1584))))</f>
        <v>40.101666666666667</v>
      </c>
      <c r="AG1584" s="257">
        <f>angularseperation(MoonRA,MoonDec,$M1584,$O1584)</f>
        <v>128.64726825077389</v>
      </c>
      <c r="AH1584" s="261">
        <f ca="1">MIN(100,IF($O$5&gt;80,0+30*($AG1584/100),IF($O$5&gt;70,0+50*($AG1584/100),IF($O$5&gt;60,5+50*($AG1584/100),IF($O$5&gt;50,10+60*($AG1584/100),IF($O$5&gt;40,15+70*($AG1584/100),IF($O$5&gt;30,20+70*($AG1584/100),IF($O$5&gt;20,40+55*($AG1584/100),(80+(20-$O$5)+30*($AG1584/100))))))))))</f>
        <v>100</v>
      </c>
      <c r="AI1584" s="262">
        <v>1179</v>
      </c>
      <c r="AJ1584" s="263"/>
      <c r="AK1584" s="263"/>
      <c r="AL1584" s="263"/>
      <c r="AM1584" s="264"/>
      <c r="AN1584" s="263"/>
      <c r="AO1584" s="263"/>
      <c r="AP1584" s="265"/>
      <c r="AQ1584" s="265"/>
      <c r="AR1584" s="285">
        <v>11480</v>
      </c>
      <c r="AS1584" s="263"/>
      <c r="AT1584" s="263"/>
      <c r="AU1584" s="263"/>
      <c r="AV1584" s="264"/>
      <c r="AW1584" s="263"/>
      <c r="AX1584" s="263"/>
      <c r="AY1584" s="263"/>
      <c r="AZ1584" s="263"/>
      <c r="BA1584" s="263"/>
      <c r="BB1584" s="263"/>
      <c r="BC1584" s="263"/>
      <c r="BD1584" s="264"/>
      <c r="BE1584" s="263"/>
      <c r="BF1584" s="263"/>
      <c r="BG1584" s="263"/>
      <c r="BH1584" s="263"/>
      <c r="BI1584" s="263"/>
      <c r="BJ1584" s="404">
        <f>altaz(J2000_Bas,$O1584,$M1584,DecLat,DecLong,2)</f>
        <v>92.54408720733035</v>
      </c>
      <c r="BK1584" s="378" t="s">
        <v>1601</v>
      </c>
      <c r="BL1584" s="379">
        <f>IF((2*G1584)/60&lt;0.2,0.2,(2*G1584)/60)</f>
        <v>0.2</v>
      </c>
      <c r="BM1584" s="380">
        <f>MOD((50000+AD1584-$B$3+(0/24)),1)</f>
        <v>0.33509558135119732</v>
      </c>
      <c r="BN1584" s="381" t="s">
        <v>9287</v>
      </c>
      <c r="BO1584" s="382">
        <v>1577</v>
      </c>
    </row>
    <row r="1585" spans="1:67" s="24" customFormat="1" ht="15" customHeight="1" x14ac:dyDescent="0.25">
      <c r="A1585" s="288" t="s">
        <v>3037</v>
      </c>
      <c r="B1585" s="241" t="str">
        <f>HYPERLINK(CONCATENATE($AT$3,BK1585,$AU$3),$AV$3)</f>
        <v>S</v>
      </c>
      <c r="C1585" s="242" t="str">
        <f>HYPERLINK(CONCATENATE($AT$4,BK1585,$AU$4,BL1585),$AV$4)</f>
        <v>A</v>
      </c>
      <c r="D1585" s="243" t="s">
        <v>5638</v>
      </c>
      <c r="E1585" s="244" t="s">
        <v>5192</v>
      </c>
      <c r="F1585" s="269" t="s">
        <v>8886</v>
      </c>
      <c r="G1585" s="273">
        <v>3</v>
      </c>
      <c r="H1585" s="283">
        <v>110</v>
      </c>
      <c r="I1585" s="246">
        <v>100</v>
      </c>
      <c r="J1585" s="246">
        <v>2</v>
      </c>
      <c r="K1585" s="247" t="s">
        <v>6659</v>
      </c>
      <c r="L1585" s="248">
        <v>30531</v>
      </c>
      <c r="M1585" s="249">
        <f>15*(LEFT(TEXT($L1585,"000000"),2)+(MID(TEXT($L1585,"000000"),3,2)/60)+(RIGHT(TEXT($L1585,"000000"),2)/3600))</f>
        <v>46.37916666666667</v>
      </c>
      <c r="N1585" s="250">
        <v>425008</v>
      </c>
      <c r="O1585" s="251">
        <f>IF($N1585&gt;0,(LEFT(TEXT($N1585,"000000"),2)+(MID(TEXT($N1585,"000000"),3,2)/60)+(RIGHT(TEXT($N1585,"000000"),2)/3600)),-(MID(TEXT($N1585,"000000"),2,2)+(MID(TEXT($N1585,"000000"),4,2)/60)+(RIGHT(TEXT($N1585,"000000"),2)/3600)))</f>
        <v>42.835555555555558</v>
      </c>
      <c r="P1585" s="252" t="s">
        <v>43</v>
      </c>
      <c r="Q1585" s="253"/>
      <c r="R1585" s="277" t="s">
        <v>6662</v>
      </c>
      <c r="S1585" s="272" t="s">
        <v>3293</v>
      </c>
      <c r="T1585" s="273">
        <v>11.4</v>
      </c>
      <c r="U1585" s="289">
        <v>21.39</v>
      </c>
      <c r="V1585" s="280">
        <v>70</v>
      </c>
      <c r="W1585" s="244"/>
      <c r="X1585" s="244"/>
      <c r="Y1585" s="362"/>
      <c r="Z1585" s="257">
        <f>altaz(J2000_Bas,$O1585,$M1585,DecLat,DecLong,1)</f>
        <v>1.8520138620761444</v>
      </c>
      <c r="AA1585" s="257">
        <f>altaz((J2000_Bas+(2*0.04167)),$O1585,$M1585,DecLat,DecLong,1)</f>
        <v>20.302051601990815</v>
      </c>
      <c r="AB1585" s="257">
        <f>altaz((J2000_Bas+(4*0.04167)),$O1585,$M1585,DecLat,DecLong,1)</f>
        <v>41.489549077732477</v>
      </c>
      <c r="AC1585" s="257">
        <f>altaz((J2000_Bas+(6*0.04167)),$O1585,$M1585,DecLat,DecLong,1)</f>
        <v>63.361447748770907</v>
      </c>
      <c r="AD1585" s="258">
        <f>1+ transit((J2000_Bas-1),$O1585,$M1585,DecLat,DecLong)/360 + (GMTOffset/24) + (IF(DST="Y", 1, 0)/24)</f>
        <v>1.1217309662651247</v>
      </c>
      <c r="AE1585" s="259">
        <f>DATE(2001,9,21)+(M1585/360)*365 - (360*((DecLong/360)- (GMTOffset/24) ))</f>
        <v>37207.023321759261</v>
      </c>
      <c r="AF1585" s="260">
        <f>IF(DecLat&gt;0,IF((90 - (DecLat-O1585))&gt;90, (90 - (O1585-DecLat)), (90 - (DecLat-O1585))),IF((90 + (DecLat-O1585))&gt;90, (90 + (O1585-DecLat)), (90 + (DecLat-O1585))))</f>
        <v>78.164444444444442</v>
      </c>
      <c r="AG1585" s="257">
        <f>angularseperation(MoonRA,MoonDec,$M1585,$O1585)</f>
        <v>155.66557701723798</v>
      </c>
      <c r="AH1585" s="261">
        <f ca="1">MIN(100,IF($O$5&gt;80,0+30*($AG1585/100),IF($O$5&gt;70,0+50*($AG1585/100),IF($O$5&gt;60,5+50*($AG1585/100),IF($O$5&gt;50,10+60*($AG1585/100),IF($O$5&gt;40,15+70*($AG1585/100),IF($O$5&gt;30,20+70*($AG1585/100),IF($O$5&gt;20,40+55*($AG1585/100),(80+(20-$O$5)+30*($AG1585/100))))))))))</f>
        <v>100</v>
      </c>
      <c r="AI1585" s="262">
        <v>1174</v>
      </c>
      <c r="AJ1585" s="263"/>
      <c r="AK1585" s="263"/>
      <c r="AL1585" s="263"/>
      <c r="AM1585" s="264"/>
      <c r="AN1585" s="263"/>
      <c r="AO1585" s="263"/>
      <c r="AP1585" s="265"/>
      <c r="AQ1585" s="265"/>
      <c r="AR1585" s="285">
        <v>11617</v>
      </c>
      <c r="AS1585" s="263"/>
      <c r="AT1585" s="263"/>
      <c r="AU1585" s="263"/>
      <c r="AV1585" s="264"/>
      <c r="AW1585" s="263"/>
      <c r="AX1585" s="263"/>
      <c r="AY1585" s="263"/>
      <c r="AZ1585" s="263"/>
      <c r="BA1585" s="263"/>
      <c r="BB1585" s="263"/>
      <c r="BC1585" s="263"/>
      <c r="BD1585" s="264"/>
      <c r="BE1585" s="263"/>
      <c r="BF1585" s="263"/>
      <c r="BG1585" s="263"/>
      <c r="BH1585" s="263"/>
      <c r="BI1585" s="263"/>
      <c r="BJ1585" s="404">
        <f>altaz(J2000_Bas,$O1585,$M1585,DecLat,DecLong,2)</f>
        <v>39.269643063413291</v>
      </c>
      <c r="BK1585" s="378" t="s">
        <v>1600</v>
      </c>
      <c r="BL1585" s="379">
        <f>IF((2*G1585)/60&lt;0.2,0.2,(2*G1585)/60)</f>
        <v>0.2</v>
      </c>
      <c r="BM1585" s="380">
        <f>MOD((50000+AD1585-$B$3+(0/24)),1)</f>
        <v>0.33709789597196504</v>
      </c>
      <c r="BN1585" s="381"/>
      <c r="BO1585" s="382">
        <v>1578</v>
      </c>
    </row>
    <row r="1586" spans="1:67" s="24" customFormat="1" ht="15" customHeight="1" x14ac:dyDescent="0.25">
      <c r="A1586" s="288" t="s">
        <v>1602</v>
      </c>
      <c r="B1586" s="241" t="str">
        <f>HYPERLINK(CONCATENATE($AT$3,BK1586,$AU$3),$AV$3)</f>
        <v>S</v>
      </c>
      <c r="C1586" s="242" t="str">
        <f>HYPERLINK(CONCATENATE($AT$4,BK1586,$AU$4,BL1586),$AV$4)</f>
        <v>A</v>
      </c>
      <c r="D1586" s="243" t="s">
        <v>5638</v>
      </c>
      <c r="E1586" s="244" t="s">
        <v>5192</v>
      </c>
      <c r="F1586" s="269" t="s">
        <v>8936</v>
      </c>
      <c r="G1586" s="273">
        <v>6</v>
      </c>
      <c r="H1586" s="283">
        <v>60</v>
      </c>
      <c r="I1586" s="246">
        <v>100</v>
      </c>
      <c r="J1586" s="246">
        <v>3</v>
      </c>
      <c r="K1586" s="247" t="s">
        <v>6661</v>
      </c>
      <c r="L1586" s="248">
        <v>30238</v>
      </c>
      <c r="M1586" s="249">
        <f>15*(LEFT(TEXT($L1586,"000000"),2)+(MID(TEXT($L1586,"000000"),3,2)/60)+(RIGHT(TEXT($L1586,"000000"),2)/3600))</f>
        <v>45.658333333333331</v>
      </c>
      <c r="N1586" s="250">
        <v>-225203</v>
      </c>
      <c r="O1586" s="251">
        <f>IF($N1586&gt;0,(LEFT(TEXT($N1586,"000000"),2)+(MID(TEXT($N1586,"000000"),3,2)/60)+(RIGHT(TEXT($N1586,"000000"),2)/3600)),-(MID(TEXT($N1586,"000000"),2,2)+(MID(TEXT($N1586,"000000"),4,2)/60)+(RIGHT(TEXT($N1586,"000000"),2)/3600)))</f>
        <v>-22.8675</v>
      </c>
      <c r="P1586" s="252" t="s">
        <v>257</v>
      </c>
      <c r="Q1586" s="253"/>
      <c r="R1586" s="247" t="s">
        <v>3293</v>
      </c>
      <c r="S1586" s="272" t="s">
        <v>3293</v>
      </c>
      <c r="T1586" s="273">
        <v>10.8</v>
      </c>
      <c r="U1586" s="289">
        <v>22.89</v>
      </c>
      <c r="V1586" s="280">
        <v>20</v>
      </c>
      <c r="W1586" s="244"/>
      <c r="X1586" s="244"/>
      <c r="Y1586" s="362"/>
      <c r="Z1586" s="257">
        <f>altaz(J2000_Bas,$O1586,$M1586,DecLat,DecLong,1)</f>
        <v>-36.222805746137766</v>
      </c>
      <c r="AA1586" s="257">
        <f>altaz((J2000_Bas+(2*0.04167)),$O1586,$M1586,DecLat,DecLong,1)</f>
        <v>-11.199932861320054</v>
      </c>
      <c r="AB1586" s="257">
        <f>altaz((J2000_Bas+(4*0.04167)),$O1586,$M1586,DecLat,DecLong,1)</f>
        <v>11.587707594791608</v>
      </c>
      <c r="AC1586" s="257">
        <f>altaz((J2000_Bas+(6*0.04167)),$O1586,$M1586,DecLat,DecLong,1)</f>
        <v>29.20431028690107</v>
      </c>
      <c r="AD1586" s="258">
        <f>1+ transit((J2000_Bas-1),$O1586,$M1586,DecLat,DecLong)/360 + (GMTOffset/24) + (IF(DST="Y", 1, 0)/24)</f>
        <v>1.1197286516505414</v>
      </c>
      <c r="AE1586" s="259">
        <f>DATE(2001,9,21)+(M1586/360)*365 - (360*((DecLong/360)- (GMTOffset/24) ))</f>
        <v>37206.29247685185</v>
      </c>
      <c r="AF1586" s="260">
        <f>IF(DecLat&gt;0,IF((90 - (DecLat-O1586))&gt;90, (90 - (O1586-DecLat)), (90 - (DecLat-O1586))),IF((90 + (DecLat-O1586))&gt;90, (90 + (O1586-DecLat)), (90 + (DecLat-O1586))))</f>
        <v>36.1325</v>
      </c>
      <c r="AG1586" s="257">
        <f>angularseperation(MoonRA,MoonDec,$M1586,$O1586)</f>
        <v>125.09372749363433</v>
      </c>
      <c r="AH1586" s="261">
        <f ca="1">MIN(100,IF($O$5&gt;80,0+30*($AG1586/100),IF($O$5&gt;70,0+50*($AG1586/100),IF($O$5&gt;60,5+50*($AG1586/100),IF($O$5&gt;50,10+60*($AG1586/100),IF($O$5&gt;40,15+70*($AG1586/100),IF($O$5&gt;30,20+70*($AG1586/100),IF($O$5&gt;20,40+55*($AG1586/100),(80+(20-$O$5)+30*($AG1586/100))))))))))</f>
        <v>100</v>
      </c>
      <c r="AI1586" s="262">
        <v>1187</v>
      </c>
      <c r="AJ1586" s="262"/>
      <c r="AK1586" s="262"/>
      <c r="AL1586" s="263"/>
      <c r="AM1586" s="264"/>
      <c r="AN1586" s="263"/>
      <c r="AO1586" s="263"/>
      <c r="AP1586" s="265"/>
      <c r="AQ1586" s="266"/>
      <c r="AR1586" s="267">
        <v>11479</v>
      </c>
      <c r="AS1586" s="263"/>
      <c r="AT1586" s="263"/>
      <c r="AU1586" s="263"/>
      <c r="AV1586" s="264"/>
      <c r="AW1586" s="263"/>
      <c r="AX1586" s="263"/>
      <c r="AY1586" s="263"/>
      <c r="AZ1586" s="263"/>
      <c r="BA1586" s="263"/>
      <c r="BB1586" s="263"/>
      <c r="BC1586" s="263"/>
      <c r="BD1586" s="264"/>
      <c r="BE1586" s="263"/>
      <c r="BF1586" s="263"/>
      <c r="BG1586" s="263"/>
      <c r="BH1586" s="263"/>
      <c r="BI1586" s="263"/>
      <c r="BJ1586" s="404">
        <f>altaz(J2000_Bas,$O1586,$M1586,DecLat,DecLong,2)</f>
        <v>96.998254455185204</v>
      </c>
      <c r="BK1586" s="378" t="s">
        <v>1602</v>
      </c>
      <c r="BL1586" s="379">
        <f>IF((2*G1586)/60&lt;0.2,0.2,(2*G1586)/60)</f>
        <v>0.2</v>
      </c>
      <c r="BM1586" s="380">
        <f>MOD((50000+AD1586-$B$3+(0/24)),1)</f>
        <v>0.33509558135119732</v>
      </c>
      <c r="BN1586" s="381" t="s">
        <v>6500</v>
      </c>
      <c r="BO1586" s="382">
        <v>1579</v>
      </c>
    </row>
    <row r="1587" spans="1:67" s="24" customFormat="1" ht="15" customHeight="1" x14ac:dyDescent="0.25">
      <c r="A1587" s="288" t="s">
        <v>1603</v>
      </c>
      <c r="B1587" s="241" t="str">
        <f>HYPERLINK(CONCATENATE($AT$3,BK1587,$AU$3),$AV$3)</f>
        <v>S</v>
      </c>
      <c r="C1587" s="242" t="str">
        <f>HYPERLINK(CONCATENATE($AT$4,BK1587,$AU$4,BL1587),$AV$4)</f>
        <v>A</v>
      </c>
      <c r="D1587" s="243" t="s">
        <v>5638</v>
      </c>
      <c r="E1587" s="244" t="s">
        <v>5182</v>
      </c>
      <c r="F1587" s="269" t="s">
        <v>3300</v>
      </c>
      <c r="G1587" s="273">
        <v>4.5</v>
      </c>
      <c r="H1587" s="283">
        <v>190</v>
      </c>
      <c r="I1587" s="246">
        <v>240</v>
      </c>
      <c r="J1587" s="246">
        <v>2</v>
      </c>
      <c r="K1587" s="247" t="s">
        <v>8046</v>
      </c>
      <c r="L1587" s="248">
        <v>30349</v>
      </c>
      <c r="M1587" s="249">
        <f>15*(LEFT(TEXT($L1587,"000000"),2)+(MID(TEXT($L1587,"000000"),3,2)/60)+(RIGHT(TEXT($L1587,"000000"),2)/3600))</f>
        <v>45.954166666666666</v>
      </c>
      <c r="N1587" s="250">
        <v>-10614</v>
      </c>
      <c r="O1587" s="251">
        <f>IF($N1587&gt;0,(LEFT(TEXT($N1587,"000000"),2)+(MID(TEXT($N1587,"000000"),3,2)/60)+(RIGHT(TEXT($N1587,"000000"),2)/3600)),-(MID(TEXT($N1587,"000000"),2,2)+(MID(TEXT($N1587,"000000"),4,2)/60)+(RIGHT(TEXT($N1587,"000000"),2)/3600)))</f>
        <v>-1.1038888888888889</v>
      </c>
      <c r="P1587" s="252" t="s">
        <v>75</v>
      </c>
      <c r="Q1587" s="253"/>
      <c r="R1587" s="277" t="s">
        <v>3293</v>
      </c>
      <c r="S1587" s="272" t="s">
        <v>3293</v>
      </c>
      <c r="T1587" s="273">
        <v>14.2</v>
      </c>
      <c r="U1587" s="289">
        <v>22.29</v>
      </c>
      <c r="V1587" s="280">
        <v>75</v>
      </c>
      <c r="W1587" s="244"/>
      <c r="X1587" s="244"/>
      <c r="Y1587" s="362"/>
      <c r="Z1587" s="257">
        <f>altaz(J2000_Bas,$O1587,$M1587,DecLat,DecLong,1)</f>
        <v>-25.963506089615965</v>
      </c>
      <c r="AA1587" s="257">
        <f>altaz((J2000_Bas+(2*0.04167)),$O1587,$M1587,DecLat,DecLong,1)</f>
        <v>-0.45452885855051195</v>
      </c>
      <c r="AB1587" s="257">
        <f>altaz((J2000_Bas+(4*0.04167)),$O1587,$M1587,DecLat,DecLong,1)</f>
        <v>24.922798039657089</v>
      </c>
      <c r="AC1587" s="257">
        <f>altaz((J2000_Bas+(6*0.04167)),$O1587,$M1587,DecLat,DecLong,1)</f>
        <v>47.266459660553551</v>
      </c>
      <c r="AD1587" s="258">
        <f>1+ transit((J2000_Bas-1),$O1587,$M1587,DecLat,DecLong)/360 + (GMTOffset/24) + (IF(DST="Y", 1, 0)/24)</f>
        <v>1.1205504108276247</v>
      </c>
      <c r="AE1587" s="259">
        <f>DATE(2001,9,21)+(M1587/360)*365 - (360*((DecLong/360)- (GMTOffset/24) ))</f>
        <v>37206.592418981483</v>
      </c>
      <c r="AF1587" s="260">
        <f>IF(DecLat&gt;0,IF((90 - (DecLat-O1587))&gt;90, (90 - (O1587-DecLat)), (90 - (DecLat-O1587))),IF((90 + (DecLat-O1587))&gt;90, (90 + (O1587-DecLat)), (90 + (DecLat-O1587))))</f>
        <v>57.896111111111111</v>
      </c>
      <c r="AG1587" s="257">
        <f>angularseperation(MoonRA,MoonDec,$M1587,$O1587)</f>
        <v>143.98673893013671</v>
      </c>
      <c r="AH1587" s="261">
        <f ca="1">MIN(100,IF($O$5&gt;80,0+30*($AG1587/100),IF($O$5&gt;70,0+50*($AG1587/100),IF($O$5&gt;60,5+50*($AG1587/100),IF($O$5&gt;50,10+60*($AG1587/100),IF($O$5&gt;40,15+70*($AG1587/100),IF($O$5&gt;30,20+70*($AG1587/100),IF($O$5&gt;20,40+55*($AG1587/100),(80+(20-$O$5)+30*($AG1587/100))))))))))</f>
        <v>100</v>
      </c>
      <c r="AI1587" s="262">
        <v>1194</v>
      </c>
      <c r="AJ1587" s="263"/>
      <c r="AK1587" s="263"/>
      <c r="AL1587" s="263"/>
      <c r="AM1587" s="264"/>
      <c r="AN1587" s="263"/>
      <c r="AO1587" s="263"/>
      <c r="AP1587" s="265"/>
      <c r="AQ1587" s="265">
        <v>2514</v>
      </c>
      <c r="AR1587" s="285">
        <v>11537</v>
      </c>
      <c r="AS1587" s="263"/>
      <c r="AT1587" s="263"/>
      <c r="AU1587" s="263"/>
      <c r="AV1587" s="264"/>
      <c r="AW1587" s="263"/>
      <c r="AX1587" s="263"/>
      <c r="AY1587" s="263"/>
      <c r="AZ1587" s="263"/>
      <c r="BA1587" s="263"/>
      <c r="BB1587" s="263"/>
      <c r="BC1587" s="263"/>
      <c r="BD1587" s="264"/>
      <c r="BE1587" s="263"/>
      <c r="BF1587" s="263"/>
      <c r="BG1587" s="263"/>
      <c r="BH1587" s="263"/>
      <c r="BI1587" s="263"/>
      <c r="BJ1587" s="404">
        <f>altaz(J2000_Bas,$O1587,$M1587,DecLat,DecLong,2)</f>
        <v>74.47926301871756</v>
      </c>
      <c r="BK1587" s="378" t="s">
        <v>1603</v>
      </c>
      <c r="BL1587" s="379">
        <f>IF((2*G1587)/60&lt;0.2,0.2,(2*G1587)/60)</f>
        <v>0.2</v>
      </c>
      <c r="BM1587" s="380">
        <f>MOD((50000+AD1587-$B$3+(0/24)),1)</f>
        <v>0.33591734053334221</v>
      </c>
      <c r="BN1587" s="381"/>
      <c r="BO1587" s="382">
        <v>1580</v>
      </c>
    </row>
    <row r="1588" spans="1:67" s="24" customFormat="1" ht="15" customHeight="1" x14ac:dyDescent="0.25">
      <c r="A1588" s="287" t="s">
        <v>1604</v>
      </c>
      <c r="B1588" s="241" t="str">
        <f>HYPERLINK(CONCATENATE($AT$3,BK1588,$AU$3),$AV$3)</f>
        <v>S</v>
      </c>
      <c r="C1588" s="242" t="str">
        <f>HYPERLINK(CONCATENATE($AT$4,BK1588,$AU$4,BL1588),$AV$4)</f>
        <v>A</v>
      </c>
      <c r="D1588" s="243" t="s">
        <v>5638</v>
      </c>
      <c r="E1588" s="244" t="s">
        <v>5182</v>
      </c>
      <c r="F1588" s="269" t="s">
        <v>3300</v>
      </c>
      <c r="G1588" s="273">
        <v>3.8</v>
      </c>
      <c r="H1588" s="283">
        <v>165</v>
      </c>
      <c r="I1588" s="246">
        <v>185</v>
      </c>
      <c r="J1588" s="246">
        <v>2</v>
      </c>
      <c r="K1588" s="247" t="s">
        <v>6663</v>
      </c>
      <c r="L1588" s="248">
        <v>30355</v>
      </c>
      <c r="M1588" s="249">
        <f>15*(LEFT(TEXT($L1588,"000000"),2)+(MID(TEXT($L1588,"000000"),3,2)/60)+(RIGHT(TEXT($L1588,"000000"),2)/3600))</f>
        <v>45.979166666666664</v>
      </c>
      <c r="N1588" s="250">
        <v>-115931</v>
      </c>
      <c r="O1588" s="251">
        <f>IF($N1588&gt;0,(LEFT(TEXT($N1588,"000000"),2)+(MID(TEXT($N1588,"000000"),3,2)/60)+(RIGHT(TEXT($N1588,"000000"),2)/3600)),-(MID(TEXT($N1588,"000000"),2,2)+(MID(TEXT($N1588,"000000"),4,2)/60)+(RIGHT(TEXT($N1588,"000000"),2)/3600)))</f>
        <v>-11.991944444444444</v>
      </c>
      <c r="P1588" s="252" t="s">
        <v>257</v>
      </c>
      <c r="Q1588" s="253"/>
      <c r="R1588" s="277" t="s">
        <v>3293</v>
      </c>
      <c r="S1588" s="272" t="s">
        <v>3293</v>
      </c>
      <c r="T1588" s="273">
        <v>12</v>
      </c>
      <c r="U1588" s="289">
        <v>22.79</v>
      </c>
      <c r="V1588" s="280">
        <v>20</v>
      </c>
      <c r="W1588" s="244"/>
      <c r="X1588" s="244"/>
      <c r="Y1588" s="362"/>
      <c r="Z1588" s="257">
        <f>altaz(J2000_Bas,$O1588,$M1588,DecLat,DecLong,1)</f>
        <v>-31.731871490316248</v>
      </c>
      <c r="AA1588" s="257">
        <f>altaz((J2000_Bas+(2*0.04167)),$O1588,$M1588,DecLat,DecLong,1)</f>
        <v>-6.052003725221228</v>
      </c>
      <c r="AB1588" s="257">
        <f>altaz((J2000_Bas+(4*0.04167)),$O1588,$M1588,DecLat,DecLong,1)</f>
        <v>18.34009884417986</v>
      </c>
      <c r="AC1588" s="257">
        <f>altaz((J2000_Bas+(6*0.04167)),$O1588,$M1588,DecLat,DecLong,1)</f>
        <v>38.399142452512088</v>
      </c>
      <c r="AD1588" s="258">
        <f>1+ transit((J2000_Bas-1),$O1588,$M1588,DecLat,DecLong)/360 + (GMTOffset/24) + (IF(DST="Y", 1, 0)/24)</f>
        <v>1.1206198552651248</v>
      </c>
      <c r="AE1588" s="259">
        <f>DATE(2001,9,21)+(M1588/360)*365 - (360*((DecLong/360)- (GMTOffset/24) ))</f>
        <v>37206.617766203701</v>
      </c>
      <c r="AF1588" s="260">
        <f>IF(DecLat&gt;0,IF((90 - (DecLat-O1588))&gt;90, (90 - (O1588-DecLat)), (90 - (DecLat-O1588))),IF((90 + (DecLat-O1588))&gt;90, (90 + (O1588-DecLat)), (90 + (DecLat-O1588))))</f>
        <v>47.008055555555558</v>
      </c>
      <c r="AG1588" s="257">
        <f>angularseperation(MoonRA,MoonDec,$M1588,$O1588)</f>
        <v>134.87060922456757</v>
      </c>
      <c r="AH1588" s="261">
        <f ca="1">MIN(100,IF($O$5&gt;80,0+30*($AG1588/100),IF($O$5&gt;70,0+50*($AG1588/100),IF($O$5&gt;60,5+50*($AG1588/100),IF($O$5&gt;50,10+60*($AG1588/100),IF($O$5&gt;40,15+70*($AG1588/100),IF($O$5&gt;30,20+70*($AG1588/100),IF($O$5&gt;20,40+55*($AG1588/100),(80+(20-$O$5)+30*($AG1588/100))))))))))</f>
        <v>100</v>
      </c>
      <c r="AI1588" s="262">
        <v>1200</v>
      </c>
      <c r="AJ1588" s="263"/>
      <c r="AK1588" s="263"/>
      <c r="AL1588" s="263"/>
      <c r="AM1588" s="264"/>
      <c r="AN1588" s="263"/>
      <c r="AO1588" s="263"/>
      <c r="AP1588" s="265"/>
      <c r="AQ1588" s="265"/>
      <c r="AR1588" s="285">
        <v>11545</v>
      </c>
      <c r="AS1588" s="263"/>
      <c r="AT1588" s="263"/>
      <c r="AU1588" s="263"/>
      <c r="AV1588" s="264"/>
      <c r="AW1588" s="263"/>
      <c r="AX1588" s="263"/>
      <c r="AY1588" s="263"/>
      <c r="AZ1588" s="263"/>
      <c r="BA1588" s="263"/>
      <c r="BB1588" s="263"/>
      <c r="BC1588" s="263"/>
      <c r="BD1588" s="264"/>
      <c r="BE1588" s="263"/>
      <c r="BF1588" s="263"/>
      <c r="BG1588" s="263"/>
      <c r="BH1588" s="263"/>
      <c r="BI1588" s="263"/>
      <c r="BJ1588" s="404">
        <f>altaz(J2000_Bas,$O1588,$M1588,DecLat,DecLong,2)</f>
        <v>85.034102935237044</v>
      </c>
      <c r="BK1588" s="378" t="s">
        <v>1604</v>
      </c>
      <c r="BL1588" s="379">
        <f>IF((2*G1588)/60&lt;0.2,0.2,(2*G1588)/60)</f>
        <v>0.2</v>
      </c>
      <c r="BM1588" s="380">
        <f>MOD((50000+AD1588-$B$3+(0/24)),1)</f>
        <v>0.33598678497219225</v>
      </c>
      <c r="BN1588" s="381"/>
      <c r="BO1588" s="382">
        <v>1581</v>
      </c>
    </row>
    <row r="1589" spans="1:67" s="24" customFormat="1" ht="15" customHeight="1" x14ac:dyDescent="0.25">
      <c r="A1589" s="287" t="s">
        <v>3038</v>
      </c>
      <c r="B1589" s="241" t="str">
        <f>HYPERLINK(CONCATENATE($AT$3,BK1589,$AU$3),$AV$3)</f>
        <v>S</v>
      </c>
      <c r="C1589" s="242" t="str">
        <f>HYPERLINK(CONCATENATE($AT$4,BK1589,$AU$4,BL1589),$AV$4)</f>
        <v>A</v>
      </c>
      <c r="D1589" s="243" t="s">
        <v>5638</v>
      </c>
      <c r="E1589" s="244" t="s">
        <v>5182</v>
      </c>
      <c r="F1589" s="269" t="s">
        <v>3300</v>
      </c>
      <c r="G1589" s="273">
        <v>4</v>
      </c>
      <c r="H1589" s="283">
        <v>55</v>
      </c>
      <c r="I1589" s="246">
        <v>65</v>
      </c>
      <c r="J1589" s="246">
        <v>2</v>
      </c>
      <c r="K1589" s="247" t="s">
        <v>6664</v>
      </c>
      <c r="L1589" s="248">
        <v>30400</v>
      </c>
      <c r="M1589" s="249">
        <f>15*(LEFT(TEXT($L1589,"000000"),2)+(MID(TEXT($L1589,"000000"),3,2)/60)+(RIGHT(TEXT($L1589,"000000"),2)/3600))</f>
        <v>46</v>
      </c>
      <c r="N1589" s="250">
        <v>-260400</v>
      </c>
      <c r="O1589" s="251">
        <f>IF($N1589&gt;0,(LEFT(TEXT($N1589,"000000"),2)+(MID(TEXT($N1589,"000000"),3,2)/60)+(RIGHT(TEXT($N1589,"000000"),2)/3600)),-(MID(TEXT($N1589,"000000"),2,2)+(MID(TEXT($N1589,"000000"),4,2)/60)+(RIGHT(TEXT($N1589,"000000"),2)/3600)))</f>
        <v>-26.066666666666666</v>
      </c>
      <c r="P1589" s="252" t="s">
        <v>257</v>
      </c>
      <c r="Q1589" s="253"/>
      <c r="R1589" s="277" t="s">
        <v>3293</v>
      </c>
      <c r="S1589" s="272" t="s">
        <v>3293</v>
      </c>
      <c r="T1589" s="273">
        <v>10.7</v>
      </c>
      <c r="U1589" s="289">
        <v>21.69</v>
      </c>
      <c r="V1589" s="280">
        <v>60</v>
      </c>
      <c r="W1589" s="244"/>
      <c r="X1589" s="244"/>
      <c r="Y1589" s="362"/>
      <c r="Z1589" s="257">
        <f>altaz(J2000_Bas,$O1589,$M1589,DecLat,DecLong,1)</f>
        <v>-37.681772303349256</v>
      </c>
      <c r="AA1589" s="257">
        <f>altaz((J2000_Bas+(2*0.04167)),$O1589,$M1589,DecLat,DecLong,1)</f>
        <v>-13.011395599384704</v>
      </c>
      <c r="AB1589" s="257">
        <f>altaz((J2000_Bas+(4*0.04167)),$O1589,$M1589,DecLat,DecLong,1)</f>
        <v>9.2457867417962927</v>
      </c>
      <c r="AC1589" s="257">
        <f>altaz((J2000_Bas+(6*0.04167)),$O1589,$M1589,DecLat,DecLong,1)</f>
        <v>26.245637276502688</v>
      </c>
      <c r="AD1589" s="258">
        <f>1+ transit((J2000_Bas-1),$O1589,$M1589,DecLat,DecLong)/360 + (GMTOffset/24) + (IF(DST="Y", 1, 0)/24)</f>
        <v>1.120677725629708</v>
      </c>
      <c r="AE1589" s="259">
        <f>DATE(2001,9,21)+(M1589/360)*365 - (360*((DecLong/360)- (GMTOffset/24) ))</f>
        <v>37206.638888888891</v>
      </c>
      <c r="AF1589" s="260">
        <f>IF(DecLat&gt;0,IF((90 - (DecLat-O1589))&gt;90, (90 - (O1589-DecLat)), (90 - (DecLat-O1589))),IF((90 + (DecLat-O1589))&gt;90, (90 + (O1589-DecLat)), (90 + (DecLat-O1589))))</f>
        <v>32.933333333333337</v>
      </c>
      <c r="AG1589" s="257">
        <f>angularseperation(MoonRA,MoonDec,$M1589,$O1589)</f>
        <v>122.33083504384702</v>
      </c>
      <c r="AH1589" s="261">
        <f ca="1">MIN(100,IF($O$5&gt;80,0+30*($AG1589/100),IF($O$5&gt;70,0+50*($AG1589/100),IF($O$5&gt;60,5+50*($AG1589/100),IF($O$5&gt;50,10+60*($AG1589/100),IF($O$5&gt;40,15+70*($AG1589/100),IF($O$5&gt;30,20+70*($AG1589/100),IF($O$5&gt;20,40+55*($AG1589/100),(80+(20-$O$5)+30*($AG1589/100))))))))))</f>
        <v>100</v>
      </c>
      <c r="AI1589" s="262">
        <v>1201</v>
      </c>
      <c r="AJ1589" s="263"/>
      <c r="AK1589" s="263"/>
      <c r="AL1589" s="263"/>
      <c r="AM1589" s="264"/>
      <c r="AN1589" s="263"/>
      <c r="AO1589" s="263"/>
      <c r="AP1589" s="265"/>
      <c r="AQ1589" s="265"/>
      <c r="AR1589" s="285">
        <v>11559</v>
      </c>
      <c r="AS1589" s="263"/>
      <c r="AT1589" s="263"/>
      <c r="AU1589" s="263"/>
      <c r="AV1589" s="264"/>
      <c r="AW1589" s="263"/>
      <c r="AX1589" s="263"/>
      <c r="AY1589" s="263"/>
      <c r="AZ1589" s="263"/>
      <c r="BA1589" s="263"/>
      <c r="BB1589" s="263"/>
      <c r="BC1589" s="263"/>
      <c r="BD1589" s="264"/>
      <c r="BE1589" s="263"/>
      <c r="BF1589" s="263"/>
      <c r="BG1589" s="263"/>
      <c r="BH1589" s="263"/>
      <c r="BI1589" s="263"/>
      <c r="BJ1589" s="404">
        <f>altaz(J2000_Bas,$O1589,$M1589,DecLat,DecLong,2)</f>
        <v>100.58265243719914</v>
      </c>
      <c r="BK1589" s="378" t="s">
        <v>3038</v>
      </c>
      <c r="BL1589" s="379">
        <f>IF((2*G1589)/60&lt;0.2,0.2,(2*G1589)/60)</f>
        <v>0.2</v>
      </c>
      <c r="BM1589" s="380">
        <f>MOD((50000+AD1589-$B$3+(0/24)),1)</f>
        <v>0.33604465533426264</v>
      </c>
      <c r="BN1589" s="381"/>
      <c r="BO1589" s="382">
        <v>1582</v>
      </c>
    </row>
    <row r="1590" spans="1:67" s="24" customFormat="1" ht="15" customHeight="1" x14ac:dyDescent="0.25">
      <c r="A1590" s="288" t="s">
        <v>1605</v>
      </c>
      <c r="B1590" s="241" t="str">
        <f>HYPERLINK(CONCATENATE($AT$3,BK1590,$AU$3),$AV$3)</f>
        <v>S</v>
      </c>
      <c r="C1590" s="242" t="str">
        <f>HYPERLINK(CONCATENATE($AT$4,BK1590,$AU$4,BL1590),$AV$4)</f>
        <v>A</v>
      </c>
      <c r="D1590" s="243" t="s">
        <v>5638</v>
      </c>
      <c r="E1590" s="244" t="s">
        <v>5192</v>
      </c>
      <c r="F1590" s="269" t="s">
        <v>8704</v>
      </c>
      <c r="G1590" s="273">
        <v>1.5</v>
      </c>
      <c r="H1590" s="283">
        <v>210</v>
      </c>
      <c r="I1590" s="246">
        <v>90</v>
      </c>
      <c r="J1590" s="246">
        <v>2</v>
      </c>
      <c r="K1590" s="247" t="s">
        <v>8705</v>
      </c>
      <c r="L1590" s="248">
        <v>30815</v>
      </c>
      <c r="M1590" s="249">
        <f>15*(LEFT(TEXT($L1590,"000000"),2)+(MID(TEXT($L1590,"000000"),3,2)/60)+(RIGHT(TEXT($L1590,"000000"),2)/3600))</f>
        <v>47.0625</v>
      </c>
      <c r="N1590" s="250">
        <v>382256</v>
      </c>
      <c r="O1590" s="251">
        <f>IF($N1590&gt;0,(LEFT(TEXT($N1590,"000000"),2)+(MID(TEXT($N1590,"000000"),3,2)/60)+(RIGHT(TEXT($N1590,"000000"),2)/3600)),-(MID(TEXT($N1590,"000000"),2,2)+(MID(TEXT($N1590,"000000"),4,2)/60)+(RIGHT(TEXT($N1590,"000000"),2)/3600)))</f>
        <v>38.382222222222225</v>
      </c>
      <c r="P1590" s="252" t="s">
        <v>43</v>
      </c>
      <c r="Q1590" s="253"/>
      <c r="R1590" s="247" t="s">
        <v>3293</v>
      </c>
      <c r="S1590" s="272" t="s">
        <v>3293</v>
      </c>
      <c r="T1590" s="273">
        <v>12.7</v>
      </c>
      <c r="U1590" s="289">
        <v>22.89</v>
      </c>
      <c r="V1590" s="280">
        <v>50</v>
      </c>
      <c r="W1590" s="244"/>
      <c r="X1590" s="244"/>
      <c r="Y1590" s="362"/>
      <c r="Z1590" s="257">
        <f>altaz(J2000_Bas,$O1590,$M1590,DecLat,DecLong,1)</f>
        <v>-1.5401447306220681</v>
      </c>
      <c r="AA1590" s="257">
        <f>altaz((J2000_Bas+(2*0.04167)),$O1590,$M1590,DecLat,DecLong,1)</f>
        <v>17.959950319991041</v>
      </c>
      <c r="AB1590" s="257">
        <f>altaz((J2000_Bas+(4*0.04167)),$O1590,$M1590,DecLat,DecLong,1)</f>
        <v>40.290487956772729</v>
      </c>
      <c r="AC1590" s="257">
        <f>altaz((J2000_Bas+(6*0.04167)),$O1590,$M1590,DecLat,DecLong,1)</f>
        <v>63.754270749304226</v>
      </c>
      <c r="AD1590" s="258">
        <f>1+ transit((J2000_Bas-1),$O1590,$M1590,DecLat,DecLong)/360 + (GMTOffset/24) + (IF(DST="Y", 1, 0)/24)</f>
        <v>1.123629114223458</v>
      </c>
      <c r="AE1590" s="259">
        <f>DATE(2001,9,21)+(M1590/360)*365 - (360*((DecLong/360)- (GMTOffset/24) ))</f>
        <v>37207.716145833336</v>
      </c>
      <c r="AF1590" s="260">
        <f>IF(DecLat&gt;0,IF((90 - (DecLat-O1590))&gt;90, (90 - (O1590-DecLat)), (90 - (DecLat-O1590))),IF((90 + (DecLat-O1590))&gt;90, (90 + (O1590-DecLat)), (90 + (DecLat-O1590))))</f>
        <v>82.617777777777775</v>
      </c>
      <c r="AG1590" s="257">
        <f>angularseperation(MoonRA,MoonDec,$M1590,$O1590)</f>
        <v>158.27621926961186</v>
      </c>
      <c r="AH1590" s="261">
        <f ca="1">MIN(100,IF($O$5&gt;80,0+30*($AG1590/100),IF($O$5&gt;70,0+50*($AG1590/100),IF($O$5&gt;60,5+50*($AG1590/100),IF($O$5&gt;50,10+60*($AG1590/100),IF($O$5&gt;40,15+70*($AG1590/100),IF($O$5&gt;30,20+70*($AG1590/100),IF($O$5&gt;20,40+55*($AG1590/100),(80+(20-$O$5)+30*($AG1590/100))))))))))</f>
        <v>100</v>
      </c>
      <c r="AI1590" s="262">
        <v>1207</v>
      </c>
      <c r="AJ1590" s="262"/>
      <c r="AK1590" s="262"/>
      <c r="AL1590" s="263"/>
      <c r="AM1590" s="264"/>
      <c r="AN1590" s="263"/>
      <c r="AO1590" s="263"/>
      <c r="AP1590" s="265"/>
      <c r="AQ1590" s="266">
        <v>2548</v>
      </c>
      <c r="AR1590" s="267">
        <v>11737</v>
      </c>
      <c r="AS1590" s="263"/>
      <c r="AT1590" s="263"/>
      <c r="AU1590" s="263"/>
      <c r="AV1590" s="264"/>
      <c r="AW1590" s="263"/>
      <c r="AX1590" s="263"/>
      <c r="AY1590" s="263"/>
      <c r="AZ1590" s="263"/>
      <c r="BA1590" s="263"/>
      <c r="BB1590" s="263"/>
      <c r="BC1590" s="263"/>
      <c r="BD1590" s="264"/>
      <c r="BE1590" s="263"/>
      <c r="BF1590" s="263"/>
      <c r="BG1590" s="263"/>
      <c r="BH1590" s="263"/>
      <c r="BI1590" s="263"/>
      <c r="BJ1590" s="404">
        <f>altaz(J2000_Bas,$O1590,$M1590,DecLat,DecLong,2)</f>
        <v>42.201655290709077</v>
      </c>
      <c r="BK1590" s="378" t="s">
        <v>1605</v>
      </c>
      <c r="BL1590" s="379">
        <f>IF((2*G1590)/60&lt;0.2,0.2,(2*G1590)/60)</f>
        <v>0.2</v>
      </c>
      <c r="BM1590" s="380">
        <f>MOD((50000+AD1590-$B$3+(0/24)),1)</f>
        <v>0.33899604393081972</v>
      </c>
      <c r="BN1590" s="381"/>
      <c r="BO1590" s="382">
        <v>1583</v>
      </c>
    </row>
    <row r="1591" spans="1:67" s="24" customFormat="1" ht="15" customHeight="1" x14ac:dyDescent="0.25">
      <c r="A1591" s="288" t="s">
        <v>3134</v>
      </c>
      <c r="B1591" s="241" t="str">
        <f>HYPERLINK(CONCATENATE($AT$3,BK1591,$AU$3),$AV$3)</f>
        <v>S</v>
      </c>
      <c r="C1591" s="242" t="str">
        <f>HYPERLINK(CONCATENATE($AT$4,BK1591,$AU$4,BL1591),$AV$4)</f>
        <v>A</v>
      </c>
      <c r="D1591" s="243" t="s">
        <v>5638</v>
      </c>
      <c r="E1591" s="244" t="s">
        <v>5182</v>
      </c>
      <c r="F1591" s="269" t="s">
        <v>9115</v>
      </c>
      <c r="G1591" s="273">
        <v>1.7</v>
      </c>
      <c r="H1591" s="283">
        <v>180</v>
      </c>
      <c r="I1591" s="246">
        <v>90</v>
      </c>
      <c r="J1591" s="246">
        <v>1</v>
      </c>
      <c r="K1591" s="247" t="s">
        <v>8435</v>
      </c>
      <c r="L1591" s="248">
        <v>30645</v>
      </c>
      <c r="M1591" s="249">
        <f>15*(LEFT(TEXT($L1591,"000000"),2)+(MID(TEXT($L1591,"000000"),3,2)/60)+(RIGHT(TEXT($L1591,"000000"),2)/3600))</f>
        <v>46.687500000000007</v>
      </c>
      <c r="N1591" s="250">
        <v>-254259</v>
      </c>
      <c r="O1591" s="251">
        <f>IF($N1591&gt;0,(LEFT(TEXT($N1591,"000000"),2)+(MID(TEXT($N1591,"000000"),3,2)/60)+(RIGHT(TEXT($N1591,"000000"),2)/3600)),-(MID(TEXT($N1591,"000000"),2,2)+(MID(TEXT($N1591,"000000"),4,2)/60)+(RIGHT(TEXT($N1591,"000000"),2)/3600)))</f>
        <v>-25.71638888888889</v>
      </c>
      <c r="P1591" s="252" t="s">
        <v>215</v>
      </c>
      <c r="Q1591" s="253"/>
      <c r="R1591" s="277" t="s">
        <v>3293</v>
      </c>
      <c r="S1591" s="272" t="s">
        <v>3293</v>
      </c>
      <c r="T1591" s="273">
        <v>12.7</v>
      </c>
      <c r="U1591" s="289">
        <v>22.79</v>
      </c>
      <c r="V1591" s="280">
        <v>30</v>
      </c>
      <c r="W1591" s="244"/>
      <c r="X1591" s="244"/>
      <c r="Y1591" s="362"/>
      <c r="Z1591" s="257">
        <f>altaz(J2000_Bas,$O1591,$M1591,DecLat,DecLong,1)</f>
        <v>-38.139919320096631</v>
      </c>
      <c r="AA1591" s="257">
        <f>altaz((J2000_Bas+(2*0.04167)),$O1591,$M1591,DecLat,DecLong,1)</f>
        <v>-13.389824174390588</v>
      </c>
      <c r="AB1591" s="257">
        <f>altaz((J2000_Bas+(4*0.04167)),$O1591,$M1591,DecLat,DecLong,1)</f>
        <v>9.0104026963484571</v>
      </c>
      <c r="AC1591" s="257">
        <f>altaz((J2000_Bas+(6*0.04167)),$O1591,$M1591,DecLat,DecLong,1)</f>
        <v>26.256748517089719</v>
      </c>
      <c r="AD1591" s="258">
        <f>1+ transit((J2000_Bas-1),$O1591,$M1591,DecLat,DecLong)/360 + (GMTOffset/24) + (IF(DST="Y", 1, 0)/24)</f>
        <v>1.1225874476609581</v>
      </c>
      <c r="AE1591" s="259">
        <f>DATE(2001,9,21)+(M1591/360)*365 - (360*((DecLong/360)- (GMTOffset/24) ))</f>
        <v>37207.3359375</v>
      </c>
      <c r="AF1591" s="260">
        <f>IF(DecLat&gt;0,IF((90 - (DecLat-O1591))&gt;90, (90 - (O1591-DecLat)), (90 - (DecLat-O1591))),IF((90 + (DecLat-O1591))&gt;90, (90 + (O1591-DecLat)), (90 + (DecLat-O1591))))</f>
        <v>33.283611111111114</v>
      </c>
      <c r="AG1591" s="257">
        <f>angularseperation(MoonRA,MoonDec,$M1591,$O1591)</f>
        <v>122.90448955377208</v>
      </c>
      <c r="AH1591" s="261">
        <f ca="1">MIN(100,IF($O$5&gt;80,0+30*($AG1591/100),IF($O$5&gt;70,0+50*($AG1591/100),IF($O$5&gt;60,5+50*($AG1591/100),IF($O$5&gt;50,10+60*($AG1591/100),IF($O$5&gt;40,15+70*($AG1591/100),IF($O$5&gt;30,20+70*($AG1591/100),IF($O$5&gt;20,40+55*($AG1591/100),(80+(20-$O$5)+30*($AG1591/100))))))))))</f>
        <v>100</v>
      </c>
      <c r="AI1591" s="263">
        <v>1210</v>
      </c>
      <c r="AJ1591" s="263"/>
      <c r="AK1591" s="263"/>
      <c r="AL1591" s="263"/>
      <c r="AM1591" s="264"/>
      <c r="AN1591" s="263"/>
      <c r="AO1591" s="263"/>
      <c r="AP1591" s="265"/>
      <c r="AQ1591" s="265"/>
      <c r="AR1591" s="285">
        <v>11666</v>
      </c>
      <c r="AS1591" s="263"/>
      <c r="AT1591" s="263"/>
      <c r="AU1591" s="263"/>
      <c r="AV1591" s="264"/>
      <c r="AW1591" s="263"/>
      <c r="AX1591" s="263"/>
      <c r="AY1591" s="263"/>
      <c r="AZ1591" s="263"/>
      <c r="BA1591" s="263"/>
      <c r="BB1591" s="263"/>
      <c r="BC1591" s="263"/>
      <c r="BD1591" s="264"/>
      <c r="BE1591" s="263"/>
      <c r="BF1591" s="263"/>
      <c r="BG1591" s="263"/>
      <c r="BH1591" s="263"/>
      <c r="BI1591" s="263"/>
      <c r="BJ1591" s="404">
        <f>altaz(J2000_Bas,$O1591,$M1591,DecLat,DecLong,2)</f>
        <v>99.893851378550551</v>
      </c>
      <c r="BK1591" s="378" t="s">
        <v>3134</v>
      </c>
      <c r="BL1591" s="379">
        <f>IF((2*G1591)/60&lt;0.2,0.2,(2*G1591)/60)</f>
        <v>0.2</v>
      </c>
      <c r="BM1591" s="380">
        <f>MOD((50000+AD1591-$B$3+(0/24)),1)</f>
        <v>0.33795437736262102</v>
      </c>
      <c r="BN1591" s="381"/>
      <c r="BO1591" s="382">
        <v>1584</v>
      </c>
    </row>
    <row r="1592" spans="1:67" s="24" customFormat="1" ht="15" customHeight="1" x14ac:dyDescent="0.25">
      <c r="A1592" s="288" t="s">
        <v>1606</v>
      </c>
      <c r="B1592" s="241" t="str">
        <f>HYPERLINK(CONCATENATE($AT$3,BK1592,$AU$3),$AV$3)</f>
        <v>S</v>
      </c>
      <c r="C1592" s="242" t="str">
        <f>HYPERLINK(CONCATENATE($AT$4,BK1592,$AU$4,BL1592),$AV$4)</f>
        <v>A</v>
      </c>
      <c r="D1592" s="243" t="s">
        <v>5638</v>
      </c>
      <c r="E1592" s="244" t="s">
        <v>5182</v>
      </c>
      <c r="F1592" s="269" t="s">
        <v>8933</v>
      </c>
      <c r="G1592" s="273">
        <v>3</v>
      </c>
      <c r="H1592" s="283">
        <v>95</v>
      </c>
      <c r="I1592" s="246">
        <v>80</v>
      </c>
      <c r="J1592" s="246">
        <v>1</v>
      </c>
      <c r="K1592" s="247" t="s">
        <v>6668</v>
      </c>
      <c r="L1592" s="248">
        <v>30652</v>
      </c>
      <c r="M1592" s="249">
        <f>15*(LEFT(TEXT($L1592,"000000"),2)+(MID(TEXT($L1592,"000000"),3,2)/60)+(RIGHT(TEXT($L1592,"000000"),2)/3600))</f>
        <v>46.716666666666669</v>
      </c>
      <c r="N1592" s="250">
        <v>-4742</v>
      </c>
      <c r="O1592" s="251">
        <f>IF($N1592&gt;0,(LEFT(TEXT($N1592,"000000"),2)+(MID(TEXT($N1592,"000000"),3,2)/60)+(RIGHT(TEXT($N1592,"000000"),2)/3600)),-(MID(TEXT($N1592,"000000"),2,2)+(MID(TEXT($N1592,"000000"),4,2)/60)+(RIGHT(TEXT($N1592,"000000"),2)/3600)))</f>
        <v>-0.79500000000000004</v>
      </c>
      <c r="P1592" s="252" t="s">
        <v>75</v>
      </c>
      <c r="Q1592" s="253"/>
      <c r="R1592" s="247" t="s">
        <v>3293</v>
      </c>
      <c r="S1592" s="272" t="s">
        <v>3293</v>
      </c>
      <c r="T1592" s="273">
        <v>12.3</v>
      </c>
      <c r="U1592" s="289">
        <v>22.59</v>
      </c>
      <c r="V1592" s="280">
        <v>15</v>
      </c>
      <c r="W1592" s="244"/>
      <c r="X1592" s="244"/>
      <c r="Y1592" s="362"/>
      <c r="Z1592" s="257">
        <f>altaz(J2000_Bas,$O1592,$M1592,DecLat,DecLong,1)</f>
        <v>-26.417277140422634</v>
      </c>
      <c r="AA1592" s="257">
        <f>altaz((J2000_Bas+(2*0.04167)),$O1592,$M1592,DecLat,DecLong,1)</f>
        <v>-0.94900598883214582</v>
      </c>
      <c r="AB1592" s="257">
        <f>altaz((J2000_Bas+(4*0.04167)),$O1592,$M1592,DecLat,DecLong,1)</f>
        <v>24.476327339732322</v>
      </c>
      <c r="AC1592" s="257">
        <f>altaz((J2000_Bas+(6*0.04167)),$O1592,$M1592,DecLat,DecLong,1)</f>
        <v>47.024356022622285</v>
      </c>
      <c r="AD1592" s="258">
        <f>1+ transit((J2000_Bas-1),$O1592,$M1592,DecLat,DecLong)/360 + (GMTOffset/24) + (IF(DST="Y", 1, 0)/24)</f>
        <v>1.1226684661713746</v>
      </c>
      <c r="AE1592" s="259">
        <f>DATE(2001,9,21)+(M1592/360)*365 - (360*((DecLong/360)- (GMTOffset/24) ))</f>
        <v>37207.36550925926</v>
      </c>
      <c r="AF1592" s="260">
        <f>IF(DecLat&gt;0,IF((90 - (DecLat-O1592))&gt;90, (90 - (O1592-DecLat)), (90 - (DecLat-O1592))),IF((90 + (DecLat-O1592))&gt;90, (90 + (O1592-DecLat)), (90 + (DecLat-O1592))))</f>
        <v>58.204999999999998</v>
      </c>
      <c r="AG1592" s="257">
        <f>angularseperation(MoonRA,MoonDec,$M1592,$O1592)</f>
        <v>144.68830356983077</v>
      </c>
      <c r="AH1592" s="261">
        <f ca="1">MIN(100,IF($O$5&gt;80,0+30*($AG1592/100),IF($O$5&gt;70,0+50*($AG1592/100),IF($O$5&gt;60,5+50*($AG1592/100),IF($O$5&gt;50,10+60*($AG1592/100),IF($O$5&gt;40,15+70*($AG1592/100),IF($O$5&gt;30,20+70*($AG1592/100),IF($O$5&gt;20,40+55*($AG1592/100),(80+(20-$O$5)+30*($AG1592/100))))))))))</f>
        <v>100</v>
      </c>
      <c r="AI1592" s="262">
        <v>1211</v>
      </c>
      <c r="AJ1592" s="262"/>
      <c r="AK1592" s="262"/>
      <c r="AL1592" s="263"/>
      <c r="AM1592" s="264"/>
      <c r="AN1592" s="263"/>
      <c r="AO1592" s="263"/>
      <c r="AP1592" s="265"/>
      <c r="AQ1592" s="266">
        <v>2545</v>
      </c>
      <c r="AR1592" s="267">
        <v>11670</v>
      </c>
      <c r="AS1592" s="263"/>
      <c r="AT1592" s="263"/>
      <c r="AU1592" s="263"/>
      <c r="AV1592" s="264"/>
      <c r="AW1592" s="263"/>
      <c r="AX1592" s="263"/>
      <c r="AY1592" s="263"/>
      <c r="AZ1592" s="263"/>
      <c r="BA1592" s="263"/>
      <c r="BB1592" s="263"/>
      <c r="BC1592" s="263"/>
      <c r="BD1592" s="264"/>
      <c r="BE1592" s="263"/>
      <c r="BF1592" s="263"/>
      <c r="BG1592" s="263"/>
      <c r="BH1592" s="263"/>
      <c r="BI1592" s="263"/>
      <c r="BJ1592" s="404">
        <f>altaz(J2000_Bas,$O1592,$M1592,DecLat,DecLong,2)</f>
        <v>73.714645722728093</v>
      </c>
      <c r="BK1592" s="378" t="s">
        <v>1606</v>
      </c>
      <c r="BL1592" s="379">
        <f>IF((2*G1592)/60&lt;0.2,0.2,(2*G1592)/60)</f>
        <v>0.2</v>
      </c>
      <c r="BM1592" s="380">
        <f>MOD((50000+AD1592-$B$3+(0/24)),1)</f>
        <v>0.33803539587825071</v>
      </c>
      <c r="BN1592" s="381"/>
      <c r="BO1592" s="382">
        <v>1585</v>
      </c>
    </row>
    <row r="1593" spans="1:67" s="24" customFormat="1" ht="15" customHeight="1" x14ac:dyDescent="0.25">
      <c r="A1593" s="288" t="s">
        <v>3189</v>
      </c>
      <c r="B1593" s="241" t="str">
        <f>HYPERLINK(CONCATENATE($AT$3,BK1593,$AU$3),$AV$3)</f>
        <v>S</v>
      </c>
      <c r="C1593" s="242" t="str">
        <f>HYPERLINK(CONCATENATE($AT$4,BK1593,$AU$4,BL1593),$AV$4)</f>
        <v>A</v>
      </c>
      <c r="D1593" s="243" t="s">
        <v>5335</v>
      </c>
      <c r="E1593" s="244" t="s">
        <v>5185</v>
      </c>
      <c r="F1593" s="269" t="s">
        <v>6665</v>
      </c>
      <c r="G1593" s="273">
        <v>5</v>
      </c>
      <c r="H1593" s="283">
        <v>10000</v>
      </c>
      <c r="I1593" s="246">
        <v>15</v>
      </c>
      <c r="J1593" s="246">
        <v>2</v>
      </c>
      <c r="K1593" s="247" t="s">
        <v>6666</v>
      </c>
      <c r="L1593" s="248">
        <v>31136</v>
      </c>
      <c r="M1593" s="249">
        <f>15*(LEFT(TEXT($L1593,"000000"),2)+(MID(TEXT($L1593,"000000"),3,2)/60)+(RIGHT(TEXT($L1593,"000000"),2)/3600))</f>
        <v>47.899999999999991</v>
      </c>
      <c r="N1593" s="250">
        <v>532110</v>
      </c>
      <c r="O1593" s="251">
        <f>IF($N1593&gt;0,(LEFT(TEXT($N1593,"000000"),2)+(MID(TEXT($N1593,"000000"),3,2)/60)+(RIGHT(TEXT($N1593,"000000"),2)/3600)),-(MID(TEXT($N1593,"000000"),2,2)+(MID(TEXT($N1593,"000000"),4,2)/60)+(RIGHT(TEXT($N1593,"000000"),2)/3600)))</f>
        <v>53.352777777777781</v>
      </c>
      <c r="P1593" s="252" t="s">
        <v>43</v>
      </c>
      <c r="Q1593" s="253"/>
      <c r="R1593" s="277" t="s">
        <v>3293</v>
      </c>
      <c r="S1593" s="272" t="s">
        <v>3293</v>
      </c>
      <c r="T1593" s="273">
        <v>11.8</v>
      </c>
      <c r="U1593" s="274"/>
      <c r="V1593" s="280"/>
      <c r="W1593" s="244"/>
      <c r="X1593" s="244"/>
      <c r="Y1593" s="362"/>
      <c r="Z1593" s="257">
        <f>altaz(J2000_Bas,$O1593,$M1593,DecLat,DecLong,1)</f>
        <v>8.214683216137173</v>
      </c>
      <c r="AA1593" s="257">
        <f>altaz((J2000_Bas+(2*0.04167)),$O1593,$M1593,DecLat,DecLong,1)</f>
        <v>23.39345816372839</v>
      </c>
      <c r="AB1593" s="257">
        <f>altaz((J2000_Bas+(4*0.04167)),$O1593,$M1593,DecLat,DecLong,1)</f>
        <v>40.962456447305698</v>
      </c>
      <c r="AC1593" s="257">
        <f>altaz((J2000_Bas+(6*0.04167)),$O1593,$M1593,DecLat,DecLong,1)</f>
        <v>58.080721396003668</v>
      </c>
      <c r="AD1593" s="258">
        <f>1+ transit((J2000_Bas-1),$O1593,$M1593,DecLat,DecLong)/360 + (GMTOffset/24) + (IF(DST="Y", 1, 0)/24)</f>
        <v>1.1259555028797079</v>
      </c>
      <c r="AE1593" s="259">
        <f>DATE(2001,9,21)+(M1593/360)*365 - (360*((DecLong/360)- (GMTOffset/24) ))</f>
        <v>37208.56527777778</v>
      </c>
      <c r="AF1593" s="260">
        <f>IF(DecLat&gt;0,IF((90 - (DecLat-O1593))&gt;90, (90 - (O1593-DecLat)), (90 - (DecLat-O1593))),IF((90 + (DecLat-O1593))&gt;90, (90 + (O1593-DecLat)), (90 + (DecLat-O1593))))</f>
        <v>67.647222222222211</v>
      </c>
      <c r="AG1593" s="257">
        <f>angularseperation(MoonRA,MoonDec,$M1593,$O1593)</f>
        <v>149.34867560525257</v>
      </c>
      <c r="AH1593" s="261">
        <f ca="1">MIN(100,IF($O$5&gt;80,0+30*($AG1593/100),IF($O$5&gt;70,0+50*($AG1593/100),IF($O$5&gt;60,5+50*($AG1593/100),IF($O$5&gt;50,10+60*($AG1593/100),IF($O$5&gt;40,15+70*($AG1593/100),IF($O$5&gt;30,20+70*($AG1593/100),IF($O$5&gt;20,40+55*($AG1593/100),(80+(20-$O$5)+30*($AG1593/100))))))))))</f>
        <v>100</v>
      </c>
      <c r="AI1593" s="263">
        <v>1220</v>
      </c>
      <c r="AJ1593" s="263"/>
      <c r="AK1593" s="263"/>
      <c r="AL1593" s="263"/>
      <c r="AM1593" s="264"/>
      <c r="AN1593" s="263"/>
      <c r="AO1593" s="263"/>
      <c r="AP1593" s="265"/>
      <c r="AQ1593" s="265"/>
      <c r="AR1593" s="285"/>
      <c r="AS1593" s="263"/>
      <c r="AT1593" s="263"/>
      <c r="AU1593" s="263"/>
      <c r="AV1593" s="264"/>
      <c r="AW1593" s="263"/>
      <c r="AX1593" s="263"/>
      <c r="AY1593" s="263"/>
      <c r="AZ1593" s="263"/>
      <c r="BA1593" s="263"/>
      <c r="BB1593" s="263"/>
      <c r="BC1593" s="263"/>
      <c r="BD1593" s="264"/>
      <c r="BE1593" s="263"/>
      <c r="BF1593" s="263"/>
      <c r="BG1593" s="263"/>
      <c r="BH1593" s="263"/>
      <c r="BI1593" s="263"/>
      <c r="BJ1593" s="404">
        <f>altaz(J2000_Bas,$O1593,$M1593,DecLat,DecLong,2)</f>
        <v>30.797637234666301</v>
      </c>
      <c r="BK1593" s="378" t="s">
        <v>3189</v>
      </c>
      <c r="BL1593" s="379">
        <f>IF((2*G1593)/60&lt;0.2,0.2,(2*G1593)/60)</f>
        <v>0.2</v>
      </c>
      <c r="BM1593" s="380">
        <f>MOD((50000+AD1593-$B$3+(0/24)),1)</f>
        <v>0.34132243258500239</v>
      </c>
      <c r="BN1593" s="381"/>
      <c r="BO1593" s="382">
        <v>1586</v>
      </c>
    </row>
    <row r="1594" spans="1:67" s="24" customFormat="1" ht="15" customHeight="1" x14ac:dyDescent="0.25">
      <c r="A1594" s="288" t="s">
        <v>1607</v>
      </c>
      <c r="B1594" s="241" t="str">
        <f>HYPERLINK(CONCATENATE($AT$3,BK1594,$AU$3),$AV$3)</f>
        <v>S</v>
      </c>
      <c r="C1594" s="242" t="str">
        <f>HYPERLINK(CONCATENATE($AT$4,BK1594,$AU$4,BL1594),$AV$4)</f>
        <v>A</v>
      </c>
      <c r="D1594" s="243" t="s">
        <v>5638</v>
      </c>
      <c r="E1594" s="244" t="s">
        <v>5192</v>
      </c>
      <c r="F1594" s="269" t="s">
        <v>8910</v>
      </c>
      <c r="G1594" s="273">
        <v>9</v>
      </c>
      <c r="H1594" s="283">
        <v>46</v>
      </c>
      <c r="I1594" s="246">
        <v>130</v>
      </c>
      <c r="J1594" s="246">
        <v>3</v>
      </c>
      <c r="K1594" s="247" t="s">
        <v>3837</v>
      </c>
      <c r="L1594" s="248">
        <v>30945</v>
      </c>
      <c r="M1594" s="249">
        <f>15*(LEFT(TEXT($L1594,"000000"),2)+(MID(TEXT($L1594,"000000"),3,2)/60)+(RIGHT(TEXT($L1594,"000000"),2)/3600))</f>
        <v>47.4375</v>
      </c>
      <c r="N1594" s="250">
        <v>-203446</v>
      </c>
      <c r="O1594" s="251">
        <f>IF($N1594&gt;0,(LEFT(TEXT($N1594,"000000"),2)+(MID(TEXT($N1594,"000000"),3,2)/60)+(RIGHT(TEXT($N1594,"000000"),2)/3600)),-(MID(TEXT($N1594,"000000"),2,2)+(MID(TEXT($N1594,"000000"),4,2)/60)+(RIGHT(TEXT($N1594,"000000"),2)/3600)))</f>
        <v>-20.579444444444444</v>
      </c>
      <c r="P1594" s="252" t="s">
        <v>257</v>
      </c>
      <c r="Q1594" s="253" t="s">
        <v>6866</v>
      </c>
      <c r="R1594" s="247" t="s">
        <v>3293</v>
      </c>
      <c r="S1594" s="272" t="s">
        <v>3293</v>
      </c>
      <c r="T1594" s="273">
        <v>9.9</v>
      </c>
      <c r="U1594" s="289">
        <v>22.79</v>
      </c>
      <c r="V1594" s="280">
        <v>0</v>
      </c>
      <c r="W1594" s="244"/>
      <c r="X1594" s="244"/>
      <c r="Y1594" s="362"/>
      <c r="Z1594" s="257">
        <f>altaz(J2000_Bas,$O1594,$M1594,DecLat,DecLong,1)</f>
        <v>-36.837612968268196</v>
      </c>
      <c r="AA1594" s="257">
        <f>altaz((J2000_Bas+(2*0.04167)),$O1594,$M1594,DecLat,DecLong,1)</f>
        <v>-11.534002048377266</v>
      </c>
      <c r="AB1594" s="257">
        <f>altaz((J2000_Bas+(4*0.04167)),$O1594,$M1594,DecLat,DecLong,1)</f>
        <v>11.814587693335522</v>
      </c>
      <c r="AC1594" s="257">
        <f>altaz((J2000_Bas+(6*0.04167)),$O1594,$M1594,DecLat,DecLong,1)</f>
        <v>30.364512078158079</v>
      </c>
      <c r="AD1594" s="258">
        <f>1+ transit((J2000_Bas-1),$O1594,$M1594,DecLat,DecLong)/360 + (GMTOffset/24) + (IF(DST="Y", 1, 0)/24)</f>
        <v>1.1246707807859579</v>
      </c>
      <c r="AE1594" s="259">
        <f>DATE(2001,9,21)+(M1594/360)*365 - (360*((DecLong/360)- (GMTOffset/24) ))</f>
        <v>37208.096354166664</v>
      </c>
      <c r="AF1594" s="260">
        <f>IF(DecLat&gt;0,IF((90 - (DecLat-O1594))&gt;90, (90 - (O1594-DecLat)), (90 - (DecLat-O1594))),IF((90 + (DecLat-O1594))&gt;90, (90 + (O1594-DecLat)), (90 + (DecLat-O1594))))</f>
        <v>38.420555555555552</v>
      </c>
      <c r="AG1594" s="257">
        <f>angularseperation(MoonRA,MoonDec,$M1594,$O1594)</f>
        <v>127.86844532210256</v>
      </c>
      <c r="AH1594" s="261">
        <f ca="1">MIN(100,IF($O$5&gt;80,0+30*($AG1594/100),IF($O$5&gt;70,0+50*($AG1594/100),IF($O$5&gt;60,5+50*($AG1594/100),IF($O$5&gt;50,10+60*($AG1594/100),IF($O$5&gt;40,15+70*($AG1594/100),IF($O$5&gt;30,20+70*($AG1594/100),IF($O$5&gt;20,40+55*($AG1594/100),(80+(20-$O$5)+30*($AG1594/100))))))))))</f>
        <v>100</v>
      </c>
      <c r="AI1594" s="262">
        <v>1232</v>
      </c>
      <c r="AJ1594" s="262"/>
      <c r="AK1594" s="262"/>
      <c r="AL1594" s="263"/>
      <c r="AM1594" s="264"/>
      <c r="AN1594" s="263">
        <v>41</v>
      </c>
      <c r="AO1594" s="263"/>
      <c r="AP1594" s="265"/>
      <c r="AQ1594" s="266"/>
      <c r="AR1594" s="267">
        <v>11819</v>
      </c>
      <c r="AS1594" s="263"/>
      <c r="AT1594" s="263"/>
      <c r="AU1594" s="263"/>
      <c r="AV1594" s="264"/>
      <c r="AW1594" s="263"/>
      <c r="AX1594" s="263"/>
      <c r="AY1594" s="263"/>
      <c r="AZ1594" s="263"/>
      <c r="BA1594" s="263"/>
      <c r="BB1594" s="263"/>
      <c r="BC1594" s="263"/>
      <c r="BD1594" s="264"/>
      <c r="BE1594" s="263">
        <v>11</v>
      </c>
      <c r="BF1594" s="263"/>
      <c r="BG1594" s="263"/>
      <c r="BH1594" s="263"/>
      <c r="BI1594" s="263"/>
      <c r="BJ1594" s="404">
        <f>altaz(J2000_Bas,$O1594,$M1594,DecLat,DecLong,2)</f>
        <v>93.569824278599896</v>
      </c>
      <c r="BK1594" s="378" t="s">
        <v>1607</v>
      </c>
      <c r="BL1594" s="379">
        <f>IF((2*G1594)/60&lt;0.2,0.2,(2*G1594)/60)</f>
        <v>0.3</v>
      </c>
      <c r="BM1594" s="380">
        <f>MOD((50000+AD1594-$B$3+(0/24)),1)</f>
        <v>0.34003771049174247</v>
      </c>
      <c r="BN1594" s="381" t="s">
        <v>9237</v>
      </c>
      <c r="BO1594" s="382">
        <v>1587</v>
      </c>
    </row>
    <row r="1595" spans="1:67" s="24" customFormat="1" ht="15" customHeight="1" x14ac:dyDescent="0.25">
      <c r="A1595" s="288" t="s">
        <v>1608</v>
      </c>
      <c r="B1595" s="241" t="str">
        <f>HYPERLINK(CONCATENATE($AT$3,BK1595,$AU$3),$AV$3)</f>
        <v>S</v>
      </c>
      <c r="C1595" s="242" t="str">
        <f>HYPERLINK(CONCATENATE($AT$4,BK1595,$AU$4,BL1595),$AV$4)</f>
        <v>A</v>
      </c>
      <c r="D1595" s="243" t="s">
        <v>5335</v>
      </c>
      <c r="E1595" s="244" t="s">
        <v>5185</v>
      </c>
      <c r="F1595" s="269" t="s">
        <v>6670</v>
      </c>
      <c r="G1595" s="276">
        <v>10</v>
      </c>
      <c r="H1595" s="283">
        <v>9000</v>
      </c>
      <c r="I1595" s="246">
        <v>25</v>
      </c>
      <c r="J1595" s="246">
        <v>2</v>
      </c>
      <c r="K1595" s="247" t="s">
        <v>6669</v>
      </c>
      <c r="L1595" s="248">
        <v>31442</v>
      </c>
      <c r="M1595" s="249">
        <f>15*(LEFT(TEXT($L1595,"000000"),2)+(MID(TEXT($L1595,"000000"),3,2)/60)+(RIGHT(TEXT($L1595,"000000"),2)/3600))</f>
        <v>48.675000000000004</v>
      </c>
      <c r="N1595" s="250">
        <v>471412</v>
      </c>
      <c r="O1595" s="251">
        <f>IF($N1595&gt;0,(LEFT(TEXT($N1595,"000000"),2)+(MID(TEXT($N1595,"000000"),3,2)/60)+(RIGHT(TEXT($N1595,"000000"),2)/3600)),-(MID(TEXT($N1595,"000000"),2,2)+(MID(TEXT($N1595,"000000"),4,2)/60)+(RIGHT(TEXT($N1595,"000000"),2)/3600)))</f>
        <v>47.236666666666665</v>
      </c>
      <c r="P1595" s="252" t="s">
        <v>43</v>
      </c>
      <c r="Q1595" s="253"/>
      <c r="R1595" s="277" t="s">
        <v>3293</v>
      </c>
      <c r="S1595" s="272" t="s">
        <v>3293</v>
      </c>
      <c r="T1595" s="273">
        <v>8.4</v>
      </c>
      <c r="U1595" s="274"/>
      <c r="V1595" s="280"/>
      <c r="W1595" s="244"/>
      <c r="X1595" s="244"/>
      <c r="Y1595" s="362"/>
      <c r="Z1595" s="257">
        <f>altaz(J2000_Bas,$O1595,$M1595,DecLat,DecLong,1)</f>
        <v>3.6661757508046131</v>
      </c>
      <c r="AA1595" s="257">
        <f>altaz((J2000_Bas+(2*0.04167)),$O1595,$M1595,DecLat,DecLong,1)</f>
        <v>20.600222060400966</v>
      </c>
      <c r="AB1595" s="257">
        <f>altaz((J2000_Bas+(4*0.04167)),$O1595,$M1595,DecLat,DecLong,1)</f>
        <v>40.302811537812111</v>
      </c>
      <c r="AC1595" s="257">
        <f>altaz((J2000_Bas+(6*0.04167)),$O1595,$M1595,DecLat,DecLong,1)</f>
        <v>60.390494665590815</v>
      </c>
      <c r="AD1595" s="258">
        <f>1+ transit((J2000_Bas-1),$O1595,$M1595,DecLat,DecLong)/360 + (GMTOffset/24) + (IF(DST="Y", 1, 0)/24)</f>
        <v>1.128108280442208</v>
      </c>
      <c r="AE1595" s="259">
        <f>DATE(2001,9,21)+(M1595/360)*365 - (360*((DecLong/360)- (GMTOffset/24) ))</f>
        <v>37209.351041666669</v>
      </c>
      <c r="AF1595" s="260">
        <f>IF(DecLat&gt;0,IF((90 - (DecLat-O1595))&gt;90, (90 - (O1595-DecLat)), (90 - (DecLat-O1595))),IF((90 + (DecLat-O1595))&gt;90, (90 + (O1595-DecLat)), (90 + (DecLat-O1595))))</f>
        <v>73.763333333333335</v>
      </c>
      <c r="AG1595" s="257">
        <f>angularseperation(MoonRA,MoonDec,$M1595,$O1595)</f>
        <v>154.19072185149469</v>
      </c>
      <c r="AH1595" s="261">
        <f ca="1">MIN(100,IF($O$5&gt;80,0+30*($AG1595/100),IF($O$5&gt;70,0+50*($AG1595/100),IF($O$5&gt;60,5+50*($AG1595/100),IF($O$5&gt;50,10+60*($AG1595/100),IF($O$5&gt;40,15+70*($AG1595/100),IF($O$5&gt;30,20+70*($AG1595/100),IF($O$5&gt;20,40+55*($AG1595/100),(80+(20-$O$5)+30*($AG1595/100))))))))))</f>
        <v>100</v>
      </c>
      <c r="AI1595" s="262">
        <v>1245</v>
      </c>
      <c r="AJ1595" s="262"/>
      <c r="AK1595" s="262">
        <v>45</v>
      </c>
      <c r="AL1595" s="263"/>
      <c r="AM1595" s="264"/>
      <c r="AN1595" s="263"/>
      <c r="AO1595" s="263"/>
      <c r="AP1595" s="265"/>
      <c r="AQ1595" s="266"/>
      <c r="AR1595" s="267"/>
      <c r="AS1595" s="263"/>
      <c r="AT1595" s="263"/>
      <c r="AU1595" s="263"/>
      <c r="AV1595" s="264"/>
      <c r="AW1595" s="263"/>
      <c r="AX1595" s="263"/>
      <c r="AY1595" s="263"/>
      <c r="AZ1595" s="263"/>
      <c r="BA1595" s="263"/>
      <c r="BB1595" s="263"/>
      <c r="BC1595" s="263"/>
      <c r="BD1595" s="264"/>
      <c r="BE1595" s="263"/>
      <c r="BF1595" s="263">
        <v>9</v>
      </c>
      <c r="BG1595" s="263"/>
      <c r="BH1595" s="263"/>
      <c r="BI1595" s="263"/>
      <c r="BJ1595" s="404">
        <f>altaz(J2000_Bas,$O1595,$M1595,DecLat,DecLong,2)</f>
        <v>34.939472631956903</v>
      </c>
      <c r="BK1595" s="378" t="s">
        <v>1608</v>
      </c>
      <c r="BL1595" s="379">
        <f>IF((2*G1595)/60&lt;0.2,0.2,(2*G1595)/60)</f>
        <v>0.33333333333333331</v>
      </c>
      <c r="BM1595" s="380">
        <f>MOD((50000+AD1595-$B$3+(0/24)),1)</f>
        <v>0.34347521014569793</v>
      </c>
      <c r="BN1595" s="381"/>
      <c r="BO1595" s="382">
        <v>1588</v>
      </c>
    </row>
    <row r="1596" spans="1:67" s="24" customFormat="1" ht="15" customHeight="1" x14ac:dyDescent="0.25">
      <c r="A1596" s="298" t="s">
        <v>1609</v>
      </c>
      <c r="B1596" s="241" t="str">
        <f>HYPERLINK(CONCATENATE($AT$3,BK1596,$AU$3),$AV$3)</f>
        <v>S</v>
      </c>
      <c r="C1596" s="242" t="str">
        <f>HYPERLINK(CONCATENATE($AT$4,BK1596,$AU$4,BL1596),$AV$4)</f>
        <v>A</v>
      </c>
      <c r="D1596" s="243" t="s">
        <v>5335</v>
      </c>
      <c r="E1596" s="244" t="s">
        <v>5184</v>
      </c>
      <c r="F1596" s="269" t="s">
        <v>3310</v>
      </c>
      <c r="G1596" s="273">
        <v>7</v>
      </c>
      <c r="H1596" s="283">
        <v>53000</v>
      </c>
      <c r="I1596" s="246">
        <v>110</v>
      </c>
      <c r="J1596" s="246">
        <v>3</v>
      </c>
      <c r="K1596" s="247" t="s">
        <v>6667</v>
      </c>
      <c r="L1596" s="248">
        <v>31218</v>
      </c>
      <c r="M1596" s="249">
        <f>15*(LEFT(TEXT($L1596,"000000"),2)+(MID(TEXT($L1596,"000000"),3,2)/60)+(RIGHT(TEXT($L1596,"000000"),2)/3600))</f>
        <v>48.075000000000003</v>
      </c>
      <c r="N1596" s="286">
        <v>-551300</v>
      </c>
      <c r="O1596" s="251">
        <f>IF($N1596&gt;0,(LEFT(TEXT($N1596,"000000"),2)+(MID(TEXT($N1596,"000000"),3,2)/60)+(RIGHT(TEXT($N1596,"000000"),2)/3600)),-(MID(TEXT($N1596,"000000"),2,2)+(MID(TEXT($N1596,"000000"),4,2)/60)+(RIGHT(TEXT($N1596,"000000"),2)/3600)))</f>
        <v>-55.216666666666669</v>
      </c>
      <c r="P1596" s="252" t="s">
        <v>1610</v>
      </c>
      <c r="Q1596" s="253"/>
      <c r="R1596" s="247" t="s">
        <v>7399</v>
      </c>
      <c r="S1596" s="272" t="s">
        <v>3293</v>
      </c>
      <c r="T1596" s="273">
        <v>8.3000000000000007</v>
      </c>
      <c r="U1596" s="274"/>
      <c r="V1596" s="280"/>
      <c r="W1596" s="244"/>
      <c r="X1596" s="244"/>
      <c r="Y1596" s="362"/>
      <c r="Z1596" s="257">
        <f>altaz(J2000_Bas,$O1596,$M1596,DecLat,DecLong,1)</f>
        <v>-43.051747104682605</v>
      </c>
      <c r="AA1596" s="257">
        <f>altaz((J2000_Bas+(2*0.04167)),$O1596,$M1596,DecLat,DecLong,1)</f>
        <v>-26.101990475291888</v>
      </c>
      <c r="AB1596" s="257">
        <f>altaz((J2000_Bas+(4*0.04167)),$O1596,$M1596,DecLat,DecLong,1)</f>
        <v>-11.111105917066643</v>
      </c>
      <c r="AC1596" s="257">
        <f>altaz((J2000_Bas+(6*0.04167)),$O1596,$M1596,DecLat,DecLong,1)</f>
        <v>-0.42983515675150524</v>
      </c>
      <c r="AD1596" s="258">
        <f>1+ transit((J2000_Bas-1),$O1596,$M1596,DecLat,DecLong)/360 + (GMTOffset/24) + (IF(DST="Y", 1, 0)/24)</f>
        <v>1.126441613942208</v>
      </c>
      <c r="AE1596" s="259">
        <f>DATE(2001,9,21)+(M1596/360)*365 - (360*((DecLong/360)- (GMTOffset/24) ))</f>
        <v>37208.742708333331</v>
      </c>
      <c r="AF1596" s="260">
        <f>IF(DecLat&gt;0,IF((90 - (DecLat-O1596))&gt;90, (90 - (O1596-DecLat)), (90 - (DecLat-O1596))),IF((90 + (DecLat-O1596))&gt;90, (90 + (O1596-DecLat)), (90 + (DecLat-O1596))))</f>
        <v>3.7833333333333314</v>
      </c>
      <c r="AG1596" s="257">
        <f>angularseperation(MoonRA,MoonDec,$M1596,$O1596)</f>
        <v>95.722195531431794</v>
      </c>
      <c r="AH1596" s="261">
        <f ca="1">MIN(100,IF($O$5&gt;80,0+30*($AG1596/100),IF($O$5&gt;70,0+50*($AG1596/100),IF($O$5&gt;60,5+50*($AG1596/100),IF($O$5&gt;50,10+60*($AG1596/100),IF($O$5&gt;40,15+70*($AG1596/100),IF($O$5&gt;30,20+70*($AG1596/100),IF($O$5&gt;20,40+55*($AG1596/100),(80+(20-$O$5)+30*($AG1596/100))))))))))</f>
        <v>100</v>
      </c>
      <c r="AI1596" s="262">
        <v>1261</v>
      </c>
      <c r="AJ1596" s="262"/>
      <c r="AK1596" s="262"/>
      <c r="AL1596" s="263"/>
      <c r="AM1596" s="264">
        <v>87</v>
      </c>
      <c r="AN1596" s="263"/>
      <c r="AO1596" s="263"/>
      <c r="AP1596" s="265"/>
      <c r="AQ1596" s="266"/>
      <c r="AR1596" s="267"/>
      <c r="AS1596" s="263"/>
      <c r="AT1596" s="263"/>
      <c r="AU1596" s="263"/>
      <c r="AV1596" s="264"/>
      <c r="AW1596" s="263"/>
      <c r="AX1596" s="263"/>
      <c r="AY1596" s="263"/>
      <c r="AZ1596" s="263"/>
      <c r="BA1596" s="263"/>
      <c r="BB1596" s="263"/>
      <c r="BC1596" s="263"/>
      <c r="BD1596" s="264"/>
      <c r="BE1596" s="263"/>
      <c r="BF1596" s="263"/>
      <c r="BG1596" s="263"/>
      <c r="BH1596" s="263"/>
      <c r="BI1596" s="263"/>
      <c r="BJ1596" s="404">
        <f>altaz(J2000_Bas,$O1596,$M1596,DecLat,DecLong,2)</f>
        <v>138.58302467070041</v>
      </c>
      <c r="BK1596" s="378" t="s">
        <v>1609</v>
      </c>
      <c r="BL1596" s="379">
        <f>IF((2*G1596)/60&lt;0.2,0.2,(2*G1596)/60)</f>
        <v>0.23333333333333334</v>
      </c>
      <c r="BM1596" s="380">
        <f>MOD((50000+AD1596-$B$3+(0/24)),1)</f>
        <v>0.34180854364967672</v>
      </c>
      <c r="BN1596" s="381"/>
      <c r="BO1596" s="382">
        <v>1589</v>
      </c>
    </row>
    <row r="1597" spans="1:67" s="24" customFormat="1" ht="15" customHeight="1" x14ac:dyDescent="0.25">
      <c r="A1597" s="288" t="s">
        <v>1611</v>
      </c>
      <c r="B1597" s="241" t="str">
        <f>HYPERLINK(CONCATENATE($AT$3,BK1597,$AU$3),$AV$3)</f>
        <v>S</v>
      </c>
      <c r="C1597" s="242" t="str">
        <f>HYPERLINK(CONCATENATE($AT$4,BK1597,$AU$4,BL1597),$AV$4)</f>
        <v>A</v>
      </c>
      <c r="D1597" s="243" t="s">
        <v>5638</v>
      </c>
      <c r="E1597" s="244" t="s">
        <v>5182</v>
      </c>
      <c r="F1597" s="269" t="s">
        <v>8938</v>
      </c>
      <c r="G1597" s="276">
        <v>10</v>
      </c>
      <c r="H1597" s="283">
        <v>36</v>
      </c>
      <c r="I1597" s="246">
        <v>110</v>
      </c>
      <c r="J1597" s="246">
        <v>3</v>
      </c>
      <c r="K1597" s="247" t="s">
        <v>6672</v>
      </c>
      <c r="L1597" s="248">
        <v>31718</v>
      </c>
      <c r="M1597" s="249">
        <f>15*(LEFT(TEXT($L1597,"000000"),2)+(MID(TEXT($L1597,"000000"),3,2)/60)+(RIGHT(TEXT($L1597,"000000"),2)/3600))</f>
        <v>49.324999999999996</v>
      </c>
      <c r="N1597" s="250">
        <v>-410629</v>
      </c>
      <c r="O1597" s="251">
        <f>IF($N1597&gt;0,(LEFT(TEXT($N1597,"000000"),2)+(MID(TEXT($N1597,"000000"),3,2)/60)+(RIGHT(TEXT($N1597,"000000"),2)/3600)),-(MID(TEXT($N1597,"000000"),2,2)+(MID(TEXT($N1597,"000000"),4,2)/60)+(RIGHT(TEXT($N1597,"000000"),2)/3600)))</f>
        <v>-41.108055555555559</v>
      </c>
      <c r="P1597" s="252" t="s">
        <v>257</v>
      </c>
      <c r="Q1597" s="253" t="s">
        <v>6904</v>
      </c>
      <c r="R1597" s="277" t="s">
        <v>6671</v>
      </c>
      <c r="S1597" s="272" t="s">
        <v>3293</v>
      </c>
      <c r="T1597" s="273">
        <v>9.4</v>
      </c>
      <c r="U1597" s="289">
        <v>21.990000000000002</v>
      </c>
      <c r="V1597" s="280">
        <v>10</v>
      </c>
      <c r="W1597" s="244"/>
      <c r="X1597" s="244"/>
      <c r="Y1597" s="362"/>
      <c r="Z1597" s="257">
        <f>altaz(J2000_Bas,$O1597,$M1597,DecLat,DecLong,1)</f>
        <v>-43.901871027156112</v>
      </c>
      <c r="AA1597" s="257">
        <f>altaz((J2000_Bas+(2*0.04167)),$O1597,$M1597,DecLat,DecLong,1)</f>
        <v>-22.030861190000333</v>
      </c>
      <c r="AB1597" s="257">
        <f>altaz((J2000_Bas+(4*0.04167)),$O1597,$M1597,DecLat,DecLong,1)</f>
        <v>-2.6915058722213319</v>
      </c>
      <c r="AC1597" s="257">
        <f>altaz((J2000_Bas+(6*0.04167)),$O1597,$M1597,DecLat,DecLong,1)</f>
        <v>11.689374147174714</v>
      </c>
      <c r="AD1597" s="258">
        <f>1+ transit((J2000_Bas-1),$O1597,$M1597,DecLat,DecLong)/360 + (GMTOffset/24) + (IF(DST="Y", 1, 0)/24)</f>
        <v>1.1299138358172081</v>
      </c>
      <c r="AE1597" s="259">
        <f>DATE(2001,9,21)+(M1597/360)*365 - (360*((DecLong/360)- (GMTOffset/24) ))</f>
        <v>37210.010069444441</v>
      </c>
      <c r="AF1597" s="260">
        <f>IF(DecLat&gt;0,IF((90 - (DecLat-O1597))&gt;90, (90 - (O1597-DecLat)), (90 - (DecLat-O1597))),IF((90 + (DecLat-O1597))&gt;90, (90 + (O1597-DecLat)), (90 + (DecLat-O1597))))</f>
        <v>17.891944444444448</v>
      </c>
      <c r="AG1597" s="257">
        <f>angularseperation(MoonRA,MoonDec,$M1597,$O1597)</f>
        <v>109.35196450044319</v>
      </c>
      <c r="AH1597" s="261">
        <f ca="1">MIN(100,IF($O$5&gt;80,0+30*($AG1597/100),IF($O$5&gt;70,0+50*($AG1597/100),IF($O$5&gt;60,5+50*($AG1597/100),IF($O$5&gt;50,10+60*($AG1597/100),IF($O$5&gt;40,15+70*($AG1597/100),IF($O$5&gt;30,20+70*($AG1597/100),IF($O$5&gt;20,40+55*($AG1597/100),(80+(20-$O$5)+30*($AG1597/100))))))))))</f>
        <v>100</v>
      </c>
      <c r="AI1597" s="262">
        <v>1291</v>
      </c>
      <c r="AJ1597" s="262"/>
      <c r="AK1597" s="262"/>
      <c r="AL1597" s="263"/>
      <c r="AM1597" s="264"/>
      <c r="AN1597" s="263"/>
      <c r="AO1597" s="263"/>
      <c r="AP1597" s="265"/>
      <c r="AQ1597" s="266"/>
      <c r="AR1597" s="267">
        <v>12209</v>
      </c>
      <c r="AS1597" s="263"/>
      <c r="AT1597" s="263"/>
      <c r="AU1597" s="263"/>
      <c r="AV1597" s="264"/>
      <c r="AW1597" s="263"/>
      <c r="AX1597" s="263"/>
      <c r="AY1597" s="263"/>
      <c r="AZ1597" s="263"/>
      <c r="BA1597" s="263"/>
      <c r="BB1597" s="263"/>
      <c r="BC1597" s="263"/>
      <c r="BD1597" s="264"/>
      <c r="BE1597" s="263">
        <v>12</v>
      </c>
      <c r="BF1597" s="263"/>
      <c r="BG1597" s="263"/>
      <c r="BH1597" s="263"/>
      <c r="BI1597" s="263"/>
      <c r="BJ1597" s="404">
        <f>altaz(J2000_Bas,$O1597,$M1597,DecLat,DecLong,2)</f>
        <v>119.09718199677553</v>
      </c>
      <c r="BK1597" s="378" t="s">
        <v>1611</v>
      </c>
      <c r="BL1597" s="379">
        <f>IF((2*G1597)/60&lt;0.2,0.2,(2*G1597)/60)</f>
        <v>0.33333333333333331</v>
      </c>
      <c r="BM1597" s="380">
        <f>MOD((50000+AD1597-$B$3+(0/24)),1)</f>
        <v>0.34528076551941922</v>
      </c>
      <c r="BN1597" s="381"/>
      <c r="BO1597" s="382">
        <v>1590</v>
      </c>
    </row>
    <row r="1598" spans="1:67" s="24" customFormat="1" ht="15" customHeight="1" x14ac:dyDescent="0.25">
      <c r="A1598" s="288" t="s">
        <v>1612</v>
      </c>
      <c r="B1598" s="241" t="str">
        <f>HYPERLINK(CONCATENATE($AT$3,BK1598,$AU$3),$AV$3)</f>
        <v>S</v>
      </c>
      <c r="C1598" s="242" t="str">
        <f>HYPERLINK(CONCATENATE($AT$4,BK1598,$AU$4,BL1598),$AV$4)</f>
        <v>A</v>
      </c>
      <c r="D1598" s="243" t="s">
        <v>5638</v>
      </c>
      <c r="E1598" s="244" t="s">
        <v>5192</v>
      </c>
      <c r="F1598" s="269" t="s">
        <v>8939</v>
      </c>
      <c r="G1598" s="273">
        <v>6</v>
      </c>
      <c r="H1598" s="283">
        <v>70</v>
      </c>
      <c r="I1598" s="246">
        <v>120</v>
      </c>
      <c r="J1598" s="246">
        <v>3</v>
      </c>
      <c r="K1598" s="247" t="s">
        <v>6673</v>
      </c>
      <c r="L1598" s="248">
        <v>31941</v>
      </c>
      <c r="M1598" s="249">
        <f>15*(LEFT(TEXT($L1598,"000000"),2)+(MID(TEXT($L1598,"000000"),3,2)/60)+(RIGHT(TEXT($L1598,"000000"),2)/3600))</f>
        <v>49.920833333333327</v>
      </c>
      <c r="N1598" s="250">
        <v>-192441</v>
      </c>
      <c r="O1598" s="251">
        <f>IF($N1598&gt;0,(LEFT(TEXT($N1598,"000000"),2)+(MID(TEXT($N1598,"000000"),3,2)/60)+(RIGHT(TEXT($N1598,"000000"),2)/3600)),-(MID(TEXT($N1598,"000000"),2,2)+(MID(TEXT($N1598,"000000"),4,2)/60)+(RIGHT(TEXT($N1598,"000000"),2)/3600)))</f>
        <v>-19.411388888888887</v>
      </c>
      <c r="P1598" s="252" t="s">
        <v>257</v>
      </c>
      <c r="Q1598" s="253"/>
      <c r="R1598" s="247" t="s">
        <v>3293</v>
      </c>
      <c r="S1598" s="272" t="s">
        <v>3293</v>
      </c>
      <c r="T1598" s="273">
        <v>10.4</v>
      </c>
      <c r="U1598" s="289">
        <v>22.69</v>
      </c>
      <c r="V1598" s="280">
        <v>55</v>
      </c>
      <c r="W1598" s="244"/>
      <c r="X1598" s="244"/>
      <c r="Y1598" s="362"/>
      <c r="Z1598" s="257">
        <f>altaz(J2000_Bas,$O1598,$M1598,DecLat,DecLong,1)</f>
        <v>-38.483594342974904</v>
      </c>
      <c r="AA1598" s="257">
        <f>altaz((J2000_Bas+(2*0.04167)),$O1598,$M1598,DecLat,DecLong,1)</f>
        <v>-13.01609672038097</v>
      </c>
      <c r="AB1598" s="257">
        <f>altaz((J2000_Bas+(4*0.04167)),$O1598,$M1598,DecLat,DecLong,1)</f>
        <v>10.743009172223537</v>
      </c>
      <c r="AC1598" s="257">
        <f>altaz((J2000_Bas+(6*0.04167)),$O1598,$M1598,DecLat,DecLong,1)</f>
        <v>30.11203915092986</v>
      </c>
      <c r="AD1598" s="258">
        <f>1+ transit((J2000_Bas-1),$O1598,$M1598,DecLat,DecLong)/360 + (GMTOffset/24) + (IF(DST="Y", 1, 0)/24)</f>
        <v>1.1315689282442913</v>
      </c>
      <c r="AE1598" s="259">
        <f>DATE(2001,9,21)+(M1598/360)*365 - (360*((DecLong/360)- (GMTOffset/24) ))</f>
        <v>37210.614178240743</v>
      </c>
      <c r="AF1598" s="260">
        <f>IF(DecLat&gt;0,IF((90 - (DecLat-O1598))&gt;90, (90 - (O1598-DecLat)), (90 - (DecLat-O1598))),IF((90 + (DecLat-O1598))&gt;90, (90 + (O1598-DecLat)), (90 + (DecLat-O1598))))</f>
        <v>39.588611111111113</v>
      </c>
      <c r="AG1598" s="257">
        <f>angularseperation(MoonRA,MoonDec,$M1598,$O1598)</f>
        <v>129.87520828681596</v>
      </c>
      <c r="AH1598" s="261">
        <f ca="1">MIN(100,IF($O$5&gt;80,0+30*($AG1598/100),IF($O$5&gt;70,0+50*($AG1598/100),IF($O$5&gt;60,5+50*($AG1598/100),IF($O$5&gt;50,10+60*($AG1598/100),IF($O$5&gt;40,15+70*($AG1598/100),IF($O$5&gt;30,20+70*($AG1598/100),IF($O$5&gt;20,40+55*($AG1598/100),(80+(20-$O$5)+30*($AG1598/100))))))))))</f>
        <v>100</v>
      </c>
      <c r="AI1598" s="262">
        <v>1300</v>
      </c>
      <c r="AJ1598" s="262"/>
      <c r="AK1598" s="262"/>
      <c r="AL1598" s="263"/>
      <c r="AM1598" s="264"/>
      <c r="AN1598" s="263"/>
      <c r="AO1598" s="263"/>
      <c r="AP1598" s="265"/>
      <c r="AQ1598" s="266"/>
      <c r="AR1598" s="267">
        <v>12412</v>
      </c>
      <c r="AS1598" s="263"/>
      <c r="AT1598" s="263"/>
      <c r="AU1598" s="263"/>
      <c r="AV1598" s="264"/>
      <c r="AW1598" s="263"/>
      <c r="AX1598" s="263"/>
      <c r="AY1598" s="263"/>
      <c r="AZ1598" s="263"/>
      <c r="BA1598" s="263"/>
      <c r="BB1598" s="263"/>
      <c r="BC1598" s="263"/>
      <c r="BD1598" s="264"/>
      <c r="BE1598" s="263"/>
      <c r="BF1598" s="263">
        <v>10</v>
      </c>
      <c r="BG1598" s="263"/>
      <c r="BH1598" s="263"/>
      <c r="BI1598" s="263"/>
      <c r="BJ1598" s="404">
        <f>altaz(J2000_Bas,$O1598,$M1598,DecLat,DecLong,2)</f>
        <v>91.011538405407521</v>
      </c>
      <c r="BK1598" s="378" t="s">
        <v>1612</v>
      </c>
      <c r="BL1598" s="379">
        <f>IF((2*G1598)/60&lt;0.2,0.2,(2*G1598)/60)</f>
        <v>0.2</v>
      </c>
      <c r="BM1598" s="380">
        <f>MOD((50000+AD1598-$B$3+(0/24)),1)</f>
        <v>0.34693585794593673</v>
      </c>
      <c r="BN1598" s="381"/>
      <c r="BO1598" s="382">
        <v>1591</v>
      </c>
    </row>
    <row r="1599" spans="1:67" s="24" customFormat="1" ht="15" customHeight="1" x14ac:dyDescent="0.25">
      <c r="A1599" s="287" t="s">
        <v>5551</v>
      </c>
      <c r="B1599" s="241" t="str">
        <f>HYPERLINK(CONCATENATE($AT$3,BK1599,$AU$3),$AV$3)</f>
        <v>S</v>
      </c>
      <c r="C1599" s="242" t="str">
        <f>HYPERLINK(CONCATENATE($AT$4,BK1599,$AU$4,BL1599),$AV$4)</f>
        <v>A</v>
      </c>
      <c r="D1599" s="243" t="s">
        <v>5638</v>
      </c>
      <c r="E1599" s="244" t="s">
        <v>5192</v>
      </c>
      <c r="F1599" s="269" t="s">
        <v>8895</v>
      </c>
      <c r="G1599" s="273">
        <v>9</v>
      </c>
      <c r="H1599" s="283">
        <v>13</v>
      </c>
      <c r="I1599" s="246">
        <v>35</v>
      </c>
      <c r="J1599" s="246">
        <v>4</v>
      </c>
      <c r="K1599" s="247" t="s">
        <v>5554</v>
      </c>
      <c r="L1599" s="248">
        <v>31812</v>
      </c>
      <c r="M1599" s="249">
        <f>15*(LEFT(TEXT($L1599,"000000"),2)+(MID(TEXT($L1599,"000000"),3,2)/60)+(RIGHT(TEXT($L1599,"000000"),2)/3600))</f>
        <v>49.55</v>
      </c>
      <c r="N1599" s="250">
        <v>-663000</v>
      </c>
      <c r="O1599" s="251">
        <f>IF($N1599&gt;0,(LEFT(TEXT($N1599,"000000"),2)+(MID(TEXT($N1599,"000000"),3,2)/60)+(RIGHT(TEXT($N1599,"000000"),2)/3600)),-(MID(TEXT($N1599,"000000"),2,2)+(MID(TEXT($N1599,"000000"),4,2)/60)+(RIGHT(TEXT($N1599,"000000"),2)/3600)))</f>
        <v>-66.5</v>
      </c>
      <c r="P1599" s="252" t="s">
        <v>5552</v>
      </c>
      <c r="Q1599" s="253" t="s">
        <v>5553</v>
      </c>
      <c r="R1599" s="277" t="s">
        <v>3293</v>
      </c>
      <c r="S1599" s="272" t="s">
        <v>3293</v>
      </c>
      <c r="T1599" s="273">
        <v>8.6999999999999993</v>
      </c>
      <c r="U1599" s="289">
        <v>21.89</v>
      </c>
      <c r="V1599" s="280">
        <v>30</v>
      </c>
      <c r="W1599" s="244"/>
      <c r="X1599" s="244"/>
      <c r="Y1599" s="362"/>
      <c r="Z1599" s="257">
        <f>altaz(J2000_Bas,$O1599,$M1599,DecLat,DecLong,1)</f>
        <v>-41.391880869799039</v>
      </c>
      <c r="AA1599" s="257">
        <f>altaz((J2000_Bas+(2*0.04167)),$O1599,$M1599,DecLat,DecLong,1)</f>
        <v>-29.535688228257392</v>
      </c>
      <c r="AB1599" s="257">
        <f>altaz((J2000_Bas+(4*0.04167)),$O1599,$M1599,DecLat,DecLong,1)</f>
        <v>-18.612336790711307</v>
      </c>
      <c r="AC1599" s="257">
        <f>altaz((J2000_Bas+(6*0.04167)),$O1599,$M1599,DecLat,DecLong,1)</f>
        <v>-10.755938582903696</v>
      </c>
      <c r="AD1599" s="258">
        <f>1+ transit((J2000_Bas-1),$O1599,$M1599,DecLat,DecLong)/360 + (GMTOffset/24) + (IF(DST="Y", 1, 0)/24)</f>
        <v>1.1305388357547079</v>
      </c>
      <c r="AE1599" s="259">
        <f>DATE(2001,9,21)+(M1599/360)*365 - (360*((DecLong/360)- (GMTOffset/24) ))</f>
        <v>37210.238194444442</v>
      </c>
      <c r="AF1599" s="260">
        <f>IF(DecLat&gt;0,IF((90 - (DecLat-O1599))&gt;90, (90 - (O1599-DecLat)), (90 - (DecLat-O1599))),IF((90 + (DecLat-O1599))&gt;90, (90 + (O1599-DecLat)), (90 + (DecLat-O1599))))</f>
        <v>-7.5</v>
      </c>
      <c r="AG1599" s="257">
        <f>angularseperation(MoonRA,MoonDec,$M1599,$O1599)</f>
        <v>85.223116734861563</v>
      </c>
      <c r="AH1599" s="261">
        <f ca="1">MIN(100,IF($O$5&gt;80,0+30*($AG1599/100),IF($O$5&gt;70,0+50*($AG1599/100),IF($O$5&gt;60,5+50*($AG1599/100),IF($O$5&gt;50,10+60*($AG1599/100),IF($O$5&gt;40,15+70*($AG1599/100),IF($O$5&gt;30,20+70*($AG1599/100),IF($O$5&gt;20,40+55*($AG1599/100),(80+(20-$O$5)+30*($AG1599/100))))))))))</f>
        <v>100</v>
      </c>
      <c r="AI1599" s="263">
        <v>1313</v>
      </c>
      <c r="AJ1599" s="263"/>
      <c r="AK1599" s="263"/>
      <c r="AL1599" s="263"/>
      <c r="AM1599" s="264"/>
      <c r="AN1599" s="263"/>
      <c r="AO1599" s="263"/>
      <c r="AP1599" s="265"/>
      <c r="AQ1599" s="265"/>
      <c r="AR1599" s="285">
        <v>12286</v>
      </c>
      <c r="AS1599" s="263"/>
      <c r="AT1599" s="263"/>
      <c r="AU1599" s="263"/>
      <c r="AV1599" s="264"/>
      <c r="AW1599" s="263"/>
      <c r="AX1599" s="263"/>
      <c r="AY1599" s="263"/>
      <c r="AZ1599" s="263"/>
      <c r="BA1599" s="263"/>
      <c r="BB1599" s="263"/>
      <c r="BC1599" s="263"/>
      <c r="BD1599" s="264"/>
      <c r="BE1599" s="263"/>
      <c r="BF1599" s="263"/>
      <c r="BG1599" s="263"/>
      <c r="BH1599" s="263"/>
      <c r="BI1599" s="263"/>
      <c r="BJ1599" s="404">
        <f>altaz(J2000_Bas,$O1599,$M1599,DecLat,DecLong,2)</f>
        <v>153.70553821030902</v>
      </c>
      <c r="BK1599" s="378" t="s">
        <v>5551</v>
      </c>
      <c r="BL1599" s="379">
        <f>IF((2*G1599)/60&lt;0.2,0.2,(2*G1599)/60)</f>
        <v>0.3</v>
      </c>
      <c r="BM1599" s="380">
        <f>MOD((50000+AD1599-$B$3+(0/24)),1)</f>
        <v>0.34590576546179364</v>
      </c>
      <c r="BN1599" s="381"/>
      <c r="BO1599" s="382">
        <v>1592</v>
      </c>
    </row>
    <row r="1600" spans="1:67" s="24" customFormat="1" ht="15" customHeight="1" x14ac:dyDescent="0.25">
      <c r="A1600" s="288" t="s">
        <v>1613</v>
      </c>
      <c r="B1600" s="241" t="str">
        <f>HYPERLINK(CONCATENATE($AT$3,BK1600,$AU$3),$AV$3)</f>
        <v>S</v>
      </c>
      <c r="C1600" s="242" t="str">
        <f>HYPERLINK(CONCATENATE($AT$4,BK1600,$AU$4,BL1600),$AV$4)</f>
        <v>A</v>
      </c>
      <c r="D1600" s="243" t="s">
        <v>5638</v>
      </c>
      <c r="E1600" s="244" t="s">
        <v>5182</v>
      </c>
      <c r="F1600" s="269" t="s">
        <v>8903</v>
      </c>
      <c r="G1600" s="273">
        <v>9</v>
      </c>
      <c r="H1600" s="283">
        <v>70</v>
      </c>
      <c r="I1600" s="246">
        <v>180</v>
      </c>
      <c r="J1600" s="246">
        <v>3</v>
      </c>
      <c r="K1600" s="247" t="s">
        <v>6675</v>
      </c>
      <c r="L1600" s="248">
        <v>32242</v>
      </c>
      <c r="M1600" s="249">
        <f>15*(LEFT(TEXT($L1600,"000000"),2)+(MID(TEXT($L1600,"000000"),3,2)/60)+(RIGHT(TEXT($L1600,"000000"),2)/3600))</f>
        <v>50.675000000000004</v>
      </c>
      <c r="N1600" s="250">
        <v>-371230</v>
      </c>
      <c r="O1600" s="251">
        <f>IF($N1600&gt;0,(LEFT(TEXT($N1600,"000000"),2)+(MID(TEXT($N1600,"000000"),3,2)/60)+(RIGHT(TEXT($N1600,"000000"),2)/3600)),-(MID(TEXT($N1600,"000000"),2,2)+(MID(TEXT($N1600,"000000"),4,2)/60)+(RIGHT(TEXT($N1600,"000000"),2)/3600)))</f>
        <v>-37.208333333333336</v>
      </c>
      <c r="P1600" s="252" t="s">
        <v>215</v>
      </c>
      <c r="Q1600" s="253"/>
      <c r="R1600" s="247" t="s">
        <v>3389</v>
      </c>
      <c r="S1600" s="272" t="s">
        <v>6674</v>
      </c>
      <c r="T1600" s="273">
        <v>8.5</v>
      </c>
      <c r="U1600" s="289">
        <v>22.29</v>
      </c>
      <c r="V1600" s="280">
        <v>60</v>
      </c>
      <c r="W1600" s="244"/>
      <c r="X1600" s="244"/>
      <c r="Y1600" s="362"/>
      <c r="Z1600" s="257">
        <f>altaz(J2000_Bas,$O1600,$M1600,DecLat,DecLong,1)</f>
        <v>-44.412450766014729</v>
      </c>
      <c r="AA1600" s="257">
        <f>altaz((J2000_Bas+(2*0.04167)),$O1600,$M1600,DecLat,DecLong,1)</f>
        <v>-21.472659198185486</v>
      </c>
      <c r="AB1600" s="257">
        <f>altaz((J2000_Bas+(4*0.04167)),$O1600,$M1600,DecLat,DecLong,1)</f>
        <v>-1.0075131527229764</v>
      </c>
      <c r="AC1600" s="257">
        <f>altaz((J2000_Bas+(6*0.04167)),$O1600,$M1600,DecLat,DecLong,1)</f>
        <v>14.578983485851632</v>
      </c>
      <c r="AD1600" s="258">
        <f>1+ transit((J2000_Bas-1),$O1600,$M1600,DecLat,DecLong)/360 + (GMTOffset/24) + (IF(DST="Y", 1, 0)/24)</f>
        <v>1.1336638354422079</v>
      </c>
      <c r="AE1600" s="259">
        <f>DATE(2001,9,21)+(M1600/360)*365 - (360*((DecLong/360)- (GMTOffset/24) ))</f>
        <v>37211.378819444442</v>
      </c>
      <c r="AF1600" s="260">
        <f>IF(DecLat&gt;0,IF((90 - (DecLat-O1600))&gt;90, (90 - (O1600-DecLat)), (90 - (DecLat-O1600))),IF((90 + (DecLat-O1600))&gt;90, (90 + (O1600-DecLat)), (90 + (DecLat-O1600))))</f>
        <v>21.791666666666657</v>
      </c>
      <c r="AG1600" s="257">
        <f>angularseperation(MoonRA,MoonDec,$M1600,$O1600)</f>
        <v>113.38272001847535</v>
      </c>
      <c r="AH1600" s="261">
        <f ca="1">MIN(100,IF($O$5&gt;80,0+30*($AG1600/100),IF($O$5&gt;70,0+50*($AG1600/100),IF($O$5&gt;60,5+50*($AG1600/100),IF($O$5&gt;50,10+60*($AG1600/100),IF($O$5&gt;40,15+70*($AG1600/100),IF($O$5&gt;30,20+70*($AG1600/100),IF($O$5&gt;20,40+55*($AG1600/100),(80+(20-$O$5)+30*($AG1600/100))))))))))</f>
        <v>100</v>
      </c>
      <c r="AI1600" s="262">
        <v>1316</v>
      </c>
      <c r="AJ1600" s="262"/>
      <c r="AK1600" s="262"/>
      <c r="AL1600" s="263"/>
      <c r="AM1600" s="264"/>
      <c r="AN1600" s="263">
        <v>154</v>
      </c>
      <c r="AO1600" s="263"/>
      <c r="AP1600" s="265"/>
      <c r="AQ1600" s="266"/>
      <c r="AR1600" s="267">
        <v>12651</v>
      </c>
      <c r="AS1600" s="263"/>
      <c r="AT1600" s="263"/>
      <c r="AU1600" s="263"/>
      <c r="AV1600" s="264"/>
      <c r="AW1600" s="263"/>
      <c r="AX1600" s="263"/>
      <c r="AY1600" s="263"/>
      <c r="AZ1600" s="263"/>
      <c r="BA1600" s="263"/>
      <c r="BB1600" s="263"/>
      <c r="BC1600" s="263"/>
      <c r="BD1600" s="264"/>
      <c r="BE1600" s="263">
        <v>13</v>
      </c>
      <c r="BF1600" s="263"/>
      <c r="BG1600" s="263"/>
      <c r="BH1600" s="263"/>
      <c r="BI1600" s="263"/>
      <c r="BJ1600" s="404">
        <f>altaz(J2000_Bas,$O1600,$M1600,DecLat,DecLong,2)</f>
        <v>113.51334398921284</v>
      </c>
      <c r="BK1600" s="378" t="s">
        <v>1613</v>
      </c>
      <c r="BL1600" s="379">
        <f>IF((2*G1600)/60&lt;0.2,0.2,(2*G1600)/60)</f>
        <v>0.3</v>
      </c>
      <c r="BM1600" s="380">
        <f>MOD((50000+AD1600-$B$3+(0/24)),1)</f>
        <v>0.34903076514456188</v>
      </c>
      <c r="BN1600" s="381"/>
      <c r="BO1600" s="382">
        <v>1593</v>
      </c>
    </row>
    <row r="1601" spans="1:67" s="24" customFormat="1" ht="15" customHeight="1" x14ac:dyDescent="0.25">
      <c r="A1601" s="288" t="s">
        <v>1614</v>
      </c>
      <c r="B1601" s="241" t="str">
        <f>HYPERLINK(CONCATENATE($AT$3,BK1601,$AU$3),$AV$3)</f>
        <v>S</v>
      </c>
      <c r="C1601" s="242" t="str">
        <f>HYPERLINK(CONCATENATE($AT$4,BK1601,$AU$4,BL1601),$AV$4)</f>
        <v>A</v>
      </c>
      <c r="D1601" s="243" t="s">
        <v>5638</v>
      </c>
      <c r="E1601" s="244" t="s">
        <v>4292</v>
      </c>
      <c r="F1601" s="269"/>
      <c r="G1601" s="273">
        <v>4</v>
      </c>
      <c r="H1601" s="283">
        <v>75</v>
      </c>
      <c r="I1601" s="246">
        <v>90</v>
      </c>
      <c r="J1601" s="246">
        <v>3</v>
      </c>
      <c r="K1601" s="247" t="s">
        <v>6676</v>
      </c>
      <c r="L1601" s="248">
        <v>32425</v>
      </c>
      <c r="M1601" s="249">
        <f>15*(LEFT(TEXT($L1601,"000000"),2)+(MID(TEXT($L1601,"000000"),3,2)/60)+(RIGHT(TEXT($L1601,"000000"),2)/3600))</f>
        <v>51.104166666666671</v>
      </c>
      <c r="N1601" s="250">
        <v>-213240</v>
      </c>
      <c r="O1601" s="251">
        <f>IF($N1601&gt;0,(LEFT(TEXT($N1601,"000000"),2)+(MID(TEXT($N1601,"000000"),3,2)/60)+(RIGHT(TEXT($N1601,"000000"),2)/3600)),-(MID(TEXT($N1601,"000000"),2,2)+(MID(TEXT($N1601,"000000"),4,2)/60)+(RIGHT(TEXT($N1601,"000000"),2)/3600)))</f>
        <v>-21.544444444444448</v>
      </c>
      <c r="P1601" s="252" t="s">
        <v>257</v>
      </c>
      <c r="Q1601" s="253"/>
      <c r="R1601" s="277" t="s">
        <v>3377</v>
      </c>
      <c r="S1601" s="272" t="s">
        <v>3293</v>
      </c>
      <c r="T1601" s="273">
        <v>11.5</v>
      </c>
      <c r="U1601" s="289">
        <v>22.490000000000002</v>
      </c>
      <c r="V1601" s="280">
        <v>75</v>
      </c>
      <c r="W1601" s="244"/>
      <c r="X1601" s="244"/>
      <c r="Y1601" s="362"/>
      <c r="Z1601" s="257">
        <f>altaz(J2000_Bas,$O1601,$M1601,DecLat,DecLong,1)</f>
        <v>-40.360235759711074</v>
      </c>
      <c r="AA1601" s="257">
        <f>altaz((J2000_Bas+(2*0.04167)),$O1601,$M1601,DecLat,DecLong,1)</f>
        <v>-15.002241746411425</v>
      </c>
      <c r="AB1601" s="257">
        <f>altaz((J2000_Bas+(4*0.04167)),$O1601,$M1601,DecLat,DecLong,1)</f>
        <v>8.5494422836109134</v>
      </c>
      <c r="AC1601" s="257">
        <f>altaz((J2000_Bas+(6*0.04167)),$O1601,$M1601,DecLat,DecLong,1)</f>
        <v>27.721293388343749</v>
      </c>
      <c r="AD1601" s="258">
        <f>1+ transit((J2000_Bas-1),$O1601,$M1601,DecLat,DecLong)/360 + (GMTOffset/24) + (IF(DST="Y", 1, 0)/24)</f>
        <v>1.1348559649526246</v>
      </c>
      <c r="AE1601" s="259">
        <f>DATE(2001,9,21)+(M1601/360)*365 - (360*((DecLong/360)- (GMTOffset/24) ))</f>
        <v>37211.813946759263</v>
      </c>
      <c r="AF1601" s="260">
        <f>IF(DecLat&gt;0,IF((90 - (DecLat-O1601))&gt;90, (90 - (O1601-DecLat)), (90 - (DecLat-O1601))),IF((90 + (DecLat-O1601))&gt;90, (90 + (O1601-DecLat)), (90 + (DecLat-O1601))))</f>
        <v>37.455555555555549</v>
      </c>
      <c r="AG1601" s="257">
        <f>angularseperation(MoonRA,MoonDec,$M1601,$O1601)</f>
        <v>128.30072104671436</v>
      </c>
      <c r="AH1601" s="261">
        <f ca="1">MIN(100,IF($O$5&gt;80,0+30*($AG1601/100),IF($O$5&gt;70,0+50*($AG1601/100),IF($O$5&gt;60,5+50*($AG1601/100),IF($O$5&gt;50,10+60*($AG1601/100),IF($O$5&gt;40,15+70*($AG1601/100),IF($O$5&gt;30,20+70*($AG1601/100),IF($O$5&gt;20,40+55*($AG1601/100),(80+(20-$O$5)+30*($AG1601/100))))))))))</f>
        <v>100</v>
      </c>
      <c r="AI1601" s="262">
        <v>1325</v>
      </c>
      <c r="AJ1601" s="263"/>
      <c r="AK1601" s="263"/>
      <c r="AL1601" s="263"/>
      <c r="AM1601" s="264"/>
      <c r="AN1601" s="263"/>
      <c r="AO1601" s="263"/>
      <c r="AP1601" s="265"/>
      <c r="AQ1601" s="265"/>
      <c r="AR1601" s="285">
        <v>12737</v>
      </c>
      <c r="AS1601" s="263"/>
      <c r="AT1601" s="263"/>
      <c r="AU1601" s="263"/>
      <c r="AV1601" s="264"/>
      <c r="AW1601" s="263"/>
      <c r="AX1601" s="263"/>
      <c r="AY1601" s="263"/>
      <c r="AZ1601" s="263"/>
      <c r="BA1601" s="263"/>
      <c r="BB1601" s="263"/>
      <c r="BC1601" s="263"/>
      <c r="BD1601" s="264"/>
      <c r="BE1601" s="263"/>
      <c r="BF1601" s="263"/>
      <c r="BG1601" s="263"/>
      <c r="BH1601" s="263"/>
      <c r="BI1601" s="263"/>
      <c r="BJ1601" s="404">
        <f>altaz(J2000_Bas,$O1601,$M1601,DecLat,DecLong,2)</f>
        <v>92.956555386567544</v>
      </c>
      <c r="BK1601" s="378" t="s">
        <v>1614</v>
      </c>
      <c r="BL1601" s="379">
        <f>IF((2*G1601)/60&lt;0.2,0.2,(2*G1601)/60)</f>
        <v>0.2</v>
      </c>
      <c r="BM1601" s="380">
        <f>MOD((50000+AD1601-$B$3+(0/24)),1)</f>
        <v>0.35022289465996437</v>
      </c>
      <c r="BN1601" s="381"/>
      <c r="BO1601" s="382">
        <v>1594</v>
      </c>
    </row>
    <row r="1602" spans="1:67" s="24" customFormat="1" ht="15" customHeight="1" x14ac:dyDescent="0.25">
      <c r="A1602" s="288" t="s">
        <v>1615</v>
      </c>
      <c r="B1602" s="241" t="str">
        <f>HYPERLINK(CONCATENATE($AT$3,BK1602,$AU$3),$AV$3)</f>
        <v>S</v>
      </c>
      <c r="C1602" s="242" t="str">
        <f>HYPERLINK(CONCATENATE($AT$4,BK1602,$AU$4,BL1602),$AV$4)</f>
        <v>A</v>
      </c>
      <c r="D1602" s="243" t="s">
        <v>5638</v>
      </c>
      <c r="E1602" s="244" t="s">
        <v>5182</v>
      </c>
      <c r="F1602" s="269" t="s">
        <v>8940</v>
      </c>
      <c r="G1602" s="273">
        <v>3.5</v>
      </c>
      <c r="H1602" s="283">
        <v>50</v>
      </c>
      <c r="I1602" s="246">
        <v>50</v>
      </c>
      <c r="J1602" s="246">
        <v>2</v>
      </c>
      <c r="K1602" s="247" t="s">
        <v>6677</v>
      </c>
      <c r="L1602" s="248">
        <v>32356</v>
      </c>
      <c r="M1602" s="249">
        <f>15*(LEFT(TEXT($L1602,"000000"),2)+(MID(TEXT($L1602,"000000"),3,2)/60)+(RIGHT(TEXT($L1602,"000000"),2)/3600))</f>
        <v>50.983333333333334</v>
      </c>
      <c r="N1602" s="250">
        <v>-362751</v>
      </c>
      <c r="O1602" s="251">
        <f>IF($N1602&gt;0,(LEFT(TEXT($N1602,"000000"),2)+(MID(TEXT($N1602,"000000"),3,2)/60)+(RIGHT(TEXT($N1602,"000000"),2)/3600)),-(MID(TEXT($N1602,"000000"),2,2)+(MID(TEXT($N1602,"000000"),4,2)/60)+(RIGHT(TEXT($N1602,"000000"),2)/3600)))</f>
        <v>-36.464166666666671</v>
      </c>
      <c r="P1602" s="252" t="s">
        <v>215</v>
      </c>
      <c r="Q1602" s="253"/>
      <c r="R1602" s="277" t="s">
        <v>3293</v>
      </c>
      <c r="S1602" s="272" t="s">
        <v>3293</v>
      </c>
      <c r="T1602" s="273">
        <v>10.5</v>
      </c>
      <c r="U1602" s="289">
        <v>21.89</v>
      </c>
      <c r="V1602" s="280">
        <v>50</v>
      </c>
      <c r="W1602" s="244"/>
      <c r="X1602" s="244"/>
      <c r="Y1602" s="362"/>
      <c r="Z1602" s="257">
        <f>altaz(J2000_Bas,$O1602,$M1602,DecLat,DecLong,1)</f>
        <v>-44.531962375734665</v>
      </c>
      <c r="AA1602" s="257">
        <f>altaz((J2000_Bas+(2*0.04167)),$O1602,$M1602,DecLat,DecLong,1)</f>
        <v>-21.403538068024297</v>
      </c>
      <c r="AB1602" s="257">
        <f>altaz((J2000_Bas+(4*0.04167)),$O1602,$M1602,DecLat,DecLong,1)</f>
        <v>-0.72820822344003777</v>
      </c>
      <c r="AC1602" s="257">
        <f>altaz((J2000_Bas+(6*0.04167)),$O1602,$M1602,DecLat,DecLong,1)</f>
        <v>15.097900259041069</v>
      </c>
      <c r="AD1602" s="258">
        <f>1+ transit((J2000_Bas-1),$O1602,$M1602,DecLat,DecLong)/360 + (GMTOffset/24) + (IF(DST="Y", 1, 0)/24)</f>
        <v>1.1345203168380413</v>
      </c>
      <c r="AE1602" s="259">
        <f>DATE(2001,9,21)+(M1602/360)*365 - (360*((DecLong/360)- (GMTOffset/24) ))</f>
        <v>37211.691435185188</v>
      </c>
      <c r="AF1602" s="260">
        <f>IF(DecLat&gt;0,IF((90 - (DecLat-O1602))&gt;90, (90 - (O1602-DecLat)), (90 - (DecLat-O1602))),IF((90 + (DecLat-O1602))&gt;90, (90 + (O1602-DecLat)), (90 + (DecLat-O1602))))</f>
        <v>22.535833333333329</v>
      </c>
      <c r="AG1602" s="257">
        <f>angularseperation(MoonRA,MoonDec,$M1602,$O1602)</f>
        <v>114.16671100353747</v>
      </c>
      <c r="AH1602" s="261">
        <f ca="1">MIN(100,IF($O$5&gt;80,0+30*($AG1602/100),IF($O$5&gt;70,0+50*($AG1602/100),IF($O$5&gt;60,5+50*($AG1602/100),IF($O$5&gt;50,10+60*($AG1602/100),IF($O$5&gt;40,15+70*($AG1602/100),IF($O$5&gt;30,20+70*($AG1602/100),IF($O$5&gt;20,40+55*($AG1602/100),(80+(20-$O$5)+30*($AG1602/100))))))))))</f>
        <v>100</v>
      </c>
      <c r="AI1602" s="262">
        <v>1326</v>
      </c>
      <c r="AJ1602" s="263"/>
      <c r="AK1602" s="263"/>
      <c r="AL1602" s="263"/>
      <c r="AM1602" s="264"/>
      <c r="AN1602" s="263"/>
      <c r="AO1602" s="263"/>
      <c r="AP1602" s="265"/>
      <c r="AQ1602" s="265"/>
      <c r="AR1602" s="285">
        <v>12709</v>
      </c>
      <c r="AS1602" s="263"/>
      <c r="AT1602" s="263"/>
      <c r="AU1602" s="263"/>
      <c r="AV1602" s="264"/>
      <c r="AW1602" s="263"/>
      <c r="AX1602" s="263"/>
      <c r="AY1602" s="263"/>
      <c r="AZ1602" s="263"/>
      <c r="BA1602" s="263"/>
      <c r="BB1602" s="263"/>
      <c r="BC1602" s="263"/>
      <c r="BD1602" s="264"/>
      <c r="BE1602" s="263"/>
      <c r="BF1602" s="263"/>
      <c r="BG1602" s="263"/>
      <c r="BH1602" s="263"/>
      <c r="BI1602" s="263"/>
      <c r="BJ1602" s="404">
        <f>altaz(J2000_Bas,$O1602,$M1602,DecLat,DecLong,2)</f>
        <v>112.42748442593641</v>
      </c>
      <c r="BK1602" s="378" t="s">
        <v>1615</v>
      </c>
      <c r="BL1602" s="379">
        <f>IF((2*G1602)/60&lt;0.2,0.2,(2*G1602)/60)</f>
        <v>0.2</v>
      </c>
      <c r="BM1602" s="380">
        <f>MOD((50000+AD1602-$B$3+(0/24)),1)</f>
        <v>0.34988724654249381</v>
      </c>
      <c r="BN1602" s="381"/>
      <c r="BO1602" s="382">
        <v>1595</v>
      </c>
    </row>
    <row r="1603" spans="1:67" s="24" customFormat="1" ht="15" customHeight="1" x14ac:dyDescent="0.25">
      <c r="A1603" s="288" t="s">
        <v>1616</v>
      </c>
      <c r="B1603" s="241" t="str">
        <f>HYPERLINK(CONCATENATE($AT$3,BK1603,$AU$3),$AV$3)</f>
        <v>S</v>
      </c>
      <c r="C1603" s="242" t="str">
        <f>HYPERLINK(CONCATENATE($AT$4,BK1603,$AU$4,BL1603),$AV$4)</f>
        <v>A</v>
      </c>
      <c r="D1603" s="243" t="s">
        <v>5187</v>
      </c>
      <c r="E1603" s="244" t="s">
        <v>5186</v>
      </c>
      <c r="F1603" s="269"/>
      <c r="G1603" s="276">
        <v>14</v>
      </c>
      <c r="H1603" s="283">
        <v>1100</v>
      </c>
      <c r="I1603" s="279">
        <v>4.5</v>
      </c>
      <c r="J1603" s="246">
        <v>5</v>
      </c>
      <c r="K1603" s="247" t="s">
        <v>9431</v>
      </c>
      <c r="L1603" s="248">
        <v>32920</v>
      </c>
      <c r="M1603" s="249">
        <f>15*(LEFT(TEXT($L1603,"000000"),2)+(MID(TEXT($L1603,"000000"),3,2)/60)+(RIGHT(TEXT($L1603,"000000"),2)/3600))</f>
        <v>52.333333333333336</v>
      </c>
      <c r="N1603" s="250">
        <v>312456</v>
      </c>
      <c r="O1603" s="251">
        <f>IF($N1603&gt;0,(LEFT(TEXT($N1603,"000000"),2)+(MID(TEXT($N1603,"000000"),3,2)/60)+(RIGHT(TEXT($N1603,"000000"),2)/3600)),-(MID(TEXT($N1603,"000000"),2,2)+(MID(TEXT($N1603,"000000"),4,2)/60)+(RIGHT(TEXT($N1603,"000000"),2)/3600)))</f>
        <v>31.415555555555553</v>
      </c>
      <c r="P1603" s="252" t="s">
        <v>43</v>
      </c>
      <c r="Q1603" s="253" t="s">
        <v>6981</v>
      </c>
      <c r="R1603" s="247"/>
      <c r="S1603" s="272" t="s">
        <v>3293</v>
      </c>
      <c r="T1603" s="273"/>
      <c r="U1603" s="274"/>
      <c r="V1603" s="280"/>
      <c r="W1603" s="244"/>
      <c r="X1603" s="244"/>
      <c r="Y1603" s="362"/>
      <c r="Z1603" s="257">
        <f>altaz(J2000_Bas,$O1603,$M1603,DecLat,DecLong,1)</f>
        <v>-9.492762064522827</v>
      </c>
      <c r="AA1603" s="257">
        <f>altaz((J2000_Bas+(2*0.04167)),$O1603,$M1603,DecLat,DecLong,1)</f>
        <v>10.886854204965717</v>
      </c>
      <c r="AB1603" s="257">
        <f>altaz((J2000_Bas+(4*0.04167)),$O1603,$M1603,DecLat,DecLong,1)</f>
        <v>34.340281143861823</v>
      </c>
      <c r="AC1603" s="257">
        <f>altaz((J2000_Bas+(6*0.04167)),$O1603,$M1603,DecLat,DecLong,1)</f>
        <v>59.281559475302444</v>
      </c>
      <c r="AD1603" s="258">
        <f>1+ transit((J2000_Bas-1),$O1603,$M1603,DecLat,DecLong)/360 + (GMTOffset/24) + (IF(DST="Y", 1, 0)/24)</f>
        <v>1.1382703164630412</v>
      </c>
      <c r="AE1603" s="259">
        <f>DATE(2001,9,21)+(M1603/360)*365 - (360*((DecLong/360)- (GMTOffset/24) ))</f>
        <v>37213.060185185182</v>
      </c>
      <c r="AF1603" s="260">
        <f>IF(DecLat&gt;0,IF((90 - (DecLat-O1603))&gt;90, (90 - (O1603-DecLat)), (90 - (DecLat-O1603))),IF((90 + (DecLat-O1603))&gt;90, (90 + (O1603-DecLat)), (90 + (DecLat-O1603))))</f>
        <v>89.584444444444443</v>
      </c>
      <c r="AG1603" s="257">
        <f>angularseperation(MoonRA,MoonDec,$M1603,$O1603)</f>
        <v>164.64348301310284</v>
      </c>
      <c r="AH1603" s="261">
        <f ca="1">MIN(100,IF($O$5&gt;80,0+30*($AG1603/100),IF($O$5&gt;70,0+50*($AG1603/100),IF($O$5&gt;60,5+50*($AG1603/100),IF($O$5&gt;50,10+60*($AG1603/100),IF($O$5&gt;40,15+70*($AG1603/100),IF($O$5&gt;30,20+70*($AG1603/100),IF($O$5&gt;20,40+55*($AG1603/100),(80+(20-$O$5)+30*($AG1603/100))))))))))</f>
        <v>100</v>
      </c>
      <c r="AI1603" s="262">
        <v>1333</v>
      </c>
      <c r="AJ1603" s="262"/>
      <c r="AK1603" s="262"/>
      <c r="AL1603" s="263"/>
      <c r="AM1603" s="264"/>
      <c r="AN1603" s="263"/>
      <c r="AO1603" s="263"/>
      <c r="AP1603" s="265"/>
      <c r="AQ1603" s="266"/>
      <c r="AR1603" s="267"/>
      <c r="AS1603" s="263"/>
      <c r="AT1603" s="263"/>
      <c r="AU1603" s="263"/>
      <c r="AV1603" s="264"/>
      <c r="AW1603" s="263"/>
      <c r="AX1603" s="263"/>
      <c r="AY1603" s="263"/>
      <c r="AZ1603" s="263">
        <v>1450</v>
      </c>
      <c r="BA1603" s="263"/>
      <c r="BB1603" s="263"/>
      <c r="BC1603" s="263"/>
      <c r="BD1603" s="264">
        <v>17</v>
      </c>
      <c r="BE1603" s="263">
        <v>15</v>
      </c>
      <c r="BF1603" s="263"/>
      <c r="BG1603" s="263"/>
      <c r="BH1603" s="263"/>
      <c r="BI1603" s="263"/>
      <c r="BJ1603" s="404">
        <f>altaz(J2000_Bas,$O1603,$M1603,DecLat,DecLong,2)</f>
        <v>44.19168725874146</v>
      </c>
      <c r="BK1603" s="378" t="s">
        <v>1616</v>
      </c>
      <c r="BL1603" s="379">
        <f>IF((2*G1603)/60&lt;0.2,0.2,(2*G1603)/60)</f>
        <v>0.46666666666666667</v>
      </c>
      <c r="BM1603" s="380">
        <f>MOD((50000+AD1603-$B$3+(0/24)),1)</f>
        <v>0.35363724616763648</v>
      </c>
      <c r="BN1603" s="381"/>
      <c r="BO1603" s="382">
        <v>1596</v>
      </c>
    </row>
    <row r="1604" spans="1:67" s="24" customFormat="1" ht="15" customHeight="1" x14ac:dyDescent="0.25">
      <c r="A1604" s="288" t="s">
        <v>3165</v>
      </c>
      <c r="B1604" s="241" t="str">
        <f>HYPERLINK(CONCATENATE($AT$3,BK1604,$AU$3),$AV$3)</f>
        <v>S</v>
      </c>
      <c r="C1604" s="242" t="str">
        <f>HYPERLINK(CONCATENATE($AT$4,BK1604,$AU$4,BL1604),$AV$4)</f>
        <v>A</v>
      </c>
      <c r="D1604" s="243" t="s">
        <v>5638</v>
      </c>
      <c r="E1604" s="244" t="s">
        <v>5192</v>
      </c>
      <c r="F1604" s="269" t="s">
        <v>8699</v>
      </c>
      <c r="G1604" s="273">
        <v>1.5</v>
      </c>
      <c r="H1604" s="283">
        <v>160</v>
      </c>
      <c r="I1604" s="246">
        <v>70</v>
      </c>
      <c r="J1604" s="246">
        <v>2</v>
      </c>
      <c r="K1604" s="247" t="s">
        <v>6678</v>
      </c>
      <c r="L1604" s="248">
        <v>33002</v>
      </c>
      <c r="M1604" s="249">
        <f>15*(LEFT(TEXT($L1604,"000000"),2)+(MID(TEXT($L1604,"000000"),3,2)/60)+(RIGHT(TEXT($L1604,"000000"),2)/3600))</f>
        <v>52.508333333333333</v>
      </c>
      <c r="N1604" s="250">
        <v>414954</v>
      </c>
      <c r="O1604" s="251">
        <f>IF($N1604&gt;0,(LEFT(TEXT($N1604,"000000"),2)+(MID(TEXT($N1604,"000000"),3,2)/60)+(RIGHT(TEXT($N1604,"000000"),2)/3600)),-(MID(TEXT($N1604,"000000"),2,2)+(MID(TEXT($N1604,"000000"),4,2)/60)+(RIGHT(TEXT($N1604,"000000"),2)/3600)))</f>
        <v>41.831666666666671</v>
      </c>
      <c r="P1604" s="252" t="s">
        <v>43</v>
      </c>
      <c r="Q1604" s="253"/>
      <c r="R1604" s="277" t="s">
        <v>3293</v>
      </c>
      <c r="S1604" s="272" t="s">
        <v>3293</v>
      </c>
      <c r="T1604" s="273">
        <v>13.2</v>
      </c>
      <c r="U1604" s="289">
        <v>21.990000000000002</v>
      </c>
      <c r="V1604" s="280">
        <v>78</v>
      </c>
      <c r="W1604" s="244"/>
      <c r="X1604" s="244"/>
      <c r="Y1604" s="362"/>
      <c r="Z1604" s="257">
        <f>altaz(J2000_Bas,$O1604,$M1604,DecLat,DecLong,1)</f>
        <v>-2.0890004894617733</v>
      </c>
      <c r="AA1604" s="257">
        <f>altaz((J2000_Bas+(2*0.04167)),$O1604,$M1604,DecLat,DecLong,1)</f>
        <v>15.787728159652337</v>
      </c>
      <c r="AB1604" s="257">
        <f>altaz((J2000_Bas+(4*0.04167)),$O1604,$M1604,DecLat,DecLong,1)</f>
        <v>36.858772819526664</v>
      </c>
      <c r="AC1604" s="257">
        <f>altaz((J2000_Bas+(6*0.04167)),$O1604,$M1604,DecLat,DecLong,1)</f>
        <v>59.154115045476395</v>
      </c>
      <c r="AD1604" s="258">
        <f>1+ transit((J2000_Bas-1),$O1604,$M1604,DecLat,DecLong)/360 + (GMTOffset/24) + (IF(DST="Y", 1, 0)/24)</f>
        <v>1.1387564275255413</v>
      </c>
      <c r="AE1604" s="259">
        <f>DATE(2001,9,21)+(M1604/360)*365 - (360*((DecLong/360)- (GMTOffset/24) ))</f>
        <v>37213.237615740742</v>
      </c>
      <c r="AF1604" s="260">
        <f>IF(DecLat&gt;0,IF((90 - (DecLat-O1604))&gt;90, (90 - (O1604-DecLat)), (90 - (DecLat-O1604))),IF((90 + (DecLat-O1604))&gt;90, (90 + (O1604-DecLat)), (90 + (DecLat-O1604))))</f>
        <v>79.168333333333322</v>
      </c>
      <c r="AG1604" s="257">
        <f>angularseperation(MoonRA,MoonDec,$M1604,$O1604)</f>
        <v>159.87836122505797</v>
      </c>
      <c r="AH1604" s="261">
        <f ca="1">MIN(100,IF($O$5&gt;80,0+30*($AG1604/100),IF($O$5&gt;70,0+50*($AG1604/100),IF($O$5&gt;60,5+50*($AG1604/100),IF($O$5&gt;50,10+60*($AG1604/100),IF($O$5&gt;40,15+70*($AG1604/100),IF($O$5&gt;30,20+70*($AG1604/100),IF($O$5&gt;20,40+55*($AG1604/100),(80+(20-$O$5)+30*($AG1604/100))))))))))</f>
        <v>100</v>
      </c>
      <c r="AI1604" s="263">
        <v>1334</v>
      </c>
      <c r="AJ1604" s="263"/>
      <c r="AK1604" s="263"/>
      <c r="AL1604" s="263"/>
      <c r="AM1604" s="264"/>
      <c r="AN1604" s="263"/>
      <c r="AO1604" s="263"/>
      <c r="AP1604" s="265"/>
      <c r="AQ1604" s="265">
        <v>2759</v>
      </c>
      <c r="AR1604" s="285">
        <v>13001</v>
      </c>
      <c r="AS1604" s="263"/>
      <c r="AT1604" s="263"/>
      <c r="AU1604" s="263"/>
      <c r="AV1604" s="264"/>
      <c r="AW1604" s="263"/>
      <c r="AX1604" s="263"/>
      <c r="AY1604" s="263"/>
      <c r="AZ1604" s="263"/>
      <c r="BA1604" s="263"/>
      <c r="BB1604" s="263"/>
      <c r="BC1604" s="263"/>
      <c r="BD1604" s="264"/>
      <c r="BE1604" s="263"/>
      <c r="BF1604" s="263"/>
      <c r="BG1604" s="263"/>
      <c r="BH1604" s="263"/>
      <c r="BI1604" s="263"/>
      <c r="BJ1604" s="404">
        <f>altaz(J2000_Bas,$O1604,$M1604,DecLat,DecLong,2)</f>
        <v>36.820777350331156</v>
      </c>
      <c r="BK1604" s="378" t="s">
        <v>3165</v>
      </c>
      <c r="BL1604" s="379">
        <f>IF((2*G1604)/60&lt;0.2,0.2,(2*G1604)/60)</f>
        <v>0.2</v>
      </c>
      <c r="BM1604" s="380">
        <f>MOD((50000+AD1604-$B$3+(0/24)),1)</f>
        <v>0.35412335723231081</v>
      </c>
      <c r="BN1604" s="381"/>
      <c r="BO1604" s="382">
        <v>1597</v>
      </c>
    </row>
    <row r="1605" spans="1:67" s="24" customFormat="1" ht="15" customHeight="1" x14ac:dyDescent="0.25">
      <c r="A1605" s="288" t="s">
        <v>1617</v>
      </c>
      <c r="B1605" s="241" t="str">
        <f>HYPERLINK(CONCATENATE($AT$3,BK1605,$AU$3),$AV$3)</f>
        <v>S</v>
      </c>
      <c r="C1605" s="242" t="str">
        <f>HYPERLINK(CONCATENATE($AT$4,BK1605,$AU$4,BL1605),$AV$4)</f>
        <v>A</v>
      </c>
      <c r="D1605" s="243" t="s">
        <v>5638</v>
      </c>
      <c r="E1605" s="244" t="s">
        <v>5192</v>
      </c>
      <c r="F1605" s="269" t="s">
        <v>8941</v>
      </c>
      <c r="G1605" s="273">
        <v>7</v>
      </c>
      <c r="H1605" s="283">
        <v>50</v>
      </c>
      <c r="I1605" s="246">
        <v>95</v>
      </c>
      <c r="J1605" s="246">
        <v>3</v>
      </c>
      <c r="K1605" s="247" t="s">
        <v>8047</v>
      </c>
      <c r="L1605" s="248">
        <v>32806</v>
      </c>
      <c r="M1605" s="249">
        <f>15*(LEFT(TEXT($L1605,"000000"),2)+(MID(TEXT($L1605,"000000"),3,2)/60)+(RIGHT(TEXT($L1605,"000000"),2)/3600))</f>
        <v>52.024999999999999</v>
      </c>
      <c r="N1605" s="250">
        <v>-82322</v>
      </c>
      <c r="O1605" s="251">
        <f>IF($N1605&gt;0,(LEFT(TEXT($N1605,"000000"),2)+(MID(TEXT($N1605,"000000"),3,2)/60)+(RIGHT(TEXT($N1605,"000000"),2)/3600)),-(MID(TEXT($N1605,"000000"),2,2)+(MID(TEXT($N1605,"000000"),4,2)/60)+(RIGHT(TEXT($N1605,"000000"),2)/3600)))</f>
        <v>-8.3894444444444431</v>
      </c>
      <c r="P1605" s="252" t="s">
        <v>257</v>
      </c>
      <c r="Q1605" s="253"/>
      <c r="R1605" s="277" t="s">
        <v>3293</v>
      </c>
      <c r="S1605" s="272" t="s">
        <v>3293</v>
      </c>
      <c r="T1605" s="273">
        <v>11.9</v>
      </c>
      <c r="U1605" s="289">
        <v>22.990000000000002</v>
      </c>
      <c r="V1605" s="280">
        <v>83</v>
      </c>
      <c r="W1605" s="244"/>
      <c r="X1605" s="244"/>
      <c r="Y1605" s="362"/>
      <c r="Z1605" s="257">
        <f>altaz(J2000_Bas,$O1605,$M1605,DecLat,DecLong,1)</f>
        <v>-35.019222678605715</v>
      </c>
      <c r="AA1605" s="257">
        <f>altaz((J2000_Bas+(2*0.04167)),$O1605,$M1605,DecLat,DecLong,1)</f>
        <v>-9.3734570837747757</v>
      </c>
      <c r="AB1605" s="257">
        <f>altaz((J2000_Bas+(4*0.04167)),$O1605,$M1605,DecLat,DecLong,1)</f>
        <v>15.768352723721639</v>
      </c>
      <c r="AC1605" s="257">
        <f>altaz((J2000_Bas+(6*0.04167)),$O1605,$M1605,DecLat,DecLong,1)</f>
        <v>37.799785014547091</v>
      </c>
      <c r="AD1605" s="258">
        <f>1+ transit((J2000_Bas-1),$O1605,$M1605,DecLat,DecLong)/360 + (GMTOffset/24) + (IF(DST="Y", 1, 0)/24)</f>
        <v>1.1374138350672081</v>
      </c>
      <c r="AE1605" s="259">
        <f>DATE(2001,9,21)+(M1605/360)*365 - (360*((DecLong/360)- (GMTOffset/24) ))</f>
        <v>37212.747569444444</v>
      </c>
      <c r="AF1605" s="260">
        <f>IF(DecLat&gt;0,IF((90 - (DecLat-O1605))&gt;90, (90 - (O1605-DecLat)), (90 - (DecLat-O1605))),IF((90 + (DecLat-O1605))&gt;90, (90 + (O1605-DecLat)), (90 + (DecLat-O1605))))</f>
        <v>50.610555555555557</v>
      </c>
      <c r="AG1605" s="257">
        <f>angularseperation(MoonRA,MoonDec,$M1605,$O1605)</f>
        <v>140.79735966654434</v>
      </c>
      <c r="AH1605" s="261">
        <f ca="1">MIN(100,IF($O$5&gt;80,0+30*($AG1605/100),IF($O$5&gt;70,0+50*($AG1605/100),IF($O$5&gt;60,5+50*($AG1605/100),IF($O$5&gt;50,10+60*($AG1605/100),IF($O$5&gt;40,15+70*($AG1605/100),IF($O$5&gt;30,20+70*($AG1605/100),IF($O$5&gt;20,40+55*($AG1605/100),(80+(20-$O$5)+30*($AG1605/100))))))))))</f>
        <v>100</v>
      </c>
      <c r="AI1605" s="262">
        <v>1337</v>
      </c>
      <c r="AJ1605" s="263"/>
      <c r="AK1605" s="263"/>
      <c r="AL1605" s="263"/>
      <c r="AM1605" s="264"/>
      <c r="AN1605" s="263"/>
      <c r="AO1605" s="263"/>
      <c r="AP1605" s="265"/>
      <c r="AQ1605" s="265"/>
      <c r="AR1605" s="285">
        <v>12916</v>
      </c>
      <c r="AS1605" s="263"/>
      <c r="AT1605" s="263"/>
      <c r="AU1605" s="263"/>
      <c r="AV1605" s="264"/>
      <c r="AW1605" s="263"/>
      <c r="AX1605" s="263"/>
      <c r="AY1605" s="263"/>
      <c r="AZ1605" s="263"/>
      <c r="BA1605" s="263"/>
      <c r="BB1605" s="263"/>
      <c r="BC1605" s="263"/>
      <c r="BD1605" s="264"/>
      <c r="BE1605" s="263"/>
      <c r="BF1605" s="263"/>
      <c r="BG1605" s="263"/>
      <c r="BH1605" s="263"/>
      <c r="BI1605" s="263"/>
      <c r="BJ1605" s="404">
        <f>altaz(J2000_Bas,$O1605,$M1605,DecLat,DecLong,2)</f>
        <v>77.69079013355443</v>
      </c>
      <c r="BK1605" s="378" t="s">
        <v>1617</v>
      </c>
      <c r="BL1605" s="379">
        <f>IF((2*G1605)/60&lt;0.2,0.2,(2*G1605)/60)</f>
        <v>0.23333333333333334</v>
      </c>
      <c r="BM1605" s="380">
        <f>MOD((50000+AD1605-$B$3+(0/24)),1)</f>
        <v>0.35278076476970455</v>
      </c>
      <c r="BN1605" s="381"/>
      <c r="BO1605" s="382">
        <v>1598</v>
      </c>
    </row>
    <row r="1606" spans="1:67" s="24" customFormat="1" ht="15" customHeight="1" x14ac:dyDescent="0.25">
      <c r="A1606" s="288" t="s">
        <v>3210</v>
      </c>
      <c r="B1606" s="241" t="str">
        <f>HYPERLINK(CONCATENATE($AT$3,BK1606,$AU$3),$AV$3)</f>
        <v>S</v>
      </c>
      <c r="C1606" s="242" t="str">
        <f>HYPERLINK(CONCATENATE($AT$4,BK1606,$AU$4,BL1606),$AV$4)</f>
        <v>A</v>
      </c>
      <c r="D1606" s="243" t="s">
        <v>5638</v>
      </c>
      <c r="E1606" s="244" t="s">
        <v>5193</v>
      </c>
      <c r="F1606" s="269" t="s">
        <v>3309</v>
      </c>
      <c r="G1606" s="273">
        <v>3</v>
      </c>
      <c r="H1606" s="283">
        <v>60</v>
      </c>
      <c r="I1606" s="246">
        <v>55</v>
      </c>
      <c r="J1606" s="246">
        <v>1</v>
      </c>
      <c r="K1606" s="247" t="s">
        <v>6681</v>
      </c>
      <c r="L1606" s="248">
        <v>32819</v>
      </c>
      <c r="M1606" s="249">
        <f>15*(LEFT(TEXT($L1606,"000000"),2)+(MID(TEXT($L1606,"000000"),3,2)/60)+(RIGHT(TEXT($L1606,"000000"),2)/3600))</f>
        <v>52.079166666666666</v>
      </c>
      <c r="N1606" s="250">
        <v>-310405</v>
      </c>
      <c r="O1606" s="251">
        <f>IF($N1606&gt;0,(LEFT(TEXT($N1606,"000000"),2)+(MID(TEXT($N1606,"000000"),3,2)/60)+(RIGHT(TEXT($N1606,"000000"),2)/3600)),-(MID(TEXT($N1606,"000000"),2,2)+(MID(TEXT($N1606,"000000"),4,2)/60)+(RIGHT(TEXT($N1606,"000000"),2)/3600)))</f>
        <v>-31.068055555555556</v>
      </c>
      <c r="P1606" s="252" t="s">
        <v>215</v>
      </c>
      <c r="Q1606" s="253"/>
      <c r="R1606" s="277" t="s">
        <v>3293</v>
      </c>
      <c r="S1606" s="272" t="s">
        <v>3293</v>
      </c>
      <c r="T1606" s="273">
        <v>10.4</v>
      </c>
      <c r="U1606" s="289">
        <v>22.59</v>
      </c>
      <c r="V1606" s="280">
        <v>65</v>
      </c>
      <c r="W1606" s="244"/>
      <c r="X1606" s="244"/>
      <c r="Y1606" s="362"/>
      <c r="Z1606" s="257">
        <f>altaz(J2000_Bas,$O1606,$M1606,DecLat,DecLong,1)</f>
        <v>-44.277953553185867</v>
      </c>
      <c r="AA1606" s="257">
        <f>altaz((J2000_Bas+(2*0.04167)),$O1606,$M1606,DecLat,DecLong,1)</f>
        <v>-20.025134786673451</v>
      </c>
      <c r="AB1606" s="257">
        <f>altaz((J2000_Bas+(4*0.04167)),$O1606,$M1606,DecLat,DecLong,1)</f>
        <v>1.9441372497743887</v>
      </c>
      <c r="AC1606" s="257">
        <f>altaz((J2000_Bas+(6*0.04167)),$O1606,$M1606,DecLat,DecLong,1)</f>
        <v>19.240354528939534</v>
      </c>
      <c r="AD1606" s="258">
        <f>1+ transit((J2000_Bas-1),$O1606,$M1606,DecLat,DecLong)/360 + (GMTOffset/24) + (IF(DST="Y", 1, 0)/24)</f>
        <v>1.1375642980151246</v>
      </c>
      <c r="AE1606" s="259">
        <f>DATE(2001,9,21)+(M1606/360)*365 - (360*((DecLong/360)- (GMTOffset/24) ))</f>
        <v>37212.802488425928</v>
      </c>
      <c r="AF1606" s="260">
        <f>IF(DecLat&gt;0,IF((90 - (DecLat-O1606))&gt;90, (90 - (O1606-DecLat)), (90 - (DecLat-O1606))),IF((90 + (DecLat-O1606))&gt;90, (90 + (O1606-DecLat)), (90 + (DecLat-O1606))))</f>
        <v>27.93194444444444</v>
      </c>
      <c r="AG1606" s="257">
        <f>angularseperation(MoonRA,MoonDec,$M1606,$O1606)</f>
        <v>119.58446349025476</v>
      </c>
      <c r="AH1606" s="261">
        <f ca="1">MIN(100,IF($O$5&gt;80,0+30*($AG1606/100),IF($O$5&gt;70,0+50*($AG1606/100),IF($O$5&gt;60,5+50*($AG1606/100),IF($O$5&gt;50,10+60*($AG1606/100),IF($O$5&gt;40,15+70*($AG1606/100),IF($O$5&gt;30,20+70*($AG1606/100),IF($O$5&gt;20,40+55*($AG1606/100),(80+(20-$O$5)+30*($AG1606/100))))))))))</f>
        <v>100</v>
      </c>
      <c r="AI1606" s="262">
        <v>1344</v>
      </c>
      <c r="AJ1606" s="263"/>
      <c r="AK1606" s="263"/>
      <c r="AL1606" s="263"/>
      <c r="AM1606" s="264"/>
      <c r="AN1606" s="263"/>
      <c r="AO1606" s="263"/>
      <c r="AP1606" s="265"/>
      <c r="AQ1606" s="265"/>
      <c r="AR1606" s="285">
        <v>12923</v>
      </c>
      <c r="AS1606" s="263"/>
      <c r="AT1606" s="263"/>
      <c r="AU1606" s="263"/>
      <c r="AV1606" s="264"/>
      <c r="AW1606" s="263"/>
      <c r="AX1606" s="263"/>
      <c r="AY1606" s="263"/>
      <c r="AZ1606" s="263"/>
      <c r="BA1606" s="263"/>
      <c r="BB1606" s="263"/>
      <c r="BC1606" s="263"/>
      <c r="BD1606" s="264"/>
      <c r="BE1606" s="263"/>
      <c r="BF1606" s="263"/>
      <c r="BG1606" s="263"/>
      <c r="BH1606" s="263"/>
      <c r="BI1606" s="263"/>
      <c r="BJ1606" s="404">
        <f>altaz(J2000_Bas,$O1606,$M1606,DecLat,DecLong,2)</f>
        <v>104.7730129101716</v>
      </c>
      <c r="BK1606" s="378" t="s">
        <v>3210</v>
      </c>
      <c r="BL1606" s="379">
        <f>IF((2*G1606)/60&lt;0.2,0.2,(2*G1606)/60)</f>
        <v>0.2</v>
      </c>
      <c r="BM1606" s="380">
        <f>MOD((50000+AD1606-$B$3+(0/24)),1)</f>
        <v>0.35293122771690832</v>
      </c>
      <c r="BN1606" s="381"/>
      <c r="BO1606" s="382">
        <v>1599</v>
      </c>
    </row>
    <row r="1607" spans="1:67" s="24" customFormat="1" ht="15" customHeight="1" x14ac:dyDescent="0.25">
      <c r="A1607" s="288" t="s">
        <v>1618</v>
      </c>
      <c r="B1607" s="241" t="str">
        <f>HYPERLINK(CONCATENATE($AT$3,BK1607,$AU$3),$AV$3)</f>
        <v>S</v>
      </c>
      <c r="C1607" s="242" t="str">
        <f>HYPERLINK(CONCATENATE($AT$4,BK1607,$AU$4,BL1607),$AV$4)</f>
        <v>A</v>
      </c>
      <c r="D1607" s="243" t="s">
        <v>5335</v>
      </c>
      <c r="E1607" s="244" t="s">
        <v>5185</v>
      </c>
      <c r="F1607" s="269" t="s">
        <v>6683</v>
      </c>
      <c r="G1607" s="276">
        <v>16</v>
      </c>
      <c r="H1607" s="283">
        <v>2000</v>
      </c>
      <c r="I1607" s="279">
        <v>9</v>
      </c>
      <c r="J1607" s="246">
        <v>2</v>
      </c>
      <c r="K1607" s="247" t="s">
        <v>6682</v>
      </c>
      <c r="L1607" s="248">
        <v>33138</v>
      </c>
      <c r="M1607" s="249">
        <f>15*(LEFT(TEXT($L1607,"000000"),2)+(MID(TEXT($L1607,"000000"),3,2)/60)+(RIGHT(TEXT($L1607,"000000"),2)/3600))</f>
        <v>52.908333333333331</v>
      </c>
      <c r="N1607" s="250">
        <v>372236</v>
      </c>
      <c r="O1607" s="251">
        <f>IF($N1607&gt;0,(LEFT(TEXT($N1607,"000000"),2)+(MID(TEXT($N1607,"000000"),3,2)/60)+(RIGHT(TEXT($N1607,"000000"),2)/3600)),-(MID(TEXT($N1607,"000000"),2,2)+(MID(TEXT($N1607,"000000"),4,2)/60)+(RIGHT(TEXT($N1607,"000000"),2)/3600)))</f>
        <v>37.376666666666665</v>
      </c>
      <c r="P1607" s="252" t="s">
        <v>43</v>
      </c>
      <c r="Q1607" s="253" t="s">
        <v>7155</v>
      </c>
      <c r="R1607" s="277" t="s">
        <v>3293</v>
      </c>
      <c r="S1607" s="272" t="s">
        <v>3293</v>
      </c>
      <c r="T1607" s="273">
        <v>6.7</v>
      </c>
      <c r="U1607" s="274"/>
      <c r="V1607" s="280"/>
      <c r="W1607" s="244"/>
      <c r="X1607" s="244"/>
      <c r="Y1607" s="362"/>
      <c r="Z1607" s="257">
        <f>altaz(J2000_Bas,$O1607,$M1607,DecLat,DecLong,1)</f>
        <v>-5.5307741498393383</v>
      </c>
      <c r="AA1607" s="257">
        <f>altaz((J2000_Bas+(2*0.04167)),$O1607,$M1607,DecLat,DecLong,1)</f>
        <v>13.400322791195002</v>
      </c>
      <c r="AB1607" s="257">
        <f>altaz((J2000_Bas+(4*0.04167)),$O1607,$M1607,DecLat,DecLong,1)</f>
        <v>35.569087946143313</v>
      </c>
      <c r="AC1607" s="257">
        <f>altaz((J2000_Bas+(6*0.04167)),$O1607,$M1607,DecLat,DecLong,1)</f>
        <v>59.219195538688645</v>
      </c>
      <c r="AD1607" s="258">
        <f>1+ transit((J2000_Bas-1),$O1607,$M1607,DecLat,DecLong)/360 + (GMTOffset/24) + (IF(DST="Y", 1, 0)/24)</f>
        <v>1.1398675385255415</v>
      </c>
      <c r="AE1607" s="259">
        <f>DATE(2001,9,21)+(M1607/360)*365 - (360*((DecLong/360)- (GMTOffset/24) ))</f>
        <v>37213.643171296295</v>
      </c>
      <c r="AF1607" s="260">
        <f>IF(DecLat&gt;0,IF((90 - (DecLat-O1607))&gt;90, (90 - (O1607-DecLat)), (90 - (DecLat-O1607))),IF((90 + (DecLat-O1607))&gt;90, (90 + (O1607-DecLat)), (90 + (DecLat-O1607))))</f>
        <v>83.623333333333335</v>
      </c>
      <c r="AG1607" s="257">
        <f>angularseperation(MoonRA,MoonDec,$M1607,$O1607)</f>
        <v>162.81450702946978</v>
      </c>
      <c r="AH1607" s="261">
        <f ca="1">MIN(100,IF($O$5&gt;80,0+30*($AG1607/100),IF($O$5&gt;70,0+50*($AG1607/100),IF($O$5&gt;60,5+50*($AG1607/100),IF($O$5&gt;50,10+60*($AG1607/100),IF($O$5&gt;40,15+70*($AG1607/100),IF($O$5&gt;30,20+70*($AG1607/100),IF($O$5&gt;20,40+55*($AG1607/100),(80+(20-$O$5)+30*($AG1607/100))))))))))</f>
        <v>100</v>
      </c>
      <c r="AI1607" s="262">
        <v>1342</v>
      </c>
      <c r="AJ1607" s="262"/>
      <c r="AK1607" s="262">
        <v>46</v>
      </c>
      <c r="AL1607" s="263"/>
      <c r="AM1607" s="264"/>
      <c r="AN1607" s="263"/>
      <c r="AO1607" s="263"/>
      <c r="AP1607" s="265"/>
      <c r="AQ1607" s="266"/>
      <c r="AR1607" s="267"/>
      <c r="AS1607" s="263"/>
      <c r="AT1607" s="263"/>
      <c r="AU1607" s="263"/>
      <c r="AV1607" s="264"/>
      <c r="AW1607" s="263"/>
      <c r="AX1607" s="263"/>
      <c r="AY1607" s="263"/>
      <c r="AZ1607" s="263"/>
      <c r="BA1607" s="263"/>
      <c r="BB1607" s="263"/>
      <c r="BC1607" s="263"/>
      <c r="BD1607" s="264"/>
      <c r="BE1607" s="263"/>
      <c r="BF1607" s="263">
        <v>11</v>
      </c>
      <c r="BG1607" s="263"/>
      <c r="BH1607" s="263"/>
      <c r="BI1607" s="263"/>
      <c r="BJ1607" s="404">
        <f>altaz(J2000_Bas,$O1607,$M1607,DecLat,DecLong,2)</f>
        <v>39.672871551927997</v>
      </c>
      <c r="BK1607" s="378" t="s">
        <v>1618</v>
      </c>
      <c r="BL1607" s="379">
        <f>IF((2*G1607)/60&lt;0.2,0.2,(2*G1607)/60)</f>
        <v>0.53333333333333333</v>
      </c>
      <c r="BM1607" s="380">
        <f>MOD((50000+AD1607-$B$3+(0/24)),1)</f>
        <v>0.3552344682320836</v>
      </c>
      <c r="BN1607" s="381"/>
      <c r="BO1607" s="382">
        <v>1600</v>
      </c>
    </row>
    <row r="1608" spans="1:67" s="24" customFormat="1" ht="15" customHeight="1" x14ac:dyDescent="0.25">
      <c r="A1608" s="288" t="s">
        <v>1619</v>
      </c>
      <c r="B1608" s="241" t="str">
        <f>HYPERLINK(CONCATENATE($AT$3,BK1608,$AU$3),$AV$3)</f>
        <v>S</v>
      </c>
      <c r="C1608" s="242" t="str">
        <f>HYPERLINK(CONCATENATE($AT$4,BK1608,$AU$4,BL1608),$AV$4)</f>
        <v>A</v>
      </c>
      <c r="D1608" s="243" t="s">
        <v>5638</v>
      </c>
      <c r="E1608" s="244" t="s">
        <v>5192</v>
      </c>
      <c r="F1608" s="269" t="s">
        <v>8942</v>
      </c>
      <c r="G1608" s="273">
        <v>2.6</v>
      </c>
      <c r="H1608" s="283">
        <v>110</v>
      </c>
      <c r="I1608" s="246">
        <v>85</v>
      </c>
      <c r="J1608" s="246">
        <v>3</v>
      </c>
      <c r="K1608" s="247" t="s">
        <v>6684</v>
      </c>
      <c r="L1608" s="248">
        <v>33750</v>
      </c>
      <c r="M1608" s="249">
        <f>15*(LEFT(TEXT($L1608,"000000"),2)+(MID(TEXT($L1608,"000000"),3,2)/60)+(RIGHT(TEXT($L1608,"000000"),2)/3600))</f>
        <v>54.458333333333336</v>
      </c>
      <c r="N1608" s="250">
        <v>723416</v>
      </c>
      <c r="O1608" s="251">
        <f>IF($N1608&gt;0,(LEFT(TEXT($N1608,"000000"),2)+(MID(TEXT($N1608,"000000"),3,2)/60)+(RIGHT(TEXT($N1608,"000000"),2)/3600)),-(MID(TEXT($N1608,"000000"),2,2)+(MID(TEXT($N1608,"000000"),4,2)/60)+(RIGHT(TEXT($N1608,"000000"),2)/3600)))</f>
        <v>72.571111111111108</v>
      </c>
      <c r="P1608" s="252" t="s">
        <v>49</v>
      </c>
      <c r="Q1608" s="253"/>
      <c r="R1608" s="247" t="s">
        <v>3293</v>
      </c>
      <c r="S1608" s="272" t="s">
        <v>3293</v>
      </c>
      <c r="T1608" s="273">
        <v>12.7</v>
      </c>
      <c r="U1608" s="289">
        <v>22.990000000000002</v>
      </c>
      <c r="V1608" s="280">
        <v>55</v>
      </c>
      <c r="W1608" s="244"/>
      <c r="X1608" s="244"/>
      <c r="Y1608" s="362"/>
      <c r="Z1608" s="257">
        <f>altaz(J2000_Bas,$O1608,$M1608,DecLat,DecLong,1)</f>
        <v>19.373395520255631</v>
      </c>
      <c r="AA1608" s="257">
        <f>altaz((J2000_Bas+(2*0.04167)),$O1608,$M1608,DecLat,DecLong,1)</f>
        <v>27.001563302794516</v>
      </c>
      <c r="AB1608" s="257">
        <f>altaz((J2000_Bas+(4*0.04167)),$O1608,$M1608,DecLat,DecLong,1)</f>
        <v>35.900329195209771</v>
      </c>
      <c r="AC1608" s="257">
        <f>altaz((J2000_Bas+(6*0.04167)),$O1608,$M1608,DecLat,DecLong,1)</f>
        <v>43.879805663376906</v>
      </c>
      <c r="AD1608" s="258">
        <f>1+ transit((J2000_Bas-1),$O1608,$M1608,DecLat,DecLong)/360 + (GMTOffset/24) + (IF(DST="Y", 1, 0)/24)</f>
        <v>1.1441730936505414</v>
      </c>
      <c r="AE1608" s="259">
        <f>DATE(2001,9,21)+(M1608/360)*365 - (360*((DecLong/360)- (GMTOffset/24) ))</f>
        <v>37215.214699074073</v>
      </c>
      <c r="AF1608" s="260">
        <f>IF(DecLat&gt;0,IF((90 - (DecLat-O1608))&gt;90, (90 - (O1608-DecLat)), (90 - (DecLat-O1608))),IF((90 + (DecLat-O1608))&gt;90, (90 + (O1608-DecLat)), (90 + (DecLat-O1608))))</f>
        <v>48.428888888888892</v>
      </c>
      <c r="AG1608" s="257">
        <f>angularseperation(MoonRA,MoonDec,$M1608,$O1608)</f>
        <v>133.80792170195235</v>
      </c>
      <c r="AH1608" s="261">
        <f ca="1">MIN(100,IF($O$5&gt;80,0+30*($AG1608/100),IF($O$5&gt;70,0+50*($AG1608/100),IF($O$5&gt;60,5+50*($AG1608/100),IF($O$5&gt;50,10+60*($AG1608/100),IF($O$5&gt;40,15+70*($AG1608/100),IF($O$5&gt;30,20+70*($AG1608/100),IF($O$5&gt;20,40+55*($AG1608/100),(80+(20-$O$5)+30*($AG1608/100))))))))))</f>
        <v>100</v>
      </c>
      <c r="AI1608" s="262">
        <v>1343</v>
      </c>
      <c r="AJ1608" s="262"/>
      <c r="AK1608" s="262"/>
      <c r="AL1608" s="263"/>
      <c r="AM1608" s="264"/>
      <c r="AN1608" s="263"/>
      <c r="AO1608" s="263"/>
      <c r="AP1608" s="265"/>
      <c r="AQ1608" s="266">
        <v>2792</v>
      </c>
      <c r="AR1608" s="267">
        <v>13384</v>
      </c>
      <c r="AS1608" s="263"/>
      <c r="AT1608" s="263"/>
      <c r="AU1608" s="263"/>
      <c r="AV1608" s="264"/>
      <c r="AW1608" s="263"/>
      <c r="AX1608" s="263"/>
      <c r="AY1608" s="263"/>
      <c r="AZ1608" s="263"/>
      <c r="BA1608" s="263"/>
      <c r="BB1608" s="263"/>
      <c r="BC1608" s="263"/>
      <c r="BD1608" s="264"/>
      <c r="BE1608" s="263"/>
      <c r="BF1608" s="263"/>
      <c r="BG1608" s="263"/>
      <c r="BH1608" s="263">
        <v>88</v>
      </c>
      <c r="BI1608" s="263"/>
      <c r="BJ1608" s="404">
        <f>altaz(J2000_Bas,$O1608,$M1608,DecLat,DecLong,2)</f>
        <v>14.396493528311522</v>
      </c>
      <c r="BK1608" s="378" t="s">
        <v>1619</v>
      </c>
      <c r="BL1608" s="379">
        <f>IF((2*G1608)/60&lt;0.2,0.2,(2*G1608)/60)</f>
        <v>0.2</v>
      </c>
      <c r="BM1608" s="380">
        <f>MOD((50000+AD1608-$B$3+(0/24)),1)</f>
        <v>0.35954002335347468</v>
      </c>
      <c r="BN1608" s="381"/>
      <c r="BO1608" s="382">
        <v>1601</v>
      </c>
    </row>
    <row r="1609" spans="1:67" s="24" customFormat="1" ht="15" customHeight="1" x14ac:dyDescent="0.25">
      <c r="A1609" s="288" t="s">
        <v>7658</v>
      </c>
      <c r="B1609" s="241" t="str">
        <f>HYPERLINK(CONCATENATE($AT$3,BK1609,$AU$3),$AV$3)</f>
        <v>S</v>
      </c>
      <c r="C1609" s="242" t="str">
        <f>HYPERLINK(CONCATENATE($AT$4,BK1609,$AU$4,BL1609),$AV$4)</f>
        <v>A</v>
      </c>
      <c r="D1609" s="243" t="s">
        <v>5638</v>
      </c>
      <c r="E1609" s="244" t="s">
        <v>5178</v>
      </c>
      <c r="F1609" s="269"/>
      <c r="G1609" s="273">
        <v>1</v>
      </c>
      <c r="H1609" s="283">
        <v>190</v>
      </c>
      <c r="I1609" s="246">
        <v>55</v>
      </c>
      <c r="J1609" s="246">
        <v>1</v>
      </c>
      <c r="K1609" s="247" t="s">
        <v>6686</v>
      </c>
      <c r="L1609" s="248">
        <v>33013</v>
      </c>
      <c r="M1609" s="249">
        <f>15*(LEFT(TEXT($L1609,"000000"),2)+(MID(TEXT($L1609,"000000"),3,2)/60)+(RIGHT(TEXT($L1609,"000000"),2)/3600))</f>
        <v>52.554166666666667</v>
      </c>
      <c r="N1609" s="250">
        <v>-53235</v>
      </c>
      <c r="O1609" s="251">
        <f>IF($N1609&gt;0,(LEFT(TEXT($N1609,"000000"),2)+(MID(TEXT($N1609,"000000"),3,2)/60)+(RIGHT(TEXT($N1609,"000000"),2)/3600)),-(MID(TEXT($N1609,"000000"),2,2)+(MID(TEXT($N1609,"000000"),4,2)/60)+(RIGHT(TEXT($N1609,"000000"),2)/3600)))</f>
        <v>-5.5430555555555552</v>
      </c>
      <c r="P1609" s="252" t="s">
        <v>257</v>
      </c>
      <c r="Q1609" s="253"/>
      <c r="R1609" s="247" t="s">
        <v>3293</v>
      </c>
      <c r="S1609" s="272" t="s">
        <v>6685</v>
      </c>
      <c r="T1609" s="273">
        <v>13.2</v>
      </c>
      <c r="U1609" s="289">
        <v>21.69</v>
      </c>
      <c r="V1609" s="280"/>
      <c r="W1609" s="244"/>
      <c r="X1609" s="244"/>
      <c r="Y1609" s="362"/>
      <c r="Z1609" s="257">
        <f>altaz(J2000_Bas,$O1609,$M1609,DecLat,DecLong,1)</f>
        <v>-33.906870278041396</v>
      </c>
      <c r="AA1609" s="257">
        <f>altaz((J2000_Bas+(2*0.04167)),$O1609,$M1609,DecLat,DecLong,1)</f>
        <v>-8.3860113624329724</v>
      </c>
      <c r="AB1609" s="257">
        <f>altaz((J2000_Bas+(4*0.04167)),$O1609,$M1609,DecLat,DecLong,1)</f>
        <v>16.980810218056728</v>
      </c>
      <c r="AC1609" s="257">
        <f>altaz((J2000_Bas+(6*0.04167)),$O1609,$M1609,DecLat,DecLong,1)</f>
        <v>39.631985883345436</v>
      </c>
      <c r="AD1609" s="258">
        <f>1+ transit((J2000_Bas-1),$O1609,$M1609,DecLat,DecLong)/360 + (GMTOffset/24) + (IF(DST="Y", 1, 0)/24)</f>
        <v>1.1388837423276248</v>
      </c>
      <c r="AE1609" s="259">
        <f>DATE(2001,9,21)+(M1609/360)*365 - (360*((DecLong/360)- (GMTOffset/24) ))</f>
        <v>37213.284085648149</v>
      </c>
      <c r="AF1609" s="260">
        <f>IF(DecLat&gt;0,IF((90 - (DecLat-O1609))&gt;90, (90 - (O1609-DecLat)), (90 - (DecLat-O1609))),IF((90 + (DecLat-O1609))&gt;90, (90 + (O1609-DecLat)), (90 + (DecLat-O1609))))</f>
        <v>53.456944444444446</v>
      </c>
      <c r="AG1609" s="257">
        <f>angularseperation(MoonRA,MoonDec,$M1609,$O1609)</f>
        <v>143.59816298611941</v>
      </c>
      <c r="AH1609" s="261">
        <f ca="1">MIN(100,IF($O$5&gt;80,0+30*($AG1609/100),IF($O$5&gt;70,0+50*($AG1609/100),IF($O$5&gt;60,5+50*($AG1609/100),IF($O$5&gt;50,10+60*($AG1609/100),IF($O$5&gt;40,15+70*($AG1609/100),IF($O$5&gt;30,20+70*($AG1609/100),IF($O$5&gt;20,40+55*($AG1609/100),(80+(20-$O$5)+30*($AG1609/100))))))))))</f>
        <v>100</v>
      </c>
      <c r="AI1609" s="262">
        <v>1346</v>
      </c>
      <c r="AJ1609" s="262"/>
      <c r="AK1609" s="262"/>
      <c r="AL1609" s="263"/>
      <c r="AM1609" s="264"/>
      <c r="AN1609" s="263"/>
      <c r="AO1609" s="263"/>
      <c r="AP1609" s="265"/>
      <c r="AQ1609" s="266"/>
      <c r="AR1609" s="267">
        <v>13009</v>
      </c>
      <c r="AS1609" s="263"/>
      <c r="AT1609" s="263"/>
      <c r="AU1609" s="263"/>
      <c r="AV1609" s="264"/>
      <c r="AW1609" s="263"/>
      <c r="AX1609" s="263"/>
      <c r="AY1609" s="263"/>
      <c r="AZ1609" s="263"/>
      <c r="BA1609" s="263"/>
      <c r="BB1609" s="263"/>
      <c r="BC1609" s="263"/>
      <c r="BD1609" s="264"/>
      <c r="BE1609" s="263"/>
      <c r="BF1609" s="263"/>
      <c r="BG1609" s="263"/>
      <c r="BH1609" s="263"/>
      <c r="BI1609" s="263"/>
      <c r="BJ1609" s="404">
        <f>altaz(J2000_Bas,$O1609,$M1609,DecLat,DecLong,2)</f>
        <v>74.449548337069515</v>
      </c>
      <c r="BK1609" s="378" t="s">
        <v>1620</v>
      </c>
      <c r="BL1609" s="379">
        <f>IF((2*G1609)/60&lt;0.2,0.2,(2*G1609)/60)</f>
        <v>0.2</v>
      </c>
      <c r="BM1609" s="380">
        <f>MOD((50000+AD1609-$B$3+(0/24)),1)</f>
        <v>0.35425067203323124</v>
      </c>
      <c r="BN1609" s="381"/>
      <c r="BO1609" s="382">
        <v>1602</v>
      </c>
    </row>
    <row r="1610" spans="1:67" s="24" customFormat="1" ht="15" customHeight="1" x14ac:dyDescent="0.25">
      <c r="A1610" s="288" t="s">
        <v>1621</v>
      </c>
      <c r="B1610" s="241" t="str">
        <f>HYPERLINK(CONCATENATE($AT$3,BK1610,$AU$3),$AV$3)</f>
        <v>S</v>
      </c>
      <c r="C1610" s="242" t="str">
        <f>HYPERLINK(CONCATENATE($AT$4,BK1610,$AU$4,BL1610),$AV$4)</f>
        <v>A</v>
      </c>
      <c r="D1610" s="243" t="s">
        <v>5638</v>
      </c>
      <c r="E1610" s="244" t="s">
        <v>5192</v>
      </c>
      <c r="F1610" s="269" t="s">
        <v>8921</v>
      </c>
      <c r="G1610" s="273">
        <v>5</v>
      </c>
      <c r="H1610" s="283">
        <v>60</v>
      </c>
      <c r="I1610" s="246">
        <v>90</v>
      </c>
      <c r="J1610" s="246">
        <v>3</v>
      </c>
      <c r="K1610" s="247" t="s">
        <v>6687</v>
      </c>
      <c r="L1610" s="248">
        <v>33108</v>
      </c>
      <c r="M1610" s="249">
        <f>15*(LEFT(TEXT($L1610,"000000"),2)+(MID(TEXT($L1610,"000000"),3,2)/60)+(RIGHT(TEXT($L1610,"000000"),2)/3600))</f>
        <v>52.783333333333331</v>
      </c>
      <c r="N1610" s="250">
        <v>-333743</v>
      </c>
      <c r="O1610" s="251">
        <f>IF($N1610&gt;0,(LEFT(TEXT($N1610,"000000"),2)+(MID(TEXT($N1610,"000000"),3,2)/60)+(RIGHT(TEXT($N1610,"000000"),2)/3600)),-(MID(TEXT($N1610,"000000"),2,2)+(MID(TEXT($N1610,"000000"),4,2)/60)+(RIGHT(TEXT($N1610,"000000"),2)/3600)))</f>
        <v>-33.628611111111113</v>
      </c>
      <c r="P1610" s="252" t="s">
        <v>215</v>
      </c>
      <c r="Q1610" s="253"/>
      <c r="R1610" s="247" t="s">
        <v>3293</v>
      </c>
      <c r="S1610" s="272" t="s">
        <v>3293</v>
      </c>
      <c r="T1610" s="273">
        <v>10.3</v>
      </c>
      <c r="U1610" s="289">
        <v>21.89</v>
      </c>
      <c r="V1610" s="280">
        <v>60</v>
      </c>
      <c r="W1610" s="244"/>
      <c r="X1610" s="244"/>
      <c r="Y1610" s="362"/>
      <c r="Z1610" s="257">
        <f>altaz(J2000_Bas,$O1610,$M1610,DecLat,DecLong,1)</f>
        <v>-45.444575237870431</v>
      </c>
      <c r="AA1610" s="257">
        <f>altaz((J2000_Bas+(2*0.04167)),$O1610,$M1610,DecLat,DecLong,1)</f>
        <v>-21.620314328749274</v>
      </c>
      <c r="AB1610" s="257">
        <f>altaz((J2000_Bas+(4*0.04167)),$O1610,$M1610,DecLat,DecLong,1)</f>
        <v>-0.10966256966530039</v>
      </c>
      <c r="AC1610" s="257">
        <f>altaz((J2000_Bas+(6*0.04167)),$O1610,$M1610,DecLat,DecLong,1)</f>
        <v>16.755778463261471</v>
      </c>
      <c r="AD1610" s="258">
        <f>1+ transit((J2000_Bas-1),$O1610,$M1610,DecLat,DecLong)/360 + (GMTOffset/24) + (IF(DST="Y", 1, 0)/24)</f>
        <v>1.1395203163380414</v>
      </c>
      <c r="AE1610" s="259">
        <f>DATE(2001,9,21)+(M1610/360)*365 - (360*((DecLong/360)- (GMTOffset/24) ))</f>
        <v>37213.516435185185</v>
      </c>
      <c r="AF1610" s="260">
        <f>IF(DecLat&gt;0,IF((90 - (DecLat-O1610))&gt;90, (90 - (O1610-DecLat)), (90 - (DecLat-O1610))),IF((90 + (DecLat-O1610))&gt;90, (90 + (O1610-DecLat)), (90 + (DecLat-O1610))))</f>
        <v>25.371388888888887</v>
      </c>
      <c r="AG1610" s="257">
        <f>angularseperation(MoonRA,MoonDec,$M1610,$O1610)</f>
        <v>117.31051823269777</v>
      </c>
      <c r="AH1610" s="261">
        <f ca="1">MIN(100,IF($O$5&gt;80,0+30*($AG1610/100),IF($O$5&gt;70,0+50*($AG1610/100),IF($O$5&gt;60,5+50*($AG1610/100),IF($O$5&gt;50,10+60*($AG1610/100),IF($O$5&gt;40,15+70*($AG1610/100),IF($O$5&gt;30,20+70*($AG1610/100),IF($O$5&gt;20,40+55*($AG1610/100),(80+(20-$O$5)+30*($AG1610/100))))))))))</f>
        <v>100</v>
      </c>
      <c r="AI1610" s="262">
        <v>1350</v>
      </c>
      <c r="AJ1610" s="262"/>
      <c r="AK1610" s="262"/>
      <c r="AL1610" s="263"/>
      <c r="AM1610" s="264"/>
      <c r="AN1610" s="263"/>
      <c r="AO1610" s="263"/>
      <c r="AP1610" s="265"/>
      <c r="AQ1610" s="266"/>
      <c r="AR1610" s="267">
        <v>13059</v>
      </c>
      <c r="AS1610" s="263"/>
      <c r="AT1610" s="263"/>
      <c r="AU1610" s="263"/>
      <c r="AV1610" s="264"/>
      <c r="AW1610" s="263"/>
      <c r="AX1610" s="263"/>
      <c r="AY1610" s="263"/>
      <c r="AZ1610" s="263"/>
      <c r="BA1610" s="263"/>
      <c r="BB1610" s="263"/>
      <c r="BC1610" s="263"/>
      <c r="BD1610" s="264"/>
      <c r="BE1610" s="263"/>
      <c r="BF1610" s="263"/>
      <c r="BG1610" s="263">
        <v>16</v>
      </c>
      <c r="BH1610" s="263"/>
      <c r="BI1610" s="263"/>
      <c r="BJ1610" s="404">
        <f>altaz(J2000_Bas,$O1610,$M1610,DecLat,DecLong,2)</f>
        <v>108.09686116406519</v>
      </c>
      <c r="BK1610" s="378" t="s">
        <v>1621</v>
      </c>
      <c r="BL1610" s="379">
        <f>IF((2*G1610)/60&lt;0.2,0.2,(2*G1610)/60)</f>
        <v>0.2</v>
      </c>
      <c r="BM1610" s="380">
        <f>MOD((50000+AD1610-$B$3+(0/24)),1)</f>
        <v>0.35488724604510935</v>
      </c>
      <c r="BN1610" s="381"/>
      <c r="BO1610" s="382">
        <v>1603</v>
      </c>
    </row>
    <row r="1611" spans="1:67" s="24" customFormat="1" ht="15" customHeight="1" x14ac:dyDescent="0.25">
      <c r="A1611" s="288" t="s">
        <v>1622</v>
      </c>
      <c r="B1611" s="241" t="str">
        <f>HYPERLINK(CONCATENATE($AT$3,BK1611,$AU$3),$AV$3)</f>
        <v>S</v>
      </c>
      <c r="C1611" s="242" t="str">
        <f>HYPERLINK(CONCATENATE($AT$4,BK1611,$AU$4,BL1611),$AV$4)</f>
        <v>A</v>
      </c>
      <c r="D1611" s="243" t="s">
        <v>5638</v>
      </c>
      <c r="E1611" s="244" t="s">
        <v>5192</v>
      </c>
      <c r="F1611" s="269" t="s">
        <v>8900</v>
      </c>
      <c r="G1611" s="273">
        <v>3</v>
      </c>
      <c r="H1611" s="283">
        <v>85</v>
      </c>
      <c r="I1611" s="246">
        <v>75</v>
      </c>
      <c r="J1611" s="246">
        <v>2</v>
      </c>
      <c r="K1611" s="247" t="s">
        <v>6688</v>
      </c>
      <c r="L1611" s="248">
        <v>33203</v>
      </c>
      <c r="M1611" s="249">
        <f>15*(LEFT(TEXT($L1611,"000000"),2)+(MID(TEXT($L1611,"000000"),3,2)/60)+(RIGHT(TEXT($L1611,"000000"),2)/3600))</f>
        <v>53.012500000000003</v>
      </c>
      <c r="N1611" s="250">
        <v>-204906</v>
      </c>
      <c r="O1611" s="251">
        <f>IF($N1611&gt;0,(LEFT(TEXT($N1611,"000000"),2)+(MID(TEXT($N1611,"000000"),3,2)/60)+(RIGHT(TEXT($N1611,"000000"),2)/3600)),-(MID(TEXT($N1611,"000000"),2,2)+(MID(TEXT($N1611,"000000"),4,2)/60)+(RIGHT(TEXT($N1611,"000000"),2)/3600)))</f>
        <v>-20.818333333333332</v>
      </c>
      <c r="P1611" s="252" t="s">
        <v>257</v>
      </c>
      <c r="Q1611" s="253"/>
      <c r="R1611" s="277" t="s">
        <v>3293</v>
      </c>
      <c r="S1611" s="272" t="s">
        <v>3293</v>
      </c>
      <c r="T1611" s="273">
        <v>11.5</v>
      </c>
      <c r="U1611" s="289">
        <v>21.89</v>
      </c>
      <c r="V1611" s="280">
        <v>70</v>
      </c>
      <c r="W1611" s="244"/>
      <c r="X1611" s="244"/>
      <c r="Y1611" s="362"/>
      <c r="Z1611" s="257">
        <f>altaz(J2000_Bas,$O1611,$M1611,DecLat,DecLong,1)</f>
        <v>-41.708019548709615</v>
      </c>
      <c r="AA1611" s="257">
        <f>altaz((J2000_Bas+(2*0.04167)),$O1611,$M1611,DecLat,DecLong,1)</f>
        <v>-16.239523218552797</v>
      </c>
      <c r="AB1611" s="257">
        <f>altaz((J2000_Bas+(4*0.04167)),$O1611,$M1611,DecLat,DecLong,1)</f>
        <v>7.5884232878136766</v>
      </c>
      <c r="AC1611" s="257">
        <f>altaz((J2000_Bas+(6*0.04167)),$O1611,$M1611,DecLat,DecLong,1)</f>
        <v>27.314107007814901</v>
      </c>
      <c r="AD1611" s="258">
        <f>1+ transit((J2000_Bas-1),$O1611,$M1611,DecLat,DecLong)/360 + (GMTOffset/24) + (IF(DST="Y", 1, 0)/24)</f>
        <v>1.140156890348458</v>
      </c>
      <c r="AE1611" s="259">
        <f>DATE(2001,9,21)+(M1611/360)*365 - (360*((DecLong/360)- (GMTOffset/24) ))</f>
        <v>37213.748784722222</v>
      </c>
      <c r="AF1611" s="260">
        <f>IF(DecLat&gt;0,IF((90 - (DecLat-O1611))&gt;90, (90 - (O1611-DecLat)), (90 - (DecLat-O1611))),IF((90 + (DecLat-O1611))&gt;90, (90 + (O1611-DecLat)), (90 + (DecLat-O1611))))</f>
        <v>38.181666666666672</v>
      </c>
      <c r="AG1611" s="257">
        <f>angularseperation(MoonRA,MoonDec,$M1611,$O1611)</f>
        <v>129.58571616422583</v>
      </c>
      <c r="AH1611" s="261">
        <f ca="1">MIN(100,IF($O$5&gt;80,0+30*($AG1611/100),IF($O$5&gt;70,0+50*($AG1611/100),IF($O$5&gt;60,5+50*($AG1611/100),IF($O$5&gt;50,10+60*($AG1611/100),IF($O$5&gt;40,15+70*($AG1611/100),IF($O$5&gt;30,20+70*($AG1611/100),IF($O$5&gt;20,40+55*($AG1611/100),(80+(20-$O$5)+30*($AG1611/100))))))))))</f>
        <v>100</v>
      </c>
      <c r="AI1611" s="262">
        <v>1353</v>
      </c>
      <c r="AJ1611" s="263"/>
      <c r="AK1611" s="263"/>
      <c r="AL1611" s="263"/>
      <c r="AM1611" s="264"/>
      <c r="AN1611" s="263"/>
      <c r="AO1611" s="263"/>
      <c r="AP1611" s="265"/>
      <c r="AQ1611" s="265"/>
      <c r="AR1611" s="285">
        <v>13108</v>
      </c>
      <c r="AS1611" s="263"/>
      <c r="AT1611" s="263"/>
      <c r="AU1611" s="263"/>
      <c r="AV1611" s="264"/>
      <c r="AW1611" s="263"/>
      <c r="AX1611" s="263"/>
      <c r="AY1611" s="263"/>
      <c r="AZ1611" s="263"/>
      <c r="BA1611" s="263"/>
      <c r="BB1611" s="263"/>
      <c r="BC1611" s="263"/>
      <c r="BD1611" s="264"/>
      <c r="BE1611" s="263"/>
      <c r="BF1611" s="263"/>
      <c r="BG1611" s="263"/>
      <c r="BH1611" s="263"/>
      <c r="BI1611" s="263"/>
      <c r="BJ1611" s="404">
        <f>altaz(J2000_Bas,$O1611,$M1611,DecLat,DecLong,2)</f>
        <v>91.140171370235095</v>
      </c>
      <c r="BK1611" s="378" t="s">
        <v>1622</v>
      </c>
      <c r="BL1611" s="379">
        <f>IF((2*G1611)/60&lt;0.2,0.2,(2*G1611)/60)</f>
        <v>0.2</v>
      </c>
      <c r="BM1611" s="380">
        <f>MOD((50000+AD1611-$B$3+(0/24)),1)</f>
        <v>0.3555238200497115</v>
      </c>
      <c r="BN1611" s="381"/>
      <c r="BO1611" s="382">
        <v>1604</v>
      </c>
    </row>
    <row r="1612" spans="1:67" s="24" customFormat="1" ht="15" customHeight="1" x14ac:dyDescent="0.25">
      <c r="A1612" s="288" t="s">
        <v>1623</v>
      </c>
      <c r="B1612" s="241" t="str">
        <f>HYPERLINK(CONCATENATE($AT$3,BK1612,$AU$3),$AV$3)</f>
        <v>S</v>
      </c>
      <c r="C1612" s="242" t="str">
        <f>HYPERLINK(CONCATENATE($AT$4,BK1612,$AU$4,BL1612),$AV$4)</f>
        <v>A</v>
      </c>
      <c r="D1612" s="243" t="s">
        <v>5638</v>
      </c>
      <c r="E1612" s="244" t="s">
        <v>5182</v>
      </c>
      <c r="F1612" s="269" t="s">
        <v>8675</v>
      </c>
      <c r="G1612" s="273">
        <v>1.4</v>
      </c>
      <c r="H1612" s="283">
        <v>120</v>
      </c>
      <c r="I1612" s="246">
        <v>50</v>
      </c>
      <c r="J1612" s="246">
        <v>2</v>
      </c>
      <c r="K1612" s="247" t="s">
        <v>6691</v>
      </c>
      <c r="L1612" s="248">
        <v>33323</v>
      </c>
      <c r="M1612" s="249">
        <f>15*(LEFT(TEXT($L1612,"000000"),2)+(MID(TEXT($L1612,"000000"),3,2)/60)+(RIGHT(TEXT($L1612,"000000"),2)/3600))</f>
        <v>53.345833333333331</v>
      </c>
      <c r="N1612" s="286">
        <v>-45955</v>
      </c>
      <c r="O1612" s="251">
        <f>IF($N1612&gt;0,(LEFT(TEXT($N1612,"000000"),2)+(MID(TEXT($N1612,"000000"),3,2)/60)+(RIGHT(TEXT($N1612,"000000"),2)/3600)),-(MID(TEXT($N1612,"000000"),2,2)+(MID(TEXT($N1612,"000000"),4,2)/60)+(RIGHT(TEXT($N1612,"000000"),2)/3600)))</f>
        <v>-4.9986111111111109</v>
      </c>
      <c r="P1612" s="252" t="s">
        <v>257</v>
      </c>
      <c r="Q1612" s="253"/>
      <c r="R1612" s="247" t="s">
        <v>3293</v>
      </c>
      <c r="S1612" s="272" t="s">
        <v>6689</v>
      </c>
      <c r="T1612" s="273">
        <v>13.3</v>
      </c>
      <c r="U1612" s="289">
        <v>21.39</v>
      </c>
      <c r="V1612" s="280">
        <v>90</v>
      </c>
      <c r="W1612" s="244"/>
      <c r="X1612" s="244"/>
      <c r="Y1612" s="362"/>
      <c r="Z1612" s="257">
        <f>altaz(J2000_Bas,$O1612,$M1612,DecLat,DecLong,1)</f>
        <v>-34.252854282453356</v>
      </c>
      <c r="AA1612" s="257">
        <f>altaz((J2000_Bas+(2*0.04167)),$O1612,$M1612,DecLat,DecLong,1)</f>
        <v>-8.7872766319066447</v>
      </c>
      <c r="AB1612" s="257">
        <f>altaz((J2000_Bas+(4*0.04167)),$O1612,$M1612,DecLat,DecLong,1)</f>
        <v>16.641466773590743</v>
      </c>
      <c r="AC1612" s="257">
        <f>altaz((J2000_Bas+(6*0.04167)),$O1612,$M1612,DecLat,DecLong,1)</f>
        <v>39.515013086106713</v>
      </c>
      <c r="AD1612" s="258">
        <f>1+ transit((J2000_Bas-1),$O1612,$M1612,DecLat,DecLong)/360 + (GMTOffset/24) + (IF(DST="Y", 1, 0)/24)</f>
        <v>1.1410828161817912</v>
      </c>
      <c r="AE1612" s="259">
        <f>DATE(2001,9,21)+(M1612/360)*365 - (360*((DecLong/360)- (GMTOffset/24) ))</f>
        <v>37214.086747685185</v>
      </c>
      <c r="AF1612" s="260">
        <f>IF(DecLat&gt;0,IF((90 - (DecLat-O1612))&gt;90, (90 - (O1612-DecLat)), (90 - (DecLat-O1612))),IF((90 + (DecLat-O1612))&gt;90, (90 + (O1612-DecLat)), (90 + (DecLat-O1612))))</f>
        <v>54.00138888888889</v>
      </c>
      <c r="AG1612" s="257">
        <f>angularseperation(MoonRA,MoonDec,$M1612,$O1612)</f>
        <v>144.42604149607394</v>
      </c>
      <c r="AH1612" s="261">
        <f ca="1">MIN(100,IF($O$5&gt;80,0+30*($AG1612/100),IF($O$5&gt;70,0+50*($AG1612/100),IF($O$5&gt;60,5+50*($AG1612/100),IF($O$5&gt;50,10+60*($AG1612/100),IF($O$5&gt;40,15+70*($AG1612/100),IF($O$5&gt;30,20+70*($AG1612/100),IF($O$5&gt;20,40+55*($AG1612/100),(80+(20-$O$5)+30*($AG1612/100))))))))))</f>
        <v>100</v>
      </c>
      <c r="AI1612" s="262">
        <v>1355</v>
      </c>
      <c r="AJ1612" s="262"/>
      <c r="AK1612" s="262"/>
      <c r="AL1612" s="263"/>
      <c r="AM1612" s="264"/>
      <c r="AN1612" s="263"/>
      <c r="AO1612" s="263"/>
      <c r="AP1612" s="265"/>
      <c r="AQ1612" s="266"/>
      <c r="AR1612" s="267">
        <v>13169</v>
      </c>
      <c r="AS1612" s="263"/>
      <c r="AT1612" s="263"/>
      <c r="AU1612" s="263"/>
      <c r="AV1612" s="264"/>
      <c r="AW1612" s="263"/>
      <c r="AX1612" s="263"/>
      <c r="AY1612" s="263"/>
      <c r="AZ1612" s="263"/>
      <c r="BA1612" s="263"/>
      <c r="BB1612" s="263"/>
      <c r="BC1612" s="263"/>
      <c r="BD1612" s="264"/>
      <c r="BE1612" s="263"/>
      <c r="BF1612" s="263"/>
      <c r="BG1612" s="263"/>
      <c r="BH1612" s="263"/>
      <c r="BI1612" s="263"/>
      <c r="BJ1612" s="404">
        <f>altaz(J2000_Bas,$O1612,$M1612,DecLat,DecLong,2)</f>
        <v>73.370893556504143</v>
      </c>
      <c r="BK1612" s="378" t="s">
        <v>1623</v>
      </c>
      <c r="BL1612" s="379">
        <f>IF((2*G1612)/60&lt;0.2,0.2,(2*G1612)/60)</f>
        <v>0.2</v>
      </c>
      <c r="BM1612" s="380">
        <f>MOD((50000+AD1612-$B$3+(0/24)),1)</f>
        <v>0.35644974588649347</v>
      </c>
      <c r="BN1612" s="381"/>
      <c r="BO1612" s="382">
        <v>1605</v>
      </c>
    </row>
    <row r="1613" spans="1:67" s="24" customFormat="1" ht="15" customHeight="1" x14ac:dyDescent="0.25">
      <c r="A1613" s="288" t="s">
        <v>1624</v>
      </c>
      <c r="B1613" s="241" t="str">
        <f>HYPERLINK(CONCATENATE($AT$3,BK1613,$AU$3),$AV$3)</f>
        <v>S</v>
      </c>
      <c r="C1613" s="242" t="str">
        <f>HYPERLINK(CONCATENATE($AT$4,BK1613,$AU$4,BL1613),$AV$4)</f>
        <v>A</v>
      </c>
      <c r="D1613" s="243" t="s">
        <v>5638</v>
      </c>
      <c r="E1613" s="244" t="s">
        <v>5192</v>
      </c>
      <c r="F1613" s="269" t="s">
        <v>8806</v>
      </c>
      <c r="G1613" s="273">
        <v>1</v>
      </c>
      <c r="H1613" s="283">
        <v>85</v>
      </c>
      <c r="I1613" s="246">
        <v>25</v>
      </c>
      <c r="J1613" s="246">
        <v>2</v>
      </c>
      <c r="K1613" s="247" t="s">
        <v>6693</v>
      </c>
      <c r="L1613" s="248">
        <v>33317</v>
      </c>
      <c r="M1613" s="249">
        <f>15*(LEFT(TEXT($L1613,"000000"),2)+(MID(TEXT($L1613,"000000"),3,2)/60)+(RIGHT(TEXT($L1613,"000000"),2)/3600))</f>
        <v>53.320833333333326</v>
      </c>
      <c r="N1613" s="250">
        <v>-133951</v>
      </c>
      <c r="O1613" s="251">
        <f>IF($N1613&gt;0,(LEFT(TEXT($N1613,"000000"),2)+(MID(TEXT($N1613,"000000"),3,2)/60)+(RIGHT(TEXT($N1613,"000000"),2)/3600)),-(MID(TEXT($N1613,"000000"),2,2)+(MID(TEXT($N1613,"000000"),4,2)/60)+(RIGHT(TEXT($N1613,"000000"),2)/3600)))</f>
        <v>-13.664166666666667</v>
      </c>
      <c r="P1613" s="252" t="s">
        <v>257</v>
      </c>
      <c r="Q1613" s="253"/>
      <c r="R1613" s="247" t="s">
        <v>3293</v>
      </c>
      <c r="S1613" s="272" t="s">
        <v>3293</v>
      </c>
      <c r="T1613" s="273">
        <v>11.5</v>
      </c>
      <c r="U1613" s="289">
        <v>22.09</v>
      </c>
      <c r="V1613" s="280">
        <v>15</v>
      </c>
      <c r="W1613" s="244"/>
      <c r="X1613" s="244"/>
      <c r="Y1613" s="362"/>
      <c r="Z1613" s="257">
        <f>altaz(J2000_Bas,$O1613,$M1613,DecLat,DecLong,1)</f>
        <v>-38.800465670592573</v>
      </c>
      <c r="AA1613" s="257">
        <f>altaz((J2000_Bas+(2*0.04167)),$O1613,$M1613,DecLat,DecLong,1)</f>
        <v>-13.093692692558811</v>
      </c>
      <c r="AB1613" s="257">
        <f>altaz((J2000_Bas+(4*0.04167)),$O1613,$M1613,DecLat,DecLong,1)</f>
        <v>11.640978143974939</v>
      </c>
      <c r="AC1613" s="257">
        <f>altaz((J2000_Bas+(6*0.04167)),$O1613,$M1613,DecLat,DecLong,1)</f>
        <v>32.885094505105435</v>
      </c>
      <c r="AD1613" s="258">
        <f>1+ transit((J2000_Bas-1),$O1613,$M1613,DecLat,DecLong)/360 + (GMTOffset/24) + (IF(DST="Y", 1, 0)/24)</f>
        <v>1.1410133717442912</v>
      </c>
      <c r="AE1613" s="259">
        <f>DATE(2001,9,21)+(M1613/360)*365 - (360*((DecLong/360)- (GMTOffset/24) ))</f>
        <v>37214.061400462961</v>
      </c>
      <c r="AF1613" s="260">
        <f>IF(DecLat&gt;0,IF((90 - (DecLat-O1613))&gt;90, (90 - (O1613-DecLat)), (90 - (DecLat-O1613))),IF((90 + (DecLat-O1613))&gt;90, (90 + (O1613-DecLat)), (90 + (DecLat-O1613))))</f>
        <v>45.335833333333333</v>
      </c>
      <c r="AG1613" s="257">
        <f>angularseperation(MoonRA,MoonDec,$M1613,$O1613)</f>
        <v>136.41882756461095</v>
      </c>
      <c r="AH1613" s="261">
        <f ca="1">MIN(100,IF($O$5&gt;80,0+30*($AG1613/100),IF($O$5&gt;70,0+50*($AG1613/100),IF($O$5&gt;60,5+50*($AG1613/100),IF($O$5&gt;50,10+60*($AG1613/100),IF($O$5&gt;40,15+70*($AG1613/100),IF($O$5&gt;30,20+70*($AG1613/100),IF($O$5&gt;20,40+55*($AG1613/100),(80+(20-$O$5)+30*($AG1613/100))))))))))</f>
        <v>100</v>
      </c>
      <c r="AI1613" s="262">
        <v>1357</v>
      </c>
      <c r="AJ1613" s="262"/>
      <c r="AK1613" s="262"/>
      <c r="AL1613" s="263"/>
      <c r="AM1613" s="264"/>
      <c r="AN1613" s="263"/>
      <c r="AO1613" s="263"/>
      <c r="AP1613" s="265"/>
      <c r="AQ1613" s="266"/>
      <c r="AR1613" s="267">
        <v>13166</v>
      </c>
      <c r="AS1613" s="263"/>
      <c r="AT1613" s="263"/>
      <c r="AU1613" s="263"/>
      <c r="AV1613" s="264"/>
      <c r="AW1613" s="263"/>
      <c r="AX1613" s="263"/>
      <c r="AY1613" s="263"/>
      <c r="AZ1613" s="263"/>
      <c r="BA1613" s="263"/>
      <c r="BB1613" s="263"/>
      <c r="BC1613" s="263"/>
      <c r="BD1613" s="264"/>
      <c r="BE1613" s="263"/>
      <c r="BF1613" s="263"/>
      <c r="BG1613" s="263"/>
      <c r="BH1613" s="263"/>
      <c r="BI1613" s="263"/>
      <c r="BJ1613" s="404">
        <f>altaz(J2000_Bas,$O1613,$M1613,DecLat,DecLong,2)</f>
        <v>82.560235397408036</v>
      </c>
      <c r="BK1613" s="378" t="s">
        <v>1624</v>
      </c>
      <c r="BL1613" s="379">
        <f>IF((2*G1613)/60&lt;0.2,0.2,(2*G1613)/60)</f>
        <v>0.2</v>
      </c>
      <c r="BM1613" s="380">
        <f>MOD((50000+AD1613-$B$3+(0/24)),1)</f>
        <v>0.35638030144764343</v>
      </c>
      <c r="BN1613" s="381"/>
      <c r="BO1613" s="382">
        <v>1606</v>
      </c>
    </row>
    <row r="1614" spans="1:67" s="24" customFormat="1" ht="15" customHeight="1" x14ac:dyDescent="0.25">
      <c r="A1614" s="288" t="s">
        <v>1625</v>
      </c>
      <c r="B1614" s="241" t="str">
        <f>HYPERLINK(CONCATENATE($AT$3,BK1614,$AU$3),$AV$3)</f>
        <v>S</v>
      </c>
      <c r="C1614" s="242" t="str">
        <f>HYPERLINK(CONCATENATE($AT$4,BK1614,$AU$4,BL1614),$AV$4)</f>
        <v>A</v>
      </c>
      <c r="D1614" s="243" t="s">
        <v>5638</v>
      </c>
      <c r="E1614" s="244" t="s">
        <v>5182</v>
      </c>
      <c r="F1614" s="269" t="s">
        <v>8903</v>
      </c>
      <c r="G1614" s="273">
        <v>2</v>
      </c>
      <c r="H1614" s="283">
        <v>190</v>
      </c>
      <c r="I1614" s="246">
        <v>115</v>
      </c>
      <c r="J1614" s="246">
        <v>2</v>
      </c>
      <c r="K1614" s="247" t="s">
        <v>6692</v>
      </c>
      <c r="L1614" s="248">
        <v>33340</v>
      </c>
      <c r="M1614" s="249">
        <f>15*(LEFT(TEXT($L1614,"000000"),2)+(MID(TEXT($L1614,"000000"),3,2)/60)+(RIGHT(TEXT($L1614,"000000"),2)/3600))</f>
        <v>53.416666666666664</v>
      </c>
      <c r="N1614" s="250">
        <v>-50523</v>
      </c>
      <c r="O1614" s="251">
        <f>IF($N1614&gt;0,(LEFT(TEXT($N1614,"000000"),2)+(MID(TEXT($N1614,"000000"),3,2)/60)+(RIGHT(TEXT($N1614,"000000"),2)/3600)),-(MID(TEXT($N1614,"000000"),2,2)+(MID(TEXT($N1614,"000000"),4,2)/60)+(RIGHT(TEXT($N1614,"000000"),2)/3600)))</f>
        <v>-5.089722222222222</v>
      </c>
      <c r="P1614" s="252" t="s">
        <v>257</v>
      </c>
      <c r="Q1614" s="253"/>
      <c r="R1614" s="247" t="s">
        <v>3293</v>
      </c>
      <c r="S1614" s="272" t="s">
        <v>6690</v>
      </c>
      <c r="T1614" s="273">
        <v>13</v>
      </c>
      <c r="U1614" s="289">
        <v>22.69</v>
      </c>
      <c r="V1614" s="280">
        <v>40</v>
      </c>
      <c r="W1614" s="244"/>
      <c r="X1614" s="244"/>
      <c r="Y1614" s="362"/>
      <c r="Z1614" s="257">
        <f>altaz(J2000_Bas,$O1614,$M1614,DecLat,DecLong,1)</f>
        <v>-34.362580081362978</v>
      </c>
      <c r="AA1614" s="257">
        <f>altaz((J2000_Bas+(2*0.04167)),$O1614,$M1614,DecLat,DecLong,1)</f>
        <v>-8.8944130991550363</v>
      </c>
      <c r="AB1614" s="257">
        <f>altaz((J2000_Bas+(4*0.04167)),$O1614,$M1614,DecLat,DecLong,1)</f>
        <v>16.531738086310188</v>
      </c>
      <c r="AC1614" s="257">
        <f>altaz((J2000_Bas+(6*0.04167)),$O1614,$M1614,DecLat,DecLong,1)</f>
        <v>39.400101879745179</v>
      </c>
      <c r="AD1614" s="258">
        <f>1+ transit((J2000_Bas-1),$O1614,$M1614,DecLat,DecLong)/360 + (GMTOffset/24) + (IF(DST="Y", 1, 0)/24)</f>
        <v>1.1412795754213747</v>
      </c>
      <c r="AE1614" s="259">
        <f>DATE(2001,9,21)+(M1614/360)*365 - (360*((DecLong/360)- (GMTOffset/24) ))</f>
        <v>37214.158564814818</v>
      </c>
      <c r="AF1614" s="260">
        <f>IF(DecLat&gt;0,IF((90 - (DecLat-O1614))&gt;90, (90 - (O1614-DecLat)), (90 - (DecLat-O1614))),IF((90 + (DecLat-O1614))&gt;90, (90 + (O1614-DecLat)), (90 + (DecLat-O1614))))</f>
        <v>53.910277777777779</v>
      </c>
      <c r="AG1614" s="257">
        <f>angularseperation(MoonRA,MoonDec,$M1614,$O1614)</f>
        <v>144.3727651901186</v>
      </c>
      <c r="AH1614" s="261">
        <f ca="1">MIN(100,IF($O$5&gt;80,0+30*($AG1614/100),IF($O$5&gt;70,0+50*($AG1614/100),IF($O$5&gt;60,5+50*($AG1614/100),IF($O$5&gt;50,10+60*($AG1614/100),IF($O$5&gt;40,15+70*($AG1614/100),IF($O$5&gt;30,20+70*($AG1614/100),IF($O$5&gt;20,40+55*($AG1614/100),(80+(20-$O$5)+30*($AG1614/100))))))))))</f>
        <v>100</v>
      </c>
      <c r="AI1614" s="262">
        <v>1358</v>
      </c>
      <c r="AJ1614" s="262"/>
      <c r="AK1614" s="262"/>
      <c r="AL1614" s="263"/>
      <c r="AM1614" s="264"/>
      <c r="AN1614" s="263"/>
      <c r="AO1614" s="263"/>
      <c r="AP1614" s="265"/>
      <c r="AQ1614" s="266"/>
      <c r="AR1614" s="267">
        <v>13182</v>
      </c>
      <c r="AS1614" s="263"/>
      <c r="AT1614" s="263"/>
      <c r="AU1614" s="263"/>
      <c r="AV1614" s="264"/>
      <c r="AW1614" s="263"/>
      <c r="AX1614" s="263"/>
      <c r="AY1614" s="263"/>
      <c r="AZ1614" s="263"/>
      <c r="BA1614" s="263"/>
      <c r="BB1614" s="263"/>
      <c r="BC1614" s="263"/>
      <c r="BD1614" s="264"/>
      <c r="BE1614" s="263"/>
      <c r="BF1614" s="263"/>
      <c r="BG1614" s="263"/>
      <c r="BH1614" s="263"/>
      <c r="BI1614" s="263"/>
      <c r="BJ1614" s="404">
        <f>altaz(J2000_Bas,$O1614,$M1614,DecLat,DecLong,2)</f>
        <v>73.413524908071579</v>
      </c>
      <c r="BK1614" s="378" t="s">
        <v>1625</v>
      </c>
      <c r="BL1614" s="379">
        <f>IF((2*G1614)/60&lt;0.2,0.2,(2*G1614)/60)</f>
        <v>0.2</v>
      </c>
      <c r="BM1614" s="380">
        <f>MOD((50000+AD1614-$B$3+(0/24)),1)</f>
        <v>0.35664650512626395</v>
      </c>
      <c r="BN1614" s="381"/>
      <c r="BO1614" s="382">
        <v>1607</v>
      </c>
    </row>
    <row r="1615" spans="1:67" s="24" customFormat="1" ht="15" customHeight="1" x14ac:dyDescent="0.25">
      <c r="A1615" s="288" t="s">
        <v>1626</v>
      </c>
      <c r="B1615" s="241" t="str">
        <f>HYPERLINK(CONCATENATE($AT$3,BK1615,$AU$3),$AV$3)</f>
        <v>S</v>
      </c>
      <c r="C1615" s="242" t="str">
        <f>HYPERLINK(CONCATENATE($AT$4,BK1615,$AU$4,BL1615),$AV$4)</f>
        <v>A</v>
      </c>
      <c r="D1615" s="243" t="s">
        <v>5638</v>
      </c>
      <c r="E1615" s="244" t="s">
        <v>3259</v>
      </c>
      <c r="F1615" s="269"/>
      <c r="G1615" s="273">
        <v>1.6</v>
      </c>
      <c r="H1615" s="283">
        <v>90</v>
      </c>
      <c r="I1615" s="246">
        <v>40</v>
      </c>
      <c r="J1615" s="246">
        <v>2</v>
      </c>
      <c r="K1615" s="247" t="s">
        <v>6694</v>
      </c>
      <c r="L1615" s="248">
        <v>33348</v>
      </c>
      <c r="M1615" s="249">
        <f>15*(LEFT(TEXT($L1615,"000000"),2)+(MID(TEXT($L1615,"000000"),3,2)/60)+(RIGHT(TEXT($L1615,"000000"),2)/3600))</f>
        <v>53.449999999999996</v>
      </c>
      <c r="N1615" s="250">
        <v>-192930</v>
      </c>
      <c r="O1615" s="251">
        <f>IF($N1615&gt;0,(LEFT(TEXT($N1615,"000000"),2)+(MID(TEXT($N1615,"000000"),3,2)/60)+(RIGHT(TEXT($N1615,"000000"),2)/3600)),-(MID(TEXT($N1615,"000000"),2,2)+(MID(TEXT($N1615,"000000"),4,2)/60)+(RIGHT(TEXT($N1615,"000000"),2)/3600)))</f>
        <v>-19.491666666666667</v>
      </c>
      <c r="P1615" s="252" t="s">
        <v>257</v>
      </c>
      <c r="Q1615" s="253"/>
      <c r="R1615" s="247" t="s">
        <v>3293</v>
      </c>
      <c r="S1615" s="272" t="s">
        <v>3293</v>
      </c>
      <c r="T1615" s="273">
        <v>12.2</v>
      </c>
      <c r="U1615" s="289">
        <v>22.490000000000002</v>
      </c>
      <c r="V1615" s="280"/>
      <c r="W1615" s="244"/>
      <c r="X1615" s="244"/>
      <c r="Y1615" s="362"/>
      <c r="Z1615" s="257">
        <f>altaz(J2000_Bas,$O1615,$M1615,DecLat,DecLong,1)</f>
        <v>-41.542012627051548</v>
      </c>
      <c r="AA1615" s="257">
        <f>altaz((J2000_Bas+(2*0.04167)),$O1615,$M1615,DecLat,DecLong,1)</f>
        <v>-15.986159359997654</v>
      </c>
      <c r="AB1615" s="257">
        <f>altaz((J2000_Bas+(4*0.04167)),$O1615,$M1615,DecLat,DecLong,1)</f>
        <v>8.0628090183505101</v>
      </c>
      <c r="AC1615" s="257">
        <f>altaz((J2000_Bas+(6*0.04167)),$O1615,$M1615,DecLat,DecLong,1)</f>
        <v>28.153230309940284</v>
      </c>
      <c r="AD1615" s="258">
        <f>1+ transit((J2000_Bas-1),$O1615,$M1615,DecLat,DecLong)/360 + (GMTOffset/24) + (IF(DST="Y", 1, 0)/24)</f>
        <v>1.141372168004708</v>
      </c>
      <c r="AE1615" s="259">
        <f>DATE(2001,9,21)+(M1615/360)*365 - (360*((DecLong/360)- (GMTOffset/24) ))</f>
        <v>37214.192361111112</v>
      </c>
      <c r="AF1615" s="260">
        <f>IF(DecLat&gt;0,IF((90 - (DecLat-O1615))&gt;90, (90 - (O1615-DecLat)), (90 - (DecLat-O1615))),IF((90 + (DecLat-O1615))&gt;90, (90 + (O1615-DecLat)), (90 + (DecLat-O1615))))</f>
        <v>39.508333333333333</v>
      </c>
      <c r="AG1615" s="257">
        <f>angularseperation(MoonRA,MoonDec,$M1615,$O1615)</f>
        <v>130.97397295777617</v>
      </c>
      <c r="AH1615" s="261">
        <f ca="1">MIN(100,IF($O$5&gt;80,0+30*($AG1615/100),IF($O$5&gt;70,0+50*($AG1615/100),IF($O$5&gt;60,5+50*($AG1615/100),IF($O$5&gt;50,10+60*($AG1615/100),IF($O$5&gt;40,15+70*($AG1615/100),IF($O$5&gt;30,20+70*($AG1615/100),IF($O$5&gt;20,40+55*($AG1615/100),(80+(20-$O$5)+30*($AG1615/100))))))))))</f>
        <v>100</v>
      </c>
      <c r="AI1615" s="262">
        <v>1359</v>
      </c>
      <c r="AJ1615" s="262"/>
      <c r="AK1615" s="262"/>
      <c r="AL1615" s="263"/>
      <c r="AM1615" s="264"/>
      <c r="AN1615" s="263"/>
      <c r="AO1615" s="263"/>
      <c r="AP1615" s="265"/>
      <c r="AQ1615" s="266"/>
      <c r="AR1615" s="267">
        <v>13190</v>
      </c>
      <c r="AS1615" s="263"/>
      <c r="AT1615" s="263"/>
      <c r="AU1615" s="263"/>
      <c r="AV1615" s="264"/>
      <c r="AW1615" s="263"/>
      <c r="AX1615" s="263"/>
      <c r="AY1615" s="263"/>
      <c r="AZ1615" s="263"/>
      <c r="BA1615" s="263"/>
      <c r="BB1615" s="263"/>
      <c r="BC1615" s="263"/>
      <c r="BD1615" s="264"/>
      <c r="BE1615" s="263"/>
      <c r="BF1615" s="263"/>
      <c r="BG1615" s="263"/>
      <c r="BH1615" s="263"/>
      <c r="BI1615" s="263"/>
      <c r="BJ1615" s="404">
        <f>altaz(J2000_Bas,$O1615,$M1615,DecLat,DecLong,2)</f>
        <v>89.295572606052446</v>
      </c>
      <c r="BK1615" s="378" t="s">
        <v>1626</v>
      </c>
      <c r="BL1615" s="379">
        <f>IF((2*G1615)/60&lt;0.2,0.2,(2*G1615)/60)</f>
        <v>0.2</v>
      </c>
      <c r="BM1615" s="380">
        <f>MOD((50000+AD1615-$B$3+(0/24)),1)</f>
        <v>0.35673909771139733</v>
      </c>
      <c r="BN1615" s="381" t="s">
        <v>9221</v>
      </c>
      <c r="BO1615" s="382">
        <v>1608</v>
      </c>
    </row>
    <row r="1616" spans="1:67" s="24" customFormat="1" ht="15" customHeight="1" x14ac:dyDescent="0.25">
      <c r="A1616" s="288" t="s">
        <v>1627</v>
      </c>
      <c r="B1616" s="241" t="str">
        <f>HYPERLINK(CONCATENATE($AT$3,BK1616,$AU$3),$AV$3)</f>
        <v>S</v>
      </c>
      <c r="C1616" s="242" t="str">
        <f>HYPERLINK(CONCATENATE($AT$4,BK1616,$AU$4,BL1616),$AV$4)</f>
        <v>A</v>
      </c>
      <c r="D1616" s="243" t="s">
        <v>5187</v>
      </c>
      <c r="E1616" s="244" t="s">
        <v>5181</v>
      </c>
      <c r="F1616" s="269" t="s">
        <v>8684</v>
      </c>
      <c r="G1616" s="273">
        <v>9</v>
      </c>
      <c r="H1616" s="283">
        <v>1200</v>
      </c>
      <c r="I1616" s="279">
        <v>3</v>
      </c>
      <c r="J1616" s="246">
        <v>4</v>
      </c>
      <c r="K1616" s="247" t="s">
        <v>6695</v>
      </c>
      <c r="L1616" s="248">
        <v>33315</v>
      </c>
      <c r="M1616" s="249">
        <f>15*(LEFT(TEXT($L1616,"000000"),2)+(MID(TEXT($L1616,"000000"),3,2)/60)+(RIGHT(TEXT($L1616,"000000"),2)/3600))</f>
        <v>53.3125</v>
      </c>
      <c r="N1616" s="250">
        <v>-255219</v>
      </c>
      <c r="O1616" s="251">
        <f>IF($N1616&gt;0,(LEFT(TEXT($N1616,"000000"),2)+(MID(TEXT($N1616,"000000"),3,2)/60)+(RIGHT(TEXT($N1616,"000000"),2)/3600)),-(MID(TEXT($N1616,"000000"),2,2)+(MID(TEXT($N1616,"000000"),4,2)/60)+(RIGHT(TEXT($N1616,"000000"),2)/3600)))</f>
        <v>-25.871944444444445</v>
      </c>
      <c r="P1616" s="252" t="s">
        <v>215</v>
      </c>
      <c r="Q1616" s="253" t="s">
        <v>7056</v>
      </c>
      <c r="R1616" s="277" t="s">
        <v>8849</v>
      </c>
      <c r="S1616" s="272" t="s">
        <v>3293</v>
      </c>
      <c r="T1616" s="273">
        <v>11</v>
      </c>
      <c r="U1616" s="274"/>
      <c r="V1616" s="280"/>
      <c r="W1616" s="244"/>
      <c r="X1616" s="244"/>
      <c r="Y1616" s="362"/>
      <c r="Z1616" s="257">
        <f>altaz(J2000_Bas,$O1616,$M1616,DecLat,DecLong,1)</f>
        <v>-43.80608389385079</v>
      </c>
      <c r="AA1616" s="257">
        <f>altaz((J2000_Bas+(2*0.04167)),$O1616,$M1616,DecLat,DecLong,1)</f>
        <v>-18.768474089710821</v>
      </c>
      <c r="AB1616" s="257">
        <f>altaz((J2000_Bas+(4*0.04167)),$O1616,$M1616,DecLat,DecLong,1)</f>
        <v>4.293478249065882</v>
      </c>
      <c r="AC1616" s="257">
        <f>altaz((J2000_Bas+(6*0.04167)),$O1616,$M1616,DecLat,DecLong,1)</f>
        <v>23.001352989141026</v>
      </c>
      <c r="AD1616" s="258">
        <f>1+ transit((J2000_Bas-1),$O1616,$M1616,DecLat,DecLong)/360 + (GMTOffset/24) + (IF(DST="Y", 1, 0)/24)</f>
        <v>1.1409902235984581</v>
      </c>
      <c r="AE1616" s="259">
        <f>DATE(2001,9,21)+(M1616/360)*365 - (360*((DecLong/360)- (GMTOffset/24) ))</f>
        <v>37214.052951388891</v>
      </c>
      <c r="AF1616" s="260">
        <f>IF(DecLat&gt;0,IF((90 - (DecLat-O1616))&gt;90, (90 - (O1616-DecLat)), (90 - (DecLat-O1616))),IF((90 + (DecLat-O1616))&gt;90, (90 + (O1616-DecLat)), (90 + (DecLat-O1616))))</f>
        <v>33.128055555555555</v>
      </c>
      <c r="AG1616" s="257">
        <f>angularseperation(MoonRA,MoonDec,$M1616,$O1616)</f>
        <v>124.86646585101408</v>
      </c>
      <c r="AH1616" s="261">
        <f ca="1">MIN(100,IF($O$5&gt;80,0+30*($AG1616/100),IF($O$5&gt;70,0+50*($AG1616/100),IF($O$5&gt;60,5+50*($AG1616/100),IF($O$5&gt;50,10+60*($AG1616/100),IF($O$5&gt;40,15+70*($AG1616/100),IF($O$5&gt;30,20+70*($AG1616/100),IF($O$5&gt;20,40+55*($AG1616/100),(80+(20-$O$5)+30*($AG1616/100))))))))))</f>
        <v>100</v>
      </c>
      <c r="AI1616" s="262">
        <v>1360</v>
      </c>
      <c r="AJ1616" s="262"/>
      <c r="AK1616" s="262"/>
      <c r="AL1616" s="263"/>
      <c r="AM1616" s="264"/>
      <c r="AN1616" s="263"/>
      <c r="AO1616" s="263"/>
      <c r="AP1616" s="265"/>
      <c r="AQ1616" s="266"/>
      <c r="AR1616" s="267"/>
      <c r="AS1616" s="263"/>
      <c r="AT1616" s="263"/>
      <c r="AU1616" s="263"/>
      <c r="AV1616" s="264">
        <v>103</v>
      </c>
      <c r="AW1616" s="263"/>
      <c r="AX1616" s="263"/>
      <c r="AY1616" s="263"/>
      <c r="AZ1616" s="263"/>
      <c r="BA1616" s="263"/>
      <c r="BB1616" s="263"/>
      <c r="BC1616" s="263"/>
      <c r="BD1616" s="264"/>
      <c r="BE1616" s="263">
        <v>16</v>
      </c>
      <c r="BF1616" s="263"/>
      <c r="BG1616" s="263"/>
      <c r="BH1616" s="263"/>
      <c r="BI1616" s="263"/>
      <c r="BJ1616" s="404">
        <f>altaz(J2000_Bas,$O1616,$M1616,DecLat,DecLong,2)</f>
        <v>97.415685261284807</v>
      </c>
      <c r="BK1616" s="378" t="s">
        <v>1627</v>
      </c>
      <c r="BL1616" s="379">
        <f>IF((2*G1616)/60&lt;0.2,0.2,(2*G1616)/60)</f>
        <v>0.3</v>
      </c>
      <c r="BM1616" s="380">
        <f>MOD((50000+AD1616-$B$3+(0/24)),1)</f>
        <v>0.35635715330136009</v>
      </c>
      <c r="BN1616" s="381" t="s">
        <v>9121</v>
      </c>
      <c r="BO1616" s="382">
        <v>1609</v>
      </c>
    </row>
    <row r="1617" spans="1:67" s="24" customFormat="1" ht="15" customHeight="1" x14ac:dyDescent="0.25">
      <c r="A1617" s="288" t="s">
        <v>1628</v>
      </c>
      <c r="B1617" s="241" t="str">
        <f>HYPERLINK(CONCATENATE($AT$3,BK1617,$AU$3),$AV$3)</f>
        <v>S</v>
      </c>
      <c r="C1617" s="242" t="str">
        <f>HYPERLINK(CONCATENATE($AT$4,BK1617,$AU$4,BL1617),$AV$4)</f>
        <v>A</v>
      </c>
      <c r="D1617" s="243" t="s">
        <v>5638</v>
      </c>
      <c r="E1617" s="244" t="s">
        <v>5192</v>
      </c>
      <c r="F1617" s="269" t="s">
        <v>8943</v>
      </c>
      <c r="G1617" s="276">
        <v>10</v>
      </c>
      <c r="H1617" s="283">
        <v>55</v>
      </c>
      <c r="I1617" s="246">
        <v>160</v>
      </c>
      <c r="J1617" s="246">
        <v>4</v>
      </c>
      <c r="K1617" s="247" t="s">
        <v>6696</v>
      </c>
      <c r="L1617" s="248">
        <v>33336</v>
      </c>
      <c r="M1617" s="249">
        <f>15*(LEFT(TEXT($L1617,"000000"),2)+(MID(TEXT($L1617,"000000"),3,2)/60)+(RIGHT(TEXT($L1617,"000000"),2)/3600))</f>
        <v>53.399999999999991</v>
      </c>
      <c r="N1617" s="250">
        <v>-360825</v>
      </c>
      <c r="O1617" s="251">
        <f>IF($N1617&gt;0,(LEFT(TEXT($N1617,"000000"),2)+(MID(TEXT($N1617,"000000"),3,2)/60)+(RIGHT(TEXT($N1617,"000000"),2)/3600)),-(MID(TEXT($N1617,"000000"),2,2)+(MID(TEXT($N1617,"000000"),4,2)/60)+(RIGHT(TEXT($N1617,"000000"),2)/3600)))</f>
        <v>-36.140277777777776</v>
      </c>
      <c r="P1617" s="252" t="s">
        <v>215</v>
      </c>
      <c r="Q1617" s="253" t="s">
        <v>6697</v>
      </c>
      <c r="R1617" s="247" t="s">
        <v>3293</v>
      </c>
      <c r="S1617" s="272" t="s">
        <v>3293</v>
      </c>
      <c r="T1617" s="273">
        <v>10.3</v>
      </c>
      <c r="U1617" s="289">
        <v>22.990000000000002</v>
      </c>
      <c r="V1617" s="280">
        <v>55</v>
      </c>
      <c r="W1617" s="244"/>
      <c r="X1617" s="244"/>
      <c r="Y1617" s="362"/>
      <c r="Z1617" s="257">
        <f>altaz(J2000_Bas,$O1617,$M1617,DecLat,DecLong,1)</f>
        <v>-46.399675103269544</v>
      </c>
      <c r="AA1617" s="257">
        <f>altaz((J2000_Bas+(2*0.04167)),$O1617,$M1617,DecLat,DecLong,1)</f>
        <v>-23.070430310208302</v>
      </c>
      <c r="AB1617" s="257">
        <f>altaz((J2000_Bas+(4*0.04167)),$O1617,$M1617,DecLat,DecLong,1)</f>
        <v>-2.0526145189059237</v>
      </c>
      <c r="AC1617" s="257">
        <f>altaz((J2000_Bas+(6*0.04167)),$O1617,$M1617,DecLat,DecLong,1)</f>
        <v>14.361524871712446</v>
      </c>
      <c r="AD1617" s="258">
        <f>1+ transit((J2000_Bas-1),$O1617,$M1617,DecLat,DecLong)/360 + (GMTOffset/24) + (IF(DST="Y", 1, 0)/24)</f>
        <v>1.141233279129708</v>
      </c>
      <c r="AE1617" s="259">
        <f>DATE(2001,9,21)+(M1617/360)*365 - (360*((DecLong/360)- (GMTOffset/24) ))</f>
        <v>37214.14166666667</v>
      </c>
      <c r="AF1617" s="260">
        <f>IF(DecLat&gt;0,IF((90 - (DecLat-O1617))&gt;90, (90 - (O1617-DecLat)), (90 - (DecLat-O1617))),IF((90 + (DecLat-O1617))&gt;90, (90 + (O1617-DecLat)), (90 + (DecLat-O1617))))</f>
        <v>22.859722222222217</v>
      </c>
      <c r="AG1617" s="257">
        <f>angularseperation(MoonRA,MoonDec,$M1617,$O1617)</f>
        <v>115.03605946722197</v>
      </c>
      <c r="AH1617" s="261">
        <f ca="1">MIN(100,IF($O$5&gt;80,0+30*($AG1617/100),IF($O$5&gt;70,0+50*($AG1617/100),IF($O$5&gt;60,5+50*($AG1617/100),IF($O$5&gt;50,10+60*($AG1617/100),IF($O$5&gt;40,15+70*($AG1617/100),IF($O$5&gt;30,20+70*($AG1617/100),IF($O$5&gt;20,40+55*($AG1617/100),(80+(20-$O$5)+30*($AG1617/100))))))))))</f>
        <v>100</v>
      </c>
      <c r="AI1617" s="262">
        <v>1365</v>
      </c>
      <c r="AJ1617" s="262"/>
      <c r="AK1617" s="262"/>
      <c r="AL1617" s="263"/>
      <c r="AM1617" s="264"/>
      <c r="AN1617" s="263"/>
      <c r="AO1617" s="263"/>
      <c r="AP1617" s="265"/>
      <c r="AQ1617" s="266"/>
      <c r="AR1617" s="267">
        <v>13179</v>
      </c>
      <c r="AS1617" s="263"/>
      <c r="AT1617" s="263"/>
      <c r="AU1617" s="263"/>
      <c r="AV1617" s="264"/>
      <c r="AW1617" s="263"/>
      <c r="AX1617" s="263"/>
      <c r="AY1617" s="263"/>
      <c r="AZ1617" s="263"/>
      <c r="BA1617" s="263"/>
      <c r="BB1617" s="263"/>
      <c r="BC1617" s="263"/>
      <c r="BD1617" s="264"/>
      <c r="BE1617" s="263">
        <v>17</v>
      </c>
      <c r="BF1617" s="263"/>
      <c r="BG1617" s="263"/>
      <c r="BH1617" s="263"/>
      <c r="BI1617" s="263"/>
      <c r="BJ1617" s="404">
        <f>altaz(J2000_Bas,$O1617,$M1617,DecLat,DecLong,2)</f>
        <v>111.51488727703781</v>
      </c>
      <c r="BK1617" s="378" t="s">
        <v>1628</v>
      </c>
      <c r="BL1617" s="379">
        <f>IF((2*G1617)/60&lt;0.2,0.2,(2*G1617)/60)</f>
        <v>0.33333333333333331</v>
      </c>
      <c r="BM1617" s="380">
        <f>MOD((50000+AD1617-$B$3+(0/24)),1)</f>
        <v>0.35660020883369725</v>
      </c>
      <c r="BN1617" s="381"/>
      <c r="BO1617" s="382">
        <v>1610</v>
      </c>
    </row>
    <row r="1618" spans="1:67" s="24" customFormat="1" ht="15" customHeight="1" x14ac:dyDescent="0.25">
      <c r="A1618" s="288" t="s">
        <v>1629</v>
      </c>
      <c r="B1618" s="241" t="str">
        <f>HYPERLINK(CONCATENATE($AT$3,BK1618,$AU$3),$AV$3)</f>
        <v>S</v>
      </c>
      <c r="C1618" s="242" t="str">
        <f>HYPERLINK(CONCATENATE($AT$4,BK1618,$AU$4,BL1618),$AV$4)</f>
        <v>A</v>
      </c>
      <c r="D1618" s="243" t="s">
        <v>5638</v>
      </c>
      <c r="E1618" s="244" t="s">
        <v>5192</v>
      </c>
      <c r="F1618" s="269" t="s">
        <v>8911</v>
      </c>
      <c r="G1618" s="273">
        <v>5</v>
      </c>
      <c r="H1618" s="283">
        <v>100</v>
      </c>
      <c r="I1618" s="246">
        <v>140</v>
      </c>
      <c r="J1618" s="246">
        <v>3</v>
      </c>
      <c r="K1618" s="247" t="s">
        <v>6699</v>
      </c>
      <c r="L1618" s="248">
        <v>33501</v>
      </c>
      <c r="M1618" s="249">
        <f>15*(LEFT(TEXT($L1618,"000000"),2)+(MID(TEXT($L1618,"000000"),3,2)/60)+(RIGHT(TEXT($L1618,"000000"),2)/3600))</f>
        <v>53.75416666666667</v>
      </c>
      <c r="N1618" s="250">
        <v>-245559</v>
      </c>
      <c r="O1618" s="251">
        <f>IF($N1618&gt;0,(LEFT(TEXT($N1618,"000000"),2)+(MID(TEXT($N1618,"000000"),3,2)/60)+(RIGHT(TEXT($N1618,"000000"),2)/3600)),-(MID(TEXT($N1618,"000000"),2,2)+(MID(TEXT($N1618,"000000"),4,2)/60)+(RIGHT(TEXT($N1618,"000000"),2)/3600)))</f>
        <v>-24.933055555555558</v>
      </c>
      <c r="P1618" s="252" t="s">
        <v>215</v>
      </c>
      <c r="Q1618" s="253"/>
      <c r="R1618" s="247" t="s">
        <v>6698</v>
      </c>
      <c r="S1618" s="272" t="s">
        <v>3293</v>
      </c>
      <c r="T1618" s="273">
        <v>10.7</v>
      </c>
      <c r="U1618" s="289">
        <v>22.79</v>
      </c>
      <c r="V1618" s="280">
        <v>50</v>
      </c>
      <c r="W1618" s="244"/>
      <c r="X1618" s="244"/>
      <c r="Y1618" s="362"/>
      <c r="Z1618" s="257">
        <f>altaz(J2000_Bas,$O1618,$M1618,DecLat,DecLong,1)</f>
        <v>-43.868040565307169</v>
      </c>
      <c r="AA1618" s="257">
        <f>altaz((J2000_Bas+(2*0.04167)),$O1618,$M1618,DecLat,DecLong,1)</f>
        <v>-18.712524640675898</v>
      </c>
      <c r="AB1618" s="257">
        <f>altaz((J2000_Bas+(4*0.04167)),$O1618,$M1618,DecLat,DecLong,1)</f>
        <v>4.5483052561751585</v>
      </c>
      <c r="AC1618" s="257">
        <f>altaz((J2000_Bas+(6*0.04167)),$O1618,$M1618,DecLat,DecLong,1)</f>
        <v>23.550431268277865</v>
      </c>
      <c r="AD1618" s="258">
        <f>1+ transit((J2000_Bas-1),$O1618,$M1618,DecLat,DecLong)/360 + (GMTOffset/24) + (IF(DST="Y", 1, 0)/24)</f>
        <v>1.1422170753276246</v>
      </c>
      <c r="AE1618" s="259">
        <f>DATE(2001,9,21)+(M1618/360)*365 - (360*((DecLong/360)- (GMTOffset/24) ))</f>
        <v>37214.500752314816</v>
      </c>
      <c r="AF1618" s="260">
        <f>IF(DecLat&gt;0,IF((90 - (DecLat-O1618))&gt;90, (90 - (O1618-DecLat)), (90 - (DecLat-O1618))),IF((90 + (DecLat-O1618))&gt;90, (90 + (O1618-DecLat)), (90 + (DecLat-O1618))))</f>
        <v>34.066944444444445</v>
      </c>
      <c r="AG1618" s="257">
        <f>angularseperation(MoonRA,MoonDec,$M1618,$O1618)</f>
        <v>125.88133129283882</v>
      </c>
      <c r="AH1618" s="261">
        <f ca="1">MIN(100,IF($O$5&gt;80,0+30*($AG1618/100),IF($O$5&gt;70,0+50*($AG1618/100),IF($O$5&gt;60,5+50*($AG1618/100),IF($O$5&gt;50,10+60*($AG1618/100),IF($O$5&gt;40,15+70*($AG1618/100),IF($O$5&gt;30,20+70*($AG1618/100),IF($O$5&gt;20,40+55*($AG1618/100),(80+(20-$O$5)+30*($AG1618/100))))))))))</f>
        <v>100</v>
      </c>
      <c r="AI1618" s="262">
        <v>1371</v>
      </c>
      <c r="AJ1618" s="262"/>
      <c r="AK1618" s="262"/>
      <c r="AL1618" s="263"/>
      <c r="AM1618" s="264"/>
      <c r="AN1618" s="263"/>
      <c r="AO1618" s="263"/>
      <c r="AP1618" s="265"/>
      <c r="AQ1618" s="266"/>
      <c r="AR1618" s="267">
        <v>13255</v>
      </c>
      <c r="AS1618" s="263"/>
      <c r="AT1618" s="263"/>
      <c r="AU1618" s="263"/>
      <c r="AV1618" s="264"/>
      <c r="AW1618" s="263"/>
      <c r="AX1618" s="263"/>
      <c r="AY1618" s="263"/>
      <c r="AZ1618" s="263"/>
      <c r="BA1618" s="263"/>
      <c r="BB1618" s="263"/>
      <c r="BC1618" s="263"/>
      <c r="BD1618" s="264"/>
      <c r="BE1618" s="263"/>
      <c r="BF1618" s="263"/>
      <c r="BG1618" s="263"/>
      <c r="BH1618" s="263"/>
      <c r="BI1618" s="263"/>
      <c r="BJ1618" s="404">
        <f>altaz(J2000_Bas,$O1618,$M1618,DecLat,DecLong,2)</f>
        <v>96.003999746435255</v>
      </c>
      <c r="BK1618" s="378" t="s">
        <v>1629</v>
      </c>
      <c r="BL1618" s="379">
        <f>IF((2*G1618)/60&lt;0.2,0.2,(2*G1618)/60)</f>
        <v>0.2</v>
      </c>
      <c r="BM1618" s="380">
        <f>MOD((50000+AD1618-$B$3+(0/24)),1)</f>
        <v>0.35758400503254961</v>
      </c>
      <c r="BN1618" s="381"/>
      <c r="BO1618" s="382">
        <v>1611</v>
      </c>
    </row>
    <row r="1619" spans="1:67" s="24" customFormat="1" ht="15" customHeight="1" x14ac:dyDescent="0.25">
      <c r="A1619" s="288" t="s">
        <v>3166</v>
      </c>
      <c r="B1619" s="241" t="str">
        <f>HYPERLINK(CONCATENATE($AT$3,BK1619,$AU$3),$AV$3)</f>
        <v>S</v>
      </c>
      <c r="C1619" s="242" t="str">
        <f>HYPERLINK(CONCATENATE($AT$4,BK1619,$AU$4,BL1619),$AV$4)</f>
        <v>A</v>
      </c>
      <c r="D1619" s="243" t="s">
        <v>5638</v>
      </c>
      <c r="E1619" s="244" t="s">
        <v>5192</v>
      </c>
      <c r="F1619" s="269" t="s">
        <v>8706</v>
      </c>
      <c r="G1619" s="273">
        <v>2.2000000000000002</v>
      </c>
      <c r="H1619" s="283">
        <v>195</v>
      </c>
      <c r="I1619" s="246">
        <v>120</v>
      </c>
      <c r="J1619" s="246">
        <v>2</v>
      </c>
      <c r="K1619" s="247" t="s">
        <v>6702</v>
      </c>
      <c r="L1619" s="248">
        <v>33706</v>
      </c>
      <c r="M1619" s="249">
        <f>15*(LEFT(TEXT($L1619,"000000"),2)+(MID(TEXT($L1619,"000000"),3,2)/60)+(RIGHT(TEXT($L1619,"000000"),2)/3600))</f>
        <v>54.274999999999999</v>
      </c>
      <c r="N1619" s="250">
        <v>-50236</v>
      </c>
      <c r="O1619" s="251">
        <f>IF($N1619&gt;0,(LEFT(TEXT($N1619,"000000"),2)+(MID(TEXT($N1619,"000000"),3,2)/60)+(RIGHT(TEXT($N1619,"000000"),2)/3600)),-(MID(TEXT($N1619,"000000"),2,2)+(MID(TEXT($N1619,"000000"),4,2)/60)+(RIGHT(TEXT($N1619,"000000"),2)/3600)))</f>
        <v>-5.043333333333333</v>
      </c>
      <c r="P1619" s="252" t="s">
        <v>257</v>
      </c>
      <c r="Q1619" s="253"/>
      <c r="R1619" s="277" t="s">
        <v>3293</v>
      </c>
      <c r="S1619" s="272" t="s">
        <v>3293</v>
      </c>
      <c r="T1619" s="273">
        <v>12.1</v>
      </c>
      <c r="U1619" s="289">
        <v>22.39</v>
      </c>
      <c r="V1619" s="280">
        <v>5</v>
      </c>
      <c r="W1619" s="244"/>
      <c r="X1619" s="244"/>
      <c r="Y1619" s="362"/>
      <c r="Z1619" s="257">
        <f>altaz(J2000_Bas,$O1619,$M1619,DecLat,DecLong,1)</f>
        <v>-35.040195335385214</v>
      </c>
      <c r="AA1619" s="257">
        <f>altaz((J2000_Bas+(2*0.04167)),$O1619,$M1619,DecLat,DecLong,1)</f>
        <v>-9.6064983851790942</v>
      </c>
      <c r="AB1619" s="257">
        <f>altaz((J2000_Bas+(4*0.04167)),$O1619,$M1619,DecLat,DecLong,1)</f>
        <v>15.85198564438234</v>
      </c>
      <c r="AC1619" s="257">
        <f>altaz((J2000_Bas+(6*0.04167)),$O1619,$M1619,DecLat,DecLong,1)</f>
        <v>38.858078254540679</v>
      </c>
      <c r="AD1619" s="258">
        <f>1+ transit((J2000_Bas-1),$O1619,$M1619,DecLat,DecLong)/360 + (GMTOffset/24) + (IF(DST="Y", 1, 0)/24)</f>
        <v>1.1436638344422081</v>
      </c>
      <c r="AE1619" s="259">
        <f>DATE(2001,9,21)+(M1619/360)*365 - (360*((DecLong/360)- (GMTOffset/24) ))</f>
        <v>37215.028819444444</v>
      </c>
      <c r="AF1619" s="260">
        <f>IF(DecLat&gt;0,IF((90 - (DecLat-O1619))&gt;90, (90 - (O1619-DecLat)), (90 - (DecLat-O1619))),IF((90 + (DecLat-O1619))&gt;90, (90 + (O1619-DecLat)), (90 + (DecLat-O1619))))</f>
        <v>53.956666666666663</v>
      </c>
      <c r="AG1619" s="257">
        <f>angularseperation(MoonRA,MoonDec,$M1619,$O1619)</f>
        <v>144.76372138914684</v>
      </c>
      <c r="AH1619" s="261">
        <f ca="1">MIN(100,IF($O$5&gt;80,0+30*($AG1619/100),IF($O$5&gt;70,0+50*($AG1619/100),IF($O$5&gt;60,5+50*($AG1619/100),IF($O$5&gt;50,10+60*($AG1619/100),IF($O$5&gt;40,15+70*($AG1619/100),IF($O$5&gt;30,20+70*($AG1619/100),IF($O$5&gt;20,40+55*($AG1619/100),(80+(20-$O$5)+30*($AG1619/100))))))))))</f>
        <v>100</v>
      </c>
      <c r="AI1619" s="263">
        <v>1376</v>
      </c>
      <c r="AJ1619" s="263"/>
      <c r="AK1619" s="263"/>
      <c r="AL1619" s="263"/>
      <c r="AM1619" s="264"/>
      <c r="AN1619" s="263"/>
      <c r="AO1619" s="263"/>
      <c r="AP1619" s="265"/>
      <c r="AQ1619" s="265"/>
      <c r="AR1619" s="285">
        <v>13352</v>
      </c>
      <c r="AS1619" s="263"/>
      <c r="AT1619" s="263"/>
      <c r="AU1619" s="263"/>
      <c r="AV1619" s="264"/>
      <c r="AW1619" s="263"/>
      <c r="AX1619" s="263"/>
      <c r="AY1619" s="263"/>
      <c r="AZ1619" s="263"/>
      <c r="BA1619" s="263"/>
      <c r="BB1619" s="263"/>
      <c r="BC1619" s="263"/>
      <c r="BD1619" s="264"/>
      <c r="BE1619" s="263"/>
      <c r="BF1619" s="263"/>
      <c r="BG1619" s="263"/>
      <c r="BH1619" s="263"/>
      <c r="BI1619" s="263"/>
      <c r="BJ1619" s="404">
        <f>altaz(J2000_Bas,$O1619,$M1619,DecLat,DecLong,2)</f>
        <v>72.776838794264393</v>
      </c>
      <c r="BK1619" s="378" t="s">
        <v>3166</v>
      </c>
      <c r="BL1619" s="379">
        <f>IF((2*G1619)/60&lt;0.2,0.2,(2*G1619)/60)</f>
        <v>0.2</v>
      </c>
      <c r="BM1619" s="380">
        <f>MOD((50000+AD1619-$B$3+(0/24)),1)</f>
        <v>0.35903076414979296</v>
      </c>
      <c r="BN1619" s="381"/>
      <c r="BO1619" s="382">
        <v>1612</v>
      </c>
    </row>
    <row r="1620" spans="1:67" s="24" customFormat="1" ht="15" customHeight="1" x14ac:dyDescent="0.25">
      <c r="A1620" s="288" t="s">
        <v>1630</v>
      </c>
      <c r="B1620" s="241" t="str">
        <f>HYPERLINK(CONCATENATE($AT$3,BK1620,$AU$3),$AV$3)</f>
        <v>S</v>
      </c>
      <c r="C1620" s="242" t="str">
        <f>HYPERLINK(CONCATENATE($AT$4,BK1620,$AU$4,BL1620),$AV$4)</f>
        <v>A</v>
      </c>
      <c r="D1620" s="243" t="s">
        <v>5638</v>
      </c>
      <c r="E1620" s="244" t="s">
        <v>5182</v>
      </c>
      <c r="F1620" s="269" t="s">
        <v>3300</v>
      </c>
      <c r="G1620" s="273">
        <v>3.5</v>
      </c>
      <c r="H1620" s="283">
        <v>55</v>
      </c>
      <c r="I1620" s="246">
        <v>60</v>
      </c>
      <c r="J1620" s="246">
        <v>2</v>
      </c>
      <c r="K1620" s="247" t="s">
        <v>6703</v>
      </c>
      <c r="L1620" s="248">
        <v>33647</v>
      </c>
      <c r="M1620" s="249">
        <f>15*(LEFT(TEXT($L1620,"000000"),2)+(MID(TEXT($L1620,"000000"),3,2)/60)+(RIGHT(TEXT($L1620,"000000"),2)/3600))</f>
        <v>54.195833333333333</v>
      </c>
      <c r="N1620" s="250">
        <v>-355957</v>
      </c>
      <c r="O1620" s="251">
        <f>IF($N1620&gt;0,(LEFT(TEXT($N1620,"000000"),2)+(MID(TEXT($N1620,"000000"),3,2)/60)+(RIGHT(TEXT($N1620,"000000"),2)/3600)),-(MID(TEXT($N1620,"000000"),2,2)+(MID(TEXT($N1620,"000000"),4,2)/60)+(RIGHT(TEXT($N1620,"000000"),2)/3600)))</f>
        <v>-35.999166666666667</v>
      </c>
      <c r="P1620" s="252" t="s">
        <v>257</v>
      </c>
      <c r="Q1620" s="253"/>
      <c r="R1620" s="277" t="s">
        <v>3293</v>
      </c>
      <c r="S1620" s="272" t="s">
        <v>3293</v>
      </c>
      <c r="T1620" s="273">
        <v>11.2</v>
      </c>
      <c r="U1620" s="289">
        <v>21.59</v>
      </c>
      <c r="V1620" s="280">
        <v>70</v>
      </c>
      <c r="W1620" s="244"/>
      <c r="X1620" s="244"/>
      <c r="Y1620" s="362"/>
      <c r="Z1620" s="257">
        <f>altaz(J2000_Bas,$O1620,$M1620,DecLat,DecLong,1)</f>
        <v>-47.013041987513091</v>
      </c>
      <c r="AA1620" s="257">
        <f>altaz((J2000_Bas+(2*0.04167)),$O1620,$M1620,DecLat,DecLong,1)</f>
        <v>-23.611961716129318</v>
      </c>
      <c r="AB1620" s="257">
        <f>altaz((J2000_Bas+(4*0.04167)),$O1620,$M1620,DecLat,DecLong,1)</f>
        <v>-2.4769737801390392</v>
      </c>
      <c r="AC1620" s="257">
        <f>altaz((J2000_Bas+(6*0.04167)),$O1620,$M1620,DecLat,DecLong,1)</f>
        <v>14.133748195089916</v>
      </c>
      <c r="AD1620" s="258">
        <f>1+ transit((J2000_Bas-1),$O1620,$M1620,DecLat,DecLong)/360 + (GMTOffset/24) + (IF(DST="Y", 1, 0)/24)</f>
        <v>1.1434439270567913</v>
      </c>
      <c r="AE1620" s="259">
        <f>DATE(2001,9,21)+(M1620/360)*365 - (360*((DecLong/360)- (GMTOffset/24) ))</f>
        <v>37214.948553240742</v>
      </c>
      <c r="AF1620" s="260">
        <f>IF(DecLat&gt;0,IF((90 - (DecLat-O1620))&gt;90, (90 - (O1620-DecLat)), (90 - (DecLat-O1620))),IF((90 + (DecLat-O1620))&gt;90, (90 + (O1620-DecLat)), (90 + (DecLat-O1620))))</f>
        <v>23.000833333333333</v>
      </c>
      <c r="AG1620" s="257">
        <f>angularseperation(MoonRA,MoonDec,$M1620,$O1620)</f>
        <v>115.34077921821482</v>
      </c>
      <c r="AH1620" s="261">
        <f ca="1">MIN(100,IF($O$5&gt;80,0+30*($AG1620/100),IF($O$5&gt;70,0+50*($AG1620/100),IF($O$5&gt;60,5+50*($AG1620/100),IF($O$5&gt;50,10+60*($AG1620/100),IF($O$5&gt;40,15+70*($AG1620/100),IF($O$5&gt;30,20+70*($AG1620/100),IF($O$5&gt;20,40+55*($AG1620/100),(80+(20-$O$5)+30*($AG1620/100))))))))))</f>
        <v>100</v>
      </c>
      <c r="AI1620" s="262">
        <v>1386</v>
      </c>
      <c r="AJ1620" s="263"/>
      <c r="AK1620" s="263"/>
      <c r="AL1620" s="263"/>
      <c r="AM1620" s="264"/>
      <c r="AN1620" s="263"/>
      <c r="AO1620" s="263"/>
      <c r="AP1620" s="265"/>
      <c r="AQ1620" s="265"/>
      <c r="AR1620" s="285">
        <v>13333</v>
      </c>
      <c r="AS1620" s="263"/>
      <c r="AT1620" s="263"/>
      <c r="AU1620" s="263"/>
      <c r="AV1620" s="264"/>
      <c r="AW1620" s="263"/>
      <c r="AX1620" s="263"/>
      <c r="AY1620" s="263"/>
      <c r="AZ1620" s="263"/>
      <c r="BA1620" s="263"/>
      <c r="BB1620" s="263"/>
      <c r="BC1620" s="263"/>
      <c r="BD1620" s="264"/>
      <c r="BE1620" s="263"/>
      <c r="BF1620" s="263"/>
      <c r="BG1620" s="263"/>
      <c r="BH1620" s="263"/>
      <c r="BI1620" s="263"/>
      <c r="BJ1620" s="404">
        <f>altaz(J2000_Bas,$O1620,$M1620,DecLat,DecLong,2)</f>
        <v>111.16522380977285</v>
      </c>
      <c r="BK1620" s="378" t="s">
        <v>1630</v>
      </c>
      <c r="BL1620" s="379">
        <f>IF((2*G1620)/60&lt;0.2,0.2,(2*G1620)/60)</f>
        <v>0.2</v>
      </c>
      <c r="BM1620" s="380">
        <f>MOD((50000+AD1620-$B$3+(0/24)),1)</f>
        <v>0.35881085676373914</v>
      </c>
      <c r="BN1620" s="381"/>
      <c r="BO1620" s="382">
        <v>1613</v>
      </c>
    </row>
    <row r="1621" spans="1:67" s="24" customFormat="1" ht="15" customHeight="1" x14ac:dyDescent="0.25">
      <c r="A1621" s="288" t="s">
        <v>3135</v>
      </c>
      <c r="B1621" s="241" t="str">
        <f>HYPERLINK(CONCATENATE($AT$3,BK1621,$AU$3),$AV$3)</f>
        <v>S</v>
      </c>
      <c r="C1621" s="242" t="str">
        <f>HYPERLINK(CONCATENATE($AT$4,BK1621,$AU$4,BL1621),$AV$4)</f>
        <v>A</v>
      </c>
      <c r="D1621" s="243" t="s">
        <v>5638</v>
      </c>
      <c r="E1621" s="244" t="s">
        <v>5182</v>
      </c>
      <c r="F1621" s="269" t="s">
        <v>8944</v>
      </c>
      <c r="G1621" s="273">
        <v>2</v>
      </c>
      <c r="H1621" s="283">
        <v>240</v>
      </c>
      <c r="I1621" s="246">
        <v>140</v>
      </c>
      <c r="J1621" s="246">
        <v>2</v>
      </c>
      <c r="K1621" s="247" t="s">
        <v>6700</v>
      </c>
      <c r="L1621" s="248">
        <v>33947</v>
      </c>
      <c r="M1621" s="249">
        <f>15*(LEFT(TEXT($L1621,"000000"),2)+(MID(TEXT($L1621,"000000"),3,2)/60)+(RIGHT(TEXT($L1621,"000000"),2)/3600))</f>
        <v>54.945833333333326</v>
      </c>
      <c r="N1621" s="250">
        <v>-44012</v>
      </c>
      <c r="O1621" s="251">
        <f>IF($N1621&gt;0,(LEFT(TEXT($N1621,"000000"),2)+(MID(TEXT($N1621,"000000"),3,2)/60)+(RIGHT(TEXT($N1621,"000000"),2)/3600)),-(MID(TEXT($N1621,"000000"),2,2)+(MID(TEXT($N1621,"000000"),4,2)/60)+(RIGHT(TEXT($N1621,"000000"),2)/3600)))</f>
        <v>-4.67</v>
      </c>
      <c r="P1621" s="252" t="s">
        <v>257</v>
      </c>
      <c r="Q1621" s="253"/>
      <c r="R1621" s="277" t="s">
        <v>3293</v>
      </c>
      <c r="S1621" s="272" t="s">
        <v>3293</v>
      </c>
      <c r="T1621" s="273">
        <v>13.7</v>
      </c>
      <c r="U1621" s="289">
        <v>23.19</v>
      </c>
      <c r="V1621" s="280">
        <v>20</v>
      </c>
      <c r="W1621" s="244"/>
      <c r="X1621" s="244"/>
      <c r="Y1621" s="362"/>
      <c r="Z1621" s="257">
        <f>altaz(J2000_Bas,$O1621,$M1621,DecLat,DecLong,1)</f>
        <v>-35.374358970546297</v>
      </c>
      <c r="AA1621" s="257">
        <f>altaz((J2000_Bas+(2*0.04167)),$O1621,$M1621,DecLat,DecLong,1)</f>
        <v>-9.9911537434496083</v>
      </c>
      <c r="AB1621" s="257">
        <f>altaz((J2000_Bas+(4*0.04167)),$O1621,$M1621,DecLat,DecLong,1)</f>
        <v>15.507872421247736</v>
      </c>
      <c r="AC1621" s="257">
        <f>altaz((J2000_Bas+(6*0.04167)),$O1621,$M1621,DecLat,DecLong,1)</f>
        <v>38.675074459041909</v>
      </c>
      <c r="AD1621" s="258">
        <f>1+ transit((J2000_Bas-1),$O1621,$M1621,DecLat,DecLong)/360 + (GMTOffset/24) + (IF(DST="Y", 1, 0)/24)</f>
        <v>1.1455272601817914</v>
      </c>
      <c r="AE1621" s="259">
        <f>DATE(2001,9,21)+(M1621/360)*365 - (360*((DecLong/360)- (GMTOffset/24) ))</f>
        <v>37215.708969907406</v>
      </c>
      <c r="AF1621" s="260">
        <f>IF(DecLat&gt;0,IF((90 - (DecLat-O1621))&gt;90, (90 - (O1621-DecLat)), (90 - (DecLat-O1621))),IF((90 + (DecLat-O1621))&gt;90, (90 + (O1621-DecLat)), (90 + (DecLat-O1621))))</f>
        <v>54.33</v>
      </c>
      <c r="AG1621" s="257">
        <f>angularseperation(MoonRA,MoonDec,$M1621,$O1621)</f>
        <v>145.36957334376186</v>
      </c>
      <c r="AH1621" s="261">
        <f ca="1">MIN(100,IF($O$5&gt;80,0+30*($AG1621/100),IF($O$5&gt;70,0+50*($AG1621/100),IF($O$5&gt;60,5+50*($AG1621/100),IF($O$5&gt;50,10+60*($AG1621/100),IF($O$5&gt;40,15+70*($AG1621/100),IF($O$5&gt;30,20+70*($AG1621/100),IF($O$5&gt;20,40+55*($AG1621/100),(80+(20-$O$5)+30*($AG1621/100))))))))))</f>
        <v>100</v>
      </c>
      <c r="AI1621" s="263">
        <v>1397</v>
      </c>
      <c r="AJ1621" s="263"/>
      <c r="AK1621" s="263"/>
      <c r="AL1621" s="263"/>
      <c r="AM1621" s="264"/>
      <c r="AN1621" s="263"/>
      <c r="AO1621" s="263"/>
      <c r="AP1621" s="265"/>
      <c r="AQ1621" s="265"/>
      <c r="AR1621" s="285">
        <v>13485</v>
      </c>
      <c r="AS1621" s="263"/>
      <c r="AT1621" s="263"/>
      <c r="AU1621" s="263"/>
      <c r="AV1621" s="264"/>
      <c r="AW1621" s="263"/>
      <c r="AX1621" s="263"/>
      <c r="AY1621" s="263"/>
      <c r="AZ1621" s="263"/>
      <c r="BA1621" s="263"/>
      <c r="BB1621" s="263"/>
      <c r="BC1621" s="263"/>
      <c r="BD1621" s="264"/>
      <c r="BE1621" s="263"/>
      <c r="BF1621" s="263"/>
      <c r="BG1621" s="263"/>
      <c r="BH1621" s="263"/>
      <c r="BI1621" s="263"/>
      <c r="BJ1621" s="404">
        <f>altaz(J2000_Bas,$O1621,$M1621,DecLat,DecLong,2)</f>
        <v>71.933772118178396</v>
      </c>
      <c r="BK1621" s="378" t="s">
        <v>3135</v>
      </c>
      <c r="BL1621" s="379">
        <f>IF((2*G1621)/60&lt;0.2,0.2,(2*G1621)/60)</f>
        <v>0.2</v>
      </c>
      <c r="BM1621" s="380">
        <f>MOD((50000+AD1621-$B$3+(0/24)),1)</f>
        <v>0.36089418988558464</v>
      </c>
      <c r="BN1621" s="381"/>
      <c r="BO1621" s="382">
        <v>1614</v>
      </c>
    </row>
    <row r="1622" spans="1:67" s="24" customFormat="1" ht="15" customHeight="1" x14ac:dyDescent="0.25">
      <c r="A1622" s="288" t="s">
        <v>1631</v>
      </c>
      <c r="B1622" s="241" t="str">
        <f>HYPERLINK(CONCATENATE($AT$3,BK1622,$AU$3),$AV$3)</f>
        <v>S</v>
      </c>
      <c r="C1622" s="242" t="str">
        <f>HYPERLINK(CONCATENATE($AT$4,BK1622,$AU$4,BL1622),$AV$4)</f>
        <v>A</v>
      </c>
      <c r="D1622" s="243" t="s">
        <v>5638</v>
      </c>
      <c r="E1622" s="244" t="s">
        <v>5192</v>
      </c>
      <c r="F1622" s="269" t="s">
        <v>8945</v>
      </c>
      <c r="G1622" s="273">
        <v>8</v>
      </c>
      <c r="H1622" s="283">
        <v>50</v>
      </c>
      <c r="I1622" s="246">
        <v>120</v>
      </c>
      <c r="J1622" s="246">
        <v>2</v>
      </c>
      <c r="K1622" s="247" t="s">
        <v>6701</v>
      </c>
      <c r="L1622" s="248">
        <v>33852</v>
      </c>
      <c r="M1622" s="249">
        <f>15*(LEFT(TEXT($L1622,"000000"),2)+(MID(TEXT($L1622,"000000"),3,2)/60)+(RIGHT(TEXT($L1622,"000000"),2)/3600))</f>
        <v>54.716666666666669</v>
      </c>
      <c r="N1622" s="250">
        <v>-262015</v>
      </c>
      <c r="O1622" s="251">
        <f>IF($N1622&gt;0,(LEFT(TEXT($N1622,"000000"),2)+(MID(TEXT($N1622,"000000"),3,2)/60)+(RIGHT(TEXT($N1622,"000000"),2)/3600)),-(MID(TEXT($N1622,"000000"),2,2)+(MID(TEXT($N1622,"000000"),4,2)/60)+(RIGHT(TEXT($N1622,"000000"),2)/3600)))</f>
        <v>-26.337499999999999</v>
      </c>
      <c r="P1622" s="252" t="s">
        <v>215</v>
      </c>
      <c r="Q1622" s="253"/>
      <c r="R1622" s="247" t="s">
        <v>3293</v>
      </c>
      <c r="S1622" s="272" t="s">
        <v>3293</v>
      </c>
      <c r="T1622" s="273">
        <v>9.6999999999999993</v>
      </c>
      <c r="U1622" s="289">
        <v>22.39</v>
      </c>
      <c r="V1622" s="280">
        <v>45</v>
      </c>
      <c r="W1622" s="244"/>
      <c r="X1622" s="244"/>
      <c r="Y1622" s="362"/>
      <c r="Z1622" s="257">
        <f>altaz(J2000_Bas,$O1622,$M1622,DecLat,DecLong,1)</f>
        <v>-45.149776373682862</v>
      </c>
      <c r="AA1622" s="257">
        <f>altaz((J2000_Bas+(2*0.04167)),$O1622,$M1622,DecLat,DecLong,1)</f>
        <v>-20.106318719312725</v>
      </c>
      <c r="AB1622" s="257">
        <f>altaz((J2000_Bas+(4*0.04167)),$O1622,$M1622,DecLat,DecLong,1)</f>
        <v>3.0083274225663001</v>
      </c>
      <c r="AC1622" s="257">
        <f>altaz((J2000_Bas+(6*0.04167)),$O1622,$M1622,DecLat,DecLong,1)</f>
        <v>21.902080557829446</v>
      </c>
      <c r="AD1622" s="258">
        <f>1+ transit((J2000_Bas-1),$O1622,$M1622,DecLat,DecLong)/360 + (GMTOffset/24) + (IF(DST="Y", 1, 0)/24)</f>
        <v>1.1448906861713748</v>
      </c>
      <c r="AE1622" s="259">
        <f>DATE(2001,9,21)+(M1622/360)*365 - (360*((DecLong/360)- (GMTOffset/24) ))</f>
        <v>37215.476620370369</v>
      </c>
      <c r="AF1622" s="260">
        <f>IF(DecLat&gt;0,IF((90 - (DecLat-O1622))&gt;90, (90 - (O1622-DecLat)), (90 - (DecLat-O1622))),IF((90 + (DecLat-O1622))&gt;90, (90 + (O1622-DecLat)), (90 + (DecLat-O1622))))</f>
        <v>32.662500000000001</v>
      </c>
      <c r="AG1622" s="257">
        <f>angularseperation(MoonRA,MoonDec,$M1622,$O1622)</f>
        <v>124.77941963138244</v>
      </c>
      <c r="AH1622" s="261">
        <f ca="1">MIN(100,IF($O$5&gt;80,0+30*($AG1622/100),IF($O$5&gt;70,0+50*($AG1622/100),IF($O$5&gt;60,5+50*($AG1622/100),IF($O$5&gt;50,10+60*($AG1622/100),IF($O$5&gt;40,15+70*($AG1622/100),IF($O$5&gt;30,20+70*($AG1622/100),IF($O$5&gt;20,40+55*($AG1622/100),(80+(20-$O$5)+30*($AG1622/100))))))))))</f>
        <v>100</v>
      </c>
      <c r="AI1622" s="262">
        <v>1398</v>
      </c>
      <c r="AJ1622" s="262"/>
      <c r="AK1622" s="262"/>
      <c r="AL1622" s="263"/>
      <c r="AM1622" s="264"/>
      <c r="AN1622" s="263"/>
      <c r="AO1622" s="263"/>
      <c r="AP1622" s="265"/>
      <c r="AQ1622" s="266"/>
      <c r="AR1622" s="267">
        <v>13434</v>
      </c>
      <c r="AS1622" s="263"/>
      <c r="AT1622" s="263"/>
      <c r="AU1622" s="263"/>
      <c r="AV1622" s="264"/>
      <c r="AW1622" s="263"/>
      <c r="AX1622" s="263"/>
      <c r="AY1622" s="263"/>
      <c r="AZ1622" s="263"/>
      <c r="BA1622" s="263"/>
      <c r="BB1622" s="263"/>
      <c r="BC1622" s="263"/>
      <c r="BD1622" s="264"/>
      <c r="BE1622" s="263">
        <v>19</v>
      </c>
      <c r="BF1622" s="263"/>
      <c r="BG1622" s="263"/>
      <c r="BH1622" s="263"/>
      <c r="BI1622" s="263"/>
      <c r="BJ1622" s="404">
        <f>altaz(J2000_Bas,$O1622,$M1622,DecLat,DecLong,2)</f>
        <v>97.463116719670595</v>
      </c>
      <c r="BK1622" s="378" t="s">
        <v>1631</v>
      </c>
      <c r="BL1622" s="379">
        <f>IF((2*G1622)/60&lt;0.2,0.2,(2*G1622)/60)</f>
        <v>0.26666666666666666</v>
      </c>
      <c r="BM1622" s="380">
        <f>MOD((50000+AD1622-$B$3+(0/24)),1)</f>
        <v>0.36025761587370653</v>
      </c>
      <c r="BN1622" s="381"/>
      <c r="BO1622" s="382">
        <v>1615</v>
      </c>
    </row>
    <row r="1623" spans="1:67" s="24" customFormat="1" ht="15" customHeight="1" x14ac:dyDescent="0.25">
      <c r="A1623" s="288" t="s">
        <v>1632</v>
      </c>
      <c r="B1623" s="241" t="str">
        <f>HYPERLINK(CONCATENATE($AT$3,BK1623,$AU$3),$AV$3)</f>
        <v>S</v>
      </c>
      <c r="C1623" s="242" t="str">
        <f>HYPERLINK(CONCATENATE($AT$4,BK1623,$AU$4,BL1623),$AV$4)</f>
        <v>A</v>
      </c>
      <c r="D1623" s="243" t="s">
        <v>5638</v>
      </c>
      <c r="E1623" s="244" t="s">
        <v>5193</v>
      </c>
      <c r="F1623" s="269" t="s">
        <v>3311</v>
      </c>
      <c r="G1623" s="273">
        <v>8</v>
      </c>
      <c r="H1623" s="283">
        <v>55</v>
      </c>
      <c r="I1623" s="246">
        <v>130</v>
      </c>
      <c r="J1623" s="246">
        <v>1</v>
      </c>
      <c r="K1623" s="247" t="s">
        <v>6706</v>
      </c>
      <c r="L1623" s="248">
        <v>33829</v>
      </c>
      <c r="M1623" s="249">
        <f>15*(LEFT(TEXT($L1623,"000000"),2)+(MID(TEXT($L1623,"000000"),3,2)/60)+(RIGHT(TEXT($L1623,"000000"),2)/3600))</f>
        <v>54.62083333333333</v>
      </c>
      <c r="N1623" s="250">
        <v>-352701</v>
      </c>
      <c r="O1623" s="251">
        <f>IF($N1623&gt;0,(LEFT(TEXT($N1623,"000000"),2)+(MID(TEXT($N1623,"000000"),3,2)/60)+(RIGHT(TEXT($N1623,"000000"),2)/3600)),-(MID(TEXT($N1623,"000000"),2,2)+(MID(TEXT($N1623,"000000"),4,2)/60)+(RIGHT(TEXT($N1623,"000000"),2)/3600)))</f>
        <v>-35.450277777777778</v>
      </c>
      <c r="P1623" s="252" t="s">
        <v>215</v>
      </c>
      <c r="Q1623" s="253"/>
      <c r="R1623" s="247" t="s">
        <v>3293</v>
      </c>
      <c r="S1623" s="272" t="s">
        <v>6704</v>
      </c>
      <c r="T1623" s="273">
        <v>8.8000000000000007</v>
      </c>
      <c r="U1623" s="289">
        <v>22.59</v>
      </c>
      <c r="V1623" s="280"/>
      <c r="W1623" s="244"/>
      <c r="X1623" s="244"/>
      <c r="Y1623" s="362"/>
      <c r="Z1623" s="257">
        <f>altaz(J2000_Bas,$O1623,$M1623,DecLat,DecLong,1)</f>
        <v>-47.267242433529788</v>
      </c>
      <c r="AA1623" s="257">
        <f>altaz((J2000_Bas+(2*0.04167)),$O1623,$M1623,DecLat,DecLong,1)</f>
        <v>-23.724293934408188</v>
      </c>
      <c r="AB1623" s="257">
        <f>altaz((J2000_Bas+(4*0.04167)),$O1623,$M1623,DecLat,DecLong,1)</f>
        <v>-2.4202263123323591</v>
      </c>
      <c r="AC1623" s="257">
        <f>altaz((J2000_Bas+(6*0.04167)),$O1623,$M1623,DecLat,DecLong,1)</f>
        <v>14.404949275013003</v>
      </c>
      <c r="AD1623" s="258">
        <f>1+ transit((J2000_Bas-1),$O1623,$M1623,DecLat,DecLong)/360 + (GMTOffset/24) + (IF(DST="Y", 1, 0)/24)</f>
        <v>1.1446244824942913</v>
      </c>
      <c r="AE1623" s="259">
        <f>DATE(2001,9,21)+(M1623/360)*365 - (360*((DecLong/360)- (GMTOffset/24) ))</f>
        <v>37215.37945601852</v>
      </c>
      <c r="AF1623" s="260">
        <f>IF(DecLat&gt;0,IF((90 - (DecLat-O1623))&gt;90, (90 - (O1623-DecLat)), (90 - (DecLat-O1623))),IF((90 + (DecLat-O1623))&gt;90, (90 + (O1623-DecLat)), (90 + (DecLat-O1623))))</f>
        <v>23.549722222222215</v>
      </c>
      <c r="AG1623" s="257">
        <f>angularseperation(MoonRA,MoonDec,$M1623,$O1623)</f>
        <v>115.95907107164956</v>
      </c>
      <c r="AH1623" s="261">
        <f ca="1">MIN(100,IF($O$5&gt;80,0+30*($AG1623/100),IF($O$5&gt;70,0+50*($AG1623/100),IF($O$5&gt;60,5+50*($AG1623/100),IF($O$5&gt;50,10+60*($AG1623/100),IF($O$5&gt;40,15+70*($AG1623/100),IF($O$5&gt;30,20+70*($AG1623/100),IF($O$5&gt;20,40+55*($AG1623/100),(80+(20-$O$5)+30*($AG1623/100))))))))))</f>
        <v>100</v>
      </c>
      <c r="AI1623" s="262">
        <v>1399</v>
      </c>
      <c r="AJ1623" s="262"/>
      <c r="AK1623" s="262"/>
      <c r="AL1623" s="263"/>
      <c r="AM1623" s="264"/>
      <c r="AN1623" s="263"/>
      <c r="AO1623" s="263"/>
      <c r="AP1623" s="265"/>
      <c r="AQ1623" s="266"/>
      <c r="AR1623" s="267">
        <v>13418</v>
      </c>
      <c r="AS1623" s="263"/>
      <c r="AT1623" s="263"/>
      <c r="AU1623" s="263"/>
      <c r="AV1623" s="264"/>
      <c r="AW1623" s="263"/>
      <c r="AX1623" s="263"/>
      <c r="AY1623" s="263"/>
      <c r="AZ1623" s="263"/>
      <c r="BA1623" s="263"/>
      <c r="BB1623" s="263"/>
      <c r="BC1623" s="263"/>
      <c r="BD1623" s="264"/>
      <c r="BE1623" s="263">
        <v>18</v>
      </c>
      <c r="BF1623" s="263"/>
      <c r="BG1623" s="263"/>
      <c r="BH1623" s="263"/>
      <c r="BI1623" s="263"/>
      <c r="BJ1623" s="404">
        <f>altaz(J2000_Bas,$O1623,$M1623,DecLat,DecLong,2)</f>
        <v>110.28841196950204</v>
      </c>
      <c r="BK1623" s="378" t="s">
        <v>1632</v>
      </c>
      <c r="BL1623" s="379">
        <f>IF((2*G1623)/60&lt;0.2,0.2,(2*G1623)/60)</f>
        <v>0.26666666666666666</v>
      </c>
      <c r="BM1623" s="380">
        <f>MOD((50000+AD1623-$B$3+(0/24)),1)</f>
        <v>0.35999141219508601</v>
      </c>
      <c r="BN1623" s="381"/>
      <c r="BO1623" s="382">
        <v>1616</v>
      </c>
    </row>
    <row r="1624" spans="1:67" s="24" customFormat="1" ht="15" customHeight="1" x14ac:dyDescent="0.25">
      <c r="A1624" s="288" t="s">
        <v>1633</v>
      </c>
      <c r="B1624" s="241" t="str">
        <f>HYPERLINK(CONCATENATE($AT$3,BK1624,$AU$3),$AV$3)</f>
        <v>S</v>
      </c>
      <c r="C1624" s="242" t="str">
        <f>HYPERLINK(CONCATENATE($AT$4,BK1624,$AU$4,BL1624),$AV$4)</f>
        <v>A</v>
      </c>
      <c r="D1624" s="243" t="s">
        <v>5638</v>
      </c>
      <c r="E1624" s="244" t="s">
        <v>5182</v>
      </c>
      <c r="F1624" s="269" t="s">
        <v>3300</v>
      </c>
      <c r="G1624" s="273">
        <v>3.2</v>
      </c>
      <c r="H1624" s="283">
        <v>80</v>
      </c>
      <c r="I1624" s="246">
        <v>75</v>
      </c>
      <c r="J1624" s="246">
        <v>1</v>
      </c>
      <c r="K1624" s="247" t="s">
        <v>6710</v>
      </c>
      <c r="L1624" s="248">
        <v>33931</v>
      </c>
      <c r="M1624" s="249">
        <f>15*(LEFT(TEXT($L1624,"000000"),2)+(MID(TEXT($L1624,"000000"),3,2)/60)+(RIGHT(TEXT($L1624,"000000"),2)/3600))</f>
        <v>54.879166666666663</v>
      </c>
      <c r="N1624" s="250">
        <v>-184117</v>
      </c>
      <c r="O1624" s="251">
        <f>IF($N1624&gt;0,(LEFT(TEXT($N1624,"000000"),2)+(MID(TEXT($N1624,"000000"),3,2)/60)+(RIGHT(TEXT($N1624,"000000"),2)/3600)),-(MID(TEXT($N1624,"000000"),2,2)+(MID(TEXT($N1624,"000000"),4,2)/60)+(RIGHT(TEXT($N1624,"000000"),2)/3600)))</f>
        <v>-18.688055555555557</v>
      </c>
      <c r="P1624" s="252" t="s">
        <v>257</v>
      </c>
      <c r="Q1624" s="253"/>
      <c r="R1624" s="247" t="s">
        <v>3293</v>
      </c>
      <c r="S1624" s="272" t="s">
        <v>6709</v>
      </c>
      <c r="T1624" s="273">
        <v>11</v>
      </c>
      <c r="U1624" s="289">
        <v>21.39</v>
      </c>
      <c r="V1624" s="280">
        <v>45</v>
      </c>
      <c r="W1624" s="244"/>
      <c r="X1624" s="244"/>
      <c r="Y1624" s="362"/>
      <c r="Z1624" s="257">
        <f>altaz(J2000_Bas,$O1624,$M1624,DecLat,DecLong,1)</f>
        <v>-42.427572652306822</v>
      </c>
      <c r="AA1624" s="257">
        <f>altaz((J2000_Bas+(2*0.04167)),$O1624,$M1624,DecLat,DecLong,1)</f>
        <v>-16.806162525787805</v>
      </c>
      <c r="AB1624" s="257">
        <f>altaz((J2000_Bas+(4*0.04167)),$O1624,$M1624,DecLat,DecLong,1)</f>
        <v>7.4595556913690588</v>
      </c>
      <c r="AC1624" s="257">
        <f>altaz((J2000_Bas+(6*0.04167)),$O1624,$M1624,DecLat,DecLong,1)</f>
        <v>27.991869512796004</v>
      </c>
      <c r="AD1624" s="258">
        <f>1+ transit((J2000_Bas-1),$O1624,$M1624,DecLat,DecLong)/360 + (GMTOffset/24) + (IF(DST="Y", 1, 0)/24)</f>
        <v>1.1453420750151246</v>
      </c>
      <c r="AE1624" s="259">
        <f>DATE(2001,9,21)+(M1624/360)*365 - (360*((DecLong/360)- (GMTOffset/24) ))</f>
        <v>37215.641377314816</v>
      </c>
      <c r="AF1624" s="260">
        <f>IF(DecLat&gt;0,IF((90 - (DecLat-O1624))&gt;90, (90 - (O1624-DecLat)), (90 - (DecLat-O1624))),IF((90 + (DecLat-O1624))&gt;90, (90 + (O1624-DecLat)), (90 + (DecLat-O1624))))</f>
        <v>40.311944444444443</v>
      </c>
      <c r="AG1624" s="257">
        <f>angularseperation(MoonRA,MoonDec,$M1624,$O1624)</f>
        <v>132.15610219810699</v>
      </c>
      <c r="AH1624" s="261">
        <f ca="1">MIN(100,IF($O$5&gt;80,0+30*($AG1624/100),IF($O$5&gt;70,0+50*($AG1624/100),IF($O$5&gt;60,5+50*($AG1624/100),IF($O$5&gt;50,10+60*($AG1624/100),IF($O$5&gt;40,15+70*($AG1624/100),IF($O$5&gt;30,20+70*($AG1624/100),IF($O$5&gt;20,40+55*($AG1624/100),(80+(20-$O$5)+30*($AG1624/100))))))))))</f>
        <v>100</v>
      </c>
      <c r="AI1624" s="262">
        <v>1400</v>
      </c>
      <c r="AJ1624" s="262"/>
      <c r="AK1624" s="262"/>
      <c r="AL1624" s="263"/>
      <c r="AM1624" s="264"/>
      <c r="AN1624" s="263"/>
      <c r="AO1624" s="263"/>
      <c r="AP1624" s="265"/>
      <c r="AQ1624" s="266"/>
      <c r="AR1624" s="267">
        <v>13470</v>
      </c>
      <c r="AS1624" s="263"/>
      <c r="AT1624" s="263"/>
      <c r="AU1624" s="263"/>
      <c r="AV1624" s="264"/>
      <c r="AW1624" s="263"/>
      <c r="AX1624" s="263"/>
      <c r="AY1624" s="263"/>
      <c r="AZ1624" s="263"/>
      <c r="BA1624" s="263"/>
      <c r="BB1624" s="263"/>
      <c r="BC1624" s="263"/>
      <c r="BD1624" s="264"/>
      <c r="BE1624" s="263"/>
      <c r="BF1624" s="263">
        <v>12</v>
      </c>
      <c r="BG1624" s="263"/>
      <c r="BH1624" s="263"/>
      <c r="BI1624" s="263"/>
      <c r="BJ1624" s="404">
        <f>altaz(J2000_Bas,$O1624,$M1624,DecLat,DecLong,2)</f>
        <v>87.548872379494028</v>
      </c>
      <c r="BK1624" s="378" t="s">
        <v>1633</v>
      </c>
      <c r="BL1624" s="379">
        <f>IF((2*G1624)/60&lt;0.2,0.2,(2*G1624)/60)</f>
        <v>0.2</v>
      </c>
      <c r="BM1624" s="380">
        <f>MOD((50000+AD1624-$B$3+(0/24)),1)</f>
        <v>0.36070900472259382</v>
      </c>
      <c r="BN1624" s="381"/>
      <c r="BO1624" s="382">
        <v>1617</v>
      </c>
    </row>
    <row r="1625" spans="1:67" s="24" customFormat="1" ht="15" customHeight="1" x14ac:dyDescent="0.25">
      <c r="A1625" s="288" t="s">
        <v>1634</v>
      </c>
      <c r="B1625" s="241" t="str">
        <f>HYPERLINK(CONCATENATE($AT$3,BK1625,$AU$3),$AV$3)</f>
        <v>S</v>
      </c>
      <c r="C1625" s="242" t="str">
        <f>HYPERLINK(CONCATENATE($AT$4,BK1625,$AU$4,BL1625),$AV$4)</f>
        <v>A</v>
      </c>
      <c r="D1625" s="243" t="s">
        <v>5638</v>
      </c>
      <c r="E1625" s="244" t="s">
        <v>5193</v>
      </c>
      <c r="F1625" s="269" t="s">
        <v>3311</v>
      </c>
      <c r="G1625" s="273">
        <v>5</v>
      </c>
      <c r="H1625" s="283">
        <v>55</v>
      </c>
      <c r="I1625" s="246">
        <v>80</v>
      </c>
      <c r="J1625" s="246">
        <v>1</v>
      </c>
      <c r="K1625" s="247" t="s">
        <v>6707</v>
      </c>
      <c r="L1625" s="248">
        <v>33852</v>
      </c>
      <c r="M1625" s="249">
        <f>15*(LEFT(TEXT($L1625,"000000"),2)+(MID(TEXT($L1625,"000000"),3,2)/60)+(RIGHT(TEXT($L1625,"000000"),2)/3600))</f>
        <v>54.716666666666669</v>
      </c>
      <c r="N1625" s="250">
        <v>-353536</v>
      </c>
      <c r="O1625" s="251">
        <f>IF($N1625&gt;0,(LEFT(TEXT($N1625,"000000"),2)+(MID(TEXT($N1625,"000000"),3,2)/60)+(RIGHT(TEXT($N1625,"000000"),2)/3600)),-(MID(TEXT($N1625,"000000"),2,2)+(MID(TEXT($N1625,"000000"),4,2)/60)+(RIGHT(TEXT($N1625,"000000"),2)/3600)))</f>
        <v>-35.593333333333334</v>
      </c>
      <c r="P1625" s="252" t="s">
        <v>257</v>
      </c>
      <c r="Q1625" s="253"/>
      <c r="R1625" s="247" t="s">
        <v>3293</v>
      </c>
      <c r="S1625" s="272" t="s">
        <v>6705</v>
      </c>
      <c r="T1625" s="273">
        <v>10</v>
      </c>
      <c r="U1625" s="289">
        <v>21.39</v>
      </c>
      <c r="V1625" s="280"/>
      <c r="W1625" s="244"/>
      <c r="X1625" s="244"/>
      <c r="Y1625" s="362"/>
      <c r="Z1625" s="257">
        <f>altaz(J2000_Bas,$O1625,$M1625,DecLat,DecLong,1)</f>
        <v>-47.367039804644421</v>
      </c>
      <c r="AA1625" s="257">
        <f>altaz((J2000_Bas+(2*0.04167)),$O1625,$M1625,DecLat,DecLong,1)</f>
        <v>-23.850456537363261</v>
      </c>
      <c r="AB1625" s="257">
        <f>altaz((J2000_Bas+(4*0.04167)),$O1625,$M1625,DecLat,DecLong,1)</f>
        <v>-2.5686529363112069</v>
      </c>
      <c r="AC1625" s="257">
        <f>altaz((J2000_Bas+(6*0.04167)),$O1625,$M1625,DecLat,DecLong,1)</f>
        <v>14.242569859619264</v>
      </c>
      <c r="AD1625" s="258">
        <f>1+ transit((J2000_Bas-1),$O1625,$M1625,DecLat,DecLong)/360 + (GMTOffset/24) + (IF(DST="Y", 1, 0)/24)</f>
        <v>1.1448906861713748</v>
      </c>
      <c r="AE1625" s="259">
        <f>DATE(2001,9,21)+(M1625/360)*365 - (360*((DecLong/360)- (GMTOffset/24) ))</f>
        <v>37215.476620370369</v>
      </c>
      <c r="AF1625" s="260">
        <f>IF(DecLat&gt;0,IF((90 - (DecLat-O1625))&gt;90, (90 - (O1625-DecLat)), (90 - (DecLat-O1625))),IF((90 + (DecLat-O1625))&gt;90, (90 + (O1625-DecLat)), (90 + (DecLat-O1625))))</f>
        <v>23.406666666666666</v>
      </c>
      <c r="AG1625" s="257">
        <f>angularseperation(MoonRA,MoonDec,$M1625,$O1625)</f>
        <v>115.83994707585637</v>
      </c>
      <c r="AH1625" s="261">
        <f ca="1">MIN(100,IF($O$5&gt;80,0+30*($AG1625/100),IF($O$5&gt;70,0+50*($AG1625/100),IF($O$5&gt;60,5+50*($AG1625/100),IF($O$5&gt;50,10+60*($AG1625/100),IF($O$5&gt;40,15+70*($AG1625/100),IF($O$5&gt;30,20+70*($AG1625/100),IF($O$5&gt;20,40+55*($AG1625/100),(80+(20-$O$5)+30*($AG1625/100))))))))))</f>
        <v>100</v>
      </c>
      <c r="AI1625" s="262">
        <v>1404</v>
      </c>
      <c r="AJ1625" s="262"/>
      <c r="AK1625" s="262"/>
      <c r="AL1625" s="263"/>
      <c r="AM1625" s="264"/>
      <c r="AN1625" s="263"/>
      <c r="AO1625" s="263"/>
      <c r="AP1625" s="265"/>
      <c r="AQ1625" s="266"/>
      <c r="AR1625" s="267">
        <v>13433</v>
      </c>
      <c r="AS1625" s="263"/>
      <c r="AT1625" s="263"/>
      <c r="AU1625" s="263"/>
      <c r="AV1625" s="264"/>
      <c r="AW1625" s="263"/>
      <c r="AX1625" s="263"/>
      <c r="AY1625" s="263"/>
      <c r="AZ1625" s="263"/>
      <c r="BA1625" s="263"/>
      <c r="BB1625" s="263"/>
      <c r="BC1625" s="263"/>
      <c r="BD1625" s="264"/>
      <c r="BE1625" s="263">
        <v>20</v>
      </c>
      <c r="BF1625" s="263"/>
      <c r="BG1625" s="263"/>
      <c r="BH1625" s="263"/>
      <c r="BI1625" s="263"/>
      <c r="BJ1625" s="404">
        <f>altaz(J2000_Bas,$O1625,$M1625,DecLat,DecLong,2)</f>
        <v>110.47839750040363</v>
      </c>
      <c r="BK1625" s="378" t="s">
        <v>1634</v>
      </c>
      <c r="BL1625" s="379">
        <f>IF((2*G1625)/60&lt;0.2,0.2,(2*G1625)/60)</f>
        <v>0.2</v>
      </c>
      <c r="BM1625" s="380">
        <f>MOD((50000+AD1625-$B$3+(0/24)),1)</f>
        <v>0.36025761587370653</v>
      </c>
      <c r="BN1625" s="381"/>
      <c r="BO1625" s="382">
        <v>1618</v>
      </c>
    </row>
    <row r="1626" spans="1:67" s="24" customFormat="1" ht="15" customHeight="1" x14ac:dyDescent="0.25">
      <c r="A1626" s="288" t="s">
        <v>1635</v>
      </c>
      <c r="B1626" s="241" t="str">
        <f>HYPERLINK(CONCATENATE($AT$3,BK1626,$AU$3),$AV$3)</f>
        <v>S</v>
      </c>
      <c r="C1626" s="242" t="str">
        <f>HYPERLINK(CONCATENATE($AT$4,BK1626,$AU$4,BL1626),$AV$4)</f>
        <v>A</v>
      </c>
      <c r="D1626" s="243" t="s">
        <v>5638</v>
      </c>
      <c r="E1626" s="244" t="s">
        <v>5193</v>
      </c>
      <c r="F1626" s="269" t="s">
        <v>3311</v>
      </c>
      <c r="G1626" s="273">
        <v>7</v>
      </c>
      <c r="H1626" s="283">
        <v>95</v>
      </c>
      <c r="I1626" s="246">
        <v>185</v>
      </c>
      <c r="J1626" s="246">
        <v>1</v>
      </c>
      <c r="K1626" s="247" t="s">
        <v>6715</v>
      </c>
      <c r="L1626" s="248">
        <v>34012</v>
      </c>
      <c r="M1626" s="249">
        <f>15*(LEFT(TEXT($L1626,"000000"),2)+(MID(TEXT($L1626,"000000"),3,2)/60)+(RIGHT(TEXT($L1626,"000000"),2)/3600))</f>
        <v>55.05</v>
      </c>
      <c r="N1626" s="250">
        <v>-183448</v>
      </c>
      <c r="O1626" s="251">
        <f>IF($N1626&gt;0,(LEFT(TEXT($N1626,"000000"),2)+(MID(TEXT($N1626,"000000"),3,2)/60)+(RIGHT(TEXT($N1626,"000000"),2)/3600)),-(MID(TEXT($N1626,"000000"),2,2)+(MID(TEXT($N1626,"000000"),4,2)/60)+(RIGHT(TEXT($N1626,"000000"),2)/3600)))</f>
        <v>-18.579999999999998</v>
      </c>
      <c r="P1626" s="252" t="s">
        <v>257</v>
      </c>
      <c r="Q1626" s="253"/>
      <c r="R1626" s="247" t="s">
        <v>3293</v>
      </c>
      <c r="S1626" s="272" t="s">
        <v>6708</v>
      </c>
      <c r="T1626" s="273">
        <v>9.6999999999999993</v>
      </c>
      <c r="U1626" s="289">
        <v>21.69</v>
      </c>
      <c r="V1626" s="280"/>
      <c r="W1626" s="244"/>
      <c r="X1626" s="244"/>
      <c r="Y1626" s="362"/>
      <c r="Z1626" s="257">
        <f>altaz(J2000_Bas,$O1626,$M1626,DecLat,DecLong,1)</f>
        <v>-42.527588546994743</v>
      </c>
      <c r="AA1626" s="257">
        <f>altaz((J2000_Bas+(2*0.04167)),$O1626,$M1626,DecLat,DecLong,1)</f>
        <v>-16.899078955148866</v>
      </c>
      <c r="AB1626" s="257">
        <f>altaz((J2000_Bas+(4*0.04167)),$O1626,$M1626,DecLat,DecLong,1)</f>
        <v>7.3930792964247711</v>
      </c>
      <c r="AC1626" s="257">
        <f>altaz((J2000_Bas+(6*0.04167)),$O1626,$M1626,DecLat,DecLong,1)</f>
        <v>27.979477465406852</v>
      </c>
      <c r="AD1626" s="258">
        <f>1+ transit((J2000_Bas-1),$O1626,$M1626,DecLat,DecLong)/360 + (GMTOffset/24) + (IF(DST="Y", 1, 0)/24)</f>
        <v>1.145816612004708</v>
      </c>
      <c r="AE1626" s="259">
        <f>DATE(2001,9,21)+(M1626/360)*365 - (360*((DecLong/360)- (GMTOffset/24) ))</f>
        <v>37215.814583333333</v>
      </c>
      <c r="AF1626" s="260">
        <f>IF(DecLat&gt;0,IF((90 - (DecLat-O1626))&gt;90, (90 - (O1626-DecLat)), (90 - (DecLat-O1626))),IF((90 + (DecLat-O1626))&gt;90, (90 + (O1626-DecLat)), (90 + (DecLat-O1626))))</f>
        <v>40.42</v>
      </c>
      <c r="AG1626" s="257">
        <f>angularseperation(MoonRA,MoonDec,$M1626,$O1626)</f>
        <v>132.30730126859282</v>
      </c>
      <c r="AH1626" s="261">
        <f ca="1">MIN(100,IF($O$5&gt;80,0+30*($AG1626/100),IF($O$5&gt;70,0+50*($AG1626/100),IF($O$5&gt;60,5+50*($AG1626/100),IF($O$5&gt;50,10+60*($AG1626/100),IF($O$5&gt;40,15+70*($AG1626/100),IF($O$5&gt;30,20+70*($AG1626/100),IF($O$5&gt;20,40+55*($AG1626/100),(80+(20-$O$5)+30*($AG1626/100))))))))))</f>
        <v>100</v>
      </c>
      <c r="AI1626" s="262">
        <v>1407</v>
      </c>
      <c r="AJ1626" s="262"/>
      <c r="AK1626" s="262">
        <v>47</v>
      </c>
      <c r="AL1626" s="263"/>
      <c r="AM1626" s="264"/>
      <c r="AN1626" s="263"/>
      <c r="AO1626" s="263"/>
      <c r="AP1626" s="265"/>
      <c r="AQ1626" s="266"/>
      <c r="AR1626" s="267">
        <v>13505</v>
      </c>
      <c r="AS1626" s="263"/>
      <c r="AT1626" s="263"/>
      <c r="AU1626" s="263"/>
      <c r="AV1626" s="264"/>
      <c r="AW1626" s="263"/>
      <c r="AX1626" s="263"/>
      <c r="AY1626" s="263"/>
      <c r="AZ1626" s="263"/>
      <c r="BA1626" s="263"/>
      <c r="BB1626" s="263"/>
      <c r="BC1626" s="263"/>
      <c r="BD1626" s="264"/>
      <c r="BE1626" s="263"/>
      <c r="BF1626" s="263">
        <v>13</v>
      </c>
      <c r="BG1626" s="263"/>
      <c r="BH1626" s="263"/>
      <c r="BI1626" s="263"/>
      <c r="BJ1626" s="404">
        <f>altaz(J2000_Bas,$O1626,$M1626,DecLat,DecLong,2)</f>
        <v>87.322491760544935</v>
      </c>
      <c r="BK1626" s="378" t="s">
        <v>1635</v>
      </c>
      <c r="BL1626" s="379">
        <f>IF((2*G1626)/60&lt;0.2,0.2,(2*G1626)/60)</f>
        <v>0.23333333333333334</v>
      </c>
      <c r="BM1626" s="380">
        <f>MOD((50000+AD1626-$B$3+(0/24)),1)</f>
        <v>0.3611835417104885</v>
      </c>
      <c r="BN1626" s="381"/>
      <c r="BO1626" s="382">
        <v>1619</v>
      </c>
    </row>
    <row r="1627" spans="1:67" s="24" customFormat="1" ht="15" customHeight="1" x14ac:dyDescent="0.25">
      <c r="A1627" s="288" t="s">
        <v>1636</v>
      </c>
      <c r="B1627" s="241" t="str">
        <f>HYPERLINK(CONCATENATE($AT$3,BK1627,$AU$3),$AV$3)</f>
        <v>S</v>
      </c>
      <c r="C1627" s="242" t="str">
        <f>HYPERLINK(CONCATENATE($AT$4,BK1627,$AU$4,BL1627),$AV$4)</f>
        <v>A</v>
      </c>
      <c r="D1627" s="243" t="s">
        <v>5638</v>
      </c>
      <c r="E1627" s="244" t="s">
        <v>5182</v>
      </c>
      <c r="F1627" s="269" t="s">
        <v>3300</v>
      </c>
      <c r="G1627" s="273">
        <v>6</v>
      </c>
      <c r="H1627" s="283">
        <v>75</v>
      </c>
      <c r="I1627" s="246">
        <v>125</v>
      </c>
      <c r="J1627" s="246">
        <v>2</v>
      </c>
      <c r="K1627" s="247" t="s">
        <v>6712</v>
      </c>
      <c r="L1627" s="248">
        <v>34057</v>
      </c>
      <c r="M1627" s="249">
        <f>15*(LEFT(TEXT($L1627,"000000"),2)+(MID(TEXT($L1627,"000000"),3,2)/60)+(RIGHT(TEXT($L1627,"000000"),2)/3600))</f>
        <v>55.237499999999997</v>
      </c>
      <c r="N1627" s="250">
        <v>-223350</v>
      </c>
      <c r="O1627" s="251">
        <f>IF($N1627&gt;0,(LEFT(TEXT($N1627,"000000"),2)+(MID(TEXT($N1627,"000000"),3,2)/60)+(RIGHT(TEXT($N1627,"000000"),2)/3600)),-(MID(TEXT($N1627,"000000"),2,2)+(MID(TEXT($N1627,"000000"),4,2)/60)+(RIGHT(TEXT($N1627,"000000"),2)/3600)))</f>
        <v>-22.56388888888889</v>
      </c>
      <c r="P1627" s="252" t="s">
        <v>257</v>
      </c>
      <c r="Q1627" s="253"/>
      <c r="R1627" s="247" t="s">
        <v>3293</v>
      </c>
      <c r="S1627" s="272" t="s">
        <v>6711</v>
      </c>
      <c r="T1627" s="273">
        <v>11.9</v>
      </c>
      <c r="U1627" s="289">
        <v>22.59</v>
      </c>
      <c r="V1627" s="280">
        <v>25</v>
      </c>
      <c r="W1627" s="244"/>
      <c r="X1627" s="244"/>
      <c r="Y1627" s="362"/>
      <c r="Z1627" s="257">
        <f>altaz(J2000_Bas,$O1627,$M1627,DecLat,DecLong,1)</f>
        <v>-44.289570159791722</v>
      </c>
      <c r="AA1627" s="257">
        <f>altaz((J2000_Bas+(2*0.04167)),$O1627,$M1627,DecLat,DecLong,1)</f>
        <v>-18.874965780992735</v>
      </c>
      <c r="AB1627" s="257">
        <f>altaz((J2000_Bas+(4*0.04167)),$O1627,$M1627,DecLat,DecLong,1)</f>
        <v>4.8870418033631946</v>
      </c>
      <c r="AC1627" s="257">
        <f>altaz((J2000_Bas+(6*0.04167)),$O1627,$M1627,DecLat,DecLong,1)</f>
        <v>24.688727241071625</v>
      </c>
      <c r="AD1627" s="258">
        <f>1+ transit((J2000_Bas-1),$O1627,$M1627,DecLat,DecLong)/360 + (GMTOffset/24) + (IF(DST="Y", 1, 0)/24)</f>
        <v>1.146337445285958</v>
      </c>
      <c r="AE1627" s="259">
        <f>DATE(2001,9,21)+(M1627/360)*365 - (360*((DecLong/360)- (GMTOffset/24) ))</f>
        <v>37216.004687499997</v>
      </c>
      <c r="AF1627" s="260">
        <f>IF(DecLat&gt;0,IF((90 - (DecLat-O1627))&gt;90, (90 - (O1627-DecLat)), (90 - (DecLat-O1627))),IF((90 + (DecLat-O1627))&gt;90, (90 + (O1627-DecLat)), (90 + (DecLat-O1627))))</f>
        <v>36.43611111111111</v>
      </c>
      <c r="AG1627" s="257">
        <f>angularseperation(MoonRA,MoonDec,$M1627,$O1627)</f>
        <v>128.5387788311636</v>
      </c>
      <c r="AH1627" s="261">
        <f ca="1">MIN(100,IF($O$5&gt;80,0+30*($AG1627/100),IF($O$5&gt;70,0+50*($AG1627/100),IF($O$5&gt;60,5+50*($AG1627/100),IF($O$5&gt;50,10+60*($AG1627/100),IF($O$5&gt;40,15+70*($AG1627/100),IF($O$5&gt;30,20+70*($AG1627/100),IF($O$5&gt;20,40+55*($AG1627/100),(80+(20-$O$5)+30*($AG1627/100))))))))))</f>
        <v>100</v>
      </c>
      <c r="AI1627" s="262">
        <v>1415</v>
      </c>
      <c r="AJ1627" s="262"/>
      <c r="AK1627" s="262"/>
      <c r="AL1627" s="263"/>
      <c r="AM1627" s="264"/>
      <c r="AN1627" s="263"/>
      <c r="AO1627" s="263"/>
      <c r="AP1627" s="265"/>
      <c r="AQ1627" s="266"/>
      <c r="AR1627" s="267">
        <v>13544</v>
      </c>
      <c r="AS1627" s="263"/>
      <c r="AT1627" s="263"/>
      <c r="AU1627" s="263"/>
      <c r="AV1627" s="264"/>
      <c r="AW1627" s="263"/>
      <c r="AX1627" s="263"/>
      <c r="AY1627" s="263"/>
      <c r="AZ1627" s="263"/>
      <c r="BA1627" s="263"/>
      <c r="BB1627" s="263"/>
      <c r="BC1627" s="263"/>
      <c r="BD1627" s="264"/>
      <c r="BE1627" s="263"/>
      <c r="BF1627" s="263"/>
      <c r="BG1627" s="263"/>
      <c r="BH1627" s="263"/>
      <c r="BI1627" s="263"/>
      <c r="BJ1627" s="404">
        <f>altaz(J2000_Bas,$O1627,$M1627,DecLat,DecLong,2)</f>
        <v>92.248233092168107</v>
      </c>
      <c r="BK1627" s="378" t="s">
        <v>1636</v>
      </c>
      <c r="BL1627" s="379">
        <f>IF((2*G1627)/60&lt;0.2,0.2,(2*G1627)/60)</f>
        <v>0.2</v>
      </c>
      <c r="BM1627" s="380">
        <f>MOD((50000+AD1627-$B$3+(0/24)),1)</f>
        <v>0.36170437499094987</v>
      </c>
      <c r="BN1627" s="381"/>
      <c r="BO1627" s="382">
        <v>1620</v>
      </c>
    </row>
    <row r="1628" spans="1:67" s="24" customFormat="1" ht="15" customHeight="1" x14ac:dyDescent="0.25">
      <c r="A1628" s="288" t="s">
        <v>1637</v>
      </c>
      <c r="B1628" s="241" t="str">
        <f>HYPERLINK(CONCATENATE($AT$3,BK1628,$AU$3),$AV$3)</f>
        <v>S</v>
      </c>
      <c r="C1628" s="242" t="str">
        <f>HYPERLINK(CONCATENATE($AT$4,BK1628,$AU$4,BL1628),$AV$4)</f>
        <v>A</v>
      </c>
      <c r="D1628" s="243" t="s">
        <v>5638</v>
      </c>
      <c r="E1628" s="244" t="s">
        <v>5192</v>
      </c>
      <c r="F1628" s="269" t="s">
        <v>8908</v>
      </c>
      <c r="G1628" s="273">
        <v>2</v>
      </c>
      <c r="H1628" s="283">
        <v>175</v>
      </c>
      <c r="I1628" s="246">
        <v>110</v>
      </c>
      <c r="J1628" s="246">
        <v>2</v>
      </c>
      <c r="K1628" s="247" t="s">
        <v>6714</v>
      </c>
      <c r="L1628" s="248">
        <v>34157</v>
      </c>
      <c r="M1628" s="249">
        <f>15*(LEFT(TEXT($L1628,"000000"),2)+(MID(TEXT($L1628,"000000"),3,2)/60)+(RIGHT(TEXT($L1628,"000000"),2)/3600))</f>
        <v>55.487499999999997</v>
      </c>
      <c r="N1628" s="250">
        <v>-44221</v>
      </c>
      <c r="O1628" s="251">
        <f>IF($N1628&gt;0,(LEFT(TEXT($N1628,"000000"),2)+(MID(TEXT($N1628,"000000"),3,2)/60)+(RIGHT(TEXT($N1628,"000000"),2)/3600)),-(MID(TEXT($N1628,"000000"),2,2)+(MID(TEXT($N1628,"000000"),4,2)/60)+(RIGHT(TEXT($N1628,"000000"),2)/3600)))</f>
        <v>-4.7058333333333335</v>
      </c>
      <c r="P1628" s="252" t="s">
        <v>257</v>
      </c>
      <c r="Q1628" s="253"/>
      <c r="R1628" s="247" t="s">
        <v>3293</v>
      </c>
      <c r="S1628" s="272" t="s">
        <v>6713</v>
      </c>
      <c r="T1628" s="273">
        <v>13</v>
      </c>
      <c r="U1628" s="289">
        <v>22.490000000000002</v>
      </c>
      <c r="V1628" s="280">
        <v>60</v>
      </c>
      <c r="W1628" s="244"/>
      <c r="X1628" s="244"/>
      <c r="Y1628" s="362"/>
      <c r="Z1628" s="257">
        <f>altaz(J2000_Bas,$O1628,$M1628,DecLat,DecLong,1)</f>
        <v>-35.836000733225376</v>
      </c>
      <c r="AA1628" s="257">
        <f>altaz((J2000_Bas+(2*0.04167)),$O1628,$M1628,DecLat,DecLong,1)</f>
        <v>-10.473707598329343</v>
      </c>
      <c r="AB1628" s="257">
        <f>altaz((J2000_Bas+(4*0.04167)),$O1628,$M1628,DecLat,DecLong,1)</f>
        <v>15.039911408900988</v>
      </c>
      <c r="AC1628" s="257">
        <f>altaz((J2000_Bas+(6*0.04167)),$O1628,$M1628,DecLat,DecLong,1)</f>
        <v>38.277417738121471</v>
      </c>
      <c r="AD1628" s="258">
        <f>1+ transit((J2000_Bas-1),$O1628,$M1628,DecLat,DecLong)/360 + (GMTOffset/24) + (IF(DST="Y", 1, 0)/24)</f>
        <v>1.1470318896609581</v>
      </c>
      <c r="AE1628" s="259">
        <f>DATE(2001,9,21)+(M1628/360)*365 - (360*((DecLong/360)- (GMTOffset/24) ))</f>
        <v>37216.258159722223</v>
      </c>
      <c r="AF1628" s="260">
        <f>IF(DecLat&gt;0,IF((90 - (DecLat-O1628))&gt;90, (90 - (O1628-DecLat)), (90 - (DecLat-O1628))),IF((90 + (DecLat-O1628))&gt;90, (90 + (O1628-DecLat)), (90 + (DecLat-O1628))))</f>
        <v>54.294166666666669</v>
      </c>
      <c r="AG1628" s="257">
        <f>angularseperation(MoonRA,MoonDec,$M1628,$O1628)</f>
        <v>145.54186327341696</v>
      </c>
      <c r="AH1628" s="261">
        <f ca="1">MIN(100,IF($O$5&gt;80,0+30*($AG1628/100),IF($O$5&gt;70,0+50*($AG1628/100),IF($O$5&gt;60,5+50*($AG1628/100),IF($O$5&gt;50,10+60*($AG1628/100),IF($O$5&gt;40,15+70*($AG1628/100),IF($O$5&gt;30,20+70*($AG1628/100),IF($O$5&gt;20,40+55*($AG1628/100),(80+(20-$O$5)+30*($AG1628/100))))))))))</f>
        <v>100</v>
      </c>
      <c r="AI1628" s="262">
        <v>1417</v>
      </c>
      <c r="AJ1628" s="262"/>
      <c r="AK1628" s="262"/>
      <c r="AL1628" s="263"/>
      <c r="AM1628" s="264"/>
      <c r="AN1628" s="263"/>
      <c r="AO1628" s="263"/>
      <c r="AP1628" s="265"/>
      <c r="AQ1628" s="266"/>
      <c r="AR1628" s="267">
        <v>13584</v>
      </c>
      <c r="AS1628" s="263"/>
      <c r="AT1628" s="263"/>
      <c r="AU1628" s="263"/>
      <c r="AV1628" s="264"/>
      <c r="AW1628" s="263"/>
      <c r="AX1628" s="263"/>
      <c r="AY1628" s="263"/>
      <c r="AZ1628" s="263"/>
      <c r="BA1628" s="263"/>
      <c r="BB1628" s="263"/>
      <c r="BC1628" s="263"/>
      <c r="BD1628" s="264"/>
      <c r="BE1628" s="263"/>
      <c r="BF1628" s="263"/>
      <c r="BG1628" s="263"/>
      <c r="BH1628" s="263"/>
      <c r="BI1628" s="263"/>
      <c r="BJ1628" s="404">
        <f>altaz(J2000_Bas,$O1628,$M1628,DecLat,DecLong,2)</f>
        <v>71.586730681545262</v>
      </c>
      <c r="BK1628" s="378" t="s">
        <v>1637</v>
      </c>
      <c r="BL1628" s="379">
        <f>IF((2*G1628)/60&lt;0.2,0.2,(2*G1628)/60)</f>
        <v>0.2</v>
      </c>
      <c r="BM1628" s="380">
        <f>MOD((50000+AD1628-$B$3+(0/24)),1)</f>
        <v>0.36239881936489837</v>
      </c>
      <c r="BN1628" s="381"/>
      <c r="BO1628" s="382">
        <v>1621</v>
      </c>
    </row>
    <row r="1629" spans="1:67" s="24" customFormat="1" ht="15" customHeight="1" x14ac:dyDescent="0.25">
      <c r="A1629" s="288" t="s">
        <v>1638</v>
      </c>
      <c r="B1629" s="241" t="str">
        <f>HYPERLINK(CONCATENATE($AT$3,BK1629,$AU$3),$AV$3)</f>
        <v>S</v>
      </c>
      <c r="C1629" s="242" t="str">
        <f>HYPERLINK(CONCATENATE($AT$4,BK1629,$AU$4,BL1629),$AV$4)</f>
        <v>A</v>
      </c>
      <c r="D1629" s="243" t="s">
        <v>5638</v>
      </c>
      <c r="E1629" s="244" t="s">
        <v>5192</v>
      </c>
      <c r="F1629" s="269" t="s">
        <v>8886</v>
      </c>
      <c r="G1629" s="273">
        <v>3.6</v>
      </c>
      <c r="H1629" s="283">
        <v>65</v>
      </c>
      <c r="I1629" s="246">
        <v>70</v>
      </c>
      <c r="J1629" s="246">
        <v>2</v>
      </c>
      <c r="K1629" s="247" t="s">
        <v>6716</v>
      </c>
      <c r="L1629" s="248">
        <v>34229</v>
      </c>
      <c r="M1629" s="249">
        <f>15*(LEFT(TEXT($L1629,"000000"),2)+(MID(TEXT($L1629,"000000"),3,2)/60)+(RIGHT(TEXT($L1629,"000000"),2)/3600))</f>
        <v>55.620833333333337</v>
      </c>
      <c r="N1629" s="250">
        <v>-132919</v>
      </c>
      <c r="O1629" s="251">
        <f>IF($N1629&gt;0,(LEFT(TEXT($N1629,"000000"),2)+(MID(TEXT($N1629,"000000"),3,2)/60)+(RIGHT(TEXT($N1629,"000000"),2)/3600)),-(MID(TEXT($N1629,"000000"),2,2)+(MID(TEXT($N1629,"000000"),4,2)/60)+(RIGHT(TEXT($N1629,"000000"),2)/3600)))</f>
        <v>-13.48861111111111</v>
      </c>
      <c r="P1629" s="252" t="s">
        <v>257</v>
      </c>
      <c r="Q1629" s="253"/>
      <c r="R1629" s="247" t="s">
        <v>3293</v>
      </c>
      <c r="S1629" s="272" t="s">
        <v>3293</v>
      </c>
      <c r="T1629" s="273">
        <v>11.4</v>
      </c>
      <c r="U1629" s="289">
        <v>21.39</v>
      </c>
      <c r="V1629" s="280">
        <v>78</v>
      </c>
      <c r="W1629" s="244"/>
      <c r="X1629" s="244"/>
      <c r="Y1629" s="362"/>
      <c r="Z1629" s="257">
        <f>altaz(J2000_Bas,$O1629,$M1629,DecLat,DecLong,1)</f>
        <v>-40.665788409044062</v>
      </c>
      <c r="AA1629" s="257">
        <f>altaz((J2000_Bas+(2*0.04167)),$O1629,$M1629,DecLat,DecLong,1)</f>
        <v>-14.962555328535297</v>
      </c>
      <c r="AB1629" s="257">
        <f>altaz((J2000_Bas+(4*0.04167)),$O1629,$M1629,DecLat,DecLong,1)</f>
        <v>9.9312043335257503</v>
      </c>
      <c r="AC1629" s="257">
        <f>altaz((J2000_Bas+(6*0.04167)),$O1629,$M1629,DecLat,DecLong,1)</f>
        <v>31.620112077584597</v>
      </c>
      <c r="AD1629" s="258">
        <f>1+ transit((J2000_Bas-1),$O1629,$M1629,DecLat,DecLong)/360 + (GMTOffset/24) + (IF(DST="Y", 1, 0)/24)</f>
        <v>1.1474022599942912</v>
      </c>
      <c r="AE1629" s="259">
        <f>DATE(2001,9,21)+(M1629/360)*365 - (360*((DecLong/360)- (GMTOffset/24) ))</f>
        <v>37216.39334490741</v>
      </c>
      <c r="AF1629" s="260">
        <f>IF(DecLat&gt;0,IF((90 - (DecLat-O1629))&gt;90, (90 - (O1629-DecLat)), (90 - (DecLat-O1629))),IF((90 + (DecLat-O1629))&gt;90, (90 + (O1629-DecLat)), (90 + (DecLat-O1629))))</f>
        <v>45.511388888888888</v>
      </c>
      <c r="AG1629" s="257">
        <f>angularseperation(MoonRA,MoonDec,$M1629,$O1629)</f>
        <v>137.32671193571719</v>
      </c>
      <c r="AH1629" s="261">
        <f ca="1">MIN(100,IF($O$5&gt;80,0+30*($AG1629/100),IF($O$5&gt;70,0+50*($AG1629/100),IF($O$5&gt;60,5+50*($AG1629/100),IF($O$5&gt;50,10+60*($AG1629/100),IF($O$5&gt;40,15+70*($AG1629/100),IF($O$5&gt;30,20+70*($AG1629/100),IF($O$5&gt;20,40+55*($AG1629/100),(80+(20-$O$5)+30*($AG1629/100))))))))))</f>
        <v>100</v>
      </c>
      <c r="AI1629" s="262">
        <v>1421</v>
      </c>
      <c r="AJ1629" s="262"/>
      <c r="AK1629" s="262"/>
      <c r="AL1629" s="263"/>
      <c r="AM1629" s="264"/>
      <c r="AN1629" s="263"/>
      <c r="AO1629" s="263"/>
      <c r="AP1629" s="265"/>
      <c r="AQ1629" s="266"/>
      <c r="AR1629" s="267">
        <v>13620</v>
      </c>
      <c r="AS1629" s="263"/>
      <c r="AT1629" s="263"/>
      <c r="AU1629" s="263"/>
      <c r="AV1629" s="264"/>
      <c r="AW1629" s="263"/>
      <c r="AX1629" s="263"/>
      <c r="AY1629" s="263"/>
      <c r="AZ1629" s="263"/>
      <c r="BA1629" s="263"/>
      <c r="BB1629" s="263"/>
      <c r="BC1629" s="263"/>
      <c r="BD1629" s="264"/>
      <c r="BE1629" s="263"/>
      <c r="BF1629" s="263"/>
      <c r="BG1629" s="263"/>
      <c r="BH1629" s="263"/>
      <c r="BI1629" s="263"/>
      <c r="BJ1629" s="404">
        <f>altaz(J2000_Bas,$O1629,$M1629,DecLat,DecLong,2)</f>
        <v>80.941162096410721</v>
      </c>
      <c r="BK1629" s="378" t="s">
        <v>1638</v>
      </c>
      <c r="BL1629" s="379">
        <f>IF((2*G1629)/60&lt;0.2,0.2,(2*G1629)/60)</f>
        <v>0.2</v>
      </c>
      <c r="BM1629" s="380">
        <f>MOD((50000+AD1629-$B$3+(0/24)),1)</f>
        <v>0.36276918969815597</v>
      </c>
      <c r="BN1629" s="381"/>
      <c r="BO1629" s="382">
        <v>1622</v>
      </c>
    </row>
    <row r="1630" spans="1:67" s="24" customFormat="1" ht="15" customHeight="1" x14ac:dyDescent="0.25">
      <c r="A1630" s="288" t="s">
        <v>1639</v>
      </c>
      <c r="B1630" s="241" t="str">
        <f>HYPERLINK(CONCATENATE($AT$3,BK1630,$AU$3),$AV$3)</f>
        <v>S</v>
      </c>
      <c r="C1630" s="242" t="str">
        <f>HYPERLINK(CONCATENATE($AT$4,BK1630,$AU$4,BL1630),$AV$4)</f>
        <v>A</v>
      </c>
      <c r="D1630" s="243" t="s">
        <v>5638</v>
      </c>
      <c r="E1630" s="244" t="s">
        <v>5192</v>
      </c>
      <c r="F1630" s="269" t="s">
        <v>8688</v>
      </c>
      <c r="G1630" s="273">
        <v>5</v>
      </c>
      <c r="H1630" s="283">
        <v>70</v>
      </c>
      <c r="I1630" s="246">
        <v>100</v>
      </c>
      <c r="J1630" s="246">
        <v>2</v>
      </c>
      <c r="K1630" s="247" t="s">
        <v>6717</v>
      </c>
      <c r="L1630" s="248">
        <v>34211</v>
      </c>
      <c r="M1630" s="249">
        <f>15*(LEFT(TEXT($L1630,"000000"),2)+(MID(TEXT($L1630,"000000"),3,2)/60)+(RIGHT(TEXT($L1630,"000000"),2)/3600))</f>
        <v>55.545833333333334</v>
      </c>
      <c r="N1630" s="250">
        <v>-295338</v>
      </c>
      <c r="O1630" s="251">
        <f>IF($N1630&gt;0,(LEFT(TEXT($N1630,"000000"),2)+(MID(TEXT($N1630,"000000"),3,2)/60)+(RIGHT(TEXT($N1630,"000000"),2)/3600)),-(MID(TEXT($N1630,"000000"),2,2)+(MID(TEXT($N1630,"000000"),4,2)/60)+(RIGHT(TEXT($N1630,"000000"),2)/3600)))</f>
        <v>-29.893888888888888</v>
      </c>
      <c r="P1630" s="252" t="s">
        <v>215</v>
      </c>
      <c r="Q1630" s="253"/>
      <c r="R1630" s="247" t="s">
        <v>3293</v>
      </c>
      <c r="S1630" s="272" t="s">
        <v>3293</v>
      </c>
      <c r="T1630" s="273">
        <v>10.6</v>
      </c>
      <c r="U1630" s="289">
        <v>22.29</v>
      </c>
      <c r="V1630" s="280">
        <v>65</v>
      </c>
      <c r="W1630" s="244"/>
      <c r="X1630" s="244"/>
      <c r="Y1630" s="362"/>
      <c r="Z1630" s="257">
        <f>altaz(J2000_Bas,$O1630,$M1630,DecLat,DecLong,1)</f>
        <v>-46.870297952734532</v>
      </c>
      <c r="AA1630" s="257">
        <f>altaz((J2000_Bas+(2*0.04167)),$O1630,$M1630,DecLat,DecLong,1)</f>
        <v>-22.260243463839164</v>
      </c>
      <c r="AB1630" s="257">
        <f>altaz((J2000_Bas+(4*0.04167)),$O1630,$M1630,DecLat,DecLong,1)</f>
        <v>0.29121301900748958</v>
      </c>
      <c r="AC1630" s="257">
        <f>altaz((J2000_Bas+(6*0.04167)),$O1630,$M1630,DecLat,DecLong,1)</f>
        <v>18.569218755978213</v>
      </c>
      <c r="AD1630" s="258">
        <f>1+ transit((J2000_Bas-1),$O1630,$M1630,DecLat,DecLong)/360 + (GMTOffset/24) + (IF(DST="Y", 1, 0)/24)</f>
        <v>1.1471939266817912</v>
      </c>
      <c r="AE1630" s="259">
        <f>DATE(2001,9,21)+(M1630/360)*365 - (360*((DecLong/360)- (GMTOffset/24) ))</f>
        <v>37216.317303240743</v>
      </c>
      <c r="AF1630" s="260">
        <f>IF(DecLat&gt;0,IF((90 - (DecLat-O1630))&gt;90, (90 - (O1630-DecLat)), (90 - (DecLat-O1630))),IF((90 + (DecLat-O1630))&gt;90, (90 + (O1630-DecLat)), (90 + (DecLat-O1630))))</f>
        <v>29.106111111111112</v>
      </c>
      <c r="AG1630" s="257">
        <f>angularseperation(MoonRA,MoonDec,$M1630,$O1630)</f>
        <v>121.53458499261924</v>
      </c>
      <c r="AH1630" s="261">
        <f ca="1">MIN(100,IF($O$5&gt;80,0+30*($AG1630/100),IF($O$5&gt;70,0+50*($AG1630/100),IF($O$5&gt;60,5+50*($AG1630/100),IF($O$5&gt;50,10+60*($AG1630/100),IF($O$5&gt;40,15+70*($AG1630/100),IF($O$5&gt;30,20+70*($AG1630/100),IF($O$5&gt;20,40+55*($AG1630/100),(80+(20-$O$5)+30*($AG1630/100))))))))))</f>
        <v>100</v>
      </c>
      <c r="AI1630" s="262">
        <v>1425</v>
      </c>
      <c r="AJ1630" s="262"/>
      <c r="AK1630" s="262"/>
      <c r="AL1630" s="263"/>
      <c r="AM1630" s="264"/>
      <c r="AN1630" s="263"/>
      <c r="AO1630" s="263"/>
      <c r="AP1630" s="265"/>
      <c r="AQ1630" s="266"/>
      <c r="AR1630" s="267">
        <v>13602</v>
      </c>
      <c r="AS1630" s="263"/>
      <c r="AT1630" s="263"/>
      <c r="AU1630" s="263"/>
      <c r="AV1630" s="264"/>
      <c r="AW1630" s="263"/>
      <c r="AX1630" s="263"/>
      <c r="AY1630" s="263"/>
      <c r="AZ1630" s="263"/>
      <c r="BA1630" s="263"/>
      <c r="BB1630" s="263"/>
      <c r="BC1630" s="263"/>
      <c r="BD1630" s="264"/>
      <c r="BE1630" s="263"/>
      <c r="BF1630" s="263"/>
      <c r="BG1630" s="263"/>
      <c r="BH1630" s="263"/>
      <c r="BI1630" s="263"/>
      <c r="BJ1630" s="404">
        <f>altaz(J2000_Bas,$O1630,$M1630,DecLat,DecLong,2)</f>
        <v>102.06790360897328</v>
      </c>
      <c r="BK1630" s="378" t="s">
        <v>1639</v>
      </c>
      <c r="BL1630" s="379">
        <f>IF((2*G1630)/60&lt;0.2,0.2,(2*G1630)/60)</f>
        <v>0.2</v>
      </c>
      <c r="BM1630" s="380">
        <f>MOD((50000+AD1630-$B$3+(0/24)),1)</f>
        <v>0.3625608563888818</v>
      </c>
      <c r="BN1630" s="381"/>
      <c r="BO1630" s="382">
        <v>1623</v>
      </c>
    </row>
    <row r="1631" spans="1:67" s="24" customFormat="1" ht="15" customHeight="1" x14ac:dyDescent="0.25">
      <c r="A1631" s="287" t="s">
        <v>1640</v>
      </c>
      <c r="B1631" s="241" t="str">
        <f>HYPERLINK(CONCATENATE($AT$3,BK1631,$AU$3),$AV$3)</f>
        <v>S</v>
      </c>
      <c r="C1631" s="242" t="str">
        <f>HYPERLINK(CONCATENATE($AT$4,BK1631,$AU$4,BL1631),$AV$4)</f>
        <v>A</v>
      </c>
      <c r="D1631" s="243" t="s">
        <v>5638</v>
      </c>
      <c r="E1631" s="244" t="s">
        <v>5192</v>
      </c>
      <c r="F1631" s="269" t="s">
        <v>8946</v>
      </c>
      <c r="G1631" s="273">
        <v>7</v>
      </c>
      <c r="H1631" s="283">
        <v>50</v>
      </c>
      <c r="I1631" s="246">
        <v>100</v>
      </c>
      <c r="J1631" s="246">
        <v>3</v>
      </c>
      <c r="K1631" s="247" t="s">
        <v>6720</v>
      </c>
      <c r="L1631" s="248">
        <v>34201</v>
      </c>
      <c r="M1631" s="249">
        <f>15*(LEFT(TEXT($L1631,"000000"),2)+(MID(TEXT($L1631,"000000"),3,2)/60)+(RIGHT(TEXT($L1631,"000000"),2)/3600))</f>
        <v>55.50416666666667</v>
      </c>
      <c r="N1631" s="250">
        <v>-471319</v>
      </c>
      <c r="O1631" s="251">
        <f>IF($N1631&gt;0,(LEFT(TEXT($N1631,"000000"),2)+(MID(TEXT($N1631,"000000"),3,2)/60)+(RIGHT(TEXT($N1631,"000000"),2)/3600)),-(MID(TEXT($N1631,"000000"),2,2)+(MID(TEXT($N1631,"000000"),4,2)/60)+(RIGHT(TEXT($N1631,"000000"),2)/3600)))</f>
        <v>-47.221944444444446</v>
      </c>
      <c r="P1631" s="252" t="s">
        <v>1610</v>
      </c>
      <c r="Q1631" s="253"/>
      <c r="R1631" s="277" t="s">
        <v>3293</v>
      </c>
      <c r="S1631" s="272" t="s">
        <v>3293</v>
      </c>
      <c r="T1631" s="273">
        <v>9.9</v>
      </c>
      <c r="U1631" s="289">
        <v>22.59</v>
      </c>
      <c r="V1631" s="280">
        <v>40</v>
      </c>
      <c r="W1631" s="244"/>
      <c r="X1631" s="244"/>
      <c r="Y1631" s="362"/>
      <c r="Z1631" s="257">
        <f>altaz(J2000_Bas,$O1631,$M1631,DecLat,DecLong,1)</f>
        <v>-48.446816186630613</v>
      </c>
      <c r="AA1631" s="257">
        <f>altaz((J2000_Bas+(2*0.04167)),$O1631,$M1631,DecLat,DecLong,1)</f>
        <v>-28.24768227447553</v>
      </c>
      <c r="AB1631" s="257">
        <f>altaz((J2000_Bas+(4*0.04167)),$O1631,$M1631,DecLat,DecLong,1)</f>
        <v>-9.9369591310147225</v>
      </c>
      <c r="AC1631" s="257">
        <f>altaz((J2000_Bas+(6*0.04167)),$O1631,$M1631,DecLat,DecLong,1)</f>
        <v>4.1746170219731811</v>
      </c>
      <c r="AD1631" s="258">
        <f>1+ transit((J2000_Bas-1),$O1631,$M1631,DecLat,DecLong)/360 + (GMTOffset/24) + (IF(DST="Y", 1, 0)/24)</f>
        <v>1.1470781859526247</v>
      </c>
      <c r="AE1631" s="259">
        <f>DATE(2001,9,21)+(M1631/360)*365 - (360*((DecLong/360)- (GMTOffset/24) ))</f>
        <v>37216.275057870371</v>
      </c>
      <c r="AF1631" s="260">
        <f>IF(DecLat&gt;0,IF((90 - (DecLat-O1631))&gt;90, (90 - (O1631-DecLat)), (90 - (DecLat-O1631))),IF((90 + (DecLat-O1631))&gt;90, (90 + (O1631-DecLat)), (90 + (DecLat-O1631))))</f>
        <v>11.778055555555554</v>
      </c>
      <c r="AG1631" s="257">
        <f>angularseperation(MoonRA,MoonDec,$M1631,$O1631)</f>
        <v>104.66699806186234</v>
      </c>
      <c r="AH1631" s="261">
        <f ca="1">MIN(100,IF($O$5&gt;80,0+30*($AG1631/100),IF($O$5&gt;70,0+50*($AG1631/100),IF($O$5&gt;60,5+50*($AG1631/100),IF($O$5&gt;50,10+60*($AG1631/100),IF($O$5&gt;40,15+70*($AG1631/100),IF($O$5&gt;30,20+70*($AG1631/100),IF($O$5&gt;20,40+55*($AG1631/100),(80+(20-$O$5)+30*($AG1631/100))))))))))</f>
        <v>100</v>
      </c>
      <c r="AI1631" s="262">
        <v>1433</v>
      </c>
      <c r="AJ1631" s="263"/>
      <c r="AK1631" s="263"/>
      <c r="AL1631" s="263"/>
      <c r="AM1631" s="264"/>
      <c r="AN1631" s="263"/>
      <c r="AO1631" s="263"/>
      <c r="AP1631" s="265"/>
      <c r="AQ1631" s="265"/>
      <c r="AR1631" s="285">
        <v>13586</v>
      </c>
      <c r="AS1631" s="263"/>
      <c r="AT1631" s="263"/>
      <c r="AU1631" s="263"/>
      <c r="AV1631" s="264"/>
      <c r="AW1631" s="263"/>
      <c r="AX1631" s="263"/>
      <c r="AY1631" s="263"/>
      <c r="AZ1631" s="263"/>
      <c r="BA1631" s="263"/>
      <c r="BB1631" s="263"/>
      <c r="BC1631" s="263"/>
      <c r="BD1631" s="264"/>
      <c r="BE1631" s="263"/>
      <c r="BF1631" s="263"/>
      <c r="BG1631" s="263"/>
      <c r="BH1631" s="263"/>
      <c r="BI1631" s="263"/>
      <c r="BJ1631" s="404">
        <f>altaz(J2000_Bas,$O1631,$M1631,DecLat,DecLong,2)</f>
        <v>127.81078324972562</v>
      </c>
      <c r="BK1631" s="378" t="s">
        <v>1640</v>
      </c>
      <c r="BL1631" s="379">
        <f>IF((2*G1631)/60&lt;0.2,0.2,(2*G1631)/60)</f>
        <v>0.23333333333333334</v>
      </c>
      <c r="BM1631" s="380">
        <f>MOD((50000+AD1631-$B$3+(0/24)),1)</f>
        <v>0.36244511565746507</v>
      </c>
      <c r="BN1631" s="381"/>
      <c r="BO1631" s="382">
        <v>1624</v>
      </c>
    </row>
    <row r="1632" spans="1:67" s="24" customFormat="1" ht="15" customHeight="1" x14ac:dyDescent="0.25">
      <c r="A1632" s="288" t="s">
        <v>3148</v>
      </c>
      <c r="B1632" s="241" t="str">
        <f>HYPERLINK(CONCATENATE($AT$3,BK1632,$AU$3),$AV$3)</f>
        <v>S</v>
      </c>
      <c r="C1632" s="242" t="str">
        <f>HYPERLINK(CONCATENATE($AT$4,BK1632,$AU$4,BL1632),$AV$4)</f>
        <v>A</v>
      </c>
      <c r="D1632" s="243" t="s">
        <v>5638</v>
      </c>
      <c r="E1632" s="244" t="s">
        <v>5192</v>
      </c>
      <c r="F1632" s="269" t="s">
        <v>8914</v>
      </c>
      <c r="G1632" s="273">
        <v>2.5</v>
      </c>
      <c r="H1632" s="283">
        <v>50</v>
      </c>
      <c r="I1632" s="246">
        <v>40</v>
      </c>
      <c r="J1632" s="246">
        <v>1</v>
      </c>
      <c r="K1632" s="247" t="s">
        <v>6719</v>
      </c>
      <c r="L1632" s="248">
        <v>34337</v>
      </c>
      <c r="M1632" s="249">
        <f>15*(LEFT(TEXT($L1632,"000000"),2)+(MID(TEXT($L1632,"000000"),3,2)/60)+(RIGHT(TEXT($L1632,"000000"),2)/3600))</f>
        <v>55.904166666666669</v>
      </c>
      <c r="N1632" s="250">
        <v>-355112</v>
      </c>
      <c r="O1632" s="251">
        <f>IF($N1632&gt;0,(LEFT(TEXT($N1632,"000000"),2)+(MID(TEXT($N1632,"000000"),3,2)/60)+(RIGHT(TEXT($N1632,"000000"),2)/3600)),-(MID(TEXT($N1632,"000000"),2,2)+(MID(TEXT($N1632,"000000"),4,2)/60)+(RIGHT(TEXT($N1632,"000000"),2)/3600)))</f>
        <v>-35.853333333333332</v>
      </c>
      <c r="P1632" s="252" t="s">
        <v>257</v>
      </c>
      <c r="Q1632" s="253"/>
      <c r="R1632" s="277" t="s">
        <v>6718</v>
      </c>
      <c r="S1632" s="272" t="s">
        <v>3293</v>
      </c>
      <c r="T1632" s="273">
        <v>11.7</v>
      </c>
      <c r="U1632" s="289">
        <v>22.29</v>
      </c>
      <c r="V1632" s="280">
        <v>50</v>
      </c>
      <c r="W1632" s="244"/>
      <c r="X1632" s="244"/>
      <c r="Y1632" s="362"/>
      <c r="Z1632" s="257">
        <f>altaz(J2000_Bas,$O1632,$M1632,DecLat,DecLong,1)</f>
        <v>-48.35926395080682</v>
      </c>
      <c r="AA1632" s="257">
        <f>altaz((J2000_Bas+(2*0.04167)),$O1632,$M1632,DecLat,DecLong,1)</f>
        <v>-24.842187011752461</v>
      </c>
      <c r="AB1632" s="257">
        <f>altaz((J2000_Bas+(4*0.04167)),$O1632,$M1632,DecLat,DecLong,1)</f>
        <v>-3.4971917613273829</v>
      </c>
      <c r="AC1632" s="257">
        <f>altaz((J2000_Bas+(6*0.04167)),$O1632,$M1632,DecLat,DecLong,1)</f>
        <v>13.490237746278197</v>
      </c>
      <c r="AD1632" s="258">
        <f>1+ transit((J2000_Bas-1),$O1632,$M1632,DecLat,DecLong)/360 + (GMTOffset/24) + (IF(DST="Y", 1, 0)/24)</f>
        <v>1.1481892969526246</v>
      </c>
      <c r="AE1632" s="259">
        <f>DATE(2001,9,21)+(M1632/360)*365 - (360*((DecLong/360)- (GMTOffset/24) ))</f>
        <v>37216.680613425924</v>
      </c>
      <c r="AF1632" s="260">
        <f>IF(DecLat&gt;0,IF((90 - (DecLat-O1632))&gt;90, (90 - (O1632-DecLat)), (90 - (DecLat-O1632))),IF((90 + (DecLat-O1632))&gt;90, (90 + (O1632-DecLat)), (90 + (DecLat-O1632))))</f>
        <v>23.146666666666675</v>
      </c>
      <c r="AG1632" s="257">
        <f>angularseperation(MoonRA,MoonDec,$M1632,$O1632)</f>
        <v>115.81702975834197</v>
      </c>
      <c r="AH1632" s="261">
        <f ca="1">MIN(100,IF($O$5&gt;80,0+30*($AG1632/100),IF($O$5&gt;70,0+50*($AG1632/100),IF($O$5&gt;60,5+50*($AG1632/100),IF($O$5&gt;50,10+60*($AG1632/100),IF($O$5&gt;40,15+70*($AG1632/100),IF($O$5&gt;30,20+70*($AG1632/100),IF($O$5&gt;20,40+55*($AG1632/100),(80+(20-$O$5)+30*($AG1632/100))))))))))</f>
        <v>100</v>
      </c>
      <c r="AI1632" s="263">
        <v>1436</v>
      </c>
      <c r="AJ1632" s="263"/>
      <c r="AK1632" s="263"/>
      <c r="AL1632" s="263"/>
      <c r="AM1632" s="264"/>
      <c r="AN1632" s="263"/>
      <c r="AO1632" s="263"/>
      <c r="AP1632" s="265"/>
      <c r="AQ1632" s="265"/>
      <c r="AR1632" s="285">
        <v>13687</v>
      </c>
      <c r="AS1632" s="263"/>
      <c r="AT1632" s="263"/>
      <c r="AU1632" s="263"/>
      <c r="AV1632" s="264"/>
      <c r="AW1632" s="263"/>
      <c r="AX1632" s="263"/>
      <c r="AY1632" s="263"/>
      <c r="AZ1632" s="263"/>
      <c r="BA1632" s="263"/>
      <c r="BB1632" s="263"/>
      <c r="BC1632" s="263"/>
      <c r="BD1632" s="264"/>
      <c r="BE1632" s="263"/>
      <c r="BF1632" s="263"/>
      <c r="BG1632" s="263"/>
      <c r="BH1632" s="263"/>
      <c r="BI1632" s="263"/>
      <c r="BJ1632" s="404">
        <f>altaz(J2000_Bas,$O1632,$M1632,DecLat,DecLong,2)</f>
        <v>110.64505877826018</v>
      </c>
      <c r="BK1632" s="378" t="s">
        <v>3148</v>
      </c>
      <c r="BL1632" s="379">
        <f>IF((2*G1632)/60&lt;0.2,0.2,(2*G1632)/60)</f>
        <v>0.2</v>
      </c>
      <c r="BM1632" s="380">
        <f>MOD((50000+AD1632-$B$3+(0/24)),1)</f>
        <v>0.36355622665723786</v>
      </c>
      <c r="BN1632" s="381"/>
      <c r="BO1632" s="382">
        <v>1625</v>
      </c>
    </row>
    <row r="1633" spans="1:67" s="24" customFormat="1" ht="15" customHeight="1" x14ac:dyDescent="0.25">
      <c r="A1633" s="288" t="s">
        <v>1641</v>
      </c>
      <c r="B1633" s="241" t="str">
        <f>HYPERLINK(CONCATENATE($AT$3,BK1633,$AU$3),$AV$3)</f>
        <v>S</v>
      </c>
      <c r="C1633" s="242" t="str">
        <f>HYPERLINK(CONCATENATE($AT$4,BK1633,$AU$4,BL1633),$AV$4)</f>
        <v>A</v>
      </c>
      <c r="D1633" s="243" t="s">
        <v>5335</v>
      </c>
      <c r="E1633" s="244" t="s">
        <v>5185</v>
      </c>
      <c r="F1633" s="269" t="s">
        <v>6722</v>
      </c>
      <c r="G1633" s="273">
        <v>5</v>
      </c>
      <c r="H1633" s="283">
        <v>5500</v>
      </c>
      <c r="I1633" s="279">
        <v>8</v>
      </c>
      <c r="J1633" s="246">
        <v>2</v>
      </c>
      <c r="K1633" s="247" t="s">
        <v>6721</v>
      </c>
      <c r="L1633" s="248">
        <v>34924</v>
      </c>
      <c r="M1633" s="249">
        <f>15*(LEFT(TEXT($L1633,"000000"),2)+(MID(TEXT($L1633,"000000"),3,2)/60)+(RIGHT(TEXT($L1633,"000000"),2)/3600))</f>
        <v>57.35</v>
      </c>
      <c r="N1633" s="286">
        <v>524000</v>
      </c>
      <c r="O1633" s="251">
        <f>IF($N1633&gt;0,(LEFT(TEXT($N1633,"000000"),2)+(MID(TEXT($N1633,"000000"),3,2)/60)+(RIGHT(TEXT($N1633,"000000"),2)/3600)),-(MID(TEXT($N1633,"000000"),2,2)+(MID(TEXT($N1633,"000000"),4,2)/60)+(RIGHT(TEXT($N1633,"000000"),2)/3600)))</f>
        <v>52.666666666666664</v>
      </c>
      <c r="P1633" s="252" t="s">
        <v>43</v>
      </c>
      <c r="Q1633" s="253"/>
      <c r="R1633" s="277" t="s">
        <v>3293</v>
      </c>
      <c r="S1633" s="272" t="s">
        <v>3293</v>
      </c>
      <c r="T1633" s="273">
        <v>6.6</v>
      </c>
      <c r="U1633" s="274"/>
      <c r="V1633" s="280"/>
      <c r="W1633" s="244"/>
      <c r="X1633" s="244"/>
      <c r="Y1633" s="362"/>
      <c r="Z1633" s="257">
        <f>altaz(J2000_Bas,$O1633,$M1633,DecLat,DecLong,1)</f>
        <v>3.7903595794321703</v>
      </c>
      <c r="AA1633" s="257">
        <f>altaz((J2000_Bas+(2*0.04167)),$O1633,$M1633,DecLat,DecLong,1)</f>
        <v>17.938111179241091</v>
      </c>
      <c r="AB1633" s="257">
        <f>altaz((J2000_Bas+(4*0.04167)),$O1633,$M1633,DecLat,DecLong,1)</f>
        <v>35.255765441767998</v>
      </c>
      <c r="AC1633" s="257">
        <f>altaz((J2000_Bas+(6*0.04167)),$O1633,$M1633,DecLat,DecLong,1)</f>
        <v>53.252478793473188</v>
      </c>
      <c r="AD1633" s="258">
        <f>1+ transit((J2000_Bas-1),$O1633,$M1633,DecLat,DecLong)/360 + (GMTOffset/24) + (IF(DST="Y", 1, 0)/24)</f>
        <v>1.152205500254708</v>
      </c>
      <c r="AE1633" s="259">
        <f>DATE(2001,9,21)+(M1633/360)*365 - (360*((DecLong/360)- (GMTOffset/24) ))</f>
        <v>37218.146527777775</v>
      </c>
      <c r="AF1633" s="260">
        <f>IF(DecLat&gt;0,IF((90 - (DecLat-O1633))&gt;90, (90 - (O1633-DecLat)), (90 - (DecLat-O1633))),IF((90 + (DecLat-O1633))&gt;90, (90 + (O1633-DecLat)), (90 + (DecLat-O1633))))</f>
        <v>68.333333333333343</v>
      </c>
      <c r="AG1633" s="257">
        <f>angularseperation(MoonRA,MoonDec,$M1633,$O1633)</f>
        <v>152.92048272083326</v>
      </c>
      <c r="AH1633" s="261">
        <f ca="1">MIN(100,IF($O$5&gt;80,0+30*($AG1633/100),IF($O$5&gt;70,0+50*($AG1633/100),IF($O$5&gt;60,5+50*($AG1633/100),IF($O$5&gt;50,10+60*($AG1633/100),IF($O$5&gt;40,15+70*($AG1633/100),IF($O$5&gt;30,20+70*($AG1633/100),IF($O$5&gt;20,40+55*($AG1633/100),(80+(20-$O$5)+30*($AG1633/100))))))))))</f>
        <v>100</v>
      </c>
      <c r="AI1633" s="262">
        <v>1444</v>
      </c>
      <c r="AJ1633" s="263"/>
      <c r="AK1633" s="263">
        <v>48</v>
      </c>
      <c r="AL1633" s="263"/>
      <c r="AM1633" s="264"/>
      <c r="AN1633" s="263"/>
      <c r="AO1633" s="263"/>
      <c r="AP1633" s="265"/>
      <c r="AQ1633" s="265"/>
      <c r="AR1633" s="285"/>
      <c r="AS1633" s="263"/>
      <c r="AT1633" s="263"/>
      <c r="AU1633" s="263"/>
      <c r="AV1633" s="264"/>
      <c r="AW1633" s="263"/>
      <c r="AX1633" s="263"/>
      <c r="AY1633" s="263"/>
      <c r="AZ1633" s="263"/>
      <c r="BA1633" s="263"/>
      <c r="BB1633" s="263"/>
      <c r="BC1633" s="263"/>
      <c r="BD1633" s="264"/>
      <c r="BE1633" s="263"/>
      <c r="BF1633" s="263"/>
      <c r="BG1633" s="263"/>
      <c r="BH1633" s="263"/>
      <c r="BI1633" s="263"/>
      <c r="BJ1633" s="404">
        <f>altaz(J2000_Bas,$O1633,$M1633,DecLat,DecLong,2)</f>
        <v>27.146800424699656</v>
      </c>
      <c r="BK1633" s="378" t="s">
        <v>1641</v>
      </c>
      <c r="BL1633" s="379">
        <f>IF((2*G1633)/60&lt;0.2,0.2,(2*G1633)/60)</f>
        <v>0.2</v>
      </c>
      <c r="BM1633" s="380">
        <f>MOD((50000+AD1633-$B$3+(0/24)),1)</f>
        <v>0.36757242996100103</v>
      </c>
      <c r="BN1633" s="381"/>
      <c r="BO1633" s="382">
        <v>1626</v>
      </c>
    </row>
    <row r="1634" spans="1:67" s="24" customFormat="1" ht="15" customHeight="1" x14ac:dyDescent="0.25">
      <c r="A1634" s="288" t="s">
        <v>3123</v>
      </c>
      <c r="B1634" s="241" t="str">
        <f>HYPERLINK(CONCATENATE($AT$3,BK1634,$AU$3),$AV$3)</f>
        <v>S</v>
      </c>
      <c r="C1634" s="242" t="str">
        <f>HYPERLINK(CONCATENATE($AT$4,BK1634,$AU$4,BL1634),$AV$4)</f>
        <v>A</v>
      </c>
      <c r="D1634" s="243" t="s">
        <v>5638</v>
      </c>
      <c r="E1634" s="244" t="s">
        <v>5182</v>
      </c>
      <c r="F1634" s="269" t="s">
        <v>8944</v>
      </c>
      <c r="G1634" s="273">
        <v>3</v>
      </c>
      <c r="H1634" s="283">
        <v>75</v>
      </c>
      <c r="I1634" s="246">
        <v>70</v>
      </c>
      <c r="J1634" s="246">
        <v>2</v>
      </c>
      <c r="K1634" s="247" t="s">
        <v>6724</v>
      </c>
      <c r="L1634" s="248">
        <v>34522</v>
      </c>
      <c r="M1634" s="249">
        <f>15*(LEFT(TEXT($L1634,"000000"),2)+(MID(TEXT($L1634,"000000"),3,2)/60)+(RIGHT(TEXT($L1634,"000000"),2)/3600))</f>
        <v>56.341666666666669</v>
      </c>
      <c r="N1634" s="250">
        <v>-183800</v>
      </c>
      <c r="O1634" s="251">
        <f>IF($N1634&gt;0,(LEFT(TEXT($N1634,"000000"),2)+(MID(TEXT($N1634,"000000"),3,2)/60)+(RIGHT(TEXT($N1634,"000000"),2)/3600)),-(MID(TEXT($N1634,"000000"),2,2)+(MID(TEXT($N1634,"000000"),4,2)/60)+(RIGHT(TEXT($N1634,"000000"),2)/3600)))</f>
        <v>-18.633333333333333</v>
      </c>
      <c r="P1634" s="252" t="s">
        <v>257</v>
      </c>
      <c r="Q1634" s="253"/>
      <c r="R1634" s="277" t="s">
        <v>6723</v>
      </c>
      <c r="S1634" s="272" t="s">
        <v>3293</v>
      </c>
      <c r="T1634" s="273">
        <v>11.8</v>
      </c>
      <c r="U1634" s="289">
        <v>21.79</v>
      </c>
      <c r="V1634" s="280">
        <v>65</v>
      </c>
      <c r="W1634" s="244"/>
      <c r="X1634" s="244"/>
      <c r="Y1634" s="362"/>
      <c r="Z1634" s="257">
        <f>altaz(J2000_Bas,$O1634,$M1634,DecLat,DecLong,1)</f>
        <v>-43.656128730855983</v>
      </c>
      <c r="AA1634" s="257">
        <f>altaz((J2000_Bas+(2*0.04167)),$O1634,$M1634,DecLat,DecLong,1)</f>
        <v>-18.008324887971209</v>
      </c>
      <c r="AB1634" s="257">
        <f>altaz((J2000_Bas+(4*0.04167)),$O1634,$M1634,DecLat,DecLong,1)</f>
        <v>6.3715827456536758</v>
      </c>
      <c r="AC1634" s="257">
        <f>altaz((J2000_Bas+(6*0.04167)),$O1634,$M1634,DecLat,DecLong,1)</f>
        <v>27.185347430002849</v>
      </c>
      <c r="AD1634" s="258">
        <f>1+ transit((J2000_Bas-1),$O1634,$M1634,DecLat,DecLong)/360 + (GMTOffset/24) + (IF(DST="Y", 1, 0)/24)</f>
        <v>1.1494045746088746</v>
      </c>
      <c r="AE1634" s="259">
        <f>DATE(2001,9,21)+(M1634/360)*365 - (360*((DecLong/360)- (GMTOffset/24) ))</f>
        <v>37217.124189814815</v>
      </c>
      <c r="AF1634" s="260">
        <f>IF(DecLat&gt;0,IF((90 - (DecLat-O1634))&gt;90, (90 - (O1634-DecLat)), (90 - (DecLat-O1634))),IF((90 + (DecLat-O1634))&gt;90, (90 + (O1634-DecLat)), (90 + (DecLat-O1634))))</f>
        <v>40.366666666666667</v>
      </c>
      <c r="AG1634" s="257">
        <f>angularseperation(MoonRA,MoonDec,$M1634,$O1634)</f>
        <v>132.60214635464507</v>
      </c>
      <c r="AH1634" s="261">
        <f ca="1">MIN(100,IF($O$5&gt;80,0+30*($AG1634/100),IF($O$5&gt;70,0+50*($AG1634/100),IF($O$5&gt;60,5+50*($AG1634/100),IF($O$5&gt;50,10+60*($AG1634/100),IF($O$5&gt;40,15+70*($AG1634/100),IF($O$5&gt;30,20+70*($AG1634/100),IF($O$5&gt;20,40+55*($AG1634/100),(80+(20-$O$5)+30*($AG1634/100))))))))))</f>
        <v>100</v>
      </c>
      <c r="AI1634" s="263">
        <v>1452</v>
      </c>
      <c r="AJ1634" s="263"/>
      <c r="AK1634" s="263"/>
      <c r="AL1634" s="263"/>
      <c r="AM1634" s="264"/>
      <c r="AN1634" s="263"/>
      <c r="AO1634" s="263"/>
      <c r="AP1634" s="265"/>
      <c r="AQ1634" s="265"/>
      <c r="AR1634" s="285">
        <v>13765</v>
      </c>
      <c r="AS1634" s="263"/>
      <c r="AT1634" s="263"/>
      <c r="AU1634" s="263"/>
      <c r="AV1634" s="264"/>
      <c r="AW1634" s="263"/>
      <c r="AX1634" s="263"/>
      <c r="AY1634" s="263"/>
      <c r="AZ1634" s="263"/>
      <c r="BA1634" s="263"/>
      <c r="BB1634" s="263"/>
      <c r="BC1634" s="263"/>
      <c r="BD1634" s="264"/>
      <c r="BE1634" s="263"/>
      <c r="BF1634" s="263"/>
      <c r="BG1634" s="263"/>
      <c r="BH1634" s="263"/>
      <c r="BI1634" s="263"/>
      <c r="BJ1634" s="404">
        <f>altaz(J2000_Bas,$O1634,$M1634,DecLat,DecLong,2)</f>
        <v>86.668891481504915</v>
      </c>
      <c r="BK1634" s="378" t="s">
        <v>3123</v>
      </c>
      <c r="BL1634" s="379">
        <f>IF((2*G1634)/60&lt;0.2,0.2,(2*G1634)/60)</f>
        <v>0.2</v>
      </c>
      <c r="BM1634" s="380">
        <f>MOD((50000+AD1634-$B$3+(0/24)),1)</f>
        <v>0.36477150431164773</v>
      </c>
      <c r="BN1634" s="381"/>
      <c r="BO1634" s="382">
        <v>1627</v>
      </c>
    </row>
    <row r="1635" spans="1:67" s="24" customFormat="1" ht="15" customHeight="1" x14ac:dyDescent="0.25">
      <c r="A1635" s="287" t="s">
        <v>7574</v>
      </c>
      <c r="B1635" s="241" t="str">
        <f>HYPERLINK(CONCATENATE($AT$3,BK1635,$AU$3),$AV$3)</f>
        <v>S</v>
      </c>
      <c r="C1635" s="242" t="str">
        <f>HYPERLINK(CONCATENATE($AT$4,BK1635,$AU$4,BL1635),$AV$4)</f>
        <v>A</v>
      </c>
      <c r="D1635" s="243" t="s">
        <v>5638</v>
      </c>
      <c r="E1635" s="244" t="s">
        <v>5625</v>
      </c>
      <c r="F1635" s="269">
        <v>8</v>
      </c>
      <c r="G1635" s="282">
        <v>16</v>
      </c>
      <c r="H1635" s="283">
        <v>170</v>
      </c>
      <c r="I1635" s="284">
        <v>800</v>
      </c>
      <c r="J1635" s="246">
        <v>2</v>
      </c>
      <c r="K1635" s="247" t="s">
        <v>6725</v>
      </c>
      <c r="L1635" s="248">
        <v>34627</v>
      </c>
      <c r="M1635" s="249">
        <f>15*(LEFT(TEXT($L1635,"000000"),2)+(MID(TEXT($L1635,"000000"),3,2)/60)+(RIGHT(TEXT($L1635,"000000"),2)/3600))</f>
        <v>56.612499999999997</v>
      </c>
      <c r="N1635" s="250">
        <v>-35806</v>
      </c>
      <c r="O1635" s="251">
        <f>IF($N1635&gt;0,(LEFT(TEXT($N1635,"000000"),2)+(MID(TEXT($N1635,"000000"),3,2)/60)+(RIGHT(TEXT($N1635,"000000"),2)/3600)),-(MID(TEXT($N1635,"000000"),2,2)+(MID(TEXT($N1635,"000000"),4,2)/60)+(RIGHT(TEXT($N1635,"000000"),2)/3600)))</f>
        <v>-3.9683333333333333</v>
      </c>
      <c r="P1635" s="252" t="s">
        <v>257</v>
      </c>
      <c r="Q1635" s="253"/>
      <c r="R1635" s="277" t="s">
        <v>3293</v>
      </c>
      <c r="S1635" s="272" t="s">
        <v>3293</v>
      </c>
      <c r="T1635" s="273">
        <v>11.5</v>
      </c>
      <c r="U1635" s="289">
        <v>22.09</v>
      </c>
      <c r="V1635" s="280"/>
      <c r="W1635" s="244"/>
      <c r="X1635" s="244"/>
      <c r="Y1635" s="362"/>
      <c r="Z1635" s="257">
        <f>altaz(J2000_Bas,$O1635,$M1635,DecLat,DecLong,1)</f>
        <v>-36.316135316242061</v>
      </c>
      <c r="AA1635" s="257">
        <f>altaz((J2000_Bas+(2*0.04167)),$O1635,$M1635,DecLat,DecLong,1)</f>
        <v>-11.060579510775122</v>
      </c>
      <c r="AB1635" s="257">
        <f>altaz((J2000_Bas+(4*0.04167)),$O1635,$M1635,DecLat,DecLong,1)</f>
        <v>14.514911029156726</v>
      </c>
      <c r="AC1635" s="257">
        <f>altaz((J2000_Bas+(6*0.04167)),$O1635,$M1635,DecLat,DecLong,1)</f>
        <v>38.023200204978352</v>
      </c>
      <c r="AD1635" s="258">
        <f>1+ transit((J2000_Bas-1),$O1635,$M1635,DecLat,DecLong)/360 + (GMTOffset/24) + (IF(DST="Y", 1, 0)/24)</f>
        <v>1.1501568893484579</v>
      </c>
      <c r="AE1635" s="259">
        <f>DATE(2001,9,21)+(M1635/360)*365 - (360*((DecLong/360)- (GMTOffset/24) ))</f>
        <v>37217.398784722223</v>
      </c>
      <c r="AF1635" s="260">
        <f>IF(DecLat&gt;0,IF((90 - (DecLat-O1635))&gt;90, (90 - (O1635-DecLat)), (90 - (DecLat-O1635))),IF((90 + (DecLat-O1635))&gt;90, (90 + (O1635-DecLat)), (90 + (DecLat-O1635))))</f>
        <v>55.031666666666666</v>
      </c>
      <c r="AG1635" s="257">
        <f>angularseperation(MoonRA,MoonDec,$M1635,$O1635)</f>
        <v>146.63721677823708</v>
      </c>
      <c r="AH1635" s="261">
        <f ca="1">MIN(100,IF($O$5&gt;80,0+30*($AG1635/100),IF($O$5&gt;70,0+50*($AG1635/100),IF($O$5&gt;60,5+50*($AG1635/100),IF($O$5&gt;50,10+60*($AG1635/100),IF($O$5&gt;40,15+70*($AG1635/100),IF($O$5&gt;30,20+70*($AG1635/100),IF($O$5&gt;20,40+55*($AG1635/100),(80+(20-$O$5)+30*($AG1635/100))))))))))</f>
        <v>100</v>
      </c>
      <c r="AI1635" s="263">
        <v>1453</v>
      </c>
      <c r="AJ1635" s="263"/>
      <c r="AK1635" s="263"/>
      <c r="AL1635" s="263"/>
      <c r="AM1635" s="264"/>
      <c r="AN1635" s="263"/>
      <c r="AO1635" s="263"/>
      <c r="AP1635" s="265"/>
      <c r="AQ1635" s="265"/>
      <c r="AR1635" s="285">
        <v>13814</v>
      </c>
      <c r="AS1635" s="263"/>
      <c r="AT1635" s="263"/>
      <c r="AU1635" s="263"/>
      <c r="AV1635" s="264"/>
      <c r="AW1635" s="263"/>
      <c r="AX1635" s="263"/>
      <c r="AY1635" s="263"/>
      <c r="AZ1635" s="263"/>
      <c r="BA1635" s="263"/>
      <c r="BB1635" s="263"/>
      <c r="BC1635" s="263"/>
      <c r="BD1635" s="264"/>
      <c r="BE1635" s="263"/>
      <c r="BF1635" s="263"/>
      <c r="BG1635" s="263"/>
      <c r="BH1635" s="263"/>
      <c r="BI1635" s="263"/>
      <c r="BJ1635" s="404">
        <f>altaz(J2000_Bas,$O1635,$M1635,DecLat,DecLong,2)</f>
        <v>70.035555200432455</v>
      </c>
      <c r="BK1635" s="378" t="s">
        <v>3167</v>
      </c>
      <c r="BL1635" s="379">
        <f>IF((2*G1635)/60&lt;0.2,0.2,(2*G1635)/60)</f>
        <v>0.53333333333333333</v>
      </c>
      <c r="BM1635" s="380">
        <f>MOD((50000+AD1635-$B$3+(0/24)),1)</f>
        <v>0.36552381905494258</v>
      </c>
      <c r="BN1635" s="381"/>
      <c r="BO1635" s="382">
        <v>1628</v>
      </c>
    </row>
    <row r="1636" spans="1:67" s="24" customFormat="1" ht="15" customHeight="1" x14ac:dyDescent="0.25">
      <c r="A1636" s="288" t="s">
        <v>1642</v>
      </c>
      <c r="B1636" s="241" t="str">
        <f>HYPERLINK(CONCATENATE($AT$3,BK1636,$AU$3),$AV$3)</f>
        <v>S</v>
      </c>
      <c r="C1636" s="242" t="str">
        <f>HYPERLINK(CONCATENATE($AT$4,BK1636,$AU$4,BL1636),$AV$4)</f>
        <v>A</v>
      </c>
      <c r="D1636" s="243" t="s">
        <v>5638</v>
      </c>
      <c r="E1636" s="244" t="s">
        <v>5182</v>
      </c>
      <c r="F1636" s="269" t="s">
        <v>3300</v>
      </c>
      <c r="G1636" s="273">
        <v>3</v>
      </c>
      <c r="H1636" s="283">
        <v>65</v>
      </c>
      <c r="I1636" s="246">
        <v>60</v>
      </c>
      <c r="J1636" s="246">
        <v>2</v>
      </c>
      <c r="K1636" s="247" t="s">
        <v>8048</v>
      </c>
      <c r="L1636" s="248">
        <v>35439</v>
      </c>
      <c r="M1636" s="249">
        <f>15*(LEFT(TEXT($L1636,"000000"),2)+(MID(TEXT($L1636,"000000"),3,2)/60)+(RIGHT(TEXT($L1636,"000000"),2)/3600))</f>
        <v>58.662499999999994</v>
      </c>
      <c r="N1636" s="250">
        <v>-203010</v>
      </c>
      <c r="O1636" s="251">
        <f>IF($N1636&gt;0,(LEFT(TEXT($N1636,"000000"),2)+(MID(TEXT($N1636,"000000"),3,2)/60)+(RIGHT(TEXT($N1636,"000000"),2)/3600)),-(MID(TEXT($N1636,"000000"),2,2)+(MID(TEXT($N1636,"000000"),4,2)/60)+(RIGHT(TEXT($N1636,"000000"),2)/3600)))</f>
        <v>-20.502777777777776</v>
      </c>
      <c r="P1636" s="252" t="s">
        <v>257</v>
      </c>
      <c r="Q1636" s="253"/>
      <c r="R1636" s="247" t="s">
        <v>3293</v>
      </c>
      <c r="S1636" s="272" t="s">
        <v>6728</v>
      </c>
      <c r="T1636" s="273">
        <v>12.2</v>
      </c>
      <c r="U1636" s="289">
        <v>22.29</v>
      </c>
      <c r="V1636" s="280">
        <v>75</v>
      </c>
      <c r="W1636" s="244"/>
      <c r="X1636" s="244"/>
      <c r="Y1636" s="362"/>
      <c r="Z1636" s="257">
        <f>altaz(J2000_Bas,$O1636,$M1636,DecLat,DecLong,1)</f>
        <v>-46.423475777662304</v>
      </c>
      <c r="AA1636" s="257">
        <f>altaz((J2000_Bas+(2*0.04167)),$O1636,$M1636,DecLat,DecLong,1)</f>
        <v>-20.805508697788497</v>
      </c>
      <c r="AB1636" s="257">
        <f>altaz((J2000_Bas+(4*0.04167)),$O1636,$M1636,DecLat,DecLong,1)</f>
        <v>3.506246068336528</v>
      </c>
      <c r="AC1636" s="257">
        <f>altaz((J2000_Bas+(6*0.04167)),$O1636,$M1636,DecLat,DecLong,1)</f>
        <v>24.357656933387261</v>
      </c>
      <c r="AD1636" s="258">
        <f>1+ transit((J2000_Bas-1),$O1636,$M1636,DecLat,DecLong)/360 + (GMTOffset/24) + (IF(DST="Y", 1, 0)/24)</f>
        <v>1.1558513332234581</v>
      </c>
      <c r="AE1636" s="259">
        <f>DATE(2001,9,21)+(M1636/360)*365 - (360*((DecLong/360)- (GMTOffset/24) ))</f>
        <v>37219.477256944447</v>
      </c>
      <c r="AF1636" s="260">
        <f>IF(DecLat&gt;0,IF((90 - (DecLat-O1636))&gt;90, (90 - (O1636-DecLat)), (90 - (DecLat-O1636))),IF((90 + (DecLat-O1636))&gt;90, (90 + (O1636-DecLat)), (90 + (DecLat-O1636))))</f>
        <v>38.49722222222222</v>
      </c>
      <c r="AG1636" s="257">
        <f>angularseperation(MoonRA,MoonDec,$M1636,$O1636)</f>
        <v>131.3224317366882</v>
      </c>
      <c r="AH1636" s="261">
        <f ca="1">MIN(100,IF($O$5&gt;80,0+30*($AG1636/100),IF($O$5&gt;70,0+50*($AG1636/100),IF($O$5&gt;60,5+50*($AG1636/100),IF($O$5&gt;50,10+60*($AG1636/100),IF($O$5&gt;40,15+70*($AG1636/100),IF($O$5&gt;30,20+70*($AG1636/100),IF($O$5&gt;20,40+55*($AG1636/100),(80+(20-$O$5)+30*($AG1636/100))))))))))</f>
        <v>100</v>
      </c>
      <c r="AI1636" s="262">
        <v>1482</v>
      </c>
      <c r="AJ1636" s="262"/>
      <c r="AK1636" s="262"/>
      <c r="AL1636" s="263"/>
      <c r="AM1636" s="264"/>
      <c r="AN1636" s="263"/>
      <c r="AO1636" s="263"/>
      <c r="AP1636" s="265"/>
      <c r="AQ1636" s="266"/>
      <c r="AR1636" s="267">
        <v>14084</v>
      </c>
      <c r="AS1636" s="263"/>
      <c r="AT1636" s="263"/>
      <c r="AU1636" s="263"/>
      <c r="AV1636" s="264"/>
      <c r="AW1636" s="263"/>
      <c r="AX1636" s="263"/>
      <c r="AY1636" s="263"/>
      <c r="AZ1636" s="263"/>
      <c r="BA1636" s="263"/>
      <c r="BB1636" s="263"/>
      <c r="BC1636" s="263"/>
      <c r="BD1636" s="264"/>
      <c r="BE1636" s="263"/>
      <c r="BF1636" s="263"/>
      <c r="BG1636" s="263"/>
      <c r="BH1636" s="263"/>
      <c r="BI1636" s="263"/>
      <c r="BJ1636" s="404">
        <f>altaz(J2000_Bas,$O1636,$M1636,DecLat,DecLong,2)</f>
        <v>87.781875031496412</v>
      </c>
      <c r="BK1636" s="378" t="s">
        <v>1642</v>
      </c>
      <c r="BL1636" s="379">
        <f>IF((2*G1636)/60&lt;0.2,0.2,(2*G1636)/60)</f>
        <v>0.2</v>
      </c>
      <c r="BM1636" s="380">
        <f>MOD((50000+AD1636-$B$3+(0/24)),1)</f>
        <v>0.37121826292423066</v>
      </c>
      <c r="BN1636" s="381"/>
      <c r="BO1636" s="382">
        <v>1629</v>
      </c>
    </row>
    <row r="1637" spans="1:67" s="24" customFormat="1" ht="15" customHeight="1" x14ac:dyDescent="0.25">
      <c r="A1637" s="288" t="s">
        <v>1643</v>
      </c>
      <c r="B1637" s="241" t="str">
        <f>HYPERLINK(CONCATENATE($AT$3,BK1637,$AU$3),$AV$3)</f>
        <v>S</v>
      </c>
      <c r="C1637" s="242" t="str">
        <f>HYPERLINK(CONCATENATE($AT$4,BK1637,$AU$4,BL1637),$AV$4)</f>
        <v>A</v>
      </c>
      <c r="D1637" s="243" t="s">
        <v>5187</v>
      </c>
      <c r="E1637" s="244" t="s">
        <v>5183</v>
      </c>
      <c r="F1637" s="269" t="s">
        <v>9165</v>
      </c>
      <c r="G1637" s="276">
        <v>30</v>
      </c>
      <c r="H1637" s="283">
        <v>10000</v>
      </c>
      <c r="I1637" s="246">
        <v>85</v>
      </c>
      <c r="J1637" s="246">
        <v>4</v>
      </c>
      <c r="K1637" s="247" t="s">
        <v>8470</v>
      </c>
      <c r="L1637" s="248">
        <v>40314</v>
      </c>
      <c r="M1637" s="249">
        <f>15*(LEFT(TEXT($L1637,"000000"),2)+(MID(TEXT($L1637,"000000"),3,2)/60)+(RIGHT(TEXT($L1637,"000000"),2)/3600))</f>
        <v>60.808333333333323</v>
      </c>
      <c r="N1637" s="250">
        <v>511857</v>
      </c>
      <c r="O1637" s="251">
        <f>IF($N1637&gt;0,(LEFT(TEXT($N1637,"000000"),2)+(MID(TEXT($N1637,"000000"),3,2)/60)+(RIGHT(TEXT($N1637,"000000"),2)/3600)),-(MID(TEXT($N1637,"000000"),2,2)+(MID(TEXT($N1637,"000000"),4,2)/60)+(RIGHT(TEXT($N1637,"000000"),2)/3600)))</f>
        <v>51.31583333333333</v>
      </c>
      <c r="P1637" s="252" t="s">
        <v>43</v>
      </c>
      <c r="Q1637" s="253" t="s">
        <v>6992</v>
      </c>
      <c r="R1637" s="277" t="s">
        <v>3293</v>
      </c>
      <c r="S1637" s="272" t="s">
        <v>3293</v>
      </c>
      <c r="T1637" s="273"/>
      <c r="U1637" s="274"/>
      <c r="V1637" s="280"/>
      <c r="W1637" s="244"/>
      <c r="X1637" s="244"/>
      <c r="Y1637" s="362"/>
      <c r="Z1637" s="257">
        <f>altaz(J2000_Bas,$O1637,$M1637,DecLat,DecLong,1)</f>
        <v>1.4034758367676237</v>
      </c>
      <c r="AA1637" s="257">
        <f>altaz((J2000_Bas+(2*0.04167)),$O1637,$M1637,DecLat,DecLong,1)</f>
        <v>15.420286450829197</v>
      </c>
      <c r="AB1637" s="257">
        <f>altaz((J2000_Bas+(4*0.04167)),$O1637,$M1637,DecLat,DecLong,1)</f>
        <v>32.955165874692582</v>
      </c>
      <c r="AC1637" s="257">
        <f>altaz((J2000_Bas+(6*0.04167)),$O1637,$M1637,DecLat,DecLong,1)</f>
        <v>51.612110627751186</v>
      </c>
      <c r="AD1637" s="258">
        <f>1+ transit((J2000_Bas-1),$O1637,$M1637,DecLat,DecLong)/360 + (GMTOffset/24) + (IF(DST="Y", 1, 0)/24)</f>
        <v>1.1618119807755412</v>
      </c>
      <c r="AE1637" s="259">
        <f>DATE(2001,9,21)+(M1637/360)*365 - (360*((DecLong/360)- (GMTOffset/24) ))</f>
        <v>37221.65289351852</v>
      </c>
      <c r="AF1637" s="260">
        <f>IF(DecLat&gt;0,IF((90 - (DecLat-O1637))&gt;90, (90 - (O1637-DecLat)), (90 - (DecLat-O1637))),IF((90 + (DecLat-O1637))&gt;90, (90 + (O1637-DecLat)), (90 + (DecLat-O1637))))</f>
        <v>69.68416666666667</v>
      </c>
      <c r="AG1637" s="257">
        <f>angularseperation(MoonRA,MoonDec,$M1637,$O1637)</f>
        <v>154.94143807494504</v>
      </c>
      <c r="AH1637" s="261">
        <f ca="1">MIN(100,IF($O$5&gt;80,0+30*($AG1637/100),IF($O$5&gt;70,0+50*($AG1637/100),IF($O$5&gt;60,5+50*($AG1637/100),IF($O$5&gt;50,10+60*($AG1637/100),IF($O$5&gt;40,15+70*($AG1637/100),IF($O$5&gt;30,20+70*($AG1637/100),IF($O$5&gt;20,40+55*($AG1637/100),(80+(20-$O$5)+30*($AG1637/100))))))))))</f>
        <v>100</v>
      </c>
      <c r="AI1637" s="262">
        <v>1491</v>
      </c>
      <c r="AJ1637" s="262"/>
      <c r="AK1637" s="262"/>
      <c r="AL1637" s="263"/>
      <c r="AM1637" s="264"/>
      <c r="AN1637" s="263"/>
      <c r="AO1637" s="263"/>
      <c r="AP1637" s="265"/>
      <c r="AQ1637" s="266"/>
      <c r="AR1637" s="267"/>
      <c r="AS1637" s="263"/>
      <c r="AT1637" s="263"/>
      <c r="AU1637" s="263"/>
      <c r="AV1637" s="264"/>
      <c r="AW1637" s="263"/>
      <c r="AX1637" s="263"/>
      <c r="AY1637" s="263">
        <v>704</v>
      </c>
      <c r="AZ1637" s="263"/>
      <c r="BA1637" s="263"/>
      <c r="BB1637" s="263">
        <v>206</v>
      </c>
      <c r="BC1637" s="263"/>
      <c r="BD1637" s="264"/>
      <c r="BE1637" s="263"/>
      <c r="BF1637" s="263">
        <v>14</v>
      </c>
      <c r="BG1637" s="263"/>
      <c r="BH1637" s="263"/>
      <c r="BI1637" s="263"/>
      <c r="BJ1637" s="404">
        <f>altaz(J2000_Bas,$O1637,$M1637,DecLat,DecLong,2)</f>
        <v>26.333166015452896</v>
      </c>
      <c r="BK1637" s="378" t="s">
        <v>1643</v>
      </c>
      <c r="BL1637" s="379">
        <f>IF((2*G1637)/60&lt;0.2,0.2,(2*G1637)/60)</f>
        <v>1</v>
      </c>
      <c r="BM1637" s="380">
        <f>MOD((50000+AD1637-$B$3+(0/24)),1)</f>
        <v>0.37717891047941521</v>
      </c>
      <c r="BN1637" s="381"/>
      <c r="BO1637" s="382">
        <v>1630</v>
      </c>
    </row>
    <row r="1638" spans="1:67" s="24" customFormat="1" ht="15" customHeight="1" x14ac:dyDescent="0.25">
      <c r="A1638" s="288" t="s">
        <v>7575</v>
      </c>
      <c r="B1638" s="241" t="str">
        <f>HYPERLINK(CONCATENATE($AT$3,BK1638,$AU$3),$AV$3)</f>
        <v>S</v>
      </c>
      <c r="C1638" s="242" t="str">
        <f>HYPERLINK(CONCATENATE($AT$4,BK1638,$AU$4,BL1638),$AV$4)</f>
        <v>A</v>
      </c>
      <c r="D1638" s="243" t="s">
        <v>5638</v>
      </c>
      <c r="E1638" s="244" t="s">
        <v>5625</v>
      </c>
      <c r="F1638" s="269">
        <v>4</v>
      </c>
      <c r="G1638" s="282">
        <v>12</v>
      </c>
      <c r="H1638" s="283">
        <v>270</v>
      </c>
      <c r="I1638" s="284">
        <v>1000</v>
      </c>
      <c r="J1638" s="246">
        <v>2</v>
      </c>
      <c r="K1638" s="247" t="s">
        <v>6729</v>
      </c>
      <c r="L1638" s="248">
        <v>40207</v>
      </c>
      <c r="M1638" s="249">
        <f>15*(LEFT(TEXT($L1638,"000000"),2)+(MID(TEXT($L1638,"000000"),3,2)/60)+(RIGHT(TEXT($L1638,"000000"),2)/3600))</f>
        <v>60.529166666666669</v>
      </c>
      <c r="N1638" s="250">
        <v>230758</v>
      </c>
      <c r="O1638" s="251">
        <f>IF($N1638&gt;0,(LEFT(TEXT($N1638,"000000"),2)+(MID(TEXT($N1638,"000000"),3,2)/60)+(RIGHT(TEXT($N1638,"000000"),2)/3600)),-(MID(TEXT($N1638,"000000"),2,2)+(MID(TEXT($N1638,"000000"),4,2)/60)+(RIGHT(TEXT($N1638,"000000"),2)/3600)))</f>
        <v>23.132777777777779</v>
      </c>
      <c r="P1638" s="252" t="s">
        <v>56</v>
      </c>
      <c r="Q1638" s="253"/>
      <c r="R1638" s="247" t="s">
        <v>3293</v>
      </c>
      <c r="S1638" s="272" t="s">
        <v>3293</v>
      </c>
      <c r="T1638" s="273">
        <v>13.1</v>
      </c>
      <c r="U1638" s="289">
        <v>21.89</v>
      </c>
      <c r="V1638" s="280"/>
      <c r="W1638" s="244"/>
      <c r="X1638" s="244"/>
      <c r="Y1638" s="362"/>
      <c r="Z1638" s="257">
        <f>altaz(J2000_Bas,$O1638,$M1638,DecLat,DecLong,1)</f>
        <v>-20.512481708919193</v>
      </c>
      <c r="AA1638" s="257">
        <f>altaz((J2000_Bas+(2*0.04167)),$O1638,$M1638,DecLat,DecLong,1)</f>
        <v>0.32948581295658125</v>
      </c>
      <c r="AB1638" s="257">
        <f>altaz((J2000_Bas+(4*0.04167)),$O1638,$M1638,DecLat,DecLong,1)</f>
        <v>24.511689781986583</v>
      </c>
      <c r="AC1638" s="257">
        <f>altaz((J2000_Bas+(6*0.04167)),$O1638,$M1638,DecLat,DecLong,1)</f>
        <v>50.062345912157191</v>
      </c>
      <c r="AD1638" s="258">
        <f>1+ transit((J2000_Bas-1),$O1638,$M1638,DecLat,DecLong)/360 + (GMTOffset/24) + (IF(DST="Y", 1, 0)/24)</f>
        <v>1.1610365178901245</v>
      </c>
      <c r="AE1638" s="259">
        <f>DATE(2001,9,21)+(M1638/360)*365 - (360*((DecLong/360)- (GMTOffset/24) ))</f>
        <v>37221.369849537034</v>
      </c>
      <c r="AF1638" s="260">
        <f>IF(DecLat&gt;0,IF((90 - (DecLat-O1638))&gt;90, (90 - (O1638-DecLat)), (90 - (DecLat-O1638))),IF((90 + (DecLat-O1638))&gt;90, (90 + (O1638-DecLat)), (90 + (DecLat-O1638))))</f>
        <v>82.132777777777775</v>
      </c>
      <c r="AG1638" s="257">
        <f>angularseperation(MoonRA,MoonDec,$M1638,$O1638)</f>
        <v>171.1799278267323</v>
      </c>
      <c r="AH1638" s="261">
        <f ca="1">MIN(100,IF($O$5&gt;80,0+30*($AG1638/100),IF($O$5&gt;70,0+50*($AG1638/100),IF($O$5&gt;60,5+50*($AG1638/100),IF($O$5&gt;50,10+60*($AG1638/100),IF($O$5&gt;40,15+70*($AG1638/100),IF($O$5&gt;30,20+70*($AG1638/100),IF($O$5&gt;20,40+55*($AG1638/100),(80+(20-$O$5)+30*($AG1638/100))))))))))</f>
        <v>100</v>
      </c>
      <c r="AI1638" s="262">
        <v>1497</v>
      </c>
      <c r="AJ1638" s="262"/>
      <c r="AK1638" s="262"/>
      <c r="AL1638" s="263"/>
      <c r="AM1638" s="264"/>
      <c r="AN1638" s="263"/>
      <c r="AO1638" s="263"/>
      <c r="AP1638" s="265"/>
      <c r="AQ1638" s="266">
        <v>2929</v>
      </c>
      <c r="AR1638" s="267">
        <v>14331</v>
      </c>
      <c r="AS1638" s="263"/>
      <c r="AT1638" s="263"/>
      <c r="AU1638" s="263"/>
      <c r="AV1638" s="264"/>
      <c r="AW1638" s="263"/>
      <c r="AX1638" s="263"/>
      <c r="AY1638" s="263"/>
      <c r="AZ1638" s="263"/>
      <c r="BA1638" s="263"/>
      <c r="BB1638" s="263"/>
      <c r="BC1638" s="263"/>
      <c r="BD1638" s="264"/>
      <c r="BE1638" s="263"/>
      <c r="BF1638" s="263"/>
      <c r="BG1638" s="263"/>
      <c r="BH1638" s="263"/>
      <c r="BI1638" s="263"/>
      <c r="BJ1638" s="404">
        <f>altaz(J2000_Bas,$O1638,$M1638,DecLat,DecLong,2)</f>
        <v>44.425903860864189</v>
      </c>
      <c r="BK1638" s="378" t="s">
        <v>1644</v>
      </c>
      <c r="BL1638" s="379">
        <f>IF((2*G1638)/60&lt;0.2,0.2,(2*G1638)/60)</f>
        <v>0.4</v>
      </c>
      <c r="BM1638" s="380">
        <f>MOD((50000+AD1638-$B$3+(0/24)),1)</f>
        <v>0.37640344759711297</v>
      </c>
      <c r="BN1638" s="381"/>
      <c r="BO1638" s="382">
        <v>1631</v>
      </c>
    </row>
    <row r="1639" spans="1:67" s="24" customFormat="1" ht="15" customHeight="1" x14ac:dyDescent="0.25">
      <c r="A1639" s="288" t="s">
        <v>1645</v>
      </c>
      <c r="B1639" s="241" t="str">
        <f>HYPERLINK(CONCATENATE($AT$3,BK1639,$AU$3),$AV$3)</f>
        <v>S</v>
      </c>
      <c r="C1639" s="242" t="str">
        <f>HYPERLINK(CONCATENATE($AT$4,BK1639,$AU$4,BL1639),$AV$4)</f>
        <v>A</v>
      </c>
      <c r="D1639" s="243" t="s">
        <v>5187</v>
      </c>
      <c r="E1639" s="244" t="s">
        <v>5183</v>
      </c>
      <c r="F1639" s="269" t="s">
        <v>9159</v>
      </c>
      <c r="G1639" s="276">
        <v>200</v>
      </c>
      <c r="H1639" s="283">
        <v>1000</v>
      </c>
      <c r="I1639" s="246">
        <v>60</v>
      </c>
      <c r="J1639" s="246">
        <v>4</v>
      </c>
      <c r="K1639" s="247" t="s">
        <v>8547</v>
      </c>
      <c r="L1639" s="248">
        <v>40314</v>
      </c>
      <c r="M1639" s="249">
        <f>15*(LEFT(TEXT($L1639,"000000"),2)+(MID(TEXT($L1639,"000000"),3,2)/60)+(RIGHT(TEXT($L1639,"000000"),2)/3600))</f>
        <v>60.808333333333323</v>
      </c>
      <c r="N1639" s="250">
        <v>362200</v>
      </c>
      <c r="O1639" s="251">
        <f>IF($N1639&gt;0,(LEFT(TEXT($N1639,"000000"),2)+(MID(TEXT($N1639,"000000"),3,2)/60)+(RIGHT(TEXT($N1639,"000000"),2)/3600)),-(MID(TEXT($N1639,"000000"),2,2)+(MID(TEXT($N1639,"000000"),4,2)/60)+(RIGHT(TEXT($N1639,"000000"),2)/3600)))</f>
        <v>36.366666666666667</v>
      </c>
      <c r="P1639" s="252" t="s">
        <v>43</v>
      </c>
      <c r="Q1639" s="253" t="s">
        <v>6949</v>
      </c>
      <c r="R1639" s="277" t="s">
        <v>3293</v>
      </c>
      <c r="S1639" s="272" t="s">
        <v>3293</v>
      </c>
      <c r="T1639" s="273"/>
      <c r="U1639" s="274"/>
      <c r="V1639" s="280"/>
      <c r="W1639" s="244"/>
      <c r="X1639" s="244"/>
      <c r="Y1639" s="362"/>
      <c r="Z1639" s="257">
        <f>altaz(J2000_Bas,$O1639,$M1639,DecLat,DecLong,1)</f>
        <v>-10.428737365273165</v>
      </c>
      <c r="AA1639" s="257">
        <f>altaz((J2000_Bas+(2*0.04167)),$O1639,$M1639,DecLat,DecLong,1)</f>
        <v>7.4693365085746759</v>
      </c>
      <c r="AB1639" s="257">
        <f>altaz((J2000_Bas+(4*0.04167)),$O1639,$M1639,DecLat,DecLong,1)</f>
        <v>29.226286145892022</v>
      </c>
      <c r="AC1639" s="257">
        <f>altaz((J2000_Bas+(6*0.04167)),$O1639,$M1639,DecLat,DecLong,1)</f>
        <v>52.868776474872085</v>
      </c>
      <c r="AD1639" s="258">
        <f>1+ transit((J2000_Bas-1),$O1639,$M1639,DecLat,DecLong)/360 + (GMTOffset/24) + (IF(DST="Y", 1, 0)/24)</f>
        <v>1.1618119807755412</v>
      </c>
      <c r="AE1639" s="259">
        <f>DATE(2001,9,21)+(M1639/360)*365 - (360*((DecLong/360)- (GMTOffset/24) ))</f>
        <v>37221.65289351852</v>
      </c>
      <c r="AF1639" s="260">
        <f>IF(DecLat&gt;0,IF((90 - (DecLat-O1639))&gt;90, (90 - (O1639-DecLat)), (90 - (DecLat-O1639))),IF((90 + (DecLat-O1639))&gt;90, (90 + (O1639-DecLat)), (90 + (DecLat-O1639))))</f>
        <v>84.633333333333326</v>
      </c>
      <c r="AG1639" s="257">
        <f>angularseperation(MoonRA,MoonDec,$M1639,$O1639)</f>
        <v>168.28008678132662</v>
      </c>
      <c r="AH1639" s="261">
        <f ca="1">MIN(100,IF($O$5&gt;80,0+30*($AG1639/100),IF($O$5&gt;70,0+50*($AG1639/100),IF($O$5&gt;60,5+50*($AG1639/100),IF($O$5&gt;50,10+60*($AG1639/100),IF($O$5&gt;40,15+70*($AG1639/100),IF($O$5&gt;30,20+70*($AG1639/100),IF($O$5&gt;20,40+55*($AG1639/100),(80+(20-$O$5)+30*($AG1639/100))))))))))</f>
        <v>100</v>
      </c>
      <c r="AI1639" s="262">
        <v>1499</v>
      </c>
      <c r="AJ1639" s="262"/>
      <c r="AK1639" s="262"/>
      <c r="AL1639" s="263"/>
      <c r="AM1639" s="264"/>
      <c r="AN1639" s="263"/>
      <c r="AO1639" s="263"/>
      <c r="AP1639" s="265"/>
      <c r="AQ1639" s="266"/>
      <c r="AR1639" s="267"/>
      <c r="AS1639" s="263"/>
      <c r="AT1639" s="263"/>
      <c r="AU1639" s="263"/>
      <c r="AV1639" s="264"/>
      <c r="AW1639" s="263"/>
      <c r="AX1639" s="263"/>
      <c r="AY1639" s="263">
        <v>756</v>
      </c>
      <c r="AZ1639" s="263"/>
      <c r="BA1639" s="263"/>
      <c r="BB1639" s="263">
        <v>220</v>
      </c>
      <c r="BC1639" s="263"/>
      <c r="BD1639" s="264"/>
      <c r="BE1639" s="263"/>
      <c r="BF1639" s="263"/>
      <c r="BG1639" s="263">
        <v>17</v>
      </c>
      <c r="BH1639" s="263"/>
      <c r="BI1639" s="263"/>
      <c r="BJ1639" s="404">
        <f>altaz(J2000_Bas,$O1639,$M1639,DecLat,DecLong,2)</f>
        <v>35.514831082301193</v>
      </c>
      <c r="BK1639" s="378" t="s">
        <v>1645</v>
      </c>
      <c r="BL1639" s="379">
        <f>IF((2*G1639)/60&lt;0.2,0.2,(2*G1639)/60)</f>
        <v>6.666666666666667</v>
      </c>
      <c r="BM1639" s="380">
        <f>MOD((50000+AD1639-$B$3+(0/24)),1)</f>
        <v>0.37717891047941521</v>
      </c>
      <c r="BN1639" s="381"/>
      <c r="BO1639" s="382">
        <v>1632</v>
      </c>
    </row>
    <row r="1640" spans="1:67" s="24" customFormat="1" ht="15" customHeight="1" x14ac:dyDescent="0.25">
      <c r="A1640" s="288" t="s">
        <v>1646</v>
      </c>
      <c r="B1640" s="241" t="str">
        <f>HYPERLINK(CONCATENATE($AT$3,BK1640,$AU$3),$AV$3)</f>
        <v>S</v>
      </c>
      <c r="C1640" s="242" t="str">
        <f>HYPERLINK(CONCATENATE($AT$4,BK1640,$AU$4,BL1640),$AV$4)</f>
        <v>A</v>
      </c>
      <c r="D1640" s="243" t="s">
        <v>5187</v>
      </c>
      <c r="E1640" s="244" t="s">
        <v>5181</v>
      </c>
      <c r="F1640" s="269" t="s">
        <v>7475</v>
      </c>
      <c r="G1640" s="273">
        <v>1</v>
      </c>
      <c r="H1640" s="283">
        <v>5700</v>
      </c>
      <c r="I1640" s="279">
        <v>1.7</v>
      </c>
      <c r="J1640" s="246">
        <v>4</v>
      </c>
      <c r="K1640" s="247" t="s">
        <v>8548</v>
      </c>
      <c r="L1640" s="248">
        <v>40659</v>
      </c>
      <c r="M1640" s="249">
        <f>15*(LEFT(TEXT($L1640,"000000"),2)+(MID(TEXT($L1640,"000000"),3,2)/60)+(RIGHT(TEXT($L1640,"000000"),2)/3600))</f>
        <v>61.745833333333323</v>
      </c>
      <c r="N1640" s="250">
        <v>605514</v>
      </c>
      <c r="O1640" s="251">
        <f>IF($N1640&gt;0,(LEFT(TEXT($N1640,"000000"),2)+(MID(TEXT($N1640,"000000"),3,2)/60)+(RIGHT(TEXT($N1640,"000000"),2)/3600)),-(MID(TEXT($N1640,"000000"),2,2)+(MID(TEXT($N1640,"000000"),4,2)/60)+(RIGHT(TEXT($N1640,"000000"),2)/3600)))</f>
        <v>60.920555555555552</v>
      </c>
      <c r="P1640" s="252" t="s">
        <v>226</v>
      </c>
      <c r="Q1640" s="253" t="s">
        <v>7043</v>
      </c>
      <c r="R1640" s="277" t="s">
        <v>3293</v>
      </c>
      <c r="S1640" s="272" t="s">
        <v>3293</v>
      </c>
      <c r="T1640" s="273">
        <v>11.5</v>
      </c>
      <c r="U1640" s="274"/>
      <c r="V1640" s="280"/>
      <c r="W1640" s="244"/>
      <c r="X1640" s="244"/>
      <c r="Y1640" s="362"/>
      <c r="Z1640" s="257">
        <f>altaz(J2000_Bas,$O1640,$M1640,DecLat,DecLong,1)</f>
        <v>8.7276252106175587</v>
      </c>
      <c r="AA1640" s="257">
        <f>altaz((J2000_Bas+(2*0.04167)),$O1640,$M1640,DecLat,DecLong,1)</f>
        <v>19.735132216710078</v>
      </c>
      <c r="AB1640" s="257">
        <f>altaz((J2000_Bas+(4*0.04167)),$O1640,$M1640,DecLat,DecLong,1)</f>
        <v>33.635174119917842</v>
      </c>
      <c r="AC1640" s="257">
        <f>altaz((J2000_Bas+(6*0.04167)),$O1640,$M1640,DecLat,DecLong,1)</f>
        <v>47.916604380079768</v>
      </c>
      <c r="AD1640" s="258">
        <f>1+ transit((J2000_Bas-1),$O1640,$M1640,DecLat,DecLong)/360 + (GMTOffset/24) + (IF(DST="Y", 1, 0)/24)</f>
        <v>1.1644161471817913</v>
      </c>
      <c r="AE1640" s="259">
        <f>DATE(2001,9,21)+(M1640/360)*365 - (360*((DecLong/360)- (GMTOffset/24) ))</f>
        <v>37222.603414351855</v>
      </c>
      <c r="AF1640" s="260">
        <f>IF(DecLat&gt;0,IF((90 - (DecLat-O1640))&gt;90, (90 - (O1640-DecLat)), (90 - (DecLat-O1640))),IF((90 + (DecLat-O1640))&gt;90, (90 + (O1640-DecLat)), (90 + (DecLat-O1640))))</f>
        <v>60.079444444444448</v>
      </c>
      <c r="AG1640" s="257">
        <f>angularseperation(MoonRA,MoonDec,$M1640,$O1640)</f>
        <v>145.78487109890534</v>
      </c>
      <c r="AH1640" s="261">
        <f ca="1">MIN(100,IF($O$5&gt;80,0+30*($AG1640/100),IF($O$5&gt;70,0+50*($AG1640/100),IF($O$5&gt;60,5+50*($AG1640/100),IF($O$5&gt;50,10+60*($AG1640/100),IF($O$5&gt;40,15+70*($AG1640/100),IF($O$5&gt;30,20+70*($AG1640/100),IF($O$5&gt;20,40+55*($AG1640/100),(80+(20-$O$5)+30*($AG1640/100))))))))))</f>
        <v>100</v>
      </c>
      <c r="AI1640" s="262">
        <v>1501</v>
      </c>
      <c r="AJ1640" s="262"/>
      <c r="AK1640" s="262">
        <v>49</v>
      </c>
      <c r="AL1640" s="263"/>
      <c r="AM1640" s="264"/>
      <c r="AN1640" s="263"/>
      <c r="AO1640" s="263"/>
      <c r="AP1640" s="265"/>
      <c r="AQ1640" s="266"/>
      <c r="AR1640" s="267"/>
      <c r="AS1640" s="263"/>
      <c r="AT1640" s="263">
        <v>5</v>
      </c>
      <c r="AU1640" s="263"/>
      <c r="AV1640" s="264"/>
      <c r="AW1640" s="263"/>
      <c r="AX1640" s="263"/>
      <c r="AY1640" s="263"/>
      <c r="AZ1640" s="263"/>
      <c r="BA1640" s="263"/>
      <c r="BB1640" s="263"/>
      <c r="BC1640" s="263"/>
      <c r="BD1640" s="264"/>
      <c r="BE1640" s="263">
        <v>22</v>
      </c>
      <c r="BF1640" s="263"/>
      <c r="BG1640" s="263"/>
      <c r="BH1640" s="263"/>
      <c r="BI1640" s="263"/>
      <c r="BJ1640" s="404">
        <f>altaz(J2000_Bas,$O1640,$M1640,DecLat,DecLong,2)</f>
        <v>20.069281641648267</v>
      </c>
      <c r="BK1640" s="378" t="s">
        <v>1646</v>
      </c>
      <c r="BL1640" s="379">
        <f>IF((2*G1640)/60&lt;0.2,0.2,(2*G1640)/60)</f>
        <v>0.2</v>
      </c>
      <c r="BM1640" s="380">
        <f>MOD((50000+AD1640-$B$3+(0/24)),1)</f>
        <v>0.37978307688899804</v>
      </c>
      <c r="BN1640" s="381"/>
      <c r="BO1640" s="382">
        <v>1633</v>
      </c>
    </row>
    <row r="1641" spans="1:67" s="24" customFormat="1" ht="15" customHeight="1" x14ac:dyDescent="0.25">
      <c r="A1641" s="288" t="s">
        <v>1647</v>
      </c>
      <c r="B1641" s="241" t="str">
        <f>HYPERLINK(CONCATENATE($AT$3,BK1641,$AU$3),$AV$3)</f>
        <v>S</v>
      </c>
      <c r="C1641" s="242" t="str">
        <f>HYPERLINK(CONCATENATE($AT$4,BK1641,$AU$4,BL1641),$AV$4)</f>
        <v>A</v>
      </c>
      <c r="D1641" s="243" t="s">
        <v>5335</v>
      </c>
      <c r="E1641" s="244" t="s">
        <v>5185</v>
      </c>
      <c r="F1641" s="269" t="s">
        <v>4918</v>
      </c>
      <c r="G1641" s="276">
        <v>15</v>
      </c>
      <c r="H1641" s="283">
        <v>2700</v>
      </c>
      <c r="I1641" s="246">
        <v>13</v>
      </c>
      <c r="J1641" s="246">
        <v>2</v>
      </c>
      <c r="K1641" s="247" t="s">
        <v>8471</v>
      </c>
      <c r="L1641" s="248">
        <v>40750</v>
      </c>
      <c r="M1641" s="249">
        <f>15*(LEFT(TEXT($L1641,"000000"),2)+(MID(TEXT($L1641,"000000"),3,2)/60)+(RIGHT(TEXT($L1641,"000000"),2)/3600))</f>
        <v>61.958333333333336</v>
      </c>
      <c r="N1641" s="250">
        <v>621954</v>
      </c>
      <c r="O1641" s="251">
        <f>IF($N1641&gt;0,(LEFT(TEXT($N1641,"000000"),2)+(MID(TEXT($N1641,"000000"),3,2)/60)+(RIGHT(TEXT($N1641,"000000"),2)/3600)),-(MID(TEXT($N1641,"000000"),2,2)+(MID(TEXT($N1641,"000000"),4,2)/60)+(RIGHT(TEXT($N1641,"000000"),2)/3600)))</f>
        <v>62.331666666666671</v>
      </c>
      <c r="P1641" s="252" t="s">
        <v>226</v>
      </c>
      <c r="Q1641" s="253" t="s">
        <v>7129</v>
      </c>
      <c r="R1641" s="247" t="s">
        <v>3293</v>
      </c>
      <c r="S1641" s="272" t="s">
        <v>6730</v>
      </c>
      <c r="T1641" s="273">
        <v>6.9</v>
      </c>
      <c r="U1641" s="274"/>
      <c r="V1641" s="280"/>
      <c r="W1641" s="244"/>
      <c r="X1641" s="244"/>
      <c r="Y1641" s="362"/>
      <c r="Z1641" s="257">
        <f>altaz(J2000_Bas,$O1641,$M1641,DecLat,DecLong,1)</f>
        <v>9.7901569791317993</v>
      </c>
      <c r="AA1641" s="257">
        <f>altaz((J2000_Bas+(2*0.04167)),$O1641,$M1641,DecLat,DecLong,1)</f>
        <v>20.321828918985204</v>
      </c>
      <c r="AB1641" s="257">
        <f>altaz((J2000_Bas+(4*0.04167)),$O1641,$M1641,DecLat,DecLong,1)</f>
        <v>33.633123161448459</v>
      </c>
      <c r="AC1641" s="257">
        <f>altaz((J2000_Bas+(6*0.04167)),$O1641,$M1641,DecLat,DecLong,1)</f>
        <v>47.23308874853965</v>
      </c>
      <c r="AD1641" s="258">
        <f>1+ transit((J2000_Bas-1),$O1641,$M1641,DecLat,DecLong)/360 + (GMTOffset/24) + (IF(DST="Y", 1, 0)/24)</f>
        <v>1.1650064249005414</v>
      </c>
      <c r="AE1641" s="259">
        <f>DATE(2001,9,21)+(M1641/360)*365 - (360*((DecLong/360)- (GMTOffset/24) ))</f>
        <v>37222.818865740737</v>
      </c>
      <c r="AF1641" s="260">
        <f>IF(DecLat&gt;0,IF((90 - (DecLat-O1641))&gt;90, (90 - (O1641-DecLat)), (90 - (DecLat-O1641))),IF((90 + (DecLat-O1641))&gt;90, (90 + (O1641-DecLat)), (90 + (DecLat-O1641))))</f>
        <v>58.668333333333329</v>
      </c>
      <c r="AG1641" s="257">
        <f>angularseperation(MoonRA,MoonDec,$M1641,$O1641)</f>
        <v>144.42256362519862</v>
      </c>
      <c r="AH1641" s="261">
        <f ca="1">MIN(100,IF($O$5&gt;80,0+30*($AG1641/100),IF($O$5&gt;70,0+50*($AG1641/100),IF($O$5&gt;60,5+50*($AG1641/100),IF($O$5&gt;50,10+60*($AG1641/100),IF($O$5&gt;40,15+70*($AG1641/100),IF($O$5&gt;30,20+70*($AG1641/100),IF($O$5&gt;20,40+55*($AG1641/100),(80+(20-$O$5)+30*($AG1641/100))))))))))</f>
        <v>100</v>
      </c>
      <c r="AI1641" s="262">
        <v>1502</v>
      </c>
      <c r="AJ1641" s="262"/>
      <c r="AK1641" s="262">
        <v>50</v>
      </c>
      <c r="AL1641" s="263"/>
      <c r="AM1641" s="264"/>
      <c r="AN1641" s="263"/>
      <c r="AO1641" s="263"/>
      <c r="AP1641" s="265"/>
      <c r="AQ1641" s="266"/>
      <c r="AR1641" s="267"/>
      <c r="AS1641" s="263"/>
      <c r="AT1641" s="263"/>
      <c r="AU1641" s="263"/>
      <c r="AV1641" s="264"/>
      <c r="AW1641" s="263"/>
      <c r="AX1641" s="263"/>
      <c r="AY1641" s="263"/>
      <c r="AZ1641" s="263"/>
      <c r="BA1641" s="263"/>
      <c r="BB1641" s="263"/>
      <c r="BC1641" s="263"/>
      <c r="BD1641" s="264"/>
      <c r="BE1641" s="263">
        <v>23</v>
      </c>
      <c r="BF1641" s="263"/>
      <c r="BG1641" s="263"/>
      <c r="BH1641" s="263"/>
      <c r="BI1641" s="263"/>
      <c r="BJ1641" s="404">
        <f>altaz(J2000_Bas,$O1641,$M1641,DecLat,DecLong,2)</f>
        <v>19.122884804199323</v>
      </c>
      <c r="BK1641" s="378" t="s">
        <v>1647</v>
      </c>
      <c r="BL1641" s="379">
        <f>IF((2*G1641)/60&lt;0.2,0.2,(2*G1641)/60)</f>
        <v>0.5</v>
      </c>
      <c r="BM1641" s="380">
        <f>MOD((50000+AD1641-$B$3+(0/24)),1)</f>
        <v>0.3803733546010335</v>
      </c>
      <c r="BN1641" s="381"/>
      <c r="BO1641" s="382">
        <v>1634</v>
      </c>
    </row>
    <row r="1642" spans="1:67" s="24" customFormat="1" ht="15" customHeight="1" x14ac:dyDescent="0.25">
      <c r="A1642" s="288" t="s">
        <v>1648</v>
      </c>
      <c r="B1642" s="241" t="str">
        <f>HYPERLINK(CONCATENATE($AT$3,BK1642,$AU$3),$AV$3)</f>
        <v>S</v>
      </c>
      <c r="C1642" s="242" t="str">
        <f>HYPERLINK(CONCATENATE($AT$4,BK1642,$AU$4,BL1642),$AV$4)</f>
        <v>A</v>
      </c>
      <c r="D1642" s="243" t="s">
        <v>5638</v>
      </c>
      <c r="E1642" s="244" t="s">
        <v>3259</v>
      </c>
      <c r="F1642" s="269" t="s">
        <v>8667</v>
      </c>
      <c r="G1642" s="273">
        <v>4</v>
      </c>
      <c r="H1642" s="283">
        <v>35</v>
      </c>
      <c r="I1642" s="246">
        <v>40</v>
      </c>
      <c r="J1642" s="246">
        <v>2</v>
      </c>
      <c r="K1642" s="247" t="s">
        <v>6731</v>
      </c>
      <c r="L1642" s="248">
        <v>40427</v>
      </c>
      <c r="M1642" s="249">
        <f>15*(LEFT(TEXT($L1642,"000000"),2)+(MID(TEXT($L1642,"000000"),3,2)/60)+(RIGHT(TEXT($L1642,"000000"),2)/3600))</f>
        <v>61.112499999999997</v>
      </c>
      <c r="N1642" s="250">
        <v>-21119</v>
      </c>
      <c r="O1642" s="251">
        <f>IF($N1642&gt;0,(LEFT(TEXT($N1642,"000000"),2)+(MID(TEXT($N1642,"000000"),3,2)/60)+(RIGHT(TEXT($N1642,"000000"),2)/3600)),-(MID(TEXT($N1642,"000000"),2,2)+(MID(TEXT($N1642,"000000"),4,2)/60)+(RIGHT(TEXT($N1642,"000000"),2)/3600)))</f>
        <v>-2.1886111111111108</v>
      </c>
      <c r="P1642" s="252" t="s">
        <v>257</v>
      </c>
      <c r="Q1642" s="253"/>
      <c r="R1642" s="277" t="s">
        <v>3293</v>
      </c>
      <c r="S1642" s="272" t="s">
        <v>3293</v>
      </c>
      <c r="T1642" s="273">
        <v>12.3</v>
      </c>
      <c r="U1642" s="289">
        <v>22.29</v>
      </c>
      <c r="V1642" s="280">
        <v>86</v>
      </c>
      <c r="W1642" s="244"/>
      <c r="X1642" s="244"/>
      <c r="Y1642" s="362"/>
      <c r="Z1642" s="257">
        <f>altaz(J2000_Bas,$O1642,$M1642,DecLat,DecLong,1)</f>
        <v>-38.792066479171545</v>
      </c>
      <c r="AA1642" s="257">
        <f>altaz((J2000_Bas+(2*0.04167)),$O1642,$M1642,DecLat,DecLong,1)</f>
        <v>-13.988314847037737</v>
      </c>
      <c r="AB1642" s="257">
        <f>altaz((J2000_Bas+(4*0.04167)),$O1642,$M1642,DecLat,DecLong,1)</f>
        <v>11.705158214271176</v>
      </c>
      <c r="AC1642" s="257">
        <f>altaz((J2000_Bas+(6*0.04167)),$O1642,$M1642,DecLat,DecLong,1)</f>
        <v>35.980900484020815</v>
      </c>
      <c r="AD1642" s="258">
        <f>1+ transit((J2000_Bas-1),$O1642,$M1642,DecLat,DecLong)/360 + (GMTOffset/24) + (IF(DST="Y", 1, 0)/24)</f>
        <v>1.162656888098458</v>
      </c>
      <c r="AE1642" s="259">
        <f>DATE(2001,9,21)+(M1642/360)*365 - (360*((DecLong/360)- (GMTOffset/24) ))</f>
        <v>37221.961284722223</v>
      </c>
      <c r="AF1642" s="260">
        <f>IF(DecLat&gt;0,IF((90 - (DecLat-O1642))&gt;90, (90 - (O1642-DecLat)), (90 - (DecLat-O1642))),IF((90 + (DecLat-O1642))&gt;90, (90 + (O1642-DecLat)), (90 + (DecLat-O1642))))</f>
        <v>56.811388888888892</v>
      </c>
      <c r="AG1642" s="257">
        <f>angularseperation(MoonRA,MoonDec,$M1642,$O1642)</f>
        <v>149.69618994630085</v>
      </c>
      <c r="AH1642" s="261">
        <f ca="1">MIN(100,IF($O$5&gt;80,0+30*($AG1642/100),IF($O$5&gt;70,0+50*($AG1642/100),IF($O$5&gt;60,5+50*($AG1642/100),IF($O$5&gt;50,10+60*($AG1642/100),IF($O$5&gt;40,15+70*($AG1642/100),IF($O$5&gt;30,20+70*($AG1642/100),IF($O$5&gt;20,40+55*($AG1642/100),(80+(20-$O$5)+30*($AG1642/100))))))))))</f>
        <v>100</v>
      </c>
      <c r="AI1642" s="262">
        <v>1507</v>
      </c>
      <c r="AJ1642" s="263"/>
      <c r="AK1642" s="263"/>
      <c r="AL1642" s="263"/>
      <c r="AM1642" s="264"/>
      <c r="AN1642" s="263"/>
      <c r="AO1642" s="263"/>
      <c r="AP1642" s="265"/>
      <c r="AQ1642" s="265">
        <v>2947</v>
      </c>
      <c r="AR1642" s="285">
        <v>14409</v>
      </c>
      <c r="AS1642" s="263"/>
      <c r="AT1642" s="263"/>
      <c r="AU1642" s="263"/>
      <c r="AV1642" s="264"/>
      <c r="AW1642" s="263"/>
      <c r="AX1642" s="263"/>
      <c r="AY1642" s="263"/>
      <c r="AZ1642" s="263"/>
      <c r="BA1642" s="263"/>
      <c r="BB1642" s="263"/>
      <c r="BC1642" s="263"/>
      <c r="BD1642" s="264"/>
      <c r="BE1642" s="263"/>
      <c r="BF1642" s="263"/>
      <c r="BG1642" s="263"/>
      <c r="BH1642" s="263"/>
      <c r="BI1642" s="263"/>
      <c r="BJ1642" s="404">
        <f>altaz(J2000_Bas,$O1642,$M1642,DecLat,DecLong,2)</f>
        <v>64.798291403931373</v>
      </c>
      <c r="BK1642" s="378" t="s">
        <v>1648</v>
      </c>
      <c r="BL1642" s="379">
        <f>IF((2*G1642)/60&lt;0.2,0.2,(2*G1642)/60)</f>
        <v>0.2</v>
      </c>
      <c r="BM1642" s="380">
        <f>MOD((50000+AD1642-$B$3+(0/24)),1)</f>
        <v>0.37802381780056749</v>
      </c>
      <c r="BN1642" s="381"/>
      <c r="BO1642" s="382">
        <v>1635</v>
      </c>
    </row>
    <row r="1643" spans="1:67" s="24" customFormat="1" ht="15" customHeight="1" x14ac:dyDescent="0.25">
      <c r="A1643" s="288" t="s">
        <v>1649</v>
      </c>
      <c r="B1643" s="241" t="str">
        <f>HYPERLINK(CONCATENATE($AT$3,BK1643,$AU$3),$AV$3)</f>
        <v>S</v>
      </c>
      <c r="C1643" s="242" t="str">
        <f>HYPERLINK(CONCATENATE($AT$4,BK1643,$AU$4,BL1643),$AV$4)</f>
        <v>A</v>
      </c>
      <c r="D1643" s="243" t="s">
        <v>5638</v>
      </c>
      <c r="E1643" s="244" t="s">
        <v>5192</v>
      </c>
      <c r="F1643" s="269" t="s">
        <v>8947</v>
      </c>
      <c r="G1643" s="273">
        <v>4</v>
      </c>
      <c r="H1643" s="283">
        <v>40</v>
      </c>
      <c r="I1643" s="246">
        <v>50</v>
      </c>
      <c r="J1643" s="246">
        <v>2</v>
      </c>
      <c r="K1643" s="247" t="s">
        <v>6732</v>
      </c>
      <c r="L1643" s="248">
        <v>40354</v>
      </c>
      <c r="M1643" s="249">
        <f>15*(LEFT(TEXT($L1643,"000000"),2)+(MID(TEXT($L1643,"000000"),3,2)/60)+(RIGHT(TEXT($L1643,"000000"),2)/3600))</f>
        <v>60.974999999999994</v>
      </c>
      <c r="N1643" s="250">
        <v>-432058</v>
      </c>
      <c r="O1643" s="251">
        <f>IF($N1643&gt;0,(LEFT(TEXT($N1643,"000000"),2)+(MID(TEXT($N1643,"000000"),3,2)/60)+(RIGHT(TEXT($N1643,"000000"),2)/3600)),-(MID(TEXT($N1643,"000000"),2,2)+(MID(TEXT($N1643,"000000"),4,2)/60)+(RIGHT(TEXT($N1643,"000000"),2)/3600)))</f>
        <v>-43.349444444444444</v>
      </c>
      <c r="P1643" s="252" t="s">
        <v>1610</v>
      </c>
      <c r="Q1643" s="253"/>
      <c r="R1643" s="247" t="s">
        <v>3293</v>
      </c>
      <c r="S1643" s="272" t="s">
        <v>6733</v>
      </c>
      <c r="T1643" s="273">
        <v>10.3</v>
      </c>
      <c r="U1643" s="289">
        <v>23.29</v>
      </c>
      <c r="V1643" s="280">
        <v>50</v>
      </c>
      <c r="W1643" s="244"/>
      <c r="X1643" s="244"/>
      <c r="Y1643" s="362"/>
      <c r="Z1643" s="257">
        <f>altaz(J2000_Bas,$O1643,$M1643,DecLat,DecLong,1)</f>
        <v>-52.568815406210888</v>
      </c>
      <c r="AA1643" s="257">
        <f>altaz((J2000_Bas+(2*0.04167)),$O1643,$M1643,DecLat,DecLong,1)</f>
        <v>-30.910119305556684</v>
      </c>
      <c r="AB1643" s="257">
        <f>altaz((J2000_Bas+(4*0.04167)),$O1643,$M1643,DecLat,DecLong,1)</f>
        <v>-10.961761015022741</v>
      </c>
      <c r="AC1643" s="257">
        <f>altaz((J2000_Bas+(6*0.04167)),$O1643,$M1643,DecLat,DecLong,1)</f>
        <v>5.1269604980449186</v>
      </c>
      <c r="AD1643" s="258">
        <f>1+ transit((J2000_Bas-1),$O1643,$M1643,DecLat,DecLong)/360 + (GMTOffset/24) + (IF(DST="Y", 1, 0)/24)</f>
        <v>1.162274943692208</v>
      </c>
      <c r="AE1643" s="259">
        <f>DATE(2001,9,21)+(M1643/360)*365 - (360*((DecLong/360)- (GMTOffset/24) ))</f>
        <v>37221.821875000001</v>
      </c>
      <c r="AF1643" s="260">
        <f>IF(DecLat&gt;0,IF((90 - (DecLat-O1643))&gt;90, (90 - (O1643-DecLat)), (90 - (DecLat-O1643))),IF((90 + (DecLat-O1643))&gt;90, (90 + (O1643-DecLat)), (90 + (DecLat-O1643))))</f>
        <v>15.650555555555556</v>
      </c>
      <c r="AG1643" s="257">
        <f>angularseperation(MoonRA,MoonDec,$M1643,$O1643)</f>
        <v>109.15789464409528</v>
      </c>
      <c r="AH1643" s="261">
        <f ca="1">MIN(100,IF($O$5&gt;80,0+30*($AG1643/100),IF($O$5&gt;70,0+50*($AG1643/100),IF($O$5&gt;60,5+50*($AG1643/100),IF($O$5&gt;50,10+60*($AG1643/100),IF($O$5&gt;40,15+70*($AG1643/100),IF($O$5&gt;30,20+70*($AG1643/100),IF($O$5&gt;20,40+55*($AG1643/100),(80+(20-$O$5)+30*($AG1643/100))))))))))</f>
        <v>100</v>
      </c>
      <c r="AI1643" s="262">
        <v>1512</v>
      </c>
      <c r="AJ1643" s="262"/>
      <c r="AK1643" s="262"/>
      <c r="AL1643" s="263"/>
      <c r="AM1643" s="264"/>
      <c r="AN1643" s="263"/>
      <c r="AO1643" s="263"/>
      <c r="AP1643" s="265"/>
      <c r="AQ1643" s="266"/>
      <c r="AR1643" s="267">
        <v>14391</v>
      </c>
      <c r="AS1643" s="263"/>
      <c r="AT1643" s="263"/>
      <c r="AU1643" s="263"/>
      <c r="AV1643" s="264"/>
      <c r="AW1643" s="263"/>
      <c r="AX1643" s="263"/>
      <c r="AY1643" s="263"/>
      <c r="AZ1643" s="263"/>
      <c r="BA1643" s="263"/>
      <c r="BB1643" s="263"/>
      <c r="BC1643" s="263"/>
      <c r="BD1643" s="264"/>
      <c r="BE1643" s="263"/>
      <c r="BF1643" s="263"/>
      <c r="BG1643" s="263"/>
      <c r="BH1643" s="263"/>
      <c r="BI1643" s="263"/>
      <c r="BJ1643" s="404">
        <f>altaz(J2000_Bas,$O1643,$M1643,DecLat,DecLong,2)</f>
        <v>122.17891486424411</v>
      </c>
      <c r="BK1643" s="378" t="s">
        <v>1649</v>
      </c>
      <c r="BL1643" s="379">
        <f>IF((2*G1643)/60&lt;0.2,0.2,(2*G1643)/60)</f>
        <v>0.2</v>
      </c>
      <c r="BM1643" s="380">
        <f>MOD((50000+AD1643-$B$3+(0/24)),1)</f>
        <v>0.37764187339780619</v>
      </c>
      <c r="BN1643" s="381"/>
      <c r="BO1643" s="382">
        <v>1636</v>
      </c>
    </row>
    <row r="1644" spans="1:67" s="24" customFormat="1" ht="15" customHeight="1" x14ac:dyDescent="0.25">
      <c r="A1644" s="287" t="s">
        <v>1650</v>
      </c>
      <c r="B1644" s="241" t="str">
        <f>HYPERLINK(CONCATENATE($AT$3,BK1644,$AU$3),$AV$3)</f>
        <v>S</v>
      </c>
      <c r="C1644" s="242" t="str">
        <f>HYPERLINK(CONCATENATE($AT$4,BK1644,$AU$4,BL1644),$AV$4)</f>
        <v>A</v>
      </c>
      <c r="D1644" s="243" t="s">
        <v>5335</v>
      </c>
      <c r="E1644" s="244" t="s">
        <v>5185</v>
      </c>
      <c r="F1644" s="269" t="s">
        <v>6726</v>
      </c>
      <c r="G1644" s="276">
        <v>10</v>
      </c>
      <c r="H1644" s="283">
        <v>7000</v>
      </c>
      <c r="I1644" s="246">
        <v>20</v>
      </c>
      <c r="J1644" s="246">
        <v>2</v>
      </c>
      <c r="K1644" s="247" t="s">
        <v>6727</v>
      </c>
      <c r="L1644" s="248">
        <v>41000</v>
      </c>
      <c r="M1644" s="249">
        <f>15*(LEFT(TEXT($L1644,"000000"),2)+(MID(TEXT($L1644,"000000"),3,2)/60)+(RIGHT(TEXT($L1644,"000000"),2)/3600))</f>
        <v>62.500000000000007</v>
      </c>
      <c r="N1644" s="286">
        <v>493100</v>
      </c>
      <c r="O1644" s="251">
        <f>IF($N1644&gt;0,(LEFT(TEXT($N1644,"000000"),2)+(MID(TEXT($N1644,"000000"),3,2)/60)+(RIGHT(TEXT($N1644,"000000"),2)/3600)),-(MID(TEXT($N1644,"000000"),2,2)+(MID(TEXT($N1644,"000000"),4,2)/60)+(RIGHT(TEXT($N1644,"000000"),2)/3600)))</f>
        <v>49.516666666666666</v>
      </c>
      <c r="P1644" s="252" t="s">
        <v>43</v>
      </c>
      <c r="Q1644" s="253"/>
      <c r="R1644" s="277" t="s">
        <v>3293</v>
      </c>
      <c r="S1644" s="272" t="s">
        <v>3293</v>
      </c>
      <c r="T1644" s="273">
        <v>8.4</v>
      </c>
      <c r="U1644" s="274"/>
      <c r="V1644" s="280"/>
      <c r="W1644" s="244"/>
      <c r="X1644" s="244"/>
      <c r="Y1644" s="362"/>
      <c r="Z1644" s="257">
        <f>altaz(J2000_Bas,$O1644,$M1644,DecLat,DecLong,1)</f>
        <v>-0.68269939269093571</v>
      </c>
      <c r="AA1644" s="257">
        <f>altaz((J2000_Bas+(2*0.04167)),$O1644,$M1644,DecLat,DecLong,1)</f>
        <v>13.561790721659211</v>
      </c>
      <c r="AB1644" s="257">
        <f>altaz((J2000_Bas+(4*0.04167)),$O1644,$M1644,DecLat,DecLong,1)</f>
        <v>31.55170971779296</v>
      </c>
      <c r="AC1644" s="257">
        <f>altaz((J2000_Bas+(6*0.04167)),$O1644,$M1644,DecLat,DecLong,1)</f>
        <v>50.950635732976892</v>
      </c>
      <c r="AD1644" s="258">
        <f>1+ transit((J2000_Bas-1),$O1644,$M1644,DecLat,DecLong)/360 + (GMTOffset/24) + (IF(DST="Y", 1, 0)/24)</f>
        <v>1.1665110543797079</v>
      </c>
      <c r="AE1644" s="259">
        <f>DATE(2001,9,21)+(M1644/360)*365 - (360*((DecLong/360)- (GMTOffset/24) ))</f>
        <v>37223.368055555555</v>
      </c>
      <c r="AF1644" s="260">
        <f>IF(DecLat&gt;0,IF((90 - (DecLat-O1644))&gt;90, (90 - (O1644-DecLat)), (90 - (DecLat-O1644))),IF((90 + (DecLat-O1644))&gt;90, (90 + (O1644-DecLat)), (90 + (DecLat-O1644))))</f>
        <v>71.483333333333334</v>
      </c>
      <c r="AG1644" s="257">
        <f>angularseperation(MoonRA,MoonDec,$M1644,$O1644)</f>
        <v>156.97469128390955</v>
      </c>
      <c r="AH1644" s="261">
        <f ca="1">MIN(100,IF($O$5&gt;80,0+30*($AG1644/100),IF($O$5&gt;70,0+50*($AG1644/100),IF($O$5&gt;60,5+50*($AG1644/100),IF($O$5&gt;50,10+60*($AG1644/100),IF($O$5&gt;40,15+70*($AG1644/100),IF($O$5&gt;30,20+70*($AG1644/100),IF($O$5&gt;20,40+55*($AG1644/100),(80+(20-$O$5)+30*($AG1644/100))))))))))</f>
        <v>100</v>
      </c>
      <c r="AI1644" s="262">
        <v>1513</v>
      </c>
      <c r="AJ1644" s="263"/>
      <c r="AK1644" s="263">
        <v>51</v>
      </c>
      <c r="AL1644" s="263"/>
      <c r="AM1644" s="264"/>
      <c r="AN1644" s="263"/>
      <c r="AO1644" s="263"/>
      <c r="AP1644" s="265"/>
      <c r="AQ1644" s="265"/>
      <c r="AR1644" s="285"/>
      <c r="AS1644" s="263"/>
      <c r="AT1644" s="263"/>
      <c r="AU1644" s="263"/>
      <c r="AV1644" s="264"/>
      <c r="AW1644" s="263"/>
      <c r="AX1644" s="263"/>
      <c r="AY1644" s="263"/>
      <c r="AZ1644" s="263"/>
      <c r="BA1644" s="263"/>
      <c r="BB1644" s="263"/>
      <c r="BC1644" s="263"/>
      <c r="BD1644" s="264"/>
      <c r="BE1644" s="263"/>
      <c r="BF1644" s="263"/>
      <c r="BG1644" s="263"/>
      <c r="BH1644" s="263"/>
      <c r="BI1644" s="263"/>
      <c r="BJ1644" s="404">
        <f>altaz(J2000_Bas,$O1644,$M1644,DecLat,DecLong,2)</f>
        <v>26.548267837120068</v>
      </c>
      <c r="BK1644" s="378" t="s">
        <v>1650</v>
      </c>
      <c r="BL1644" s="379">
        <f>IF((2*G1644)/60&lt;0.2,0.2,(2*G1644)/60)</f>
        <v>0.33333333333333331</v>
      </c>
      <c r="BM1644" s="380">
        <f>MOD((50000+AD1644-$B$3+(0/24)),1)</f>
        <v>0.38187798408034723</v>
      </c>
      <c r="BN1644" s="381"/>
      <c r="BO1644" s="382">
        <v>1637</v>
      </c>
    </row>
    <row r="1645" spans="1:67" s="24" customFormat="1" ht="15" customHeight="1" x14ac:dyDescent="0.25">
      <c r="A1645" s="288" t="s">
        <v>1651</v>
      </c>
      <c r="B1645" s="241" t="str">
        <f>HYPERLINK(CONCATENATE($AT$3,BK1645,$AU$3),$AV$3)</f>
        <v>S</v>
      </c>
      <c r="C1645" s="242" t="str">
        <f>HYPERLINK(CONCATENATE($AT$4,BK1645,$AU$4,BL1645),$AV$4)</f>
        <v>A</v>
      </c>
      <c r="D1645" s="243" t="s">
        <v>5187</v>
      </c>
      <c r="E1645" s="244" t="s">
        <v>5181</v>
      </c>
      <c r="F1645" s="269" t="s">
        <v>5203</v>
      </c>
      <c r="G1645" s="273">
        <v>3</v>
      </c>
      <c r="H1645" s="283">
        <v>2000</v>
      </c>
      <c r="I1645" s="279">
        <v>1.9</v>
      </c>
      <c r="J1645" s="246">
        <v>4</v>
      </c>
      <c r="K1645" s="247" t="s">
        <v>6734</v>
      </c>
      <c r="L1645" s="248">
        <v>40917</v>
      </c>
      <c r="M1645" s="249">
        <f>15*(LEFT(TEXT($L1645,"000000"),2)+(MID(TEXT($L1645,"000000"),3,2)/60)+(RIGHT(TEXT($L1645,"000000"),2)/3600))</f>
        <v>62.32083333333334</v>
      </c>
      <c r="N1645" s="250">
        <v>304633</v>
      </c>
      <c r="O1645" s="251">
        <f>IF($N1645&gt;0,(LEFT(TEXT($N1645,"000000"),2)+(MID(TEXT($N1645,"000000"),3,2)/60)+(RIGHT(TEXT($N1645,"000000"),2)/3600)),-(MID(TEXT($N1645,"000000"),2,2)+(MID(TEXT($N1645,"000000"),4,2)/60)+(RIGHT(TEXT($N1645,"000000"),2)/3600)))</f>
        <v>30.775833333333331</v>
      </c>
      <c r="P1645" s="252" t="s">
        <v>56</v>
      </c>
      <c r="Q1645" s="253" t="s">
        <v>6963</v>
      </c>
      <c r="R1645" s="277" t="s">
        <v>3293</v>
      </c>
      <c r="S1645" s="272" t="s">
        <v>3293</v>
      </c>
      <c r="T1645" s="273">
        <v>10.9</v>
      </c>
      <c r="U1645" s="274"/>
      <c r="V1645" s="280"/>
      <c r="W1645" s="244"/>
      <c r="X1645" s="244"/>
      <c r="Y1645" s="362"/>
      <c r="Z1645" s="257">
        <f>altaz(J2000_Bas,$O1645,$M1645,DecLat,DecLong,1)</f>
        <v>-15.608410622692549</v>
      </c>
      <c r="AA1645" s="257">
        <f>altaz((J2000_Bas+(2*0.04167)),$O1645,$M1645,DecLat,DecLong,1)</f>
        <v>3.305187625086595</v>
      </c>
      <c r="AB1645" s="257">
        <f>altaz((J2000_Bas+(4*0.04167)),$O1645,$M1645,DecLat,DecLong,1)</f>
        <v>26.093656375651911</v>
      </c>
      <c r="AC1645" s="257">
        <f>altaz((J2000_Bas+(6*0.04167)),$O1645,$M1645,DecLat,DecLong,1)</f>
        <v>50.76188348565227</v>
      </c>
      <c r="AD1645" s="258">
        <f>1+ transit((J2000_Bas-1),$O1645,$M1645,DecLat,DecLong)/360 + (GMTOffset/24) + (IF(DST="Y", 1, 0)/24)</f>
        <v>1.1660133692442913</v>
      </c>
      <c r="AE1645" s="259">
        <f>DATE(2001,9,21)+(M1645/360)*365 - (360*((DecLong/360)- (GMTOffset/24) ))</f>
        <v>37223.186400462961</v>
      </c>
      <c r="AF1645" s="260">
        <f>IF(DecLat&gt;0,IF((90 - (DecLat-O1645))&gt;90, (90 - (O1645-DecLat)), (90 - (DecLat-O1645))),IF((90 + (DecLat-O1645))&gt;90, (90 + (O1645-DecLat)), (90 + (DecLat-O1645))))</f>
        <v>89.775833333333338</v>
      </c>
      <c r="AG1645" s="257">
        <f>angularseperation(MoonRA,MoonDec,$M1645,$O1645)</f>
        <v>172.90871239552931</v>
      </c>
      <c r="AH1645" s="261">
        <f ca="1">MIN(100,IF($O$5&gt;80,0+30*($AG1645/100),IF($O$5&gt;70,0+50*($AG1645/100),IF($O$5&gt;60,5+50*($AG1645/100),IF($O$5&gt;50,10+60*($AG1645/100),IF($O$5&gt;40,15+70*($AG1645/100),IF($O$5&gt;30,20+70*($AG1645/100),IF($O$5&gt;20,40+55*($AG1645/100),(80+(20-$O$5)+30*($AG1645/100))))))))))</f>
        <v>100</v>
      </c>
      <c r="AI1645" s="262">
        <v>1514</v>
      </c>
      <c r="AJ1645" s="262"/>
      <c r="AK1645" s="262"/>
      <c r="AL1645" s="263"/>
      <c r="AM1645" s="264"/>
      <c r="AN1645" s="263"/>
      <c r="AO1645" s="263"/>
      <c r="AP1645" s="265"/>
      <c r="AQ1645" s="266"/>
      <c r="AR1645" s="267"/>
      <c r="AS1645" s="263"/>
      <c r="AT1645" s="263">
        <v>6</v>
      </c>
      <c r="AU1645" s="263"/>
      <c r="AV1645" s="264"/>
      <c r="AW1645" s="263"/>
      <c r="AX1645" s="263"/>
      <c r="AY1645" s="263"/>
      <c r="AZ1645" s="263"/>
      <c r="BA1645" s="263"/>
      <c r="BB1645" s="263"/>
      <c r="BC1645" s="263"/>
      <c r="BD1645" s="264"/>
      <c r="BE1645" s="263"/>
      <c r="BF1645" s="263">
        <v>15</v>
      </c>
      <c r="BG1645" s="263"/>
      <c r="BH1645" s="263"/>
      <c r="BI1645" s="263"/>
      <c r="BJ1645" s="404">
        <f>altaz(J2000_Bas,$O1645,$M1645,DecLat,DecLong,2)</f>
        <v>38.03279092863059</v>
      </c>
      <c r="BK1645" s="378" t="s">
        <v>1651</v>
      </c>
      <c r="BL1645" s="379">
        <f>IF((2*G1645)/60&lt;0.2,0.2,(2*G1645)/60)</f>
        <v>0.2</v>
      </c>
      <c r="BM1645" s="380">
        <f>MOD((50000+AD1645-$B$3+(0/24)),1)</f>
        <v>0.38138029894616921</v>
      </c>
      <c r="BN1645" s="381" t="s">
        <v>8647</v>
      </c>
      <c r="BO1645" s="382">
        <v>1638</v>
      </c>
    </row>
    <row r="1646" spans="1:67" s="24" customFormat="1" ht="15" customHeight="1" x14ac:dyDescent="0.25">
      <c r="A1646" s="288" t="s">
        <v>3121</v>
      </c>
      <c r="B1646" s="241" t="str">
        <f>HYPERLINK(CONCATENATE($AT$3,BK1646,$AU$3),$AV$3)</f>
        <v>S</v>
      </c>
      <c r="C1646" s="242" t="str">
        <f>HYPERLINK(CONCATENATE($AT$4,BK1646,$AU$4,BL1646),$AV$4)</f>
        <v>A</v>
      </c>
      <c r="D1646" s="243" t="s">
        <v>5638</v>
      </c>
      <c r="E1646" s="244" t="s">
        <v>5337</v>
      </c>
      <c r="F1646" s="269" t="s">
        <v>3319</v>
      </c>
      <c r="G1646" s="270">
        <v>0.5</v>
      </c>
      <c r="H1646" s="283">
        <v>460</v>
      </c>
      <c r="I1646" s="246">
        <v>70</v>
      </c>
      <c r="J1646" s="246">
        <v>2</v>
      </c>
      <c r="K1646" s="247" t="s">
        <v>6735</v>
      </c>
      <c r="L1646" s="248">
        <v>40807</v>
      </c>
      <c r="M1646" s="249">
        <f>15*(LEFT(TEXT($L1646,"000000"),2)+(MID(TEXT($L1646,"000000"),3,2)/60)+(RIGHT(TEXT($L1646,"000000"),2)/3600))</f>
        <v>62.029166666666676</v>
      </c>
      <c r="N1646" s="250">
        <v>-84942</v>
      </c>
      <c r="O1646" s="251">
        <f>IF($N1646&gt;0,(LEFT(TEXT($N1646,"000000"),2)+(MID(TEXT($N1646,"000000"),3,2)/60)+(RIGHT(TEXT($N1646,"000000"),2)/3600)),-(MID(TEXT($N1646,"000000"),2,2)+(MID(TEXT($N1646,"000000"),4,2)/60)+(RIGHT(TEXT($N1646,"000000"),2)/3600)))</f>
        <v>-8.8283333333333331</v>
      </c>
      <c r="P1646" s="252" t="s">
        <v>257</v>
      </c>
      <c r="Q1646" s="253"/>
      <c r="R1646" s="277" t="s">
        <v>3293</v>
      </c>
      <c r="S1646" s="272" t="s">
        <v>3293</v>
      </c>
      <c r="T1646" s="273">
        <v>14.6</v>
      </c>
      <c r="U1646" s="289">
        <v>21.79</v>
      </c>
      <c r="V1646" s="280"/>
      <c r="W1646" s="244"/>
      <c r="X1646" s="244"/>
      <c r="Y1646" s="362"/>
      <c r="Z1646" s="257">
        <f>altaz(J2000_Bas,$O1646,$M1646,DecLat,DecLong,1)</f>
        <v>-43.519958249982871</v>
      </c>
      <c r="AA1646" s="257">
        <f>altaz((J2000_Bas+(2*0.04167)),$O1646,$M1646,DecLat,DecLong,1)</f>
        <v>-18.161047276964545</v>
      </c>
      <c r="AB1646" s="257">
        <f>altaz((J2000_Bas+(4*0.04167)),$O1646,$M1646,DecLat,DecLong,1)</f>
        <v>7.3488147910309918</v>
      </c>
      <c r="AC1646" s="257">
        <f>altaz((J2000_Bas+(6*0.04167)),$O1646,$M1646,DecLat,DecLong,1)</f>
        <v>30.780408441910478</v>
      </c>
      <c r="AD1646" s="258">
        <f>1+ transit((J2000_Bas-1),$O1646,$M1646,DecLat,DecLong)/360 + (GMTOffset/24) + (IF(DST="Y", 1, 0)/24)</f>
        <v>1.1652031841401247</v>
      </c>
      <c r="AE1646" s="259">
        <f>DATE(2001,9,21)+(M1646/360)*365 - (360*((DecLong/360)- (GMTOffset/24) ))</f>
        <v>37222.890682870369</v>
      </c>
      <c r="AF1646" s="260">
        <f>IF(DecLat&gt;0,IF((90 - (DecLat-O1646))&gt;90, (90 - (O1646-DecLat)), (90 - (DecLat-O1646))),IF((90 + (DecLat-O1646))&gt;90, (90 + (O1646-DecLat)), (90 + (DecLat-O1646))))</f>
        <v>50.171666666666667</v>
      </c>
      <c r="AG1646" s="257">
        <f>angularseperation(MoonRA,MoonDec,$M1646,$O1646)</f>
        <v>143.41297577421281</v>
      </c>
      <c r="AH1646" s="261">
        <f ca="1">MIN(100,IF($O$5&gt;80,0+30*($AG1646/100),IF($O$5&gt;70,0+50*($AG1646/100),IF($O$5&gt;60,5+50*($AG1646/100),IF($O$5&gt;50,10+60*($AG1646/100),IF($O$5&gt;40,15+70*($AG1646/100),IF($O$5&gt;30,20+70*($AG1646/100),IF($O$5&gt;20,40+55*($AG1646/100),(80+(20-$O$5)+30*($AG1646/100))))))))))</f>
        <v>100</v>
      </c>
      <c r="AI1646" s="263">
        <v>1516</v>
      </c>
      <c r="AJ1646" s="263"/>
      <c r="AK1646" s="263"/>
      <c r="AL1646" s="263"/>
      <c r="AM1646" s="264"/>
      <c r="AN1646" s="263"/>
      <c r="AO1646" s="263"/>
      <c r="AP1646" s="265"/>
      <c r="AQ1646" s="265"/>
      <c r="AR1646" s="285">
        <v>14515</v>
      </c>
      <c r="AS1646" s="263"/>
      <c r="AT1646" s="263"/>
      <c r="AU1646" s="263"/>
      <c r="AV1646" s="264"/>
      <c r="AW1646" s="263"/>
      <c r="AX1646" s="263"/>
      <c r="AY1646" s="263"/>
      <c r="AZ1646" s="263"/>
      <c r="BA1646" s="263"/>
      <c r="BB1646" s="263"/>
      <c r="BC1646" s="263"/>
      <c r="BD1646" s="264"/>
      <c r="BE1646" s="263"/>
      <c r="BF1646" s="263"/>
      <c r="BG1646" s="263"/>
      <c r="BH1646" s="263"/>
      <c r="BI1646" s="263"/>
      <c r="BJ1646" s="404">
        <f>altaz(J2000_Bas,$O1646,$M1646,DecLat,DecLong,2)</f>
        <v>71.114634960739849</v>
      </c>
      <c r="BK1646" s="378" t="s">
        <v>3121</v>
      </c>
      <c r="BL1646" s="379">
        <f>IF((2*G1646)/60&lt;0.2,0.2,(2*G1646)/60)</f>
        <v>0.2</v>
      </c>
      <c r="BM1646" s="380">
        <f>MOD((50000+AD1646-$B$3+(0/24)),1)</f>
        <v>0.38057011384080397</v>
      </c>
      <c r="BN1646" s="381"/>
      <c r="BO1646" s="382">
        <v>1639</v>
      </c>
    </row>
    <row r="1647" spans="1:67" s="24" customFormat="1" ht="15" customHeight="1" x14ac:dyDescent="0.25">
      <c r="A1647" s="288" t="s">
        <v>1652</v>
      </c>
      <c r="B1647" s="241" t="str">
        <f>HYPERLINK(CONCATENATE($AT$3,BK1647,$AU$3),$AV$3)</f>
        <v>S</v>
      </c>
      <c r="C1647" s="242" t="str">
        <f>HYPERLINK(CONCATENATE($AT$4,BK1647,$AU$4,BL1647),$AV$4)</f>
        <v>A</v>
      </c>
      <c r="D1647" s="243" t="s">
        <v>5335</v>
      </c>
      <c r="E1647" s="244" t="s">
        <v>5185</v>
      </c>
      <c r="F1647" s="269" t="s">
        <v>6737</v>
      </c>
      <c r="G1647" s="276">
        <v>25</v>
      </c>
      <c r="H1647" s="283">
        <v>2400</v>
      </c>
      <c r="I1647" s="246">
        <v>17</v>
      </c>
      <c r="J1647" s="246">
        <v>3</v>
      </c>
      <c r="K1647" s="247" t="s">
        <v>6736</v>
      </c>
      <c r="L1647" s="248">
        <v>41523</v>
      </c>
      <c r="M1647" s="249">
        <f>15*(LEFT(TEXT($L1647,"000000"),2)+(MID(TEXT($L1647,"000000"),3,2)/60)+(RIGHT(TEXT($L1647,"000000"),2)/3600))</f>
        <v>63.845833333333331</v>
      </c>
      <c r="N1647" s="250">
        <v>511254</v>
      </c>
      <c r="O1647" s="251">
        <f>IF($N1647&gt;0,(LEFT(TEXT($N1647,"000000"),2)+(MID(TEXT($N1647,"000000"),3,2)/60)+(RIGHT(TEXT($N1647,"000000"),2)/3600)),-(MID(TEXT($N1647,"000000"),2,2)+(MID(TEXT($N1647,"000000"),4,2)/60)+(RIGHT(TEXT($N1647,"000000"),2)/3600)))</f>
        <v>51.215000000000003</v>
      </c>
      <c r="P1647" s="252" t="s">
        <v>43</v>
      </c>
      <c r="Q1647" s="253"/>
      <c r="R1647" s="247" t="s">
        <v>3293</v>
      </c>
      <c r="S1647" s="272" t="s">
        <v>3293</v>
      </c>
      <c r="T1647" s="273">
        <v>6.4</v>
      </c>
      <c r="U1647" s="274"/>
      <c r="V1647" s="280"/>
      <c r="W1647" s="244"/>
      <c r="X1647" s="244"/>
      <c r="Y1647" s="362"/>
      <c r="Z1647" s="257">
        <f>altaz(J2000_Bas,$O1647,$M1647,DecLat,DecLong,1)</f>
        <v>0.1971882009716977</v>
      </c>
      <c r="AA1647" s="257">
        <f>altaz((J2000_Bas+(2*0.04167)),$O1647,$M1647,DecLat,DecLong,1)</f>
        <v>13.751143979821974</v>
      </c>
      <c r="AB1647" s="257">
        <f>altaz((J2000_Bas+(4*0.04167)),$O1647,$M1647,DecLat,DecLong,1)</f>
        <v>31.070502914164482</v>
      </c>
      <c r="AC1647" s="257">
        <f>altaz((J2000_Bas+(6*0.04167)),$O1647,$M1647,DecLat,DecLong,1)</f>
        <v>49.782434354283588</v>
      </c>
      <c r="AD1647" s="258">
        <f>1+ transit((J2000_Bas-1),$O1647,$M1647,DecLat,DecLong)/360 + (GMTOffset/24) + (IF(DST="Y", 1, 0)/24)</f>
        <v>1.1702494799317913</v>
      </c>
      <c r="AE1647" s="259">
        <f>DATE(2001,9,21)+(M1647/360)*365 - (360*((DecLong/360)- (GMTOffset/24) ))</f>
        <v>37224.732581018521</v>
      </c>
      <c r="AF1647" s="260">
        <f>IF(DecLat&gt;0,IF((90 - (DecLat-O1647))&gt;90, (90 - (O1647-DecLat)), (90 - (DecLat-O1647))),IF((90 + (DecLat-O1647))&gt;90, (90 + (O1647-DecLat)), (90 + (DecLat-O1647))))</f>
        <v>69.784999999999997</v>
      </c>
      <c r="AG1647" s="257">
        <f>angularseperation(MoonRA,MoonDec,$M1647,$O1647)</f>
        <v>155.52501563792578</v>
      </c>
      <c r="AH1647" s="261">
        <f ca="1">MIN(100,IF($O$5&gt;80,0+30*($AG1647/100),IF($O$5&gt;70,0+50*($AG1647/100),IF($O$5&gt;60,5+50*($AG1647/100),IF($O$5&gt;50,10+60*($AG1647/100),IF($O$5&gt;40,15+70*($AG1647/100),IF($O$5&gt;30,20+70*($AG1647/100),IF($O$5&gt;20,40+55*($AG1647/100),(80+(20-$O$5)+30*($AG1647/100))))))))))</f>
        <v>100</v>
      </c>
      <c r="AI1647" s="262">
        <v>1528</v>
      </c>
      <c r="AJ1647" s="262"/>
      <c r="AK1647" s="262">
        <v>52</v>
      </c>
      <c r="AL1647" s="263"/>
      <c r="AM1647" s="264"/>
      <c r="AN1647" s="263"/>
      <c r="AO1647" s="263"/>
      <c r="AP1647" s="265"/>
      <c r="AQ1647" s="266"/>
      <c r="AR1647" s="267"/>
      <c r="AS1647" s="263"/>
      <c r="AT1647" s="263"/>
      <c r="AU1647" s="263"/>
      <c r="AV1647" s="264"/>
      <c r="AW1647" s="263"/>
      <c r="AX1647" s="263"/>
      <c r="AY1647" s="263"/>
      <c r="AZ1647" s="263"/>
      <c r="BA1647" s="263"/>
      <c r="BB1647" s="263"/>
      <c r="BC1647" s="263"/>
      <c r="BD1647" s="264"/>
      <c r="BE1647" s="263">
        <v>25</v>
      </c>
      <c r="BF1647" s="263"/>
      <c r="BG1647" s="263"/>
      <c r="BH1647" s="263"/>
      <c r="BI1647" s="263"/>
      <c r="BJ1647" s="404">
        <f>altaz(J2000_Bas,$O1647,$M1647,DecLat,DecLong,2)</f>
        <v>24.860983957833575</v>
      </c>
      <c r="BK1647" s="378" t="s">
        <v>1652</v>
      </c>
      <c r="BL1647" s="379">
        <f>IF((2*G1647)/60&lt;0.2,0.2,(2*G1647)/60)</f>
        <v>0.83333333333333337</v>
      </c>
      <c r="BM1647" s="380">
        <f>MOD((50000+AD1647-$B$3+(0/24)),1)</f>
        <v>0.3856164096359862</v>
      </c>
      <c r="BN1647" s="381"/>
      <c r="BO1647" s="382">
        <v>1640</v>
      </c>
    </row>
    <row r="1648" spans="1:67" s="24" customFormat="1" ht="15" customHeight="1" x14ac:dyDescent="0.25">
      <c r="A1648" s="288" t="s">
        <v>1653</v>
      </c>
      <c r="B1648" s="241" t="str">
        <f>HYPERLINK(CONCATENATE($AT$3,BK1648,$AU$3),$AV$3)</f>
        <v>S</v>
      </c>
      <c r="C1648" s="242" t="str">
        <f>HYPERLINK(CONCATENATE($AT$4,BK1648,$AU$4,BL1648),$AV$4)</f>
        <v>A</v>
      </c>
      <c r="D1648" s="243" t="s">
        <v>5638</v>
      </c>
      <c r="E1648" s="244" t="s">
        <v>5192</v>
      </c>
      <c r="F1648" s="269" t="s">
        <v>8948</v>
      </c>
      <c r="G1648" s="273">
        <v>6</v>
      </c>
      <c r="H1648" s="283">
        <v>65</v>
      </c>
      <c r="I1648" s="246">
        <v>120</v>
      </c>
      <c r="J1648" s="246">
        <v>4</v>
      </c>
      <c r="K1648" s="247" t="s">
        <v>6738</v>
      </c>
      <c r="L1648" s="248">
        <v>42327</v>
      </c>
      <c r="M1648" s="249">
        <f>15*(LEFT(TEXT($L1648,"000000"),2)+(MID(TEXT($L1648,"000000"),3,2)/60)+(RIGHT(TEXT($L1648,"000000"),2)/3600))</f>
        <v>65.862500000000011</v>
      </c>
      <c r="N1648" s="250">
        <v>751742</v>
      </c>
      <c r="O1648" s="251">
        <f>IF($N1648&gt;0,(LEFT(TEXT($N1648,"000000"),2)+(MID(TEXT($N1648,"000000"),3,2)/60)+(RIGHT(TEXT($N1648,"000000"),2)/3600)),-(MID(TEXT($N1648,"000000"),2,2)+(MID(TEXT($N1648,"000000"),4,2)/60)+(RIGHT(TEXT($N1648,"000000"),2)/3600)))</f>
        <v>75.295000000000002</v>
      </c>
      <c r="P1648" s="252" t="s">
        <v>226</v>
      </c>
      <c r="Q1648" s="253"/>
      <c r="R1648" s="247" t="s">
        <v>3293</v>
      </c>
      <c r="S1648" s="272" t="s">
        <v>3293</v>
      </c>
      <c r="T1648" s="273">
        <v>11.5</v>
      </c>
      <c r="U1648" s="289">
        <v>22.79</v>
      </c>
      <c r="V1648" s="280">
        <v>45</v>
      </c>
      <c r="W1648" s="244"/>
      <c r="X1648" s="244"/>
      <c r="Y1648" s="362"/>
      <c r="Z1648" s="257">
        <f>altaz(J2000_Bas,$O1648,$M1648,DecLat,DecLong,1)</f>
        <v>19.379935791520346</v>
      </c>
      <c r="AA1648" s="257">
        <f>altaz((J2000_Bas+(2*0.04167)),$O1648,$M1648,DecLat,DecLong,1)</f>
        <v>25.122313407230667</v>
      </c>
      <c r="AB1648" s="257">
        <f>altaz((J2000_Bas+(4*0.04167)),$O1648,$M1648,DecLat,DecLong,1)</f>
        <v>32.486949282226284</v>
      </c>
      <c r="AC1648" s="257">
        <f>altaz((J2000_Bas+(6*0.04167)),$O1648,$M1648,DecLat,DecLong,1)</f>
        <v>39.730080579102726</v>
      </c>
      <c r="AD1648" s="258">
        <f>1+ transit((J2000_Bas-1),$O1648,$M1648,DecLat,DecLong)/360 + (GMTOffset/24) + (IF(DST="Y", 1, 0)/24)</f>
        <v>1.175851331223458</v>
      </c>
      <c r="AE1648" s="259">
        <f>DATE(2001,9,21)+(M1648/360)*365 - (360*((DecLong/360)- (GMTOffset/24) ))</f>
        <v>37226.777256944442</v>
      </c>
      <c r="AF1648" s="260">
        <f>IF(DecLat&gt;0,IF((90 - (DecLat-O1648))&gt;90, (90 - (O1648-DecLat)), (90 - (DecLat-O1648))),IF((90 + (DecLat-O1648))&gt;90, (90 + (O1648-DecLat)), (90 + (DecLat-O1648))))</f>
        <v>45.704999999999998</v>
      </c>
      <c r="AG1648" s="257">
        <f>angularseperation(MoonRA,MoonDec,$M1648,$O1648)</f>
        <v>131.75889959967998</v>
      </c>
      <c r="AH1648" s="261">
        <f ca="1">MIN(100,IF($O$5&gt;80,0+30*($AG1648/100),IF($O$5&gt;70,0+50*($AG1648/100),IF($O$5&gt;60,5+50*($AG1648/100),IF($O$5&gt;50,10+60*($AG1648/100),IF($O$5&gt;40,15+70*($AG1648/100),IF($O$5&gt;30,20+70*($AG1648/100),IF($O$5&gt;20,40+55*($AG1648/100),(80+(20-$O$5)+30*($AG1648/100))))))))))</f>
        <v>100</v>
      </c>
      <c r="AI1648" s="262">
        <v>1530</v>
      </c>
      <c r="AJ1648" s="262"/>
      <c r="AK1648" s="262"/>
      <c r="AL1648" s="263"/>
      <c r="AM1648" s="264"/>
      <c r="AN1648" s="263"/>
      <c r="AO1648" s="263"/>
      <c r="AP1648" s="265"/>
      <c r="AQ1648" s="266">
        <v>3013</v>
      </c>
      <c r="AR1648" s="267">
        <v>15018</v>
      </c>
      <c r="AS1648" s="263"/>
      <c r="AT1648" s="263"/>
      <c r="AU1648" s="263"/>
      <c r="AV1648" s="264"/>
      <c r="AW1648" s="263"/>
      <c r="AX1648" s="263"/>
      <c r="AY1648" s="263"/>
      <c r="AZ1648" s="263"/>
      <c r="BA1648" s="263"/>
      <c r="BB1648" s="263"/>
      <c r="BC1648" s="263"/>
      <c r="BD1648" s="264"/>
      <c r="BE1648" s="263"/>
      <c r="BF1648" s="263"/>
      <c r="BG1648" s="263">
        <v>22</v>
      </c>
      <c r="BH1648" s="263"/>
      <c r="BI1648" s="263"/>
      <c r="BJ1648" s="404">
        <f>altaz(J2000_Bas,$O1648,$M1648,DecLat,DecLong,2)</f>
        <v>9.989683312642855</v>
      </c>
      <c r="BK1648" s="378" t="s">
        <v>1653</v>
      </c>
      <c r="BL1648" s="379">
        <f>IF((2*G1648)/60&lt;0.2,0.2,(2*G1648)/60)</f>
        <v>0.2</v>
      </c>
      <c r="BM1648" s="380">
        <f>MOD((50000+AD1648-$B$3+(0/24)),1)</f>
        <v>0.39121826092741685</v>
      </c>
      <c r="BN1648" s="381"/>
      <c r="BO1648" s="382">
        <v>1641</v>
      </c>
    </row>
    <row r="1649" spans="1:67" s="24" customFormat="1" ht="15" customHeight="1" x14ac:dyDescent="0.25">
      <c r="A1649" s="288" t="s">
        <v>1654</v>
      </c>
      <c r="B1649" s="241" t="str">
        <f>HYPERLINK(CONCATENATE($AT$3,BK1649,$AU$3),$AV$3)</f>
        <v>S</v>
      </c>
      <c r="C1649" s="242" t="str">
        <f>HYPERLINK(CONCATENATE($AT$4,BK1649,$AU$4,BL1649),$AV$4)</f>
        <v>A</v>
      </c>
      <c r="D1649" s="243" t="s">
        <v>5638</v>
      </c>
      <c r="E1649" s="244" t="s">
        <v>5192</v>
      </c>
      <c r="F1649" s="269" t="s">
        <v>9141</v>
      </c>
      <c r="G1649" s="276">
        <v>13</v>
      </c>
      <c r="H1649" s="283">
        <v>65</v>
      </c>
      <c r="I1649" s="246">
        <v>250</v>
      </c>
      <c r="J1649" s="246">
        <v>4</v>
      </c>
      <c r="K1649" s="247" t="s">
        <v>6740</v>
      </c>
      <c r="L1649" s="248">
        <v>41159</v>
      </c>
      <c r="M1649" s="249">
        <f>15*(LEFT(TEXT($L1649,"000000"),2)+(MID(TEXT($L1649,"000000"),3,2)/60)+(RIGHT(TEXT($L1649,"000000"),2)/3600))</f>
        <v>62.995833333333337</v>
      </c>
      <c r="N1649" s="250">
        <v>-325102</v>
      </c>
      <c r="O1649" s="251">
        <f>IF($N1649&gt;0,(LEFT(TEXT($N1649,"000000"),2)+(MID(TEXT($N1649,"000000"),3,2)/60)+(RIGHT(TEXT($N1649,"000000"),2)/3600)),-(MID(TEXT($N1649,"000000"),2,2)+(MID(TEXT($N1649,"000000"),4,2)/60)+(RIGHT(TEXT($N1649,"000000"),2)/3600)))</f>
        <v>-32.850555555555559</v>
      </c>
      <c r="P1649" s="252" t="s">
        <v>257</v>
      </c>
      <c r="Q1649" s="253"/>
      <c r="R1649" s="247" t="s">
        <v>3293</v>
      </c>
      <c r="S1649" s="272" t="s">
        <v>6739</v>
      </c>
      <c r="T1649" s="273">
        <v>9.9</v>
      </c>
      <c r="U1649" s="289">
        <v>22.69</v>
      </c>
      <c r="V1649" s="280">
        <v>83</v>
      </c>
      <c r="W1649" s="244"/>
      <c r="X1649" s="244"/>
      <c r="Y1649" s="362"/>
      <c r="Z1649" s="257">
        <f>altaz(J2000_Bas,$O1649,$M1649,DecLat,DecLong,1)</f>
        <v>-53.703944611695938</v>
      </c>
      <c r="AA1649" s="257">
        <f>altaz((J2000_Bas+(2*0.04167)),$O1649,$M1649,DecLat,DecLong,1)</f>
        <v>-29.263050208405037</v>
      </c>
      <c r="AB1649" s="257">
        <f>altaz((J2000_Bas+(4*0.04167)),$O1649,$M1649,DecLat,DecLong,1)</f>
        <v>-6.6176280218003338</v>
      </c>
      <c r="AC1649" s="257">
        <f>altaz((J2000_Bas+(6*0.04167)),$O1649,$M1649,DecLat,DecLong,1)</f>
        <v>12.363368897473006</v>
      </c>
      <c r="AD1649" s="258">
        <f>1+ transit((J2000_Bas-1),$O1649,$M1649,DecLat,DecLong)/360 + (GMTOffset/24) + (IF(DST="Y", 1, 0)/24)</f>
        <v>1.1678883690567914</v>
      </c>
      <c r="AE1649" s="259">
        <f>DATE(2001,9,21)+(M1649/360)*365 - (360*((DecLong/360)- (GMTOffset/24) ))</f>
        <v>37223.870775462965</v>
      </c>
      <c r="AF1649" s="260">
        <f>IF(DecLat&gt;0,IF((90 - (DecLat-O1649))&gt;90, (90 - (O1649-DecLat)), (90 - (DecLat-O1649))),IF((90 + (DecLat-O1649))&gt;90, (90 + (O1649-DecLat)), (90 + (DecLat-O1649))))</f>
        <v>26.149444444444441</v>
      </c>
      <c r="AG1649" s="257">
        <f>angularseperation(MoonRA,MoonDec,$M1649,$O1649)</f>
        <v>119.771838707486</v>
      </c>
      <c r="AH1649" s="261">
        <f ca="1">MIN(100,IF($O$5&gt;80,0+30*($AG1649/100),IF($O$5&gt;70,0+50*($AG1649/100),IF($O$5&gt;60,5+50*($AG1649/100),IF($O$5&gt;50,10+60*($AG1649/100),IF($O$5&gt;40,15+70*($AG1649/100),IF($O$5&gt;30,20+70*($AG1649/100),IF($O$5&gt;20,40+55*($AG1649/100),(80+(20-$O$5)+30*($AG1649/100))))))))))</f>
        <v>100</v>
      </c>
      <c r="AI1649" s="262">
        <v>1532</v>
      </c>
      <c r="AJ1649" s="262"/>
      <c r="AK1649" s="262"/>
      <c r="AL1649" s="263"/>
      <c r="AM1649" s="264"/>
      <c r="AN1649" s="263"/>
      <c r="AO1649" s="263"/>
      <c r="AP1649" s="265"/>
      <c r="AQ1649" s="266"/>
      <c r="AR1649" s="267">
        <v>14638</v>
      </c>
      <c r="AS1649" s="263"/>
      <c r="AT1649" s="263"/>
      <c r="AU1649" s="263"/>
      <c r="AV1649" s="264"/>
      <c r="AW1649" s="263"/>
      <c r="AX1649" s="263"/>
      <c r="AY1649" s="263"/>
      <c r="AZ1649" s="263"/>
      <c r="BA1649" s="263"/>
      <c r="BB1649" s="263"/>
      <c r="BC1649" s="263"/>
      <c r="BD1649" s="264"/>
      <c r="BE1649" s="263"/>
      <c r="BF1649" s="263"/>
      <c r="BG1649" s="263">
        <v>19</v>
      </c>
      <c r="BH1649" s="263"/>
      <c r="BI1649" s="263"/>
      <c r="BJ1649" s="404">
        <f>altaz(J2000_Bas,$O1649,$M1649,DecLat,DecLong,2)</f>
        <v>104.53504304430983</v>
      </c>
      <c r="BK1649" s="378" t="s">
        <v>1654</v>
      </c>
      <c r="BL1649" s="379">
        <f>IF((2*G1649)/60&lt;0.2,0.2,(2*G1649)/60)</f>
        <v>0.43333333333333335</v>
      </c>
      <c r="BM1649" s="380">
        <f>MOD((50000+AD1649-$B$3+(0/24)),1)</f>
        <v>0.38325529875874054</v>
      </c>
      <c r="BN1649" s="381"/>
      <c r="BO1649" s="382">
        <v>1642</v>
      </c>
    </row>
    <row r="1650" spans="1:67" s="24" customFormat="1" ht="15" customHeight="1" x14ac:dyDescent="0.25">
      <c r="A1650" s="288" t="s">
        <v>1655</v>
      </c>
      <c r="B1650" s="241" t="str">
        <f>HYPERLINK(CONCATENATE($AT$3,BK1650,$AU$3),$AV$3)</f>
        <v>S</v>
      </c>
      <c r="C1650" s="242" t="str">
        <f>HYPERLINK(CONCATENATE($AT$4,BK1650,$AU$4,BL1650),$AV$4)</f>
        <v>A</v>
      </c>
      <c r="D1650" s="243" t="s">
        <v>5187</v>
      </c>
      <c r="E1650" s="244" t="s">
        <v>5181</v>
      </c>
      <c r="F1650" s="293" t="s">
        <v>6212</v>
      </c>
      <c r="G1650" s="270">
        <v>0.8</v>
      </c>
      <c r="H1650" s="283">
        <v>4000</v>
      </c>
      <c r="I1650" s="279">
        <v>1</v>
      </c>
      <c r="J1650" s="246">
        <v>3</v>
      </c>
      <c r="K1650" s="247" t="s">
        <v>6741</v>
      </c>
      <c r="L1650" s="248">
        <v>41416</v>
      </c>
      <c r="M1650" s="249">
        <f>15*(LEFT(TEXT($L1650,"000000"),2)+(MID(TEXT($L1650,"000000"),3,2)/60)+(RIGHT(TEXT($L1650,"000000"),2)/3600))</f>
        <v>63.566666666666663</v>
      </c>
      <c r="N1650" s="250">
        <v>-124422</v>
      </c>
      <c r="O1650" s="251">
        <f>IF($N1650&gt;0,(LEFT(TEXT($N1650,"000000"),2)+(MID(TEXT($N1650,"000000"),3,2)/60)+(RIGHT(TEXT($N1650,"000000"),2)/3600)),-(MID(TEXT($N1650,"000000"),2,2)+(MID(TEXT($N1650,"000000"),4,2)/60)+(RIGHT(TEXT($N1650,"000000"),2)/3600)))</f>
        <v>-12.739444444444443</v>
      </c>
      <c r="P1650" s="252" t="s">
        <v>257</v>
      </c>
      <c r="Q1650" s="253" t="s">
        <v>6956</v>
      </c>
      <c r="R1650" s="277" t="s">
        <v>3293</v>
      </c>
      <c r="S1650" s="272" t="s">
        <v>3293</v>
      </c>
      <c r="T1650" s="273">
        <v>9.6</v>
      </c>
      <c r="U1650" s="274"/>
      <c r="V1650" s="280"/>
      <c r="W1650" s="244"/>
      <c r="X1650" s="244"/>
      <c r="Y1650" s="362"/>
      <c r="Z1650" s="257">
        <f>altaz(J2000_Bas,$O1650,$M1650,DecLat,DecLong,1)</f>
        <v>-46.938292539590613</v>
      </c>
      <c r="AA1650" s="257">
        <f>altaz((J2000_Bas+(2*0.04167)),$O1650,$M1650,DecLat,DecLong,1)</f>
        <v>-21.389101508028265</v>
      </c>
      <c r="AB1650" s="257">
        <f>altaz((J2000_Bas+(4*0.04167)),$O1650,$M1650,DecLat,DecLong,1)</f>
        <v>3.9496079425903603</v>
      </c>
      <c r="AC1650" s="257">
        <f>altaz((J2000_Bas+(6*0.04167)),$O1650,$M1650,DecLat,DecLong,1)</f>
        <v>26.955596232951233</v>
      </c>
      <c r="AD1650" s="258">
        <f>1+ transit((J2000_Bas-1),$O1650,$M1650,DecLat,DecLong)/360 + (GMTOffset/24) + (IF(DST="Y", 1, 0)/24)</f>
        <v>1.1694740170463747</v>
      </c>
      <c r="AE1650" s="259">
        <f>DATE(2001,9,21)+(M1650/360)*365 - (360*((DecLong/360)- (GMTOffset/24) ))</f>
        <v>37224.449537037035</v>
      </c>
      <c r="AF1650" s="260">
        <f>IF(DecLat&gt;0,IF((90 - (DecLat-O1650))&gt;90, (90 - (O1650-DecLat)), (90 - (DecLat-O1650))),IF((90 + (DecLat-O1650))&gt;90, (90 + (O1650-DecLat)), (90 + (DecLat-O1650))))</f>
        <v>46.260555555555555</v>
      </c>
      <c r="AG1650" s="257">
        <f>angularseperation(MoonRA,MoonDec,$M1650,$O1650)</f>
        <v>139.79714189986049</v>
      </c>
      <c r="AH1650" s="261">
        <f ca="1">MIN(100,IF($O$5&gt;80,0+30*($AG1650/100),IF($O$5&gt;70,0+50*($AG1650/100),IF($O$5&gt;60,5+50*($AG1650/100),IF($O$5&gt;50,10+60*($AG1650/100),IF($O$5&gt;40,15+70*($AG1650/100),IF($O$5&gt;30,20+70*($AG1650/100),IF($O$5&gt;20,40+55*($AG1650/100),(80+(20-$O$5)+30*($AG1650/100))))))))))</f>
        <v>100</v>
      </c>
      <c r="AI1650" s="262">
        <v>1535</v>
      </c>
      <c r="AJ1650" s="262"/>
      <c r="AK1650" s="262">
        <v>53</v>
      </c>
      <c r="AL1650" s="263"/>
      <c r="AM1650" s="264"/>
      <c r="AN1650" s="263"/>
      <c r="AO1650" s="263"/>
      <c r="AP1650" s="265"/>
      <c r="AQ1650" s="266"/>
      <c r="AR1650" s="267"/>
      <c r="AS1650" s="263"/>
      <c r="AT1650" s="263">
        <v>7</v>
      </c>
      <c r="AU1650" s="263"/>
      <c r="AV1650" s="264"/>
      <c r="AW1650" s="263"/>
      <c r="AX1650" s="263"/>
      <c r="AY1650" s="263"/>
      <c r="AZ1650" s="263"/>
      <c r="BA1650" s="263"/>
      <c r="BB1650" s="263"/>
      <c r="BC1650" s="263"/>
      <c r="BD1650" s="264"/>
      <c r="BE1650" s="263">
        <v>24</v>
      </c>
      <c r="BF1650" s="263"/>
      <c r="BG1650" s="263"/>
      <c r="BH1650" s="263"/>
      <c r="BI1650" s="263"/>
      <c r="BJ1650" s="404">
        <f>altaz(J2000_Bas,$O1650,$M1650,DecLat,DecLong,2)</f>
        <v>74.563546477293059</v>
      </c>
      <c r="BK1650" s="378" t="s">
        <v>1655</v>
      </c>
      <c r="BL1650" s="379">
        <f>IF((2*G1650)/60&lt;0.2,0.2,(2*G1650)/60)</f>
        <v>0.2</v>
      </c>
      <c r="BM1650" s="380">
        <f>MOD((50000+AD1650-$B$3+(0/24)),1)</f>
        <v>0.38484094675368397</v>
      </c>
      <c r="BN1650" s="381"/>
      <c r="BO1650" s="382">
        <v>1643</v>
      </c>
    </row>
    <row r="1651" spans="1:67" s="24" customFormat="1" ht="15" customHeight="1" x14ac:dyDescent="0.25">
      <c r="A1651" s="288" t="s">
        <v>1656</v>
      </c>
      <c r="B1651" s="241" t="str">
        <f>HYPERLINK(CONCATENATE($AT$3,BK1651,$AU$3),$AV$3)</f>
        <v>S</v>
      </c>
      <c r="C1651" s="242" t="str">
        <f>HYPERLINK(CONCATENATE($AT$4,BK1651,$AU$4,BL1651),$AV$4)</f>
        <v>A</v>
      </c>
      <c r="D1651" s="243" t="s">
        <v>5638</v>
      </c>
      <c r="E1651" s="244" t="s">
        <v>5337</v>
      </c>
      <c r="F1651" s="269" t="s">
        <v>3310</v>
      </c>
      <c r="G1651" s="273">
        <v>1.1000000000000001</v>
      </c>
      <c r="H1651" s="283">
        <v>250</v>
      </c>
      <c r="I1651" s="246">
        <v>80</v>
      </c>
      <c r="J1651" s="246">
        <v>3</v>
      </c>
      <c r="K1651" s="247" t="s">
        <v>8513</v>
      </c>
      <c r="L1651" s="248">
        <v>41510</v>
      </c>
      <c r="M1651" s="249">
        <f>15*(LEFT(TEXT($L1651,"000000"),2)+(MID(TEXT($L1651,"000000"),3,2)/60)+(RIGHT(TEXT($L1651,"000000"),2)/3600))</f>
        <v>63.791666666666671</v>
      </c>
      <c r="N1651" s="250">
        <v>-282846</v>
      </c>
      <c r="O1651" s="251">
        <f>IF($N1651&gt;0,(LEFT(TEXT($N1651,"000000"),2)+(MID(TEXT($N1651,"000000"),3,2)/60)+(RIGHT(TEXT($N1651,"000000"),2)/3600)),-(MID(TEXT($N1651,"000000"),2,2)+(MID(TEXT($N1651,"000000"),4,2)/60)+(RIGHT(TEXT($N1651,"000000"),2)/3600)))</f>
        <v>-28.479444444444443</v>
      </c>
      <c r="P1651" s="252" t="s">
        <v>257</v>
      </c>
      <c r="Q1651" s="253"/>
      <c r="R1651" s="247" t="s">
        <v>3293</v>
      </c>
      <c r="S1651" s="272" t="s">
        <v>3293</v>
      </c>
      <c r="T1651" s="273">
        <v>13.9</v>
      </c>
      <c r="U1651" s="289">
        <v>22.39</v>
      </c>
      <c r="V1651" s="280"/>
      <c r="W1651" s="244"/>
      <c r="X1651" s="244"/>
      <c r="Y1651" s="362"/>
      <c r="Z1651" s="257">
        <f>altaz(J2000_Bas,$O1651,$M1651,DecLat,DecLong,1)</f>
        <v>-53.479838776454962</v>
      </c>
      <c r="AA1651" s="257">
        <f>altaz((J2000_Bas+(2*0.04167)),$O1651,$M1651,DecLat,DecLong,1)</f>
        <v>-28.341089139765376</v>
      </c>
      <c r="AB1651" s="257">
        <f>altaz((J2000_Bas+(4*0.04167)),$O1651,$M1651,DecLat,DecLong,1)</f>
        <v>-4.8218932798497631</v>
      </c>
      <c r="AC1651" s="257">
        <f>altaz((J2000_Bas+(6*0.04167)),$O1651,$M1651,DecLat,DecLong,1)</f>
        <v>15.252942176250627</v>
      </c>
      <c r="AD1651" s="258">
        <f>1+ transit((J2000_Bas-1),$O1651,$M1651,DecLat,DecLong)/360 + (GMTOffset/24) + (IF(DST="Y", 1, 0)/24)</f>
        <v>1.1700990169838745</v>
      </c>
      <c r="AE1651" s="259">
        <f>DATE(2001,9,21)+(M1651/360)*365 - (360*((DecLong/360)- (GMTOffset/24) ))</f>
        <v>37224.677662037036</v>
      </c>
      <c r="AF1651" s="260">
        <f>IF(DecLat&gt;0,IF((90 - (DecLat-O1651))&gt;90, (90 - (O1651-DecLat)), (90 - (DecLat-O1651))),IF((90 + (DecLat-O1651))&gt;90, (90 + (O1651-DecLat)), (90 + (DecLat-O1651))))</f>
        <v>30.520555555555561</v>
      </c>
      <c r="AG1651" s="257">
        <f>angularseperation(MoonRA,MoonDec,$M1651,$O1651)</f>
        <v>124.19103095048914</v>
      </c>
      <c r="AH1651" s="261">
        <f ca="1">MIN(100,IF($O$5&gt;80,0+30*($AG1651/100),IF($O$5&gt;70,0+50*($AG1651/100),IF($O$5&gt;60,5+50*($AG1651/100),IF($O$5&gt;50,10+60*($AG1651/100),IF($O$5&gt;40,15+70*($AG1651/100),IF($O$5&gt;30,20+70*($AG1651/100),IF($O$5&gt;20,40+55*($AG1651/100),(80+(20-$O$5)+30*($AG1651/100))))))))))</f>
        <v>100</v>
      </c>
      <c r="AI1651" s="262">
        <v>1540</v>
      </c>
      <c r="AJ1651" s="262"/>
      <c r="AK1651" s="262"/>
      <c r="AL1651" s="263"/>
      <c r="AM1651" s="264"/>
      <c r="AN1651" s="263"/>
      <c r="AO1651" s="263"/>
      <c r="AP1651" s="265"/>
      <c r="AQ1651" s="266"/>
      <c r="AR1651" s="267">
        <v>14734</v>
      </c>
      <c r="AS1651" s="263"/>
      <c r="AT1651" s="263"/>
      <c r="AU1651" s="263"/>
      <c r="AV1651" s="264"/>
      <c r="AW1651" s="263"/>
      <c r="AX1651" s="263"/>
      <c r="AY1651" s="263"/>
      <c r="AZ1651" s="263"/>
      <c r="BA1651" s="263"/>
      <c r="BB1651" s="263"/>
      <c r="BC1651" s="263"/>
      <c r="BD1651" s="264"/>
      <c r="BE1651" s="263"/>
      <c r="BF1651" s="263"/>
      <c r="BG1651" s="263"/>
      <c r="BH1651" s="263"/>
      <c r="BI1651" s="263"/>
      <c r="BJ1651" s="404">
        <f>altaz(J2000_Bas,$O1651,$M1651,DecLat,DecLong,2)</f>
        <v>97.086942596504144</v>
      </c>
      <c r="BK1651" s="378" t="s">
        <v>1656</v>
      </c>
      <c r="BL1651" s="379">
        <f>IF((2*G1651)/60&lt;0.2,0.2,(2*G1651)/60)</f>
        <v>0.2</v>
      </c>
      <c r="BM1651" s="380">
        <f>MOD((50000+AD1651-$B$3+(0/24)),1)</f>
        <v>0.38546594668878242</v>
      </c>
      <c r="BN1651" s="382" t="s">
        <v>9214</v>
      </c>
      <c r="BO1651" s="382">
        <v>1644</v>
      </c>
    </row>
    <row r="1652" spans="1:67" s="24" customFormat="1" ht="15" customHeight="1" x14ac:dyDescent="0.25">
      <c r="A1652" s="288" t="s">
        <v>1657</v>
      </c>
      <c r="B1652" s="241" t="str">
        <f>HYPERLINK(CONCATENATE($AT$3,BK1652,$AU$3),$AV$3)</f>
        <v>S</v>
      </c>
      <c r="C1652" s="242" t="str">
        <f>HYPERLINK(CONCATENATE($AT$4,BK1652,$AU$4,BL1652),$AV$4)</f>
        <v>A</v>
      </c>
      <c r="D1652" s="243" t="s">
        <v>5335</v>
      </c>
      <c r="E1652" s="244" t="s">
        <v>5185</v>
      </c>
      <c r="F1652" s="269" t="s">
        <v>6665</v>
      </c>
      <c r="G1652" s="276">
        <v>12</v>
      </c>
      <c r="H1652" s="283">
        <v>2500</v>
      </c>
      <c r="I1652" s="279">
        <v>9</v>
      </c>
      <c r="J1652" s="246">
        <v>2</v>
      </c>
      <c r="K1652" s="247" t="s">
        <v>6742</v>
      </c>
      <c r="L1652" s="248">
        <v>42057</v>
      </c>
      <c r="M1652" s="249">
        <f>15*(LEFT(TEXT($L1652,"000000"),2)+(MID(TEXT($L1652,"000000"),3,2)/60)+(RIGHT(TEXT($L1652,"000000"),2)/3600))</f>
        <v>65.237499999999997</v>
      </c>
      <c r="N1652" s="250">
        <v>501512</v>
      </c>
      <c r="O1652" s="251">
        <f>IF($N1652&gt;0,(LEFT(TEXT($N1652,"000000"),2)+(MID(TEXT($N1652,"000000"),3,2)/60)+(RIGHT(TEXT($N1652,"000000"),2)/3600)),-(MID(TEXT($N1652,"000000"),2,2)+(MID(TEXT($N1652,"000000"),4,2)/60)+(RIGHT(TEXT($N1652,"000000"),2)/3600)))</f>
        <v>50.25333333333333</v>
      </c>
      <c r="P1652" s="252" t="s">
        <v>43</v>
      </c>
      <c r="Q1652" s="253"/>
      <c r="R1652" s="277" t="s">
        <v>3293</v>
      </c>
      <c r="S1652" s="272" t="s">
        <v>3293</v>
      </c>
      <c r="T1652" s="273">
        <v>6.2</v>
      </c>
      <c r="U1652" s="274"/>
      <c r="V1652" s="280"/>
      <c r="W1652" s="244"/>
      <c r="X1652" s="244"/>
      <c r="Y1652" s="362"/>
      <c r="Z1652" s="257">
        <f>altaz(J2000_Bas,$O1652,$M1652,DecLat,DecLong,1)</f>
        <v>-1.0944490076058091</v>
      </c>
      <c r="AA1652" s="257">
        <f>altaz((J2000_Bas+(2*0.04167)),$O1652,$M1652,DecLat,DecLong,1)</f>
        <v>12.486496047845042</v>
      </c>
      <c r="AB1652" s="257">
        <f>altaz((J2000_Bas+(4*0.04167)),$O1652,$M1652,DecLat,DecLong,1)</f>
        <v>29.997384870562303</v>
      </c>
      <c r="AC1652" s="257">
        <f>altaz((J2000_Bas+(6*0.04167)),$O1652,$M1652,DecLat,DecLong,1)</f>
        <v>49.086768588186864</v>
      </c>
      <c r="AD1652" s="258">
        <f>1+ transit((J2000_Bas-1),$O1652,$M1652,DecLat,DecLong)/360 + (GMTOffset/24) + (IF(DST="Y", 1, 0)/24)</f>
        <v>1.1741152202859582</v>
      </c>
      <c r="AE1652" s="259">
        <f>DATE(2001,9,21)+(M1652/360)*365 - (360*((DecLong/360)- (GMTOffset/24) ))</f>
        <v>37226.143576388888</v>
      </c>
      <c r="AF1652" s="260">
        <f>IF(DecLat&gt;0,IF((90 - (DecLat-O1652))&gt;90, (90 - (O1652-DecLat)), (90 - (DecLat-O1652))),IF((90 + (DecLat-O1652))&gt;90, (90 + (O1652-DecLat)), (90 + (DecLat-O1652))))</f>
        <v>70.74666666666667</v>
      </c>
      <c r="AG1652" s="257">
        <f>angularseperation(MoonRA,MoonDec,$M1652,$O1652)</f>
        <v>156.62919984105349</v>
      </c>
      <c r="AH1652" s="261">
        <f ca="1">MIN(100,IF($O$5&gt;80,0+30*($AG1652/100),IF($O$5&gt;70,0+50*($AG1652/100),IF($O$5&gt;60,5+50*($AG1652/100),IF($O$5&gt;50,10+60*($AG1652/100),IF($O$5&gt;40,15+70*($AG1652/100),IF($O$5&gt;30,20+70*($AG1652/100),IF($O$5&gt;20,40+55*($AG1652/100),(80+(20-$O$5)+30*($AG1652/100))))))))))</f>
        <v>100</v>
      </c>
      <c r="AI1652" s="262">
        <v>1545</v>
      </c>
      <c r="AJ1652" s="262"/>
      <c r="AK1652" s="262">
        <v>54</v>
      </c>
      <c r="AL1652" s="263"/>
      <c r="AM1652" s="264"/>
      <c r="AN1652" s="263"/>
      <c r="AO1652" s="263"/>
      <c r="AP1652" s="265"/>
      <c r="AQ1652" s="266"/>
      <c r="AR1652" s="267"/>
      <c r="AS1652" s="263"/>
      <c r="AT1652" s="263"/>
      <c r="AU1652" s="263"/>
      <c r="AV1652" s="264"/>
      <c r="AW1652" s="263"/>
      <c r="AX1652" s="263"/>
      <c r="AY1652" s="263"/>
      <c r="AZ1652" s="263"/>
      <c r="BA1652" s="263"/>
      <c r="BB1652" s="263"/>
      <c r="BC1652" s="263"/>
      <c r="BD1652" s="264"/>
      <c r="BE1652" s="263">
        <v>26</v>
      </c>
      <c r="BF1652" s="263"/>
      <c r="BG1652" s="263"/>
      <c r="BH1652" s="263"/>
      <c r="BI1652" s="263"/>
      <c r="BJ1652" s="404">
        <f>altaz(J2000_Bas,$O1652,$M1652,DecLat,DecLong,2)</f>
        <v>24.681574913944957</v>
      </c>
      <c r="BK1652" s="378" t="s">
        <v>1657</v>
      </c>
      <c r="BL1652" s="379">
        <f>IF((2*G1652)/60&lt;0.2,0.2,(2*G1652)/60)</f>
        <v>0.4</v>
      </c>
      <c r="BM1652" s="380">
        <f>MOD((50000+AD1652-$B$3+(0/24)),1)</f>
        <v>0.3894821499925456</v>
      </c>
      <c r="BN1652" s="381"/>
      <c r="BO1652" s="382">
        <v>1645</v>
      </c>
    </row>
    <row r="1653" spans="1:67" s="24" customFormat="1" ht="15" customHeight="1" x14ac:dyDescent="0.25">
      <c r="A1653" s="288" t="s">
        <v>1658</v>
      </c>
      <c r="B1653" s="241" t="str">
        <f>HYPERLINK(CONCATENATE($AT$3,BK1653,$AU$3),$AV$3)</f>
        <v>S</v>
      </c>
      <c r="C1653" s="242" t="str">
        <f>HYPERLINK(CONCATENATE($AT$4,BK1653,$AU$4,BL1653),$AV$4)</f>
        <v>A</v>
      </c>
      <c r="D1653" s="243" t="s">
        <v>5187</v>
      </c>
      <c r="E1653" s="244" t="s">
        <v>5186</v>
      </c>
      <c r="F1653" s="269"/>
      <c r="G1653" s="276">
        <v>20</v>
      </c>
      <c r="H1653" s="283">
        <v>400</v>
      </c>
      <c r="I1653" s="279">
        <v>2.5</v>
      </c>
      <c r="J1653" s="246">
        <v>4</v>
      </c>
      <c r="K1653" s="247" t="s">
        <v>6743</v>
      </c>
      <c r="L1653" s="248">
        <v>42157</v>
      </c>
      <c r="M1653" s="249">
        <f>15*(LEFT(TEXT($L1653,"000000"),2)+(MID(TEXT($L1653,"000000"),3,2)/60)+(RIGHT(TEXT($L1653,"000000"),2)/3600))</f>
        <v>65.487499999999997</v>
      </c>
      <c r="N1653" s="250">
        <v>193203</v>
      </c>
      <c r="O1653" s="251">
        <f>IF($N1653&gt;0,(LEFT(TEXT($N1653,"000000"),2)+(MID(TEXT($N1653,"000000"),3,2)/60)+(RIGHT(TEXT($N1653,"000000"),2)/3600)),-(MID(TEXT($N1653,"000000"),2,2)+(MID(TEXT($N1653,"000000"),4,2)/60)+(RIGHT(TEXT($N1653,"000000"),2)/3600)))</f>
        <v>19.534166666666668</v>
      </c>
      <c r="P1653" s="252" t="s">
        <v>56</v>
      </c>
      <c r="Q1653" s="253" t="s">
        <v>7004</v>
      </c>
      <c r="R1653" s="247" t="s">
        <v>9327</v>
      </c>
      <c r="S1653" s="272" t="s">
        <v>3293</v>
      </c>
      <c r="T1653" s="273"/>
      <c r="U1653" s="274"/>
      <c r="V1653" s="280"/>
      <c r="W1653" s="244"/>
      <c r="X1653" s="244"/>
      <c r="Y1653" s="362"/>
      <c r="Z1653" s="257">
        <f>altaz(J2000_Bas,$O1653,$M1653,DecLat,DecLong,1)</f>
        <v>-26.226961289428782</v>
      </c>
      <c r="AA1653" s="257">
        <f>altaz((J2000_Bas+(2*0.04167)),$O1653,$M1653,DecLat,DecLong,1)</f>
        <v>-5.5158789284491094</v>
      </c>
      <c r="AB1653" s="257">
        <f>altaz((J2000_Bas+(4*0.04167)),$O1653,$M1653,DecLat,DecLong,1)</f>
        <v>18.782782811281603</v>
      </c>
      <c r="AC1653" s="257">
        <f>altaz((J2000_Bas+(6*0.04167)),$O1653,$M1653,DecLat,DecLong,1)</f>
        <v>44.405540072083362</v>
      </c>
      <c r="AD1653" s="258">
        <f>1+ transit((J2000_Bas-1),$O1653,$M1653,DecLat,DecLong)/360 + (GMTOffset/24) + (IF(DST="Y", 1, 0)/24)</f>
        <v>1.174809664660958</v>
      </c>
      <c r="AE1653" s="259">
        <f>DATE(2001,9,21)+(M1653/360)*365 - (360*((DecLong/360)- (GMTOffset/24) ))</f>
        <v>37226.397048611114</v>
      </c>
      <c r="AF1653" s="260">
        <f>IF(DecLat&gt;0,IF((90 - (DecLat-O1653))&gt;90, (90 - (O1653-DecLat)), (90 - (DecLat-O1653))),IF((90 + (DecLat-O1653))&gt;90, (90 + (O1653-DecLat)), (90 + (DecLat-O1653))))</f>
        <v>78.534166666666664</v>
      </c>
      <c r="AG1653" s="257">
        <f>angularseperation(MoonRA,MoonDec,$M1653,$O1653)</f>
        <v>171.70165367330557</v>
      </c>
      <c r="AH1653" s="261">
        <f ca="1">MIN(100,IF($O$5&gt;80,0+30*($AG1653/100),IF($O$5&gt;70,0+50*($AG1653/100),IF($O$5&gt;60,5+50*($AG1653/100),IF($O$5&gt;50,10+60*($AG1653/100),IF($O$5&gt;40,15+70*($AG1653/100),IF($O$5&gt;30,20+70*($AG1653/100),IF($O$5&gt;20,40+55*($AG1653/100),(80+(20-$O$5)+30*($AG1653/100))))))))))</f>
        <v>100</v>
      </c>
      <c r="AI1653" s="262">
        <v>1555</v>
      </c>
      <c r="AJ1653" s="262"/>
      <c r="AK1653" s="262"/>
      <c r="AL1653" s="263"/>
      <c r="AM1653" s="264"/>
      <c r="AN1653" s="263"/>
      <c r="AO1653" s="263"/>
      <c r="AP1653" s="265"/>
      <c r="AQ1653" s="266"/>
      <c r="AR1653" s="267"/>
      <c r="AS1653" s="263"/>
      <c r="AT1653" s="263"/>
      <c r="AU1653" s="263"/>
      <c r="AV1653" s="264"/>
      <c r="AW1653" s="263"/>
      <c r="AX1653" s="263"/>
      <c r="AY1653" s="263"/>
      <c r="AZ1653" s="263"/>
      <c r="BA1653" s="263"/>
      <c r="BB1653" s="263">
        <v>238</v>
      </c>
      <c r="BC1653" s="263"/>
      <c r="BD1653" s="264">
        <v>28</v>
      </c>
      <c r="BE1653" s="263"/>
      <c r="BF1653" s="263"/>
      <c r="BG1653" s="263">
        <v>21</v>
      </c>
      <c r="BH1653" s="263"/>
      <c r="BI1653" s="263"/>
      <c r="BJ1653" s="404">
        <f>altaz(J2000_Bas,$O1653,$M1653,DecLat,DecLong,2)</f>
        <v>43.041016017877936</v>
      </c>
      <c r="BK1653" s="378" t="s">
        <v>1658</v>
      </c>
      <c r="BL1653" s="379">
        <f>IF((2*G1653)/60&lt;0.2,0.2,(2*G1653)/60)</f>
        <v>0.66666666666666663</v>
      </c>
      <c r="BM1653" s="380">
        <f>MOD((50000+AD1653-$B$3+(0/24)),1)</f>
        <v>0.3901765943664941</v>
      </c>
      <c r="BN1653" s="381" t="s">
        <v>9232</v>
      </c>
      <c r="BO1653" s="382">
        <v>1646</v>
      </c>
    </row>
    <row r="1654" spans="1:67" s="24" customFormat="1" ht="15" customHeight="1" x14ac:dyDescent="0.25">
      <c r="A1654" s="288" t="s">
        <v>1659</v>
      </c>
      <c r="B1654" s="241" t="str">
        <f>HYPERLINK(CONCATENATE($AT$3,BK1654,$AU$3),$AV$3)</f>
        <v>S</v>
      </c>
      <c r="C1654" s="242" t="str">
        <f>HYPERLINK(CONCATENATE($AT$4,BK1654,$AU$4,BL1654),$AV$4)</f>
        <v>A</v>
      </c>
      <c r="D1654" s="243" t="s">
        <v>5638</v>
      </c>
      <c r="E1654" s="244" t="s">
        <v>5192</v>
      </c>
      <c r="F1654" s="269" t="s">
        <v>8697</v>
      </c>
      <c r="G1654" s="276">
        <v>12</v>
      </c>
      <c r="H1654" s="283">
        <v>10</v>
      </c>
      <c r="I1654" s="246">
        <v>35</v>
      </c>
      <c r="J1654" s="246">
        <v>1</v>
      </c>
      <c r="K1654" s="247" t="s">
        <v>6745</v>
      </c>
      <c r="L1654" s="248">
        <v>43248</v>
      </c>
      <c r="M1654" s="249">
        <f>15*(LEFT(TEXT($L1654,"000000"),2)+(MID(TEXT($L1654,"000000"),3,2)/60)+(RIGHT(TEXT($L1654,"000000"),2)/3600))</f>
        <v>68.2</v>
      </c>
      <c r="N1654" s="250">
        <v>715248</v>
      </c>
      <c r="O1654" s="251">
        <f>IF($N1654&gt;0,(LEFT(TEXT($N1654,"000000"),2)+(MID(TEXT($N1654,"000000"),3,2)/60)+(RIGHT(TEXT($N1654,"000000"),2)/3600)),-(MID(TEXT($N1654,"000000"),2,2)+(MID(TEXT($N1654,"000000"),4,2)/60)+(RIGHT(TEXT($N1654,"000000"),2)/3600)))</f>
        <v>71.88</v>
      </c>
      <c r="P1654" s="252" t="s">
        <v>226</v>
      </c>
      <c r="Q1654" s="253"/>
      <c r="R1654" s="247" t="s">
        <v>6744</v>
      </c>
      <c r="S1654" s="272" t="s">
        <v>3293</v>
      </c>
      <c r="T1654" s="273">
        <v>11.4</v>
      </c>
      <c r="U1654" s="289">
        <v>23.29</v>
      </c>
      <c r="V1654" s="280">
        <v>89</v>
      </c>
      <c r="W1654" s="244"/>
      <c r="X1654" s="244"/>
      <c r="Y1654" s="362"/>
      <c r="Z1654" s="257">
        <f>altaz(J2000_Bas,$O1654,$M1654,DecLat,DecLong,1)</f>
        <v>16.192123266835026</v>
      </c>
      <c r="AA1654" s="257">
        <f>altaz((J2000_Bas+(2*0.04167)),$O1654,$M1654,DecLat,DecLong,1)</f>
        <v>22.901275697095457</v>
      </c>
      <c r="AB1654" s="257">
        <f>altaz((J2000_Bas+(4*0.04167)),$O1654,$M1654,DecLat,DecLong,1)</f>
        <v>31.767066223577263</v>
      </c>
      <c r="AC1654" s="257">
        <f>altaz((J2000_Bas+(6*0.04167)),$O1654,$M1654,DecLat,DecLong,1)</f>
        <v>40.830908021963118</v>
      </c>
      <c r="AD1654" s="258">
        <f>1+ transit((J2000_Bas-1),$O1654,$M1654,DecLat,DecLong)/360 + (GMTOffset/24) + (IF(DST="Y", 1, 0)/24)</f>
        <v>1.182344386129708</v>
      </c>
      <c r="AE1654" s="259">
        <f>DATE(2001,9,21)+(M1654/360)*365 - (360*((DecLong/360)- (GMTOffset/24) ))</f>
        <v>37229.147222222222</v>
      </c>
      <c r="AF1654" s="260">
        <f>IF(DecLat&gt;0,IF((90 - (DecLat-O1654))&gt;90, (90 - (O1654-DecLat)), (90 - (DecLat-O1654))),IF((90 + (DecLat-O1654))&gt;90, (90 + (O1654-DecLat)), (90 + (DecLat-O1654))))</f>
        <v>49.120000000000005</v>
      </c>
      <c r="AG1654" s="257">
        <f>angularseperation(MoonRA,MoonDec,$M1654,$O1654)</f>
        <v>135.20037023546575</v>
      </c>
      <c r="AH1654" s="261">
        <f ca="1">MIN(100,IF($O$5&gt;80,0+30*($AG1654/100),IF($O$5&gt;70,0+50*($AG1654/100),IF($O$5&gt;60,5+50*($AG1654/100),IF($O$5&gt;50,10+60*($AG1654/100),IF($O$5&gt;40,15+70*($AG1654/100),IF($O$5&gt;30,20+70*($AG1654/100),IF($O$5&gt;20,40+55*($AG1654/100),(80+(20-$O$5)+30*($AG1654/100))))))))))</f>
        <v>100</v>
      </c>
      <c r="AI1654" s="262">
        <v>1560</v>
      </c>
      <c r="AJ1654" s="262"/>
      <c r="AK1654" s="262"/>
      <c r="AL1654" s="263"/>
      <c r="AM1654" s="264"/>
      <c r="AN1654" s="263"/>
      <c r="AO1654" s="263"/>
      <c r="AP1654" s="265"/>
      <c r="AQ1654" s="266">
        <v>3060</v>
      </c>
      <c r="AR1654" s="267">
        <v>15488</v>
      </c>
      <c r="AS1654" s="263"/>
      <c r="AT1654" s="263"/>
      <c r="AU1654" s="263"/>
      <c r="AV1654" s="264"/>
      <c r="AW1654" s="263"/>
      <c r="AX1654" s="263"/>
      <c r="AY1654" s="263"/>
      <c r="AZ1654" s="263"/>
      <c r="BA1654" s="263"/>
      <c r="BB1654" s="263"/>
      <c r="BC1654" s="263"/>
      <c r="BD1654" s="264"/>
      <c r="BE1654" s="263"/>
      <c r="BF1654" s="263"/>
      <c r="BG1654" s="263"/>
      <c r="BH1654" s="263"/>
      <c r="BI1654" s="263"/>
      <c r="BJ1654" s="404">
        <f>altaz(J2000_Bas,$O1654,$M1654,DecLat,DecLong,2)</f>
        <v>11.449529547812075</v>
      </c>
      <c r="BK1654" s="378" t="s">
        <v>1659</v>
      </c>
      <c r="BL1654" s="379">
        <f>IF((2*G1654)/60&lt;0.2,0.2,(2*G1654)/60)</f>
        <v>0.4</v>
      </c>
      <c r="BM1654" s="380">
        <f>MOD((50000+AD1654-$B$3+(0/24)),1)</f>
        <v>0.39771131583256647</v>
      </c>
      <c r="BN1654" s="381"/>
      <c r="BO1654" s="382">
        <v>1647</v>
      </c>
    </row>
    <row r="1655" spans="1:67" s="24" customFormat="1" ht="15" customHeight="1" x14ac:dyDescent="0.25">
      <c r="A1655" s="287" t="s">
        <v>5555</v>
      </c>
      <c r="B1655" s="241" t="str">
        <f>HYPERLINK(CONCATENATE($AT$3,BK1655,$AU$3),$AV$3)</f>
        <v>S</v>
      </c>
      <c r="C1655" s="242" t="str">
        <f>HYPERLINK(CONCATENATE($AT$4,BK1655,$AU$4,BL1655),$AV$4)</f>
        <v>A</v>
      </c>
      <c r="D1655" s="243" t="s">
        <v>5638</v>
      </c>
      <c r="E1655" s="244" t="s">
        <v>5192</v>
      </c>
      <c r="F1655" s="269" t="s">
        <v>8890</v>
      </c>
      <c r="G1655" s="273">
        <v>8.3000000000000007</v>
      </c>
      <c r="H1655" s="283">
        <v>70</v>
      </c>
      <c r="I1655" s="246">
        <v>160</v>
      </c>
      <c r="J1655" s="246">
        <v>4</v>
      </c>
      <c r="K1655" s="247" t="s">
        <v>5556</v>
      </c>
      <c r="L1655" s="248">
        <v>42000</v>
      </c>
      <c r="M1655" s="249">
        <f>15*(LEFT(TEXT($L1655,"000000"),2)+(MID(TEXT($L1655,"000000"),3,2)/60)+(RIGHT(TEXT($L1655,"000000"),2)/3600))</f>
        <v>65</v>
      </c>
      <c r="N1655" s="250">
        <v>-545600</v>
      </c>
      <c r="O1655" s="251">
        <f>IF($N1655&gt;0,(LEFT(TEXT($N1655,"000000"),2)+(MID(TEXT($N1655,"000000"),3,2)/60)+(RIGHT(TEXT($N1655,"000000"),2)/3600)),-(MID(TEXT($N1655,"000000"),2,2)+(MID(TEXT($N1655,"000000"),4,2)/60)+(RIGHT(TEXT($N1655,"000000"),2)/3600)))</f>
        <v>-54.93333333333333</v>
      </c>
      <c r="P1655" s="252" t="s">
        <v>1697</v>
      </c>
      <c r="Q1655" s="253" t="s">
        <v>6907</v>
      </c>
      <c r="R1655" s="277" t="s">
        <v>3293</v>
      </c>
      <c r="S1655" s="272" t="s">
        <v>3293</v>
      </c>
      <c r="T1655" s="273">
        <v>9.6999999999999993</v>
      </c>
      <c r="U1655" s="289">
        <v>22.79</v>
      </c>
      <c r="V1655" s="280">
        <v>30</v>
      </c>
      <c r="W1655" s="244"/>
      <c r="X1655" s="244"/>
      <c r="Y1655" s="362"/>
      <c r="Z1655" s="257">
        <f>altaz(J2000_Bas,$O1655,$M1655,DecLat,DecLong,1)</f>
        <v>-52.486106059631283</v>
      </c>
      <c r="AA1655" s="257">
        <f>altaz((J2000_Bas+(2*0.04167)),$O1655,$M1655,DecLat,DecLong,1)</f>
        <v>-35.533132462036157</v>
      </c>
      <c r="AB1655" s="257">
        <f>altaz((J2000_Bas+(4*0.04167)),$O1655,$M1655,DecLat,DecLong,1)</f>
        <v>-19.034343532547098</v>
      </c>
      <c r="AC1655" s="257">
        <f>altaz((J2000_Bas+(6*0.04167)),$O1655,$M1655,DecLat,DecLong,1)</f>
        <v>-5.555135263417772</v>
      </c>
      <c r="AD1655" s="258">
        <f>1+ transit((J2000_Bas-1),$O1655,$M1655,DecLat,DecLong)/360 + (GMTOffset/24) + (IF(DST="Y", 1, 0)/24)</f>
        <v>1.1734554981297081</v>
      </c>
      <c r="AE1655" s="259">
        <f>DATE(2001,9,21)+(M1655/360)*365 - (360*((DecLong/360)- (GMTOffset/24) ))</f>
        <v>37225.902777777781</v>
      </c>
      <c r="AF1655" s="260">
        <f>IF(DecLat&gt;0,IF((90 - (DecLat-O1655))&gt;90, (90 - (O1655-DecLat)), (90 - (DecLat-O1655))),IF((90 + (DecLat-O1655))&gt;90, (90 + (O1655-DecLat)), (90 + (DecLat-O1655))))</f>
        <v>4.0666666666666629</v>
      </c>
      <c r="AG1655" s="257">
        <f>angularseperation(MoonRA,MoonDec,$M1655,$O1655)</f>
        <v>97.901509991617189</v>
      </c>
      <c r="AH1655" s="261">
        <f ca="1">MIN(100,IF($O$5&gt;80,0+30*($AG1655/100),IF($O$5&gt;70,0+50*($AG1655/100),IF($O$5&gt;60,5+50*($AG1655/100),IF($O$5&gt;50,10+60*($AG1655/100),IF($O$5&gt;40,15+70*($AG1655/100),IF($O$5&gt;30,20+70*($AG1655/100),IF($O$5&gt;20,40+55*($AG1655/100),(80+(20-$O$5)+30*($AG1655/100))))))))))</f>
        <v>100</v>
      </c>
      <c r="AI1655" s="263">
        <v>1566</v>
      </c>
      <c r="AJ1655" s="263"/>
      <c r="AK1655" s="263"/>
      <c r="AL1655" s="263"/>
      <c r="AM1655" s="264"/>
      <c r="AN1655" s="263"/>
      <c r="AO1655" s="263"/>
      <c r="AP1655" s="265"/>
      <c r="AQ1655" s="265"/>
      <c r="AR1655" s="285">
        <v>14897</v>
      </c>
      <c r="AS1655" s="263"/>
      <c r="AT1655" s="263"/>
      <c r="AU1655" s="263"/>
      <c r="AV1655" s="264"/>
      <c r="AW1655" s="263"/>
      <c r="AX1655" s="263"/>
      <c r="AY1655" s="263"/>
      <c r="AZ1655" s="263"/>
      <c r="BA1655" s="263"/>
      <c r="BB1655" s="263"/>
      <c r="BC1655" s="263"/>
      <c r="BD1655" s="264"/>
      <c r="BE1655" s="263"/>
      <c r="BF1655" s="263"/>
      <c r="BG1655" s="263"/>
      <c r="BH1655" s="263"/>
      <c r="BI1655" s="263"/>
      <c r="BJ1655" s="404">
        <f>altaz(J2000_Bas,$O1655,$M1655,DecLat,DecLong,2)</f>
        <v>141.75655065697981</v>
      </c>
      <c r="BK1655" s="378" t="s">
        <v>5555</v>
      </c>
      <c r="BL1655" s="379">
        <f>IF((2*G1655)/60&lt;0.2,0.2,(2*G1655)/60)</f>
        <v>0.27666666666666667</v>
      </c>
      <c r="BM1655" s="380">
        <f>MOD((50000+AD1655-$B$3+(0/24)),1)</f>
        <v>0.38882242783438414</v>
      </c>
      <c r="BN1655" s="381"/>
      <c r="BO1655" s="382">
        <v>1648</v>
      </c>
    </row>
    <row r="1656" spans="1:67" s="24" customFormat="1" ht="15" customHeight="1" x14ac:dyDescent="0.25">
      <c r="A1656" s="288" t="s">
        <v>1660</v>
      </c>
      <c r="B1656" s="241" t="str">
        <f>HYPERLINK(CONCATENATE($AT$3,BK1656,$AU$3),$AV$3)</f>
        <v>S</v>
      </c>
      <c r="C1656" s="242" t="str">
        <f>HYPERLINK(CONCATENATE($AT$4,BK1656,$AU$4,BL1656),$AV$4)</f>
        <v>A</v>
      </c>
      <c r="D1656" s="243" t="s">
        <v>5638</v>
      </c>
      <c r="E1656" s="244" t="s">
        <v>5337</v>
      </c>
      <c r="F1656" s="269" t="s">
        <v>3310</v>
      </c>
      <c r="G1656" s="273">
        <v>1.3</v>
      </c>
      <c r="H1656" s="283">
        <v>200</v>
      </c>
      <c r="I1656" s="246">
        <v>80</v>
      </c>
      <c r="J1656" s="246">
        <v>3</v>
      </c>
      <c r="K1656" s="247" t="s">
        <v>6747</v>
      </c>
      <c r="L1656" s="248">
        <v>42421</v>
      </c>
      <c r="M1656" s="249">
        <f>15*(LEFT(TEXT($L1656,"000000"),2)+(MID(TEXT($L1656,"000000"),3,2)/60)+(RIGHT(TEXT($L1656,"000000"),2)/3600))</f>
        <v>66.087500000000006</v>
      </c>
      <c r="N1656" s="250">
        <v>-4419</v>
      </c>
      <c r="O1656" s="251">
        <f>IF($N1656&gt;0,(LEFT(TEXT($N1656,"000000"),2)+(MID(TEXT($N1656,"000000"),3,2)/60)+(RIGHT(TEXT($N1656,"000000"),2)/3600)),-(MID(TEXT($N1656,"000000"),2,2)+(MID(TEXT($N1656,"000000"),4,2)/60)+(RIGHT(TEXT($N1656,"000000"),2)/3600)))</f>
        <v>-0.73861111111111111</v>
      </c>
      <c r="P1656" s="252" t="s">
        <v>257</v>
      </c>
      <c r="Q1656" s="253"/>
      <c r="R1656" s="247" t="s">
        <v>3293</v>
      </c>
      <c r="S1656" s="272" t="s">
        <v>6746</v>
      </c>
      <c r="T1656" s="273">
        <v>14</v>
      </c>
      <c r="U1656" s="289">
        <v>20.990000000000002</v>
      </c>
      <c r="V1656" s="280"/>
      <c r="W1656" s="244"/>
      <c r="X1656" s="244"/>
      <c r="Y1656" s="362"/>
      <c r="Z1656" s="257">
        <f>altaz(J2000_Bas,$O1656,$M1656,DecLat,DecLong,1)</f>
        <v>-41.607825523935929</v>
      </c>
      <c r="AA1656" s="257">
        <f>altaz((J2000_Bas+(2*0.04167)),$O1656,$M1656,DecLat,DecLong,1)</f>
        <v>-17.444871786112905</v>
      </c>
      <c r="AB1656" s="257">
        <f>altaz((J2000_Bas+(4*0.04167)),$O1656,$M1656,DecLat,DecLong,1)</f>
        <v>8.2466280377154053</v>
      </c>
      <c r="AC1656" s="257">
        <f>altaz((J2000_Bas+(6*0.04167)),$O1656,$M1656,DecLat,DecLong,1)</f>
        <v>33.108274812169874</v>
      </c>
      <c r="AD1656" s="258">
        <f>1+ transit((J2000_Bas-1),$O1656,$M1656,DecLat,DecLong)/360 + (GMTOffset/24) + (IF(DST="Y", 1, 0)/24)</f>
        <v>1.1764763311609581</v>
      </c>
      <c r="AE1656" s="259">
        <f>DATE(2001,9,21)+(M1656/360)*365 - (360*((DecLong/360)- (GMTOffset/24) ))</f>
        <v>37227.005381944444</v>
      </c>
      <c r="AF1656" s="260">
        <f>IF(DecLat&gt;0,IF((90 - (DecLat-O1656))&gt;90, (90 - (O1656-DecLat)), (90 - (DecLat-O1656))),IF((90 + (DecLat-O1656))&gt;90, (90 + (O1656-DecLat)), (90 + (DecLat-O1656))))</f>
        <v>58.261388888888888</v>
      </c>
      <c r="AG1656" s="257">
        <f>angularseperation(MoonRA,MoonDec,$M1656,$O1656)</f>
        <v>152.01216121699315</v>
      </c>
      <c r="AH1656" s="261">
        <f ca="1">MIN(100,IF($O$5&gt;80,0+30*($AG1656/100),IF($O$5&gt;70,0+50*($AG1656/100),IF($O$5&gt;60,5+50*($AG1656/100),IF($O$5&gt;50,10+60*($AG1656/100),IF($O$5&gt;40,15+70*($AG1656/100),IF($O$5&gt;30,20+70*($AG1656/100),IF($O$5&gt;20,40+55*($AG1656/100),(80+(20-$O$5)+30*($AG1656/100))))))))))</f>
        <v>100</v>
      </c>
      <c r="AI1656" s="262">
        <v>1568</v>
      </c>
      <c r="AJ1656" s="262"/>
      <c r="AK1656" s="262"/>
      <c r="AL1656" s="263"/>
      <c r="AM1656" s="264"/>
      <c r="AN1656" s="263"/>
      <c r="AO1656" s="263"/>
      <c r="AP1656" s="265"/>
      <c r="AQ1656" s="266">
        <v>3031</v>
      </c>
      <c r="AR1656" s="267">
        <v>15034</v>
      </c>
      <c r="AS1656" s="263"/>
      <c r="AT1656" s="263"/>
      <c r="AU1656" s="263"/>
      <c r="AV1656" s="264"/>
      <c r="AW1656" s="263"/>
      <c r="AX1656" s="263"/>
      <c r="AY1656" s="263"/>
      <c r="AZ1656" s="263"/>
      <c r="BA1656" s="263"/>
      <c r="BB1656" s="263"/>
      <c r="BC1656" s="263"/>
      <c r="BD1656" s="264"/>
      <c r="BE1656" s="263"/>
      <c r="BF1656" s="263"/>
      <c r="BG1656" s="263"/>
      <c r="BH1656" s="263"/>
      <c r="BI1656" s="263"/>
      <c r="BJ1656" s="404">
        <f>altaz(J2000_Bas,$O1656,$M1656,DecLat,DecLong,2)</f>
        <v>59.102589680569572</v>
      </c>
      <c r="BK1656" s="378" t="s">
        <v>1660</v>
      </c>
      <c r="BL1656" s="379">
        <f>IF((2*G1656)/60&lt;0.2,0.2,(2*G1656)/60)</f>
        <v>0.2</v>
      </c>
      <c r="BM1656" s="380">
        <f>MOD((50000+AD1656-$B$3+(0/24)),1)</f>
        <v>0.39184326086251531</v>
      </c>
      <c r="BN1656" s="381"/>
      <c r="BO1656" s="382">
        <v>1649</v>
      </c>
    </row>
    <row r="1657" spans="1:67" s="24" customFormat="1" ht="15" customHeight="1" x14ac:dyDescent="0.25">
      <c r="A1657" s="288" t="s">
        <v>1661</v>
      </c>
      <c r="B1657" s="241" t="str">
        <f>HYPERLINK(CONCATENATE($AT$3,BK1657,$AU$3),$AV$3)</f>
        <v>S</v>
      </c>
      <c r="C1657" s="242" t="str">
        <f>HYPERLINK(CONCATENATE($AT$4,BK1657,$AU$4,BL1657),$AV$4)</f>
        <v>A</v>
      </c>
      <c r="D1657" s="243" t="s">
        <v>5187</v>
      </c>
      <c r="E1657" s="244" t="s">
        <v>5183</v>
      </c>
      <c r="F1657" s="269" t="s">
        <v>5180</v>
      </c>
      <c r="G1657" s="276">
        <v>10</v>
      </c>
      <c r="H1657" s="283">
        <v>2000</v>
      </c>
      <c r="I1657" s="279">
        <v>6</v>
      </c>
      <c r="J1657" s="246">
        <v>3</v>
      </c>
      <c r="K1657" s="247" t="s">
        <v>6748</v>
      </c>
      <c r="L1657" s="248">
        <v>43014</v>
      </c>
      <c r="M1657" s="249">
        <f>15*(LEFT(TEXT($L1657,"000000"),2)+(MID(TEXT($L1657,"000000"),3,2)/60)+(RIGHT(TEXT($L1657,"000000"),2)/3600))</f>
        <v>67.558333333333323</v>
      </c>
      <c r="N1657" s="250">
        <v>351647</v>
      </c>
      <c r="O1657" s="251">
        <f>IF($N1657&gt;0,(LEFT(TEXT($N1657,"000000"),2)+(MID(TEXT($N1657,"000000"),3,2)/60)+(RIGHT(TEXT($N1657,"000000"),2)/3600)),-(MID(TEXT($N1657,"000000"),2,2)+(MID(TEXT($N1657,"000000"),4,2)/60)+(RIGHT(TEXT($N1657,"000000"),2)/3600)))</f>
        <v>35.279722222222219</v>
      </c>
      <c r="P1657" s="252" t="s">
        <v>43</v>
      </c>
      <c r="Q1657" s="253" t="s">
        <v>7039</v>
      </c>
      <c r="R1657" s="277" t="s">
        <v>3293</v>
      </c>
      <c r="S1657" s="272" t="s">
        <v>3293</v>
      </c>
      <c r="T1657" s="273"/>
      <c r="U1657" s="274"/>
      <c r="V1657" s="280"/>
      <c r="W1657" s="244"/>
      <c r="X1657" s="244"/>
      <c r="Y1657" s="362"/>
      <c r="Z1657" s="257">
        <f>altaz(J2000_Bas,$O1657,$M1657,DecLat,DecLong,1)</f>
        <v>-14.511654759946147</v>
      </c>
      <c r="AA1657" s="257">
        <f>altaz((J2000_Bas+(2*0.04167)),$O1657,$M1657,DecLat,DecLong,1)</f>
        <v>2.3693636591012242</v>
      </c>
      <c r="AB1657" s="257">
        <f>altaz((J2000_Bas+(4*0.04167)),$O1657,$M1657,DecLat,DecLong,1)</f>
        <v>23.720013557092287</v>
      </c>
      <c r="AC1657" s="257">
        <f>altaz((J2000_Bas+(6*0.04167)),$O1657,$M1657,DecLat,DecLong,1)</f>
        <v>47.303708337405695</v>
      </c>
      <c r="AD1657" s="258">
        <f>1+ transit((J2000_Bas-1),$O1657,$M1657,DecLat,DecLong)/360 + (GMTOffset/24) + (IF(DST="Y", 1, 0)/24)</f>
        <v>1.1805619789005413</v>
      </c>
      <c r="AE1657" s="259">
        <f>DATE(2001,9,21)+(M1657/360)*365 - (360*((DecLong/360)- (GMTOffset/24) ))</f>
        <v>37228.49664351852</v>
      </c>
      <c r="AF1657" s="260">
        <f>IF(DecLat&gt;0,IF((90 - (DecLat-O1657))&gt;90, (90 - (O1657-DecLat)), (90 - (DecLat-O1657))),IF((90 + (DecLat-O1657))&gt;90, (90 + (O1657-DecLat)), (90 + (DecLat-O1657))))</f>
        <v>85.720277777777781</v>
      </c>
      <c r="AG1657" s="257">
        <f>angularseperation(MoonRA,MoonDec,$M1657,$O1657)</f>
        <v>171.67921466496509</v>
      </c>
      <c r="AH1657" s="261">
        <f ca="1">MIN(100,IF($O$5&gt;80,0+30*($AG1657/100),IF($O$5&gt;70,0+50*($AG1657/100),IF($O$5&gt;60,5+50*($AG1657/100),IF($O$5&gt;50,10+60*($AG1657/100),IF($O$5&gt;40,15+70*($AG1657/100),IF($O$5&gt;30,20+70*($AG1657/100),IF($O$5&gt;20,40+55*($AG1657/100),(80+(20-$O$5)+30*($AG1657/100))))))))))</f>
        <v>100</v>
      </c>
      <c r="AI1657" s="262">
        <v>1579</v>
      </c>
      <c r="AJ1657" s="262"/>
      <c r="AK1657" s="262"/>
      <c r="AL1657" s="263"/>
      <c r="AM1657" s="264"/>
      <c r="AN1657" s="263"/>
      <c r="AO1657" s="263"/>
      <c r="AP1657" s="265"/>
      <c r="AQ1657" s="266"/>
      <c r="AR1657" s="267"/>
      <c r="AS1657" s="263"/>
      <c r="AT1657" s="263"/>
      <c r="AU1657" s="263"/>
      <c r="AV1657" s="264"/>
      <c r="AW1657" s="263"/>
      <c r="AX1657" s="263"/>
      <c r="AY1657" s="263">
        <v>767</v>
      </c>
      <c r="AZ1657" s="263"/>
      <c r="BA1657" s="263"/>
      <c r="BB1657" s="263">
        <v>222</v>
      </c>
      <c r="BC1657" s="263"/>
      <c r="BD1657" s="264"/>
      <c r="BE1657" s="263"/>
      <c r="BF1657" s="263">
        <v>16</v>
      </c>
      <c r="BG1657" s="263"/>
      <c r="BH1657" s="263"/>
      <c r="BI1657" s="263"/>
      <c r="BJ1657" s="404">
        <f>altaz(J2000_Bas,$O1657,$M1657,DecLat,DecLong,2)</f>
        <v>31.62046344720687</v>
      </c>
      <c r="BK1657" s="378" t="s">
        <v>1661</v>
      </c>
      <c r="BL1657" s="379">
        <f>IF((2*G1657)/60&lt;0.2,0.2,(2*G1657)/60)</f>
        <v>0.33333333333333331</v>
      </c>
      <c r="BM1657" s="380">
        <f>MOD((50000+AD1657-$B$3+(0/24)),1)</f>
        <v>0.39592890860512853</v>
      </c>
      <c r="BN1657" s="381"/>
      <c r="BO1657" s="382">
        <v>1650</v>
      </c>
    </row>
    <row r="1658" spans="1:67" s="24" customFormat="1" ht="15" customHeight="1" x14ac:dyDescent="0.25">
      <c r="A1658" s="288" t="s">
        <v>1662</v>
      </c>
      <c r="B1658" s="241" t="str">
        <f>HYPERLINK(CONCATENATE($AT$3,BK1658,$AU$3),$AV$3)</f>
        <v>S</v>
      </c>
      <c r="C1658" s="242" t="str">
        <f>HYPERLINK(CONCATENATE($AT$4,BK1658,$AU$4,BL1658),$AV$4)</f>
        <v>A</v>
      </c>
      <c r="D1658" s="243" t="s">
        <v>5638</v>
      </c>
      <c r="E1658" s="244" t="s">
        <v>5192</v>
      </c>
      <c r="F1658" s="269" t="s">
        <v>8696</v>
      </c>
      <c r="G1658" s="273">
        <v>3</v>
      </c>
      <c r="H1658" s="283">
        <v>170</v>
      </c>
      <c r="I1658" s="246">
        <v>145</v>
      </c>
      <c r="J1658" s="246">
        <v>2</v>
      </c>
      <c r="K1658" s="247" t="s">
        <v>8049</v>
      </c>
      <c r="L1658" s="248">
        <v>43046</v>
      </c>
      <c r="M1658" s="249">
        <f>15*(LEFT(TEXT($L1658,"000000"),2)+(MID(TEXT($L1658,"000000"),3,2)/60)+(RIGHT(TEXT($L1658,"000000"),2)/3600))</f>
        <v>67.691666666666663</v>
      </c>
      <c r="N1658" s="250">
        <v>5149</v>
      </c>
      <c r="O1658" s="251">
        <f>IF($N1658&gt;0,(LEFT(TEXT($N1658,"000000"),2)+(MID(TEXT($N1658,"000000"),3,2)/60)+(RIGHT(TEXT($N1658,"000000"),2)/3600)),-(MID(TEXT($N1658,"000000"),2,2)+(MID(TEXT($N1658,"000000"),4,2)/60)+(RIGHT(TEXT($N1658,"000000"),2)/3600)))</f>
        <v>0.86361111111111111</v>
      </c>
      <c r="P1658" s="252" t="s">
        <v>56</v>
      </c>
      <c r="Q1658" s="253"/>
      <c r="R1658" s="277" t="s">
        <v>3293</v>
      </c>
      <c r="S1658" s="272" t="s">
        <v>6749</v>
      </c>
      <c r="T1658" s="273">
        <v>13</v>
      </c>
      <c r="U1658" s="289">
        <v>21.79</v>
      </c>
      <c r="V1658" s="280">
        <v>84</v>
      </c>
      <c r="W1658" s="244"/>
      <c r="X1658" s="244"/>
      <c r="Y1658" s="362"/>
      <c r="Z1658" s="257">
        <f>altaz(J2000_Bas,$O1658,$M1658,DecLat,DecLong,1)</f>
        <v>-41.662673666247073</v>
      </c>
      <c r="AA1658" s="257">
        <f>altaz((J2000_Bas+(2*0.04167)),$O1658,$M1658,DecLat,DecLong,1)</f>
        <v>-17.927192726840442</v>
      </c>
      <c r="AB1658" s="257">
        <f>altaz((J2000_Bas+(4*0.04167)),$O1658,$M1658,DecLat,DecLong,1)</f>
        <v>7.7095071352798277</v>
      </c>
      <c r="AC1658" s="257">
        <f>altaz((J2000_Bas+(6*0.04167)),$O1658,$M1658,DecLat,DecLong,1)</f>
        <v>32.823791688676359</v>
      </c>
      <c r="AD1658" s="258">
        <f>1+ transit((J2000_Bas-1),$O1658,$M1658,DecLat,DecLong)/360 + (GMTOffset/24) + (IF(DST="Y", 1, 0)/24)</f>
        <v>1.1809323492338748</v>
      </c>
      <c r="AE1658" s="259">
        <f>DATE(2001,9,21)+(M1658/360)*365 - (360*((DecLong/360)- (GMTOffset/24) ))</f>
        <v>37228.631828703707</v>
      </c>
      <c r="AF1658" s="260">
        <f>IF(DecLat&gt;0,IF((90 - (DecLat-O1658))&gt;90, (90 - (O1658-DecLat)), (90 - (DecLat-O1658))),IF((90 + (DecLat-O1658))&gt;90, (90 + (O1658-DecLat)), (90 + (DecLat-O1658))))</f>
        <v>59.863611111111112</v>
      </c>
      <c r="AG1658" s="257">
        <f>angularseperation(MoonRA,MoonDec,$M1658,$O1658)</f>
        <v>153.73729476910688</v>
      </c>
      <c r="AH1658" s="261">
        <f ca="1">MIN(100,IF($O$5&gt;80,0+30*($AG1658/100),IF($O$5&gt;70,0+50*($AG1658/100),IF($O$5&gt;60,5+50*($AG1658/100),IF($O$5&gt;50,10+60*($AG1658/100),IF($O$5&gt;40,15+70*($AG1658/100),IF($O$5&gt;30,20+70*($AG1658/100),IF($O$5&gt;20,40+55*($AG1658/100),(80+(20-$O$5)+30*($AG1658/100))))))))))</f>
        <v>100</v>
      </c>
      <c r="AI1658" s="262">
        <v>1589</v>
      </c>
      <c r="AJ1658" s="263"/>
      <c r="AK1658" s="263"/>
      <c r="AL1658" s="263"/>
      <c r="AM1658" s="264"/>
      <c r="AN1658" s="263"/>
      <c r="AO1658" s="263"/>
      <c r="AP1658" s="265"/>
      <c r="AQ1658" s="265">
        <v>3065</v>
      </c>
      <c r="AR1658" s="285">
        <v>15342</v>
      </c>
      <c r="AS1658" s="263"/>
      <c r="AT1658" s="263"/>
      <c r="AU1658" s="263"/>
      <c r="AV1658" s="264"/>
      <c r="AW1658" s="263"/>
      <c r="AX1658" s="263"/>
      <c r="AY1658" s="263"/>
      <c r="AZ1658" s="263"/>
      <c r="BA1658" s="263"/>
      <c r="BB1658" s="263"/>
      <c r="BC1658" s="263"/>
      <c r="BD1658" s="264"/>
      <c r="BE1658" s="263"/>
      <c r="BF1658" s="263"/>
      <c r="BG1658" s="263"/>
      <c r="BH1658" s="263"/>
      <c r="BI1658" s="263"/>
      <c r="BJ1658" s="404">
        <f>altaz(J2000_Bas,$O1658,$M1658,DecLat,DecLong,2)</f>
        <v>56.069799279214095</v>
      </c>
      <c r="BK1658" s="378" t="s">
        <v>1662</v>
      </c>
      <c r="BL1658" s="379">
        <f>IF((2*G1658)/60&lt;0.2,0.2,(2*G1658)/60)</f>
        <v>0.2</v>
      </c>
      <c r="BM1658" s="380">
        <f>MOD((50000+AD1658-$B$3+(0/24)),1)</f>
        <v>0.39629927893838612</v>
      </c>
      <c r="BN1658" s="381"/>
      <c r="BO1658" s="382">
        <v>1651</v>
      </c>
    </row>
    <row r="1659" spans="1:67" s="24" customFormat="1" ht="15" customHeight="1" x14ac:dyDescent="0.25">
      <c r="A1659" s="288" t="s">
        <v>1663</v>
      </c>
      <c r="B1659" s="241" t="str">
        <f>HYPERLINK(CONCATENATE($AT$3,BK1659,$AU$3),$AV$3)</f>
        <v>S</v>
      </c>
      <c r="C1659" s="242" t="str">
        <f>HYPERLINK(CONCATENATE($AT$4,BK1659,$AU$4,BL1659),$AV$4)</f>
        <v>A</v>
      </c>
      <c r="D1659" s="243" t="s">
        <v>5638</v>
      </c>
      <c r="E1659" s="244" t="s">
        <v>3259</v>
      </c>
      <c r="F1659" s="269"/>
      <c r="G1659" s="273">
        <v>1.7</v>
      </c>
      <c r="H1659" s="283">
        <v>40</v>
      </c>
      <c r="I1659" s="246">
        <v>20</v>
      </c>
      <c r="J1659" s="246">
        <v>1</v>
      </c>
      <c r="K1659" s="247" t="s">
        <v>8056</v>
      </c>
      <c r="L1659" s="248">
        <v>42941</v>
      </c>
      <c r="M1659" s="249">
        <f>15*(LEFT(TEXT($L1659,"000000"),2)+(MID(TEXT($L1659,"000000"),3,2)/60)+(RIGHT(TEXT($L1659,"000000"),2)/3600))</f>
        <v>67.420833333333334</v>
      </c>
      <c r="N1659" s="250">
        <v>-272431</v>
      </c>
      <c r="O1659" s="251">
        <f>IF($N1659&gt;0,(LEFT(TEXT($N1659,"000000"),2)+(MID(TEXT($N1659,"000000"),3,2)/60)+(RIGHT(TEXT($N1659,"000000"),2)/3600)),-(MID(TEXT($N1659,"000000"),2,2)+(MID(TEXT($N1659,"000000"),4,2)/60)+(RIGHT(TEXT($N1659,"000000"),2)/3600)))</f>
        <v>-27.40861111111111</v>
      </c>
      <c r="P1659" s="252" t="s">
        <v>257</v>
      </c>
      <c r="Q1659" s="253"/>
      <c r="R1659" s="247" t="s">
        <v>3293</v>
      </c>
      <c r="S1659" s="272" t="s">
        <v>3293</v>
      </c>
      <c r="T1659" s="273">
        <v>13.6</v>
      </c>
      <c r="U1659" s="289">
        <v>22.89</v>
      </c>
      <c r="V1659" s="280">
        <v>80</v>
      </c>
      <c r="W1659" s="244"/>
      <c r="X1659" s="244"/>
      <c r="Y1659" s="362"/>
      <c r="Z1659" s="257">
        <f>altaz(J2000_Bas,$O1659,$M1659,DecLat,DecLong,1)</f>
        <v>-56.298090635164534</v>
      </c>
      <c r="AA1659" s="257">
        <f>altaz((J2000_Bas+(2*0.04167)),$O1659,$M1659,DecLat,DecLong,1)</f>
        <v>-30.925330954106094</v>
      </c>
      <c r="AB1659" s="257">
        <f>altaz((J2000_Bas+(4*0.04167)),$O1659,$M1659,DecLat,DecLong,1)</f>
        <v>-6.968273734743228</v>
      </c>
      <c r="AC1659" s="257">
        <f>altaz((J2000_Bas+(6*0.04167)),$O1659,$M1659,DecLat,DecLong,1)</f>
        <v>13.89183742101644</v>
      </c>
      <c r="AD1659" s="258">
        <f>1+ transit((J2000_Bas-1),$O1659,$M1659,DecLat,DecLong)/360 + (GMTOffset/24) + (IF(DST="Y", 1, 0)/24)</f>
        <v>1.1801800344942912</v>
      </c>
      <c r="AE1659" s="259">
        <f>DATE(2001,9,21)+(M1659/360)*365 - (360*((DecLong/360)- (GMTOffset/24) ))</f>
        <v>37228.357233796298</v>
      </c>
      <c r="AF1659" s="260">
        <f>IF(DecLat&gt;0,IF((90 - (DecLat-O1659))&gt;90, (90 - (O1659-DecLat)), (90 - (DecLat-O1659))),IF((90 + (DecLat-O1659))&gt;90, (90 + (O1659-DecLat)), (90 + (DecLat-O1659))))</f>
        <v>31.591388888888886</v>
      </c>
      <c r="AG1659" s="257">
        <f>angularseperation(MoonRA,MoonDec,$M1659,$O1659)</f>
        <v>125.47920329345408</v>
      </c>
      <c r="AH1659" s="261">
        <f ca="1">MIN(100,IF($O$5&gt;80,0+30*($AG1659/100),IF($O$5&gt;70,0+50*($AG1659/100),IF($O$5&gt;60,5+50*($AG1659/100),IF($O$5&gt;50,10+60*($AG1659/100),IF($O$5&gt;40,15+70*($AG1659/100),IF($O$5&gt;30,20+70*($AG1659/100),IF($O$5&gt;20,40+55*($AG1659/100),(80+(20-$O$5)+30*($AG1659/100))))))))))</f>
        <v>100</v>
      </c>
      <c r="AI1659" s="262">
        <v>1592</v>
      </c>
      <c r="AJ1659" s="262"/>
      <c r="AK1659" s="262"/>
      <c r="AL1659" s="263"/>
      <c r="AM1659" s="264"/>
      <c r="AN1659" s="263"/>
      <c r="AO1659" s="263"/>
      <c r="AP1659" s="265"/>
      <c r="AQ1659" s="266"/>
      <c r="AR1659" s="267">
        <v>15292</v>
      </c>
      <c r="AS1659" s="263"/>
      <c r="AT1659" s="263"/>
      <c r="AU1659" s="263"/>
      <c r="AV1659" s="264"/>
      <c r="AW1659" s="263"/>
      <c r="AX1659" s="263"/>
      <c r="AY1659" s="263"/>
      <c r="AZ1659" s="263"/>
      <c r="BA1659" s="263"/>
      <c r="BB1659" s="263"/>
      <c r="BC1659" s="263"/>
      <c r="BD1659" s="264"/>
      <c r="BE1659" s="263"/>
      <c r="BF1659" s="263"/>
      <c r="BG1659" s="263"/>
      <c r="BH1659" s="263"/>
      <c r="BI1659" s="263"/>
      <c r="BJ1659" s="404">
        <f>altaz(J2000_Bas,$O1659,$M1659,DecLat,DecLong,2)</f>
        <v>93.840277841804706</v>
      </c>
      <c r="BK1659" s="378" t="s">
        <v>1663</v>
      </c>
      <c r="BL1659" s="379">
        <f>IF((2*G1659)/60&lt;0.2,0.2,(2*G1659)/60)</f>
        <v>0.2</v>
      </c>
      <c r="BM1659" s="380">
        <f>MOD((50000+AD1659-$B$3+(0/24)),1)</f>
        <v>0.39554696419509128</v>
      </c>
      <c r="BN1659" s="381"/>
      <c r="BO1659" s="382">
        <v>1652</v>
      </c>
    </row>
    <row r="1660" spans="1:67" s="24" customFormat="1" ht="15" customHeight="1" x14ac:dyDescent="0.25">
      <c r="A1660" s="288" t="s">
        <v>3149</v>
      </c>
      <c r="B1660" s="241" t="str">
        <f>HYPERLINK(CONCATENATE($AT$3,BK1660,$AU$3),$AV$3)</f>
        <v>S</v>
      </c>
      <c r="C1660" s="242" t="str">
        <f>HYPERLINK(CONCATENATE($AT$4,BK1660,$AU$4,BL1660),$AV$4)</f>
        <v>A</v>
      </c>
      <c r="D1660" s="243" t="s">
        <v>5638</v>
      </c>
      <c r="E1660" s="244" t="s">
        <v>5192</v>
      </c>
      <c r="F1660" s="269" t="s">
        <v>8689</v>
      </c>
      <c r="G1660" s="273">
        <v>4</v>
      </c>
      <c r="H1660" s="283">
        <v>130</v>
      </c>
      <c r="I1660" s="246">
        <v>150</v>
      </c>
      <c r="J1660" s="246">
        <v>3</v>
      </c>
      <c r="K1660" s="247" t="s">
        <v>6750</v>
      </c>
      <c r="L1660" s="248">
        <v>43637</v>
      </c>
      <c r="M1660" s="249">
        <f>15*(LEFT(TEXT($L1660,"000000"),2)+(MID(TEXT($L1660,"000000"),3,2)/60)+(RIGHT(TEXT($L1660,"000000"),2)/3600))</f>
        <v>69.154166666666654</v>
      </c>
      <c r="N1660" s="250">
        <v>-848</v>
      </c>
      <c r="O1660" s="251">
        <f>IF($N1660&gt;0,(LEFT(TEXT($N1660,"000000"),2)+(MID(TEXT($N1660,"000000"),3,2)/60)+(RIGHT(TEXT($N1660,"000000"),2)/3600)),-(MID(TEXT($N1660,"000000"),2,2)+(MID(TEXT($N1660,"000000"),4,2)/60)+(RIGHT(TEXT($N1660,"000000"),2)/3600)))</f>
        <v>-0.14666666666666667</v>
      </c>
      <c r="P1660" s="252" t="s">
        <v>257</v>
      </c>
      <c r="Q1660" s="253"/>
      <c r="R1660" s="277" t="s">
        <v>3293</v>
      </c>
      <c r="S1660" s="272" t="s">
        <v>3293</v>
      </c>
      <c r="T1660" s="273">
        <v>12.3</v>
      </c>
      <c r="U1660" s="289">
        <v>22.19</v>
      </c>
      <c r="V1660" s="280">
        <v>75</v>
      </c>
      <c r="W1660" s="244"/>
      <c r="X1660" s="244"/>
      <c r="Y1660" s="362"/>
      <c r="Z1660" s="257">
        <f>altaz(J2000_Bas,$O1660,$M1660,DecLat,DecLong,1)</f>
        <v>-43.412213284761819</v>
      </c>
      <c r="AA1660" s="257">
        <f>altaz((J2000_Bas+(2*0.04167)),$O1660,$M1660,DecLat,DecLong,1)</f>
        <v>-19.704039036126609</v>
      </c>
      <c r="AB1660" s="257">
        <f>altaz((J2000_Bas+(4*0.04167)),$O1660,$M1660,DecLat,DecLong,1)</f>
        <v>5.935235481862625</v>
      </c>
      <c r="AC1660" s="257">
        <f>altaz((J2000_Bas+(6*0.04167)),$O1660,$M1660,DecLat,DecLong,1)</f>
        <v>31.047935410778731</v>
      </c>
      <c r="AD1660" s="258">
        <f>1+ transit((J2000_Bas-1),$O1660,$M1660,DecLat,DecLong)/360 + (GMTOffset/24) + (IF(DST="Y", 1, 0)/24)</f>
        <v>1.1849948488276245</v>
      </c>
      <c r="AE1660" s="259">
        <f>DATE(2001,9,21)+(M1660/360)*365 - (360*((DecLong/360)- (GMTOffset/24) ))</f>
        <v>37230.114641203705</v>
      </c>
      <c r="AF1660" s="260">
        <f>IF(DecLat&gt;0,IF((90 - (DecLat-O1660))&gt;90, (90 - (O1660-DecLat)), (90 - (DecLat-O1660))),IF((90 + (DecLat-O1660))&gt;90, (90 + (O1660-DecLat)), (90 + (DecLat-O1660))))</f>
        <v>58.853333333333332</v>
      </c>
      <c r="AG1660" s="257">
        <f>angularseperation(MoonRA,MoonDec,$M1660,$O1660)</f>
        <v>152.76910948963985</v>
      </c>
      <c r="AH1660" s="261">
        <f ca="1">MIN(100,IF($O$5&gt;80,0+30*($AG1660/100),IF($O$5&gt;70,0+50*($AG1660/100),IF($O$5&gt;60,5+50*($AG1660/100),IF($O$5&gt;50,10+60*($AG1660/100),IF($O$5&gt;40,15+70*($AG1660/100),IF($O$5&gt;30,20+70*($AG1660/100),IF($O$5&gt;20,40+55*($AG1660/100),(80+(20-$O$5)+30*($AG1660/100))))))))))</f>
        <v>100</v>
      </c>
      <c r="AI1660" s="263">
        <v>1620</v>
      </c>
      <c r="AJ1660" s="263"/>
      <c r="AK1660" s="263"/>
      <c r="AL1660" s="263"/>
      <c r="AM1660" s="264"/>
      <c r="AN1660" s="263"/>
      <c r="AO1660" s="263"/>
      <c r="AP1660" s="265"/>
      <c r="AQ1660" s="265">
        <v>3103</v>
      </c>
      <c r="AR1660" s="285">
        <v>15638</v>
      </c>
      <c r="AS1660" s="263"/>
      <c r="AT1660" s="263"/>
      <c r="AU1660" s="263"/>
      <c r="AV1660" s="264"/>
      <c r="AW1660" s="263"/>
      <c r="AX1660" s="263"/>
      <c r="AY1660" s="263"/>
      <c r="AZ1660" s="263"/>
      <c r="BA1660" s="263"/>
      <c r="BB1660" s="263"/>
      <c r="BC1660" s="263"/>
      <c r="BD1660" s="264"/>
      <c r="BE1660" s="263"/>
      <c r="BF1660" s="263"/>
      <c r="BG1660" s="263"/>
      <c r="BH1660" s="263"/>
      <c r="BI1660" s="263"/>
      <c r="BJ1660" s="404">
        <f>altaz(J2000_Bas,$O1660,$M1660,DecLat,DecLong,2)</f>
        <v>55.64371619824027</v>
      </c>
      <c r="BK1660" s="378" t="s">
        <v>3149</v>
      </c>
      <c r="BL1660" s="379">
        <f>IF((2*G1660)/60&lt;0.2,0.2,(2*G1660)/60)</f>
        <v>0.2</v>
      </c>
      <c r="BM1660" s="380">
        <f>MOD((50000+AD1660-$B$3+(0/24)),1)</f>
        <v>0.400361778534716</v>
      </c>
      <c r="BN1660" s="381" t="s">
        <v>9220</v>
      </c>
      <c r="BO1660" s="382">
        <v>1653</v>
      </c>
    </row>
    <row r="1661" spans="1:67" s="24" customFormat="1" ht="15" customHeight="1" x14ac:dyDescent="0.25">
      <c r="A1661" s="288" t="s">
        <v>1664</v>
      </c>
      <c r="B1661" s="241" t="str">
        <f>HYPERLINK(CONCATENATE($AT$3,BK1661,$AU$3),$AV$3)</f>
        <v>S</v>
      </c>
      <c r="C1661" s="242" t="str">
        <f>HYPERLINK(CONCATENATE($AT$4,BK1661,$AU$4,BL1661),$AV$4)</f>
        <v>A</v>
      </c>
      <c r="D1661" s="243" t="s">
        <v>5638</v>
      </c>
      <c r="E1661" s="244" t="s">
        <v>5192</v>
      </c>
      <c r="F1661" s="269" t="s">
        <v>8949</v>
      </c>
      <c r="G1661" s="273">
        <v>4</v>
      </c>
      <c r="H1661" s="283">
        <v>210</v>
      </c>
      <c r="I1661" s="246">
        <v>240</v>
      </c>
      <c r="J1661" s="246">
        <v>3</v>
      </c>
      <c r="K1661" s="247" t="s">
        <v>6752</v>
      </c>
      <c r="L1661" s="248">
        <v>43637</v>
      </c>
      <c r="M1661" s="249">
        <f>15*(LEFT(TEXT($L1661,"000000"),2)+(MID(TEXT($L1661,"000000"),3,2)/60)+(RIGHT(TEXT($L1661,"000000"),2)/3600))</f>
        <v>69.154166666666654</v>
      </c>
      <c r="N1661" s="250">
        <v>-31121</v>
      </c>
      <c r="O1661" s="251">
        <f>IF($N1661&gt;0,(LEFT(TEXT($N1661,"000000"),2)+(MID(TEXT($N1661,"000000"),3,2)/60)+(RIGHT(TEXT($N1661,"000000"),2)/3600)),-(MID(TEXT($N1661,"000000"),2,2)+(MID(TEXT($N1661,"000000"),4,2)/60)+(RIGHT(TEXT($N1661,"000000"),2)/3600)))</f>
        <v>-3.1891666666666665</v>
      </c>
      <c r="P1661" s="252" t="s">
        <v>257</v>
      </c>
      <c r="Q1661" s="253"/>
      <c r="R1661" s="247" t="s">
        <v>3293</v>
      </c>
      <c r="S1661" s="272" t="s">
        <v>6751</v>
      </c>
      <c r="T1661" s="273">
        <v>12.5</v>
      </c>
      <c r="U1661" s="289">
        <v>22.29</v>
      </c>
      <c r="V1661" s="280">
        <v>83</v>
      </c>
      <c r="W1661" s="244"/>
      <c r="X1661" s="244"/>
      <c r="Y1661" s="362"/>
      <c r="Z1661" s="257">
        <f>altaz(J2000_Bas,$O1661,$M1661,DecLat,DecLong,1)</f>
        <v>-45.521784871343925</v>
      </c>
      <c r="AA1661" s="257">
        <f>altaz((J2000_Bas+(2*0.04167)),$O1661,$M1661,DecLat,DecLong,1)</f>
        <v>-21.344649734419285</v>
      </c>
      <c r="AB1661" s="257">
        <f>altaz((J2000_Bas+(4*0.04167)),$O1661,$M1661,DecLat,DecLong,1)</f>
        <v>4.3533855605330043</v>
      </c>
      <c r="AC1661" s="257">
        <f>altaz((J2000_Bas+(6*0.04167)),$O1661,$M1661,DecLat,DecLong,1)</f>
        <v>29.184359946251217</v>
      </c>
      <c r="AD1661" s="258">
        <f>1+ transit((J2000_Bas-1),$O1661,$M1661,DecLat,DecLong)/360 + (GMTOffset/24) + (IF(DST="Y", 1, 0)/24)</f>
        <v>1.1849948488276245</v>
      </c>
      <c r="AE1661" s="259">
        <f>DATE(2001,9,21)+(M1661/360)*365 - (360*((DecLong/360)- (GMTOffset/24) ))</f>
        <v>37230.114641203705</v>
      </c>
      <c r="AF1661" s="260">
        <f>IF(DecLat&gt;0,IF((90 - (DecLat-O1661))&gt;90, (90 - (O1661-DecLat)), (90 - (DecLat-O1661))),IF((90 + (DecLat-O1661))&gt;90, (90 + (O1661-DecLat)), (90 + (DecLat-O1661))))</f>
        <v>55.810833333333335</v>
      </c>
      <c r="AG1661" s="257">
        <f>angularseperation(MoonRA,MoonDec,$M1661,$O1661)</f>
        <v>149.72662174452927</v>
      </c>
      <c r="AH1661" s="261">
        <f ca="1">MIN(100,IF($O$5&gt;80,0+30*($AG1661/100),IF($O$5&gt;70,0+50*($AG1661/100),IF($O$5&gt;60,5+50*($AG1661/100),IF($O$5&gt;50,10+60*($AG1661/100),IF($O$5&gt;40,15+70*($AG1661/100),IF($O$5&gt;30,20+70*($AG1661/100),IF($O$5&gt;20,40+55*($AG1661/100),(80+(20-$O$5)+30*($AG1661/100))))))))))</f>
        <v>100</v>
      </c>
      <c r="AI1661" s="262">
        <v>1622</v>
      </c>
      <c r="AJ1661" s="262"/>
      <c r="AK1661" s="262"/>
      <c r="AL1661" s="263"/>
      <c r="AM1661" s="264"/>
      <c r="AN1661" s="263"/>
      <c r="AO1661" s="263"/>
      <c r="AP1661" s="265"/>
      <c r="AQ1661" s="266"/>
      <c r="AR1661" s="267">
        <v>15635</v>
      </c>
      <c r="AS1661" s="263"/>
      <c r="AT1661" s="263"/>
      <c r="AU1661" s="263"/>
      <c r="AV1661" s="264"/>
      <c r="AW1661" s="263"/>
      <c r="AX1661" s="263"/>
      <c r="AY1661" s="263"/>
      <c r="AZ1661" s="263"/>
      <c r="BA1661" s="263"/>
      <c r="BB1661" s="263"/>
      <c r="BC1661" s="263"/>
      <c r="BD1661" s="264"/>
      <c r="BE1661" s="263"/>
      <c r="BF1661" s="263"/>
      <c r="BG1661" s="263"/>
      <c r="BH1661" s="263"/>
      <c r="BI1661" s="263"/>
      <c r="BJ1661" s="404">
        <f>altaz(J2000_Bas,$O1661,$M1661,DecLat,DecLong,2)</f>
        <v>58.716615987265371</v>
      </c>
      <c r="BK1661" s="378" t="s">
        <v>1664</v>
      </c>
      <c r="BL1661" s="379">
        <f>IF((2*G1661)/60&lt;0.2,0.2,(2*G1661)/60)</f>
        <v>0.2</v>
      </c>
      <c r="BM1661" s="380">
        <f>MOD((50000+AD1661-$B$3+(0/24)),1)</f>
        <v>0.400361778534716</v>
      </c>
      <c r="BN1661" s="381"/>
      <c r="BO1661" s="382">
        <v>1654</v>
      </c>
    </row>
    <row r="1662" spans="1:67" s="24" customFormat="1" ht="15" customHeight="1" x14ac:dyDescent="0.25">
      <c r="A1662" s="288" t="s">
        <v>3486</v>
      </c>
      <c r="B1662" s="241" t="str">
        <f>HYPERLINK(CONCATENATE($AT$3,BK1662,$AU$3),$AV$3)</f>
        <v>S</v>
      </c>
      <c r="C1662" s="242" t="str">
        <f>HYPERLINK(CONCATENATE($AT$4,BK1662,$AU$4,BL1662),$AV$4)</f>
        <v>A</v>
      </c>
      <c r="D1662" s="243" t="s">
        <v>5335</v>
      </c>
      <c r="E1662" s="244" t="s">
        <v>5185</v>
      </c>
      <c r="F1662" s="269" t="s">
        <v>5248</v>
      </c>
      <c r="G1662" s="273">
        <v>3</v>
      </c>
      <c r="H1662" s="283">
        <v>20000</v>
      </c>
      <c r="I1662" s="246">
        <v>18</v>
      </c>
      <c r="J1662" s="246">
        <v>2</v>
      </c>
      <c r="K1662" s="247" t="s">
        <v>5247</v>
      </c>
      <c r="L1662" s="248">
        <v>44036</v>
      </c>
      <c r="M1662" s="249">
        <f>15*(LEFT(TEXT($L1662,"000000"),2)+(MID(TEXT($L1662,"000000"),3,2)/60)+(RIGHT(TEXT($L1662,"000000"),2)/3600))</f>
        <v>70.150000000000006</v>
      </c>
      <c r="N1662" s="250">
        <v>502744</v>
      </c>
      <c r="O1662" s="251">
        <f>IF($N1662&gt;0,(LEFT(TEXT($N1662,"000000"),2)+(MID(TEXT($N1662,"000000"),3,2)/60)+(RIGHT(TEXT($N1662,"000000"),2)/3600)),-(MID(TEXT($N1662,"000000"),2,2)+(MID(TEXT($N1662,"000000"),4,2)/60)+(RIGHT(TEXT($N1662,"000000"),2)/3600)))</f>
        <v>50.462222222222223</v>
      </c>
      <c r="P1662" s="252" t="s">
        <v>43</v>
      </c>
      <c r="Q1662" s="253"/>
      <c r="R1662" s="247" t="s">
        <v>2636</v>
      </c>
      <c r="S1662" s="272" t="s">
        <v>3293</v>
      </c>
      <c r="T1662" s="273">
        <v>12.8</v>
      </c>
      <c r="U1662" s="274"/>
      <c r="V1662" s="280"/>
      <c r="W1662" s="244"/>
      <c r="X1662" s="244"/>
      <c r="Y1662" s="362"/>
      <c r="Z1662" s="257">
        <f>altaz(J2000_Bas,$O1662,$M1662,DecLat,DecLong,1)</f>
        <v>-2.5833638854579344</v>
      </c>
      <c r="AA1662" s="257">
        <f>altaz((J2000_Bas+(2*0.04167)),$O1662,$M1662,DecLat,DecLong,1)</f>
        <v>10.06195428510822</v>
      </c>
      <c r="AB1662" s="257">
        <f>altaz((J2000_Bas+(4*0.04167)),$O1662,$M1662,DecLat,DecLong,1)</f>
        <v>27.029086428487737</v>
      </c>
      <c r="AC1662" s="257">
        <f>altaz((J2000_Bas+(6*0.04167)),$O1662,$M1662,DecLat,DecLong,1)</f>
        <v>45.951360634834089</v>
      </c>
      <c r="AD1662" s="258">
        <f>1+ transit((J2000_Bas-1),$O1662,$M1662,DecLat,DecLong)/360 + (GMTOffset/24) + (IF(DST="Y", 1, 0)/24)</f>
        <v>1.187761052254708</v>
      </c>
      <c r="AE1662" s="259">
        <f>DATE(2001,9,21)+(M1662/360)*365 - (360*((DecLong/360)- (GMTOffset/24) ))</f>
        <v>37231.124305555553</v>
      </c>
      <c r="AF1662" s="260">
        <f>IF(DecLat&gt;0,IF((90 - (DecLat-O1662))&gt;90, (90 - (O1662-DecLat)), (90 - (DecLat-O1662))),IF((90 + (DecLat-O1662))&gt;90, (90 + (O1662-DecLat)), (90 + (DecLat-O1662))))</f>
        <v>70.537777777777777</v>
      </c>
      <c r="AG1662" s="257">
        <f>angularseperation(MoonRA,MoonDec,$M1662,$O1662)</f>
        <v>156.61159432110765</v>
      </c>
      <c r="AH1662" s="261">
        <f ca="1">MIN(100,IF($O$5&gt;80,0+30*($AG1662/100),IF($O$5&gt;70,0+50*($AG1662/100),IF($O$5&gt;60,5+50*($AG1662/100),IF($O$5&gt;50,10+60*($AG1662/100),IF($O$5&gt;40,15+70*($AG1662/100),IF($O$5&gt;30,20+70*($AG1662/100),IF($O$5&gt;20,40+55*($AG1662/100),(80+(20-$O$5)+30*($AG1662/100))))))))))</f>
        <v>100</v>
      </c>
      <c r="AI1662" s="262">
        <v>1624</v>
      </c>
      <c r="AJ1662" s="262"/>
      <c r="AK1662" s="262"/>
      <c r="AL1662" s="263"/>
      <c r="AM1662" s="264"/>
      <c r="AN1662" s="263"/>
      <c r="AO1662" s="263"/>
      <c r="AP1662" s="265"/>
      <c r="AQ1662" s="266"/>
      <c r="AR1662" s="267"/>
      <c r="AS1662" s="263"/>
      <c r="AT1662" s="263"/>
      <c r="AU1662" s="263"/>
      <c r="AV1662" s="264"/>
      <c r="AW1662" s="263"/>
      <c r="AX1662" s="263"/>
      <c r="AY1662" s="263"/>
      <c r="AZ1662" s="263"/>
      <c r="BA1662" s="263"/>
      <c r="BB1662" s="263"/>
      <c r="BC1662" s="263"/>
      <c r="BD1662" s="264"/>
      <c r="BE1662" s="263"/>
      <c r="BF1662" s="263"/>
      <c r="BG1662" s="263"/>
      <c r="BH1662" s="263"/>
      <c r="BI1662" s="263"/>
      <c r="BJ1662" s="404">
        <f>altaz(J2000_Bas,$O1662,$M1662,DecLat,DecLong,2)</f>
        <v>21.914943414832667</v>
      </c>
      <c r="BK1662" s="378" t="s">
        <v>2636</v>
      </c>
      <c r="BL1662" s="379">
        <f>IF((2*G1662)/60&lt;0.2,0.2,(2*G1662)/60)</f>
        <v>0.2</v>
      </c>
      <c r="BM1662" s="380">
        <f>MOD((50000+AD1662-$B$3+(0/24)),1)</f>
        <v>0.4031279819610063</v>
      </c>
      <c r="BN1662" s="381"/>
      <c r="BO1662" s="382">
        <v>1655</v>
      </c>
    </row>
    <row r="1663" spans="1:67" s="24" customFormat="1" ht="15" customHeight="1" x14ac:dyDescent="0.25">
      <c r="A1663" s="288" t="s">
        <v>1665</v>
      </c>
      <c r="B1663" s="241" t="str">
        <f>HYPERLINK(CONCATENATE($AT$3,BK1663,$AU$3),$AV$3)</f>
        <v>S</v>
      </c>
      <c r="C1663" s="242" t="str">
        <f>HYPERLINK(CONCATENATE($AT$4,BK1663,$AU$4,BL1663),$AV$4)</f>
        <v>A</v>
      </c>
      <c r="D1663" s="243" t="s">
        <v>5638</v>
      </c>
      <c r="E1663" s="244" t="s">
        <v>5192</v>
      </c>
      <c r="F1663" s="269" t="s">
        <v>8895</v>
      </c>
      <c r="G1663" s="273">
        <v>4</v>
      </c>
      <c r="H1663" s="283">
        <v>35</v>
      </c>
      <c r="I1663" s="246">
        <v>45</v>
      </c>
      <c r="J1663" s="246">
        <v>3</v>
      </c>
      <c r="K1663" s="247" t="s">
        <v>6753</v>
      </c>
      <c r="L1663" s="248">
        <v>44128</v>
      </c>
      <c r="M1663" s="249">
        <f>15*(LEFT(TEXT($L1663,"000000"),2)+(MID(TEXT($L1663,"000000"),3,2)/60)+(RIGHT(TEXT($L1663,"000000"),2)/3600))</f>
        <v>70.366666666666674</v>
      </c>
      <c r="N1663" s="286">
        <v>-25127</v>
      </c>
      <c r="O1663" s="251">
        <f>IF($N1663&gt;0,(LEFT(TEXT($N1663,"000000"),2)+(MID(TEXT($N1663,"000000"),3,2)/60)+(RIGHT(TEXT($N1663,"000000"),2)/3600)),-(MID(TEXT($N1663,"000000"),2,2)+(MID(TEXT($N1663,"000000"),4,2)/60)+(RIGHT(TEXT($N1663,"000000"),2)/3600)))</f>
        <v>-2.8574999999999999</v>
      </c>
      <c r="P1663" s="252" t="s">
        <v>257</v>
      </c>
      <c r="Q1663" s="253"/>
      <c r="R1663" s="247" t="s">
        <v>3293</v>
      </c>
      <c r="S1663" s="272" t="s">
        <v>3293</v>
      </c>
      <c r="T1663" s="273">
        <v>10.8</v>
      </c>
      <c r="U1663" s="289">
        <v>22.39</v>
      </c>
      <c r="V1663" s="280">
        <v>15</v>
      </c>
      <c r="W1663" s="244"/>
      <c r="X1663" s="244"/>
      <c r="Y1663" s="362"/>
      <c r="Z1663" s="257">
        <f>altaz(J2000_Bas,$O1663,$M1663,DecLat,DecLong,1)</f>
        <v>-46.175119956839751</v>
      </c>
      <c r="AA1663" s="257">
        <f>altaz((J2000_Bas+(2*0.04167)),$O1663,$M1663,DecLat,DecLong,1)</f>
        <v>-22.190950720608782</v>
      </c>
      <c r="AB1663" s="257">
        <f>altaz((J2000_Bas+(4*0.04167)),$O1663,$M1663,DecLat,DecLong,1)</f>
        <v>3.4922628826677435</v>
      </c>
      <c r="AC1663" s="257">
        <f>altaz((J2000_Bas+(6*0.04167)),$O1663,$M1663,DecLat,DecLong,1)</f>
        <v>28.437024644834</v>
      </c>
      <c r="AD1663" s="258">
        <f>1+ transit((J2000_Bas-1),$O1663,$M1663,DecLat,DecLong)/360 + (GMTOffset/24) + (IF(DST="Y", 1, 0)/24)</f>
        <v>1.1883629040463746</v>
      </c>
      <c r="AE1663" s="259">
        <f>DATE(2001,9,21)+(M1663/360)*365 - (360*((DecLong/360)- (GMTOffset/24) ))</f>
        <v>37231.343981481485</v>
      </c>
      <c r="AF1663" s="260">
        <f>IF(DecLat&gt;0,IF((90 - (DecLat-O1663))&gt;90, (90 - (O1663-DecLat)), (90 - (DecLat-O1663))),IF((90 + (DecLat-O1663))&gt;90, (90 + (O1663-DecLat)), (90 + (DecLat-O1663))))</f>
        <v>56.142499999999998</v>
      </c>
      <c r="AG1663" s="257">
        <f>angularseperation(MoonRA,MoonDec,$M1663,$O1663)</f>
        <v>150.03874467818142</v>
      </c>
      <c r="AH1663" s="261">
        <f ca="1">MIN(100,IF($O$5&gt;80,0+30*($AG1663/100),IF($O$5&gt;70,0+50*($AG1663/100),IF($O$5&gt;60,5+50*($AG1663/100),IF($O$5&gt;50,10+60*($AG1663/100),IF($O$5&gt;40,15+70*($AG1663/100),IF($O$5&gt;30,20+70*($AG1663/100),IF($O$5&gt;20,40+55*($AG1663/100),(80+(20-$O$5)+30*($AG1663/100))))))))))</f>
        <v>100</v>
      </c>
      <c r="AI1663" s="262">
        <v>1637</v>
      </c>
      <c r="AJ1663" s="262"/>
      <c r="AK1663" s="262"/>
      <c r="AL1663" s="263"/>
      <c r="AM1663" s="264"/>
      <c r="AN1663" s="263"/>
      <c r="AO1663" s="263"/>
      <c r="AP1663" s="265"/>
      <c r="AQ1663" s="266"/>
      <c r="AR1663" s="267">
        <v>15821</v>
      </c>
      <c r="AS1663" s="263"/>
      <c r="AT1663" s="263"/>
      <c r="AU1663" s="263"/>
      <c r="AV1663" s="264"/>
      <c r="AW1663" s="263"/>
      <c r="AX1663" s="263"/>
      <c r="AY1663" s="263"/>
      <c r="AZ1663" s="263"/>
      <c r="BA1663" s="263"/>
      <c r="BB1663" s="263"/>
      <c r="BC1663" s="263"/>
      <c r="BD1663" s="264"/>
      <c r="BE1663" s="263"/>
      <c r="BF1663" s="263"/>
      <c r="BG1663" s="263"/>
      <c r="BH1663" s="263"/>
      <c r="BI1663" s="263"/>
      <c r="BJ1663" s="404">
        <f>altaz(J2000_Bas,$O1663,$M1663,DecLat,DecLong,2)</f>
        <v>57.177539561459533</v>
      </c>
      <c r="BK1663" s="378" t="s">
        <v>1665</v>
      </c>
      <c r="BL1663" s="379">
        <f>IF((2*G1663)/60&lt;0.2,0.2,(2*G1663)/60)</f>
        <v>0.2</v>
      </c>
      <c r="BM1663" s="380">
        <f>MOD((50000+AD1663-$B$3+(0/24)),1)</f>
        <v>0.40372983374982141</v>
      </c>
      <c r="BN1663" s="381"/>
      <c r="BO1663" s="382">
        <v>1656</v>
      </c>
    </row>
    <row r="1664" spans="1:67" s="24" customFormat="1" ht="15" customHeight="1" x14ac:dyDescent="0.25">
      <c r="A1664" s="288" t="s">
        <v>1666</v>
      </c>
      <c r="B1664" s="241" t="str">
        <f>HYPERLINK(CONCATENATE($AT$3,BK1664,$AU$3),$AV$3)</f>
        <v>S</v>
      </c>
      <c r="C1664" s="242" t="str">
        <f>HYPERLINK(CONCATENATE($AT$4,BK1664,$AU$4,BL1664),$AV$4)</f>
        <v>A</v>
      </c>
      <c r="D1664" s="243" t="s">
        <v>5638</v>
      </c>
      <c r="E1664" s="244" t="s">
        <v>5192</v>
      </c>
      <c r="F1664" s="269" t="s">
        <v>8945</v>
      </c>
      <c r="G1664" s="273">
        <v>2.7</v>
      </c>
      <c r="H1664" s="283">
        <v>75</v>
      </c>
      <c r="I1664" s="246">
        <v>60</v>
      </c>
      <c r="J1664" s="246">
        <v>2</v>
      </c>
      <c r="K1664" s="247" t="s">
        <v>6754</v>
      </c>
      <c r="L1664" s="248">
        <v>44214</v>
      </c>
      <c r="M1664" s="249">
        <f>15*(LEFT(TEXT($L1664,"000000"),2)+(MID(TEXT($L1664,"000000"),3,2)/60)+(RIGHT(TEXT($L1664,"000000"),2)/3600))</f>
        <v>70.558333333333337</v>
      </c>
      <c r="N1664" s="250">
        <v>-202606</v>
      </c>
      <c r="O1664" s="251">
        <f>IF($N1664&gt;0,(LEFT(TEXT($N1664,"000000"),2)+(MID(TEXT($N1664,"000000"),3,2)/60)+(RIGHT(TEXT($N1664,"000000"),2)/3600)),-(MID(TEXT($N1664,"000000"),2,2)+(MID(TEXT($N1664,"000000"),4,2)/60)+(RIGHT(TEXT($N1664,"000000"),2)/3600)))</f>
        <v>-20.434999999999999</v>
      </c>
      <c r="P1664" s="252" t="s">
        <v>257</v>
      </c>
      <c r="Q1664" s="253"/>
      <c r="R1664" s="247" t="s">
        <v>3293</v>
      </c>
      <c r="S1664" s="272" t="s">
        <v>3293</v>
      </c>
      <c r="T1664" s="273">
        <v>11.7</v>
      </c>
      <c r="U1664" s="289">
        <v>22.19</v>
      </c>
      <c r="V1664" s="280">
        <v>30</v>
      </c>
      <c r="W1664" s="244"/>
      <c r="X1664" s="244"/>
      <c r="Y1664" s="362"/>
      <c r="Z1664" s="257">
        <f>altaz(J2000_Bas,$O1664,$M1664,DecLat,DecLong,1)</f>
        <v>-56.531973357079387</v>
      </c>
      <c r="AA1664" s="257">
        <f>altaz((J2000_Bas+(2*0.04167)),$O1664,$M1664,DecLat,DecLong,1)</f>
        <v>-30.833614614347393</v>
      </c>
      <c r="AB1664" s="257">
        <f>altaz((J2000_Bas+(4*0.04167)),$O1664,$M1664,DecLat,DecLong,1)</f>
        <v>-5.8114452136562607</v>
      </c>
      <c r="AC1664" s="257">
        <f>altaz((J2000_Bas+(6*0.04167)),$O1664,$M1664,DecLat,DecLong,1)</f>
        <v>16.790222455928443</v>
      </c>
      <c r="AD1664" s="258">
        <f>1+ transit((J2000_Bas-1),$O1664,$M1664,DecLat,DecLong)/360 + (GMTOffset/24) + (IF(DST="Y", 1, 0)/24)</f>
        <v>1.1888953114005414</v>
      </c>
      <c r="AE1664" s="259">
        <f>DATE(2001,9,21)+(M1664/360)*365 - (360*((DecLong/360)- (GMTOffset/24) ))</f>
        <v>37231.538310185184</v>
      </c>
      <c r="AF1664" s="260">
        <f>IF(DecLat&gt;0,IF((90 - (DecLat-O1664))&gt;90, (90 - (O1664-DecLat)), (90 - (DecLat-O1664))),IF((90 + (DecLat-O1664))&gt;90, (90 + (O1664-DecLat)), (90 + (DecLat-O1664))))</f>
        <v>38.564999999999998</v>
      </c>
      <c r="AG1664" s="257">
        <f>angularseperation(MoonRA,MoonDec,$M1664,$O1664)</f>
        <v>132.46380192700366</v>
      </c>
      <c r="AH1664" s="261">
        <f ca="1">MIN(100,IF($O$5&gt;80,0+30*($AG1664/100),IF($O$5&gt;70,0+50*($AG1664/100),IF($O$5&gt;60,5+50*($AG1664/100),IF($O$5&gt;50,10+60*($AG1664/100),IF($O$5&gt;40,15+70*($AG1664/100),IF($O$5&gt;30,20+70*($AG1664/100),IF($O$5&gt;20,40+55*($AG1664/100),(80+(20-$O$5)+30*($AG1664/100))))))))))</f>
        <v>100</v>
      </c>
      <c r="AI1664" s="262">
        <v>1640</v>
      </c>
      <c r="AJ1664" s="262"/>
      <c r="AK1664" s="262"/>
      <c r="AL1664" s="263"/>
      <c r="AM1664" s="264"/>
      <c r="AN1664" s="263"/>
      <c r="AO1664" s="263"/>
      <c r="AP1664" s="265"/>
      <c r="AQ1664" s="266"/>
      <c r="AR1664" s="267">
        <v>15850</v>
      </c>
      <c r="AS1664" s="263"/>
      <c r="AT1664" s="263"/>
      <c r="AU1664" s="263"/>
      <c r="AV1664" s="264"/>
      <c r="AW1664" s="263"/>
      <c r="AX1664" s="263"/>
      <c r="AY1664" s="263"/>
      <c r="AZ1664" s="263"/>
      <c r="BA1664" s="263"/>
      <c r="BB1664" s="263"/>
      <c r="BC1664" s="263"/>
      <c r="BD1664" s="264"/>
      <c r="BE1664" s="263"/>
      <c r="BF1664" s="263"/>
      <c r="BG1664" s="263"/>
      <c r="BH1664" s="263"/>
      <c r="BI1664" s="263"/>
      <c r="BJ1664" s="404">
        <f>altaz(J2000_Bas,$O1664,$M1664,DecLat,DecLong,2)</f>
        <v>80.195279940637477</v>
      </c>
      <c r="BK1664" s="378" t="s">
        <v>1666</v>
      </c>
      <c r="BL1664" s="379">
        <f>IF((2*G1664)/60&lt;0.2,0.2,(2*G1664)/60)</f>
        <v>0.2</v>
      </c>
      <c r="BM1664" s="380">
        <f>MOD((50000+AD1664-$B$3+(0/24)),1)</f>
        <v>0.40426224110706244</v>
      </c>
      <c r="BN1664" s="381"/>
      <c r="BO1664" s="382">
        <v>1657</v>
      </c>
    </row>
    <row r="1665" spans="1:67" s="24" customFormat="1" ht="15" customHeight="1" x14ac:dyDescent="0.25">
      <c r="A1665" s="288" t="s">
        <v>1667</v>
      </c>
      <c r="B1665" s="241" t="str">
        <f>HYPERLINK(CONCATENATE($AT$3,BK1665,$AU$3),$AV$3)</f>
        <v>S</v>
      </c>
      <c r="C1665" s="242" t="str">
        <f>HYPERLINK(CONCATENATE($AT$4,BK1665,$AU$4,BL1665),$AV$4)</f>
        <v>A</v>
      </c>
      <c r="D1665" s="243" t="s">
        <v>5638</v>
      </c>
      <c r="E1665" s="244" t="s">
        <v>5182</v>
      </c>
      <c r="F1665" s="269" t="s">
        <v>3300</v>
      </c>
      <c r="G1665" s="273">
        <v>2.4</v>
      </c>
      <c r="H1665" s="283">
        <v>220</v>
      </c>
      <c r="I1665" s="246">
        <v>150</v>
      </c>
      <c r="J1665" s="246">
        <v>2</v>
      </c>
      <c r="K1665" s="247" t="s">
        <v>6755</v>
      </c>
      <c r="L1665" s="248">
        <v>44424</v>
      </c>
      <c r="M1665" s="249">
        <f>15*(LEFT(TEXT($L1665,"000000"),2)+(MID(TEXT($L1665,"000000"),3,2)/60)+(RIGHT(TEXT($L1665,"000000"),2)/3600))</f>
        <v>71.100000000000009</v>
      </c>
      <c r="N1665" s="250">
        <v>-83155</v>
      </c>
      <c r="O1665" s="251">
        <f>IF($N1665&gt;0,(LEFT(TEXT($N1665,"000000"),2)+(MID(TEXT($N1665,"000000"),3,2)/60)+(RIGHT(TEXT($N1665,"000000"),2)/3600)),-(MID(TEXT($N1665,"000000"),2,2)+(MID(TEXT($N1665,"000000"),4,2)/60)+(RIGHT(TEXT($N1665,"000000"),2)/3600)))</f>
        <v>-8.531944444444445</v>
      </c>
      <c r="P1665" s="252" t="s">
        <v>257</v>
      </c>
      <c r="Q1665" s="253"/>
      <c r="R1665" s="247" t="s">
        <v>3293</v>
      </c>
      <c r="S1665" s="272" t="s">
        <v>3293</v>
      </c>
      <c r="T1665" s="273">
        <v>12.4</v>
      </c>
      <c r="U1665" s="289">
        <v>22.59</v>
      </c>
      <c r="V1665" s="280"/>
      <c r="W1665" s="244"/>
      <c r="X1665" s="244"/>
      <c r="Y1665" s="362"/>
      <c r="Z1665" s="257">
        <f>altaz(J2000_Bas,$O1665,$M1665,DecLat,DecLong,1)</f>
        <v>-50.499282841632137</v>
      </c>
      <c r="AA1665" s="257">
        <f>altaz((J2000_Bas+(2*0.04167)),$O1665,$M1665,DecLat,DecLong,1)</f>
        <v>-25.774417611698308</v>
      </c>
      <c r="AB1665" s="257">
        <f>altaz((J2000_Bas+(4*0.04167)),$O1665,$M1665,DecLat,DecLong,1)</f>
        <v>-8.4468781315403363E-2</v>
      </c>
      <c r="AC1665" s="257">
        <f>altaz((J2000_Bas+(6*0.04167)),$O1665,$M1665,DecLat,DecLong,1)</f>
        <v>24.311071904131456</v>
      </c>
      <c r="AD1665" s="258">
        <f>1+ transit((J2000_Bas-1),$O1665,$M1665,DecLat,DecLong)/360 + (GMTOffset/24) + (IF(DST="Y", 1, 0)/24)</f>
        <v>1.1903999408797079</v>
      </c>
      <c r="AE1665" s="259">
        <f>DATE(2001,9,21)+(M1665/360)*365 - (360*((DecLong/360)- (GMTOffset/24) ))</f>
        <v>37232.087500000001</v>
      </c>
      <c r="AF1665" s="260">
        <f>IF(DecLat&gt;0,IF((90 - (DecLat-O1665))&gt;90, (90 - (O1665-DecLat)), (90 - (DecLat-O1665))),IF((90 + (DecLat-O1665))&gt;90, (90 + (O1665-DecLat)), (90 + (DecLat-O1665))))</f>
        <v>50.468055555555551</v>
      </c>
      <c r="AG1665" s="257">
        <f>angularseperation(MoonRA,MoonDec,$M1665,$O1665)</f>
        <v>144.33843858949604</v>
      </c>
      <c r="AH1665" s="261">
        <f ca="1">MIN(100,IF($O$5&gt;80,0+30*($AG1665/100),IF($O$5&gt;70,0+50*($AG1665/100),IF($O$5&gt;60,5+50*($AG1665/100),IF($O$5&gt;50,10+60*($AG1665/100),IF($O$5&gt;40,15+70*($AG1665/100),IF($O$5&gt;30,20+70*($AG1665/100),IF($O$5&gt;20,40+55*($AG1665/100),(80+(20-$O$5)+30*($AG1665/100))))))))))</f>
        <v>100</v>
      </c>
      <c r="AI1665" s="262">
        <v>1646</v>
      </c>
      <c r="AJ1665" s="262"/>
      <c r="AK1665" s="262"/>
      <c r="AL1665" s="263"/>
      <c r="AM1665" s="264"/>
      <c r="AN1665" s="263"/>
      <c r="AO1665" s="263"/>
      <c r="AP1665" s="265"/>
      <c r="AQ1665" s="266"/>
      <c r="AR1665" s="267">
        <v>15914</v>
      </c>
      <c r="AS1665" s="263"/>
      <c r="AT1665" s="263"/>
      <c r="AU1665" s="263"/>
      <c r="AV1665" s="264"/>
      <c r="AW1665" s="263"/>
      <c r="AX1665" s="263"/>
      <c r="AY1665" s="263"/>
      <c r="AZ1665" s="263"/>
      <c r="BA1665" s="263"/>
      <c r="BB1665" s="263"/>
      <c r="BC1665" s="263"/>
      <c r="BD1665" s="264"/>
      <c r="BE1665" s="263"/>
      <c r="BF1665" s="263"/>
      <c r="BG1665" s="263"/>
      <c r="BH1665" s="263"/>
      <c r="BI1665" s="263"/>
      <c r="BJ1665" s="404">
        <f>altaz(J2000_Bas,$O1665,$M1665,DecLat,DecLong,2)</f>
        <v>62.820564297125784</v>
      </c>
      <c r="BK1665" s="378" t="s">
        <v>1667</v>
      </c>
      <c r="BL1665" s="379">
        <f>IF((2*G1665)/60&lt;0.2,0.2,(2*G1665)/60)</f>
        <v>0.2</v>
      </c>
      <c r="BM1665" s="380">
        <f>MOD((50000+AD1665-$B$3+(0/24)),1)</f>
        <v>0.40576687058637617</v>
      </c>
      <c r="BN1665" s="381"/>
      <c r="BO1665" s="382">
        <v>1658</v>
      </c>
    </row>
    <row r="1666" spans="1:67" s="24" customFormat="1" ht="15" customHeight="1" x14ac:dyDescent="0.25">
      <c r="A1666" s="288" t="s">
        <v>1668</v>
      </c>
      <c r="B1666" s="241" t="str">
        <f>HYPERLINK(CONCATENATE($AT$3,BK1666,$AU$3),$AV$3)</f>
        <v>S</v>
      </c>
      <c r="C1666" s="242" t="str">
        <f>HYPERLINK(CONCATENATE($AT$4,BK1666,$AU$4,BL1666),$AV$4)</f>
        <v>A</v>
      </c>
      <c r="D1666" s="243" t="s">
        <v>5335</v>
      </c>
      <c r="E1666" s="244" t="s">
        <v>5185</v>
      </c>
      <c r="F1666" s="269" t="s">
        <v>6759</v>
      </c>
      <c r="G1666" s="276">
        <v>40</v>
      </c>
      <c r="H1666" s="283">
        <v>1700</v>
      </c>
      <c r="I1666" s="246">
        <v>20</v>
      </c>
      <c r="J1666" s="246">
        <v>2</v>
      </c>
      <c r="K1666" s="247" t="s">
        <v>6756</v>
      </c>
      <c r="L1666" s="248">
        <v>44555</v>
      </c>
      <c r="M1666" s="249">
        <f>15*(LEFT(TEXT($L1666,"000000"),2)+(MID(TEXT($L1666,"000000"),3,2)/60)+(RIGHT(TEXT($L1666,"000000"),2)/3600))</f>
        <v>71.479166666666657</v>
      </c>
      <c r="N1666" s="250">
        <v>190654</v>
      </c>
      <c r="O1666" s="251">
        <f>IF($N1666&gt;0,(LEFT(TEXT($N1666,"000000"),2)+(MID(TEXT($N1666,"000000"),3,2)/60)+(RIGHT(TEXT($N1666,"000000"),2)/3600)),-(MID(TEXT($N1666,"000000"),2,2)+(MID(TEXT($N1666,"000000"),4,2)/60)+(RIGHT(TEXT($N1666,"000000"),2)/3600)))</f>
        <v>19.115000000000002</v>
      </c>
      <c r="P1666" s="252" t="s">
        <v>56</v>
      </c>
      <c r="Q1666" s="253" t="s">
        <v>7140</v>
      </c>
      <c r="R1666" s="277" t="s">
        <v>3293</v>
      </c>
      <c r="S1666" s="272" t="s">
        <v>3293</v>
      </c>
      <c r="T1666" s="273">
        <v>6.4</v>
      </c>
      <c r="U1666" s="274"/>
      <c r="V1666" s="280"/>
      <c r="W1666" s="244"/>
      <c r="X1666" s="244"/>
      <c r="Y1666" s="362"/>
      <c r="Z1666" s="257">
        <f>altaz(J2000_Bas,$O1666,$M1666,DecLat,DecLong,1)</f>
        <v>-29.908718573120723</v>
      </c>
      <c r="AA1666" s="257">
        <f>altaz((J2000_Bas+(2*0.04167)),$O1666,$M1666,DecLat,DecLong,1)</f>
        <v>-10.290424406593559</v>
      </c>
      <c r="AB1666" s="257">
        <f>altaz((J2000_Bas+(4*0.04167)),$O1666,$M1666,DecLat,DecLong,1)</f>
        <v>13.586587495392237</v>
      </c>
      <c r="AC1666" s="257">
        <f>altaz((J2000_Bas+(6*0.04167)),$O1666,$M1666,DecLat,DecLong,1)</f>
        <v>39.095540389104173</v>
      </c>
      <c r="AD1666" s="258">
        <f>1+ transit((J2000_Bas-1),$O1666,$M1666,DecLat,DecLong)/360 + (GMTOffset/24) + (IF(DST="Y", 1, 0)/24)</f>
        <v>1.1914531815151246</v>
      </c>
      <c r="AE1666" s="259">
        <f>DATE(2001,9,21)+(M1666/360)*365 - (360*((DecLong/360)- (GMTOffset/24) ))</f>
        <v>37232.471932870372</v>
      </c>
      <c r="AF1666" s="260">
        <f>IF(DecLat&gt;0,IF((90 - (DecLat-O1666))&gt;90, (90 - (O1666-DecLat)), (90 - (DecLat-O1666))),IF((90 + (DecLat-O1666))&gt;90, (90 + (O1666-DecLat)), (90 + (DecLat-O1666))))</f>
        <v>78.115000000000009</v>
      </c>
      <c r="AG1666" s="257">
        <f>angularseperation(MoonRA,MoonDec,$M1666,$O1666)</f>
        <v>171.77013503095739</v>
      </c>
      <c r="AH1666" s="261">
        <f ca="1">MIN(100,IF($O$5&gt;80,0+30*($AG1666/100),IF($O$5&gt;70,0+50*($AG1666/100),IF($O$5&gt;60,5+50*($AG1666/100),IF($O$5&gt;50,10+60*($AG1666/100),IF($O$5&gt;40,15+70*($AG1666/100),IF($O$5&gt;30,20+70*($AG1666/100),IF($O$5&gt;20,40+55*($AG1666/100),(80+(20-$O$5)+30*($AG1666/100))))))))))</f>
        <v>100</v>
      </c>
      <c r="AI1666" s="262">
        <v>1647</v>
      </c>
      <c r="AJ1666" s="262"/>
      <c r="AK1666" s="262">
        <v>55</v>
      </c>
      <c r="AL1666" s="263"/>
      <c r="AM1666" s="264"/>
      <c r="AN1666" s="263"/>
      <c r="AO1666" s="263"/>
      <c r="AP1666" s="265"/>
      <c r="AQ1666" s="266"/>
      <c r="AR1666" s="267"/>
      <c r="AS1666" s="263"/>
      <c r="AT1666" s="263"/>
      <c r="AU1666" s="263"/>
      <c r="AV1666" s="264"/>
      <c r="AW1666" s="263"/>
      <c r="AX1666" s="263"/>
      <c r="AY1666" s="263"/>
      <c r="AZ1666" s="263"/>
      <c r="BA1666" s="263"/>
      <c r="BB1666" s="263"/>
      <c r="BC1666" s="263"/>
      <c r="BD1666" s="264"/>
      <c r="BE1666" s="263">
        <v>27</v>
      </c>
      <c r="BF1666" s="263"/>
      <c r="BG1666" s="263"/>
      <c r="BH1666" s="263"/>
      <c r="BI1666" s="263"/>
      <c r="BJ1666" s="404">
        <f>altaz(J2000_Bas,$O1666,$M1666,DecLat,DecLong,2)</f>
        <v>38.15340937238588</v>
      </c>
      <c r="BK1666" s="378" t="s">
        <v>1668</v>
      </c>
      <c r="BL1666" s="379">
        <f>IF((2*G1666)/60&lt;0.2,0.2,(2*G1666)/60)</f>
        <v>1.3333333333333333</v>
      </c>
      <c r="BM1666" s="380">
        <f>MOD((50000+AD1666-$B$3+(0/24)),1)</f>
        <v>0.40682011121680262</v>
      </c>
      <c r="BN1666" s="381"/>
      <c r="BO1666" s="382">
        <v>1659</v>
      </c>
    </row>
    <row r="1667" spans="1:67" s="24" customFormat="1" ht="15" customHeight="1" x14ac:dyDescent="0.25">
      <c r="A1667" s="287" t="s">
        <v>1669</v>
      </c>
      <c r="B1667" s="241" t="str">
        <f>HYPERLINK(CONCATENATE($AT$3,BK1667,$AU$3),$AV$3)</f>
        <v>S</v>
      </c>
      <c r="C1667" s="242" t="str">
        <f>HYPERLINK(CONCATENATE($AT$4,BK1667,$AU$4,BL1667),$AV$4)</f>
        <v>A</v>
      </c>
      <c r="D1667" s="243" t="s">
        <v>5335</v>
      </c>
      <c r="E1667" s="244" t="s">
        <v>5185</v>
      </c>
      <c r="F1667" s="269" t="s">
        <v>4418</v>
      </c>
      <c r="G1667" s="276">
        <v>15</v>
      </c>
      <c r="H1667" s="283">
        <v>1400</v>
      </c>
      <c r="I1667" s="279">
        <v>6</v>
      </c>
      <c r="J1667" s="246">
        <v>3</v>
      </c>
      <c r="K1667" s="247" t="s">
        <v>7246</v>
      </c>
      <c r="L1667" s="248">
        <v>44827</v>
      </c>
      <c r="M1667" s="249">
        <f>15*(LEFT(TEXT($L1667,"000000"),2)+(MID(TEXT($L1667,"000000"),3,2)/60)+(RIGHT(TEXT($L1667,"000000"),2)/3600))</f>
        <v>72.112499999999997</v>
      </c>
      <c r="N1667" s="250">
        <v>105612</v>
      </c>
      <c r="O1667" s="251">
        <f>IF($N1667&gt;0,(LEFT(TEXT($N1667,"000000"),2)+(MID(TEXT($N1667,"000000"),3,2)/60)+(RIGHT(TEXT($N1667,"000000"),2)/3600)),-(MID(TEXT($N1667,"000000"),2,2)+(MID(TEXT($N1667,"000000"),4,2)/60)+(RIGHT(TEXT($N1667,"000000"),2)/3600)))</f>
        <v>10.936666666666667</v>
      </c>
      <c r="P1667" s="252" t="s">
        <v>41</v>
      </c>
      <c r="Q1667" s="253"/>
      <c r="R1667" s="277" t="s">
        <v>3293</v>
      </c>
      <c r="S1667" s="272" t="s">
        <v>3293</v>
      </c>
      <c r="T1667" s="273">
        <v>6.4</v>
      </c>
      <c r="U1667" s="274"/>
      <c r="V1667" s="280"/>
      <c r="W1667" s="244"/>
      <c r="X1667" s="244"/>
      <c r="Y1667" s="362"/>
      <c r="Z1667" s="257">
        <f>altaz(J2000_Bas,$O1667,$M1667,DecLat,DecLong,1)</f>
        <v>-36.934626043033752</v>
      </c>
      <c r="AA1667" s="257">
        <f>altaz((J2000_Bas+(2*0.04167)),$O1667,$M1667,DecLat,DecLong,1)</f>
        <v>-15.756646334572128</v>
      </c>
      <c r="AB1667" s="257">
        <f>altaz((J2000_Bas+(4*0.04167)),$O1667,$M1667,DecLat,DecLong,1)</f>
        <v>9.0496097894787226</v>
      </c>
      <c r="AC1667" s="257">
        <f>altaz((J2000_Bas+(6*0.04167)),$O1667,$M1667,DecLat,DecLong,1)</f>
        <v>34.755825907951738</v>
      </c>
      <c r="AD1667" s="258">
        <f>1+ transit((J2000_Bas-1),$O1667,$M1667,DecLat,DecLong)/360 + (GMTOffset/24) + (IF(DST="Y", 1, 0)/24)</f>
        <v>1.1932124405984579</v>
      </c>
      <c r="AE1667" s="259">
        <f>DATE(2001,9,21)+(M1667/360)*365 - (360*((DecLong/360)- (GMTOffset/24) ))</f>
        <v>37233.114062499997</v>
      </c>
      <c r="AF1667" s="260">
        <f>IF(DecLat&gt;0,IF((90 - (DecLat-O1667))&gt;90, (90 - (O1667-DecLat)), (90 - (DecLat-O1667))),IF((90 + (DecLat-O1667))&gt;90, (90 + (O1667-DecLat)), (90 + (DecLat-O1667))))</f>
        <v>69.936666666666667</v>
      </c>
      <c r="AG1667" s="257">
        <f>angularseperation(MoonRA,MoonDec,$M1667,$O1667)</f>
        <v>163.62810798946458</v>
      </c>
      <c r="AH1667" s="261">
        <f ca="1">MIN(100,IF($O$5&gt;80,0+30*($AG1667/100),IF($O$5&gt;70,0+50*($AG1667/100),IF($O$5&gt;60,5+50*($AG1667/100),IF($O$5&gt;50,10+60*($AG1667/100),IF($O$5&gt;40,15+70*($AG1667/100),IF($O$5&gt;30,20+70*($AG1667/100),IF($O$5&gt;20,40+55*($AG1667/100),(80+(20-$O$5)+30*($AG1667/100))))))))))</f>
        <v>100</v>
      </c>
      <c r="AI1667" s="262">
        <v>1662</v>
      </c>
      <c r="AJ1667" s="263"/>
      <c r="AK1667" s="263"/>
      <c r="AL1667" s="263"/>
      <c r="AM1667" s="264"/>
      <c r="AN1667" s="263"/>
      <c r="AO1667" s="263"/>
      <c r="AP1667" s="265"/>
      <c r="AQ1667" s="265"/>
      <c r="AR1667" s="285"/>
      <c r="AS1667" s="263"/>
      <c r="AT1667" s="263"/>
      <c r="AU1667" s="263"/>
      <c r="AV1667" s="264"/>
      <c r="AW1667" s="263"/>
      <c r="AX1667" s="263"/>
      <c r="AY1667" s="263"/>
      <c r="AZ1667" s="263"/>
      <c r="BA1667" s="263"/>
      <c r="BB1667" s="263"/>
      <c r="BC1667" s="263"/>
      <c r="BD1667" s="264"/>
      <c r="BE1667" s="263"/>
      <c r="BF1667" s="263"/>
      <c r="BG1667" s="263"/>
      <c r="BH1667" s="263"/>
      <c r="BI1667" s="263"/>
      <c r="BJ1667" s="404">
        <f>altaz(J2000_Bas,$O1667,$M1667,DecLat,DecLong,2)</f>
        <v>43.229634584740197</v>
      </c>
      <c r="BK1667" s="378" t="s">
        <v>1669</v>
      </c>
      <c r="BL1667" s="379">
        <f>IF((2*G1667)/60&lt;0.2,0.2,(2*G1667)/60)</f>
        <v>0.5</v>
      </c>
      <c r="BM1667" s="380">
        <f>MOD((50000+AD1667-$B$3+(0/24)),1)</f>
        <v>0.40857937030523317</v>
      </c>
      <c r="BN1667" s="381"/>
      <c r="BO1667" s="382">
        <v>1660</v>
      </c>
    </row>
    <row r="1668" spans="1:67" s="24" customFormat="1" ht="15" customHeight="1" x14ac:dyDescent="0.25">
      <c r="A1668" s="288" t="s">
        <v>1670</v>
      </c>
      <c r="B1668" s="241" t="str">
        <f>HYPERLINK(CONCATENATE($AT$3,BK1668,$AU$3),$AV$3)</f>
        <v>S</v>
      </c>
      <c r="C1668" s="242" t="str">
        <f>HYPERLINK(CONCATENATE($AT$4,BK1668,$AU$4,BL1668),$AV$4)</f>
        <v>A</v>
      </c>
      <c r="D1668" s="243" t="s">
        <v>5335</v>
      </c>
      <c r="E1668" s="244" t="s">
        <v>5185</v>
      </c>
      <c r="F1668" s="269" t="s">
        <v>9083</v>
      </c>
      <c r="G1668" s="276">
        <v>18</v>
      </c>
      <c r="H1668" s="283">
        <v>4000</v>
      </c>
      <c r="I1668" s="246">
        <v>20</v>
      </c>
      <c r="J1668" s="246">
        <v>2</v>
      </c>
      <c r="K1668" s="247" t="s">
        <v>6757</v>
      </c>
      <c r="L1668" s="248">
        <v>45106</v>
      </c>
      <c r="M1668" s="249">
        <f>15*(LEFT(TEXT($L1668,"000000"),2)+(MID(TEXT($L1668,"000000"),3,2)/60)+(RIGHT(TEXT($L1668,"000000"),2)/3600))</f>
        <v>72.775000000000006</v>
      </c>
      <c r="N1668" s="250">
        <v>434030</v>
      </c>
      <c r="O1668" s="251">
        <f>IF($N1668&gt;0,(LEFT(TEXT($N1668,"000000"),2)+(MID(TEXT($N1668,"000000"),3,2)/60)+(RIGHT(TEXT($N1668,"000000"),2)/3600)),-(MID(TEXT($N1668,"000000"),2,2)+(MID(TEXT($N1668,"000000"),4,2)/60)+(RIGHT(TEXT($N1668,"000000"),2)/3600)))</f>
        <v>43.674999999999997</v>
      </c>
      <c r="P1668" s="252" t="s">
        <v>62</v>
      </c>
      <c r="Q1668" s="253" t="s">
        <v>7131</v>
      </c>
      <c r="R1668" s="277" t="s">
        <v>3293</v>
      </c>
      <c r="S1668" s="272" t="s">
        <v>3293</v>
      </c>
      <c r="T1668" s="273">
        <v>7.6</v>
      </c>
      <c r="U1668" s="274"/>
      <c r="V1668" s="280"/>
      <c r="W1668" s="244"/>
      <c r="X1668" s="244"/>
      <c r="Y1668" s="362"/>
      <c r="Z1668" s="257">
        <f>altaz(J2000_Bas,$O1668,$M1668,DecLat,DecLong,1)</f>
        <v>-9.3770167461814626</v>
      </c>
      <c r="AA1668" s="257">
        <f>altaz((J2000_Bas+(2*0.04167)),$O1668,$M1668,DecLat,DecLong,1)</f>
        <v>4.4290839967832847</v>
      </c>
      <c r="AB1668" s="257">
        <f>altaz((J2000_Bas+(4*0.04167)),$O1668,$M1668,DecLat,DecLong,1)</f>
        <v>23.103945865113928</v>
      </c>
      <c r="AC1668" s="257">
        <f>altaz((J2000_Bas+(6*0.04167)),$O1668,$M1668,DecLat,DecLong,1)</f>
        <v>44.241097348915879</v>
      </c>
      <c r="AD1668" s="258">
        <f>1+ transit((J2000_Bas-1),$O1668,$M1668,DecLat,DecLong)/360 + (GMTOffset/24) + (IF(DST="Y", 1, 0)/24)</f>
        <v>1.1950527181922082</v>
      </c>
      <c r="AE1668" s="259">
        <f>DATE(2001,9,21)+(M1668/360)*365 - (360*((DecLong/360)- (GMTOffset/24) ))</f>
        <v>37233.785763888889</v>
      </c>
      <c r="AF1668" s="260">
        <f>IF(DecLat&gt;0,IF((90 - (DecLat-O1668))&gt;90, (90 - (O1668-DecLat)), (90 - (DecLat-O1668))),IF((90 + (DecLat-O1668))&gt;90, (90 + (O1668-DecLat)), (90 + (DecLat-O1668))))</f>
        <v>77.325000000000003</v>
      </c>
      <c r="AG1668" s="257">
        <f>angularseperation(MoonRA,MoonDec,$M1668,$O1668)</f>
        <v>163.16524306248294</v>
      </c>
      <c r="AH1668" s="261">
        <f ca="1">MIN(100,IF($O$5&gt;80,0+30*($AG1668/100),IF($O$5&gt;70,0+50*($AG1668/100),IF($O$5&gt;60,5+50*($AG1668/100),IF($O$5&gt;50,10+60*($AG1668/100),IF($O$5&gt;40,15+70*($AG1668/100),IF($O$5&gt;30,20+70*($AG1668/100),IF($O$5&gt;20,40+55*($AG1668/100),(80+(20-$O$5)+30*($AG1668/100))))))))))</f>
        <v>100</v>
      </c>
      <c r="AI1668" s="262">
        <v>1664</v>
      </c>
      <c r="AJ1668" s="262"/>
      <c r="AK1668" s="262">
        <v>56</v>
      </c>
      <c r="AL1668" s="263"/>
      <c r="AM1668" s="264"/>
      <c r="AN1668" s="263"/>
      <c r="AO1668" s="263"/>
      <c r="AP1668" s="265"/>
      <c r="AQ1668" s="266"/>
      <c r="AR1668" s="267"/>
      <c r="AS1668" s="263"/>
      <c r="AT1668" s="263"/>
      <c r="AU1668" s="263"/>
      <c r="AV1668" s="264"/>
      <c r="AW1668" s="263"/>
      <c r="AX1668" s="263"/>
      <c r="AY1668" s="263"/>
      <c r="AZ1668" s="263"/>
      <c r="BA1668" s="263"/>
      <c r="BB1668" s="263"/>
      <c r="BC1668" s="263"/>
      <c r="BD1668" s="264"/>
      <c r="BE1668" s="263"/>
      <c r="BF1668" s="263"/>
      <c r="BG1668" s="263">
        <v>24</v>
      </c>
      <c r="BH1668" s="263"/>
      <c r="BI1668" s="263"/>
      <c r="BJ1668" s="404">
        <f>altaz(J2000_Bas,$O1668,$M1668,DecLat,DecLong,2)</f>
        <v>23.684160583246292</v>
      </c>
      <c r="BK1668" s="378" t="s">
        <v>1670</v>
      </c>
      <c r="BL1668" s="379">
        <f>IF((2*G1668)/60&lt;0.2,0.2,(2*G1668)/60)</f>
        <v>0.6</v>
      </c>
      <c r="BM1668" s="380">
        <f>MOD((50000+AD1668-$B$3+(0/24)),1)</f>
        <v>0.4104196478947415</v>
      </c>
      <c r="BN1668" s="381"/>
      <c r="BO1668" s="382">
        <v>1661</v>
      </c>
    </row>
    <row r="1669" spans="1:67" s="24" customFormat="1" ht="15" customHeight="1" x14ac:dyDescent="0.25">
      <c r="A1669" s="287" t="s">
        <v>5537</v>
      </c>
      <c r="B1669" s="241" t="str">
        <f>HYPERLINK(CONCATENATE($AT$3,BK1669,$AU$3),$AV$3)</f>
        <v>S</v>
      </c>
      <c r="C1669" s="242" t="str">
        <f>HYPERLINK(CONCATENATE($AT$4,BK1669,$AU$4,BL1669),$AV$4)</f>
        <v>A</v>
      </c>
      <c r="D1669" s="243" t="s">
        <v>5638</v>
      </c>
      <c r="E1669" s="244" t="s">
        <v>5192</v>
      </c>
      <c r="F1669" s="269" t="s">
        <v>8908</v>
      </c>
      <c r="G1669" s="273">
        <v>6.6</v>
      </c>
      <c r="H1669" s="283">
        <v>50</v>
      </c>
      <c r="I1669" s="246">
        <v>100</v>
      </c>
      <c r="J1669" s="246">
        <v>3</v>
      </c>
      <c r="K1669" s="247" t="s">
        <v>5538</v>
      </c>
      <c r="L1669" s="248">
        <v>44542</v>
      </c>
      <c r="M1669" s="249">
        <f>15*(LEFT(TEXT($L1669,"000000"),2)+(MID(TEXT($L1669,"000000"),3,2)/60)+(RIGHT(TEXT($L1669,"000000"),2)/3600))</f>
        <v>71.424999999999997</v>
      </c>
      <c r="N1669" s="250">
        <v>-591500</v>
      </c>
      <c r="O1669" s="251">
        <f>IF($N1669&gt;0,(LEFT(TEXT($N1669,"000000"),2)+(MID(TEXT($N1669,"000000"),3,2)/60)+(RIGHT(TEXT($N1669,"000000"),2)/3600)),-(MID(TEXT($N1669,"000000"),2,2)+(MID(TEXT($N1669,"000000"),4,2)/60)+(RIGHT(TEXT($N1669,"000000"),2)/3600)))</f>
        <v>-59.25</v>
      </c>
      <c r="P1669" s="252" t="s">
        <v>1697</v>
      </c>
      <c r="Q1669" s="253"/>
      <c r="R1669" s="277" t="s">
        <v>3293</v>
      </c>
      <c r="S1669" s="272" t="s">
        <v>3293</v>
      </c>
      <c r="T1669" s="273">
        <v>9.6999999999999993</v>
      </c>
      <c r="U1669" s="289">
        <v>22.29</v>
      </c>
      <c r="V1669" s="280">
        <v>45</v>
      </c>
      <c r="W1669" s="244"/>
      <c r="X1669" s="244"/>
      <c r="Y1669" s="362"/>
      <c r="Z1669" s="257">
        <f>altaz(J2000_Bas,$O1669,$M1669,DecLat,DecLong,1)</f>
        <v>-53.46323127565045</v>
      </c>
      <c r="AA1669" s="257">
        <f>altaz((J2000_Bas+(2*0.04167)),$O1669,$M1669,DecLat,DecLong,1)</f>
        <v>-39.063701512560577</v>
      </c>
      <c r="AB1669" s="257">
        <f>altaz((J2000_Bas+(4*0.04167)),$O1669,$M1669,DecLat,DecLong,1)</f>
        <v>-23.976394580491512</v>
      </c>
      <c r="AC1669" s="257">
        <f>altaz((J2000_Bas+(6*0.04167)),$O1669,$M1669,DecLat,DecLong,1)</f>
        <v>-11.087488222335123</v>
      </c>
      <c r="AD1669" s="258">
        <f>1+ transit((J2000_Bas-1),$O1669,$M1669,DecLat,DecLong)/360 + (GMTOffset/24) + (IF(DST="Y", 1, 0)/24)</f>
        <v>1.191302718567208</v>
      </c>
      <c r="AE1669" s="259">
        <f>DATE(2001,9,21)+(M1669/360)*365 - (360*((DecLong/360)- (GMTOffset/24) ))</f>
        <v>37232.417013888888</v>
      </c>
      <c r="AF1669" s="260">
        <f>IF(DecLat&gt;0,IF((90 - (DecLat-O1669))&gt;90, (90 - (O1669-DecLat)), (90 - (DecLat-O1669))),IF((90 + (DecLat-O1669))&gt;90, (90 + (O1669-DecLat)), (90 + (DecLat-O1669))))</f>
        <v>-0.25</v>
      </c>
      <c r="AG1669" s="257">
        <f>angularseperation(MoonRA,MoonDec,$M1669,$O1669)</f>
        <v>93.646937752273288</v>
      </c>
      <c r="AH1669" s="261">
        <f ca="1">MIN(100,IF($O$5&gt;80,0+30*($AG1669/100),IF($O$5&gt;70,0+50*($AG1669/100),IF($O$5&gt;60,5+50*($AG1669/100),IF($O$5&gt;50,10+60*($AG1669/100),IF($O$5&gt;40,15+70*($AG1669/100),IF($O$5&gt;30,20+70*($AG1669/100),IF($O$5&gt;20,40+55*($AG1669/100),(80+(20-$O$5)+30*($AG1669/100))))))))))</f>
        <v>100</v>
      </c>
      <c r="AI1669" s="263">
        <v>1672</v>
      </c>
      <c r="AJ1669" s="263"/>
      <c r="AK1669" s="263"/>
      <c r="AL1669" s="263"/>
      <c r="AM1669" s="264"/>
      <c r="AN1669" s="263"/>
      <c r="AO1669" s="263"/>
      <c r="AP1669" s="265"/>
      <c r="AQ1669" s="265"/>
      <c r="AR1669" s="285">
        <v>15941</v>
      </c>
      <c r="AS1669" s="263"/>
      <c r="AT1669" s="263"/>
      <c r="AU1669" s="263"/>
      <c r="AV1669" s="264"/>
      <c r="AW1669" s="263"/>
      <c r="AX1669" s="263"/>
      <c r="AY1669" s="263"/>
      <c r="AZ1669" s="263"/>
      <c r="BA1669" s="263"/>
      <c r="BB1669" s="263"/>
      <c r="BC1669" s="263"/>
      <c r="BD1669" s="264"/>
      <c r="BE1669" s="263"/>
      <c r="BF1669" s="263"/>
      <c r="BG1669" s="263"/>
      <c r="BH1669" s="263"/>
      <c r="BI1669" s="263"/>
      <c r="BJ1669" s="404">
        <f>altaz(J2000_Bas,$O1669,$M1669,DecLat,DecLong,2)</f>
        <v>150.82992140805044</v>
      </c>
      <c r="BK1669" s="378" t="s">
        <v>5537</v>
      </c>
      <c r="BL1669" s="379">
        <f>IF((2*G1669)/60&lt;0.2,0.2,(2*G1669)/60)</f>
        <v>0.22</v>
      </c>
      <c r="BM1669" s="380">
        <f>MOD((50000+AD1669-$B$3+(0/24)),1)</f>
        <v>0.40666964826959884</v>
      </c>
      <c r="BN1669" s="381"/>
      <c r="BO1669" s="382">
        <v>1662</v>
      </c>
    </row>
    <row r="1670" spans="1:67" s="24" customFormat="1" ht="15" customHeight="1" x14ac:dyDescent="0.25">
      <c r="A1670" s="288" t="s">
        <v>7576</v>
      </c>
      <c r="B1670" s="241" t="str">
        <f>HYPERLINK(CONCATENATE($AT$3,BK1670,$AU$3),$AV$3)</f>
        <v>S</v>
      </c>
      <c r="C1670" s="242" t="str">
        <f>HYPERLINK(CONCATENATE($AT$4,BK1670,$AU$4,BL1670),$AV$4)</f>
        <v>A</v>
      </c>
      <c r="D1670" s="243" t="s">
        <v>5638</v>
      </c>
      <c r="E1670" s="244" t="s">
        <v>7521</v>
      </c>
      <c r="F1670" s="269">
        <v>5</v>
      </c>
      <c r="G1670" s="282">
        <v>15</v>
      </c>
      <c r="H1670" s="283">
        <v>200</v>
      </c>
      <c r="I1670" s="284">
        <v>900</v>
      </c>
      <c r="J1670" s="246">
        <v>2</v>
      </c>
      <c r="K1670" s="247" t="s">
        <v>8549</v>
      </c>
      <c r="L1670" s="248">
        <v>45917</v>
      </c>
      <c r="M1670" s="249">
        <f>15*(LEFT(TEXT($L1670,"000000"),2)+(MID(TEXT($L1670,"000000"),3,2)/60)+(RIGHT(TEXT($L1670,"000000"),2)/3600))</f>
        <v>74.820833333333326</v>
      </c>
      <c r="N1670" s="250">
        <v>-110708</v>
      </c>
      <c r="O1670" s="251">
        <f>IF($N1670&gt;0,(LEFT(TEXT($N1670,"000000"),2)+(MID(TEXT($N1670,"000000"),3,2)/60)+(RIGHT(TEXT($N1670,"000000"),2)/3600)),-(MID(TEXT($N1670,"000000"),2,2)+(MID(TEXT($N1670,"000000"),4,2)/60)+(RIGHT(TEXT($N1670,"000000"),2)/3600)))</f>
        <v>-11.11888888888889</v>
      </c>
      <c r="P1670" s="252" t="s">
        <v>257</v>
      </c>
      <c r="Q1670" s="253"/>
      <c r="R1670" s="247" t="s">
        <v>3293</v>
      </c>
      <c r="S1670" s="272" t="s">
        <v>3293</v>
      </c>
      <c r="T1670" s="273">
        <v>12.8</v>
      </c>
      <c r="U1670" s="289">
        <v>22.29</v>
      </c>
      <c r="V1670" s="280"/>
      <c r="W1670" s="244"/>
      <c r="X1670" s="244"/>
      <c r="Y1670" s="362"/>
      <c r="Z1670" s="257">
        <f>altaz(J2000_Bas,$O1670,$M1670,DecLat,DecLong,1)</f>
        <v>-54.973715668578222</v>
      </c>
      <c r="AA1670" s="257">
        <f>altaz((J2000_Bas+(2*0.04167)),$O1670,$M1670,DecLat,DecLong,1)</f>
        <v>-30.242528324516339</v>
      </c>
      <c r="AB1670" s="257">
        <f>altaz((J2000_Bas+(4*0.04167)),$O1670,$M1670,DecLat,DecLong,1)</f>
        <v>-4.5594948120727352</v>
      </c>
      <c r="AC1670" s="257">
        <f>altaz((J2000_Bas+(6*0.04167)),$O1670,$M1670,DecLat,DecLong,1)</f>
        <v>19.836091374178167</v>
      </c>
      <c r="AD1670" s="258">
        <f>1+ transit((J2000_Bas-1),$O1670,$M1670,DecLat,DecLong)/360 + (GMTOffset/24) + (IF(DST="Y", 1, 0)/24)</f>
        <v>1.2007355879942911</v>
      </c>
      <c r="AE1670" s="259">
        <f>DATE(2001,9,21)+(M1670/360)*365 - (360*((DecLong/360)- (GMTOffset/24) ))</f>
        <v>37235.860011574077</v>
      </c>
      <c r="AF1670" s="260">
        <f>IF(DecLat&gt;0,IF((90 - (DecLat-O1670))&gt;90, (90 - (O1670-DecLat)), (90 - (DecLat-O1670))),IF((90 + (DecLat-O1670))&gt;90, (90 + (O1670-DecLat)), (90 + (DecLat-O1670))))</f>
        <v>47.88111111111111</v>
      </c>
      <c r="AG1670" s="257">
        <f>angularseperation(MoonRA,MoonDec,$M1670,$O1670)</f>
        <v>141.41525383991024</v>
      </c>
      <c r="AH1670" s="261">
        <f ca="1">MIN(100,IF($O$5&gt;80,0+30*($AG1670/100),IF($O$5&gt;70,0+50*($AG1670/100),IF($O$5&gt;60,5+50*($AG1670/100),IF($O$5&gt;50,10+60*($AG1670/100),IF($O$5&gt;40,15+70*($AG1670/100),IF($O$5&gt;30,20+70*($AG1670/100),IF($O$5&gt;20,40+55*($AG1670/100),(80+(20-$O$5)+30*($AG1670/100))))))))))</f>
        <v>100</v>
      </c>
      <c r="AI1670" s="262">
        <v>1721</v>
      </c>
      <c r="AJ1670" s="262"/>
      <c r="AK1670" s="262"/>
      <c r="AL1670" s="263"/>
      <c r="AM1670" s="264"/>
      <c r="AN1670" s="263"/>
      <c r="AO1670" s="263"/>
      <c r="AP1670" s="265"/>
      <c r="AQ1670" s="266"/>
      <c r="AR1670" s="267">
        <v>16484</v>
      </c>
      <c r="AS1670" s="263"/>
      <c r="AT1670" s="263"/>
      <c r="AU1670" s="263"/>
      <c r="AV1670" s="264"/>
      <c r="AW1670" s="263"/>
      <c r="AX1670" s="263"/>
      <c r="AY1670" s="263"/>
      <c r="AZ1670" s="263"/>
      <c r="BA1670" s="263"/>
      <c r="BB1670" s="263"/>
      <c r="BC1670" s="263"/>
      <c r="BD1670" s="264"/>
      <c r="BE1670" s="263"/>
      <c r="BF1670" s="263"/>
      <c r="BG1670" s="263">
        <v>26</v>
      </c>
      <c r="BH1670" s="263"/>
      <c r="BI1670" s="263"/>
      <c r="BJ1670" s="404">
        <f>altaz(J2000_Bas,$O1670,$M1670,DecLat,DecLong,2)</f>
        <v>62.270569029731782</v>
      </c>
      <c r="BK1670" s="378" t="s">
        <v>1671</v>
      </c>
      <c r="BL1670" s="379">
        <f>IF((2*G1670)/60&lt;0.2,0.2,(2*G1670)/60)</f>
        <v>0.5</v>
      </c>
      <c r="BM1670" s="380">
        <f>MOD((50000+AD1670-$B$3+(0/24)),1)</f>
        <v>0.41610251770180184</v>
      </c>
      <c r="BN1670" s="381"/>
      <c r="BO1670" s="382">
        <v>1663</v>
      </c>
    </row>
    <row r="1671" spans="1:67" s="24" customFormat="1" ht="15" customHeight="1" x14ac:dyDescent="0.25">
      <c r="A1671" s="288" t="s">
        <v>1672</v>
      </c>
      <c r="B1671" s="241" t="str">
        <f>HYPERLINK(CONCATENATE($AT$3,BK1671,$AU$3),$AV$3)</f>
        <v>S</v>
      </c>
      <c r="C1671" s="242" t="str">
        <f>HYPERLINK(CONCATENATE($AT$4,BK1671,$AU$4,BL1671),$AV$4)</f>
        <v>A</v>
      </c>
      <c r="D1671" s="243" t="s">
        <v>5638</v>
      </c>
      <c r="E1671" s="244" t="s">
        <v>5192</v>
      </c>
      <c r="F1671" s="269" t="s">
        <v>8950</v>
      </c>
      <c r="G1671" s="273">
        <v>3</v>
      </c>
      <c r="H1671" s="283">
        <v>170</v>
      </c>
      <c r="I1671" s="246">
        <v>160</v>
      </c>
      <c r="J1671" s="246">
        <v>3</v>
      </c>
      <c r="K1671" s="247" t="s">
        <v>6760</v>
      </c>
      <c r="L1671" s="248">
        <v>45926</v>
      </c>
      <c r="M1671" s="249">
        <f>15*(LEFT(TEXT($L1671,"000000"),2)+(MID(TEXT($L1671,"000000"),3,2)/60)+(RIGHT(TEXT($L1671,"000000"),2)/3600))</f>
        <v>74.858333333333334</v>
      </c>
      <c r="N1671" s="286">
        <v>-105851</v>
      </c>
      <c r="O1671" s="251">
        <f>IF($N1671&gt;0,(LEFT(TEXT($N1671,"000000"),2)+(MID(TEXT($N1671,"000000"),3,2)/60)+(RIGHT(TEXT($N1671,"000000"),2)/3600)),-(MID(TEXT($N1671,"000000"),2,2)+(MID(TEXT($N1671,"000000"),4,2)/60)+(RIGHT(TEXT($N1671,"000000"),2)/3600)))</f>
        <v>-10.980833333333333</v>
      </c>
      <c r="P1671" s="252" t="s">
        <v>257</v>
      </c>
      <c r="Q1671" s="253"/>
      <c r="R1671" s="247" t="s">
        <v>3293</v>
      </c>
      <c r="S1671" s="272" t="s">
        <v>3293</v>
      </c>
      <c r="T1671" s="273">
        <v>11.7</v>
      </c>
      <c r="U1671" s="289">
        <v>22.09</v>
      </c>
      <c r="V1671" s="280">
        <v>40</v>
      </c>
      <c r="W1671" s="244"/>
      <c r="X1671" s="244"/>
      <c r="Y1671" s="362"/>
      <c r="Z1671" s="257">
        <f>altaz(J2000_Bas,$O1671,$M1671,DecLat,DecLong,1)</f>
        <v>-54.914429536026717</v>
      </c>
      <c r="AA1671" s="257">
        <f>altaz((J2000_Bas+(2*0.04167)),$O1671,$M1671,DecLat,DecLong,1)</f>
        <v>-30.206399565258099</v>
      </c>
      <c r="AB1671" s="257">
        <f>altaz((J2000_Bas+(4*0.04167)),$O1671,$M1671,DecLat,DecLong,1)</f>
        <v>-4.5205991476779044</v>
      </c>
      <c r="AC1671" s="257">
        <f>altaz((J2000_Bas+(6*0.04167)),$O1671,$M1671,DecLat,DecLong,1)</f>
        <v>19.894236602916173</v>
      </c>
      <c r="AD1671" s="258">
        <f>1+ transit((J2000_Bas-1),$O1671,$M1671,DecLat,DecLong)/360 + (GMTOffset/24) + (IF(DST="Y", 1, 0)/24)</f>
        <v>1.2008397546505414</v>
      </c>
      <c r="AE1671" s="259">
        <f>DATE(2001,9,21)+(M1671/360)*365 - (360*((DecLong/360)- (GMTOffset/24) ))</f>
        <v>37235.898032407407</v>
      </c>
      <c r="AF1671" s="260">
        <f>IF(DecLat&gt;0,IF((90 - (DecLat-O1671))&gt;90, (90 - (O1671-DecLat)), (90 - (DecLat-O1671))),IF((90 + (DecLat-O1671))&gt;90, (90 + (O1671-DecLat)), (90 + (DecLat-O1671))))</f>
        <v>48.019166666666663</v>
      </c>
      <c r="AG1671" s="257">
        <f>angularseperation(MoonRA,MoonDec,$M1671,$O1671)</f>
        <v>141.54682800352597</v>
      </c>
      <c r="AH1671" s="261">
        <f ca="1">MIN(100,IF($O$5&gt;80,0+30*($AG1671/100),IF($O$5&gt;70,0+50*($AG1671/100),IF($O$5&gt;60,5+50*($AG1671/100),IF($O$5&gt;50,10+60*($AG1671/100),IF($O$5&gt;40,15+70*($AG1671/100),IF($O$5&gt;30,20+70*($AG1671/100),IF($O$5&gt;20,40+55*($AG1671/100),(80+(20-$O$5)+30*($AG1671/100))))))))))</f>
        <v>100</v>
      </c>
      <c r="AI1671" s="262">
        <v>1723</v>
      </c>
      <c r="AJ1671" s="262"/>
      <c r="AK1671" s="262"/>
      <c r="AL1671" s="263"/>
      <c r="AM1671" s="264"/>
      <c r="AN1671" s="263"/>
      <c r="AO1671" s="263"/>
      <c r="AP1671" s="265"/>
      <c r="AQ1671" s="266"/>
      <c r="AR1671" s="267">
        <v>16493</v>
      </c>
      <c r="AS1671" s="263"/>
      <c r="AT1671" s="263"/>
      <c r="AU1671" s="263"/>
      <c r="AV1671" s="264"/>
      <c r="AW1671" s="263"/>
      <c r="AX1671" s="263"/>
      <c r="AY1671" s="263"/>
      <c r="AZ1671" s="263"/>
      <c r="BA1671" s="263"/>
      <c r="BB1671" s="263"/>
      <c r="BC1671" s="263"/>
      <c r="BD1671" s="264"/>
      <c r="BE1671" s="263"/>
      <c r="BF1671" s="263"/>
      <c r="BG1671" s="263"/>
      <c r="BH1671" s="263"/>
      <c r="BI1671" s="263"/>
      <c r="BJ1671" s="404">
        <f>altaz(J2000_Bas,$O1671,$M1671,DecLat,DecLong,2)</f>
        <v>62.044242332865991</v>
      </c>
      <c r="BK1671" s="378" t="s">
        <v>1672</v>
      </c>
      <c r="BL1671" s="379">
        <f>IF((2*G1671)/60&lt;0.2,0.2,(2*G1671)/60)</f>
        <v>0.2</v>
      </c>
      <c r="BM1671" s="380">
        <f>MOD((50000+AD1671-$B$3+(0/24)),1)</f>
        <v>0.41620668435643893</v>
      </c>
      <c r="BN1671" s="381"/>
      <c r="BO1671" s="382">
        <v>1664</v>
      </c>
    </row>
    <row r="1672" spans="1:67" s="24" customFormat="1" ht="15" customHeight="1" x14ac:dyDescent="0.25">
      <c r="A1672" s="288" t="s">
        <v>1673</v>
      </c>
      <c r="B1672" s="241" t="str">
        <f>HYPERLINK(CONCATENATE($AT$3,BK1672,$AU$3),$AV$3)</f>
        <v>S</v>
      </c>
      <c r="C1672" s="242" t="str">
        <f>HYPERLINK(CONCATENATE($AT$4,BK1672,$AU$4,BL1672),$AV$4)</f>
        <v>A</v>
      </c>
      <c r="D1672" s="243" t="s">
        <v>5335</v>
      </c>
      <c r="E1672" s="244" t="s">
        <v>5185</v>
      </c>
      <c r="F1672" s="269" t="s">
        <v>4923</v>
      </c>
      <c r="G1672" s="276">
        <v>30</v>
      </c>
      <c r="H1672" s="283">
        <v>2000</v>
      </c>
      <c r="I1672" s="246">
        <v>17</v>
      </c>
      <c r="J1672" s="246">
        <v>2</v>
      </c>
      <c r="K1672" s="247" t="s">
        <v>8745</v>
      </c>
      <c r="L1672" s="248">
        <v>50355</v>
      </c>
      <c r="M1672" s="249">
        <f>15*(LEFT(TEXT($L1672,"000000"),2)+(MID(TEXT($L1672,"000000"),3,2)/60)+(RIGHT(TEXT($L1672,"000000"),2)/3600))</f>
        <v>75.979166666666657</v>
      </c>
      <c r="N1672" s="250">
        <v>233931</v>
      </c>
      <c r="O1672" s="251">
        <f>IF($N1672&gt;0,(LEFT(TEXT($N1672,"000000"),2)+(MID(TEXT($N1672,"000000"),3,2)/60)+(RIGHT(TEXT($N1672,"000000"),2)/3600)),-(MID(TEXT($N1672,"000000"),2,2)+(MID(TEXT($N1672,"000000"),4,2)/60)+(RIGHT(TEXT($N1672,"000000"),2)/3600)))</f>
        <v>23.65861111111111</v>
      </c>
      <c r="P1672" s="252" t="s">
        <v>56</v>
      </c>
      <c r="Q1672" s="253"/>
      <c r="R1672" s="247" t="s">
        <v>3293</v>
      </c>
      <c r="S1672" s="272" t="s">
        <v>6761</v>
      </c>
      <c r="T1672" s="273"/>
      <c r="U1672" s="274"/>
      <c r="V1672" s="280"/>
      <c r="W1672" s="244"/>
      <c r="X1672" s="244"/>
      <c r="Y1672" s="362"/>
      <c r="Z1672" s="257">
        <f>altaz(J2000_Bas,$O1672,$M1672,DecLat,DecLong,1)</f>
        <v>-28.23567849126421</v>
      </c>
      <c r="AA1672" s="257">
        <f>altaz((J2000_Bas+(2*0.04167)),$O1672,$M1672,DecLat,DecLong,1)</f>
        <v>-10.637944990435813</v>
      </c>
      <c r="AB1672" s="257">
        <f>altaz((J2000_Bas+(4*0.04167)),$O1672,$M1672,DecLat,DecLong,1)</f>
        <v>12.082280842230928</v>
      </c>
      <c r="AC1672" s="257">
        <f>altaz((J2000_Bas+(6*0.04167)),$O1672,$M1672,DecLat,DecLong,1)</f>
        <v>37.050861007160698</v>
      </c>
      <c r="AD1672" s="258">
        <f>1+ transit((J2000_Bas-1),$O1672,$M1672,DecLat,DecLong)/360 + (GMTOffset/24) + (IF(DST="Y", 1, 0)/24)</f>
        <v>1.2039531802651247</v>
      </c>
      <c r="AE1672" s="259">
        <f>DATE(2001,9,21)+(M1672/360)*365 - (360*((DecLong/360)- (GMTOffset/24) ))</f>
        <v>37237.034432870372</v>
      </c>
      <c r="AF1672" s="260">
        <f>IF(DecLat&gt;0,IF((90 - (DecLat-O1672))&gt;90, (90 - (O1672-DecLat)), (90 - (DecLat-O1672))),IF((90 + (DecLat-O1672))&gt;90, (90 + (O1672-DecLat)), (90 + (DecLat-O1672))))</f>
        <v>82.658611111111114</v>
      </c>
      <c r="AG1672" s="257">
        <f>angularseperation(MoonRA,MoonDec,$M1672,$O1672)</f>
        <v>173.01683744922207</v>
      </c>
      <c r="AH1672" s="261">
        <f ca="1">MIN(100,IF($O$5&gt;80,0+30*($AG1672/100),IF($O$5&gt;70,0+50*($AG1672/100),IF($O$5&gt;60,5+50*($AG1672/100),IF($O$5&gt;50,10+60*($AG1672/100),IF($O$5&gt;40,15+70*($AG1672/100),IF($O$5&gt;30,20+70*($AG1672/100),IF($O$5&gt;20,40+55*($AG1672/100),(80+(20-$O$5)+30*($AG1672/100))))))))))</f>
        <v>100</v>
      </c>
      <c r="AI1672" s="262">
        <v>1750</v>
      </c>
      <c r="AJ1672" s="262"/>
      <c r="AK1672" s="262">
        <v>57</v>
      </c>
      <c r="AL1672" s="263"/>
      <c r="AM1672" s="264"/>
      <c r="AN1672" s="263"/>
      <c r="AO1672" s="263"/>
      <c r="AP1672" s="265"/>
      <c r="AQ1672" s="266"/>
      <c r="AR1672" s="267"/>
      <c r="AS1672" s="263"/>
      <c r="AT1672" s="263"/>
      <c r="AU1672" s="263"/>
      <c r="AV1672" s="264"/>
      <c r="AW1672" s="263"/>
      <c r="AX1672" s="263"/>
      <c r="AY1672" s="263"/>
      <c r="AZ1672" s="263"/>
      <c r="BA1672" s="263"/>
      <c r="BB1672" s="263"/>
      <c r="BC1672" s="263"/>
      <c r="BD1672" s="264"/>
      <c r="BE1672" s="263"/>
      <c r="BF1672" s="263">
        <v>17</v>
      </c>
      <c r="BG1672" s="263"/>
      <c r="BH1672" s="263"/>
      <c r="BI1672" s="263"/>
      <c r="BJ1672" s="404">
        <f>altaz(J2000_Bas,$O1672,$M1672,DecLat,DecLong,2)</f>
        <v>31.345685055015693</v>
      </c>
      <c r="BK1672" s="378" t="s">
        <v>1673</v>
      </c>
      <c r="BL1672" s="379">
        <f>IF((2*G1672)/60&lt;0.2,0.2,(2*G1672)/60)</f>
        <v>1</v>
      </c>
      <c r="BM1672" s="380">
        <f>MOD((50000+AD1672-$B$3+(0/24)),1)</f>
        <v>0.41932010996970348</v>
      </c>
      <c r="BN1672" s="381"/>
      <c r="BO1672" s="382">
        <v>1665</v>
      </c>
    </row>
    <row r="1673" spans="1:67" s="24" customFormat="1" ht="15" customHeight="1" x14ac:dyDescent="0.25">
      <c r="A1673" s="288" t="s">
        <v>1674</v>
      </c>
      <c r="B1673" s="241" t="str">
        <f>HYPERLINK(CONCATENATE($AT$3,BK1673,$AU$3),$AV$3)</f>
        <v>S</v>
      </c>
      <c r="C1673" s="242" t="str">
        <f>HYPERLINK(CONCATENATE($AT$4,BK1673,$AU$4,BL1673),$AV$4)</f>
        <v>A</v>
      </c>
      <c r="D1673" s="243" t="s">
        <v>5638</v>
      </c>
      <c r="E1673" s="244" t="s">
        <v>5192</v>
      </c>
      <c r="F1673" s="269" t="s">
        <v>8936</v>
      </c>
      <c r="G1673" s="273">
        <v>3</v>
      </c>
      <c r="H1673" s="283">
        <v>140</v>
      </c>
      <c r="I1673" s="246">
        <v>120</v>
      </c>
      <c r="J1673" s="246">
        <v>2</v>
      </c>
      <c r="K1673" s="247" t="s">
        <v>6762</v>
      </c>
      <c r="L1673" s="248">
        <v>50209</v>
      </c>
      <c r="M1673" s="249">
        <f>15*(LEFT(TEXT($L1673,"000000"),2)+(MID(TEXT($L1673,"000000"),3,2)/60)+(RIGHT(TEXT($L1673,"000000"),2)/3600))</f>
        <v>75.537500000000009</v>
      </c>
      <c r="N1673" s="250">
        <v>-81428</v>
      </c>
      <c r="O1673" s="251">
        <f>IF($N1673&gt;0,(LEFT(TEXT($N1673,"000000"),2)+(MID(TEXT($N1673,"000000"),3,2)/60)+(RIGHT(TEXT($N1673,"000000"),2)/3600)),-(MID(TEXT($N1673,"000000"),2,2)+(MID(TEXT($N1673,"000000"),4,2)/60)+(RIGHT(TEXT($N1673,"000000"),2)/3600)))</f>
        <v>-8.2411111111111097</v>
      </c>
      <c r="P1673" s="252" t="s">
        <v>257</v>
      </c>
      <c r="Q1673" s="253"/>
      <c r="R1673" s="277" t="s">
        <v>3293</v>
      </c>
      <c r="S1673" s="272" t="s">
        <v>3293</v>
      </c>
      <c r="T1673" s="273">
        <v>12.4</v>
      </c>
      <c r="U1673" s="289">
        <v>21.990000000000002</v>
      </c>
      <c r="V1673" s="280">
        <v>75</v>
      </c>
      <c r="W1673" s="244"/>
      <c r="X1673" s="244"/>
      <c r="Y1673" s="362"/>
      <c r="Z1673" s="257">
        <f>altaz(J2000_Bas,$O1673,$M1673,DecLat,DecLong,1)</f>
        <v>-53.612255054860178</v>
      </c>
      <c r="AA1673" s="257">
        <f>altaz((J2000_Bas+(2*0.04167)),$O1673,$M1673,DecLat,DecLong,1)</f>
        <v>-29.400777574034489</v>
      </c>
      <c r="AB1673" s="257">
        <f>altaz((J2000_Bas+(4*0.04167)),$O1673,$M1673,DecLat,DecLong,1)</f>
        <v>-3.694421984170428</v>
      </c>
      <c r="AC1673" s="257">
        <f>altaz((J2000_Bas+(6*0.04167)),$O1673,$M1673,DecLat,DecLong,1)</f>
        <v>21.070436057856362</v>
      </c>
      <c r="AD1673" s="258">
        <f>1+ transit((J2000_Bas-1),$O1673,$M1673,DecLat,DecLong)/360 + (GMTOffset/24) + (IF(DST="Y", 1, 0)/24)</f>
        <v>1.202726328535958</v>
      </c>
      <c r="AE1673" s="259">
        <f>DATE(2001,9,21)+(M1673/360)*365 - (360*((DecLong/360)- (GMTOffset/24) ))</f>
        <v>37236.586631944447</v>
      </c>
      <c r="AF1673" s="260">
        <f>IF(DecLat&gt;0,IF((90 - (DecLat-O1673))&gt;90, (90 - (O1673-DecLat)), (90 - (DecLat-O1673))),IF((90 + (DecLat-O1673))&gt;90, (90 + (O1673-DecLat)), (90 + (DecLat-O1673))))</f>
        <v>50.75888888888889</v>
      </c>
      <c r="AG1673" s="257">
        <f>angularseperation(MoonRA,MoonDec,$M1673,$O1673)</f>
        <v>144.15160866065412</v>
      </c>
      <c r="AH1673" s="261">
        <f ca="1">MIN(100,IF($O$5&gt;80,0+30*($AG1673/100),IF($O$5&gt;70,0+50*($AG1673/100),IF($O$5&gt;60,5+50*($AG1673/100),IF($O$5&gt;50,10+60*($AG1673/100),IF($O$5&gt;40,15+70*($AG1673/100),IF($O$5&gt;30,20+70*($AG1673/100),IF($O$5&gt;20,40+55*($AG1673/100),(80+(20-$O$5)+30*($AG1673/100))))))))))</f>
        <v>100</v>
      </c>
      <c r="AI1673" s="262">
        <v>1752</v>
      </c>
      <c r="AJ1673" s="263"/>
      <c r="AK1673" s="263"/>
      <c r="AL1673" s="263"/>
      <c r="AM1673" s="264"/>
      <c r="AN1673" s="263"/>
      <c r="AO1673" s="263"/>
      <c r="AP1673" s="265"/>
      <c r="AQ1673" s="265"/>
      <c r="AR1673" s="285">
        <v>16600</v>
      </c>
      <c r="AS1673" s="263"/>
      <c r="AT1673" s="263"/>
      <c r="AU1673" s="263"/>
      <c r="AV1673" s="264"/>
      <c r="AW1673" s="263"/>
      <c r="AX1673" s="263"/>
      <c r="AY1673" s="263"/>
      <c r="AZ1673" s="263"/>
      <c r="BA1673" s="263"/>
      <c r="BB1673" s="263"/>
      <c r="BC1673" s="263"/>
      <c r="BD1673" s="264"/>
      <c r="BE1673" s="263"/>
      <c r="BF1673" s="263"/>
      <c r="BG1673" s="263"/>
      <c r="BH1673" s="263"/>
      <c r="BI1673" s="263"/>
      <c r="BJ1673" s="404">
        <f>altaz(J2000_Bas,$O1673,$M1673,DecLat,DecLong,2)</f>
        <v>57.759590057130374</v>
      </c>
      <c r="BK1673" s="378" t="s">
        <v>1674</v>
      </c>
      <c r="BL1673" s="379">
        <f>IF((2*G1673)/60&lt;0.2,0.2,(2*G1673)/60)</f>
        <v>0.2</v>
      </c>
      <c r="BM1673" s="380">
        <f>MOD((50000+AD1673-$B$3+(0/24)),1)</f>
        <v>0.41809325823851395</v>
      </c>
      <c r="BN1673" s="381"/>
      <c r="BO1673" s="382">
        <v>1666</v>
      </c>
    </row>
    <row r="1674" spans="1:67" s="24" customFormat="1" ht="15" customHeight="1" x14ac:dyDescent="0.25">
      <c r="A1674" s="288" t="s">
        <v>8743</v>
      </c>
      <c r="B1674" s="241" t="str">
        <f>HYPERLINK(CONCATENATE($AT$3,BK1674,$AU$3),$AV$3)</f>
        <v>S</v>
      </c>
      <c r="C1674" s="242" t="str">
        <f>HYPERLINK(CONCATENATE($AT$4,BK1674,$AU$4,BL1674),$AV$4)</f>
        <v>A</v>
      </c>
      <c r="D1674" s="243" t="s">
        <v>5335</v>
      </c>
      <c r="E1674" s="244" t="s">
        <v>5185</v>
      </c>
      <c r="F1674" s="269" t="s">
        <v>8747</v>
      </c>
      <c r="G1674" s="276">
        <v>10</v>
      </c>
      <c r="H1674" s="283">
        <v>2500</v>
      </c>
      <c r="I1674" s="279">
        <v>7</v>
      </c>
      <c r="J1674" s="246">
        <v>2</v>
      </c>
      <c r="K1674" s="247" t="s">
        <v>8746</v>
      </c>
      <c r="L1674" s="248">
        <v>50442</v>
      </c>
      <c r="M1674" s="249">
        <f>15*(LEFT(TEXT($L1674,"000000"),2)+(MID(TEXT($L1674,"000000"),3,2)/60)+(RIGHT(TEXT($L1674,"000000"),2)/3600))</f>
        <v>76.174999999999997</v>
      </c>
      <c r="N1674" s="250">
        <v>234850</v>
      </c>
      <c r="O1674" s="251">
        <f>IF($N1674&gt;0,(LEFT(TEXT($N1674,"000000"),2)+(MID(TEXT($N1674,"000000"),3,2)/60)+(RIGHT(TEXT($N1674,"000000"),2)/3600)),-(MID(TEXT($N1674,"000000"),2,2)+(MID(TEXT($N1674,"000000"),4,2)/60)+(RIGHT(TEXT($N1674,"000000"),2)/3600)))</f>
        <v>23.81388888888889</v>
      </c>
      <c r="P1674" s="252" t="s">
        <v>56</v>
      </c>
      <c r="Q1674" s="253"/>
      <c r="R1674" s="247" t="s">
        <v>3293</v>
      </c>
      <c r="S1674" s="272" t="s">
        <v>8744</v>
      </c>
      <c r="T1674" s="273"/>
      <c r="U1674" s="274"/>
      <c r="V1674" s="280"/>
      <c r="W1674" s="244"/>
      <c r="X1674" s="244"/>
      <c r="Y1674" s="362"/>
      <c r="Z1674" s="257">
        <f>altaz(J2000_Bas,$O1674,$M1674,DecLat,DecLong,1)</f>
        <v>-28.186900525729385</v>
      </c>
      <c r="AA1674" s="257">
        <f>altaz((J2000_Bas+(2*0.04167)),$O1674,$M1674,DecLat,DecLong,1)</f>
        <v>-10.671625805133385</v>
      </c>
      <c r="AB1674" s="257">
        <f>altaz((J2000_Bas+(4*0.04167)),$O1674,$M1674,DecLat,DecLong,1)</f>
        <v>11.999927475331456</v>
      </c>
      <c r="AC1674" s="257">
        <f>altaz((J2000_Bas+(6*0.04167)),$O1674,$M1674,DecLat,DecLong,1)</f>
        <v>36.942482949342981</v>
      </c>
      <c r="AD1674" s="258">
        <f>1+ transit((J2000_Bas-1),$O1674,$M1674,DecLat,DecLong)/360 + (GMTOffset/24) + (IF(DST="Y", 1, 0)/24)</f>
        <v>1.204497161692208</v>
      </c>
      <c r="AE1674" s="259">
        <f>DATE(2001,9,21)+(M1674/360)*365 - (360*((DecLong/360)- (GMTOffset/24) ))</f>
        <v>37237.232986111114</v>
      </c>
      <c r="AF1674" s="260">
        <f>IF(DecLat&gt;0,IF((90 - (DecLat-O1674))&gt;90, (90 - (O1674-DecLat)), (90 - (DecLat-O1674))),IF((90 + (DecLat-O1674))&gt;90, (90 + (O1674-DecLat)), (90 + (DecLat-O1674))))</f>
        <v>82.813888888888897</v>
      </c>
      <c r="AG1674" s="257">
        <f>angularseperation(MoonRA,MoonDec,$M1674,$O1674)</f>
        <v>172.93886700382311</v>
      </c>
      <c r="AH1674" s="261">
        <f ca="1">MIN(100,IF($O$5&gt;80,0+30*($AG1674/100),IF($O$5&gt;70,0+50*($AG1674/100),IF($O$5&gt;60,5+50*($AG1674/100),IF($O$5&gt;50,10+60*($AG1674/100),IF($O$5&gt;40,15+70*($AG1674/100),IF($O$5&gt;30,20+70*($AG1674/100),IF($O$5&gt;20,40+55*($AG1674/100),(80+(20-$O$5)+30*($AG1674/100))))))))))</f>
        <v>100</v>
      </c>
      <c r="AI1674" s="262">
        <v>1758</v>
      </c>
      <c r="AJ1674" s="262"/>
      <c r="AK1674" s="262"/>
      <c r="AL1674" s="263"/>
      <c r="AM1674" s="264"/>
      <c r="AN1674" s="263"/>
      <c r="AO1674" s="263"/>
      <c r="AP1674" s="265"/>
      <c r="AQ1674" s="266"/>
      <c r="AR1674" s="267"/>
      <c r="AS1674" s="263"/>
      <c r="AT1674" s="263"/>
      <c r="AU1674" s="263"/>
      <c r="AV1674" s="264"/>
      <c r="AW1674" s="263"/>
      <c r="AX1674" s="263"/>
      <c r="AY1674" s="263"/>
      <c r="AZ1674" s="263"/>
      <c r="BA1674" s="263"/>
      <c r="BB1674" s="263"/>
      <c r="BC1674" s="263"/>
      <c r="BD1674" s="264"/>
      <c r="BE1674" s="263"/>
      <c r="BF1674" s="263">
        <v>18</v>
      </c>
      <c r="BG1674" s="263"/>
      <c r="BH1674" s="263"/>
      <c r="BI1674" s="263"/>
      <c r="BJ1674" s="404">
        <f>altaz(J2000_Bas,$O1674,$M1674,DecLat,DecLong,2)</f>
        <v>31.082301496521026</v>
      </c>
      <c r="BK1674" s="378" t="s">
        <v>8743</v>
      </c>
      <c r="BL1674" s="379">
        <f>IF((2*G1674)/60&lt;0.2,0.2,(2*G1674)/60)</f>
        <v>0.33333333333333331</v>
      </c>
      <c r="BM1674" s="380">
        <f>MOD((50000+AD1674-$B$3+(0/24)),1)</f>
        <v>0.4198640913964482</v>
      </c>
      <c r="BN1674" s="381"/>
      <c r="BO1674" s="382">
        <v>1667</v>
      </c>
    </row>
    <row r="1675" spans="1:67" s="24" customFormat="1" ht="15" customHeight="1" x14ac:dyDescent="0.25">
      <c r="A1675" s="288" t="s">
        <v>1675</v>
      </c>
      <c r="B1675" s="241" t="str">
        <f>HYPERLINK(CONCATENATE($AT$3,BK1675,$AU$3),$AV$3)</f>
        <v>S</v>
      </c>
      <c r="C1675" s="242" t="str">
        <f>HYPERLINK(CONCATENATE($AT$4,BK1675,$AU$4,BL1675),$AV$4)</f>
        <v>A</v>
      </c>
      <c r="D1675" s="243" t="s">
        <v>5638</v>
      </c>
      <c r="E1675" s="244" t="s">
        <v>5192</v>
      </c>
      <c r="F1675" s="269" t="s">
        <v>8895</v>
      </c>
      <c r="G1675" s="273">
        <v>4.5</v>
      </c>
      <c r="H1675" s="283">
        <v>90</v>
      </c>
      <c r="I1675" s="246">
        <v>120</v>
      </c>
      <c r="J1675" s="246">
        <v>2</v>
      </c>
      <c r="K1675" s="247" t="s">
        <v>6763</v>
      </c>
      <c r="L1675" s="248">
        <v>50527</v>
      </c>
      <c r="M1675" s="249">
        <f>15*(LEFT(TEXT($L1675,"000000"),2)+(MID(TEXT($L1675,"000000"),3,2)/60)+(RIGHT(TEXT($L1675,"000000"),2)/3600))</f>
        <v>76.362499999999997</v>
      </c>
      <c r="N1675" s="250">
        <v>-115218</v>
      </c>
      <c r="O1675" s="251">
        <f>IF($N1675&gt;0,(LEFT(TEXT($N1675,"000000"),2)+(MID(TEXT($N1675,"000000"),3,2)/60)+(RIGHT(TEXT($N1675,"000000"),2)/3600)),-(MID(TEXT($N1675,"000000"),2,2)+(MID(TEXT($N1675,"000000"),4,2)/60)+(RIGHT(TEXT($N1675,"000000"),2)/3600)))</f>
        <v>-11.871666666666668</v>
      </c>
      <c r="P1675" s="252" t="s">
        <v>70</v>
      </c>
      <c r="Q1675" s="253"/>
      <c r="R1675" s="247" t="s">
        <v>3293</v>
      </c>
      <c r="S1675" s="272" t="s">
        <v>3293</v>
      </c>
      <c r="T1675" s="273">
        <v>11.7</v>
      </c>
      <c r="U1675" s="289">
        <v>22.89</v>
      </c>
      <c r="V1675" s="280">
        <v>50</v>
      </c>
      <c r="W1675" s="244"/>
      <c r="X1675" s="244"/>
      <c r="Y1675" s="362"/>
      <c r="Z1675" s="257">
        <f>altaz(J2000_Bas,$O1675,$M1675,DecLat,DecLong,1)</f>
        <v>-56.618403953148963</v>
      </c>
      <c r="AA1675" s="257">
        <f>altaz((J2000_Bas+(2*0.04167)),$O1675,$M1675,DecLat,DecLong,1)</f>
        <v>-31.928219685287317</v>
      </c>
      <c r="AB1675" s="257">
        <f>altaz((J2000_Bas+(4*0.04167)),$O1675,$M1675,DecLat,DecLong,1)</f>
        <v>-6.2430874586642782</v>
      </c>
      <c r="AC1675" s="257">
        <f>altaz((J2000_Bas+(6*0.04167)),$O1675,$M1675,DecLat,DecLong,1)</f>
        <v>18.186741151722067</v>
      </c>
      <c r="AD1675" s="258">
        <f>1+ transit((J2000_Bas-1),$O1675,$M1675,DecLat,DecLong)/360 + (GMTOffset/24) + (IF(DST="Y", 1, 0)/24)</f>
        <v>1.2050179949734581</v>
      </c>
      <c r="AE1675" s="259">
        <f>DATE(2001,9,21)+(M1675/360)*365 - (360*((DecLong/360)- (GMTOffset/24) ))</f>
        <v>37237.423090277778</v>
      </c>
      <c r="AF1675" s="260">
        <f>IF(DecLat&gt;0,IF((90 - (DecLat-O1675))&gt;90, (90 - (O1675-DecLat)), (90 - (DecLat-O1675))),IF((90 + (DecLat-O1675))&gt;90, (90 + (O1675-DecLat)), (90 + (DecLat-O1675))))</f>
        <v>47.12833333333333</v>
      </c>
      <c r="AG1675" s="257">
        <f>angularseperation(MoonRA,MoonDec,$M1675,$O1675)</f>
        <v>140.43583394836844</v>
      </c>
      <c r="AH1675" s="261">
        <f ca="1">MIN(100,IF($O$5&gt;80,0+30*($AG1675/100),IF($O$5&gt;70,0+50*($AG1675/100),IF($O$5&gt;60,5+50*($AG1675/100),IF($O$5&gt;50,10+60*($AG1675/100),IF($O$5&gt;40,15+70*($AG1675/100),IF($O$5&gt;30,20+70*($AG1675/100),IF($O$5&gt;20,40+55*($AG1675/100),(80+(20-$O$5)+30*($AG1675/100))))))))))</f>
        <v>100</v>
      </c>
      <c r="AI1675" s="262">
        <v>1784</v>
      </c>
      <c r="AJ1675" s="262"/>
      <c r="AK1675" s="262"/>
      <c r="AL1675" s="263"/>
      <c r="AM1675" s="264"/>
      <c r="AN1675" s="263"/>
      <c r="AO1675" s="263"/>
      <c r="AP1675" s="265"/>
      <c r="AQ1675" s="266"/>
      <c r="AR1675" s="267">
        <v>16716</v>
      </c>
      <c r="AS1675" s="263"/>
      <c r="AT1675" s="263"/>
      <c r="AU1675" s="263"/>
      <c r="AV1675" s="264"/>
      <c r="AW1675" s="263"/>
      <c r="AX1675" s="263"/>
      <c r="AY1675" s="263"/>
      <c r="AZ1675" s="263"/>
      <c r="BA1675" s="263"/>
      <c r="BB1675" s="263"/>
      <c r="BC1675" s="263"/>
      <c r="BD1675" s="264"/>
      <c r="BE1675" s="263"/>
      <c r="BF1675" s="263"/>
      <c r="BG1675" s="263"/>
      <c r="BH1675" s="263"/>
      <c r="BI1675" s="263"/>
      <c r="BJ1675" s="404">
        <f>altaz(J2000_Bas,$O1675,$M1675,DecLat,DecLong,2)</f>
        <v>61.595398857751832</v>
      </c>
      <c r="BK1675" s="378" t="s">
        <v>1675</v>
      </c>
      <c r="BL1675" s="379">
        <f>IF((2*G1675)/60&lt;0.2,0.2,(2*G1675)/60)</f>
        <v>0.2</v>
      </c>
      <c r="BM1675" s="380">
        <f>MOD((50000+AD1675-$B$3+(0/24)),1)</f>
        <v>0.42038492467690958</v>
      </c>
      <c r="BN1675" s="381"/>
      <c r="BO1675" s="382">
        <v>1668</v>
      </c>
    </row>
    <row r="1676" spans="1:67" s="24" customFormat="1" ht="15" customHeight="1" x14ac:dyDescent="0.25">
      <c r="A1676" s="288" t="s">
        <v>1676</v>
      </c>
      <c r="B1676" s="241" t="str">
        <f>HYPERLINK(CONCATENATE($AT$3,BK1676,$AU$3),$AV$3)</f>
        <v>S</v>
      </c>
      <c r="C1676" s="242" t="str">
        <f>HYPERLINK(CONCATENATE($AT$4,BK1676,$AU$4,BL1676),$AV$4)</f>
        <v>A</v>
      </c>
      <c r="D1676" s="243" t="s">
        <v>5187</v>
      </c>
      <c r="E1676" s="244" t="s">
        <v>5186</v>
      </c>
      <c r="F1676" s="269"/>
      <c r="G1676" s="273">
        <v>8</v>
      </c>
      <c r="H1676" s="283">
        <v>1300</v>
      </c>
      <c r="I1676" s="279">
        <v>3</v>
      </c>
      <c r="J1676" s="246">
        <v>4</v>
      </c>
      <c r="K1676" s="247" t="s">
        <v>9438</v>
      </c>
      <c r="L1676" s="248">
        <v>50653</v>
      </c>
      <c r="M1676" s="249">
        <f>15*(LEFT(TEXT($L1676,"000000"),2)+(MID(TEXT($L1676,"000000"),3,2)/60)+(RIGHT(TEXT($L1676,"000000"),2)/3600))</f>
        <v>76.720833333333317</v>
      </c>
      <c r="N1676" s="250">
        <v>-32027</v>
      </c>
      <c r="O1676" s="251">
        <f>IF($N1676&gt;0,(LEFT(TEXT($N1676,"000000"),2)+(MID(TEXT($N1676,"000000"),3,2)/60)+(RIGHT(TEXT($N1676,"000000"),2)/3600)),-(MID(TEXT($N1676,"000000"),2,2)+(MID(TEXT($N1676,"000000"),4,2)/60)+(RIGHT(TEXT($N1676,"000000"),2)/3600)))</f>
        <v>-3.3408333333333333</v>
      </c>
      <c r="P1676" s="252" t="s">
        <v>41</v>
      </c>
      <c r="Q1676" s="253" t="s">
        <v>6993</v>
      </c>
      <c r="R1676" s="247" t="s">
        <v>3293</v>
      </c>
      <c r="S1676" s="272" t="s">
        <v>3293</v>
      </c>
      <c r="T1676" s="273"/>
      <c r="U1676" s="274"/>
      <c r="V1676" s="280"/>
      <c r="W1676" s="244"/>
      <c r="X1676" s="244"/>
      <c r="Y1676" s="362"/>
      <c r="Z1676" s="257">
        <f>altaz(J2000_Bas,$O1676,$M1676,DecLat,DecLong,1)</f>
        <v>-50.930865003799383</v>
      </c>
      <c r="AA1676" s="257">
        <f>altaz((J2000_Bas+(2*0.04167)),$O1676,$M1676,DecLat,DecLong,1)</f>
        <v>-27.77747799792418</v>
      </c>
      <c r="AB1676" s="257">
        <f>altaz((J2000_Bas+(4*0.04167)),$O1676,$M1676,DecLat,DecLong,1)</f>
        <v>-2.1900942734585769</v>
      </c>
      <c r="AC1676" s="257">
        <f>altaz((J2000_Bas+(6*0.04167)),$O1676,$M1676,DecLat,DecLong,1)</f>
        <v>23.067689633565809</v>
      </c>
      <c r="AD1676" s="258">
        <f>1+ transit((J2000_Bas-1),$O1676,$M1676,DecLat,DecLong)/360 + (GMTOffset/24) + (IF(DST="Y", 1, 0)/24)</f>
        <v>1.2060133652442913</v>
      </c>
      <c r="AE1676" s="259">
        <f>DATE(2001,9,21)+(M1676/360)*365 - (360*((DecLong/360)- (GMTOffset/24) ))</f>
        <v>37237.786400462966</v>
      </c>
      <c r="AF1676" s="260">
        <f>IF(DecLat&gt;0,IF((90 - (DecLat-O1676))&gt;90, (90 - (O1676-DecLat)), (90 - (DecLat-O1676))),IF((90 + (DecLat-O1676))&gt;90, (90 + (O1676-DecLat)), (90 + (DecLat-O1676))))</f>
        <v>55.659166666666664</v>
      </c>
      <c r="AG1676" s="257">
        <f>angularseperation(MoonRA,MoonDec,$M1676,$O1676)</f>
        <v>148.73014314683175</v>
      </c>
      <c r="AH1676" s="261">
        <f ca="1">MIN(100,IF($O$5&gt;80,0+30*($AG1676/100),IF($O$5&gt;70,0+50*($AG1676/100),IF($O$5&gt;60,5+50*($AG1676/100),IF($O$5&gt;50,10+60*($AG1676/100),IF($O$5&gt;40,15+70*($AG1676/100),IF($O$5&gt;30,20+70*($AG1676/100),IF($O$5&gt;20,40+55*($AG1676/100),(80+(20-$O$5)+30*($AG1676/100))))))))))</f>
        <v>100</v>
      </c>
      <c r="AI1676" s="262">
        <v>1788</v>
      </c>
      <c r="AJ1676" s="262"/>
      <c r="AK1676" s="262">
        <v>58</v>
      </c>
      <c r="AL1676" s="263"/>
      <c r="AM1676" s="264"/>
      <c r="AN1676" s="263"/>
      <c r="AO1676" s="263"/>
      <c r="AP1676" s="265"/>
      <c r="AQ1676" s="266"/>
      <c r="AR1676" s="267"/>
      <c r="AS1676" s="263"/>
      <c r="AT1676" s="263"/>
      <c r="AU1676" s="263"/>
      <c r="AV1676" s="264"/>
      <c r="AW1676" s="263"/>
      <c r="AX1676" s="263"/>
      <c r="AY1676" s="263"/>
      <c r="AZ1676" s="263">
        <v>1616</v>
      </c>
      <c r="BA1676" s="263"/>
      <c r="BB1676" s="263"/>
      <c r="BC1676" s="263"/>
      <c r="BD1676" s="264">
        <v>33</v>
      </c>
      <c r="BE1676" s="263"/>
      <c r="BF1676" s="263">
        <v>19</v>
      </c>
      <c r="BG1676" s="263"/>
      <c r="BH1676" s="263"/>
      <c r="BI1676" s="263"/>
      <c r="BJ1676" s="404">
        <f>altaz(J2000_Bas,$O1676,$M1676,DecLat,DecLong,2)</f>
        <v>50.779780958468628</v>
      </c>
      <c r="BK1676" s="378" t="s">
        <v>1676</v>
      </c>
      <c r="BL1676" s="379">
        <f>IF((2*G1676)/60&lt;0.2,0.2,(2*G1676)/60)</f>
        <v>0.26666666666666666</v>
      </c>
      <c r="BM1676" s="380">
        <f>MOD((50000+AD1676-$B$3+(0/24)),1)</f>
        <v>0.42138029494526563</v>
      </c>
      <c r="BN1676" s="381"/>
      <c r="BO1676" s="382">
        <v>1669</v>
      </c>
    </row>
    <row r="1677" spans="1:67" s="24" customFormat="1" ht="15" customHeight="1" x14ac:dyDescent="0.25">
      <c r="A1677" s="288" t="s">
        <v>1677</v>
      </c>
      <c r="B1677" s="241" t="str">
        <f>HYPERLINK(CONCATENATE($AT$3,BK1677,$AU$3),$AV$3)</f>
        <v>S</v>
      </c>
      <c r="C1677" s="242" t="str">
        <f>HYPERLINK(CONCATENATE($AT$4,BK1677,$AU$4,BL1677),$AV$4)</f>
        <v>A</v>
      </c>
      <c r="D1677" s="243" t="s">
        <v>5638</v>
      </c>
      <c r="E1677" s="244" t="s">
        <v>5192</v>
      </c>
      <c r="F1677" s="269" t="s">
        <v>8886</v>
      </c>
      <c r="G1677" s="273">
        <v>4</v>
      </c>
      <c r="H1677" s="283">
        <v>35</v>
      </c>
      <c r="I1677" s="246">
        <v>40</v>
      </c>
      <c r="J1677" s="246">
        <v>2</v>
      </c>
      <c r="K1677" s="247" t="s">
        <v>6764</v>
      </c>
      <c r="L1677" s="248">
        <v>50514</v>
      </c>
      <c r="M1677" s="249">
        <f>15*(LEFT(TEXT($L1677,"000000"),2)+(MID(TEXT($L1677,"000000"),3,2)/60)+(RIGHT(TEXT($L1677,"000000"),2)/3600))</f>
        <v>76.308333333333323</v>
      </c>
      <c r="N1677" s="250">
        <v>-375849</v>
      </c>
      <c r="O1677" s="251">
        <f>IF($N1677&gt;0,(LEFT(TEXT($N1677,"000000"),2)+(MID(TEXT($N1677,"000000"),3,2)/60)+(RIGHT(TEXT($N1677,"000000"),2)/3600)),-(MID(TEXT($N1677,"000000"),2,2)+(MID(TEXT($N1677,"000000"),4,2)/60)+(RIGHT(TEXT($N1677,"000000"),2)/3600)))</f>
        <v>-37.980277777777779</v>
      </c>
      <c r="P1677" s="252" t="s">
        <v>1678</v>
      </c>
      <c r="Q1677" s="253"/>
      <c r="R1677" s="247" t="s">
        <v>3293</v>
      </c>
      <c r="S1677" s="272" t="s">
        <v>3293</v>
      </c>
      <c r="T1677" s="273">
        <v>10.199999999999999</v>
      </c>
      <c r="U1677" s="289">
        <v>21.79</v>
      </c>
      <c r="V1677" s="280">
        <v>65</v>
      </c>
      <c r="W1677" s="244"/>
      <c r="X1677" s="244"/>
      <c r="Y1677" s="362"/>
      <c r="Z1677" s="257">
        <f>altaz(J2000_Bas,$O1677,$M1677,DecLat,DecLong,1)</f>
        <v>-64.670681591989592</v>
      </c>
      <c r="AA1677" s="257">
        <f>altaz((J2000_Bas+(2*0.04167)),$O1677,$M1677,DecLat,DecLong,1)</f>
        <v>-41.073356959076648</v>
      </c>
      <c r="AB1677" s="257">
        <f>altaz((J2000_Bas+(4*0.04167)),$O1677,$M1677,DecLat,DecLong,1)</f>
        <v>-18.575886403813421</v>
      </c>
      <c r="AC1677" s="257">
        <f>altaz((J2000_Bas+(6*0.04167)),$O1677,$M1677,DecLat,DecLong,1)</f>
        <v>1.1653624868150501</v>
      </c>
      <c r="AD1677" s="258">
        <f>1+ transit((J2000_Bas-1),$O1677,$M1677,DecLat,DecLong)/360 + (GMTOffset/24) + (IF(DST="Y", 1, 0)/24)</f>
        <v>1.2048675320255413</v>
      </c>
      <c r="AE1677" s="259">
        <f>DATE(2001,9,21)+(M1677/360)*365 - (360*((DecLong/360)- (GMTOffset/24) ))</f>
        <v>37237.368171296293</v>
      </c>
      <c r="AF1677" s="260">
        <f>IF(DecLat&gt;0,IF((90 - (DecLat-O1677))&gt;90, (90 - (O1677-DecLat)), (90 - (DecLat-O1677))),IF((90 + (DecLat-O1677))&gt;90, (90 + (O1677-DecLat)), (90 + (DecLat-O1677))))</f>
        <v>21.019722222222214</v>
      </c>
      <c r="AG1677" s="257">
        <f>angularseperation(MoonRA,MoonDec,$M1677,$O1677)</f>
        <v>114.59926663955505</v>
      </c>
      <c r="AH1677" s="261">
        <f ca="1">MIN(100,IF($O$5&gt;80,0+30*($AG1677/100),IF($O$5&gt;70,0+50*($AG1677/100),IF($O$5&gt;60,5+50*($AG1677/100),IF($O$5&gt;50,10+60*($AG1677/100),IF($O$5&gt;40,15+70*($AG1677/100),IF($O$5&gt;30,20+70*($AG1677/100),IF($O$5&gt;20,40+55*($AG1677/100),(80+(20-$O$5)+30*($AG1677/100))))))))))</f>
        <v>100</v>
      </c>
      <c r="AI1677" s="262">
        <v>1792</v>
      </c>
      <c r="AJ1677" s="262"/>
      <c r="AK1677" s="262"/>
      <c r="AL1677" s="263"/>
      <c r="AM1677" s="264"/>
      <c r="AN1677" s="263"/>
      <c r="AO1677" s="263"/>
      <c r="AP1677" s="265"/>
      <c r="AQ1677" s="266"/>
      <c r="AR1677" s="267">
        <v>16709</v>
      </c>
      <c r="AS1677" s="263"/>
      <c r="AT1677" s="263"/>
      <c r="AU1677" s="263"/>
      <c r="AV1677" s="264"/>
      <c r="AW1677" s="263"/>
      <c r="AX1677" s="263"/>
      <c r="AY1677" s="263"/>
      <c r="AZ1677" s="263"/>
      <c r="BA1677" s="263"/>
      <c r="BB1677" s="263"/>
      <c r="BC1677" s="263"/>
      <c r="BD1677" s="264"/>
      <c r="BE1677" s="263"/>
      <c r="BF1677" s="263"/>
      <c r="BG1677" s="263"/>
      <c r="BH1677" s="263"/>
      <c r="BI1677" s="263"/>
      <c r="BJ1677" s="404">
        <f>altaz(J2000_Bas,$O1677,$M1677,DecLat,DecLong,2)</f>
        <v>114.12149589321163</v>
      </c>
      <c r="BK1677" s="378" t="s">
        <v>1677</v>
      </c>
      <c r="BL1677" s="379">
        <f>IF((2*G1677)/60&lt;0.2,0.2,(2*G1677)/60)</f>
        <v>0.2</v>
      </c>
      <c r="BM1677" s="380">
        <f>MOD((50000+AD1677-$B$3+(0/24)),1)</f>
        <v>0.4202344617297058</v>
      </c>
      <c r="BN1677" s="381"/>
      <c r="BO1677" s="382">
        <v>1670</v>
      </c>
    </row>
    <row r="1678" spans="1:67" s="24" customFormat="1" ht="15" customHeight="1" x14ac:dyDescent="0.25">
      <c r="A1678" s="288" t="s">
        <v>1679</v>
      </c>
      <c r="B1678" s="241" t="str">
        <f>HYPERLINK(CONCATENATE($AT$3,BK1678,$AU$3),$AV$3)</f>
        <v>S</v>
      </c>
      <c r="C1678" s="242" t="str">
        <f>HYPERLINK(CONCATENATE($AT$4,BK1678,$AU$4,BL1678),$AV$4)</f>
        <v>A</v>
      </c>
      <c r="D1678" s="243" t="s">
        <v>5335</v>
      </c>
      <c r="E1678" s="244" t="s">
        <v>5185</v>
      </c>
      <c r="F1678" s="269" t="s">
        <v>5108</v>
      </c>
      <c r="G1678" s="276">
        <v>17</v>
      </c>
      <c r="H1678" s="283">
        <v>6000</v>
      </c>
      <c r="I1678" s="246">
        <v>30</v>
      </c>
      <c r="J1678" s="246">
        <v>2</v>
      </c>
      <c r="K1678" s="247" t="s">
        <v>6767</v>
      </c>
      <c r="L1678" s="248">
        <v>51043</v>
      </c>
      <c r="M1678" s="249">
        <f>15*(LEFT(TEXT($L1678,"000000"),2)+(MID(TEXT($L1678,"000000"),3,2)/60)+(RIGHT(TEXT($L1678,"000000"),2)/3600))</f>
        <v>77.679166666666674</v>
      </c>
      <c r="N1678" s="250">
        <v>163118</v>
      </c>
      <c r="O1678" s="251">
        <f>IF($N1678&gt;0,(LEFT(TEXT($N1678,"000000"),2)+(MID(TEXT($N1678,"000000"),3,2)/60)+(RIGHT(TEXT($N1678,"000000"),2)/3600)),-(MID(TEXT($N1678,"000000"),2,2)+(MID(TEXT($N1678,"000000"),4,2)/60)+(RIGHT(TEXT($N1678,"000000"),2)/3600)))</f>
        <v>16.521666666666665</v>
      </c>
      <c r="P1678" s="252" t="s">
        <v>56</v>
      </c>
      <c r="Q1678" s="253" t="s">
        <v>1680</v>
      </c>
      <c r="R1678" s="277" t="s">
        <v>3293</v>
      </c>
      <c r="S1678" s="272" t="s">
        <v>1682</v>
      </c>
      <c r="T1678" s="273">
        <v>7</v>
      </c>
      <c r="U1678" s="274"/>
      <c r="V1678" s="280"/>
      <c r="W1678" s="244"/>
      <c r="X1678" s="244"/>
      <c r="Y1678" s="362"/>
      <c r="Z1678" s="257">
        <f>altaz(J2000_Bas,$O1678,$M1678,DecLat,DecLong,1)</f>
        <v>-35.234961990982093</v>
      </c>
      <c r="AA1678" s="257">
        <f>altaz((J2000_Bas+(2*0.04167)),$O1678,$M1678,DecLat,DecLong,1)</f>
        <v>-16.501248047434849</v>
      </c>
      <c r="AB1678" s="257">
        <f>altaz((J2000_Bas+(4*0.04167)),$O1678,$M1678,DecLat,DecLong,1)</f>
        <v>7.1719200554327021</v>
      </c>
      <c r="AC1678" s="257">
        <f>altaz((J2000_Bas+(6*0.04167)),$O1678,$M1678,DecLat,DecLong,1)</f>
        <v>32.653337892164664</v>
      </c>
      <c r="AD1678" s="258">
        <f>1+ transit((J2000_Bas-1),$O1678,$M1678,DecLat,DecLong)/360 + (GMTOffset/24) + (IF(DST="Y", 1, 0)/24)</f>
        <v>1.2086754020151247</v>
      </c>
      <c r="AE1678" s="259">
        <f>DATE(2001,9,21)+(M1678/360)*365 - (360*((DecLong/360)- (GMTOffset/24) ))</f>
        <v>37238.758043981485</v>
      </c>
      <c r="AF1678" s="260">
        <f>IF(DecLat&gt;0,IF((90 - (DecLat-O1678))&gt;90, (90 - (O1678-DecLat)), (90 - (DecLat-O1678))),IF((90 + (DecLat-O1678))&gt;90, (90 + (O1678-DecLat)), (90 + (DecLat-O1678))))</f>
        <v>75.521666666666661</v>
      </c>
      <c r="AG1678" s="257">
        <f>angularseperation(MoonRA,MoonDec,$M1678,$O1678)</f>
        <v>166.86002614938562</v>
      </c>
      <c r="AH1678" s="261">
        <f ca="1">MIN(100,IF($O$5&gt;80,0+30*($AG1678/100),IF($O$5&gt;70,0+50*($AG1678/100),IF($O$5&gt;60,5+50*($AG1678/100),IF($O$5&gt;50,10+60*($AG1678/100),IF($O$5&gt;40,15+70*($AG1678/100),IF($O$5&gt;30,20+70*($AG1678/100),IF($O$5&gt;20,40+55*($AG1678/100),(80+(20-$O$5)+30*($AG1678/100))))))))))</f>
        <v>100</v>
      </c>
      <c r="AI1678" s="262">
        <v>1807</v>
      </c>
      <c r="AJ1678" s="262"/>
      <c r="AK1678" s="262"/>
      <c r="AL1678" s="263"/>
      <c r="AM1678" s="264"/>
      <c r="AN1678" s="263"/>
      <c r="AO1678" s="263"/>
      <c r="AP1678" s="265"/>
      <c r="AQ1678" s="266"/>
      <c r="AR1678" s="267"/>
      <c r="AS1678" s="263"/>
      <c r="AT1678" s="263"/>
      <c r="AU1678" s="263"/>
      <c r="AV1678" s="264"/>
      <c r="AW1678" s="263"/>
      <c r="AX1678" s="263"/>
      <c r="AY1678" s="263"/>
      <c r="AZ1678" s="263"/>
      <c r="BA1678" s="263"/>
      <c r="BB1678" s="263"/>
      <c r="BC1678" s="263"/>
      <c r="BD1678" s="264"/>
      <c r="BE1678" s="263"/>
      <c r="BF1678" s="263">
        <v>20</v>
      </c>
      <c r="BG1678" s="263"/>
      <c r="BH1678" s="263"/>
      <c r="BI1678" s="263"/>
      <c r="BJ1678" s="404">
        <f>altaz(J2000_Bas,$O1678,$M1678,DecLat,DecLong,2)</f>
        <v>33.840647615853541</v>
      </c>
      <c r="BK1678" s="378" t="s">
        <v>1679</v>
      </c>
      <c r="BL1678" s="379">
        <f>IF((2*G1678)/60&lt;0.2,0.2,(2*G1678)/60)</f>
        <v>0.56666666666666665</v>
      </c>
      <c r="BM1678" s="380">
        <f>MOD((50000+AD1678-$B$3+(0/24)),1)</f>
        <v>0.42404233171691885</v>
      </c>
      <c r="BN1678" s="381"/>
      <c r="BO1678" s="382">
        <v>1671</v>
      </c>
    </row>
    <row r="1679" spans="1:67" s="24" customFormat="1" ht="15" customHeight="1" x14ac:dyDescent="0.25">
      <c r="A1679" s="288" t="s">
        <v>1681</v>
      </c>
      <c r="B1679" s="241" t="str">
        <f>HYPERLINK(CONCATENATE($AT$3,BK1679,$AU$3),$AV$3)</f>
        <v>S</v>
      </c>
      <c r="C1679" s="242" t="str">
        <f>HYPERLINK(CONCATENATE($AT$4,BK1679,$AU$4,BL1679),$AV$4)</f>
        <v>A</v>
      </c>
      <c r="D1679" s="243" t="s">
        <v>5638</v>
      </c>
      <c r="E1679" s="244" t="s">
        <v>5192</v>
      </c>
      <c r="F1679" s="269" t="s">
        <v>8907</v>
      </c>
      <c r="G1679" s="273">
        <v>4.5</v>
      </c>
      <c r="H1679" s="283">
        <v>40</v>
      </c>
      <c r="I1679" s="246">
        <v>55</v>
      </c>
      <c r="J1679" s="246">
        <v>3</v>
      </c>
      <c r="K1679" s="247" t="s">
        <v>6768</v>
      </c>
      <c r="L1679" s="248">
        <v>50743</v>
      </c>
      <c r="M1679" s="249">
        <f>15*(LEFT(TEXT($L1679,"000000"),2)+(MID(TEXT($L1679,"000000"),3,2)/60)+(RIGHT(TEXT($L1679,"000000"),2)/3600))</f>
        <v>76.92916666666666</v>
      </c>
      <c r="N1679" s="250">
        <v>-373048</v>
      </c>
      <c r="O1679" s="251">
        <f>IF($N1679&gt;0,(LEFT(TEXT($N1679,"000000"),2)+(MID(TEXT($N1679,"000000"),3,2)/60)+(RIGHT(TEXT($N1679,"000000"),2)/3600)),-(MID(TEXT($N1679,"000000"),2,2)+(MID(TEXT($N1679,"000000"),4,2)/60)+(RIGHT(TEXT($N1679,"000000"),2)/3600)))</f>
        <v>-37.513333333333335</v>
      </c>
      <c r="P1679" s="252" t="s">
        <v>1678</v>
      </c>
      <c r="Q1679" s="253"/>
      <c r="R1679" s="247" t="s">
        <v>3293</v>
      </c>
      <c r="S1679" s="272" t="s">
        <v>3293</v>
      </c>
      <c r="T1679" s="273">
        <v>9.9</v>
      </c>
      <c r="U1679" s="289">
        <v>22.19</v>
      </c>
      <c r="V1679" s="280">
        <v>70</v>
      </c>
      <c r="W1679" s="244"/>
      <c r="X1679" s="244"/>
      <c r="Y1679" s="362"/>
      <c r="Z1679" s="257">
        <f>altaz(J2000_Bas,$O1679,$M1679,DecLat,DecLong,1)</f>
        <v>-65.213244850221074</v>
      </c>
      <c r="AA1679" s="257">
        <f>altaz((J2000_Bas+(2*0.04167)),$O1679,$M1679,DecLat,DecLong,1)</f>
        <v>-41.468182648343102</v>
      </c>
      <c r="AB1679" s="257">
        <f>altaz((J2000_Bas+(4*0.04167)),$O1679,$M1679,DecLat,DecLong,1)</f>
        <v>-18.821362683157609</v>
      </c>
      <c r="AC1679" s="257">
        <f>altaz((J2000_Bas+(6*0.04167)),$O1679,$M1679,DecLat,DecLong,1)</f>
        <v>1.1109458494382132</v>
      </c>
      <c r="AD1679" s="258">
        <f>1+ transit((J2000_Bas-1),$O1679,$M1679,DecLat,DecLong)/360 + (GMTOffset/24) + (IF(DST="Y", 1, 0)/24)</f>
        <v>1.2065920688901246</v>
      </c>
      <c r="AE1679" s="259">
        <f>DATE(2001,9,21)+(M1679/360)*365 - (360*((DecLong/360)- (GMTOffset/24) ))</f>
        <v>37237.997627314813</v>
      </c>
      <c r="AF1679" s="260">
        <f>IF(DecLat&gt;0,IF((90 - (DecLat-O1679))&gt;90, (90 - (O1679-DecLat)), (90 - (DecLat-O1679))),IF((90 + (DecLat-O1679))&gt;90, (90 + (O1679-DecLat)), (90 + (DecLat-O1679))))</f>
        <v>21.486666666666665</v>
      </c>
      <c r="AG1679" s="257">
        <f>angularseperation(MoonRA,MoonDec,$M1679,$O1679)</f>
        <v>115.00066800977669</v>
      </c>
      <c r="AH1679" s="261">
        <f ca="1">MIN(100,IF($O$5&gt;80,0+30*($AG1679/100),IF($O$5&gt;70,0+50*($AG1679/100),IF($O$5&gt;60,5+50*($AG1679/100),IF($O$5&gt;50,10+60*($AG1679/100),IF($O$5&gt;40,15+70*($AG1679/100),IF($O$5&gt;30,20+70*($AG1679/100),IF($O$5&gt;20,40+55*($AG1679/100),(80+(20-$O$5)+30*($AG1679/100))))))))))</f>
        <v>100</v>
      </c>
      <c r="AI1679" s="262">
        <v>1808</v>
      </c>
      <c r="AJ1679" s="262"/>
      <c r="AK1679" s="262"/>
      <c r="AL1679" s="263"/>
      <c r="AM1679" s="264"/>
      <c r="AN1679" s="263"/>
      <c r="AO1679" s="263"/>
      <c r="AP1679" s="265"/>
      <c r="AQ1679" s="266"/>
      <c r="AR1679" s="266">
        <v>16779</v>
      </c>
      <c r="AS1679" s="263"/>
      <c r="AT1679" s="263"/>
      <c r="AU1679" s="263"/>
      <c r="AV1679" s="263"/>
      <c r="AW1679" s="263"/>
      <c r="AX1679" s="263"/>
      <c r="AY1679" s="263"/>
      <c r="AZ1679" s="263"/>
      <c r="BA1679" s="263"/>
      <c r="BB1679" s="263"/>
      <c r="BC1679" s="263"/>
      <c r="BD1679" s="264"/>
      <c r="BE1679" s="263"/>
      <c r="BF1679" s="263"/>
      <c r="BG1679" s="263"/>
      <c r="BH1679" s="263"/>
      <c r="BI1679" s="263"/>
      <c r="BJ1679" s="404">
        <f>altaz(J2000_Bas,$O1679,$M1679,DecLat,DecLong,2)</f>
        <v>113.16338504701942</v>
      </c>
      <c r="BK1679" s="378" t="s">
        <v>1681</v>
      </c>
      <c r="BL1679" s="379">
        <f>IF((2*G1679)/60&lt;0.2,0.2,(2*G1679)/60)</f>
        <v>0.2</v>
      </c>
      <c r="BM1679" s="380">
        <f>MOD((50000+AD1679-$B$3+(0/24)),1)</f>
        <v>0.42195899859507335</v>
      </c>
      <c r="BN1679" s="381"/>
      <c r="BO1679" s="382">
        <v>1672</v>
      </c>
    </row>
    <row r="1680" spans="1:67" s="24" customFormat="1" ht="15" customHeight="1" x14ac:dyDescent="0.25">
      <c r="A1680" s="288" t="s">
        <v>1682</v>
      </c>
      <c r="B1680" s="241" t="str">
        <f>HYPERLINK(CONCATENATE($AT$3,BK1680,$AU$3),$AV$3)</f>
        <v>S</v>
      </c>
      <c r="C1680" s="242" t="str">
        <f>HYPERLINK(CONCATENATE($AT$4,BK1680,$AU$4,BL1680),$AV$4)</f>
        <v>A</v>
      </c>
      <c r="D1680" s="243" t="s">
        <v>5335</v>
      </c>
      <c r="E1680" s="244" t="s">
        <v>5185</v>
      </c>
      <c r="F1680" s="269" t="s">
        <v>6765</v>
      </c>
      <c r="G1680" s="276">
        <v>20</v>
      </c>
      <c r="H1680" s="283">
        <v>6000</v>
      </c>
      <c r="I1680" s="246">
        <v>35</v>
      </c>
      <c r="J1680" s="246">
        <v>2</v>
      </c>
      <c r="K1680" s="247" t="s">
        <v>6766</v>
      </c>
      <c r="L1680" s="248">
        <v>51215</v>
      </c>
      <c r="M1680" s="249">
        <f>15*(LEFT(TEXT($L1680,"000000"),2)+(MID(TEXT($L1680,"000000"),3,2)/60)+(RIGHT(TEXT($L1680,"000000"),2)/3600))</f>
        <v>78.0625</v>
      </c>
      <c r="N1680" s="250">
        <v>164124</v>
      </c>
      <c r="O1680" s="251">
        <f>IF($N1680&gt;0,(LEFT(TEXT($N1680,"000000"),2)+(MID(TEXT($N1680,"000000"),3,2)/60)+(RIGHT(TEXT($N1680,"000000"),2)/3600)),-(MID(TEXT($N1680,"000000"),2,2)+(MID(TEXT($N1680,"000000"),4,2)/60)+(RIGHT(TEXT($N1680,"000000"),2)/3600)))</f>
        <v>16.690000000000001</v>
      </c>
      <c r="P1680" s="252" t="s">
        <v>56</v>
      </c>
      <c r="Q1680" s="253" t="s">
        <v>1680</v>
      </c>
      <c r="R1680" s="277" t="s">
        <v>3293</v>
      </c>
      <c r="S1680" s="272" t="s">
        <v>1679</v>
      </c>
      <c r="T1680" s="273">
        <v>7.7</v>
      </c>
      <c r="U1680" s="274"/>
      <c r="V1680" s="280"/>
      <c r="W1680" s="244"/>
      <c r="X1680" s="244"/>
      <c r="Y1680" s="362"/>
      <c r="Z1680" s="257">
        <f>altaz(J2000_Bas,$O1680,$M1680,DecLat,DecLong,1)</f>
        <v>-35.270496335088701</v>
      </c>
      <c r="AA1680" s="257">
        <f>altaz((J2000_Bas+(2*0.04167)),$O1680,$M1680,DecLat,DecLong,1)</f>
        <v>-16.671174984961144</v>
      </c>
      <c r="AB1680" s="257">
        <f>altaz((J2000_Bas+(4*0.04167)),$O1680,$M1680,DecLat,DecLong,1)</f>
        <v>6.9397288823470946</v>
      </c>
      <c r="AC1680" s="257">
        <f>altaz((J2000_Bas+(6*0.04167)),$O1680,$M1680,DecLat,DecLong,1)</f>
        <v>32.400070940834226</v>
      </c>
      <c r="AD1680" s="258">
        <f>1+ transit((J2000_Bas-1),$O1680,$M1680,DecLat,DecLong)/360 + (GMTOffset/24) + (IF(DST="Y", 1, 0)/24)</f>
        <v>1.2097402167234581</v>
      </c>
      <c r="AE1680" s="259">
        <f>DATE(2001,9,21)+(M1680/360)*365 - (360*((DecLong/360)- (GMTOffset/24) ))</f>
        <v>37239.146701388891</v>
      </c>
      <c r="AF1680" s="260">
        <f>IF(DecLat&gt;0,IF((90 - (DecLat-O1680))&gt;90, (90 - (O1680-DecLat)), (90 - (DecLat-O1680))),IF((90 + (DecLat-O1680))&gt;90, (90 + (O1680-DecLat)), (90 + (DecLat-O1680))))</f>
        <v>75.69</v>
      </c>
      <c r="AG1680" s="257">
        <f>angularseperation(MoonRA,MoonDec,$M1680,$O1680)</f>
        <v>166.78120214723066</v>
      </c>
      <c r="AH1680" s="261">
        <f ca="1">MIN(100,IF($O$5&gt;80,0+30*($AG1680/100),IF($O$5&gt;70,0+50*($AG1680/100),IF($O$5&gt;60,5+50*($AG1680/100),IF($O$5&gt;50,10+60*($AG1680/100),IF($O$5&gt;40,15+70*($AG1680/100),IF($O$5&gt;30,20+70*($AG1680/100),IF($O$5&gt;20,40+55*($AG1680/100),(80+(20-$O$5)+30*($AG1680/100))))))))))</f>
        <v>100</v>
      </c>
      <c r="AI1680" s="262">
        <v>1817</v>
      </c>
      <c r="AJ1680" s="262"/>
      <c r="AK1680" s="262">
        <v>59</v>
      </c>
      <c r="AL1680" s="263"/>
      <c r="AM1680" s="264"/>
      <c r="AN1680" s="263"/>
      <c r="AO1680" s="263"/>
      <c r="AP1680" s="265"/>
      <c r="AQ1680" s="266"/>
      <c r="AR1680" s="267"/>
      <c r="AS1680" s="263"/>
      <c r="AT1680" s="263"/>
      <c r="AU1680" s="263"/>
      <c r="AV1680" s="264"/>
      <c r="AW1680" s="263"/>
      <c r="AX1680" s="263"/>
      <c r="AY1680" s="263"/>
      <c r="AZ1680" s="263"/>
      <c r="BA1680" s="263"/>
      <c r="BB1680" s="263"/>
      <c r="BC1680" s="263"/>
      <c r="BD1680" s="264"/>
      <c r="BE1680" s="263"/>
      <c r="BF1680" s="263">
        <v>21</v>
      </c>
      <c r="BG1680" s="263"/>
      <c r="BH1680" s="263"/>
      <c r="BI1680" s="263"/>
      <c r="BJ1680" s="404">
        <f>altaz(J2000_Bas,$O1680,$M1680,DecLat,DecLong,2)</f>
        <v>33.347743032360775</v>
      </c>
      <c r="BK1680" s="378" t="s">
        <v>1682</v>
      </c>
      <c r="BL1680" s="379">
        <f>IF((2*G1680)/60&lt;0.2,0.2,(2*G1680)/60)</f>
        <v>0.66666666666666663</v>
      </c>
      <c r="BM1680" s="380">
        <f>MOD((50000+AD1680-$B$3+(0/24)),1)</f>
        <v>0.42510714642412495</v>
      </c>
      <c r="BN1680" s="381"/>
      <c r="BO1680" s="382">
        <v>1673</v>
      </c>
    </row>
    <row r="1681" spans="1:67" s="24" customFormat="1" ht="15" customHeight="1" x14ac:dyDescent="0.25">
      <c r="A1681" s="288" t="s">
        <v>1683</v>
      </c>
      <c r="B1681" s="241" t="str">
        <f>HYPERLINK(CONCATENATE($AT$3,BK1681,$AU$3),$AV$3)</f>
        <v>S</v>
      </c>
      <c r="C1681" s="242" t="str">
        <f>HYPERLINK(CONCATENATE($AT$4,BK1681,$AU$4,BL1681),$AV$4)</f>
        <v>A</v>
      </c>
      <c r="D1681" s="243" t="s">
        <v>5638</v>
      </c>
      <c r="E1681" s="244" t="s">
        <v>5182</v>
      </c>
      <c r="F1681" s="269" t="s">
        <v>8951</v>
      </c>
      <c r="G1681" s="273">
        <v>1.3</v>
      </c>
      <c r="H1681" s="283">
        <v>205.3107</v>
      </c>
      <c r="I1681" s="246">
        <v>80</v>
      </c>
      <c r="J1681" s="246">
        <v>2</v>
      </c>
      <c r="K1681" s="247" t="s">
        <v>8550</v>
      </c>
      <c r="L1681" s="248">
        <v>51146</v>
      </c>
      <c r="M1681" s="249">
        <f>15*(LEFT(TEXT($L1681,"000000"),2)+(MID(TEXT($L1681,"000000"),3,2)/60)+(RIGHT(TEXT($L1681,"000000"),2)/3600))</f>
        <v>77.941666666666677</v>
      </c>
      <c r="N1681" s="250">
        <v>51201</v>
      </c>
      <c r="O1681" s="251">
        <f>IF($N1681&gt;0,(LEFT(TEXT($N1681,"000000"),2)+(MID(TEXT($N1681,"000000"),3,2)/60)+(RIGHT(TEXT($N1681,"000000"),2)/3600)),-(MID(TEXT($N1681,"000000"),2,2)+(MID(TEXT($N1681,"000000"),4,2)/60)+(RIGHT(TEXT($N1681,"000000"),2)/3600)))</f>
        <v>5.200277777777778</v>
      </c>
      <c r="P1681" s="252" t="s">
        <v>41</v>
      </c>
      <c r="Q1681" s="253"/>
      <c r="R1681" s="247" t="s">
        <v>3293</v>
      </c>
      <c r="S1681" s="272" t="s">
        <v>3293</v>
      </c>
      <c r="T1681" s="273">
        <v>12.5</v>
      </c>
      <c r="U1681" s="289">
        <v>21.490000000000002</v>
      </c>
      <c r="V1681" s="280"/>
      <c r="W1681" s="244"/>
      <c r="X1681" s="244"/>
      <c r="Y1681" s="362"/>
      <c r="Z1681" s="257">
        <f>altaz(J2000_Bas,$O1681,$M1681,DecLat,DecLong,1)</f>
        <v>-44.95976978853075</v>
      </c>
      <c r="AA1681" s="257">
        <f>altaz((J2000_Bas+(2*0.04167)),$O1681,$M1681,DecLat,DecLong,1)</f>
        <v>-23.818345332141323</v>
      </c>
      <c r="AB1681" s="257">
        <f>altaz((J2000_Bas+(4*0.04167)),$O1681,$M1681,DecLat,DecLong,1)</f>
        <v>1.1640853555136101</v>
      </c>
      <c r="AC1681" s="257">
        <f>altaz((J2000_Bas+(6*0.04167)),$O1681,$M1681,DecLat,DecLong,1)</f>
        <v>26.844675467204418</v>
      </c>
      <c r="AD1681" s="258">
        <f>1+ transit((J2000_Bas-1),$O1681,$M1681,DecLat,DecLong)/360 + (GMTOffset/24) + (IF(DST="Y", 1, 0)/24)</f>
        <v>1.2094045686088746</v>
      </c>
      <c r="AE1681" s="259">
        <f>DATE(2001,9,21)+(M1681/360)*365 - (360*((DecLong/360)- (GMTOffset/24) ))</f>
        <v>37239.024189814816</v>
      </c>
      <c r="AF1681" s="260">
        <f>IF(DecLat&gt;0,IF((90 - (DecLat-O1681))&gt;90, (90 - (O1681-DecLat)), (90 - (DecLat-O1681))),IF((90 + (DecLat-O1681))&gt;90, (90 + (O1681-DecLat)), (90 + (DecLat-O1681))))</f>
        <v>64.200277777777785</v>
      </c>
      <c r="AG1681" s="257">
        <f>angularseperation(MoonRA,MoonDec,$M1681,$O1681)</f>
        <v>156.59788629018868</v>
      </c>
      <c r="AH1681" s="261">
        <f ca="1">MIN(100,IF($O$5&gt;80,0+30*($AG1681/100),IF($O$5&gt;70,0+50*($AG1681/100),IF($O$5&gt;60,5+50*($AG1681/100),IF($O$5&gt;50,10+60*($AG1681/100),IF($O$5&gt;40,15+70*($AG1681/100),IF($O$5&gt;30,20+70*($AG1681/100),IF($O$5&gt;20,40+55*($AG1681/100),(80+(20-$O$5)+30*($AG1681/100))))))))))</f>
        <v>100</v>
      </c>
      <c r="AI1681" s="262">
        <v>1819</v>
      </c>
      <c r="AJ1681" s="262"/>
      <c r="AK1681" s="262"/>
      <c r="AL1681" s="263"/>
      <c r="AM1681" s="264"/>
      <c r="AN1681" s="263"/>
      <c r="AO1681" s="263"/>
      <c r="AP1681" s="265"/>
      <c r="AQ1681" s="266">
        <v>3265</v>
      </c>
      <c r="AR1681" s="267">
        <v>16899</v>
      </c>
      <c r="AS1681" s="263"/>
      <c r="AT1681" s="263"/>
      <c r="AU1681" s="263"/>
      <c r="AV1681" s="264"/>
      <c r="AW1681" s="263"/>
      <c r="AX1681" s="263"/>
      <c r="AY1681" s="263"/>
      <c r="AZ1681" s="263"/>
      <c r="BA1681" s="263"/>
      <c r="BB1681" s="263"/>
      <c r="BC1681" s="263"/>
      <c r="BD1681" s="264"/>
      <c r="BE1681" s="263"/>
      <c r="BF1681" s="263"/>
      <c r="BG1681" s="263"/>
      <c r="BH1681" s="263">
        <v>97</v>
      </c>
      <c r="BI1681" s="263"/>
      <c r="BJ1681" s="404">
        <f>altaz(J2000_Bas,$O1681,$M1681,DecLat,DecLong,2)</f>
        <v>41.457037811786982</v>
      </c>
      <c r="BK1681" s="378" t="s">
        <v>1683</v>
      </c>
      <c r="BL1681" s="379">
        <f>IF((2*G1681)/60&lt;0.2,0.2,(2*G1681)/60)</f>
        <v>0.2</v>
      </c>
      <c r="BM1681" s="380">
        <f>MOD((50000+AD1681-$B$3+(0/24)),1)</f>
        <v>0.42477149831393035</v>
      </c>
      <c r="BN1681" s="381"/>
      <c r="BO1681" s="382">
        <v>1674</v>
      </c>
    </row>
    <row r="1682" spans="1:67" s="24" customFormat="1" ht="15" customHeight="1" x14ac:dyDescent="0.25">
      <c r="A1682" s="288" t="s">
        <v>1684</v>
      </c>
      <c r="B1682" s="241" t="str">
        <f>HYPERLINK(CONCATENATE($AT$3,BK1682,$AU$3),$AV$3)</f>
        <v>S</v>
      </c>
      <c r="C1682" s="242" t="str">
        <f>HYPERLINK(CONCATENATE($AT$4,BK1682,$AU$4,BL1682),$AV$4)</f>
        <v>A</v>
      </c>
      <c r="D1682" s="243" t="s">
        <v>5335</v>
      </c>
      <c r="E1682" s="244" t="s">
        <v>5184</v>
      </c>
      <c r="F1682" s="269" t="s">
        <v>3310</v>
      </c>
      <c r="G1682" s="276">
        <v>11</v>
      </c>
      <c r="H1682" s="283">
        <v>40000</v>
      </c>
      <c r="I1682" s="246">
        <v>130</v>
      </c>
      <c r="J1682" s="246">
        <v>2</v>
      </c>
      <c r="K1682" s="247" t="s">
        <v>6769</v>
      </c>
      <c r="L1682" s="248">
        <v>51407</v>
      </c>
      <c r="M1682" s="249">
        <f>15*(LEFT(TEXT($L1682,"000000"),2)+(MID(TEXT($L1682,"000000"),3,2)/60)+(RIGHT(TEXT($L1682,"000000"),2)/3600))</f>
        <v>78.529166666666669</v>
      </c>
      <c r="N1682" s="250">
        <v>-400246</v>
      </c>
      <c r="O1682" s="251">
        <f>IF($N1682&gt;0,(LEFT(TEXT($N1682,"000000"),2)+(MID(TEXT($N1682,"000000"),3,2)/60)+(RIGHT(TEXT($N1682,"000000"),2)/3600)),-(MID(TEXT($N1682,"000000"),2,2)+(MID(TEXT($N1682,"000000"),4,2)/60)+(RIGHT(TEXT($N1682,"000000"),2)/3600)))</f>
        <v>-40.046111111111109</v>
      </c>
      <c r="P1682" s="252" t="s">
        <v>1678</v>
      </c>
      <c r="Q1682" s="253"/>
      <c r="R1682" s="247" t="s">
        <v>7385</v>
      </c>
      <c r="S1682" s="272" t="s">
        <v>3293</v>
      </c>
      <c r="T1682" s="273">
        <v>7.1</v>
      </c>
      <c r="U1682" s="274"/>
      <c r="V1682" s="280"/>
      <c r="W1682" s="244"/>
      <c r="X1682" s="244"/>
      <c r="Y1682" s="362"/>
      <c r="Z1682" s="257">
        <f>altaz(J2000_Bas,$O1682,$M1682,DecLat,DecLong,1)</f>
        <v>-66.002141051884649</v>
      </c>
      <c r="AA1682" s="257">
        <f>altaz((J2000_Bas+(2*0.04167)),$O1682,$M1682,DecLat,DecLong,1)</f>
        <v>-43.108713050845758</v>
      </c>
      <c r="AB1682" s="257">
        <f>altaz((J2000_Bas+(4*0.04167)),$O1682,$M1682,DecLat,DecLong,1)</f>
        <v>-21.000052484942273</v>
      </c>
      <c r="AC1682" s="257">
        <f>altaz((J2000_Bas+(6*0.04167)),$O1682,$M1682,DecLat,DecLong,1)</f>
        <v>-1.494479641179606</v>
      </c>
      <c r="AD1682" s="258">
        <f>1+ transit((J2000_Bas-1),$O1682,$M1682,DecLat,DecLong)/360 + (GMTOffset/24) + (IF(DST="Y", 1, 0)/24)</f>
        <v>1.2110365128901248</v>
      </c>
      <c r="AE1682" s="259">
        <f>DATE(2001,9,21)+(M1682/360)*365 - (360*((DecLong/360)- (GMTOffset/24) ))</f>
        <v>37239.619849537034</v>
      </c>
      <c r="AF1682" s="260">
        <f>IF(DecLat&gt;0,IF((90 - (DecLat-O1682))&gt;90, (90 - (O1682-DecLat)), (90 - (DecLat-O1682))),IF((90 + (DecLat-O1682))&gt;90, (90 + (O1682-DecLat)), (90 + (DecLat-O1682))))</f>
        <v>18.953888888888883</v>
      </c>
      <c r="AG1682" s="257">
        <f>angularseperation(MoonRA,MoonDec,$M1682,$O1682)</f>
        <v>112.31534299466806</v>
      </c>
      <c r="AH1682" s="261">
        <f ca="1">MIN(100,IF($O$5&gt;80,0+30*($AG1682/100),IF($O$5&gt;70,0+50*($AG1682/100),IF($O$5&gt;60,5+50*($AG1682/100),IF($O$5&gt;50,10+60*($AG1682/100),IF($O$5&gt;40,15+70*($AG1682/100),IF($O$5&gt;30,20+70*($AG1682/100),IF($O$5&gt;20,40+55*($AG1682/100),(80+(20-$O$5)+30*($AG1682/100))))))))))</f>
        <v>100</v>
      </c>
      <c r="AI1682" s="262">
        <v>1851</v>
      </c>
      <c r="AJ1682" s="262"/>
      <c r="AK1682" s="262"/>
      <c r="AL1682" s="263"/>
      <c r="AM1682" s="264">
        <v>73</v>
      </c>
      <c r="AN1682" s="263"/>
      <c r="AO1682" s="263"/>
      <c r="AP1682" s="265"/>
      <c r="AQ1682" s="266"/>
      <c r="AR1682" s="267"/>
      <c r="AS1682" s="263"/>
      <c r="AT1682" s="263"/>
      <c r="AU1682" s="263"/>
      <c r="AV1682" s="264"/>
      <c r="AW1682" s="263"/>
      <c r="AX1682" s="263"/>
      <c r="AY1682" s="263"/>
      <c r="AZ1682" s="263"/>
      <c r="BA1682" s="263"/>
      <c r="BB1682" s="263"/>
      <c r="BC1682" s="263"/>
      <c r="BD1682" s="264"/>
      <c r="BE1682" s="263"/>
      <c r="BF1682" s="263"/>
      <c r="BG1682" s="263"/>
      <c r="BH1682" s="263"/>
      <c r="BI1682" s="263"/>
      <c r="BJ1682" s="404">
        <f>altaz(J2000_Bas,$O1682,$M1682,DecLat,DecLong,2)</f>
        <v>119.7307521529104</v>
      </c>
      <c r="BK1682" s="378" t="s">
        <v>1684</v>
      </c>
      <c r="BL1682" s="379">
        <f>IF((2*G1682)/60&lt;0.2,0.2,(2*G1682)/60)</f>
        <v>0.36666666666666664</v>
      </c>
      <c r="BM1682" s="380">
        <f>MOD((50000+AD1682-$B$3+(0/24)),1)</f>
        <v>0.42640344259416452</v>
      </c>
      <c r="BN1682" s="381"/>
      <c r="BO1682" s="382">
        <v>1675</v>
      </c>
    </row>
    <row r="1683" spans="1:67" s="24" customFormat="1" ht="15" customHeight="1" x14ac:dyDescent="0.25">
      <c r="A1683" s="288" t="s">
        <v>1685</v>
      </c>
      <c r="B1683" s="241" t="str">
        <f>HYPERLINK(CONCATENATE($AT$3,BK1683,$AU$3),$AV$3)</f>
        <v>S</v>
      </c>
      <c r="C1683" s="242" t="str">
        <f>HYPERLINK(CONCATENATE($AT$4,BK1683,$AU$4,BL1683),$AV$4)</f>
        <v>A</v>
      </c>
      <c r="D1683" s="243" t="s">
        <v>5335</v>
      </c>
      <c r="E1683" s="244" t="s">
        <v>5185</v>
      </c>
      <c r="F1683" s="269" t="s">
        <v>6771</v>
      </c>
      <c r="G1683" s="273">
        <v>7</v>
      </c>
      <c r="H1683" s="283">
        <v>9500</v>
      </c>
      <c r="I1683" s="246">
        <v>20</v>
      </c>
      <c r="J1683" s="246">
        <v>2</v>
      </c>
      <c r="K1683" s="247" t="s">
        <v>6770</v>
      </c>
      <c r="L1683" s="248">
        <v>52005</v>
      </c>
      <c r="M1683" s="249">
        <f>15*(LEFT(TEXT($L1683,"000000"),2)+(MID(TEXT($L1683,"000000"),3,2)/60)+(RIGHT(TEXT($L1683,"000000"),2)/3600))</f>
        <v>80.020833333333329</v>
      </c>
      <c r="N1683" s="250">
        <v>391930</v>
      </c>
      <c r="O1683" s="251">
        <f>IF($N1683&gt;0,(LEFT(TEXT($N1683,"000000"),2)+(MID(TEXT($N1683,"000000"),3,2)/60)+(RIGHT(TEXT($N1683,"000000"),2)/3600)),-(MID(TEXT($N1683,"000000"),2,2)+(MID(TEXT($N1683,"000000"),4,2)/60)+(RIGHT(TEXT($N1683,"000000"),2)/3600)))</f>
        <v>39.325000000000003</v>
      </c>
      <c r="P1683" s="252" t="s">
        <v>62</v>
      </c>
      <c r="Q1683" s="253"/>
      <c r="R1683" s="277" t="s">
        <v>3293</v>
      </c>
      <c r="S1683" s="272" t="s">
        <v>3293</v>
      </c>
      <c r="T1683" s="273">
        <v>7</v>
      </c>
      <c r="U1683" s="274"/>
      <c r="V1683" s="280"/>
      <c r="W1683" s="244"/>
      <c r="X1683" s="244"/>
      <c r="Y1683" s="362"/>
      <c r="Z1683" s="257">
        <f>altaz(J2000_Bas,$O1683,$M1683,DecLat,DecLong,1)</f>
        <v>-15.644617406589074</v>
      </c>
      <c r="AA1683" s="257">
        <f>altaz((J2000_Bas+(2*0.04167)),$O1683,$M1683,DecLat,DecLong,1)</f>
        <v>-2.5080749406999292</v>
      </c>
      <c r="AB1683" s="257">
        <f>altaz((J2000_Bas+(4*0.04167)),$O1683,$M1683,DecLat,DecLong,1)</f>
        <v>16.372291217623332</v>
      </c>
      <c r="AC1683" s="257">
        <f>altaz((J2000_Bas+(6*0.04167)),$O1683,$M1683,DecLat,DecLong,1)</f>
        <v>38.280199733675026</v>
      </c>
      <c r="AD1683" s="258">
        <f>1+ transit((J2000_Bas-1),$O1683,$M1683,DecLat,DecLong)/360 + (GMTOffset/24) + (IF(DST="Y", 1, 0)/24)</f>
        <v>1.2151800309942915</v>
      </c>
      <c r="AE1683" s="259">
        <f>DATE(2001,9,21)+(M1683/360)*365 - (360*((DecLong/360)- (GMTOffset/24) ))</f>
        <v>37241.132233796299</v>
      </c>
      <c r="AF1683" s="260">
        <f>IF(DecLat&gt;0,IF((90 - (DecLat-O1683))&gt;90, (90 - (O1683-DecLat)), (90 - (DecLat-O1683))),IF((90 + (DecLat-O1683))&gt;90, (90 + (O1683-DecLat)), (90 + (DecLat-O1683))))</f>
        <v>81.674999999999997</v>
      </c>
      <c r="AG1683" s="257">
        <f>angularseperation(MoonRA,MoonDec,$M1683,$O1683)</f>
        <v>164.82106527883147</v>
      </c>
      <c r="AH1683" s="261">
        <f ca="1">MIN(100,IF($O$5&gt;80,0+30*($AG1683/100),IF($O$5&gt;70,0+50*($AG1683/100),IF($O$5&gt;60,5+50*($AG1683/100),IF($O$5&gt;50,10+60*($AG1683/100),IF($O$5&gt;40,15+70*($AG1683/100),IF($O$5&gt;30,20+70*($AG1683/100),IF($O$5&gt;20,40+55*($AG1683/100),(80+(20-$O$5)+30*($AG1683/100))))))))))</f>
        <v>100</v>
      </c>
      <c r="AI1683" s="262">
        <v>1857</v>
      </c>
      <c r="AJ1683" s="263"/>
      <c r="AK1683" s="263">
        <v>60</v>
      </c>
      <c r="AL1683" s="263"/>
      <c r="AM1683" s="264"/>
      <c r="AN1683" s="263"/>
      <c r="AO1683" s="263"/>
      <c r="AP1683" s="265"/>
      <c r="AQ1683" s="265"/>
      <c r="AR1683" s="285"/>
      <c r="AS1683" s="263"/>
      <c r="AT1683" s="263"/>
      <c r="AU1683" s="263"/>
      <c r="AV1683" s="264"/>
      <c r="AW1683" s="263"/>
      <c r="AX1683" s="263"/>
      <c r="AY1683" s="263"/>
      <c r="AZ1683" s="263"/>
      <c r="BA1683" s="263"/>
      <c r="BB1683" s="263"/>
      <c r="BC1683" s="263"/>
      <c r="BD1683" s="264"/>
      <c r="BE1683" s="263"/>
      <c r="BF1683" s="263"/>
      <c r="BG1683" s="263"/>
      <c r="BH1683" s="263"/>
      <c r="BI1683" s="263"/>
      <c r="BJ1683" s="404">
        <f>altaz(J2000_Bas,$O1683,$M1683,DecLat,DecLong,2)</f>
        <v>20.605095869026265</v>
      </c>
      <c r="BK1683" s="378" t="s">
        <v>1685</v>
      </c>
      <c r="BL1683" s="379">
        <f>IF((2*G1683)/60&lt;0.2,0.2,(2*G1683)/60)</f>
        <v>0.23333333333333334</v>
      </c>
      <c r="BM1683" s="380">
        <f>MOD((50000+AD1683-$B$3+(0/24)),1)</f>
        <v>0.43054696069884812</v>
      </c>
      <c r="BN1683" s="381"/>
      <c r="BO1683" s="382">
        <v>1676</v>
      </c>
    </row>
    <row r="1684" spans="1:67" s="24" customFormat="1" ht="15" customHeight="1" x14ac:dyDescent="0.25">
      <c r="A1684" s="288" t="s">
        <v>1686</v>
      </c>
      <c r="B1684" s="241" t="str">
        <f>HYPERLINK(CONCATENATE($AT$3,BK1684,$AU$3),$AV$3)</f>
        <v>S</v>
      </c>
      <c r="C1684" s="242" t="str">
        <f>HYPERLINK(CONCATENATE($AT$4,BK1684,$AU$4,BL1684),$AV$4)</f>
        <v>A</v>
      </c>
      <c r="D1684" s="243" t="s">
        <v>5335</v>
      </c>
      <c r="E1684" s="244" t="s">
        <v>5185</v>
      </c>
      <c r="F1684" s="269" t="s">
        <v>6726</v>
      </c>
      <c r="G1684" s="273">
        <v>6</v>
      </c>
      <c r="H1684" s="283">
        <v>5500</v>
      </c>
      <c r="I1684" s="244">
        <v>10</v>
      </c>
      <c r="J1684" s="246">
        <v>2</v>
      </c>
      <c r="K1684" s="247" t="s">
        <v>6772</v>
      </c>
      <c r="L1684" s="248">
        <v>52800</v>
      </c>
      <c r="M1684" s="249">
        <f>15*(LEFT(TEXT($L1684,"000000"),2)+(MID(TEXT($L1684,"000000"),3,2)/60)+(RIGHT(TEXT($L1684,"000000"),2)/3600))</f>
        <v>82</v>
      </c>
      <c r="N1684" s="286">
        <v>351900</v>
      </c>
      <c r="O1684" s="251">
        <f>IF($N1684&gt;0,(LEFT(TEXT($N1684,"000000"),2)+(MID(TEXT($N1684,"000000"),3,2)/60)+(RIGHT(TEXT($N1684,"000000"),2)/3600)),-(MID(TEXT($N1684,"000000"),2,2)+(MID(TEXT($N1684,"000000"),4,2)/60)+(RIGHT(TEXT($N1684,"000000"),2)/3600)))</f>
        <v>35.31666666666667</v>
      </c>
      <c r="P1684" s="252" t="s">
        <v>62</v>
      </c>
      <c r="Q1684" s="253"/>
      <c r="R1684" s="277" t="s">
        <v>3293</v>
      </c>
      <c r="S1684" s="272" t="s">
        <v>3293</v>
      </c>
      <c r="T1684" s="273">
        <v>8.1999999999999993</v>
      </c>
      <c r="U1684" s="274"/>
      <c r="V1684" s="280"/>
      <c r="W1684" s="244"/>
      <c r="X1684" s="244"/>
      <c r="Y1684" s="362"/>
      <c r="Z1684" s="257">
        <f>altaz(J2000_Bas,$O1684,$M1684,DecLat,DecLong,1)</f>
        <v>-19.950008844979916</v>
      </c>
      <c r="AA1684" s="257">
        <f>altaz((J2000_Bas+(2*0.04167)),$O1684,$M1684,DecLat,DecLong,1)</f>
        <v>-6.4599017496752786</v>
      </c>
      <c r="AB1684" s="257">
        <f>altaz((J2000_Bas+(4*0.04167)),$O1684,$M1684,DecLat,DecLong,1)</f>
        <v>13.103829039985783</v>
      </c>
      <c r="AC1684" s="257">
        <f>altaz((J2000_Bas+(6*0.04167)),$O1684,$M1684,DecLat,DecLong,1)</f>
        <v>35.808397146765323</v>
      </c>
      <c r="AD1684" s="258">
        <f>1+ transit((J2000_Bas-1),$O1684,$M1684,DecLat,DecLong)/360 + (GMTOffset/24) + (IF(DST="Y", 1, 0)/24)</f>
        <v>1.2206777156297079</v>
      </c>
      <c r="AE1684" s="259">
        <f>DATE(2001,9,21)+(M1684/360)*365 - (360*((DecLong/360)- (GMTOffset/24) ))</f>
        <v>37243.138888888891</v>
      </c>
      <c r="AF1684" s="260">
        <f>IF(DecLat&gt;0,IF((90 - (DecLat-O1684))&gt;90, (90 - (O1684-DecLat)), (90 - (DecLat-O1684))),IF((90 + (DecLat-O1684))&gt;90, (90 + (O1684-DecLat)), (90 + (DecLat-O1684))))</f>
        <v>85.683333333333337</v>
      </c>
      <c r="AG1684" s="257">
        <f>angularseperation(MoonRA,MoonDec,$M1684,$O1684)</f>
        <v>166.35081720399836</v>
      </c>
      <c r="AH1684" s="261">
        <f ca="1">MIN(100,IF($O$5&gt;80,0+30*($AG1684/100),IF($O$5&gt;70,0+50*($AG1684/100),IF($O$5&gt;60,5+50*($AG1684/100),IF($O$5&gt;50,10+60*($AG1684/100),IF($O$5&gt;40,15+70*($AG1684/100),IF($O$5&gt;30,20+70*($AG1684/100),IF($O$5&gt;20,40+55*($AG1684/100),(80+(20-$O$5)+30*($AG1684/100))))))))))</f>
        <v>100</v>
      </c>
      <c r="AI1684" s="262">
        <v>1907</v>
      </c>
      <c r="AJ1684" s="263"/>
      <c r="AK1684" s="263">
        <v>61</v>
      </c>
      <c r="AL1684" s="263"/>
      <c r="AM1684" s="264"/>
      <c r="AN1684" s="263"/>
      <c r="AO1684" s="263"/>
      <c r="AP1684" s="265"/>
      <c r="AQ1684" s="265"/>
      <c r="AR1684" s="285"/>
      <c r="AS1684" s="263"/>
      <c r="AT1684" s="263"/>
      <c r="AU1684" s="263"/>
      <c r="AV1684" s="264"/>
      <c r="AW1684" s="263"/>
      <c r="AX1684" s="263"/>
      <c r="AY1684" s="263"/>
      <c r="AZ1684" s="263"/>
      <c r="BA1684" s="263"/>
      <c r="BB1684" s="263"/>
      <c r="BC1684" s="263"/>
      <c r="BD1684" s="264"/>
      <c r="BE1684" s="263"/>
      <c r="BF1684" s="263"/>
      <c r="BG1684" s="263"/>
      <c r="BH1684" s="263"/>
      <c r="BI1684" s="263"/>
      <c r="BJ1684" s="404">
        <f>altaz(J2000_Bas,$O1684,$M1684,DecLat,DecLong,2)</f>
        <v>20.677573494170705</v>
      </c>
      <c r="BK1684" s="378" t="s">
        <v>1686</v>
      </c>
      <c r="BL1684" s="379">
        <f>IF((2*G1684)/60&lt;0.2,0.2,(2*G1684)/60)</f>
        <v>0.2</v>
      </c>
      <c r="BM1684" s="380">
        <f>MOD((50000+AD1684-$B$3+(0/24)),1)</f>
        <v>0.43604464533564169</v>
      </c>
      <c r="BN1684" s="381"/>
      <c r="BO1684" s="382">
        <v>1677</v>
      </c>
    </row>
    <row r="1685" spans="1:67" s="24" customFormat="1" ht="15" customHeight="1" x14ac:dyDescent="0.25">
      <c r="A1685" s="287" t="s">
        <v>5601</v>
      </c>
      <c r="B1685" s="241" t="str">
        <f>HYPERLINK(CONCATENATE($AT$3,BK1685,$AU$3),$AV$3)</f>
        <v>S</v>
      </c>
      <c r="C1685" s="242" t="str">
        <f>HYPERLINK(CONCATENATE($AT$4,BK1685,$AU$4,BL1685),$AV$4)</f>
        <v>A</v>
      </c>
      <c r="D1685" s="243" t="s">
        <v>5595</v>
      </c>
      <c r="E1685" s="244" t="s">
        <v>5183</v>
      </c>
      <c r="F1685" s="269" t="s">
        <v>9158</v>
      </c>
      <c r="G1685" s="273">
        <v>2</v>
      </c>
      <c r="H1685" s="271">
        <v>160000</v>
      </c>
      <c r="I1685" s="246">
        <v>100</v>
      </c>
      <c r="J1685" s="246">
        <v>4</v>
      </c>
      <c r="K1685" s="247" t="s">
        <v>5602</v>
      </c>
      <c r="L1685" s="248">
        <v>51830</v>
      </c>
      <c r="M1685" s="249">
        <f>15*(LEFT(TEXT($L1685,"000000"),2)+(MID(TEXT($L1685,"000000"),3,2)/60)+(RIGHT(TEXT($L1685,"000000"),2)/3600))</f>
        <v>79.625</v>
      </c>
      <c r="N1685" s="250">
        <v>-691412</v>
      </c>
      <c r="O1685" s="251">
        <f>IF($N1685&gt;0,(LEFT(TEXT($N1685,"000000"),2)+(MID(TEXT($N1685,"000000"),3,2)/60)+(RIGHT(TEXT($N1685,"000000"),2)/3600)),-(MID(TEXT($N1685,"000000"),2,2)+(MID(TEXT($N1685,"000000"),4,2)/60)+(RIGHT(TEXT($N1685,"000000"),2)/3600)))</f>
        <v>-69.236666666666665</v>
      </c>
      <c r="P1685" s="252" t="s">
        <v>1697</v>
      </c>
      <c r="Q1685" s="253"/>
      <c r="R1685" s="277" t="s">
        <v>3293</v>
      </c>
      <c r="S1685" s="272" t="s">
        <v>3293</v>
      </c>
      <c r="T1685" s="273"/>
      <c r="U1685" s="274"/>
      <c r="V1685" s="280"/>
      <c r="W1685" s="244"/>
      <c r="X1685" s="244"/>
      <c r="Y1685" s="362"/>
      <c r="Z1685" s="257">
        <f>altaz(J2000_Bas,$O1685,$M1685,DecLat,DecLong,1)</f>
        <v>-48.922659570826184</v>
      </c>
      <c r="AA1685" s="257">
        <f>altaz((J2000_Bas+(2*0.04167)),$O1685,$M1685,DecLat,DecLong,1)</f>
        <v>-40.50194759474082</v>
      </c>
      <c r="AB1685" s="257">
        <f>altaz((J2000_Bas+(4*0.04167)),$O1685,$M1685,DecLat,DecLong,1)</f>
        <v>-29.992820529942698</v>
      </c>
      <c r="AC1685" s="257">
        <f>altaz((J2000_Bas+(6*0.04167)),$O1685,$M1685,DecLat,DecLong,1)</f>
        <v>-20.204844654373375</v>
      </c>
      <c r="AD1685" s="258">
        <f>1+ transit((J2000_Bas-1),$O1685,$M1685,DecLat,DecLong)/360 + (GMTOffset/24) + (IF(DST="Y", 1, 0)/24)</f>
        <v>1.2140804940672081</v>
      </c>
      <c r="AE1685" s="259">
        <f>DATE(2001,9,21)+(M1685/360)*365 - (360*((DecLong/360)- (GMTOffset/24) ))</f>
        <v>37240.730902777781</v>
      </c>
      <c r="AF1685" s="260">
        <f>IF(DecLat&gt;0,IF((90 - (DecLat-O1685))&gt;90, (90 - (O1685-DecLat)), (90 - (DecLat-O1685))),IF((90 + (DecLat-O1685))&gt;90, (90 + (O1685-DecLat)), (90 + (DecLat-O1685))))</f>
        <v>-10.236666666666665</v>
      </c>
      <c r="AG1685" s="257">
        <f>angularseperation(MoonRA,MoonDec,$M1685,$O1685)</f>
        <v>83.381203982703383</v>
      </c>
      <c r="AH1685" s="261">
        <f ca="1">MIN(100,IF($O$5&gt;80,0+30*($AG1685/100),IF($O$5&gt;70,0+50*($AG1685/100),IF($O$5&gt;60,5+50*($AG1685/100),IF($O$5&gt;50,10+60*($AG1685/100),IF($O$5&gt;40,15+70*($AG1685/100),IF($O$5&gt;30,20+70*($AG1685/100),IF($O$5&gt;20,40+55*($AG1685/100),(80+(20-$O$5)+30*($AG1685/100))))))))))</f>
        <v>100</v>
      </c>
      <c r="AI1685" s="263">
        <v>1910</v>
      </c>
      <c r="AJ1685" s="263"/>
      <c r="AK1685" s="263"/>
      <c r="AL1685" s="263"/>
      <c r="AM1685" s="264"/>
      <c r="AN1685" s="263"/>
      <c r="AO1685" s="263"/>
      <c r="AP1685" s="265"/>
      <c r="AQ1685" s="265"/>
      <c r="AR1685" s="285"/>
      <c r="AS1685" s="263"/>
      <c r="AT1685" s="263"/>
      <c r="AU1685" s="263"/>
      <c r="AV1685" s="264"/>
      <c r="AW1685" s="263"/>
      <c r="AX1685" s="263"/>
      <c r="AY1685" s="263"/>
      <c r="AZ1685" s="263"/>
      <c r="BA1685" s="263"/>
      <c r="BB1685" s="263"/>
      <c r="BC1685" s="263"/>
      <c r="BD1685" s="264"/>
      <c r="BE1685" s="263"/>
      <c r="BF1685" s="263"/>
      <c r="BG1685" s="263"/>
      <c r="BH1685" s="263"/>
      <c r="BI1685" s="263"/>
      <c r="BJ1685" s="404">
        <f>altaz(J2000_Bas,$O1685,$M1685,DecLat,DecLong,2)</f>
        <v>166.13102047370842</v>
      </c>
      <c r="BK1685" s="378" t="s">
        <v>5603</v>
      </c>
      <c r="BL1685" s="379">
        <f>IF((2*G1685)/60&lt;0.2,0.2,(2*G1685)/60)</f>
        <v>0.2</v>
      </c>
      <c r="BM1685" s="380">
        <f>MOD((50000+AD1685-$B$3+(0/24)),1)</f>
        <v>0.42944742376857903</v>
      </c>
      <c r="BN1685" s="381"/>
      <c r="BO1685" s="382">
        <v>1678</v>
      </c>
    </row>
    <row r="1686" spans="1:67" s="24" customFormat="1" ht="15" customHeight="1" x14ac:dyDescent="0.25">
      <c r="A1686" s="288" t="s">
        <v>1687</v>
      </c>
      <c r="B1686" s="241" t="str">
        <f>HYPERLINK(CONCATENATE($AT$3,BK1686,$AU$3),$AV$3)</f>
        <v>S</v>
      </c>
      <c r="C1686" s="242" t="str">
        <f>HYPERLINK(CONCATENATE($AT$4,BK1686,$AU$4,BL1686),$AV$4)</f>
        <v>A</v>
      </c>
      <c r="D1686" s="243" t="s">
        <v>5187</v>
      </c>
      <c r="E1686" s="244" t="s">
        <v>5183</v>
      </c>
      <c r="F1686" s="269" t="s">
        <v>9159</v>
      </c>
      <c r="G1686" s="273">
        <v>4</v>
      </c>
      <c r="H1686" s="283">
        <v>10000</v>
      </c>
      <c r="I1686" s="246">
        <v>12</v>
      </c>
      <c r="J1686" s="246">
        <v>4</v>
      </c>
      <c r="K1686" s="247" t="s">
        <v>6774</v>
      </c>
      <c r="L1686" s="248">
        <v>53125</v>
      </c>
      <c r="M1686" s="249">
        <f>15*(LEFT(TEXT($L1686,"000000"),2)+(MID(TEXT($L1686,"000000"),3,2)/60)+(RIGHT(TEXT($L1686,"000000"),2)/3600))</f>
        <v>82.854166666666671</v>
      </c>
      <c r="N1686" s="250">
        <v>341442</v>
      </c>
      <c r="O1686" s="251">
        <f>IF($N1686&gt;0,(LEFT(TEXT($N1686,"000000"),2)+(MID(TEXT($N1686,"000000"),3,2)/60)+(RIGHT(TEXT($N1686,"000000"),2)/3600)),-(MID(TEXT($N1686,"000000"),2,2)+(MID(TEXT($N1686,"000000"),4,2)/60)+(RIGHT(TEXT($N1686,"000000"),2)/3600)))</f>
        <v>34.244999999999997</v>
      </c>
      <c r="P1686" s="252" t="s">
        <v>62</v>
      </c>
      <c r="Q1686" s="253" t="s">
        <v>9167</v>
      </c>
      <c r="R1686" s="247" t="s">
        <v>3293</v>
      </c>
      <c r="S1686" s="272" t="s">
        <v>6773</v>
      </c>
      <c r="T1686" s="273">
        <v>10.1</v>
      </c>
      <c r="U1686" s="274"/>
      <c r="V1686" s="280"/>
      <c r="W1686" s="244"/>
      <c r="X1686" s="244"/>
      <c r="Y1686" s="362"/>
      <c r="Z1686" s="257">
        <f>altaz(J2000_Bas,$O1686,$M1686,DecLat,DecLong,1)</f>
        <v>-21.204126748251181</v>
      </c>
      <c r="AA1686" s="257">
        <f>altaz((J2000_Bas+(2*0.04167)),$O1686,$M1686,DecLat,DecLong,1)</f>
        <v>-7.7177467348281334</v>
      </c>
      <c r="AB1686" s="257">
        <f>altaz((J2000_Bas+(4*0.04167)),$O1686,$M1686,DecLat,DecLong,1)</f>
        <v>11.96857770763549</v>
      </c>
      <c r="AC1686" s="257">
        <f>altaz((J2000_Bas+(6*0.04167)),$O1686,$M1686,DecLat,DecLong,1)</f>
        <v>34.83804983967795</v>
      </c>
      <c r="AD1686" s="258">
        <f>1+ transit((J2000_Bas-1),$O1686,$M1686,DecLat,DecLong)/360 + (GMTOffset/24) + (IF(DST="Y", 1, 0)/24)</f>
        <v>1.2230504005776248</v>
      </c>
      <c r="AE1686" s="259">
        <f>DATE(2001,9,21)+(M1686/360)*365 - (360*((DecLong/360)- (GMTOffset/24) ))</f>
        <v>37244.004918981482</v>
      </c>
      <c r="AF1686" s="260">
        <f>IF(DecLat&gt;0,IF((90 - (DecLat-O1686))&gt;90, (90 - (O1686-DecLat)), (90 - (DecLat-O1686))),IF((90 + (DecLat-O1686))&gt;90, (90 + (O1686-DecLat)), (90 + (DecLat-O1686))))</f>
        <v>86.754999999999995</v>
      </c>
      <c r="AG1686" s="257">
        <f>angularseperation(MoonRA,MoonDec,$M1686,$O1686)</f>
        <v>166.29454318038682</v>
      </c>
      <c r="AH1686" s="261">
        <f ca="1">MIN(100,IF($O$5&gt;80,0+30*($AG1686/100),IF($O$5&gt;70,0+50*($AG1686/100),IF($O$5&gt;60,5+50*($AG1686/100),IF($O$5&gt;50,10+60*($AG1686/100),IF($O$5&gt;40,15+70*($AG1686/100),IF($O$5&gt;30,20+70*($AG1686/100),IF($O$5&gt;20,40+55*($AG1686/100),(80+(20-$O$5)+30*($AG1686/100))))))))))</f>
        <v>100</v>
      </c>
      <c r="AI1686" s="262">
        <v>1931</v>
      </c>
      <c r="AJ1686" s="262"/>
      <c r="AK1686" s="262">
        <v>62</v>
      </c>
      <c r="AL1686" s="263"/>
      <c r="AM1686" s="264"/>
      <c r="AN1686" s="263"/>
      <c r="AO1686" s="263"/>
      <c r="AP1686" s="265"/>
      <c r="AQ1686" s="266"/>
      <c r="AR1686" s="267"/>
      <c r="AS1686" s="263"/>
      <c r="AT1686" s="263"/>
      <c r="AU1686" s="263"/>
      <c r="AV1686" s="264"/>
      <c r="AW1686" s="263"/>
      <c r="AX1686" s="263"/>
      <c r="AY1686" s="263"/>
      <c r="AZ1686" s="263"/>
      <c r="BA1686" s="263"/>
      <c r="BB1686" s="263">
        <v>237</v>
      </c>
      <c r="BC1686" s="263"/>
      <c r="BD1686" s="264"/>
      <c r="BE1686" s="263"/>
      <c r="BF1686" s="263">
        <v>23</v>
      </c>
      <c r="BG1686" s="263"/>
      <c r="BH1686" s="263"/>
      <c r="BI1686" s="263"/>
      <c r="BJ1686" s="404">
        <f>altaz(J2000_Bas,$O1686,$M1686,DecLat,DecLong,2)</f>
        <v>20.399420418024977</v>
      </c>
      <c r="BK1686" s="378" t="s">
        <v>1687</v>
      </c>
      <c r="BL1686" s="379">
        <f>IF((2*G1686)/60&lt;0.2,0.2,(2*G1686)/60)</f>
        <v>0.2</v>
      </c>
      <c r="BM1686" s="380">
        <f>MOD((50000+AD1686-$B$3+(0/24)),1)</f>
        <v>0.43841733028239105</v>
      </c>
      <c r="BN1686" s="381"/>
      <c r="BO1686" s="382">
        <v>1679</v>
      </c>
    </row>
    <row r="1687" spans="1:67" s="24" customFormat="1" ht="15" customHeight="1" x14ac:dyDescent="0.25">
      <c r="A1687" s="288" t="s">
        <v>1688</v>
      </c>
      <c r="B1687" s="241" t="str">
        <f>HYPERLINK(CONCATENATE($AT$3,BK1687,$AU$3),$AV$3)</f>
        <v>S</v>
      </c>
      <c r="C1687" s="242" t="str">
        <f>HYPERLINK(CONCATENATE($AT$4,BK1687,$AU$4,BL1687),$AV$4)</f>
        <v>A</v>
      </c>
      <c r="D1687" s="243" t="s">
        <v>5638</v>
      </c>
      <c r="E1687" s="244" t="s">
        <v>5192</v>
      </c>
      <c r="F1687" s="269" t="s">
        <v>8699</v>
      </c>
      <c r="G1687" s="273">
        <v>3</v>
      </c>
      <c r="H1687" s="283">
        <v>140</v>
      </c>
      <c r="I1687" s="246">
        <v>130</v>
      </c>
      <c r="J1687" s="246">
        <v>2</v>
      </c>
      <c r="K1687" s="247" t="s">
        <v>6775</v>
      </c>
      <c r="L1687" s="248">
        <v>53248</v>
      </c>
      <c r="M1687" s="249">
        <f>15*(LEFT(TEXT($L1687,"000000"),2)+(MID(TEXT($L1687,"000000"),3,2)/60)+(RIGHT(TEXT($L1687,"000000"),2)/3600))</f>
        <v>83.2</v>
      </c>
      <c r="N1687" s="250">
        <v>-140346</v>
      </c>
      <c r="O1687" s="251">
        <f>IF($N1687&gt;0,(LEFT(TEXT($N1687,"000000"),2)+(MID(TEXT($N1687,"000000"),3,2)/60)+(RIGHT(TEXT($N1687,"000000"),2)/3600)),-(MID(TEXT($N1687,"000000"),2,2)+(MID(TEXT($N1687,"000000"),4,2)/60)+(RIGHT(TEXT($N1687,"000000"),2)/3600)))</f>
        <v>-14.062777777777779</v>
      </c>
      <c r="P1687" s="252" t="s">
        <v>70</v>
      </c>
      <c r="Q1687" s="253"/>
      <c r="R1687" s="247" t="s">
        <v>3293</v>
      </c>
      <c r="S1687" s="272" t="s">
        <v>3293</v>
      </c>
      <c r="T1687" s="273">
        <v>11.8</v>
      </c>
      <c r="U1687" s="289">
        <v>22.990000000000002</v>
      </c>
      <c r="V1687" s="280">
        <v>60</v>
      </c>
      <c r="W1687" s="244"/>
      <c r="X1687" s="244"/>
      <c r="Y1687" s="362"/>
      <c r="Z1687" s="257">
        <f>altaz(J2000_Bas,$O1687,$M1687,DecLat,DecLong,1)</f>
        <v>-63.080143321090112</v>
      </c>
      <c r="AA1687" s="257">
        <f>altaz((J2000_Bas+(2*0.04167)),$O1687,$M1687,DecLat,DecLong,1)</f>
        <v>-38.818039512736057</v>
      </c>
      <c r="AB1687" s="257">
        <f>altaz((J2000_Bas+(4*0.04167)),$O1687,$M1687,DecLat,DecLong,1)</f>
        <v>-13.113780524433349</v>
      </c>
      <c r="AC1687" s="257">
        <f>altaz((J2000_Bas+(6*0.04167)),$O1687,$M1687,DecLat,DecLong,1)</f>
        <v>11.565571170443706</v>
      </c>
      <c r="AD1687" s="258">
        <f>1+ transit((J2000_Bas-1),$O1687,$M1687,DecLat,DecLong)/360 + (GMTOffset/24) + (IF(DST="Y", 1, 0)/24)</f>
        <v>1.224011048629708</v>
      </c>
      <c r="AE1687" s="259">
        <f>DATE(2001,9,21)+(M1687/360)*365 - (360*((DecLong/360)- (GMTOffset/24) ))</f>
        <v>37244.355555555558</v>
      </c>
      <c r="AF1687" s="260">
        <f>IF(DecLat&gt;0,IF((90 - (DecLat-O1687))&gt;90, (90 - (O1687-DecLat)), (90 - (DecLat-O1687))),IF((90 + (DecLat-O1687))&gt;90, (90 + (O1687-DecLat)), (90 + (DecLat-O1687))))</f>
        <v>44.937222222222218</v>
      </c>
      <c r="AG1687" s="257">
        <f>angularseperation(MoonRA,MoonDec,$M1687,$O1687)</f>
        <v>136.67919838958977</v>
      </c>
      <c r="AH1687" s="261">
        <f ca="1">MIN(100,IF($O$5&gt;80,0+30*($AG1687/100),IF($O$5&gt;70,0+50*($AG1687/100),IF($O$5&gt;60,5+50*($AG1687/100),IF($O$5&gt;50,10+60*($AG1687/100),IF($O$5&gt;40,15+70*($AG1687/100),IF($O$5&gt;30,20+70*($AG1687/100),IF($O$5&gt;20,40+55*($AG1687/100),(80+(20-$O$5)+30*($AG1687/100))))))))))</f>
        <v>100</v>
      </c>
      <c r="AI1687" s="262">
        <v>1954</v>
      </c>
      <c r="AJ1687" s="262"/>
      <c r="AK1687" s="262"/>
      <c r="AL1687" s="263"/>
      <c r="AM1687" s="264"/>
      <c r="AN1687" s="263"/>
      <c r="AO1687" s="263"/>
      <c r="AP1687" s="265"/>
      <c r="AQ1687" s="266"/>
      <c r="AR1687" s="267">
        <v>17422</v>
      </c>
      <c r="AS1687" s="263"/>
      <c r="AT1687" s="263"/>
      <c r="AU1687" s="263"/>
      <c r="AV1687" s="264"/>
      <c r="AW1687" s="263"/>
      <c r="AX1687" s="263"/>
      <c r="AY1687" s="263"/>
      <c r="AZ1687" s="263"/>
      <c r="BA1687" s="263"/>
      <c r="BB1687" s="263"/>
      <c r="BC1687" s="263"/>
      <c r="BD1687" s="264"/>
      <c r="BE1687" s="263"/>
      <c r="BF1687" s="263"/>
      <c r="BG1687" s="263"/>
      <c r="BH1687" s="263"/>
      <c r="BI1687" s="263"/>
      <c r="BJ1687" s="404">
        <f>altaz(J2000_Bas,$O1687,$M1687,DecLat,DecLong,2)</f>
        <v>56.136298549246852</v>
      </c>
      <c r="BK1687" s="378" t="s">
        <v>1688</v>
      </c>
      <c r="BL1687" s="379">
        <f>IF((2*G1687)/60&lt;0.2,0.2,(2*G1687)/60)</f>
        <v>0.2</v>
      </c>
      <c r="BM1687" s="380">
        <f>MOD((50000+AD1687-$B$3+(0/24)),1)</f>
        <v>0.43937797833496006</v>
      </c>
      <c r="BN1687" s="381"/>
      <c r="BO1687" s="382">
        <v>1680</v>
      </c>
    </row>
    <row r="1688" spans="1:67" s="24" customFormat="1" ht="15" customHeight="1" x14ac:dyDescent="0.25">
      <c r="A1688" s="287" t="s">
        <v>5616</v>
      </c>
      <c r="B1688" s="241" t="str">
        <f>HYPERLINK(CONCATENATE($AT$3,BK1688,$AU$3),$AV$3)</f>
        <v>S</v>
      </c>
      <c r="C1688" s="242" t="str">
        <f>HYPERLINK(CONCATENATE($AT$4,BK1688,$AU$4,BL1688),$AV$4)</f>
        <v>A</v>
      </c>
      <c r="D1688" s="243" t="s">
        <v>5187</v>
      </c>
      <c r="E1688" s="244" t="s">
        <v>5183</v>
      </c>
      <c r="F1688" s="269" t="s">
        <v>9158</v>
      </c>
      <c r="G1688" s="276">
        <v>10</v>
      </c>
      <c r="H1688" s="271" t="s">
        <v>6500</v>
      </c>
      <c r="I1688" s="244" t="s">
        <v>6500</v>
      </c>
      <c r="J1688" s="246">
        <v>4</v>
      </c>
      <c r="K1688" s="247" t="s">
        <v>5618</v>
      </c>
      <c r="L1688" s="248">
        <v>52650</v>
      </c>
      <c r="M1688" s="249">
        <f>15*(LEFT(TEXT($L1688,"000000"),2)+(MID(TEXT($L1688,"000000"),3,2)/60)+(RIGHT(TEXT($L1688,"000000"),2)/3600))</f>
        <v>81.708333333333343</v>
      </c>
      <c r="N1688" s="250">
        <v>-684902</v>
      </c>
      <c r="O1688" s="251">
        <f>IF($N1688&gt;0,(LEFT(TEXT($N1688,"000000"),2)+(MID(TEXT($N1688,"000000"),3,2)/60)+(RIGHT(TEXT($N1688,"000000"),2)/3600)),-(MID(TEXT($N1688,"000000"),2,2)+(MID(TEXT($N1688,"000000"),4,2)/60)+(RIGHT(TEXT($N1688,"000000"),2)/3600)))</f>
        <v>-68.817222222222213</v>
      </c>
      <c r="P1688" s="252" t="s">
        <v>1697</v>
      </c>
      <c r="Q1688" s="253" t="s">
        <v>7086</v>
      </c>
      <c r="R1688" s="277" t="s">
        <v>3293</v>
      </c>
      <c r="S1688" s="272" t="s">
        <v>3293</v>
      </c>
      <c r="T1688" s="273"/>
      <c r="U1688" s="274"/>
      <c r="V1688" s="280"/>
      <c r="W1688" s="244"/>
      <c r="X1688" s="244"/>
      <c r="Y1688" s="362"/>
      <c r="Z1688" s="257">
        <f>altaz(J2000_Bas,$O1688,$M1688,DecLat,DecLong,1)</f>
        <v>-49.688823863147341</v>
      </c>
      <c r="AA1688" s="257">
        <f>altaz((J2000_Bas+(2*0.04167)),$O1688,$M1688,DecLat,DecLong,1)</f>
        <v>-41.34821607866504</v>
      </c>
      <c r="AB1688" s="257">
        <f>altaz((J2000_Bas+(4*0.04167)),$O1688,$M1688,DecLat,DecLong,1)</f>
        <v>-30.671943319326722</v>
      </c>
      <c r="AC1688" s="257">
        <f>altaz((J2000_Bas+(6*0.04167)),$O1688,$M1688,DecLat,DecLong,1)</f>
        <v>-20.582671249800942</v>
      </c>
      <c r="AD1688" s="258">
        <f>1+ transit((J2000_Bas-1),$O1688,$M1688,DecLat,DecLong)/360 + (GMTOffset/24) + (IF(DST="Y", 1, 0)/24)</f>
        <v>1.2198675305255413</v>
      </c>
      <c r="AE1688" s="259">
        <f>DATE(2001,9,21)+(M1688/360)*365 - (360*((DecLong/360)- (GMTOffset/24) ))</f>
        <v>37242.843171296299</v>
      </c>
      <c r="AF1688" s="260">
        <f>IF(DecLat&gt;0,IF((90 - (DecLat-O1688))&gt;90, (90 - (O1688-DecLat)), (90 - (DecLat-O1688))),IF((90 + (DecLat-O1688))&gt;90, (90 + (O1688-DecLat)), (90 + (DecLat-O1688))))</f>
        <v>-9.8172222222222132</v>
      </c>
      <c r="AG1688" s="257">
        <f>angularseperation(MoonRA,MoonDec,$M1688,$O1688)</f>
        <v>83.661588656974573</v>
      </c>
      <c r="AH1688" s="261">
        <f ca="1">MIN(100,IF($O$5&gt;80,0+30*($AG1688/100),IF($O$5&gt;70,0+50*($AG1688/100),IF($O$5&gt;60,5+50*($AG1688/100),IF($O$5&gt;50,10+60*($AG1688/100),IF($O$5&gt;40,15+70*($AG1688/100),IF($O$5&gt;30,20+70*($AG1688/100),IF($O$5&gt;20,40+55*($AG1688/100),(80+(20-$O$5)+30*($AG1688/100))))))))))</f>
        <v>100</v>
      </c>
      <c r="AI1688" s="263">
        <v>1962</v>
      </c>
      <c r="AJ1688" s="263"/>
      <c r="AK1688" s="263"/>
      <c r="AL1688" s="263"/>
      <c r="AM1688" s="264"/>
      <c r="AN1688" s="263"/>
      <c r="AO1688" s="263"/>
      <c r="AP1688" s="265"/>
      <c r="AQ1688" s="265"/>
      <c r="AR1688" s="285"/>
      <c r="AS1688" s="263"/>
      <c r="AT1688" s="263"/>
      <c r="AU1688" s="263"/>
      <c r="AV1688" s="264"/>
      <c r="AW1688" s="263"/>
      <c r="AX1688" s="263"/>
      <c r="AY1688" s="263"/>
      <c r="AZ1688" s="263"/>
      <c r="BA1688" s="263"/>
      <c r="BB1688" s="263"/>
      <c r="BC1688" s="263"/>
      <c r="BD1688" s="264"/>
      <c r="BE1688" s="263"/>
      <c r="BF1688" s="263"/>
      <c r="BG1688" s="263"/>
      <c r="BH1688" s="263"/>
      <c r="BI1688" s="263"/>
      <c r="BJ1688" s="404">
        <f>altaz(J2000_Bas,$O1688,$M1688,DecLat,DecLong,2)</f>
        <v>166.714784948709</v>
      </c>
      <c r="BK1688" s="378" t="s">
        <v>5617</v>
      </c>
      <c r="BL1688" s="379">
        <f>IF((2*G1688)/60&lt;0.2,0.2,(2*G1688)/60)</f>
        <v>0.33333333333333331</v>
      </c>
      <c r="BM1688" s="380">
        <f>MOD((50000+AD1688-$B$3+(0/24)),1)</f>
        <v>0.43523446023027645</v>
      </c>
      <c r="BN1688" s="381"/>
      <c r="BO1688" s="382">
        <v>1681</v>
      </c>
    </row>
    <row r="1689" spans="1:67" s="24" customFormat="1" ht="15" customHeight="1" x14ac:dyDescent="0.25">
      <c r="A1689" s="288" t="s">
        <v>1689</v>
      </c>
      <c r="B1689" s="241" t="str">
        <f>HYPERLINK(CONCATENATE($AT$3,BK1689,$AU$3),$AV$3)</f>
        <v>S</v>
      </c>
      <c r="C1689" s="242" t="str">
        <f>HYPERLINK(CONCATENATE($AT$4,BK1689,$AU$4,BL1689),$AV$4)</f>
        <v>A</v>
      </c>
      <c r="D1689" s="243" t="s">
        <v>5638</v>
      </c>
      <c r="E1689" s="244" t="s">
        <v>5192</v>
      </c>
      <c r="F1689" s="269" t="s">
        <v>8900</v>
      </c>
      <c r="G1689" s="273">
        <v>5</v>
      </c>
      <c r="H1689" s="283">
        <v>65</v>
      </c>
      <c r="I1689" s="246">
        <v>100</v>
      </c>
      <c r="J1689" s="246">
        <v>2</v>
      </c>
      <c r="K1689" s="247" t="s">
        <v>6776</v>
      </c>
      <c r="L1689" s="248">
        <v>53324</v>
      </c>
      <c r="M1689" s="249">
        <f>15*(LEFT(TEXT($L1689,"000000"),2)+(MID(TEXT($L1689,"000000"),3,2)/60)+(RIGHT(TEXT($L1689,"000000"),2)/3600))</f>
        <v>83.35</v>
      </c>
      <c r="N1689" s="286">
        <v>-215700</v>
      </c>
      <c r="O1689" s="251">
        <f>IF($N1689&gt;0,(LEFT(TEXT($N1689,"000000"),2)+(MID(TEXT($N1689,"000000"),3,2)/60)+(RIGHT(TEXT($N1689,"000000"),2)/3600)),-(MID(TEXT($N1689,"000000"),2,2)+(MID(TEXT($N1689,"000000"),4,2)/60)+(RIGHT(TEXT($N1689,"000000"),2)/3600)))</f>
        <v>-21.95</v>
      </c>
      <c r="P1689" s="252" t="s">
        <v>70</v>
      </c>
      <c r="Q1689" s="253"/>
      <c r="R1689" s="277" t="s">
        <v>3293</v>
      </c>
      <c r="S1689" s="272" t="s">
        <v>3293</v>
      </c>
      <c r="T1689" s="273">
        <v>10.8</v>
      </c>
      <c r="U1689" s="289">
        <v>22.29</v>
      </c>
      <c r="V1689" s="280">
        <v>75</v>
      </c>
      <c r="W1689" s="244"/>
      <c r="X1689" s="244"/>
      <c r="Y1689" s="362"/>
      <c r="Z1689" s="257">
        <f>altaz(J2000_Bas,$O1689,$M1689,DecLat,DecLong,1)</f>
        <v>-67.853076822124336</v>
      </c>
      <c r="AA1689" s="257">
        <f>altaz((J2000_Bas+(2*0.04167)),$O1689,$M1689,DecLat,DecLong,1)</f>
        <v>-42.367964249146439</v>
      </c>
      <c r="AB1689" s="257">
        <f>altaz((J2000_Bas+(4*0.04167)),$O1689,$M1689,DecLat,DecLong,1)</f>
        <v>-16.969631639691485</v>
      </c>
      <c r="AC1689" s="257">
        <f>altaz((J2000_Bas+(6*0.04167)),$O1689,$M1689,DecLat,DecLong,1)</f>
        <v>6.7147246993624519</v>
      </c>
      <c r="AD1689" s="258">
        <f>1+ transit((J2000_Bas-1),$O1689,$M1689,DecLat,DecLong)/360 + (GMTOffset/24) + (IF(DST="Y", 1, 0)/24)</f>
        <v>1.2244277152547081</v>
      </c>
      <c r="AE1689" s="259">
        <f>DATE(2001,9,21)+(M1689/360)*365 - (360*((DecLong/360)- (GMTOffset/24) ))</f>
        <v>37244.507638888892</v>
      </c>
      <c r="AF1689" s="260">
        <f>IF(DecLat&gt;0,IF((90 - (DecLat-O1689))&gt;90, (90 - (O1689-DecLat)), (90 - (DecLat-O1689))),IF((90 + (DecLat-O1689))&gt;90, (90 + (O1689-DecLat)), (90 + (DecLat-O1689))))</f>
        <v>37.049999999999997</v>
      </c>
      <c r="AG1689" s="257">
        <f>angularseperation(MoonRA,MoonDec,$M1689,$O1689)</f>
        <v>129.10191685390623</v>
      </c>
      <c r="AH1689" s="261">
        <f ca="1">MIN(100,IF($O$5&gt;80,0+30*($AG1689/100),IF($O$5&gt;70,0+50*($AG1689/100),IF($O$5&gt;60,5+50*($AG1689/100),IF($O$5&gt;50,10+60*($AG1689/100),IF($O$5&gt;40,15+70*($AG1689/100),IF($O$5&gt;30,20+70*($AG1689/100),IF($O$5&gt;20,40+55*($AG1689/100),(80+(20-$O$5)+30*($AG1689/100))))))))))</f>
        <v>100</v>
      </c>
      <c r="AI1689" s="262">
        <v>1964</v>
      </c>
      <c r="AJ1689" s="263"/>
      <c r="AK1689" s="263">
        <v>64</v>
      </c>
      <c r="AL1689" s="263"/>
      <c r="AM1689" s="264"/>
      <c r="AN1689" s="263"/>
      <c r="AO1689" s="263"/>
      <c r="AP1689" s="265"/>
      <c r="AQ1689" s="265"/>
      <c r="AR1689" s="285">
        <v>17436</v>
      </c>
      <c r="AS1689" s="263"/>
      <c r="AT1689" s="263"/>
      <c r="AU1689" s="263"/>
      <c r="AV1689" s="264"/>
      <c r="AW1689" s="263"/>
      <c r="AX1689" s="263"/>
      <c r="AY1689" s="263"/>
      <c r="AZ1689" s="263"/>
      <c r="BA1689" s="263"/>
      <c r="BB1689" s="263"/>
      <c r="BC1689" s="263"/>
      <c r="BD1689" s="264"/>
      <c r="BE1689" s="263"/>
      <c r="BF1689" s="263"/>
      <c r="BG1689" s="263"/>
      <c r="BH1689" s="263"/>
      <c r="BI1689" s="263"/>
      <c r="BJ1689" s="404">
        <f>altaz(J2000_Bas,$O1689,$M1689,DecLat,DecLong,2)</f>
        <v>71.36751066087831</v>
      </c>
      <c r="BK1689" s="378" t="s">
        <v>1689</v>
      </c>
      <c r="BL1689" s="379">
        <f>IF((2*G1689)/60&lt;0.2,0.2,(2*G1689)/60)</f>
        <v>0.2</v>
      </c>
      <c r="BM1689" s="380">
        <f>MOD((50000+AD1689-$B$3+(0/24)),1)</f>
        <v>0.43979464496078435</v>
      </c>
      <c r="BN1689" s="381"/>
      <c r="BO1689" s="382">
        <v>1682</v>
      </c>
    </row>
    <row r="1690" spans="1:67" s="24" customFormat="1" ht="15" customHeight="1" x14ac:dyDescent="0.25">
      <c r="A1690" s="288" t="s">
        <v>1690</v>
      </c>
      <c r="B1690" s="241" t="str">
        <f>HYPERLINK(CONCATENATE($AT$3,BK1690,$AU$3),$AV$3)</f>
        <v>S</v>
      </c>
      <c r="C1690" s="242" t="str">
        <f>HYPERLINK(CONCATENATE($AT$4,BK1690,$AU$4,BL1690),$AV$4)</f>
        <v>A</v>
      </c>
      <c r="D1690" s="243" t="s">
        <v>5187</v>
      </c>
      <c r="E1690" s="244" t="s">
        <v>5183</v>
      </c>
      <c r="F1690" s="269" t="s">
        <v>5180</v>
      </c>
      <c r="G1690" s="276">
        <v>20</v>
      </c>
      <c r="H1690" s="283">
        <v>1300</v>
      </c>
      <c r="I1690" s="279">
        <v>8</v>
      </c>
      <c r="J1690" s="246">
        <v>4</v>
      </c>
      <c r="K1690" s="247" t="s">
        <v>6777</v>
      </c>
      <c r="L1690" s="248">
        <v>53516</v>
      </c>
      <c r="M1690" s="249">
        <f>15*(LEFT(TEXT($L1690,"000000"),2)+(MID(TEXT($L1690,"000000"),3,2)/60)+(RIGHT(TEXT($L1690,"000000"),2)/3600))</f>
        <v>83.816666666666663</v>
      </c>
      <c r="N1690" s="250">
        <v>-44915</v>
      </c>
      <c r="O1690" s="251">
        <f>IF($N1690&gt;0,(LEFT(TEXT($N1690,"000000"),2)+(MID(TEXT($N1690,"000000"),3,2)/60)+(RIGHT(TEXT($N1690,"000000"),2)/3600)),-(MID(TEXT($N1690,"000000"),2,2)+(MID(TEXT($N1690,"000000"),4,2)/60)+(RIGHT(TEXT($N1690,"000000"),2)/3600)))</f>
        <v>-4.8208333333333329</v>
      </c>
      <c r="P1690" s="252" t="s">
        <v>41</v>
      </c>
      <c r="Q1690" s="253" t="s">
        <v>7060</v>
      </c>
      <c r="R1690" s="277" t="s">
        <v>3293</v>
      </c>
      <c r="S1690" s="272" t="s">
        <v>3293</v>
      </c>
      <c r="T1690" s="273"/>
      <c r="U1690" s="274"/>
      <c r="V1690" s="280"/>
      <c r="W1690" s="244"/>
      <c r="X1690" s="244"/>
      <c r="Y1690" s="362"/>
      <c r="Z1690" s="257">
        <f>altaz(J2000_Bas,$O1690,$M1690,DecLat,DecLong,1)</f>
        <v>-56.530693708715454</v>
      </c>
      <c r="AA1690" s="257">
        <f>altaz((J2000_Bas+(2*0.04167)),$O1690,$M1690,DecLat,DecLong,1)</f>
        <v>-34.468867326798637</v>
      </c>
      <c r="AB1690" s="257">
        <f>altaz((J2000_Bas+(4*0.04167)),$O1690,$M1690,DecLat,DecLong,1)</f>
        <v>-9.0277547257733488</v>
      </c>
      <c r="AC1690" s="257">
        <f>altaz((J2000_Bas+(6*0.04167)),$O1690,$M1690,DecLat,DecLong,1)</f>
        <v>16.424237428856891</v>
      </c>
      <c r="AD1690" s="258">
        <f>1+ transit((J2000_Bas-1),$O1690,$M1690,DecLat,DecLong)/360 + (GMTOffset/24) + (IF(DST="Y", 1, 0)/24)</f>
        <v>1.2257240114213748</v>
      </c>
      <c r="AE1690" s="259">
        <f>DATE(2001,9,21)+(M1690/360)*365 - (360*((DecLong/360)- (GMTOffset/24) ))</f>
        <v>37244.980787037035</v>
      </c>
      <c r="AF1690" s="260">
        <f>IF(DecLat&gt;0,IF((90 - (DecLat-O1690))&gt;90, (90 - (O1690-DecLat)), (90 - (DecLat-O1690))),IF((90 + (DecLat-O1690))&gt;90, (90 + (O1690-DecLat)), (90 + (DecLat-O1690))))</f>
        <v>54.179166666666667</v>
      </c>
      <c r="AG1690" s="257">
        <f>angularseperation(MoonRA,MoonDec,$M1690,$O1690)</f>
        <v>145.12251216088501</v>
      </c>
      <c r="AH1690" s="261">
        <f ca="1">MIN(100,IF($O$5&gt;80,0+30*($AG1690/100),IF($O$5&gt;70,0+50*($AG1690/100),IF($O$5&gt;60,5+50*($AG1690/100),IF($O$5&gt;50,10+60*($AG1690/100),IF($O$5&gt;40,15+70*($AG1690/100),IF($O$5&gt;30,20+70*($AG1690/100),IF($O$5&gt;20,40+55*($AG1690/100),(80+(20-$O$5)+30*($AG1690/100))))))))))</f>
        <v>100</v>
      </c>
      <c r="AI1690" s="262">
        <v>1977</v>
      </c>
      <c r="AJ1690" s="262"/>
      <c r="AK1690" s="262"/>
      <c r="AL1690" s="263"/>
      <c r="AM1690" s="264"/>
      <c r="AN1690" s="263"/>
      <c r="AO1690" s="263"/>
      <c r="AP1690" s="265"/>
      <c r="AQ1690" s="266"/>
      <c r="AR1690" s="267"/>
      <c r="AS1690" s="263"/>
      <c r="AT1690" s="263"/>
      <c r="AU1690" s="263"/>
      <c r="AV1690" s="264"/>
      <c r="AW1690" s="263"/>
      <c r="AX1690" s="263"/>
      <c r="AY1690" s="263"/>
      <c r="AZ1690" s="263"/>
      <c r="BA1690" s="263"/>
      <c r="BB1690" s="263">
        <v>279</v>
      </c>
      <c r="BC1690" s="263"/>
      <c r="BD1690" s="264"/>
      <c r="BE1690" s="263">
        <v>32</v>
      </c>
      <c r="BF1690" s="263"/>
      <c r="BG1690" s="263"/>
      <c r="BH1690" s="263"/>
      <c r="BI1690" s="263"/>
      <c r="BJ1690" s="404">
        <f>altaz(J2000_Bas,$O1690,$M1690,DecLat,DecLong,2)</f>
        <v>43.023107891373527</v>
      </c>
      <c r="BK1690" s="378" t="s">
        <v>1690</v>
      </c>
      <c r="BL1690" s="379">
        <f>IF((2*G1690)/60&lt;0.2,0.2,(2*G1690)/60)</f>
        <v>0.66666666666666663</v>
      </c>
      <c r="BM1690" s="380">
        <f>MOD((50000+AD1690-$B$3+(0/24)),1)</f>
        <v>0.44109094112354796</v>
      </c>
      <c r="BN1690" s="381"/>
      <c r="BO1690" s="382">
        <v>1683</v>
      </c>
    </row>
    <row r="1691" spans="1:67" s="24" customFormat="1" ht="15" customHeight="1" x14ac:dyDescent="0.25">
      <c r="A1691" s="288" t="s">
        <v>1691</v>
      </c>
      <c r="B1691" s="241" t="str">
        <f>HYPERLINK(CONCATENATE($AT$3,BK1691,$AU$3),$AV$3)</f>
        <v>S</v>
      </c>
      <c r="C1691" s="242" t="str">
        <f>HYPERLINK(CONCATENATE($AT$4,BK1691,$AU$4,BL1691),$AV$4)</f>
        <v>A</v>
      </c>
      <c r="D1691" s="243" t="s">
        <v>5335</v>
      </c>
      <c r="E1691" s="244" t="s">
        <v>5185</v>
      </c>
      <c r="F1691" s="269" t="s">
        <v>4909</v>
      </c>
      <c r="G1691" s="276">
        <v>15</v>
      </c>
      <c r="H1691" s="283">
        <v>1500</v>
      </c>
      <c r="I1691" s="279">
        <v>7</v>
      </c>
      <c r="J1691" s="246">
        <v>2</v>
      </c>
      <c r="K1691" s="247" t="s">
        <v>6779</v>
      </c>
      <c r="L1691" s="248">
        <v>53524</v>
      </c>
      <c r="M1691" s="249">
        <f>15*(LEFT(TEXT($L1691,"000000"),2)+(MID(TEXT($L1691,"000000"),3,2)/60)+(RIGHT(TEXT($L1691,"000000"),2)/3600))</f>
        <v>83.85</v>
      </c>
      <c r="N1691" s="250">
        <v>-55500</v>
      </c>
      <c r="O1691" s="251">
        <f>IF($N1691&gt;0,(LEFT(TEXT($N1691,"000000"),2)+(MID(TEXT($N1691,"000000"),3,2)/60)+(RIGHT(TEXT($N1691,"000000"),2)/3600)),-(MID(TEXT($N1691,"000000"),2,2)+(MID(TEXT($N1691,"000000"),4,2)/60)+(RIGHT(TEXT($N1691,"000000"),2)/3600)))</f>
        <v>-5.916666666666667</v>
      </c>
      <c r="P1691" s="252" t="s">
        <v>41</v>
      </c>
      <c r="Q1691" s="253"/>
      <c r="R1691" s="247" t="s">
        <v>6778</v>
      </c>
      <c r="S1691" s="272" t="s">
        <v>4929</v>
      </c>
      <c r="T1691" s="273">
        <v>2.5</v>
      </c>
      <c r="U1691" s="274"/>
      <c r="V1691" s="280"/>
      <c r="W1691" s="244"/>
      <c r="X1691" s="244"/>
      <c r="Y1691" s="362"/>
      <c r="Z1691" s="257">
        <f>altaz(J2000_Bas,$O1691,$M1691,DecLat,DecLong,1)</f>
        <v>-57.432239683243495</v>
      </c>
      <c r="AA1691" s="257">
        <f>altaz((J2000_Bas+(2*0.04167)),$O1691,$M1691,DecLat,DecLong,1)</f>
        <v>-35.1149795555502</v>
      </c>
      <c r="AB1691" s="257">
        <f>altaz((J2000_Bas+(4*0.04167)),$O1691,$M1691,DecLat,DecLong,1)</f>
        <v>-9.6138818575830989</v>
      </c>
      <c r="AC1691" s="257">
        <f>altaz((J2000_Bas+(6*0.04167)),$O1691,$M1691,DecLat,DecLong,1)</f>
        <v>15.777122102721874</v>
      </c>
      <c r="AD1691" s="258">
        <f>1+ transit((J2000_Bas-1),$O1691,$M1691,DecLat,DecLong)/360 + (GMTOffset/24) + (IF(DST="Y", 1, 0)/24)</f>
        <v>1.225816604004708</v>
      </c>
      <c r="AE1691" s="259">
        <f>DATE(2001,9,21)+(M1691/360)*365 - (360*((DecLong/360)- (GMTOffset/24) ))</f>
        <v>37245.01458333333</v>
      </c>
      <c r="AF1691" s="260">
        <f>IF(DecLat&gt;0,IF((90 - (DecLat-O1691))&gt;90, (90 - (O1691-DecLat)), (90 - (DecLat-O1691))),IF((90 + (DecLat-O1691))&gt;90, (90 + (O1691-DecLat)), (90 + (DecLat-O1691))))</f>
        <v>53.083333333333336</v>
      </c>
      <c r="AG1691" s="257">
        <f>angularseperation(MoonRA,MoonDec,$M1691,$O1691)</f>
        <v>144.09936945374065</v>
      </c>
      <c r="AH1691" s="261">
        <f ca="1">MIN(100,IF($O$5&gt;80,0+30*($AG1691/100),IF($O$5&gt;70,0+50*($AG1691/100),IF($O$5&gt;60,5+50*($AG1691/100),IF($O$5&gt;50,10+60*($AG1691/100),IF($O$5&gt;40,15+70*($AG1691/100),IF($O$5&gt;30,20+70*($AG1691/100),IF($O$5&gt;20,40+55*($AG1691/100),(80+(20-$O$5)+30*($AG1691/100))))))))))</f>
        <v>100</v>
      </c>
      <c r="AI1691" s="262">
        <v>1980</v>
      </c>
      <c r="AJ1691" s="262"/>
      <c r="AK1691" s="262">
        <v>65</v>
      </c>
      <c r="AL1691" s="263"/>
      <c r="AM1691" s="264"/>
      <c r="AN1691" s="263"/>
      <c r="AO1691" s="263"/>
      <c r="AP1691" s="265"/>
      <c r="AQ1691" s="266"/>
      <c r="AR1691" s="267"/>
      <c r="AS1691" s="263"/>
      <c r="AT1691" s="263"/>
      <c r="AU1691" s="263"/>
      <c r="AV1691" s="264"/>
      <c r="AW1691" s="263"/>
      <c r="AX1691" s="263"/>
      <c r="AY1691" s="263"/>
      <c r="AZ1691" s="263"/>
      <c r="BA1691" s="263"/>
      <c r="BB1691" s="263"/>
      <c r="BC1691" s="263"/>
      <c r="BD1691" s="264"/>
      <c r="BE1691" s="263">
        <v>31</v>
      </c>
      <c r="BF1691" s="263"/>
      <c r="BG1691" s="263"/>
      <c r="BH1691" s="263"/>
      <c r="BI1691" s="263"/>
      <c r="BJ1691" s="404">
        <f>altaz(J2000_Bas,$O1691,$M1691,DecLat,DecLong,2)</f>
        <v>44.168052112093022</v>
      </c>
      <c r="BK1691" s="378" t="s">
        <v>1691</v>
      </c>
      <c r="BL1691" s="379">
        <f>IF((2*G1691)/60&lt;0.2,0.2,(2*G1691)/60)</f>
        <v>0.5</v>
      </c>
      <c r="BM1691" s="380">
        <f>MOD((50000+AD1691-$B$3+(0/24)),1)</f>
        <v>0.44118353370868135</v>
      </c>
      <c r="BN1691" s="381"/>
      <c r="BO1691" s="382">
        <v>1684</v>
      </c>
    </row>
    <row r="1692" spans="1:67" s="24" customFormat="1" ht="15" customHeight="1" x14ac:dyDescent="0.25">
      <c r="A1692" s="288" t="s">
        <v>1692</v>
      </c>
      <c r="B1692" s="241" t="str">
        <f>HYPERLINK(CONCATENATE($AT$3,BK1692,$AU$3),$AV$3)</f>
        <v>S</v>
      </c>
      <c r="C1692" s="241" t="str">
        <f>HYPERLINK(CONCATENATE($AT$4,BK1692,$AU$4,BL1692),$AV$4)</f>
        <v>A</v>
      </c>
      <c r="D1692" s="243" t="s">
        <v>5335</v>
      </c>
      <c r="E1692" s="244" t="s">
        <v>5185</v>
      </c>
      <c r="F1692" s="269" t="s">
        <v>9081</v>
      </c>
      <c r="G1692" s="276">
        <v>25</v>
      </c>
      <c r="H1692" s="283">
        <v>1300</v>
      </c>
      <c r="I1692" s="244">
        <v>10</v>
      </c>
      <c r="J1692" s="246">
        <v>2</v>
      </c>
      <c r="K1692" s="247" t="s">
        <v>6781</v>
      </c>
      <c r="L1692" s="248">
        <v>53509</v>
      </c>
      <c r="M1692" s="249">
        <f>15*(LEFT(TEXT($L1692,"000000"),2)+(MID(TEXT($L1692,"000000"),3,2)/60)+(RIGHT(TEXT($L1692,"000000"),2)/3600))</f>
        <v>83.787499999999994</v>
      </c>
      <c r="N1692" s="250">
        <v>-42554</v>
      </c>
      <c r="O1692" s="251">
        <f>IF($N1692&gt;0,(LEFT(TEXT($N1692,"000000"),2)+(MID(TEXT($N1692,"000000"),3,2)/60)+(RIGHT(TEXT($N1692,"000000"),2)/3600)),-(MID(TEXT($N1692,"000000"),2,2)+(MID(TEXT($N1692,"000000"),4,2)/60)+(RIGHT(TEXT($N1692,"000000"),2)/3600)))</f>
        <v>-4.4316666666666666</v>
      </c>
      <c r="P1692" s="252" t="s">
        <v>41</v>
      </c>
      <c r="Q1692" s="253" t="s">
        <v>7102</v>
      </c>
      <c r="R1692" s="277" t="s">
        <v>6780</v>
      </c>
      <c r="S1692" s="272" t="s">
        <v>3293</v>
      </c>
      <c r="T1692" s="273">
        <v>4.2</v>
      </c>
      <c r="U1692" s="274"/>
      <c r="V1692" s="280"/>
      <c r="W1692" s="244"/>
      <c r="X1692" s="244"/>
      <c r="Y1692" s="362"/>
      <c r="Z1692" s="257">
        <f>altaz(J2000_Bas,$O1692,$M1692,DecLat,DecLong,1)</f>
        <v>-56.197990388858031</v>
      </c>
      <c r="AA1692" s="257">
        <f>altaz((J2000_Bas+(2*0.04167)),$O1692,$M1692,DecLat,DecLong,1)</f>
        <v>-34.22295543113308</v>
      </c>
      <c r="AB1692" s="257">
        <f>altaz((J2000_Bas+(4*0.04167)),$O1692,$M1692,DecLat,DecLong,1)</f>
        <v>-8.8041444373316615</v>
      </c>
      <c r="AC1692" s="257">
        <f>altaz((J2000_Bas+(6*0.04167)),$O1692,$M1692,DecLat,DecLong,1)</f>
        <v>16.667394570855457</v>
      </c>
      <c r="AD1692" s="258">
        <f>1+ transit((J2000_Bas-1),$O1692,$M1692,DecLat,DecLong)/360 + (GMTOffset/24) + (IF(DST="Y", 1, 0)/24)</f>
        <v>1.225642992910958</v>
      </c>
      <c r="AE1692" s="259">
        <f>DATE(2001,9,21)+(M1692/360)*365 - (360*((DecLong/360)- (GMTOffset/24) ))</f>
        <v>37244.951215277775</v>
      </c>
      <c r="AF1692" s="260">
        <f>IF(DecLat&gt;0,IF((90 - (DecLat-O1692))&gt;90, (90 - (O1692-DecLat)), (90 - (DecLat-O1692))),IF((90 + (DecLat-O1692))&gt;90, (90 + (O1692-DecLat)), (90 + (DecLat-O1692))))</f>
        <v>54.568333333333335</v>
      </c>
      <c r="AG1692" s="257">
        <f>angularseperation(MoonRA,MoonDec,$M1692,$O1692)</f>
        <v>145.49175622996955</v>
      </c>
      <c r="AH1692" s="261">
        <f ca="1">MIN(100,IF($O$5&gt;80,0+30*($AG1692/100),IF($O$5&gt;70,0+50*($AG1692/100),IF($O$5&gt;60,5+50*($AG1692/100),IF($O$5&gt;50,10+60*($AG1692/100),IF($O$5&gt;40,15+70*($AG1692/100),IF($O$5&gt;30,20+70*($AG1692/100),IF($O$5&gt;20,40+55*($AG1692/100),(80+(20-$O$5)+30*($AG1692/100))))))))))</f>
        <v>100</v>
      </c>
      <c r="AI1692" s="262">
        <v>1981</v>
      </c>
      <c r="AJ1692" s="262"/>
      <c r="AK1692" s="262"/>
      <c r="AL1692" s="263"/>
      <c r="AM1692" s="264"/>
      <c r="AN1692" s="263"/>
      <c r="AO1692" s="263"/>
      <c r="AP1692" s="265"/>
      <c r="AQ1692" s="266"/>
      <c r="AR1692" s="267"/>
      <c r="AS1692" s="263"/>
      <c r="AT1692" s="263"/>
      <c r="AU1692" s="263"/>
      <c r="AV1692" s="264"/>
      <c r="AW1692" s="263"/>
      <c r="AX1692" s="263"/>
      <c r="AY1692" s="263"/>
      <c r="AZ1692" s="263"/>
      <c r="BA1692" s="263"/>
      <c r="BB1692" s="263"/>
      <c r="BC1692" s="263"/>
      <c r="BD1692" s="264"/>
      <c r="BE1692" s="263">
        <v>30</v>
      </c>
      <c r="BF1692" s="263"/>
      <c r="BG1692" s="263"/>
      <c r="BH1692" s="263"/>
      <c r="BI1692" s="263"/>
      <c r="BJ1692" s="404">
        <f>altaz(J2000_Bas,$O1692,$M1692,DecLat,DecLong,2)</f>
        <v>42.654863966143012</v>
      </c>
      <c r="BK1692" s="378" t="s">
        <v>1692</v>
      </c>
      <c r="BL1692" s="379">
        <f>IF((2*G1692)/60&lt;0.2,0.2,(2*G1692)/60)</f>
        <v>0.83333333333333337</v>
      </c>
      <c r="BM1692" s="380">
        <f>MOD((50000+AD1692-$B$3+(0/24)),1)</f>
        <v>0.44100992261519423</v>
      </c>
      <c r="BN1692" s="381"/>
      <c r="BO1692" s="382">
        <v>1685</v>
      </c>
    </row>
    <row r="1693" spans="1:67" s="24" customFormat="1" ht="15" customHeight="1" x14ac:dyDescent="0.25">
      <c r="A1693" s="288" t="s">
        <v>1693</v>
      </c>
      <c r="B1693" s="241" t="str">
        <f>HYPERLINK(CONCATENATE($AT$3,BK1693,$AU$3),$AV$3)</f>
        <v>S</v>
      </c>
      <c r="C1693" s="242" t="str">
        <f>HYPERLINK(CONCATENATE($AT$4,BK1693,$AU$4,BL1693),$AV$4)</f>
        <v>A</v>
      </c>
      <c r="D1693" s="243" t="s">
        <v>5187</v>
      </c>
      <c r="E1693" s="244" t="s">
        <v>5186</v>
      </c>
      <c r="F1693" s="269"/>
      <c r="G1693" s="273">
        <v>2.2000000000000002</v>
      </c>
      <c r="H1693" s="283">
        <v>6000</v>
      </c>
      <c r="I1693" s="279">
        <v>4</v>
      </c>
      <c r="J1693" s="246">
        <v>2</v>
      </c>
      <c r="K1693" s="247" t="s">
        <v>6783</v>
      </c>
      <c r="L1693" s="248">
        <v>53748</v>
      </c>
      <c r="M1693" s="249">
        <f>15*(LEFT(TEXT($L1693,"000000"),2)+(MID(TEXT($L1693,"000000"),3,2)/60)+(RIGHT(TEXT($L1693,"000000"),2)/3600))</f>
        <v>84.450000000000017</v>
      </c>
      <c r="N1693" s="250">
        <v>315920</v>
      </c>
      <c r="O1693" s="251">
        <f>IF($N1693&gt;0,(LEFT(TEXT($N1693,"000000"),2)+(MID(TEXT($N1693,"000000"),3,2)/60)+(RIGHT(TEXT($N1693,"000000"),2)/3600)),-(MID(TEXT($N1693,"000000"),2,2)+(MID(TEXT($N1693,"000000"),4,2)/60)+(RIGHT(TEXT($N1693,"000000"),2)/3600)))</f>
        <v>31.988888888888891</v>
      </c>
      <c r="P1693" s="252" t="s">
        <v>62</v>
      </c>
      <c r="Q1693" s="253"/>
      <c r="R1693" s="247" t="s">
        <v>6782</v>
      </c>
      <c r="S1693" s="272" t="s">
        <v>3293</v>
      </c>
      <c r="T1693" s="273"/>
      <c r="U1693" s="274"/>
      <c r="V1693" s="280"/>
      <c r="W1693" s="244"/>
      <c r="X1693" s="244"/>
      <c r="Y1693" s="362"/>
      <c r="Z1693" s="257">
        <f>altaz(J2000_Bas,$O1693,$M1693,DecLat,DecLong,1)</f>
        <v>-23.786601923899209</v>
      </c>
      <c r="AA1693" s="257">
        <f>altaz((J2000_Bas+(2*0.04167)),$O1693,$M1693,DecLat,DecLong,1)</f>
        <v>-10.274556287631713</v>
      </c>
      <c r="AB1693" s="257">
        <f>altaz((J2000_Bas+(4*0.04167)),$O1693,$M1693,DecLat,DecLong,1)</f>
        <v>9.6813516629293215</v>
      </c>
      <c r="AC1693" s="257">
        <f>altaz((J2000_Bas+(6*0.04167)),$O1693,$M1693,DecLat,DecLong,1)</f>
        <v>32.881594221630849</v>
      </c>
      <c r="AD1693" s="258">
        <f>1+ transit((J2000_Bas-1),$O1693,$M1693,DecLat,DecLong)/360 + (GMTOffset/24) + (IF(DST="Y", 1, 0)/24)</f>
        <v>1.2274832705047081</v>
      </c>
      <c r="AE1693" s="259">
        <f>DATE(2001,9,21)+(M1693/360)*365 - (360*((DecLong/360)- (GMTOffset/24) ))</f>
        <v>37245.622916666667</v>
      </c>
      <c r="AF1693" s="260">
        <f>IF(DecLat&gt;0,IF((90 - (DecLat-O1693))&gt;90, (90 - (O1693-DecLat)), (90 - (DecLat-O1693))),IF((90 + (DecLat-O1693))&gt;90, (90 + (O1693-DecLat)), (90 + (DecLat-O1693))))</f>
        <v>89.011111111111106</v>
      </c>
      <c r="AG1693" s="257">
        <f>angularseperation(MoonRA,MoonDec,$M1693,$O1693)</f>
        <v>165.90485963076873</v>
      </c>
      <c r="AH1693" s="261">
        <f ca="1">MIN(100,IF($O$5&gt;80,0+30*($AG1693/100),IF($O$5&gt;70,0+50*($AG1693/100),IF($O$5&gt;60,5+50*($AG1693/100),IF($O$5&gt;50,10+60*($AG1693/100),IF($O$5&gt;40,15+70*($AG1693/100),IF($O$5&gt;30,20+70*($AG1693/100),IF($O$5&gt;20,40+55*($AG1693/100),(80+(20-$O$5)+30*($AG1693/100))))))))))</f>
        <v>100</v>
      </c>
      <c r="AI1693" s="262">
        <v>1985</v>
      </c>
      <c r="AJ1693" s="262"/>
      <c r="AK1693" s="262"/>
      <c r="AL1693" s="263"/>
      <c r="AM1693" s="264"/>
      <c r="AN1693" s="263"/>
      <c r="AO1693" s="263"/>
      <c r="AP1693" s="265"/>
      <c r="AQ1693" s="266"/>
      <c r="AR1693" s="267"/>
      <c r="AS1693" s="263"/>
      <c r="AT1693" s="263"/>
      <c r="AU1693" s="263"/>
      <c r="AV1693" s="264"/>
      <c r="AW1693" s="263"/>
      <c r="AX1693" s="263"/>
      <c r="AY1693" s="263"/>
      <c r="AZ1693" s="263"/>
      <c r="BA1693" s="263"/>
      <c r="BB1693" s="263"/>
      <c r="BC1693" s="263"/>
      <c r="BD1693" s="264"/>
      <c r="BE1693" s="263"/>
      <c r="BF1693" s="263"/>
      <c r="BG1693" s="263"/>
      <c r="BH1693" s="263"/>
      <c r="BI1693" s="263"/>
      <c r="BJ1693" s="404">
        <f>altaz(J2000_Bas,$O1693,$M1693,DecLat,DecLong,2)</f>
        <v>19.907148900938061</v>
      </c>
      <c r="BK1693" s="378" t="s">
        <v>1693</v>
      </c>
      <c r="BL1693" s="379">
        <f>IF((2*G1693)/60&lt;0.2,0.2,(2*G1693)/60)</f>
        <v>0.2</v>
      </c>
      <c r="BM1693" s="380">
        <f>MOD((50000+AD1693-$B$3+(0/24)),1)</f>
        <v>0.44285020021197852</v>
      </c>
      <c r="BN1693" s="381"/>
      <c r="BO1693" s="382">
        <v>1686</v>
      </c>
    </row>
    <row r="1694" spans="1:67" s="24" customFormat="1" ht="15" customHeight="1" x14ac:dyDescent="0.25">
      <c r="A1694" s="288" t="s">
        <v>1694</v>
      </c>
      <c r="B1694" s="241" t="str">
        <f>HYPERLINK(CONCATENATE($AT$3,BK1694,$AU$3),$AV$3)</f>
        <v>S</v>
      </c>
      <c r="C1694" s="242" t="str">
        <f>HYPERLINK(CONCATENATE($AT$4,BK1694,$AU$4,BL1694),$AV$4)</f>
        <v>A</v>
      </c>
      <c r="D1694" s="243" t="s">
        <v>5187</v>
      </c>
      <c r="E1694" s="244" t="s">
        <v>5186</v>
      </c>
      <c r="F1694" s="269"/>
      <c r="G1694" s="273">
        <v>2</v>
      </c>
      <c r="H1694" s="283">
        <v>1500</v>
      </c>
      <c r="I1694" s="309">
        <v>0.9</v>
      </c>
      <c r="J1694" s="246">
        <v>4</v>
      </c>
      <c r="K1694" s="247" t="s">
        <v>6784</v>
      </c>
      <c r="L1694" s="248">
        <v>53625</v>
      </c>
      <c r="M1694" s="249">
        <f>15*(LEFT(TEXT($L1694,"000000"),2)+(MID(TEXT($L1694,"000000"),3,2)/60)+(RIGHT(TEXT($L1694,"000000"),2)/3600))</f>
        <v>84.104166666666657</v>
      </c>
      <c r="N1694" s="250">
        <v>-64257</v>
      </c>
      <c r="O1694" s="251">
        <f>IF($N1694&gt;0,(LEFT(TEXT($N1694,"000000"),2)+(MID(TEXT($N1694,"000000"),3,2)/60)+(RIGHT(TEXT($N1694,"000000"),2)/3600)),-(MID(TEXT($N1694,"000000"),2,2)+(MID(TEXT($N1694,"000000"),4,2)/60)+(RIGHT(TEXT($N1694,"000000"),2)/3600)))</f>
        <v>-6.7158333333333333</v>
      </c>
      <c r="P1694" s="252" t="s">
        <v>41</v>
      </c>
      <c r="Q1694" s="253" t="s">
        <v>7058</v>
      </c>
      <c r="R1694" s="277" t="s">
        <v>3293</v>
      </c>
      <c r="S1694" s="272" t="s">
        <v>3293</v>
      </c>
      <c r="T1694" s="273"/>
      <c r="U1694" s="274"/>
      <c r="V1694" s="280"/>
      <c r="W1694" s="244"/>
      <c r="X1694" s="244"/>
      <c r="Y1694" s="362"/>
      <c r="Z1694" s="257">
        <f>altaz(J2000_Bas,$O1694,$M1694,DecLat,DecLong,1)</f>
        <v>-58.221843234977143</v>
      </c>
      <c r="AA1694" s="257">
        <f>altaz((J2000_Bas+(2*0.04167)),$O1694,$M1694,DecLat,DecLong,1)</f>
        <v>-35.770077673489709</v>
      </c>
      <c r="AB1694" s="257">
        <f>altaz((J2000_Bas+(4*0.04167)),$O1694,$M1694,DecLat,DecLong,1)</f>
        <v>-10.236598619159839</v>
      </c>
      <c r="AC1694" s="257">
        <f>altaz((J2000_Bas+(6*0.04167)),$O1694,$M1694,DecLat,DecLong,1)</f>
        <v>15.115168199438973</v>
      </c>
      <c r="AD1694" s="258">
        <f>1+ transit((J2000_Bas-1),$O1694,$M1694,DecLat,DecLong)/360 + (GMTOffset/24) + (IF(DST="Y", 1, 0)/24)</f>
        <v>1.2265226224526247</v>
      </c>
      <c r="AE1694" s="259">
        <f>DATE(2001,9,21)+(M1694/360)*365 - (360*((DecLong/360)- (GMTOffset/24) ))</f>
        <v>37245.272280092591</v>
      </c>
      <c r="AF1694" s="260">
        <f>IF(DecLat&gt;0,IF((90 - (DecLat-O1694))&gt;90, (90 - (O1694-DecLat)), (90 - (DecLat-O1694))),IF((90 + (DecLat-O1694))&gt;90, (90 + (O1694-DecLat)), (90 + (DecLat-O1694))))</f>
        <v>52.284166666666664</v>
      </c>
      <c r="AG1694" s="257">
        <f>angularseperation(MoonRA,MoonDec,$M1694,$O1694)</f>
        <v>143.26433658934425</v>
      </c>
      <c r="AH1694" s="261">
        <f ca="1">MIN(100,IF($O$5&gt;80,0+30*($AG1694/100),IF($O$5&gt;70,0+50*($AG1694/100),IF($O$5&gt;60,5+50*($AG1694/100),IF($O$5&gt;50,10+60*($AG1694/100),IF($O$5&gt;40,15+70*($AG1694/100),IF($O$5&gt;30,20+70*($AG1694/100),IF($O$5&gt;20,40+55*($AG1694/100),(80+(20-$O$5)+30*($AG1694/100))))))))))</f>
        <v>100</v>
      </c>
      <c r="AI1694" s="262">
        <v>1999</v>
      </c>
      <c r="AJ1694" s="262"/>
      <c r="AK1694" s="262">
        <v>66</v>
      </c>
      <c r="AL1694" s="263"/>
      <c r="AM1694" s="264"/>
      <c r="AN1694" s="263"/>
      <c r="AO1694" s="263"/>
      <c r="AP1694" s="265"/>
      <c r="AQ1694" s="266"/>
      <c r="AR1694" s="267"/>
      <c r="AS1694" s="263"/>
      <c r="AT1694" s="263"/>
      <c r="AU1694" s="263"/>
      <c r="AV1694" s="264"/>
      <c r="AW1694" s="263"/>
      <c r="AX1694" s="263"/>
      <c r="AY1694" s="263"/>
      <c r="AZ1694" s="263"/>
      <c r="BA1694" s="263"/>
      <c r="BB1694" s="263"/>
      <c r="BC1694" s="263"/>
      <c r="BD1694" s="264">
        <v>46</v>
      </c>
      <c r="BE1694" s="263">
        <v>33</v>
      </c>
      <c r="BF1694" s="263"/>
      <c r="BG1694" s="263"/>
      <c r="BH1694" s="263"/>
      <c r="BI1694" s="263"/>
      <c r="BJ1694" s="404">
        <f>altaz(J2000_Bas,$O1694,$M1694,DecLat,DecLong,2)</f>
        <v>44.6959798827613</v>
      </c>
      <c r="BK1694" s="378" t="s">
        <v>1694</v>
      </c>
      <c r="BL1694" s="379">
        <f>IF((2*G1694)/60&lt;0.2,0.2,(2*G1694)/60)</f>
        <v>0.2</v>
      </c>
      <c r="BM1694" s="380">
        <f>MOD((50000+AD1694-$B$3+(0/24)),1)</f>
        <v>0.4418895521594095</v>
      </c>
      <c r="BN1694" s="381"/>
      <c r="BO1694" s="382">
        <v>1687</v>
      </c>
    </row>
    <row r="1695" spans="1:67" s="24" customFormat="1" ht="15" customHeight="1" x14ac:dyDescent="0.25">
      <c r="A1695" s="287" t="s">
        <v>5604</v>
      </c>
      <c r="B1695" s="241" t="str">
        <f>HYPERLINK(CONCATENATE($AT$3,BK1695,$AU$3),$AV$3)</f>
        <v>S</v>
      </c>
      <c r="C1695" s="242" t="str">
        <f>HYPERLINK(CONCATENATE($AT$4,BK1695,$AU$4,BL1695),$AV$4)</f>
        <v>A</v>
      </c>
      <c r="D1695" s="243" t="s">
        <v>5187</v>
      </c>
      <c r="E1695" s="244" t="s">
        <v>5183</v>
      </c>
      <c r="F1695" s="269" t="s">
        <v>9158</v>
      </c>
      <c r="G1695" s="273">
        <v>1.7</v>
      </c>
      <c r="H1695" s="271">
        <v>158000</v>
      </c>
      <c r="I1695" s="246">
        <v>84</v>
      </c>
      <c r="J1695" s="246">
        <v>5</v>
      </c>
      <c r="K1695" s="247" t="s">
        <v>5608</v>
      </c>
      <c r="L1695" s="248">
        <v>53114</v>
      </c>
      <c r="M1695" s="249">
        <f>15*(LEFT(TEXT($L1695,"000000"),2)+(MID(TEXT($L1695,"000000"),3,2)/60)+(RIGHT(TEXT($L1695,"000000"),2)/3600))</f>
        <v>82.808333333333323</v>
      </c>
      <c r="N1695" s="250">
        <v>-710300</v>
      </c>
      <c r="O1695" s="251">
        <f>IF($N1695&gt;0,(LEFT(TEXT($N1695,"000000"),2)+(MID(TEXT($N1695,"000000"),3,2)/60)+(RIGHT(TEXT($N1695,"000000"),2)/3600)),-(MID(TEXT($N1695,"000000"),2,2)+(MID(TEXT($N1695,"000000"),4,2)/60)+(RIGHT(TEXT($N1695,"000000"),2)/3600)))</f>
        <v>-71.05</v>
      </c>
      <c r="P1695" s="252" t="s">
        <v>5606</v>
      </c>
      <c r="Q1695" s="253" t="s">
        <v>5605</v>
      </c>
      <c r="R1695" s="277" t="s">
        <v>3293</v>
      </c>
      <c r="S1695" s="272" t="s">
        <v>3293</v>
      </c>
      <c r="T1695" s="273"/>
      <c r="U1695" s="274"/>
      <c r="V1695" s="280"/>
      <c r="W1695" s="244"/>
      <c r="X1695" s="244"/>
      <c r="Y1695" s="362"/>
      <c r="Z1695" s="257">
        <f>altaz(J2000_Bas,$O1695,$M1695,DecLat,DecLong,1)</f>
        <v>-47.986293049393211</v>
      </c>
      <c r="AA1695" s="257">
        <f>altaz((J2000_Bas+(2*0.04167)),$O1695,$M1695,DecLat,DecLong,1)</f>
        <v>-40.81062511211853</v>
      </c>
      <c r="AB1695" s="257">
        <f>altaz((J2000_Bas+(4*0.04167)),$O1695,$M1695,DecLat,DecLong,1)</f>
        <v>-31.284954513879374</v>
      </c>
      <c r="AC1695" s="257">
        <f>altaz((J2000_Bas+(6*0.04167)),$O1695,$M1695,DecLat,DecLong,1)</f>
        <v>-22.108448097069964</v>
      </c>
      <c r="AD1695" s="258">
        <f>1+ transit((J2000_Bas-1),$O1695,$M1695,DecLat,DecLong)/360 + (GMTOffset/24) + (IF(DST="Y", 1, 0)/24)</f>
        <v>1.2229230857755413</v>
      </c>
      <c r="AE1695" s="259">
        <f>DATE(2001,9,21)+(M1695/360)*365 - (360*((DecLong/360)- (GMTOffset/24) ))</f>
        <v>37243.958449074074</v>
      </c>
      <c r="AF1695" s="260">
        <f>IF(DecLat&gt;0,IF((90 - (DecLat-O1695))&gt;90, (90 - (O1695-DecLat)), (90 - (DecLat-O1695))),IF((90 + (DecLat-O1695))&gt;90, (90 + (O1695-DecLat)), (90 + (DecLat-O1695))))</f>
        <v>-12.049999999999997</v>
      </c>
      <c r="AG1695" s="257">
        <f>angularseperation(MoonRA,MoonDec,$M1695,$O1695)</f>
        <v>81.398718098293415</v>
      </c>
      <c r="AH1695" s="261">
        <f ca="1">MIN(100,IF($O$5&gt;80,0+30*($AG1695/100),IF($O$5&gt;70,0+50*($AG1695/100),IF($O$5&gt;60,5+50*($AG1695/100),IF($O$5&gt;50,10+60*($AG1695/100),IF($O$5&gt;40,15+70*($AG1695/100),IF($O$5&gt;30,20+70*($AG1695/100),IF($O$5&gt;20,40+55*($AG1695/100),(80+(20-$O$5)+30*($AG1695/100))))))))))</f>
        <v>100</v>
      </c>
      <c r="AI1695" s="263">
        <v>2018</v>
      </c>
      <c r="AJ1695" s="263"/>
      <c r="AK1695" s="263"/>
      <c r="AL1695" s="263"/>
      <c r="AM1695" s="264"/>
      <c r="AN1695" s="263"/>
      <c r="AO1695" s="263"/>
      <c r="AP1695" s="265"/>
      <c r="AQ1695" s="265"/>
      <c r="AR1695" s="285"/>
      <c r="AS1695" s="263"/>
      <c r="AT1695" s="263"/>
      <c r="AU1695" s="263"/>
      <c r="AV1695" s="264"/>
      <c r="AW1695" s="263"/>
      <c r="AX1695" s="263"/>
      <c r="AY1695" s="263"/>
      <c r="AZ1695" s="263"/>
      <c r="BA1695" s="263"/>
      <c r="BB1695" s="263"/>
      <c r="BC1695" s="263"/>
      <c r="BD1695" s="264"/>
      <c r="BE1695" s="263"/>
      <c r="BF1695" s="263"/>
      <c r="BG1695" s="263"/>
      <c r="BH1695" s="263"/>
      <c r="BI1695" s="263"/>
      <c r="BJ1695" s="404">
        <f>altaz(J2000_Bas,$O1695,$M1695,DecLat,DecLong,2)</f>
        <v>168.98342535792813</v>
      </c>
      <c r="BK1695" s="378" t="s">
        <v>5607</v>
      </c>
      <c r="BL1695" s="379">
        <f>IF((2*G1695)/60&lt;0.2,0.2,(2*G1695)/60)</f>
        <v>0.2</v>
      </c>
      <c r="BM1695" s="380">
        <f>MOD((50000+AD1695-$B$3+(0/24)),1)</f>
        <v>0.43829001548147062</v>
      </c>
      <c r="BN1695" s="381"/>
      <c r="BO1695" s="382">
        <v>1688</v>
      </c>
    </row>
    <row r="1696" spans="1:67" s="24" customFormat="1" ht="15" customHeight="1" x14ac:dyDescent="0.25">
      <c r="A1696" s="288" t="s">
        <v>3802</v>
      </c>
      <c r="B1696" s="241" t="str">
        <f>HYPERLINK(CONCATENATE($AT$3,BK1696,$AU$3),$AV$3)</f>
        <v>S</v>
      </c>
      <c r="C1696" s="242" t="str">
        <f>HYPERLINK(CONCATENATE($AT$4,BK1696,$AU$4,BL1696),$AV$4)</f>
        <v>A</v>
      </c>
      <c r="D1696" s="243" t="s">
        <v>5187</v>
      </c>
      <c r="E1696" s="244" t="s">
        <v>5181</v>
      </c>
      <c r="F1696" s="293" t="s">
        <v>6212</v>
      </c>
      <c r="G1696" s="270">
        <v>0.5</v>
      </c>
      <c r="H1696" s="283">
        <v>8000</v>
      </c>
      <c r="I1696" s="279">
        <v>1.1000000000000001</v>
      </c>
      <c r="J1696" s="246">
        <v>2</v>
      </c>
      <c r="K1696" s="247" t="s">
        <v>6785</v>
      </c>
      <c r="L1696" s="248">
        <v>54206</v>
      </c>
      <c r="M1696" s="249">
        <f>15*(LEFT(TEXT($L1696,"000000"),2)+(MID(TEXT($L1696,"000000"),3,2)/60)+(RIGHT(TEXT($L1696,"000000"),2)/3600))</f>
        <v>85.525000000000006</v>
      </c>
      <c r="N1696" s="250">
        <v>90513</v>
      </c>
      <c r="O1696" s="251">
        <f>IF($N1696&gt;0,(LEFT(TEXT($N1696,"000000"),2)+(MID(TEXT($N1696,"000000"),3,2)/60)+(RIGHT(TEXT($N1696,"000000"),2)/3600)),-(MID(TEXT($N1696,"000000"),2,2)+(MID(TEXT($N1696,"000000"),4,2)/60)+(RIGHT(TEXT($N1696,"000000"),2)/3600)))</f>
        <v>9.0869444444444447</v>
      </c>
      <c r="P1696" s="252" t="s">
        <v>41</v>
      </c>
      <c r="Q1696" s="253" t="s">
        <v>7014</v>
      </c>
      <c r="R1696" s="277" t="s">
        <v>3293</v>
      </c>
      <c r="S1696" s="272" t="s">
        <v>3293</v>
      </c>
      <c r="T1696" s="273">
        <v>11.6</v>
      </c>
      <c r="U1696" s="274"/>
      <c r="V1696" s="280"/>
      <c r="W1696" s="244"/>
      <c r="X1696" s="244"/>
      <c r="Y1696" s="362"/>
      <c r="Z1696" s="257">
        <f>altaz(J2000_Bas,$O1696,$M1696,DecLat,DecLong,1)</f>
        <v>-45.363823532727494</v>
      </c>
      <c r="AA1696" s="257">
        <f>altaz((J2000_Bas+(2*0.04167)),$O1696,$M1696,DecLat,DecLong,1)</f>
        <v>-27.150685195464764</v>
      </c>
      <c r="AB1696" s="257">
        <f>altaz((J2000_Bas+(4*0.04167)),$O1696,$M1696,DecLat,DecLong,1)</f>
        <v>-3.2227679327352883</v>
      </c>
      <c r="AC1696" s="257">
        <f>altaz((J2000_Bas+(6*0.04167)),$O1696,$M1696,DecLat,DecLong,1)</f>
        <v>22.393035694026242</v>
      </c>
      <c r="AD1696" s="258">
        <f>1+ transit((J2000_Bas-1),$O1696,$M1696,DecLat,DecLong)/360 + (GMTOffset/24) + (IF(DST="Y", 1, 0)/24)</f>
        <v>1.2304693813172081</v>
      </c>
      <c r="AE1696" s="259">
        <f>DATE(2001,9,21)+(M1696/360)*365 - (360*((DecLong/360)- (GMTOffset/24) ))</f>
        <v>37246.712847222225</v>
      </c>
      <c r="AF1696" s="260">
        <f>IF(DecLat&gt;0,IF((90 - (DecLat-O1696))&gt;90, (90 - (O1696-DecLat)), (90 - (DecLat-O1696))),IF((90 + (DecLat-O1696))&gt;90, (90 + (O1696-DecLat)), (90 + (DecLat-O1696))))</f>
        <v>68.086944444444441</v>
      </c>
      <c r="AG1696" s="257">
        <f>angularseperation(MoonRA,MoonDec,$M1696,$O1696)</f>
        <v>156.32057840225846</v>
      </c>
      <c r="AH1696" s="261">
        <f ca="1">MIN(100,IF($O$5&gt;80,0+30*($AG1696/100),IF($O$5&gt;70,0+50*($AG1696/100),IF($O$5&gt;60,5+50*($AG1696/100),IF($O$5&gt;50,10+60*($AG1696/100),IF($O$5&gt;40,15+70*($AG1696/100),IF($O$5&gt;30,20+70*($AG1696/100),IF($O$5&gt;20,40+55*($AG1696/100),(80+(20-$O$5)+30*($AG1696/100))))))))))</f>
        <v>100</v>
      </c>
      <c r="AI1696" s="262">
        <v>2022</v>
      </c>
      <c r="AJ1696" s="262"/>
      <c r="AK1696" s="262">
        <v>67</v>
      </c>
      <c r="AL1696" s="263"/>
      <c r="AM1696" s="264"/>
      <c r="AN1696" s="263"/>
      <c r="AO1696" s="263"/>
      <c r="AP1696" s="265"/>
      <c r="AQ1696" s="266"/>
      <c r="AR1696" s="267"/>
      <c r="AS1696" s="263"/>
      <c r="AT1696" s="263">
        <v>9</v>
      </c>
      <c r="AU1696" s="263"/>
      <c r="AV1696" s="264"/>
      <c r="AW1696" s="263"/>
      <c r="AX1696" s="263"/>
      <c r="AY1696" s="263"/>
      <c r="AZ1696" s="263"/>
      <c r="BA1696" s="263"/>
      <c r="BB1696" s="263"/>
      <c r="BC1696" s="263"/>
      <c r="BD1696" s="264"/>
      <c r="BE1696" s="263"/>
      <c r="BF1696" s="263">
        <v>25</v>
      </c>
      <c r="BG1696" s="263"/>
      <c r="BH1696" s="263"/>
      <c r="BI1696" s="263"/>
      <c r="BJ1696" s="404">
        <f>altaz(J2000_Bas,$O1696,$M1696,DecLat,DecLong,2)</f>
        <v>29.450635489687059</v>
      </c>
      <c r="BK1696" s="378" t="s">
        <v>3802</v>
      </c>
      <c r="BL1696" s="379">
        <f>IF((2*G1696)/60&lt;0.2,0.2,(2*G1696)/60)</f>
        <v>0.2</v>
      </c>
      <c r="BM1696" s="380">
        <f>MOD((50000+AD1696-$B$3+(0/24)),1)</f>
        <v>0.44583631102432264</v>
      </c>
      <c r="BN1696" s="381"/>
      <c r="BO1696" s="382">
        <v>1689</v>
      </c>
    </row>
    <row r="1697" spans="1:67" s="24" customFormat="1" ht="15" customHeight="1" x14ac:dyDescent="0.25">
      <c r="A1697" s="288" t="s">
        <v>1695</v>
      </c>
      <c r="B1697" s="241" t="str">
        <f>HYPERLINK(CONCATENATE($AT$3,BK1697,$AU$3),$AV$3)</f>
        <v>S</v>
      </c>
      <c r="C1697" s="242" t="str">
        <f>HYPERLINK(CONCATENATE($AT$4,BK1697,$AU$4,BL1697),$AV$4)</f>
        <v>A</v>
      </c>
      <c r="D1697" s="243" t="s">
        <v>5187</v>
      </c>
      <c r="E1697" s="244" t="s">
        <v>5183</v>
      </c>
      <c r="F1697" s="269" t="s">
        <v>5180</v>
      </c>
      <c r="G1697" s="276">
        <v>30</v>
      </c>
      <c r="H1697" s="283">
        <v>1300</v>
      </c>
      <c r="I1697" s="246">
        <v>12</v>
      </c>
      <c r="J1697" s="246">
        <v>4</v>
      </c>
      <c r="K1697" s="247" t="s">
        <v>6786</v>
      </c>
      <c r="L1697" s="248">
        <v>54142</v>
      </c>
      <c r="M1697" s="249">
        <f>15*(LEFT(TEXT($L1697,"000000"),2)+(MID(TEXT($L1697,"000000"),3,2)/60)+(RIGHT(TEXT($L1697,"000000"),2)/3600))</f>
        <v>85.425000000000011</v>
      </c>
      <c r="N1697" s="250">
        <v>-15124</v>
      </c>
      <c r="O1697" s="251">
        <f>IF($N1697&gt;0,(LEFT(TEXT($N1697,"000000"),2)+(MID(TEXT($N1697,"000000"),3,2)/60)+(RIGHT(TEXT($N1697,"000000"),2)/3600)),-(MID(TEXT($N1697,"000000"),2,2)+(MID(TEXT($N1697,"000000"),4,2)/60)+(RIGHT(TEXT($N1697,"000000"),2)/3600)))</f>
        <v>-1.8566666666666667</v>
      </c>
      <c r="P1697" s="252" t="s">
        <v>41</v>
      </c>
      <c r="Q1697" s="253" t="s">
        <v>6988</v>
      </c>
      <c r="R1697" s="247" t="s">
        <v>3293</v>
      </c>
      <c r="S1697" s="272" t="s">
        <v>3293</v>
      </c>
      <c r="T1697" s="273"/>
      <c r="U1697" s="274"/>
      <c r="V1697" s="280"/>
      <c r="W1697" s="244"/>
      <c r="X1697" s="244"/>
      <c r="Y1697" s="362"/>
      <c r="Z1697" s="257">
        <f>altaz(J2000_Bas,$O1697,$M1697,DecLat,DecLong,1)</f>
        <v>-54.959149843339496</v>
      </c>
      <c r="AA1697" s="257">
        <f>altaz((J2000_Bas+(2*0.04167)),$O1697,$M1697,DecLat,DecLong,1)</f>
        <v>-34.038704313020034</v>
      </c>
      <c r="AB1697" s="257">
        <f>altaz((J2000_Bas+(4*0.04167)),$O1697,$M1697,DecLat,DecLong,1)</f>
        <v>-8.8846837967895116</v>
      </c>
      <c r="AC1697" s="257">
        <f>altaz((J2000_Bas+(6*0.04167)),$O1697,$M1697,DecLat,DecLong,1)</f>
        <v>16.736838883006477</v>
      </c>
      <c r="AD1697" s="258">
        <f>1+ transit((J2000_Bas-1),$O1697,$M1697,DecLat,DecLong)/360 + (GMTOffset/24) + (IF(DST="Y", 1, 0)/24)</f>
        <v>1.230191603567208</v>
      </c>
      <c r="AE1697" s="259">
        <f>DATE(2001,9,21)+(M1697/360)*365 - (360*((DecLong/360)- (GMTOffset/24) ))</f>
        <v>37246.611458333333</v>
      </c>
      <c r="AF1697" s="260">
        <f>IF(DecLat&gt;0,IF((90 - (DecLat-O1697))&gt;90, (90 - (O1697-DecLat)), (90 - (DecLat-O1697))),IF((90 + (DecLat-O1697))&gt;90, (90 + (O1697-DecLat)), (90 + (DecLat-O1697))))</f>
        <v>57.143333333333331</v>
      </c>
      <c r="AG1697" s="257">
        <f>angularseperation(MoonRA,MoonDec,$M1697,$O1697)</f>
        <v>147.12536178900896</v>
      </c>
      <c r="AH1697" s="261">
        <f ca="1">MIN(100,IF($O$5&gt;80,0+30*($AG1697/100),IF($O$5&gt;70,0+50*($AG1697/100),IF($O$5&gt;60,5+50*($AG1697/100),IF($O$5&gt;50,10+60*($AG1697/100),IF($O$5&gt;40,15+70*($AG1697/100),IF($O$5&gt;30,20+70*($AG1697/100),IF($O$5&gt;20,40+55*($AG1697/100),(80+(20-$O$5)+30*($AG1697/100))))))))))</f>
        <v>100</v>
      </c>
      <c r="AI1697" s="262">
        <v>2024</v>
      </c>
      <c r="AJ1697" s="262"/>
      <c r="AK1697" s="262">
        <v>68</v>
      </c>
      <c r="AL1697" s="263"/>
      <c r="AM1697" s="264"/>
      <c r="AN1697" s="263"/>
      <c r="AO1697" s="263"/>
      <c r="AP1697" s="265"/>
      <c r="AQ1697" s="266"/>
      <c r="AR1697" s="267"/>
      <c r="AS1697" s="263"/>
      <c r="AT1697" s="263"/>
      <c r="AU1697" s="263"/>
      <c r="AV1697" s="264"/>
      <c r="AW1697" s="263"/>
      <c r="AX1697" s="263"/>
      <c r="AY1697" s="263">
        <v>953</v>
      </c>
      <c r="AZ1697" s="263"/>
      <c r="BA1697" s="263"/>
      <c r="BB1697" s="263">
        <v>277</v>
      </c>
      <c r="BC1697" s="263"/>
      <c r="BD1697" s="264"/>
      <c r="BE1697" s="263">
        <v>34</v>
      </c>
      <c r="BF1697" s="263"/>
      <c r="BG1697" s="263"/>
      <c r="BH1697" s="263"/>
      <c r="BI1697" s="263"/>
      <c r="BJ1697" s="404">
        <f>altaz(J2000_Bas,$O1697,$M1697,DecLat,DecLong,2)</f>
        <v>37.72232961899487</v>
      </c>
      <c r="BK1697" s="378" t="s">
        <v>1695</v>
      </c>
      <c r="BL1697" s="379">
        <f>IF((2*G1697)/60&lt;0.2,0.2,(2*G1697)/60)</f>
        <v>1</v>
      </c>
      <c r="BM1697" s="380">
        <f>MOD((50000+AD1697-$B$3+(0/24)),1)</f>
        <v>0.44555853326892247</v>
      </c>
      <c r="BN1697" s="381"/>
      <c r="BO1697" s="382">
        <v>1690</v>
      </c>
    </row>
    <row r="1698" spans="1:67" s="24" customFormat="1" ht="15" customHeight="1" x14ac:dyDescent="0.25">
      <c r="A1698" s="287" t="s">
        <v>5609</v>
      </c>
      <c r="B1698" s="241" t="str">
        <f>HYPERLINK(CONCATENATE($AT$3,BK1698,$AU$3),$AV$3)</f>
        <v>S</v>
      </c>
      <c r="C1698" s="242" t="str">
        <f>HYPERLINK(CONCATENATE($AT$4,BK1698,$AU$4,BL1698),$AV$4)</f>
        <v>A</v>
      </c>
      <c r="D1698" s="243" t="s">
        <v>5187</v>
      </c>
      <c r="E1698" s="244" t="s">
        <v>5183</v>
      </c>
      <c r="F1698" s="269" t="s">
        <v>9158</v>
      </c>
      <c r="G1698" s="276">
        <v>10</v>
      </c>
      <c r="H1698" s="271" t="s">
        <v>6500</v>
      </c>
      <c r="I1698" s="244" t="s">
        <v>6500</v>
      </c>
      <c r="J1698" s="246">
        <v>4</v>
      </c>
      <c r="K1698" s="247" t="s">
        <v>5612</v>
      </c>
      <c r="L1698" s="248">
        <v>53535</v>
      </c>
      <c r="M1698" s="249">
        <f>15*(LEFT(TEXT($L1698,"000000"),2)+(MID(TEXT($L1698,"000000"),3,2)/60)+(RIGHT(TEXT($L1698,"000000"),2)/3600))</f>
        <v>83.895833333333329</v>
      </c>
      <c r="N1698" s="250">
        <v>-673240</v>
      </c>
      <c r="O1698" s="251">
        <f>IF($N1698&gt;0,(LEFT(TEXT($N1698,"000000"),2)+(MID(TEXT($N1698,"000000"),3,2)/60)+(RIGHT(TEXT($N1698,"000000"),2)/3600)),-(MID(TEXT($N1698,"000000"),2,2)+(MID(TEXT($N1698,"000000"),4,2)/60)+(RIGHT(TEXT($N1698,"000000"),2)/3600)))</f>
        <v>-67.544444444444437</v>
      </c>
      <c r="P1698" s="252" t="s">
        <v>1697</v>
      </c>
      <c r="Q1698" s="253" t="s">
        <v>5610</v>
      </c>
      <c r="R1698" s="277" t="s">
        <v>3293</v>
      </c>
      <c r="S1698" s="272" t="s">
        <v>3293</v>
      </c>
      <c r="T1698" s="273"/>
      <c r="U1698" s="274"/>
      <c r="V1698" s="280"/>
      <c r="W1698" s="244"/>
      <c r="X1698" s="244"/>
      <c r="Y1698" s="362"/>
      <c r="Z1698" s="257">
        <f>altaz(J2000_Bas,$O1698,$M1698,DecLat,DecLong,1)</f>
        <v>-51.198850551387274</v>
      </c>
      <c r="AA1698" s="257">
        <f>altaz((J2000_Bas+(2*0.04167)),$O1698,$M1698,DecLat,DecLong,1)</f>
        <v>-42.58603069110201</v>
      </c>
      <c r="AB1698" s="257">
        <f>altaz((J2000_Bas+(4*0.04167)),$O1698,$M1698,DecLat,DecLong,1)</f>
        <v>-31.331633364113202</v>
      </c>
      <c r="AC1698" s="257">
        <f>altaz((J2000_Bas+(6*0.04167)),$O1698,$M1698,DecLat,DecLong,1)</f>
        <v>-20.574743736642667</v>
      </c>
      <c r="AD1698" s="258">
        <f>1+ transit((J2000_Bas-1),$O1698,$M1698,DecLat,DecLong)/360 + (GMTOffset/24) + (IF(DST="Y", 1, 0)/24)</f>
        <v>1.2259439188067913</v>
      </c>
      <c r="AE1698" s="259">
        <f>DATE(2001,9,21)+(M1698/360)*365 - (360*((DecLong/360)- (GMTOffset/24) ))</f>
        <v>37245.061053240737</v>
      </c>
      <c r="AF1698" s="260">
        <f>IF(DecLat&gt;0,IF((90 - (DecLat-O1698))&gt;90, (90 - (O1698-DecLat)), (90 - (DecLat-O1698))),IF((90 + (DecLat-O1698))&gt;90, (90 + (O1698-DecLat)), (90 + (DecLat-O1698))))</f>
        <v>-8.5444444444444372</v>
      </c>
      <c r="AG1698" s="257">
        <f>angularseperation(MoonRA,MoonDec,$M1698,$O1698)</f>
        <v>84.735267534860682</v>
      </c>
      <c r="AH1698" s="261">
        <f ca="1">MIN(100,IF($O$5&gt;80,0+30*($AG1698/100),IF($O$5&gt;70,0+50*($AG1698/100),IF($O$5&gt;60,5+50*($AG1698/100),IF($O$5&gt;50,10+60*($AG1698/100),IF($O$5&gt;40,15+70*($AG1698/100),IF($O$5&gt;30,20+70*($AG1698/100),IF($O$5&gt;20,40+55*($AG1698/100),(80+(20-$O$5)+30*($AG1698/100))))))))))</f>
        <v>100</v>
      </c>
      <c r="AI1698" s="263">
        <v>2029</v>
      </c>
      <c r="AJ1698" s="263"/>
      <c r="AK1698" s="263"/>
      <c r="AL1698" s="263"/>
      <c r="AM1698" s="264"/>
      <c r="AN1698" s="263"/>
      <c r="AO1698" s="263"/>
      <c r="AP1698" s="265"/>
      <c r="AQ1698" s="265"/>
      <c r="AR1698" s="285"/>
      <c r="AS1698" s="263"/>
      <c r="AT1698" s="263"/>
      <c r="AU1698" s="263"/>
      <c r="AV1698" s="264"/>
      <c r="AW1698" s="263"/>
      <c r="AX1698" s="263"/>
      <c r="AY1698" s="263"/>
      <c r="AZ1698" s="263"/>
      <c r="BA1698" s="263"/>
      <c r="BB1698" s="263"/>
      <c r="BC1698" s="263"/>
      <c r="BD1698" s="264"/>
      <c r="BE1698" s="263"/>
      <c r="BF1698" s="263"/>
      <c r="BG1698" s="263"/>
      <c r="BH1698" s="263"/>
      <c r="BI1698" s="263"/>
      <c r="BJ1698" s="404">
        <f>altaz(J2000_Bas,$O1698,$M1698,DecLat,DecLong,2)</f>
        <v>166.73819505226984</v>
      </c>
      <c r="BK1698" s="378" t="s">
        <v>5611</v>
      </c>
      <c r="BL1698" s="379">
        <f>IF((2*G1698)/60&lt;0.2,0.2,(2*G1698)/60)</f>
        <v>0.33333333333333331</v>
      </c>
      <c r="BM1698" s="380">
        <f>MOD((50000+AD1698-$B$3+(0/24)),1)</f>
        <v>0.44131084850960178</v>
      </c>
      <c r="BN1698" s="381"/>
      <c r="BO1698" s="382">
        <v>1691</v>
      </c>
    </row>
    <row r="1699" spans="1:67" s="24" customFormat="1" ht="15" customHeight="1" x14ac:dyDescent="0.25">
      <c r="A1699" s="287" t="s">
        <v>5621</v>
      </c>
      <c r="B1699" s="241" t="str">
        <f>HYPERLINK(CONCATENATE($AT$3,BK1699,$AU$3),$AV$3)</f>
        <v>S</v>
      </c>
      <c r="C1699" s="242" t="str">
        <f>HYPERLINK(CONCATENATE($AT$4,BK1699,$AU$4,BL1699),$AV$4)</f>
        <v>A</v>
      </c>
      <c r="D1699" s="243" t="s">
        <v>5595</v>
      </c>
      <c r="E1699" s="244" t="s">
        <v>5183</v>
      </c>
      <c r="F1699" s="269" t="s">
        <v>9158</v>
      </c>
      <c r="G1699" s="276">
        <v>15</v>
      </c>
      <c r="H1699" s="271">
        <v>160000</v>
      </c>
      <c r="I1699" s="246">
        <v>700</v>
      </c>
      <c r="J1699" s="246">
        <v>5</v>
      </c>
      <c r="K1699" s="247" t="s">
        <v>5620</v>
      </c>
      <c r="L1699" s="248">
        <v>53717</v>
      </c>
      <c r="M1699" s="249">
        <f>15*(LEFT(TEXT($L1699,"000000"),2)+(MID(TEXT($L1699,"000000"),3,2)/60)+(RIGHT(TEXT($L1699,"000000"),2)/3600))</f>
        <v>84.32083333333334</v>
      </c>
      <c r="N1699" s="250">
        <v>-691325</v>
      </c>
      <c r="O1699" s="251">
        <f>IF($N1699&gt;0,(LEFT(TEXT($N1699,"000000"),2)+(MID(TEXT($N1699,"000000"),3,2)/60)+(RIGHT(TEXT($N1699,"000000"),2)/3600)),-(MID(TEXT($N1699,"000000"),2,2)+(MID(TEXT($N1699,"000000"),4,2)/60)+(RIGHT(TEXT($N1699,"000000"),2)/3600)))</f>
        <v>-69.223611111111111</v>
      </c>
      <c r="P1699" s="252" t="s">
        <v>1697</v>
      </c>
      <c r="Q1699" s="253" t="s">
        <v>5619</v>
      </c>
      <c r="R1699" s="277" t="s">
        <v>7415</v>
      </c>
      <c r="S1699" s="272" t="s">
        <v>3293</v>
      </c>
      <c r="T1699" s="273"/>
      <c r="U1699" s="274"/>
      <c r="V1699" s="280"/>
      <c r="W1699" s="244"/>
      <c r="X1699" s="244"/>
      <c r="Y1699" s="362"/>
      <c r="Z1699" s="257">
        <f>altaz(J2000_Bas,$O1699,$M1699,DecLat,DecLong,1)</f>
        <v>-49.826105708561862</v>
      </c>
      <c r="AA1699" s="257">
        <f>altaz((J2000_Bas+(2*0.04167)),$O1699,$M1699,DecLat,DecLong,1)</f>
        <v>-42.045240521749761</v>
      </c>
      <c r="AB1699" s="257">
        <f>altaz((J2000_Bas+(4*0.04167)),$O1699,$M1699,DecLat,DecLong,1)</f>
        <v>-31.644417415362302</v>
      </c>
      <c r="AC1699" s="257">
        <f>altaz((J2000_Bas+(6*0.04167)),$O1699,$M1699,DecLat,DecLong,1)</f>
        <v>-21.59002187491792</v>
      </c>
      <c r="AD1699" s="258">
        <f>1+ transit((J2000_Bas-1),$O1699,$M1699,DecLat,DecLong)/360 + (GMTOffset/24) + (IF(DST="Y", 1, 0)/24)</f>
        <v>1.2271244742442915</v>
      </c>
      <c r="AE1699" s="259">
        <f>DATE(2001,9,21)+(M1699/360)*365 - (360*((DecLong/360)- (GMTOffset/24) ))</f>
        <v>37245.491956018515</v>
      </c>
      <c r="AF1699" s="260">
        <f>IF(DecLat&gt;0,IF((90 - (DecLat-O1699))&gt;90, (90 - (O1699-DecLat)), (90 - (DecLat-O1699))),IF((90 + (DecLat-O1699))&gt;90, (90 + (O1699-DecLat)), (90 + (DecLat-O1699))))</f>
        <v>-10.223611111111111</v>
      </c>
      <c r="AG1699" s="257">
        <f>angularseperation(MoonRA,MoonDec,$M1699,$O1699)</f>
        <v>83.065058728405717</v>
      </c>
      <c r="AH1699" s="261">
        <f ca="1">MIN(100,IF($O$5&gt;80,0+30*($AG1699/100),IF($O$5&gt;70,0+50*($AG1699/100),IF($O$5&gt;60,5+50*($AG1699/100),IF($O$5&gt;50,10+60*($AG1699/100),IF($O$5&gt;40,15+70*($AG1699/100),IF($O$5&gt;30,20+70*($AG1699/100),IF($O$5&gt;20,40+55*($AG1699/100),(80+(20-$O$5)+30*($AG1699/100))))))))))</f>
        <v>100</v>
      </c>
      <c r="AI1699" s="263">
        <v>2070</v>
      </c>
      <c r="AJ1699" s="263"/>
      <c r="AK1699" s="263"/>
      <c r="AL1699" s="263"/>
      <c r="AM1699" s="264">
        <v>103</v>
      </c>
      <c r="AN1699" s="263"/>
      <c r="AO1699" s="263"/>
      <c r="AP1699" s="265"/>
      <c r="AQ1699" s="265"/>
      <c r="AR1699" s="285"/>
      <c r="AS1699" s="263"/>
      <c r="AT1699" s="263"/>
      <c r="AU1699" s="263"/>
      <c r="AV1699" s="264"/>
      <c r="AW1699" s="263"/>
      <c r="AX1699" s="263"/>
      <c r="AY1699" s="263"/>
      <c r="AZ1699" s="263"/>
      <c r="BA1699" s="263"/>
      <c r="BB1699" s="263"/>
      <c r="BC1699" s="263"/>
      <c r="BD1699" s="264"/>
      <c r="BE1699" s="263"/>
      <c r="BF1699" s="263"/>
      <c r="BG1699" s="263"/>
      <c r="BH1699" s="263"/>
      <c r="BI1699" s="263"/>
      <c r="BJ1699" s="404">
        <f>altaz(J2000_Bas,$O1699,$M1699,DecLat,DecLong,2)</f>
        <v>168.27891788187196</v>
      </c>
      <c r="BK1699" s="378" t="s">
        <v>1696</v>
      </c>
      <c r="BL1699" s="379">
        <f>IF((2*G1699)/60&lt;0.2,0.2,(2*G1699)/60)</f>
        <v>0.5</v>
      </c>
      <c r="BM1699" s="380">
        <f>MOD((50000+AD1699-$B$3+(0/24)),1)</f>
        <v>0.44249140394822462</v>
      </c>
      <c r="BN1699" s="381"/>
      <c r="BO1699" s="382">
        <v>1692</v>
      </c>
    </row>
    <row r="1700" spans="1:67" s="24" customFormat="1" ht="15" customHeight="1" x14ac:dyDescent="0.25">
      <c r="A1700" s="288" t="s">
        <v>5429</v>
      </c>
      <c r="B1700" s="241" t="str">
        <f>HYPERLINK(CONCATENATE($AT$3,BK1700,$AU$3),$AV$3)</f>
        <v>S</v>
      </c>
      <c r="C1700" s="242" t="str">
        <f>HYPERLINK(CONCATENATE($AT$4,BK1700,$AU$4,BL1700),$AV$4)</f>
        <v>A</v>
      </c>
      <c r="D1700" s="243" t="s">
        <v>5187</v>
      </c>
      <c r="E1700" s="244" t="s">
        <v>5186</v>
      </c>
      <c r="F1700" s="269"/>
      <c r="G1700" s="273">
        <v>4</v>
      </c>
      <c r="H1700" s="283">
        <v>1600</v>
      </c>
      <c r="I1700" s="279">
        <v>2</v>
      </c>
      <c r="J1700" s="246">
        <v>3</v>
      </c>
      <c r="K1700" s="247" t="s">
        <v>5430</v>
      </c>
      <c r="L1700" s="248">
        <v>54710</v>
      </c>
      <c r="M1700" s="249">
        <f>15*(LEFT(TEXT($L1700,"000000"),2)+(MID(TEXT($L1700,"000000"),3,2)/60)+(RIGHT(TEXT($L1700,"000000"),2)/3600))</f>
        <v>86.791666666666671</v>
      </c>
      <c r="N1700" s="250">
        <v>1800</v>
      </c>
      <c r="O1700" s="251">
        <f>IF($N1700&gt;0,(LEFT(TEXT($N1700,"000000"),2)+(MID(TEXT($N1700,"000000"),3,2)/60)+(RIGHT(TEXT($N1700,"000000"),2)/3600)),-(MID(TEXT($N1700,"000000"),2,2)+(MID(TEXT($N1700,"000000"),4,2)/60)+(RIGHT(TEXT($N1700,"000000"),2)/3600)))</f>
        <v>0.3</v>
      </c>
      <c r="P1700" s="252" t="s">
        <v>41</v>
      </c>
      <c r="Q1700" s="253"/>
      <c r="R1700" s="247"/>
      <c r="S1700" s="272" t="s">
        <v>5278</v>
      </c>
      <c r="T1700" s="273"/>
      <c r="U1700" s="274"/>
      <c r="V1700" s="280"/>
      <c r="W1700" s="244"/>
      <c r="X1700" s="244"/>
      <c r="Y1700" s="362"/>
      <c r="Z1700" s="257">
        <f>altaz(J2000_Bas,$O1700,$M1700,DecLat,DecLong,1)</f>
        <v>-53.77735156075385</v>
      </c>
      <c r="AA1700" s="257">
        <f>altaz((J2000_Bas+(2*0.04167)),$O1700,$M1700,DecLat,DecLong,1)</f>
        <v>-33.800580541827991</v>
      </c>
      <c r="AB1700" s="257">
        <f>altaz((J2000_Bas+(4*0.04167)),$O1700,$M1700,DecLat,DecLong,1)</f>
        <v>-8.9325475148275508</v>
      </c>
      <c r="AC1700" s="257">
        <f>altaz((J2000_Bas+(6*0.04167)),$O1700,$M1700,DecLat,DecLong,1)</f>
        <v>16.757507657678879</v>
      </c>
      <c r="AD1700" s="258">
        <f>1+ transit((J2000_Bas-1),$O1700,$M1700,DecLat,DecLong)/360 + (GMTOffset/24) + (IF(DST="Y", 1, 0)/24)</f>
        <v>1.2339878994838747</v>
      </c>
      <c r="AE1700" s="259">
        <f>DATE(2001,9,21)+(M1700/360)*365 - (360*((DecLong/360)- (GMTOffset/24) ))</f>
        <v>37247.997106481482</v>
      </c>
      <c r="AF1700" s="260">
        <f>IF(DecLat&gt;0,IF((90 - (DecLat-O1700))&gt;90, (90 - (O1700-DecLat)), (90 - (DecLat-O1700))),IF((90 + (DecLat-O1700))&gt;90, (90 + (O1700-DecLat)), (90 + (DecLat-O1700))))</f>
        <v>59.3</v>
      </c>
      <c r="AG1700" s="257">
        <f>angularseperation(MoonRA,MoonDec,$M1700,$O1700)</f>
        <v>148.35019174630131</v>
      </c>
      <c r="AH1700" s="261">
        <f ca="1">MIN(100,IF($O$5&gt;80,0+30*($AG1700/100),IF($O$5&gt;70,0+50*($AG1700/100),IF($O$5&gt;60,5+50*($AG1700/100),IF($O$5&gt;50,10+60*($AG1700/100),IF($O$5&gt;40,15+70*($AG1700/100),IF($O$5&gt;30,20+70*($AG1700/100),IF($O$5&gt;20,40+55*($AG1700/100),(80+(20-$O$5)+30*($AG1700/100))))))))))</f>
        <v>100</v>
      </c>
      <c r="AI1700" s="262">
        <v>2068</v>
      </c>
      <c r="AJ1700" s="262"/>
      <c r="AK1700" s="262"/>
      <c r="AL1700" s="263"/>
      <c r="AM1700" s="264"/>
      <c r="AN1700" s="263"/>
      <c r="AO1700" s="263"/>
      <c r="AP1700" s="265"/>
      <c r="AQ1700" s="266"/>
      <c r="AR1700" s="267"/>
      <c r="AS1700" s="263"/>
      <c r="AT1700" s="263"/>
      <c r="AU1700" s="263"/>
      <c r="AV1700" s="264"/>
      <c r="AW1700" s="263"/>
      <c r="AX1700" s="263"/>
      <c r="AY1700" s="263"/>
      <c r="AZ1700" s="263"/>
      <c r="BA1700" s="263"/>
      <c r="BB1700" s="263"/>
      <c r="BC1700" s="263"/>
      <c r="BD1700" s="264"/>
      <c r="BE1700" s="263"/>
      <c r="BF1700" s="263"/>
      <c r="BG1700" s="263"/>
      <c r="BH1700" s="263"/>
      <c r="BI1700" s="263"/>
      <c r="BJ1700" s="404">
        <f>altaz(J2000_Bas,$O1700,$M1700,DecLat,DecLong,2)</f>
        <v>33.836647380854117</v>
      </c>
      <c r="BK1700" s="378" t="s">
        <v>5429</v>
      </c>
      <c r="BL1700" s="379">
        <f>IF((2*G1700)/60&lt;0.2,0.2,(2*G1700)/60)</f>
        <v>0.2</v>
      </c>
      <c r="BM1700" s="380">
        <f>MOD((50000+AD1700-$B$3+(0/24)),1)</f>
        <v>0.44935482918663183</v>
      </c>
      <c r="BN1700" s="381"/>
      <c r="BO1700" s="382">
        <v>1693</v>
      </c>
    </row>
    <row r="1701" spans="1:67" s="24" customFormat="1" ht="15" customHeight="1" x14ac:dyDescent="0.25">
      <c r="A1701" s="288" t="s">
        <v>1698</v>
      </c>
      <c r="B1701" s="241" t="str">
        <f>HYPERLINK(CONCATENATE($AT$3,BK1701,$AU$3),$AV$3)</f>
        <v>S</v>
      </c>
      <c r="C1701" s="242" t="str">
        <f>HYPERLINK(CONCATENATE($AT$4,BK1701,$AU$4,BL1701),$AV$4)</f>
        <v>A</v>
      </c>
      <c r="D1701" s="243" t="s">
        <v>5638</v>
      </c>
      <c r="E1701" s="244" t="s">
        <v>5192</v>
      </c>
      <c r="F1701" s="269" t="s">
        <v>8693</v>
      </c>
      <c r="G1701" s="273">
        <v>4</v>
      </c>
      <c r="H1701" s="283">
        <v>40</v>
      </c>
      <c r="I1701" s="246">
        <v>50</v>
      </c>
      <c r="J1701" s="246">
        <v>2</v>
      </c>
      <c r="K1701" s="247" t="s">
        <v>6787</v>
      </c>
      <c r="L1701" s="248">
        <v>54702</v>
      </c>
      <c r="M1701" s="249">
        <f>15*(LEFT(TEXT($L1701,"000000"),2)+(MID(TEXT($L1701,"000000"),3,2)/60)+(RIGHT(TEXT($L1701,"000000"),2)/3600))</f>
        <v>86.758333333333326</v>
      </c>
      <c r="N1701" s="250">
        <v>-341504</v>
      </c>
      <c r="O1701" s="251">
        <f>IF($N1701&gt;0,(LEFT(TEXT($N1701,"000000"),2)+(MID(TEXT($N1701,"000000"),3,2)/60)+(RIGHT(TEXT($N1701,"000000"),2)/3600)),-(MID(TEXT($N1701,"000000"),2,2)+(MID(TEXT($N1701,"000000"),4,2)/60)+(RIGHT(TEXT($N1701,"000000"),2)/3600)))</f>
        <v>-34.251111111111108</v>
      </c>
      <c r="P1701" s="252" t="s">
        <v>1678</v>
      </c>
      <c r="Q1701" s="253"/>
      <c r="R1701" s="247" t="s">
        <v>3293</v>
      </c>
      <c r="S1701" s="272" t="s">
        <v>3293</v>
      </c>
      <c r="T1701" s="273">
        <v>11.2</v>
      </c>
      <c r="U1701" s="289">
        <v>22.59</v>
      </c>
      <c r="V1701" s="280">
        <v>70</v>
      </c>
      <c r="W1701" s="244"/>
      <c r="X1701" s="244"/>
      <c r="Y1701" s="362"/>
      <c r="Z1701" s="257">
        <f>altaz(J2000_Bas,$O1701,$M1701,DecLat,DecLong,1)</f>
        <v>-73.496017044115106</v>
      </c>
      <c r="AA1701" s="257">
        <f>altaz((J2000_Bas+(2*0.04167)),$O1701,$M1701,DecLat,DecLong,1)</f>
        <v>-48.73144061280594</v>
      </c>
      <c r="AB1701" s="257">
        <f>altaz((J2000_Bas+(4*0.04167)),$O1701,$M1701,DecLat,DecLong,1)</f>
        <v>-24.837372305673878</v>
      </c>
      <c r="AC1701" s="257">
        <f>altaz((J2000_Bas+(6*0.04167)),$O1701,$M1701,DecLat,DecLong,1)</f>
        <v>-3.0605221998576511</v>
      </c>
      <c r="AD1701" s="258">
        <f>1+ transit((J2000_Bas-1),$O1701,$M1701,DecLat,DecLong)/360 + (GMTOffset/24) + (IF(DST="Y", 1, 0)/24)</f>
        <v>1.2338953069005412</v>
      </c>
      <c r="AE1701" s="259">
        <f>DATE(2001,9,21)+(M1701/360)*365 - (360*((DecLong/360)- (GMTOffset/24) ))</f>
        <v>37247.963310185187</v>
      </c>
      <c r="AF1701" s="260">
        <f>IF(DecLat&gt;0,IF((90 - (DecLat-O1701))&gt;90, (90 - (O1701-DecLat)), (90 - (DecLat-O1701))),IF((90 + (DecLat-O1701))&gt;90, (90 + (O1701-DecLat)), (90 + (DecLat-O1701))))</f>
        <v>24.748888888888899</v>
      </c>
      <c r="AG1701" s="257">
        <f>angularseperation(MoonRA,MoonDec,$M1701,$O1701)</f>
        <v>116.45915159868035</v>
      </c>
      <c r="AH1701" s="261">
        <f ca="1">MIN(100,IF($O$5&gt;80,0+30*($AG1701/100),IF($O$5&gt;70,0+50*($AG1701/100),IF($O$5&gt;60,5+50*($AG1701/100),IF($O$5&gt;50,10+60*($AG1701/100),IF($O$5&gt;40,15+70*($AG1701/100),IF($O$5&gt;30,20+70*($AG1701/100),IF($O$5&gt;20,40+55*($AG1701/100),(80+(20-$O$5)+30*($AG1701/100))))))))))</f>
        <v>100</v>
      </c>
      <c r="AI1701" s="262">
        <v>2090</v>
      </c>
      <c r="AJ1701" s="262"/>
      <c r="AK1701" s="262"/>
      <c r="AL1701" s="263"/>
      <c r="AM1701" s="264"/>
      <c r="AN1701" s="263"/>
      <c r="AO1701" s="263"/>
      <c r="AP1701" s="265"/>
      <c r="AQ1701" s="266"/>
      <c r="AR1701" s="267">
        <v>17819</v>
      </c>
      <c r="AS1701" s="263"/>
      <c r="AT1701" s="263"/>
      <c r="AU1701" s="263"/>
      <c r="AV1701" s="264"/>
      <c r="AW1701" s="263"/>
      <c r="AX1701" s="263"/>
      <c r="AY1701" s="263"/>
      <c r="AZ1701" s="263"/>
      <c r="BA1701" s="263"/>
      <c r="BB1701" s="263"/>
      <c r="BC1701" s="263"/>
      <c r="BD1701" s="264"/>
      <c r="BE1701" s="263"/>
      <c r="BF1701" s="263"/>
      <c r="BG1701" s="263"/>
      <c r="BH1701" s="263"/>
      <c r="BI1701" s="263"/>
      <c r="BJ1701" s="404">
        <f>altaz(J2000_Bas,$O1701,$M1701,DecLat,DecLong,2)</f>
        <v>106.46149387671893</v>
      </c>
      <c r="BK1701" s="378" t="s">
        <v>1698</v>
      </c>
      <c r="BL1701" s="379">
        <f>IF((2*G1701)/60&lt;0.2,0.2,(2*G1701)/60)</f>
        <v>0.2</v>
      </c>
      <c r="BM1701" s="380">
        <f>MOD((50000+AD1701-$B$3+(0/24)),1)</f>
        <v>0.44926223660149844</v>
      </c>
      <c r="BN1701" s="381"/>
      <c r="BO1701" s="382">
        <v>1694</v>
      </c>
    </row>
    <row r="1702" spans="1:67" s="24" customFormat="1" ht="15" customHeight="1" x14ac:dyDescent="0.25">
      <c r="A1702" s="287" t="s">
        <v>2966</v>
      </c>
      <c r="B1702" s="241" t="str">
        <f>HYPERLINK(CONCATENATE($AT$3,BK1702,$AU$3),$AV$3)</f>
        <v>S</v>
      </c>
      <c r="C1702" s="242" t="str">
        <f>HYPERLINK(CONCATENATE($AT$4,BK1702,$AU$4,BL1702),$AV$4)</f>
        <v>A</v>
      </c>
      <c r="D1702" s="243" t="s">
        <v>5335</v>
      </c>
      <c r="E1702" s="244" t="s">
        <v>5185</v>
      </c>
      <c r="F1702" s="269" t="s">
        <v>6788</v>
      </c>
      <c r="G1702" s="273">
        <v>6</v>
      </c>
      <c r="H1702" s="283">
        <v>4250</v>
      </c>
      <c r="I1702" s="279">
        <v>8</v>
      </c>
      <c r="J1702" s="246">
        <v>2</v>
      </c>
      <c r="K1702" s="247" t="s">
        <v>6789</v>
      </c>
      <c r="L1702" s="248">
        <v>60300</v>
      </c>
      <c r="M1702" s="249">
        <f>15*(LEFT(TEXT($L1702,"000000"),2)+(MID(TEXT($L1702,"000000"),3,2)/60)+(RIGHT(TEXT($L1702,"000000"),2)/3600))</f>
        <v>90.75</v>
      </c>
      <c r="N1702" s="250">
        <v>495400</v>
      </c>
      <c r="O1702" s="251">
        <f>IF($N1702&gt;0,(LEFT(TEXT($N1702,"000000"),2)+(MID(TEXT($N1702,"000000"),3,2)/60)+(RIGHT(TEXT($N1702,"000000"),2)/3600)),-(MID(TEXT($N1702,"000000"),2,2)+(MID(TEXT($N1702,"000000"),4,2)/60)+(RIGHT(TEXT($N1702,"000000"),2)/3600)))</f>
        <v>49.9</v>
      </c>
      <c r="P1702" s="252" t="s">
        <v>62</v>
      </c>
      <c r="Q1702" s="253"/>
      <c r="R1702" s="277" t="s">
        <v>3293</v>
      </c>
      <c r="S1702" s="272" t="s">
        <v>3293</v>
      </c>
      <c r="T1702" s="273">
        <v>10.199999999999999</v>
      </c>
      <c r="U1702" s="274"/>
      <c r="V1702" s="280"/>
      <c r="W1702" s="244"/>
      <c r="X1702" s="244"/>
      <c r="Y1702" s="362"/>
      <c r="Z1702" s="257">
        <f>altaz(J2000_Bas,$O1702,$M1702,DecLat,DecLong,1)</f>
        <v>-7.9731904856707159</v>
      </c>
      <c r="AA1702" s="257">
        <f>altaz((J2000_Bas+(2*0.04167)),$O1702,$M1702,DecLat,DecLong,1)</f>
        <v>0.33568878080491465</v>
      </c>
      <c r="AB1702" s="257">
        <f>altaz((J2000_Bas+(4*0.04167)),$O1702,$M1702,DecLat,DecLong,1)</f>
        <v>14.773181211293156</v>
      </c>
      <c r="AC1702" s="257">
        <f>altaz((J2000_Bas+(6*0.04167)),$O1702,$M1702,DecLat,DecLong,1)</f>
        <v>32.790570819241196</v>
      </c>
      <c r="AD1702" s="258">
        <f>1+ transit((J2000_Bas-1),$O1702,$M1702,DecLat,DecLong)/360 + (GMTOffset/24) + (IF(DST="Y", 1, 0)/24)</f>
        <v>1.244983268754708</v>
      </c>
      <c r="AE1702" s="259">
        <f>DATE(2001,9,21)+(M1702/360)*365 - (360*((DecLong/360)- (GMTOffset/24) ))</f>
        <v>37252.010416666664</v>
      </c>
      <c r="AF1702" s="260">
        <f>IF(DecLat&gt;0,IF((90 - (DecLat-O1702))&gt;90, (90 - (O1702-DecLat)), (90 - (DecLat-O1702))),IF((90 + (DecLat-O1702))&gt;90, (90 + (O1702-DecLat)), (90 + (DecLat-O1702))))</f>
        <v>71.099999999999994</v>
      </c>
      <c r="AG1702" s="257">
        <f>angularseperation(MoonRA,MoonDec,$M1702,$O1702)</f>
        <v>151.86283148800595</v>
      </c>
      <c r="AH1702" s="261">
        <f ca="1">MIN(100,IF($O$5&gt;80,0+30*($AG1702/100),IF($O$5&gt;70,0+50*($AG1702/100),IF($O$5&gt;60,5+50*($AG1702/100),IF($O$5&gt;50,10+60*($AG1702/100),IF($O$5&gt;40,15+70*($AG1702/100),IF($O$5&gt;30,20+70*($AG1702/100),IF($O$5&gt;20,40+55*($AG1702/100),(80+(20-$O$5)+30*($AG1702/100))))))))))</f>
        <v>100</v>
      </c>
      <c r="AI1702" s="262">
        <v>2126</v>
      </c>
      <c r="AJ1702" s="263"/>
      <c r="AK1702" s="263">
        <v>69</v>
      </c>
      <c r="AL1702" s="263"/>
      <c r="AM1702" s="264"/>
      <c r="AN1702" s="263"/>
      <c r="AO1702" s="263"/>
      <c r="AP1702" s="265"/>
      <c r="AQ1702" s="265"/>
      <c r="AR1702" s="285"/>
      <c r="AS1702" s="263"/>
      <c r="AT1702" s="263"/>
      <c r="AU1702" s="263"/>
      <c r="AV1702" s="264"/>
      <c r="AW1702" s="263"/>
      <c r="AX1702" s="263"/>
      <c r="AY1702" s="263"/>
      <c r="AZ1702" s="263"/>
      <c r="BA1702" s="263"/>
      <c r="BB1702" s="263"/>
      <c r="BC1702" s="263"/>
      <c r="BD1702" s="264"/>
      <c r="BE1702" s="263"/>
      <c r="BF1702" s="263"/>
      <c r="BG1702" s="263"/>
      <c r="BH1702" s="263"/>
      <c r="BI1702" s="263"/>
      <c r="BJ1702" s="404">
        <f>altaz(J2000_Bas,$O1702,$M1702,DecLat,DecLong,2)</f>
        <v>9.8521997871863416</v>
      </c>
      <c r="BK1702" s="378" t="s">
        <v>2966</v>
      </c>
      <c r="BL1702" s="379">
        <f>IF((2*G1702)/60&lt;0.2,0.2,(2*G1702)/60)</f>
        <v>0.2</v>
      </c>
      <c r="BM1702" s="380">
        <f>MOD((50000+AD1702-$B$3+(0/24)),1)</f>
        <v>0.46035019846021896</v>
      </c>
      <c r="BN1702" s="381"/>
      <c r="BO1702" s="382">
        <v>1695</v>
      </c>
    </row>
    <row r="1703" spans="1:67" s="24" customFormat="1" ht="15" customHeight="1" x14ac:dyDescent="0.25">
      <c r="A1703" s="287" t="s">
        <v>2967</v>
      </c>
      <c r="B1703" s="241" t="str">
        <f>HYPERLINK(CONCATENATE($AT$3,BK1703,$AU$3),$AV$3)</f>
        <v>S</v>
      </c>
      <c r="C1703" s="242" t="str">
        <f>HYPERLINK(CONCATENATE($AT$4,BK1703,$AU$4,BL1703),$AV$4)</f>
        <v>A</v>
      </c>
      <c r="D1703" s="243" t="s">
        <v>5335</v>
      </c>
      <c r="E1703" s="244" t="s">
        <v>5185</v>
      </c>
      <c r="F1703" s="269" t="s">
        <v>6790</v>
      </c>
      <c r="G1703" s="273">
        <v>5</v>
      </c>
      <c r="H1703" s="283">
        <v>6500</v>
      </c>
      <c r="I1703" s="244">
        <v>10</v>
      </c>
      <c r="J1703" s="246">
        <v>3</v>
      </c>
      <c r="K1703" s="247" t="s">
        <v>6791</v>
      </c>
      <c r="L1703" s="248">
        <v>60100</v>
      </c>
      <c r="M1703" s="249">
        <f>15*(LEFT(TEXT($L1703,"000000"),2)+(MID(TEXT($L1703,"000000"),3,2)/60)+(RIGHT(TEXT($L1703,"000000"),2)/3600))</f>
        <v>90.25</v>
      </c>
      <c r="N1703" s="250">
        <v>231800</v>
      </c>
      <c r="O1703" s="251">
        <f>IF($N1703&gt;0,(LEFT(TEXT($N1703,"000000"),2)+(MID(TEXT($N1703,"000000"),3,2)/60)+(RIGHT(TEXT($N1703,"000000"),2)/3600)),-(MID(TEXT($N1703,"000000"),2,2)+(MID(TEXT($N1703,"000000"),4,2)/60)+(RIGHT(TEXT($N1703,"000000"),2)/3600)))</f>
        <v>23.3</v>
      </c>
      <c r="P1703" s="252" t="s">
        <v>85</v>
      </c>
      <c r="Q1703" s="253"/>
      <c r="R1703" s="277" t="s">
        <v>3293</v>
      </c>
      <c r="S1703" s="272" t="s">
        <v>3293</v>
      </c>
      <c r="T1703" s="273">
        <v>6.7</v>
      </c>
      <c r="U1703" s="274"/>
      <c r="V1703" s="280"/>
      <c r="W1703" s="244"/>
      <c r="X1703" s="244"/>
      <c r="Y1703" s="362"/>
      <c r="Z1703" s="257">
        <f>altaz(J2000_Bas,$O1703,$M1703,DecLat,DecLong,1)</f>
        <v>-33.640064445479211</v>
      </c>
      <c r="AA1703" s="257">
        <f>altaz((J2000_Bas+(2*0.04167)),$O1703,$M1703,DecLat,DecLong,1)</f>
        <v>-20.167418977906333</v>
      </c>
      <c r="AB1703" s="257">
        <f>altaz((J2000_Bas+(4*0.04167)),$O1703,$M1703,DecLat,DecLong,1)</f>
        <v>0.70025744094434572</v>
      </c>
      <c r="AC1703" s="257">
        <f>altaz((J2000_Bas+(6*0.04167)),$O1703,$M1703,DecLat,DecLong,1)</f>
        <v>24.885264825671605</v>
      </c>
      <c r="AD1703" s="258">
        <f>1+ transit((J2000_Bas-1),$O1703,$M1703,DecLat,DecLong)/360 + (GMTOffset/24) + (IF(DST="Y", 1, 0)/24)</f>
        <v>1.243594380004708</v>
      </c>
      <c r="AE1703" s="259">
        <f>DATE(2001,9,21)+(M1703/360)*365 - (360*((DecLong/360)- (GMTOffset/24) ))</f>
        <v>37251.503472222219</v>
      </c>
      <c r="AF1703" s="260">
        <f>IF(DecLat&gt;0,IF((90 - (DecLat-O1703))&gt;90, (90 - (O1703-DecLat)), (90 - (DecLat-O1703))),IF((90 + (DecLat-O1703))&gt;90, (90 + (O1703-DecLat)), (90 + (DecLat-O1703))))</f>
        <v>82.3</v>
      </c>
      <c r="AG1703" s="257">
        <f>angularseperation(MoonRA,MoonDec,$M1703,$O1703)</f>
        <v>160.6418898235832</v>
      </c>
      <c r="AH1703" s="261">
        <f ca="1">MIN(100,IF($O$5&gt;80,0+30*($AG1703/100),IF($O$5&gt;70,0+50*($AG1703/100),IF($O$5&gt;60,5+50*($AG1703/100),IF($O$5&gt;50,10+60*($AG1703/100),IF($O$5&gt;40,15+70*($AG1703/100),IF($O$5&gt;30,20+70*($AG1703/100),IF($O$5&gt;20,40+55*($AG1703/100),(80+(20-$O$5)+30*($AG1703/100))))))))))</f>
        <v>100</v>
      </c>
      <c r="AI1703" s="262">
        <v>2129</v>
      </c>
      <c r="AJ1703" s="263"/>
      <c r="AK1703" s="263">
        <v>70</v>
      </c>
      <c r="AL1703" s="263"/>
      <c r="AM1703" s="264"/>
      <c r="AN1703" s="263"/>
      <c r="AO1703" s="263"/>
      <c r="AP1703" s="265"/>
      <c r="AQ1703" s="265"/>
      <c r="AR1703" s="285"/>
      <c r="AS1703" s="263"/>
      <c r="AT1703" s="263"/>
      <c r="AU1703" s="263"/>
      <c r="AV1703" s="264"/>
      <c r="AW1703" s="263"/>
      <c r="AX1703" s="263"/>
      <c r="AY1703" s="263"/>
      <c r="AZ1703" s="263"/>
      <c r="BA1703" s="263"/>
      <c r="BB1703" s="263"/>
      <c r="BC1703" s="263"/>
      <c r="BD1703" s="264"/>
      <c r="BE1703" s="263"/>
      <c r="BF1703" s="263"/>
      <c r="BG1703" s="263"/>
      <c r="BH1703" s="263"/>
      <c r="BI1703" s="263"/>
      <c r="BJ1703" s="404">
        <f>altaz(J2000_Bas,$O1703,$M1703,DecLat,DecLong,2)</f>
        <v>17.427579665030738</v>
      </c>
      <c r="BK1703" s="378" t="s">
        <v>2967</v>
      </c>
      <c r="BL1703" s="379">
        <f>IF((2*G1703)/60&lt;0.2,0.2,(2*G1703)/60)</f>
        <v>0.2</v>
      </c>
      <c r="BM1703" s="380">
        <f>MOD((50000+AD1703-$B$3+(0/24)),1)</f>
        <v>0.45896130971232196</v>
      </c>
      <c r="BN1703" s="381"/>
      <c r="BO1703" s="382">
        <v>1696</v>
      </c>
    </row>
    <row r="1704" spans="1:67" s="24" customFormat="1" ht="15" customHeight="1" x14ac:dyDescent="0.25">
      <c r="A1704" s="288" t="s">
        <v>3136</v>
      </c>
      <c r="B1704" s="241" t="str">
        <f>HYPERLINK(CONCATENATE($AT$3,BK1704,$AU$3),$AV$3)</f>
        <v>S</v>
      </c>
      <c r="C1704" s="242" t="str">
        <f>HYPERLINK(CONCATENATE($AT$4,BK1704,$AU$4,BL1704),$AV$4)</f>
        <v>A</v>
      </c>
      <c r="D1704" s="243" t="s">
        <v>5638</v>
      </c>
      <c r="E1704" s="244" t="s">
        <v>5192</v>
      </c>
      <c r="F1704" s="269" t="s">
        <v>8895</v>
      </c>
      <c r="G1704" s="273">
        <v>1.8</v>
      </c>
      <c r="H1704" s="283">
        <v>120</v>
      </c>
      <c r="I1704" s="246">
        <v>65</v>
      </c>
      <c r="J1704" s="246">
        <v>2</v>
      </c>
      <c r="K1704" s="247" t="s">
        <v>8436</v>
      </c>
      <c r="L1704" s="248">
        <v>60108</v>
      </c>
      <c r="M1704" s="249">
        <f>15*(LEFT(TEXT($L1704,"000000"),2)+(MID(TEXT($L1704,"000000"),3,2)/60)+(RIGHT(TEXT($L1704,"000000"),2)/3600))</f>
        <v>90.283333333333331</v>
      </c>
      <c r="N1704" s="250">
        <v>-234018</v>
      </c>
      <c r="O1704" s="251">
        <f>IF($N1704&gt;0,(LEFT(TEXT($N1704,"000000"),2)+(MID(TEXT($N1704,"000000"),3,2)/60)+(RIGHT(TEXT($N1704,"000000"),2)/3600)),-(MID(TEXT($N1704,"000000"),2,2)+(MID(TEXT($N1704,"000000"),4,2)/60)+(RIGHT(TEXT($N1704,"000000"),2)/3600)))</f>
        <v>-23.671666666666667</v>
      </c>
      <c r="P1704" s="252" t="s">
        <v>70</v>
      </c>
      <c r="Q1704" s="253"/>
      <c r="R1704" s="277" t="s">
        <v>3293</v>
      </c>
      <c r="S1704" s="272" t="s">
        <v>3293</v>
      </c>
      <c r="T1704" s="273">
        <v>11.6</v>
      </c>
      <c r="U1704" s="289">
        <v>22.19</v>
      </c>
      <c r="V1704" s="280">
        <v>20</v>
      </c>
      <c r="W1704" s="244"/>
      <c r="X1704" s="244"/>
      <c r="Y1704" s="362"/>
      <c r="Z1704" s="257">
        <f>altaz(J2000_Bas,$O1704,$M1704,DecLat,DecLong,1)</f>
        <v>-74.253370445606791</v>
      </c>
      <c r="AA1704" s="257">
        <f>altaz((J2000_Bas+(2*0.04167)),$O1704,$M1704,DecLat,DecLong,1)</f>
        <v>-48.942811220179138</v>
      </c>
      <c r="AB1704" s="257">
        <f>altaz((J2000_Bas+(4*0.04167)),$O1704,$M1704,DecLat,DecLong,1)</f>
        <v>-23.464989987326373</v>
      </c>
      <c r="AC1704" s="257">
        <f>altaz((J2000_Bas+(6*0.04167)),$O1704,$M1704,DecLat,DecLong,1)</f>
        <v>0.52978122921486237</v>
      </c>
      <c r="AD1704" s="258">
        <f>1+ transit((J2000_Bas-1),$O1704,$M1704,DecLat,DecLong)/360 + (GMTOffset/24) + (IF(DST="Y", 1, 0)/24)</f>
        <v>1.2436869725880413</v>
      </c>
      <c r="AE1704" s="259">
        <f>DATE(2001,9,21)+(M1704/360)*365 - (360*((DecLong/360)- (GMTOffset/24) ))</f>
        <v>37251.537268518521</v>
      </c>
      <c r="AF1704" s="260">
        <f>IF(DecLat&gt;0,IF((90 - (DecLat-O1704))&gt;90, (90 - (O1704-DecLat)), (90 - (DecLat-O1704))),IF((90 + (DecLat-O1704))&gt;90, (90 + (O1704-DecLat)), (90 + (DecLat-O1704))))</f>
        <v>35.328333333333333</v>
      </c>
      <c r="AG1704" s="257">
        <f>angularseperation(MoonRA,MoonDec,$M1704,$O1704)</f>
        <v>125.32795070897765</v>
      </c>
      <c r="AH1704" s="261">
        <f ca="1">MIN(100,IF($O$5&gt;80,0+30*($AG1704/100),IF($O$5&gt;70,0+50*($AG1704/100),IF($O$5&gt;60,5+50*($AG1704/100),IF($O$5&gt;50,10+60*($AG1704/100),IF($O$5&gt;40,15+70*($AG1704/100),IF($O$5&gt;30,20+70*($AG1704/100),IF($O$5&gt;20,40+55*($AG1704/100),(80+(20-$O$5)+30*($AG1704/100))))))))))</f>
        <v>100</v>
      </c>
      <c r="AI1704" s="263">
        <v>2139</v>
      </c>
      <c r="AJ1704" s="263"/>
      <c r="AK1704" s="263"/>
      <c r="AL1704" s="263"/>
      <c r="AM1704" s="264"/>
      <c r="AN1704" s="263"/>
      <c r="AO1704" s="263"/>
      <c r="AP1704" s="265"/>
      <c r="AQ1704" s="265"/>
      <c r="AR1704" s="285">
        <v>18258</v>
      </c>
      <c r="AS1704" s="263"/>
      <c r="AT1704" s="263"/>
      <c r="AU1704" s="263"/>
      <c r="AV1704" s="264"/>
      <c r="AW1704" s="263"/>
      <c r="AX1704" s="263"/>
      <c r="AY1704" s="263"/>
      <c r="AZ1704" s="263"/>
      <c r="BA1704" s="263"/>
      <c r="BB1704" s="263"/>
      <c r="BC1704" s="263"/>
      <c r="BD1704" s="264"/>
      <c r="BE1704" s="263"/>
      <c r="BF1704" s="263"/>
      <c r="BG1704" s="263"/>
      <c r="BH1704" s="263"/>
      <c r="BI1704" s="263"/>
      <c r="BJ1704" s="404">
        <f>altaz(J2000_Bas,$O1704,$M1704,DecLat,DecLong,2)</f>
        <v>66.108133031779118</v>
      </c>
      <c r="BK1704" s="378" t="s">
        <v>3136</v>
      </c>
      <c r="BL1704" s="379">
        <f>IF((2*G1704)/60&lt;0.2,0.2,(2*G1704)/60)</f>
        <v>0.2</v>
      </c>
      <c r="BM1704" s="380">
        <f>MOD((50000+AD1704-$B$3+(0/24)),1)</f>
        <v>0.45905390229017939</v>
      </c>
      <c r="BN1704" s="381"/>
      <c r="BO1704" s="382">
        <v>1697</v>
      </c>
    </row>
    <row r="1705" spans="1:67" s="24" customFormat="1" ht="15" customHeight="1" x14ac:dyDescent="0.25">
      <c r="A1705" s="288" t="s">
        <v>1699</v>
      </c>
      <c r="B1705" s="241" t="str">
        <f>HYPERLINK(CONCATENATE($AT$3,BK1705,$AU$3),$AV$3)</f>
        <v>S</v>
      </c>
      <c r="C1705" s="242" t="str">
        <f>HYPERLINK(CONCATENATE($AT$4,BK1705,$AU$4,BL1705),$AV$4)</f>
        <v>A</v>
      </c>
      <c r="D1705" s="243" t="s">
        <v>5638</v>
      </c>
      <c r="E1705" s="244" t="s">
        <v>5337</v>
      </c>
      <c r="F1705" s="269" t="s">
        <v>3317</v>
      </c>
      <c r="G1705" s="273">
        <v>6</v>
      </c>
      <c r="H1705" s="283">
        <v>85</v>
      </c>
      <c r="I1705" s="246">
        <v>150</v>
      </c>
      <c r="J1705" s="246">
        <v>4</v>
      </c>
      <c r="K1705" s="247" t="s">
        <v>8416</v>
      </c>
      <c r="L1705" s="248">
        <v>61838</v>
      </c>
      <c r="M1705" s="249">
        <f>15*(LEFT(TEXT($L1705,"000000"),2)+(MID(TEXT($L1705,"000000"),3,2)/60)+(RIGHT(TEXT($L1705,"000000"),2)/3600))</f>
        <v>94.658333333333331</v>
      </c>
      <c r="N1705" s="250">
        <v>782122</v>
      </c>
      <c r="O1705" s="251">
        <f>IF($N1705&gt;0,(LEFT(TEXT($N1705,"000000"),2)+(MID(TEXT($N1705,"000000"),3,2)/60)+(RIGHT(TEXT($N1705,"000000"),2)/3600)),-(MID(TEXT($N1705,"000000"),2,2)+(MID(TEXT($N1705,"000000"),4,2)/60)+(RIGHT(TEXT($N1705,"000000"),2)/3600)))</f>
        <v>78.356111111111105</v>
      </c>
      <c r="P1705" s="252" t="s">
        <v>226</v>
      </c>
      <c r="Q1705" s="253"/>
      <c r="R1705" s="247" t="s">
        <v>3293</v>
      </c>
      <c r="S1705" s="272" t="s">
        <v>3293</v>
      </c>
      <c r="T1705" s="273">
        <v>12.9</v>
      </c>
      <c r="U1705" s="289">
        <v>22.990000000000002</v>
      </c>
      <c r="V1705" s="280">
        <v>78</v>
      </c>
      <c r="W1705" s="244"/>
      <c r="X1705" s="244"/>
      <c r="Y1705" s="362"/>
      <c r="Z1705" s="257">
        <f>altaz(J2000_Bas,$O1705,$M1705,DecLat,DecLong,1)</f>
        <v>19.561498501040365</v>
      </c>
      <c r="AA1705" s="257">
        <f>altaz((J2000_Bas+(2*0.04167)),$O1705,$M1705,DecLat,DecLong,1)</f>
        <v>22.007443394226765</v>
      </c>
      <c r="AB1705" s="257">
        <f>altaz((J2000_Bas+(4*0.04167)),$O1705,$M1705,DecLat,DecLong,1)</f>
        <v>26.716965512293811</v>
      </c>
      <c r="AC1705" s="257">
        <f>altaz((J2000_Bas+(6*0.04167)),$O1705,$M1705,DecLat,DecLong,1)</f>
        <v>32.630524508423022</v>
      </c>
      <c r="AD1705" s="258">
        <f>1+ transit((J2000_Bas-1),$O1705,$M1705,DecLat,DecLong)/360 + (GMTOffset/24) + (IF(DST="Y", 1, 0)/24)</f>
        <v>1.2558397491505413</v>
      </c>
      <c r="AE1705" s="259">
        <f>DATE(2001,9,21)+(M1705/360)*365 - (360*((DecLong/360)- (GMTOffset/24) ))</f>
        <v>37255.973032407404</v>
      </c>
      <c r="AF1705" s="260">
        <f>IF(DecLat&gt;0,IF((90 - (DecLat-O1705))&gt;90, (90 - (O1705-DecLat)), (90 - (DecLat-O1705))),IF((90 + (DecLat-O1705))&gt;90, (90 + (O1705-DecLat)), (90 + (DecLat-O1705))))</f>
        <v>42.643888888888895</v>
      </c>
      <c r="AG1705" s="257">
        <f>angularseperation(MoonRA,MoonDec,$M1705,$O1705)</f>
        <v>127.46173183898716</v>
      </c>
      <c r="AH1705" s="261">
        <f ca="1">MIN(100,IF($O$5&gt;80,0+30*($AG1705/100),IF($O$5&gt;70,0+50*($AG1705/100),IF($O$5&gt;60,5+50*($AG1705/100),IF($O$5&gt;50,10+60*($AG1705/100),IF($O$5&gt;40,15+70*($AG1705/100),IF($O$5&gt;30,20+70*($AG1705/100),IF($O$5&gt;20,40+55*($AG1705/100),(80+(20-$O$5)+30*($AG1705/100))))))))))</f>
        <v>100</v>
      </c>
      <c r="AI1705" s="262">
        <v>2146</v>
      </c>
      <c r="AJ1705" s="262"/>
      <c r="AK1705" s="262"/>
      <c r="AL1705" s="263"/>
      <c r="AM1705" s="264"/>
      <c r="AN1705" s="263"/>
      <c r="AO1705" s="263"/>
      <c r="AP1705" s="265"/>
      <c r="AQ1705" s="266">
        <v>3439</v>
      </c>
      <c r="AR1705" s="267">
        <v>18960</v>
      </c>
      <c r="AS1705" s="263"/>
      <c r="AT1705" s="263"/>
      <c r="AU1705" s="263"/>
      <c r="AV1705" s="264"/>
      <c r="AW1705" s="263"/>
      <c r="AX1705" s="263"/>
      <c r="AY1705" s="263"/>
      <c r="AZ1705" s="263"/>
      <c r="BA1705" s="263"/>
      <c r="BB1705" s="263"/>
      <c r="BC1705" s="263"/>
      <c r="BD1705" s="264"/>
      <c r="BE1705" s="263"/>
      <c r="BF1705" s="263"/>
      <c r="BG1705" s="263">
        <v>37</v>
      </c>
      <c r="BH1705" s="263"/>
      <c r="BI1705" s="263"/>
      <c r="BJ1705" s="404">
        <f>altaz(J2000_Bas,$O1705,$M1705,DecLat,DecLong,2)</f>
        <v>2.4147126976355429</v>
      </c>
      <c r="BK1705" s="378" t="s">
        <v>1699</v>
      </c>
      <c r="BL1705" s="379">
        <f>IF((2*G1705)/60&lt;0.2,0.2,(2*G1705)/60)</f>
        <v>0.2</v>
      </c>
      <c r="BM1705" s="380">
        <f>MOD((50000+AD1705-$B$3+(0/24)),1)</f>
        <v>0.47120667885610601</v>
      </c>
      <c r="BN1705" s="381" t="s">
        <v>9281</v>
      </c>
      <c r="BO1705" s="382">
        <v>1698</v>
      </c>
    </row>
    <row r="1706" spans="1:67" s="24" customFormat="1" ht="15" customHeight="1" x14ac:dyDescent="0.25">
      <c r="A1706" s="288" t="s">
        <v>1700</v>
      </c>
      <c r="B1706" s="241" t="str">
        <f>HYPERLINK(CONCATENATE($AT$3,BK1706,$AU$3),$AV$3)</f>
        <v>S</v>
      </c>
      <c r="C1706" s="242" t="str">
        <f>HYPERLINK(CONCATENATE($AT$4,BK1706,$AU$4,BL1706),$AV$4)</f>
        <v>A</v>
      </c>
      <c r="D1706" s="243" t="s">
        <v>5187</v>
      </c>
      <c r="E1706" s="244" t="s">
        <v>5186</v>
      </c>
      <c r="F1706" s="269"/>
      <c r="G1706" s="273">
        <v>3</v>
      </c>
      <c r="H1706" s="283">
        <v>1300</v>
      </c>
      <c r="I1706" s="279">
        <v>1.1000000000000001</v>
      </c>
      <c r="J1706" s="246">
        <v>3</v>
      </c>
      <c r="K1706" s="247" t="s">
        <v>6793</v>
      </c>
      <c r="L1706" s="248">
        <v>60331</v>
      </c>
      <c r="M1706" s="249">
        <f>15*(LEFT(TEXT($L1706,"000000"),2)+(MID(TEXT($L1706,"000000"),3,2)/60)+(RIGHT(TEXT($L1706,"000000"),2)/3600))</f>
        <v>90.879166666666663</v>
      </c>
      <c r="N1706" s="250">
        <v>-94350</v>
      </c>
      <c r="O1706" s="251">
        <f>IF($N1706&gt;0,(LEFT(TEXT($N1706,"000000"),2)+(MID(TEXT($N1706,"000000"),3,2)/60)+(RIGHT(TEXT($N1706,"000000"),2)/3600)),-(MID(TEXT($N1706,"000000"),2,2)+(MID(TEXT($N1706,"000000"),4,2)/60)+(RIGHT(TEXT($N1706,"000000"),2)/3600)))</f>
        <v>-9.7305555555555561</v>
      </c>
      <c r="P1706" s="252" t="s">
        <v>47</v>
      </c>
      <c r="Q1706" s="253"/>
      <c r="R1706" s="247" t="s">
        <v>3293</v>
      </c>
      <c r="S1706" s="272" t="s">
        <v>6792</v>
      </c>
      <c r="T1706" s="273"/>
      <c r="U1706" s="274"/>
      <c r="V1706" s="280"/>
      <c r="W1706" s="244"/>
      <c r="X1706" s="244"/>
      <c r="Y1706" s="362"/>
      <c r="Z1706" s="257">
        <f>altaz(J2000_Bas,$O1706,$M1706,DecLat,DecLong,1)</f>
        <v>-64.505243518517773</v>
      </c>
      <c r="AA1706" s="257">
        <f>altaz((J2000_Bas+(2*0.04167)),$O1706,$M1706,DecLat,DecLong,1)</f>
        <v>-43.0209332331439</v>
      </c>
      <c r="AB1706" s="257">
        <f>altaz((J2000_Bas+(4*0.04167)),$O1706,$M1706,DecLat,DecLong,1)</f>
        <v>-17.55007525033367</v>
      </c>
      <c r="AC1706" s="257">
        <f>altaz((J2000_Bas+(6*0.04167)),$O1706,$M1706,DecLat,DecLong,1)</f>
        <v>7.8729225222457195</v>
      </c>
      <c r="AD1706" s="258">
        <f>1+ transit((J2000_Bas-1),$O1706,$M1706,DecLat,DecLong)/360 + (GMTOffset/24) + (IF(DST="Y", 1, 0)/24)</f>
        <v>1.2453420650151246</v>
      </c>
      <c r="AE1706" s="259">
        <f>DATE(2001,9,21)+(M1706/360)*365 - (360*((DecLong/360)- (GMTOffset/24) ))</f>
        <v>37252.141377314816</v>
      </c>
      <c r="AF1706" s="260">
        <f>IF(DecLat&gt;0,IF((90 - (DecLat-O1706))&gt;90, (90 - (O1706-DecLat)), (90 - (DecLat-O1706))),IF((90 + (DecLat-O1706))&gt;90, (90 + (O1706-DecLat)), (90 + (DecLat-O1706))))</f>
        <v>49.269444444444446</v>
      </c>
      <c r="AG1706" s="257">
        <f>angularseperation(MoonRA,MoonDec,$M1706,$O1706)</f>
        <v>137.6245937545807</v>
      </c>
      <c r="AH1706" s="261">
        <f ca="1">MIN(100,IF($O$5&gt;80,0+30*($AG1706/100),IF($O$5&gt;70,0+50*($AG1706/100),IF($O$5&gt;60,5+50*($AG1706/100),IF($O$5&gt;50,10+60*($AG1706/100),IF($O$5&gt;40,15+70*($AG1706/100),IF($O$5&gt;30,20+70*($AG1706/100),IF($O$5&gt;20,40+55*($AG1706/100),(80+(20-$O$5)+30*($AG1706/100))))))))))</f>
        <v>100</v>
      </c>
      <c r="AI1706" s="262">
        <v>2149</v>
      </c>
      <c r="AJ1706" s="262"/>
      <c r="AK1706" s="262"/>
      <c r="AL1706" s="263"/>
      <c r="AM1706" s="264"/>
      <c r="AN1706" s="263"/>
      <c r="AO1706" s="263"/>
      <c r="AP1706" s="265"/>
      <c r="AQ1706" s="266"/>
      <c r="AR1706" s="267"/>
      <c r="AS1706" s="263"/>
      <c r="AT1706" s="263"/>
      <c r="AU1706" s="263"/>
      <c r="AV1706" s="264"/>
      <c r="AW1706" s="263"/>
      <c r="AX1706" s="263"/>
      <c r="AY1706" s="263"/>
      <c r="AZ1706" s="263"/>
      <c r="BA1706" s="263"/>
      <c r="BB1706" s="263"/>
      <c r="BC1706" s="263"/>
      <c r="BD1706" s="264"/>
      <c r="BE1706" s="263"/>
      <c r="BF1706" s="263">
        <v>28</v>
      </c>
      <c r="BG1706" s="263"/>
      <c r="BH1706" s="263"/>
      <c r="BI1706" s="263"/>
      <c r="BJ1706" s="404">
        <f>altaz(J2000_Bas,$O1706,$M1706,DecLat,DecLong,2)</f>
        <v>36.685304235816893</v>
      </c>
      <c r="BK1706" s="378" t="s">
        <v>1700</v>
      </c>
      <c r="BL1706" s="379">
        <f>IF((2*G1706)/60&lt;0.2,0.2,(2*G1706)/60)</f>
        <v>0.2</v>
      </c>
      <c r="BM1706" s="380">
        <f>MOD((50000+AD1706-$B$3+(0/24)),1)</f>
        <v>0.46070899471669691</v>
      </c>
      <c r="BN1706" s="381"/>
      <c r="BO1706" s="382">
        <v>1699</v>
      </c>
    </row>
    <row r="1707" spans="1:67" s="24" customFormat="1" ht="15" customHeight="1" x14ac:dyDescent="0.25">
      <c r="A1707" s="288" t="s">
        <v>1701</v>
      </c>
      <c r="B1707" s="241" t="str">
        <f>HYPERLINK(CONCATENATE($AT$3,BK1707,$AU$3),$AV$3)</f>
        <v>S</v>
      </c>
      <c r="C1707" s="242" t="str">
        <f>HYPERLINK(CONCATENATE($AT$4,BK1707,$AU$4,BL1707),$AV$4)</f>
        <v>A</v>
      </c>
      <c r="D1707" s="243" t="s">
        <v>5335</v>
      </c>
      <c r="E1707" s="244" t="s">
        <v>5185</v>
      </c>
      <c r="F1707" s="269" t="s">
        <v>6392</v>
      </c>
      <c r="G1707" s="273">
        <v>5</v>
      </c>
      <c r="H1707" s="283">
        <v>14000</v>
      </c>
      <c r="I1707" s="246">
        <v>20</v>
      </c>
      <c r="J1707" s="246">
        <v>2</v>
      </c>
      <c r="K1707" s="247" t="s">
        <v>5433</v>
      </c>
      <c r="L1707" s="248">
        <v>60725</v>
      </c>
      <c r="M1707" s="249">
        <f>15*(LEFT(TEXT($L1707,"000000"),2)+(MID(TEXT($L1707,"000000"),3,2)/60)+(RIGHT(TEXT($L1707,"000000"),2)/3600))</f>
        <v>91.854166666666657</v>
      </c>
      <c r="N1707" s="250">
        <v>240548</v>
      </c>
      <c r="O1707" s="251">
        <f>IF($N1707&gt;0,(LEFT(TEXT($N1707,"000000"),2)+(MID(TEXT($N1707,"000000"),3,2)/60)+(RIGHT(TEXT($N1707,"000000"),2)/3600)),-(MID(TEXT($N1707,"000000"),2,2)+(MID(TEXT($N1707,"000000"),4,2)/60)+(RIGHT(TEXT($N1707,"000000"),2)/3600)))</f>
        <v>24.096666666666664</v>
      </c>
      <c r="P1707" s="252" t="s">
        <v>85</v>
      </c>
      <c r="Q1707" s="253"/>
      <c r="R1707" s="277" t="s">
        <v>5431</v>
      </c>
      <c r="S1707" s="272" t="s">
        <v>5432</v>
      </c>
      <c r="T1707" s="273">
        <v>8.6</v>
      </c>
      <c r="U1707" s="274"/>
      <c r="V1707" s="280"/>
      <c r="W1707" s="244"/>
      <c r="X1707" s="244"/>
      <c r="Y1707" s="362"/>
      <c r="Z1707" s="257">
        <f>altaz(J2000_Bas,$O1707,$M1707,DecLat,DecLong,1)</f>
        <v>-33.261274821344301</v>
      </c>
      <c r="AA1707" s="257">
        <f>altaz((J2000_Bas+(2*0.04167)),$O1707,$M1707,DecLat,DecLong,1)</f>
        <v>-20.50993220246583</v>
      </c>
      <c r="AB1707" s="257">
        <f>altaz((J2000_Bas+(4*0.04167)),$O1707,$M1707,DecLat,DecLong,1)</f>
        <v>-7.0368672631298798E-2</v>
      </c>
      <c r="AC1707" s="257">
        <f>altaz((J2000_Bas+(6*0.04167)),$O1707,$M1707,DecLat,DecLong,1)</f>
        <v>23.884792968268052</v>
      </c>
      <c r="AD1707" s="258">
        <f>1+ transit((J2000_Bas-1),$O1707,$M1707,DecLat,DecLong)/360 + (GMTOffset/24) + (IF(DST="Y", 1, 0)/24)</f>
        <v>1.2480503980776247</v>
      </c>
      <c r="AE1707" s="259">
        <f>DATE(2001,9,21)+(M1707/360)*365 - (360*((DecLong/360)- (GMTOffset/24) ))</f>
        <v>37253.129918981482</v>
      </c>
      <c r="AF1707" s="260">
        <f>IF(DecLat&gt;0,IF((90 - (DecLat-O1707))&gt;90, (90 - (O1707-DecLat)), (90 - (DecLat-O1707))),IF((90 + (DecLat-O1707))&gt;90, (90 + (O1707-DecLat)), (90 + (DecLat-O1707))))</f>
        <v>83.096666666666664</v>
      </c>
      <c r="AG1707" s="257">
        <f>angularseperation(MoonRA,MoonDec,$M1707,$O1707)</f>
        <v>159.41686037113649</v>
      </c>
      <c r="AH1707" s="261">
        <f ca="1">MIN(100,IF($O$5&gt;80,0+30*($AG1707/100),IF($O$5&gt;70,0+50*($AG1707/100),IF($O$5&gt;60,5+50*($AG1707/100),IF($O$5&gt;50,10+60*($AG1707/100),IF($O$5&gt;40,15+70*($AG1707/100),IF($O$5&gt;30,20+70*($AG1707/100),IF($O$5&gt;20,40+55*($AG1707/100),(80+(20-$O$5)+30*($AG1707/100))))))))))</f>
        <v>100</v>
      </c>
      <c r="AI1707" s="262">
        <v>2158</v>
      </c>
      <c r="AJ1707" s="263"/>
      <c r="AK1707" s="263">
        <v>71</v>
      </c>
      <c r="AL1707" s="263"/>
      <c r="AM1707" s="264"/>
      <c r="AN1707" s="263"/>
      <c r="AO1707" s="263"/>
      <c r="AP1707" s="265"/>
      <c r="AQ1707" s="265"/>
      <c r="AR1707" s="285"/>
      <c r="AS1707" s="263"/>
      <c r="AT1707" s="263"/>
      <c r="AU1707" s="263"/>
      <c r="AV1707" s="264"/>
      <c r="AW1707" s="263"/>
      <c r="AX1707" s="263"/>
      <c r="AY1707" s="263"/>
      <c r="AZ1707" s="263"/>
      <c r="BA1707" s="263"/>
      <c r="BB1707" s="263"/>
      <c r="BC1707" s="263"/>
      <c r="BD1707" s="264"/>
      <c r="BE1707" s="263"/>
      <c r="BF1707" s="263"/>
      <c r="BG1707" s="263"/>
      <c r="BH1707" s="263"/>
      <c r="BI1707" s="263"/>
      <c r="BJ1707" s="404">
        <f>altaz(J2000_Bas,$O1707,$M1707,DecLat,DecLong,2)</f>
        <v>15.47694308665468</v>
      </c>
      <c r="BK1707" s="378" t="s">
        <v>1701</v>
      </c>
      <c r="BL1707" s="379">
        <f>IF((2*G1707)/60&lt;0.2,0.2,(2*G1707)/60)</f>
        <v>0.2</v>
      </c>
      <c r="BM1707" s="380">
        <f>MOD((50000+AD1707-$B$3+(0/24)),1)</f>
        <v>0.46341732778091682</v>
      </c>
      <c r="BN1707" s="381"/>
      <c r="BO1707" s="382">
        <v>1700</v>
      </c>
    </row>
    <row r="1708" spans="1:67" s="24" customFormat="1" ht="15" customHeight="1" x14ac:dyDescent="0.25">
      <c r="A1708" s="288" t="s">
        <v>1702</v>
      </c>
      <c r="B1708" s="241" t="str">
        <f>HYPERLINK(CONCATENATE($AT$3,BK1708,$AU$3),$AV$3)</f>
        <v>S</v>
      </c>
      <c r="C1708" s="242" t="str">
        <f>HYPERLINK(CONCATENATE($AT$4,BK1708,$AU$4,BL1708),$AV$4)</f>
        <v>A</v>
      </c>
      <c r="D1708" s="243" t="s">
        <v>5187</v>
      </c>
      <c r="E1708" s="244" t="s">
        <v>5186</v>
      </c>
      <c r="F1708" s="269"/>
      <c r="G1708" s="273">
        <v>3</v>
      </c>
      <c r="H1708" s="283">
        <v>3300</v>
      </c>
      <c r="I1708" s="279">
        <v>3</v>
      </c>
      <c r="J1708" s="246">
        <v>2</v>
      </c>
      <c r="K1708" s="247" t="s">
        <v>8551</v>
      </c>
      <c r="L1708" s="248">
        <v>60749</v>
      </c>
      <c r="M1708" s="249">
        <f>15*(LEFT(TEXT($L1708,"000000"),2)+(MID(TEXT($L1708,"000000"),3,2)/60)+(RIGHT(TEXT($L1708,"000000"),2)/3600))</f>
        <v>91.954166666666666</v>
      </c>
      <c r="N1708" s="250">
        <v>183927</v>
      </c>
      <c r="O1708" s="251">
        <f>IF($N1708&gt;0,(LEFT(TEXT($N1708,"000000"),2)+(MID(TEXT($N1708,"000000"),3,2)/60)+(RIGHT(TEXT($N1708,"000000"),2)/3600)),-(MID(TEXT($N1708,"000000"),2,2)+(MID(TEXT($N1708,"000000"),4,2)/60)+(RIGHT(TEXT($N1708,"000000"),2)/3600)))</f>
        <v>18.657499999999999</v>
      </c>
      <c r="P1708" s="252" t="s">
        <v>41</v>
      </c>
      <c r="Q1708" s="253"/>
      <c r="R1708" s="277" t="s">
        <v>6794</v>
      </c>
      <c r="S1708" s="272" t="s">
        <v>3293</v>
      </c>
      <c r="T1708" s="273">
        <v>11</v>
      </c>
      <c r="U1708" s="274"/>
      <c r="V1708" s="280"/>
      <c r="W1708" s="244"/>
      <c r="X1708" s="244"/>
      <c r="Y1708" s="362"/>
      <c r="Z1708" s="257">
        <f>altaz(J2000_Bas,$O1708,$M1708,DecLat,DecLong,1)</f>
        <v>-38.540332982004074</v>
      </c>
      <c r="AA1708" s="257">
        <f>altaz((J2000_Bas+(2*0.04167)),$O1708,$M1708,DecLat,DecLong,1)</f>
        <v>-24.715575691350839</v>
      </c>
      <c r="AB1708" s="257">
        <f>altaz((J2000_Bas+(4*0.04167)),$O1708,$M1708,DecLat,DecLong,1)</f>
        <v>-3.2170871974727757</v>
      </c>
      <c r="AC1708" s="257">
        <f>altaz((J2000_Bas+(6*0.04167)),$O1708,$M1708,DecLat,DecLong,1)</f>
        <v>21.43145510497191</v>
      </c>
      <c r="AD1708" s="258">
        <f>1+ transit((J2000_Bas-1),$O1708,$M1708,DecLat,DecLong)/360 + (GMTOffset/24) + (IF(DST="Y", 1, 0)/24)</f>
        <v>1.2483281758276248</v>
      </c>
      <c r="AE1708" s="259">
        <f>DATE(2001,9,21)+(M1708/360)*365 - (360*((DecLong/360)- (GMTOffset/24) ))</f>
        <v>37253.231307870374</v>
      </c>
      <c r="AF1708" s="260">
        <f>IF(DecLat&gt;0,IF((90 - (DecLat-O1708))&gt;90, (90 - (O1708-DecLat)), (90 - (DecLat-O1708))),IF((90 + (DecLat-O1708))&gt;90, (90 + (O1708-DecLat)), (90 + (DecLat-O1708))))</f>
        <v>77.657499999999999</v>
      </c>
      <c r="AG1708" s="257">
        <f>angularseperation(MoonRA,MoonDec,$M1708,$O1708)</f>
        <v>157.48686639213057</v>
      </c>
      <c r="AH1708" s="261">
        <f ca="1">MIN(100,IF($O$5&gt;80,0+30*($AG1708/100),IF($O$5&gt;70,0+50*($AG1708/100),IF($O$5&gt;60,5+50*($AG1708/100),IF($O$5&gt;50,10+60*($AG1708/100),IF($O$5&gt;40,15+70*($AG1708/100),IF($O$5&gt;30,20+70*($AG1708/100),IF($O$5&gt;20,40+55*($AG1708/100),(80+(20-$O$5)+30*($AG1708/100))))))))))</f>
        <v>100</v>
      </c>
      <c r="AI1708" s="262">
        <v>2163</v>
      </c>
      <c r="AJ1708" s="262"/>
      <c r="AK1708" s="262"/>
      <c r="AL1708" s="263"/>
      <c r="AM1708" s="264"/>
      <c r="AN1708" s="263"/>
      <c r="AO1708" s="263"/>
      <c r="AP1708" s="265"/>
      <c r="AQ1708" s="266"/>
      <c r="AR1708" s="267"/>
      <c r="AS1708" s="263"/>
      <c r="AT1708" s="263"/>
      <c r="AU1708" s="263"/>
      <c r="AV1708" s="264"/>
      <c r="AW1708" s="263"/>
      <c r="AX1708" s="263"/>
      <c r="AY1708" s="263"/>
      <c r="AZ1708" s="263"/>
      <c r="BA1708" s="263"/>
      <c r="BB1708" s="263"/>
      <c r="BC1708" s="263"/>
      <c r="BD1708" s="264"/>
      <c r="BE1708" s="263">
        <v>35</v>
      </c>
      <c r="BF1708" s="263"/>
      <c r="BG1708" s="263"/>
      <c r="BH1708" s="263"/>
      <c r="BI1708" s="263"/>
      <c r="BJ1708" s="404">
        <f>altaz(J2000_Bas,$O1708,$M1708,DecLat,DecLong,2)</f>
        <v>17.099723148612892</v>
      </c>
      <c r="BK1708" s="378" t="s">
        <v>1702</v>
      </c>
      <c r="BL1708" s="379">
        <f>IF((2*G1708)/60&lt;0.2,0.2,(2*G1708)/60)</f>
        <v>0.2</v>
      </c>
      <c r="BM1708" s="380">
        <f>MOD((50000+AD1708-$B$3+(0/24)),1)</f>
        <v>0.46369510552904103</v>
      </c>
      <c r="BN1708" s="381" t="s">
        <v>9232</v>
      </c>
      <c r="BO1708" s="382">
        <v>1701</v>
      </c>
    </row>
    <row r="1709" spans="1:67" s="24" customFormat="1" ht="15" customHeight="1" x14ac:dyDescent="0.25">
      <c r="A1709" s="288" t="s">
        <v>1703</v>
      </c>
      <c r="B1709" s="241" t="str">
        <f>HYPERLINK(CONCATENATE($AT$3,BK1709,$AU$3),$AV$3)</f>
        <v>S</v>
      </c>
      <c r="C1709" s="242" t="str">
        <f>HYPERLINK(CONCATENATE($AT$4,BK1709,$AU$4,BL1709),$AV$4)</f>
        <v>A</v>
      </c>
      <c r="D1709" s="243" t="s">
        <v>5335</v>
      </c>
      <c r="E1709" s="244" t="s">
        <v>5185</v>
      </c>
      <c r="F1709" s="269" t="s">
        <v>9078</v>
      </c>
      <c r="G1709" s="273">
        <v>6</v>
      </c>
      <c r="H1709" s="283">
        <v>3000</v>
      </c>
      <c r="I1709" s="279">
        <v>5</v>
      </c>
      <c r="J1709" s="246">
        <v>4</v>
      </c>
      <c r="K1709" s="247" t="s">
        <v>6796</v>
      </c>
      <c r="L1709" s="248">
        <v>60824</v>
      </c>
      <c r="M1709" s="249">
        <f>15*(LEFT(TEXT($L1709,"000000"),2)+(MID(TEXT($L1709,"000000"),3,2)/60)+(RIGHT(TEXT($L1709,"000000"),2)/3600))</f>
        <v>92.100000000000009</v>
      </c>
      <c r="N1709" s="250">
        <v>135754</v>
      </c>
      <c r="O1709" s="251">
        <f>IF($N1709&gt;0,(LEFT(TEXT($N1709,"000000"),2)+(MID(TEXT($N1709,"000000"),3,2)/60)+(RIGHT(TEXT($N1709,"000000"),2)/3600)),-(MID(TEXT($N1709,"000000"),2,2)+(MID(TEXT($N1709,"000000"),4,2)/60)+(RIGHT(TEXT($N1709,"000000"),2)/3600)))</f>
        <v>13.965</v>
      </c>
      <c r="P1709" s="252" t="s">
        <v>41</v>
      </c>
      <c r="Q1709" s="253" t="s">
        <v>7094</v>
      </c>
      <c r="R1709" s="277" t="s">
        <v>3293</v>
      </c>
      <c r="S1709" s="272" t="s">
        <v>3293</v>
      </c>
      <c r="T1709" s="273">
        <v>5.9</v>
      </c>
      <c r="U1709" s="274"/>
      <c r="V1709" s="280"/>
      <c r="W1709" s="244"/>
      <c r="X1709" s="244"/>
      <c r="Y1709" s="362"/>
      <c r="Z1709" s="257">
        <f>altaz(J2000_Bas,$O1709,$M1709,DecLat,DecLong,1)</f>
        <v>-43.09189330215321</v>
      </c>
      <c r="AA1709" s="257">
        <f>altaz((J2000_Bas+(2*0.04167)),$O1709,$M1709,DecLat,DecLong,1)</f>
        <v>-28.30764910102592</v>
      </c>
      <c r="AB1709" s="257">
        <f>altaz((J2000_Bas+(4*0.04167)),$O1709,$M1709,DecLat,DecLong,1)</f>
        <v>-5.9689416090424734</v>
      </c>
      <c r="AC1709" s="257">
        <f>altaz((J2000_Bas+(6*0.04167)),$O1709,$M1709,DecLat,DecLong,1)</f>
        <v>19.131210630485821</v>
      </c>
      <c r="AD1709" s="258">
        <f>1+ transit((J2000_Bas-1),$O1709,$M1709,DecLat,DecLong)/360 + (GMTOffset/24) + (IF(DST="Y", 1, 0)/24)</f>
        <v>1.2487332683797081</v>
      </c>
      <c r="AE1709" s="259">
        <f>DATE(2001,9,21)+(M1709/360)*365 - (360*((DecLong/360)- (GMTOffset/24) ))</f>
        <v>37253.379166666666</v>
      </c>
      <c r="AF1709" s="260">
        <f>IF(DecLat&gt;0,IF((90 - (DecLat-O1709))&gt;90, (90 - (O1709-DecLat)), (90 - (DecLat-O1709))),IF((90 + (DecLat-O1709))&gt;90, (90 + (O1709-DecLat)), (90 + (DecLat-O1709))))</f>
        <v>72.965000000000003</v>
      </c>
      <c r="AG1709" s="257">
        <f>angularseperation(MoonRA,MoonDec,$M1709,$O1709)</f>
        <v>154.96486114896186</v>
      </c>
      <c r="AH1709" s="261">
        <f ca="1">MIN(100,IF($O$5&gt;80,0+30*($AG1709/100),IF($O$5&gt;70,0+50*($AG1709/100),IF($O$5&gt;60,5+50*($AG1709/100),IF($O$5&gt;50,10+60*($AG1709/100),IF($O$5&gt;40,15+70*($AG1709/100),IF($O$5&gt;30,20+70*($AG1709/100),IF($O$5&gt;20,40+55*($AG1709/100),(80+(20-$O$5)+30*($AG1709/100))))))))))</f>
        <v>100</v>
      </c>
      <c r="AI1709" s="262">
        <v>2169</v>
      </c>
      <c r="AJ1709" s="262"/>
      <c r="AK1709" s="262">
        <v>72</v>
      </c>
      <c r="AL1709" s="263"/>
      <c r="AM1709" s="264"/>
      <c r="AN1709" s="263"/>
      <c r="AO1709" s="263"/>
      <c r="AP1709" s="265"/>
      <c r="AQ1709" s="266"/>
      <c r="AR1709" s="267"/>
      <c r="AS1709" s="263"/>
      <c r="AT1709" s="263"/>
      <c r="AU1709" s="263"/>
      <c r="AV1709" s="264"/>
      <c r="AW1709" s="263"/>
      <c r="AX1709" s="263"/>
      <c r="AY1709" s="263"/>
      <c r="AZ1709" s="263"/>
      <c r="BA1709" s="263"/>
      <c r="BB1709" s="263"/>
      <c r="BC1709" s="263"/>
      <c r="BD1709" s="264"/>
      <c r="BE1709" s="263">
        <v>36</v>
      </c>
      <c r="BF1709" s="263"/>
      <c r="BG1709" s="263"/>
      <c r="BH1709" s="263"/>
      <c r="BI1709" s="263"/>
      <c r="BJ1709" s="404">
        <f>altaz(J2000_Bas,$O1709,$M1709,DecLat,DecLong,2)</f>
        <v>18.620531776498069</v>
      </c>
      <c r="BK1709" s="378" t="s">
        <v>1703</v>
      </c>
      <c r="BL1709" s="379">
        <f>IF((2*G1709)/60&lt;0.2,0.2,(2*G1709)/60)</f>
        <v>0.2</v>
      </c>
      <c r="BM1709" s="380">
        <f>MOD((50000+AD1709-$B$3+(0/24)),1)</f>
        <v>0.46410019808536163</v>
      </c>
      <c r="BN1709" s="381"/>
      <c r="BO1709" s="382">
        <v>1702</v>
      </c>
    </row>
    <row r="1710" spans="1:67" s="24" customFormat="1" ht="15" customHeight="1" x14ac:dyDescent="0.25">
      <c r="A1710" s="288" t="s">
        <v>1704</v>
      </c>
      <c r="B1710" s="241" t="str">
        <f>HYPERLINK(CONCATENATE($AT$3,BK1710,$AU$3),$AV$3)</f>
        <v>S</v>
      </c>
      <c r="C1710" s="242" t="str">
        <f>HYPERLINK(CONCATENATE($AT$4,BK1710,$AU$4,BL1710),$AV$4)</f>
        <v>A</v>
      </c>
      <c r="D1710" s="243" t="s">
        <v>5187</v>
      </c>
      <c r="E1710" s="244" t="s">
        <v>5186</v>
      </c>
      <c r="F1710" s="269"/>
      <c r="G1710" s="276">
        <v>40</v>
      </c>
      <c r="H1710" s="283">
        <v>2400</v>
      </c>
      <c r="I1710" s="246">
        <v>28</v>
      </c>
      <c r="J1710" s="246">
        <v>4</v>
      </c>
      <c r="K1710" s="247" t="s">
        <v>8552</v>
      </c>
      <c r="L1710" s="248">
        <v>60732</v>
      </c>
      <c r="M1710" s="249">
        <f>15*(LEFT(TEXT($L1710,"000000"),2)+(MID(TEXT($L1710,"000000"),3,2)/60)+(RIGHT(TEXT($L1710,"000000"),2)/3600))</f>
        <v>91.883333333333326</v>
      </c>
      <c r="N1710" s="250">
        <v>-62357</v>
      </c>
      <c r="O1710" s="251">
        <f>IF($N1710&gt;0,(LEFT(TEXT($N1710,"000000"),2)+(MID(TEXT($N1710,"000000"),3,2)/60)+(RIGHT(TEXT($N1710,"000000"),2)/3600)),-(MID(TEXT($N1710,"000000"),2,2)+(MID(TEXT($N1710,"000000"),4,2)/60)+(RIGHT(TEXT($N1710,"000000"),2)/3600)))</f>
        <v>-6.3991666666666669</v>
      </c>
      <c r="P1710" s="252" t="s">
        <v>47</v>
      </c>
      <c r="Q1710" s="253" t="s">
        <v>6797</v>
      </c>
      <c r="R1710" s="277" t="s">
        <v>3293</v>
      </c>
      <c r="S1710" s="272" t="s">
        <v>3293</v>
      </c>
      <c r="T1710" s="273"/>
      <c r="U1710" s="274"/>
      <c r="V1710" s="280"/>
      <c r="W1710" s="244"/>
      <c r="X1710" s="244"/>
      <c r="Y1710" s="362"/>
      <c r="Z1710" s="257">
        <f>altaz(J2000_Bas,$O1710,$M1710,DecLat,DecLong,1)</f>
        <v>-62.067040343246326</v>
      </c>
      <c r="AA1710" s="257">
        <f>altaz((J2000_Bas+(2*0.04167)),$O1710,$M1710,DecLat,DecLong,1)</f>
        <v>-41.916521990996344</v>
      </c>
      <c r="AB1710" s="257">
        <f>altaz((J2000_Bas+(4*0.04167)),$O1710,$M1710,DecLat,DecLong,1)</f>
        <v>-16.742701476397354</v>
      </c>
      <c r="AC1710" s="257">
        <f>altaz((J2000_Bas+(6*0.04167)),$O1710,$M1710,DecLat,DecLong,1)</f>
        <v>8.8615583147382342</v>
      </c>
      <c r="AD1710" s="258">
        <f>1+ transit((J2000_Bas-1),$O1710,$M1710,DecLat,DecLong)/360 + (GMTOffset/24) + (IF(DST="Y", 1, 0)/24)</f>
        <v>1.2481314165880413</v>
      </c>
      <c r="AE1710" s="259">
        <f>DATE(2001,9,21)+(M1710/360)*365 - (360*((DecLong/360)- (GMTOffset/24) ))</f>
        <v>37253.159490740742</v>
      </c>
      <c r="AF1710" s="260">
        <f>IF(DecLat&gt;0,IF((90 - (DecLat-O1710))&gt;90, (90 - (O1710-DecLat)), (90 - (DecLat-O1710))),IF((90 + (DecLat-O1710))&gt;90, (90 + (O1710-DecLat)), (90 + (DecLat-O1710))))</f>
        <v>52.600833333333334</v>
      </c>
      <c r="AG1710" s="257">
        <f>angularseperation(MoonRA,MoonDec,$M1710,$O1710)</f>
        <v>139.98338697778712</v>
      </c>
      <c r="AH1710" s="261">
        <f ca="1">MIN(100,IF($O$5&gt;80,0+30*($AG1710/100),IF($O$5&gt;70,0+50*($AG1710/100),IF($O$5&gt;60,5+50*($AG1710/100),IF($O$5&gt;50,10+60*($AG1710/100),IF($O$5&gt;40,15+70*($AG1710/100),IF($O$5&gt;30,20+70*($AG1710/100),IF($O$5&gt;20,40+55*($AG1710/100),(80+(20-$O$5)+30*($AG1710/100))))))))))</f>
        <v>100</v>
      </c>
      <c r="AI1710" s="262">
        <v>2170</v>
      </c>
      <c r="AJ1710" s="262"/>
      <c r="AK1710" s="262"/>
      <c r="AL1710" s="263"/>
      <c r="AM1710" s="264"/>
      <c r="AN1710" s="263"/>
      <c r="AO1710" s="263"/>
      <c r="AP1710" s="265"/>
      <c r="AQ1710" s="266"/>
      <c r="AR1710" s="267"/>
      <c r="AS1710" s="263"/>
      <c r="AT1710" s="263"/>
      <c r="AU1710" s="263"/>
      <c r="AV1710" s="264"/>
      <c r="AW1710" s="263"/>
      <c r="AX1710" s="263"/>
      <c r="AY1710" s="263">
        <v>999</v>
      </c>
      <c r="AZ1710" s="263"/>
      <c r="BA1710" s="263"/>
      <c r="BB1710" s="263"/>
      <c r="BC1710" s="263"/>
      <c r="BD1710" s="264"/>
      <c r="BE1710" s="263"/>
      <c r="BF1710" s="263">
        <v>29</v>
      </c>
      <c r="BG1710" s="263"/>
      <c r="BH1710" s="263"/>
      <c r="BI1710" s="263"/>
      <c r="BJ1710" s="404">
        <f>altaz(J2000_Bas,$O1710,$M1710,DecLat,DecLong,2)</f>
        <v>31.165418788595296</v>
      </c>
      <c r="BK1710" s="378" t="s">
        <v>1704</v>
      </c>
      <c r="BL1710" s="379">
        <f>IF((2*G1710)/60&lt;0.2,0.2,(2*G1710)/60)</f>
        <v>1.3333333333333333</v>
      </c>
      <c r="BM1710" s="380">
        <f>MOD((50000+AD1710-$B$3+(0/24)),1)</f>
        <v>0.46349834628927056</v>
      </c>
      <c r="BN1710" s="381"/>
      <c r="BO1710" s="382">
        <v>1703</v>
      </c>
    </row>
    <row r="1711" spans="1:67" s="24" customFormat="1" ht="15" customHeight="1" x14ac:dyDescent="0.25">
      <c r="A1711" s="288" t="s">
        <v>1705</v>
      </c>
      <c r="B1711" s="241" t="str">
        <f>HYPERLINK(CONCATENATE($AT$3,BK1711,$AU$3),$AV$3)</f>
        <v>S</v>
      </c>
      <c r="C1711" s="242" t="str">
        <f>HYPERLINK(CONCATENATE($AT$4,BK1711,$AU$4,BL1711),$AV$4)</f>
        <v>A</v>
      </c>
      <c r="D1711" s="243" t="s">
        <v>5187</v>
      </c>
      <c r="E1711" s="244" t="s">
        <v>5183</v>
      </c>
      <c r="F1711" s="269" t="s">
        <v>9169</v>
      </c>
      <c r="G1711" s="276">
        <v>40</v>
      </c>
      <c r="H1711" s="283">
        <v>7000</v>
      </c>
      <c r="I1711" s="246">
        <v>80</v>
      </c>
      <c r="J1711" s="246">
        <v>4</v>
      </c>
      <c r="K1711" s="247" t="s">
        <v>6798</v>
      </c>
      <c r="L1711" s="248">
        <v>60924</v>
      </c>
      <c r="M1711" s="249">
        <f>15*(LEFT(TEXT($L1711,"000000"),2)+(MID(TEXT($L1711,"000000"),3,2)/60)+(RIGHT(TEXT($L1711,"000000"),2)/3600))</f>
        <v>92.350000000000009</v>
      </c>
      <c r="N1711" s="250">
        <v>203934</v>
      </c>
      <c r="O1711" s="251">
        <f>IF($N1711&gt;0,(LEFT(TEXT($N1711,"000000"),2)+(MID(TEXT($N1711,"000000"),3,2)/60)+(RIGHT(TEXT($N1711,"000000"),2)/3600)),-(MID(TEXT($N1711,"000000"),2,2)+(MID(TEXT($N1711,"000000"),4,2)/60)+(RIGHT(TEXT($N1711,"000000"),2)/3600)))</f>
        <v>20.659444444444443</v>
      </c>
      <c r="P1711" s="252" t="s">
        <v>41</v>
      </c>
      <c r="Q1711" s="253" t="s">
        <v>7033</v>
      </c>
      <c r="R1711" s="277" t="s">
        <v>3293</v>
      </c>
      <c r="S1711" s="272" t="s">
        <v>3293</v>
      </c>
      <c r="T1711" s="273"/>
      <c r="U1711" s="274"/>
      <c r="V1711" s="280"/>
      <c r="W1711" s="244"/>
      <c r="X1711" s="244"/>
      <c r="Y1711" s="362"/>
      <c r="Z1711" s="257">
        <f>altaz(J2000_Bas,$O1711,$M1711,DecLat,DecLong,1)</f>
        <v>-36.703364801428776</v>
      </c>
      <c r="AA1711" s="257">
        <f>altaz((J2000_Bas+(2*0.04167)),$O1711,$M1711,DecLat,DecLong,1)</f>
        <v>-23.439567366060452</v>
      </c>
      <c r="AB1711" s="257">
        <f>altaz((J2000_Bas+(4*0.04167)),$O1711,$M1711,DecLat,DecLong,1)</f>
        <v>-2.3933639339922927</v>
      </c>
      <c r="AC1711" s="257">
        <f>altaz((J2000_Bas+(6*0.04167)),$O1711,$M1711,DecLat,DecLong,1)</f>
        <v>21.991620422950266</v>
      </c>
      <c r="AD1711" s="258">
        <f>1+ transit((J2000_Bas-1),$O1711,$M1711,DecLat,DecLong)/360 + (GMTOffset/24) + (IF(DST="Y", 1, 0)/24)</f>
        <v>1.249427712754708</v>
      </c>
      <c r="AE1711" s="259">
        <f>DATE(2001,9,21)+(M1711/360)*365 - (360*((DecLong/360)- (GMTOffset/24) ))</f>
        <v>37253.632638888892</v>
      </c>
      <c r="AF1711" s="260">
        <f>IF(DecLat&gt;0,IF((90 - (DecLat-O1711))&gt;90, (90 - (O1711-DecLat)), (90 - (DecLat-O1711))),IF((90 + (DecLat-O1711))&gt;90, (90 + (O1711-DecLat)), (90 + (DecLat-O1711))))</f>
        <v>79.659444444444446</v>
      </c>
      <c r="AG1711" s="257">
        <f>angularseperation(MoonRA,MoonDec,$M1711,$O1711)</f>
        <v>157.95329955796836</v>
      </c>
      <c r="AH1711" s="261">
        <f ca="1">MIN(100,IF($O$5&gt;80,0+30*($AG1711/100),IF($O$5&gt;70,0+50*($AG1711/100),IF($O$5&gt;60,5+50*($AG1711/100),IF($O$5&gt;50,10+60*($AG1711/100),IF($O$5&gt;40,15+70*($AG1711/100),IF($O$5&gt;30,20+70*($AG1711/100),IF($O$5&gt;20,40+55*($AG1711/100),(80+(20-$O$5)+30*($AG1711/100))))))))))</f>
        <v>100</v>
      </c>
      <c r="AI1711" s="262">
        <v>2174</v>
      </c>
      <c r="AJ1711" s="262"/>
      <c r="AK1711" s="262"/>
      <c r="AL1711" s="263"/>
      <c r="AM1711" s="264"/>
      <c r="AN1711" s="263"/>
      <c r="AO1711" s="263"/>
      <c r="AP1711" s="265"/>
      <c r="AQ1711" s="266"/>
      <c r="AR1711" s="267"/>
      <c r="AS1711" s="263"/>
      <c r="AT1711" s="263"/>
      <c r="AU1711" s="263"/>
      <c r="AV1711" s="264"/>
      <c r="AW1711" s="263"/>
      <c r="AX1711" s="263"/>
      <c r="AY1711" s="263"/>
      <c r="AZ1711" s="263"/>
      <c r="BA1711" s="263"/>
      <c r="BB1711" s="263">
        <v>252</v>
      </c>
      <c r="BC1711" s="263"/>
      <c r="BD1711" s="264"/>
      <c r="BE1711" s="263">
        <v>37</v>
      </c>
      <c r="BF1711" s="263"/>
      <c r="BG1711" s="263"/>
      <c r="BH1711" s="263"/>
      <c r="BI1711" s="263"/>
      <c r="BJ1711" s="404">
        <f>altaz(J2000_Bas,$O1711,$M1711,DecLat,DecLong,2)</f>
        <v>15.990088379331917</v>
      </c>
      <c r="BK1711" s="378" t="s">
        <v>1705</v>
      </c>
      <c r="BL1711" s="379">
        <f>IF((2*G1711)/60&lt;0.2,0.2,(2*G1711)/60)</f>
        <v>1.3333333333333333</v>
      </c>
      <c r="BM1711" s="380">
        <f>MOD((50000+AD1711-$B$3+(0/24)),1)</f>
        <v>0.46479464245931013</v>
      </c>
      <c r="BN1711" s="381"/>
      <c r="BO1711" s="382">
        <v>1704</v>
      </c>
    </row>
    <row r="1712" spans="1:67" s="24" customFormat="1" ht="15" customHeight="1" x14ac:dyDescent="0.25">
      <c r="A1712" s="288" t="s">
        <v>1706</v>
      </c>
      <c r="B1712" s="241" t="str">
        <f>HYPERLINK(CONCATENATE($AT$3,BK1712,$AU$3),$AV$3)</f>
        <v>S</v>
      </c>
      <c r="C1712" s="242" t="str">
        <f>HYPERLINK(CONCATENATE($AT$4,BK1712,$AU$4,BL1712),$AV$4)</f>
        <v>A</v>
      </c>
      <c r="D1712" s="243" t="s">
        <v>5187</v>
      </c>
      <c r="E1712" s="244" t="s">
        <v>5186</v>
      </c>
      <c r="F1712" s="269"/>
      <c r="G1712" s="273">
        <v>8</v>
      </c>
      <c r="H1712" s="283">
        <v>2800</v>
      </c>
      <c r="I1712" s="279">
        <v>7</v>
      </c>
      <c r="J1712" s="246">
        <v>2</v>
      </c>
      <c r="K1712" s="247" t="s">
        <v>6800</v>
      </c>
      <c r="L1712" s="248">
        <v>61100</v>
      </c>
      <c r="M1712" s="249">
        <f>15*(LEFT(TEXT($L1712,"000000"),2)+(MID(TEXT($L1712,"000000"),3,2)/60)+(RIGHT(TEXT($L1712,"000000"),2)/3600))</f>
        <v>92.75</v>
      </c>
      <c r="N1712" s="250">
        <v>-61336</v>
      </c>
      <c r="O1712" s="251">
        <f>IF($N1712&gt;0,(LEFT(TEXT($N1712,"000000"),2)+(MID(TEXT($N1712,"000000"),3,2)/60)+(RIGHT(TEXT($N1712,"000000"),2)/3600)),-(MID(TEXT($N1712,"000000"),2,2)+(MID(TEXT($N1712,"000000"),4,2)/60)+(RIGHT(TEXT($N1712,"000000"),2)/3600)))</f>
        <v>-6.2266666666666666</v>
      </c>
      <c r="P1712" s="252" t="s">
        <v>47</v>
      </c>
      <c r="Q1712" s="253"/>
      <c r="R1712" s="247" t="s">
        <v>3293</v>
      </c>
      <c r="S1712" s="272" t="s">
        <v>6799</v>
      </c>
      <c r="T1712" s="273"/>
      <c r="U1712" s="274"/>
      <c r="V1712" s="280"/>
      <c r="W1712" s="244"/>
      <c r="X1712" s="244"/>
      <c r="Y1712" s="362"/>
      <c r="Z1712" s="257">
        <f>altaz(J2000_Bas,$O1712,$M1712,DecLat,DecLong,1)</f>
        <v>-62.285977302251766</v>
      </c>
      <c r="AA1712" s="257">
        <f>altaz((J2000_Bas+(2*0.04167)),$O1712,$M1712,DecLat,DecLong,1)</f>
        <v>-42.502754203604994</v>
      </c>
      <c r="AB1712" s="257">
        <f>altaz((J2000_Bas+(4*0.04167)),$O1712,$M1712,DecLat,DecLong,1)</f>
        <v>-17.396988938070479</v>
      </c>
      <c r="AC1712" s="257">
        <f>altaz((J2000_Bas+(6*0.04167)),$O1712,$M1712,DecLat,DecLong,1)</f>
        <v>8.2301455136759998</v>
      </c>
      <c r="AD1712" s="258">
        <f>1+ transit((J2000_Bas-1),$O1712,$M1712,DecLat,DecLong)/360 + (GMTOffset/24) + (IF(DST="Y", 1, 0)/24)</f>
        <v>1.2505388237547079</v>
      </c>
      <c r="AE1712" s="259">
        <f>DATE(2001,9,21)+(M1712/360)*365 - (360*((DecLong/360)- (GMTOffset/24) ))</f>
        <v>37254.038194444445</v>
      </c>
      <c r="AF1712" s="260">
        <f>IF(DecLat&gt;0,IF((90 - (DecLat-O1712))&gt;90, (90 - (O1712-DecLat)), (90 - (DecLat-O1712))),IF((90 + (DecLat-O1712))&gt;90, (90 + (O1712-DecLat)), (90 + (DecLat-O1712))))</f>
        <v>52.773333333333333</v>
      </c>
      <c r="AG1712" s="257">
        <f>angularseperation(MoonRA,MoonDec,$M1712,$O1712)</f>
        <v>139.66254807366204</v>
      </c>
      <c r="AH1712" s="261">
        <f ca="1">MIN(100,IF($O$5&gt;80,0+30*($AG1712/100),IF($O$5&gt;70,0+50*($AG1712/100),IF($O$5&gt;60,5+50*($AG1712/100),IF($O$5&gt;50,10+60*($AG1712/100),IF($O$5&gt;40,15+70*($AG1712/100),IF($O$5&gt;30,20+70*($AG1712/100),IF($O$5&gt;20,40+55*($AG1712/100),(80+(20-$O$5)+30*($AG1712/100))))))))))</f>
        <v>100</v>
      </c>
      <c r="AI1712" s="262">
        <v>2185</v>
      </c>
      <c r="AJ1712" s="262"/>
      <c r="AK1712" s="262">
        <v>73</v>
      </c>
      <c r="AL1712" s="263"/>
      <c r="AM1712" s="264"/>
      <c r="AN1712" s="263"/>
      <c r="AO1712" s="263"/>
      <c r="AP1712" s="265"/>
      <c r="AQ1712" s="266"/>
      <c r="AR1712" s="267"/>
      <c r="AS1712" s="263"/>
      <c r="AT1712" s="263"/>
      <c r="AU1712" s="263"/>
      <c r="AV1712" s="264"/>
      <c r="AW1712" s="263"/>
      <c r="AX1712" s="263"/>
      <c r="AY1712" s="263"/>
      <c r="AZ1712" s="263"/>
      <c r="BA1712" s="263"/>
      <c r="BB1712" s="263"/>
      <c r="BC1712" s="263"/>
      <c r="BD1712" s="264"/>
      <c r="BE1712" s="263"/>
      <c r="BF1712" s="263"/>
      <c r="BG1712" s="263"/>
      <c r="BH1712" s="263"/>
      <c r="BI1712" s="263"/>
      <c r="BJ1712" s="404">
        <f>altaz(J2000_Bas,$O1712,$M1712,DecLat,DecLong,2)</f>
        <v>29.342536749980937</v>
      </c>
      <c r="BK1712" s="378" t="s">
        <v>1706</v>
      </c>
      <c r="BL1712" s="379">
        <f>IF((2*G1712)/60&lt;0.2,0.2,(2*G1712)/60)</f>
        <v>0.26666666666666666</v>
      </c>
      <c r="BM1712" s="380">
        <f>MOD((50000+AD1712-$B$3+(0/24)),1)</f>
        <v>0.46590575345908292</v>
      </c>
      <c r="BN1712" s="381"/>
      <c r="BO1712" s="382">
        <v>1705</v>
      </c>
    </row>
    <row r="1713" spans="1:67" s="24" customFormat="1" ht="15" customHeight="1" x14ac:dyDescent="0.25">
      <c r="A1713" s="287" t="s">
        <v>2968</v>
      </c>
      <c r="B1713" s="241" t="str">
        <f>HYPERLINK(CONCATENATE($AT$3,BK1713,$AU$3),$AV$3)</f>
        <v>S</v>
      </c>
      <c r="C1713" s="242" t="str">
        <f>HYPERLINK(CONCATENATE($AT$4,BK1713,$AU$4,BL1713),$AV$4)</f>
        <v>A</v>
      </c>
      <c r="D1713" s="243" t="s">
        <v>5335</v>
      </c>
      <c r="E1713" s="244" t="s">
        <v>5185</v>
      </c>
      <c r="F1713" s="269" t="s">
        <v>6665</v>
      </c>
      <c r="G1713" s="273">
        <v>4</v>
      </c>
      <c r="H1713" s="283">
        <v>7500</v>
      </c>
      <c r="I1713" s="279">
        <v>9</v>
      </c>
      <c r="J1713" s="246">
        <v>2</v>
      </c>
      <c r="K1713" s="247" t="s">
        <v>6801</v>
      </c>
      <c r="L1713" s="248">
        <v>61212</v>
      </c>
      <c r="M1713" s="249">
        <f>15*(LEFT(TEXT($L1713,"000000"),2)+(MID(TEXT($L1713,"000000"),3,2)/60)+(RIGHT(TEXT($L1713,"000000"),2)/3600))</f>
        <v>93.05</v>
      </c>
      <c r="N1713" s="250">
        <v>52700</v>
      </c>
      <c r="O1713" s="251">
        <f>IF($N1713&gt;0,(LEFT(TEXT($N1713,"000000"),2)+(MID(TEXT($N1713,"000000"),3,2)/60)+(RIGHT(TEXT($N1713,"000000"),2)/3600)),-(MID(TEXT($N1713,"000000"),2,2)+(MID(TEXT($N1713,"000000"),4,2)/60)+(RIGHT(TEXT($N1713,"000000"),2)/3600)))</f>
        <v>5.45</v>
      </c>
      <c r="P1713" s="252" t="s">
        <v>41</v>
      </c>
      <c r="Q1713" s="253"/>
      <c r="R1713" s="277" t="s">
        <v>3293</v>
      </c>
      <c r="S1713" s="272" t="s">
        <v>3293</v>
      </c>
      <c r="T1713" s="273">
        <v>8.6999999999999993</v>
      </c>
      <c r="U1713" s="274"/>
      <c r="V1713" s="280"/>
      <c r="W1713" s="244"/>
      <c r="X1713" s="244"/>
      <c r="Y1713" s="362"/>
      <c r="Z1713" s="257">
        <f>altaz(J2000_Bas,$O1713,$M1713,DecLat,DecLong,1)</f>
        <v>-51.505160991425825</v>
      </c>
      <c r="AA1713" s="257">
        <f>altaz((J2000_Bas+(2*0.04167)),$O1713,$M1713,DecLat,DecLong,1)</f>
        <v>-35.083114346964464</v>
      </c>
      <c r="AB1713" s="257">
        <f>altaz((J2000_Bas+(4*0.04167)),$O1713,$M1713,DecLat,DecLong,1)</f>
        <v>-11.46841652933872</v>
      </c>
      <c r="AC1713" s="257">
        <f>altaz((J2000_Bas+(6*0.04167)),$O1713,$M1713,DecLat,DecLong,1)</f>
        <v>14.114332752983058</v>
      </c>
      <c r="AD1713" s="258">
        <f>1+ transit((J2000_Bas-1),$O1713,$M1713,DecLat,DecLong)/360 + (GMTOffset/24) + (IF(DST="Y", 1, 0)/24)</f>
        <v>1.2513721570047081</v>
      </c>
      <c r="AE1713" s="259">
        <f>DATE(2001,9,21)+(M1713/360)*365 - (360*((DecLong/360)- (GMTOffset/24) ))</f>
        <v>37254.342361111114</v>
      </c>
      <c r="AF1713" s="260">
        <f>IF(DecLat&gt;0,IF((90 - (DecLat-O1713))&gt;90, (90 - (O1713-DecLat)), (90 - (DecLat-O1713))),IF((90 + (DecLat-O1713))&gt;90, (90 + (O1713-DecLat)), (90 + (DecLat-O1713))))</f>
        <v>64.45</v>
      </c>
      <c r="AG1713" s="257">
        <f>angularseperation(MoonRA,MoonDec,$M1713,$O1713)</f>
        <v>148.66422767053763</v>
      </c>
      <c r="AH1713" s="261">
        <f ca="1">MIN(100,IF($O$5&gt;80,0+30*($AG1713/100),IF($O$5&gt;70,0+50*($AG1713/100),IF($O$5&gt;60,5+50*($AG1713/100),IF($O$5&gt;50,10+60*($AG1713/100),IF($O$5&gt;40,15+70*($AG1713/100),IF($O$5&gt;30,20+70*($AG1713/100),IF($O$5&gt;20,40+55*($AG1713/100),(80+(20-$O$5)+30*($AG1713/100))))))))))</f>
        <v>100</v>
      </c>
      <c r="AI1713" s="262">
        <v>2186</v>
      </c>
      <c r="AJ1713" s="263"/>
      <c r="AK1713" s="263">
        <v>74</v>
      </c>
      <c r="AL1713" s="263"/>
      <c r="AM1713" s="264"/>
      <c r="AN1713" s="263"/>
      <c r="AO1713" s="263"/>
      <c r="AP1713" s="265"/>
      <c r="AQ1713" s="265"/>
      <c r="AR1713" s="285"/>
      <c r="AS1713" s="263"/>
      <c r="AT1713" s="263"/>
      <c r="AU1713" s="263"/>
      <c r="AV1713" s="264"/>
      <c r="AW1713" s="263"/>
      <c r="AX1713" s="263"/>
      <c r="AY1713" s="263"/>
      <c r="AZ1713" s="263"/>
      <c r="BA1713" s="263"/>
      <c r="BB1713" s="263"/>
      <c r="BC1713" s="263"/>
      <c r="BD1713" s="264"/>
      <c r="BE1713" s="263"/>
      <c r="BF1713" s="263"/>
      <c r="BG1713" s="263"/>
      <c r="BH1713" s="263"/>
      <c r="BI1713" s="263"/>
      <c r="BJ1713" s="404">
        <f>altaz(J2000_Bas,$O1713,$M1713,DecLat,DecLong,2)</f>
        <v>21.006711292455496</v>
      </c>
      <c r="BK1713" s="378" t="s">
        <v>2968</v>
      </c>
      <c r="BL1713" s="379">
        <f>IF((2*G1713)/60&lt;0.2,0.2,(2*G1713)/60)</f>
        <v>0.2</v>
      </c>
      <c r="BM1713" s="380">
        <f>MOD((50000+AD1713-$B$3+(0/24)),1)</f>
        <v>0.4667390867107315</v>
      </c>
      <c r="BN1713" s="381"/>
      <c r="BO1713" s="382">
        <v>1706</v>
      </c>
    </row>
    <row r="1714" spans="1:67" s="24" customFormat="1" ht="15" customHeight="1" x14ac:dyDescent="0.25">
      <c r="A1714" s="287" t="s">
        <v>2969</v>
      </c>
      <c r="B1714" s="241" t="str">
        <f>HYPERLINK(CONCATENATE($AT$3,BK1714,$AU$3),$AV$3)</f>
        <v>S</v>
      </c>
      <c r="C1714" s="242" t="str">
        <f>HYPERLINK(CONCATENATE($AT$4,BK1714,$AU$4,BL1714),$AV$4)</f>
        <v>A</v>
      </c>
      <c r="D1714" s="243" t="s">
        <v>5335</v>
      </c>
      <c r="E1714" s="244" t="s">
        <v>5185</v>
      </c>
      <c r="F1714" s="269" t="s">
        <v>6802</v>
      </c>
      <c r="G1714" s="276">
        <v>10</v>
      </c>
      <c r="H1714" s="283">
        <v>11000</v>
      </c>
      <c r="I1714" s="246">
        <v>32</v>
      </c>
      <c r="J1714" s="246">
        <v>2</v>
      </c>
      <c r="K1714" s="247" t="s">
        <v>6805</v>
      </c>
      <c r="L1714" s="248">
        <v>61348</v>
      </c>
      <c r="M1714" s="249">
        <f>15*(LEFT(TEXT($L1714,"000000"),2)+(MID(TEXT($L1714,"000000"),3,2)/60)+(RIGHT(TEXT($L1714,"000000"),2)/3600))</f>
        <v>93.45</v>
      </c>
      <c r="N1714" s="250">
        <v>124800</v>
      </c>
      <c r="O1714" s="251">
        <f>IF($N1714&gt;0,(LEFT(TEXT($N1714,"000000"),2)+(MID(TEXT($N1714,"000000"),3,2)/60)+(RIGHT(TEXT($N1714,"000000"),2)/3600)),-(MID(TEXT($N1714,"000000"),2,2)+(MID(TEXT($N1714,"000000"),4,2)/60)+(RIGHT(TEXT($N1714,"000000"),2)/3600)))</f>
        <v>12.8</v>
      </c>
      <c r="P1714" s="252" t="s">
        <v>41</v>
      </c>
      <c r="Q1714" s="253"/>
      <c r="R1714" s="277" t="s">
        <v>3293</v>
      </c>
      <c r="S1714" s="272" t="s">
        <v>3293</v>
      </c>
      <c r="T1714" s="273">
        <v>8.5</v>
      </c>
      <c r="U1714" s="274"/>
      <c r="V1714" s="280"/>
      <c r="W1714" s="244"/>
      <c r="X1714" s="244"/>
      <c r="Y1714" s="362"/>
      <c r="Z1714" s="257">
        <f>altaz(J2000_Bas,$O1714,$M1714,DecLat,DecLong,1)</f>
        <v>-44.570016532768989</v>
      </c>
      <c r="AA1714" s="257">
        <f>altaz((J2000_Bas+(2*0.04167)),$O1714,$M1714,DecLat,DecLong,1)</f>
        <v>-30.053308392812539</v>
      </c>
      <c r="AB1714" s="257">
        <f>altaz((J2000_Bas+(4*0.04167)),$O1714,$M1714,DecLat,DecLong,1)</f>
        <v>-7.7098878438750882</v>
      </c>
      <c r="AC1714" s="257">
        <f>altaz((J2000_Bas+(6*0.04167)),$O1714,$M1714,DecLat,DecLong,1)</f>
        <v>17.420358229374575</v>
      </c>
      <c r="AD1714" s="258">
        <f>1+ transit((J2000_Bas-1),$O1714,$M1714,DecLat,DecLong)/360 + (GMTOffset/24) + (IF(DST="Y", 1, 0)/24)</f>
        <v>1.252483268004708</v>
      </c>
      <c r="AE1714" s="259">
        <f>DATE(2001,9,21)+(M1714/360)*365 - (360*((DecLong/360)- (GMTOffset/24) ))</f>
        <v>37254.747916666667</v>
      </c>
      <c r="AF1714" s="260">
        <f>IF(DecLat&gt;0,IF((90 - (DecLat-O1714))&gt;90, (90 - (O1714-DecLat)), (90 - (DecLat-O1714))),IF((90 + (DecLat-O1714))&gt;90, (90 + (O1714-DecLat)), (90 + (DecLat-O1714))))</f>
        <v>71.8</v>
      </c>
      <c r="AG1714" s="257">
        <f>angularseperation(MoonRA,MoonDec,$M1714,$O1714)</f>
        <v>153.21902713442836</v>
      </c>
      <c r="AH1714" s="261">
        <f ca="1">MIN(100,IF($O$5&gt;80,0+30*($AG1714/100),IF($O$5&gt;70,0+50*($AG1714/100),IF($O$5&gt;60,5+50*($AG1714/100),IF($O$5&gt;50,10+60*($AG1714/100),IF($O$5&gt;40,15+70*($AG1714/100),IF($O$5&gt;30,20+70*($AG1714/100),IF($O$5&gt;20,40+55*($AG1714/100),(80+(20-$O$5)+30*($AG1714/100))))))))))</f>
        <v>100</v>
      </c>
      <c r="AI1714" s="262">
        <v>2194</v>
      </c>
      <c r="AJ1714" s="263"/>
      <c r="AK1714" s="263">
        <v>75</v>
      </c>
      <c r="AL1714" s="263"/>
      <c r="AM1714" s="264"/>
      <c r="AN1714" s="263"/>
      <c r="AO1714" s="263"/>
      <c r="AP1714" s="265"/>
      <c r="AQ1714" s="265"/>
      <c r="AR1714" s="285"/>
      <c r="AS1714" s="263"/>
      <c r="AT1714" s="263"/>
      <c r="AU1714" s="263"/>
      <c r="AV1714" s="264"/>
      <c r="AW1714" s="263"/>
      <c r="AX1714" s="263"/>
      <c r="AY1714" s="263"/>
      <c r="AZ1714" s="263"/>
      <c r="BA1714" s="263"/>
      <c r="BB1714" s="263"/>
      <c r="BC1714" s="263"/>
      <c r="BD1714" s="264"/>
      <c r="BE1714" s="263"/>
      <c r="BF1714" s="263"/>
      <c r="BG1714" s="263"/>
      <c r="BH1714" s="263"/>
      <c r="BI1714" s="263"/>
      <c r="BJ1714" s="404">
        <f>altaz(J2000_Bas,$O1714,$M1714,DecLat,DecLong,2)</f>
        <v>17.307364403006503</v>
      </c>
      <c r="BK1714" s="378" t="s">
        <v>2969</v>
      </c>
      <c r="BL1714" s="379">
        <f>IF((2*G1714)/60&lt;0.2,0.2,(2*G1714)/60)</f>
        <v>0.33333333333333331</v>
      </c>
      <c r="BM1714" s="380">
        <f>MOD((50000+AD1714-$B$3+(0/24)),1)</f>
        <v>0.46785019771050429</v>
      </c>
      <c r="BN1714" s="381"/>
      <c r="BO1714" s="382">
        <v>1707</v>
      </c>
    </row>
    <row r="1715" spans="1:67" s="24" customFormat="1" ht="15" customHeight="1" x14ac:dyDescent="0.25">
      <c r="A1715" s="288" t="s">
        <v>1707</v>
      </c>
      <c r="B1715" s="241" t="str">
        <f>HYPERLINK(CONCATENATE($AT$3,BK1715,$AU$3),$AV$3)</f>
        <v>S</v>
      </c>
      <c r="C1715" s="242" t="str">
        <f>HYPERLINK(CONCATENATE($AT$4,BK1715,$AU$4,BL1715),$AV$4)</f>
        <v>A</v>
      </c>
      <c r="D1715" s="243" t="s">
        <v>5638</v>
      </c>
      <c r="E1715" s="244" t="s">
        <v>5192</v>
      </c>
      <c r="F1715" s="269" t="s">
        <v>8804</v>
      </c>
      <c r="G1715" s="273">
        <v>3</v>
      </c>
      <c r="H1715" s="283">
        <v>95</v>
      </c>
      <c r="I1715" s="246">
        <v>80</v>
      </c>
      <c r="J1715" s="246">
        <v>2</v>
      </c>
      <c r="K1715" s="247" t="s">
        <v>6803</v>
      </c>
      <c r="L1715" s="248">
        <v>61210</v>
      </c>
      <c r="M1715" s="249">
        <f>15*(LEFT(TEXT($L1715,"000000"),2)+(MID(TEXT($L1715,"000000"),3,2)/60)+(RIGHT(TEXT($L1715,"000000"),2)/3600))</f>
        <v>93.041666666666671</v>
      </c>
      <c r="N1715" s="250">
        <v>-214823</v>
      </c>
      <c r="O1715" s="251">
        <f>IF($N1715&gt;0,(LEFT(TEXT($N1715,"000000"),2)+(MID(TEXT($N1715,"000000"),3,2)/60)+(RIGHT(TEXT($N1715,"000000"),2)/3600)),-(MID(TEXT($N1715,"000000"),2,2)+(MID(TEXT($N1715,"000000"),4,2)/60)+(RIGHT(TEXT($N1715,"000000"),2)/3600)))</f>
        <v>-21.80638888888889</v>
      </c>
      <c r="P1715" s="252" t="s">
        <v>70</v>
      </c>
      <c r="Q1715" s="253"/>
      <c r="R1715" s="247" t="s">
        <v>3293</v>
      </c>
      <c r="S1715" s="272" t="s">
        <v>3293</v>
      </c>
      <c r="T1715" s="273">
        <v>11</v>
      </c>
      <c r="U1715" s="289">
        <v>21.69</v>
      </c>
      <c r="V1715" s="280">
        <v>45</v>
      </c>
      <c r="W1715" s="244"/>
      <c r="X1715" s="244"/>
      <c r="Y1715" s="362"/>
      <c r="Z1715" s="257">
        <f>altaz(J2000_Bas,$O1715,$M1715,DecLat,DecLong,1)</f>
        <v>-75.21242490862285</v>
      </c>
      <c r="AA1715" s="257">
        <f>altaz((J2000_Bas+(2*0.04167)),$O1715,$M1715,DecLat,DecLong,1)</f>
        <v>-50.617325819549123</v>
      </c>
      <c r="AB1715" s="257">
        <f>altaz((J2000_Bas+(4*0.04167)),$O1715,$M1715,DecLat,DecLong,1)</f>
        <v>-24.978155255955617</v>
      </c>
      <c r="AC1715" s="257">
        <f>altaz((J2000_Bas+(6*0.04167)),$O1715,$M1715,DecLat,DecLong,1)</f>
        <v>-0.538336488829816</v>
      </c>
      <c r="AD1715" s="258">
        <f>1+ transit((J2000_Bas-1),$O1715,$M1715,DecLat,DecLong)/360 + (GMTOffset/24) + (IF(DST="Y", 1, 0)/24)</f>
        <v>1.2513490088588746</v>
      </c>
      <c r="AE1715" s="259">
        <f>DATE(2001,9,21)+(M1715/360)*365 - (360*((DecLong/360)- (GMTOffset/24) ))</f>
        <v>37254.333912037036</v>
      </c>
      <c r="AF1715" s="260">
        <f>IF(DecLat&gt;0,IF((90 - (DecLat-O1715))&gt;90, (90 - (O1715-DecLat)), (90 - (DecLat-O1715))),IF((90 + (DecLat-O1715))&gt;90, (90 + (O1715-DecLat)), (90 + (DecLat-O1715))))</f>
        <v>37.19361111111111</v>
      </c>
      <c r="AG1715" s="257">
        <f>angularseperation(MoonRA,MoonDec,$M1715,$O1715)</f>
        <v>125.95891050971862</v>
      </c>
      <c r="AH1715" s="261">
        <f ca="1">MIN(100,IF($O$5&gt;80,0+30*($AG1715/100),IF($O$5&gt;70,0+50*($AG1715/100),IF($O$5&gt;60,5+50*($AG1715/100),IF($O$5&gt;50,10+60*($AG1715/100),IF($O$5&gt;40,15+70*($AG1715/100),IF($O$5&gt;30,20+70*($AG1715/100),IF($O$5&gt;20,40+55*($AG1715/100),(80+(20-$O$5)+30*($AG1715/100))))))))))</f>
        <v>100</v>
      </c>
      <c r="AI1715" s="262">
        <v>2196</v>
      </c>
      <c r="AJ1715" s="262"/>
      <c r="AK1715" s="262"/>
      <c r="AL1715" s="263"/>
      <c r="AM1715" s="264"/>
      <c r="AN1715" s="263"/>
      <c r="AO1715" s="263"/>
      <c r="AP1715" s="265"/>
      <c r="AQ1715" s="266"/>
      <c r="AR1715" s="267">
        <v>18602</v>
      </c>
      <c r="AS1715" s="263"/>
      <c r="AT1715" s="263"/>
      <c r="AU1715" s="263"/>
      <c r="AV1715" s="264"/>
      <c r="AW1715" s="263"/>
      <c r="AX1715" s="263"/>
      <c r="AY1715" s="263"/>
      <c r="AZ1715" s="263"/>
      <c r="BA1715" s="263"/>
      <c r="BB1715" s="263"/>
      <c r="BC1715" s="263"/>
      <c r="BD1715" s="264"/>
      <c r="BE1715" s="263"/>
      <c r="BF1715" s="263"/>
      <c r="BG1715" s="263"/>
      <c r="BH1715" s="263"/>
      <c r="BI1715" s="263"/>
      <c r="BJ1715" s="404">
        <f>altaz(J2000_Bas,$O1715,$M1715,DecLat,DecLong,2)</f>
        <v>54.672944570403018</v>
      </c>
      <c r="BK1715" s="378" t="s">
        <v>1707</v>
      </c>
      <c r="BL1715" s="379">
        <f>IF((2*G1715)/60&lt;0.2,0.2,(2*G1715)/60)</f>
        <v>0.2</v>
      </c>
      <c r="BM1715" s="380">
        <f>MOD((50000+AD1715-$B$3+(0/24)),1)</f>
        <v>0.46671593856444815</v>
      </c>
      <c r="BN1715" s="381"/>
      <c r="BO1715" s="382">
        <v>1708</v>
      </c>
    </row>
    <row r="1716" spans="1:67" s="24" customFormat="1" ht="15" customHeight="1" x14ac:dyDescent="0.25">
      <c r="A1716" s="287" t="s">
        <v>2970</v>
      </c>
      <c r="B1716" s="241" t="str">
        <f>HYPERLINK(CONCATENATE($AT$3,BK1716,$AU$3),$AV$3)</f>
        <v>S</v>
      </c>
      <c r="C1716" s="242" t="str">
        <f>HYPERLINK(CONCATENATE($AT$4,BK1716,$AU$4,BL1716),$AV$4)</f>
        <v>A</v>
      </c>
      <c r="D1716" s="243" t="s">
        <v>5335</v>
      </c>
      <c r="E1716" s="244" t="s">
        <v>5185</v>
      </c>
      <c r="F1716" s="269" t="s">
        <v>6804</v>
      </c>
      <c r="G1716" s="276">
        <v>12</v>
      </c>
      <c r="H1716" s="283">
        <v>14000</v>
      </c>
      <c r="I1716" s="246">
        <v>50</v>
      </c>
      <c r="J1716" s="246">
        <v>2</v>
      </c>
      <c r="K1716" s="247" t="s">
        <v>6806</v>
      </c>
      <c r="L1716" s="248">
        <v>61542</v>
      </c>
      <c r="M1716" s="249">
        <f>15*(LEFT(TEXT($L1716,"000000"),2)+(MID(TEXT($L1716,"000000"),3,2)/60)+(RIGHT(TEXT($L1716,"000000"),2)/3600))</f>
        <v>93.924999999999997</v>
      </c>
      <c r="N1716" s="250">
        <v>-183900</v>
      </c>
      <c r="O1716" s="251">
        <f>IF($N1716&gt;0,(LEFT(TEXT($N1716,"000000"),2)+(MID(TEXT($N1716,"000000"),3,2)/60)+(RIGHT(TEXT($N1716,"000000"),2)/3600)),-(MID(TEXT($N1716,"000000"),2,2)+(MID(TEXT($N1716,"000000"),4,2)/60)+(RIGHT(TEXT($N1716,"000000"),2)/3600)))</f>
        <v>-18.649999999999999</v>
      </c>
      <c r="P1716" s="252" t="s">
        <v>80</v>
      </c>
      <c r="Q1716" s="253"/>
      <c r="R1716" s="277" t="s">
        <v>3293</v>
      </c>
      <c r="S1716" s="272" t="s">
        <v>3293</v>
      </c>
      <c r="T1716" s="273">
        <v>8.6</v>
      </c>
      <c r="U1716" s="274"/>
      <c r="V1716" s="280"/>
      <c r="W1716" s="244"/>
      <c r="X1716" s="244"/>
      <c r="Y1716" s="362"/>
      <c r="Z1716" s="257">
        <f>altaz(J2000_Bas,$O1716,$M1716,DecLat,DecLong,1)</f>
        <v>-73.512608264289767</v>
      </c>
      <c r="AA1716" s="257">
        <f>altaz((J2000_Bas+(2*0.04167)),$O1716,$M1716,DecLat,DecLong,1)</f>
        <v>-50.059535772607838</v>
      </c>
      <c r="AB1716" s="257">
        <f>altaz((J2000_Bas+(4*0.04167)),$O1716,$M1716,DecLat,DecLong,1)</f>
        <v>-24.352178505325949</v>
      </c>
      <c r="AC1716" s="257">
        <f>altaz((J2000_Bas+(6*0.04167)),$O1716,$M1716,DecLat,DecLong,1)</f>
        <v>0.50105465241627822</v>
      </c>
      <c r="AD1716" s="258">
        <f>1+ transit((J2000_Bas-1),$O1716,$M1716,DecLat,DecLong)/360 + (GMTOffset/24) + (IF(DST="Y", 1, 0)/24)</f>
        <v>1.253802712317208</v>
      </c>
      <c r="AE1716" s="259">
        <f>DATE(2001,9,21)+(M1716/360)*365 - (360*((DecLong/360)- (GMTOffset/24) ))</f>
        <v>37255.229513888888</v>
      </c>
      <c r="AF1716" s="260">
        <f>IF(DecLat&gt;0,IF((90 - (DecLat-O1716))&gt;90, (90 - (O1716-DecLat)), (90 - (DecLat-O1716))),IF((90 + (DecLat-O1716))&gt;90, (90 + (O1716-DecLat)), (90 + (DecLat-O1716))))</f>
        <v>40.35</v>
      </c>
      <c r="AG1716" s="257">
        <f>angularseperation(MoonRA,MoonDec,$M1716,$O1716)</f>
        <v>128.38276268346536</v>
      </c>
      <c r="AH1716" s="261">
        <f ca="1">MIN(100,IF($O$5&gt;80,0+30*($AG1716/100),IF($O$5&gt;70,0+50*($AG1716/100),IF($O$5&gt;60,5+50*($AG1716/100),IF($O$5&gt;50,10+60*($AG1716/100),IF($O$5&gt;40,15+70*($AG1716/100),IF($O$5&gt;30,20+70*($AG1716/100),IF($O$5&gt;20,40+55*($AG1716/100),(80+(20-$O$5)+30*($AG1716/100))))))))))</f>
        <v>100</v>
      </c>
      <c r="AI1716" s="262">
        <v>2204</v>
      </c>
      <c r="AJ1716" s="263"/>
      <c r="AK1716" s="263">
        <v>76</v>
      </c>
      <c r="AL1716" s="263"/>
      <c r="AM1716" s="264"/>
      <c r="AN1716" s="263"/>
      <c r="AO1716" s="263"/>
      <c r="AP1716" s="265"/>
      <c r="AQ1716" s="265"/>
      <c r="AR1716" s="285"/>
      <c r="AS1716" s="263"/>
      <c r="AT1716" s="263"/>
      <c r="AU1716" s="263"/>
      <c r="AV1716" s="264"/>
      <c r="AW1716" s="263"/>
      <c r="AX1716" s="263"/>
      <c r="AY1716" s="263"/>
      <c r="AZ1716" s="263"/>
      <c r="BA1716" s="263"/>
      <c r="BB1716" s="263"/>
      <c r="BC1716" s="263"/>
      <c r="BD1716" s="264"/>
      <c r="BE1716" s="263"/>
      <c r="BF1716" s="263"/>
      <c r="BG1716" s="263"/>
      <c r="BH1716" s="263"/>
      <c r="BI1716" s="263"/>
      <c r="BJ1716" s="404">
        <f>altaz(J2000_Bas,$O1716,$M1716,DecLat,DecLong,2)</f>
        <v>44.310258591339696</v>
      </c>
      <c r="BK1716" s="378" t="s">
        <v>2970</v>
      </c>
      <c r="BL1716" s="379">
        <f>IF((2*G1716)/60&lt;0.2,0.2,(2*G1716)/60)</f>
        <v>0.4</v>
      </c>
      <c r="BM1716" s="380">
        <f>MOD((50000+AD1716-$B$3+(0/24)),1)</f>
        <v>0.46916964201955125</v>
      </c>
      <c r="BN1716" s="381"/>
      <c r="BO1716" s="382">
        <v>1709</v>
      </c>
    </row>
    <row r="1717" spans="1:67" s="24" customFormat="1" ht="15" customHeight="1" x14ac:dyDescent="0.25">
      <c r="A1717" s="288" t="s">
        <v>7659</v>
      </c>
      <c r="B1717" s="241" t="str">
        <f>HYPERLINK(CONCATENATE($AT$3,BK1717,$AU$3),$AV$3)</f>
        <v>S</v>
      </c>
      <c r="C1717" s="242" t="str">
        <f>HYPERLINK(CONCATENATE($AT$4,BK1717,$AU$4,BL1717),$AV$4)</f>
        <v>A</v>
      </c>
      <c r="D1717" s="243" t="s">
        <v>5638</v>
      </c>
      <c r="E1717" s="244" t="s">
        <v>5178</v>
      </c>
      <c r="F1717" s="269"/>
      <c r="G1717" s="273">
        <v>3.8</v>
      </c>
      <c r="H1717" s="283">
        <v>120</v>
      </c>
      <c r="I1717" s="246">
        <v>140</v>
      </c>
      <c r="J1717" s="246">
        <v>2</v>
      </c>
      <c r="K1717" s="247" t="s">
        <v>6808</v>
      </c>
      <c r="L1717" s="248">
        <v>61622</v>
      </c>
      <c r="M1717" s="249">
        <f>15*(LEFT(TEXT($L1717,"000000"),2)+(MID(TEXT($L1717,"000000"),3,2)/60)+(RIGHT(TEXT($L1717,"000000"),2)/3600))</f>
        <v>94.091666666666669</v>
      </c>
      <c r="N1717" s="250">
        <v>-212222</v>
      </c>
      <c r="O1717" s="251">
        <f>IF($N1717&gt;0,(LEFT(TEXT($N1717,"000000"),2)+(MID(TEXT($N1717,"000000"),3,2)/60)+(RIGHT(TEXT($N1717,"000000"),2)/3600)),-(MID(TEXT($N1717,"000000"),2,2)+(MID(TEXT($N1717,"000000"),4,2)/60)+(RIGHT(TEXT($N1717,"000000"),2)/3600)))</f>
        <v>-21.372777777777777</v>
      </c>
      <c r="P1717" s="252" t="s">
        <v>80</v>
      </c>
      <c r="Q1717" s="253"/>
      <c r="R1717" s="247" t="s">
        <v>3293</v>
      </c>
      <c r="S1717" s="272" t="s">
        <v>6807</v>
      </c>
      <c r="T1717" s="273">
        <v>10.9</v>
      </c>
      <c r="U1717" s="289">
        <v>21.990000000000002</v>
      </c>
      <c r="V1717" s="280">
        <v>45</v>
      </c>
      <c r="W1717" s="244"/>
      <c r="X1717" s="244"/>
      <c r="Y1717" s="362"/>
      <c r="Z1717" s="257">
        <f>altaz(J2000_Bas,$O1717,$M1717,DecLat,DecLong,1)</f>
        <v>-75.634019802863946</v>
      </c>
      <c r="AA1717" s="257">
        <f>altaz((J2000_Bas+(2*0.04167)),$O1717,$M1717,DecLat,DecLong,1)</f>
        <v>-51.345977854212599</v>
      </c>
      <c r="AB1717" s="257">
        <f>altaz((J2000_Bas+(4*0.04167)),$O1717,$M1717,DecLat,DecLong,1)</f>
        <v>-25.677169517534868</v>
      </c>
      <c r="AC1717" s="257">
        <f>altaz((J2000_Bas+(6*0.04167)),$O1717,$M1717,DecLat,DecLong,1)</f>
        <v>-1.117125008072593</v>
      </c>
      <c r="AD1717" s="258">
        <f>1+ transit((J2000_Bas-1),$O1717,$M1717,DecLat,DecLong)/360 + (GMTOffset/24) + (IF(DST="Y", 1, 0)/24)</f>
        <v>1.2542656752338746</v>
      </c>
      <c r="AE1717" s="259">
        <f>DATE(2001,9,21)+(M1717/360)*365 - (360*((DecLong/360)- (GMTOffset/24) ))</f>
        <v>37255.398495370369</v>
      </c>
      <c r="AF1717" s="260">
        <f>IF(DecLat&gt;0,IF((90 - (DecLat-O1717))&gt;90, (90 - (O1717-DecLat)), (90 - (DecLat-O1717))),IF((90 + (DecLat-O1717))&gt;90, (90 + (O1717-DecLat)), (90 + (DecLat-O1717))))</f>
        <v>37.627222222222223</v>
      </c>
      <c r="AG1717" s="257">
        <f>angularseperation(MoonRA,MoonDec,$M1717,$O1717)</f>
        <v>125.90328204588755</v>
      </c>
      <c r="AH1717" s="261">
        <f ca="1">MIN(100,IF($O$5&gt;80,0+30*($AG1717/100),IF($O$5&gt;70,0+50*($AG1717/100),IF($O$5&gt;60,5+50*($AG1717/100),IF($O$5&gt;50,10+60*($AG1717/100),IF($O$5&gt;40,15+70*($AG1717/100),IF($O$5&gt;30,20+70*($AG1717/100),IF($O$5&gt;20,40+55*($AG1717/100),(80+(20-$O$5)+30*($AG1717/100))))))))))</f>
        <v>100</v>
      </c>
      <c r="AI1717" s="262">
        <v>2207</v>
      </c>
      <c r="AJ1717" s="262"/>
      <c r="AK1717" s="262"/>
      <c r="AL1717" s="263"/>
      <c r="AM1717" s="264"/>
      <c r="AN1717" s="263"/>
      <c r="AO1717" s="263"/>
      <c r="AP1717" s="265"/>
      <c r="AQ1717" s="266"/>
      <c r="AR1717" s="267">
        <v>18749</v>
      </c>
      <c r="AS1717" s="263"/>
      <c r="AT1717" s="263"/>
      <c r="AU1717" s="263"/>
      <c r="AV1717" s="264"/>
      <c r="AW1717" s="263"/>
      <c r="AX1717" s="263"/>
      <c r="AY1717" s="263"/>
      <c r="AZ1717" s="263"/>
      <c r="BA1717" s="263"/>
      <c r="BB1717" s="263"/>
      <c r="BC1717" s="263"/>
      <c r="BD1717" s="264"/>
      <c r="BE1717" s="263"/>
      <c r="BF1717" s="263"/>
      <c r="BG1717" s="263">
        <v>35</v>
      </c>
      <c r="BH1717" s="263"/>
      <c r="BI1717" s="263"/>
      <c r="BJ1717" s="404">
        <f>altaz(J2000_Bas,$O1717,$M1717,DecLat,DecLong,2)</f>
        <v>50.771687872292027</v>
      </c>
      <c r="BK1717" s="378" t="s">
        <v>1708</v>
      </c>
      <c r="BL1717" s="379">
        <f>IF((2*G1717)/60&lt;0.2,0.2,(2*G1717)/60)</f>
        <v>0.2</v>
      </c>
      <c r="BM1717" s="380">
        <f>MOD((50000+AD1717-$B$3+(0/24)),1)</f>
        <v>0.46963260493794223</v>
      </c>
      <c r="BN1717" s="381"/>
      <c r="BO1717" s="382">
        <v>1710</v>
      </c>
    </row>
    <row r="1718" spans="1:67" s="24" customFormat="1" ht="15" customHeight="1" x14ac:dyDescent="0.25">
      <c r="A1718" s="287" t="s">
        <v>2971</v>
      </c>
      <c r="B1718" s="241" t="str">
        <f>HYPERLINK(CONCATENATE($AT$3,BK1718,$AU$3),$AV$3)</f>
        <v>S</v>
      </c>
      <c r="C1718" s="242" t="str">
        <f>HYPERLINK(CONCATENATE($AT$4,BK1718,$AU$4,BL1718),$AV$4)</f>
        <v>A</v>
      </c>
      <c r="D1718" s="243" t="s">
        <v>5335</v>
      </c>
      <c r="E1718" s="244" t="s">
        <v>5185</v>
      </c>
      <c r="F1718" s="269" t="s">
        <v>5108</v>
      </c>
      <c r="G1718" s="276">
        <v>13</v>
      </c>
      <c r="H1718" s="283">
        <v>3200</v>
      </c>
      <c r="I1718" s="246">
        <v>12</v>
      </c>
      <c r="J1718" s="246">
        <v>2</v>
      </c>
      <c r="K1718" s="247" t="s">
        <v>6809</v>
      </c>
      <c r="L1718" s="248">
        <v>62100</v>
      </c>
      <c r="M1718" s="249">
        <f>15*(LEFT(TEXT($L1718,"000000"),2)+(MID(TEXT($L1718,"000000"),3,2)/60)+(RIGHT(TEXT($L1718,"000000"),2)/3600))</f>
        <v>95.25</v>
      </c>
      <c r="N1718" s="250">
        <v>-71700</v>
      </c>
      <c r="O1718" s="251">
        <f>IF($N1718&gt;0,(LEFT(TEXT($N1718,"000000"),2)+(MID(TEXT($N1718,"000000"),3,2)/60)+(RIGHT(TEXT($N1718,"000000"),2)/3600)),-(MID(TEXT($N1718,"000000"),2,2)+(MID(TEXT($N1718,"000000"),4,2)/60)+(RIGHT(TEXT($N1718,"000000"),2)/3600)))</f>
        <v>-7.2833333333333332</v>
      </c>
      <c r="P1718" s="252" t="s">
        <v>47</v>
      </c>
      <c r="Q1718" s="253"/>
      <c r="R1718" s="277" t="s">
        <v>3293</v>
      </c>
      <c r="S1718" s="272" t="s">
        <v>3293</v>
      </c>
      <c r="T1718" s="273">
        <v>8.4</v>
      </c>
      <c r="U1718" s="274"/>
      <c r="V1718" s="280"/>
      <c r="W1718" s="244"/>
      <c r="X1718" s="244"/>
      <c r="Y1718" s="362"/>
      <c r="Z1718" s="257">
        <f>altaz(J2000_Bas,$O1718,$M1718,DecLat,DecLong,1)</f>
        <v>-64.23926052148984</v>
      </c>
      <c r="AA1718" s="257">
        <f>altaz((J2000_Bas+(2*0.04167)),$O1718,$M1718,DecLat,DecLong,1)</f>
        <v>-45.118672432659714</v>
      </c>
      <c r="AB1718" s="257">
        <f>altaz((J2000_Bas+(4*0.04167)),$O1718,$M1718,DecLat,DecLong,1)</f>
        <v>-20.072405511722746</v>
      </c>
      <c r="AC1718" s="257">
        <f>altaz((J2000_Bas+(6*0.04167)),$O1718,$M1718,DecLat,DecLong,1)</f>
        <v>5.568298282365836</v>
      </c>
      <c r="AD1718" s="258">
        <f>1+ transit((J2000_Bas-1),$O1718,$M1718,DecLat,DecLong)/360 + (GMTOffset/24) + (IF(DST="Y", 1, 0)/24)</f>
        <v>1.2574832675047081</v>
      </c>
      <c r="AE1718" s="259">
        <f>DATE(2001,9,21)+(M1718/360)*365 - (360*((DecLong/360)- (GMTOffset/24) ))</f>
        <v>37256.572916666664</v>
      </c>
      <c r="AF1718" s="260">
        <f>IF(DecLat&gt;0,IF((90 - (DecLat-O1718))&gt;90, (90 - (O1718-DecLat)), (90 - (DecLat-O1718))),IF((90 + (DecLat-O1718))&gt;90, (90 + (O1718-DecLat)), (90 + (DecLat-O1718))))</f>
        <v>51.716666666666669</v>
      </c>
      <c r="AG1718" s="257">
        <f>angularseperation(MoonRA,MoonDec,$M1718,$O1718)</f>
        <v>137.39172442991674</v>
      </c>
      <c r="AH1718" s="261">
        <f ca="1">MIN(100,IF($O$5&gt;80,0+30*($AG1718/100),IF($O$5&gt;70,0+50*($AG1718/100),IF($O$5&gt;60,5+50*($AG1718/100),IF($O$5&gt;50,10+60*($AG1718/100),IF($O$5&gt;40,15+70*($AG1718/100),IF($O$5&gt;30,20+70*($AG1718/100),IF($O$5&gt;20,40+55*($AG1718/100),(80+(20-$O$5)+30*($AG1718/100))))))))))</f>
        <v>100</v>
      </c>
      <c r="AI1718" s="262">
        <v>2215</v>
      </c>
      <c r="AJ1718" s="263"/>
      <c r="AK1718" s="263">
        <v>77</v>
      </c>
      <c r="AL1718" s="263"/>
      <c r="AM1718" s="264"/>
      <c r="AN1718" s="263"/>
      <c r="AO1718" s="263"/>
      <c r="AP1718" s="265"/>
      <c r="AQ1718" s="265"/>
      <c r="AR1718" s="285"/>
      <c r="AS1718" s="263"/>
      <c r="AT1718" s="263"/>
      <c r="AU1718" s="263"/>
      <c r="AV1718" s="264"/>
      <c r="AW1718" s="263"/>
      <c r="AX1718" s="263"/>
      <c r="AY1718" s="263"/>
      <c r="AZ1718" s="263"/>
      <c r="BA1718" s="263"/>
      <c r="BB1718" s="263"/>
      <c r="BC1718" s="263"/>
      <c r="BD1718" s="264"/>
      <c r="BE1718" s="263"/>
      <c r="BF1718" s="263"/>
      <c r="BG1718" s="263"/>
      <c r="BH1718" s="263"/>
      <c r="BI1718" s="263"/>
      <c r="BJ1718" s="404">
        <f>altaz(J2000_Bas,$O1718,$M1718,DecLat,DecLong,2)</f>
        <v>25.202046868787555</v>
      </c>
      <c r="BK1718" s="378" t="s">
        <v>2971</v>
      </c>
      <c r="BL1718" s="379">
        <f>IF((2*G1718)/60&lt;0.2,0.2,(2*G1718)/60)</f>
        <v>0.43333333333333335</v>
      </c>
      <c r="BM1718" s="380">
        <f>MOD((50000+AD1718-$B$3+(0/24)),1)</f>
        <v>0.47285019720584387</v>
      </c>
      <c r="BN1718" s="381"/>
      <c r="BO1718" s="382">
        <v>1711</v>
      </c>
    </row>
    <row r="1719" spans="1:67" s="24" customFormat="1" ht="15" customHeight="1" x14ac:dyDescent="0.25">
      <c r="A1719" s="288" t="s">
        <v>1709</v>
      </c>
      <c r="B1719" s="241" t="str">
        <f>HYPERLINK(CONCATENATE($AT$3,BK1719,$AU$3),$AV$3)</f>
        <v>S</v>
      </c>
      <c r="C1719" s="242" t="str">
        <f>HYPERLINK(CONCATENATE($AT$4,BK1719,$AU$4,BL1719),$AV$4)</f>
        <v>A</v>
      </c>
      <c r="D1719" s="243" t="s">
        <v>5638</v>
      </c>
      <c r="E1719" s="244" t="s">
        <v>5182</v>
      </c>
      <c r="F1719" s="269" t="s">
        <v>8952</v>
      </c>
      <c r="G1719" s="273">
        <v>4.5</v>
      </c>
      <c r="H1719" s="283">
        <v>80</v>
      </c>
      <c r="I1719" s="246">
        <v>105</v>
      </c>
      <c r="J1719" s="246">
        <v>2</v>
      </c>
      <c r="K1719" s="247" t="s">
        <v>6811</v>
      </c>
      <c r="L1719" s="248">
        <v>62140</v>
      </c>
      <c r="M1719" s="249">
        <f>15*(LEFT(TEXT($L1719,"000000"),2)+(MID(TEXT($L1719,"000000"),3,2)/60)+(RIGHT(TEXT($L1719,"000000"),2)/3600))</f>
        <v>95.416666666666657</v>
      </c>
      <c r="N1719" s="250">
        <v>-271402</v>
      </c>
      <c r="O1719" s="251">
        <f>IF($N1719&gt;0,(LEFT(TEXT($N1719,"000000"),2)+(MID(TEXT($N1719,"000000"),3,2)/60)+(RIGHT(TEXT($N1719,"000000"),2)/3600)),-(MID(TEXT($N1719,"000000"),2,2)+(MID(TEXT($N1719,"000000"),4,2)/60)+(RIGHT(TEXT($N1719,"000000"),2)/3600)))</f>
        <v>-27.233888888888888</v>
      </c>
      <c r="P1719" s="252" t="s">
        <v>80</v>
      </c>
      <c r="Q1719" s="253"/>
      <c r="R1719" s="247" t="s">
        <v>3293</v>
      </c>
      <c r="S1719" s="272" t="s">
        <v>3293</v>
      </c>
      <c r="T1719" s="273">
        <v>10.7</v>
      </c>
      <c r="U1719" s="289">
        <v>22.69</v>
      </c>
      <c r="V1719" s="280">
        <v>30</v>
      </c>
      <c r="W1719" s="244"/>
      <c r="X1719" s="244"/>
      <c r="Y1719" s="362"/>
      <c r="Z1719" s="257">
        <f>altaz(J2000_Bas,$O1719,$M1719,DecLat,DecLong,1)</f>
        <v>-80.020247469680342</v>
      </c>
      <c r="AA1719" s="257">
        <f>altaz((J2000_Bas+(2*0.04167)),$O1719,$M1719,DecLat,DecLong,1)</f>
        <v>-54.464852454749419</v>
      </c>
      <c r="AB1719" s="257">
        <f>altaz((J2000_Bas+(4*0.04167)),$O1719,$M1719,DecLat,DecLong,1)</f>
        <v>-29.137227136693529</v>
      </c>
      <c r="AC1719" s="257">
        <f>altaz((J2000_Bas+(6*0.04167)),$O1719,$M1719,DecLat,DecLong,1)</f>
        <v>-5.2996434581037617</v>
      </c>
      <c r="AD1719" s="258">
        <f>1+ transit((J2000_Bas-1),$O1719,$M1719,DecLat,DecLong)/360 + (GMTOffset/24) + (IF(DST="Y", 1, 0)/24)</f>
        <v>1.2579462304213747</v>
      </c>
      <c r="AE1719" s="259">
        <f>DATE(2001,9,21)+(M1719/360)*365 - (360*((DecLong/360)- (GMTOffset/24) ))</f>
        <v>37256.741898148146</v>
      </c>
      <c r="AF1719" s="260">
        <f>IF(DecLat&gt;0,IF((90 - (DecLat-O1719))&gt;90, (90 - (O1719-DecLat)), (90 - (DecLat-O1719))),IF((90 + (DecLat-O1719))&gt;90, (90 + (O1719-DecLat)), (90 + (DecLat-O1719))))</f>
        <v>31.766111111111115</v>
      </c>
      <c r="AG1719" s="257">
        <f>angularseperation(MoonRA,MoonDec,$M1719,$O1719)</f>
        <v>120.13941102685905</v>
      </c>
      <c r="AH1719" s="261">
        <f ca="1">MIN(100,IF($O$5&gt;80,0+30*($AG1719/100),IF($O$5&gt;70,0+50*($AG1719/100),IF($O$5&gt;60,5+50*($AG1719/100),IF($O$5&gt;50,10+60*($AG1719/100),IF($O$5&gt;40,15+70*($AG1719/100),IF($O$5&gt;30,20+70*($AG1719/100),IF($O$5&gt;20,40+55*($AG1719/100),(80+(20-$O$5)+30*($AG1719/100))))))))))</f>
        <v>100</v>
      </c>
      <c r="AI1719" s="262">
        <v>2217</v>
      </c>
      <c r="AJ1719" s="262"/>
      <c r="AK1719" s="262"/>
      <c r="AL1719" s="263"/>
      <c r="AM1719" s="264"/>
      <c r="AN1719" s="263"/>
      <c r="AO1719" s="263"/>
      <c r="AP1719" s="265"/>
      <c r="AQ1719" s="266"/>
      <c r="AR1719" s="267">
        <v>18883</v>
      </c>
      <c r="AS1719" s="263"/>
      <c r="AT1719" s="263"/>
      <c r="AU1719" s="263"/>
      <c r="AV1719" s="264"/>
      <c r="AW1719" s="263"/>
      <c r="AX1719" s="263"/>
      <c r="AY1719" s="263"/>
      <c r="AZ1719" s="263"/>
      <c r="BA1719" s="263"/>
      <c r="BB1719" s="263"/>
      <c r="BC1719" s="263"/>
      <c r="BD1719" s="264"/>
      <c r="BE1719" s="263"/>
      <c r="BF1719" s="263"/>
      <c r="BG1719" s="263">
        <v>38</v>
      </c>
      <c r="BH1719" s="263"/>
      <c r="BI1719" s="263"/>
      <c r="BJ1719" s="404">
        <f>altaz(J2000_Bas,$O1719,$M1719,DecLat,DecLong,2)</f>
        <v>70.485650144692272</v>
      </c>
      <c r="BK1719" s="378" t="s">
        <v>1709</v>
      </c>
      <c r="BL1719" s="379">
        <f>IF((2*G1719)/60&lt;0.2,0.2,(2*G1719)/60)</f>
        <v>0.2</v>
      </c>
      <c r="BM1719" s="380">
        <f>MOD((50000+AD1719-$B$3+(0/24)),1)</f>
        <v>0.47331316012423486</v>
      </c>
      <c r="BN1719" s="381" t="s">
        <v>9116</v>
      </c>
      <c r="BO1719" s="382">
        <v>1712</v>
      </c>
    </row>
    <row r="1720" spans="1:67" s="24" customFormat="1" ht="15" customHeight="1" x14ac:dyDescent="0.25">
      <c r="A1720" s="288" t="s">
        <v>1710</v>
      </c>
      <c r="B1720" s="241" t="str">
        <f>HYPERLINK(CONCATENATE($AT$3,BK1720,$AU$3),$AV$3)</f>
        <v>S</v>
      </c>
      <c r="C1720" s="242" t="str">
        <f>HYPERLINK(CONCATENATE($AT$4,BK1720,$AU$4,BL1720),$AV$4)</f>
        <v>A</v>
      </c>
      <c r="D1720" s="243" t="s">
        <v>5638</v>
      </c>
      <c r="E1720" s="244" t="s">
        <v>5192</v>
      </c>
      <c r="F1720" s="269" t="s">
        <v>8908</v>
      </c>
      <c r="G1720" s="273">
        <v>2.2999999999999998</v>
      </c>
      <c r="H1720" s="283">
        <v>135</v>
      </c>
      <c r="I1720" s="246">
        <v>90</v>
      </c>
      <c r="J1720" s="246">
        <v>2</v>
      </c>
      <c r="K1720" s="247" t="s">
        <v>8553</v>
      </c>
      <c r="L1720" s="248">
        <v>62436</v>
      </c>
      <c r="M1720" s="249">
        <f>15*(LEFT(TEXT($L1720,"000000"),2)+(MID(TEXT($L1720,"000000"),3,2)/60)+(RIGHT(TEXT($L1720,"000000"),2)/3600))</f>
        <v>96.15</v>
      </c>
      <c r="N1720" s="250">
        <v>-225019</v>
      </c>
      <c r="O1720" s="251">
        <f>IF($N1720&gt;0,(LEFT(TEXT($N1720,"000000"),2)+(MID(TEXT($N1720,"000000"),3,2)/60)+(RIGHT(TEXT($N1720,"000000"),2)/3600)),-(MID(TEXT($N1720,"000000"),2,2)+(MID(TEXT($N1720,"000000"),4,2)/60)+(RIGHT(TEXT($N1720,"000000"),2)/3600)))</f>
        <v>-22.83861111111111</v>
      </c>
      <c r="P1720" s="252" t="s">
        <v>80</v>
      </c>
      <c r="Q1720" s="253"/>
      <c r="R1720" s="277" t="s">
        <v>3293</v>
      </c>
      <c r="S1720" s="272" t="s">
        <v>3293</v>
      </c>
      <c r="T1720" s="273">
        <v>11.5</v>
      </c>
      <c r="U1720" s="289">
        <v>22.490000000000002</v>
      </c>
      <c r="V1720" s="280">
        <v>35</v>
      </c>
      <c r="W1720" s="244"/>
      <c r="X1720" s="244"/>
      <c r="Y1720" s="362"/>
      <c r="Z1720" s="257">
        <f>altaz(J2000_Bas,$O1720,$M1720,DecLat,DecLong,1)</f>
        <v>-78.020247690347531</v>
      </c>
      <c r="AA1720" s="257">
        <f>altaz((J2000_Bas+(2*0.04167)),$O1720,$M1720,DecLat,DecLong,1)</f>
        <v>-53.669345501078695</v>
      </c>
      <c r="AB1720" s="257">
        <f>altaz((J2000_Bas+(4*0.04167)),$O1720,$M1720,DecLat,DecLong,1)</f>
        <v>-28.021862820926827</v>
      </c>
      <c r="AC1720" s="257">
        <f>altaz((J2000_Bas+(6*0.04167)),$O1720,$M1720,DecLat,DecLong,1)</f>
        <v>-3.513650013137819</v>
      </c>
      <c r="AD1720" s="258">
        <f>1+ transit((J2000_Bas-1),$O1720,$M1720,DecLat,DecLong)/360 + (GMTOffset/24) + (IF(DST="Y", 1, 0)/24)</f>
        <v>1.259983267254708</v>
      </c>
      <c r="AE1720" s="259">
        <f>DATE(2001,9,21)+(M1720/360)*365 - (360*((DecLong/360)- (GMTOffset/24) ))</f>
        <v>37257.48541666667</v>
      </c>
      <c r="AF1720" s="260">
        <f>IF(DecLat&gt;0,IF((90 - (DecLat-O1720))&gt;90, (90 - (O1720-DecLat)), (90 - (DecLat-O1720))),IF((90 + (DecLat-O1720))&gt;90, (90 + (O1720-DecLat)), (90 + (DecLat-O1720))))</f>
        <v>36.161388888888894</v>
      </c>
      <c r="AG1720" s="257">
        <f>angularseperation(MoonRA,MoonDec,$M1720,$O1720)</f>
        <v>123.70959847325884</v>
      </c>
      <c r="AH1720" s="261">
        <f ca="1">MIN(100,IF($O$5&gt;80,0+30*($AG1720/100),IF($O$5&gt;70,0+50*($AG1720/100),IF($O$5&gt;60,5+50*($AG1720/100),IF($O$5&gt;50,10+60*($AG1720/100),IF($O$5&gt;40,15+70*($AG1720/100),IF($O$5&gt;30,20+70*($AG1720/100),IF($O$5&gt;20,40+55*($AG1720/100),(80+(20-$O$5)+30*($AG1720/100))))))))))</f>
        <v>100</v>
      </c>
      <c r="AI1720" s="262">
        <v>2223</v>
      </c>
      <c r="AJ1720" s="263"/>
      <c r="AK1720" s="263"/>
      <c r="AL1720" s="263"/>
      <c r="AM1720" s="264"/>
      <c r="AN1720" s="263"/>
      <c r="AO1720" s="263"/>
      <c r="AP1720" s="265"/>
      <c r="AQ1720" s="265"/>
      <c r="AR1720" s="285">
        <v>18978</v>
      </c>
      <c r="AS1720" s="263"/>
      <c r="AT1720" s="263"/>
      <c r="AU1720" s="263"/>
      <c r="AV1720" s="264"/>
      <c r="AW1720" s="263"/>
      <c r="AX1720" s="263"/>
      <c r="AY1720" s="263"/>
      <c r="AZ1720" s="263"/>
      <c r="BA1720" s="263"/>
      <c r="BB1720" s="263"/>
      <c r="BC1720" s="263"/>
      <c r="BD1720" s="264"/>
      <c r="BE1720" s="263"/>
      <c r="BF1720" s="263"/>
      <c r="BG1720" s="263"/>
      <c r="BH1720" s="263"/>
      <c r="BI1720" s="263"/>
      <c r="BJ1720" s="404">
        <f>altaz(J2000_Bas,$O1720,$M1720,DecLat,DecLong,2)</f>
        <v>49.442668109612413</v>
      </c>
      <c r="BK1720" s="378" t="s">
        <v>1710</v>
      </c>
      <c r="BL1720" s="379">
        <f>IF((2*G1720)/60&lt;0.2,0.2,(2*G1720)/60)</f>
        <v>0.2</v>
      </c>
      <c r="BM1720" s="380">
        <f>MOD((50000+AD1720-$B$3+(0/24)),1)</f>
        <v>0.47535019696078962</v>
      </c>
      <c r="BN1720" s="381"/>
      <c r="BO1720" s="382">
        <v>1713</v>
      </c>
    </row>
    <row r="1721" spans="1:67" s="24" customFormat="1" ht="15" customHeight="1" x14ac:dyDescent="0.25">
      <c r="A1721" s="287" t="s">
        <v>1711</v>
      </c>
      <c r="B1721" s="241" t="str">
        <f>HYPERLINK(CONCATENATE($AT$3,BK1721,$AU$3),$AV$3)</f>
        <v>S</v>
      </c>
      <c r="C1721" s="242" t="str">
        <f>HYPERLINK(CONCATENATE($AT$4,BK1721,$AU$4,BL1721),$AV$4)</f>
        <v>A</v>
      </c>
      <c r="D1721" s="243" t="s">
        <v>5335</v>
      </c>
      <c r="E1721" s="244" t="s">
        <v>5185</v>
      </c>
      <c r="F1721" s="269" t="s">
        <v>6810</v>
      </c>
      <c r="G1721" s="276">
        <v>45</v>
      </c>
      <c r="H1721" s="283">
        <v>1050</v>
      </c>
      <c r="I1721" s="246">
        <v>14</v>
      </c>
      <c r="J1721" s="246">
        <v>2</v>
      </c>
      <c r="K1721" s="247" t="s">
        <v>6812</v>
      </c>
      <c r="L1721" s="248">
        <v>62801</v>
      </c>
      <c r="M1721" s="249">
        <f>15*(LEFT(TEXT($L1721,"000000"),2)+(MID(TEXT($L1721,"000000"),3,2)/60)+(RIGHT(TEXT($L1721,"000000"),2)/3600))</f>
        <v>97.004166666666663</v>
      </c>
      <c r="N1721" s="250">
        <v>-45048</v>
      </c>
      <c r="O1721" s="251">
        <f>IF($N1721&gt;0,(LEFT(TEXT($N1721,"000000"),2)+(MID(TEXT($N1721,"000000"),3,2)/60)+(RIGHT(TEXT($N1721,"000000"),2)/3600)),-(MID(TEXT($N1721,"000000"),2,2)+(MID(TEXT($N1721,"000000"),4,2)/60)+(RIGHT(TEXT($N1721,"000000"),2)/3600)))</f>
        <v>-4.8466666666666667</v>
      </c>
      <c r="P1721" s="252" t="s">
        <v>47</v>
      </c>
      <c r="Q1721" s="253"/>
      <c r="R1721" s="277" t="s">
        <v>3293</v>
      </c>
      <c r="S1721" s="272" t="s">
        <v>3293</v>
      </c>
      <c r="T1721" s="273">
        <v>4.2</v>
      </c>
      <c r="U1721" s="274"/>
      <c r="V1721" s="280"/>
      <c r="W1721" s="244"/>
      <c r="X1721" s="244"/>
      <c r="Y1721" s="362"/>
      <c r="Z1721" s="257">
        <f>altaz(J2000_Bas,$O1721,$M1721,DecLat,DecLong,1)</f>
        <v>-62.51179184494714</v>
      </c>
      <c r="AA1721" s="257">
        <f>altaz((J2000_Bas+(2*0.04167)),$O1721,$M1721,DecLat,DecLong,1)</f>
        <v>-44.950703091254461</v>
      </c>
      <c r="AB1721" s="257">
        <f>altaz((J2000_Bas+(4*0.04167)),$O1721,$M1721,DecLat,DecLong,1)</f>
        <v>-20.320131560221753</v>
      </c>
      <c r="AC1721" s="257">
        <f>altaz((J2000_Bas+(6*0.04167)),$O1721,$M1721,DecLat,DecLong,1)</f>
        <v>5.38260782748024</v>
      </c>
      <c r="AD1721" s="258">
        <f>1+ transit((J2000_Bas-1),$O1721,$M1721,DecLat,DecLong)/360 + (GMTOffset/24) + (IF(DST="Y", 1, 0)/24)</f>
        <v>1.2623559522026246</v>
      </c>
      <c r="AE1721" s="259">
        <f>DATE(2001,9,21)+(M1721/360)*365 - (360*((DecLong/360)- (GMTOffset/24) ))</f>
        <v>37258.351446759261</v>
      </c>
      <c r="AF1721" s="260">
        <f>IF(DecLat&gt;0,IF((90 - (DecLat-O1721))&gt;90, (90 - (O1721-DecLat)), (90 - (DecLat-O1721))),IF((90 + (DecLat-O1721))&gt;90, (90 + (O1721-DecLat)), (90 + (DecLat-O1721))))</f>
        <v>54.153333333333336</v>
      </c>
      <c r="AG1721" s="257">
        <f>angularseperation(MoonRA,MoonDec,$M1721,$O1721)</f>
        <v>138.29375123821731</v>
      </c>
      <c r="AH1721" s="261">
        <f ca="1">MIN(100,IF($O$5&gt;80,0+30*($AG1721/100),IF($O$5&gt;70,0+50*($AG1721/100),IF($O$5&gt;60,5+50*($AG1721/100),IF($O$5&gt;50,10+60*($AG1721/100),IF($O$5&gt;40,15+70*($AG1721/100),IF($O$5&gt;30,20+70*($AG1721/100),IF($O$5&gt;20,40+55*($AG1721/100),(80+(20-$O$5)+30*($AG1721/100))))))))))</f>
        <v>100</v>
      </c>
      <c r="AI1721" s="262">
        <v>2232</v>
      </c>
      <c r="AJ1721" s="263"/>
      <c r="AK1721" s="263">
        <v>78</v>
      </c>
      <c r="AL1721" s="263"/>
      <c r="AM1721" s="264"/>
      <c r="AN1721" s="263"/>
      <c r="AO1721" s="263"/>
      <c r="AP1721" s="265"/>
      <c r="AQ1721" s="265"/>
      <c r="AR1721" s="285"/>
      <c r="AS1721" s="263"/>
      <c r="AT1721" s="263"/>
      <c r="AU1721" s="263"/>
      <c r="AV1721" s="264"/>
      <c r="AW1721" s="263"/>
      <c r="AX1721" s="263"/>
      <c r="AY1721" s="263"/>
      <c r="AZ1721" s="263"/>
      <c r="BA1721" s="263"/>
      <c r="BB1721" s="263"/>
      <c r="BC1721" s="263"/>
      <c r="BD1721" s="264"/>
      <c r="BE1721" s="263"/>
      <c r="BF1721" s="263"/>
      <c r="BG1721" s="263"/>
      <c r="BH1721" s="263"/>
      <c r="BI1721" s="263"/>
      <c r="BJ1721" s="404">
        <f>altaz(J2000_Bas,$O1721,$M1721,DecLat,DecLong,2)</f>
        <v>19.733881212816947</v>
      </c>
      <c r="BK1721" s="378" t="s">
        <v>1711</v>
      </c>
      <c r="BL1721" s="379">
        <f>IF((2*G1721)/60&lt;0.2,0.2,(2*G1721)/60)</f>
        <v>1.5</v>
      </c>
      <c r="BM1721" s="380">
        <f>MOD((50000+AD1721-$B$3+(0/24)),1)</f>
        <v>0.47772288190753898</v>
      </c>
      <c r="BN1721" s="381"/>
      <c r="BO1721" s="382">
        <v>1714</v>
      </c>
    </row>
    <row r="1722" spans="1:67" s="24" customFormat="1" ht="15" customHeight="1" x14ac:dyDescent="0.25">
      <c r="A1722" s="288" t="s">
        <v>1712</v>
      </c>
      <c r="B1722" s="241" t="str">
        <f>HYPERLINK(CONCATENATE($AT$3,BK1722,$AU$3),$AV$3)</f>
        <v>S</v>
      </c>
      <c r="C1722" s="242" t="str">
        <f>HYPERLINK(CONCATENATE($AT$4,BK1722,$AU$4,BL1722),$AV$4)</f>
        <v>A</v>
      </c>
      <c r="D1722" s="243" t="s">
        <v>5187</v>
      </c>
      <c r="E1722" s="244" t="s">
        <v>5183</v>
      </c>
      <c r="F1722" s="353" t="s">
        <v>9174</v>
      </c>
      <c r="G1722" s="276">
        <v>100</v>
      </c>
      <c r="H1722" s="283">
        <v>5000</v>
      </c>
      <c r="I1722" s="246">
        <v>150</v>
      </c>
      <c r="J1722" s="246">
        <v>5</v>
      </c>
      <c r="K1722" s="247" t="s">
        <v>6813</v>
      </c>
      <c r="L1722" s="248">
        <v>63054</v>
      </c>
      <c r="M1722" s="249">
        <f>15*(LEFT(TEXT($L1722,"000000"),2)+(MID(TEXT($L1722,"000000"),3,2)/60)+(RIGHT(TEXT($L1722,"000000"),2)/3600))</f>
        <v>97.724999999999994</v>
      </c>
      <c r="N1722" s="250">
        <v>50300</v>
      </c>
      <c r="O1722" s="251">
        <f>IF($N1722&gt;0,(LEFT(TEXT($N1722,"000000"),2)+(MID(TEXT($N1722,"000000"),3,2)/60)+(RIGHT(TEXT($N1722,"000000"),2)/3600)),-(MID(TEXT($N1722,"000000"),2,2)+(MID(TEXT($N1722,"000000"),4,2)/60)+(RIGHT(TEXT($N1722,"000000"),2)/3600)))</f>
        <v>5.05</v>
      </c>
      <c r="P1722" s="252" t="s">
        <v>47</v>
      </c>
      <c r="Q1722" s="253" t="s">
        <v>7057</v>
      </c>
      <c r="R1722" s="277" t="s">
        <v>7371</v>
      </c>
      <c r="S1722" s="272" t="s">
        <v>6815</v>
      </c>
      <c r="T1722" s="273"/>
      <c r="U1722" s="274"/>
      <c r="V1722" s="280"/>
      <c r="W1722" s="244"/>
      <c r="X1722" s="244"/>
      <c r="Y1722" s="362"/>
      <c r="Z1722" s="257">
        <f>altaz(J2000_Bas,$O1722,$M1722,DecLat,DecLong,1)</f>
        <v>-53.092734261215611</v>
      </c>
      <c r="AA1722" s="257">
        <f>altaz((J2000_Bas+(2*0.04167)),$O1722,$M1722,DecLat,DecLong,1)</f>
        <v>-38.62075014700126</v>
      </c>
      <c r="AB1722" s="257">
        <f>altaz((J2000_Bas+(4*0.04167)),$O1722,$M1722,DecLat,DecLong,1)</f>
        <v>-15.56526358986288</v>
      </c>
      <c r="AC1722" s="257">
        <f>altaz((J2000_Bas+(6*0.04167)),$O1722,$M1722,DecLat,DecLong,1)</f>
        <v>9.9042708756206039</v>
      </c>
      <c r="AD1722" s="258">
        <f>1+ transit((J2000_Bas-1),$O1722,$M1722,DecLat,DecLong)/360 + (GMTOffset/24) + (IF(DST="Y", 1, 0)/24)</f>
        <v>1.264358266817208</v>
      </c>
      <c r="AE1722" s="259">
        <f>DATE(2001,9,21)+(M1722/360)*365 - (360*((DecLong/360)- (GMTOffset/24) ))</f>
        <v>37259.082291666666</v>
      </c>
      <c r="AF1722" s="260">
        <f>IF(DecLat&gt;0,IF((90 - (DecLat-O1722))&gt;90, (90 - (O1722-DecLat)), (90 - (DecLat-O1722))),IF((90 + (DecLat-O1722))&gt;90, (90 + (O1722-DecLat)), (90 + (DecLat-O1722))))</f>
        <v>64.05</v>
      </c>
      <c r="AG1722" s="257">
        <f>angularseperation(MoonRA,MoonDec,$M1722,$O1722)</f>
        <v>145.04583236522583</v>
      </c>
      <c r="AH1722" s="261">
        <f ca="1">MIN(100,IF($O$5&gt;80,0+30*($AG1722/100),IF($O$5&gt;70,0+50*($AG1722/100),IF($O$5&gt;60,5+50*($AG1722/100),IF($O$5&gt;50,10+60*($AG1722/100),IF($O$5&gt;40,15+70*($AG1722/100),IF($O$5&gt;30,20+70*($AG1722/100),IF($O$5&gt;20,40+55*($AG1722/100),(80+(20-$O$5)+30*($AG1722/100))))))))))</f>
        <v>100</v>
      </c>
      <c r="AI1722" s="262">
        <v>2237</v>
      </c>
      <c r="AJ1722" s="262"/>
      <c r="AK1722" s="262"/>
      <c r="AL1722" s="263"/>
      <c r="AM1722" s="264">
        <v>49</v>
      </c>
      <c r="AN1722" s="263"/>
      <c r="AO1722" s="263"/>
      <c r="AP1722" s="265"/>
      <c r="AQ1722" s="266"/>
      <c r="AR1722" s="267"/>
      <c r="AS1722" s="263"/>
      <c r="AT1722" s="263"/>
      <c r="AU1722" s="263"/>
      <c r="AV1722" s="264"/>
      <c r="AW1722" s="263"/>
      <c r="AX1722" s="263"/>
      <c r="AY1722" s="263"/>
      <c r="AZ1722" s="263"/>
      <c r="BA1722" s="263"/>
      <c r="BB1722" s="263">
        <v>275</v>
      </c>
      <c r="BC1722" s="263"/>
      <c r="BD1722" s="264"/>
      <c r="BE1722" s="263"/>
      <c r="BF1722" s="263"/>
      <c r="BG1722" s="263"/>
      <c r="BH1722" s="263"/>
      <c r="BI1722" s="263"/>
      <c r="BJ1722" s="404">
        <f>altaz(J2000_Bas,$O1722,$M1722,DecLat,DecLong,2)</f>
        <v>13.816352930719855</v>
      </c>
      <c r="BK1722" s="378" t="s">
        <v>1712</v>
      </c>
      <c r="BL1722" s="379">
        <f>IF((2*G1722)/60&lt;0.2,0.2,(2*G1722)/60)</f>
        <v>3.3333333333333335</v>
      </c>
      <c r="BM1722" s="380">
        <f>MOD((50000+AD1722-$B$3+(0/24)),1)</f>
        <v>0.47972519652103074</v>
      </c>
      <c r="BN1722" s="381" t="s">
        <v>9240</v>
      </c>
      <c r="BO1722" s="382">
        <v>1715</v>
      </c>
    </row>
    <row r="1723" spans="1:67" s="24" customFormat="1" ht="15" customHeight="1" x14ac:dyDescent="0.25">
      <c r="A1723" s="288" t="s">
        <v>1713</v>
      </c>
      <c r="B1723" s="241" t="str">
        <f>HYPERLINK(CONCATENATE($AT$3,BK1723,$AU$3),$AV$3)</f>
        <v>S</v>
      </c>
      <c r="C1723" s="242" t="str">
        <f>HYPERLINK(CONCATENATE($AT$4,BK1723,$AU$4,BL1723),$AV$4)</f>
        <v>A</v>
      </c>
      <c r="D1723" s="243" t="s">
        <v>5187</v>
      </c>
      <c r="E1723" s="244" t="s">
        <v>5181</v>
      </c>
      <c r="F1723" s="269" t="s">
        <v>6542</v>
      </c>
      <c r="G1723" s="270">
        <v>0.5</v>
      </c>
      <c r="H1723" s="283">
        <v>9600</v>
      </c>
      <c r="I1723" s="279">
        <v>1.5</v>
      </c>
      <c r="J1723" s="246">
        <v>1</v>
      </c>
      <c r="K1723" s="247" t="s">
        <v>6814</v>
      </c>
      <c r="L1723" s="248">
        <v>63407</v>
      </c>
      <c r="M1723" s="249">
        <f>15*(LEFT(TEXT($L1723,"000000"),2)+(MID(TEXT($L1723,"000000"),3,2)/60)+(RIGHT(TEXT($L1723,"000000"),2)/3600))</f>
        <v>98.529166666666669</v>
      </c>
      <c r="N1723" s="250">
        <v>444638</v>
      </c>
      <c r="O1723" s="251">
        <f>IF($N1723&gt;0,(LEFT(TEXT($N1723,"000000"),2)+(MID(TEXT($N1723,"000000"),3,2)/60)+(RIGHT(TEXT($N1723,"000000"),2)/3600)),-(MID(TEXT($N1723,"000000"),2,2)+(MID(TEXT($N1723,"000000"),4,2)/60)+(RIGHT(TEXT($N1723,"000000"),2)/3600)))</f>
        <v>44.777222222222221</v>
      </c>
      <c r="P1723" s="252" t="s">
        <v>62</v>
      </c>
      <c r="Q1723" s="253"/>
      <c r="R1723" s="277" t="s">
        <v>3293</v>
      </c>
      <c r="S1723" s="272" t="s">
        <v>3293</v>
      </c>
      <c r="T1723" s="273">
        <v>15</v>
      </c>
      <c r="U1723" s="274"/>
      <c r="V1723" s="280"/>
      <c r="W1723" s="244"/>
      <c r="X1723" s="244"/>
      <c r="Y1723" s="362"/>
      <c r="Z1723" s="257">
        <f>altaz(J2000_Bas,$O1723,$M1723,DecLat,DecLong,1)</f>
        <v>-13.917470649855359</v>
      </c>
      <c r="AA1723" s="257">
        <f>altaz((J2000_Bas+(2*0.04167)),$O1723,$M1723,DecLat,DecLong,1)</f>
        <v>-6.8679284562030309</v>
      </c>
      <c r="AB1723" s="257">
        <f>altaz((J2000_Bas+(4*0.04167)),$O1723,$M1723,DecLat,DecLong,1)</f>
        <v>7.5458491870614344</v>
      </c>
      <c r="AC1723" s="257">
        <f>altaz((J2000_Bas+(6*0.04167)),$O1723,$M1723,DecLat,DecLong,1)</f>
        <v>26.396380214161734</v>
      </c>
      <c r="AD1723" s="258">
        <f>1+ transit((J2000_Bas-1),$O1723,$M1723,DecLat,DecLong)/360 + (GMTOffset/24) + (IF(DST="Y", 1, 0)/24)</f>
        <v>1.2665920628901246</v>
      </c>
      <c r="AE1723" s="259">
        <f>DATE(2001,9,21)+(M1723/360)*365 - (360*((DecLong/360)- (GMTOffset/24) ))</f>
        <v>37259.897627314815</v>
      </c>
      <c r="AF1723" s="260">
        <f>IF(DecLat&gt;0,IF((90 - (DecLat-O1723))&gt;90, (90 - (O1723-DecLat)), (90 - (DecLat-O1723))),IF((90 + (DecLat-O1723))&gt;90, (90 + (O1723-DecLat)), (90 + (DecLat-O1723))))</f>
        <v>76.222777777777779</v>
      </c>
      <c r="AG1723" s="257">
        <f>angularseperation(MoonRA,MoonDec,$M1723,$O1723)</f>
        <v>150.68176494240859</v>
      </c>
      <c r="AH1723" s="261">
        <f ca="1">MIN(100,IF($O$5&gt;80,0+30*($AG1723/100),IF($O$5&gt;70,0+50*($AG1723/100),IF($O$5&gt;60,5+50*($AG1723/100),IF($O$5&gt;50,10+60*($AG1723/100),IF($O$5&gt;40,15+70*($AG1723/100),IF($O$5&gt;30,20+70*($AG1723/100),IF($O$5&gt;20,40+55*($AG1723/100),(80+(20-$O$5)+30*($AG1723/100))))))))))</f>
        <v>100</v>
      </c>
      <c r="AI1723" s="262">
        <v>2242</v>
      </c>
      <c r="AJ1723" s="263"/>
      <c r="AK1723" s="263"/>
      <c r="AL1723" s="263"/>
      <c r="AM1723" s="264"/>
      <c r="AN1723" s="263"/>
      <c r="AO1723" s="263"/>
      <c r="AP1723" s="265"/>
      <c r="AQ1723" s="265"/>
      <c r="AR1723" s="285"/>
      <c r="AS1723" s="263"/>
      <c r="AT1723" s="263"/>
      <c r="AU1723" s="263"/>
      <c r="AV1723" s="264"/>
      <c r="AW1723" s="263"/>
      <c r="AX1723" s="263"/>
      <c r="AY1723" s="263"/>
      <c r="AZ1723" s="263"/>
      <c r="BA1723" s="263"/>
      <c r="BB1723" s="263"/>
      <c r="BC1723" s="263"/>
      <c r="BD1723" s="264"/>
      <c r="BE1723" s="263"/>
      <c r="BF1723" s="263"/>
      <c r="BG1723" s="263"/>
      <c r="BH1723" s="263"/>
      <c r="BI1723" s="263"/>
      <c r="BJ1723" s="404">
        <f>altaz(J2000_Bas,$O1723,$M1723,DecLat,DecLong,2)</f>
        <v>5.4582585633888856</v>
      </c>
      <c r="BK1723" s="378" t="s">
        <v>1713</v>
      </c>
      <c r="BL1723" s="379">
        <f>IF((2*G1723)/60&lt;0.2,0.2,(2*G1723)/60)</f>
        <v>0.2</v>
      </c>
      <c r="BM1723" s="380">
        <f>MOD((50000+AD1723-$B$3+(0/24)),1)</f>
        <v>0.48195899259735597</v>
      </c>
      <c r="BN1723" s="381" t="s">
        <v>8647</v>
      </c>
      <c r="BO1723" s="382">
        <v>1716</v>
      </c>
    </row>
    <row r="1724" spans="1:67" s="24" customFormat="1" ht="15" customHeight="1" x14ac:dyDescent="0.25">
      <c r="A1724" s="288" t="s">
        <v>8730</v>
      </c>
      <c r="B1724" s="241" t="str">
        <f>HYPERLINK(CONCATENATE($AT$3,BK1724,$AU$3),$AV$3)</f>
        <v>S</v>
      </c>
      <c r="C1724" s="242" t="str">
        <f>HYPERLINK(CONCATENATE($AT$4,BK1724,$AU$4,BL1724),$AV$4)</f>
        <v>A</v>
      </c>
      <c r="D1724" s="243" t="s">
        <v>5335</v>
      </c>
      <c r="E1724" s="244" t="s">
        <v>5185</v>
      </c>
      <c r="F1724" s="269" t="s">
        <v>8733</v>
      </c>
      <c r="G1724" s="276">
        <v>20</v>
      </c>
      <c r="H1724" s="283">
        <v>5000</v>
      </c>
      <c r="I1724" s="246">
        <v>30</v>
      </c>
      <c r="J1724" s="246">
        <v>5</v>
      </c>
      <c r="K1724" s="247" t="s">
        <v>8731</v>
      </c>
      <c r="L1724" s="248">
        <v>63211</v>
      </c>
      <c r="M1724" s="249">
        <f>15*(LEFT(TEXT($L1724,"000000"),2)+(MID(TEXT($L1724,"000000"),3,2)/60)+(RIGHT(TEXT($L1724,"000000"),2)/3600))</f>
        <v>98.04583333333332</v>
      </c>
      <c r="N1724" s="250">
        <v>45450</v>
      </c>
      <c r="O1724" s="251">
        <f>IF($N1724&gt;0,(LEFT(TEXT($N1724,"000000"),2)+(MID(TEXT($N1724,"000000"),3,2)/60)+(RIGHT(TEXT($N1724,"000000"),2)/3600)),-(MID(TEXT($N1724,"000000"),2,2)+(MID(TEXT($N1724,"000000"),4,2)/60)+(RIGHT(TEXT($N1724,"000000"),2)/3600)))</f>
        <v>4.9138888888888896</v>
      </c>
      <c r="P1724" s="252" t="s">
        <v>47</v>
      </c>
      <c r="Q1724" s="253"/>
      <c r="R1724" s="277"/>
      <c r="S1724" s="272" t="s">
        <v>8732</v>
      </c>
      <c r="T1724" s="273">
        <v>4.8</v>
      </c>
      <c r="U1724" s="274"/>
      <c r="V1724" s="280"/>
      <c r="W1724" s="244"/>
      <c r="X1724" s="244"/>
      <c r="Y1724" s="362"/>
      <c r="Z1724" s="257">
        <f>altaz(J2000_Bas,$O1724,$M1724,DecLat,DecLong,1)</f>
        <v>-53.290604268803826</v>
      </c>
      <c r="AA1724" s="257">
        <f>altaz((J2000_Bas+(2*0.04167)),$O1724,$M1724,DecLat,DecLong,1)</f>
        <v>-38.937889857656117</v>
      </c>
      <c r="AB1724" s="257">
        <f>altaz((J2000_Bas+(4*0.04167)),$O1724,$M1724,DecLat,DecLong,1)</f>
        <v>-15.906154342872069</v>
      </c>
      <c r="AC1724" s="257">
        <f>altaz((J2000_Bas+(6*0.04167)),$O1724,$M1724,DecLat,DecLong,1)</f>
        <v>9.5599023409381694</v>
      </c>
      <c r="AD1724" s="258">
        <f>1+ transit((J2000_Bas-1),$O1724,$M1724,DecLat,DecLong)/360 + (GMTOffset/24) + (IF(DST="Y", 1, 0)/24)</f>
        <v>1.2652494704317914</v>
      </c>
      <c r="AE1724" s="259">
        <f>DATE(2001,9,21)+(M1724/360)*365 - (360*((DecLong/360)- (GMTOffset/24) ))</f>
        <v>37259.407581018517</v>
      </c>
      <c r="AF1724" s="260">
        <f>IF(DecLat&gt;0,IF((90 - (DecLat-O1724))&gt;90, (90 - (O1724-DecLat)), (90 - (DecLat-O1724))),IF((90 + (DecLat-O1724))&gt;90, (90 + (O1724-DecLat)), (90 + (DecLat-O1724))))</f>
        <v>63.913888888888891</v>
      </c>
      <c r="AG1724" s="257">
        <f>angularseperation(MoonRA,MoonDec,$M1724,$O1724)</f>
        <v>144.71744140676117</v>
      </c>
      <c r="AH1724" s="261">
        <f ca="1">MIN(100,IF($O$5&gt;80,0+30*($AG1724/100),IF($O$5&gt;70,0+50*($AG1724/100),IF($O$5&gt;60,5+50*($AG1724/100),IF($O$5&gt;50,10+60*($AG1724/100),IF($O$5&gt;40,15+70*($AG1724/100),IF($O$5&gt;30,20+70*($AG1724/100),IF($O$5&gt;20,40+55*($AG1724/100),(80+(20-$O$5)+30*($AG1724/100))))))))))</f>
        <v>100</v>
      </c>
      <c r="AI1724" s="262">
        <v>2244</v>
      </c>
      <c r="AJ1724" s="262"/>
      <c r="AK1724" s="262">
        <v>79</v>
      </c>
      <c r="AL1724" s="263"/>
      <c r="AM1724" s="264">
        <v>50</v>
      </c>
      <c r="AN1724" s="263"/>
      <c r="AO1724" s="263"/>
      <c r="AP1724" s="265"/>
      <c r="AQ1724" s="266"/>
      <c r="AR1724" s="267"/>
      <c r="AS1724" s="263"/>
      <c r="AT1724" s="263"/>
      <c r="AU1724" s="263"/>
      <c r="AV1724" s="264"/>
      <c r="AW1724" s="263"/>
      <c r="AX1724" s="263"/>
      <c r="AY1724" s="263"/>
      <c r="AZ1724" s="263"/>
      <c r="BA1724" s="263"/>
      <c r="BB1724" s="263"/>
      <c r="BC1724" s="263"/>
      <c r="BD1724" s="264"/>
      <c r="BE1724" s="263"/>
      <c r="BF1724" s="263"/>
      <c r="BG1724" s="263"/>
      <c r="BH1724" s="263"/>
      <c r="BI1724" s="263"/>
      <c r="BJ1724" s="404">
        <f>altaz(J2000_Bas,$O1724,$M1724,DecLat,DecLong,2)</f>
        <v>13.339772416375554</v>
      </c>
      <c r="BK1724" s="378" t="s">
        <v>8730</v>
      </c>
      <c r="BL1724" s="379">
        <f>IF((2*G1724)/60&lt;0.2,0.2,(2*G1724)/60)</f>
        <v>0.66666666666666663</v>
      </c>
      <c r="BM1724" s="380">
        <f>MOD((50000+AD1724-$B$3+(0/24)),1)</f>
        <v>0.48061640013474971</v>
      </c>
      <c r="BN1724" s="381"/>
      <c r="BO1724" s="382">
        <v>1717</v>
      </c>
    </row>
    <row r="1725" spans="1:67" s="24" customFormat="1" ht="15" customHeight="1" x14ac:dyDescent="0.25">
      <c r="A1725" s="288" t="s">
        <v>1714</v>
      </c>
      <c r="B1725" s="241" t="str">
        <f>HYPERLINK(CONCATENATE($AT$3,BK1725,$AU$3),$AV$3)</f>
        <v>S</v>
      </c>
      <c r="C1725" s="242" t="str">
        <f>HYPERLINK(CONCATENATE($AT$4,BK1725,$AU$4,BL1725),$AV$4)</f>
        <v>A</v>
      </c>
      <c r="D1725" s="243" t="s">
        <v>5187</v>
      </c>
      <c r="E1725" s="244" t="s">
        <v>5186</v>
      </c>
      <c r="F1725" s="269"/>
      <c r="G1725" s="273">
        <v>6</v>
      </c>
      <c r="H1725" s="283">
        <v>2400</v>
      </c>
      <c r="I1725" s="279">
        <v>4.5</v>
      </c>
      <c r="J1725" s="246">
        <v>3</v>
      </c>
      <c r="K1725" s="247" t="s">
        <v>6818</v>
      </c>
      <c r="L1725" s="248">
        <v>63241</v>
      </c>
      <c r="M1725" s="249">
        <f>15*(LEFT(TEXT($L1725,"000000"),2)+(MID(TEXT($L1725,"000000"),3,2)/60)+(RIGHT(TEXT($L1725,"000000"),2)/3600))</f>
        <v>98.170833333333334</v>
      </c>
      <c r="N1725" s="250">
        <v>100924</v>
      </c>
      <c r="O1725" s="251">
        <f>IF($N1725&gt;0,(LEFT(TEXT($N1725,"000000"),2)+(MID(TEXT($N1725,"000000"),3,2)/60)+(RIGHT(TEXT($N1725,"000000"),2)/3600)),-(MID(TEXT($N1725,"000000"),2,2)+(MID(TEXT($N1725,"000000"),4,2)/60)+(RIGHT(TEXT($N1725,"000000"),2)/3600)))</f>
        <v>10.156666666666666</v>
      </c>
      <c r="P1725" s="252" t="s">
        <v>47</v>
      </c>
      <c r="Q1725" s="253"/>
      <c r="R1725" s="247" t="s">
        <v>3293</v>
      </c>
      <c r="S1725" s="272" t="s">
        <v>6816</v>
      </c>
      <c r="T1725" s="273"/>
      <c r="U1725" s="274"/>
      <c r="V1725" s="280"/>
      <c r="W1725" s="244"/>
      <c r="X1725" s="244"/>
      <c r="Y1725" s="362"/>
      <c r="Z1725" s="257">
        <f>altaz(J2000_Bas,$O1725,$M1725,DecLat,DecLong,1)</f>
        <v>-48.162777629349051</v>
      </c>
      <c r="AA1725" s="257">
        <f>altaz((J2000_Bas+(2*0.04167)),$O1725,$M1725,DecLat,DecLong,1)</f>
        <v>-35.086183453879279</v>
      </c>
      <c r="AB1725" s="257">
        <f>altaz((J2000_Bas+(4*0.04167)),$O1725,$M1725,DecLat,DecLong,1)</f>
        <v>-13.016675014341732</v>
      </c>
      <c r="AC1725" s="257">
        <f>altaz((J2000_Bas+(6*0.04167)),$O1725,$M1725,DecLat,DecLong,1)</f>
        <v>12.092629247810326</v>
      </c>
      <c r="AD1725" s="258">
        <f>1+ transit((J2000_Bas-1),$O1725,$M1725,DecLat,DecLong)/360 + (GMTOffset/24) + (IF(DST="Y", 1, 0)/24)</f>
        <v>1.2655966926192914</v>
      </c>
      <c r="AE1725" s="259">
        <f>DATE(2001,9,21)+(M1725/360)*365 - (360*((DecLong/360)- (GMTOffset/24) ))</f>
        <v>37259.534317129626</v>
      </c>
      <c r="AF1725" s="260">
        <f>IF(DecLat&gt;0,IF((90 - (DecLat-O1725))&gt;90, (90 - (O1725-DecLat)), (90 - (DecLat-O1725))),IF((90 + (DecLat-O1725))&gt;90, (90 + (O1725-DecLat)), (90 + (DecLat-O1725))))</f>
        <v>69.156666666666666</v>
      </c>
      <c r="AG1725" s="257">
        <f>angularseperation(MoonRA,MoonDec,$M1725,$O1725)</f>
        <v>147.92127346456851</v>
      </c>
      <c r="AH1725" s="261">
        <f ca="1">MIN(100,IF($O$5&gt;80,0+30*($AG1725/100),IF($O$5&gt;70,0+50*($AG1725/100),IF($O$5&gt;60,5+50*($AG1725/100),IF($O$5&gt;50,10+60*($AG1725/100),IF($O$5&gt;40,15+70*($AG1725/100),IF($O$5&gt;30,20+70*($AG1725/100),IF($O$5&gt;20,40+55*($AG1725/100),(80+(20-$O$5)+30*($AG1725/100))))))))))</f>
        <v>100</v>
      </c>
      <c r="AI1725" s="262">
        <v>2245</v>
      </c>
      <c r="AJ1725" s="262"/>
      <c r="AK1725" s="262"/>
      <c r="AL1725" s="263"/>
      <c r="AM1725" s="264"/>
      <c r="AN1725" s="263"/>
      <c r="AO1725" s="263"/>
      <c r="AP1725" s="265"/>
      <c r="AQ1725" s="266"/>
      <c r="AR1725" s="267"/>
      <c r="AS1725" s="263"/>
      <c r="AT1725" s="263"/>
      <c r="AU1725" s="263"/>
      <c r="AV1725" s="264"/>
      <c r="AW1725" s="263"/>
      <c r="AX1725" s="263"/>
      <c r="AY1725" s="263">
        <v>904</v>
      </c>
      <c r="AZ1725" s="263"/>
      <c r="BA1725" s="263"/>
      <c r="BB1725" s="263"/>
      <c r="BC1725" s="263"/>
      <c r="BD1725" s="264"/>
      <c r="BE1725" s="263"/>
      <c r="BF1725" s="263"/>
      <c r="BG1725" s="263">
        <v>39</v>
      </c>
      <c r="BH1725" s="263"/>
      <c r="BI1725" s="263"/>
      <c r="BJ1725" s="404">
        <f>altaz(J2000_Bas,$O1725,$M1725,DecLat,DecLong,2)</f>
        <v>11.60066861600966</v>
      </c>
      <c r="BK1725" s="378" t="s">
        <v>1714</v>
      </c>
      <c r="BL1725" s="379">
        <f>IF((2*G1725)/60&lt;0.2,0.2,(2*G1725)/60)</f>
        <v>0.2</v>
      </c>
      <c r="BM1725" s="380">
        <f>MOD((50000+AD1725-$B$3+(0/24)),1)</f>
        <v>0.48096362232172396</v>
      </c>
      <c r="BN1725" s="381"/>
      <c r="BO1725" s="382">
        <v>1718</v>
      </c>
    </row>
    <row r="1726" spans="1:67" s="24" customFormat="1" ht="15" customHeight="1" x14ac:dyDescent="0.25">
      <c r="A1726" s="288" t="s">
        <v>1715</v>
      </c>
      <c r="B1726" s="241" t="str">
        <f>HYPERLINK(CONCATENATE($AT$3,BK1726,$AU$3),$AV$3)</f>
        <v>S</v>
      </c>
      <c r="C1726" s="242" t="str">
        <f>HYPERLINK(CONCATENATE($AT$4,BK1726,$AU$4,BL1726),$AV$4)</f>
        <v>A</v>
      </c>
      <c r="D1726" s="243" t="s">
        <v>5187</v>
      </c>
      <c r="E1726" s="244" t="s">
        <v>5186</v>
      </c>
      <c r="F1726" s="269"/>
      <c r="G1726" s="273">
        <v>6</v>
      </c>
      <c r="H1726" s="283">
        <v>2400</v>
      </c>
      <c r="I1726" s="279">
        <v>4.5</v>
      </c>
      <c r="J1726" s="246">
        <v>3</v>
      </c>
      <c r="K1726" s="247" t="s">
        <v>9469</v>
      </c>
      <c r="L1726" s="248">
        <v>63305</v>
      </c>
      <c r="M1726" s="249">
        <f>15*(LEFT(TEXT($L1726,"000000"),2)+(MID(TEXT($L1726,"000000"),3,2)/60)+(RIGHT(TEXT($L1726,"000000"),2)/3600))</f>
        <v>98.270833333333329</v>
      </c>
      <c r="N1726" s="286">
        <v>101920</v>
      </c>
      <c r="O1726" s="251">
        <f>IF($N1726&gt;0,(LEFT(TEXT($N1726,"000000"),2)+(MID(TEXT($N1726,"000000"),3,2)/60)+(RIGHT(TEXT($N1726,"000000"),2)/3600)),-(MID(TEXT($N1726,"000000"),2,2)+(MID(TEXT($N1726,"000000"),4,2)/60)+(RIGHT(TEXT($N1726,"000000"),2)/3600)))</f>
        <v>10.322222222222223</v>
      </c>
      <c r="P1726" s="252" t="s">
        <v>47</v>
      </c>
      <c r="Q1726" s="253"/>
      <c r="R1726" s="247" t="s">
        <v>3293</v>
      </c>
      <c r="S1726" s="272" t="s">
        <v>6817</v>
      </c>
      <c r="T1726" s="273"/>
      <c r="U1726" s="274"/>
      <c r="V1726" s="280"/>
      <c r="W1726" s="244"/>
      <c r="X1726" s="244"/>
      <c r="Y1726" s="362"/>
      <c r="Z1726" s="257">
        <f>altaz(J2000_Bas,$O1726,$M1726,DecLat,DecLong,1)</f>
        <v>-48.016839057858235</v>
      </c>
      <c r="AA1726" s="257">
        <f>altaz((J2000_Bas+(2*0.04167)),$O1726,$M1726,DecLat,DecLong,1)</f>
        <v>-35.022603287599765</v>
      </c>
      <c r="AB1726" s="257">
        <f>altaz((J2000_Bas+(4*0.04167)),$O1726,$M1726,DecLat,DecLong,1)</f>
        <v>-13.001077657494134</v>
      </c>
      <c r="AC1726" s="257">
        <f>altaz((J2000_Bas+(6*0.04167)),$O1726,$M1726,DecLat,DecLong,1)</f>
        <v>12.08941786717731</v>
      </c>
      <c r="AD1726" s="258">
        <f>1+ transit((J2000_Bas-1),$O1726,$M1726,DecLat,DecLong)/360 + (GMTOffset/24) + (IF(DST="Y", 1, 0)/24)</f>
        <v>1.2658744703692912</v>
      </c>
      <c r="AE1726" s="259">
        <f>DATE(2001,9,21)+(M1726/360)*365 - (360*((DecLong/360)- (GMTOffset/24) ))</f>
        <v>37259.635706018518</v>
      </c>
      <c r="AF1726" s="260">
        <f>IF(DecLat&gt;0,IF((90 - (DecLat-O1726))&gt;90, (90 - (O1726-DecLat)), (90 - (DecLat-O1726))),IF((90 + (DecLat-O1726))&gt;90, (90 + (O1726-DecLat)), (90 + (DecLat-O1726))))</f>
        <v>69.322222222222223</v>
      </c>
      <c r="AG1726" s="257">
        <f>angularseperation(MoonRA,MoonDec,$M1726,$O1726)</f>
        <v>147.93785862603914</v>
      </c>
      <c r="AH1726" s="261">
        <f ca="1">MIN(100,IF($O$5&gt;80,0+30*($AG1726/100),IF($O$5&gt;70,0+50*($AG1726/100),IF($O$5&gt;60,5+50*($AG1726/100),IF($O$5&gt;50,10+60*($AG1726/100),IF($O$5&gt;40,15+70*($AG1726/100),IF($O$5&gt;30,20+70*($AG1726/100),IF($O$5&gt;20,40+55*($AG1726/100),(80+(20-$O$5)+30*($AG1726/100))))))))))</f>
        <v>100</v>
      </c>
      <c r="AI1726" s="262">
        <v>2247</v>
      </c>
      <c r="AJ1726" s="262"/>
      <c r="AK1726" s="262"/>
      <c r="AL1726" s="263"/>
      <c r="AM1726" s="264"/>
      <c r="AN1726" s="263"/>
      <c r="AO1726" s="263"/>
      <c r="AP1726" s="265"/>
      <c r="AQ1726" s="266"/>
      <c r="AR1726" s="267"/>
      <c r="AS1726" s="263"/>
      <c r="AT1726" s="263"/>
      <c r="AU1726" s="263"/>
      <c r="AV1726" s="264"/>
      <c r="AW1726" s="263"/>
      <c r="AX1726" s="263"/>
      <c r="AY1726" s="263"/>
      <c r="AZ1726" s="263"/>
      <c r="BA1726" s="263"/>
      <c r="BB1726" s="263"/>
      <c r="BC1726" s="263"/>
      <c r="BD1726" s="264">
        <v>82</v>
      </c>
      <c r="BE1726" s="263"/>
      <c r="BF1726" s="263"/>
      <c r="BG1726" s="263"/>
      <c r="BH1726" s="263"/>
      <c r="BI1726" s="263"/>
      <c r="BJ1726" s="404">
        <f>altaz(J2000_Bas,$O1726,$M1726,DecLat,DecLong,2)</f>
        <v>11.412520034872939</v>
      </c>
      <c r="BK1726" s="378" t="s">
        <v>1715</v>
      </c>
      <c r="BL1726" s="379">
        <f>IF((2*G1726)/60&lt;0.2,0.2,(2*G1726)/60)</f>
        <v>0.2</v>
      </c>
      <c r="BM1726" s="380">
        <f>MOD((50000+AD1726-$B$3+(0/24)),1)</f>
        <v>0.48124140006984817</v>
      </c>
      <c r="BN1726" s="381"/>
      <c r="BO1726" s="382">
        <v>1719</v>
      </c>
    </row>
    <row r="1727" spans="1:67" s="24" customFormat="1" ht="15" customHeight="1" x14ac:dyDescent="0.25">
      <c r="A1727" s="287" t="s">
        <v>1716</v>
      </c>
      <c r="B1727" s="241" t="str">
        <f>HYPERLINK(CONCATENATE($AT$3,BK1727,$AU$3),$AV$3)</f>
        <v>S</v>
      </c>
      <c r="C1727" s="242" t="str">
        <f>HYPERLINK(CONCATENATE($AT$4,BK1727,$AU$4,BL1727),$AV$4)</f>
        <v>A</v>
      </c>
      <c r="D1727" s="243" t="s">
        <v>5335</v>
      </c>
      <c r="E1727" s="244" t="s">
        <v>5185</v>
      </c>
      <c r="F1727" s="269" t="s">
        <v>6633</v>
      </c>
      <c r="G1727" s="276">
        <v>10</v>
      </c>
      <c r="H1727" s="283">
        <v>5000</v>
      </c>
      <c r="I1727" s="246">
        <v>15</v>
      </c>
      <c r="J1727" s="246">
        <v>2</v>
      </c>
      <c r="K1727" s="247" t="s">
        <v>6819</v>
      </c>
      <c r="L1727" s="248">
        <v>63438</v>
      </c>
      <c r="M1727" s="249">
        <f>15*(LEFT(TEXT($L1727,"000000"),2)+(MID(TEXT($L1727,"000000"),3,2)/60)+(RIGHT(TEXT($L1727,"000000"),2)/3600))</f>
        <v>98.658333333333331</v>
      </c>
      <c r="N1727" s="250">
        <v>82200</v>
      </c>
      <c r="O1727" s="251">
        <f>IF($N1727&gt;0,(LEFT(TEXT($N1727,"000000"),2)+(MID(TEXT($N1727,"000000"),3,2)/60)+(RIGHT(TEXT($N1727,"000000"),2)/3600)),-(MID(TEXT($N1727,"000000"),2,2)+(MID(TEXT($N1727,"000000"),4,2)/60)+(RIGHT(TEXT($N1727,"000000"),2)/3600)))</f>
        <v>8.3666666666666671</v>
      </c>
      <c r="P1727" s="252" t="s">
        <v>47</v>
      </c>
      <c r="Q1727" s="253"/>
      <c r="R1727" s="277" t="s">
        <v>3293</v>
      </c>
      <c r="S1727" s="272" t="s">
        <v>3293</v>
      </c>
      <c r="T1727" s="273">
        <v>7.3</v>
      </c>
      <c r="U1727" s="274"/>
      <c r="V1727" s="280"/>
      <c r="W1727" s="244"/>
      <c r="X1727" s="244"/>
      <c r="Y1727" s="362"/>
      <c r="Z1727" s="257">
        <f>altaz(J2000_Bas,$O1727,$M1727,DecLat,DecLong,1)</f>
        <v>-50.008989537940515</v>
      </c>
      <c r="AA1727" s="257">
        <f>altaz((J2000_Bas+(2*0.04167)),$O1727,$M1727,DecLat,DecLong,1)</f>
        <v>-36.762386967971381</v>
      </c>
      <c r="AB1727" s="257">
        <f>altaz((J2000_Bas+(4*0.04167)),$O1727,$M1727,DecLat,DecLong,1)</f>
        <v>-14.442468076578457</v>
      </c>
      <c r="AC1727" s="257">
        <f>altaz((J2000_Bas+(6*0.04167)),$O1727,$M1727,DecLat,DecLong,1)</f>
        <v>10.781886464405199</v>
      </c>
      <c r="AD1727" s="258">
        <f>1+ transit((J2000_Bas-1),$O1727,$M1727,DecLat,DecLong)/360 + (GMTOffset/24) + (IF(DST="Y", 1, 0)/24)</f>
        <v>1.2669508591505414</v>
      </c>
      <c r="AE1727" s="259">
        <f>DATE(2001,9,21)+(M1727/360)*365 - (360*((DecLong/360)- (GMTOffset/24) ))</f>
        <v>37260.028587962966</v>
      </c>
      <c r="AF1727" s="260">
        <f>IF(DecLat&gt;0,IF((90 - (DecLat-O1727))&gt;90, (90 - (O1727-DecLat)), (90 - (DecLat-O1727))),IF((90 + (DecLat-O1727))&gt;90, (90 + (O1727-DecLat)), (90 + (DecLat-O1727))))</f>
        <v>67.366666666666674</v>
      </c>
      <c r="AG1727" s="257">
        <f>angularseperation(MoonRA,MoonDec,$M1727,$O1727)</f>
        <v>146.46470919147063</v>
      </c>
      <c r="AH1727" s="261">
        <f ca="1">MIN(100,IF($O$5&gt;80,0+30*($AG1727/100),IF($O$5&gt;70,0+50*($AG1727/100),IF($O$5&gt;60,5+50*($AG1727/100),IF($O$5&gt;50,10+60*($AG1727/100),IF($O$5&gt;40,15+70*($AG1727/100),IF($O$5&gt;30,20+70*($AG1727/100),IF($O$5&gt;20,40+55*($AG1727/100),(80+(20-$O$5)+30*($AG1727/100))))))))))</f>
        <v>100</v>
      </c>
      <c r="AI1727" s="262">
        <v>2251</v>
      </c>
      <c r="AJ1727" s="263"/>
      <c r="AK1727" s="263">
        <v>80</v>
      </c>
      <c r="AL1727" s="263"/>
      <c r="AM1727" s="264"/>
      <c r="AN1727" s="263"/>
      <c r="AO1727" s="263"/>
      <c r="AP1727" s="265"/>
      <c r="AQ1727" s="265"/>
      <c r="AR1727" s="285"/>
      <c r="AS1727" s="263"/>
      <c r="AT1727" s="263"/>
      <c r="AU1727" s="263"/>
      <c r="AV1727" s="264"/>
      <c r="AW1727" s="263"/>
      <c r="AX1727" s="263"/>
      <c r="AY1727" s="263"/>
      <c r="AZ1727" s="263"/>
      <c r="BA1727" s="263"/>
      <c r="BB1727" s="263"/>
      <c r="BC1727" s="263"/>
      <c r="BD1727" s="264"/>
      <c r="BE1727" s="263"/>
      <c r="BF1727" s="263"/>
      <c r="BG1727" s="263"/>
      <c r="BH1727" s="263"/>
      <c r="BI1727" s="263"/>
      <c r="BJ1727" s="404">
        <f>altaz(J2000_Bas,$O1727,$M1727,DecLat,DecLong,2)</f>
        <v>11.349342549708746</v>
      </c>
      <c r="BK1727" s="378" t="s">
        <v>1716</v>
      </c>
      <c r="BL1727" s="379">
        <f>IF((2*G1727)/60&lt;0.2,0.2,(2*G1727)/60)</f>
        <v>0.33333333333333331</v>
      </c>
      <c r="BM1727" s="380">
        <f>MOD((50000+AD1727-$B$3+(0/24)),1)</f>
        <v>0.48231778885383392</v>
      </c>
      <c r="BN1727" s="381"/>
      <c r="BO1727" s="382">
        <v>1720</v>
      </c>
    </row>
    <row r="1728" spans="1:67" s="24" customFormat="1" ht="15" customHeight="1" x14ac:dyDescent="0.25">
      <c r="A1728" s="288" t="s">
        <v>1717</v>
      </c>
      <c r="B1728" s="241" t="str">
        <f>HYPERLINK(CONCATENATE($AT$3,BK1728,$AU$3),$AV$3)</f>
        <v>S</v>
      </c>
      <c r="C1728" s="242" t="str">
        <f>HYPERLINK(CONCATENATE($AT$4,BK1728,$AU$4,BL1728),$AV$4)</f>
        <v>A</v>
      </c>
      <c r="D1728" s="243" t="s">
        <v>5187</v>
      </c>
      <c r="E1728" s="244" t="s">
        <v>5186</v>
      </c>
      <c r="F1728" s="269"/>
      <c r="G1728" s="273">
        <v>2</v>
      </c>
      <c r="H1728" s="283">
        <v>2500</v>
      </c>
      <c r="I1728" s="279">
        <v>1.4</v>
      </c>
      <c r="J1728" s="246">
        <v>4</v>
      </c>
      <c r="K1728" s="247" t="s">
        <v>6820</v>
      </c>
      <c r="L1728" s="248">
        <v>63910</v>
      </c>
      <c r="M1728" s="249">
        <f>15*(LEFT(TEXT($L1728,"000000"),2)+(MID(TEXT($L1728,"000000"),3,2)/60)+(RIGHT(TEXT($L1728,"000000"),2)/3600))</f>
        <v>99.791666666666686</v>
      </c>
      <c r="N1728" s="250">
        <v>84440</v>
      </c>
      <c r="O1728" s="251">
        <f>IF($N1728&gt;0,(LEFT(TEXT($N1728,"000000"),2)+(MID(TEXT($N1728,"000000"),3,2)/60)+(RIGHT(TEXT($N1728,"000000"),2)/3600)),-(MID(TEXT($N1728,"000000"),2,2)+(MID(TEXT($N1728,"000000"),4,2)/60)+(RIGHT(TEXT($N1728,"000000"),2)/3600)))</f>
        <v>8.7444444444444436</v>
      </c>
      <c r="P1728" s="252" t="s">
        <v>47</v>
      </c>
      <c r="Q1728" s="253" t="s">
        <v>7008</v>
      </c>
      <c r="R1728" s="277" t="s">
        <v>7368</v>
      </c>
      <c r="S1728" s="272" t="s">
        <v>3293</v>
      </c>
      <c r="T1728" s="273">
        <v>9</v>
      </c>
      <c r="U1728" s="274"/>
      <c r="V1728" s="280"/>
      <c r="W1728" s="244"/>
      <c r="X1728" s="244"/>
      <c r="Y1728" s="362"/>
      <c r="Z1728" s="257">
        <f>altaz(J2000_Bas,$O1728,$M1728,DecLat,DecLong,1)</f>
        <v>-49.811981366734074</v>
      </c>
      <c r="AA1728" s="257">
        <f>altaz((J2000_Bas+(2*0.04167)),$O1728,$M1728,DecLat,DecLong,1)</f>
        <v>-37.194660756455335</v>
      </c>
      <c r="AB1728" s="257">
        <f>altaz((J2000_Bas+(4*0.04167)),$O1728,$M1728,DecLat,DecLong,1)</f>
        <v>-15.138165918034145</v>
      </c>
      <c r="AC1728" s="257">
        <f>altaz((J2000_Bas+(6*0.04167)),$O1728,$M1728,DecLat,DecLong,1)</f>
        <v>10.002197929576734</v>
      </c>
      <c r="AD1728" s="258">
        <f>1+ transit((J2000_Bas-1),$O1728,$M1728,DecLat,DecLong)/360 + (GMTOffset/24) + (IF(DST="Y", 1, 0)/24)</f>
        <v>1.2700990069838747</v>
      </c>
      <c r="AE1728" s="259">
        <f>DATE(2001,9,21)+(M1728/360)*365 - (360*((DecLong/360)- (GMTOffset/24) ))</f>
        <v>37261.177662037036</v>
      </c>
      <c r="AF1728" s="260">
        <f>IF(DecLat&gt;0,IF((90 - (DecLat-O1728))&gt;90, (90 - (O1728-DecLat)), (90 - (DecLat-O1728))),IF((90 + (DecLat-O1728))&gt;90, (90 + (O1728-DecLat)), (90 + (DecLat-O1728))))</f>
        <v>67.74444444444444</v>
      </c>
      <c r="AG1728" s="257">
        <f>angularseperation(MoonRA,MoonDec,$M1728,$O1728)</f>
        <v>145.79737900472452</v>
      </c>
      <c r="AH1728" s="261">
        <f ca="1">MIN(100,IF($O$5&gt;80,0+30*($AG1728/100),IF($O$5&gt;70,0+50*($AG1728/100),IF($O$5&gt;60,5+50*($AG1728/100),IF($O$5&gt;50,10+60*($AG1728/100),IF($O$5&gt;40,15+70*($AG1728/100),IF($O$5&gt;30,20+70*($AG1728/100),IF($O$5&gt;20,40+55*($AG1728/100),(80+(20-$O$5)+30*($AG1728/100))))))))))</f>
        <v>100</v>
      </c>
      <c r="AI1728" s="262">
        <v>2261</v>
      </c>
      <c r="AJ1728" s="262"/>
      <c r="AK1728" s="262"/>
      <c r="AL1728" s="263"/>
      <c r="AM1728" s="264">
        <v>46</v>
      </c>
      <c r="AN1728" s="263"/>
      <c r="AO1728" s="263"/>
      <c r="AP1728" s="265"/>
      <c r="AQ1728" s="266"/>
      <c r="AR1728" s="267"/>
      <c r="AS1728" s="263"/>
      <c r="AT1728" s="263"/>
      <c r="AU1728" s="263"/>
      <c r="AV1728" s="264"/>
      <c r="AW1728" s="263"/>
      <c r="AX1728" s="263"/>
      <c r="AY1728" s="263"/>
      <c r="AZ1728" s="263"/>
      <c r="BA1728" s="263"/>
      <c r="BB1728" s="263"/>
      <c r="BC1728" s="263"/>
      <c r="BD1728" s="264"/>
      <c r="BE1728" s="263"/>
      <c r="BF1728" s="263"/>
      <c r="BG1728" s="263"/>
      <c r="BH1728" s="263"/>
      <c r="BI1728" s="263"/>
      <c r="BJ1728" s="404">
        <f>altaz(J2000_Bas,$O1728,$M1728,DecLat,DecLong,2)</f>
        <v>9.5384495973144414</v>
      </c>
      <c r="BK1728" s="378" t="s">
        <v>1717</v>
      </c>
      <c r="BL1728" s="379">
        <f>IF((2*G1728)/60&lt;0.2,0.2,(2*G1728)/60)</f>
        <v>0.2</v>
      </c>
      <c r="BM1728" s="380">
        <f>MOD((50000+AD1728-$B$3+(0/24)),1)</f>
        <v>0.48546593669016147</v>
      </c>
      <c r="BN1728" s="381" t="s">
        <v>9241</v>
      </c>
      <c r="BO1728" s="382">
        <v>1721</v>
      </c>
    </row>
    <row r="1729" spans="1:67" s="24" customFormat="1" ht="15" customHeight="1" x14ac:dyDescent="0.25">
      <c r="A1729" s="288" t="s">
        <v>1718</v>
      </c>
      <c r="B1729" s="241" t="str">
        <f>HYPERLINK(CONCATENATE($AT$3,BK1729,$AU$3),$AV$3)</f>
        <v>S</v>
      </c>
      <c r="C1729" s="242" t="str">
        <f>HYPERLINK(CONCATENATE($AT$4,BK1729,$AU$4,BL1729),$AV$4)</f>
        <v>A</v>
      </c>
      <c r="D1729" s="243" t="s">
        <v>5187</v>
      </c>
      <c r="E1729" s="244" t="s">
        <v>5183</v>
      </c>
      <c r="F1729" s="269" t="s">
        <v>9161</v>
      </c>
      <c r="G1729" s="276">
        <v>40</v>
      </c>
      <c r="H1729" s="283">
        <v>2400</v>
      </c>
      <c r="I1729" s="246">
        <v>30</v>
      </c>
      <c r="J1729" s="246">
        <v>5</v>
      </c>
      <c r="K1729" s="247" t="s">
        <v>6821</v>
      </c>
      <c r="L1729" s="248">
        <v>64058</v>
      </c>
      <c r="M1729" s="249">
        <f>15*(LEFT(TEXT($L1729,"000000"),2)+(MID(TEXT($L1729,"000000"),3,2)/60)+(RIGHT(TEXT($L1729,"000000"),2)/3600))</f>
        <v>100.24166666666667</v>
      </c>
      <c r="N1729" s="250">
        <v>95342</v>
      </c>
      <c r="O1729" s="251">
        <f>IF($N1729&gt;0,(LEFT(TEXT($N1729,"000000"),2)+(MID(TEXT($N1729,"000000"),3,2)/60)+(RIGHT(TEXT($N1729,"000000"),2)/3600)),-(MID(TEXT($N1729,"000000"),2,2)+(MID(TEXT($N1729,"000000"),4,2)/60)+(RIGHT(TEXT($N1729,"000000"),2)/3600)))</f>
        <v>9.8949999999999996</v>
      </c>
      <c r="P1729" s="252" t="s">
        <v>47</v>
      </c>
      <c r="Q1729" s="253" t="s">
        <v>9166</v>
      </c>
      <c r="R1729" s="277" t="s">
        <v>3293</v>
      </c>
      <c r="S1729" s="272" t="s">
        <v>3293</v>
      </c>
      <c r="T1729" s="273">
        <v>4.0999999999999996</v>
      </c>
      <c r="U1729" s="274"/>
      <c r="V1729" s="280"/>
      <c r="W1729" s="244"/>
      <c r="X1729" s="244"/>
      <c r="Y1729" s="362"/>
      <c r="Z1729" s="257">
        <f>altaz(J2000_Bas,$O1729,$M1729,DecLat,DecLong,1)</f>
        <v>-48.733138667852224</v>
      </c>
      <c r="AA1729" s="257">
        <f>altaz((J2000_Bas+(2*0.04167)),$O1729,$M1729,DecLat,DecLong,1)</f>
        <v>-36.582332510420642</v>
      </c>
      <c r="AB1729" s="257">
        <f>altaz((J2000_Bas+(4*0.04167)),$O1729,$M1729,DecLat,DecLong,1)</f>
        <v>-14.826380092881417</v>
      </c>
      <c r="AC1729" s="257">
        <f>altaz((J2000_Bas+(6*0.04167)),$O1729,$M1729,DecLat,DecLong,1)</f>
        <v>10.194203605822137</v>
      </c>
      <c r="AD1729" s="258">
        <f>1+ transit((J2000_Bas-1),$O1729,$M1729,DecLat,DecLong)/360 + (GMTOffset/24) + (IF(DST="Y", 1, 0)/24)</f>
        <v>1.2713490068588749</v>
      </c>
      <c r="AE1729" s="259">
        <f>DATE(2001,9,21)+(M1729/360)*365 - (360*((DecLong/360)- (GMTOffset/24) ))</f>
        <v>37261.633912037039</v>
      </c>
      <c r="AF1729" s="260">
        <f>IF(DecLat&gt;0,IF((90 - (DecLat-O1729))&gt;90, (90 - (O1729-DecLat)), (90 - (DecLat-O1729))),IF((90 + (DecLat-O1729))&gt;90, (90 + (O1729-DecLat)), (90 + (DecLat-O1729))))</f>
        <v>68.894999999999996</v>
      </c>
      <c r="AG1729" s="257">
        <f>angularseperation(MoonRA,MoonDec,$M1729,$O1729)</f>
        <v>146.10477332273257</v>
      </c>
      <c r="AH1729" s="261">
        <f ca="1">MIN(100,IF($O$5&gt;80,0+30*($AG1729/100),IF($O$5&gt;70,0+50*($AG1729/100),IF($O$5&gt;60,5+50*($AG1729/100),IF($O$5&gt;50,10+60*($AG1729/100),IF($O$5&gt;40,15+70*($AG1729/100),IF($O$5&gt;30,20+70*($AG1729/100),IF($O$5&gt;20,40+55*($AG1729/100),(80+(20-$O$5)+30*($AG1729/100))))))))))</f>
        <v>100</v>
      </c>
      <c r="AI1729" s="262">
        <v>2264</v>
      </c>
      <c r="AJ1729" s="262"/>
      <c r="AK1729" s="262">
        <v>81</v>
      </c>
      <c r="AL1729" s="263"/>
      <c r="AM1729" s="264"/>
      <c r="AN1729" s="263"/>
      <c r="AO1729" s="263"/>
      <c r="AP1729" s="265"/>
      <c r="AQ1729" s="266"/>
      <c r="AR1729" s="267"/>
      <c r="AS1729" s="263"/>
      <c r="AT1729" s="263"/>
      <c r="AU1729" s="263"/>
      <c r="AV1729" s="264"/>
      <c r="AW1729" s="263"/>
      <c r="AX1729" s="263"/>
      <c r="AY1729" s="263"/>
      <c r="AZ1729" s="263"/>
      <c r="BA1729" s="263"/>
      <c r="BB1729" s="263">
        <v>273</v>
      </c>
      <c r="BC1729" s="263"/>
      <c r="BD1729" s="264"/>
      <c r="BE1729" s="263">
        <v>38</v>
      </c>
      <c r="BF1729" s="263"/>
      <c r="BG1729" s="263"/>
      <c r="BH1729" s="263"/>
      <c r="BI1729" s="263"/>
      <c r="BJ1729" s="404">
        <f>altaz(J2000_Bas,$O1729,$M1729,DecLat,DecLong,2)</f>
        <v>8.6225455637329951</v>
      </c>
      <c r="BK1729" s="378" t="s">
        <v>1718</v>
      </c>
      <c r="BL1729" s="379">
        <f>IF((2*G1729)/60&lt;0.2,0.2,(2*G1729)/60)</f>
        <v>1.3333333333333333</v>
      </c>
      <c r="BM1729" s="380">
        <f>MOD((50000+AD1729-$B$3+(0/24)),1)</f>
        <v>0.48671593656035839</v>
      </c>
      <c r="BN1729" s="381"/>
      <c r="BO1729" s="382">
        <v>1722</v>
      </c>
    </row>
    <row r="1730" spans="1:67" s="24" customFormat="1" ht="15" customHeight="1" x14ac:dyDescent="0.25">
      <c r="A1730" s="287" t="s">
        <v>2972</v>
      </c>
      <c r="B1730" s="241" t="str">
        <f>HYPERLINK(CONCATENATE($AT$3,BK1730,$AU$3),$AV$3)</f>
        <v>S</v>
      </c>
      <c r="C1730" s="242" t="str">
        <f>HYPERLINK(CONCATENATE($AT$4,BK1730,$AU$4,BL1730),$AV$4)</f>
        <v>A</v>
      </c>
      <c r="D1730" s="243" t="s">
        <v>5335</v>
      </c>
      <c r="E1730" s="244" t="s">
        <v>5185</v>
      </c>
      <c r="F1730" s="269" t="s">
        <v>6737</v>
      </c>
      <c r="G1730" s="273">
        <v>6</v>
      </c>
      <c r="H1730" s="283">
        <v>10500</v>
      </c>
      <c r="I1730" s="246">
        <v>19</v>
      </c>
      <c r="J1730" s="246">
        <v>2</v>
      </c>
      <c r="K1730" s="247" t="s">
        <v>6822</v>
      </c>
      <c r="L1730" s="248">
        <v>64312</v>
      </c>
      <c r="M1730" s="249">
        <f>15*(LEFT(TEXT($L1730,"000000"),2)+(MID(TEXT($L1730,"000000"),3,2)/60)+(RIGHT(TEXT($L1730,"000000"),2)/3600))</f>
        <v>100.8</v>
      </c>
      <c r="N1730" s="250">
        <v>265800</v>
      </c>
      <c r="O1730" s="251">
        <f>IF($N1730&gt;0,(LEFT(TEXT($N1730,"000000"),2)+(MID(TEXT($N1730,"000000"),3,2)/60)+(RIGHT(TEXT($N1730,"000000"),2)/3600)),-(MID(TEXT($N1730,"000000"),2,2)+(MID(TEXT($N1730,"000000"),4,2)/60)+(RIGHT(TEXT($N1730,"000000"),2)/3600)))</f>
        <v>26.966666666666665</v>
      </c>
      <c r="P1730" s="252" t="s">
        <v>85</v>
      </c>
      <c r="Q1730" s="253"/>
      <c r="R1730" s="277" t="s">
        <v>3293</v>
      </c>
      <c r="S1730" s="272" t="s">
        <v>3293</v>
      </c>
      <c r="T1730" s="273">
        <v>9.5</v>
      </c>
      <c r="U1730" s="274"/>
      <c r="V1730" s="280"/>
      <c r="W1730" s="244"/>
      <c r="X1730" s="244"/>
      <c r="Y1730" s="362"/>
      <c r="Z1730" s="257">
        <f>altaz(J2000_Bas,$O1730,$M1730,DecLat,DecLong,1)</f>
        <v>-31.820860015254102</v>
      </c>
      <c r="AA1730" s="257">
        <f>altaz((J2000_Bas+(2*0.04167)),$O1730,$M1730,DecLat,DecLong,1)</f>
        <v>-22.957386496945272</v>
      </c>
      <c r="AB1730" s="257">
        <f>altaz((J2000_Bas+(4*0.04167)),$O1730,$M1730,DecLat,DecLong,1)</f>
        <v>-4.8652531581972447</v>
      </c>
      <c r="AC1730" s="257">
        <f>altaz((J2000_Bas+(6*0.04167)),$O1730,$M1730,DecLat,DecLong,1)</f>
        <v>17.830245818091843</v>
      </c>
      <c r="AD1730" s="258">
        <f>1+ transit((J2000_Bas-1),$O1730,$M1730,DecLat,DecLong)/360 + (GMTOffset/24) + (IF(DST="Y", 1, 0)/24)</f>
        <v>1.2728999326297079</v>
      </c>
      <c r="AE1730" s="259">
        <f>DATE(2001,9,21)+(M1730/360)*365 - (360*((DecLong/360)- (GMTOffset/24) ))</f>
        <v>37262.199999999997</v>
      </c>
      <c r="AF1730" s="260">
        <f>IF(DecLat&gt;0,IF((90 - (DecLat-O1730))&gt;90, (90 - (O1730-DecLat)), (90 - (DecLat-O1730))),IF((90 + (DecLat-O1730))&gt;90, (90 + (O1730-DecLat)), (90 + (DecLat-O1730))))</f>
        <v>85.966666666666669</v>
      </c>
      <c r="AG1730" s="257">
        <f>angularseperation(MoonRA,MoonDec,$M1730,$O1730)</f>
        <v>151.96276319566454</v>
      </c>
      <c r="AH1730" s="261">
        <f ca="1">MIN(100,IF($O$5&gt;80,0+30*($AG1730/100),IF($O$5&gt;70,0+50*($AG1730/100),IF($O$5&gt;60,5+50*($AG1730/100),IF($O$5&gt;50,10+60*($AG1730/100),IF($O$5&gt;40,15+70*($AG1730/100),IF($O$5&gt;30,20+70*($AG1730/100),IF($O$5&gt;20,40+55*($AG1730/100),(80+(20-$O$5)+30*($AG1730/100))))))))))</f>
        <v>100</v>
      </c>
      <c r="AI1730" s="262">
        <v>2266</v>
      </c>
      <c r="AJ1730" s="263"/>
      <c r="AK1730" s="263">
        <v>82</v>
      </c>
      <c r="AL1730" s="263"/>
      <c r="AM1730" s="264"/>
      <c r="AN1730" s="263"/>
      <c r="AO1730" s="263"/>
      <c r="AP1730" s="265"/>
      <c r="AQ1730" s="265"/>
      <c r="AR1730" s="285"/>
      <c r="AS1730" s="263"/>
      <c r="AT1730" s="263"/>
      <c r="AU1730" s="263"/>
      <c r="AV1730" s="264"/>
      <c r="AW1730" s="263"/>
      <c r="AX1730" s="263"/>
      <c r="AY1730" s="263"/>
      <c r="AZ1730" s="263"/>
      <c r="BA1730" s="263"/>
      <c r="BB1730" s="263"/>
      <c r="BC1730" s="263"/>
      <c r="BD1730" s="264"/>
      <c r="BE1730" s="263"/>
      <c r="BF1730" s="263"/>
      <c r="BG1730" s="263"/>
      <c r="BH1730" s="263"/>
      <c r="BI1730" s="263"/>
      <c r="BJ1730" s="404">
        <f>altaz(J2000_Bas,$O1730,$M1730,DecLat,DecLong,2)</f>
        <v>5.4579083260222863</v>
      </c>
      <c r="BK1730" s="378" t="s">
        <v>2972</v>
      </c>
      <c r="BL1730" s="379">
        <f>IF((2*G1730)/60&lt;0.2,0.2,(2*G1730)/60)</f>
        <v>0.2</v>
      </c>
      <c r="BM1730" s="380">
        <f>MOD((50000+AD1730-$B$3+(0/24)),1)</f>
        <v>0.48826686233223882</v>
      </c>
      <c r="BN1730" s="381"/>
      <c r="BO1730" s="382">
        <v>1723</v>
      </c>
    </row>
    <row r="1731" spans="1:67" s="24" customFormat="1" ht="15" customHeight="1" x14ac:dyDescent="0.25">
      <c r="A1731" s="288" t="s">
        <v>1719</v>
      </c>
      <c r="B1731" s="241" t="str">
        <f>HYPERLINK(CONCATENATE($AT$3,BK1731,$AU$3),$AV$3)</f>
        <v>S</v>
      </c>
      <c r="C1731" s="242" t="str">
        <f>HYPERLINK(CONCATENATE($AT$4,BK1731,$AU$4,BL1731),$AV$4)</f>
        <v>A</v>
      </c>
      <c r="D1731" s="243" t="s">
        <v>5638</v>
      </c>
      <c r="E1731" s="244" t="s">
        <v>5192</v>
      </c>
      <c r="F1731" s="269" t="s">
        <v>8886</v>
      </c>
      <c r="G1731" s="273">
        <v>3</v>
      </c>
      <c r="H1731" s="283">
        <v>100</v>
      </c>
      <c r="I1731" s="246">
        <v>90</v>
      </c>
      <c r="J1731" s="246">
        <v>2</v>
      </c>
      <c r="K1731" s="247" t="s">
        <v>6823</v>
      </c>
      <c r="L1731" s="248">
        <v>71418</v>
      </c>
      <c r="M1731" s="249">
        <f>15*(LEFT(TEXT($L1731,"000000"),2)+(MID(TEXT($L1731,"000000"),3,2)/60)+(RIGHT(TEXT($L1731,"000000"),2)/3600))</f>
        <v>108.575</v>
      </c>
      <c r="N1731" s="250">
        <v>842255</v>
      </c>
      <c r="O1731" s="251">
        <f>IF($N1731&gt;0,(LEFT(TEXT($N1731,"000000"),2)+(MID(TEXT($N1731,"000000"),3,2)/60)+(RIGHT(TEXT($N1731,"000000"),2)/3600)),-(MID(TEXT($N1731,"000000"),2,2)+(MID(TEXT($N1731,"000000"),4,2)/60)+(RIGHT(TEXT($N1731,"000000"),2)/3600)))</f>
        <v>84.381944444444443</v>
      </c>
      <c r="P1731" s="252" t="s">
        <v>226</v>
      </c>
      <c r="Q1731" s="253"/>
      <c r="R1731" s="277" t="s">
        <v>3293</v>
      </c>
      <c r="S1731" s="272" t="s">
        <v>3293</v>
      </c>
      <c r="T1731" s="273">
        <v>11.5</v>
      </c>
      <c r="U1731" s="289">
        <v>22.29</v>
      </c>
      <c r="V1731" s="280">
        <v>55</v>
      </c>
      <c r="W1731" s="244"/>
      <c r="X1731" s="244"/>
      <c r="Y1731" s="362"/>
      <c r="Z1731" s="257">
        <f>altaz(J2000_Bas,$O1731,$M1731,DecLat,DecLong,1)</f>
        <v>25.387306988499503</v>
      </c>
      <c r="AA1731" s="257">
        <f>altaz((J2000_Bas+(2*0.04167)),$O1731,$M1731,DecLat,DecLong,1)</f>
        <v>25.985266935865006</v>
      </c>
      <c r="AB1731" s="257">
        <f>altaz((J2000_Bas+(4*0.04167)),$O1731,$M1731,DecLat,DecLong,1)</f>
        <v>27.878417007686647</v>
      </c>
      <c r="AC1731" s="257">
        <f>altaz((J2000_Bas+(6*0.04167)),$O1731,$M1731,DecLat,DecLong,1)</f>
        <v>30.608500263054808</v>
      </c>
      <c r="AD1731" s="258">
        <f>1+ transit((J2000_Bas-1),$O1731,$M1731,DecLat,DecLong)/360 + (GMTOffset/24) + (IF(DST="Y", 1, 0)/24)</f>
        <v>1.294497152692208</v>
      </c>
      <c r="AE1731" s="259">
        <f>DATE(2001,9,21)+(M1731/360)*365 - (360*((DecLong/360)- (GMTOffset/24) ))</f>
        <v>37270.082986111112</v>
      </c>
      <c r="AF1731" s="260">
        <f>IF(DecLat&gt;0,IF((90 - (DecLat-O1731))&gt;90, (90 - (O1731-DecLat)), (90 - (DecLat-O1731))),IF((90 + (DecLat-O1731))&gt;90, (90 + (O1731-DecLat)), (90 + (DecLat-O1731))))</f>
        <v>36.618055555555557</v>
      </c>
      <c r="AG1731" s="257">
        <f>angularseperation(MoonRA,MoonDec,$M1731,$O1731)</f>
        <v>121.36765163681589</v>
      </c>
      <c r="AH1731" s="261">
        <f ca="1">MIN(100,IF($O$5&gt;80,0+30*($AG1731/100),IF($O$5&gt;70,0+50*($AG1731/100),IF($O$5&gt;60,5+50*($AG1731/100),IF($O$5&gt;50,10+60*($AG1731/100),IF($O$5&gt;40,15+70*($AG1731/100),IF($O$5&gt;30,20+70*($AG1731/100),IF($O$5&gt;20,40+55*($AG1731/100),(80+(20-$O$5)+30*($AG1731/100))))))))))</f>
        <v>100</v>
      </c>
      <c r="AI1731" s="262">
        <v>2268</v>
      </c>
      <c r="AJ1731" s="263"/>
      <c r="AK1731" s="263"/>
      <c r="AL1731" s="263"/>
      <c r="AM1731" s="264"/>
      <c r="AN1731" s="263"/>
      <c r="AO1731" s="263"/>
      <c r="AP1731" s="265"/>
      <c r="AQ1731" s="265">
        <v>3653</v>
      </c>
      <c r="AR1731" s="285">
        <v>20458</v>
      </c>
      <c r="AS1731" s="263"/>
      <c r="AT1731" s="263"/>
      <c r="AU1731" s="263"/>
      <c r="AV1731" s="264"/>
      <c r="AW1731" s="263"/>
      <c r="AX1731" s="263"/>
      <c r="AY1731" s="263"/>
      <c r="AZ1731" s="263"/>
      <c r="BA1731" s="263"/>
      <c r="BB1731" s="263"/>
      <c r="BC1731" s="263"/>
      <c r="BD1731" s="264"/>
      <c r="BE1731" s="263"/>
      <c r="BF1731" s="263"/>
      <c r="BG1731" s="263"/>
      <c r="BH1731" s="263"/>
      <c r="BI1731" s="263"/>
      <c r="BJ1731" s="404">
        <f>altaz(J2000_Bas,$O1731,$M1731,DecLat,DecLong,2)</f>
        <v>359.72134787810518</v>
      </c>
      <c r="BK1731" s="378" t="s">
        <v>1719</v>
      </c>
      <c r="BL1731" s="379">
        <f>IF((2*G1731)/60&lt;0.2,0.2,(2*G1731)/60)</f>
        <v>0.2</v>
      </c>
      <c r="BM1731" s="380">
        <f>MOD((50000+AD1731-$B$3+(0/24)),1)</f>
        <v>0.50986408239987213</v>
      </c>
      <c r="BN1731" s="381"/>
      <c r="BO1731" s="382">
        <v>1724</v>
      </c>
    </row>
    <row r="1732" spans="1:67" s="24" customFormat="1" ht="15" customHeight="1" x14ac:dyDescent="0.25">
      <c r="A1732" s="288" t="s">
        <v>1720</v>
      </c>
      <c r="B1732" s="241" t="str">
        <f>HYPERLINK(CONCATENATE($AT$3,BK1732,$AU$3),$AV$3)</f>
        <v>S</v>
      </c>
      <c r="C1732" s="242" t="str">
        <f>HYPERLINK(CONCATENATE($AT$4,BK1732,$AU$4,BL1732),$AV$4)</f>
        <v>A</v>
      </c>
      <c r="D1732" s="243" t="s">
        <v>5638</v>
      </c>
      <c r="E1732" s="244" t="s">
        <v>5192</v>
      </c>
      <c r="F1732" s="269" t="s">
        <v>8953</v>
      </c>
      <c r="G1732" s="273">
        <v>3.5</v>
      </c>
      <c r="H1732" s="283">
        <v>100</v>
      </c>
      <c r="I1732" s="246">
        <v>100</v>
      </c>
      <c r="J1732" s="246">
        <v>2</v>
      </c>
      <c r="K1732" s="247" t="s">
        <v>8554</v>
      </c>
      <c r="L1732" s="248">
        <v>65009</v>
      </c>
      <c r="M1732" s="249">
        <f>15*(LEFT(TEXT($L1732,"000000"),2)+(MID(TEXT($L1732,"000000"),3,2)/60)+(RIGHT(TEXT($L1732,"000000"),2)/3600))</f>
        <v>102.53749999999999</v>
      </c>
      <c r="N1732" s="250">
        <v>605045</v>
      </c>
      <c r="O1732" s="251">
        <f>IF($N1732&gt;0,(LEFT(TEXT($N1732,"000000"),2)+(MID(TEXT($N1732,"000000"),3,2)/60)+(RIGHT(TEXT($N1732,"000000"),2)/3600)),-(MID(TEXT($N1732,"000000"),2,2)+(MID(TEXT($N1732,"000000"),4,2)/60)+(RIGHT(TEXT($N1732,"000000"),2)/3600)))</f>
        <v>60.845833333333339</v>
      </c>
      <c r="P1732" s="252" t="s">
        <v>82</v>
      </c>
      <c r="Q1732" s="253"/>
      <c r="R1732" s="247" t="s">
        <v>3293</v>
      </c>
      <c r="S1732" s="272" t="s">
        <v>3293</v>
      </c>
      <c r="T1732" s="273">
        <v>13.5</v>
      </c>
      <c r="U1732" s="289">
        <v>22.69</v>
      </c>
      <c r="V1732" s="280">
        <v>60</v>
      </c>
      <c r="W1732" s="244"/>
      <c r="X1732" s="244"/>
      <c r="Y1732" s="362"/>
      <c r="Z1732" s="257">
        <f>altaz(J2000_Bas,$O1732,$M1732,DecLat,DecLong,1)</f>
        <v>1.8895978760957775</v>
      </c>
      <c r="AA1732" s="257">
        <f>altaz((J2000_Bas+(2*0.04167)),$O1732,$M1732,DecLat,DecLong,1)</f>
        <v>5.8414478702482384</v>
      </c>
      <c r="AB1732" s="257">
        <f>altaz((J2000_Bas+(4*0.04167)),$O1732,$M1732,DecLat,DecLong,1)</f>
        <v>15.327869006977819</v>
      </c>
      <c r="AC1732" s="257">
        <f>altaz((J2000_Bas+(6*0.04167)),$O1732,$M1732,DecLat,DecLong,1)</f>
        <v>28.481351787397362</v>
      </c>
      <c r="AD1732" s="258">
        <f>1+ transit((J2000_Bas-1),$O1732,$M1732,DecLat,DecLong)/360 + (GMTOffset/24) + (IF(DST="Y", 1, 0)/24)</f>
        <v>1.277726321035958</v>
      </c>
      <c r="AE1732" s="259">
        <f>DATE(2001,9,21)+(M1732/360)*365 - (360*((DecLong/360)- (GMTOffset/24) ))</f>
        <v>37263.961631944447</v>
      </c>
      <c r="AF1732" s="260">
        <f>IF(DecLat&gt;0,IF((90 - (DecLat-O1732))&gt;90, (90 - (O1732-DecLat)), (90 - (DecLat-O1732))),IF((90 + (DecLat-O1732))&gt;90, (90 + (O1732-DecLat)), (90 + (DecLat-O1732))))</f>
        <v>60.154166666666661</v>
      </c>
      <c r="AG1732" s="257">
        <f>angularseperation(MoonRA,MoonDec,$M1732,$O1732)</f>
        <v>139.47807440184206</v>
      </c>
      <c r="AH1732" s="261">
        <f ca="1">MIN(100,IF($O$5&gt;80,0+30*($AG1732/100),IF($O$5&gt;70,0+50*($AG1732/100),IF($O$5&gt;60,5+50*($AG1732/100),IF($O$5&gt;50,10+60*($AG1732/100),IF($O$5&gt;40,15+70*($AG1732/100),IF($O$5&gt;30,20+70*($AG1732/100),IF($O$5&gt;20,40+55*($AG1732/100),(80+(20-$O$5)+30*($AG1732/100))))))))))</f>
        <v>100</v>
      </c>
      <c r="AI1732" s="262">
        <v>2273</v>
      </c>
      <c r="AJ1732" s="262"/>
      <c r="AK1732" s="262"/>
      <c r="AL1732" s="263"/>
      <c r="AM1732" s="264"/>
      <c r="AN1732" s="263"/>
      <c r="AO1732" s="263"/>
      <c r="AP1732" s="265"/>
      <c r="AQ1732" s="266">
        <v>3546</v>
      </c>
      <c r="AR1732" s="267">
        <v>19688</v>
      </c>
      <c r="AS1732" s="263"/>
      <c r="AT1732" s="263"/>
      <c r="AU1732" s="263"/>
      <c r="AV1732" s="264"/>
      <c r="AW1732" s="263"/>
      <c r="AX1732" s="263"/>
      <c r="AY1732" s="263"/>
      <c r="AZ1732" s="263"/>
      <c r="BA1732" s="263"/>
      <c r="BB1732" s="263"/>
      <c r="BC1732" s="263"/>
      <c r="BD1732" s="264"/>
      <c r="BE1732" s="263"/>
      <c r="BF1732" s="263"/>
      <c r="BG1732" s="263"/>
      <c r="BH1732" s="263"/>
      <c r="BI1732" s="263"/>
      <c r="BJ1732" s="404">
        <f>altaz(J2000_Bas,$O1732,$M1732,DecLat,DecLong,2)</f>
        <v>1.6882087569697082</v>
      </c>
      <c r="BK1732" s="378" t="s">
        <v>1720</v>
      </c>
      <c r="BL1732" s="379">
        <f>IF((2*G1732)/60&lt;0.2,0.2,(2*G1732)/60)</f>
        <v>0.2</v>
      </c>
      <c r="BM1732" s="380">
        <f>MOD((50000+AD1732-$B$3+(0/24)),1)</f>
        <v>0.49309325074136723</v>
      </c>
      <c r="BN1732" s="381"/>
      <c r="BO1732" s="382">
        <v>1725</v>
      </c>
    </row>
    <row r="1733" spans="1:67" s="24" customFormat="1" ht="15" customHeight="1" x14ac:dyDescent="0.25">
      <c r="A1733" s="288" t="s">
        <v>7577</v>
      </c>
      <c r="B1733" s="241" t="str">
        <f>HYPERLINK(CONCATENATE($AT$3,BK1733,$AU$3),$AV$3)</f>
        <v>S</v>
      </c>
      <c r="C1733" s="242" t="str">
        <f>HYPERLINK(CONCATENATE($AT$4,BK1733,$AU$4,BL1733),$AV$4)</f>
        <v>A</v>
      </c>
      <c r="D1733" s="243" t="s">
        <v>5638</v>
      </c>
      <c r="E1733" s="244" t="s">
        <v>5625</v>
      </c>
      <c r="F1733" s="269">
        <v>4</v>
      </c>
      <c r="G1733" s="282">
        <v>18</v>
      </c>
      <c r="H1733" s="283">
        <v>225</v>
      </c>
      <c r="I1733" s="284">
        <v>1200</v>
      </c>
      <c r="J1733" s="246">
        <v>3</v>
      </c>
      <c r="K1733" s="247" t="s">
        <v>6824</v>
      </c>
      <c r="L1733" s="248">
        <v>64717</v>
      </c>
      <c r="M1733" s="249">
        <f>15*(LEFT(TEXT($L1733,"000000"),2)+(MID(TEXT($L1733,"000000"),3,2)/60)+(RIGHT(TEXT($L1733,"000000"),2)/3600))</f>
        <v>101.82083333333333</v>
      </c>
      <c r="N1733" s="250">
        <v>333401</v>
      </c>
      <c r="O1733" s="251">
        <f>IF($N1733&gt;0,(LEFT(TEXT($N1733,"000000"),2)+(MID(TEXT($N1733,"000000"),3,2)/60)+(RIGHT(TEXT($N1733,"000000"),2)/3600)),-(MID(TEXT($N1733,"000000"),2,2)+(MID(TEXT($N1733,"000000"),4,2)/60)+(RIGHT(TEXT($N1733,"000000"),2)/3600)))</f>
        <v>33.566944444444445</v>
      </c>
      <c r="P1733" s="252" t="s">
        <v>85</v>
      </c>
      <c r="Q1733" s="253"/>
      <c r="R1733" s="277" t="s">
        <v>3293</v>
      </c>
      <c r="S1733" s="272" t="s">
        <v>3293</v>
      </c>
      <c r="T1733" s="273">
        <v>12.1</v>
      </c>
      <c r="U1733" s="289">
        <v>21.39</v>
      </c>
      <c r="V1733" s="280"/>
      <c r="W1733" s="244"/>
      <c r="X1733" s="244"/>
      <c r="Y1733" s="362"/>
      <c r="Z1733" s="257">
        <f>altaz(J2000_Bas,$O1733,$M1733,DecLat,DecLong,1)</f>
        <v>-25.312477352204006</v>
      </c>
      <c r="AA1733" s="257">
        <f>altaz((J2000_Bas+(2*0.04167)),$O1733,$M1733,DecLat,DecLong,1)</f>
        <v>-17.787489445800084</v>
      </c>
      <c r="AB1733" s="257">
        <f>altaz((J2000_Bas+(4*0.04167)),$O1733,$M1733,DecLat,DecLong,1)</f>
        <v>-1.3975221568306517</v>
      </c>
      <c r="AC1733" s="257">
        <f>altaz((J2000_Bas+(6*0.04167)),$O1733,$M1733,DecLat,DecLong,1)</f>
        <v>19.877191852534295</v>
      </c>
      <c r="AD1733" s="258">
        <f>1+ transit((J2000_Bas-1),$O1733,$M1733,DecLat,DecLong)/360 + (GMTOffset/24) + (IF(DST="Y", 1, 0)/24)</f>
        <v>1.2757355804942914</v>
      </c>
      <c r="AE1733" s="259">
        <f>DATE(2001,9,21)+(M1733/360)*365 - (360*((DecLong/360)- (GMTOffset/24) ))</f>
        <v>37263.235011574077</v>
      </c>
      <c r="AF1733" s="260">
        <f>IF(DecLat&gt;0,IF((90 - (DecLat-O1733))&gt;90, (90 - (O1733-DecLat)), (90 - (DecLat-O1733))),IF((90 + (DecLat-O1733))&gt;90, (90 + (O1733-DecLat)), (90 + (DecLat-O1733))))</f>
        <v>87.433055555555555</v>
      </c>
      <c r="AG1733" s="257">
        <f>angularseperation(MoonRA,MoonDec,$M1733,$O1733)</f>
        <v>151.26747242403323</v>
      </c>
      <c r="AH1733" s="261">
        <f ca="1">MIN(100,IF($O$5&gt;80,0+30*($AG1733/100),IF($O$5&gt;70,0+50*($AG1733/100),IF($O$5&gt;60,5+50*($AG1733/100),IF($O$5&gt;50,10+60*($AG1733/100),IF($O$5&gt;40,15+70*($AG1733/100),IF($O$5&gt;30,20+70*($AG1733/100),IF($O$5&gt;20,40+55*($AG1733/100),(80+(20-$O$5)+30*($AG1733/100))))))))))</f>
        <v>100</v>
      </c>
      <c r="AI1733" s="262">
        <v>2274</v>
      </c>
      <c r="AJ1733" s="263"/>
      <c r="AK1733" s="263"/>
      <c r="AL1733" s="263"/>
      <c r="AM1733" s="264"/>
      <c r="AN1733" s="263"/>
      <c r="AO1733" s="263"/>
      <c r="AP1733" s="265"/>
      <c r="AQ1733" s="265">
        <v>3541</v>
      </c>
      <c r="AR1733" s="285">
        <v>19603</v>
      </c>
      <c r="AS1733" s="263"/>
      <c r="AT1733" s="263"/>
      <c r="AU1733" s="263"/>
      <c r="AV1733" s="264"/>
      <c r="AW1733" s="263"/>
      <c r="AX1733" s="263"/>
      <c r="AY1733" s="263"/>
      <c r="AZ1733" s="263"/>
      <c r="BA1733" s="263"/>
      <c r="BB1733" s="263"/>
      <c r="BC1733" s="263"/>
      <c r="BD1733" s="264"/>
      <c r="BE1733" s="263"/>
      <c r="BF1733" s="263"/>
      <c r="BG1733" s="263"/>
      <c r="BH1733" s="263"/>
      <c r="BI1733" s="263"/>
      <c r="BJ1733" s="404">
        <f>altaz(J2000_Bas,$O1733,$M1733,DecLat,DecLong,2)</f>
        <v>3.853997540442998</v>
      </c>
      <c r="BK1733" s="378" t="s">
        <v>1721</v>
      </c>
      <c r="BL1733" s="379">
        <f>IF((2*G1733)/60&lt;0.2,0.2,(2*G1733)/60)</f>
        <v>0.6</v>
      </c>
      <c r="BM1733" s="380">
        <f>MOD((50000+AD1733-$B$3+(0/24)),1)</f>
        <v>0.49110251019737916</v>
      </c>
      <c r="BN1733" s="381"/>
      <c r="BO1733" s="382">
        <v>1726</v>
      </c>
    </row>
    <row r="1734" spans="1:67" s="24" customFormat="1" ht="15" customHeight="1" x14ac:dyDescent="0.25">
      <c r="A1734" s="288" t="s">
        <v>1722</v>
      </c>
      <c r="B1734" s="241" t="str">
        <f>HYPERLINK(CONCATENATE($AT$3,BK1734,$AU$3),$AV$3)</f>
        <v>S</v>
      </c>
      <c r="C1734" s="242" t="str">
        <f>HYPERLINK(CONCATENATE($AT$4,BK1734,$AU$4,BL1734),$AV$4)</f>
        <v>A</v>
      </c>
      <c r="D1734" s="243" t="s">
        <v>5638</v>
      </c>
      <c r="E1734" s="244" t="s">
        <v>5192</v>
      </c>
      <c r="F1734" s="269" t="s">
        <v>8689</v>
      </c>
      <c r="G1734" s="273">
        <v>3.5</v>
      </c>
      <c r="H1734" s="283">
        <v>90</v>
      </c>
      <c r="I1734" s="246">
        <v>90</v>
      </c>
      <c r="J1734" s="246">
        <v>2</v>
      </c>
      <c r="K1734" s="247" t="s">
        <v>6825</v>
      </c>
      <c r="L1734" s="248">
        <v>64449</v>
      </c>
      <c r="M1734" s="249">
        <f>15*(LEFT(TEXT($L1734,"000000"),2)+(MID(TEXT($L1734,"000000"),3,2)/60)+(RIGHT(TEXT($L1734,"000000"),2)/3600))</f>
        <v>101.20416666666668</v>
      </c>
      <c r="N1734" s="250">
        <v>-273821</v>
      </c>
      <c r="O1734" s="251">
        <f>IF($N1734&gt;0,(LEFT(TEXT($N1734,"000000"),2)+(MID(TEXT($N1734,"000000"),3,2)/60)+(RIGHT(TEXT($N1734,"000000"),2)/3600)),-(MID(TEXT($N1734,"000000"),2,2)+(MID(TEXT($N1734,"000000"),4,2)/60)+(RIGHT(TEXT($N1734,"000000"),2)/3600)))</f>
        <v>-27.639166666666664</v>
      </c>
      <c r="P1734" s="252" t="s">
        <v>80</v>
      </c>
      <c r="Q1734" s="253"/>
      <c r="R1734" s="247" t="s">
        <v>3293</v>
      </c>
      <c r="S1734" s="272" t="s">
        <v>3293</v>
      </c>
      <c r="T1734" s="273">
        <v>10.3</v>
      </c>
      <c r="U1734" s="289">
        <v>22.19</v>
      </c>
      <c r="V1734" s="280">
        <v>70</v>
      </c>
      <c r="W1734" s="244"/>
      <c r="X1734" s="244"/>
      <c r="Y1734" s="362"/>
      <c r="Z1734" s="257">
        <f>altaz(J2000_Bas,$O1734,$M1734,DecLat,DecLong,1)</f>
        <v>-84.63464369706108</v>
      </c>
      <c r="AA1734" s="257">
        <f>altaz((J2000_Bas+(2*0.04167)),$O1734,$M1734,DecLat,DecLong,1)</f>
        <v>-59.523895408758293</v>
      </c>
      <c r="AB1734" s="257">
        <f>altaz((J2000_Bas+(4*0.04167)),$O1734,$M1734,DecLat,DecLong,1)</f>
        <v>-34.071931943279637</v>
      </c>
      <c r="AC1734" s="257">
        <f>altaz((J2000_Bas+(6*0.04167)),$O1734,$M1734,DecLat,DecLong,1)</f>
        <v>-9.9074586968701865</v>
      </c>
      <c r="AD1734" s="258">
        <f>1+ transit((J2000_Bas-1),$O1734,$M1734,DecLat,DecLong)/360 + (GMTOffset/24) + (IF(DST="Y", 1, 0)/24)</f>
        <v>1.2740226177026248</v>
      </c>
      <c r="AE1734" s="259">
        <f>DATE(2001,9,21)+(M1734/360)*365 - (360*((DecLong/360)- (GMTOffset/24) ))</f>
        <v>37262.609780092593</v>
      </c>
      <c r="AF1734" s="260">
        <f>IF(DecLat&gt;0,IF((90 - (DecLat-O1734))&gt;90, (90 - (O1734-DecLat)), (90 - (DecLat-O1734))),IF((90 + (DecLat-O1734))&gt;90, (90 + (O1734-DecLat)), (90 + (DecLat-O1734))))</f>
        <v>31.360833333333332</v>
      </c>
      <c r="AG1734" s="257">
        <f>angularseperation(MoonRA,MoonDec,$M1734,$O1734)</f>
        <v>117.25496618300306</v>
      </c>
      <c r="AH1734" s="261">
        <f ca="1">MIN(100,IF($O$5&gt;80,0+30*($AG1734/100),IF($O$5&gt;70,0+50*($AG1734/100),IF($O$5&gt;60,5+50*($AG1734/100),IF($O$5&gt;50,10+60*($AG1734/100),IF($O$5&gt;40,15+70*($AG1734/100),IF($O$5&gt;30,20+70*($AG1734/100),IF($O$5&gt;20,40+55*($AG1734/100),(80+(20-$O$5)+30*($AG1734/100))))))))))</f>
        <v>100</v>
      </c>
      <c r="AI1734" s="262">
        <v>2280</v>
      </c>
      <c r="AJ1734" s="262"/>
      <c r="AK1734" s="262"/>
      <c r="AL1734" s="263"/>
      <c r="AM1734" s="264"/>
      <c r="AN1734" s="263"/>
      <c r="AO1734" s="263"/>
      <c r="AP1734" s="265"/>
      <c r="AQ1734" s="266"/>
      <c r="AR1734" s="267">
        <v>19531</v>
      </c>
      <c r="AS1734" s="263"/>
      <c r="AT1734" s="263"/>
      <c r="AU1734" s="263"/>
      <c r="AV1734" s="264"/>
      <c r="AW1734" s="263"/>
      <c r="AX1734" s="263"/>
      <c r="AY1734" s="263"/>
      <c r="AZ1734" s="263"/>
      <c r="BA1734" s="263"/>
      <c r="BB1734" s="263"/>
      <c r="BC1734" s="263"/>
      <c r="BD1734" s="264"/>
      <c r="BE1734" s="263"/>
      <c r="BF1734" s="263"/>
      <c r="BG1734" s="263"/>
      <c r="BH1734" s="263"/>
      <c r="BI1734" s="263"/>
      <c r="BJ1734" s="404">
        <f>altaz(J2000_Bas,$O1734,$M1734,DecLat,DecLong,2)</f>
        <v>52.421359621078075</v>
      </c>
      <c r="BK1734" s="378" t="s">
        <v>1722</v>
      </c>
      <c r="BL1734" s="379">
        <f>IF((2*G1734)/60&lt;0.2,0.2,(2*G1734)/60)</f>
        <v>0.2</v>
      </c>
      <c r="BM1734" s="380">
        <f>MOD((50000+AD1734-$B$3+(0/24)),1)</f>
        <v>0.48938954740879126</v>
      </c>
      <c r="BN1734" s="381"/>
      <c r="BO1734" s="382">
        <v>1727</v>
      </c>
    </row>
    <row r="1735" spans="1:67" s="24" customFormat="1" ht="15" customHeight="1" x14ac:dyDescent="0.25">
      <c r="A1735" s="288" t="s">
        <v>1723</v>
      </c>
      <c r="B1735" s="241" t="str">
        <f>HYPERLINK(CONCATENATE($AT$3,BK1735,$AU$3),$AV$3)</f>
        <v>S</v>
      </c>
      <c r="C1735" s="242" t="str">
        <f>HYPERLINK(CONCATENATE($AT$4,BK1735,$AU$4,BL1735),$AV$4)</f>
        <v>A</v>
      </c>
      <c r="D1735" s="243" t="s">
        <v>5335</v>
      </c>
      <c r="E1735" s="244" t="s">
        <v>5185</v>
      </c>
      <c r="F1735" s="269" t="s">
        <v>6795</v>
      </c>
      <c r="G1735" s="276">
        <v>25</v>
      </c>
      <c r="H1735" s="283">
        <v>1800</v>
      </c>
      <c r="I1735" s="246">
        <v>13</v>
      </c>
      <c r="J1735" s="246">
        <v>2</v>
      </c>
      <c r="K1735" s="247" t="s">
        <v>6826</v>
      </c>
      <c r="L1735" s="248">
        <v>64817</v>
      </c>
      <c r="M1735" s="249">
        <f>15*(LEFT(TEXT($L1735,"000000"),2)+(MID(TEXT($L1735,"000000"),3,2)/60)+(RIGHT(TEXT($L1735,"000000"),2)/3600))</f>
        <v>102.07083333333333</v>
      </c>
      <c r="N1735" s="250">
        <v>410442</v>
      </c>
      <c r="O1735" s="251">
        <f>IF($N1735&gt;0,(LEFT(TEXT($N1735,"000000"),2)+(MID(TEXT($N1735,"000000"),3,2)/60)+(RIGHT(TEXT($N1735,"000000"),2)/3600)),-(MID(TEXT($N1735,"000000"),2,2)+(MID(TEXT($N1735,"000000"),4,2)/60)+(RIGHT(TEXT($N1735,"000000"),2)/3600)))</f>
        <v>41.078333333333333</v>
      </c>
      <c r="P1735" s="252" t="s">
        <v>62</v>
      </c>
      <c r="Q1735" s="253" t="s">
        <v>7098</v>
      </c>
      <c r="R1735" s="277" t="s">
        <v>3293</v>
      </c>
      <c r="S1735" s="272" t="s">
        <v>3293</v>
      </c>
      <c r="T1735" s="273">
        <v>5.4</v>
      </c>
      <c r="U1735" s="274"/>
      <c r="V1735" s="280"/>
      <c r="W1735" s="244"/>
      <c r="X1735" s="244"/>
      <c r="Y1735" s="362"/>
      <c r="Z1735" s="257">
        <f>altaz(J2000_Bas,$O1735,$M1735,DecLat,DecLong,1)</f>
        <v>-17.830112914179765</v>
      </c>
      <c r="AA1735" s="257">
        <f>altaz((J2000_Bas+(2*0.04167)),$O1735,$M1735,DecLat,DecLong,1)</f>
        <v>-11.370186272849129</v>
      </c>
      <c r="AB1735" s="257">
        <f>altaz((J2000_Bas+(4*0.04167)),$O1735,$M1735,DecLat,DecLong,1)</f>
        <v>3.2216652217251815</v>
      </c>
      <c r="AC1735" s="257">
        <f>altaz((J2000_Bas+(6*0.04167)),$O1735,$M1735,DecLat,DecLong,1)</f>
        <v>22.680056894925954</v>
      </c>
      <c r="AD1735" s="258">
        <f>1+ transit((J2000_Bas-1),$O1735,$M1735,DecLat,DecLong)/360 + (GMTOffset/24) + (IF(DST="Y", 1, 0)/24)</f>
        <v>1.2764300248692912</v>
      </c>
      <c r="AE1735" s="259">
        <f>DATE(2001,9,21)+(M1735/360)*365 - (360*((DecLong/360)- (GMTOffset/24) ))</f>
        <v>37263.488483796296</v>
      </c>
      <c r="AF1735" s="260">
        <f>IF(DecLat&gt;0,IF((90 - (DecLat-O1735))&gt;90, (90 - (O1735-DecLat)), (90 - (DecLat-O1735))),IF((90 + (DecLat-O1735))&gt;90, (90 + (O1735-DecLat)), (90 + (DecLat-O1735))))</f>
        <v>79.921666666666667</v>
      </c>
      <c r="AG1735" s="257">
        <f>angularseperation(MoonRA,MoonDec,$M1735,$O1735)</f>
        <v>149.67019637061091</v>
      </c>
      <c r="AH1735" s="261">
        <f ca="1">MIN(100,IF($O$5&gt;80,0+30*($AG1735/100),IF($O$5&gt;70,0+50*($AG1735/100),IF($O$5&gt;60,5+50*($AG1735/100),IF($O$5&gt;50,10+60*($AG1735/100),IF($O$5&gt;40,15+70*($AG1735/100),IF($O$5&gt;30,20+70*($AG1735/100),IF($O$5&gt;20,40+55*($AG1735/100),(80+(20-$O$5)+30*($AG1735/100))))))))))</f>
        <v>100</v>
      </c>
      <c r="AI1735" s="262">
        <v>2281</v>
      </c>
      <c r="AJ1735" s="262"/>
      <c r="AK1735" s="262">
        <v>83</v>
      </c>
      <c r="AL1735" s="263"/>
      <c r="AM1735" s="264"/>
      <c r="AN1735" s="263"/>
      <c r="AO1735" s="263"/>
      <c r="AP1735" s="265"/>
      <c r="AQ1735" s="266"/>
      <c r="AR1735" s="267"/>
      <c r="AS1735" s="263"/>
      <c r="AT1735" s="263"/>
      <c r="AU1735" s="263"/>
      <c r="AV1735" s="264"/>
      <c r="AW1735" s="263"/>
      <c r="AX1735" s="263"/>
      <c r="AY1735" s="263"/>
      <c r="AZ1735" s="263"/>
      <c r="BA1735" s="263"/>
      <c r="BB1735" s="263"/>
      <c r="BC1735" s="263"/>
      <c r="BD1735" s="264"/>
      <c r="BE1735" s="263"/>
      <c r="BF1735" s="263">
        <v>30</v>
      </c>
      <c r="BG1735" s="263"/>
      <c r="BH1735" s="263"/>
      <c r="BI1735" s="263"/>
      <c r="BJ1735" s="404">
        <f>altaz(J2000_Bas,$O1735,$M1735,DecLat,DecLong,2)</f>
        <v>3.1124602045245924</v>
      </c>
      <c r="BK1735" s="378" t="s">
        <v>1723</v>
      </c>
      <c r="BL1735" s="379">
        <f>IF((2*G1735)/60&lt;0.2,0.2,(2*G1735)/60)</f>
        <v>0.83333333333333337</v>
      </c>
      <c r="BM1735" s="380">
        <f>MOD((50000+AD1735-$B$3+(0/24)),1)</f>
        <v>0.49179695457132766</v>
      </c>
      <c r="BN1735" s="381"/>
      <c r="BO1735" s="382">
        <v>1728</v>
      </c>
    </row>
    <row r="1736" spans="1:67" s="24" customFormat="1" ht="15" customHeight="1" x14ac:dyDescent="0.25">
      <c r="A1736" s="288" t="s">
        <v>1724</v>
      </c>
      <c r="B1736" s="241" t="str">
        <f>HYPERLINK(CONCATENATE($AT$3,BK1736,$AU$3),$AV$3)</f>
        <v>S</v>
      </c>
      <c r="C1736" s="242" t="str">
        <f>HYPERLINK(CONCATENATE($AT$4,BK1736,$AU$4,BL1736),$AV$4)</f>
        <v>A</v>
      </c>
      <c r="D1736" s="243" t="s">
        <v>5187</v>
      </c>
      <c r="E1736" s="244" t="s">
        <v>5186</v>
      </c>
      <c r="F1736" s="269"/>
      <c r="G1736" s="273">
        <v>4.5</v>
      </c>
      <c r="H1736" s="283">
        <v>5000</v>
      </c>
      <c r="I1736" s="279">
        <v>6.5</v>
      </c>
      <c r="J1736" s="246">
        <v>3</v>
      </c>
      <c r="K1736" s="247" t="s">
        <v>6827</v>
      </c>
      <c r="L1736" s="248">
        <v>64651</v>
      </c>
      <c r="M1736" s="249">
        <f>15*(LEFT(TEXT($L1736,"000000"),2)+(MID(TEXT($L1736,"000000"),3,2)/60)+(RIGHT(TEXT($L1736,"000000"),2)/3600))</f>
        <v>101.71250000000001</v>
      </c>
      <c r="N1736" s="250">
        <v>11856</v>
      </c>
      <c r="O1736" s="251">
        <f>IF($N1736&gt;0,(LEFT(TEXT($N1736,"000000"),2)+(MID(TEXT($N1736,"000000"),3,2)/60)+(RIGHT(TEXT($N1736,"000000"),2)/3600)),-(MID(TEXT($N1736,"000000"),2,2)+(MID(TEXT($N1736,"000000"),4,2)/60)+(RIGHT(TEXT($N1736,"000000"),2)/3600)))</f>
        <v>1.3155555555555556</v>
      </c>
      <c r="P1736" s="252" t="s">
        <v>47</v>
      </c>
      <c r="Q1736" s="253"/>
      <c r="R1736" s="247" t="s">
        <v>3740</v>
      </c>
      <c r="S1736" s="272" t="s">
        <v>3293</v>
      </c>
      <c r="T1736" s="273"/>
      <c r="U1736" s="274"/>
      <c r="V1736" s="280"/>
      <c r="W1736" s="244"/>
      <c r="X1736" s="244"/>
      <c r="Y1736" s="362"/>
      <c r="Z1736" s="257">
        <f>altaz(J2000_Bas,$O1736,$M1736,DecLat,DecLong,1)</f>
        <v>-57.428002323417687</v>
      </c>
      <c r="AA1736" s="257">
        <f>altaz((J2000_Bas+(2*0.04167)),$O1736,$M1736,DecLat,DecLong,1)</f>
        <v>-44.06414061175775</v>
      </c>
      <c r="AB1736" s="257">
        <f>altaz((J2000_Bas+(4*0.04167)),$O1736,$M1736,DecLat,DecLong,1)</f>
        <v>-20.955859642274199</v>
      </c>
      <c r="AC1736" s="257">
        <f>altaz((J2000_Bas+(6*0.04167)),$O1736,$M1736,DecLat,DecLong,1)</f>
        <v>4.5720067409240732</v>
      </c>
      <c r="AD1736" s="258">
        <f>1+ transit((J2000_Bas-1),$O1736,$M1736,DecLat,DecLong)/360 + (GMTOffset/24) + (IF(DST="Y", 1, 0)/24)</f>
        <v>1.2754346545984581</v>
      </c>
      <c r="AE1736" s="259">
        <f>DATE(2001,9,21)+(M1736/360)*365 - (360*((DecLong/360)- (GMTOffset/24) ))</f>
        <v>37263.125173611108</v>
      </c>
      <c r="AF1736" s="260">
        <f>IF(DecLat&gt;0,IF((90 - (DecLat-O1736))&gt;90, (90 - (O1736-DecLat)), (90 - (DecLat-O1736))),IF((90 + (DecLat-O1736))&gt;90, (90 + (O1736-DecLat)), (90 + (DecLat-O1736))))</f>
        <v>60.315555555555555</v>
      </c>
      <c r="AG1736" s="257">
        <f>angularseperation(MoonRA,MoonDec,$M1736,$O1736)</f>
        <v>139.58822110728448</v>
      </c>
      <c r="AH1736" s="261">
        <f ca="1">MIN(100,IF($O$5&gt;80,0+30*($AG1736/100),IF($O$5&gt;70,0+50*($AG1736/100),IF($O$5&gt;60,5+50*($AG1736/100),IF($O$5&gt;50,10+60*($AG1736/100),IF($O$5&gt;40,15+70*($AG1736/100),IF($O$5&gt;30,20+70*($AG1736/100),IF($O$5&gt;20,40+55*($AG1736/100),(80+(20-$O$5)+30*($AG1736/100))))))))))</f>
        <v>100</v>
      </c>
      <c r="AI1736" s="262">
        <v>2282</v>
      </c>
      <c r="AJ1736" s="262">
        <v>2172</v>
      </c>
      <c r="AK1736" s="262"/>
      <c r="AL1736" s="263"/>
      <c r="AM1736" s="264"/>
      <c r="AN1736" s="263"/>
      <c r="AO1736" s="263"/>
      <c r="AP1736" s="265"/>
      <c r="AQ1736" s="266"/>
      <c r="AR1736" s="267"/>
      <c r="AS1736" s="263"/>
      <c r="AT1736" s="263"/>
      <c r="AU1736" s="263"/>
      <c r="AV1736" s="264"/>
      <c r="AW1736" s="263"/>
      <c r="AX1736" s="263"/>
      <c r="AY1736" s="263"/>
      <c r="AZ1736" s="263"/>
      <c r="BA1736" s="263"/>
      <c r="BB1736" s="263"/>
      <c r="BC1736" s="263"/>
      <c r="BD1736" s="264">
        <v>85</v>
      </c>
      <c r="BE1736" s="263"/>
      <c r="BF1736" s="263"/>
      <c r="BG1736" s="263"/>
      <c r="BH1736" s="263"/>
      <c r="BI1736" s="263"/>
      <c r="BJ1736" s="404">
        <f>altaz(J2000_Bas,$O1736,$M1736,DecLat,DecLong,2)</f>
        <v>7.9851782898314934</v>
      </c>
      <c r="BK1736" s="378" t="s">
        <v>1724</v>
      </c>
      <c r="BL1736" s="379">
        <f>IF((2*G1736)/60&lt;0.2,0.2,(2*G1736)/60)</f>
        <v>0.2</v>
      </c>
      <c r="BM1736" s="380">
        <f>MOD((50000+AD1736-$B$3+(0/24)),1)</f>
        <v>0.49080158430297161</v>
      </c>
      <c r="BN1736" s="381"/>
      <c r="BO1736" s="382">
        <v>1729</v>
      </c>
    </row>
    <row r="1737" spans="1:67" s="24" customFormat="1" ht="15" customHeight="1" x14ac:dyDescent="0.25">
      <c r="A1737" s="287" t="s">
        <v>2973</v>
      </c>
      <c r="B1737" s="241" t="str">
        <f>HYPERLINK(CONCATENATE($AT$3,BK1737,$AU$3),$AV$3)</f>
        <v>S</v>
      </c>
      <c r="C1737" s="242" t="str">
        <f>HYPERLINK(CONCATENATE($AT$4,BK1737,$AU$4,BL1737),$AV$4)</f>
        <v>A</v>
      </c>
      <c r="D1737" s="243" t="s">
        <v>5335</v>
      </c>
      <c r="E1737" s="244" t="s">
        <v>5185</v>
      </c>
      <c r="F1737" s="269" t="s">
        <v>6829</v>
      </c>
      <c r="G1737" s="276">
        <v>14</v>
      </c>
      <c r="H1737" s="283">
        <v>9500</v>
      </c>
      <c r="I1737" s="246">
        <v>40</v>
      </c>
      <c r="J1737" s="246">
        <v>1</v>
      </c>
      <c r="K1737" s="247" t="s">
        <v>6828</v>
      </c>
      <c r="L1737" s="248">
        <v>64736</v>
      </c>
      <c r="M1737" s="249">
        <f>15*(LEFT(TEXT($L1737,"000000"),2)+(MID(TEXT($L1737,"000000"),3,2)/60)+(RIGHT(TEXT($L1737,"000000"),2)/3600))</f>
        <v>101.89999999999999</v>
      </c>
      <c r="N1737" s="250">
        <v>-31000</v>
      </c>
      <c r="O1737" s="251">
        <f>IF($N1737&gt;0,(LEFT(TEXT($N1737,"000000"),2)+(MID(TEXT($N1737,"000000"),3,2)/60)+(RIGHT(TEXT($N1737,"000000"),2)/3600)),-(MID(TEXT($N1737,"000000"),2,2)+(MID(TEXT($N1737,"000000"),4,2)/60)+(RIGHT(TEXT($N1737,"000000"),2)/3600)))</f>
        <v>-3.1666666666666665</v>
      </c>
      <c r="P1737" s="252" t="s">
        <v>47</v>
      </c>
      <c r="Q1737" s="253"/>
      <c r="R1737" s="277" t="s">
        <v>3293</v>
      </c>
      <c r="S1737" s="272" t="s">
        <v>3293</v>
      </c>
      <c r="T1737" s="273">
        <v>7.5</v>
      </c>
      <c r="U1737" s="274"/>
      <c r="V1737" s="280"/>
      <c r="W1737" s="244"/>
      <c r="X1737" s="244"/>
      <c r="Y1737" s="362"/>
      <c r="Z1737" s="257">
        <f>altaz(J2000_Bas,$O1737,$M1737,DecLat,DecLong,1)</f>
        <v>-61.898721874557438</v>
      </c>
      <c r="AA1737" s="257">
        <f>altaz((J2000_Bas+(2*0.04167)),$O1737,$M1737,DecLat,DecLong,1)</f>
        <v>-47.427564086841372</v>
      </c>
      <c r="AB1737" s="257">
        <f>altaz((J2000_Bas+(4*0.04167)),$O1737,$M1737,DecLat,DecLong,1)</f>
        <v>-23.577084294668719</v>
      </c>
      <c r="AC1737" s="257">
        <f>altaz((J2000_Bas+(6*0.04167)),$O1737,$M1737,DecLat,DecLong,1)</f>
        <v>2.0950928466204721</v>
      </c>
      <c r="AD1737" s="258">
        <f>1+ transit((J2000_Bas-1),$O1737,$M1737,DecLat,DecLong)/360 + (GMTOffset/24) + (IF(DST="Y", 1, 0)/24)</f>
        <v>1.2759554878797079</v>
      </c>
      <c r="AE1737" s="259">
        <f>DATE(2001,9,21)+(M1737/360)*365 - (360*((DecLong/360)- (GMTOffset/24) ))</f>
        <v>37263.31527777778</v>
      </c>
      <c r="AF1737" s="260">
        <f>IF(DecLat&gt;0,IF((90 - (DecLat-O1737))&gt;90, (90 - (O1737-DecLat)), (90 - (DecLat-O1737))),IF((90 + (DecLat-O1737))&gt;90, (90 + (O1737-DecLat)), (90 + (DecLat-O1737))))</f>
        <v>55.833333333333336</v>
      </c>
      <c r="AG1737" s="257">
        <f>angularseperation(MoonRA,MoonDec,$M1737,$O1737)</f>
        <v>136.32646874885194</v>
      </c>
      <c r="AH1737" s="261">
        <f ca="1">MIN(100,IF($O$5&gt;80,0+30*($AG1737/100),IF($O$5&gt;70,0+50*($AG1737/100),IF($O$5&gt;60,5+50*($AG1737/100),IF($O$5&gt;50,10+60*($AG1737/100),IF($O$5&gt;40,15+70*($AG1737/100),IF($O$5&gt;30,20+70*($AG1737/100),IF($O$5&gt;20,40+55*($AG1737/100),(80+(20-$O$5)+30*($AG1737/100))))))))))</f>
        <v>100</v>
      </c>
      <c r="AI1737" s="262">
        <v>2286</v>
      </c>
      <c r="AJ1737" s="263"/>
      <c r="AK1737" s="263">
        <v>84</v>
      </c>
      <c r="AL1737" s="263"/>
      <c r="AM1737" s="264"/>
      <c r="AN1737" s="263"/>
      <c r="AO1737" s="263"/>
      <c r="AP1737" s="265"/>
      <c r="AQ1737" s="265"/>
      <c r="AR1737" s="285"/>
      <c r="AS1737" s="263"/>
      <c r="AT1737" s="263"/>
      <c r="AU1737" s="263"/>
      <c r="AV1737" s="264"/>
      <c r="AW1737" s="263"/>
      <c r="AX1737" s="263"/>
      <c r="AY1737" s="263"/>
      <c r="AZ1737" s="263"/>
      <c r="BA1737" s="263"/>
      <c r="BB1737" s="263"/>
      <c r="BC1737" s="263"/>
      <c r="BD1737" s="264"/>
      <c r="BE1737" s="263"/>
      <c r="BF1737" s="263"/>
      <c r="BG1737" s="263"/>
      <c r="BH1737" s="263"/>
      <c r="BI1737" s="263"/>
      <c r="BJ1737" s="404">
        <f>altaz(J2000_Bas,$O1737,$M1737,DecLat,DecLong,2)</f>
        <v>8.7228045611754474</v>
      </c>
      <c r="BK1737" s="378" t="s">
        <v>2973</v>
      </c>
      <c r="BL1737" s="379">
        <f>IF((2*G1737)/60&lt;0.2,0.2,(2*G1737)/60)</f>
        <v>0.46666666666666667</v>
      </c>
      <c r="BM1737" s="380">
        <f>MOD((50000+AD1737-$B$3+(0/24)),1)</f>
        <v>0.49132241758343298</v>
      </c>
      <c r="BN1737" s="381"/>
      <c r="BO1737" s="382">
        <v>1730</v>
      </c>
    </row>
    <row r="1738" spans="1:67" s="24" customFormat="1" ht="15" customHeight="1" x14ac:dyDescent="0.25">
      <c r="A1738" s="288" t="s">
        <v>7578</v>
      </c>
      <c r="B1738" s="241" t="str">
        <f>HYPERLINK(CONCATENATE($AT$3,BK1738,$AU$3),$AV$3)</f>
        <v>S</v>
      </c>
      <c r="C1738" s="242" t="str">
        <f>HYPERLINK(CONCATENATE($AT$4,BK1738,$AU$4,BL1738),$AV$4)</f>
        <v>A</v>
      </c>
      <c r="D1738" s="243" t="s">
        <v>5638</v>
      </c>
      <c r="E1738" s="244" t="s">
        <v>5625</v>
      </c>
      <c r="F1738" s="269">
        <v>5</v>
      </c>
      <c r="G1738" s="291">
        <v>6</v>
      </c>
      <c r="H1738" s="283">
        <v>230</v>
      </c>
      <c r="I1738" s="284">
        <v>400</v>
      </c>
      <c r="J1738" s="246">
        <v>2</v>
      </c>
      <c r="K1738" s="247" t="s">
        <v>6830</v>
      </c>
      <c r="L1738" s="248">
        <v>65057</v>
      </c>
      <c r="M1738" s="249">
        <f>15*(LEFT(TEXT($L1738,"000000"),2)+(MID(TEXT($L1738,"000000"),3,2)/60)+(RIGHT(TEXT($L1738,"000000"),2)/3600))</f>
        <v>102.7375</v>
      </c>
      <c r="N1738" s="250">
        <v>332615</v>
      </c>
      <c r="O1738" s="251">
        <f>IF($N1738&gt;0,(LEFT(TEXT($N1738,"000000"),2)+(MID(TEXT($N1738,"000000"),3,2)/60)+(RIGHT(TEXT($N1738,"000000"),2)/3600)),-(MID(TEXT($N1738,"000000"),2,2)+(MID(TEXT($N1738,"000000"),4,2)/60)+(RIGHT(TEXT($N1738,"000000"),2)/3600)))</f>
        <v>33.4375</v>
      </c>
      <c r="P1738" s="252" t="s">
        <v>85</v>
      </c>
      <c r="Q1738" s="253"/>
      <c r="R1738" s="247" t="s">
        <v>3293</v>
      </c>
      <c r="S1738" s="272" t="s">
        <v>3293</v>
      </c>
      <c r="T1738" s="273">
        <v>13.2</v>
      </c>
      <c r="U1738" s="289">
        <v>21.89</v>
      </c>
      <c r="V1738" s="280"/>
      <c r="W1738" s="244"/>
      <c r="X1738" s="244"/>
      <c r="Y1738" s="362"/>
      <c r="Z1738" s="257">
        <f>altaz(J2000_Bas,$O1738,$M1738,DecLat,DecLong,1)</f>
        <v>-25.488774134041687</v>
      </c>
      <c r="AA1738" s="257">
        <f>altaz((J2000_Bas+(2*0.04167)),$O1738,$M1738,DecLat,DecLong,1)</f>
        <v>-18.282865244810353</v>
      </c>
      <c r="AB1738" s="257">
        <f>altaz((J2000_Bas+(4*0.04167)),$O1738,$M1738,DecLat,DecLong,1)</f>
        <v>-2.068717329173579</v>
      </c>
      <c r="AC1738" s="257">
        <f>altaz((J2000_Bas+(6*0.04167)),$O1738,$M1738,DecLat,DecLong,1)</f>
        <v>19.129317922745759</v>
      </c>
      <c r="AD1738" s="258">
        <f>1+ transit((J2000_Bas-1),$O1738,$M1738,DecLat,DecLong)/360 + (GMTOffset/24) + (IF(DST="Y", 1, 0)/24)</f>
        <v>1.278281876535958</v>
      </c>
      <c r="AE1738" s="259">
        <f>DATE(2001,9,21)+(M1738/360)*365 - (360*((DecLong/360)- (GMTOffset/24) ))</f>
        <v>37264.164409722223</v>
      </c>
      <c r="AF1738" s="260">
        <f>IF(DecLat&gt;0,IF((90 - (DecLat-O1738))&gt;90, (90 - (O1738-DecLat)), (90 - (DecLat-O1738))),IF((90 + (DecLat-O1738))&gt;90, (90 + (O1738-DecLat)), (90 + (DecLat-O1738))))</f>
        <v>87.5625</v>
      </c>
      <c r="AG1738" s="257">
        <f>angularseperation(MoonRA,MoonDec,$M1738,$O1738)</f>
        <v>150.51339823120972</v>
      </c>
      <c r="AH1738" s="261">
        <f ca="1">MIN(100,IF($O$5&gt;80,0+30*($AG1738/100),IF($O$5&gt;70,0+50*($AG1738/100),IF($O$5&gt;60,5+50*($AG1738/100),IF($O$5&gt;50,10+60*($AG1738/100),IF($O$5&gt;40,15+70*($AG1738/100),IF($O$5&gt;30,20+70*($AG1738/100),IF($O$5&gt;20,40+55*($AG1738/100),(80+(20-$O$5)+30*($AG1738/100))))))))))</f>
        <v>100</v>
      </c>
      <c r="AI1738" s="262">
        <v>2290</v>
      </c>
      <c r="AJ1738" s="262"/>
      <c r="AK1738" s="262"/>
      <c r="AL1738" s="263"/>
      <c r="AM1738" s="264"/>
      <c r="AN1738" s="263"/>
      <c r="AO1738" s="263"/>
      <c r="AP1738" s="265"/>
      <c r="AQ1738" s="266">
        <v>3562</v>
      </c>
      <c r="AR1738" s="267">
        <v>19718</v>
      </c>
      <c r="AS1738" s="263"/>
      <c r="AT1738" s="263"/>
      <c r="AU1738" s="263"/>
      <c r="AV1738" s="264"/>
      <c r="AW1738" s="263"/>
      <c r="AX1738" s="263"/>
      <c r="AY1738" s="263"/>
      <c r="AZ1738" s="263"/>
      <c r="BA1738" s="263"/>
      <c r="BB1738" s="263"/>
      <c r="BC1738" s="263"/>
      <c r="BD1738" s="264"/>
      <c r="BE1738" s="263"/>
      <c r="BF1738" s="263"/>
      <c r="BG1738" s="263"/>
      <c r="BH1738" s="263"/>
      <c r="BI1738" s="263"/>
      <c r="BJ1738" s="404">
        <f>altaz(J2000_Bas,$O1738,$M1738,DecLat,DecLong,2)</f>
        <v>3.0182612068254748</v>
      </c>
      <c r="BK1738" s="378" t="s">
        <v>1725</v>
      </c>
      <c r="BL1738" s="379">
        <f>IF((2*G1738)/60&lt;0.2,0.2,(2*G1738)/60)</f>
        <v>0.2</v>
      </c>
      <c r="BM1738" s="380">
        <f>MOD((50000+AD1738-$B$3+(0/24)),1)</f>
        <v>0.49364880623761564</v>
      </c>
      <c r="BN1738" s="381"/>
      <c r="BO1738" s="382">
        <v>1731</v>
      </c>
    </row>
    <row r="1739" spans="1:67" s="24" customFormat="1" ht="15" customHeight="1" x14ac:dyDescent="0.25">
      <c r="A1739" s="288" t="s">
        <v>1726</v>
      </c>
      <c r="B1739" s="241" t="str">
        <f>HYPERLINK(CONCATENATE($AT$3,BK1739,$AU$3),$AV$3)</f>
        <v>S</v>
      </c>
      <c r="C1739" s="242" t="str">
        <f>HYPERLINK(CONCATENATE($AT$4,BK1739,$AU$4,BL1739),$AV$4)</f>
        <v>A</v>
      </c>
      <c r="D1739" s="243" t="s">
        <v>5335</v>
      </c>
      <c r="E1739" s="244" t="s">
        <v>5184</v>
      </c>
      <c r="F1739" s="269" t="s">
        <v>3312</v>
      </c>
      <c r="G1739" s="273">
        <v>6</v>
      </c>
      <c r="H1739" s="283">
        <v>35000</v>
      </c>
      <c r="I1739" s="246">
        <v>65</v>
      </c>
      <c r="J1739" s="246">
        <v>2</v>
      </c>
      <c r="K1739" s="247" t="s">
        <v>7970</v>
      </c>
      <c r="L1739" s="248">
        <v>64859</v>
      </c>
      <c r="M1739" s="249">
        <f>15*(LEFT(TEXT($L1739,"000000"),2)+(MID(TEXT($L1739,"000000"),3,2)/60)+(RIGHT(TEXT($L1739,"000000"),2)/3600))</f>
        <v>102.24583333333332</v>
      </c>
      <c r="N1739" s="250">
        <v>-360015</v>
      </c>
      <c r="O1739" s="251">
        <f>IF($N1739&gt;0,(LEFT(TEXT($N1739,"000000"),2)+(MID(TEXT($N1739,"000000"),3,2)/60)+(RIGHT(TEXT($N1739,"000000"),2)/3600)),-(MID(TEXT($N1739,"000000"),2,2)+(MID(TEXT($N1739,"000000"),4,2)/60)+(RIGHT(TEXT($N1739,"000000"),2)/3600)))</f>
        <v>-36.00416666666667</v>
      </c>
      <c r="P1739" s="252" t="s">
        <v>91</v>
      </c>
      <c r="Q1739" s="253"/>
      <c r="R1739" s="277" t="s">
        <v>3293</v>
      </c>
      <c r="S1739" s="272" t="s">
        <v>3293</v>
      </c>
      <c r="T1739" s="273">
        <v>9.3000000000000007</v>
      </c>
      <c r="U1739" s="274"/>
      <c r="V1739" s="280"/>
      <c r="W1739" s="244"/>
      <c r="X1739" s="244"/>
      <c r="Y1739" s="362"/>
      <c r="Z1739" s="257">
        <f>altaz(J2000_Bas,$O1739,$M1739,DecLat,DecLong,1)</f>
        <v>-84.097480557046211</v>
      </c>
      <c r="AA1739" s="257">
        <f>altaz((J2000_Bas+(2*0.04167)),$O1739,$M1739,DecLat,DecLong,1)</f>
        <v>-61.487151573184327</v>
      </c>
      <c r="AB1739" s="257">
        <f>altaz((J2000_Bas+(4*0.04167)),$O1739,$M1739,DecLat,DecLong,1)</f>
        <v>-37.412283831377501</v>
      </c>
      <c r="AC1739" s="257">
        <f>altaz((J2000_Bas+(6*0.04167)),$O1739,$M1739,DecLat,DecLong,1)</f>
        <v>-14.730052164760608</v>
      </c>
      <c r="AD1739" s="258">
        <f>1+ transit((J2000_Bas-1),$O1739,$M1739,DecLat,DecLong)/360 + (GMTOffset/24) + (IF(DST="Y", 1, 0)/24)</f>
        <v>1.2769161359317913</v>
      </c>
      <c r="AE1739" s="259">
        <f>DATE(2001,9,21)+(M1739/360)*365 - (360*((DecLong/360)- (GMTOffset/24) ))</f>
        <v>37263.665914351855</v>
      </c>
      <c r="AF1739" s="260">
        <f>IF(DecLat&gt;0,IF((90 - (DecLat-O1739))&gt;90, (90 - (O1739-DecLat)), (90 - (DecLat-O1739))),IF((90 + (DecLat-O1739))&gt;90, (90 + (O1739-DecLat)), (90 + (DecLat-O1739))))</f>
        <v>22.995833333333337</v>
      </c>
      <c r="AG1739" s="257">
        <f>angularseperation(MoonRA,MoonDec,$M1739,$O1739)</f>
        <v>109.65715861586449</v>
      </c>
      <c r="AH1739" s="261">
        <f ca="1">MIN(100,IF($O$5&gt;80,0+30*($AG1739/100),IF($O$5&gt;70,0+50*($AG1739/100),IF($O$5&gt;60,5+50*($AG1739/100),IF($O$5&gt;50,10+60*($AG1739/100),IF($O$5&gt;40,15+70*($AG1739/100),IF($O$5&gt;30,20+70*($AG1739/100),IF($O$5&gt;20,40+55*($AG1739/100),(80+(20-$O$5)+30*($AG1739/100))))))))))</f>
        <v>100</v>
      </c>
      <c r="AI1739" s="262">
        <v>2298</v>
      </c>
      <c r="AJ1739" s="262"/>
      <c r="AK1739" s="262"/>
      <c r="AL1739" s="263"/>
      <c r="AM1739" s="264"/>
      <c r="AN1739" s="263"/>
      <c r="AO1739" s="263"/>
      <c r="AP1739" s="265"/>
      <c r="AQ1739" s="266"/>
      <c r="AR1739" s="267"/>
      <c r="AS1739" s="263"/>
      <c r="AT1739" s="263"/>
      <c r="AU1739" s="263"/>
      <c r="AV1739" s="264"/>
      <c r="AW1739" s="263"/>
      <c r="AX1739" s="263"/>
      <c r="AY1739" s="263"/>
      <c r="AZ1739" s="263"/>
      <c r="BA1739" s="263"/>
      <c r="BB1739" s="263"/>
      <c r="BC1739" s="263"/>
      <c r="BD1739" s="264"/>
      <c r="BE1739" s="263"/>
      <c r="BF1739" s="263">
        <v>31</v>
      </c>
      <c r="BG1739" s="263"/>
      <c r="BH1739" s="263"/>
      <c r="BI1739" s="263"/>
      <c r="BJ1739" s="404">
        <f>altaz(J2000_Bas,$O1739,$M1739,DecLat,DecLong,2)</f>
        <v>148.97362943888928</v>
      </c>
      <c r="BK1739" s="378" t="s">
        <v>1726</v>
      </c>
      <c r="BL1739" s="379">
        <f>IF((2*G1739)/60&lt;0.2,0.2,(2*G1739)/60)</f>
        <v>0.2</v>
      </c>
      <c r="BM1739" s="380">
        <f>MOD((50000+AD1739-$B$3+(0/24)),1)</f>
        <v>0.49228306563600199</v>
      </c>
      <c r="BN1739" s="381"/>
      <c r="BO1739" s="382">
        <v>1732</v>
      </c>
    </row>
    <row r="1740" spans="1:67" s="24" customFormat="1" ht="15" customHeight="1" x14ac:dyDescent="0.25">
      <c r="A1740" s="288" t="s">
        <v>1727</v>
      </c>
      <c r="B1740" s="241" t="str">
        <f>HYPERLINK(CONCATENATE($AT$3,BK1740,$AU$3),$AV$3)</f>
        <v>S</v>
      </c>
      <c r="C1740" s="242" t="str">
        <f>HYPERLINK(CONCATENATE($AT$4,BK1740,$AU$4,BL1740),$AV$4)</f>
        <v>A</v>
      </c>
      <c r="D1740" s="243" t="s">
        <v>5335</v>
      </c>
      <c r="E1740" s="244" t="s">
        <v>5185</v>
      </c>
      <c r="F1740" s="269" t="s">
        <v>6831</v>
      </c>
      <c r="G1740" s="276">
        <v>15</v>
      </c>
      <c r="H1740" s="283">
        <v>2500</v>
      </c>
      <c r="I1740" s="246">
        <v>11</v>
      </c>
      <c r="J1740" s="246">
        <v>2</v>
      </c>
      <c r="K1740" s="247" t="s">
        <v>6832</v>
      </c>
      <c r="L1740" s="248">
        <v>65145</v>
      </c>
      <c r="M1740" s="249">
        <f>15*(LEFT(TEXT($L1740,"000000"),2)+(MID(TEXT($L1740,"000000"),3,2)/60)+(RIGHT(TEXT($L1740,"000000"),2)/3600))</f>
        <v>102.9375</v>
      </c>
      <c r="N1740" s="250">
        <v>2736</v>
      </c>
      <c r="O1740" s="251">
        <f>IF($N1740&gt;0,(LEFT(TEXT($N1740,"000000"),2)+(MID(TEXT($N1740,"000000"),3,2)/60)+(RIGHT(TEXT($N1740,"000000"),2)/3600)),-(MID(TEXT($N1740,"000000"),2,2)+(MID(TEXT($N1740,"000000"),4,2)/60)+(RIGHT(TEXT($N1740,"000000"),2)/3600)))</f>
        <v>0.46</v>
      </c>
      <c r="P1740" s="252" t="s">
        <v>47</v>
      </c>
      <c r="Q1740" s="253" t="s">
        <v>7118</v>
      </c>
      <c r="R1740" s="277" t="s">
        <v>3293</v>
      </c>
      <c r="S1740" s="272" t="s">
        <v>3293</v>
      </c>
      <c r="T1740" s="273">
        <v>6</v>
      </c>
      <c r="U1740" s="274"/>
      <c r="V1740" s="280"/>
      <c r="W1740" s="244"/>
      <c r="X1740" s="244"/>
      <c r="Y1740" s="362"/>
      <c r="Z1740" s="257">
        <f>altaz(J2000_Bas,$O1740,$M1740,DecLat,DecLong,1)</f>
        <v>-58.405639593817511</v>
      </c>
      <c r="AA1740" s="257">
        <f>altaz((J2000_Bas+(2*0.04167)),$O1740,$M1740,DecLat,DecLong,1)</f>
        <v>-45.52048012526199</v>
      </c>
      <c r="AB1740" s="257">
        <f>altaz((J2000_Bas+(4*0.04167)),$O1740,$M1740,DecLat,DecLong,1)</f>
        <v>-22.44975794569055</v>
      </c>
      <c r="AC1740" s="257">
        <f>altaz((J2000_Bas+(6*0.04167)),$O1740,$M1740,DecLat,DecLong,1)</f>
        <v>3.0814494294816712</v>
      </c>
      <c r="AD1740" s="258">
        <f>1+ transit((J2000_Bas-1),$O1740,$M1740,DecLat,DecLong)/360 + (GMTOffset/24) + (IF(DST="Y", 1, 0)/24)</f>
        <v>1.2788374320359581</v>
      </c>
      <c r="AE1740" s="259">
        <f>DATE(2001,9,21)+(M1740/360)*365 - (360*((DecLong/360)- (GMTOffset/24) ))</f>
        <v>37264.3671875</v>
      </c>
      <c r="AF1740" s="260">
        <f>IF(DecLat&gt;0,IF((90 - (DecLat-O1740))&gt;90, (90 - (O1740-DecLat)), (90 - (DecLat-O1740))),IF((90 + (DecLat-O1740))&gt;90, (90 + (O1740-DecLat)), (90 + (DecLat-O1740))))</f>
        <v>59.46</v>
      </c>
      <c r="AG1740" s="257">
        <f>angularseperation(MoonRA,MoonDec,$M1740,$O1740)</f>
        <v>138.10680801611835</v>
      </c>
      <c r="AH1740" s="261">
        <f ca="1">MIN(100,IF($O$5&gt;80,0+30*($AG1740/100),IF($O$5&gt;70,0+50*($AG1740/100),IF($O$5&gt;60,5+50*($AG1740/100),IF($O$5&gt;50,10+60*($AG1740/100),IF($O$5&gt;40,15+70*($AG1740/100),IF($O$5&gt;30,20+70*($AG1740/100),IF($O$5&gt;20,40+55*($AG1740/100),(80+(20-$O$5)+30*($AG1740/100))))))))))</f>
        <v>100</v>
      </c>
      <c r="AI1740" s="262">
        <v>2301</v>
      </c>
      <c r="AJ1740" s="262"/>
      <c r="AK1740" s="262">
        <v>85</v>
      </c>
      <c r="AL1740" s="263"/>
      <c r="AM1740" s="264"/>
      <c r="AN1740" s="263"/>
      <c r="AO1740" s="263"/>
      <c r="AP1740" s="265"/>
      <c r="AQ1740" s="266"/>
      <c r="AR1740" s="267"/>
      <c r="AS1740" s="263"/>
      <c r="AT1740" s="263"/>
      <c r="AU1740" s="263"/>
      <c r="AV1740" s="264"/>
      <c r="AW1740" s="263"/>
      <c r="AX1740" s="263"/>
      <c r="AY1740" s="263"/>
      <c r="AZ1740" s="263"/>
      <c r="BA1740" s="263"/>
      <c r="BB1740" s="263"/>
      <c r="BC1740" s="263"/>
      <c r="BD1740" s="264"/>
      <c r="BE1740" s="263">
        <v>39</v>
      </c>
      <c r="BF1740" s="263"/>
      <c r="BG1740" s="263"/>
      <c r="BH1740" s="263"/>
      <c r="BI1740" s="263"/>
      <c r="BJ1740" s="404">
        <f>altaz(J2000_Bas,$O1740,$M1740,DecLat,DecLong,2)</f>
        <v>5.8577931825890959</v>
      </c>
      <c r="BK1740" s="378" t="s">
        <v>1727</v>
      </c>
      <c r="BL1740" s="379">
        <f>IF((2*G1740)/60&lt;0.2,0.2,(2*G1740)/60)</f>
        <v>0.5</v>
      </c>
      <c r="BM1740" s="380">
        <f>MOD((50000+AD1740-$B$3+(0/24)),1)</f>
        <v>0.49420436174114002</v>
      </c>
      <c r="BN1740" s="381"/>
      <c r="BO1740" s="382">
        <v>1733</v>
      </c>
    </row>
    <row r="1741" spans="1:67" s="24" customFormat="1" ht="15" customHeight="1" x14ac:dyDescent="0.25">
      <c r="A1741" s="287" t="s">
        <v>2974</v>
      </c>
      <c r="B1741" s="241" t="str">
        <f>HYPERLINK(CONCATENATE($AT$3,BK1741,$AU$3),$AV$3)</f>
        <v>S</v>
      </c>
      <c r="C1741" s="242" t="str">
        <f>HYPERLINK(CONCATENATE($AT$4,BK1741,$AU$4,BL1741),$AV$4)</f>
        <v>A</v>
      </c>
      <c r="D1741" s="243" t="s">
        <v>5335</v>
      </c>
      <c r="E1741" s="244" t="s">
        <v>5185</v>
      </c>
      <c r="F1741" s="269" t="s">
        <v>6834</v>
      </c>
      <c r="G1741" s="273">
        <v>5</v>
      </c>
      <c r="H1741" s="283">
        <v>14000</v>
      </c>
      <c r="I1741" s="246">
        <v>21</v>
      </c>
      <c r="J1741" s="246">
        <v>2</v>
      </c>
      <c r="K1741" s="247" t="s">
        <v>6833</v>
      </c>
      <c r="L1741" s="248">
        <v>65500</v>
      </c>
      <c r="M1741" s="249">
        <f>15*(LEFT(TEXT($L1741,"000000"),2)+(MID(TEXT($L1741,"000000"),3,2)/60)+(RIGHT(TEXT($L1741,"000000"),2)/3600))</f>
        <v>103.75</v>
      </c>
      <c r="N1741" s="250">
        <v>180100</v>
      </c>
      <c r="O1741" s="251">
        <f>IF($N1741&gt;0,(LEFT(TEXT($N1741,"000000"),2)+(MID(TEXT($N1741,"000000"),3,2)/60)+(RIGHT(TEXT($N1741,"000000"),2)/3600)),-(MID(TEXT($N1741,"000000"),2,2)+(MID(TEXT($N1741,"000000"),4,2)/60)+(RIGHT(TEXT($N1741,"000000"),2)/3600)))</f>
        <v>18.016666666666666</v>
      </c>
      <c r="P1741" s="252" t="s">
        <v>85</v>
      </c>
      <c r="Q1741" s="253"/>
      <c r="R1741" s="277" t="s">
        <v>3293</v>
      </c>
      <c r="S1741" s="272" t="s">
        <v>3293</v>
      </c>
      <c r="T1741" s="273">
        <v>10</v>
      </c>
      <c r="U1741" s="274"/>
      <c r="V1741" s="280"/>
      <c r="W1741" s="244"/>
      <c r="X1741" s="244"/>
      <c r="Y1741" s="362"/>
      <c r="Z1741" s="257">
        <f>altaz(J2000_Bas,$O1741,$M1741,DecLat,DecLong,1)</f>
        <v>-40.93554147602854</v>
      </c>
      <c r="AA1741" s="257">
        <f>altaz((J2000_Bas+(2*0.04167)),$O1741,$M1741,DecLat,DecLong,1)</f>
        <v>-31.966536022615113</v>
      </c>
      <c r="AB1741" s="257">
        <f>altaz((J2000_Bas+(4*0.04167)),$O1741,$M1741,DecLat,DecLong,1)</f>
        <v>-12.596178794354726</v>
      </c>
      <c r="AC1741" s="257">
        <f>altaz((J2000_Bas+(6*0.04167)),$O1741,$M1741,DecLat,DecLong,1)</f>
        <v>11.241379090699148</v>
      </c>
      <c r="AD1741" s="258">
        <f>1+ transit((J2000_Bas-1),$O1741,$M1741,DecLat,DecLong)/360 + (GMTOffset/24) + (IF(DST="Y", 1, 0)/24)</f>
        <v>1.281094376254708</v>
      </c>
      <c r="AE1741" s="259">
        <f>DATE(2001,9,21)+(M1741/360)*365 - (360*((DecLong/360)- (GMTOffset/24) ))</f>
        <v>37265.190972222219</v>
      </c>
      <c r="AF1741" s="260">
        <f>IF(DecLat&gt;0,IF((90 - (DecLat-O1741))&gt;90, (90 - (O1741-DecLat)), (90 - (DecLat-O1741))),IF((90 + (DecLat-O1741))&gt;90, (90 + (O1741-DecLat)), (90 + (DecLat-O1741))))</f>
        <v>77.016666666666666</v>
      </c>
      <c r="AG1741" s="257">
        <f>angularseperation(MoonRA,MoonDec,$M1741,$O1741)</f>
        <v>146.98484906267802</v>
      </c>
      <c r="AH1741" s="261">
        <f ca="1">MIN(100,IF($O$5&gt;80,0+30*($AG1741/100),IF($O$5&gt;70,0+50*($AG1741/100),IF($O$5&gt;60,5+50*($AG1741/100),IF($O$5&gt;50,10+60*($AG1741/100),IF($O$5&gt;40,15+70*($AG1741/100),IF($O$5&gt;30,20+70*($AG1741/100),IF($O$5&gt;20,40+55*($AG1741/100),(80+(20-$O$5)+30*($AG1741/100))))))))))</f>
        <v>100</v>
      </c>
      <c r="AI1741" s="262">
        <v>2304</v>
      </c>
      <c r="AJ1741" s="263"/>
      <c r="AK1741" s="263">
        <v>86</v>
      </c>
      <c r="AL1741" s="263"/>
      <c r="AM1741" s="264"/>
      <c r="AN1741" s="263"/>
      <c r="AO1741" s="263"/>
      <c r="AP1741" s="265"/>
      <c r="AQ1741" s="265"/>
      <c r="AR1741" s="285"/>
      <c r="AS1741" s="263"/>
      <c r="AT1741" s="263"/>
      <c r="AU1741" s="263"/>
      <c r="AV1741" s="264"/>
      <c r="AW1741" s="263"/>
      <c r="AX1741" s="263"/>
      <c r="AY1741" s="263"/>
      <c r="AZ1741" s="263"/>
      <c r="BA1741" s="263"/>
      <c r="BB1741" s="263"/>
      <c r="BC1741" s="263"/>
      <c r="BD1741" s="264"/>
      <c r="BE1741" s="263"/>
      <c r="BF1741" s="263"/>
      <c r="BG1741" s="263"/>
      <c r="BH1741" s="263"/>
      <c r="BI1741" s="263"/>
      <c r="BJ1741" s="404">
        <f>altaz(J2000_Bas,$O1741,$M1741,DecLat,DecLong,2)</f>
        <v>2.8360631892196508</v>
      </c>
      <c r="BK1741" s="378" t="s">
        <v>2974</v>
      </c>
      <c r="BL1741" s="379">
        <f>IF((2*G1741)/60&lt;0.2,0.2,(2*G1741)/60)</f>
        <v>0.2</v>
      </c>
      <c r="BM1741" s="380">
        <f>MOD((50000+AD1741-$B$3+(0/24)),1)</f>
        <v>0.49646130595647264</v>
      </c>
      <c r="BN1741" s="381"/>
      <c r="BO1741" s="382">
        <v>1734</v>
      </c>
    </row>
    <row r="1742" spans="1:67" s="24" customFormat="1" ht="15" customHeight="1" x14ac:dyDescent="0.25">
      <c r="A1742" s="287" t="s">
        <v>2975</v>
      </c>
      <c r="B1742" s="241" t="str">
        <f>HYPERLINK(CONCATENATE($AT$3,BK1742,$AU$3),$AV$3)</f>
        <v>S</v>
      </c>
      <c r="C1742" s="242" t="str">
        <f>HYPERLINK(CONCATENATE($AT$4,BK1742,$AU$4,BL1742),$AV$4)</f>
        <v>A</v>
      </c>
      <c r="D1742" s="243" t="s">
        <v>5335</v>
      </c>
      <c r="E1742" s="244" t="s">
        <v>5185</v>
      </c>
      <c r="F1742" s="269" t="s">
        <v>4923</v>
      </c>
      <c r="G1742" s="273">
        <v>9.6</v>
      </c>
      <c r="H1742" s="283">
        <v>7200</v>
      </c>
      <c r="I1742" s="246">
        <v>20</v>
      </c>
      <c r="J1742" s="246">
        <v>2</v>
      </c>
      <c r="K1742" s="247" t="s">
        <v>6835</v>
      </c>
      <c r="L1742" s="248">
        <v>65748</v>
      </c>
      <c r="M1742" s="249">
        <f>15*(LEFT(TEXT($L1742,"000000"),2)+(MID(TEXT($L1742,"000000"),3,2)/60)+(RIGHT(TEXT($L1742,"000000"),2)/3600))</f>
        <v>104.45</v>
      </c>
      <c r="N1742" s="250">
        <v>-43500</v>
      </c>
      <c r="O1742" s="251">
        <f>IF($N1742&gt;0,(LEFT(TEXT($N1742,"000000"),2)+(MID(TEXT($N1742,"000000"),3,2)/60)+(RIGHT(TEXT($N1742,"000000"),2)/3600)),-(MID(TEXT($N1742,"000000"),2,2)+(MID(TEXT($N1742,"000000"),4,2)/60)+(RIGHT(TEXT($N1742,"000000"),2)/3600)))</f>
        <v>-4.583333333333333</v>
      </c>
      <c r="P1742" s="252" t="s">
        <v>47</v>
      </c>
      <c r="Q1742" s="253"/>
      <c r="R1742" s="277" t="s">
        <v>3293</v>
      </c>
      <c r="S1742" s="272" t="s">
        <v>3293</v>
      </c>
      <c r="T1742" s="273">
        <v>9.6</v>
      </c>
      <c r="U1742" s="274"/>
      <c r="V1742" s="280"/>
      <c r="W1742" s="244"/>
      <c r="X1742" s="244"/>
      <c r="Y1742" s="362"/>
      <c r="Z1742" s="257">
        <f>altaz(J2000_Bas,$O1742,$M1742,DecLat,DecLong,1)</f>
        <v>-63.542962887927985</v>
      </c>
      <c r="AA1742" s="257">
        <f>altaz((J2000_Bas+(2*0.04167)),$O1742,$M1742,DecLat,DecLong,1)</f>
        <v>-50.228639007809456</v>
      </c>
      <c r="AB1742" s="257">
        <f>altaz((J2000_Bas+(4*0.04167)),$O1742,$M1742,DecLat,DecLong,1)</f>
        <v>-26.483777864352579</v>
      </c>
      <c r="AC1742" s="257">
        <f>altaz((J2000_Bas+(6*0.04167)),$O1742,$M1742,DecLat,DecLong,1)</f>
        <v>-0.81504284848268016</v>
      </c>
      <c r="AD1742" s="258">
        <f>1+ transit((J2000_Bas-1),$O1742,$M1742,DecLat,DecLong)/360 + (GMTOffset/24) + (IF(DST="Y", 1, 0)/24)</f>
        <v>1.2830388205047081</v>
      </c>
      <c r="AE1742" s="259">
        <f>DATE(2001,9,21)+(M1742/360)*365 - (360*((DecLong/360)- (GMTOffset/24) ))</f>
        <v>37265.900694444441</v>
      </c>
      <c r="AF1742" s="260">
        <f>IF(DecLat&gt;0,IF((90 - (DecLat-O1742))&gt;90, (90 - (O1742-DecLat)), (90 - (DecLat-O1742))),IF((90 + (DecLat-O1742))&gt;90, (90 + (O1742-DecLat)), (90 + (DecLat-O1742))))</f>
        <v>54.416666666666664</v>
      </c>
      <c r="AG1742" s="257">
        <f>angularseperation(MoonRA,MoonDec,$M1742,$O1742)</f>
        <v>133.53163971941316</v>
      </c>
      <c r="AH1742" s="261">
        <f ca="1">MIN(100,IF($O$5&gt;80,0+30*($AG1742/100),IF($O$5&gt;70,0+50*($AG1742/100),IF($O$5&gt;60,5+50*($AG1742/100),IF($O$5&gt;50,10+60*($AG1742/100),IF($O$5&gt;40,15+70*($AG1742/100),IF($O$5&gt;30,20+70*($AG1742/100),IF($O$5&gt;20,40+55*($AG1742/100),(80+(20-$O$5)+30*($AG1742/100))))))))))</f>
        <v>100</v>
      </c>
      <c r="AI1742" s="262">
        <v>2311</v>
      </c>
      <c r="AJ1742" s="263"/>
      <c r="AK1742" s="263">
        <v>87</v>
      </c>
      <c r="AL1742" s="263"/>
      <c r="AM1742" s="264"/>
      <c r="AN1742" s="263"/>
      <c r="AO1742" s="263"/>
      <c r="AP1742" s="265"/>
      <c r="AQ1742" s="265"/>
      <c r="AR1742" s="285"/>
      <c r="AS1742" s="263"/>
      <c r="AT1742" s="263"/>
      <c r="AU1742" s="263"/>
      <c r="AV1742" s="264"/>
      <c r="AW1742" s="263"/>
      <c r="AX1742" s="263"/>
      <c r="AY1742" s="263"/>
      <c r="AZ1742" s="263"/>
      <c r="BA1742" s="263"/>
      <c r="BB1742" s="263"/>
      <c r="BC1742" s="263"/>
      <c r="BD1742" s="264"/>
      <c r="BE1742" s="263"/>
      <c r="BF1742" s="263"/>
      <c r="BG1742" s="263"/>
      <c r="BH1742" s="263"/>
      <c r="BI1742" s="263"/>
      <c r="BJ1742" s="404">
        <f>altaz(J2000_Bas,$O1742,$M1742,DecLat,DecLong,2)</f>
        <v>3.4754867731079599</v>
      </c>
      <c r="BK1742" s="378" t="s">
        <v>2975</v>
      </c>
      <c r="BL1742" s="379">
        <f>IF((2*G1742)/60&lt;0.2,0.2,(2*G1742)/60)</f>
        <v>0.32</v>
      </c>
      <c r="BM1742" s="380">
        <f>MOD((50000+AD1742-$B$3+(0/24)),1)</f>
        <v>0.49840575020789402</v>
      </c>
      <c r="BN1742" s="381"/>
      <c r="BO1742" s="382">
        <v>1735</v>
      </c>
    </row>
    <row r="1743" spans="1:67" s="24" customFormat="1" ht="15" customHeight="1" x14ac:dyDescent="0.25">
      <c r="A1743" s="288" t="s">
        <v>1728</v>
      </c>
      <c r="B1743" s="241" t="str">
        <f>HYPERLINK(CONCATENATE($AT$3,BK1743,$AU$3),$AV$3)</f>
        <v>S</v>
      </c>
      <c r="C1743" s="242" t="str">
        <f>HYPERLINK(CONCATENATE($AT$4,BK1743,$AU$4,BL1743),$AV$4)</f>
        <v>A</v>
      </c>
      <c r="D1743" s="243" t="s">
        <v>5187</v>
      </c>
      <c r="E1743" s="244" t="s">
        <v>5186</v>
      </c>
      <c r="F1743" s="269"/>
      <c r="G1743" s="270">
        <v>0.7</v>
      </c>
      <c r="H1743" s="283">
        <v>4000</v>
      </c>
      <c r="I1743" s="309">
        <v>0.8</v>
      </c>
      <c r="J1743" s="246">
        <v>2</v>
      </c>
      <c r="K1743" s="247" t="s">
        <v>6836</v>
      </c>
      <c r="L1743" s="248">
        <v>65803</v>
      </c>
      <c r="M1743" s="249">
        <f>15*(LEFT(TEXT($L1743,"000000"),2)+(MID(TEXT($L1743,"000000"),3,2)/60)+(RIGHT(TEXT($L1743,"000000"),2)/3600))</f>
        <v>104.5125</v>
      </c>
      <c r="N1743" s="250">
        <v>-75642</v>
      </c>
      <c r="O1743" s="251">
        <f>IF($N1743&gt;0,(LEFT(TEXT($N1743,"000000"),2)+(MID(TEXT($N1743,"000000"),3,2)/60)+(RIGHT(TEXT($N1743,"000000"),2)/3600)),-(MID(TEXT($N1743,"000000"),2,2)+(MID(TEXT($N1743,"000000"),4,2)/60)+(RIGHT(TEXT($N1743,"000000"),2)/3600)))</f>
        <v>-7.9450000000000003</v>
      </c>
      <c r="P1743" s="252" t="s">
        <v>47</v>
      </c>
      <c r="Q1743" s="253"/>
      <c r="R1743" s="247" t="s">
        <v>3293</v>
      </c>
      <c r="S1743" s="272" t="s">
        <v>3293</v>
      </c>
      <c r="T1743" s="273"/>
      <c r="U1743" s="274"/>
      <c r="V1743" s="280"/>
      <c r="W1743" s="244"/>
      <c r="X1743" s="244"/>
      <c r="Y1743" s="362"/>
      <c r="Z1743" s="257">
        <f>altaz(J2000_Bas,$O1743,$M1743,DecLat,DecLong,1)</f>
        <v>-66.903032428161083</v>
      </c>
      <c r="AA1743" s="257">
        <f>altaz((J2000_Bas+(2*0.04167)),$O1743,$M1743,DecLat,DecLong,1)</f>
        <v>-52.603438275671628</v>
      </c>
      <c r="AB1743" s="257">
        <f>altaz((J2000_Bas+(4*0.04167)),$O1743,$M1743,DecLat,DecLong,1)</f>
        <v>-28.306885882387657</v>
      </c>
      <c r="AC1743" s="257">
        <f>altaz((J2000_Bas+(6*0.04167)),$O1743,$M1743,DecLat,DecLong,1)</f>
        <v>-2.5996512833311769</v>
      </c>
      <c r="AD1743" s="258">
        <f>1+ transit((J2000_Bas-1),$O1743,$M1743,DecLat,DecLong)/360 + (GMTOffset/24) + (IF(DST="Y", 1, 0)/24)</f>
        <v>1.2832124315984579</v>
      </c>
      <c r="AE1743" s="259">
        <f>DATE(2001,9,21)+(M1743/360)*365 - (360*((DecLong/360)- (GMTOffset/24) ))</f>
        <v>37265.964062500003</v>
      </c>
      <c r="AF1743" s="260">
        <f>IF(DecLat&gt;0,IF((90 - (DecLat-O1743))&gt;90, (90 - (O1743-DecLat)), (90 - (DecLat-O1743))),IF((90 + (DecLat-O1743))&gt;90, (90 + (O1743-DecLat)), (90 + (DecLat-O1743))))</f>
        <v>51.055</v>
      </c>
      <c r="AG1743" s="257">
        <f>angularseperation(MoonRA,MoonDec,$M1743,$O1743)</f>
        <v>131.07098674118259</v>
      </c>
      <c r="AH1743" s="261">
        <f ca="1">MIN(100,IF($O$5&gt;80,0+30*($AG1743/100),IF($O$5&gt;70,0+50*($AG1743/100),IF($O$5&gt;60,5+50*($AG1743/100),IF($O$5&gt;50,10+60*($AG1743/100),IF($O$5&gt;40,15+70*($AG1743/100),IF($O$5&gt;30,20+70*($AG1743/100),IF($O$5&gt;20,40+55*($AG1743/100),(80+(20-$O$5)+30*($AG1743/100))))))))))</f>
        <v>100</v>
      </c>
      <c r="AI1743" s="262">
        <v>2313</v>
      </c>
      <c r="AJ1743" s="262"/>
      <c r="AK1743" s="262"/>
      <c r="AL1743" s="263"/>
      <c r="AM1743" s="264"/>
      <c r="AN1743" s="263"/>
      <c r="AO1743" s="263"/>
      <c r="AP1743" s="265"/>
      <c r="AQ1743" s="266"/>
      <c r="AR1743" s="267"/>
      <c r="AS1743" s="263"/>
      <c r="AT1743" s="263"/>
      <c r="AU1743" s="263"/>
      <c r="AV1743" s="264"/>
      <c r="AW1743" s="263"/>
      <c r="AX1743" s="263"/>
      <c r="AY1743" s="263"/>
      <c r="AZ1743" s="263"/>
      <c r="BA1743" s="263"/>
      <c r="BB1743" s="263"/>
      <c r="BC1743" s="263"/>
      <c r="BD1743" s="264"/>
      <c r="BE1743" s="263"/>
      <c r="BF1743" s="263"/>
      <c r="BG1743" s="263"/>
      <c r="BH1743" s="263"/>
      <c r="BI1743" s="263"/>
      <c r="BJ1743" s="404">
        <f>altaz(J2000_Bas,$O1743,$M1743,DecLat,DecLong,2)</f>
        <v>3.7643713555131786</v>
      </c>
      <c r="BK1743" s="378" t="s">
        <v>1728</v>
      </c>
      <c r="BL1743" s="379">
        <f>IF((2*G1743)/60&lt;0.2,0.2,(2*G1743)/60)</f>
        <v>0.2</v>
      </c>
      <c r="BM1743" s="380">
        <f>MOD((50000+AD1743-$B$3+(0/24)),1)</f>
        <v>0.49857936130138114</v>
      </c>
      <c r="BN1743" s="381" t="s">
        <v>9231</v>
      </c>
      <c r="BO1743" s="382">
        <v>1736</v>
      </c>
    </row>
    <row r="1744" spans="1:67" s="24" customFormat="1" ht="15" customHeight="1" x14ac:dyDescent="0.25">
      <c r="A1744" s="288" t="s">
        <v>1729</v>
      </c>
      <c r="B1744" s="241" t="str">
        <f>HYPERLINK(CONCATENATE($AT$3,BK1744,$AU$3),$AV$3)</f>
        <v>S</v>
      </c>
      <c r="C1744" s="242" t="str">
        <f>HYPERLINK(CONCATENATE($AT$4,BK1744,$AU$4,BL1744),$AV$4)</f>
        <v>A</v>
      </c>
      <c r="D1744" s="243" t="s">
        <v>5187</v>
      </c>
      <c r="E1744" s="244" t="s">
        <v>5186</v>
      </c>
      <c r="F1744" s="269"/>
      <c r="G1744" s="273">
        <v>4</v>
      </c>
      <c r="H1744" s="283">
        <v>3300</v>
      </c>
      <c r="I1744" s="279">
        <v>4</v>
      </c>
      <c r="J1744" s="246">
        <v>2</v>
      </c>
      <c r="K1744" s="247" t="s">
        <v>6837</v>
      </c>
      <c r="L1744" s="248">
        <v>65940</v>
      </c>
      <c r="M1744" s="249">
        <f>15*(LEFT(TEXT($L1744,"000000"),2)+(MID(TEXT($L1744,"000000"),3,2)/60)+(RIGHT(TEXT($L1744,"000000"),2)/3600))</f>
        <v>104.91666666666667</v>
      </c>
      <c r="N1744" s="250">
        <v>-74639</v>
      </c>
      <c r="O1744" s="251">
        <f>IF($N1744&gt;0,(LEFT(TEXT($N1744,"000000"),2)+(MID(TEXT($N1744,"000000"),3,2)/60)+(RIGHT(TEXT($N1744,"000000"),2)/3600)),-(MID(TEXT($N1744,"000000"),2,2)+(MID(TEXT($N1744,"000000"),4,2)/60)+(RIGHT(TEXT($N1744,"000000"),2)/3600)))</f>
        <v>-7.7774999999999999</v>
      </c>
      <c r="P1744" s="252" t="s">
        <v>47</v>
      </c>
      <c r="Q1744" s="253"/>
      <c r="R1744" s="247" t="s">
        <v>3293</v>
      </c>
      <c r="S1744" s="272" t="s">
        <v>3293</v>
      </c>
      <c r="T1744" s="273"/>
      <c r="U1744" s="274"/>
      <c r="V1744" s="280"/>
      <c r="W1744" s="244"/>
      <c r="X1744" s="244"/>
      <c r="Y1744" s="362"/>
      <c r="Z1744" s="257">
        <f>altaz(J2000_Bas,$O1744,$M1744,DecLat,DecLong,1)</f>
        <v>-66.755344131052226</v>
      </c>
      <c r="AA1744" s="257">
        <f>altaz((J2000_Bas+(2*0.04167)),$O1744,$M1744,DecLat,DecLong,1)</f>
        <v>-52.784884593586185</v>
      </c>
      <c r="AB1744" s="257">
        <f>altaz((J2000_Bas+(4*0.04167)),$O1744,$M1744,DecLat,DecLong,1)</f>
        <v>-28.563205295063824</v>
      </c>
      <c r="AC1744" s="257">
        <f>altaz((J2000_Bas+(6*0.04167)),$O1744,$M1744,DecLat,DecLong,1)</f>
        <v>-2.8570141833095848</v>
      </c>
      <c r="AD1744" s="258">
        <f>1+ transit((J2000_Bas-1),$O1744,$M1744,DecLat,DecLong)/360 + (GMTOffset/24) + (IF(DST="Y", 1, 0)/24)</f>
        <v>1.2843351166713746</v>
      </c>
      <c r="AE1744" s="259">
        <f>DATE(2001,9,21)+(M1744/360)*365 - (360*((DecLong/360)- (GMTOffset/24) ))</f>
        <v>37266.373842592591</v>
      </c>
      <c r="AF1744" s="260">
        <f>IF(DecLat&gt;0,IF((90 - (DecLat-O1744))&gt;90, (90 - (O1744-DecLat)), (90 - (DecLat-O1744))),IF((90 + (DecLat-O1744))&gt;90, (90 + (O1744-DecLat)), (90 + (DecLat-O1744))))</f>
        <v>51.222499999999997</v>
      </c>
      <c r="AG1744" s="257">
        <f>angularseperation(MoonRA,MoonDec,$M1744,$O1744)</f>
        <v>130.91901478298274</v>
      </c>
      <c r="AH1744" s="261">
        <f ca="1">MIN(100,IF($O$5&gt;80,0+30*($AG1744/100),IF($O$5&gt;70,0+50*($AG1744/100),IF($O$5&gt;60,5+50*($AG1744/100),IF($O$5&gt;50,10+60*($AG1744/100),IF($O$5&gt;40,15+70*($AG1744/100),IF($O$5&gt;30,20+70*($AG1744/100),IF($O$5&gt;20,40+55*($AG1744/100),(80+(20-$O$5)+30*($AG1744/100))))))))))</f>
        <v>100</v>
      </c>
      <c r="AI1744" s="262">
        <v>2316</v>
      </c>
      <c r="AJ1744" s="262"/>
      <c r="AK1744" s="262"/>
      <c r="AL1744" s="263"/>
      <c r="AM1744" s="264"/>
      <c r="AN1744" s="263"/>
      <c r="AO1744" s="263"/>
      <c r="AP1744" s="265"/>
      <c r="AQ1744" s="266"/>
      <c r="AR1744" s="267"/>
      <c r="AS1744" s="263"/>
      <c r="AT1744" s="263"/>
      <c r="AU1744" s="263"/>
      <c r="AV1744" s="264"/>
      <c r="AW1744" s="263"/>
      <c r="AX1744" s="263"/>
      <c r="AY1744" s="263">
        <v>1021</v>
      </c>
      <c r="AZ1744" s="263"/>
      <c r="BA1744" s="263"/>
      <c r="BB1744" s="263"/>
      <c r="BC1744" s="263"/>
      <c r="BD1744" s="264"/>
      <c r="BE1744" s="263"/>
      <c r="BF1744" s="263">
        <v>32</v>
      </c>
      <c r="BG1744" s="263"/>
      <c r="BH1744" s="263"/>
      <c r="BI1744" s="263"/>
      <c r="BJ1744" s="404">
        <f>altaz(J2000_Bas,$O1744,$M1744,DecLat,DecLong,2)</f>
        <v>2.7272021310615742</v>
      </c>
      <c r="BK1744" s="378" t="s">
        <v>1729</v>
      </c>
      <c r="BL1744" s="379">
        <f>IF((2*G1744)/60&lt;0.2,0.2,(2*G1744)/60)</f>
        <v>0.2</v>
      </c>
      <c r="BM1744" s="380">
        <f>MOD((50000+AD1744-$B$3+(0/24)),1)</f>
        <v>0.49970204637793358</v>
      </c>
      <c r="BN1744" s="381"/>
      <c r="BO1744" s="382">
        <v>1737</v>
      </c>
    </row>
    <row r="1745" spans="1:67" s="24" customFormat="1" ht="15" customHeight="1" x14ac:dyDescent="0.25">
      <c r="A1745" s="287" t="s">
        <v>2976</v>
      </c>
      <c r="B1745" s="241" t="str">
        <f>HYPERLINK(CONCATENATE($AT$3,BK1745,$AU$3),$AV$3)</f>
        <v>S</v>
      </c>
      <c r="C1745" s="242" t="str">
        <f>HYPERLINK(CONCATENATE($AT$4,BK1745,$AU$4,BL1745),$AV$4)</f>
        <v>A</v>
      </c>
      <c r="D1745" s="243" t="s">
        <v>5335</v>
      </c>
      <c r="E1745" s="244" t="s">
        <v>5185</v>
      </c>
      <c r="F1745" s="269" t="s">
        <v>6838</v>
      </c>
      <c r="G1745" s="273">
        <v>8</v>
      </c>
      <c r="H1745" s="283">
        <v>16000</v>
      </c>
      <c r="I1745" s="246">
        <v>40</v>
      </c>
      <c r="J1745" s="246">
        <v>2</v>
      </c>
      <c r="K1745" s="247" t="s">
        <v>6839</v>
      </c>
      <c r="L1745" s="248">
        <v>70412</v>
      </c>
      <c r="M1745" s="249">
        <f>15*(LEFT(TEXT($L1745,"000000"),2)+(MID(TEXT($L1745,"000000"),3,2)/60)+(RIGHT(TEXT($L1745,"000000"),2)/3600))</f>
        <v>106.05</v>
      </c>
      <c r="N1745" s="250">
        <v>10300</v>
      </c>
      <c r="O1745" s="251">
        <f>IF($N1745&gt;0,(LEFT(TEXT($N1745,"000000"),2)+(MID(TEXT($N1745,"000000"),3,2)/60)+(RIGHT(TEXT($N1745,"000000"),2)/3600)),-(MID(TEXT($N1745,"000000"),2,2)+(MID(TEXT($N1745,"000000"),4,2)/60)+(RIGHT(TEXT($N1745,"000000"),2)/3600)))</f>
        <v>1.05</v>
      </c>
      <c r="P1745" s="252" t="s">
        <v>47</v>
      </c>
      <c r="Q1745" s="253"/>
      <c r="R1745" s="277" t="s">
        <v>3293</v>
      </c>
      <c r="S1745" s="272" t="s">
        <v>3293</v>
      </c>
      <c r="T1745" s="273">
        <v>8.4</v>
      </c>
      <c r="U1745" s="274"/>
      <c r="V1745" s="280"/>
      <c r="W1745" s="244"/>
      <c r="X1745" s="244"/>
      <c r="Y1745" s="362"/>
      <c r="Z1745" s="257">
        <f>altaz(J2000_Bas,$O1745,$M1745,DecLat,DecLong,1)</f>
        <v>-57.949968370912266</v>
      </c>
      <c r="AA1745" s="257">
        <f>altaz((J2000_Bas+(2*0.04167)),$O1745,$M1745,DecLat,DecLong,1)</f>
        <v>-47.095364030402735</v>
      </c>
      <c r="AB1745" s="257">
        <f>altaz((J2000_Bas+(4*0.04167)),$O1745,$M1745,DecLat,DecLong,1)</f>
        <v>-24.676600219648542</v>
      </c>
      <c r="AC1745" s="257">
        <f>altaz((J2000_Bas+(6*0.04167)),$O1745,$M1745,DecLat,DecLong,1)</f>
        <v>0.7175464534492062</v>
      </c>
      <c r="AD1745" s="258">
        <f>1+ transit((J2000_Bas-1),$O1745,$M1745,DecLat,DecLong)/360 + (GMTOffset/24) + (IF(DST="Y", 1, 0)/24)</f>
        <v>1.2874832645047081</v>
      </c>
      <c r="AE1745" s="259">
        <f>DATE(2001,9,21)+(M1745/360)*365 - (360*((DecLong/360)- (GMTOffset/24) ))</f>
        <v>37267.522916666669</v>
      </c>
      <c r="AF1745" s="260">
        <f>IF(DecLat&gt;0,IF((90 - (DecLat-O1745))&gt;90, (90 - (O1745-DecLat)), (90 - (DecLat-O1745))),IF((90 + (DecLat-O1745))&gt;90, (90 + (O1745-DecLat)), (90 + (DecLat-O1745))))</f>
        <v>60.05</v>
      </c>
      <c r="AG1745" s="257">
        <f>angularseperation(MoonRA,MoonDec,$M1745,$O1745)</f>
        <v>136.14296455332439</v>
      </c>
      <c r="AH1745" s="261">
        <f ca="1">MIN(100,IF($O$5&gt;80,0+30*($AG1745/100),IF($O$5&gt;70,0+50*($AG1745/100),IF($O$5&gt;60,5+50*($AG1745/100),IF($O$5&gt;50,10+60*($AG1745/100),IF($O$5&gt;40,15+70*($AG1745/100),IF($O$5&gt;30,20+70*($AG1745/100),IF($O$5&gt;20,40+55*($AG1745/100),(80+(20-$O$5)+30*($AG1745/100))))))))))</f>
        <v>100</v>
      </c>
      <c r="AI1745" s="262">
        <v>2324</v>
      </c>
      <c r="AJ1745" s="263"/>
      <c r="AK1745" s="263">
        <v>88</v>
      </c>
      <c r="AL1745" s="263"/>
      <c r="AM1745" s="264"/>
      <c r="AN1745" s="263"/>
      <c r="AO1745" s="263"/>
      <c r="AP1745" s="265"/>
      <c r="AQ1745" s="265"/>
      <c r="AR1745" s="285"/>
      <c r="AS1745" s="263"/>
      <c r="AT1745" s="263"/>
      <c r="AU1745" s="263"/>
      <c r="AV1745" s="264"/>
      <c r="AW1745" s="263"/>
      <c r="AX1745" s="263"/>
      <c r="AY1745" s="263"/>
      <c r="AZ1745" s="263"/>
      <c r="BA1745" s="263"/>
      <c r="BB1745" s="263"/>
      <c r="BC1745" s="263"/>
      <c r="BD1745" s="264"/>
      <c r="BE1745" s="263"/>
      <c r="BF1745" s="263"/>
      <c r="BG1745" s="263"/>
      <c r="BH1745" s="263"/>
      <c r="BI1745" s="263"/>
      <c r="BJ1745" s="404">
        <f>altaz(J2000_Bas,$O1745,$M1745,DecLat,DecLong,2)</f>
        <v>359.91074297296723</v>
      </c>
      <c r="BK1745" s="378" t="s">
        <v>2976</v>
      </c>
      <c r="BL1745" s="379">
        <f>IF((2*G1745)/60&lt;0.2,0.2,(2*G1745)/60)</f>
        <v>0.26666666666666666</v>
      </c>
      <c r="BM1745" s="380">
        <f>MOD((50000+AD1745-$B$3+(0/24)),1)</f>
        <v>0.50285019420698518</v>
      </c>
      <c r="BN1745" s="381"/>
      <c r="BO1745" s="382">
        <v>1738</v>
      </c>
    </row>
    <row r="1746" spans="1:67" s="24" customFormat="1" ht="15" customHeight="1" x14ac:dyDescent="0.25">
      <c r="A1746" s="288" t="s">
        <v>1730</v>
      </c>
      <c r="B1746" s="241" t="str">
        <f>HYPERLINK(CONCATENATE($AT$3,BK1746,$AU$3),$AV$3)</f>
        <v>S</v>
      </c>
      <c r="C1746" s="242" t="str">
        <f>HYPERLINK(CONCATENATE($AT$4,BK1746,$AU$4,BL1746),$AV$4)</f>
        <v>A</v>
      </c>
      <c r="D1746" s="243" t="s">
        <v>5187</v>
      </c>
      <c r="E1746" s="244" t="s">
        <v>5183</v>
      </c>
      <c r="F1746" s="269" t="s">
        <v>9184</v>
      </c>
      <c r="G1746" s="276">
        <v>240</v>
      </c>
      <c r="H1746" s="283">
        <v>3600</v>
      </c>
      <c r="I1746" s="246">
        <v>250</v>
      </c>
      <c r="J1746" s="246">
        <v>5</v>
      </c>
      <c r="K1746" s="247" t="s">
        <v>7174</v>
      </c>
      <c r="L1746" s="248">
        <v>70407</v>
      </c>
      <c r="M1746" s="249">
        <f>15*(LEFT(TEXT($L1746,"000000"),2)+(MID(TEXT($L1746,"000000"),3,2)/60)+(RIGHT(TEXT($L1746,"000000"),2)/3600))</f>
        <v>106.02916666666667</v>
      </c>
      <c r="N1746" s="250">
        <v>-111850</v>
      </c>
      <c r="O1746" s="251">
        <f>IF($N1746&gt;0,(LEFT(TEXT($N1746,"000000"),2)+(MID(TEXT($N1746,"000000"),3,2)/60)+(RIGHT(TEXT($N1746,"000000"),2)/3600)),-(MID(TEXT($N1746,"000000"),2,2)+(MID(TEXT($N1746,"000000"),4,2)/60)+(RIGHT(TEXT($N1746,"000000"),2)/3600)))</f>
        <v>-11.31388888888889</v>
      </c>
      <c r="P1746" s="252" t="s">
        <v>80</v>
      </c>
      <c r="Q1746" s="253"/>
      <c r="R1746" s="277" t="s">
        <v>3293</v>
      </c>
      <c r="S1746" s="272" t="s">
        <v>3293</v>
      </c>
      <c r="T1746" s="273"/>
      <c r="U1746" s="274"/>
      <c r="V1746" s="280"/>
      <c r="W1746" s="244"/>
      <c r="X1746" s="244"/>
      <c r="Y1746" s="362"/>
      <c r="Z1746" s="257">
        <f>altaz(J2000_Bas,$O1746,$M1746,DecLat,DecLong,1)</f>
        <v>-70.313873552475457</v>
      </c>
      <c r="AA1746" s="257">
        <f>altaz((J2000_Bas+(2*0.04167)),$O1746,$M1746,DecLat,DecLong,1)</f>
        <v>-55.94694455391371</v>
      </c>
      <c r="AB1746" s="257">
        <f>altaz((J2000_Bas+(4*0.04167)),$O1746,$M1746,DecLat,DecLong,1)</f>
        <v>-31.297707209856252</v>
      </c>
      <c r="AC1746" s="257">
        <f>altaz((J2000_Bas+(6*0.04167)),$O1746,$M1746,DecLat,DecLong,1)</f>
        <v>-5.6073631633074861</v>
      </c>
      <c r="AD1746" s="258">
        <f>1+ transit((J2000_Bas-1),$O1746,$M1746,DecLat,DecLong)/360 + (GMTOffset/24) + (IF(DST="Y", 1, 0)/24)</f>
        <v>1.2874253941401246</v>
      </c>
      <c r="AE1746" s="259">
        <f>DATE(2001,9,21)+(M1746/360)*365 - (360*((DecLong/360)- (GMTOffset/24) ))</f>
        <v>37267.501793981479</v>
      </c>
      <c r="AF1746" s="260">
        <f>IF(DecLat&gt;0,IF((90 - (DecLat-O1746))&gt;90, (90 - (O1746-DecLat)), (90 - (DecLat-O1746))),IF((90 + (DecLat-O1746))&gt;90, (90 + (O1746-DecLat)), (90 + (DecLat-O1746))))</f>
        <v>47.68611111111111</v>
      </c>
      <c r="AG1746" s="257">
        <f>angularseperation(MoonRA,MoonDec,$M1746,$O1746)</f>
        <v>127.57957505895443</v>
      </c>
      <c r="AH1746" s="261">
        <f ca="1">MIN(100,IF($O$5&gt;80,0+30*($AG1746/100),IF($O$5&gt;70,0+50*($AG1746/100),IF($O$5&gt;60,5+50*($AG1746/100),IF($O$5&gt;50,10+60*($AG1746/100),IF($O$5&gt;40,15+70*($AG1746/100),IF($O$5&gt;30,20+70*($AG1746/100),IF($O$5&gt;20,40+55*($AG1746/100),(80+(20-$O$5)+30*($AG1746/100))))))))))</f>
        <v>100</v>
      </c>
      <c r="AI1746" s="262">
        <v>2327</v>
      </c>
      <c r="AJ1746" s="262"/>
      <c r="AK1746" s="262"/>
      <c r="AL1746" s="263"/>
      <c r="AM1746" s="264"/>
      <c r="AN1746" s="263"/>
      <c r="AO1746" s="263"/>
      <c r="AP1746" s="265"/>
      <c r="AQ1746" s="266"/>
      <c r="AR1746" s="267"/>
      <c r="AS1746" s="263"/>
      <c r="AT1746" s="263"/>
      <c r="AU1746" s="263"/>
      <c r="AV1746" s="264"/>
      <c r="AW1746" s="263"/>
      <c r="AX1746" s="263"/>
      <c r="AY1746" s="263">
        <v>1035</v>
      </c>
      <c r="AZ1746" s="263"/>
      <c r="BA1746" s="263"/>
      <c r="BB1746" s="263">
        <v>296</v>
      </c>
      <c r="BC1746" s="263"/>
      <c r="BD1746" s="264"/>
      <c r="BE1746" s="263"/>
      <c r="BF1746" s="263"/>
      <c r="BG1746" s="263"/>
      <c r="BH1746" s="263"/>
      <c r="BI1746" s="263"/>
      <c r="BJ1746" s="404">
        <f>altaz(J2000_Bas,$O1746,$M1746,DecLat,DecLong,2)</f>
        <v>359.92274711476284</v>
      </c>
      <c r="BK1746" s="378" t="s">
        <v>1730</v>
      </c>
      <c r="BL1746" s="379">
        <f>IF((2*G1746)/60&lt;0.2,0.2,(2*G1746)/60)</f>
        <v>8</v>
      </c>
      <c r="BM1746" s="380">
        <f>MOD((50000+AD1746-$B$3+(0/24)),1)</f>
        <v>0.50279232384491479</v>
      </c>
      <c r="BN1746" s="381"/>
      <c r="BO1746" s="382">
        <v>1739</v>
      </c>
    </row>
    <row r="1747" spans="1:67" s="24" customFormat="1" ht="15" customHeight="1" x14ac:dyDescent="0.25">
      <c r="A1747" s="288" t="s">
        <v>1731</v>
      </c>
      <c r="B1747" s="241" t="str">
        <f>HYPERLINK(CONCATENATE($AT$3,BK1747,$AU$3),$AV$3)</f>
        <v>S</v>
      </c>
      <c r="C1747" s="242" t="str">
        <f>HYPERLINK(CONCATENATE($AT$4,BK1747,$AU$4,BL1747),$AV$4)</f>
        <v>A</v>
      </c>
      <c r="D1747" s="243" t="s">
        <v>5335</v>
      </c>
      <c r="E1747" s="244" t="s">
        <v>5185</v>
      </c>
      <c r="F1747" s="269" t="s">
        <v>6804</v>
      </c>
      <c r="G1747" s="276">
        <v>20</v>
      </c>
      <c r="H1747" s="283">
        <v>7500</v>
      </c>
      <c r="I1747" s="246">
        <v>45</v>
      </c>
      <c r="J1747" s="246">
        <v>2</v>
      </c>
      <c r="K1747" s="247" t="s">
        <v>7176</v>
      </c>
      <c r="L1747" s="248">
        <v>70645</v>
      </c>
      <c r="M1747" s="249">
        <f>15*(LEFT(TEXT($L1747,"000000"),2)+(MID(TEXT($L1747,"000000"),3,2)/60)+(RIGHT(TEXT($L1747,"000000"),2)/3600))</f>
        <v>106.6875</v>
      </c>
      <c r="N1747" s="286">
        <v>-100123</v>
      </c>
      <c r="O1747" s="251">
        <f>IF($N1747&gt;0,(LEFT(TEXT($N1747,"000000"),2)+(MID(TEXT($N1747,"000000"),3,2)/60)+(RIGHT(TEXT($N1747,"000000"),2)/3600)),-(MID(TEXT($N1747,"000000"),2,2)+(MID(TEXT($N1747,"000000"),4,2)/60)+(RIGHT(TEXT($N1747,"000000"),2)/3600)))</f>
        <v>-10.023055555555556</v>
      </c>
      <c r="P1747" s="252" t="s">
        <v>80</v>
      </c>
      <c r="Q1747" s="253"/>
      <c r="R1747" s="277" t="s">
        <v>3293</v>
      </c>
      <c r="S1747" s="272" t="s">
        <v>3293</v>
      </c>
      <c r="T1747" s="273">
        <v>7.2</v>
      </c>
      <c r="U1747" s="274"/>
      <c r="V1747" s="280"/>
      <c r="W1747" s="244"/>
      <c r="X1747" s="244"/>
      <c r="Y1747" s="362"/>
      <c r="Z1747" s="257">
        <f>altaz(J2000_Bas,$O1747,$M1747,DecLat,DecLong,1)</f>
        <v>-69.013406616827226</v>
      </c>
      <c r="AA1747" s="257">
        <f>altaz((J2000_Bas+(2*0.04167)),$O1747,$M1747,DecLat,DecLong,1)</f>
        <v>-55.590563865148006</v>
      </c>
      <c r="AB1747" s="257">
        <f>altaz((J2000_Bas+(4*0.04167)),$O1747,$M1747,DecLat,DecLong,1)</f>
        <v>-31.21463061782049</v>
      </c>
      <c r="AC1747" s="257">
        <f>altaz((J2000_Bas+(6*0.04167)),$O1747,$M1747,DecLat,DecLong,1)</f>
        <v>-5.5084488586188298</v>
      </c>
      <c r="AD1747" s="258">
        <f>1+ transit((J2000_Bas-1),$O1747,$M1747,DecLat,DecLong)/360 + (GMTOffset/24) + (IF(DST="Y", 1, 0)/24)</f>
        <v>1.2892540976609579</v>
      </c>
      <c r="AE1747" s="259">
        <f>DATE(2001,9,21)+(M1747/360)*365 - (360*((DecLong/360)- (GMTOffset/24) ))</f>
        <v>37268.169270833336</v>
      </c>
      <c r="AF1747" s="260">
        <f>IF(DecLat&gt;0,IF((90 - (DecLat-O1747))&gt;90, (90 - (O1747-DecLat)), (90 - (DecLat-O1747))),IF((90 + (DecLat-O1747))&gt;90, (90 + (O1747-DecLat)), (90 + (DecLat-O1747))))</f>
        <v>48.976944444444442</v>
      </c>
      <c r="AG1747" s="257">
        <f>angularseperation(MoonRA,MoonDec,$M1747,$O1747)</f>
        <v>128.08556629798758</v>
      </c>
      <c r="AH1747" s="261">
        <f ca="1">MIN(100,IF($O$5&gt;80,0+30*($AG1747/100),IF($O$5&gt;70,0+50*($AG1747/100),IF($O$5&gt;60,5+50*($AG1747/100),IF($O$5&gt;50,10+60*($AG1747/100),IF($O$5&gt;40,15+70*($AG1747/100),IF($O$5&gt;30,20+70*($AG1747/100),IF($O$5&gt;20,40+55*($AG1747/100),(80+(20-$O$5)+30*($AG1747/100))))))))))</f>
        <v>100</v>
      </c>
      <c r="AI1747" s="262">
        <v>2335</v>
      </c>
      <c r="AJ1747" s="262"/>
      <c r="AK1747" s="262">
        <v>89</v>
      </c>
      <c r="AL1747" s="263"/>
      <c r="AM1747" s="264"/>
      <c r="AN1747" s="263"/>
      <c r="AO1747" s="263"/>
      <c r="AP1747" s="265"/>
      <c r="AQ1747" s="266"/>
      <c r="AR1747" s="267"/>
      <c r="AS1747" s="263"/>
      <c r="AT1747" s="263"/>
      <c r="AU1747" s="263"/>
      <c r="AV1747" s="264"/>
      <c r="AW1747" s="263"/>
      <c r="AX1747" s="263"/>
      <c r="AY1747" s="263"/>
      <c r="AZ1747" s="263"/>
      <c r="BA1747" s="263"/>
      <c r="BB1747" s="263"/>
      <c r="BC1747" s="263"/>
      <c r="BD1747" s="264"/>
      <c r="BE1747" s="263"/>
      <c r="BF1747" s="263"/>
      <c r="BG1747" s="263"/>
      <c r="BH1747" s="263"/>
      <c r="BI1747" s="263"/>
      <c r="BJ1747" s="404">
        <f>altaz(J2000_Bas,$O1747,$M1747,DecLat,DecLong,2)</f>
        <v>358.11663624483907</v>
      </c>
      <c r="BK1747" s="378" t="s">
        <v>1731</v>
      </c>
      <c r="BL1747" s="379">
        <f>IF((2*G1747)/60&lt;0.2,0.2,(2*G1747)/60)</f>
        <v>0.66666666666666663</v>
      </c>
      <c r="BM1747" s="380">
        <f>MOD((50000+AD1747-$B$3+(0/24)),1)</f>
        <v>0.50462102736491943</v>
      </c>
      <c r="BN1747" s="381"/>
      <c r="BO1747" s="382">
        <v>1740</v>
      </c>
    </row>
    <row r="1748" spans="1:67" s="24" customFormat="1" ht="15" customHeight="1" x14ac:dyDescent="0.25">
      <c r="A1748" s="288" t="s">
        <v>1732</v>
      </c>
      <c r="B1748" s="241" t="str">
        <f>HYPERLINK(CONCATENATE($AT$3,BK1748,$AU$3),$AV$3)</f>
        <v>S</v>
      </c>
      <c r="C1748" s="242" t="str">
        <f>HYPERLINK(CONCATENATE($AT$4,BK1748,$AU$4,BL1748),$AV$4)</f>
        <v>A</v>
      </c>
      <c r="D1748" s="243" t="s">
        <v>5638</v>
      </c>
      <c r="E1748" s="244" t="s">
        <v>5192</v>
      </c>
      <c r="F1748" s="269" t="s">
        <v>8927</v>
      </c>
      <c r="G1748" s="273">
        <v>7</v>
      </c>
      <c r="H1748" s="283">
        <v>85</v>
      </c>
      <c r="I1748" s="246">
        <v>175</v>
      </c>
      <c r="J1748" s="246">
        <v>2</v>
      </c>
      <c r="K1748" s="247" t="s">
        <v>7179</v>
      </c>
      <c r="L1748" s="248">
        <v>72704</v>
      </c>
      <c r="M1748" s="249">
        <f>15*(LEFT(TEXT($L1748,"000000"),2)+(MID(TEXT($L1748,"000000"),3,2)/60)+(RIGHT(TEXT($L1748,"000000"),2)/3600))</f>
        <v>111.76666666666667</v>
      </c>
      <c r="N1748" s="250">
        <v>801041</v>
      </c>
      <c r="O1748" s="251">
        <f>IF($N1748&gt;0,(LEFT(TEXT($N1748,"000000"),2)+(MID(TEXT($N1748,"000000"),3,2)/60)+(RIGHT(TEXT($N1748,"000000"),2)/3600)),-(MID(TEXT($N1748,"000000"),2,2)+(MID(TEXT($N1748,"000000"),4,2)/60)+(RIGHT(TEXT($N1748,"000000"),2)/3600)))</f>
        <v>80.178055555555559</v>
      </c>
      <c r="P1748" s="252" t="s">
        <v>226</v>
      </c>
      <c r="Q1748" s="253" t="s">
        <v>7178</v>
      </c>
      <c r="R1748" s="247" t="s">
        <v>3293</v>
      </c>
      <c r="S1748" s="272" t="s">
        <v>7177</v>
      </c>
      <c r="T1748" s="273">
        <v>12.5</v>
      </c>
      <c r="U1748" s="289">
        <v>22.79</v>
      </c>
      <c r="V1748" s="280">
        <v>65</v>
      </c>
      <c r="W1748" s="244"/>
      <c r="X1748" s="244"/>
      <c r="Y1748" s="362"/>
      <c r="Z1748" s="257">
        <f>altaz(J2000_Bas,$O1748,$M1748,DecLat,DecLong,1)</f>
        <v>21.223489639399947</v>
      </c>
      <c r="AA1748" s="257">
        <f>altaz((J2000_Bas+(2*0.04167)),$O1748,$M1748,DecLat,DecLong,1)</f>
        <v>21.977579682681711</v>
      </c>
      <c r="AB1748" s="257">
        <f>altaz((J2000_Bas+(4*0.04167)),$O1748,$M1748,DecLat,DecLong,1)</f>
        <v>24.984972908372622</v>
      </c>
      <c r="AC1748" s="257">
        <f>altaz((J2000_Bas+(6*0.04167)),$O1748,$M1748,DecLat,DecLong,1)</f>
        <v>29.567450053267173</v>
      </c>
      <c r="AD1748" s="258">
        <f>1+ transit((J2000_Bas-1),$O1748,$M1748,DecLat,DecLong)/360 + (GMTOffset/24) + (IF(DST="Y", 1, 0)/24)</f>
        <v>1.3033628925463747</v>
      </c>
      <c r="AE1748" s="259">
        <f>DATE(2001,9,21)+(M1748/360)*365 - (360*((DecLong/360)- (GMTOffset/24) ))</f>
        <v>37273.318981481483</v>
      </c>
      <c r="AF1748" s="260">
        <f>IF(DecLat&gt;0,IF((90 - (DecLat-O1748))&gt;90, (90 - (O1748-DecLat)), (90 - (DecLat-O1748))),IF((90 + (DecLat-O1748))&gt;90, (90 + (O1748-DecLat)), (90 + (DecLat-O1748))))</f>
        <v>40.821944444444441</v>
      </c>
      <c r="AG1748" s="257">
        <f>angularseperation(MoonRA,MoonDec,$M1748,$O1748)</f>
        <v>124.0943802438581</v>
      </c>
      <c r="AH1748" s="261">
        <f ca="1">MIN(100,IF($O$5&gt;80,0+30*($AG1748/100),IF($O$5&gt;70,0+50*($AG1748/100),IF($O$5&gt;60,5+50*($AG1748/100),IF($O$5&gt;50,10+60*($AG1748/100),IF($O$5&gt;40,15+70*($AG1748/100),IF($O$5&gt;30,20+70*($AG1748/100),IF($O$5&gt;20,40+55*($AG1748/100),(80+(20-$O$5)+30*($AG1748/100))))))))))</f>
        <v>100</v>
      </c>
      <c r="AI1748" s="262">
        <v>2336</v>
      </c>
      <c r="AJ1748" s="262"/>
      <c r="AK1748" s="262"/>
      <c r="AL1748" s="263"/>
      <c r="AM1748" s="264"/>
      <c r="AN1748" s="263"/>
      <c r="AO1748" s="263"/>
      <c r="AP1748" s="265"/>
      <c r="AQ1748" s="266">
        <v>3809</v>
      </c>
      <c r="AR1748" s="267">
        <v>21033</v>
      </c>
      <c r="AS1748" s="263"/>
      <c r="AT1748" s="263"/>
      <c r="AU1748" s="263"/>
      <c r="AV1748" s="264"/>
      <c r="AW1748" s="263"/>
      <c r="AX1748" s="263"/>
      <c r="AY1748" s="263"/>
      <c r="AZ1748" s="263"/>
      <c r="BA1748" s="263"/>
      <c r="BB1748" s="263"/>
      <c r="BC1748" s="263"/>
      <c r="BD1748" s="264"/>
      <c r="BE1748" s="263"/>
      <c r="BF1748" s="263"/>
      <c r="BG1748" s="263"/>
      <c r="BH1748" s="263"/>
      <c r="BI1748" s="263"/>
      <c r="BJ1748" s="404">
        <f>altaz(J2000_Bas,$O1748,$M1748,DecLat,DecLong,2)</f>
        <v>358.94690725382821</v>
      </c>
      <c r="BK1748" s="378" t="s">
        <v>1732</v>
      </c>
      <c r="BL1748" s="379">
        <f>IF((2*G1748)/60&lt;0.2,0.2,(2*G1748)/60)</f>
        <v>0.23333333333333334</v>
      </c>
      <c r="BM1748" s="380">
        <f>MOD((50000+AD1748-$B$3+(0/24)),1)</f>
        <v>0.51872982225177111</v>
      </c>
      <c r="BN1748" s="381" t="s">
        <v>9220</v>
      </c>
      <c r="BO1748" s="382">
        <v>1741</v>
      </c>
    </row>
    <row r="1749" spans="1:67" s="24" customFormat="1" ht="15" customHeight="1" x14ac:dyDescent="0.25">
      <c r="A1749" s="288" t="s">
        <v>1733</v>
      </c>
      <c r="B1749" s="241" t="str">
        <f>HYPERLINK(CONCATENATE($AT$3,BK1749,$AU$3),$AV$3)</f>
        <v>S</v>
      </c>
      <c r="C1749" s="242" t="str">
        <f>HYPERLINK(CONCATENATE($AT$4,BK1749,$AU$4,BL1749),$AV$4)</f>
        <v>A</v>
      </c>
      <c r="D1749" s="243" t="s">
        <v>5638</v>
      </c>
      <c r="E1749" s="244" t="s">
        <v>5192</v>
      </c>
      <c r="F1749" s="269" t="s">
        <v>8886</v>
      </c>
      <c r="G1749" s="273">
        <v>3</v>
      </c>
      <c r="H1749" s="283">
        <v>105</v>
      </c>
      <c r="I1749" s="246">
        <v>90</v>
      </c>
      <c r="J1749" s="246">
        <v>2</v>
      </c>
      <c r="K1749" s="247" t="s">
        <v>7180</v>
      </c>
      <c r="L1749" s="248">
        <v>70821</v>
      </c>
      <c r="M1749" s="249">
        <f>15*(LEFT(TEXT($L1749,"000000"),2)+(MID(TEXT($L1749,"000000"),3,2)/60)+(RIGHT(TEXT($L1749,"000000"),2)/3600))</f>
        <v>107.08750000000001</v>
      </c>
      <c r="N1749" s="250">
        <v>184649</v>
      </c>
      <c r="O1749" s="251">
        <f>IF($N1749&gt;0,(LEFT(TEXT($N1749,"000000"),2)+(MID(TEXT($N1749,"000000"),3,2)/60)+(RIGHT(TEXT($N1749,"000000"),2)/3600)),-(MID(TEXT($N1749,"000000"),2,2)+(MID(TEXT($N1749,"000000"),4,2)/60)+(RIGHT(TEXT($N1749,"000000"),2)/3600)))</f>
        <v>18.780277777777776</v>
      </c>
      <c r="P1749" s="252" t="s">
        <v>85</v>
      </c>
      <c r="Q1749" s="253"/>
      <c r="R1749" s="277" t="s">
        <v>3293</v>
      </c>
      <c r="S1749" s="272" t="s">
        <v>3293</v>
      </c>
      <c r="T1749" s="273">
        <v>11.8</v>
      </c>
      <c r="U1749" s="289">
        <v>22.39</v>
      </c>
      <c r="V1749" s="280">
        <v>50</v>
      </c>
      <c r="W1749" s="244"/>
      <c r="X1749" s="244"/>
      <c r="Y1749" s="362"/>
      <c r="Z1749" s="257">
        <f>altaz(J2000_Bas,$O1749,$M1749,DecLat,DecLong,1)</f>
        <v>-40.208807522615956</v>
      </c>
      <c r="AA1749" s="257">
        <f>altaz((J2000_Bas+(2*0.04167)),$O1749,$M1749,DecLat,DecLong,1)</f>
        <v>-32.954491091057434</v>
      </c>
      <c r="AB1749" s="257">
        <f>altaz((J2000_Bas+(4*0.04167)),$O1749,$M1749,DecLat,DecLong,1)</f>
        <v>-14.544723477003387</v>
      </c>
      <c r="AC1749" s="257">
        <f>altaz((J2000_Bas+(6*0.04167)),$O1749,$M1749,DecLat,DecLong,1)</f>
        <v>8.8610109454824801</v>
      </c>
      <c r="AD1749" s="258">
        <f>1+ transit((J2000_Bas-1),$O1749,$M1749,DecLat,DecLong)/360 + (GMTOffset/24) + (IF(DST="Y", 1, 0)/24)</f>
        <v>1.2903652086609581</v>
      </c>
      <c r="AE1749" s="259">
        <f>DATE(2001,9,21)+(M1749/360)*365 - (360*((DecLong/360)- (GMTOffset/24) ))</f>
        <v>37268.574826388889</v>
      </c>
      <c r="AF1749" s="260">
        <f>IF(DecLat&gt;0,IF((90 - (DecLat-O1749))&gt;90, (90 - (O1749-DecLat)), (90 - (DecLat-O1749))),IF((90 + (DecLat-O1749))&gt;90, (90 + (O1749-DecLat)), (90 + (DecLat-O1749))))</f>
        <v>77.780277777777769</v>
      </c>
      <c r="AG1749" s="257">
        <f>angularseperation(MoonRA,MoonDec,$M1749,$O1749)</f>
        <v>144.31326863922806</v>
      </c>
      <c r="AH1749" s="261">
        <f ca="1">MIN(100,IF($O$5&gt;80,0+30*($AG1749/100),IF($O$5&gt;70,0+50*($AG1749/100),IF($O$5&gt;60,5+50*($AG1749/100),IF($O$5&gt;50,10+60*($AG1749/100),IF($O$5&gt;40,15+70*($AG1749/100),IF($O$5&gt;30,20+70*($AG1749/100),IF($O$5&gt;20,40+55*($AG1749/100),(80+(20-$O$5)+30*($AG1749/100))))))))))</f>
        <v>100</v>
      </c>
      <c r="AI1749" s="262">
        <v>2339</v>
      </c>
      <c r="AJ1749" s="263"/>
      <c r="AK1749" s="263"/>
      <c r="AL1749" s="263"/>
      <c r="AM1749" s="264"/>
      <c r="AN1749" s="263"/>
      <c r="AO1749" s="263"/>
      <c r="AP1749" s="265"/>
      <c r="AQ1749" s="265">
        <v>3693</v>
      </c>
      <c r="AR1749" s="285">
        <v>20222</v>
      </c>
      <c r="AS1749" s="263"/>
      <c r="AT1749" s="263"/>
      <c r="AU1749" s="263"/>
      <c r="AV1749" s="264"/>
      <c r="AW1749" s="263"/>
      <c r="AX1749" s="263"/>
      <c r="AY1749" s="263"/>
      <c r="AZ1749" s="263"/>
      <c r="BA1749" s="263"/>
      <c r="BB1749" s="263"/>
      <c r="BC1749" s="263"/>
      <c r="BD1749" s="264"/>
      <c r="BE1749" s="263"/>
      <c r="BF1749" s="263"/>
      <c r="BG1749" s="263"/>
      <c r="BH1749" s="263"/>
      <c r="BI1749" s="263"/>
      <c r="BJ1749" s="404">
        <f>altaz(J2000_Bas,$O1749,$M1749,DecLat,DecLong,2)</f>
        <v>358.65503233674229</v>
      </c>
      <c r="BK1749" s="378" t="s">
        <v>1733</v>
      </c>
      <c r="BL1749" s="379">
        <f>IF((2*G1749)/60&lt;0.2,0.2,(2*G1749)/60)</f>
        <v>0.2</v>
      </c>
      <c r="BM1749" s="380">
        <f>MOD((50000+AD1749-$B$3+(0/24)),1)</f>
        <v>0.50573213836469222</v>
      </c>
      <c r="BN1749" s="381"/>
      <c r="BO1749" s="382">
        <v>1742</v>
      </c>
    </row>
    <row r="1750" spans="1:67" s="24" customFormat="1" ht="15" customHeight="1" x14ac:dyDescent="0.25">
      <c r="A1750" s="288" t="s">
        <v>7579</v>
      </c>
      <c r="B1750" s="241" t="str">
        <f>HYPERLINK(CONCATENATE($AT$3,BK1750,$AU$3),$AV$3)</f>
        <v>S</v>
      </c>
      <c r="C1750" s="242" t="str">
        <f>HYPERLINK(CONCATENATE($AT$4,BK1750,$AU$4,BL1750),$AV$4)</f>
        <v>A</v>
      </c>
      <c r="D1750" s="243" t="s">
        <v>5638</v>
      </c>
      <c r="E1750" s="244" t="s">
        <v>5625</v>
      </c>
      <c r="F1750" s="269">
        <v>9</v>
      </c>
      <c r="G1750" s="282">
        <v>22</v>
      </c>
      <c r="H1750" s="283">
        <v>260</v>
      </c>
      <c r="I1750" s="284">
        <v>1700</v>
      </c>
      <c r="J1750" s="246">
        <v>2</v>
      </c>
      <c r="K1750" s="247" t="s">
        <v>7181</v>
      </c>
      <c r="L1750" s="248">
        <v>71111</v>
      </c>
      <c r="M1750" s="249">
        <f>15*(LEFT(TEXT($L1750,"000000"),2)+(MID(TEXT($L1750,"000000"),3,2)/60)+(RIGHT(TEXT($L1750,"000000"),2)/3600))</f>
        <v>107.79583333333333</v>
      </c>
      <c r="N1750" s="250">
        <v>501027</v>
      </c>
      <c r="O1750" s="251">
        <f>IF($N1750&gt;0,(LEFT(TEXT($N1750,"000000"),2)+(MID(TEXT($N1750,"000000"),3,2)/60)+(RIGHT(TEXT($N1750,"000000"),2)/3600)),-(MID(TEXT($N1750,"000000"),2,2)+(MID(TEXT($N1750,"000000"),4,2)/60)+(RIGHT(TEXT($N1750,"000000"),2)/3600)))</f>
        <v>50.174166666666665</v>
      </c>
      <c r="P1750" s="252" t="s">
        <v>82</v>
      </c>
      <c r="Q1750" s="253"/>
      <c r="R1750" s="277" t="s">
        <v>3293</v>
      </c>
      <c r="S1750" s="272" t="s">
        <v>3293</v>
      </c>
      <c r="T1750" s="273">
        <v>11.7</v>
      </c>
      <c r="U1750" s="289">
        <v>21.39</v>
      </c>
      <c r="V1750" s="280"/>
      <c r="W1750" s="244"/>
      <c r="X1750" s="244"/>
      <c r="Y1750" s="362"/>
      <c r="Z1750" s="257">
        <f>altaz(J2000_Bas,$O1750,$M1750,DecLat,DecLong,1)</f>
        <v>-8.8102453025476084</v>
      </c>
      <c r="AA1750" s="257">
        <f>altaz((J2000_Bas+(2*0.04167)),$O1750,$M1750,DecLat,DecLong,1)</f>
        <v>-5.040243705254869</v>
      </c>
      <c r="AB1750" s="257">
        <f>altaz((J2000_Bas+(4*0.04167)),$O1750,$M1750,DecLat,DecLong,1)</f>
        <v>6.1823475708733779</v>
      </c>
      <c r="AC1750" s="257">
        <f>altaz((J2000_Bas+(6*0.04167)),$O1750,$M1750,DecLat,DecLong,1)</f>
        <v>22.383057036105292</v>
      </c>
      <c r="AD1750" s="258">
        <f>1+ transit((J2000_Bas-1),$O1750,$M1750,DecLat,DecLong)/360 + (GMTOffset/24) + (IF(DST="Y", 1, 0)/24)</f>
        <v>1.2923328010567914</v>
      </c>
      <c r="AE1750" s="259">
        <f>DATE(2001,9,21)+(M1750/360)*365 - (360*((DecLong/360)- (GMTOffset/24) ))</f>
        <v>37269.292997685188</v>
      </c>
      <c r="AF1750" s="260">
        <f>IF(DecLat&gt;0,IF((90 - (DecLat-O1750))&gt;90, (90 - (O1750-DecLat)), (90 - (DecLat-O1750))),IF((90 + (DecLat-O1750))&gt;90, (90 + (O1750-DecLat)), (90 + (DecLat-O1750))))</f>
        <v>70.825833333333335</v>
      </c>
      <c r="AG1750" s="257">
        <f>angularseperation(MoonRA,MoonDec,$M1750,$O1750)</f>
        <v>142.71133348475567</v>
      </c>
      <c r="AH1750" s="261">
        <f ca="1">MIN(100,IF($O$5&gt;80,0+30*($AG1750/100),IF($O$5&gt;70,0+50*($AG1750/100),IF($O$5&gt;60,5+50*($AG1750/100),IF($O$5&gt;50,10+60*($AG1750/100),IF($O$5&gt;40,15+70*($AG1750/100),IF($O$5&gt;30,20+70*($AG1750/100),IF($O$5&gt;20,40+55*($AG1750/100),(80+(20-$O$5)+30*($AG1750/100))))))))))</f>
        <v>100</v>
      </c>
      <c r="AI1750" s="262">
        <v>2340</v>
      </c>
      <c r="AJ1750" s="263"/>
      <c r="AK1750" s="263"/>
      <c r="AL1750" s="263"/>
      <c r="AM1750" s="264"/>
      <c r="AN1750" s="263"/>
      <c r="AO1750" s="263"/>
      <c r="AP1750" s="265"/>
      <c r="AQ1750" s="265">
        <v>3720</v>
      </c>
      <c r="AR1750" s="285">
        <v>20338</v>
      </c>
      <c r="AS1750" s="263"/>
      <c r="AT1750" s="263"/>
      <c r="AU1750" s="263"/>
      <c r="AV1750" s="264"/>
      <c r="AW1750" s="263"/>
      <c r="AX1750" s="263"/>
      <c r="AY1750" s="263"/>
      <c r="AZ1750" s="263"/>
      <c r="BA1750" s="263"/>
      <c r="BB1750" s="263"/>
      <c r="BC1750" s="263"/>
      <c r="BD1750" s="264"/>
      <c r="BE1750" s="263"/>
      <c r="BF1750" s="263"/>
      <c r="BG1750" s="263"/>
      <c r="BH1750" s="263"/>
      <c r="BI1750" s="263"/>
      <c r="BJ1750" s="404">
        <f>altaz(J2000_Bas,$O1750,$M1750,DecLat,DecLong,2)</f>
        <v>358.83792762878704</v>
      </c>
      <c r="BK1750" s="378" t="s">
        <v>1734</v>
      </c>
      <c r="BL1750" s="379">
        <f>IF((2*G1750)/60&lt;0.2,0.2,(2*G1750)/60)</f>
        <v>0.73333333333333328</v>
      </c>
      <c r="BM1750" s="380">
        <f>MOD((50000+AD1750-$B$3+(0/24)),1)</f>
        <v>0.50769973076239694</v>
      </c>
      <c r="BN1750" s="381"/>
      <c r="BO1750" s="382">
        <v>1743</v>
      </c>
    </row>
    <row r="1751" spans="1:67" s="24" customFormat="1" ht="15" customHeight="1" x14ac:dyDescent="0.25">
      <c r="A1751" s="288" t="s">
        <v>1735</v>
      </c>
      <c r="B1751" s="241" t="str">
        <f>HYPERLINK(CONCATENATE($AT$3,BK1751,$AU$3),$AV$3)</f>
        <v>S</v>
      </c>
      <c r="C1751" s="242" t="str">
        <f>HYPERLINK(CONCATENATE($AT$4,BK1751,$AU$4,BL1751),$AV$4)</f>
        <v>A</v>
      </c>
      <c r="D1751" s="243" t="s">
        <v>5335</v>
      </c>
      <c r="E1751" s="244" t="s">
        <v>5185</v>
      </c>
      <c r="F1751" s="269" t="s">
        <v>4439</v>
      </c>
      <c r="G1751" s="273">
        <v>6</v>
      </c>
      <c r="H1751" s="283">
        <v>3400</v>
      </c>
      <c r="I1751" s="279">
        <v>6</v>
      </c>
      <c r="J1751" s="246">
        <v>2</v>
      </c>
      <c r="K1751" s="247" t="s">
        <v>7182</v>
      </c>
      <c r="L1751" s="248">
        <v>70806</v>
      </c>
      <c r="M1751" s="249">
        <f>15*(LEFT(TEXT($L1751,"000000"),2)+(MID(TEXT($L1751,"000000"),3,2)/60)+(RIGHT(TEXT($L1751,"000000"),2)/3600))</f>
        <v>107.02500000000001</v>
      </c>
      <c r="N1751" s="250">
        <v>-103700</v>
      </c>
      <c r="O1751" s="251">
        <f>IF($N1751&gt;0,(LEFT(TEXT($N1751,"000000"),2)+(MID(TEXT($N1751,"000000"),3,2)/60)+(RIGHT(TEXT($N1751,"000000"),2)/3600)),-(MID(TEXT($N1751,"000000"),2,2)+(MID(TEXT($N1751,"000000"),4,2)/60)+(RIGHT(TEXT($N1751,"000000"),2)/3600)))</f>
        <v>-10.616666666666667</v>
      </c>
      <c r="P1751" s="252" t="s">
        <v>47</v>
      </c>
      <c r="Q1751" s="253"/>
      <c r="R1751" s="247" t="s">
        <v>3293</v>
      </c>
      <c r="S1751" s="272" t="s">
        <v>3293</v>
      </c>
      <c r="T1751" s="273">
        <v>6.7</v>
      </c>
      <c r="U1751" s="274"/>
      <c r="V1751" s="280"/>
      <c r="W1751" s="244"/>
      <c r="X1751" s="244"/>
      <c r="Y1751" s="362"/>
      <c r="Z1751" s="257">
        <f>altaz(J2000_Bas,$O1751,$M1751,DecLat,DecLong,1)</f>
        <v>-69.594614871833855</v>
      </c>
      <c r="AA1751" s="257">
        <f>altaz((J2000_Bas+(2*0.04167)),$O1751,$M1751,DecLat,DecLong,1)</f>
        <v>-56.233289960747008</v>
      </c>
      <c r="AB1751" s="257">
        <f>altaz((J2000_Bas+(4*0.04167)),$O1751,$M1751,DecLat,DecLong,1)</f>
        <v>-31.799956342675994</v>
      </c>
      <c r="AC1751" s="257">
        <f>altaz((J2000_Bas+(6*0.04167)),$O1751,$M1751,DecLat,DecLong,1)</f>
        <v>-6.0958857851065549</v>
      </c>
      <c r="AD1751" s="258">
        <f>1+ transit((J2000_Bas-1),$O1751,$M1751,DecLat,DecLong)/360 + (GMTOffset/24) + (IF(DST="Y", 1, 0)/24)</f>
        <v>1.290191597567208</v>
      </c>
      <c r="AE1751" s="259">
        <f>DATE(2001,9,21)+(M1751/360)*365 - (360*((DecLong/360)- (GMTOffset/24) ))</f>
        <v>37268.511458333334</v>
      </c>
      <c r="AF1751" s="260">
        <f>IF(DecLat&gt;0,IF((90 - (DecLat-O1751))&gt;90, (90 - (O1751-DecLat)), (90 - (DecLat-O1751))),IF((90 + (DecLat-O1751))&gt;90, (90 + (O1751-DecLat)), (90 + (DecLat-O1751))))</f>
        <v>48.383333333333333</v>
      </c>
      <c r="AG1751" s="257">
        <f>angularseperation(MoonRA,MoonDec,$M1751,$O1751)</f>
        <v>127.42617763795938</v>
      </c>
      <c r="AH1751" s="261">
        <f ca="1">MIN(100,IF($O$5&gt;80,0+30*($AG1751/100),IF($O$5&gt;70,0+50*($AG1751/100),IF($O$5&gt;60,5+50*($AG1751/100),IF($O$5&gt;50,10+60*($AG1751/100),IF($O$5&gt;40,15+70*($AG1751/100),IF($O$5&gt;30,20+70*($AG1751/100),IF($O$5&gt;20,40+55*($AG1751/100),(80+(20-$O$5)+30*($AG1751/100))))))))))</f>
        <v>100</v>
      </c>
      <c r="AI1751" s="262">
        <v>2343</v>
      </c>
      <c r="AJ1751" s="262"/>
      <c r="AK1751" s="262">
        <v>90</v>
      </c>
      <c r="AL1751" s="263"/>
      <c r="AM1751" s="264"/>
      <c r="AN1751" s="263"/>
      <c r="AO1751" s="263"/>
      <c r="AP1751" s="265"/>
      <c r="AQ1751" s="266"/>
      <c r="AR1751" s="267"/>
      <c r="AS1751" s="263"/>
      <c r="AT1751" s="263"/>
      <c r="AU1751" s="263"/>
      <c r="AV1751" s="264"/>
      <c r="AW1751" s="263"/>
      <c r="AX1751" s="263"/>
      <c r="AY1751" s="263"/>
      <c r="AZ1751" s="263"/>
      <c r="BA1751" s="263"/>
      <c r="BB1751" s="263"/>
      <c r="BC1751" s="263"/>
      <c r="BD1751" s="264"/>
      <c r="BE1751" s="263"/>
      <c r="BF1751" s="263">
        <v>33</v>
      </c>
      <c r="BG1751" s="263"/>
      <c r="BH1751" s="263"/>
      <c r="BI1751" s="263"/>
      <c r="BJ1751" s="404">
        <f>altaz(J2000_Bas,$O1751,$M1751,DecLat,DecLong,2)</f>
        <v>357.1168407301455</v>
      </c>
      <c r="BK1751" s="378" t="s">
        <v>1735</v>
      </c>
      <c r="BL1751" s="379">
        <f>IF((2*G1751)/60&lt;0.2,0.2,(2*G1751)/60)</f>
        <v>0.2</v>
      </c>
      <c r="BM1751" s="380">
        <f>MOD((50000+AD1751-$B$3+(0/24)),1)</f>
        <v>0.50555852727120509</v>
      </c>
      <c r="BN1751" s="381"/>
      <c r="BO1751" s="382">
        <v>1744</v>
      </c>
    </row>
    <row r="1752" spans="1:67" s="24" customFormat="1" ht="15" customHeight="1" x14ac:dyDescent="0.25">
      <c r="A1752" s="288" t="s">
        <v>1736</v>
      </c>
      <c r="B1752" s="241" t="str">
        <f>HYPERLINK(CONCATENATE($AT$3,BK1752,$AU$3),$AV$3)</f>
        <v>S</v>
      </c>
      <c r="C1752" s="242" t="str">
        <f>HYPERLINK(CONCATENATE($AT$4,BK1752,$AU$4,BL1752),$AV$4)</f>
        <v>A</v>
      </c>
      <c r="D1752" s="243" t="s">
        <v>5187</v>
      </c>
      <c r="E1752" s="244" t="s">
        <v>5181</v>
      </c>
      <c r="F1752" s="269" t="s">
        <v>5740</v>
      </c>
      <c r="G1752" s="273">
        <v>2</v>
      </c>
      <c r="H1752" s="283">
        <v>4800</v>
      </c>
      <c r="I1752" s="279">
        <v>3</v>
      </c>
      <c r="J1752" s="246">
        <v>3</v>
      </c>
      <c r="K1752" s="247" t="s">
        <v>7184</v>
      </c>
      <c r="L1752" s="248">
        <v>70922</v>
      </c>
      <c r="M1752" s="249">
        <f>15*(LEFT(TEXT($L1752,"000000"),2)+(MID(TEXT($L1752,"000000"),3,2)/60)+(RIGHT(TEXT($L1752,"000000"),2)/3600))</f>
        <v>107.34166666666667</v>
      </c>
      <c r="N1752" s="250">
        <v>-4822</v>
      </c>
      <c r="O1752" s="251">
        <f>IF($N1752&gt;0,(LEFT(TEXT($N1752,"000000"),2)+(MID(TEXT($N1752,"000000"),3,2)/60)+(RIGHT(TEXT($N1752,"000000"),2)/3600)),-(MID(TEXT($N1752,"000000"),2,2)+(MID(TEXT($N1752,"000000"),4,2)/60)+(RIGHT(TEXT($N1752,"000000"),2)/3600)))</f>
        <v>-0.80611111111111111</v>
      </c>
      <c r="P1752" s="252" t="s">
        <v>47</v>
      </c>
      <c r="Q1752" s="253" t="s">
        <v>7183</v>
      </c>
      <c r="R1752" s="277" t="s">
        <v>8850</v>
      </c>
      <c r="S1752" s="272" t="s">
        <v>3293</v>
      </c>
      <c r="T1752" s="273">
        <v>11.6</v>
      </c>
      <c r="U1752" s="274"/>
      <c r="V1752" s="280"/>
      <c r="W1752" s="244"/>
      <c r="X1752" s="244"/>
      <c r="Y1752" s="362"/>
      <c r="Z1752" s="257">
        <f>altaz(J2000_Bas,$O1752,$M1752,DecLat,DecLong,1)</f>
        <v>-59.779457383127955</v>
      </c>
      <c r="AA1752" s="257">
        <f>altaz((J2000_Bas+(2*0.04167)),$O1752,$M1752,DecLat,DecLong,1)</f>
        <v>-49.350206463281445</v>
      </c>
      <c r="AB1752" s="257">
        <f>altaz((J2000_Bas+(4*0.04167)),$O1752,$M1752,DecLat,DecLong,1)</f>
        <v>-26.798444912968481</v>
      </c>
      <c r="AC1752" s="257">
        <f>altaz((J2000_Bas+(6*0.04167)),$O1752,$M1752,DecLat,DecLong,1)</f>
        <v>-1.3455165381522574</v>
      </c>
      <c r="AD1752" s="258">
        <f>1+ transit((J2000_Bas-1),$O1752,$M1752,DecLat,DecLong)/360 + (GMTOffset/24) + (IF(DST="Y", 1, 0)/24)</f>
        <v>1.2910712271088747</v>
      </c>
      <c r="AE1752" s="259">
        <f>DATE(2001,9,21)+(M1752/360)*365 - (360*((DecLong/360)- (GMTOffset/24) ))</f>
        <v>37268.83252314815</v>
      </c>
      <c r="AF1752" s="260">
        <f>IF(DecLat&gt;0,IF((90 - (DecLat-O1752))&gt;90, (90 - (O1752-DecLat)), (90 - (DecLat-O1752))),IF((90 + (DecLat-O1752))&gt;90, (90 + (O1752-DecLat)), (90 + (DecLat-O1752))))</f>
        <v>58.193888888888893</v>
      </c>
      <c r="AG1752" s="257">
        <f>angularseperation(MoonRA,MoonDec,$M1752,$O1752)</f>
        <v>133.96084607794231</v>
      </c>
      <c r="AH1752" s="261">
        <f ca="1">MIN(100,IF($O$5&gt;80,0+30*($AG1752/100),IF($O$5&gt;70,0+50*($AG1752/100),IF($O$5&gt;60,5+50*($AG1752/100),IF($O$5&gt;50,10+60*($AG1752/100),IF($O$5&gt;40,15+70*($AG1752/100),IF($O$5&gt;30,20+70*($AG1752/100),IF($O$5&gt;20,40+55*($AG1752/100),(80+(20-$O$5)+30*($AG1752/100))))))))))</f>
        <v>100</v>
      </c>
      <c r="AI1752" s="262">
        <v>2346</v>
      </c>
      <c r="AJ1752" s="262"/>
      <c r="AK1752" s="262"/>
      <c r="AL1752" s="263"/>
      <c r="AM1752" s="264"/>
      <c r="AN1752" s="263"/>
      <c r="AO1752" s="263"/>
      <c r="AP1752" s="265"/>
      <c r="AQ1752" s="266"/>
      <c r="AR1752" s="267"/>
      <c r="AS1752" s="263"/>
      <c r="AT1752" s="263">
        <v>12</v>
      </c>
      <c r="AU1752" s="263"/>
      <c r="AV1752" s="264">
        <v>110</v>
      </c>
      <c r="AW1752" s="263"/>
      <c r="AX1752" s="263"/>
      <c r="AY1752" s="263"/>
      <c r="AZ1752" s="263"/>
      <c r="BA1752" s="263"/>
      <c r="BB1752" s="263"/>
      <c r="BC1752" s="263"/>
      <c r="BD1752" s="264"/>
      <c r="BE1752" s="263"/>
      <c r="BF1752" s="263">
        <v>34</v>
      </c>
      <c r="BG1752" s="263"/>
      <c r="BH1752" s="263"/>
      <c r="BI1752" s="263"/>
      <c r="BJ1752" s="404">
        <f>altaz(J2000_Bas,$O1752,$M1752,DecLat,DecLong,2)</f>
        <v>357.33918660839055</v>
      </c>
      <c r="BK1752" s="378" t="s">
        <v>1736</v>
      </c>
      <c r="BL1752" s="379">
        <f>IF((2*G1752)/60&lt;0.2,0.2,(2*G1752)/60)</f>
        <v>0.2</v>
      </c>
      <c r="BM1752" s="380">
        <f>MOD((50000+AD1752-$B$3+(0/24)),1)</f>
        <v>0.50643815681542037</v>
      </c>
      <c r="BN1752" s="381"/>
      <c r="BO1752" s="382">
        <v>1745</v>
      </c>
    </row>
    <row r="1753" spans="1:67" s="24" customFormat="1" ht="15" customHeight="1" x14ac:dyDescent="0.25">
      <c r="A1753" s="288" t="s">
        <v>3137</v>
      </c>
      <c r="B1753" s="241" t="str">
        <f>HYPERLINK(CONCATENATE($AT$3,BK1753,$AU$3),$AV$3)</f>
        <v>S</v>
      </c>
      <c r="C1753" s="242" t="str">
        <f>HYPERLINK(CONCATENATE($AT$4,BK1753,$AU$4,BL1753),$AV$4)</f>
        <v>A</v>
      </c>
      <c r="D1753" s="243" t="s">
        <v>5638</v>
      </c>
      <c r="E1753" s="244" t="s">
        <v>5192</v>
      </c>
      <c r="F1753" s="269" t="s">
        <v>8688</v>
      </c>
      <c r="G1753" s="273">
        <v>1.7</v>
      </c>
      <c r="H1753" s="283">
        <v>300</v>
      </c>
      <c r="I1753" s="246">
        <v>140</v>
      </c>
      <c r="J1753" s="246">
        <v>2</v>
      </c>
      <c r="K1753" s="247" t="s">
        <v>8555</v>
      </c>
      <c r="L1753" s="248">
        <v>71604</v>
      </c>
      <c r="M1753" s="249">
        <f>15*(LEFT(TEXT($L1753,"000000"),2)+(MID(TEXT($L1753,"000000"),3,2)/60)+(RIGHT(TEXT($L1753,"000000"),2)/3600))</f>
        <v>109.01666666666667</v>
      </c>
      <c r="N1753" s="250">
        <v>644224</v>
      </c>
      <c r="O1753" s="251">
        <f>IF($N1753&gt;0,(LEFT(TEXT($N1753,"000000"),2)+(MID(TEXT($N1753,"000000"),3,2)/60)+(RIGHT(TEXT($N1753,"000000"),2)/3600)),-(MID(TEXT($N1753,"000000"),2,2)+(MID(TEXT($N1753,"000000"),4,2)/60)+(RIGHT(TEXT($N1753,"000000"),2)/3600)))</f>
        <v>64.706666666666663</v>
      </c>
      <c r="P1753" s="252" t="s">
        <v>226</v>
      </c>
      <c r="Q1753" s="253"/>
      <c r="R1753" s="277" t="s">
        <v>3293</v>
      </c>
      <c r="S1753" s="272" t="s">
        <v>7185</v>
      </c>
      <c r="T1753" s="273">
        <v>12.5</v>
      </c>
      <c r="U1753" s="289">
        <v>22.09</v>
      </c>
      <c r="V1753" s="280">
        <v>50</v>
      </c>
      <c r="W1753" s="244"/>
      <c r="X1753" s="244"/>
      <c r="Y1753" s="362"/>
      <c r="Z1753" s="257">
        <f>altaz(J2000_Bas,$O1753,$M1753,DecLat,DecLong,1)</f>
        <v>5.7358385395155391</v>
      </c>
      <c r="AA1753" s="257">
        <f>altaz((J2000_Bas+(2*0.04167)),$O1753,$M1753,DecLat,DecLong,1)</f>
        <v>8.0221965668686881</v>
      </c>
      <c r="AB1753" s="257">
        <f>altaz((J2000_Bas+(4*0.04167)),$O1753,$M1753,DecLat,DecLong,1)</f>
        <v>15.487783483996012</v>
      </c>
      <c r="AC1753" s="257">
        <f>altaz((J2000_Bas+(6*0.04167)),$O1753,$M1753,DecLat,DecLong,1)</f>
        <v>26.617053631485224</v>
      </c>
      <c r="AD1753" s="258">
        <f>1+ transit((J2000_Bas-1),$O1753,$M1753,DecLat,DecLong)/360 + (GMTOffset/24) + (IF(DST="Y", 1, 0)/24)</f>
        <v>1.2957240044213747</v>
      </c>
      <c r="AE1753" s="259">
        <f>DATE(2001,9,21)+(M1753/360)*365 - (360*((DecLong/360)- (GMTOffset/24) ))</f>
        <v>37270.530787037038</v>
      </c>
      <c r="AF1753" s="260">
        <f>IF(DecLat&gt;0,IF((90 - (DecLat-O1753))&gt;90, (90 - (O1753-DecLat)), (90 - (DecLat-O1753))),IF((90 + (DecLat-O1753))&gt;90, (90 + (O1753-DecLat)), (90 + (DecLat-O1753))))</f>
        <v>56.293333333333337</v>
      </c>
      <c r="AG1753" s="257">
        <f>angularseperation(MoonRA,MoonDec,$M1753,$O1753)</f>
        <v>134.7497440294994</v>
      </c>
      <c r="AH1753" s="261">
        <f ca="1">MIN(100,IF($O$5&gt;80,0+30*($AG1753/100),IF($O$5&gt;70,0+50*($AG1753/100),IF($O$5&gt;60,5+50*($AG1753/100),IF($O$5&gt;50,10+60*($AG1753/100),IF($O$5&gt;40,15+70*($AG1753/100),IF($O$5&gt;30,20+70*($AG1753/100),IF($O$5&gt;20,40+55*($AG1753/100),(80+(20-$O$5)+30*($AG1753/100))))))))))</f>
        <v>100</v>
      </c>
      <c r="AI1753" s="263">
        <v>2347</v>
      </c>
      <c r="AJ1753" s="263"/>
      <c r="AK1753" s="263"/>
      <c r="AL1753" s="263"/>
      <c r="AM1753" s="264"/>
      <c r="AN1753" s="263"/>
      <c r="AO1753" s="263"/>
      <c r="AP1753" s="265"/>
      <c r="AQ1753" s="265">
        <v>3759</v>
      </c>
      <c r="AR1753" s="285">
        <v>20539</v>
      </c>
      <c r="AS1753" s="263"/>
      <c r="AT1753" s="263"/>
      <c r="AU1753" s="263"/>
      <c r="AV1753" s="264"/>
      <c r="AW1753" s="263"/>
      <c r="AX1753" s="263"/>
      <c r="AY1753" s="263"/>
      <c r="AZ1753" s="263"/>
      <c r="BA1753" s="263"/>
      <c r="BB1753" s="263"/>
      <c r="BC1753" s="263"/>
      <c r="BD1753" s="264"/>
      <c r="BE1753" s="263"/>
      <c r="BF1753" s="263"/>
      <c r="BG1753" s="263"/>
      <c r="BH1753" s="263"/>
      <c r="BI1753" s="263"/>
      <c r="BJ1753" s="404">
        <f>altaz(J2000_Bas,$O1753,$M1753,DecLat,DecLong,2)</f>
        <v>358.70625048336069</v>
      </c>
      <c r="BK1753" s="378" t="s">
        <v>3137</v>
      </c>
      <c r="BL1753" s="379">
        <f>IF((2*G1753)/60&lt;0.2,0.2,(2*G1753)/60)</f>
        <v>0.2</v>
      </c>
      <c r="BM1753" s="380">
        <f>MOD((50000+AD1753-$B$3+(0/24)),1)</f>
        <v>0.5110909341237857</v>
      </c>
      <c r="BN1753" s="381"/>
      <c r="BO1753" s="382">
        <v>1746</v>
      </c>
    </row>
    <row r="1754" spans="1:67" s="24" customFormat="1" ht="15" customHeight="1" x14ac:dyDescent="0.25">
      <c r="A1754" s="288" t="s">
        <v>1737</v>
      </c>
      <c r="B1754" s="241" t="str">
        <f>HYPERLINK(CONCATENATE($AT$3,BK1754,$AU$3),$AV$3)</f>
        <v>S</v>
      </c>
      <c r="C1754" s="242" t="str">
        <f>HYPERLINK(CONCATENATE($AT$4,BK1754,$AU$4,BL1754),$AV$4)</f>
        <v>A</v>
      </c>
      <c r="D1754" s="243" t="s">
        <v>5335</v>
      </c>
      <c r="E1754" s="244" t="s">
        <v>5185</v>
      </c>
      <c r="F1754" s="269" t="s">
        <v>4922</v>
      </c>
      <c r="G1754" s="276">
        <v>18</v>
      </c>
      <c r="H1754" s="283">
        <v>3400</v>
      </c>
      <c r="I1754" s="246">
        <v>18</v>
      </c>
      <c r="J1754" s="246">
        <v>2</v>
      </c>
      <c r="K1754" s="247" t="s">
        <v>7186</v>
      </c>
      <c r="L1754" s="248">
        <v>71430</v>
      </c>
      <c r="M1754" s="249">
        <f>15*(LEFT(TEXT($L1754,"000000"),2)+(MID(TEXT($L1754,"000000"),3,2)/60)+(RIGHT(TEXT($L1754,"000000"),2)/3600))</f>
        <v>108.625</v>
      </c>
      <c r="N1754" s="250">
        <v>-101600</v>
      </c>
      <c r="O1754" s="251">
        <f>IF($N1754&gt;0,(LEFT(TEXT($N1754,"000000"),2)+(MID(TEXT($N1754,"000000"),3,2)/60)+(RIGHT(TEXT($N1754,"000000"),2)/3600)),-(MID(TEXT($N1754,"000000"),2,2)+(MID(TEXT($N1754,"000000"),4,2)/60)+(RIGHT(TEXT($N1754,"000000"),2)/3600)))</f>
        <v>-10.266666666666667</v>
      </c>
      <c r="P1754" s="252" t="s">
        <v>47</v>
      </c>
      <c r="Q1754" s="253"/>
      <c r="R1754" s="247" t="s">
        <v>3293</v>
      </c>
      <c r="S1754" s="272" t="s">
        <v>3293</v>
      </c>
      <c r="T1754" s="273">
        <v>7.1</v>
      </c>
      <c r="U1754" s="274"/>
      <c r="V1754" s="280"/>
      <c r="W1754" s="244"/>
      <c r="X1754" s="244"/>
      <c r="Y1754" s="362"/>
      <c r="Z1754" s="257">
        <f>altaz(J2000_Bas,$O1754,$M1754,DecLat,DecLong,1)</f>
        <v>-69.124182721852648</v>
      </c>
      <c r="AA1754" s="257">
        <f>altaz((J2000_Bas+(2*0.04167)),$O1754,$M1754,DecLat,DecLong,1)</f>
        <v>-57.160745417442349</v>
      </c>
      <c r="AB1754" s="257">
        <f>altaz((J2000_Bas+(4*0.04167)),$O1754,$M1754,DecLat,DecLong,1)</f>
        <v>-32.983441788725663</v>
      </c>
      <c r="AC1754" s="257">
        <f>altaz((J2000_Bas+(6*0.04167)),$O1754,$M1754,DecLat,DecLong,1)</f>
        <v>-7.276345905895643</v>
      </c>
      <c r="AD1754" s="258">
        <f>1+ transit((J2000_Bas-1),$O1754,$M1754,DecLat,DecLong)/360 + (GMTOffset/24) + (IF(DST="Y", 1, 0)/24)</f>
        <v>1.294636041567208</v>
      </c>
      <c r="AE1754" s="259">
        <f>DATE(2001,9,21)+(M1754/360)*365 - (360*((DecLong/360)- (GMTOffset/24) ))</f>
        <v>37270.133680555555</v>
      </c>
      <c r="AF1754" s="260">
        <f>IF(DecLat&gt;0,IF((90 - (DecLat-O1754))&gt;90, (90 - (O1754-DecLat)), (90 - (DecLat-O1754))),IF((90 + (DecLat-O1754))&gt;90, (90 + (O1754-DecLat)), (90 + (DecLat-O1754))))</f>
        <v>48.733333333333334</v>
      </c>
      <c r="AG1754" s="257">
        <f>angularseperation(MoonRA,MoonDec,$M1754,$O1754)</f>
        <v>126.58366411348163</v>
      </c>
      <c r="AH1754" s="261">
        <f ca="1">MIN(100,IF($O$5&gt;80,0+30*($AG1754/100),IF($O$5&gt;70,0+50*($AG1754/100),IF($O$5&gt;60,5+50*($AG1754/100),IF($O$5&gt;50,10+60*($AG1754/100),IF($O$5&gt;40,15+70*($AG1754/100),IF($O$5&gt;30,20+70*($AG1754/100),IF($O$5&gt;20,40+55*($AG1754/100),(80+(20-$O$5)+30*($AG1754/100))))))))))</f>
        <v>100</v>
      </c>
      <c r="AI1754" s="262">
        <v>2353</v>
      </c>
      <c r="AJ1754" s="262"/>
      <c r="AK1754" s="262">
        <v>91</v>
      </c>
      <c r="AL1754" s="263"/>
      <c r="AM1754" s="264"/>
      <c r="AN1754" s="263"/>
      <c r="AO1754" s="263"/>
      <c r="AP1754" s="265"/>
      <c r="AQ1754" s="266"/>
      <c r="AR1754" s="267"/>
      <c r="AS1754" s="263"/>
      <c r="AT1754" s="263"/>
      <c r="AU1754" s="263"/>
      <c r="AV1754" s="264"/>
      <c r="AW1754" s="263"/>
      <c r="AX1754" s="263"/>
      <c r="AY1754" s="263"/>
      <c r="AZ1754" s="263"/>
      <c r="BA1754" s="263"/>
      <c r="BB1754" s="263"/>
      <c r="BC1754" s="263"/>
      <c r="BD1754" s="264"/>
      <c r="BE1754" s="263">
        <v>40</v>
      </c>
      <c r="BF1754" s="263"/>
      <c r="BG1754" s="263"/>
      <c r="BH1754" s="263"/>
      <c r="BI1754" s="263"/>
      <c r="BJ1754" s="404">
        <f>altaz(J2000_Bas,$O1754,$M1754,DecLat,DecLong,2)</f>
        <v>352.74184630902346</v>
      </c>
      <c r="BK1754" s="378" t="s">
        <v>1737</v>
      </c>
      <c r="BL1754" s="379">
        <f>IF((2*G1754)/60&lt;0.2,0.2,(2*G1754)/60)</f>
        <v>0.6</v>
      </c>
      <c r="BM1754" s="380">
        <f>MOD((50000+AD1754-$B$3+(0/24)),1)</f>
        <v>0.51000297127029626</v>
      </c>
      <c r="BN1754" s="381"/>
      <c r="BO1754" s="382">
        <v>1747</v>
      </c>
    </row>
    <row r="1755" spans="1:67" s="24" customFormat="1" ht="15" customHeight="1" x14ac:dyDescent="0.25">
      <c r="A1755" s="287" t="s">
        <v>8739</v>
      </c>
      <c r="B1755" s="241" t="str">
        <f>HYPERLINK(CONCATENATE($AT$3,BK1755,$AU$3),$AV$3)</f>
        <v>S</v>
      </c>
      <c r="C1755" s="242" t="str">
        <f>HYPERLINK(CONCATENATE($AT$4,BK1755,$AU$4,BL1755),$AV$4)</f>
        <v>A</v>
      </c>
      <c r="D1755" s="243" t="s">
        <v>5335</v>
      </c>
      <c r="E1755" s="244" t="s">
        <v>5185</v>
      </c>
      <c r="F1755" s="269" t="s">
        <v>8741</v>
      </c>
      <c r="G1755" s="276">
        <v>16</v>
      </c>
      <c r="H1755" s="283">
        <v>4300</v>
      </c>
      <c r="I1755" s="246">
        <v>20</v>
      </c>
      <c r="J1755" s="246">
        <v>2</v>
      </c>
      <c r="K1755" s="247" t="s">
        <v>8742</v>
      </c>
      <c r="L1755" s="248">
        <v>71400</v>
      </c>
      <c r="M1755" s="249">
        <f>15*(LEFT(TEXT($L1755,"000000"),2)+(MID(TEXT($L1755,"000000"),3,2)/60)+(RIGHT(TEXT($L1755,"000000"),2)/3600))</f>
        <v>108.5</v>
      </c>
      <c r="N1755" s="250">
        <v>-254330</v>
      </c>
      <c r="O1755" s="251">
        <f>IF($N1755&gt;0,(LEFT(TEXT($N1755,"000000"),2)+(MID(TEXT($N1755,"000000"),3,2)/60)+(RIGHT(TEXT($N1755,"000000"),2)/3600)),-(MID(TEXT($N1755,"000000"),2,2)+(MID(TEXT($N1755,"000000"),4,2)/60)+(RIGHT(TEXT($N1755,"000000"),2)/3600)))</f>
        <v>-25.724999999999998</v>
      </c>
      <c r="P1755" s="252" t="s">
        <v>80</v>
      </c>
      <c r="Q1755" s="253"/>
      <c r="R1755" s="277" t="s">
        <v>8740</v>
      </c>
      <c r="S1755" s="272" t="s">
        <v>3293</v>
      </c>
      <c r="T1755" s="273">
        <v>6.5</v>
      </c>
      <c r="U1755" s="274"/>
      <c r="V1755" s="280"/>
      <c r="W1755" s="244"/>
      <c r="X1755" s="244"/>
      <c r="Y1755" s="362"/>
      <c r="Z1755" s="257">
        <f>altaz(J2000_Bas,$O1755,$M1755,DecLat,DecLong,1)</f>
        <v>-84.28611804057978</v>
      </c>
      <c r="AA1755" s="257">
        <f>altaz((J2000_Bas+(2*0.04167)),$O1755,$M1755,DecLat,DecLong,1)</f>
        <v>-65.226323705772742</v>
      </c>
      <c r="AB1755" s="257">
        <f>altaz((J2000_Bas+(4*0.04167)),$O1755,$M1755,DecLat,DecLong,1)</f>
        <v>-39.53196605685055</v>
      </c>
      <c r="AC1755" s="257">
        <f>altaz((J2000_Bas+(6*0.04167)),$O1755,$M1755,DecLat,DecLong,1)</f>
        <v>-14.701662545627247</v>
      </c>
      <c r="AD1755" s="258">
        <f>1+ transit((J2000_Bas-1),$O1755,$M1755,DecLat,DecLong)/360 + (GMTOffset/24) + (IF(DST="Y", 1, 0)/24)</f>
        <v>1.294288819379708</v>
      </c>
      <c r="AE1755" s="259">
        <f>DATE(2001,9,21)+(M1755/360)*365 - (360*((DecLong/360)- (GMTOffset/24) ))</f>
        <v>37270.006944444445</v>
      </c>
      <c r="AF1755" s="260">
        <f>IF(DecLat&gt;0,IF((90 - (DecLat-O1755))&gt;90, (90 - (O1755-DecLat)), (90 - (DecLat-O1755))),IF((90 + (DecLat-O1755))&gt;90, (90 + (O1755-DecLat)), (90 + (DecLat-O1755))))</f>
        <v>33.275000000000006</v>
      </c>
      <c r="AG1755" s="257">
        <f>angularseperation(MoonRA,MoonDec,$M1755,$O1755)</f>
        <v>115.05210994757952</v>
      </c>
      <c r="AH1755" s="261">
        <f ca="1">MIN(100,IF($O$5&gt;80,0+30*($AG1755/100),IF($O$5&gt;70,0+50*($AG1755/100),IF($O$5&gt;60,5+50*($AG1755/100),IF($O$5&gt;50,10+60*($AG1755/100),IF($O$5&gt;40,15+70*($AG1755/100),IF($O$5&gt;30,20+70*($AG1755/100),IF($O$5&gt;20,40+55*($AG1755/100),(80+(20-$O$5)+30*($AG1755/100))))))))))</f>
        <v>100</v>
      </c>
      <c r="AI1755" s="262">
        <v>2355</v>
      </c>
      <c r="AJ1755" s="263"/>
      <c r="AK1755" s="263">
        <v>92</v>
      </c>
      <c r="AL1755" s="263"/>
      <c r="AM1755" s="264"/>
      <c r="AN1755" s="263"/>
      <c r="AO1755" s="263"/>
      <c r="AP1755" s="265"/>
      <c r="AQ1755" s="265"/>
      <c r="AR1755" s="285"/>
      <c r="AS1755" s="263"/>
      <c r="AT1755" s="263"/>
      <c r="AU1755" s="263"/>
      <c r="AV1755" s="264"/>
      <c r="AW1755" s="263"/>
      <c r="AX1755" s="263"/>
      <c r="AY1755" s="263"/>
      <c r="AZ1755" s="263"/>
      <c r="BA1755" s="263"/>
      <c r="BB1755" s="263"/>
      <c r="BC1755" s="263"/>
      <c r="BD1755" s="264"/>
      <c r="BE1755" s="263"/>
      <c r="BF1755" s="263"/>
      <c r="BG1755" s="263"/>
      <c r="BH1755" s="263"/>
      <c r="BI1755" s="263"/>
      <c r="BJ1755" s="404">
        <f>altaz(J2000_Bas,$O1755,$M1755,DecLat,DecLong,2)</f>
        <v>336.77888617810379</v>
      </c>
      <c r="BK1755" s="378" t="s">
        <v>8739</v>
      </c>
      <c r="BL1755" s="379">
        <f>IF((2*G1755)/60&lt;0.2,0.2,(2*G1755)/60)</f>
        <v>0.53333333333333333</v>
      </c>
      <c r="BM1755" s="380">
        <f>MOD((50000+AD1755-$B$3+(0/24)),1)</f>
        <v>0.50965574908332201</v>
      </c>
      <c r="BN1755" s="381"/>
      <c r="BO1755" s="382">
        <v>1748</v>
      </c>
    </row>
    <row r="1756" spans="1:67" s="24" customFormat="1" ht="15" customHeight="1" x14ac:dyDescent="0.25">
      <c r="A1756" s="287" t="s">
        <v>2977</v>
      </c>
      <c r="B1756" s="241" t="str">
        <f>HYPERLINK(CONCATENATE($AT$3,BK1756,$AU$3),$AV$3)</f>
        <v>S</v>
      </c>
      <c r="C1756" s="242" t="str">
        <f>HYPERLINK(CONCATENATE($AT$4,BK1756,$AU$4,BL1756),$AV$4)</f>
        <v>A</v>
      </c>
      <c r="D1756" s="243" t="s">
        <v>5335</v>
      </c>
      <c r="E1756" s="244" t="s">
        <v>5185</v>
      </c>
      <c r="F1756" s="269" t="s">
        <v>5108</v>
      </c>
      <c r="G1756" s="273">
        <v>9</v>
      </c>
      <c r="H1756" s="283">
        <v>6500</v>
      </c>
      <c r="I1756" s="246">
        <v>18</v>
      </c>
      <c r="J1756" s="246">
        <v>2</v>
      </c>
      <c r="K1756" s="247" t="s">
        <v>7187</v>
      </c>
      <c r="L1756" s="248">
        <v>71654</v>
      </c>
      <c r="M1756" s="249">
        <f>15*(LEFT(TEXT($L1756,"000000"),2)+(MID(TEXT($L1756,"000000"),3,2)/60)+(RIGHT(TEXT($L1756,"000000"),2)/3600))</f>
        <v>109.22499999999999</v>
      </c>
      <c r="N1756" s="250">
        <v>134700</v>
      </c>
      <c r="O1756" s="251">
        <f>IF($N1756&gt;0,(LEFT(TEXT($N1756,"000000"),2)+(MID(TEXT($N1756,"000000"),3,2)/60)+(RIGHT(TEXT($N1756,"000000"),2)/3600)),-(MID(TEXT($N1756,"000000"),2,2)+(MID(TEXT($N1756,"000000"),4,2)/60)+(RIGHT(TEXT($N1756,"000000"),2)/3600)))</f>
        <v>13.783333333333333</v>
      </c>
      <c r="P1756" s="252" t="s">
        <v>85</v>
      </c>
      <c r="Q1756" s="253"/>
      <c r="R1756" s="277" t="s">
        <v>3293</v>
      </c>
      <c r="S1756" s="272" t="s">
        <v>3293</v>
      </c>
      <c r="T1756" s="273">
        <v>9.6999999999999993</v>
      </c>
      <c r="U1756" s="274"/>
      <c r="V1756" s="280"/>
      <c r="W1756" s="244"/>
      <c r="X1756" s="244"/>
      <c r="Y1756" s="362"/>
      <c r="Z1756" s="257">
        <f>altaz(J2000_Bas,$O1756,$M1756,DecLat,DecLong,1)</f>
        <v>-45.109708009021034</v>
      </c>
      <c r="AA1756" s="257">
        <f>altaz((J2000_Bas+(2*0.04167)),$O1756,$M1756,DecLat,DecLong,1)</f>
        <v>-38.312291071559883</v>
      </c>
      <c r="AB1756" s="257">
        <f>altaz((J2000_Bas+(4*0.04167)),$O1756,$M1756,DecLat,DecLong,1)</f>
        <v>-19.350375835900604</v>
      </c>
      <c r="AC1756" s="257">
        <f>altaz((J2000_Bas+(6*0.04167)),$O1756,$M1756,DecLat,DecLong,1)</f>
        <v>4.5651732144906445</v>
      </c>
      <c r="AD1756" s="258">
        <f>1+ transit((J2000_Bas-1),$O1756,$M1756,DecLat,DecLong)/360 + (GMTOffset/24) + (IF(DST="Y", 1, 0)/24)</f>
        <v>1.296302708067208</v>
      </c>
      <c r="AE1756" s="259">
        <f>DATE(2001,9,21)+(M1756/360)*365 - (360*((DecLong/360)- (GMTOffset/24) ))</f>
        <v>37270.742013888892</v>
      </c>
      <c r="AF1756" s="260">
        <f>IF(DecLat&gt;0,IF((90 - (DecLat-O1756))&gt;90, (90 - (O1756-DecLat)), (90 - (DecLat-O1756))),IF((90 + (DecLat-O1756))&gt;90, (90 + (O1756-DecLat)), (90 + (DecLat-O1756))))</f>
        <v>72.783333333333331</v>
      </c>
      <c r="AG1756" s="257">
        <f>angularseperation(MoonRA,MoonDec,$M1756,$O1756)</f>
        <v>140.44722113261051</v>
      </c>
      <c r="AH1756" s="261">
        <f ca="1">MIN(100,IF($O$5&gt;80,0+30*($AG1756/100),IF($O$5&gt;70,0+50*($AG1756/100),IF($O$5&gt;60,5+50*($AG1756/100),IF($O$5&gt;50,10+60*($AG1756/100),IF($O$5&gt;40,15+70*($AG1756/100),IF($O$5&gt;30,20+70*($AG1756/100),IF($O$5&gt;20,40+55*($AG1756/100),(80+(20-$O$5)+30*($AG1756/100))))))))))</f>
        <v>100</v>
      </c>
      <c r="AI1756" s="262">
        <v>2355</v>
      </c>
      <c r="AJ1756" s="263"/>
      <c r="AK1756" s="263">
        <v>93</v>
      </c>
      <c r="AL1756" s="263"/>
      <c r="AM1756" s="264"/>
      <c r="AN1756" s="263"/>
      <c r="AO1756" s="263"/>
      <c r="AP1756" s="265"/>
      <c r="AQ1756" s="265"/>
      <c r="AR1756" s="285"/>
      <c r="AS1756" s="263"/>
      <c r="AT1756" s="263"/>
      <c r="AU1756" s="263"/>
      <c r="AV1756" s="264"/>
      <c r="AW1756" s="263"/>
      <c r="AX1756" s="263"/>
      <c r="AY1756" s="263"/>
      <c r="AZ1756" s="263"/>
      <c r="BA1756" s="263"/>
      <c r="BB1756" s="263"/>
      <c r="BC1756" s="263"/>
      <c r="BD1756" s="264"/>
      <c r="BE1756" s="263"/>
      <c r="BF1756" s="263"/>
      <c r="BG1756" s="263"/>
      <c r="BH1756" s="263"/>
      <c r="BI1756" s="263"/>
      <c r="BJ1756" s="404">
        <f>altaz(J2000_Bas,$O1756,$M1756,DecLat,DecLong,2)</f>
        <v>355.56351145443307</v>
      </c>
      <c r="BK1756" s="378" t="s">
        <v>2977</v>
      </c>
      <c r="BL1756" s="379">
        <f>IF((2*G1756)/60&lt;0.2,0.2,(2*G1756)/60)</f>
        <v>0.3</v>
      </c>
      <c r="BM1756" s="380">
        <f>MOD((50000+AD1756-$B$3+(0/24)),1)</f>
        <v>0.51166963777359342</v>
      </c>
      <c r="BN1756" s="381"/>
      <c r="BO1756" s="382">
        <v>1749</v>
      </c>
    </row>
    <row r="1757" spans="1:67" s="24" customFormat="1" ht="15" customHeight="1" x14ac:dyDescent="0.25">
      <c r="A1757" s="288" t="s">
        <v>1738</v>
      </c>
      <c r="B1757" s="241" t="str">
        <f>HYPERLINK(CONCATENATE($AT$3,BK1757,$AU$3),$AV$3)</f>
        <v>S</v>
      </c>
      <c r="C1757" s="242" t="str">
        <f>HYPERLINK(CONCATENATE($AT$4,BK1757,$AU$4,BL1757),$AV$4)</f>
        <v>A</v>
      </c>
      <c r="D1757" s="243" t="s">
        <v>5638</v>
      </c>
      <c r="E1757" s="244" t="s">
        <v>5192</v>
      </c>
      <c r="F1757" s="269" t="s">
        <v>8723</v>
      </c>
      <c r="G1757" s="273">
        <v>4.5</v>
      </c>
      <c r="H1757" s="283">
        <v>100</v>
      </c>
      <c r="I1757" s="246">
        <v>130</v>
      </c>
      <c r="J1757" s="246">
        <v>2</v>
      </c>
      <c r="K1757" s="247" t="s">
        <v>7188</v>
      </c>
      <c r="L1757" s="248">
        <v>71741</v>
      </c>
      <c r="M1757" s="249">
        <f>15*(LEFT(TEXT($L1757,"000000"),2)+(MID(TEXT($L1757,"000000"),3,2)/60)+(RIGHT(TEXT($L1757,"000000"),2)/3600))</f>
        <v>109.42083333333333</v>
      </c>
      <c r="N1757" s="250">
        <v>232121</v>
      </c>
      <c r="O1757" s="251">
        <f>IF($N1757&gt;0,(LEFT(TEXT($N1757,"000000"),2)+(MID(TEXT($N1757,"000000"),3,2)/60)+(RIGHT(TEXT($N1757,"000000"),2)/3600)),-(MID(TEXT($N1757,"000000"),2,2)+(MID(TEXT($N1757,"000000"),4,2)/60)+(RIGHT(TEXT($N1757,"000000"),2)/3600)))</f>
        <v>23.355833333333333</v>
      </c>
      <c r="P1757" s="252" t="s">
        <v>85</v>
      </c>
      <c r="Q1757" s="253"/>
      <c r="R1757" s="247" t="s">
        <v>3293</v>
      </c>
      <c r="S1757" s="272" t="s">
        <v>3293</v>
      </c>
      <c r="T1757" s="273">
        <v>13.3</v>
      </c>
      <c r="U1757" s="289">
        <v>22.69</v>
      </c>
      <c r="V1757" s="280">
        <v>88</v>
      </c>
      <c r="W1757" s="244"/>
      <c r="X1757" s="244"/>
      <c r="Y1757" s="362"/>
      <c r="Z1757" s="257">
        <f>altaz(J2000_Bas,$O1757,$M1757,DecLat,DecLong,1)</f>
        <v>-35.545520612599077</v>
      </c>
      <c r="AA1757" s="257">
        <f>altaz((J2000_Bas+(2*0.04167)),$O1757,$M1757,DecLat,DecLong,1)</f>
        <v>-29.937022185110958</v>
      </c>
      <c r="AB1757" s="257">
        <f>altaz((J2000_Bas+(4*0.04167)),$O1757,$M1757,DecLat,DecLong,1)</f>
        <v>-13.136821812291926</v>
      </c>
      <c r="AC1757" s="257">
        <f>altaz((J2000_Bas+(6*0.04167)),$O1757,$M1757,DecLat,DecLong,1)</f>
        <v>9.2498487197833441</v>
      </c>
      <c r="AD1757" s="258">
        <f>1+ transit((J2000_Bas-1),$O1757,$M1757,DecLat,DecLong)/360 + (GMTOffset/24) + (IF(DST="Y", 1, 0)/24)</f>
        <v>1.2968466894942914</v>
      </c>
      <c r="AE1757" s="259">
        <f>DATE(2001,9,21)+(M1757/360)*365 - (360*((DecLong/360)- (GMTOffset/24) ))</f>
        <v>37270.940567129626</v>
      </c>
      <c r="AF1757" s="260">
        <f>IF(DecLat&gt;0,IF((90 - (DecLat-O1757))&gt;90, (90 - (O1757-DecLat)), (90 - (DecLat-O1757))),IF((90 + (DecLat-O1757))&gt;90, (90 + (O1757-DecLat)), (90 + (DecLat-O1757))))</f>
        <v>82.355833333333337</v>
      </c>
      <c r="AG1757" s="257">
        <f>angularseperation(MoonRA,MoonDec,$M1757,$O1757)</f>
        <v>143.61103494400061</v>
      </c>
      <c r="AH1757" s="261">
        <f ca="1">MIN(100,IF($O$5&gt;80,0+30*($AG1757/100),IF($O$5&gt;70,0+50*($AG1757/100),IF($O$5&gt;60,5+50*($AG1757/100),IF($O$5&gt;50,10+60*($AG1757/100),IF($O$5&gt;40,15+70*($AG1757/100),IF($O$5&gt;30,20+70*($AG1757/100),IF($O$5&gt;20,40+55*($AG1757/100),(80+(20-$O$5)+30*($AG1757/100))))))))))</f>
        <v>100</v>
      </c>
      <c r="AI1757" s="262">
        <v>2357</v>
      </c>
      <c r="AJ1757" s="262"/>
      <c r="AK1757" s="262"/>
      <c r="AL1757" s="263"/>
      <c r="AM1757" s="264"/>
      <c r="AN1757" s="263"/>
      <c r="AO1757" s="263"/>
      <c r="AP1757" s="265"/>
      <c r="AQ1757" s="266">
        <v>3782</v>
      </c>
      <c r="AR1757" s="267">
        <v>20592</v>
      </c>
      <c r="AS1757" s="263"/>
      <c r="AT1757" s="263"/>
      <c r="AU1757" s="263"/>
      <c r="AV1757" s="264"/>
      <c r="AW1757" s="263"/>
      <c r="AX1757" s="263"/>
      <c r="AY1757" s="263"/>
      <c r="AZ1757" s="263"/>
      <c r="BA1757" s="263"/>
      <c r="BB1757" s="263"/>
      <c r="BC1757" s="263"/>
      <c r="BD1757" s="264"/>
      <c r="BE1757" s="263"/>
      <c r="BF1757" s="263"/>
      <c r="BG1757" s="263"/>
      <c r="BH1757" s="263"/>
      <c r="BI1757" s="263"/>
      <c r="BJ1757" s="404">
        <f>altaz(J2000_Bas,$O1757,$M1757,DecLat,DecLong,2)</f>
        <v>356.14254959704408</v>
      </c>
      <c r="BK1757" s="378" t="s">
        <v>1738</v>
      </c>
      <c r="BL1757" s="379">
        <f>IF((2*G1757)/60&lt;0.2,0.2,(2*G1757)/60)</f>
        <v>0.2</v>
      </c>
      <c r="BM1757" s="380">
        <f>MOD((50000+AD1757-$B$3+(0/24)),1)</f>
        <v>0.51221361920033814</v>
      </c>
      <c r="BN1757" s="381"/>
      <c r="BO1757" s="382">
        <v>1750</v>
      </c>
    </row>
    <row r="1758" spans="1:67" s="24" customFormat="1" ht="15" customHeight="1" x14ac:dyDescent="0.25">
      <c r="A1758" s="288" t="s">
        <v>1739</v>
      </c>
      <c r="B1758" s="241" t="str">
        <f>HYPERLINK(CONCATENATE($AT$3,BK1758,$AU$3),$AV$3)</f>
        <v>S</v>
      </c>
      <c r="C1758" s="242" t="str">
        <f>HYPERLINK(CONCATENATE($AT$4,BK1758,$AU$4,BL1758),$AV$4)</f>
        <v>A</v>
      </c>
      <c r="D1758" s="243" t="s">
        <v>5187</v>
      </c>
      <c r="E1758" s="244" t="s">
        <v>5183</v>
      </c>
      <c r="F1758" s="353" t="s">
        <v>9175</v>
      </c>
      <c r="G1758" s="276">
        <v>40</v>
      </c>
      <c r="H1758" s="283">
        <v>15000</v>
      </c>
      <c r="I1758" s="246">
        <v>180</v>
      </c>
      <c r="J1758" s="246">
        <v>5</v>
      </c>
      <c r="K1758" s="247" t="s">
        <v>7189</v>
      </c>
      <c r="L1758" s="248">
        <v>71830</v>
      </c>
      <c r="M1758" s="249">
        <f>15*(LEFT(TEXT($L1758,"000000"),2)+(MID(TEXT($L1758,"000000"),3,2)/60)+(RIGHT(TEXT($L1758,"000000"),2)/3600))</f>
        <v>109.625</v>
      </c>
      <c r="N1758" s="250">
        <v>-131336</v>
      </c>
      <c r="O1758" s="251">
        <f>IF($N1758&gt;0,(LEFT(TEXT($N1758,"000000"),2)+(MID(TEXT($N1758,"000000"),3,2)/60)+(RIGHT(TEXT($N1758,"000000"),2)/3600)),-(MID(TEXT($N1758,"000000"),2,2)+(MID(TEXT($N1758,"000000"),4,2)/60)+(RIGHT(TEXT($N1758,"000000"),2)/3600)))</f>
        <v>-13.226666666666667</v>
      </c>
      <c r="P1758" s="252" t="s">
        <v>80</v>
      </c>
      <c r="Q1758" s="253" t="s">
        <v>3371</v>
      </c>
      <c r="R1758" s="277" t="s">
        <v>6043</v>
      </c>
      <c r="S1758" s="272" t="s">
        <v>3293</v>
      </c>
      <c r="T1758" s="273">
        <v>11.5</v>
      </c>
      <c r="U1758" s="274"/>
      <c r="V1758" s="280"/>
      <c r="W1758" s="244"/>
      <c r="X1758" s="244"/>
      <c r="Y1758" s="362"/>
      <c r="Z1758" s="257">
        <f>altaz(J2000_Bas,$O1758,$M1758,DecLat,DecLong,1)</f>
        <v>-71.91637611889476</v>
      </c>
      <c r="AA1758" s="257">
        <f>altaz((J2000_Bas+(2*0.04167)),$O1758,$M1758,DecLat,DecLong,1)</f>
        <v>-59.865288364049952</v>
      </c>
      <c r="AB1758" s="257">
        <f>altaz((J2000_Bas+(4*0.04167)),$O1758,$M1758,DecLat,DecLong,1)</f>
        <v>-35.297878680353122</v>
      </c>
      <c r="AC1758" s="257">
        <f>altaz((J2000_Bas+(6*0.04167)),$O1758,$M1758,DecLat,DecLong,1)</f>
        <v>-9.6061896324687943</v>
      </c>
      <c r="AD1758" s="258">
        <f>1+ transit((J2000_Bas-1),$O1758,$M1758,DecLat,DecLong)/360 + (GMTOffset/24) + (IF(DST="Y", 1, 0)/24)</f>
        <v>1.2974138190672082</v>
      </c>
      <c r="AE1758" s="259">
        <f>DATE(2001,9,21)+(M1758/360)*365 - (360*((DecLong/360)- (GMTOffset/24) ))</f>
        <v>37271.147569444445</v>
      </c>
      <c r="AF1758" s="260">
        <f>IF(DecLat&gt;0,IF((90 - (DecLat-O1758))&gt;90, (90 - (O1758-DecLat)), (90 - (DecLat-O1758))),IF((90 + (DecLat-O1758))&gt;90, (90 + (O1758-DecLat)), (90 + (DecLat-O1758))))</f>
        <v>45.773333333333333</v>
      </c>
      <c r="AG1758" s="257">
        <f>angularseperation(MoonRA,MoonDec,$M1758,$O1758)</f>
        <v>123.78188998012372</v>
      </c>
      <c r="AH1758" s="261">
        <f ca="1">MIN(100,IF($O$5&gt;80,0+30*($AG1758/100),IF($O$5&gt;70,0+50*($AG1758/100),IF($O$5&gt;60,5+50*($AG1758/100),IF($O$5&gt;50,10+60*($AG1758/100),IF($O$5&gt;40,15+70*($AG1758/100),IF($O$5&gt;30,20+70*($AG1758/100),IF($O$5&gt;20,40+55*($AG1758/100),(80+(20-$O$5)+30*($AG1758/100))))))))))</f>
        <v>100</v>
      </c>
      <c r="AI1758" s="262">
        <v>2359</v>
      </c>
      <c r="AJ1758" s="262"/>
      <c r="AK1758" s="262"/>
      <c r="AL1758" s="263"/>
      <c r="AM1758" s="264"/>
      <c r="AN1758" s="263"/>
      <c r="AO1758" s="263"/>
      <c r="AP1758" s="265"/>
      <c r="AQ1758" s="266"/>
      <c r="AR1758" s="267"/>
      <c r="AS1758" s="263"/>
      <c r="AT1758" s="263"/>
      <c r="AU1758" s="263"/>
      <c r="AV1758" s="264"/>
      <c r="AW1758" s="263"/>
      <c r="AX1758" s="263">
        <v>4</v>
      </c>
      <c r="AY1758" s="263"/>
      <c r="AZ1758" s="263"/>
      <c r="BA1758" s="263">
        <v>5</v>
      </c>
      <c r="BB1758" s="263">
        <v>298</v>
      </c>
      <c r="BC1758" s="263"/>
      <c r="BD1758" s="264"/>
      <c r="BE1758" s="263"/>
      <c r="BF1758" s="263">
        <v>35</v>
      </c>
      <c r="BG1758" s="263"/>
      <c r="BH1758" s="263"/>
      <c r="BI1758" s="263"/>
      <c r="BJ1758" s="404">
        <f>altaz(J2000_Bas,$O1758,$M1758,DecLat,DecLong,2)</f>
        <v>348.57167105849965</v>
      </c>
      <c r="BK1758" s="378" t="s">
        <v>1739</v>
      </c>
      <c r="BL1758" s="379">
        <f>IF((2*G1758)/60&lt;0.2,0.2,(2*G1758)/60)</f>
        <v>1.3333333333333333</v>
      </c>
      <c r="BM1758" s="380">
        <f>MOD((50000+AD1758-$B$3+(0/24)),1)</f>
        <v>0.51278074877336621</v>
      </c>
      <c r="BN1758" s="381"/>
      <c r="BO1758" s="382">
        <v>1751</v>
      </c>
    </row>
    <row r="1759" spans="1:67" s="24" customFormat="1" ht="15" customHeight="1" x14ac:dyDescent="0.25">
      <c r="A1759" s="288" t="s">
        <v>1740</v>
      </c>
      <c r="B1759" s="241" t="str">
        <f>HYPERLINK(CONCATENATE($AT$3,BK1759,$AU$3),$AV$3)</f>
        <v>S</v>
      </c>
      <c r="C1759" s="242" t="str">
        <f>HYPERLINK(CONCATENATE($AT$4,BK1759,$AU$4,BL1759),$AV$4)</f>
        <v>A</v>
      </c>
      <c r="D1759" s="243" t="s">
        <v>5335</v>
      </c>
      <c r="E1759" s="244" t="s">
        <v>5185</v>
      </c>
      <c r="F1759" s="269" t="s">
        <v>4922</v>
      </c>
      <c r="G1759" s="276">
        <v>13</v>
      </c>
      <c r="H1759" s="283">
        <v>3700</v>
      </c>
      <c r="I1759" s="246">
        <v>15</v>
      </c>
      <c r="J1759" s="246">
        <v>3</v>
      </c>
      <c r="K1759" s="247" t="s">
        <v>7191</v>
      </c>
      <c r="L1759" s="248">
        <v>71743</v>
      </c>
      <c r="M1759" s="249">
        <f>15*(LEFT(TEXT($L1759,"000000"),2)+(MID(TEXT($L1759,"000000"),3,2)/60)+(RIGHT(TEXT($L1759,"000000"),2)/3600))</f>
        <v>109.42916666666666</v>
      </c>
      <c r="N1759" s="250">
        <v>-153830</v>
      </c>
      <c r="O1759" s="251">
        <f>IF($N1759&gt;0,(LEFT(TEXT($N1759,"000000"),2)+(MID(TEXT($N1759,"000000"),3,2)/60)+(RIGHT(TEXT($N1759,"000000"),2)/3600)),-(MID(TEXT($N1759,"000000"),2,2)+(MID(TEXT($N1759,"000000"),4,2)/60)+(RIGHT(TEXT($N1759,"000000"),2)/3600)))</f>
        <v>-15.641666666666666</v>
      </c>
      <c r="P1759" s="252" t="s">
        <v>80</v>
      </c>
      <c r="Q1759" s="253" t="s">
        <v>3363</v>
      </c>
      <c r="R1759" s="277" t="s">
        <v>7325</v>
      </c>
      <c r="S1759" s="272" t="s">
        <v>3293</v>
      </c>
      <c r="T1759" s="273">
        <v>7.2</v>
      </c>
      <c r="U1759" s="274"/>
      <c r="V1759" s="280"/>
      <c r="W1759" s="244"/>
      <c r="X1759" s="244"/>
      <c r="Y1759" s="362"/>
      <c r="Z1759" s="257">
        <f>altaz(J2000_Bas,$O1759,$M1759,DecLat,DecLong,1)</f>
        <v>-74.325612759191941</v>
      </c>
      <c r="AA1759" s="257">
        <f>altaz((J2000_Bas+(2*0.04167)),$O1759,$M1759,DecLat,DecLong,1)</f>
        <v>-61.228491903986246</v>
      </c>
      <c r="AB1759" s="257">
        <f>altaz((J2000_Bas+(4*0.04167)),$O1759,$M1759,DecLat,DecLong,1)</f>
        <v>-36.265558307677956</v>
      </c>
      <c r="AC1759" s="257">
        <f>altaz((J2000_Bas+(6*0.04167)),$O1759,$M1759,DecLat,DecLong,1)</f>
        <v>-10.634976578843773</v>
      </c>
      <c r="AD1759" s="258">
        <f>1+ transit((J2000_Bas-1),$O1759,$M1759,DecLat,DecLong)/360 + (GMTOffset/24) + (IF(DST="Y", 1, 0)/24)</f>
        <v>1.2968698376401246</v>
      </c>
      <c r="AE1759" s="259">
        <f>DATE(2001,9,21)+(M1759/360)*365 - (360*((DecLong/360)- (GMTOffset/24) ))</f>
        <v>37270.949016203704</v>
      </c>
      <c r="AF1759" s="260">
        <f>IF(DecLat&gt;0,IF((90 - (DecLat-O1759))&gt;90, (90 - (O1759-DecLat)), (90 - (DecLat-O1759))),IF((90 + (DecLat-O1759))&gt;90, (90 + (O1759-DecLat)), (90 + (DecLat-O1759))))</f>
        <v>43.358333333333334</v>
      </c>
      <c r="AG1759" s="257">
        <f>angularseperation(MoonRA,MoonDec,$M1759,$O1759)</f>
        <v>122.15552038558722</v>
      </c>
      <c r="AH1759" s="261">
        <f ca="1">MIN(100,IF($O$5&gt;80,0+30*($AG1759/100),IF($O$5&gt;70,0+50*($AG1759/100),IF($O$5&gt;60,5+50*($AG1759/100),IF($O$5&gt;50,10+60*($AG1759/100),IF($O$5&gt;40,15+70*($AG1759/100),IF($O$5&gt;30,20+70*($AG1759/100),IF($O$5&gt;20,40+55*($AG1759/100),(80+(20-$O$5)+30*($AG1759/100))))))))))</f>
        <v>100</v>
      </c>
      <c r="AI1759" s="262">
        <v>2360</v>
      </c>
      <c r="AJ1759" s="262"/>
      <c r="AK1759" s="262">
        <v>94</v>
      </c>
      <c r="AL1759" s="263"/>
      <c r="AM1759" s="264">
        <v>58</v>
      </c>
      <c r="AN1759" s="263"/>
      <c r="AO1759" s="263"/>
      <c r="AP1759" s="265"/>
      <c r="AQ1759" s="266"/>
      <c r="AR1759" s="267"/>
      <c r="AS1759" s="263"/>
      <c r="AT1759" s="263"/>
      <c r="AU1759" s="263"/>
      <c r="AV1759" s="264"/>
      <c r="AW1759" s="263"/>
      <c r="AX1759" s="263"/>
      <c r="AY1759" s="263"/>
      <c r="AZ1759" s="263"/>
      <c r="BA1759" s="263"/>
      <c r="BB1759" s="263"/>
      <c r="BC1759" s="263"/>
      <c r="BD1759" s="264"/>
      <c r="BE1759" s="263"/>
      <c r="BF1759" s="263"/>
      <c r="BG1759" s="263"/>
      <c r="BH1759" s="263"/>
      <c r="BI1759" s="263"/>
      <c r="BJ1759" s="404">
        <f>altaz(J2000_Bas,$O1759,$M1759,DecLat,DecLong,2)</f>
        <v>347.69980652698922</v>
      </c>
      <c r="BK1759" s="378" t="s">
        <v>1740</v>
      </c>
      <c r="BL1759" s="379">
        <f>IF((2*G1759)/60&lt;0.2,0.2,(2*G1759)/60)</f>
        <v>0.43333333333333335</v>
      </c>
      <c r="BM1759" s="380">
        <f>MOD((50000+AD1759-$B$3+(0/24)),1)</f>
        <v>0.51223676734662149</v>
      </c>
      <c r="BN1759" s="381"/>
      <c r="BO1759" s="382">
        <v>1752</v>
      </c>
    </row>
    <row r="1760" spans="1:67" s="24" customFormat="1" ht="15" customHeight="1" x14ac:dyDescent="0.25">
      <c r="A1760" s="288" t="s">
        <v>1741</v>
      </c>
      <c r="B1760" s="241" t="str">
        <f>HYPERLINK(CONCATENATE($AT$3,BK1760,$AU$3),$AV$3)</f>
        <v>S</v>
      </c>
      <c r="C1760" s="242" t="str">
        <f>HYPERLINK(CONCATENATE($AT$4,BK1760,$AU$4,BL1760),$AV$4)</f>
        <v>A</v>
      </c>
      <c r="D1760" s="243" t="s">
        <v>5335</v>
      </c>
      <c r="E1760" s="244" t="s">
        <v>5185</v>
      </c>
      <c r="F1760" s="269" t="s">
        <v>4897</v>
      </c>
      <c r="G1760" s="273">
        <v>8</v>
      </c>
      <c r="H1760" s="283">
        <v>5000</v>
      </c>
      <c r="I1760" s="246">
        <v>12</v>
      </c>
      <c r="J1760" s="246">
        <v>3</v>
      </c>
      <c r="K1760" s="247" t="s">
        <v>7192</v>
      </c>
      <c r="L1760" s="248">
        <v>71841</v>
      </c>
      <c r="M1760" s="249">
        <f>15*(LEFT(TEXT($L1760,"000000"),2)+(MID(TEXT($L1760,"000000"),3,2)/60)+(RIGHT(TEXT($L1760,"000000"),2)/3600))</f>
        <v>109.67083333333333</v>
      </c>
      <c r="N1760" s="250">
        <v>-245718</v>
      </c>
      <c r="O1760" s="251">
        <f>IF($N1760&gt;0,(LEFT(TEXT($N1760,"000000"),2)+(MID(TEXT($N1760,"000000"),3,2)/60)+(RIGHT(TEXT($N1760,"000000"),2)/3600)),-(MID(TEXT($N1760,"000000"),2,2)+(MID(TEXT($N1760,"000000"),4,2)/60)+(RIGHT(TEXT($N1760,"000000"),2)/3600)))</f>
        <v>-24.954999999999998</v>
      </c>
      <c r="P1760" s="252" t="s">
        <v>80</v>
      </c>
      <c r="Q1760" s="253" t="s">
        <v>8298</v>
      </c>
      <c r="R1760" s="247" t="s">
        <v>7376</v>
      </c>
      <c r="S1760" s="272" t="s">
        <v>3293</v>
      </c>
      <c r="T1760" s="273">
        <v>3.8</v>
      </c>
      <c r="U1760" s="274"/>
      <c r="V1760" s="280"/>
      <c r="W1760" s="244"/>
      <c r="X1760" s="244"/>
      <c r="Y1760" s="362"/>
      <c r="Z1760" s="257">
        <f>altaz(J2000_Bas,$O1760,$M1760,DecLat,DecLong,1)</f>
        <v>-83.143056469653615</v>
      </c>
      <c r="AA1760" s="257">
        <f>altaz((J2000_Bas+(2*0.04167)),$O1760,$M1760,DecLat,DecLong,1)</f>
        <v>-65.964630198336835</v>
      </c>
      <c r="AB1760" s="257">
        <f>altaz((J2000_Bas+(4*0.04167)),$O1760,$M1760,DecLat,DecLong,1)</f>
        <v>-40.257289896468166</v>
      </c>
      <c r="AC1760" s="257">
        <f>altaz((J2000_Bas+(6*0.04167)),$O1760,$M1760,DecLat,DecLong,1)</f>
        <v>-15.282867133226075</v>
      </c>
      <c r="AD1760" s="258">
        <f>1+ transit((J2000_Bas-1),$O1760,$M1760,DecLat,DecLong)/360 + (GMTOffset/24) + (IF(DST="Y", 1, 0)/24)</f>
        <v>1.2975411338692913</v>
      </c>
      <c r="AE1760" s="259">
        <f>DATE(2001,9,21)+(M1760/360)*365 - (360*((DecLong/360)- (GMTOffset/24) ))</f>
        <v>37271.194039351853</v>
      </c>
      <c r="AF1760" s="260">
        <f>IF(DecLat&gt;0,IF((90 - (DecLat-O1760))&gt;90, (90 - (O1760-DecLat)), (90 - (DecLat-O1760))),IF((90 + (DecLat-O1760))&gt;90, (90 + (O1760-DecLat)), (90 + (DecLat-O1760))))</f>
        <v>34.045000000000002</v>
      </c>
      <c r="AG1760" s="257">
        <f>angularseperation(MoonRA,MoonDec,$M1760,$O1760)</f>
        <v>114.98425928681135</v>
      </c>
      <c r="AH1760" s="261">
        <f ca="1">MIN(100,IF($O$5&gt;80,0+30*($AG1760/100),IF($O$5&gt;70,0+50*($AG1760/100),IF($O$5&gt;60,5+50*($AG1760/100),IF($O$5&gt;50,10+60*($AG1760/100),IF($O$5&gt;40,15+70*($AG1760/100),IF($O$5&gt;30,20+70*($AG1760/100),IF($O$5&gt;20,40+55*($AG1760/100),(80+(20-$O$5)+30*($AG1760/100))))))))))</f>
        <v>100</v>
      </c>
      <c r="AI1760" s="262">
        <v>2362</v>
      </c>
      <c r="AJ1760" s="262"/>
      <c r="AK1760" s="262">
        <v>95</v>
      </c>
      <c r="AL1760" s="263"/>
      <c r="AM1760" s="264">
        <v>64</v>
      </c>
      <c r="AN1760" s="263"/>
      <c r="AO1760" s="263"/>
      <c r="AP1760" s="265"/>
      <c r="AQ1760" s="266"/>
      <c r="AR1760" s="267"/>
      <c r="AS1760" s="263"/>
      <c r="AT1760" s="263"/>
      <c r="AU1760" s="263"/>
      <c r="AV1760" s="264"/>
      <c r="AW1760" s="263"/>
      <c r="AX1760" s="263"/>
      <c r="AY1760" s="263"/>
      <c r="AZ1760" s="263"/>
      <c r="BA1760" s="263"/>
      <c r="BB1760" s="263"/>
      <c r="BC1760" s="263"/>
      <c r="BD1760" s="264"/>
      <c r="BE1760" s="263"/>
      <c r="BF1760" s="263"/>
      <c r="BG1760" s="263"/>
      <c r="BH1760" s="263"/>
      <c r="BI1760" s="263"/>
      <c r="BJ1760" s="404">
        <f>altaz(J2000_Bas,$O1760,$M1760,DecLat,DecLong,2)</f>
        <v>330.93211297335944</v>
      </c>
      <c r="BK1760" s="378" t="s">
        <v>1741</v>
      </c>
      <c r="BL1760" s="379">
        <f>IF((2*G1760)/60&lt;0.2,0.2,(2*G1760)/60)</f>
        <v>0.26666666666666666</v>
      </c>
      <c r="BM1760" s="380">
        <f>MOD((50000+AD1760-$B$3+(0/24)),1)</f>
        <v>0.51290806357428664</v>
      </c>
      <c r="BN1760" s="381"/>
      <c r="BO1760" s="382">
        <v>1753</v>
      </c>
    </row>
    <row r="1761" spans="1:67" s="24" customFormat="1" ht="15" customHeight="1" x14ac:dyDescent="0.25">
      <c r="A1761" s="288" t="s">
        <v>1742</v>
      </c>
      <c r="B1761" s="241" t="str">
        <f>HYPERLINK(CONCATENATE($AT$3,BK1761,$AU$3),$AV$3)</f>
        <v>S</v>
      </c>
      <c r="C1761" s="242" t="str">
        <f>HYPERLINK(CONCATENATE($AT$4,BK1761,$AU$4,BL1761),$AV$4)</f>
        <v>A</v>
      </c>
      <c r="D1761" s="243" t="s">
        <v>5638</v>
      </c>
      <c r="E1761" s="244" t="s">
        <v>29</v>
      </c>
      <c r="F1761" s="269"/>
      <c r="G1761" s="273">
        <v>8</v>
      </c>
      <c r="H1761" s="283">
        <v>11</v>
      </c>
      <c r="I1761" s="246">
        <v>25</v>
      </c>
      <c r="J1761" s="246">
        <v>2</v>
      </c>
      <c r="K1761" s="247" t="s">
        <v>7194</v>
      </c>
      <c r="L1761" s="248">
        <v>72855</v>
      </c>
      <c r="M1761" s="249">
        <f>15*(LEFT(TEXT($L1761,"000000"),2)+(MID(TEXT($L1761,"000000"),3,2)/60)+(RIGHT(TEXT($L1761,"000000"),2)/3600))</f>
        <v>112.22916666666666</v>
      </c>
      <c r="N1761" s="250">
        <v>691258</v>
      </c>
      <c r="O1761" s="251">
        <f>IF($N1761&gt;0,(LEFT(TEXT($N1761,"000000"),2)+(MID(TEXT($N1761,"000000"),3,2)/60)+(RIGHT(TEXT($N1761,"000000"),2)/3600)),-(MID(TEXT($N1761,"000000"),2,2)+(MID(TEXT($N1761,"000000"),4,2)/60)+(RIGHT(TEXT($N1761,"000000"),2)/3600)))</f>
        <v>69.216111111111118</v>
      </c>
      <c r="P1761" s="252" t="s">
        <v>226</v>
      </c>
      <c r="Q1761" s="253"/>
      <c r="R1761" s="247" t="s">
        <v>3293</v>
      </c>
      <c r="S1761" s="272" t="s">
        <v>7193</v>
      </c>
      <c r="T1761" s="273">
        <v>11.1</v>
      </c>
      <c r="U1761" s="289">
        <v>23.39</v>
      </c>
      <c r="V1761" s="280">
        <v>70</v>
      </c>
      <c r="W1761" s="244"/>
      <c r="X1761" s="244"/>
      <c r="Y1761" s="362"/>
      <c r="Z1761" s="257">
        <f>altaz(J2000_Bas,$O1761,$M1761,DecLat,DecLong,1)</f>
        <v>10.320590055325829</v>
      </c>
      <c r="AA1761" s="257">
        <f>altaz((J2000_Bas+(2*0.04167)),$O1761,$M1761,DecLat,DecLong,1)</f>
        <v>11.73303283677658</v>
      </c>
      <c r="AB1761" s="257">
        <f>altaz((J2000_Bas+(4*0.04167)),$O1761,$M1761,DecLat,DecLong,1)</f>
        <v>17.607482753099415</v>
      </c>
      <c r="AC1761" s="257">
        <f>altaz((J2000_Bas+(6*0.04167)),$O1761,$M1761,DecLat,DecLong,1)</f>
        <v>26.735459476956706</v>
      </c>
      <c r="AD1761" s="258">
        <f>1+ transit((J2000_Bas-1),$O1761,$M1761,DecLat,DecLong)/360 + (GMTOffset/24) + (IF(DST="Y", 1, 0)/24)</f>
        <v>1.3046476146401247</v>
      </c>
      <c r="AE1761" s="259">
        <f>DATE(2001,9,21)+(M1761/360)*365 - (360*((DecLong/360)- (GMTOffset/24) ))</f>
        <v>37273.787905092591</v>
      </c>
      <c r="AF1761" s="260">
        <f>IF(DecLat&gt;0,IF((90 - (DecLat-O1761))&gt;90, (90 - (O1761-DecLat)), (90 - (DecLat-O1761))),IF((90 + (DecLat-O1761))&gt;90, (90 + (O1761-DecLat)), (90 + (DecLat-O1761))))</f>
        <v>51.783888888888882</v>
      </c>
      <c r="AG1761" s="257">
        <f>angularseperation(MoonRA,MoonDec,$M1761,$O1761)</f>
        <v>131.05438826059518</v>
      </c>
      <c r="AH1761" s="261">
        <f ca="1">MIN(100,IF($O$5&gt;80,0+30*($AG1761/100),IF($O$5&gt;70,0+50*($AG1761/100),IF($O$5&gt;60,5+50*($AG1761/100),IF($O$5&gt;50,10+60*($AG1761/100),IF($O$5&gt;40,15+70*($AG1761/100),IF($O$5&gt;30,20+70*($AG1761/100),IF($O$5&gt;20,40+55*($AG1761/100),(80+(20-$O$5)+30*($AG1761/100))))))))))</f>
        <v>100</v>
      </c>
      <c r="AI1761" s="262">
        <v>2366</v>
      </c>
      <c r="AJ1761" s="262"/>
      <c r="AK1761" s="262"/>
      <c r="AL1761" s="263"/>
      <c r="AM1761" s="264"/>
      <c r="AN1761" s="263"/>
      <c r="AO1761" s="263"/>
      <c r="AP1761" s="265"/>
      <c r="AQ1761" s="266">
        <v>3851</v>
      </c>
      <c r="AR1761" s="267">
        <v>21102</v>
      </c>
      <c r="AS1761" s="263"/>
      <c r="AT1761" s="263"/>
      <c r="AU1761" s="263"/>
      <c r="AV1761" s="264"/>
      <c r="AW1761" s="263"/>
      <c r="AX1761" s="263"/>
      <c r="AY1761" s="263"/>
      <c r="AZ1761" s="263"/>
      <c r="BA1761" s="263"/>
      <c r="BB1761" s="263"/>
      <c r="BC1761" s="263"/>
      <c r="BD1761" s="264"/>
      <c r="BE1761" s="263"/>
      <c r="BF1761" s="263"/>
      <c r="BG1761" s="263"/>
      <c r="BH1761" s="263"/>
      <c r="BI1761" s="263"/>
      <c r="BJ1761" s="404">
        <f>altaz(J2000_Bas,$O1761,$M1761,DecLat,DecLong,2)</f>
        <v>357.75805979502559</v>
      </c>
      <c r="BK1761" s="378" t="s">
        <v>1742</v>
      </c>
      <c r="BL1761" s="379">
        <f>IF((2*G1761)/60&lt;0.2,0.2,(2*G1761)/60)</f>
        <v>0.26666666666666666</v>
      </c>
      <c r="BM1761" s="380">
        <f>MOD((50000+AD1761-$B$3+(0/24)),1)</f>
        <v>0.52001454434503103</v>
      </c>
      <c r="BN1761" s="381"/>
      <c r="BO1761" s="382">
        <v>1754</v>
      </c>
    </row>
    <row r="1762" spans="1:67" s="24" customFormat="1" ht="15" customHeight="1" x14ac:dyDescent="0.25">
      <c r="A1762" s="288" t="s">
        <v>1743</v>
      </c>
      <c r="B1762" s="241" t="str">
        <f>HYPERLINK(CONCATENATE($AT$3,BK1762,$AU$3),$AV$3)</f>
        <v>S</v>
      </c>
      <c r="C1762" s="242" t="str">
        <f>HYPERLINK(CONCATENATE($AT$4,BK1762,$AU$4,BL1762),$AV$4)</f>
        <v>A</v>
      </c>
      <c r="D1762" s="243" t="s">
        <v>5187</v>
      </c>
      <c r="E1762" s="244" t="s">
        <v>5181</v>
      </c>
      <c r="F1762" s="293" t="s">
        <v>8685</v>
      </c>
      <c r="G1762" s="273">
        <v>2</v>
      </c>
      <c r="H1762" s="283">
        <v>5000</v>
      </c>
      <c r="I1762" s="279">
        <v>3.2</v>
      </c>
      <c r="J1762" s="246">
        <v>4</v>
      </c>
      <c r="K1762" s="247" t="s">
        <v>7195</v>
      </c>
      <c r="L1762" s="248">
        <v>72534</v>
      </c>
      <c r="M1762" s="249">
        <f>15*(LEFT(TEXT($L1762,"000000"),2)+(MID(TEXT($L1762,"000000"),3,2)/60)+(RIGHT(TEXT($L1762,"000000"),2)/3600))</f>
        <v>111.39166666666667</v>
      </c>
      <c r="N1762" s="250">
        <v>292917</v>
      </c>
      <c r="O1762" s="251">
        <f>IF($N1762&gt;0,(LEFT(TEXT($N1762,"000000"),2)+(MID(TEXT($N1762,"000000"),3,2)/60)+(RIGHT(TEXT($N1762,"000000"),2)/3600)),-(MID(TEXT($N1762,"000000"),2,2)+(MID(TEXT($N1762,"000000"),4,2)/60)+(RIGHT(TEXT($N1762,"000000"),2)/3600)))</f>
        <v>29.488055555555558</v>
      </c>
      <c r="P1762" s="252" t="s">
        <v>85</v>
      </c>
      <c r="Q1762" s="253" t="s">
        <v>6972</v>
      </c>
      <c r="R1762" s="277" t="s">
        <v>5750</v>
      </c>
      <c r="S1762" s="272" t="s">
        <v>3293</v>
      </c>
      <c r="T1762" s="273">
        <v>12.8</v>
      </c>
      <c r="U1762" s="274"/>
      <c r="V1762" s="280"/>
      <c r="W1762" s="244"/>
      <c r="X1762" s="244"/>
      <c r="Y1762" s="362"/>
      <c r="Z1762" s="257">
        <f>altaz(J2000_Bas,$O1762,$M1762,DecLat,DecLong,1)</f>
        <v>-29.295047233781709</v>
      </c>
      <c r="AA1762" s="257">
        <f>altaz((J2000_Bas+(2*0.04167)),$O1762,$M1762,DecLat,DecLong,1)</f>
        <v>-25.110464337286846</v>
      </c>
      <c r="AB1762" s="257">
        <f>altaz((J2000_Bas+(4*0.04167)),$O1762,$M1762,DecLat,DecLong,1)</f>
        <v>-10.182340859082728</v>
      </c>
      <c r="AC1762" s="257">
        <f>altaz((J2000_Bas+(6*0.04167)),$O1762,$M1762,DecLat,DecLong,1)</f>
        <v>10.762455434168977</v>
      </c>
      <c r="AD1762" s="258">
        <f>1+ transit((J2000_Bas-1),$O1762,$M1762,DecLat,DecLong)/360 + (GMTOffset/24) + (IF(DST="Y", 1, 0)/24)</f>
        <v>1.3023212259838746</v>
      </c>
      <c r="AE1762" s="259">
        <f>DATE(2001,9,21)+(M1762/360)*365 - (360*((DecLong/360)- (GMTOffset/24) ))</f>
        <v>37272.938773148147</v>
      </c>
      <c r="AF1762" s="260">
        <f>IF(DecLat&gt;0,IF((90 - (DecLat-O1762))&gt;90, (90 - (O1762-DecLat)), (90 - (DecLat-O1762))),IF((90 + (DecLat-O1762))&gt;90, (90 + (O1762-DecLat)), (90 + (DecLat-O1762))))</f>
        <v>88.488055555555562</v>
      </c>
      <c r="AG1762" s="257">
        <f>angularseperation(MoonRA,MoonDec,$M1762,$O1762)</f>
        <v>143.00604198306499</v>
      </c>
      <c r="AH1762" s="261">
        <f ca="1">MIN(100,IF($O$5&gt;80,0+30*($AG1762/100),IF($O$5&gt;70,0+50*($AG1762/100),IF($O$5&gt;60,5+50*($AG1762/100),IF($O$5&gt;50,10+60*($AG1762/100),IF($O$5&gt;40,15+70*($AG1762/100),IF($O$5&gt;30,20+70*($AG1762/100),IF($O$5&gt;20,40+55*($AG1762/100),(80+(20-$O$5)+30*($AG1762/100))))))))))</f>
        <v>100</v>
      </c>
      <c r="AI1762" s="262">
        <v>2371</v>
      </c>
      <c r="AJ1762" s="262"/>
      <c r="AK1762" s="262">
        <v>96</v>
      </c>
      <c r="AL1762" s="263"/>
      <c r="AM1762" s="264"/>
      <c r="AN1762" s="263"/>
      <c r="AO1762" s="263"/>
      <c r="AP1762" s="265"/>
      <c r="AQ1762" s="266"/>
      <c r="AR1762" s="267"/>
      <c r="AS1762" s="263"/>
      <c r="AT1762" s="263">
        <v>13</v>
      </c>
      <c r="AU1762" s="263"/>
      <c r="AV1762" s="264"/>
      <c r="AW1762" s="263"/>
      <c r="AX1762" s="263"/>
      <c r="AY1762" s="263"/>
      <c r="AZ1762" s="263"/>
      <c r="BA1762" s="263"/>
      <c r="BB1762" s="263"/>
      <c r="BC1762" s="263"/>
      <c r="BD1762" s="264"/>
      <c r="BE1762" s="263"/>
      <c r="BF1762" s="263">
        <v>36</v>
      </c>
      <c r="BG1762" s="263"/>
      <c r="BH1762" s="263"/>
      <c r="BI1762" s="263"/>
      <c r="BJ1762" s="404">
        <f>altaz(J2000_Bas,$O1762,$M1762,DecLat,DecLong,2)</f>
        <v>354.6212063074039</v>
      </c>
      <c r="BK1762" s="378" t="s">
        <v>1743</v>
      </c>
      <c r="BL1762" s="379">
        <f>IF((2*G1762)/60&lt;0.2,0.2,(2*G1762)/60)</f>
        <v>0.2</v>
      </c>
      <c r="BM1762" s="380">
        <f>MOD((50000+AD1762-$B$3+(0/24)),1)</f>
        <v>0.51768815569084836</v>
      </c>
      <c r="BN1762" s="381" t="s">
        <v>9121</v>
      </c>
      <c r="BO1762" s="382">
        <v>1755</v>
      </c>
    </row>
    <row r="1763" spans="1:67" s="24" customFormat="1" ht="15" customHeight="1" x14ac:dyDescent="0.25">
      <c r="A1763" s="288" t="s">
        <v>1744</v>
      </c>
      <c r="B1763" s="241" t="str">
        <f>HYPERLINK(CONCATENATE($AT$3,BK1763,$AU$3),$AV$3)</f>
        <v>S</v>
      </c>
      <c r="C1763" s="242" t="str">
        <f>HYPERLINK(CONCATENATE($AT$4,BK1763,$AU$4,BL1763),$AV$4)</f>
        <v>A</v>
      </c>
      <c r="D1763" s="243" t="s">
        <v>5187</v>
      </c>
      <c r="E1763" s="244" t="s">
        <v>5181</v>
      </c>
      <c r="F1763" s="293" t="s">
        <v>7196</v>
      </c>
      <c r="G1763" s="273">
        <v>1</v>
      </c>
      <c r="H1763" s="283">
        <v>6000</v>
      </c>
      <c r="I1763" s="279">
        <v>1.7</v>
      </c>
      <c r="J1763" s="246">
        <v>4</v>
      </c>
      <c r="K1763" s="247" t="s">
        <v>7197</v>
      </c>
      <c r="L1763" s="248">
        <v>72911</v>
      </c>
      <c r="M1763" s="249">
        <f>15*(LEFT(TEXT($L1763,"000000"),2)+(MID(TEXT($L1763,"000000"),3,2)/60)+(RIGHT(TEXT($L1763,"000000"),2)/3600))</f>
        <v>112.29583333333333</v>
      </c>
      <c r="N1763" s="250">
        <v>205442</v>
      </c>
      <c r="O1763" s="251">
        <f>IF($N1763&gt;0,(LEFT(TEXT($N1763,"000000"),2)+(MID(TEXT($N1763,"000000"),3,2)/60)+(RIGHT(TEXT($N1763,"000000"),2)/3600)),-(MID(TEXT($N1763,"000000"),2,2)+(MID(TEXT($N1763,"000000"),4,2)/60)+(RIGHT(TEXT($N1763,"000000"),2)/3600)))</f>
        <v>20.911666666666665</v>
      </c>
      <c r="P1763" s="252" t="s">
        <v>85</v>
      </c>
      <c r="Q1763" s="253" t="s">
        <v>6986</v>
      </c>
      <c r="R1763" s="247" t="s">
        <v>7362</v>
      </c>
      <c r="S1763" s="272" t="s">
        <v>3293</v>
      </c>
      <c r="T1763" s="273">
        <v>9.6999999999999993</v>
      </c>
      <c r="U1763" s="274"/>
      <c r="V1763" s="280"/>
      <c r="W1763" s="244"/>
      <c r="X1763" s="244"/>
      <c r="Y1763" s="362"/>
      <c r="Z1763" s="257">
        <f>altaz(J2000_Bas,$O1763,$M1763,DecLat,DecLong,1)</f>
        <v>-37.737917857284884</v>
      </c>
      <c r="AA1763" s="257">
        <f>altaz((J2000_Bas+(2*0.04167)),$O1763,$M1763,DecLat,DecLong,1)</f>
        <v>-33.286924199543407</v>
      </c>
      <c r="AB1763" s="257">
        <f>altaz((J2000_Bas+(4*0.04167)),$O1763,$M1763,DecLat,DecLong,1)</f>
        <v>-16.751089052404168</v>
      </c>
      <c r="AC1763" s="257">
        <f>altaz((J2000_Bas+(6*0.04167)),$O1763,$M1763,DecLat,DecLong,1)</f>
        <v>5.7152685989275396</v>
      </c>
      <c r="AD1763" s="258">
        <f>1+ transit((J2000_Bas-1),$O1763,$M1763,DecLat,DecLong)/360 + (GMTOffset/24) + (IF(DST="Y", 1, 0)/24)</f>
        <v>1.3048327998067915</v>
      </c>
      <c r="AE1763" s="259">
        <f>DATE(2001,9,21)+(M1763/360)*365 - (360*((DecLong/360)- (GMTOffset/24) ))</f>
        <v>37273.855497685188</v>
      </c>
      <c r="AF1763" s="260">
        <f>IF(DecLat&gt;0,IF((90 - (DecLat-O1763))&gt;90, (90 - (O1763-DecLat)), (90 - (DecLat-O1763))),IF((90 + (DecLat-O1763))&gt;90, (90 + (O1763-DecLat)), (90 + (DecLat-O1763))))</f>
        <v>79.911666666666662</v>
      </c>
      <c r="AG1763" s="257">
        <f>angularseperation(MoonRA,MoonDec,$M1763,$O1763)</f>
        <v>140.37519194170173</v>
      </c>
      <c r="AH1763" s="261">
        <f ca="1">MIN(100,IF($O$5&gt;80,0+30*($AG1763/100),IF($O$5&gt;70,0+50*($AG1763/100),IF($O$5&gt;60,5+50*($AG1763/100),IF($O$5&gt;50,10+60*($AG1763/100),IF($O$5&gt;40,15+70*($AG1763/100),IF($O$5&gt;30,20+70*($AG1763/100),IF($O$5&gt;20,40+55*($AG1763/100),(80+(20-$O$5)+30*($AG1763/100))))))))))</f>
        <v>100</v>
      </c>
      <c r="AI1763" s="262">
        <v>2392</v>
      </c>
      <c r="AJ1763" s="262"/>
      <c r="AK1763" s="262">
        <v>97</v>
      </c>
      <c r="AL1763" s="263"/>
      <c r="AM1763" s="264">
        <v>39</v>
      </c>
      <c r="AN1763" s="263"/>
      <c r="AO1763" s="263"/>
      <c r="AP1763" s="265"/>
      <c r="AQ1763" s="266"/>
      <c r="AR1763" s="267"/>
      <c r="AS1763" s="263"/>
      <c r="AT1763" s="263">
        <v>14</v>
      </c>
      <c r="AU1763" s="263"/>
      <c r="AV1763" s="264"/>
      <c r="AW1763" s="263"/>
      <c r="AX1763" s="263"/>
      <c r="AY1763" s="263"/>
      <c r="AZ1763" s="263"/>
      <c r="BA1763" s="263"/>
      <c r="BB1763" s="263"/>
      <c r="BC1763" s="263"/>
      <c r="BD1763" s="264"/>
      <c r="BE1763" s="263"/>
      <c r="BF1763" s="263"/>
      <c r="BG1763" s="263"/>
      <c r="BH1763" s="263"/>
      <c r="BI1763" s="263"/>
      <c r="BJ1763" s="404">
        <f>altaz(J2000_Bas,$O1763,$M1763,DecLat,DecLong,2)</f>
        <v>352.56038102203536</v>
      </c>
      <c r="BK1763" s="378" t="s">
        <v>1744</v>
      </c>
      <c r="BL1763" s="379">
        <f>IF((2*G1763)/60&lt;0.2,0.2,(2*G1763)/60)</f>
        <v>0.2</v>
      </c>
      <c r="BM1763" s="380">
        <f>MOD((50000+AD1763-$B$3+(0/24)),1)</f>
        <v>0.52019972950802185</v>
      </c>
      <c r="BN1763" s="381"/>
      <c r="BO1763" s="382">
        <v>1756</v>
      </c>
    </row>
    <row r="1764" spans="1:67" s="24" customFormat="1" ht="15" customHeight="1" x14ac:dyDescent="0.25">
      <c r="A1764" s="287" t="s">
        <v>2978</v>
      </c>
      <c r="B1764" s="241" t="str">
        <f>HYPERLINK(CONCATENATE($AT$3,BK1764,$AU$3),$AV$3)</f>
        <v>S</v>
      </c>
      <c r="C1764" s="242" t="str">
        <f>HYPERLINK(CONCATENATE($AT$4,BK1764,$AU$4,BL1764),$AV$4)</f>
        <v>A</v>
      </c>
      <c r="D1764" s="243" t="s">
        <v>5335</v>
      </c>
      <c r="E1764" s="244" t="s">
        <v>5185</v>
      </c>
      <c r="F1764" s="269" t="s">
        <v>6539</v>
      </c>
      <c r="G1764" s="276">
        <v>12</v>
      </c>
      <c r="H1764" s="283">
        <v>1900</v>
      </c>
      <c r="I1764" s="279">
        <v>7</v>
      </c>
      <c r="J1764" s="246">
        <v>2</v>
      </c>
      <c r="K1764" s="247" t="s">
        <v>7190</v>
      </c>
      <c r="L1764" s="248">
        <v>72706</v>
      </c>
      <c r="M1764" s="249">
        <f>15*(LEFT(TEXT($L1764,"000000"),2)+(MID(TEXT($L1764,"000000"),3,2)/60)+(RIGHT(TEXT($L1764,"000000"),2)/3600))</f>
        <v>111.77500000000001</v>
      </c>
      <c r="N1764" s="250">
        <v>133500</v>
      </c>
      <c r="O1764" s="251">
        <f>IF($N1764&gt;0,(LEFT(TEXT($N1764,"000000"),2)+(MID(TEXT($N1764,"000000"),3,2)/60)+(RIGHT(TEXT($N1764,"000000"),2)/3600)),-(MID(TEXT($N1764,"000000"),2,2)+(MID(TEXT($N1764,"000000"),4,2)/60)+(RIGHT(TEXT($N1764,"000000"),2)/3600)))</f>
        <v>13.583333333333334</v>
      </c>
      <c r="P1764" s="252" t="s">
        <v>85</v>
      </c>
      <c r="Q1764" s="253"/>
      <c r="R1764" s="277" t="s">
        <v>3293</v>
      </c>
      <c r="S1764" s="272" t="s">
        <v>3293</v>
      </c>
      <c r="T1764" s="273">
        <v>8</v>
      </c>
      <c r="U1764" s="274"/>
      <c r="V1764" s="280"/>
      <c r="W1764" s="244"/>
      <c r="X1764" s="244"/>
      <c r="Y1764" s="362"/>
      <c r="Z1764" s="257">
        <f>altaz(J2000_Bas,$O1764,$M1764,DecLat,DecLong,1)</f>
        <v>-45.072861312520196</v>
      </c>
      <c r="AA1764" s="257">
        <f>altaz((J2000_Bas+(2*0.04167)),$O1764,$M1764,DecLat,DecLong,1)</f>
        <v>-39.668100336928461</v>
      </c>
      <c r="AB1764" s="257">
        <f>altaz((J2000_Bas+(4*0.04167)),$O1764,$M1764,DecLat,DecLong,1)</f>
        <v>-21.352045827258095</v>
      </c>
      <c r="AC1764" s="257">
        <f>altaz((J2000_Bas+(6*0.04167)),$O1764,$M1764,DecLat,DecLong,1)</f>
        <v>2.3401717168445986</v>
      </c>
      <c r="AD1764" s="258">
        <f>1+ transit((J2000_Bas-1),$O1764,$M1764,DecLat,DecLong)/360 + (GMTOffset/24) + (IF(DST="Y", 1, 0)/24)</f>
        <v>1.3033860406922082</v>
      </c>
      <c r="AE1764" s="259">
        <f>DATE(2001,9,21)+(M1764/360)*365 - (360*((DecLong/360)- (GMTOffset/24) ))</f>
        <v>37273.327430555553</v>
      </c>
      <c r="AF1764" s="260">
        <f>IF(DecLat&gt;0,IF((90 - (DecLat-O1764))&gt;90, (90 - (O1764-DecLat)), (90 - (DecLat-O1764))),IF((90 + (DecLat-O1764))&gt;90, (90 + (O1764-DecLat)), (90 + (DecLat-O1764))))</f>
        <v>72.583333333333343</v>
      </c>
      <c r="AG1764" s="257">
        <f>angularseperation(MoonRA,MoonDec,$M1764,$O1764)</f>
        <v>138.12985671435342</v>
      </c>
      <c r="AH1764" s="261">
        <f ca="1">MIN(100,IF($O$5&gt;80,0+30*($AG1764/100),IF($O$5&gt;70,0+50*($AG1764/100),IF($O$5&gt;60,5+50*($AG1764/100),IF($O$5&gt;50,10+60*($AG1764/100),IF($O$5&gt;40,15+70*($AG1764/100),IF($O$5&gt;30,20+70*($AG1764/100),IF($O$5&gt;20,40+55*($AG1764/100),(80+(20-$O$5)+30*($AG1764/100))))))))))</f>
        <v>100</v>
      </c>
      <c r="AI1764" s="262">
        <v>2395</v>
      </c>
      <c r="AJ1764" s="263"/>
      <c r="AK1764" s="263">
        <v>98</v>
      </c>
      <c r="AL1764" s="263"/>
      <c r="AM1764" s="264"/>
      <c r="AN1764" s="263"/>
      <c r="AO1764" s="263"/>
      <c r="AP1764" s="265"/>
      <c r="AQ1764" s="265"/>
      <c r="AR1764" s="285"/>
      <c r="AS1764" s="263"/>
      <c r="AT1764" s="263"/>
      <c r="AU1764" s="263"/>
      <c r="AV1764" s="264"/>
      <c r="AW1764" s="263"/>
      <c r="AX1764" s="263"/>
      <c r="AY1764" s="263"/>
      <c r="AZ1764" s="263"/>
      <c r="BA1764" s="263"/>
      <c r="BB1764" s="263"/>
      <c r="BC1764" s="263"/>
      <c r="BD1764" s="264"/>
      <c r="BE1764" s="263"/>
      <c r="BF1764" s="263"/>
      <c r="BG1764" s="263"/>
      <c r="BH1764" s="263"/>
      <c r="BI1764" s="263"/>
      <c r="BJ1764" s="404">
        <f>altaz(J2000_Bas,$O1764,$M1764,DecLat,DecLong,2)</f>
        <v>352.04273500311916</v>
      </c>
      <c r="BK1764" s="378" t="s">
        <v>2978</v>
      </c>
      <c r="BL1764" s="379">
        <f>IF((2*G1764)/60&lt;0.2,0.2,(2*G1764)/60)</f>
        <v>0.4</v>
      </c>
      <c r="BM1764" s="380">
        <f>MOD((50000+AD1764-$B$3+(0/24)),1)</f>
        <v>0.51875297039805446</v>
      </c>
      <c r="BN1764" s="381"/>
      <c r="BO1764" s="382">
        <v>1757</v>
      </c>
    </row>
    <row r="1765" spans="1:67" s="24" customFormat="1" ht="15" customHeight="1" x14ac:dyDescent="0.25">
      <c r="A1765" s="288" t="s">
        <v>1745</v>
      </c>
      <c r="B1765" s="241" t="str">
        <f>HYPERLINK(CONCATENATE($AT$3,BK1765,$AU$3),$AV$3)</f>
        <v>S</v>
      </c>
      <c r="C1765" s="242" t="str">
        <f>HYPERLINK(CONCATENATE($AT$4,BK1765,$AU$4,BL1765),$AV$4)</f>
        <v>A</v>
      </c>
      <c r="D1765" s="243" t="s">
        <v>5638</v>
      </c>
      <c r="E1765" s="244" t="s">
        <v>5192</v>
      </c>
      <c r="F1765" s="269" t="s">
        <v>8895</v>
      </c>
      <c r="G1765" s="276">
        <v>20</v>
      </c>
      <c r="H1765" s="289">
        <v>9.5</v>
      </c>
      <c r="I1765" s="246">
        <v>60</v>
      </c>
      <c r="J1765" s="246">
        <v>2</v>
      </c>
      <c r="K1765" s="247" t="s">
        <v>7198</v>
      </c>
      <c r="L1765" s="248">
        <v>73651</v>
      </c>
      <c r="M1765" s="249">
        <f>15*(LEFT(TEXT($L1765,"000000"),2)+(MID(TEXT($L1765,"000000"),3,2)/60)+(RIGHT(TEXT($L1765,"000000"),2)/3600))</f>
        <v>114.21250000000001</v>
      </c>
      <c r="N1765" s="250">
        <v>653607</v>
      </c>
      <c r="O1765" s="251">
        <f>IF($N1765&gt;0,(LEFT(TEXT($N1765,"000000"),2)+(MID(TEXT($N1765,"000000"),3,2)/60)+(RIGHT(TEXT($N1765,"000000"),2)/3600)),-(MID(TEXT($N1765,"000000"),2,2)+(MID(TEXT($N1765,"000000"),4,2)/60)+(RIGHT(TEXT($N1765,"000000"),2)/3600)))</f>
        <v>65.601944444444442</v>
      </c>
      <c r="P1765" s="252" t="s">
        <v>226</v>
      </c>
      <c r="Q1765" s="253" t="s">
        <v>6862</v>
      </c>
      <c r="R1765" s="277" t="s">
        <v>7331</v>
      </c>
      <c r="S1765" s="272" t="s">
        <v>3293</v>
      </c>
      <c r="T1765" s="273">
        <v>8.5</v>
      </c>
      <c r="U1765" s="289">
        <v>23.29</v>
      </c>
      <c r="V1765" s="280">
        <v>60</v>
      </c>
      <c r="W1765" s="244"/>
      <c r="X1765" s="244"/>
      <c r="Y1765" s="362"/>
      <c r="Z1765" s="257">
        <f>altaz(J2000_Bas,$O1765,$M1765,DecLat,DecLong,1)</f>
        <v>6.8112844673363089</v>
      </c>
      <c r="AA1765" s="257">
        <f>altaz((J2000_Bas+(2*0.04167)),$O1765,$M1765,DecLat,DecLong,1)</f>
        <v>8.0746825813850442</v>
      </c>
      <c r="AB1765" s="257">
        <f>altaz((J2000_Bas+(4*0.04167)),$O1765,$M1765,DecLat,DecLong,1)</f>
        <v>14.528186116613609</v>
      </c>
      <c r="AC1765" s="257">
        <f>altaz((J2000_Bas+(6*0.04167)),$O1765,$M1765,DecLat,DecLong,1)</f>
        <v>24.836754596758297</v>
      </c>
      <c r="AD1765" s="258">
        <f>1+ transit((J2000_Bas-1),$O1765,$M1765,DecLat,DecLong)/360 + (GMTOffset/24) + (IF(DST="Y", 1, 0)/24)</f>
        <v>1.3101568733484581</v>
      </c>
      <c r="AE1765" s="259">
        <f>DATE(2001,9,21)+(M1765/360)*365 - (360*((DecLong/360)- (GMTOffset/24) ))</f>
        <v>37275.798784722225</v>
      </c>
      <c r="AF1765" s="260">
        <f>IF(DecLat&gt;0,IF((90 - (DecLat-O1765))&gt;90, (90 - (O1765-DecLat)), (90 - (DecLat-O1765))),IF((90 + (DecLat-O1765))&gt;90, (90 + (O1765-DecLat)), (90 + (DecLat-O1765))))</f>
        <v>55.398055555555558</v>
      </c>
      <c r="AG1765" s="257">
        <f>angularseperation(MoonRA,MoonDec,$M1765,$O1765)</f>
        <v>132.44084599067466</v>
      </c>
      <c r="AH1765" s="261">
        <f ca="1">MIN(100,IF($O$5&gt;80,0+30*($AG1765/100),IF($O$5&gt;70,0+50*($AG1765/100),IF($O$5&gt;60,5+50*($AG1765/100),IF($O$5&gt;50,10+60*($AG1765/100),IF($O$5&gt;40,15+70*($AG1765/100),IF($O$5&gt;30,20+70*($AG1765/100),IF($O$5&gt;20,40+55*($AG1765/100),(80+(20-$O$5)+30*($AG1765/100))))))))))</f>
        <v>100</v>
      </c>
      <c r="AI1765" s="262">
        <v>2403</v>
      </c>
      <c r="AJ1765" s="262"/>
      <c r="AK1765" s="262">
        <v>99</v>
      </c>
      <c r="AL1765" s="263"/>
      <c r="AM1765" s="264">
        <v>7</v>
      </c>
      <c r="AN1765" s="263"/>
      <c r="AO1765" s="263"/>
      <c r="AP1765" s="265"/>
      <c r="AQ1765" s="266">
        <v>3918</v>
      </c>
      <c r="AR1765" s="267">
        <v>21396</v>
      </c>
      <c r="AS1765" s="263"/>
      <c r="AT1765" s="263"/>
      <c r="AU1765" s="263"/>
      <c r="AV1765" s="264"/>
      <c r="AW1765" s="263"/>
      <c r="AX1765" s="263"/>
      <c r="AY1765" s="263"/>
      <c r="AZ1765" s="263"/>
      <c r="BA1765" s="263"/>
      <c r="BB1765" s="263"/>
      <c r="BC1765" s="263"/>
      <c r="BD1765" s="264"/>
      <c r="BE1765" s="263"/>
      <c r="BF1765" s="263"/>
      <c r="BG1765" s="263"/>
      <c r="BH1765" s="263"/>
      <c r="BI1765" s="263"/>
      <c r="BJ1765" s="404">
        <f>altaz(J2000_Bas,$O1765,$M1765,DecLat,DecLong,2)</f>
        <v>356.594283782356</v>
      </c>
      <c r="BK1765" s="378" t="s">
        <v>1745</v>
      </c>
      <c r="BL1765" s="379">
        <f>IF((2*G1765)/60&lt;0.2,0.2,(2*G1765)/60)</f>
        <v>0.66666666666666663</v>
      </c>
      <c r="BM1765" s="380">
        <f>MOD((50000+AD1765-$B$3+(0/24)),1)</f>
        <v>0.52552380305132829</v>
      </c>
      <c r="BN1765" s="381" t="s">
        <v>9220</v>
      </c>
      <c r="BO1765" s="382">
        <v>1758</v>
      </c>
    </row>
    <row r="1766" spans="1:67" s="24" customFormat="1" ht="15" customHeight="1" x14ac:dyDescent="0.25">
      <c r="A1766" s="288" t="s">
        <v>1746</v>
      </c>
      <c r="B1766" s="241" t="str">
        <f>HYPERLINK(CONCATENATE($AT$3,BK1766,$AU$3),$AV$3)</f>
        <v>S</v>
      </c>
      <c r="C1766" s="242" t="str">
        <f>HYPERLINK(CONCATENATE($AT$4,BK1766,$AU$4,BL1766),$AV$4)</f>
        <v>A</v>
      </c>
      <c r="D1766" s="243" t="s">
        <v>5638</v>
      </c>
      <c r="E1766" s="244" t="s">
        <v>5337</v>
      </c>
      <c r="F1766" s="269" t="s">
        <v>3316</v>
      </c>
      <c r="G1766" s="270">
        <v>0.8</v>
      </c>
      <c r="H1766" s="283">
        <v>190</v>
      </c>
      <c r="I1766" s="246">
        <v>45</v>
      </c>
      <c r="J1766" s="246">
        <v>3</v>
      </c>
      <c r="K1766" s="247" t="s">
        <v>8437</v>
      </c>
      <c r="L1766" s="248">
        <v>73657</v>
      </c>
      <c r="M1766" s="249">
        <f>15*(LEFT(TEXT($L1766,"000000"),2)+(MID(TEXT($L1766,"000000"),3,2)/60)+(RIGHT(TEXT($L1766,"000000"),2)/3600))</f>
        <v>114.2375</v>
      </c>
      <c r="N1766" s="250">
        <v>351432</v>
      </c>
      <c r="O1766" s="251">
        <f>IF($N1766&gt;0,(LEFT(TEXT($N1766,"000000"),2)+(MID(TEXT($N1766,"000000"),3,2)/60)+(RIGHT(TEXT($N1766,"000000"),2)/3600)),-(MID(TEXT($N1766,"000000"),2,2)+(MID(TEXT($N1766,"000000"),4,2)/60)+(RIGHT(TEXT($N1766,"000000"),2)/3600)))</f>
        <v>35.242222222222225</v>
      </c>
      <c r="P1766" s="252" t="s">
        <v>82</v>
      </c>
      <c r="Q1766" s="253"/>
      <c r="R1766" s="247" t="s">
        <v>3293</v>
      </c>
      <c r="S1766" s="272" t="s">
        <v>3293</v>
      </c>
      <c r="T1766" s="273">
        <v>12.4</v>
      </c>
      <c r="U1766" s="289">
        <v>20.89</v>
      </c>
      <c r="V1766" s="280"/>
      <c r="W1766" s="244"/>
      <c r="X1766" s="244"/>
      <c r="Y1766" s="362"/>
      <c r="Z1766" s="257">
        <f>altaz(J2000_Bas,$O1766,$M1766,DecLat,DecLong,1)</f>
        <v>-23.306689192688701</v>
      </c>
      <c r="AA1766" s="257">
        <f>altaz((J2000_Bas+(2*0.04167)),$O1766,$M1766,DecLat,DecLong,1)</f>
        <v>-20.645243648649096</v>
      </c>
      <c r="AB1766" s="257">
        <f>altaz((J2000_Bas+(4*0.04167)),$O1766,$M1766,DecLat,DecLong,1)</f>
        <v>-7.7263476210407358</v>
      </c>
      <c r="AC1766" s="257">
        <f>altaz((J2000_Bas+(6*0.04167)),$O1766,$M1766,DecLat,DecLong,1)</f>
        <v>11.536451754921167</v>
      </c>
      <c r="AD1766" s="258">
        <f>1+ transit((J2000_Bas-1),$O1766,$M1766,DecLat,DecLong)/360 + (GMTOffset/24) + (IF(DST="Y", 1, 0)/24)</f>
        <v>1.3102263177859579</v>
      </c>
      <c r="AE1766" s="259">
        <f>DATE(2001,9,21)+(M1766/360)*365 - (360*((DecLong/360)- (GMTOffset/24) ))</f>
        <v>37275.824131944442</v>
      </c>
      <c r="AF1766" s="260">
        <f>IF(DecLat&gt;0,IF((90 - (DecLat-O1766))&gt;90, (90 - (O1766-DecLat)), (90 - (DecLat-O1766))),IF((90 + (DecLat-O1766))&gt;90, (90 + (O1766-DecLat)), (90 + (DecLat-O1766))))</f>
        <v>85.757777777777775</v>
      </c>
      <c r="AG1766" s="257">
        <f>angularseperation(MoonRA,MoonDec,$M1766,$O1766)</f>
        <v>140.98127154485556</v>
      </c>
      <c r="AH1766" s="261">
        <f ca="1">MIN(100,IF($O$5&gt;80,0+30*($AG1766/100),IF($O$5&gt;70,0+50*($AG1766/100),IF($O$5&gt;60,5+50*($AG1766/100),IF($O$5&gt;50,10+60*($AG1766/100),IF($O$5&gt;40,15+70*($AG1766/100),IF($O$5&gt;30,20+70*($AG1766/100),IF($O$5&gt;20,40+55*($AG1766/100),(80+(20-$O$5)+30*($AG1766/100))))))))))</f>
        <v>100</v>
      </c>
      <c r="AI1766" s="262">
        <v>2415</v>
      </c>
      <c r="AJ1766" s="262"/>
      <c r="AK1766" s="262"/>
      <c r="AL1766" s="263"/>
      <c r="AM1766" s="264"/>
      <c r="AN1766" s="263"/>
      <c r="AO1766" s="263"/>
      <c r="AP1766" s="265"/>
      <c r="AQ1766" s="266">
        <v>3930</v>
      </c>
      <c r="AR1766" s="267">
        <v>21399</v>
      </c>
      <c r="AS1766" s="263"/>
      <c r="AT1766" s="263"/>
      <c r="AU1766" s="263"/>
      <c r="AV1766" s="264"/>
      <c r="AW1766" s="263"/>
      <c r="AX1766" s="263"/>
      <c r="AY1766" s="263"/>
      <c r="AZ1766" s="263"/>
      <c r="BA1766" s="263"/>
      <c r="BB1766" s="263"/>
      <c r="BC1766" s="263"/>
      <c r="BD1766" s="264"/>
      <c r="BE1766" s="263"/>
      <c r="BF1766" s="263"/>
      <c r="BG1766" s="263"/>
      <c r="BH1766" s="263"/>
      <c r="BI1766" s="263"/>
      <c r="BJ1766" s="404">
        <f>altaz(J2000_Bas,$O1766,$M1766,DecLat,DecLong,2)</f>
        <v>352.68215480135092</v>
      </c>
      <c r="BK1766" s="378" t="s">
        <v>1746</v>
      </c>
      <c r="BL1766" s="379">
        <f>IF((2*G1766)/60&lt;0.2,0.2,(2*G1766)/60)</f>
        <v>0.2</v>
      </c>
      <c r="BM1766" s="380">
        <f>MOD((50000+AD1766-$B$3+(0/24)),1)</f>
        <v>0.52559324749017833</v>
      </c>
      <c r="BN1766" s="381" t="s">
        <v>9281</v>
      </c>
      <c r="BO1766" s="382">
        <v>1759</v>
      </c>
    </row>
    <row r="1767" spans="1:67" s="24" customFormat="1" ht="15" customHeight="1" x14ac:dyDescent="0.25">
      <c r="A1767" s="288" t="s">
        <v>1747</v>
      </c>
      <c r="B1767" s="241" t="str">
        <f>HYPERLINK(CONCATENATE($AT$3,BK1767,$AU$3),$AV$3)</f>
        <v>S</v>
      </c>
      <c r="C1767" s="242" t="str">
        <f>HYPERLINK(CONCATENATE($AT$4,BK1767,$AU$4,BL1767),$AV$4)</f>
        <v>A</v>
      </c>
      <c r="D1767" s="243" t="s">
        <v>5335</v>
      </c>
      <c r="E1767" s="244" t="s">
        <v>5184</v>
      </c>
      <c r="F1767" s="269" t="s">
        <v>3310</v>
      </c>
      <c r="G1767" s="273">
        <v>4</v>
      </c>
      <c r="H1767" s="283">
        <v>300000</v>
      </c>
      <c r="I1767" s="246">
        <v>360</v>
      </c>
      <c r="J1767" s="246">
        <v>2</v>
      </c>
      <c r="K1767" s="247" t="s">
        <v>7199</v>
      </c>
      <c r="L1767" s="248">
        <v>73808</v>
      </c>
      <c r="M1767" s="249">
        <f>15*(LEFT(TEXT($L1767,"000000"),2)+(MID(TEXT($L1767,"000000"),3,2)/60)+(RIGHT(TEXT($L1767,"000000"),2)/3600))</f>
        <v>114.53333333333333</v>
      </c>
      <c r="N1767" s="250">
        <v>385254</v>
      </c>
      <c r="O1767" s="251">
        <f>IF($N1767&gt;0,(LEFT(TEXT($N1767,"000000"),2)+(MID(TEXT($N1767,"000000"),3,2)/60)+(RIGHT(TEXT($N1767,"000000"),2)/3600)),-(MID(TEXT($N1767,"000000"),2,2)+(MID(TEXT($N1767,"000000"),4,2)/60)+(RIGHT(TEXT($N1767,"000000"),2)/3600)))</f>
        <v>38.881666666666668</v>
      </c>
      <c r="P1767" s="252" t="s">
        <v>82</v>
      </c>
      <c r="Q1767" s="253" t="s">
        <v>7126</v>
      </c>
      <c r="R1767" s="277" t="s">
        <v>7349</v>
      </c>
      <c r="S1767" s="272" t="s">
        <v>3293</v>
      </c>
      <c r="T1767" s="273">
        <v>10.3</v>
      </c>
      <c r="U1767" s="274"/>
      <c r="V1767" s="280"/>
      <c r="W1767" s="244"/>
      <c r="X1767" s="244"/>
      <c r="Y1767" s="362"/>
      <c r="Z1767" s="257">
        <f>altaz(J2000_Bas,$O1767,$M1767,DecLat,DecLong,1)</f>
        <v>-19.668522350471548</v>
      </c>
      <c r="AA1767" s="257">
        <f>altaz((J2000_Bas+(2*0.04167)),$O1767,$M1767,DecLat,DecLong,1)</f>
        <v>-17.295551968021076</v>
      </c>
      <c r="AB1767" s="257">
        <f>altaz((J2000_Bas+(4*0.04167)),$O1767,$M1767,DecLat,DecLong,1)</f>
        <v>-5.2106714336070112</v>
      </c>
      <c r="AC1767" s="257">
        <f>altaz((J2000_Bas+(6*0.04167)),$O1767,$M1767,DecLat,DecLong,1)</f>
        <v>13.13452462594061</v>
      </c>
      <c r="AD1767" s="258">
        <f>1+ transit((J2000_Bas-1),$O1767,$M1767,DecLat,DecLong)/360 + (GMTOffset/24) + (IF(DST="Y", 1, 0)/24)</f>
        <v>1.3110480769630415</v>
      </c>
      <c r="AE1767" s="259">
        <f>DATE(2001,9,21)+(M1767/360)*365 - (360*((DecLong/360)- (GMTOffset/24) ))</f>
        <v>37276.124074074076</v>
      </c>
      <c r="AF1767" s="260">
        <f>IF(DecLat&gt;0,IF((90 - (DecLat-O1767))&gt;90, (90 - (O1767-DecLat)), (90 - (DecLat-O1767))),IF((90 + (DecLat-O1767))&gt;90, (90 + (O1767-DecLat)), (90 + (DecLat-O1767))))</f>
        <v>82.118333333333339</v>
      </c>
      <c r="AG1767" s="257">
        <f>angularseperation(MoonRA,MoonDec,$M1767,$O1767)</f>
        <v>140.65828117979339</v>
      </c>
      <c r="AH1767" s="261">
        <f ca="1">MIN(100,IF($O$5&gt;80,0+30*($AG1767/100),IF($O$5&gt;70,0+50*($AG1767/100),IF($O$5&gt;60,5+50*($AG1767/100),IF($O$5&gt;50,10+60*($AG1767/100),IF($O$5&gt;40,15+70*($AG1767/100),IF($O$5&gt;30,20+70*($AG1767/100),IF($O$5&gt;20,40+55*($AG1767/100),(80+(20-$O$5)+30*($AG1767/100))))))))))</f>
        <v>100</v>
      </c>
      <c r="AI1767" s="262">
        <v>2419</v>
      </c>
      <c r="AJ1767" s="262"/>
      <c r="AK1767" s="262">
        <v>100</v>
      </c>
      <c r="AL1767" s="263"/>
      <c r="AM1767" s="264">
        <v>25</v>
      </c>
      <c r="AN1767" s="263"/>
      <c r="AO1767" s="263"/>
      <c r="AP1767" s="265"/>
      <c r="AQ1767" s="266"/>
      <c r="AR1767" s="267"/>
      <c r="AS1767" s="263"/>
      <c r="AT1767" s="263"/>
      <c r="AU1767" s="263"/>
      <c r="AV1767" s="264"/>
      <c r="AW1767" s="263"/>
      <c r="AX1767" s="263"/>
      <c r="AY1767" s="263"/>
      <c r="AZ1767" s="263"/>
      <c r="BA1767" s="263"/>
      <c r="BB1767" s="263"/>
      <c r="BC1767" s="263"/>
      <c r="BD1767" s="264"/>
      <c r="BE1767" s="263"/>
      <c r="BF1767" s="263"/>
      <c r="BG1767" s="263"/>
      <c r="BH1767" s="263"/>
      <c r="BI1767" s="263"/>
      <c r="BJ1767" s="404">
        <f>altaz(J2000_Bas,$O1767,$M1767,DecLat,DecLong,2)</f>
        <v>352.95616670803173</v>
      </c>
      <c r="BK1767" s="378" t="s">
        <v>1747</v>
      </c>
      <c r="BL1767" s="379">
        <f>IF((2*G1767)/60&lt;0.2,0.2,(2*G1767)/60)</f>
        <v>0.2</v>
      </c>
      <c r="BM1767" s="380">
        <f>MOD((50000+AD1767-$B$3+(0/24)),1)</f>
        <v>0.52641500666504726</v>
      </c>
      <c r="BN1767" s="381" t="s">
        <v>8646</v>
      </c>
      <c r="BO1767" s="382">
        <v>1760</v>
      </c>
    </row>
    <row r="1768" spans="1:67" s="24" customFormat="1" ht="15" customHeight="1" x14ac:dyDescent="0.25">
      <c r="A1768" s="288" t="s">
        <v>1748</v>
      </c>
      <c r="B1768" s="241" t="str">
        <f>HYPERLINK(CONCATENATE($AT$3,BK1768,$AU$3),$AV$3)</f>
        <v>S</v>
      </c>
      <c r="C1768" s="242" t="str">
        <f>HYPERLINK(CONCATENATE($AT$4,BK1768,$AU$4,BL1768),$AV$4)</f>
        <v>A</v>
      </c>
      <c r="D1768" s="243" t="s">
        <v>5335</v>
      </c>
      <c r="E1768" s="244" t="s">
        <v>5185</v>
      </c>
      <c r="F1768" s="269" t="s">
        <v>7200</v>
      </c>
      <c r="G1768" s="276">
        <v>10</v>
      </c>
      <c r="H1768" s="283">
        <v>10000</v>
      </c>
      <c r="I1768" s="246">
        <v>30</v>
      </c>
      <c r="J1768" s="246">
        <v>2</v>
      </c>
      <c r="K1768" s="247" t="s">
        <v>7201</v>
      </c>
      <c r="L1768" s="248">
        <v>73823</v>
      </c>
      <c r="M1768" s="249">
        <f>15*(LEFT(TEXT($L1768,"000000"),2)+(MID(TEXT($L1768,"000000"),3,2)/60)+(RIGHT(TEXT($L1768,"000000"),2)/3600))</f>
        <v>114.59583333333333</v>
      </c>
      <c r="N1768" s="250">
        <v>213424</v>
      </c>
      <c r="O1768" s="251">
        <f>IF($N1768&gt;0,(LEFT(TEXT($N1768,"000000"),2)+(MID(TEXT($N1768,"000000"),3,2)/60)+(RIGHT(TEXT($N1768,"000000"),2)/3600)),-(MID(TEXT($N1768,"000000"),2,2)+(MID(TEXT($N1768,"000000"),4,2)/60)+(RIGHT(TEXT($N1768,"000000"),2)/3600)))</f>
        <v>21.573333333333334</v>
      </c>
      <c r="P1768" s="252" t="s">
        <v>85</v>
      </c>
      <c r="Q1768" s="253" t="s">
        <v>7160</v>
      </c>
      <c r="R1768" s="277" t="s">
        <v>3293</v>
      </c>
      <c r="S1768" s="272" t="s">
        <v>3293</v>
      </c>
      <c r="T1768" s="273">
        <v>8.3000000000000007</v>
      </c>
      <c r="U1768" s="274"/>
      <c r="V1768" s="280"/>
      <c r="W1768" s="244"/>
      <c r="X1768" s="244"/>
      <c r="Y1768" s="362"/>
      <c r="Z1768" s="257">
        <f>altaz(J2000_Bas,$O1768,$M1768,DecLat,DecLong,1)</f>
        <v>-36.783795978345054</v>
      </c>
      <c r="AA1768" s="257">
        <f>altaz((J2000_Bas+(2*0.04167)),$O1768,$M1768,DecLat,DecLong,1)</f>
        <v>-33.526600438404436</v>
      </c>
      <c r="AB1768" s="257">
        <f>altaz((J2000_Bas+(4*0.04167)),$O1768,$M1768,DecLat,DecLong,1)</f>
        <v>-17.81938715270098</v>
      </c>
      <c r="AC1768" s="257">
        <f>altaz((J2000_Bas+(6*0.04167)),$O1768,$M1768,DecLat,DecLong,1)</f>
        <v>4.2300443482662917</v>
      </c>
      <c r="AD1768" s="258">
        <f>1+ transit((J2000_Bas-1),$O1768,$M1768,DecLat,DecLong)/360 + (GMTOffset/24) + (IF(DST="Y", 1, 0)/24)</f>
        <v>1.3112216880567915</v>
      </c>
      <c r="AE1768" s="259">
        <f>DATE(2001,9,21)+(M1768/360)*365 - (360*((DecLong/360)- (GMTOffset/24) ))</f>
        <v>37276.187442129631</v>
      </c>
      <c r="AF1768" s="260">
        <f>IF(DecLat&gt;0,IF((90 - (DecLat-O1768))&gt;90, (90 - (O1768-DecLat)), (90 - (DecLat-O1768))),IF((90 + (DecLat-O1768))&gt;90, (90 + (O1768-DecLat)), (90 + (DecLat-O1768))))</f>
        <v>80.573333333333338</v>
      </c>
      <c r="AG1768" s="257">
        <f>angularseperation(MoonRA,MoonDec,$M1768,$O1768)</f>
        <v>138.52494117642189</v>
      </c>
      <c r="AH1768" s="261">
        <f ca="1">MIN(100,IF($O$5&gt;80,0+30*($AG1768/100),IF($O$5&gt;70,0+50*($AG1768/100),IF($O$5&gt;60,5+50*($AG1768/100),IF($O$5&gt;50,10+60*($AG1768/100),IF($O$5&gt;40,15+70*($AG1768/100),IF($O$5&gt;30,20+70*($AG1768/100),IF($O$5&gt;20,40+55*($AG1768/100),(80+(20-$O$5)+30*($AG1768/100))))))))))</f>
        <v>100</v>
      </c>
      <c r="AI1768" s="262">
        <v>2420</v>
      </c>
      <c r="AJ1768" s="262"/>
      <c r="AK1768" s="262">
        <v>101</v>
      </c>
      <c r="AL1768" s="263"/>
      <c r="AM1768" s="264"/>
      <c r="AN1768" s="263"/>
      <c r="AO1768" s="263"/>
      <c r="AP1768" s="265"/>
      <c r="AQ1768" s="266"/>
      <c r="AR1768" s="267"/>
      <c r="AS1768" s="263"/>
      <c r="AT1768" s="263"/>
      <c r="AU1768" s="263"/>
      <c r="AV1768" s="264"/>
      <c r="AW1768" s="263"/>
      <c r="AX1768" s="263"/>
      <c r="AY1768" s="263"/>
      <c r="AZ1768" s="263"/>
      <c r="BA1768" s="263"/>
      <c r="BB1768" s="263"/>
      <c r="BC1768" s="263"/>
      <c r="BD1768" s="264"/>
      <c r="BE1768" s="263"/>
      <c r="BF1768" s="263">
        <v>37</v>
      </c>
      <c r="BG1768" s="263"/>
      <c r="BH1768" s="263"/>
      <c r="BI1768" s="263"/>
      <c r="BJ1768" s="404">
        <f>altaz(J2000_Bas,$O1768,$M1768,DecLat,DecLong,2)</f>
        <v>350.009002544081</v>
      </c>
      <c r="BK1768" s="378" t="s">
        <v>1748</v>
      </c>
      <c r="BL1768" s="379">
        <f>IF((2*G1768)/60&lt;0.2,0.2,(2*G1768)/60)</f>
        <v>0.33333333333333331</v>
      </c>
      <c r="BM1768" s="380">
        <f>MOD((50000+AD1768-$B$3+(0/24)),1)</f>
        <v>0.52658861775853438</v>
      </c>
      <c r="BN1768" s="381"/>
      <c r="BO1768" s="382">
        <v>1761</v>
      </c>
    </row>
    <row r="1769" spans="1:67" s="24" customFormat="1" ht="15" customHeight="1" x14ac:dyDescent="0.25">
      <c r="A1769" s="287" t="s">
        <v>1749</v>
      </c>
      <c r="B1769" s="241" t="str">
        <f>HYPERLINK(CONCATENATE($AT$3,BK1769,$AU$3),$AV$3)</f>
        <v>S</v>
      </c>
      <c r="C1769" s="242" t="str">
        <f>HYPERLINK(CONCATENATE($AT$4,BK1769,$AU$4,BL1769),$AV$4)</f>
        <v>A</v>
      </c>
      <c r="D1769" s="243" t="s">
        <v>5335</v>
      </c>
      <c r="E1769" s="244" t="s">
        <v>5185</v>
      </c>
      <c r="F1769" s="269" t="s">
        <v>4904</v>
      </c>
      <c r="G1769" s="276">
        <v>13</v>
      </c>
      <c r="H1769" s="283">
        <v>8700</v>
      </c>
      <c r="I1769" s="246">
        <v>34</v>
      </c>
      <c r="J1769" s="246">
        <v>2</v>
      </c>
      <c r="K1769" s="247" t="s">
        <v>7202</v>
      </c>
      <c r="L1769" s="248">
        <v>73613</v>
      </c>
      <c r="M1769" s="249">
        <f>15*(LEFT(TEXT($L1769,"000000"),2)+(MID(TEXT($L1769,"000000"),3,2)/60)+(RIGHT(TEXT($L1769,"000000"),2)/3600))</f>
        <v>114.05416666666666</v>
      </c>
      <c r="N1769" s="250">
        <v>-203642</v>
      </c>
      <c r="O1769" s="251">
        <f>IF($N1769&gt;0,(LEFT(TEXT($N1769,"000000"),2)+(MID(TEXT($N1769,"000000"),3,2)/60)+(RIGHT(TEXT($N1769,"000000"),2)/3600)),-(MID(TEXT($N1769,"000000"),2,2)+(MID(TEXT($N1769,"000000"),4,2)/60)+(RIGHT(TEXT($N1769,"000000"),2)/3600)))</f>
        <v>-20.611666666666668</v>
      </c>
      <c r="P1769" s="252" t="s">
        <v>91</v>
      </c>
      <c r="Q1769" s="253"/>
      <c r="R1769" s="277" t="s">
        <v>3293</v>
      </c>
      <c r="S1769" s="272" t="s">
        <v>3293</v>
      </c>
      <c r="T1769" s="273">
        <v>8.3000000000000007</v>
      </c>
      <c r="U1769" s="274"/>
      <c r="V1769" s="280"/>
      <c r="W1769" s="244"/>
      <c r="X1769" s="244"/>
      <c r="Y1769" s="362"/>
      <c r="Z1769" s="257">
        <f>altaz(J2000_Bas,$O1769,$M1769,DecLat,DecLong,1)</f>
        <v>-77.343071363805507</v>
      </c>
      <c r="AA1769" s="257">
        <f>altaz((J2000_Bas+(2*0.04167)),$O1769,$M1769,DecLat,DecLong,1)</f>
        <v>-67.670571480989395</v>
      </c>
      <c r="AB1769" s="257">
        <f>altaz((J2000_Bas+(4*0.04167)),$O1769,$M1769,DecLat,DecLong,1)</f>
        <v>-42.373130126498801</v>
      </c>
      <c r="AC1769" s="257">
        <f>altaz((J2000_Bas+(6*0.04167)),$O1769,$M1769,DecLat,DecLong,1)</f>
        <v>-16.867855393043037</v>
      </c>
      <c r="AD1769" s="258">
        <f>1+ transit((J2000_Bas-1),$O1769,$M1769,DecLat,DecLong)/360 + (GMTOffset/24) + (IF(DST="Y", 1, 0)/24)</f>
        <v>1.3097170585776248</v>
      </c>
      <c r="AE1769" s="259">
        <f>DATE(2001,9,21)+(M1769/360)*365 - (360*((DecLong/360)- (GMTOffset/24) ))</f>
        <v>37275.638252314813</v>
      </c>
      <c r="AF1769" s="260">
        <f>IF(DecLat&gt;0,IF((90 - (DecLat-O1769))&gt;90, (90 - (O1769-DecLat)), (90 - (DecLat-O1769))),IF((90 + (DecLat-O1769))&gt;90, (90 + (O1769-DecLat)), (90 + (DecLat-O1769))))</f>
        <v>38.388333333333335</v>
      </c>
      <c r="AG1769" s="257">
        <f>angularseperation(MoonRA,MoonDec,$M1769,$O1769)</f>
        <v>115.52553860085078</v>
      </c>
      <c r="AH1769" s="261">
        <f ca="1">MIN(100,IF($O$5&gt;80,0+30*($AG1769/100),IF($O$5&gt;70,0+50*($AG1769/100),IF($O$5&gt;60,5+50*($AG1769/100),IF($O$5&gt;50,10+60*($AG1769/100),IF($O$5&gt;40,15+70*($AG1769/100),IF($O$5&gt;30,20+70*($AG1769/100),IF($O$5&gt;20,40+55*($AG1769/100),(80+(20-$O$5)+30*($AG1769/100))))))))))</f>
        <v>100</v>
      </c>
      <c r="AI1769" s="262">
        <v>2421</v>
      </c>
      <c r="AJ1769" s="263"/>
      <c r="AK1769" s="263">
        <v>102</v>
      </c>
      <c r="AL1769" s="263"/>
      <c r="AM1769" s="264"/>
      <c r="AN1769" s="263"/>
      <c r="AO1769" s="263"/>
      <c r="AP1769" s="265"/>
      <c r="AQ1769" s="265"/>
      <c r="AR1769" s="285"/>
      <c r="AS1769" s="263"/>
      <c r="AT1769" s="263"/>
      <c r="AU1769" s="263"/>
      <c r="AV1769" s="264"/>
      <c r="AW1769" s="263"/>
      <c r="AX1769" s="263"/>
      <c r="AY1769" s="263"/>
      <c r="AZ1769" s="263"/>
      <c r="BA1769" s="263"/>
      <c r="BB1769" s="263"/>
      <c r="BC1769" s="263"/>
      <c r="BD1769" s="264"/>
      <c r="BE1769" s="263"/>
      <c r="BF1769" s="263"/>
      <c r="BG1769" s="263"/>
      <c r="BH1769" s="263"/>
      <c r="BI1769" s="263"/>
      <c r="BJ1769" s="404">
        <f>altaz(J2000_Bas,$O1769,$M1769,DecLat,DecLong,2)</f>
        <v>323.25082638291724</v>
      </c>
      <c r="BK1769" s="378" t="s">
        <v>1749</v>
      </c>
      <c r="BL1769" s="379">
        <f>IF((2*G1769)/60&lt;0.2,0.2,(2*G1769)/60)</f>
        <v>0.43333333333333335</v>
      </c>
      <c r="BM1769" s="380">
        <f>MOD((50000+AD1769-$B$3+(0/24)),1)</f>
        <v>0.52508398827922065</v>
      </c>
      <c r="BN1769" s="381"/>
      <c r="BO1769" s="382">
        <v>1762</v>
      </c>
    </row>
    <row r="1770" spans="1:67" s="24" customFormat="1" ht="15" customHeight="1" x14ac:dyDescent="0.25">
      <c r="A1770" s="288" t="s">
        <v>3502</v>
      </c>
      <c r="B1770" s="241" t="str">
        <f>HYPERLINK(CONCATENATE($AT$3,BK1770,$AU$3),$AV$3)</f>
        <v>S</v>
      </c>
      <c r="C1770" s="242" t="str">
        <f>HYPERLINK(CONCATENATE($AT$4,BK1770,$AU$4,BL1770),$AV$4)</f>
        <v>A</v>
      </c>
      <c r="D1770" s="243" t="s">
        <v>5335</v>
      </c>
      <c r="E1770" s="244" t="s">
        <v>5185</v>
      </c>
      <c r="F1770" s="269" t="s">
        <v>9580</v>
      </c>
      <c r="G1770" s="276">
        <v>30</v>
      </c>
      <c r="H1770" s="283">
        <v>3000</v>
      </c>
      <c r="I1770" s="246">
        <v>25</v>
      </c>
      <c r="J1770" s="246">
        <v>2</v>
      </c>
      <c r="K1770" s="247" t="s">
        <v>7204</v>
      </c>
      <c r="L1770" s="248">
        <v>73712</v>
      </c>
      <c r="M1770" s="249">
        <f>15*(LEFT(TEXT($L1770,"000000"),2)+(MID(TEXT($L1770,"000000"),3,2)/60)+(RIGHT(TEXT($L1770,"000000"),2)/3600))</f>
        <v>114.3</v>
      </c>
      <c r="N1770" s="250">
        <v>-135147</v>
      </c>
      <c r="O1770" s="251">
        <f>IF($N1770&gt;0,(LEFT(TEXT($N1770,"000000"),2)+(MID(TEXT($N1770,"000000"),3,2)/60)+(RIGHT(TEXT($N1770,"000000"),2)/3600)),-(MID(TEXT($N1770,"000000"),2,2)+(MID(TEXT($N1770,"000000"),4,2)/60)+(RIGHT(TEXT($N1770,"000000"),2)/3600)))</f>
        <v>-13.863055555555555</v>
      </c>
      <c r="P1770" s="252" t="s">
        <v>91</v>
      </c>
      <c r="Q1770" s="253"/>
      <c r="R1770" s="277" t="s">
        <v>3293</v>
      </c>
      <c r="S1770" s="272" t="s">
        <v>9579</v>
      </c>
      <c r="T1770" s="273">
        <v>5.8</v>
      </c>
      <c r="U1770" s="274"/>
      <c r="V1770" s="280"/>
      <c r="W1770" s="244"/>
      <c r="X1770" s="244"/>
      <c r="Y1770" s="362"/>
      <c r="Z1770" s="257">
        <f>altaz(J2000_Bas,$O1770,$M1770,DecLat,DecLong,1)</f>
        <v>-71.243222027519124</v>
      </c>
      <c r="AA1770" s="257">
        <f>altaz((J2000_Bas+(2*0.04167)),$O1770,$M1770,DecLat,DecLong,1)</f>
        <v>-63.657609071787931</v>
      </c>
      <c r="AB1770" s="257">
        <f>altaz((J2000_Bas+(4*0.04167)),$O1770,$M1770,DecLat,DecLong,1)</f>
        <v>-39.585136381584441</v>
      </c>
      <c r="AC1770" s="257">
        <f>altaz((J2000_Bas+(6*0.04167)),$O1770,$M1770,DecLat,DecLong,1)</f>
        <v>-13.877865698797368</v>
      </c>
      <c r="AD1770" s="258">
        <f>1+ transit((J2000_Bas-1),$O1770,$M1770,DecLat,DecLong)/360 + (GMTOffset/24) + (IF(DST="Y", 1, 0)/24)</f>
        <v>1.3103999288797079</v>
      </c>
      <c r="AE1770" s="259">
        <f>DATE(2001,9,21)+(M1770/360)*365 - (360*((DecLong/360)- (GMTOffset/24) ))</f>
        <v>37275.887499999997</v>
      </c>
      <c r="AF1770" s="260">
        <f>IF(DecLat&gt;0,IF((90 - (DecLat-O1770))&gt;90, (90 - (O1770-DecLat)), (90 - (DecLat-O1770))),IF((90 + (DecLat-O1770))&gt;90, (90 + (O1770-DecLat)), (90 + (DecLat-O1770))))</f>
        <v>45.136944444444445</v>
      </c>
      <c r="AG1770" s="257">
        <f>angularseperation(MoonRA,MoonDec,$M1770,$O1770)</f>
        <v>120.10035917135245</v>
      </c>
      <c r="AH1770" s="261">
        <f ca="1">MIN(100,IF($O$5&gt;80,0+30*($AG1770/100),IF($O$5&gt;70,0+50*($AG1770/100),IF($O$5&gt;60,5+50*($AG1770/100),IF($O$5&gt;50,10+60*($AG1770/100),IF($O$5&gt;40,15+70*($AG1770/100),IF($O$5&gt;30,20+70*($AG1770/100),IF($O$5&gt;20,40+55*($AG1770/100),(80+(20-$O$5)+30*($AG1770/100))))))))))</f>
        <v>100</v>
      </c>
      <c r="AI1770" s="262">
        <v>2423</v>
      </c>
      <c r="AJ1770" s="263"/>
      <c r="AK1770" s="263">
        <v>103</v>
      </c>
      <c r="AL1770" s="263"/>
      <c r="AM1770" s="264"/>
      <c r="AN1770" s="263"/>
      <c r="AO1770" s="263"/>
      <c r="AP1770" s="265"/>
      <c r="AQ1770" s="265"/>
      <c r="AR1770" s="285"/>
      <c r="AS1770" s="263"/>
      <c r="AT1770" s="263"/>
      <c r="AU1770" s="263"/>
      <c r="AV1770" s="264"/>
      <c r="AW1770" s="263"/>
      <c r="AX1770" s="263"/>
      <c r="AY1770" s="263"/>
      <c r="AZ1770" s="263"/>
      <c r="BA1770" s="263"/>
      <c r="BB1770" s="263"/>
      <c r="BC1770" s="263"/>
      <c r="BD1770" s="264"/>
      <c r="BE1770" s="263"/>
      <c r="BF1770" s="263"/>
      <c r="BG1770" s="263"/>
      <c r="BH1770" s="263"/>
      <c r="BI1770" s="263"/>
      <c r="BJ1770" s="404">
        <f>altaz(J2000_Bas,$O1770,$M1770,DecLat,DecLong,2)</f>
        <v>334.16872111847579</v>
      </c>
      <c r="BK1770" s="378" t="s">
        <v>3502</v>
      </c>
      <c r="BL1770" s="379">
        <f>IF((2*G1770)/60&lt;0.2,0.2,(2*G1770)/60)</f>
        <v>1</v>
      </c>
      <c r="BM1770" s="380">
        <f>MOD((50000+AD1770-$B$3+(0/24)),1)</f>
        <v>0.52576685858366545</v>
      </c>
      <c r="BN1770" s="381"/>
      <c r="BO1770" s="382">
        <v>1763</v>
      </c>
    </row>
    <row r="1771" spans="1:67" s="24" customFormat="1" ht="15" customHeight="1" x14ac:dyDescent="0.25">
      <c r="A1771" s="288" t="s">
        <v>8750</v>
      </c>
      <c r="B1771" s="241" t="str">
        <f>HYPERLINK(CONCATENATE($AT$3,BK1771,$AU$3),$AV$3)</f>
        <v>S</v>
      </c>
      <c r="C1771" s="242" t="str">
        <f>HYPERLINK(CONCATENATE($AT$4,BK1771,$AU$4,BL1771),$AV$4)</f>
        <v>A</v>
      </c>
      <c r="D1771" s="243" t="s">
        <v>5187</v>
      </c>
      <c r="E1771" s="244" t="s">
        <v>5181</v>
      </c>
      <c r="F1771" s="269" t="s">
        <v>4796</v>
      </c>
      <c r="G1771" s="273">
        <v>1.5</v>
      </c>
      <c r="H1771" s="283">
        <v>4200</v>
      </c>
      <c r="I1771" s="279">
        <v>1.9</v>
      </c>
      <c r="J1771" s="246">
        <v>3</v>
      </c>
      <c r="K1771" s="247" t="s">
        <v>8751</v>
      </c>
      <c r="L1771" s="248">
        <v>74151</v>
      </c>
      <c r="M1771" s="249">
        <f>15*(LEFT(TEXT($L1771,"000000"),2)+(MID(TEXT($L1771,"000000"),3,2)/60)+(RIGHT(TEXT($L1771,"000000"),2)/3600))</f>
        <v>115.46250000000001</v>
      </c>
      <c r="N1771" s="286">
        <v>-144405</v>
      </c>
      <c r="O1771" s="251">
        <f>IF($N1771&gt;0,(LEFT(TEXT($N1771,"000000"),2)+(MID(TEXT($N1771,"000000"),3,2)/60)+(RIGHT(TEXT($N1771,"000000"),2)/3600)),-(MID(TEXT($N1771,"000000"),2,2)+(MID(TEXT($N1771,"000000"),4,2)/60)+(RIGHT(TEXT($N1771,"000000"),2)/3600)))</f>
        <v>-14.734722222222221</v>
      </c>
      <c r="P1771" s="252" t="s">
        <v>91</v>
      </c>
      <c r="Q1771" s="253"/>
      <c r="R1771" s="247"/>
      <c r="S1771" s="272" t="s">
        <v>5038</v>
      </c>
      <c r="T1771" s="273">
        <v>11.5</v>
      </c>
      <c r="U1771" s="274"/>
      <c r="V1771" s="280"/>
      <c r="W1771" s="244"/>
      <c r="X1771" s="244"/>
      <c r="Y1771" s="362"/>
      <c r="Z1771" s="257">
        <f>altaz(J2000_Bas,$O1771,$M1771,DecLat,DecLong,1)</f>
        <v>-71.568419553229703</v>
      </c>
      <c r="AA1771" s="257">
        <f>altaz((J2000_Bas+(2*0.04167)),$O1771,$M1771,DecLat,DecLong,1)</f>
        <v>-65.072834140219413</v>
      </c>
      <c r="AB1771" s="257">
        <f>altaz((J2000_Bas+(4*0.04167)),$O1771,$M1771,DecLat,DecLong,1)</f>
        <v>-40.991929764508797</v>
      </c>
      <c r="AC1771" s="257">
        <f>altaz((J2000_Bas+(6*0.04167)),$O1771,$M1771,DecLat,DecLong,1)</f>
        <v>-15.28521053144704</v>
      </c>
      <c r="AD1771" s="258">
        <f>1+ transit((J2000_Bas-1),$O1771,$M1771,DecLat,DecLong)/360 + (GMTOffset/24) + (IF(DST="Y", 1, 0)/24)</f>
        <v>1.3136290952234579</v>
      </c>
      <c r="AE1771" s="259">
        <f>DATE(2001,9,21)+(M1771/360)*365 - (360*((DecLong/360)- (GMTOffset/24) ))</f>
        <v>37277.066145833334</v>
      </c>
      <c r="AF1771" s="260">
        <f>IF(DecLat&gt;0,IF((90 - (DecLat-O1771))&gt;90, (90 - (O1771-DecLat)), (90 - (DecLat-O1771))),IF((90 + (DecLat-O1771))&gt;90, (90 + (O1771-DecLat)), (90 + (DecLat-O1771))))</f>
        <v>44.265277777777783</v>
      </c>
      <c r="AG1771" s="257">
        <f>angularseperation(MoonRA,MoonDec,$M1771,$O1771)</f>
        <v>118.68218379949731</v>
      </c>
      <c r="AH1771" s="261">
        <f ca="1">MIN(100,IF($O$5&gt;80,0+30*($AG1771/100),IF($O$5&gt;70,0+50*($AG1771/100),IF($O$5&gt;60,5+50*($AG1771/100),IF($O$5&gt;50,10+60*($AG1771/100),IF($O$5&gt;40,15+70*($AG1771/100),IF($O$5&gt;30,20+70*($AG1771/100),IF($O$5&gt;20,40+55*($AG1771/100),(80+(20-$O$5)+30*($AG1771/100))))))))))</f>
        <v>100</v>
      </c>
      <c r="AI1771" s="262">
        <v>2438</v>
      </c>
      <c r="AJ1771" s="262"/>
      <c r="AK1771" s="262">
        <v>105</v>
      </c>
      <c r="AL1771" s="263"/>
      <c r="AM1771" s="264"/>
      <c r="AN1771" s="263"/>
      <c r="AO1771" s="263"/>
      <c r="AP1771" s="265"/>
      <c r="AQ1771" s="266"/>
      <c r="AR1771" s="267"/>
      <c r="AS1771" s="263"/>
      <c r="AT1771" s="263">
        <v>15</v>
      </c>
      <c r="AU1771" s="263"/>
      <c r="AV1771" s="264"/>
      <c r="AW1771" s="263"/>
      <c r="AX1771" s="263"/>
      <c r="AY1771" s="263"/>
      <c r="AZ1771" s="263"/>
      <c r="BA1771" s="263"/>
      <c r="BB1771" s="263"/>
      <c r="BC1771" s="263"/>
      <c r="BD1771" s="264"/>
      <c r="BE1771" s="263"/>
      <c r="BF1771" s="263"/>
      <c r="BG1771" s="263"/>
      <c r="BH1771" s="263"/>
      <c r="BI1771" s="263"/>
      <c r="BJ1771" s="404">
        <f>altaz(J2000_Bas,$O1771,$M1771,DecLat,DecLong,2)</f>
        <v>329.81867376317183</v>
      </c>
      <c r="BK1771" s="378" t="s">
        <v>8750</v>
      </c>
      <c r="BL1771" s="379">
        <f>IF((2*G1771)/60&lt;0.2,0.2,(2*G1771)/60)</f>
        <v>0.2</v>
      </c>
      <c r="BM1771" s="380">
        <f>MOD((50000+AD1771-$B$3+(0/24)),1)</f>
        <v>0.52899602492834674</v>
      </c>
      <c r="BN1771" s="381"/>
      <c r="BO1771" s="382">
        <v>1764</v>
      </c>
    </row>
    <row r="1772" spans="1:67" s="24" customFormat="1" ht="15" customHeight="1" x14ac:dyDescent="0.25">
      <c r="A1772" s="287" t="s">
        <v>1750</v>
      </c>
      <c r="B1772" s="241" t="str">
        <f>HYPERLINK(CONCATENATE($AT$3,BK1772,$AU$3),$AV$3)</f>
        <v>S</v>
      </c>
      <c r="C1772" s="242" t="str">
        <f>HYPERLINK(CONCATENATE($AT$4,BK1772,$AU$4,BL1772),$AV$4)</f>
        <v>A</v>
      </c>
      <c r="D1772" s="243" t="s">
        <v>5335</v>
      </c>
      <c r="E1772" s="244" t="s">
        <v>5185</v>
      </c>
      <c r="F1772" s="269" t="s">
        <v>8644</v>
      </c>
      <c r="G1772" s="276">
        <v>10</v>
      </c>
      <c r="H1772" s="283">
        <v>9500</v>
      </c>
      <c r="I1772" s="246">
        <v>28</v>
      </c>
      <c r="J1772" s="246">
        <v>3</v>
      </c>
      <c r="K1772" s="247" t="s">
        <v>7205</v>
      </c>
      <c r="L1772" s="248">
        <v>74045</v>
      </c>
      <c r="M1772" s="249">
        <f>15*(LEFT(TEXT($L1772,"000000"),2)+(MID(TEXT($L1772,"000000"),3,2)/60)+(RIGHT(TEXT($L1772,"000000"),2)/3600))</f>
        <v>115.1875</v>
      </c>
      <c r="N1772" s="250">
        <v>-314136</v>
      </c>
      <c r="O1772" s="251">
        <f>IF($N1772&gt;0,(LEFT(TEXT($N1772,"000000"),2)+(MID(TEXT($N1772,"000000"),3,2)/60)+(RIGHT(TEXT($N1772,"000000"),2)/3600)),-(MID(TEXT($N1772,"000000"),2,2)+(MID(TEXT($N1772,"000000"),4,2)/60)+(RIGHT(TEXT($N1772,"000000"),2)/3600)))</f>
        <v>-31.693333333333335</v>
      </c>
      <c r="P1772" s="252" t="s">
        <v>91</v>
      </c>
      <c r="Q1772" s="253"/>
      <c r="R1772" s="277" t="s">
        <v>3293</v>
      </c>
      <c r="S1772" s="272" t="s">
        <v>3293</v>
      </c>
      <c r="T1772" s="273">
        <v>6.9</v>
      </c>
      <c r="U1772" s="274"/>
      <c r="V1772" s="280"/>
      <c r="W1772" s="244"/>
      <c r="X1772" s="244"/>
      <c r="Y1772" s="362"/>
      <c r="Z1772" s="257">
        <f>altaz(J2000_Bas,$O1772,$M1772,DecLat,DecLong,1)</f>
        <v>-82.127580751077545</v>
      </c>
      <c r="AA1772" s="257">
        <f>altaz((J2000_Bas+(2*0.04167)),$O1772,$M1772,DecLat,DecLong,1)</f>
        <v>-72.164719941320428</v>
      </c>
      <c r="AB1772" s="257">
        <f>altaz((J2000_Bas+(4*0.04167)),$O1772,$M1772,DecLat,DecLong,1)</f>
        <v>-46.86389019784805</v>
      </c>
      <c r="AC1772" s="257">
        <f>altaz((J2000_Bas+(6*0.04167)),$O1772,$M1772,DecLat,DecLong,1)</f>
        <v>-22.570271319184592</v>
      </c>
      <c r="AD1772" s="258">
        <f>1+ transit((J2000_Bas-1),$O1772,$M1772,DecLat,DecLong)/360 + (GMTOffset/24) + (IF(DST="Y", 1, 0)/24)</f>
        <v>1.3128652064109581</v>
      </c>
      <c r="AE1772" s="259">
        <f>DATE(2001,9,21)+(M1772/360)*365 - (360*((DecLong/360)- (GMTOffset/24) ))</f>
        <v>37276.787326388891</v>
      </c>
      <c r="AF1772" s="260">
        <f>IF(DecLat&gt;0,IF((90 - (DecLat-O1772))&gt;90, (90 - (O1772-DecLat)), (90 - (DecLat-O1772))),IF((90 + (DecLat-O1772))&gt;90, (90 + (O1772-DecLat)), (90 + (DecLat-O1772))))</f>
        <v>27.306666666666665</v>
      </c>
      <c r="AG1772" s="257">
        <f>angularseperation(MoonRA,MoonDec,$M1772,$O1772)</f>
        <v>106.7122402532769</v>
      </c>
      <c r="AH1772" s="261">
        <f ca="1">MIN(100,IF($O$5&gt;80,0+30*($AG1772/100),IF($O$5&gt;70,0+50*($AG1772/100),IF($O$5&gt;60,5+50*($AG1772/100),IF($O$5&gt;50,10+60*($AG1772/100),IF($O$5&gt;40,15+70*($AG1772/100),IF($O$5&gt;30,20+70*($AG1772/100),IF($O$5&gt;20,40+55*($AG1772/100),(80+(20-$O$5)+30*($AG1772/100))))))))))</f>
        <v>100</v>
      </c>
      <c r="AI1772" s="262">
        <v>2439</v>
      </c>
      <c r="AJ1772" s="263"/>
      <c r="AK1772" s="263"/>
      <c r="AL1772" s="263"/>
      <c r="AM1772" s="264"/>
      <c r="AN1772" s="263"/>
      <c r="AO1772" s="263"/>
      <c r="AP1772" s="265"/>
      <c r="AQ1772" s="265"/>
      <c r="AR1772" s="285"/>
      <c r="AS1772" s="263"/>
      <c r="AT1772" s="263"/>
      <c r="AU1772" s="263"/>
      <c r="AV1772" s="264"/>
      <c r="AW1772" s="263"/>
      <c r="AX1772" s="263"/>
      <c r="AY1772" s="263"/>
      <c r="AZ1772" s="263"/>
      <c r="BA1772" s="263"/>
      <c r="BB1772" s="263"/>
      <c r="BC1772" s="263"/>
      <c r="BD1772" s="264"/>
      <c r="BE1772" s="263"/>
      <c r="BF1772" s="263"/>
      <c r="BG1772" s="263"/>
      <c r="BH1772" s="263"/>
      <c r="BI1772" s="263"/>
      <c r="BJ1772" s="404">
        <f>altaz(J2000_Bas,$O1772,$M1772,DecLat,DecLong,2)</f>
        <v>262.56683179556325</v>
      </c>
      <c r="BK1772" s="378" t="s">
        <v>1750</v>
      </c>
      <c r="BL1772" s="379">
        <f>IF((2*G1772)/60&lt;0.2,0.2,(2*G1772)/60)</f>
        <v>0.33333333333333331</v>
      </c>
      <c r="BM1772" s="380">
        <f>MOD((50000+AD1772-$B$3+(0/24)),1)</f>
        <v>0.5282321361155482</v>
      </c>
      <c r="BN1772" s="381"/>
      <c r="BO1772" s="382">
        <v>1765</v>
      </c>
    </row>
    <row r="1773" spans="1:67" s="24" customFormat="1" ht="15" customHeight="1" x14ac:dyDescent="0.25">
      <c r="A1773" s="288" t="s">
        <v>1751</v>
      </c>
      <c r="B1773" s="241" t="str">
        <f>HYPERLINK(CONCATENATE($AT$3,BK1773,$AU$3),$AV$3)</f>
        <v>S</v>
      </c>
      <c r="C1773" s="242" t="str">
        <f>HYPERLINK(CONCATENATE($AT$4,BK1773,$AU$4,BL1773),$AV$4)</f>
        <v>A</v>
      </c>
      <c r="D1773" s="243" t="s">
        <v>5187</v>
      </c>
      <c r="E1773" s="244" t="s">
        <v>5181</v>
      </c>
      <c r="F1773" s="269" t="s">
        <v>5057</v>
      </c>
      <c r="G1773" s="273">
        <v>1.3</v>
      </c>
      <c r="H1773" s="283">
        <v>4000</v>
      </c>
      <c r="I1773" s="279">
        <v>1.6</v>
      </c>
      <c r="J1773" s="246">
        <v>3</v>
      </c>
      <c r="K1773" s="247" t="s">
        <v>7206</v>
      </c>
      <c r="L1773" s="248">
        <v>74155</v>
      </c>
      <c r="M1773" s="249">
        <f>15*(LEFT(TEXT($L1773,"000000"),2)+(MID(TEXT($L1773,"000000"),3,2)/60)+(RIGHT(TEXT($L1773,"000000"),2)/3600))</f>
        <v>115.47916666666667</v>
      </c>
      <c r="N1773" s="250">
        <v>-181231</v>
      </c>
      <c r="O1773" s="251">
        <f>IF($N1773&gt;0,(LEFT(TEXT($N1773,"000000"),2)+(MID(TEXT($N1773,"000000"),3,2)/60)+(RIGHT(TEXT($N1773,"000000"),2)/3600)),-(MID(TEXT($N1773,"000000"),2,2)+(MID(TEXT($N1773,"000000"),4,2)/60)+(RIGHT(TEXT($N1773,"000000"),2)/3600)))</f>
        <v>-18.208611111111111</v>
      </c>
      <c r="P1773" s="252" t="s">
        <v>91</v>
      </c>
      <c r="Q1773" s="253" t="s">
        <v>6935</v>
      </c>
      <c r="R1773" s="277" t="s">
        <v>3293</v>
      </c>
      <c r="S1773" s="272" t="s">
        <v>3293</v>
      </c>
      <c r="T1773" s="273">
        <v>9.4</v>
      </c>
      <c r="U1773" s="274"/>
      <c r="V1773" s="280"/>
      <c r="W1773" s="244"/>
      <c r="X1773" s="244"/>
      <c r="Y1773" s="362"/>
      <c r="Z1773" s="257">
        <f>altaz(J2000_Bas,$O1773,$M1773,DecLat,DecLong,1)</f>
        <v>-74.59467576809034</v>
      </c>
      <c r="AA1773" s="257">
        <f>altaz((J2000_Bas+(2*0.04167)),$O1773,$M1773,DecLat,DecLong,1)</f>
        <v>-67.380507763406158</v>
      </c>
      <c r="AB1773" s="257">
        <f>altaz((J2000_Bas+(4*0.04167)),$O1773,$M1773,DecLat,DecLong,1)</f>
        <v>-42.589953898103957</v>
      </c>
      <c r="AC1773" s="257">
        <f>altaz((J2000_Bas+(6*0.04167)),$O1773,$M1773,DecLat,DecLong,1)</f>
        <v>-16.944286867970185</v>
      </c>
      <c r="AD1773" s="258">
        <f>1+ transit((J2000_Bas-1),$O1773,$M1773,DecLat,DecLong)/360 + (GMTOffset/24) + (IF(DST="Y", 1, 0)/24)</f>
        <v>1.3136753915151247</v>
      </c>
      <c r="AE1773" s="259">
        <f>DATE(2001,9,21)+(M1773/360)*365 - (360*((DecLong/360)- (GMTOffset/24) ))</f>
        <v>37277.083043981482</v>
      </c>
      <c r="AF1773" s="260">
        <f>IF(DecLat&gt;0,IF((90 - (DecLat-O1773))&gt;90, (90 - (O1773-DecLat)), (90 - (DecLat-O1773))),IF((90 + (DecLat-O1773))&gt;90, (90 + (O1773-DecLat)), (90 + (DecLat-O1773))))</f>
        <v>40.791388888888889</v>
      </c>
      <c r="AG1773" s="257">
        <f>angularseperation(MoonRA,MoonDec,$M1773,$O1773)</f>
        <v>116.27733595450921</v>
      </c>
      <c r="AH1773" s="261">
        <f ca="1">MIN(100,IF($O$5&gt;80,0+30*($AG1773/100),IF($O$5&gt;70,0+50*($AG1773/100),IF($O$5&gt;60,5+50*($AG1773/100),IF($O$5&gt;50,10+60*($AG1773/100),IF($O$5&gt;40,15+70*($AG1773/100),IF($O$5&gt;30,20+70*($AG1773/100),IF($O$5&gt;20,40+55*($AG1773/100),(80+(20-$O$5)+30*($AG1773/100))))))))))</f>
        <v>100</v>
      </c>
      <c r="AI1773" s="262">
        <v>2440</v>
      </c>
      <c r="AJ1773" s="262"/>
      <c r="AK1773" s="262">
        <v>106</v>
      </c>
      <c r="AL1773" s="263"/>
      <c r="AM1773" s="264"/>
      <c r="AN1773" s="263"/>
      <c r="AO1773" s="263"/>
      <c r="AP1773" s="265"/>
      <c r="AQ1773" s="266"/>
      <c r="AR1773" s="267"/>
      <c r="AS1773" s="263"/>
      <c r="AT1773" s="263">
        <v>16</v>
      </c>
      <c r="AU1773" s="263"/>
      <c r="AV1773" s="264"/>
      <c r="AW1773" s="263"/>
      <c r="AX1773" s="263"/>
      <c r="AY1773" s="263"/>
      <c r="AZ1773" s="263"/>
      <c r="BA1773" s="263"/>
      <c r="BB1773" s="263"/>
      <c r="BC1773" s="263"/>
      <c r="BD1773" s="264"/>
      <c r="BE1773" s="263">
        <v>41</v>
      </c>
      <c r="BF1773" s="263"/>
      <c r="BG1773" s="263"/>
      <c r="BH1773" s="263"/>
      <c r="BI1773" s="263"/>
      <c r="BJ1773" s="404">
        <f>altaz(J2000_Bas,$O1773,$M1773,DecLat,DecLong,2)</f>
        <v>323.93156016332711</v>
      </c>
      <c r="BK1773" s="378" t="s">
        <v>1751</v>
      </c>
      <c r="BL1773" s="379">
        <f>IF((2*G1773)/60&lt;0.2,0.2,(2*G1773)/60)</f>
        <v>0.2</v>
      </c>
      <c r="BM1773" s="380">
        <f>MOD((50000+AD1773-$B$3+(0/24)),1)</f>
        <v>0.52904232122091344</v>
      </c>
      <c r="BN1773" s="381"/>
      <c r="BO1773" s="382">
        <v>1766</v>
      </c>
    </row>
    <row r="1774" spans="1:67" s="24" customFormat="1" ht="15" customHeight="1" x14ac:dyDescent="0.25">
      <c r="A1774" s="287" t="s">
        <v>5557</v>
      </c>
      <c r="B1774" s="241" t="str">
        <f>HYPERLINK(CONCATENATE($AT$3,BK1774,$AU$3),$AV$3)</f>
        <v>S</v>
      </c>
      <c r="C1774" s="242" t="str">
        <f>HYPERLINK(CONCATENATE($AT$4,BK1774,$AU$4,BL1774),$AV$4)</f>
        <v>A</v>
      </c>
      <c r="D1774" s="243" t="s">
        <v>5638</v>
      </c>
      <c r="E1774" s="244" t="s">
        <v>5192</v>
      </c>
      <c r="F1774" s="269" t="s">
        <v>8923</v>
      </c>
      <c r="G1774" s="273">
        <v>6</v>
      </c>
      <c r="H1774" s="283">
        <v>50</v>
      </c>
      <c r="I1774" s="246">
        <v>90</v>
      </c>
      <c r="J1774" s="246">
        <v>5</v>
      </c>
      <c r="K1774" s="247" t="s">
        <v>5559</v>
      </c>
      <c r="L1774" s="248">
        <v>73618</v>
      </c>
      <c r="M1774" s="249">
        <f>15*(LEFT(TEXT($L1774,"000000"),2)+(MID(TEXT($L1774,"000000"),3,2)/60)+(RIGHT(TEXT($L1774,"000000"),2)/3600))</f>
        <v>114.07499999999999</v>
      </c>
      <c r="N1774" s="250">
        <v>-693200</v>
      </c>
      <c r="O1774" s="251">
        <f>IF($N1774&gt;0,(LEFT(TEXT($N1774,"000000"),2)+(MID(TEXT($N1774,"000000"),3,2)/60)+(RIGHT(TEXT($N1774,"000000"),2)/3600)),-(MID(TEXT($N1774,"000000"),2,2)+(MID(TEXT($N1774,"000000"),4,2)/60)+(RIGHT(TEXT($N1774,"000000"),2)/3600)))</f>
        <v>-69.533333333333331</v>
      </c>
      <c r="P1774" s="252" t="s">
        <v>5558</v>
      </c>
      <c r="Q1774" s="253" t="s">
        <v>6887</v>
      </c>
      <c r="R1774" s="277" t="s">
        <v>3293</v>
      </c>
      <c r="S1774" s="272" t="s">
        <v>3293</v>
      </c>
      <c r="T1774" s="273">
        <v>10.4</v>
      </c>
      <c r="U1774" s="289">
        <v>22.79</v>
      </c>
      <c r="V1774" s="280">
        <v>45</v>
      </c>
      <c r="W1774" s="244"/>
      <c r="X1774" s="244"/>
      <c r="Y1774" s="362"/>
      <c r="Z1774" s="257">
        <f>altaz(J2000_Bas,$O1774,$M1774,DecLat,DecLong,1)</f>
        <v>-51.194342363502763</v>
      </c>
      <c r="AA1774" s="257">
        <f>altaz((J2000_Bas+(2*0.04167)),$O1774,$M1774,DecLat,DecLong,1)</f>
        <v>-49.499262817195167</v>
      </c>
      <c r="AB1774" s="257">
        <f>altaz((J2000_Bas+(4*0.04167)),$O1774,$M1774,DecLat,DecLong,1)</f>
        <v>-41.809287630164853</v>
      </c>
      <c r="AC1774" s="257">
        <f>altaz((J2000_Bas+(6*0.04167)),$O1774,$M1774,DecLat,DecLong,1)</f>
        <v>-31.553896107908628</v>
      </c>
      <c r="AD1774" s="258">
        <f>1+ transit((J2000_Bas-1),$O1774,$M1774,DecLat,DecLong)/360 + (GMTOffset/24) + (IF(DST="Y", 1, 0)/24)</f>
        <v>1.309774928942208</v>
      </c>
      <c r="AE1774" s="259">
        <f>DATE(2001,9,21)+(M1774/360)*365 - (360*((DecLong/360)- (GMTOffset/24) ))</f>
        <v>37275.659375000003</v>
      </c>
      <c r="AF1774" s="260">
        <f>IF(DecLat&gt;0,IF((90 - (DecLat-O1774))&gt;90, (90 - (O1774-DecLat)), (90 - (DecLat-O1774))),IF((90 + (DecLat-O1774))&gt;90, (90 + (O1774-DecLat)), (90 + (DecLat-O1774))))</f>
        <v>-10.533333333333331</v>
      </c>
      <c r="AG1774" s="257">
        <f>angularseperation(MoonRA,MoonDec,$M1774,$O1774)</f>
        <v>78.124725665691898</v>
      </c>
      <c r="AH1774" s="261">
        <f ca="1">MIN(100,IF($O$5&gt;80,0+30*($AG1774/100),IF($O$5&gt;70,0+50*($AG1774/100),IF($O$5&gt;60,5+50*($AG1774/100),IF($O$5&gt;50,10+60*($AG1774/100),IF($O$5&gt;40,15+70*($AG1774/100),IF($O$5&gt;30,20+70*($AG1774/100),IF($O$5&gt;20,40+55*($AG1774/100),(80+(20-$O$5)+30*($AG1774/100))))))))))</f>
        <v>100</v>
      </c>
      <c r="AI1774" s="263">
        <v>2442</v>
      </c>
      <c r="AJ1774" s="263"/>
      <c r="AK1774" s="263"/>
      <c r="AL1774" s="263"/>
      <c r="AM1774" s="264"/>
      <c r="AN1774" s="263"/>
      <c r="AO1774" s="263"/>
      <c r="AP1774" s="265"/>
      <c r="AQ1774" s="265"/>
      <c r="AR1774" s="285">
        <v>21373</v>
      </c>
      <c r="AS1774" s="263"/>
      <c r="AT1774" s="263"/>
      <c r="AU1774" s="263"/>
      <c r="AV1774" s="264"/>
      <c r="AW1774" s="263"/>
      <c r="AX1774" s="263"/>
      <c r="AY1774" s="263"/>
      <c r="AZ1774" s="263"/>
      <c r="BA1774" s="263"/>
      <c r="BB1774" s="263"/>
      <c r="BC1774" s="263"/>
      <c r="BD1774" s="264"/>
      <c r="BE1774" s="263"/>
      <c r="BF1774" s="263"/>
      <c r="BG1774" s="263"/>
      <c r="BH1774" s="263"/>
      <c r="BI1774" s="263"/>
      <c r="BJ1774" s="404">
        <f>altaz(J2000_Bas,$O1774,$M1774,DecLat,DecLong,2)</f>
        <v>184.49377573876478</v>
      </c>
      <c r="BK1774" s="378" t="s">
        <v>5557</v>
      </c>
      <c r="BL1774" s="379">
        <f>IF((2*G1774)/60&lt;0.2,0.2,(2*G1774)/60)</f>
        <v>0.2</v>
      </c>
      <c r="BM1774" s="380">
        <f>MOD((50000+AD1774-$B$3+(0/24)),1)</f>
        <v>0.52514185864856699</v>
      </c>
      <c r="BN1774" s="381"/>
      <c r="BO1774" s="382">
        <v>1767</v>
      </c>
    </row>
    <row r="1775" spans="1:67" s="24" customFormat="1" ht="15" customHeight="1" x14ac:dyDescent="0.25">
      <c r="A1775" s="288" t="s">
        <v>1752</v>
      </c>
      <c r="B1775" s="241" t="str">
        <f>HYPERLINK(CONCATENATE($AT$3,BK1775,$AU$3),$AV$3)</f>
        <v>S</v>
      </c>
      <c r="C1775" s="242" t="str">
        <f>HYPERLINK(CONCATENATE($AT$4,BK1775,$AU$4,BL1775),$AV$4)</f>
        <v>A</v>
      </c>
      <c r="D1775" s="243" t="s">
        <v>5335</v>
      </c>
      <c r="E1775" s="244" t="s">
        <v>5185</v>
      </c>
      <c r="F1775" s="269" t="s">
        <v>6665</v>
      </c>
      <c r="G1775" s="276">
        <v>45</v>
      </c>
      <c r="H1775" s="283">
        <v>600</v>
      </c>
      <c r="I1775" s="279">
        <v>8</v>
      </c>
      <c r="J1775" s="246">
        <v>2</v>
      </c>
      <c r="K1775" s="247" t="s">
        <v>7208</v>
      </c>
      <c r="L1775" s="248">
        <v>74515</v>
      </c>
      <c r="M1775" s="249">
        <f>15*(LEFT(TEXT($L1775,"000000"),2)+(MID(TEXT($L1775,"000000"),3,2)/60)+(RIGHT(TEXT($L1775,"000000"),2)/3600))</f>
        <v>116.3125</v>
      </c>
      <c r="N1775" s="250">
        <v>-375800</v>
      </c>
      <c r="O1775" s="251">
        <f>IF($N1775&gt;0,(LEFT(TEXT($N1775,"000000"),2)+(MID(TEXT($N1775,"000000"),3,2)/60)+(RIGHT(TEXT($N1775,"000000"),2)/3600)),-(MID(TEXT($N1775,"000000"),2,2)+(MID(TEXT($N1775,"000000"),4,2)/60)+(RIGHT(TEXT($N1775,"000000"),2)/3600)))</f>
        <v>-37.966666666666669</v>
      </c>
      <c r="P1775" s="252" t="s">
        <v>91</v>
      </c>
      <c r="Q1775" s="253" t="s">
        <v>7154</v>
      </c>
      <c r="R1775" s="277" t="s">
        <v>3293</v>
      </c>
      <c r="S1775" s="272" t="s">
        <v>7207</v>
      </c>
      <c r="T1775" s="273">
        <v>2.8</v>
      </c>
      <c r="U1775" s="274"/>
      <c r="V1775" s="280"/>
      <c r="W1775" s="244"/>
      <c r="X1775" s="244"/>
      <c r="Y1775" s="362"/>
      <c r="Z1775" s="257">
        <f>altaz(J2000_Bas,$O1775,$M1775,DecLat,DecLong,1)</f>
        <v>-79.023735208292237</v>
      </c>
      <c r="AA1775" s="257">
        <f>altaz((J2000_Bas+(2*0.04167)),$O1775,$M1775,DecLat,DecLong,1)</f>
        <v>-72.319966185137375</v>
      </c>
      <c r="AB1775" s="257">
        <f>altaz((J2000_Bas+(4*0.04167)),$O1775,$M1775,DecLat,DecLong,1)</f>
        <v>-48.807080670887785</v>
      </c>
      <c r="AC1775" s="257">
        <f>altaz((J2000_Bas+(6*0.04167)),$O1775,$M1775,DecLat,DecLong,1)</f>
        <v>-25.775832534177781</v>
      </c>
      <c r="AD1775" s="258">
        <f>1+ transit((J2000_Bas-1),$O1775,$M1775,DecLat,DecLong)/360 + (GMTOffset/24) + (IF(DST="Y", 1, 0)/24)</f>
        <v>1.3159902060984581</v>
      </c>
      <c r="AE1775" s="259">
        <f>DATE(2001,9,21)+(M1775/360)*365 - (360*((DecLong/360)- (GMTOffset/24) ))</f>
        <v>37277.927951388891</v>
      </c>
      <c r="AF1775" s="260">
        <f>IF(DecLat&gt;0,IF((90 - (DecLat-O1775))&gt;90, (90 - (O1775-DecLat)), (90 - (DecLat-O1775))),IF((90 + (DecLat-O1775))&gt;90, (90 + (O1775-DecLat)), (90 + (DecLat-O1775))))</f>
        <v>21.033333333333331</v>
      </c>
      <c r="AG1775" s="257">
        <f>angularseperation(MoonRA,MoonDec,$M1775,$O1775)</f>
        <v>101.41839419368132</v>
      </c>
      <c r="AH1775" s="261">
        <f ca="1">MIN(100,IF($O$5&gt;80,0+30*($AG1775/100),IF($O$5&gt;70,0+50*($AG1775/100),IF($O$5&gt;60,5+50*($AG1775/100),IF($O$5&gt;50,10+60*($AG1775/100),IF($O$5&gt;40,15+70*($AG1775/100),IF($O$5&gt;30,20+70*($AG1775/100),IF($O$5&gt;20,40+55*($AG1775/100),(80+(20-$O$5)+30*($AG1775/100))))))))))</f>
        <v>100</v>
      </c>
      <c r="AI1775" s="262">
        <v>2451</v>
      </c>
      <c r="AJ1775" s="262"/>
      <c r="AK1775" s="262"/>
      <c r="AL1775" s="263"/>
      <c r="AM1775" s="264"/>
      <c r="AN1775" s="263"/>
      <c r="AO1775" s="263"/>
      <c r="AP1775" s="265"/>
      <c r="AQ1775" s="266"/>
      <c r="AR1775" s="267"/>
      <c r="AS1775" s="263"/>
      <c r="AT1775" s="263"/>
      <c r="AU1775" s="263"/>
      <c r="AV1775" s="264"/>
      <c r="AW1775" s="263"/>
      <c r="AX1775" s="263"/>
      <c r="AY1775" s="263"/>
      <c r="AZ1775" s="263"/>
      <c r="BA1775" s="263"/>
      <c r="BB1775" s="263"/>
      <c r="BC1775" s="263"/>
      <c r="BD1775" s="264"/>
      <c r="BE1775" s="263">
        <v>42</v>
      </c>
      <c r="BF1775" s="263"/>
      <c r="BG1775" s="263"/>
      <c r="BH1775" s="263"/>
      <c r="BI1775" s="263"/>
      <c r="BJ1775" s="404">
        <f>altaz(J2000_Bas,$O1775,$M1775,DecLat,DecLong,2)</f>
        <v>227.82008351640408</v>
      </c>
      <c r="BK1775" s="378" t="s">
        <v>1752</v>
      </c>
      <c r="BL1775" s="379">
        <f>IF((2*G1775)/60&lt;0.2,0.2,(2*G1775)/60)</f>
        <v>1.5</v>
      </c>
      <c r="BM1775" s="380">
        <f>MOD((50000+AD1775-$B$3+(0/24)),1)</f>
        <v>0.53135713580559241</v>
      </c>
      <c r="BN1775" s="381"/>
      <c r="BO1775" s="382">
        <v>1768</v>
      </c>
    </row>
    <row r="1776" spans="1:67" s="24" customFormat="1" ht="15" customHeight="1" x14ac:dyDescent="0.25">
      <c r="A1776" s="288" t="s">
        <v>1753</v>
      </c>
      <c r="B1776" s="241" t="str">
        <f>HYPERLINK(CONCATENATE($AT$3,BK1776,$AU$3),$AV$3)</f>
        <v>S</v>
      </c>
      <c r="C1776" s="242" t="str">
        <f>HYPERLINK(CONCATENATE($AT$4,BK1776,$AU$4,BL1776),$AV$4)</f>
        <v>A</v>
      </c>
      <c r="D1776" s="243" t="s">
        <v>5187</v>
      </c>
      <c r="E1776" s="244" t="s">
        <v>5181</v>
      </c>
      <c r="F1776" s="269" t="s">
        <v>7211</v>
      </c>
      <c r="G1776" s="270">
        <v>0.5</v>
      </c>
      <c r="H1776" s="283">
        <v>11400</v>
      </c>
      <c r="I1776" s="279">
        <v>1.7</v>
      </c>
      <c r="J1776" s="246">
        <v>2</v>
      </c>
      <c r="K1776" s="247" t="s">
        <v>7212</v>
      </c>
      <c r="L1776" s="248">
        <v>74726</v>
      </c>
      <c r="M1776" s="249">
        <f>15*(LEFT(TEXT($L1776,"000000"),2)+(MID(TEXT($L1776,"000000"),3,2)/60)+(RIGHT(TEXT($L1776,"000000"),2)/3600))</f>
        <v>116.85833333333333</v>
      </c>
      <c r="N1776" s="250">
        <v>-272007</v>
      </c>
      <c r="O1776" s="251">
        <f>IF($N1776&gt;0,(LEFT(TEXT($N1776,"000000"),2)+(MID(TEXT($N1776,"000000"),3,2)/60)+(RIGHT(TEXT($N1776,"000000"),2)/3600)),-(MID(TEXT($N1776,"000000"),2,2)+(MID(TEXT($N1776,"000000"),4,2)/60)+(RIGHT(TEXT($N1776,"000000"),2)/3600)))</f>
        <v>-27.335277777777776</v>
      </c>
      <c r="P1776" s="252" t="s">
        <v>91</v>
      </c>
      <c r="Q1776" s="253"/>
      <c r="R1776" s="247"/>
      <c r="S1776" s="272" t="s">
        <v>7213</v>
      </c>
      <c r="T1776" s="273">
        <v>12</v>
      </c>
      <c r="U1776" s="274"/>
      <c r="V1776" s="280"/>
      <c r="W1776" s="244"/>
      <c r="X1776" s="244"/>
      <c r="Y1776" s="362"/>
      <c r="Z1776" s="257">
        <f>altaz(J2000_Bas,$O1776,$M1776,DecLat,DecLong,1)</f>
        <v>-79.843148046629111</v>
      </c>
      <c r="AA1776" s="257">
        <f>altaz((J2000_Bas+(2*0.04167)),$O1776,$M1776,DecLat,DecLong,1)</f>
        <v>-72.838013484094901</v>
      </c>
      <c r="AB1776" s="257">
        <f>altaz((J2000_Bas+(4*0.04167)),$O1776,$M1776,DecLat,DecLong,1)</f>
        <v>-47.130920923518879</v>
      </c>
      <c r="AC1776" s="257">
        <f>altaz((J2000_Bas+(6*0.04167)),$O1776,$M1776,DecLat,DecLong,1)</f>
        <v>-22.123290091442833</v>
      </c>
      <c r="AD1776" s="258">
        <f>1+ transit((J2000_Bas-1),$O1776,$M1776,DecLat,DecLong)/360 + (GMTOffset/24) + (IF(DST="Y", 1, 0)/24)</f>
        <v>1.3175064096505413</v>
      </c>
      <c r="AE1776" s="259">
        <f>DATE(2001,9,21)+(M1776/360)*365 - (360*((DecLong/360)- (GMTOffset/24) ))</f>
        <v>37278.481365740743</v>
      </c>
      <c r="AF1776" s="260">
        <f>IF(DecLat&gt;0,IF((90 - (DecLat-O1776))&gt;90, (90 - (O1776-DecLat)), (90 - (DecLat-O1776))),IF((90 + (DecLat-O1776))&gt;90, (90 + (O1776-DecLat)), (90 + (DecLat-O1776))))</f>
        <v>31.664722222222224</v>
      </c>
      <c r="AG1776" s="257">
        <f>angularseperation(MoonRA,MoonDec,$M1776,$O1776)</f>
        <v>108.90985396743348</v>
      </c>
      <c r="AH1776" s="261">
        <f ca="1">MIN(100,IF($O$5&gt;80,0+30*($AG1776/100),IF($O$5&gt;70,0+50*($AG1776/100),IF($O$5&gt;60,5+50*($AG1776/100),IF($O$5&gt;50,10+60*($AG1776/100),IF($O$5&gt;40,15+70*($AG1776/100),IF($O$5&gt;30,20+70*($AG1776/100),IF($O$5&gt;20,40+55*($AG1776/100),(80+(20-$O$5)+30*($AG1776/100))))))))))</f>
        <v>100</v>
      </c>
      <c r="AI1776" s="262">
        <v>2452</v>
      </c>
      <c r="AJ1776" s="262"/>
      <c r="AK1776" s="262"/>
      <c r="AL1776" s="263"/>
      <c r="AM1776" s="264"/>
      <c r="AN1776" s="263"/>
      <c r="AO1776" s="263"/>
      <c r="AP1776" s="265"/>
      <c r="AQ1776" s="266"/>
      <c r="AR1776" s="267"/>
      <c r="AS1776" s="263"/>
      <c r="AT1776" s="263"/>
      <c r="AU1776" s="263"/>
      <c r="AV1776" s="264"/>
      <c r="AW1776" s="263"/>
      <c r="AX1776" s="263"/>
      <c r="AY1776" s="263"/>
      <c r="AZ1776" s="263"/>
      <c r="BA1776" s="263">
        <v>17</v>
      </c>
      <c r="BB1776" s="263"/>
      <c r="BC1776" s="263"/>
      <c r="BD1776" s="264"/>
      <c r="BE1776" s="263"/>
      <c r="BF1776" s="263"/>
      <c r="BG1776" s="263"/>
      <c r="BH1776" s="263"/>
      <c r="BI1776" s="263"/>
      <c r="BJ1776" s="404">
        <f>altaz(J2000_Bas,$O1776,$M1776,DecLat,DecLong,2)</f>
        <v>288.42314625383432</v>
      </c>
      <c r="BK1776" s="378" t="s">
        <v>1753</v>
      </c>
      <c r="BL1776" s="379">
        <f>IF((2*G1776)/60&lt;0.2,0.2,(2*G1776)/60)</f>
        <v>0.2</v>
      </c>
      <c r="BM1776" s="380">
        <f>MOD((50000+AD1776-$B$3+(0/24)),1)</f>
        <v>0.53287333935440984</v>
      </c>
      <c r="BN1776" s="381"/>
      <c r="BO1776" s="382">
        <v>1769</v>
      </c>
    </row>
    <row r="1777" spans="1:67" s="24" customFormat="1" ht="15" customHeight="1" x14ac:dyDescent="0.25">
      <c r="A1777" s="288" t="s">
        <v>1754</v>
      </c>
      <c r="B1777" s="241" t="str">
        <f>HYPERLINK(CONCATENATE($AT$3,BK1777,$AU$3),$AV$3)</f>
        <v>S</v>
      </c>
      <c r="C1777" s="242" t="str">
        <f>HYPERLINK(CONCATENATE($AT$4,BK1777,$AU$4,BL1777),$AV$4)</f>
        <v>A</v>
      </c>
      <c r="D1777" s="243" t="s">
        <v>5335</v>
      </c>
      <c r="E1777" s="244" t="s">
        <v>5185</v>
      </c>
      <c r="F1777" s="269" t="s">
        <v>7215</v>
      </c>
      <c r="G1777" s="273">
        <v>5</v>
      </c>
      <c r="H1777" s="283">
        <v>15000</v>
      </c>
      <c r="I1777" s="246">
        <v>22</v>
      </c>
      <c r="J1777" s="246">
        <v>3</v>
      </c>
      <c r="K1777" s="247" t="s">
        <v>7216</v>
      </c>
      <c r="L1777" s="248">
        <v>74735</v>
      </c>
      <c r="M1777" s="249">
        <f>15*(LEFT(TEXT($L1777,"000000"),2)+(MID(TEXT($L1777,"000000"),3,2)/60)+(RIGHT(TEXT($L1777,"000000"),2)/3600))</f>
        <v>116.89583333333333</v>
      </c>
      <c r="N1777" s="286">
        <v>-271138</v>
      </c>
      <c r="O1777" s="251">
        <f>IF($N1777&gt;0,(LEFT(TEXT($N1777,"000000"),2)+(MID(TEXT($N1777,"000000"),3,2)/60)+(RIGHT(TEXT($N1777,"000000"),2)/3600)),-(MID(TEXT($N1777,"000000"),2,2)+(MID(TEXT($N1777,"000000"),4,2)/60)+(RIGHT(TEXT($N1777,"000000"),2)/3600)))</f>
        <v>-27.193888888888889</v>
      </c>
      <c r="P1777" s="252" t="s">
        <v>91</v>
      </c>
      <c r="Q1777" s="253"/>
      <c r="R1777" s="247" t="s">
        <v>3293</v>
      </c>
      <c r="S1777" s="272" t="s">
        <v>7214</v>
      </c>
      <c r="T1777" s="273">
        <v>8.3000000000000007</v>
      </c>
      <c r="U1777" s="274"/>
      <c r="V1777" s="280"/>
      <c r="W1777" s="244"/>
      <c r="X1777" s="244"/>
      <c r="Y1777" s="362"/>
      <c r="Z1777" s="257">
        <f>altaz(J2000_Bas,$O1777,$M1777,DecLat,DecLong,1)</f>
        <v>-79.755069221466357</v>
      </c>
      <c r="AA1777" s="257">
        <f>altaz((J2000_Bas+(2*0.04167)),$O1777,$M1777,DecLat,DecLong,1)</f>
        <v>-72.828183359225562</v>
      </c>
      <c r="AB1777" s="257">
        <f>altaz((J2000_Bas+(4*0.04167)),$O1777,$M1777,DecLat,DecLong,1)</f>
        <v>-47.120834896964745</v>
      </c>
      <c r="AC1777" s="257">
        <f>altaz((J2000_Bas+(6*0.04167)),$O1777,$M1777,DecLat,DecLong,1)</f>
        <v>-22.094779066470743</v>
      </c>
      <c r="AD1777" s="258">
        <f>1+ transit((J2000_Bas-1),$O1777,$M1777,DecLat,DecLong)/360 + (GMTOffset/24) + (IF(DST="Y", 1, 0)/24)</f>
        <v>1.3176105763067913</v>
      </c>
      <c r="AE1777" s="259">
        <f>DATE(2001,9,21)+(M1777/360)*365 - (360*((DecLong/360)- (GMTOffset/24) ))</f>
        <v>37278.519386574073</v>
      </c>
      <c r="AF1777" s="260">
        <f>IF(DecLat&gt;0,IF((90 - (DecLat-O1777))&gt;90, (90 - (O1777-DecLat)), (90 - (DecLat-O1777))),IF((90 + (DecLat-O1777))&gt;90, (90 + (O1777-DecLat)), (90 + (DecLat-O1777))))</f>
        <v>31.806111111111107</v>
      </c>
      <c r="AG1777" s="257">
        <f>angularseperation(MoonRA,MoonDec,$M1777,$O1777)</f>
        <v>108.98825562322692</v>
      </c>
      <c r="AH1777" s="261">
        <f ca="1">MIN(100,IF($O$5&gt;80,0+30*($AG1777/100),IF($O$5&gt;70,0+50*($AG1777/100),IF($O$5&gt;60,5+50*($AG1777/100),IF($O$5&gt;50,10+60*($AG1777/100),IF($O$5&gt;40,15+70*($AG1777/100),IF($O$5&gt;30,20+70*($AG1777/100),IF($O$5&gt;20,40+55*($AG1777/100),(80+(20-$O$5)+30*($AG1777/100))))))))))</f>
        <v>100</v>
      </c>
      <c r="AI1777" s="262">
        <v>2453</v>
      </c>
      <c r="AJ1777" s="262"/>
      <c r="AK1777" s="262"/>
      <c r="AL1777" s="263"/>
      <c r="AM1777" s="264"/>
      <c r="AN1777" s="263"/>
      <c r="AO1777" s="263"/>
      <c r="AP1777" s="265"/>
      <c r="AQ1777" s="266"/>
      <c r="AR1777" s="267"/>
      <c r="AS1777" s="263"/>
      <c r="AT1777" s="263"/>
      <c r="AU1777" s="263"/>
      <c r="AV1777" s="264"/>
      <c r="AW1777" s="263"/>
      <c r="AX1777" s="263"/>
      <c r="AY1777" s="263"/>
      <c r="AZ1777" s="263"/>
      <c r="BA1777" s="263"/>
      <c r="BB1777" s="263"/>
      <c r="BC1777" s="263"/>
      <c r="BD1777" s="264"/>
      <c r="BE1777" s="263"/>
      <c r="BF1777" s="263"/>
      <c r="BG1777" s="263"/>
      <c r="BH1777" s="263"/>
      <c r="BI1777" s="263"/>
      <c r="BJ1777" s="404">
        <f>altaz(J2000_Bas,$O1777,$M1777,DecLat,DecLong,2)</f>
        <v>289.07542296158391</v>
      </c>
      <c r="BK1777" s="378" t="s">
        <v>1754</v>
      </c>
      <c r="BL1777" s="379">
        <f>IF((2*G1777)/60&lt;0.2,0.2,(2*G1777)/60)</f>
        <v>0.2</v>
      </c>
      <c r="BM1777" s="380">
        <f>MOD((50000+AD1777-$B$3+(0/24)),1)</f>
        <v>0.53297750600904692</v>
      </c>
      <c r="BN1777" s="381"/>
      <c r="BO1777" s="382">
        <v>1770</v>
      </c>
    </row>
    <row r="1778" spans="1:67" s="24" customFormat="1" ht="15" customHeight="1" x14ac:dyDescent="0.25">
      <c r="A1778" s="288" t="s">
        <v>1755</v>
      </c>
      <c r="B1778" s="241" t="str">
        <f>HYPERLINK(CONCATENATE($AT$3,BK1778,$AU$3),$AV$3)</f>
        <v>S</v>
      </c>
      <c r="C1778" s="242" t="str">
        <f>HYPERLINK(CONCATENATE($AT$4,BK1778,$AU$4,BL1778),$AV$4)</f>
        <v>A</v>
      </c>
      <c r="D1778" s="243" t="s">
        <v>5638</v>
      </c>
      <c r="E1778" s="244" t="s">
        <v>5192</v>
      </c>
      <c r="F1778" s="269" t="s">
        <v>8914</v>
      </c>
      <c r="G1778" s="273">
        <v>4.5</v>
      </c>
      <c r="H1778" s="283">
        <v>115</v>
      </c>
      <c r="I1778" s="246">
        <v>150</v>
      </c>
      <c r="J1778" s="246">
        <v>2</v>
      </c>
      <c r="K1778" s="247" t="s">
        <v>7218</v>
      </c>
      <c r="L1778" s="248">
        <v>75653</v>
      </c>
      <c r="M1778" s="249">
        <f>15*(LEFT(TEXT($L1778,"000000"),2)+(MID(TEXT($L1778,"000000"),3,2)/60)+(RIGHT(TEXT($L1778,"000000"),2)/3600))</f>
        <v>119.22083333333333</v>
      </c>
      <c r="N1778" s="250">
        <v>602058</v>
      </c>
      <c r="O1778" s="251">
        <f>IF($N1778&gt;0,(LEFT(TEXT($N1778,"000000"),2)+(MID(TEXT($N1778,"000000"),3,2)/60)+(RIGHT(TEXT($N1778,"000000"),2)/3600)),-(MID(TEXT($N1778,"000000"),2,2)+(MID(TEXT($N1778,"000000"),4,2)/60)+(RIGHT(TEXT($N1778,"000000"),2)/3600)))</f>
        <v>60.349444444444444</v>
      </c>
      <c r="P1778" s="252" t="s">
        <v>226</v>
      </c>
      <c r="Q1778" s="253"/>
      <c r="R1778" s="247" t="s">
        <v>3293</v>
      </c>
      <c r="S1778" s="272" t="s">
        <v>7217</v>
      </c>
      <c r="T1778" s="273">
        <v>11.8</v>
      </c>
      <c r="U1778" s="289">
        <v>22.19</v>
      </c>
      <c r="V1778" s="280">
        <v>40</v>
      </c>
      <c r="W1778" s="244"/>
      <c r="X1778" s="244"/>
      <c r="Y1778" s="362"/>
      <c r="Z1778" s="257">
        <f>altaz(J2000_Bas,$O1778,$M1778,DecLat,DecLong,1)</f>
        <v>1.9934176168616971</v>
      </c>
      <c r="AA1778" s="257">
        <f>altaz((J2000_Bas+(2*0.04167)),$O1778,$M1778,DecLat,DecLong,1)</f>
        <v>2.3951363722900747</v>
      </c>
      <c r="AB1778" s="257">
        <f>altaz((J2000_Bas+(4*0.04167)),$O1778,$M1778,DecLat,DecLong,1)</f>
        <v>9.0985081260770464</v>
      </c>
      <c r="AC1778" s="257">
        <f>altaz((J2000_Bas+(6*0.04167)),$O1778,$M1778,DecLat,DecLong,1)</f>
        <v>20.638081678649495</v>
      </c>
      <c r="AD1778" s="258">
        <f>1+ transit((J2000_Bas-1),$O1778,$M1778,DecLat,DecLong)/360 + (GMTOffset/24) + (IF(DST="Y", 1, 0)/24)</f>
        <v>1.3240689089942912</v>
      </c>
      <c r="AE1778" s="259">
        <f>DATE(2001,9,21)+(M1778/360)*365 - (360*((DecLong/360)- (GMTOffset/24) ))</f>
        <v>37280.87667824074</v>
      </c>
      <c r="AF1778" s="260">
        <f>IF(DecLat&gt;0,IF((90 - (DecLat-O1778))&gt;90, (90 - (O1778-DecLat)), (90 - (DecLat-O1778))),IF((90 + (DecLat-O1778))&gt;90, (90 + (O1778-DecLat)), (90 + (DecLat-O1778))))</f>
        <v>60.650555555555556</v>
      </c>
      <c r="AG1778" s="257">
        <f>angularseperation(MoonRA,MoonDec,$M1778,$O1778)</f>
        <v>132.75977518159766</v>
      </c>
      <c r="AH1778" s="261">
        <f ca="1">MIN(100,IF($O$5&gt;80,0+30*($AG1778/100),IF($O$5&gt;70,0+50*($AG1778/100),IF($O$5&gt;60,5+50*($AG1778/100),IF($O$5&gt;50,10+60*($AG1778/100),IF($O$5&gt;40,15+70*($AG1778/100),IF($O$5&gt;30,20+70*($AG1778/100),IF($O$5&gt;20,40+55*($AG1778/100),(80+(20-$O$5)+30*($AG1778/100))))))))))</f>
        <v>100</v>
      </c>
      <c r="AI1778" s="262">
        <v>2460</v>
      </c>
      <c r="AJ1778" s="262"/>
      <c r="AK1778" s="262"/>
      <c r="AL1778" s="263"/>
      <c r="AM1778" s="264"/>
      <c r="AN1778" s="263"/>
      <c r="AO1778" s="263"/>
      <c r="AP1778" s="265"/>
      <c r="AQ1778" s="266">
        <v>4097</v>
      </c>
      <c r="AR1778" s="267">
        <v>22270</v>
      </c>
      <c r="AS1778" s="263"/>
      <c r="AT1778" s="263"/>
      <c r="AU1778" s="263"/>
      <c r="AV1778" s="264"/>
      <c r="AW1778" s="263"/>
      <c r="AX1778" s="263"/>
      <c r="AY1778" s="263"/>
      <c r="AZ1778" s="263"/>
      <c r="BA1778" s="263"/>
      <c r="BB1778" s="263"/>
      <c r="BC1778" s="263"/>
      <c r="BD1778" s="264"/>
      <c r="BE1778" s="263"/>
      <c r="BF1778" s="263"/>
      <c r="BG1778" s="263"/>
      <c r="BH1778" s="263"/>
      <c r="BI1778" s="263"/>
      <c r="BJ1778" s="404">
        <f>altaz(J2000_Bas,$O1778,$M1778,DecLat,DecLong,2)</f>
        <v>353.50083451196281</v>
      </c>
      <c r="BK1778" s="378" t="s">
        <v>1755</v>
      </c>
      <c r="BL1778" s="379">
        <f>IF((2*G1778)/60&lt;0.2,0.2,(2*G1778)/60)</f>
        <v>0.2</v>
      </c>
      <c r="BM1778" s="380">
        <f>MOD((50000+AD1778-$B$3+(0/24)),1)</f>
        <v>0.5394358386984095</v>
      </c>
      <c r="BN1778" s="381"/>
      <c r="BO1778" s="382">
        <v>1771</v>
      </c>
    </row>
    <row r="1779" spans="1:67" s="24" customFormat="1" ht="15" customHeight="1" x14ac:dyDescent="0.25">
      <c r="A1779" s="288" t="s">
        <v>1756</v>
      </c>
      <c r="B1779" s="241" t="str">
        <f>HYPERLINK(CONCATENATE($AT$3,BK1779,$AU$3),$AV$3)</f>
        <v>S</v>
      </c>
      <c r="C1779" s="242" t="str">
        <f>HYPERLINK(CONCATENATE($AT$4,BK1779,$AU$4,BL1779),$AV$4)</f>
        <v>A</v>
      </c>
      <c r="D1779" s="243" t="s">
        <v>5187</v>
      </c>
      <c r="E1779" s="244" t="s">
        <v>5183</v>
      </c>
      <c r="F1779" s="269" t="s">
        <v>9161</v>
      </c>
      <c r="G1779" s="276">
        <v>50</v>
      </c>
      <c r="H1779" s="283">
        <v>13000</v>
      </c>
      <c r="I1779" s="246">
        <v>190</v>
      </c>
      <c r="J1779" s="246">
        <v>4</v>
      </c>
      <c r="K1779" s="247" t="s">
        <v>7219</v>
      </c>
      <c r="L1779" s="248">
        <v>75226</v>
      </c>
      <c r="M1779" s="249">
        <f>15*(LEFT(TEXT($L1779,"000000"),2)+(MID(TEXT($L1779,"000000"),3,2)/60)+(RIGHT(TEXT($L1779,"000000"),2)/3600))</f>
        <v>118.10833333333335</v>
      </c>
      <c r="N1779" s="250">
        <v>-262612</v>
      </c>
      <c r="O1779" s="251">
        <f>IF($N1779&gt;0,(LEFT(TEXT($N1779,"000000"),2)+(MID(TEXT($N1779,"000000"),3,2)/60)+(RIGHT(TEXT($N1779,"000000"),2)/3600)),-(MID(TEXT($N1779,"000000"),2,2)+(MID(TEXT($N1779,"000000"),4,2)/60)+(RIGHT(TEXT($N1779,"000000"),2)/3600)))</f>
        <v>-26.436666666666667</v>
      </c>
      <c r="P1779" s="252" t="s">
        <v>91</v>
      </c>
      <c r="Q1779" s="253" t="s">
        <v>7066</v>
      </c>
      <c r="R1779" s="247" t="s">
        <v>6052</v>
      </c>
      <c r="S1779" s="272" t="s">
        <v>3293</v>
      </c>
      <c r="T1779" s="273">
        <v>7.1</v>
      </c>
      <c r="U1779" s="274"/>
      <c r="V1779" s="280"/>
      <c r="W1779" s="244"/>
      <c r="X1779" s="244"/>
      <c r="Y1779" s="362"/>
      <c r="Z1779" s="257">
        <f>altaz(J2000_Bas,$O1779,$M1779,DecLat,DecLong,1)</f>
        <v>-78.453311609724395</v>
      </c>
      <c r="AA1779" s="257">
        <f>altaz((J2000_Bas+(2*0.04167)),$O1779,$M1779,DecLat,DecLong,1)</f>
        <v>-73.607702505929453</v>
      </c>
      <c r="AB1779" s="257">
        <f>altaz((J2000_Bas+(4*0.04167)),$O1779,$M1779,DecLat,DecLong,1)</f>
        <v>-47.923116831726411</v>
      </c>
      <c r="AC1779" s="257">
        <f>altaz((J2000_Bas+(6*0.04167)),$O1779,$M1779,DecLat,DecLong,1)</f>
        <v>-22.764170083229317</v>
      </c>
      <c r="AD1779" s="258">
        <f>1+ transit((J2000_Bas-1),$O1779,$M1779,DecLat,DecLong)/360 + (GMTOffset/24) + (IF(DST="Y", 1, 0)/24)</f>
        <v>1.3209786315255414</v>
      </c>
      <c r="AE1779" s="259">
        <f>DATE(2001,9,21)+(M1779/360)*365 - (360*((DecLong/360)- (GMTOffset/24) ))</f>
        <v>37279.748726851853</v>
      </c>
      <c r="AF1779" s="260">
        <f>IF(DecLat&gt;0,IF((90 - (DecLat-O1779))&gt;90, (90 - (O1779-DecLat)), (90 - (DecLat-O1779))),IF((90 + (DecLat-O1779))&gt;90, (90 + (O1779-DecLat)), (90 + (DecLat-O1779))))</f>
        <v>32.563333333333333</v>
      </c>
      <c r="AG1779" s="257">
        <f>angularseperation(MoonRA,MoonDec,$M1779,$O1779)</f>
        <v>108.7676675722973</v>
      </c>
      <c r="AH1779" s="261">
        <f ca="1">MIN(100,IF($O$5&gt;80,0+30*($AG1779/100),IF($O$5&gt;70,0+50*($AG1779/100),IF($O$5&gt;60,5+50*($AG1779/100),IF($O$5&gt;50,10+60*($AG1779/100),IF($O$5&gt;40,15+70*($AG1779/100),IF($O$5&gt;30,20+70*($AG1779/100),IF($O$5&gt;20,40+55*($AG1779/100),(80+(20-$O$5)+30*($AG1779/100))))))))))</f>
        <v>100</v>
      </c>
      <c r="AI1779" s="262">
        <v>2467</v>
      </c>
      <c r="AJ1779" s="262"/>
      <c r="AK1779" s="262"/>
      <c r="AL1779" s="263"/>
      <c r="AM1779" s="264"/>
      <c r="AN1779" s="263"/>
      <c r="AO1779" s="263"/>
      <c r="AP1779" s="265"/>
      <c r="AQ1779" s="266"/>
      <c r="AR1779" s="267"/>
      <c r="AS1779" s="263"/>
      <c r="AT1779" s="263"/>
      <c r="AU1779" s="263"/>
      <c r="AV1779" s="264"/>
      <c r="AW1779" s="263"/>
      <c r="AX1779" s="263">
        <v>9</v>
      </c>
      <c r="AY1779" s="263">
        <v>1067</v>
      </c>
      <c r="AZ1779" s="263"/>
      <c r="BA1779" s="263">
        <v>16</v>
      </c>
      <c r="BB1779" s="263">
        <v>311</v>
      </c>
      <c r="BC1779" s="263"/>
      <c r="BD1779" s="264"/>
      <c r="BE1779" s="263">
        <v>43</v>
      </c>
      <c r="BF1779" s="263"/>
      <c r="BG1779" s="263"/>
      <c r="BH1779" s="263"/>
      <c r="BI1779" s="263"/>
      <c r="BJ1779" s="404">
        <f>altaz(J2000_Bas,$O1779,$M1779,DecLat,DecLong,2)</f>
        <v>290.25746996615919</v>
      </c>
      <c r="BK1779" s="378" t="s">
        <v>1756</v>
      </c>
      <c r="BL1779" s="379">
        <f>IF((2*G1779)/60&lt;0.2,0.2,(2*G1779)/60)</f>
        <v>1.6666666666666667</v>
      </c>
      <c r="BM1779" s="380">
        <f>MOD((50000+AD1779-$B$3+(0/24)),1)</f>
        <v>0.53634556123142829</v>
      </c>
      <c r="BN1779" s="381"/>
      <c r="BO1779" s="382">
        <v>1772</v>
      </c>
    </row>
    <row r="1780" spans="1:67" s="24" customFormat="1" ht="15" customHeight="1" x14ac:dyDescent="0.25">
      <c r="A1780" s="288" t="s">
        <v>1757</v>
      </c>
      <c r="B1780" s="241" t="str">
        <f>HYPERLINK(CONCATENATE($AT$3,BK1780,$AU$3),$AV$3)</f>
        <v>S</v>
      </c>
      <c r="C1780" s="242" t="str">
        <f>HYPERLINK(CONCATENATE($AT$4,BK1780,$AU$4,BL1780),$AV$4)</f>
        <v>A</v>
      </c>
      <c r="D1780" s="243" t="s">
        <v>5335</v>
      </c>
      <c r="E1780" s="244" t="s">
        <v>5185</v>
      </c>
      <c r="F1780" s="269" t="s">
        <v>6614</v>
      </c>
      <c r="G1780" s="276">
        <v>30</v>
      </c>
      <c r="H1780" s="283">
        <v>4000</v>
      </c>
      <c r="I1780" s="246">
        <v>36</v>
      </c>
      <c r="J1780" s="246">
        <v>3</v>
      </c>
      <c r="K1780" s="247" t="s">
        <v>7210</v>
      </c>
      <c r="L1780" s="248">
        <v>75210</v>
      </c>
      <c r="M1780" s="249">
        <f>15*(LEFT(TEXT($L1780,"000000"),2)+(MID(TEXT($L1780,"000000"),3,2)/60)+(RIGHT(TEXT($L1780,"000000"),2)/3600))</f>
        <v>118.04166666666669</v>
      </c>
      <c r="N1780" s="250">
        <v>-383148</v>
      </c>
      <c r="O1780" s="251">
        <f>IF($N1780&gt;0,(LEFT(TEXT($N1780,"000000"),2)+(MID(TEXT($N1780,"000000"),3,2)/60)+(RIGHT(TEXT($N1780,"000000"),2)/3600)),-(MID(TEXT($N1780,"000000"),2,2)+(MID(TEXT($N1780,"000000"),4,2)/60)+(RIGHT(TEXT($N1780,"000000"),2)/3600)))</f>
        <v>-38.53</v>
      </c>
      <c r="P1780" s="252" t="s">
        <v>91</v>
      </c>
      <c r="Q1780" s="253"/>
      <c r="R1780" s="247" t="s">
        <v>7383</v>
      </c>
      <c r="S1780" s="272" t="s">
        <v>7209</v>
      </c>
      <c r="T1780" s="273">
        <v>5.8</v>
      </c>
      <c r="U1780" s="274"/>
      <c r="V1780" s="280"/>
      <c r="W1780" s="244"/>
      <c r="X1780" s="244"/>
      <c r="Y1780" s="362"/>
      <c r="Z1780" s="257">
        <f>altaz(J2000_Bas,$O1780,$M1780,DecLat,DecLong,1)</f>
        <v>-77.588240212574433</v>
      </c>
      <c r="AA1780" s="257">
        <f>altaz((J2000_Bas+(2*0.04167)),$O1780,$M1780,DecLat,DecLong,1)</f>
        <v>-73.414075079066464</v>
      </c>
      <c r="AB1780" s="257">
        <f>altaz((J2000_Bas+(4*0.04167)),$O1780,$M1780,DecLat,DecLong,1)</f>
        <v>-50.208709153729195</v>
      </c>
      <c r="AC1780" s="257">
        <f>altaz((J2000_Bas+(6*0.04167)),$O1780,$M1780,DecLat,DecLong,1)</f>
        <v>-27.244380355212524</v>
      </c>
      <c r="AD1780" s="258">
        <f>1+ transit((J2000_Bas-1),$O1780,$M1780,DecLat,DecLong)/360 + (GMTOffset/24) + (IF(DST="Y", 1, 0)/24)</f>
        <v>1.3207934463588746</v>
      </c>
      <c r="AE1780" s="259">
        <f>DATE(2001,9,21)+(M1780/360)*365 - (360*((DecLong/360)- (GMTOffset/24) ))</f>
        <v>37279.681134259263</v>
      </c>
      <c r="AF1780" s="260">
        <f>IF(DecLat&gt;0,IF((90 - (DecLat-O1780))&gt;90, (90 - (O1780-DecLat)), (90 - (DecLat-O1780))),IF((90 + (DecLat-O1780))&gt;90, (90 + (O1780-DecLat)), (90 + (DecLat-O1780))))</f>
        <v>20.47</v>
      </c>
      <c r="AG1780" s="257">
        <f>angularseperation(MoonRA,MoonDec,$M1780,$O1780)</f>
        <v>100.08803216607544</v>
      </c>
      <c r="AH1780" s="261">
        <f ca="1">MIN(100,IF($O$5&gt;80,0+30*($AG1780/100),IF($O$5&gt;70,0+50*($AG1780/100),IF($O$5&gt;60,5+50*($AG1780/100),IF($O$5&gt;50,10+60*($AG1780/100),IF($O$5&gt;40,15+70*($AG1780/100),IF($O$5&gt;30,20+70*($AG1780/100),IF($O$5&gt;20,40+55*($AG1780/100),(80+(20-$O$5)+30*($AG1780/100))))))))))</f>
        <v>100</v>
      </c>
      <c r="AI1780" s="262">
        <v>2477</v>
      </c>
      <c r="AJ1780" s="262"/>
      <c r="AK1780" s="262"/>
      <c r="AL1780" s="263"/>
      <c r="AM1780" s="264">
        <v>71</v>
      </c>
      <c r="AN1780" s="263"/>
      <c r="AO1780" s="263"/>
      <c r="AP1780" s="265"/>
      <c r="AQ1780" s="266"/>
      <c r="AR1780" s="267"/>
      <c r="AS1780" s="263"/>
      <c r="AT1780" s="263"/>
      <c r="AU1780" s="263"/>
      <c r="AV1780" s="264"/>
      <c r="AW1780" s="263"/>
      <c r="AX1780" s="263"/>
      <c r="AY1780" s="263"/>
      <c r="AZ1780" s="263"/>
      <c r="BA1780" s="263"/>
      <c r="BB1780" s="263"/>
      <c r="BC1780" s="263"/>
      <c r="BD1780" s="264"/>
      <c r="BE1780" s="263"/>
      <c r="BF1780" s="263"/>
      <c r="BG1780" s="263"/>
      <c r="BH1780" s="263"/>
      <c r="BI1780" s="263"/>
      <c r="BJ1780" s="404">
        <f>altaz(J2000_Bas,$O1780,$M1780,DecLat,DecLong,2)</f>
        <v>229.38867994709224</v>
      </c>
      <c r="BK1780" s="378" t="s">
        <v>1757</v>
      </c>
      <c r="BL1780" s="379">
        <f>IF((2*G1780)/60&lt;0.2,0.2,(2*G1780)/60)</f>
        <v>1</v>
      </c>
      <c r="BM1780" s="380">
        <f>MOD((50000+AD1780-$B$3+(0/24)),1)</f>
        <v>0.53616037606116151</v>
      </c>
      <c r="BN1780" s="381"/>
      <c r="BO1780" s="382">
        <v>1773</v>
      </c>
    </row>
    <row r="1781" spans="1:67" s="24" customFormat="1" ht="15" customHeight="1" x14ac:dyDescent="0.25">
      <c r="A1781" s="287" t="s">
        <v>8752</v>
      </c>
      <c r="B1781" s="241" t="str">
        <f>HYPERLINK(CONCATENATE($AT$3,BK1781,$AU$3),$AV$3)</f>
        <v>S</v>
      </c>
      <c r="C1781" s="242" t="str">
        <f>HYPERLINK(CONCATENATE($AT$4,BK1781,$AU$4,BL1781),$AV$4)</f>
        <v>A</v>
      </c>
      <c r="D1781" s="243" t="s">
        <v>5335</v>
      </c>
      <c r="E1781" s="244" t="s">
        <v>5185</v>
      </c>
      <c r="F1781" s="269" t="s">
        <v>7975</v>
      </c>
      <c r="G1781" s="276">
        <v>10</v>
      </c>
      <c r="H1781" s="283">
        <v>5300</v>
      </c>
      <c r="I1781" s="246">
        <v>15</v>
      </c>
      <c r="J1781" s="246">
        <v>2</v>
      </c>
      <c r="K1781" s="247" t="s">
        <v>8753</v>
      </c>
      <c r="L1781" s="248">
        <v>75503</v>
      </c>
      <c r="M1781" s="249">
        <f>15*(LEFT(TEXT($L1781,"000000"),2)+(MID(TEXT($L1781,"000000"),3,2)/60)+(RIGHT(TEXT($L1781,"000000"),2)/3600))</f>
        <v>118.7625</v>
      </c>
      <c r="N1781" s="250">
        <v>-174354</v>
      </c>
      <c r="O1781" s="251">
        <f>IF($N1781&gt;0,(LEFT(TEXT($N1781,"000000"),2)+(MID(TEXT($N1781,"000000"),3,2)/60)+(RIGHT(TEXT($N1781,"000000"),2)/3600)),-(MID(TEXT($N1781,"000000"),2,2)+(MID(TEXT($N1781,"000000"),4,2)/60)+(RIGHT(TEXT($N1781,"000000"),2)/3600)))</f>
        <v>-17.731666666666666</v>
      </c>
      <c r="P1781" s="252" t="s">
        <v>91</v>
      </c>
      <c r="Q1781" s="253"/>
      <c r="R1781" s="277" t="s">
        <v>3293</v>
      </c>
      <c r="S1781" s="272" t="s">
        <v>3293</v>
      </c>
      <c r="T1781" s="273">
        <v>9.6</v>
      </c>
      <c r="U1781" s="274"/>
      <c r="V1781" s="280"/>
      <c r="W1781" s="244"/>
      <c r="X1781" s="244"/>
      <c r="Y1781" s="362"/>
      <c r="Z1781" s="257">
        <f>altaz(J2000_Bas,$O1781,$M1781,DecLat,DecLong,1)</f>
        <v>-72.390996618802561</v>
      </c>
      <c r="AA1781" s="257">
        <f>altaz((J2000_Bas+(2*0.04167)),$O1781,$M1781,DecLat,DecLong,1)</f>
        <v>-69.433629400188153</v>
      </c>
      <c r="AB1781" s="257">
        <f>altaz((J2000_Bas+(4*0.04167)),$O1781,$M1781,DecLat,DecLong,1)</f>
        <v>-45.185781316730939</v>
      </c>
      <c r="AC1781" s="257">
        <f>altaz((J2000_Bas+(6*0.04167)),$O1781,$M1781,DecLat,DecLong,1)</f>
        <v>-19.490944332482879</v>
      </c>
      <c r="AD1781" s="258">
        <f>1+ transit((J2000_Bas-1),$O1781,$M1781,DecLat,DecLong)/360 + (GMTOffset/24) + (IF(DST="Y", 1, 0)/24)</f>
        <v>1.322795760973458</v>
      </c>
      <c r="AE1781" s="259">
        <f>DATE(2001,9,21)+(M1781/360)*365 - (360*((DecLong/360)- (GMTOffset/24) ))</f>
        <v>37280.411979166667</v>
      </c>
      <c r="AF1781" s="260">
        <f>IF(DecLat&gt;0,IF((90 - (DecLat-O1781))&gt;90, (90 - (O1781-DecLat)), (90 - (DecLat-O1781))),IF((90 + (DecLat-O1781))&gt;90, (90 + (O1781-DecLat)), (90 + (DecLat-O1781))))</f>
        <v>41.268333333333331</v>
      </c>
      <c r="AG1781" s="257">
        <f>angularseperation(MoonRA,MoonDec,$M1781,$O1781)</f>
        <v>114.32187599280235</v>
      </c>
      <c r="AH1781" s="261">
        <f ca="1">MIN(100,IF($O$5&gt;80,0+30*($AG1781/100),IF($O$5&gt;70,0+50*($AG1781/100),IF($O$5&gt;60,5+50*($AG1781/100),IF($O$5&gt;50,10+60*($AG1781/100),IF($O$5&gt;40,15+70*($AG1781/100),IF($O$5&gt;30,20+70*($AG1781/100),IF($O$5&gt;20,40+55*($AG1781/100),(80+(20-$O$5)+30*($AG1781/100))))))))))</f>
        <v>100</v>
      </c>
      <c r="AI1781" s="262">
        <v>2479</v>
      </c>
      <c r="AJ1781" s="263"/>
      <c r="AK1781" s="263">
        <v>107</v>
      </c>
      <c r="AL1781" s="263"/>
      <c r="AM1781" s="264"/>
      <c r="AN1781" s="263"/>
      <c r="AO1781" s="263"/>
      <c r="AP1781" s="265"/>
      <c r="AQ1781" s="265"/>
      <c r="AR1781" s="285"/>
      <c r="AS1781" s="263"/>
      <c r="AT1781" s="263"/>
      <c r="AU1781" s="263"/>
      <c r="AV1781" s="264"/>
      <c r="AW1781" s="263"/>
      <c r="AX1781" s="263"/>
      <c r="AY1781" s="263"/>
      <c r="AZ1781" s="263"/>
      <c r="BA1781" s="263"/>
      <c r="BB1781" s="263"/>
      <c r="BC1781" s="263"/>
      <c r="BD1781" s="264"/>
      <c r="BE1781" s="263"/>
      <c r="BF1781" s="263"/>
      <c r="BG1781" s="263"/>
      <c r="BH1781" s="263"/>
      <c r="BI1781" s="263"/>
      <c r="BJ1781" s="404">
        <f>altaz(J2000_Bas,$O1781,$M1781,DecLat,DecLong,2)</f>
        <v>315.94070691205638</v>
      </c>
      <c r="BK1781" s="378" t="s">
        <v>8752</v>
      </c>
      <c r="BL1781" s="379">
        <f>IF((2*G1781)/60&lt;0.2,0.2,(2*G1781)/60)</f>
        <v>0.33333333333333331</v>
      </c>
      <c r="BM1781" s="380">
        <f>MOD((50000+AD1781-$B$3+(0/24)),1)</f>
        <v>0.53816269067465328</v>
      </c>
      <c r="BN1781" s="381"/>
      <c r="BO1781" s="382">
        <v>1774</v>
      </c>
    </row>
    <row r="1782" spans="1:67" s="24" customFormat="1" ht="15" customHeight="1" x14ac:dyDescent="0.25">
      <c r="A1782" s="287" t="s">
        <v>2979</v>
      </c>
      <c r="B1782" s="241" t="str">
        <f>HYPERLINK(CONCATENATE($AT$3,BK1782,$AU$3),$AV$3)</f>
        <v>S</v>
      </c>
      <c r="C1782" s="242" t="str">
        <f>HYPERLINK(CONCATENATE($AT$4,BK1782,$AU$4,BL1782),$AV$4)</f>
        <v>A</v>
      </c>
      <c r="D1782" s="243" t="s">
        <v>5335</v>
      </c>
      <c r="E1782" s="244" t="s">
        <v>5185</v>
      </c>
      <c r="F1782" s="269" t="s">
        <v>7221</v>
      </c>
      <c r="G1782" s="276">
        <v>24</v>
      </c>
      <c r="H1782" s="283">
        <v>4250</v>
      </c>
      <c r="I1782" s="246">
        <v>30</v>
      </c>
      <c r="J1782" s="246">
        <v>1</v>
      </c>
      <c r="K1782" s="247" t="s">
        <v>7220</v>
      </c>
      <c r="L1782" s="248">
        <v>75454</v>
      </c>
      <c r="M1782" s="249">
        <f>15*(LEFT(TEXT($L1782,"000000"),2)+(MID(TEXT($L1782,"000000"),3,2)/60)+(RIGHT(TEXT($L1782,"000000"),2)/3600))</f>
        <v>118.72499999999999</v>
      </c>
      <c r="N1782" s="250">
        <v>-241800</v>
      </c>
      <c r="O1782" s="251">
        <f>IF($N1782&gt;0,(LEFT(TEXT($N1782,"000000"),2)+(MID(TEXT($N1782,"000000"),3,2)/60)+(RIGHT(TEXT($N1782,"000000"),2)/3600)),-(MID(TEXT($N1782,"000000"),2,2)+(MID(TEXT($N1782,"000000"),4,2)/60)+(RIGHT(TEXT($N1782,"000000"),2)/3600)))</f>
        <v>-24.3</v>
      </c>
      <c r="P1782" s="252" t="s">
        <v>91</v>
      </c>
      <c r="Q1782" s="253"/>
      <c r="R1782" s="277" t="s">
        <v>3293</v>
      </c>
      <c r="S1782" s="272" t="s">
        <v>3293</v>
      </c>
      <c r="T1782" s="273">
        <v>7.3</v>
      </c>
      <c r="U1782" s="274"/>
      <c r="V1782" s="280"/>
      <c r="W1782" s="244"/>
      <c r="X1782" s="244"/>
      <c r="Y1782" s="362"/>
      <c r="Z1782" s="257">
        <f>altaz(J2000_Bas,$O1782,$M1782,DecLat,DecLong,1)</f>
        <v>-76.903673809548522</v>
      </c>
      <c r="AA1782" s="257">
        <f>altaz((J2000_Bas+(2*0.04167)),$O1782,$M1782,DecLat,DecLong,1)</f>
        <v>-73.250947921137211</v>
      </c>
      <c r="AB1782" s="257">
        <f>altaz((J2000_Bas+(4*0.04167)),$O1782,$M1782,DecLat,DecLong,1)</f>
        <v>-47.754336707631893</v>
      </c>
      <c r="AC1782" s="257">
        <f>altaz((J2000_Bas+(6*0.04167)),$O1782,$M1782,DecLat,DecLong,1)</f>
        <v>-22.371936560305912</v>
      </c>
      <c r="AD1782" s="258">
        <f>1+ transit((J2000_Bas-1),$O1782,$M1782,DecLat,DecLong)/360 + (GMTOffset/24) + (IF(DST="Y", 1, 0)/24)</f>
        <v>1.322691594317208</v>
      </c>
      <c r="AE1782" s="259">
        <f>DATE(2001,9,21)+(M1782/360)*365 - (360*((DecLong/360)- (GMTOffset/24) ))</f>
        <v>37280.37395833333</v>
      </c>
      <c r="AF1782" s="260">
        <f>IF(DecLat&gt;0,IF((90 - (DecLat-O1782))&gt;90, (90 - (O1782-DecLat)), (90 - (DecLat-O1782))),IF((90 + (DecLat-O1782))&gt;90, (90 + (O1782-DecLat)), (90 + (DecLat-O1782))))</f>
        <v>34.700000000000003</v>
      </c>
      <c r="AG1782" s="257">
        <f>angularseperation(MoonRA,MoonDec,$M1782,$O1782)</f>
        <v>109.8659342964509</v>
      </c>
      <c r="AH1782" s="261">
        <f ca="1">MIN(100,IF($O$5&gt;80,0+30*($AG1782/100),IF($O$5&gt;70,0+50*($AG1782/100),IF($O$5&gt;60,5+50*($AG1782/100),IF($O$5&gt;50,10+60*($AG1782/100),IF($O$5&gt;40,15+70*($AG1782/100),IF($O$5&gt;30,20+70*($AG1782/100),IF($O$5&gt;20,40+55*($AG1782/100),(80+(20-$O$5)+30*($AG1782/100))))))))))</f>
        <v>100</v>
      </c>
      <c r="AI1782" s="262">
        <v>2482</v>
      </c>
      <c r="AJ1782" s="263"/>
      <c r="AK1782" s="263">
        <v>108</v>
      </c>
      <c r="AL1782" s="263"/>
      <c r="AM1782" s="264"/>
      <c r="AN1782" s="263"/>
      <c r="AO1782" s="263"/>
      <c r="AP1782" s="265"/>
      <c r="AQ1782" s="265"/>
      <c r="AR1782" s="285"/>
      <c r="AS1782" s="263"/>
      <c r="AT1782" s="263"/>
      <c r="AU1782" s="263"/>
      <c r="AV1782" s="264"/>
      <c r="AW1782" s="263"/>
      <c r="AX1782" s="263"/>
      <c r="AY1782" s="263"/>
      <c r="AZ1782" s="263"/>
      <c r="BA1782" s="263"/>
      <c r="BB1782" s="263"/>
      <c r="BC1782" s="263"/>
      <c r="BD1782" s="264"/>
      <c r="BE1782" s="263"/>
      <c r="BF1782" s="263"/>
      <c r="BG1782" s="263"/>
      <c r="BH1782" s="263"/>
      <c r="BI1782" s="263"/>
      <c r="BJ1782" s="404">
        <f>altaz(J2000_Bas,$O1782,$M1782,DecLat,DecLong,2)</f>
        <v>297.64806648547221</v>
      </c>
      <c r="BK1782" s="378" t="s">
        <v>2979</v>
      </c>
      <c r="BL1782" s="379">
        <f>IF((2*G1782)/60&lt;0.2,0.2,(2*G1782)/60)</f>
        <v>0.8</v>
      </c>
      <c r="BM1782" s="380">
        <f>MOD((50000+AD1782-$B$3+(0/24)),1)</f>
        <v>0.53805852402001619</v>
      </c>
      <c r="BN1782" s="381"/>
      <c r="BO1782" s="382">
        <v>1775</v>
      </c>
    </row>
    <row r="1783" spans="1:67" s="24" customFormat="1" ht="15" customHeight="1" x14ac:dyDescent="0.25">
      <c r="A1783" s="287" t="s">
        <v>1758</v>
      </c>
      <c r="B1783" s="241" t="str">
        <f>HYPERLINK(CONCATENATE($AT$3,BK1783,$AU$3),$AV$3)</f>
        <v>S</v>
      </c>
      <c r="C1783" s="242" t="str">
        <f>HYPERLINK(CONCATENATE($AT$4,BK1783,$AU$4,BL1783),$AV$4)</f>
        <v>A</v>
      </c>
      <c r="D1783" s="243" t="s">
        <v>5335</v>
      </c>
      <c r="E1783" s="244" t="s">
        <v>5185</v>
      </c>
      <c r="F1783" s="269" t="s">
        <v>6737</v>
      </c>
      <c r="G1783" s="276">
        <v>10</v>
      </c>
      <c r="H1783" s="283">
        <v>7250</v>
      </c>
      <c r="I1783" s="246">
        <v>22</v>
      </c>
      <c r="J1783" s="246">
        <v>2</v>
      </c>
      <c r="K1783" s="247" t="s">
        <v>8556</v>
      </c>
      <c r="L1783" s="248">
        <v>75615</v>
      </c>
      <c r="M1783" s="249">
        <f>15*(LEFT(TEXT($L1783,"000000"),2)+(MID(TEXT($L1783,"000000"),3,2)/60)+(RIGHT(TEXT($L1783,"000000"),2)/3600))</f>
        <v>119.0625</v>
      </c>
      <c r="N1783" s="250">
        <v>-300348</v>
      </c>
      <c r="O1783" s="251">
        <f>IF($N1783&gt;0,(LEFT(TEXT($N1783,"000000"),2)+(MID(TEXT($N1783,"000000"),3,2)/60)+(RIGHT(TEXT($N1783,"000000"),2)/3600)),-(MID(TEXT($N1783,"000000"),2,2)+(MID(TEXT($N1783,"000000"),4,2)/60)+(RIGHT(TEXT($N1783,"000000"),2)/3600)))</f>
        <v>-30.063333333333333</v>
      </c>
      <c r="P1783" s="252" t="s">
        <v>91</v>
      </c>
      <c r="Q1783" s="253"/>
      <c r="R1783" s="277" t="s">
        <v>3293</v>
      </c>
      <c r="S1783" s="272" t="s">
        <v>3293</v>
      </c>
      <c r="T1783" s="273">
        <v>7.9</v>
      </c>
      <c r="U1783" s="274"/>
      <c r="V1783" s="280"/>
      <c r="W1783" s="244"/>
      <c r="X1783" s="244"/>
      <c r="Y1783" s="362"/>
      <c r="Z1783" s="257">
        <f>altaz(J2000_Bas,$O1783,$M1783,DecLat,DecLong,1)</f>
        <v>-78.718510610528256</v>
      </c>
      <c r="AA1783" s="257">
        <f>altaz((J2000_Bas+(2*0.04167)),$O1783,$M1783,DecLat,DecLong,1)</f>
        <v>-75.320256209059352</v>
      </c>
      <c r="AB1783" s="257">
        <f>altaz((J2000_Bas+(4*0.04167)),$O1783,$M1783,DecLat,DecLong,1)</f>
        <v>-49.722327912504312</v>
      </c>
      <c r="AC1783" s="257">
        <f>altaz((J2000_Bas+(6*0.04167)),$O1783,$M1783,DecLat,DecLong,1)</f>
        <v>-24.989202716167014</v>
      </c>
      <c r="AD1783" s="258">
        <f>1+ transit((J2000_Bas-1),$O1783,$M1783,DecLat,DecLong)/360 + (GMTOffset/24) + (IF(DST="Y", 1, 0)/24)</f>
        <v>1.3236290942234581</v>
      </c>
      <c r="AE1783" s="259">
        <f>DATE(2001,9,21)+(M1783/360)*365 - (360*((DecLong/360)- (GMTOffset/24) ))</f>
        <v>37280.716145833336</v>
      </c>
      <c r="AF1783" s="260">
        <f>IF(DecLat&gt;0,IF((90 - (DecLat-O1783))&gt;90, (90 - (O1783-DecLat)), (90 - (DecLat-O1783))),IF((90 + (DecLat-O1783))&gt;90, (90 + (O1783-DecLat)), (90 + (DecLat-O1783))))</f>
        <v>28.936666666666667</v>
      </c>
      <c r="AG1783" s="257">
        <f>angularseperation(MoonRA,MoonDec,$M1783,$O1783)</f>
        <v>105.60894985352597</v>
      </c>
      <c r="AH1783" s="261">
        <f ca="1">MIN(100,IF($O$5&gt;80,0+30*($AG1783/100),IF($O$5&gt;70,0+50*($AG1783/100),IF($O$5&gt;60,5+50*($AG1783/100),IF($O$5&gt;50,10+60*($AG1783/100),IF($O$5&gt;40,15+70*($AG1783/100),IF($O$5&gt;30,20+70*($AG1783/100),IF($O$5&gt;20,40+55*($AG1783/100),(80+(20-$O$5)+30*($AG1783/100))))))))))</f>
        <v>100</v>
      </c>
      <c r="AI1783" s="262">
        <v>2489</v>
      </c>
      <c r="AJ1783" s="263"/>
      <c r="AK1783" s="263">
        <v>109</v>
      </c>
      <c r="AL1783" s="263"/>
      <c r="AM1783" s="264"/>
      <c r="AN1783" s="263"/>
      <c r="AO1783" s="263"/>
      <c r="AP1783" s="265"/>
      <c r="AQ1783" s="265"/>
      <c r="AR1783" s="285"/>
      <c r="AS1783" s="263"/>
      <c r="AT1783" s="263"/>
      <c r="AU1783" s="263"/>
      <c r="AV1783" s="264"/>
      <c r="AW1783" s="263"/>
      <c r="AX1783" s="263"/>
      <c r="AY1783" s="263"/>
      <c r="AZ1783" s="263"/>
      <c r="BA1783" s="263"/>
      <c r="BB1783" s="263"/>
      <c r="BC1783" s="263"/>
      <c r="BD1783" s="264"/>
      <c r="BE1783" s="263"/>
      <c r="BF1783" s="263"/>
      <c r="BG1783" s="263"/>
      <c r="BH1783" s="263"/>
      <c r="BI1783" s="263"/>
      <c r="BJ1783" s="404">
        <f>altaz(J2000_Bas,$O1783,$M1783,DecLat,DecLong,2)</f>
        <v>271.41111704340642</v>
      </c>
      <c r="BK1783" s="378" t="s">
        <v>1758</v>
      </c>
      <c r="BL1783" s="379">
        <f>IF((2*G1783)/60&lt;0.2,0.2,(2*G1783)/60)</f>
        <v>0.33333333333333331</v>
      </c>
      <c r="BM1783" s="380">
        <f>MOD((50000+AD1783-$B$3+(0/24)),1)</f>
        <v>0.53899602392630186</v>
      </c>
      <c r="BN1783" s="381"/>
      <c r="BO1783" s="382">
        <v>1776</v>
      </c>
    </row>
    <row r="1784" spans="1:67" s="24" customFormat="1" ht="15" customHeight="1" x14ac:dyDescent="0.25">
      <c r="A1784" s="288" t="s">
        <v>1759</v>
      </c>
      <c r="B1784" s="241" t="str">
        <f>HYPERLINK(CONCATENATE($AT$3,BK1784,$AU$3),$AV$3)</f>
        <v>S</v>
      </c>
      <c r="C1784" s="242" t="str">
        <f>HYPERLINK(CONCATENATE($AT$4,BK1784,$AU$4,BL1784),$AV$4)</f>
        <v>A</v>
      </c>
      <c r="D1784" s="243" t="s">
        <v>5638</v>
      </c>
      <c r="E1784" s="244" t="s">
        <v>3259</v>
      </c>
      <c r="F1784" s="269" t="s">
        <v>3287</v>
      </c>
      <c r="G1784" s="273">
        <v>3</v>
      </c>
      <c r="H1784" s="283">
        <v>30</v>
      </c>
      <c r="I1784" s="246">
        <v>26</v>
      </c>
      <c r="J1784" s="246">
        <v>2</v>
      </c>
      <c r="K1784" s="247" t="s">
        <v>7222</v>
      </c>
      <c r="L1784" s="248">
        <v>80153</v>
      </c>
      <c r="M1784" s="249">
        <f>15*(LEFT(TEXT($L1784,"000000"),2)+(MID(TEXT($L1784,"000000"),3,2)/60)+(RIGHT(TEXT($L1784,"000000"),2)/3600))</f>
        <v>120.47083333333335</v>
      </c>
      <c r="N1784" s="250">
        <v>504415</v>
      </c>
      <c r="O1784" s="251">
        <f>IF($N1784&gt;0,(LEFT(TEXT($N1784,"000000"),2)+(MID(TEXT($N1784,"000000"),3,2)/60)+(RIGHT(TEXT($N1784,"000000"),2)/3600)),-(MID(TEXT($N1784,"000000"),2,2)+(MID(TEXT($N1784,"000000"),4,2)/60)+(RIGHT(TEXT($N1784,"000000"),2)/3600)))</f>
        <v>50.737500000000004</v>
      </c>
      <c r="P1784" s="252" t="s">
        <v>82</v>
      </c>
      <c r="Q1784" s="253"/>
      <c r="R1784" s="247" t="s">
        <v>3293</v>
      </c>
      <c r="S1784" s="272" t="s">
        <v>3293</v>
      </c>
      <c r="T1784" s="273">
        <v>11.6</v>
      </c>
      <c r="U1784" s="289">
        <v>22.59</v>
      </c>
      <c r="V1784" s="280">
        <v>0</v>
      </c>
      <c r="W1784" s="244"/>
      <c r="X1784" s="244"/>
      <c r="Y1784" s="362"/>
      <c r="Z1784" s="257">
        <f>altaz(J2000_Bas,$O1784,$M1784,DecLat,DecLong,1)</f>
        <v>-7.2676514733162048</v>
      </c>
      <c r="AA1784" s="257">
        <f>altaz((J2000_Bas+(2*0.04167)),$O1784,$M1784,DecLat,DecLong,1)</f>
        <v>-7.1047284080939734</v>
      </c>
      <c r="AB1784" s="257">
        <f>altaz((J2000_Bas+(4*0.04167)),$O1784,$M1784,DecLat,DecLong,1)</f>
        <v>1.140310333242516</v>
      </c>
      <c r="AC1784" s="257">
        <f>altaz((J2000_Bas+(6*0.04167)),$O1784,$M1784,DecLat,DecLong,1)</f>
        <v>15.40039027676605</v>
      </c>
      <c r="AD1784" s="258">
        <f>1+ transit((J2000_Bas-1),$O1784,$M1784,DecLat,DecLong)/360 + (GMTOffset/24) + (IF(DST="Y", 1, 0)/24)</f>
        <v>1.3275411308692913</v>
      </c>
      <c r="AE1784" s="259">
        <f>DATE(2001,9,21)+(M1784/360)*365 - (360*((DecLong/360)- (GMTOffset/24) ))</f>
        <v>37282.14403935185</v>
      </c>
      <c r="AF1784" s="260">
        <f>IF(DecLat&gt;0,IF((90 - (DecLat-O1784))&gt;90, (90 - (O1784-DecLat)), (90 - (DecLat-O1784))),IF((90 + (DecLat-O1784))&gt;90, (90 + (O1784-DecLat)), (90 + (DecLat-O1784))))</f>
        <v>70.262499999999989</v>
      </c>
      <c r="AG1784" s="257">
        <f>angularseperation(MoonRA,MoonDec,$M1784,$O1784)</f>
        <v>134.85935118487521</v>
      </c>
      <c r="AH1784" s="261">
        <f ca="1">MIN(100,IF($O$5&gt;80,0+30*($AG1784/100),IF($O$5&gt;70,0+50*($AG1784/100),IF($O$5&gt;60,5+50*($AG1784/100),IF($O$5&gt;50,10+60*($AG1784/100),IF($O$5&gt;40,15+70*($AG1784/100),IF($O$5&gt;30,20+70*($AG1784/100),IF($O$5&gt;20,40+55*($AG1784/100),(80+(20-$O$5)+30*($AG1784/100))))))))))</f>
        <v>100</v>
      </c>
      <c r="AI1784" s="262">
        <v>2500</v>
      </c>
      <c r="AJ1784" s="262"/>
      <c r="AK1784" s="262"/>
      <c r="AL1784" s="263"/>
      <c r="AM1784" s="264"/>
      <c r="AN1784" s="263"/>
      <c r="AO1784" s="263"/>
      <c r="AP1784" s="265"/>
      <c r="AQ1784" s="266">
        <v>4165</v>
      </c>
      <c r="AR1784" s="267">
        <v>22525</v>
      </c>
      <c r="AS1784" s="263"/>
      <c r="AT1784" s="263"/>
      <c r="AU1784" s="263"/>
      <c r="AV1784" s="264"/>
      <c r="AW1784" s="263"/>
      <c r="AX1784" s="263"/>
      <c r="AY1784" s="263"/>
      <c r="AZ1784" s="263"/>
      <c r="BA1784" s="263"/>
      <c r="BB1784" s="263"/>
      <c r="BC1784" s="263"/>
      <c r="BD1784" s="264"/>
      <c r="BE1784" s="263"/>
      <c r="BF1784" s="263"/>
      <c r="BG1784" s="263"/>
      <c r="BH1784" s="263"/>
      <c r="BI1784" s="263"/>
      <c r="BJ1784" s="404">
        <f>altaz(J2000_Bas,$O1784,$M1784,DecLat,DecLong,2)</f>
        <v>350.82794849533423</v>
      </c>
      <c r="BK1784" s="378" t="s">
        <v>1759</v>
      </c>
      <c r="BL1784" s="379">
        <f>IF((2*G1784)/60&lt;0.2,0.2,(2*G1784)/60)</f>
        <v>0.2</v>
      </c>
      <c r="BM1784" s="380">
        <f>MOD((50000+AD1784-$B$3+(0/24)),1)</f>
        <v>0.54290806057542795</v>
      </c>
      <c r="BN1784" s="381"/>
      <c r="BO1784" s="382">
        <v>1777</v>
      </c>
    </row>
    <row r="1785" spans="1:67" s="24" customFormat="1" ht="15" customHeight="1" x14ac:dyDescent="0.25">
      <c r="A1785" s="288" t="s">
        <v>1760</v>
      </c>
      <c r="B1785" s="241" t="str">
        <f>HYPERLINK(CONCATENATE($AT$3,BK1785,$AU$3),$AV$3)</f>
        <v>S</v>
      </c>
      <c r="C1785" s="242" t="str">
        <f>HYPERLINK(CONCATENATE($AT$4,BK1785,$AU$4,BL1785),$AV$4)</f>
        <v>A</v>
      </c>
      <c r="D1785" s="243" t="s">
        <v>5335</v>
      </c>
      <c r="E1785" s="244" t="s">
        <v>5185</v>
      </c>
      <c r="F1785" s="269" t="s">
        <v>7223</v>
      </c>
      <c r="G1785" s="273">
        <v>7</v>
      </c>
      <c r="H1785" s="283">
        <v>10000</v>
      </c>
      <c r="I1785" s="246">
        <v>20</v>
      </c>
      <c r="J1785" s="246">
        <v>2</v>
      </c>
      <c r="K1785" s="247" t="s">
        <v>7224</v>
      </c>
      <c r="L1785" s="248">
        <v>80001</v>
      </c>
      <c r="M1785" s="249">
        <f>15*(LEFT(TEXT($L1785,"000000"),2)+(MID(TEXT($L1785,"000000"),3,2)/60)+(RIGHT(TEXT($L1785,"000000"),2)/3600))</f>
        <v>120.00416666666665</v>
      </c>
      <c r="N1785" s="250">
        <v>-104612</v>
      </c>
      <c r="O1785" s="251">
        <f>IF($N1785&gt;0,(LEFT(TEXT($N1785,"000000"),2)+(MID(TEXT($N1785,"000000"),3,2)/60)+(RIGHT(TEXT($N1785,"000000"),2)/3600)),-(MID(TEXT($N1785,"000000"),2,2)+(MID(TEXT($N1785,"000000"),4,2)/60)+(RIGHT(TEXT($N1785,"000000"),2)/3600)))</f>
        <v>-10.770000000000001</v>
      </c>
      <c r="P1785" s="252" t="s">
        <v>47</v>
      </c>
      <c r="Q1785" s="253"/>
      <c r="R1785" s="247" t="s">
        <v>7325</v>
      </c>
      <c r="S1785" s="272" t="s">
        <v>3293</v>
      </c>
      <c r="T1785" s="273">
        <v>7.6</v>
      </c>
      <c r="U1785" s="274"/>
      <c r="V1785" s="280"/>
      <c r="W1785" s="244"/>
      <c r="X1785" s="244"/>
      <c r="Y1785" s="362"/>
      <c r="Z1785" s="257">
        <f>altaz(J2000_Bas,$O1785,$M1785,DecLat,DecLong,1)</f>
        <v>-65.964544600485567</v>
      </c>
      <c r="AA1785" s="257">
        <f>altaz((J2000_Bas+(2*0.04167)),$O1785,$M1785,DecLat,DecLong,1)</f>
        <v>-64.87109647680208</v>
      </c>
      <c r="AB1785" s="257">
        <f>altaz((J2000_Bas+(4*0.04167)),$O1785,$M1785,DecLat,DecLong,1)</f>
        <v>-42.798313531428242</v>
      </c>
      <c r="AC1785" s="257">
        <f>altaz((J2000_Bas+(6*0.04167)),$O1785,$M1785,DecLat,DecLong,1)</f>
        <v>-17.239199268920867</v>
      </c>
      <c r="AD1785" s="258">
        <f>1+ transit((J2000_Bas-1),$O1785,$M1785,DecLat,DecLong)/360 + (GMTOffset/24) + (IF(DST="Y", 1, 0)/24)</f>
        <v>1.3262448347026246</v>
      </c>
      <c r="AE1785" s="259">
        <f>DATE(2001,9,21)+(M1785/360)*365 - (360*((DecLong/360)- (GMTOffset/24) ))</f>
        <v>37281.670891203707</v>
      </c>
      <c r="AF1785" s="260">
        <f>IF(DecLat&gt;0,IF((90 - (DecLat-O1785))&gt;90, (90 - (O1785-DecLat)), (90 - (DecLat-O1785))),IF((90 + (DecLat-O1785))&gt;90, (90 + (O1785-DecLat)), (90 + (DecLat-O1785))))</f>
        <v>48.23</v>
      </c>
      <c r="AG1785" s="257">
        <f>angularseperation(MoonRA,MoonDec,$M1785,$O1785)</f>
        <v>117.91587106974383</v>
      </c>
      <c r="AH1785" s="261">
        <f ca="1">MIN(100,IF($O$5&gt;80,0+30*($AG1785/100),IF($O$5&gt;70,0+50*($AG1785/100),IF($O$5&gt;60,5+50*($AG1785/100),IF($O$5&gt;50,10+60*($AG1785/100),IF($O$5&gt;40,15+70*($AG1785/100),IF($O$5&gt;30,20+70*($AG1785/100),IF($O$5&gt;20,40+55*($AG1785/100),(80+(20-$O$5)+30*($AG1785/100))))))))))</f>
        <v>100</v>
      </c>
      <c r="AI1785" s="262">
        <v>2506</v>
      </c>
      <c r="AJ1785" s="262"/>
      <c r="AK1785" s="262">
        <v>110</v>
      </c>
      <c r="AL1785" s="263"/>
      <c r="AM1785" s="264">
        <v>54</v>
      </c>
      <c r="AN1785" s="263"/>
      <c r="AO1785" s="263"/>
      <c r="AP1785" s="265"/>
      <c r="AQ1785" s="266"/>
      <c r="AR1785" s="267"/>
      <c r="AS1785" s="263"/>
      <c r="AT1785" s="263"/>
      <c r="AU1785" s="263"/>
      <c r="AV1785" s="264"/>
      <c r="AW1785" s="263"/>
      <c r="AX1785" s="263"/>
      <c r="AY1785" s="263"/>
      <c r="AZ1785" s="263"/>
      <c r="BA1785" s="263"/>
      <c r="BB1785" s="263"/>
      <c r="BC1785" s="263"/>
      <c r="BD1785" s="264"/>
      <c r="BE1785" s="263"/>
      <c r="BF1785" s="263"/>
      <c r="BG1785" s="263"/>
      <c r="BH1785" s="263"/>
      <c r="BI1785" s="263"/>
      <c r="BJ1785" s="404">
        <f>altaz(J2000_Bas,$O1785,$M1785,DecLat,DecLong,2)</f>
        <v>324.29849641932572</v>
      </c>
      <c r="BK1785" s="378" t="s">
        <v>1760</v>
      </c>
      <c r="BL1785" s="379">
        <f>IF((2*G1785)/60&lt;0.2,0.2,(2*G1785)/60)</f>
        <v>0.23333333333333334</v>
      </c>
      <c r="BM1785" s="380">
        <f>MOD((50000+AD1785-$B$3+(0/24)),1)</f>
        <v>0.54161176440538839</v>
      </c>
      <c r="BN1785" s="381"/>
      <c r="BO1785" s="382">
        <v>1778</v>
      </c>
    </row>
    <row r="1786" spans="1:67" s="24" customFormat="1" ht="15" customHeight="1" x14ac:dyDescent="0.25">
      <c r="A1786" s="287" t="s">
        <v>2980</v>
      </c>
      <c r="B1786" s="241" t="str">
        <f>HYPERLINK(CONCATENATE($AT$3,BK1786,$AU$3),$AV$3)</f>
        <v>S</v>
      </c>
      <c r="C1786" s="242" t="str">
        <f>HYPERLINK(CONCATENATE($AT$4,BK1786,$AU$4,BL1786),$AV$4)</f>
        <v>A</v>
      </c>
      <c r="D1786" s="243" t="s">
        <v>5335</v>
      </c>
      <c r="E1786" s="244" t="s">
        <v>5185</v>
      </c>
      <c r="F1786" s="269" t="s">
        <v>6834</v>
      </c>
      <c r="G1786" s="273">
        <v>8</v>
      </c>
      <c r="H1786" s="283">
        <v>8200</v>
      </c>
      <c r="I1786" s="246">
        <v>20</v>
      </c>
      <c r="J1786" s="246">
        <v>2</v>
      </c>
      <c r="K1786" s="247" t="s">
        <v>7225</v>
      </c>
      <c r="L1786" s="248">
        <v>80042</v>
      </c>
      <c r="M1786" s="249">
        <f>15*(LEFT(TEXT($L1786,"000000"),2)+(MID(TEXT($L1786,"000000"),3,2)/60)+(RIGHT(TEXT($L1786,"000000"),2)/3600))</f>
        <v>120.175</v>
      </c>
      <c r="N1786" s="250">
        <v>-190400</v>
      </c>
      <c r="O1786" s="251">
        <f>IF($N1786&gt;0,(LEFT(TEXT($N1786,"000000"),2)+(MID(TEXT($N1786,"000000"),3,2)/60)+(RIGHT(TEXT($N1786,"000000"),2)/3600)),-(MID(TEXT($N1786,"000000"),2,2)+(MID(TEXT($N1786,"000000"),4,2)/60)+(RIGHT(TEXT($N1786,"000000"),2)/3600)))</f>
        <v>-19.066666666666666</v>
      </c>
      <c r="P1786" s="252" t="s">
        <v>91</v>
      </c>
      <c r="Q1786" s="253"/>
      <c r="R1786" s="277" t="s">
        <v>3293</v>
      </c>
      <c r="S1786" s="272" t="s">
        <v>3293</v>
      </c>
      <c r="T1786" s="273">
        <v>9.3000000000000007</v>
      </c>
      <c r="U1786" s="274"/>
      <c r="V1786" s="280"/>
      <c r="W1786" s="244"/>
      <c r="X1786" s="244"/>
      <c r="Y1786" s="362"/>
      <c r="Z1786" s="257">
        <f>altaz(J2000_Bas,$O1786,$M1786,DecLat,DecLong,1)</f>
        <v>-72.502672020290476</v>
      </c>
      <c r="AA1786" s="257">
        <f>altaz((J2000_Bas+(2*0.04167)),$O1786,$M1786,DecLat,DecLong,1)</f>
        <v>-71.324396017872346</v>
      </c>
      <c r="AB1786" s="257">
        <f>altaz((J2000_Bas+(4*0.04167)),$O1786,$M1786,DecLat,DecLong,1)</f>
        <v>-46.974666702439151</v>
      </c>
      <c r="AC1786" s="257">
        <f>altaz((J2000_Bas+(6*0.04167)),$O1786,$M1786,DecLat,DecLong,1)</f>
        <v>-21.292092625522521</v>
      </c>
      <c r="AD1786" s="258">
        <f>1+ transit((J2000_Bas-1),$O1786,$M1786,DecLat,DecLong)/360 + (GMTOffset/24) + (IF(DST="Y", 1, 0)/24)</f>
        <v>1.3267193716922081</v>
      </c>
      <c r="AE1786" s="259">
        <f>DATE(2001,9,21)+(M1786/360)*365 - (360*((DecLong/360)- (GMTOffset/24) ))</f>
        <v>37281.844097222223</v>
      </c>
      <c r="AF1786" s="260">
        <f>IF(DecLat&gt;0,IF((90 - (DecLat-O1786))&gt;90, (90 - (O1786-DecLat)), (90 - (DecLat-O1786))),IF((90 + (DecLat-O1786))&gt;90, (90 + (O1786-DecLat)), (90 + (DecLat-O1786))))</f>
        <v>39.933333333333337</v>
      </c>
      <c r="AG1786" s="257">
        <f>angularseperation(MoonRA,MoonDec,$M1786,$O1786)</f>
        <v>112.43293300111668</v>
      </c>
      <c r="AH1786" s="261">
        <f ca="1">MIN(100,IF($O$5&gt;80,0+30*($AG1786/100),IF($O$5&gt;70,0+50*($AG1786/100),IF($O$5&gt;60,5+50*($AG1786/100),IF($O$5&gt;50,10+60*($AG1786/100),IF($O$5&gt;40,15+70*($AG1786/100),IF($O$5&gt;30,20+70*($AG1786/100),IF($O$5&gt;20,40+55*($AG1786/100),(80+(20-$O$5)+30*($AG1786/100))))))))))</f>
        <v>100</v>
      </c>
      <c r="AI1786" s="262">
        <v>2509</v>
      </c>
      <c r="AJ1786" s="263"/>
      <c r="AK1786" s="263">
        <v>111</v>
      </c>
      <c r="AL1786" s="263"/>
      <c r="AM1786" s="264"/>
      <c r="AN1786" s="263"/>
      <c r="AO1786" s="263"/>
      <c r="AP1786" s="265"/>
      <c r="AQ1786" s="265"/>
      <c r="AR1786" s="285"/>
      <c r="AS1786" s="263"/>
      <c r="AT1786" s="263"/>
      <c r="AU1786" s="263"/>
      <c r="AV1786" s="264"/>
      <c r="AW1786" s="263"/>
      <c r="AX1786" s="263"/>
      <c r="AY1786" s="263"/>
      <c r="AZ1786" s="263"/>
      <c r="BA1786" s="263"/>
      <c r="BB1786" s="263"/>
      <c r="BC1786" s="263"/>
      <c r="BD1786" s="264"/>
      <c r="BE1786" s="263"/>
      <c r="BF1786" s="263"/>
      <c r="BG1786" s="263"/>
      <c r="BH1786" s="263"/>
      <c r="BI1786" s="263"/>
      <c r="BJ1786" s="404">
        <f>altaz(J2000_Bas,$O1786,$M1786,DecLat,DecLong,2)</f>
        <v>309.67639938698409</v>
      </c>
      <c r="BK1786" s="378" t="s">
        <v>2980</v>
      </c>
      <c r="BL1786" s="379">
        <f>IF((2*G1786)/60&lt;0.2,0.2,(2*G1786)/60)</f>
        <v>0.26666666666666666</v>
      </c>
      <c r="BM1786" s="380">
        <f>MOD((50000+AD1786-$B$3+(0/24)),1)</f>
        <v>0.54208630139328307</v>
      </c>
      <c r="BN1786" s="381"/>
      <c r="BO1786" s="382">
        <v>1779</v>
      </c>
    </row>
    <row r="1787" spans="1:67" s="24" customFormat="1" ht="15" customHeight="1" x14ac:dyDescent="0.25">
      <c r="A1787" s="298" t="s">
        <v>1761</v>
      </c>
      <c r="B1787" s="241" t="str">
        <f>HYPERLINK(CONCATENATE($AT$3,BK1787,$AU$3),$AV$3)</f>
        <v>S</v>
      </c>
      <c r="C1787" s="242" t="str">
        <f>HYPERLINK(CONCATENATE($AT$4,BK1787,$AU$4,BL1787),$AV$4)</f>
        <v>A</v>
      </c>
      <c r="D1787" s="243" t="s">
        <v>5335</v>
      </c>
      <c r="E1787" s="244" t="s">
        <v>5185</v>
      </c>
      <c r="F1787" s="269" t="s">
        <v>5445</v>
      </c>
      <c r="G1787" s="276">
        <v>22</v>
      </c>
      <c r="H1787" s="283">
        <v>1300</v>
      </c>
      <c r="I1787" s="279">
        <v>9</v>
      </c>
      <c r="J1787" s="246">
        <v>4</v>
      </c>
      <c r="K1787" s="247" t="s">
        <v>5458</v>
      </c>
      <c r="L1787" s="248">
        <v>75800</v>
      </c>
      <c r="M1787" s="249">
        <f>15*(LEFT(TEXT($L1787,"000000"),2)+(MID(TEXT($L1787,"000000"),3,2)/60)+(RIGHT(TEXT($L1787,"000000"),2)/3600))</f>
        <v>119.5</v>
      </c>
      <c r="N1787" s="286">
        <v>-604500</v>
      </c>
      <c r="O1787" s="251">
        <f>IF($N1787&gt;0,(LEFT(TEXT($N1787,"000000"),2)+(MID(TEXT($N1787,"000000"),3,2)/60)+(RIGHT(TEXT($N1787,"000000"),2)/3600)),-(MID(TEXT($N1787,"000000"),2,2)+(MID(TEXT($N1787,"000000"),4,2)/60)+(RIGHT(TEXT($N1787,"000000"),2)/3600)))</f>
        <v>-60.75</v>
      </c>
      <c r="P1787" s="252" t="s">
        <v>1000</v>
      </c>
      <c r="Q1787" s="253" t="s">
        <v>7149</v>
      </c>
      <c r="R1787" s="247" t="s">
        <v>7408</v>
      </c>
      <c r="S1787" s="272" t="s">
        <v>5444</v>
      </c>
      <c r="T1787" s="273">
        <v>3.8</v>
      </c>
      <c r="U1787" s="274"/>
      <c r="V1787" s="280"/>
      <c r="W1787" s="244"/>
      <c r="X1787" s="244"/>
      <c r="Y1787" s="362"/>
      <c r="Z1787" s="257">
        <f>altaz(J2000_Bas,$O1787,$M1787,DecLat,DecLong,1)</f>
        <v>-58.940388942026772</v>
      </c>
      <c r="AA1787" s="257">
        <f>altaz((J2000_Bas+(2*0.04167)),$O1787,$M1787,DecLat,DecLong,1)</f>
        <v>-58.295499757274577</v>
      </c>
      <c r="AB1787" s="257">
        <f>altaz((J2000_Bas+(4*0.04167)),$O1787,$M1787,DecLat,DecLong,1)</f>
        <v>-47.45618703945464</v>
      </c>
      <c r="AC1787" s="257">
        <f>altaz((J2000_Bas+(6*0.04167)),$O1787,$M1787,DecLat,DecLong,1)</f>
        <v>-33.046545361614541</v>
      </c>
      <c r="AD1787" s="258">
        <f>1+ transit((J2000_Bas-1),$O1787,$M1787,DecLat,DecLong)/360 + (GMTOffset/24) + (IF(DST="Y", 1, 0)/24)</f>
        <v>1.324844371879708</v>
      </c>
      <c r="AE1787" s="259">
        <f>DATE(2001,9,21)+(M1787/360)*365 - (360*((DecLong/360)- (GMTOffset/24) ))</f>
        <v>37281.159722222219</v>
      </c>
      <c r="AF1787" s="260">
        <f>IF(DecLat&gt;0,IF((90 - (DecLat-O1787))&gt;90, (90 - (O1787-DecLat)), (90 - (DecLat-O1787))),IF((90 + (DecLat-O1787))&gt;90, (90 + (O1787-DecLat)), (90 + (DecLat-O1787))))</f>
        <v>-1.75</v>
      </c>
      <c r="AG1787" s="257">
        <f>angularseperation(MoonRA,MoonDec,$M1787,$O1787)</f>
        <v>83.159144317327872</v>
      </c>
      <c r="AH1787" s="261">
        <f ca="1">MIN(100,IF($O$5&gt;80,0+30*($AG1787/100),IF($O$5&gt;70,0+50*($AG1787/100),IF($O$5&gt;60,5+50*($AG1787/100),IF($O$5&gt;50,10+60*($AG1787/100),IF($O$5&gt;40,15+70*($AG1787/100),IF($O$5&gt;30,20+70*($AG1787/100),IF($O$5&gt;20,40+55*($AG1787/100),(80+(20-$O$5)+30*($AG1787/100))))))))))</f>
        <v>100</v>
      </c>
      <c r="AI1787" s="262">
        <v>2516</v>
      </c>
      <c r="AJ1787" s="262"/>
      <c r="AK1787" s="262"/>
      <c r="AL1787" s="263"/>
      <c r="AM1787" s="264">
        <v>96</v>
      </c>
      <c r="AN1787" s="263"/>
      <c r="AO1787" s="263"/>
      <c r="AP1787" s="265"/>
      <c r="AQ1787" s="266"/>
      <c r="AR1787" s="267"/>
      <c r="AS1787" s="263"/>
      <c r="AT1787" s="263"/>
      <c r="AU1787" s="263"/>
      <c r="AV1787" s="264"/>
      <c r="AW1787" s="263"/>
      <c r="AX1787" s="263"/>
      <c r="AY1787" s="263"/>
      <c r="AZ1787" s="263"/>
      <c r="BA1787" s="263"/>
      <c r="BB1787" s="263"/>
      <c r="BC1787" s="263"/>
      <c r="BD1787" s="264"/>
      <c r="BE1787" s="263"/>
      <c r="BF1787" s="263"/>
      <c r="BG1787" s="263"/>
      <c r="BH1787" s="263"/>
      <c r="BI1787" s="263"/>
      <c r="BJ1787" s="404">
        <f>altaz(J2000_Bas,$O1787,$M1787,DecLat,DecLong,2)</f>
        <v>192.77052314261169</v>
      </c>
      <c r="BK1787" s="378" t="s">
        <v>1761</v>
      </c>
      <c r="BL1787" s="379">
        <f>IF((2*G1787)/60&lt;0.2,0.2,(2*G1787)/60)</f>
        <v>0.73333333333333328</v>
      </c>
      <c r="BM1787" s="380">
        <f>MOD((50000+AD1787-$B$3+(0/24)),1)</f>
        <v>0.54021130158071173</v>
      </c>
      <c r="BN1787" s="381"/>
      <c r="BO1787" s="382">
        <v>1780</v>
      </c>
    </row>
    <row r="1788" spans="1:67" s="24" customFormat="1" ht="15" customHeight="1" x14ac:dyDescent="0.25">
      <c r="A1788" s="287" t="s">
        <v>1762</v>
      </c>
      <c r="B1788" s="241" t="str">
        <f>HYPERLINK(CONCATENATE($AT$3,BK1788,$AU$3),$AV$3)</f>
        <v>S</v>
      </c>
      <c r="C1788" s="242" t="str">
        <f>HYPERLINK(CONCATENATE($AT$4,BK1788,$AU$4,BL1788),$AV$4)</f>
        <v>A</v>
      </c>
      <c r="D1788" s="243" t="s">
        <v>5335</v>
      </c>
      <c r="E1788" s="244" t="s">
        <v>5185</v>
      </c>
      <c r="F1788" s="269" t="s">
        <v>6539</v>
      </c>
      <c r="G1788" s="276">
        <v>14</v>
      </c>
      <c r="H1788" s="283">
        <v>2100</v>
      </c>
      <c r="I1788" s="279">
        <v>9</v>
      </c>
      <c r="J1788" s="246">
        <v>2</v>
      </c>
      <c r="K1788" s="247" t="s">
        <v>7226</v>
      </c>
      <c r="L1788" s="248">
        <v>80458</v>
      </c>
      <c r="M1788" s="249">
        <f>15*(LEFT(TEXT($L1788,"000000"),2)+(MID(TEXT($L1788,"000000"),3,2)/60)+(RIGHT(TEXT($L1788,"000000"),2)/3600))</f>
        <v>121.24166666666667</v>
      </c>
      <c r="N1788" s="250">
        <v>-280848</v>
      </c>
      <c r="O1788" s="251">
        <f>IF($N1788&gt;0,(LEFT(TEXT($N1788,"000000"),2)+(MID(TEXT($N1788,"000000"),3,2)/60)+(RIGHT(TEXT($N1788,"000000"),2)/3600)),-(MID(TEXT($N1788,"000000"),2,2)+(MID(TEXT($N1788,"000000"),4,2)/60)+(RIGHT(TEXT($N1788,"000000"),2)/3600)))</f>
        <v>-28.146666666666665</v>
      </c>
      <c r="P1788" s="252" t="s">
        <v>91</v>
      </c>
      <c r="Q1788" s="253"/>
      <c r="R1788" s="277" t="s">
        <v>3293</v>
      </c>
      <c r="S1788" s="272" t="s">
        <v>3293</v>
      </c>
      <c r="T1788" s="273">
        <v>6.5</v>
      </c>
      <c r="U1788" s="274"/>
      <c r="V1788" s="280"/>
      <c r="W1788" s="244"/>
      <c r="X1788" s="244"/>
      <c r="Y1788" s="362"/>
      <c r="Z1788" s="257">
        <f>altaz(J2000_Bas,$O1788,$M1788,DecLat,DecLong,1)</f>
        <v>-76.454557803150905</v>
      </c>
      <c r="AA1788" s="257">
        <f>altaz((J2000_Bas+(2*0.04167)),$O1788,$M1788,DecLat,DecLong,1)</f>
        <v>-76.788173239784001</v>
      </c>
      <c r="AB1788" s="257">
        <f>altaz((J2000_Bas+(4*0.04167)),$O1788,$M1788,DecLat,DecLong,1)</f>
        <v>-51.081766368128619</v>
      </c>
      <c r="AC1788" s="257">
        <f>altaz((J2000_Bas+(6*0.04167)),$O1788,$M1788,DecLat,DecLong,1)</f>
        <v>-26.001127531399163</v>
      </c>
      <c r="AD1788" s="258">
        <f>1+ transit((J2000_Bas-1),$O1788,$M1788,DecLat,DecLong)/360 + (GMTOffset/24) + (IF(DST="Y", 1, 0)/24)</f>
        <v>1.3296823343588746</v>
      </c>
      <c r="AE1788" s="259">
        <f>DATE(2001,9,21)+(M1788/360)*365 - (360*((DecLong/360)- (GMTOffset/24) ))</f>
        <v>37282.925578703704</v>
      </c>
      <c r="AF1788" s="260">
        <f>IF(DecLat&gt;0,IF((90 - (DecLat-O1788))&gt;90, (90 - (O1788-DecLat)), (90 - (DecLat-O1788))),IF((90 + (DecLat-O1788))&gt;90, (90 + (O1788-DecLat)), (90 + (DecLat-O1788))))</f>
        <v>30.853333333333339</v>
      </c>
      <c r="AG1788" s="257">
        <f>angularseperation(MoonRA,MoonDec,$M1788,$O1788)</f>
        <v>105.5780138334389</v>
      </c>
      <c r="AH1788" s="261">
        <f ca="1">MIN(100,IF($O$5&gt;80,0+30*($AG1788/100),IF($O$5&gt;70,0+50*($AG1788/100),IF($O$5&gt;60,5+50*($AG1788/100),IF($O$5&gt;50,10+60*($AG1788/100),IF($O$5&gt;40,15+70*($AG1788/100),IF($O$5&gt;30,20+70*($AG1788/100),IF($O$5&gt;20,40+55*($AG1788/100),(80+(20-$O$5)+30*($AG1788/100))))))))))</f>
        <v>100</v>
      </c>
      <c r="AI1788" s="262">
        <v>2527</v>
      </c>
      <c r="AJ1788" s="263"/>
      <c r="AK1788" s="263">
        <v>112</v>
      </c>
      <c r="AL1788" s="263"/>
      <c r="AM1788" s="264"/>
      <c r="AN1788" s="263"/>
      <c r="AO1788" s="263"/>
      <c r="AP1788" s="265"/>
      <c r="AQ1788" s="265"/>
      <c r="AR1788" s="285"/>
      <c r="AS1788" s="263"/>
      <c r="AT1788" s="263"/>
      <c r="AU1788" s="263"/>
      <c r="AV1788" s="264"/>
      <c r="AW1788" s="263"/>
      <c r="AX1788" s="263"/>
      <c r="AY1788" s="263"/>
      <c r="AZ1788" s="263"/>
      <c r="BA1788" s="263"/>
      <c r="BB1788" s="263"/>
      <c r="BC1788" s="263"/>
      <c r="BD1788" s="264"/>
      <c r="BE1788" s="263"/>
      <c r="BF1788" s="263"/>
      <c r="BG1788" s="263"/>
      <c r="BH1788" s="263"/>
      <c r="BI1788" s="263"/>
      <c r="BJ1788" s="404">
        <f>altaz(J2000_Bas,$O1788,$M1788,DecLat,DecLong,2)</f>
        <v>278.30013450645481</v>
      </c>
      <c r="BK1788" s="378" t="s">
        <v>1762</v>
      </c>
      <c r="BL1788" s="379">
        <f>IF((2*G1788)/60&lt;0.2,0.2,(2*G1788)/60)</f>
        <v>0.46666666666666667</v>
      </c>
      <c r="BM1788" s="380">
        <f>MOD((50000+AD1788-$B$3+(0/24)),1)</f>
        <v>0.54504926405934384</v>
      </c>
      <c r="BN1788" s="381"/>
      <c r="BO1788" s="382">
        <v>1781</v>
      </c>
    </row>
    <row r="1789" spans="1:67" s="24" customFormat="1" ht="15" customHeight="1" x14ac:dyDescent="0.25">
      <c r="A1789" s="288" t="s">
        <v>1763</v>
      </c>
      <c r="B1789" s="241" t="str">
        <f>HYPERLINK(CONCATENATE($AT$3,BK1789,$AU$3),$AV$3)</f>
        <v>S</v>
      </c>
      <c r="C1789" s="242" t="str">
        <f>HYPERLINK(CONCATENATE($AT$4,BK1789,$AU$4,BL1789),$AV$4)</f>
        <v>A</v>
      </c>
      <c r="D1789" s="243" t="s">
        <v>5638</v>
      </c>
      <c r="E1789" s="244" t="s">
        <v>5192</v>
      </c>
      <c r="F1789" s="269" t="s">
        <v>8895</v>
      </c>
      <c r="G1789" s="273">
        <v>2</v>
      </c>
      <c r="H1789" s="283">
        <v>250</v>
      </c>
      <c r="I1789" s="246">
        <v>150</v>
      </c>
      <c r="J1789" s="246">
        <v>2</v>
      </c>
      <c r="K1789" s="247" t="s">
        <v>7227</v>
      </c>
      <c r="L1789" s="248">
        <v>81015</v>
      </c>
      <c r="M1789" s="249">
        <f>15*(LEFT(TEXT($L1789,"000000"),2)+(MID(TEXT($L1789,"000000"),3,2)/60)+(RIGHT(TEXT($L1789,"000000"),2)/3600))</f>
        <v>122.56249999999999</v>
      </c>
      <c r="N1789" s="250">
        <v>335725</v>
      </c>
      <c r="O1789" s="251">
        <f>IF($N1789&gt;0,(LEFT(TEXT($N1789,"000000"),2)+(MID(TEXT($N1789,"000000"),3,2)/60)+(RIGHT(TEXT($N1789,"000000"),2)/3600)),-(MID(TEXT($N1789,"000000"),2,2)+(MID(TEXT($N1789,"000000"),4,2)/60)+(RIGHT(TEXT($N1789,"000000"),2)/3600)))</f>
        <v>33.956944444444446</v>
      </c>
      <c r="P1789" s="252" t="s">
        <v>82</v>
      </c>
      <c r="Q1789" s="253"/>
      <c r="R1789" s="247" t="s">
        <v>3293</v>
      </c>
      <c r="S1789" s="272" t="s">
        <v>3293</v>
      </c>
      <c r="T1789" s="273">
        <v>12.4</v>
      </c>
      <c r="U1789" s="289">
        <v>22.69</v>
      </c>
      <c r="V1789" s="280">
        <v>50</v>
      </c>
      <c r="W1789" s="244"/>
      <c r="X1789" s="244"/>
      <c r="Y1789" s="362"/>
      <c r="Z1789" s="257">
        <f>altaz(J2000_Bas,$O1789,$M1789,DecLat,DecLong,1)</f>
        <v>-23.191734244961598</v>
      </c>
      <c r="AA1789" s="257">
        <f>altaz((J2000_Bas+(2*0.04167)),$O1789,$M1789,DecLat,DecLong,1)</f>
        <v>-23.802368886793005</v>
      </c>
      <c r="AB1789" s="257">
        <f>altaz((J2000_Bas+(4*0.04167)),$O1789,$M1789,DecLat,DecLong,1)</f>
        <v>-13.12704212489953</v>
      </c>
      <c r="AC1789" s="257">
        <f>altaz((J2000_Bas+(6*0.04167)),$O1789,$M1789,DecLat,DecLong,1)</f>
        <v>5.0520588341022243</v>
      </c>
      <c r="AD1789" s="258">
        <f>1+ transit((J2000_Bas-1),$O1789,$M1789,DecLat,DecLong)/360 + (GMTOffset/24) + (IF(DST="Y", 1, 0)/24)</f>
        <v>1.333351315473458</v>
      </c>
      <c r="AE1789" s="259">
        <f>DATE(2001,9,21)+(M1789/360)*365 - (360*((DecLong/360)- (GMTOffset/24) ))</f>
        <v>37284.264756944445</v>
      </c>
      <c r="AF1789" s="260">
        <f>IF(DecLat&gt;0,IF((90 - (DecLat-O1789))&gt;90, (90 - (O1789-DecLat)), (90 - (DecLat-O1789))),IF((90 + (DecLat-O1789))&gt;90, (90 + (O1789-DecLat)), (90 + (DecLat-O1789))))</f>
        <v>87.043055555555554</v>
      </c>
      <c r="AG1789" s="257">
        <f>angularseperation(MoonRA,MoonDec,$M1789,$O1789)</f>
        <v>134.06293568800714</v>
      </c>
      <c r="AH1789" s="261">
        <f ca="1">MIN(100,IF($O$5&gt;80,0+30*($AG1789/100),IF($O$5&gt;70,0+50*($AG1789/100),IF($O$5&gt;60,5+50*($AG1789/100),IF($O$5&gt;50,10+60*($AG1789/100),IF($O$5&gt;40,15+70*($AG1789/100),IF($O$5&gt;30,20+70*($AG1789/100),IF($O$5&gt;20,40+55*($AG1789/100),(80+(20-$O$5)+30*($AG1789/100))))))))))</f>
        <v>100</v>
      </c>
      <c r="AI1789" s="262">
        <v>2532</v>
      </c>
      <c r="AJ1789" s="262"/>
      <c r="AK1789" s="262"/>
      <c r="AL1789" s="263"/>
      <c r="AM1789" s="264"/>
      <c r="AN1789" s="263"/>
      <c r="AO1789" s="263"/>
      <c r="AP1789" s="265"/>
      <c r="AQ1789" s="266">
        <v>4256</v>
      </c>
      <c r="AR1789" s="267">
        <v>22922</v>
      </c>
      <c r="AS1789" s="263"/>
      <c r="AT1789" s="263"/>
      <c r="AU1789" s="263"/>
      <c r="AV1789" s="264"/>
      <c r="AW1789" s="263"/>
      <c r="AX1789" s="263"/>
      <c r="AY1789" s="263"/>
      <c r="AZ1789" s="263"/>
      <c r="BA1789" s="263"/>
      <c r="BB1789" s="263"/>
      <c r="BC1789" s="263"/>
      <c r="BD1789" s="264"/>
      <c r="BE1789" s="263"/>
      <c r="BF1789" s="263"/>
      <c r="BG1789" s="263"/>
      <c r="BH1789" s="263"/>
      <c r="BI1789" s="263"/>
      <c r="BJ1789" s="404">
        <f>altaz(J2000_Bas,$O1789,$M1789,DecLat,DecLong,2)</f>
        <v>345.09644145218402</v>
      </c>
      <c r="BK1789" s="378" t="s">
        <v>1763</v>
      </c>
      <c r="BL1789" s="379">
        <f>IF((2*G1789)/60&lt;0.2,0.2,(2*G1789)/60)</f>
        <v>0.2</v>
      </c>
      <c r="BM1789" s="380">
        <f>MOD((50000+AD1789-$B$3+(0/24)),1)</f>
        <v>0.54871824517613277</v>
      </c>
      <c r="BN1789" s="381"/>
      <c r="BO1789" s="382">
        <v>1782</v>
      </c>
    </row>
    <row r="1790" spans="1:67" s="24" customFormat="1" ht="15" customHeight="1" x14ac:dyDescent="0.25">
      <c r="A1790" s="288" t="s">
        <v>1764</v>
      </c>
      <c r="B1790" s="241" t="str">
        <f>HYPERLINK(CONCATENATE($AT$3,BK1790,$AU$3),$AV$3)</f>
        <v>S</v>
      </c>
      <c r="C1790" s="242" t="str">
        <f>HYPERLINK(CONCATENATE($AT$4,BK1790,$AU$4,BL1790),$AV$4)</f>
        <v>A</v>
      </c>
      <c r="D1790" s="243" t="s">
        <v>5335</v>
      </c>
      <c r="E1790" s="244" t="s">
        <v>5185</v>
      </c>
      <c r="F1790" s="269" t="s">
        <v>7228</v>
      </c>
      <c r="G1790" s="276">
        <v>15</v>
      </c>
      <c r="H1790" s="283">
        <v>4000</v>
      </c>
      <c r="I1790" s="246">
        <v>17</v>
      </c>
      <c r="J1790" s="246">
        <v>2</v>
      </c>
      <c r="K1790" s="247" t="s">
        <v>7229</v>
      </c>
      <c r="L1790" s="248">
        <v>81037</v>
      </c>
      <c r="M1790" s="249">
        <f>15*(LEFT(TEXT($L1790,"000000"),2)+(MID(TEXT($L1790,"000000"),3,2)/60)+(RIGHT(TEXT($L1790,"000000"),2)/3600))</f>
        <v>122.65416666666667</v>
      </c>
      <c r="N1790" s="250">
        <v>-124906</v>
      </c>
      <c r="O1790" s="251">
        <f>IF($N1790&gt;0,(LEFT(TEXT($N1790,"000000"),2)+(MID(TEXT($N1790,"000000"),3,2)/60)+(RIGHT(TEXT($N1790,"000000"),2)/3600)),-(MID(TEXT($N1790,"000000"),2,2)+(MID(TEXT($N1790,"000000"),4,2)/60)+(RIGHT(TEXT($N1790,"000000"),2)/3600)))</f>
        <v>-12.818333333333333</v>
      </c>
      <c r="P1790" s="252" t="s">
        <v>91</v>
      </c>
      <c r="Q1790" s="253" t="s">
        <v>7106</v>
      </c>
      <c r="R1790" s="247" t="s">
        <v>3293</v>
      </c>
      <c r="S1790" s="272" t="s">
        <v>3293</v>
      </c>
      <c r="T1790" s="273">
        <v>6.5</v>
      </c>
      <c r="U1790" s="274"/>
      <c r="V1790" s="280"/>
      <c r="W1790" s="244"/>
      <c r="X1790" s="244"/>
      <c r="Y1790" s="362"/>
      <c r="Z1790" s="257">
        <f>altaz(J2000_Bas,$O1790,$M1790,DecLat,DecLong,1)</f>
        <v>-66.20893858724385</v>
      </c>
      <c r="AA1790" s="257">
        <f>altaz((J2000_Bas+(2*0.04167)),$O1790,$M1790,DecLat,DecLong,1)</f>
        <v>-68.003412900787339</v>
      </c>
      <c r="AB1790" s="257">
        <f>altaz((J2000_Bas+(4*0.04167)),$O1790,$M1790,DecLat,DecLong,1)</f>
        <v>-46.084387712942529</v>
      </c>
      <c r="AC1790" s="257">
        <f>altaz((J2000_Bas+(6*0.04167)),$O1790,$M1790,DecLat,DecLong,1)</f>
        <v>-20.500761626338448</v>
      </c>
      <c r="AD1790" s="258">
        <f>1+ transit((J2000_Bas-1),$O1790,$M1790,DecLat,DecLong)/360 + (GMTOffset/24) + (IF(DST="Y", 1, 0)/24)</f>
        <v>1.3336059450776248</v>
      </c>
      <c r="AE1790" s="259">
        <f>DATE(2001,9,21)+(M1790/360)*365 - (360*((DecLong/360)- (GMTOffset/24) ))</f>
        <v>37284.35769675926</v>
      </c>
      <c r="AF1790" s="260">
        <f>IF(DecLat&gt;0,IF((90 - (DecLat-O1790))&gt;90, (90 - (O1790-DecLat)), (90 - (DecLat-O1790))),IF((90 + (DecLat-O1790))&gt;90, (90 + (O1790-DecLat)), (90 + (DecLat-O1790))))</f>
        <v>46.181666666666665</v>
      </c>
      <c r="AG1790" s="257">
        <f>angularseperation(MoonRA,MoonDec,$M1790,$O1790)</f>
        <v>114.61074504508159</v>
      </c>
      <c r="AH1790" s="261">
        <f ca="1">MIN(100,IF($O$5&gt;80,0+30*($AG1790/100),IF($O$5&gt;70,0+50*($AG1790/100),IF($O$5&gt;60,5+50*($AG1790/100),IF($O$5&gt;50,10+60*($AG1790/100),IF($O$5&gt;40,15+70*($AG1790/100),IF($O$5&gt;30,20+70*($AG1790/100),IF($O$5&gt;20,40+55*($AG1790/100),(80+(20-$O$5)+30*($AG1790/100))))))))))</f>
        <v>100</v>
      </c>
      <c r="AI1790" s="262">
        <v>2539</v>
      </c>
      <c r="AJ1790" s="262"/>
      <c r="AK1790" s="262">
        <v>113</v>
      </c>
      <c r="AL1790" s="263"/>
      <c r="AM1790" s="264"/>
      <c r="AN1790" s="263"/>
      <c r="AO1790" s="263"/>
      <c r="AP1790" s="265"/>
      <c r="AQ1790" s="266"/>
      <c r="AR1790" s="267"/>
      <c r="AS1790" s="263"/>
      <c r="AT1790" s="263"/>
      <c r="AU1790" s="263"/>
      <c r="AV1790" s="264"/>
      <c r="AW1790" s="263"/>
      <c r="AX1790" s="263"/>
      <c r="AY1790" s="263"/>
      <c r="AZ1790" s="263"/>
      <c r="BA1790" s="263"/>
      <c r="BB1790" s="263"/>
      <c r="BC1790" s="263"/>
      <c r="BD1790" s="264"/>
      <c r="BE1790" s="263">
        <v>45</v>
      </c>
      <c r="BF1790" s="263"/>
      <c r="BG1790" s="263"/>
      <c r="BH1790" s="263"/>
      <c r="BI1790" s="263"/>
      <c r="BJ1790" s="404">
        <f>altaz(J2000_Bas,$O1790,$M1790,DecLat,DecLong,2)</f>
        <v>316.1612820551681</v>
      </c>
      <c r="BK1790" s="378" t="s">
        <v>1764</v>
      </c>
      <c r="BL1790" s="379">
        <f>IF((2*G1790)/60&lt;0.2,0.2,(2*G1790)/60)</f>
        <v>0.5</v>
      </c>
      <c r="BM1790" s="380">
        <f>MOD((50000+AD1790-$B$3+(0/24)),1)</f>
        <v>0.54897287478524959</v>
      </c>
      <c r="BN1790" s="381"/>
      <c r="BO1790" s="382">
        <v>1783</v>
      </c>
    </row>
    <row r="1791" spans="1:67" s="24" customFormat="1" ht="15" customHeight="1" x14ac:dyDescent="0.25">
      <c r="A1791" s="288" t="s">
        <v>1765</v>
      </c>
      <c r="B1791" s="241" t="str">
        <f>HYPERLINK(CONCATENATE($AT$3,BK1791,$AU$3),$AV$3)</f>
        <v>S</v>
      </c>
      <c r="C1791" s="242" t="str">
        <f>HYPERLINK(CONCATENATE($AT$4,BK1791,$AU$4,BL1791),$AV$4)</f>
        <v>A</v>
      </c>
      <c r="D1791" s="243" t="s">
        <v>5638</v>
      </c>
      <c r="E1791" s="244" t="s">
        <v>5192</v>
      </c>
      <c r="F1791" s="269" t="s">
        <v>8895</v>
      </c>
      <c r="G1791" s="273">
        <v>6</v>
      </c>
      <c r="H1791" s="283">
        <v>40</v>
      </c>
      <c r="I1791" s="246">
        <v>70</v>
      </c>
      <c r="J1791" s="246">
        <v>2</v>
      </c>
      <c r="K1791" s="247" t="s">
        <v>7230</v>
      </c>
      <c r="L1791" s="248">
        <v>81440</v>
      </c>
      <c r="M1791" s="249">
        <f>15*(LEFT(TEXT($L1791,"000000"),2)+(MID(TEXT($L1791,"000000"),3,2)/60)+(RIGHT(TEXT($L1791,"000000"),2)/3600))</f>
        <v>123.66666666666666</v>
      </c>
      <c r="N1791" s="250">
        <v>490343</v>
      </c>
      <c r="O1791" s="251">
        <f>IF($N1791&gt;0,(LEFT(TEXT($N1791,"000000"),2)+(MID(TEXT($N1791,"000000"),3,2)/60)+(RIGHT(TEXT($N1791,"000000"),2)/3600)),-(MID(TEXT($N1791,"000000"),2,2)+(MID(TEXT($N1791,"000000"),4,2)/60)+(RIGHT(TEXT($N1791,"000000"),2)/3600)))</f>
        <v>49.061944444444443</v>
      </c>
      <c r="P1791" s="252" t="s">
        <v>82</v>
      </c>
      <c r="Q1791" s="253"/>
      <c r="R1791" s="247" t="s">
        <v>3293</v>
      </c>
      <c r="S1791" s="272" t="s">
        <v>3293</v>
      </c>
      <c r="T1791" s="273">
        <v>11.8</v>
      </c>
      <c r="U1791" s="289">
        <v>23.79</v>
      </c>
      <c r="V1791" s="280">
        <v>60</v>
      </c>
      <c r="W1791" s="244"/>
      <c r="X1791" s="244"/>
      <c r="Y1791" s="362"/>
      <c r="Z1791" s="257">
        <f>altaz(J2000_Bas,$O1791,$M1791,DecLat,DecLong,1)</f>
        <v>-8.4011353905211905</v>
      </c>
      <c r="AA1791" s="257">
        <f>altaz((J2000_Bas+(2*0.04167)),$O1791,$M1791,DecLat,DecLong,1)</f>
        <v>-9.1742827470500448</v>
      </c>
      <c r="AB1791" s="257">
        <f>altaz((J2000_Bas+(4*0.04167)),$O1791,$M1791,DecLat,DecLong,1)</f>
        <v>-1.432031488596432</v>
      </c>
      <c r="AC1791" s="257">
        <f>altaz((J2000_Bas+(6*0.04167)),$O1791,$M1791,DecLat,DecLong,1)</f>
        <v>12.768647113036534</v>
      </c>
      <c r="AD1791" s="258">
        <f>1+ transit((J2000_Bas-1),$O1791,$M1791,DecLat,DecLong)/360 + (GMTOffset/24) + (IF(DST="Y", 1, 0)/24)</f>
        <v>1.3364184447963747</v>
      </c>
      <c r="AE1791" s="259">
        <f>DATE(2001,9,21)+(M1791/360)*365 - (360*((DecLong/360)- (GMTOffset/24) ))</f>
        <v>37285.384259259263</v>
      </c>
      <c r="AF1791" s="260">
        <f>IF(DecLat&gt;0,IF((90 - (DecLat-O1791))&gt;90, (90 - (O1791-DecLat)), (90 - (DecLat-O1791))),IF((90 + (DecLat-O1791))&gt;90, (90 + (O1791-DecLat)), (90 + (DecLat-O1791))))</f>
        <v>71.938055555555565</v>
      </c>
      <c r="AG1791" s="257">
        <f>angularseperation(MoonRA,MoonDec,$M1791,$O1791)</f>
        <v>133.10512284288828</v>
      </c>
      <c r="AH1791" s="261">
        <f ca="1">MIN(100,IF($O$5&gt;80,0+30*($AG1791/100),IF($O$5&gt;70,0+50*($AG1791/100),IF($O$5&gt;60,5+50*($AG1791/100),IF($O$5&gt;50,10+60*($AG1791/100),IF($O$5&gt;40,15+70*($AG1791/100),IF($O$5&gt;30,20+70*($AG1791/100),IF($O$5&gt;20,40+55*($AG1791/100),(80+(20-$O$5)+30*($AG1791/100))))))))))</f>
        <v>100</v>
      </c>
      <c r="AI1791" s="262">
        <v>2541</v>
      </c>
      <c r="AJ1791" s="262"/>
      <c r="AK1791" s="262"/>
      <c r="AL1791" s="263"/>
      <c r="AM1791" s="264"/>
      <c r="AN1791" s="263"/>
      <c r="AO1791" s="263"/>
      <c r="AP1791" s="265"/>
      <c r="AQ1791" s="266">
        <v>4284</v>
      </c>
      <c r="AR1791" s="267">
        <v>23110</v>
      </c>
      <c r="AS1791" s="263"/>
      <c r="AT1791" s="263"/>
      <c r="AU1791" s="263"/>
      <c r="AV1791" s="264"/>
      <c r="AW1791" s="263"/>
      <c r="AX1791" s="263"/>
      <c r="AY1791" s="263"/>
      <c r="AZ1791" s="263"/>
      <c r="BA1791" s="263"/>
      <c r="BB1791" s="263"/>
      <c r="BC1791" s="263"/>
      <c r="BD1791" s="264"/>
      <c r="BE1791" s="263"/>
      <c r="BF1791" s="263"/>
      <c r="BG1791" s="263"/>
      <c r="BH1791" s="263"/>
      <c r="BI1791" s="263"/>
      <c r="BJ1791" s="404">
        <f>altaz(J2000_Bas,$O1791,$M1791,DecLat,DecLong,2)</f>
        <v>348.4057123379435</v>
      </c>
      <c r="BK1791" s="378" t="s">
        <v>1765</v>
      </c>
      <c r="BL1791" s="379">
        <f>IF((2*G1791)/60&lt;0.2,0.2,(2*G1791)/60)</f>
        <v>0.2</v>
      </c>
      <c r="BM1791" s="380">
        <f>MOD((50000+AD1791-$B$3+(0/24)),1)</f>
        <v>0.55178537449683063</v>
      </c>
      <c r="BN1791" s="381"/>
      <c r="BO1791" s="382">
        <v>1784</v>
      </c>
    </row>
    <row r="1792" spans="1:67" s="24" customFormat="1" ht="15" customHeight="1" x14ac:dyDescent="0.25">
      <c r="A1792" s="288" t="s">
        <v>1766</v>
      </c>
      <c r="B1792" s="241" t="str">
        <f>HYPERLINK(CONCATENATE($AT$3,BK1792,$AU$3),$AV$3)</f>
        <v>S</v>
      </c>
      <c r="C1792" s="242" t="str">
        <f>HYPERLINK(CONCATENATE($AT$4,BK1792,$AU$4,BL1792),$AV$4)</f>
        <v>A</v>
      </c>
      <c r="D1792" s="243" t="s">
        <v>5638</v>
      </c>
      <c r="E1792" s="244" t="s">
        <v>5192</v>
      </c>
      <c r="F1792" s="269" t="s">
        <v>8900</v>
      </c>
      <c r="G1792" s="273">
        <v>3</v>
      </c>
      <c r="H1792" s="283">
        <v>110</v>
      </c>
      <c r="I1792" s="246">
        <v>100</v>
      </c>
      <c r="J1792" s="246">
        <v>3</v>
      </c>
      <c r="K1792" s="247" t="s">
        <v>7231</v>
      </c>
      <c r="L1792" s="248">
        <v>81258</v>
      </c>
      <c r="M1792" s="249">
        <f>15*(LEFT(TEXT($L1792,"000000"),2)+(MID(TEXT($L1792,"000000"),3,2)/60)+(RIGHT(TEXT($L1792,"000000"),2)/3600))</f>
        <v>123.24166666666667</v>
      </c>
      <c r="N1792" s="250">
        <v>361516</v>
      </c>
      <c r="O1792" s="251">
        <f>IF($N1792&gt;0,(LEFT(TEXT($N1792,"000000"),2)+(MID(TEXT($N1792,"000000"),3,2)/60)+(RIGHT(TEXT($N1792,"000000"),2)/3600)),-(MID(TEXT($N1792,"000000"),2,2)+(MID(TEXT($N1792,"000000"),4,2)/60)+(RIGHT(TEXT($N1792,"000000"),2)/3600)))</f>
        <v>36.254444444444445</v>
      </c>
      <c r="P1792" s="252" t="s">
        <v>82</v>
      </c>
      <c r="Q1792" s="253"/>
      <c r="R1792" s="247" t="s">
        <v>3293</v>
      </c>
      <c r="S1792" s="272" t="s">
        <v>3293</v>
      </c>
      <c r="T1792" s="273">
        <v>11</v>
      </c>
      <c r="U1792" s="289">
        <v>21.79</v>
      </c>
      <c r="V1792" s="280">
        <v>65</v>
      </c>
      <c r="W1792" s="244"/>
      <c r="X1792" s="244"/>
      <c r="Y1792" s="362"/>
      <c r="Z1792" s="257">
        <f>altaz(J2000_Bas,$O1792,$M1792,DecLat,DecLong,1)</f>
        <v>-20.829459555153534</v>
      </c>
      <c r="AA1792" s="257">
        <f>altaz((J2000_Bas+(2*0.04167)),$O1792,$M1792,DecLat,DecLong,1)</f>
        <v>-21.674941414419038</v>
      </c>
      <c r="AB1792" s="257">
        <f>altaz((J2000_Bas+(4*0.04167)),$O1792,$M1792,DecLat,DecLong,1)</f>
        <v>-11.625932522336294</v>
      </c>
      <c r="AC1792" s="257">
        <f>altaz((J2000_Bas+(6*0.04167)),$O1792,$M1792,DecLat,DecLong,1)</f>
        <v>5.8920653756396852</v>
      </c>
      <c r="AD1792" s="258">
        <f>1+ transit((J2000_Bas-1),$O1792,$M1792,DecLat,DecLong)/360 + (GMTOffset/24) + (IF(DST="Y", 1, 0)/24)</f>
        <v>1.3352378893588746</v>
      </c>
      <c r="AE1792" s="259">
        <f>DATE(2001,9,21)+(M1792/360)*365 - (360*((DecLong/360)- (GMTOffset/24) ))</f>
        <v>37284.953356481485</v>
      </c>
      <c r="AF1792" s="260">
        <f>IF(DecLat&gt;0,IF((90 - (DecLat-O1792))&gt;90, (90 - (O1792-DecLat)), (90 - (DecLat-O1792))),IF((90 + (DecLat-O1792))&gt;90, (90 + (O1792-DecLat)), (90 + (DecLat-O1792))))</f>
        <v>84.745555555555555</v>
      </c>
      <c r="AG1792" s="257">
        <f>angularseperation(MoonRA,MoonDec,$M1792,$O1792)</f>
        <v>133.73026296249478</v>
      </c>
      <c r="AH1792" s="261">
        <f ca="1">MIN(100,IF($O$5&gt;80,0+30*($AG1792/100),IF($O$5&gt;70,0+50*($AG1792/100),IF($O$5&gt;60,5+50*($AG1792/100),IF($O$5&gt;50,10+60*($AG1792/100),IF($O$5&gt;40,15+70*($AG1792/100),IF($O$5&gt;30,20+70*($AG1792/100),IF($O$5&gt;20,40+55*($AG1792/100),(80+(20-$O$5)+30*($AG1792/100))))))))))</f>
        <v>100</v>
      </c>
      <c r="AI1792" s="262">
        <v>2543</v>
      </c>
      <c r="AJ1792" s="262"/>
      <c r="AK1792" s="262"/>
      <c r="AL1792" s="263"/>
      <c r="AM1792" s="264"/>
      <c r="AN1792" s="263"/>
      <c r="AO1792" s="263"/>
      <c r="AP1792" s="265"/>
      <c r="AQ1792" s="266"/>
      <c r="AR1792" s="267">
        <v>23028</v>
      </c>
      <c r="AS1792" s="263"/>
      <c r="AT1792" s="263"/>
      <c r="AU1792" s="263"/>
      <c r="AV1792" s="264"/>
      <c r="AW1792" s="263"/>
      <c r="AX1792" s="263"/>
      <c r="AY1792" s="263"/>
      <c r="AZ1792" s="263"/>
      <c r="BA1792" s="263"/>
      <c r="BB1792" s="263"/>
      <c r="BC1792" s="263"/>
      <c r="BD1792" s="264"/>
      <c r="BE1792" s="263"/>
      <c r="BF1792" s="263"/>
      <c r="BG1792" s="263"/>
      <c r="BH1792" s="263"/>
      <c r="BI1792" s="263"/>
      <c r="BJ1792" s="404">
        <f>altaz(J2000_Bas,$O1792,$M1792,DecLat,DecLong,2)</f>
        <v>345.18523577431489</v>
      </c>
      <c r="BK1792" s="378" t="s">
        <v>1766</v>
      </c>
      <c r="BL1792" s="379">
        <f>IF((2*G1792)/60&lt;0.2,0.2,(2*G1792)/60)</f>
        <v>0.2</v>
      </c>
      <c r="BM1792" s="380">
        <f>MOD((50000+AD1792-$B$3+(0/24)),1)</f>
        <v>0.55060481906548375</v>
      </c>
      <c r="BN1792" s="381"/>
      <c r="BO1792" s="382">
        <v>1785</v>
      </c>
    </row>
    <row r="1793" spans="1:67" s="24" customFormat="1" ht="15" customHeight="1" x14ac:dyDescent="0.25">
      <c r="A1793" s="288" t="s">
        <v>1767</v>
      </c>
      <c r="B1793" s="241" t="str">
        <f>HYPERLINK(CONCATENATE($AT$3,BK1793,$AU$3),$AV$3)</f>
        <v>S</v>
      </c>
      <c r="C1793" s="242" t="str">
        <f>HYPERLINK(CONCATENATE($AT$4,BK1793,$AU$4,BL1793),$AV$4)</f>
        <v>A</v>
      </c>
      <c r="D1793" s="243" t="s">
        <v>5335</v>
      </c>
      <c r="E1793" s="244" t="s">
        <v>5185</v>
      </c>
      <c r="F1793" s="269" t="s">
        <v>7203</v>
      </c>
      <c r="G1793" s="276">
        <v>60</v>
      </c>
      <c r="H1793" s="283">
        <v>3200</v>
      </c>
      <c r="I1793" s="246">
        <v>55</v>
      </c>
      <c r="J1793" s="246">
        <v>2</v>
      </c>
      <c r="K1793" s="247" t="s">
        <v>7232</v>
      </c>
      <c r="L1793" s="248">
        <v>81215</v>
      </c>
      <c r="M1793" s="249">
        <f>15*(LEFT(TEXT($L1793,"000000"),2)+(MID(TEXT($L1793,"000000"),3,2)/60)+(RIGHT(TEXT($L1793,"000000"),2)/3600))</f>
        <v>123.06249999999999</v>
      </c>
      <c r="N1793" s="250">
        <v>-373542</v>
      </c>
      <c r="O1793" s="251">
        <f>IF($N1793&gt;0,(LEFT(TEXT($N1793,"000000"),2)+(MID(TEXT($N1793,"000000"),3,2)/60)+(RIGHT(TEXT($N1793,"000000"),2)/3600)),-(MID(TEXT($N1793,"000000"),2,2)+(MID(TEXT($N1793,"000000"),4,2)/60)+(RIGHT(TEXT($N1793,"000000"),2)/3600)))</f>
        <v>-37.594999999999999</v>
      </c>
      <c r="P1793" s="252" t="s">
        <v>91</v>
      </c>
      <c r="Q1793" s="253" t="s">
        <v>7120</v>
      </c>
      <c r="R1793" s="247" t="s">
        <v>3293</v>
      </c>
      <c r="S1793" s="272" t="s">
        <v>3293</v>
      </c>
      <c r="T1793" s="273">
        <v>6.3</v>
      </c>
      <c r="U1793" s="274"/>
      <c r="V1793" s="280"/>
      <c r="W1793" s="244"/>
      <c r="X1793" s="244"/>
      <c r="Y1793" s="362"/>
      <c r="Z1793" s="257">
        <f>altaz(J2000_Bas,$O1793,$M1793,DecLat,DecLong,1)</f>
        <v>-74.471716939430493</v>
      </c>
      <c r="AA1793" s="257">
        <f>altaz((J2000_Bas+(2*0.04167)),$O1793,$M1793,DecLat,DecLong,1)</f>
        <v>-77.398185178755057</v>
      </c>
      <c r="AB1793" s="257">
        <f>altaz((J2000_Bas+(4*0.04167)),$O1793,$M1793,DecLat,DecLong,1)</f>
        <v>-54.100069797268702</v>
      </c>
      <c r="AC1793" s="257">
        <f>altaz((J2000_Bas+(6*0.04167)),$O1793,$M1793,DecLat,DecLong,1)</f>
        <v>-30.702807517836227</v>
      </c>
      <c r="AD1793" s="258">
        <f>1+ transit((J2000_Bas-1),$O1793,$M1793,DecLat,DecLong)/360 + (GMTOffset/24) + (IF(DST="Y", 1, 0)/24)</f>
        <v>1.334740204223458</v>
      </c>
      <c r="AE1793" s="259">
        <f>DATE(2001,9,21)+(M1793/360)*365 - (360*((DecLong/360)- (GMTOffset/24) ))</f>
        <v>37284.771701388891</v>
      </c>
      <c r="AF1793" s="260">
        <f>IF(DecLat&gt;0,IF((90 - (DecLat-O1793))&gt;90, (90 - (O1793-DecLat)), (90 - (DecLat-O1793))),IF((90 + (DecLat-O1793))&gt;90, (90 + (O1793-DecLat)), (90 + (DecLat-O1793))))</f>
        <v>21.405000000000001</v>
      </c>
      <c r="AG1793" s="257">
        <f>angularseperation(MoonRA,MoonDec,$M1793,$O1793)</f>
        <v>97.971140629232153</v>
      </c>
      <c r="AH1793" s="261">
        <f ca="1">MIN(100,IF($O$5&gt;80,0+30*($AG1793/100),IF($O$5&gt;70,0+50*($AG1793/100),IF($O$5&gt;60,5+50*($AG1793/100),IF($O$5&gt;50,10+60*($AG1793/100),IF($O$5&gt;40,15+70*($AG1793/100),IF($O$5&gt;30,20+70*($AG1793/100),IF($O$5&gt;20,40+55*($AG1793/100),(80+(20-$O$5)+30*($AG1793/100))))))))))</f>
        <v>100</v>
      </c>
      <c r="AI1793" s="262">
        <v>2546</v>
      </c>
      <c r="AJ1793" s="262"/>
      <c r="AK1793" s="262"/>
      <c r="AL1793" s="263"/>
      <c r="AM1793" s="264"/>
      <c r="AN1793" s="263"/>
      <c r="AO1793" s="263"/>
      <c r="AP1793" s="265"/>
      <c r="AQ1793" s="266"/>
      <c r="AR1793" s="267"/>
      <c r="AS1793" s="263"/>
      <c r="AT1793" s="263"/>
      <c r="AU1793" s="263"/>
      <c r="AV1793" s="264"/>
      <c r="AW1793" s="263"/>
      <c r="AX1793" s="263"/>
      <c r="AY1793" s="263"/>
      <c r="AZ1793" s="263"/>
      <c r="BA1793" s="263"/>
      <c r="BB1793" s="263"/>
      <c r="BC1793" s="263"/>
      <c r="BD1793" s="264"/>
      <c r="BE1793" s="263">
        <v>46</v>
      </c>
      <c r="BF1793" s="263"/>
      <c r="BG1793" s="263"/>
      <c r="BH1793" s="263"/>
      <c r="BI1793" s="263"/>
      <c r="BJ1793" s="404">
        <f>altaz(J2000_Bas,$O1793,$M1793,DecLat,DecLong,2)</f>
        <v>240.2591971088234</v>
      </c>
      <c r="BK1793" s="378" t="s">
        <v>1767</v>
      </c>
      <c r="BL1793" s="379">
        <f>IF((2*G1793)/60&lt;0.2,0.2,(2*G1793)/60)</f>
        <v>2</v>
      </c>
      <c r="BM1793" s="380">
        <f>MOD((50000+AD1793-$B$3+(0/24)),1)</f>
        <v>0.55010713392402977</v>
      </c>
      <c r="BN1793" s="381"/>
      <c r="BO1793" s="382">
        <v>1786</v>
      </c>
    </row>
    <row r="1794" spans="1:67" s="24" customFormat="1" ht="15" customHeight="1" x14ac:dyDescent="0.25">
      <c r="A1794" s="288" t="s">
        <v>1768</v>
      </c>
      <c r="B1794" s="241" t="str">
        <f>HYPERLINK(CONCATENATE($AT$3,BK1794,$AU$3),$AV$3)</f>
        <v>S</v>
      </c>
      <c r="C1794" s="242" t="str">
        <f>HYPERLINK(CONCATENATE($AT$4,BK1794,$AU$4,BL1794),$AV$4)</f>
        <v>A</v>
      </c>
      <c r="D1794" s="243" t="s">
        <v>5335</v>
      </c>
      <c r="E1794" s="244" t="s">
        <v>5185</v>
      </c>
      <c r="F1794" s="269" t="s">
        <v>6575</v>
      </c>
      <c r="G1794" s="276">
        <v>25</v>
      </c>
      <c r="H1794" s="283">
        <v>1400</v>
      </c>
      <c r="I1794" s="244">
        <v>10</v>
      </c>
      <c r="J1794" s="246">
        <v>3</v>
      </c>
      <c r="K1794" s="247" t="s">
        <v>7233</v>
      </c>
      <c r="L1794" s="248">
        <v>81009</v>
      </c>
      <c r="M1794" s="249">
        <f>15*(LEFT(TEXT($L1794,"000000"),2)+(MID(TEXT($L1794,"000000"),3,2)/60)+(RIGHT(TEXT($L1794,"000000"),2)/3600))</f>
        <v>122.53749999999998</v>
      </c>
      <c r="N1794" s="250">
        <v>-491254</v>
      </c>
      <c r="O1794" s="251">
        <f>IF($N1794&gt;0,(LEFT(TEXT($N1794,"000000"),2)+(MID(TEXT($N1794,"000000"),3,2)/60)+(RIGHT(TEXT($N1794,"000000"),2)/3600)),-(MID(TEXT($N1794,"000000"),2,2)+(MID(TEXT($N1794,"000000"),4,2)/60)+(RIGHT(TEXT($N1794,"000000"),2)/3600)))</f>
        <v>-49.215000000000003</v>
      </c>
      <c r="P1794" s="252" t="s">
        <v>980</v>
      </c>
      <c r="Q1794" s="253"/>
      <c r="R1794" s="247" t="s">
        <v>3293</v>
      </c>
      <c r="S1794" s="272" t="s">
        <v>3293</v>
      </c>
      <c r="T1794" s="273">
        <v>4.7</v>
      </c>
      <c r="U1794" s="274"/>
      <c r="V1794" s="280"/>
      <c r="W1794" s="244"/>
      <c r="X1794" s="244"/>
      <c r="Y1794" s="362"/>
      <c r="Z1794" s="257">
        <f>altaz(J2000_Bas,$O1794,$M1794,DecLat,DecLong,1)</f>
        <v>-67.931551543992256</v>
      </c>
      <c r="AA1794" s="257">
        <f>altaz((J2000_Bas+(2*0.04167)),$O1794,$M1794,DecLat,DecLong,1)</f>
        <v>-69.116323547994568</v>
      </c>
      <c r="AB1794" s="257">
        <f>altaz((J2000_Bas+(4*0.04167)),$O1794,$M1794,DecLat,DecLong,1)</f>
        <v>-52.675819081252705</v>
      </c>
      <c r="AC1794" s="257">
        <f>altaz((J2000_Bas+(6*0.04167)),$O1794,$M1794,DecLat,DecLong,1)</f>
        <v>-33.157648625588799</v>
      </c>
      <c r="AD1794" s="258">
        <f>1+ transit((J2000_Bas-1),$O1794,$M1794,DecLat,DecLong)/360 + (GMTOffset/24) + (IF(DST="Y", 1, 0)/24)</f>
        <v>1.333281871035958</v>
      </c>
      <c r="AE1794" s="259">
        <f>DATE(2001,9,21)+(M1794/360)*365 - (360*((DecLong/360)- (GMTOffset/24) ))</f>
        <v>37284.23940972222</v>
      </c>
      <c r="AF1794" s="260">
        <f>IF(DecLat&gt;0,IF((90 - (DecLat-O1794))&gt;90, (90 - (O1794-DecLat)), (90 - (DecLat-O1794))),IF((90 + (DecLat-O1794))&gt;90, (90 + (O1794-DecLat)), (90 + (DecLat-O1794))))</f>
        <v>9.7849999999999966</v>
      </c>
      <c r="AG1794" s="257">
        <f>angularseperation(MoonRA,MoonDec,$M1794,$O1794)</f>
        <v>90.164578210190143</v>
      </c>
      <c r="AH1794" s="261">
        <f ca="1">MIN(100,IF($O$5&gt;80,0+30*($AG1794/100),IF($O$5&gt;70,0+50*($AG1794/100),IF($O$5&gt;60,5+50*($AG1794/100),IF($O$5&gt;50,10+60*($AG1794/100),IF($O$5&gt;40,15+70*($AG1794/100),IF($O$5&gt;30,20+70*($AG1794/100),IF($O$5&gt;20,40+55*($AG1794/100),(80+(20-$O$5)+30*($AG1794/100))))))))))</f>
        <v>100</v>
      </c>
      <c r="AI1794" s="262">
        <v>2547</v>
      </c>
      <c r="AJ1794" s="262"/>
      <c r="AK1794" s="262"/>
      <c r="AL1794" s="263"/>
      <c r="AM1794" s="264"/>
      <c r="AN1794" s="263"/>
      <c r="AO1794" s="263"/>
      <c r="AP1794" s="265"/>
      <c r="AQ1794" s="266"/>
      <c r="AR1794" s="267"/>
      <c r="AS1794" s="263"/>
      <c r="AT1794" s="263"/>
      <c r="AU1794" s="263"/>
      <c r="AV1794" s="264"/>
      <c r="AW1794" s="263"/>
      <c r="AX1794" s="263"/>
      <c r="AY1794" s="263"/>
      <c r="AZ1794" s="263"/>
      <c r="BA1794" s="263"/>
      <c r="BB1794" s="263"/>
      <c r="BC1794" s="263"/>
      <c r="BD1794" s="264"/>
      <c r="BE1794" s="263">
        <v>44</v>
      </c>
      <c r="BF1794" s="263"/>
      <c r="BG1794" s="263"/>
      <c r="BH1794" s="263"/>
      <c r="BI1794" s="263"/>
      <c r="BJ1794" s="404">
        <f>altaz(J2000_Bas,$O1794,$M1794,DecLat,DecLong,2)</f>
        <v>209.65710365307933</v>
      </c>
      <c r="BK1794" s="378" t="s">
        <v>1768</v>
      </c>
      <c r="BL1794" s="379">
        <f>IF((2*G1794)/60&lt;0.2,0.2,(2*G1794)/60)</f>
        <v>0.83333333333333337</v>
      </c>
      <c r="BM1794" s="380">
        <f>MOD((50000+AD1794-$B$3+(0/24)),1)</f>
        <v>0.54864880073728273</v>
      </c>
      <c r="BN1794" s="381"/>
      <c r="BO1794" s="382">
        <v>1787</v>
      </c>
    </row>
    <row r="1795" spans="1:67" s="24" customFormat="1" ht="15" customHeight="1" x14ac:dyDescent="0.25">
      <c r="A1795" s="288" t="s">
        <v>1769</v>
      </c>
      <c r="B1795" s="241" t="str">
        <f>HYPERLINK(CONCATENATE($AT$3,BK1795,$AU$3),$AV$3)</f>
        <v>S</v>
      </c>
      <c r="C1795" s="242" t="str">
        <f>HYPERLINK(CONCATENATE($AT$4,BK1795,$AU$4,BL1795),$AV$4)</f>
        <v>A</v>
      </c>
      <c r="D1795" s="243" t="s">
        <v>5638</v>
      </c>
      <c r="E1795" s="244" t="s">
        <v>3259</v>
      </c>
      <c r="F1795" s="269"/>
      <c r="G1795" s="273">
        <v>3</v>
      </c>
      <c r="H1795" s="283">
        <v>34</v>
      </c>
      <c r="I1795" s="246">
        <v>30</v>
      </c>
      <c r="J1795" s="246">
        <v>2</v>
      </c>
      <c r="K1795" s="247" t="s">
        <v>7234</v>
      </c>
      <c r="L1795" s="248">
        <v>81920</v>
      </c>
      <c r="M1795" s="249">
        <f>15*(LEFT(TEXT($L1795,"000000"),2)+(MID(TEXT($L1795,"000000"),3,2)/60)+(RIGHT(TEXT($L1795,"000000"),2)/3600))</f>
        <v>124.83333333333334</v>
      </c>
      <c r="N1795" s="250">
        <v>500031</v>
      </c>
      <c r="O1795" s="251">
        <f>IF($N1795&gt;0,(LEFT(TEXT($N1795,"000000"),2)+(MID(TEXT($N1795,"000000"),3,2)/60)+(RIGHT(TEXT($N1795,"000000"),2)/3600)),-(MID(TEXT($N1795,"000000"),2,2)+(MID(TEXT($N1795,"000000"),4,2)/60)+(RIGHT(TEXT($N1795,"000000"),2)/3600)))</f>
        <v>50.008611111111108</v>
      </c>
      <c r="P1795" s="252" t="s">
        <v>82</v>
      </c>
      <c r="Q1795" s="253"/>
      <c r="R1795" s="247" t="s">
        <v>3293</v>
      </c>
      <c r="S1795" s="272" t="s">
        <v>3293</v>
      </c>
      <c r="T1795" s="273">
        <v>12.6</v>
      </c>
      <c r="U1795" s="289">
        <v>23.09</v>
      </c>
      <c r="V1795" s="280">
        <v>55</v>
      </c>
      <c r="W1795" s="244"/>
      <c r="X1795" s="244"/>
      <c r="Y1795" s="362"/>
      <c r="Z1795" s="257">
        <f>altaz(J2000_Bas,$O1795,$M1795,DecLat,DecLong,1)</f>
        <v>-7.2847768793546939</v>
      </c>
      <c r="AA1795" s="257">
        <f>altaz((J2000_Bas+(2*0.04167)),$O1795,$M1795,DecLat,DecLong,1)</f>
        <v>-8.3774610909833136</v>
      </c>
      <c r="AB1795" s="257">
        <f>altaz((J2000_Bas+(4*0.04167)),$O1795,$M1795,DecLat,DecLong,1)</f>
        <v>-1.0897912871698565</v>
      </c>
      <c r="AC1795" s="257">
        <f>altaz((J2000_Bas+(6*0.04167)),$O1795,$M1795,DecLat,DecLong,1)</f>
        <v>12.655772787532499</v>
      </c>
      <c r="AD1795" s="258">
        <f>1+ transit((J2000_Bas-1),$O1795,$M1795,DecLat,DecLong)/360 + (GMTOffset/24) + (IF(DST="Y", 1, 0)/24)</f>
        <v>1.3396591852130413</v>
      </c>
      <c r="AE1795" s="259">
        <f>DATE(2001,9,21)+(M1795/360)*365 - (360*((DecLong/360)- (GMTOffset/24) ))</f>
        <v>37286.567129629628</v>
      </c>
      <c r="AF1795" s="260">
        <f>IF(DecLat&gt;0,IF((90 - (DecLat-O1795))&gt;90, (90 - (O1795-DecLat)), (90 - (DecLat-O1795))),IF((90 + (DecLat-O1795))&gt;90, (90 + (O1795-DecLat)), (90 + (DecLat-O1795))))</f>
        <v>70.991388888888892</v>
      </c>
      <c r="AG1795" s="257">
        <f>angularseperation(MoonRA,MoonDec,$M1795,$O1795)</f>
        <v>132.23439116510721</v>
      </c>
      <c r="AH1795" s="261">
        <f ca="1">MIN(100,IF($O$5&gt;80,0+30*($AG1795/100),IF($O$5&gt;70,0+50*($AG1795/100),IF($O$5&gt;60,5+50*($AG1795/100),IF($O$5&gt;50,10+60*($AG1795/100),IF($O$5&gt;40,15+70*($AG1795/100),IF($O$5&gt;30,20+70*($AG1795/100),IF($O$5&gt;20,40+55*($AG1795/100),(80+(20-$O$5)+30*($AG1795/100))))))))))</f>
        <v>100</v>
      </c>
      <c r="AI1795" s="262">
        <v>2552</v>
      </c>
      <c r="AJ1795" s="262"/>
      <c r="AK1795" s="262"/>
      <c r="AL1795" s="263"/>
      <c r="AM1795" s="264"/>
      <c r="AN1795" s="263"/>
      <c r="AO1795" s="263"/>
      <c r="AP1795" s="265"/>
      <c r="AQ1795" s="266">
        <v>4325</v>
      </c>
      <c r="AR1795" s="267">
        <v>23340</v>
      </c>
      <c r="AS1795" s="263"/>
      <c r="AT1795" s="263"/>
      <c r="AU1795" s="263"/>
      <c r="AV1795" s="264"/>
      <c r="AW1795" s="263"/>
      <c r="AX1795" s="263"/>
      <c r="AY1795" s="263"/>
      <c r="AZ1795" s="263"/>
      <c r="BA1795" s="263"/>
      <c r="BB1795" s="263"/>
      <c r="BC1795" s="263"/>
      <c r="BD1795" s="264"/>
      <c r="BE1795" s="263"/>
      <c r="BF1795" s="263"/>
      <c r="BG1795" s="263"/>
      <c r="BH1795" s="263"/>
      <c r="BI1795" s="263"/>
      <c r="BJ1795" s="404">
        <f>altaz(J2000_Bas,$O1795,$M1795,DecLat,DecLong,2)</f>
        <v>347.92890035614988</v>
      </c>
      <c r="BK1795" s="378" t="s">
        <v>1769</v>
      </c>
      <c r="BL1795" s="379">
        <f>IF((2*G1795)/60&lt;0.2,0.2,(2*G1795)/60)</f>
        <v>0.2</v>
      </c>
      <c r="BM1795" s="380">
        <f>MOD((50000+AD1795-$B$3+(0/24)),1)</f>
        <v>0.55502611491829157</v>
      </c>
      <c r="BN1795" s="381"/>
      <c r="BO1795" s="382">
        <v>1788</v>
      </c>
    </row>
    <row r="1796" spans="1:67" s="24" customFormat="1" ht="15" customHeight="1" x14ac:dyDescent="0.25">
      <c r="A1796" s="288" t="s">
        <v>7580</v>
      </c>
      <c r="B1796" s="241" t="str">
        <f>HYPERLINK(CONCATENATE($AT$3,BK1796,$AU$3),$AV$3)</f>
        <v>S</v>
      </c>
      <c r="C1796" s="242" t="str">
        <f>HYPERLINK(CONCATENATE($AT$4,BK1796,$AU$4,BL1796),$AV$4)</f>
        <v>A</v>
      </c>
      <c r="D1796" s="243" t="s">
        <v>5638</v>
      </c>
      <c r="E1796" s="244" t="s">
        <v>5625</v>
      </c>
      <c r="F1796" s="269">
        <v>4</v>
      </c>
      <c r="G1796" s="282">
        <v>22</v>
      </c>
      <c r="H1796" s="283">
        <v>230</v>
      </c>
      <c r="I1796" s="284">
        <v>1500</v>
      </c>
      <c r="J1796" s="246">
        <v>2</v>
      </c>
      <c r="K1796" s="247" t="s">
        <v>7235</v>
      </c>
      <c r="L1796" s="248">
        <v>81934</v>
      </c>
      <c r="M1796" s="249">
        <f>15*(LEFT(TEXT($L1796,"000000"),2)+(MID(TEXT($L1796,"000000"),3,2)/60)+(RIGHT(TEXT($L1796,"000000"),2)/3600))</f>
        <v>124.89166666666665</v>
      </c>
      <c r="N1796" s="286">
        <v>210652</v>
      </c>
      <c r="O1796" s="251">
        <f>IF($N1796&gt;0,(LEFT(TEXT($N1796,"000000"),2)+(MID(TEXT($N1796,"000000"),3,2)/60)+(RIGHT(TEXT($N1796,"000000"),2)/3600)),-(MID(TEXT($N1796,"000000"),2,2)+(MID(TEXT($N1796,"000000"),4,2)/60)+(RIGHT(TEXT($N1796,"000000"),2)/3600)))</f>
        <v>21.114444444444445</v>
      </c>
      <c r="P1796" s="252" t="s">
        <v>100</v>
      </c>
      <c r="Q1796" s="253"/>
      <c r="R1796" s="247" t="s">
        <v>3293</v>
      </c>
      <c r="S1796" s="272" t="s">
        <v>3293</v>
      </c>
      <c r="T1796" s="273">
        <v>13.3</v>
      </c>
      <c r="U1796" s="289">
        <v>21.29</v>
      </c>
      <c r="V1796" s="280"/>
      <c r="W1796" s="244"/>
      <c r="X1796" s="244"/>
      <c r="Y1796" s="362"/>
      <c r="Z1796" s="257">
        <f>altaz(J2000_Bas,$O1796,$M1796,DecLat,DecLong,1)</f>
        <v>-34.82170431839323</v>
      </c>
      <c r="AA1796" s="257">
        <f>altaz((J2000_Bas+(2*0.04167)),$O1796,$M1796,DecLat,DecLong,1)</f>
        <v>-36.788996314162972</v>
      </c>
      <c r="AB1796" s="257">
        <f>altaz((J2000_Bas+(4*0.04167)),$O1796,$M1796,DecLat,DecLong,1)</f>
        <v>-24.542994432025804</v>
      </c>
      <c r="AC1796" s="257">
        <f>altaz((J2000_Bas+(6*0.04167)),$O1796,$M1796,DecLat,DecLong,1)</f>
        <v>-4.0129055659053829</v>
      </c>
      <c r="AD1796" s="258">
        <f>1+ transit((J2000_Bas-1),$O1796,$M1796,DecLat,DecLong)/360 + (GMTOffset/24) + (IF(DST="Y", 1, 0)/24)</f>
        <v>1.3398212222338748</v>
      </c>
      <c r="AE1796" s="259">
        <f>DATE(2001,9,21)+(M1796/360)*365 - (360*((DecLong/360)- (GMTOffset/24) ))</f>
        <v>37286.626273148147</v>
      </c>
      <c r="AF1796" s="260">
        <f>IF(DecLat&gt;0,IF((90 - (DecLat-O1796))&gt;90, (90 - (O1796-DecLat)), (90 - (DecLat-O1796))),IF((90 + (DecLat-O1796))&gt;90, (90 + (O1796-DecLat)), (90 + (DecLat-O1796))))</f>
        <v>80.114444444444445</v>
      </c>
      <c r="AG1796" s="257">
        <f>angularseperation(MoonRA,MoonDec,$M1796,$O1796)</f>
        <v>129.24656943266129</v>
      </c>
      <c r="AH1796" s="261">
        <f ca="1">MIN(100,IF($O$5&gt;80,0+30*($AG1796/100),IF($O$5&gt;70,0+50*($AG1796/100),IF($O$5&gt;60,5+50*($AG1796/100),IF($O$5&gt;50,10+60*($AG1796/100),IF($O$5&gt;40,15+70*($AG1796/100),IF($O$5&gt;30,20+70*($AG1796/100),IF($O$5&gt;20,40+55*($AG1796/100),(80+(20-$O$5)+30*($AG1796/100))))))))))</f>
        <v>100</v>
      </c>
      <c r="AI1796" s="262">
        <v>2560</v>
      </c>
      <c r="AJ1796" s="262"/>
      <c r="AK1796" s="262"/>
      <c r="AL1796" s="263"/>
      <c r="AM1796" s="264"/>
      <c r="AN1796" s="263"/>
      <c r="AO1796" s="263"/>
      <c r="AP1796" s="265"/>
      <c r="AQ1796" s="266">
        <v>4337</v>
      </c>
      <c r="AR1796" s="267">
        <v>23367</v>
      </c>
      <c r="AS1796" s="263"/>
      <c r="AT1796" s="263"/>
      <c r="AU1796" s="263"/>
      <c r="AV1796" s="264"/>
      <c r="AW1796" s="263"/>
      <c r="AX1796" s="263"/>
      <c r="AY1796" s="263"/>
      <c r="AZ1796" s="263"/>
      <c r="BA1796" s="263"/>
      <c r="BB1796" s="263"/>
      <c r="BC1796" s="263"/>
      <c r="BD1796" s="264"/>
      <c r="BE1796" s="263"/>
      <c r="BF1796" s="263"/>
      <c r="BG1796" s="263"/>
      <c r="BH1796" s="263"/>
      <c r="BI1796" s="263"/>
      <c r="BJ1796" s="404">
        <f>altaz(J2000_Bas,$O1796,$M1796,DecLat,DecLong,2)</f>
        <v>338.4153063519808</v>
      </c>
      <c r="BK1796" s="378" t="s">
        <v>1770</v>
      </c>
      <c r="BL1796" s="379">
        <f>IF((2*G1796)/60&lt;0.2,0.2,(2*G1796)/60)</f>
        <v>0.73333333333333328</v>
      </c>
      <c r="BM1796" s="380">
        <f>MOD((50000+AD1796-$B$3+(0/24)),1)</f>
        <v>0.55518815193499904</v>
      </c>
      <c r="BN1796" s="381"/>
      <c r="BO1796" s="382">
        <v>1789</v>
      </c>
    </row>
    <row r="1797" spans="1:67" s="24" customFormat="1" ht="15" customHeight="1" x14ac:dyDescent="0.25">
      <c r="A1797" s="287" t="s">
        <v>2981</v>
      </c>
      <c r="B1797" s="241" t="str">
        <f>HYPERLINK(CONCATENATE($AT$3,BK1797,$AU$3),$AV$3)</f>
        <v>S</v>
      </c>
      <c r="C1797" s="242" t="str">
        <f>HYPERLINK(CONCATENATE($AT$4,BK1797,$AU$4,BL1797),$AV$4)</f>
        <v>A</v>
      </c>
      <c r="D1797" s="243" t="s">
        <v>5335</v>
      </c>
      <c r="E1797" s="244" t="s">
        <v>5185</v>
      </c>
      <c r="F1797" s="269" t="s">
        <v>7203</v>
      </c>
      <c r="G1797" s="276">
        <v>10</v>
      </c>
      <c r="H1797" s="283">
        <v>5750</v>
      </c>
      <c r="I1797" s="246">
        <v>16</v>
      </c>
      <c r="J1797" s="246">
        <v>2</v>
      </c>
      <c r="K1797" s="247" t="s">
        <v>8557</v>
      </c>
      <c r="L1797" s="248">
        <v>81818</v>
      </c>
      <c r="M1797" s="249">
        <f>15*(LEFT(TEXT($L1797,"000000"),2)+(MID(TEXT($L1797,"000000"),3,2)/60)+(RIGHT(TEXT($L1797,"000000"),2)/3600))</f>
        <v>124.57500000000002</v>
      </c>
      <c r="N1797" s="250">
        <v>-303800</v>
      </c>
      <c r="O1797" s="251">
        <f>IF($N1797&gt;0,(LEFT(TEXT($N1797,"000000"),2)+(MID(TEXT($N1797,"000000"),3,2)/60)+(RIGHT(TEXT($N1797,"000000"),2)/3600)),-(MID(TEXT($N1797,"000000"),2,2)+(MID(TEXT($N1797,"000000"),4,2)/60)+(RIGHT(TEXT($N1797,"000000"),2)/3600)))</f>
        <v>-30.633333333333333</v>
      </c>
      <c r="P1797" s="252" t="s">
        <v>91</v>
      </c>
      <c r="Q1797" s="253"/>
      <c r="R1797" s="277" t="s">
        <v>3293</v>
      </c>
      <c r="S1797" s="272" t="s">
        <v>3293</v>
      </c>
      <c r="T1797" s="273">
        <v>7.4</v>
      </c>
      <c r="U1797" s="274"/>
      <c r="V1797" s="280"/>
      <c r="W1797" s="244"/>
      <c r="X1797" s="244"/>
      <c r="Y1797" s="362"/>
      <c r="Z1797" s="257">
        <f>altaz(J2000_Bas,$O1797,$M1797,DecLat,DecLong,1)</f>
        <v>-74.064143992387287</v>
      </c>
      <c r="AA1797" s="257">
        <f>altaz((J2000_Bas+(2*0.04167)),$O1797,$M1797,DecLat,DecLong,1)</f>
        <v>-80.110834181942423</v>
      </c>
      <c r="AB1797" s="257">
        <f>altaz((J2000_Bas+(4*0.04167)),$O1797,$M1797,DecLat,DecLong,1)</f>
        <v>-54.488318174656804</v>
      </c>
      <c r="AC1797" s="257">
        <f>altaz((J2000_Bas+(6*0.04167)),$O1797,$M1797,DecLat,DecLong,1)</f>
        <v>-29.620074499738855</v>
      </c>
      <c r="AD1797" s="258">
        <f>1+ transit((J2000_Bas-1),$O1797,$M1797,DecLat,DecLong)/360 + (GMTOffset/24) + (IF(DST="Y", 1, 0)/24)</f>
        <v>1.3389415926922081</v>
      </c>
      <c r="AE1797" s="259">
        <f>DATE(2001,9,21)+(M1797/360)*365 - (360*((DecLong/360)- (GMTOffset/24) ))</f>
        <v>37286.305208333331</v>
      </c>
      <c r="AF1797" s="260">
        <f>IF(DecLat&gt;0,IF((90 - (DecLat-O1797))&gt;90, (90 - (O1797-DecLat)), (90 - (DecLat-O1797))),IF((90 + (DecLat-O1797))&gt;90, (90 + (O1797-DecLat)), (90 + (DecLat-O1797))))</f>
        <v>28.366666666666667</v>
      </c>
      <c r="AG1797" s="257">
        <f>angularseperation(MoonRA,MoonDec,$M1797,$O1797)</f>
        <v>101.75700191771683</v>
      </c>
      <c r="AH1797" s="261">
        <f ca="1">MIN(100,IF($O$5&gt;80,0+30*($AG1797/100),IF($O$5&gt;70,0+50*($AG1797/100),IF($O$5&gt;60,5+50*($AG1797/100),IF($O$5&gt;50,10+60*($AG1797/100),IF($O$5&gt;40,15+70*($AG1797/100),IF($O$5&gt;30,20+70*($AG1797/100),IF($O$5&gt;20,40+55*($AG1797/100),(80+(20-$O$5)+30*($AG1797/100))))))))))</f>
        <v>100</v>
      </c>
      <c r="AI1797" s="262">
        <v>2567</v>
      </c>
      <c r="AJ1797" s="263"/>
      <c r="AK1797" s="263">
        <v>115</v>
      </c>
      <c r="AL1797" s="263"/>
      <c r="AM1797" s="264"/>
      <c r="AN1797" s="263"/>
      <c r="AO1797" s="263"/>
      <c r="AP1797" s="265"/>
      <c r="AQ1797" s="265"/>
      <c r="AR1797" s="285"/>
      <c r="AS1797" s="263"/>
      <c r="AT1797" s="263"/>
      <c r="AU1797" s="263"/>
      <c r="AV1797" s="264"/>
      <c r="AW1797" s="263"/>
      <c r="AX1797" s="263"/>
      <c r="AY1797" s="263"/>
      <c r="AZ1797" s="263"/>
      <c r="BA1797" s="263"/>
      <c r="BB1797" s="263"/>
      <c r="BC1797" s="263"/>
      <c r="BD1797" s="264"/>
      <c r="BE1797" s="263"/>
      <c r="BF1797" s="263"/>
      <c r="BG1797" s="263"/>
      <c r="BH1797" s="263"/>
      <c r="BI1797" s="263"/>
      <c r="BJ1797" s="404">
        <f>altaz(J2000_Bas,$O1797,$M1797,DecLat,DecLong,2)</f>
        <v>266.51716089552485</v>
      </c>
      <c r="BK1797" s="378" t="s">
        <v>2981</v>
      </c>
      <c r="BL1797" s="379">
        <f>IF((2*G1797)/60&lt;0.2,0.2,(2*G1797)/60)</f>
        <v>0.33333333333333331</v>
      </c>
      <c r="BM1797" s="380">
        <f>MOD((50000+AD1797-$B$3+(0/24)),1)</f>
        <v>0.55430852239805972</v>
      </c>
      <c r="BN1797" s="381"/>
      <c r="BO1797" s="382">
        <v>1790</v>
      </c>
    </row>
    <row r="1798" spans="1:67" s="24" customFormat="1" ht="15" customHeight="1" x14ac:dyDescent="0.25">
      <c r="A1798" s="287" t="s">
        <v>2982</v>
      </c>
      <c r="B1798" s="241" t="str">
        <f>HYPERLINK(CONCATENATE($AT$3,BK1798,$AU$3),$AV$3)</f>
        <v>S</v>
      </c>
      <c r="C1798" s="242" t="str">
        <f>HYPERLINK(CONCATENATE($AT$4,BK1798,$AU$4,BL1798),$AV$4)</f>
        <v>A</v>
      </c>
      <c r="D1798" s="243" t="s">
        <v>5335</v>
      </c>
      <c r="E1798" s="244" t="s">
        <v>5185</v>
      </c>
      <c r="F1798" s="269" t="s">
        <v>7236</v>
      </c>
      <c r="G1798" s="276">
        <v>13</v>
      </c>
      <c r="H1798" s="283">
        <v>4250</v>
      </c>
      <c r="I1798" s="246">
        <v>16</v>
      </c>
      <c r="J1798" s="246">
        <v>2</v>
      </c>
      <c r="K1798" s="247" t="s">
        <v>7237</v>
      </c>
      <c r="L1798" s="248">
        <v>81854</v>
      </c>
      <c r="M1798" s="249">
        <f>15*(LEFT(TEXT($L1798,"000000"),2)+(MID(TEXT($L1798,"000000"),3,2)/60)+(RIGHT(TEXT($L1798,"000000"),2)/3600))</f>
        <v>124.72500000000002</v>
      </c>
      <c r="N1798" s="250">
        <v>-294400</v>
      </c>
      <c r="O1798" s="251">
        <f>IF($N1798&gt;0,(LEFT(TEXT($N1798,"000000"),2)+(MID(TEXT($N1798,"000000"),3,2)/60)+(RIGHT(TEXT($N1798,"000000"),2)/3600)),-(MID(TEXT($N1798,"000000"),2,2)+(MID(TEXT($N1798,"000000"),4,2)/60)+(RIGHT(TEXT($N1798,"000000"),2)/3600)))</f>
        <v>-29.733333333333334</v>
      </c>
      <c r="P1798" s="252" t="s">
        <v>91</v>
      </c>
      <c r="Q1798" s="253"/>
      <c r="R1798" s="277" t="s">
        <v>3293</v>
      </c>
      <c r="S1798" s="272" t="s">
        <v>3293</v>
      </c>
      <c r="T1798" s="273">
        <v>7</v>
      </c>
      <c r="U1798" s="274"/>
      <c r="V1798" s="280"/>
      <c r="W1798" s="244"/>
      <c r="X1798" s="244"/>
      <c r="Y1798" s="362"/>
      <c r="Z1798" s="257">
        <f>altaz(J2000_Bas,$O1798,$M1798,DecLat,DecLong,1)</f>
        <v>-73.815721417858271</v>
      </c>
      <c r="AA1798" s="257">
        <f>altaz((J2000_Bas+(2*0.04167)),$O1798,$M1798,DecLat,DecLong,1)</f>
        <v>-80.119621625548504</v>
      </c>
      <c r="AB1798" s="257">
        <f>altaz((J2000_Bas+(4*0.04167)),$O1798,$M1798,DecLat,DecLong,1)</f>
        <v>-54.425323673878623</v>
      </c>
      <c r="AC1798" s="257">
        <f>altaz((J2000_Bas+(6*0.04167)),$O1798,$M1798,DecLat,DecLong,1)</f>
        <v>-29.421451895492915</v>
      </c>
      <c r="AD1798" s="258">
        <f>1+ transit((J2000_Bas-1),$O1798,$M1798,DecLat,DecLong)/360 + (GMTOffset/24) + (IF(DST="Y", 1, 0)/24)</f>
        <v>1.3393582593172082</v>
      </c>
      <c r="AE1798" s="259">
        <f>DATE(2001,9,21)+(M1798/360)*365 - (360*((DecLong/360)- (GMTOffset/24) ))</f>
        <v>37286.457291666666</v>
      </c>
      <c r="AF1798" s="260">
        <f>IF(DecLat&gt;0,IF((90 - (DecLat-O1798))&gt;90, (90 - (O1798-DecLat)), (90 - (DecLat-O1798))),IF((90 + (DecLat-O1798))&gt;90, (90 + (O1798-DecLat)), (90 + (DecLat-O1798))))</f>
        <v>29.266666666666666</v>
      </c>
      <c r="AG1798" s="257">
        <f>angularseperation(MoonRA,MoonDec,$M1798,$O1798)</f>
        <v>102.2558094800756</v>
      </c>
      <c r="AH1798" s="261">
        <f ca="1">MIN(100,IF($O$5&gt;80,0+30*($AG1798/100),IF($O$5&gt;70,0+50*($AG1798/100),IF($O$5&gt;60,5+50*($AG1798/100),IF($O$5&gt;50,10+60*($AG1798/100),IF($O$5&gt;40,15+70*($AG1798/100),IF($O$5&gt;30,20+70*($AG1798/100),IF($O$5&gt;20,40+55*($AG1798/100),(80+(20-$O$5)+30*($AG1798/100))))))))))</f>
        <v>100</v>
      </c>
      <c r="AI1798" s="262">
        <v>2571</v>
      </c>
      <c r="AJ1798" s="263"/>
      <c r="AK1798" s="263">
        <v>116</v>
      </c>
      <c r="AL1798" s="263"/>
      <c r="AM1798" s="264"/>
      <c r="AN1798" s="263"/>
      <c r="AO1798" s="263"/>
      <c r="AP1798" s="265"/>
      <c r="AQ1798" s="265"/>
      <c r="AR1798" s="285"/>
      <c r="AS1798" s="263"/>
      <c r="AT1798" s="263"/>
      <c r="AU1798" s="263"/>
      <c r="AV1798" s="264"/>
      <c r="AW1798" s="263"/>
      <c r="AX1798" s="263"/>
      <c r="AY1798" s="263"/>
      <c r="AZ1798" s="263"/>
      <c r="BA1798" s="263"/>
      <c r="BB1798" s="263"/>
      <c r="BC1798" s="263"/>
      <c r="BD1798" s="264"/>
      <c r="BE1798" s="263"/>
      <c r="BF1798" s="263"/>
      <c r="BG1798" s="263"/>
      <c r="BH1798" s="263"/>
      <c r="BI1798" s="263"/>
      <c r="BJ1798" s="404">
        <f>altaz(J2000_Bas,$O1798,$M1798,DecLat,DecLong,2)</f>
        <v>269.67943377068411</v>
      </c>
      <c r="BK1798" s="378" t="s">
        <v>2982</v>
      </c>
      <c r="BL1798" s="379">
        <f>IF((2*G1798)/60&lt;0.2,0.2,(2*G1798)/60)</f>
        <v>0.43333333333333335</v>
      </c>
      <c r="BM1798" s="380">
        <f>MOD((50000+AD1798-$B$3+(0/24)),1)</f>
        <v>0.55472518902388401</v>
      </c>
      <c r="BN1798" s="381"/>
      <c r="BO1798" s="382">
        <v>1791</v>
      </c>
    </row>
    <row r="1799" spans="1:67" s="24" customFormat="1" ht="15" customHeight="1" x14ac:dyDescent="0.25">
      <c r="A1799" s="288" t="s">
        <v>1771</v>
      </c>
      <c r="B1799" s="241" t="str">
        <f>HYPERLINK(CONCATENATE($AT$3,BK1799,$AU$3),$AV$3)</f>
        <v>S</v>
      </c>
      <c r="C1799" s="242" t="str">
        <f>HYPERLINK(CONCATENATE($AT$4,BK1799,$AU$4,BL1799),$AV$4)</f>
        <v>A</v>
      </c>
      <c r="D1799" s="243" t="s">
        <v>5187</v>
      </c>
      <c r="E1799" s="244" t="s">
        <v>5183</v>
      </c>
      <c r="F1799" s="269" t="s">
        <v>5180</v>
      </c>
      <c r="G1799" s="273">
        <v>2.5</v>
      </c>
      <c r="H1799" s="283">
        <v>25000</v>
      </c>
      <c r="I1799" s="246">
        <v>20</v>
      </c>
      <c r="J1799" s="246">
        <v>2</v>
      </c>
      <c r="K1799" s="247" t="s">
        <v>7267</v>
      </c>
      <c r="L1799" s="248">
        <v>82053</v>
      </c>
      <c r="M1799" s="249">
        <f>15*(LEFT(TEXT($L1799,"000000"),2)+(MID(TEXT($L1799,"000000"),3,2)/60)+(RIGHT(TEXT($L1799,"000000"),2)/3600))</f>
        <v>125.22083333333333</v>
      </c>
      <c r="N1799" s="250">
        <v>-361300</v>
      </c>
      <c r="O1799" s="251">
        <f>IF($N1799&gt;0,(LEFT(TEXT($N1799,"000000"),2)+(MID(TEXT($N1799,"000000"),3,2)/60)+(RIGHT(TEXT($N1799,"000000"),2)/3600)),-(MID(TEXT($N1799,"000000"),2,2)+(MID(TEXT($N1799,"000000"),4,2)/60)+(RIGHT(TEXT($N1799,"000000"),2)/3600)))</f>
        <v>-36.216666666666669</v>
      </c>
      <c r="P1799" s="252" t="s">
        <v>91</v>
      </c>
      <c r="Q1799" s="253"/>
      <c r="R1799" s="247" t="s">
        <v>7266</v>
      </c>
      <c r="S1799" s="272" t="s">
        <v>3293</v>
      </c>
      <c r="T1799" s="273">
        <v>7.5</v>
      </c>
      <c r="U1799" s="274"/>
      <c r="V1799" s="280"/>
      <c r="W1799" s="244"/>
      <c r="X1799" s="244"/>
      <c r="Y1799" s="362"/>
      <c r="Z1799" s="257">
        <f>altaz(J2000_Bas,$O1799,$M1799,DecLat,DecLong,1)</f>
        <v>-73.199905366198124</v>
      </c>
      <c r="AA1799" s="257">
        <f>altaz((J2000_Bas+(2*0.04167)),$O1799,$M1799,DecLat,DecLong,1)</f>
        <v>-79.564111062093374</v>
      </c>
      <c r="AB1799" s="257">
        <f>altaz((J2000_Bas+(4*0.04167)),$O1799,$M1799,DecLat,DecLong,1)</f>
        <v>-55.752621296230593</v>
      </c>
      <c r="AC1799" s="257">
        <f>altaz((J2000_Bas+(6*0.04167)),$O1799,$M1799,DecLat,DecLong,1)</f>
        <v>-31.941188473591762</v>
      </c>
      <c r="AD1799" s="258">
        <f>1+ transit((J2000_Bas-1),$O1799,$M1799,DecLat,DecLong)/360 + (GMTOffset/24) + (IF(DST="Y", 1, 0)/24)</f>
        <v>1.3407355739942914</v>
      </c>
      <c r="AE1799" s="259">
        <f>DATE(2001,9,21)+(M1799/360)*365 - (360*((DecLong/360)- (GMTOffset/24) ))</f>
        <v>37286.960011574076</v>
      </c>
      <c r="AF1799" s="260">
        <f>IF(DecLat&gt;0,IF((90 - (DecLat-O1799))&gt;90, (90 - (O1799-DecLat)), (90 - (DecLat-O1799))),IF((90 + (DecLat-O1799))&gt;90, (90 + (O1799-DecLat)), (90 + (DecLat-O1799))))</f>
        <v>22.783333333333331</v>
      </c>
      <c r="AG1799" s="257">
        <f>angularseperation(MoonRA,MoonDec,$M1799,$O1799)</f>
        <v>97.636491575673816</v>
      </c>
      <c r="AH1799" s="261">
        <f ca="1">MIN(100,IF($O$5&gt;80,0+30*($AG1799/100),IF($O$5&gt;70,0+50*($AG1799/100),IF($O$5&gt;60,5+50*($AG1799/100),IF($O$5&gt;50,10+60*($AG1799/100),IF($O$5&gt;40,15+70*($AG1799/100),IF($O$5&gt;30,20+70*($AG1799/100),IF($O$5&gt;20,40+55*($AG1799/100),(80+(20-$O$5)+30*($AG1799/100))))))))))</f>
        <v>100</v>
      </c>
      <c r="AI1799" s="262">
        <v>2579</v>
      </c>
      <c r="AJ1799" s="262"/>
      <c r="AK1799" s="262"/>
      <c r="AL1799" s="263"/>
      <c r="AM1799" s="264"/>
      <c r="AN1799" s="263"/>
      <c r="AO1799" s="263"/>
      <c r="AP1799" s="265"/>
      <c r="AQ1799" s="266"/>
      <c r="AR1799" s="267"/>
      <c r="AS1799" s="263"/>
      <c r="AT1799" s="263"/>
      <c r="AU1799" s="263"/>
      <c r="AV1799" s="264"/>
      <c r="AW1799" s="263"/>
      <c r="AX1799" s="263">
        <v>11</v>
      </c>
      <c r="AY1799" s="263"/>
      <c r="AZ1799" s="263"/>
      <c r="BA1799" s="263">
        <v>20</v>
      </c>
      <c r="BB1799" s="263"/>
      <c r="BC1799" s="263"/>
      <c r="BD1799" s="264"/>
      <c r="BE1799" s="263"/>
      <c r="BF1799" s="263"/>
      <c r="BG1799" s="263"/>
      <c r="BH1799" s="263">
        <v>74</v>
      </c>
      <c r="BI1799" s="263"/>
      <c r="BJ1799" s="404">
        <f>altaz(J2000_Bas,$O1799,$M1799,DecLat,DecLong,2)</f>
        <v>246.75330791488841</v>
      </c>
      <c r="BK1799" s="378" t="s">
        <v>1771</v>
      </c>
      <c r="BL1799" s="379">
        <f>IF((2*G1799)/60&lt;0.2,0.2,(2*G1799)/60)</f>
        <v>0.2</v>
      </c>
      <c r="BM1799" s="380">
        <f>MOD((50000+AD1799-$B$3+(0/24)),1)</f>
        <v>0.55610250369500136</v>
      </c>
      <c r="BN1799" s="381"/>
      <c r="BO1799" s="382">
        <v>1792</v>
      </c>
    </row>
    <row r="1800" spans="1:67" s="24" customFormat="1" ht="15" customHeight="1" x14ac:dyDescent="0.25">
      <c r="A1800" s="288" t="s">
        <v>1772</v>
      </c>
      <c r="B1800" s="241" t="str">
        <f>HYPERLINK(CONCATENATE($AT$3,BK1800,$AU$3),$AV$3)</f>
        <v>S</v>
      </c>
      <c r="C1800" s="242" t="str">
        <f>HYPERLINK(CONCATENATE($AT$4,BK1800,$AU$4,BL1800),$AV$4)</f>
        <v>A</v>
      </c>
      <c r="D1800" s="243" t="s">
        <v>5638</v>
      </c>
      <c r="E1800" s="244" t="s">
        <v>5192</v>
      </c>
      <c r="F1800" s="269" t="s">
        <v>8954</v>
      </c>
      <c r="G1800" s="273">
        <v>2.5</v>
      </c>
      <c r="H1800" s="283">
        <v>190</v>
      </c>
      <c r="I1800" s="246">
        <v>135</v>
      </c>
      <c r="J1800" s="246">
        <v>2</v>
      </c>
      <c r="K1800" s="247" t="s">
        <v>7269</v>
      </c>
      <c r="L1800" s="248">
        <v>82742</v>
      </c>
      <c r="M1800" s="249">
        <f>15*(LEFT(TEXT($L1800,"000000"),2)+(MID(TEXT($L1800,"000000"),3,2)/60)+(RIGHT(TEXT($L1800,"000000"),2)/3600))</f>
        <v>126.92499999999998</v>
      </c>
      <c r="N1800" s="250">
        <v>212844</v>
      </c>
      <c r="O1800" s="251">
        <f>IF($N1800&gt;0,(LEFT(TEXT($N1800,"000000"),2)+(MID(TEXT($N1800,"000000"),3,2)/60)+(RIGHT(TEXT($N1800,"000000"),2)/3600)),-(MID(TEXT($N1800,"000000"),2,2)+(MID(TEXT($N1800,"000000"),4,2)/60)+(RIGHT(TEXT($N1800,"000000"),2)/3600)))</f>
        <v>21.478888888888886</v>
      </c>
      <c r="P1800" s="252" t="s">
        <v>100</v>
      </c>
      <c r="Q1800" s="253"/>
      <c r="R1800" s="247" t="s">
        <v>3293</v>
      </c>
      <c r="S1800" s="272" t="s">
        <v>7268</v>
      </c>
      <c r="T1800" s="273">
        <v>12.3</v>
      </c>
      <c r="U1800" s="289">
        <v>23.19</v>
      </c>
      <c r="V1800" s="280">
        <v>45</v>
      </c>
      <c r="W1800" s="244"/>
      <c r="X1800" s="244"/>
      <c r="Y1800" s="362"/>
      <c r="Z1800" s="257">
        <f>altaz(J2000_Bas,$O1800,$M1800,DecLat,DecLong,1)</f>
        <v>-33.811434652452384</v>
      </c>
      <c r="AA1800" s="257">
        <f>altaz((J2000_Bas+(2*0.04167)),$O1800,$M1800,DecLat,DecLong,1)</f>
        <v>-36.789519090195199</v>
      </c>
      <c r="AB1800" s="257">
        <f>altaz((J2000_Bas+(4*0.04167)),$O1800,$M1800,DecLat,DecLong,1)</f>
        <v>-25.412320345719451</v>
      </c>
      <c r="AC1800" s="257">
        <f>altaz((J2000_Bas+(6*0.04167)),$O1800,$M1800,DecLat,DecLong,1)</f>
        <v>-5.3335010520222763</v>
      </c>
      <c r="AD1800" s="258">
        <f>1+ transit((J2000_Bas-1),$O1800,$M1800,DecLat,DecLong)/360 + (GMTOffset/24) + (IF(DST="Y", 1, 0)/24)</f>
        <v>1.345469369817208</v>
      </c>
      <c r="AE1800" s="259">
        <f>DATE(2001,9,21)+(M1800/360)*365 - (360*((DecLong/360)- (GMTOffset/24) ))</f>
        <v>37288.687847222223</v>
      </c>
      <c r="AF1800" s="260">
        <f>IF(DecLat&gt;0,IF((90 - (DecLat-O1800))&gt;90, (90 - (O1800-DecLat)), (90 - (DecLat-O1800))),IF((90 + (DecLat-O1800))&gt;90, (90 + (O1800-DecLat)), (90 + (DecLat-O1800))))</f>
        <v>80.478888888888889</v>
      </c>
      <c r="AG1800" s="257">
        <f>angularseperation(MoonRA,MoonDec,$M1800,$O1800)</f>
        <v>127.56294799220012</v>
      </c>
      <c r="AH1800" s="261">
        <f ca="1">MIN(100,IF($O$5&gt;80,0+30*($AG1800/100),IF($O$5&gt;70,0+50*($AG1800/100),IF($O$5&gt;60,5+50*($AG1800/100),IF($O$5&gt;50,10+60*($AG1800/100),IF($O$5&gt;40,15+70*($AG1800/100),IF($O$5&gt;30,20+70*($AG1800/100),IF($O$5&gt;20,40+55*($AG1800/100),(80+(20-$O$5)+30*($AG1800/100))))))))))</f>
        <v>100</v>
      </c>
      <c r="AI1800" s="262">
        <v>2595</v>
      </c>
      <c r="AJ1800" s="262"/>
      <c r="AK1800" s="262"/>
      <c r="AL1800" s="263"/>
      <c r="AM1800" s="264"/>
      <c r="AN1800" s="263"/>
      <c r="AO1800" s="263"/>
      <c r="AP1800" s="265"/>
      <c r="AQ1800" s="266">
        <v>4422</v>
      </c>
      <c r="AR1800" s="267">
        <v>23725</v>
      </c>
      <c r="AS1800" s="263"/>
      <c r="AT1800" s="263"/>
      <c r="AU1800" s="263"/>
      <c r="AV1800" s="264"/>
      <c r="AW1800" s="263"/>
      <c r="AX1800" s="263"/>
      <c r="AY1800" s="263"/>
      <c r="AZ1800" s="263"/>
      <c r="BA1800" s="263"/>
      <c r="BB1800" s="263"/>
      <c r="BC1800" s="263"/>
      <c r="BD1800" s="264"/>
      <c r="BE1800" s="263"/>
      <c r="BF1800" s="263"/>
      <c r="BG1800" s="263"/>
      <c r="BH1800" s="263"/>
      <c r="BI1800" s="263"/>
      <c r="BJ1800" s="404">
        <f>altaz(J2000_Bas,$O1800,$M1800,DecLat,DecLong,2)</f>
        <v>336.4253191769925</v>
      </c>
      <c r="BK1800" s="378" t="s">
        <v>1772</v>
      </c>
      <c r="BL1800" s="379">
        <f>IF((2*G1800)/60&lt;0.2,0.2,(2*G1800)/60)</f>
        <v>0.2</v>
      </c>
      <c r="BM1800" s="380">
        <f>MOD((50000+AD1800-$B$3+(0/24)),1)</f>
        <v>0.56083629951899638</v>
      </c>
      <c r="BN1800" s="381" t="s">
        <v>9271</v>
      </c>
      <c r="BO1800" s="382">
        <v>1793</v>
      </c>
    </row>
    <row r="1801" spans="1:67" s="24" customFormat="1" ht="15" customHeight="1" x14ac:dyDescent="0.25">
      <c r="A1801" s="288" t="s">
        <v>1773</v>
      </c>
      <c r="B1801" s="241" t="str">
        <f>HYPERLINK(CONCATENATE($AT$3,BK1801,$AU$3),$AV$3)</f>
        <v>S</v>
      </c>
      <c r="C1801" s="242" t="str">
        <f>HYPERLINK(CONCATENATE($AT$4,BK1801,$AU$4,BL1801),$AV$4)</f>
        <v>A</v>
      </c>
      <c r="D1801" s="243" t="s">
        <v>5187</v>
      </c>
      <c r="E1801" s="244" t="s">
        <v>5181</v>
      </c>
      <c r="F1801" s="293" t="s">
        <v>5737</v>
      </c>
      <c r="G1801" s="273">
        <v>1.2</v>
      </c>
      <c r="H1801" s="283">
        <v>7000</v>
      </c>
      <c r="I1801" s="279">
        <v>2.5</v>
      </c>
      <c r="J1801" s="246">
        <v>2</v>
      </c>
      <c r="K1801" s="247" t="s">
        <v>7270</v>
      </c>
      <c r="L1801" s="248">
        <v>83323</v>
      </c>
      <c r="M1801" s="249">
        <f>15*(LEFT(TEXT($L1801,"000000"),2)+(MID(TEXT($L1801,"000000"),3,2)/60)+(RIGHT(TEXT($L1801,"000000"),2)/3600))</f>
        <v>128.34583333333336</v>
      </c>
      <c r="N1801" s="250">
        <v>-160857</v>
      </c>
      <c r="O1801" s="251">
        <f>IF($N1801&gt;0,(LEFT(TEXT($N1801,"000000"),2)+(MID(TEXT($N1801,"000000"),3,2)/60)+(RIGHT(TEXT($N1801,"000000"),2)/3600)),-(MID(TEXT($N1801,"000000"),2,2)+(MID(TEXT($N1801,"000000"),4,2)/60)+(RIGHT(TEXT($N1801,"000000"),2)/3600)))</f>
        <v>-16.149166666666666</v>
      </c>
      <c r="P1801" s="252" t="s">
        <v>103</v>
      </c>
      <c r="Q1801" s="253"/>
      <c r="R1801" s="247" t="s">
        <v>3293</v>
      </c>
      <c r="S1801" s="272" t="s">
        <v>3293</v>
      </c>
      <c r="T1801" s="273">
        <v>12.7</v>
      </c>
      <c r="U1801" s="274"/>
      <c r="V1801" s="280"/>
      <c r="W1801" s="244"/>
      <c r="X1801" s="244"/>
      <c r="Y1801" s="362"/>
      <c r="Z1801" s="257">
        <f>altaz(J2000_Bas,$O1801,$M1801,DecLat,DecLong,1)</f>
        <v>-64.793994304734881</v>
      </c>
      <c r="AA1801" s="257">
        <f>altaz((J2000_Bas+(2*0.04167)),$O1801,$M1801,DecLat,DecLong,1)</f>
        <v>-73.5551442719172</v>
      </c>
      <c r="AB1801" s="257">
        <f>altaz((J2000_Bas+(4*0.04167)),$O1801,$M1801,DecLat,DecLong,1)</f>
        <v>-52.522628717455</v>
      </c>
      <c r="AC1801" s="257">
        <f>altaz((J2000_Bas+(6*0.04167)),$O1801,$M1801,DecLat,DecLong,1)</f>
        <v>-26.928319129200968</v>
      </c>
      <c r="AD1801" s="258">
        <f>1+ transit((J2000_Bas-1),$O1801,$M1801,DecLat,DecLong)/360 + (GMTOffset/24) + (IF(DST="Y", 1, 0)/24)</f>
        <v>1.3494161286817914</v>
      </c>
      <c r="AE1801" s="259">
        <f>DATE(2001,9,21)+(M1801/360)*365 - (360*((DecLong/360)- (GMTOffset/24) ))</f>
        <v>37290.12841435185</v>
      </c>
      <c r="AF1801" s="260">
        <f>IF(DecLat&gt;0,IF((90 - (DecLat-O1801))&gt;90, (90 - (O1801-DecLat)), (90 - (DecLat-O1801))),IF((90 + (DecLat-O1801))&gt;90, (90 + (O1801-DecLat)), (90 + (DecLat-O1801))))</f>
        <v>42.850833333333334</v>
      </c>
      <c r="AG1801" s="257">
        <f>angularseperation(MoonRA,MoonDec,$M1801,$O1801)</f>
        <v>108.20982946051623</v>
      </c>
      <c r="AH1801" s="261">
        <f ca="1">MIN(100,IF($O$5&gt;80,0+30*($AG1801/100),IF($O$5&gt;70,0+50*($AG1801/100),IF($O$5&gt;60,5+50*($AG1801/100),IF($O$5&gt;50,10+60*($AG1801/100),IF($O$5&gt;40,15+70*($AG1801/100),IF($O$5&gt;30,20+70*($AG1801/100),IF($O$5&gt;20,40+55*($AG1801/100),(80+(20-$O$5)+30*($AG1801/100))))))))))</f>
        <v>100</v>
      </c>
      <c r="AI1801" s="262">
        <v>2610</v>
      </c>
      <c r="AJ1801" s="262"/>
      <c r="AK1801" s="262"/>
      <c r="AL1801" s="263"/>
      <c r="AM1801" s="264"/>
      <c r="AN1801" s="263"/>
      <c r="AO1801" s="263"/>
      <c r="AP1801" s="265"/>
      <c r="AQ1801" s="266"/>
      <c r="AR1801" s="267"/>
      <c r="AS1801" s="263"/>
      <c r="AT1801" s="263"/>
      <c r="AU1801" s="263"/>
      <c r="AV1801" s="264"/>
      <c r="AW1801" s="263"/>
      <c r="AX1801" s="263"/>
      <c r="AY1801" s="263"/>
      <c r="AZ1801" s="263"/>
      <c r="BA1801" s="263"/>
      <c r="BB1801" s="263"/>
      <c r="BC1801" s="263"/>
      <c r="BD1801" s="264"/>
      <c r="BE1801" s="263"/>
      <c r="BF1801" s="263"/>
      <c r="BG1801" s="263"/>
      <c r="BH1801" s="263"/>
      <c r="BI1801" s="263"/>
      <c r="BJ1801" s="404">
        <f>altaz(J2000_Bas,$O1801,$M1801,DecLat,DecLong,2)</f>
        <v>300.97182538457764</v>
      </c>
      <c r="BK1801" s="378" t="s">
        <v>1773</v>
      </c>
      <c r="BL1801" s="379">
        <f>IF((2*G1801)/60&lt;0.2,0.2,(2*G1801)/60)</f>
        <v>0.2</v>
      </c>
      <c r="BM1801" s="380">
        <f>MOD((50000+AD1801-$B$3+(0/24)),1)</f>
        <v>0.56478305838390952</v>
      </c>
      <c r="BN1801" s="381" t="s">
        <v>8665</v>
      </c>
      <c r="BO1801" s="382">
        <v>1794</v>
      </c>
    </row>
    <row r="1802" spans="1:67" s="24" customFormat="1" ht="15" customHeight="1" x14ac:dyDescent="0.25">
      <c r="A1802" s="288" t="s">
        <v>1774</v>
      </c>
      <c r="B1802" s="241" t="str">
        <f>HYPERLINK(CONCATENATE($AT$3,BK1802,$AU$3),$AV$3)</f>
        <v>S</v>
      </c>
      <c r="C1802" s="242" t="str">
        <f>HYPERLINK(CONCATENATE($AT$4,BK1802,$AU$4,BL1802),$AV$4)</f>
        <v>A</v>
      </c>
      <c r="D1802" s="243" t="s">
        <v>5638</v>
      </c>
      <c r="E1802" s="244" t="s">
        <v>4292</v>
      </c>
      <c r="F1802" s="269" t="s">
        <v>8795</v>
      </c>
      <c r="G1802" s="273">
        <v>6</v>
      </c>
      <c r="H1802" s="283">
        <v>80</v>
      </c>
      <c r="I1802" s="246">
        <v>140</v>
      </c>
      <c r="J1802" s="246">
        <v>3</v>
      </c>
      <c r="K1802" s="247" t="s">
        <v>7271</v>
      </c>
      <c r="L1802" s="248">
        <v>83323</v>
      </c>
      <c r="M1802" s="249">
        <f>15*(LEFT(TEXT($L1802,"000000"),2)+(MID(TEXT($L1802,"000000"),3,2)/60)+(RIGHT(TEXT($L1802,"000000"),2)/3600))</f>
        <v>128.34583333333336</v>
      </c>
      <c r="N1802" s="250">
        <v>-225823</v>
      </c>
      <c r="O1802" s="251">
        <f>IF($N1802&gt;0,(LEFT(TEXT($N1802,"000000"),2)+(MID(TEXT($N1802,"000000"),3,2)/60)+(RIGHT(TEXT($N1802,"000000"),2)/3600)),-(MID(TEXT($N1802,"000000"),2,2)+(MID(TEXT($N1802,"000000"),4,2)/60)+(RIGHT(TEXT($N1802,"000000"),2)/3600)))</f>
        <v>-22.973055555555554</v>
      </c>
      <c r="P1802" s="252" t="s">
        <v>96</v>
      </c>
      <c r="Q1802" s="253"/>
      <c r="R1802" s="247" t="s">
        <v>3293</v>
      </c>
      <c r="S1802" s="272" t="s">
        <v>3293</v>
      </c>
      <c r="T1802" s="273">
        <v>10.3</v>
      </c>
      <c r="U1802" s="289">
        <v>21.79</v>
      </c>
      <c r="V1802" s="280">
        <v>80</v>
      </c>
      <c r="W1802" s="244"/>
      <c r="X1802" s="244"/>
      <c r="Y1802" s="362"/>
      <c r="Z1802" s="257">
        <f>altaz(J2000_Bas,$O1802,$M1802,DecLat,DecLong,1)</f>
        <v>-68.583889428476027</v>
      </c>
      <c r="AA1802" s="257">
        <f>altaz((J2000_Bas+(2*0.04167)),$O1802,$M1802,DecLat,DecLong,1)</f>
        <v>-79.423309118598269</v>
      </c>
      <c r="AB1802" s="257">
        <f>altaz((J2000_Bas+(4*0.04167)),$O1802,$M1802,DecLat,DecLong,1)</f>
        <v>-55.525443327007082</v>
      </c>
      <c r="AC1802" s="257">
        <f>altaz((J2000_Bas+(6*0.04167)),$O1802,$M1802,DecLat,DecLong,1)</f>
        <v>-29.85426370394708</v>
      </c>
      <c r="AD1802" s="258">
        <f>1+ transit((J2000_Bas-1),$O1802,$M1802,DecLat,DecLong)/360 + (GMTOffset/24) + (IF(DST="Y", 1, 0)/24)</f>
        <v>1.3494161286817914</v>
      </c>
      <c r="AE1802" s="259">
        <f>DATE(2001,9,21)+(M1802/360)*365 - (360*((DecLong/360)- (GMTOffset/24) ))</f>
        <v>37290.12841435185</v>
      </c>
      <c r="AF1802" s="260">
        <f>IF(DecLat&gt;0,IF((90 - (DecLat-O1802))&gt;90, (90 - (O1802-DecLat)), (90 - (DecLat-O1802))),IF((90 + (DecLat-O1802))&gt;90, (90 + (O1802-DecLat)), (90 + (DecLat-O1802))))</f>
        <v>36.026944444444446</v>
      </c>
      <c r="AG1802" s="257">
        <f>angularseperation(MoonRA,MoonDec,$M1802,$O1802)</f>
        <v>104.07623021686088</v>
      </c>
      <c r="AH1802" s="261">
        <f ca="1">MIN(100,IF($O$5&gt;80,0+30*($AG1802/100),IF($O$5&gt;70,0+50*($AG1802/100),IF($O$5&gt;60,5+50*($AG1802/100),IF($O$5&gt;50,10+60*($AG1802/100),IF($O$5&gt;40,15+70*($AG1802/100),IF($O$5&gt;30,20+70*($AG1802/100),IF($O$5&gt;20,40+55*($AG1802/100),(80+(20-$O$5)+30*($AG1802/100))))))))))</f>
        <v>100</v>
      </c>
      <c r="AI1802" s="262">
        <v>2613</v>
      </c>
      <c r="AJ1802" s="262"/>
      <c r="AK1802" s="262">
        <v>117</v>
      </c>
      <c r="AL1802" s="263"/>
      <c r="AM1802" s="264"/>
      <c r="AN1802" s="263"/>
      <c r="AO1802" s="263"/>
      <c r="AP1802" s="265"/>
      <c r="AQ1802" s="266"/>
      <c r="AR1802" s="267">
        <v>23997</v>
      </c>
      <c r="AS1802" s="263"/>
      <c r="AT1802" s="263"/>
      <c r="AU1802" s="263"/>
      <c r="AV1802" s="264"/>
      <c r="AW1802" s="263"/>
      <c r="AX1802" s="263"/>
      <c r="AY1802" s="263"/>
      <c r="AZ1802" s="263"/>
      <c r="BA1802" s="263"/>
      <c r="BB1802" s="263"/>
      <c r="BC1802" s="263"/>
      <c r="BD1802" s="264"/>
      <c r="BE1802" s="263"/>
      <c r="BF1802" s="263"/>
      <c r="BG1802" s="263"/>
      <c r="BH1802" s="263"/>
      <c r="BI1802" s="263"/>
      <c r="BJ1802" s="404">
        <f>altaz(J2000_Bas,$O1802,$M1802,DecLat,DecLong,2)</f>
        <v>286.55454298643804</v>
      </c>
      <c r="BK1802" s="378" t="s">
        <v>1774</v>
      </c>
      <c r="BL1802" s="379">
        <f>IF((2*G1802)/60&lt;0.2,0.2,(2*G1802)/60)</f>
        <v>0.2</v>
      </c>
      <c r="BM1802" s="380">
        <f>MOD((50000+AD1802-$B$3+(0/24)),1)</f>
        <v>0.56478305838390952</v>
      </c>
      <c r="BN1802" s="381"/>
      <c r="BO1802" s="382">
        <v>1795</v>
      </c>
    </row>
    <row r="1803" spans="1:67" s="24" customFormat="1" ht="15" customHeight="1" x14ac:dyDescent="0.25">
      <c r="A1803" s="288" t="s">
        <v>3239</v>
      </c>
      <c r="B1803" s="241" t="str">
        <f>HYPERLINK(CONCATENATE($AT$3,BK1803,$AU$3),$AV$3)</f>
        <v>S</v>
      </c>
      <c r="C1803" s="242" t="str">
        <f>HYPERLINK(CONCATENATE($AT$4,BK1803,$AU$4,BL1803),$AV$4)</f>
        <v>A</v>
      </c>
      <c r="D1803" s="243" t="s">
        <v>5187</v>
      </c>
      <c r="E1803" s="244" t="s">
        <v>5186</v>
      </c>
      <c r="F1803" s="269"/>
      <c r="G1803" s="276">
        <v>20</v>
      </c>
      <c r="H1803" s="283">
        <v>3200</v>
      </c>
      <c r="I1803" s="246">
        <v>20</v>
      </c>
      <c r="J1803" s="246">
        <v>2</v>
      </c>
      <c r="K1803" s="247" t="s">
        <v>7272</v>
      </c>
      <c r="L1803" s="248">
        <v>83532</v>
      </c>
      <c r="M1803" s="249">
        <f>15*(LEFT(TEXT($L1803,"000000"),2)+(MID(TEXT($L1803,"000000"),3,2)/60)+(RIGHT(TEXT($L1803,"000000"),2)/3600))</f>
        <v>128.88333333333333</v>
      </c>
      <c r="N1803" s="250">
        <v>-404018</v>
      </c>
      <c r="O1803" s="251">
        <f>IF($N1803&gt;0,(LEFT(TEXT($N1803,"000000"),2)+(MID(TEXT($N1803,"000000"),3,2)/60)+(RIGHT(TEXT($N1803,"000000"),2)/3600)),-(MID(TEXT($N1803,"000000"),2,2)+(MID(TEXT($N1803,"000000"),4,2)/60)+(RIGHT(TEXT($N1803,"000000"),2)/3600)))</f>
        <v>-40.671666666666667</v>
      </c>
      <c r="P1803" s="252" t="s">
        <v>980</v>
      </c>
      <c r="Q1803" s="253"/>
      <c r="R1803" s="277" t="s">
        <v>3293</v>
      </c>
      <c r="S1803" s="272" t="s">
        <v>3293</v>
      </c>
      <c r="T1803" s="273"/>
      <c r="U1803" s="274"/>
      <c r="V1803" s="280"/>
      <c r="W1803" s="244"/>
      <c r="X1803" s="244"/>
      <c r="Y1803" s="362"/>
      <c r="Z1803" s="257">
        <f>altaz(J2000_Bas,$O1803,$M1803,DecLat,DecLong,1)</f>
        <v>-69.168859992515493</v>
      </c>
      <c r="AA1803" s="257">
        <f>altaz((J2000_Bas+(2*0.04167)),$O1803,$M1803,DecLat,DecLong,1)</f>
        <v>-78.711739269529772</v>
      </c>
      <c r="AB1803" s="257">
        <f>altaz((J2000_Bas+(4*0.04167)),$O1803,$M1803,DecLat,DecLong,1)</f>
        <v>-58.528382550224258</v>
      </c>
      <c r="AC1803" s="257">
        <f>altaz((J2000_Bas+(6*0.04167)),$O1803,$M1803,DecLat,DecLong,1)</f>
        <v>-35.858515116380282</v>
      </c>
      <c r="AD1803" s="258">
        <f>1+ transit((J2000_Bas-1),$O1803,$M1803,DecLat,DecLong)/360 + (GMTOffset/24) + (IF(DST="Y", 1, 0)/24)</f>
        <v>1.3509091840880412</v>
      </c>
      <c r="AE1803" s="259">
        <f>DATE(2001,9,21)+(M1803/360)*365 - (360*((DecLong/360)- (GMTOffset/24) ))</f>
        <v>37290.673379629632</v>
      </c>
      <c r="AF1803" s="260">
        <f>IF(DecLat&gt;0,IF((90 - (DecLat-O1803))&gt;90, (90 - (O1803-DecLat)), (90 - (DecLat-O1803))),IF((90 + (DecLat-O1803))&gt;90, (90 + (O1803-DecLat)), (90 + (DecLat-O1803))))</f>
        <v>18.328333333333333</v>
      </c>
      <c r="AG1803" s="257">
        <f>angularseperation(MoonRA,MoonDec,$M1803,$O1803)</f>
        <v>92.554348962920088</v>
      </c>
      <c r="AH1803" s="261">
        <f ca="1">MIN(100,IF($O$5&gt;80,0+30*($AG1803/100),IF($O$5&gt;70,0+50*($AG1803/100),IF($O$5&gt;60,5+50*($AG1803/100),IF($O$5&gt;50,10+60*($AG1803/100),IF($O$5&gt;40,15+70*($AG1803/100),IF($O$5&gt;30,20+70*($AG1803/100),IF($O$5&gt;20,40+55*($AG1803/100),(80+(20-$O$5)+30*($AG1803/100))))))))))</f>
        <v>100</v>
      </c>
      <c r="AI1803" s="263">
        <v>2626</v>
      </c>
      <c r="AJ1803" s="263"/>
      <c r="AK1803" s="263"/>
      <c r="AL1803" s="263"/>
      <c r="AM1803" s="264"/>
      <c r="AN1803" s="263"/>
      <c r="AO1803" s="263"/>
      <c r="AP1803" s="265"/>
      <c r="AQ1803" s="265"/>
      <c r="AR1803" s="285"/>
      <c r="AS1803" s="263"/>
      <c r="AT1803" s="263"/>
      <c r="AU1803" s="263"/>
      <c r="AV1803" s="264"/>
      <c r="AW1803" s="263"/>
      <c r="AX1803" s="263"/>
      <c r="AY1803" s="263"/>
      <c r="AZ1803" s="263"/>
      <c r="BA1803" s="263"/>
      <c r="BB1803" s="263"/>
      <c r="BC1803" s="263"/>
      <c r="BD1803" s="264"/>
      <c r="BE1803" s="263"/>
      <c r="BF1803" s="263"/>
      <c r="BG1803" s="263"/>
      <c r="BH1803" s="263"/>
      <c r="BI1803" s="263"/>
      <c r="BJ1803" s="404">
        <f>altaz(J2000_Bas,$O1803,$M1803,DecLat,DecLong,2)</f>
        <v>236.02311485925418</v>
      </c>
      <c r="BK1803" s="378" t="s">
        <v>3239</v>
      </c>
      <c r="BL1803" s="379">
        <f>IF((2*G1803)/60&lt;0.2,0.2,(2*G1803)/60)</f>
        <v>0.66666666666666663</v>
      </c>
      <c r="BM1803" s="380">
        <f>MOD((50000+AD1803-$B$3+(0/24)),1)</f>
        <v>0.56627611379371956</v>
      </c>
      <c r="BN1803" s="381"/>
      <c r="BO1803" s="382">
        <v>1796</v>
      </c>
    </row>
    <row r="1804" spans="1:67" s="24" customFormat="1" ht="15" customHeight="1" x14ac:dyDescent="0.25">
      <c r="A1804" s="287" t="s">
        <v>2983</v>
      </c>
      <c r="B1804" s="241" t="str">
        <f>HYPERLINK(CONCATENATE($AT$3,BK1804,$AU$3),$AV$3)</f>
        <v>S</v>
      </c>
      <c r="C1804" s="242" t="str">
        <f>HYPERLINK(CONCATENATE($AT$4,BK1804,$AU$4,BL1804),$AV$4)</f>
        <v>A</v>
      </c>
      <c r="D1804" s="243" t="s">
        <v>5335</v>
      </c>
      <c r="E1804" s="244" t="s">
        <v>5185</v>
      </c>
      <c r="F1804" s="269" t="s">
        <v>7203</v>
      </c>
      <c r="G1804" s="276">
        <v>11</v>
      </c>
      <c r="H1804" s="283">
        <v>6000</v>
      </c>
      <c r="I1804" s="246">
        <v>20</v>
      </c>
      <c r="J1804" s="246">
        <v>2</v>
      </c>
      <c r="K1804" s="247" t="s">
        <v>7273</v>
      </c>
      <c r="L1804" s="248">
        <v>83718</v>
      </c>
      <c r="M1804" s="249">
        <f>15*(LEFT(TEXT($L1804,"000000"),2)+(MID(TEXT($L1804,"000000"),3,2)/60)+(RIGHT(TEXT($L1804,"000000"),2)/3600))</f>
        <v>129.32500000000002</v>
      </c>
      <c r="N1804" s="250">
        <v>-295700</v>
      </c>
      <c r="O1804" s="251">
        <f>IF($N1804&gt;0,(LEFT(TEXT($N1804,"000000"),2)+(MID(TEXT($N1804,"000000"),3,2)/60)+(RIGHT(TEXT($N1804,"000000"),2)/3600)),-(MID(TEXT($N1804,"000000"),2,2)+(MID(TEXT($N1804,"000000"),4,2)/60)+(RIGHT(TEXT($N1804,"000000"),2)/3600)))</f>
        <v>-29.95</v>
      </c>
      <c r="P1804" s="252" t="s">
        <v>91</v>
      </c>
      <c r="Q1804" s="253"/>
      <c r="R1804" s="277" t="s">
        <v>3293</v>
      </c>
      <c r="S1804" s="272" t="s">
        <v>3293</v>
      </c>
      <c r="T1804" s="273">
        <v>8.4</v>
      </c>
      <c r="U1804" s="274"/>
      <c r="V1804" s="280"/>
      <c r="W1804" s="244"/>
      <c r="X1804" s="244"/>
      <c r="Y1804" s="362"/>
      <c r="Z1804" s="257">
        <f>altaz(J2000_Bas,$O1804,$M1804,DecLat,DecLong,1)</f>
        <v>-69.908838139918075</v>
      </c>
      <c r="AA1804" s="257">
        <f>altaz((J2000_Bas+(2*0.04167)),$O1804,$M1804,DecLat,DecLong,1)</f>
        <v>-84.079208813838704</v>
      </c>
      <c r="AB1804" s="257">
        <f>altaz((J2000_Bas+(4*0.04167)),$O1804,$M1804,DecLat,DecLong,1)</f>
        <v>-58.37212031262434</v>
      </c>
      <c r="AC1804" s="257">
        <f>altaz((J2000_Bas+(6*0.04167)),$O1804,$M1804,DecLat,DecLong,1)</f>
        <v>-33.239959075498447</v>
      </c>
      <c r="AD1804" s="258">
        <f>1+ transit((J2000_Bas-1),$O1804,$M1804,DecLat,DecLong)/360 + (GMTOffset/24) + (IF(DST="Y", 1, 0)/24)</f>
        <v>1.3521360358172081</v>
      </c>
      <c r="AE1804" s="259">
        <f>DATE(2001,9,21)+(M1804/360)*365 - (360*((DecLong/360)- (GMTOffset/24) ))</f>
        <v>37291.121180555558</v>
      </c>
      <c r="AF1804" s="260">
        <f>IF(DecLat&gt;0,IF((90 - (DecLat-O1804))&gt;90, (90 - (O1804-DecLat)), (90 - (DecLat-O1804))),IF((90 + (DecLat-O1804))&gt;90, (90 + (O1804-DecLat)), (90 + (DecLat-O1804))))</f>
        <v>29.049999999999997</v>
      </c>
      <c r="AG1804" s="257">
        <f>angularseperation(MoonRA,MoonDec,$M1804,$O1804)</f>
        <v>99.058820975413525</v>
      </c>
      <c r="AH1804" s="261">
        <f ca="1">MIN(100,IF($O$5&gt;80,0+30*($AG1804/100),IF($O$5&gt;70,0+50*($AG1804/100),IF($O$5&gt;60,5+50*($AG1804/100),IF($O$5&gt;50,10+60*($AG1804/100),IF($O$5&gt;40,15+70*($AG1804/100),IF($O$5&gt;30,20+70*($AG1804/100),IF($O$5&gt;20,40+55*($AG1804/100),(80+(20-$O$5)+30*($AG1804/100))))))))))</f>
        <v>100</v>
      </c>
      <c r="AI1804" s="262">
        <v>2627</v>
      </c>
      <c r="AJ1804" s="263"/>
      <c r="AK1804" s="263">
        <v>118</v>
      </c>
      <c r="AL1804" s="263"/>
      <c r="AM1804" s="264"/>
      <c r="AN1804" s="263"/>
      <c r="AO1804" s="263"/>
      <c r="AP1804" s="265"/>
      <c r="AQ1804" s="265"/>
      <c r="AR1804" s="285"/>
      <c r="AS1804" s="263"/>
      <c r="AT1804" s="263"/>
      <c r="AU1804" s="263"/>
      <c r="AV1804" s="264"/>
      <c r="AW1804" s="263"/>
      <c r="AX1804" s="263"/>
      <c r="AY1804" s="263"/>
      <c r="AZ1804" s="263"/>
      <c r="BA1804" s="263"/>
      <c r="BB1804" s="263"/>
      <c r="BC1804" s="263"/>
      <c r="BD1804" s="264"/>
      <c r="BE1804" s="263"/>
      <c r="BF1804" s="263"/>
      <c r="BG1804" s="263"/>
      <c r="BH1804" s="263"/>
      <c r="BI1804" s="263"/>
      <c r="BJ1804" s="404">
        <f>altaz(J2000_Bas,$O1804,$M1804,DecLat,DecLong,2)</f>
        <v>266.97327331065151</v>
      </c>
      <c r="BK1804" s="378" t="s">
        <v>2983</v>
      </c>
      <c r="BL1804" s="379">
        <f>IF((2*G1804)/60&lt;0.2,0.2,(2*G1804)/60)</f>
        <v>0.36666666666666664</v>
      </c>
      <c r="BM1804" s="380">
        <f>MOD((50000+AD1804-$B$3+(0/24)),1)</f>
        <v>0.56750296551763313</v>
      </c>
      <c r="BN1804" s="381"/>
      <c r="BO1804" s="382">
        <v>1797</v>
      </c>
    </row>
    <row r="1805" spans="1:67" s="24" customFormat="1" ht="15" customHeight="1" x14ac:dyDescent="0.25">
      <c r="A1805" s="288" t="s">
        <v>1775</v>
      </c>
      <c r="B1805" s="241" t="str">
        <f>HYPERLINK(CONCATENATE($AT$3,BK1805,$AU$3),$AV$3)</f>
        <v>S</v>
      </c>
      <c r="C1805" s="242" t="str">
        <f>HYPERLINK(CONCATENATE($AT$4,BK1805,$AU$4,BL1805),$AV$4)</f>
        <v>A</v>
      </c>
      <c r="D1805" s="243" t="s">
        <v>5638</v>
      </c>
      <c r="E1805" s="244" t="s">
        <v>5192</v>
      </c>
      <c r="F1805" s="269" t="s">
        <v>8955</v>
      </c>
      <c r="G1805" s="273">
        <v>4</v>
      </c>
      <c r="H1805" s="283">
        <v>100</v>
      </c>
      <c r="I1805" s="246">
        <v>120</v>
      </c>
      <c r="J1805" s="246">
        <v>2</v>
      </c>
      <c r="K1805" s="247" t="s">
        <v>8050</v>
      </c>
      <c r="L1805" s="248">
        <v>84912</v>
      </c>
      <c r="M1805" s="249">
        <f>15*(LEFT(TEXT($L1805,"000000"),2)+(MID(TEXT($L1805,"000000"),3,2)/60)+(RIGHT(TEXT($L1805,"000000"),2)/3600))</f>
        <v>132.30000000000001</v>
      </c>
      <c r="N1805" s="250">
        <v>601314</v>
      </c>
      <c r="O1805" s="251">
        <f>IF($N1805&gt;0,(LEFT(TEXT($N1805,"000000"),2)+(MID(TEXT($N1805,"000000"),3,2)/60)+(RIGHT(TEXT($N1805,"000000"),2)/3600)),-(MID(TEXT($N1805,"000000"),2,2)+(MID(TEXT($N1805,"000000"),4,2)/60)+(RIGHT(TEXT($N1805,"000000"),2)/3600)))</f>
        <v>60.220555555555556</v>
      </c>
      <c r="P1805" s="252" t="s">
        <v>37</v>
      </c>
      <c r="Q1805" s="253"/>
      <c r="R1805" s="247" t="s">
        <v>3293</v>
      </c>
      <c r="S1805" s="272" t="s">
        <v>3293</v>
      </c>
      <c r="T1805" s="273">
        <v>11.8</v>
      </c>
      <c r="U1805" s="289">
        <v>21.79</v>
      </c>
      <c r="V1805" s="280">
        <v>85</v>
      </c>
      <c r="W1805" s="244"/>
      <c r="X1805" s="244"/>
      <c r="Y1805" s="362"/>
      <c r="Z1805" s="257">
        <f>altaz(J2000_Bas,$O1805,$M1805,DecLat,DecLong,1)</f>
        <v>3.7475554997777358</v>
      </c>
      <c r="AA1805" s="257">
        <f>altaz((J2000_Bas+(2*0.04167)),$O1805,$M1805,DecLat,DecLong,1)</f>
        <v>1.2738336897616274</v>
      </c>
      <c r="AB1805" s="257">
        <f>altaz((J2000_Bas+(4*0.04167)),$O1805,$M1805,DecLat,DecLong,1)</f>
        <v>5.367961098473069</v>
      </c>
      <c r="AC1805" s="257">
        <f>altaz((J2000_Bas+(6*0.04167)),$O1805,$M1805,DecLat,DecLong,1)</f>
        <v>15.076430755671121</v>
      </c>
      <c r="AD1805" s="258">
        <f>1+ transit((J2000_Bas-1),$O1805,$M1805,DecLat,DecLong)/360 + (GMTOffset/24) + (IF(DST="Y", 1, 0)/24)</f>
        <v>1.3603999238797082</v>
      </c>
      <c r="AE1805" s="259">
        <f>DATE(2001,9,21)+(M1805/360)*365 - (360*((DecLong/360)- (GMTOffset/24) ))</f>
        <v>37294.137499999997</v>
      </c>
      <c r="AF1805" s="260">
        <f>IF(DecLat&gt;0,IF((90 - (DecLat-O1805))&gt;90, (90 - (O1805-DecLat)), (90 - (DecLat-O1805))),IF((90 + (DecLat-O1805))&gt;90, (90 + (O1805-DecLat)), (90 + (DecLat-O1805))))</f>
        <v>60.779444444444444</v>
      </c>
      <c r="AG1805" s="257">
        <f>angularseperation(MoonRA,MoonDec,$M1805,$O1805)</f>
        <v>126.55021265355047</v>
      </c>
      <c r="AH1805" s="261">
        <f ca="1">MIN(100,IF($O$5&gt;80,0+30*($AG1805/100),IF($O$5&gt;70,0+50*($AG1805/100),IF($O$5&gt;60,5+50*($AG1805/100),IF($O$5&gt;50,10+60*($AG1805/100),IF($O$5&gt;40,15+70*($AG1805/100),IF($O$5&gt;30,20+70*($AG1805/100),IF($O$5&gt;20,40+55*($AG1805/100),(80+(20-$O$5)+30*($AG1805/100))))))))))</f>
        <v>100</v>
      </c>
      <c r="AI1805" s="262">
        <v>2654</v>
      </c>
      <c r="AJ1805" s="262"/>
      <c r="AK1805" s="262"/>
      <c r="AL1805" s="263"/>
      <c r="AM1805" s="264"/>
      <c r="AN1805" s="263"/>
      <c r="AO1805" s="263"/>
      <c r="AP1805" s="265"/>
      <c r="AQ1805" s="266">
        <v>4605</v>
      </c>
      <c r="AR1805" s="267">
        <v>24784</v>
      </c>
      <c r="AS1805" s="263"/>
      <c r="AT1805" s="263"/>
      <c r="AU1805" s="263"/>
      <c r="AV1805" s="264"/>
      <c r="AW1805" s="263"/>
      <c r="AX1805" s="263"/>
      <c r="AY1805" s="263"/>
      <c r="AZ1805" s="263"/>
      <c r="BA1805" s="263"/>
      <c r="BB1805" s="263"/>
      <c r="BC1805" s="263"/>
      <c r="BD1805" s="264"/>
      <c r="BE1805" s="263"/>
      <c r="BF1805" s="263"/>
      <c r="BG1805" s="263"/>
      <c r="BH1805" s="263"/>
      <c r="BI1805" s="263"/>
      <c r="BJ1805" s="404">
        <f>altaz(J2000_Bas,$O1805,$M1805,DecLat,DecLong,2)</f>
        <v>347.26112869387572</v>
      </c>
      <c r="BK1805" s="378" t="s">
        <v>1775</v>
      </c>
      <c r="BL1805" s="379">
        <f>IF((2*G1805)/60&lt;0.2,0.2,(2*G1805)/60)</f>
        <v>0.2</v>
      </c>
      <c r="BM1805" s="380">
        <f>MOD((50000+AD1805-$B$3+(0/24)),1)</f>
        <v>0.575766853580717</v>
      </c>
      <c r="BN1805" s="381"/>
      <c r="BO1805" s="382">
        <v>1798</v>
      </c>
    </row>
    <row r="1806" spans="1:67" s="24" customFormat="1" ht="15" customHeight="1" x14ac:dyDescent="0.25">
      <c r="A1806" s="288" t="s">
        <v>1776</v>
      </c>
      <c r="B1806" s="241" t="str">
        <f>HYPERLINK(CONCATENATE($AT$3,BK1806,$AU$3),$AV$3)</f>
        <v>S</v>
      </c>
      <c r="C1806" s="242" t="str">
        <f>HYPERLINK(CONCATENATE($AT$4,BK1806,$AU$4,BL1806),$AV$4)</f>
        <v>A</v>
      </c>
      <c r="D1806" s="243" t="s">
        <v>5638</v>
      </c>
      <c r="E1806" s="244" t="s">
        <v>5192</v>
      </c>
      <c r="F1806" s="269" t="s">
        <v>8956</v>
      </c>
      <c r="G1806" s="273">
        <v>2</v>
      </c>
      <c r="H1806" s="283">
        <v>80</v>
      </c>
      <c r="I1806" s="246">
        <v>50</v>
      </c>
      <c r="J1806" s="246">
        <v>2</v>
      </c>
      <c r="K1806" s="247" t="s">
        <v>7274</v>
      </c>
      <c r="L1806" s="248">
        <v>84601</v>
      </c>
      <c r="M1806" s="249">
        <f>15*(LEFT(TEXT($L1806,"000000"),2)+(MID(TEXT($L1806,"000000"),3,2)/60)+(RIGHT(TEXT($L1806,"000000"),2)/3600))</f>
        <v>131.50416666666666</v>
      </c>
      <c r="N1806" s="250">
        <v>-191811</v>
      </c>
      <c r="O1806" s="251">
        <f>IF($N1806&gt;0,(LEFT(TEXT($N1806,"000000"),2)+(MID(TEXT($N1806,"000000"),3,2)/60)+(RIGHT(TEXT($N1806,"000000"),2)/3600)),-(MID(TEXT($N1806,"000000"),2,2)+(MID(TEXT($N1806,"000000"),4,2)/60)+(RIGHT(TEXT($N1806,"000000"),2)/3600)))</f>
        <v>-19.303055555555556</v>
      </c>
      <c r="P1806" s="252" t="s">
        <v>103</v>
      </c>
      <c r="Q1806" s="253"/>
      <c r="R1806" s="247" t="s">
        <v>3293</v>
      </c>
      <c r="S1806" s="272" t="s">
        <v>3293</v>
      </c>
      <c r="T1806" s="273">
        <v>12.2</v>
      </c>
      <c r="U1806" s="289">
        <v>22.19</v>
      </c>
      <c r="V1806" s="280">
        <v>50</v>
      </c>
      <c r="W1806" s="244"/>
      <c r="X1806" s="244"/>
      <c r="Y1806" s="362"/>
      <c r="Z1806" s="257">
        <f>altaz(J2000_Bas,$O1806,$M1806,DecLat,DecLong,1)</f>
        <v>-64.213024858505918</v>
      </c>
      <c r="AA1806" s="257">
        <f>altaz((J2000_Bas+(2*0.04167)),$O1806,$M1806,DecLat,DecLong,1)</f>
        <v>-77.593259728264627</v>
      </c>
      <c r="AB1806" s="257">
        <f>altaz((J2000_Bas+(4*0.04167)),$O1806,$M1806,DecLat,DecLong,1)</f>
        <v>-56.679660656925641</v>
      </c>
      <c r="AC1806" s="257">
        <f>altaz((J2000_Bas+(6*0.04167)),$O1806,$M1806,DecLat,DecLong,1)</f>
        <v>-31.018336646194683</v>
      </c>
      <c r="AD1806" s="258">
        <f>1+ transit((J2000_Bas-1),$O1806,$M1806,DecLat,DecLong)/360 + (GMTOffset/24) + (IF(DST="Y", 1, 0)/24)</f>
        <v>1.3581892759526246</v>
      </c>
      <c r="AE1806" s="259">
        <f>DATE(2001,9,21)+(M1806/360)*365 - (360*((DecLong/360)- (GMTOffset/24) ))</f>
        <v>37293.330613425926</v>
      </c>
      <c r="AF1806" s="260">
        <f>IF(DecLat&gt;0,IF((90 - (DecLat-O1806))&gt;90, (90 - (O1806-DecLat)), (90 - (DecLat-O1806))),IF((90 + (DecLat-O1806))&gt;90, (90 + (O1806-DecLat)), (90 + (DecLat-O1806))))</f>
        <v>39.696944444444441</v>
      </c>
      <c r="AG1806" s="257">
        <f>angularseperation(MoonRA,MoonDec,$M1806,$O1806)</f>
        <v>103.92110255059454</v>
      </c>
      <c r="AH1806" s="261">
        <f ca="1">MIN(100,IF($O$5&gt;80,0+30*($AG1806/100),IF($O$5&gt;70,0+50*($AG1806/100),IF($O$5&gt;60,5+50*($AG1806/100),IF($O$5&gt;50,10+60*($AG1806/100),IF($O$5&gt;40,15+70*($AG1806/100),IF($O$5&gt;30,20+70*($AG1806/100),IF($O$5&gt;20,40+55*($AG1806/100),(80+(20-$O$5)+30*($AG1806/100))))))))))</f>
        <v>100</v>
      </c>
      <c r="AI1806" s="262">
        <v>2665</v>
      </c>
      <c r="AJ1806" s="262"/>
      <c r="AK1806" s="262"/>
      <c r="AL1806" s="263"/>
      <c r="AM1806" s="264"/>
      <c r="AN1806" s="263"/>
      <c r="AO1806" s="263"/>
      <c r="AP1806" s="265"/>
      <c r="AQ1806" s="266"/>
      <c r="AR1806" s="267">
        <v>24634</v>
      </c>
      <c r="AS1806" s="263"/>
      <c r="AT1806" s="263"/>
      <c r="AU1806" s="263"/>
      <c r="AV1806" s="264"/>
      <c r="AW1806" s="263"/>
      <c r="AX1806" s="263"/>
      <c r="AY1806" s="263"/>
      <c r="AZ1806" s="263"/>
      <c r="BA1806" s="263"/>
      <c r="BB1806" s="263"/>
      <c r="BC1806" s="263"/>
      <c r="BD1806" s="264"/>
      <c r="BE1806" s="263"/>
      <c r="BF1806" s="263"/>
      <c r="BG1806" s="263"/>
      <c r="BH1806" s="263"/>
      <c r="BI1806" s="263"/>
      <c r="BJ1806" s="404">
        <f>altaz(J2000_Bas,$O1806,$M1806,DecLat,DecLong,2)</f>
        <v>290.9263979300153</v>
      </c>
      <c r="BK1806" s="378" t="s">
        <v>1776</v>
      </c>
      <c r="BL1806" s="379">
        <f>IF((2*G1806)/60&lt;0.2,0.2,(2*G1806)/60)</f>
        <v>0.2</v>
      </c>
      <c r="BM1806" s="380">
        <f>MOD((50000+AD1806-$B$3+(0/24)),1)</f>
        <v>0.57355620565795107</v>
      </c>
      <c r="BN1806" s="381"/>
      <c r="BO1806" s="382">
        <v>1799</v>
      </c>
    </row>
    <row r="1807" spans="1:67" s="24" customFormat="1" ht="15" customHeight="1" x14ac:dyDescent="0.25">
      <c r="A1807" s="288" t="s">
        <v>1777</v>
      </c>
      <c r="B1807" s="241" t="str">
        <f>HYPERLINK(CONCATENATE($AT$3,BK1807,$AU$3),$AV$3)</f>
        <v>S</v>
      </c>
      <c r="C1807" s="242" t="str">
        <f>HYPERLINK(CONCATENATE($AT$4,BK1807,$AU$4,BL1807),$AV$4)</f>
        <v>A</v>
      </c>
      <c r="D1807" s="243" t="s">
        <v>5638</v>
      </c>
      <c r="E1807" s="244" t="s">
        <v>5182</v>
      </c>
      <c r="F1807" s="269" t="s">
        <v>8957</v>
      </c>
      <c r="G1807" s="273">
        <v>3</v>
      </c>
      <c r="H1807" s="283">
        <v>54</v>
      </c>
      <c r="I1807" s="246">
        <v>50</v>
      </c>
      <c r="J1807" s="246">
        <v>3</v>
      </c>
      <c r="K1807" s="247" t="s">
        <v>7275</v>
      </c>
      <c r="L1807" s="248">
        <v>85333</v>
      </c>
      <c r="M1807" s="249">
        <f>15*(LEFT(TEXT($L1807,"000000"),2)+(MID(TEXT($L1807,"000000"),3,2)/60)+(RIGHT(TEXT($L1807,"000000"),2)/3600))</f>
        <v>133.38749999999999</v>
      </c>
      <c r="N1807" s="250">
        <v>511849</v>
      </c>
      <c r="O1807" s="251">
        <f>IF($N1807&gt;0,(LEFT(TEXT($N1807,"000000"),2)+(MID(TEXT($N1807,"000000"),3,2)/60)+(RIGHT(TEXT($N1807,"000000"),2)/3600)),-(MID(TEXT($N1807,"000000"),2,2)+(MID(TEXT($N1807,"000000"),4,2)/60)+(RIGHT(TEXT($N1807,"000000"),2)/3600)))</f>
        <v>51.313611111111108</v>
      </c>
      <c r="P1807" s="252" t="s">
        <v>37</v>
      </c>
      <c r="Q1807" s="253"/>
      <c r="R1807" s="247" t="s">
        <v>3293</v>
      </c>
      <c r="S1807" s="272" t="s">
        <v>3293</v>
      </c>
      <c r="T1807" s="273">
        <v>11</v>
      </c>
      <c r="U1807" s="289">
        <v>21.79</v>
      </c>
      <c r="V1807" s="280">
        <v>0</v>
      </c>
      <c r="W1807" s="244"/>
      <c r="X1807" s="244"/>
      <c r="Y1807" s="362"/>
      <c r="Z1807" s="257">
        <f>altaz(J2000_Bas,$O1807,$M1807,DecLat,DecLong,1)</f>
        <v>-4.227089854995274</v>
      </c>
      <c r="AA1807" s="257">
        <f>altaz((J2000_Bas+(2*0.04167)),$O1807,$M1807,DecLat,DecLong,1)</f>
        <v>-7.6520112343231013</v>
      </c>
      <c r="AB1807" s="257">
        <f>altaz((J2000_Bas+(4*0.04167)),$O1807,$M1807,DecLat,DecLong,1)</f>
        <v>-2.7747561717895373</v>
      </c>
      <c r="AC1807" s="257">
        <f>altaz((J2000_Bas+(6*0.04167)),$O1807,$M1807,DecLat,DecLong,1)</f>
        <v>9.0732241450456002</v>
      </c>
      <c r="AD1807" s="258">
        <f>1+ transit((J2000_Bas-1),$O1807,$M1807,DecLat,DecLong)/360 + (GMTOffset/24) + (IF(DST="Y", 1, 0)/24)</f>
        <v>1.363420756910958</v>
      </c>
      <c r="AE1807" s="259">
        <f>DATE(2001,9,21)+(M1807/360)*365 - (360*((DecLong/360)- (GMTOffset/24) ))</f>
        <v>37295.240104166667</v>
      </c>
      <c r="AF1807" s="260">
        <f>IF(DecLat&gt;0,IF((90 - (DecLat-O1807))&gt;90, (90 - (O1807-DecLat)), (90 - (DecLat-O1807))),IF((90 + (DecLat-O1807))&gt;90, (90 + (O1807-DecLat)), (90 + (DecLat-O1807))))</f>
        <v>69.686388888888899</v>
      </c>
      <c r="AG1807" s="257">
        <f>angularseperation(MoonRA,MoonDec,$M1807,$O1807)</f>
        <v>126.73274659537384</v>
      </c>
      <c r="AH1807" s="261">
        <f ca="1">MIN(100,IF($O$5&gt;80,0+30*($AG1807/100),IF($O$5&gt;70,0+50*($AG1807/100),IF($O$5&gt;60,5+50*($AG1807/100),IF($O$5&gt;50,10+60*($AG1807/100),IF($O$5&gt;40,15+70*($AG1807/100),IF($O$5&gt;30,20+70*($AG1807/100),IF($O$5&gt;20,40+55*($AG1807/100),(80+(20-$O$5)+30*($AG1807/100))))))))))</f>
        <v>100</v>
      </c>
      <c r="AI1807" s="262">
        <v>2681</v>
      </c>
      <c r="AJ1807" s="262"/>
      <c r="AK1807" s="262">
        <v>120</v>
      </c>
      <c r="AL1807" s="263"/>
      <c r="AM1807" s="264"/>
      <c r="AN1807" s="263"/>
      <c r="AO1807" s="263"/>
      <c r="AP1807" s="265"/>
      <c r="AQ1807" s="266">
        <v>4645</v>
      </c>
      <c r="AR1807" s="267">
        <v>24961</v>
      </c>
      <c r="AS1807" s="263"/>
      <c r="AT1807" s="263"/>
      <c r="AU1807" s="263"/>
      <c r="AV1807" s="264"/>
      <c r="AW1807" s="263"/>
      <c r="AX1807" s="263"/>
      <c r="AY1807" s="263"/>
      <c r="AZ1807" s="263"/>
      <c r="BA1807" s="263"/>
      <c r="BB1807" s="263"/>
      <c r="BC1807" s="263"/>
      <c r="BD1807" s="264"/>
      <c r="BE1807" s="263"/>
      <c r="BF1807" s="263"/>
      <c r="BG1807" s="263"/>
      <c r="BH1807" s="263"/>
      <c r="BI1807" s="263"/>
      <c r="BJ1807" s="404">
        <f>altaz(J2000_Bas,$O1807,$M1807,DecLat,DecLong,2)</f>
        <v>343.24445689338216</v>
      </c>
      <c r="BK1807" s="378" t="s">
        <v>1777</v>
      </c>
      <c r="BL1807" s="379">
        <f>IF((2*G1807)/60&lt;0.2,0.2,(2*G1807)/60)</f>
        <v>0.2</v>
      </c>
      <c r="BM1807" s="380">
        <f>MOD((50000+AD1807-$B$3+(0/24)),1)</f>
        <v>0.57878768661612412</v>
      </c>
      <c r="BN1807" s="381"/>
      <c r="BO1807" s="382">
        <v>1800</v>
      </c>
    </row>
    <row r="1808" spans="1:67" s="24" customFormat="1" ht="15" customHeight="1" x14ac:dyDescent="0.25">
      <c r="A1808" s="288" t="s">
        <v>1778</v>
      </c>
      <c r="B1808" s="241" t="str">
        <f>HYPERLINK(CONCATENATE($AT$3,BK1808,$AU$3),$AV$3)</f>
        <v>S</v>
      </c>
      <c r="C1808" s="242" t="str">
        <f>HYPERLINK(CONCATENATE($AT$4,BK1808,$AU$4,BL1808),$AV$4)</f>
        <v>A</v>
      </c>
      <c r="D1808" s="243" t="s">
        <v>5638</v>
      </c>
      <c r="E1808" s="244" t="s">
        <v>4292</v>
      </c>
      <c r="F1808" s="269"/>
      <c r="G1808" s="273">
        <v>9</v>
      </c>
      <c r="H1808" s="283">
        <v>30</v>
      </c>
      <c r="I1808" s="246">
        <v>80</v>
      </c>
      <c r="J1808" s="246">
        <v>3</v>
      </c>
      <c r="K1808" s="247" t="s">
        <v>7276</v>
      </c>
      <c r="L1808" s="248">
        <v>85242</v>
      </c>
      <c r="M1808" s="249">
        <f>15*(LEFT(TEXT($L1808,"000000"),2)+(MID(TEXT($L1808,"000000"),3,2)/60)+(RIGHT(TEXT($L1808,"000000"),2)/3600))</f>
        <v>133.17500000000001</v>
      </c>
      <c r="N1808" s="250">
        <v>332514</v>
      </c>
      <c r="O1808" s="251">
        <f>IF($N1808&gt;0,(LEFT(TEXT($N1808,"000000"),2)+(MID(TEXT($N1808,"000000"),3,2)/60)+(RIGHT(TEXT($N1808,"000000"),2)/3600)),-(MID(TEXT($N1808,"000000"),2,2)+(MID(TEXT($N1808,"000000"),4,2)/60)+(RIGHT(TEXT($N1808,"000000"),2)/3600)))</f>
        <v>33.420555555555552</v>
      </c>
      <c r="P1808" s="252" t="s">
        <v>82</v>
      </c>
      <c r="Q1808" s="253" t="s">
        <v>6920</v>
      </c>
      <c r="R1808" s="247" t="s">
        <v>3293</v>
      </c>
      <c r="S1808" s="272" t="s">
        <v>3293</v>
      </c>
      <c r="T1808" s="273">
        <v>9.8000000000000007</v>
      </c>
      <c r="U1808" s="289">
        <v>21.79</v>
      </c>
      <c r="V1808" s="280">
        <v>79</v>
      </c>
      <c r="W1808" s="244"/>
      <c r="X1808" s="244"/>
      <c r="Y1808" s="362"/>
      <c r="Z1808" s="257">
        <f>altaz(J2000_Bas,$O1808,$M1808,DecLat,DecLong,1)</f>
        <v>-20.658940745635505</v>
      </c>
      <c r="AA1808" s="257">
        <f>altaz((J2000_Bas+(2*0.04167)),$O1808,$M1808,DecLat,DecLong,1)</f>
        <v>-25.520769747585668</v>
      </c>
      <c r="AB1808" s="257">
        <f>altaz((J2000_Bas+(4*0.04167)),$O1808,$M1808,DecLat,DecLong,1)</f>
        <v>-18.443165016543567</v>
      </c>
      <c r="AC1808" s="257">
        <f>altaz((J2000_Bas+(6*0.04167)),$O1808,$M1808,DecLat,DecLong,1)</f>
        <v>-2.3052590529184602</v>
      </c>
      <c r="AD1808" s="258">
        <f>1+ transit((J2000_Bas-1),$O1808,$M1808,DecLat,DecLong)/360 + (GMTOffset/24) + (IF(DST="Y", 1, 0)/24)</f>
        <v>1.3628304791922081</v>
      </c>
      <c r="AE1808" s="259">
        <f>DATE(2001,9,21)+(M1808/360)*365 - (360*((DecLong/360)- (GMTOffset/24) ))</f>
        <v>37295.024652777778</v>
      </c>
      <c r="AF1808" s="260">
        <f>IF(DecLat&gt;0,IF((90 - (DecLat-O1808))&gt;90, (90 - (O1808-DecLat)), (90 - (DecLat-O1808))),IF((90 + (DecLat-O1808))&gt;90, (90 + (O1808-DecLat)), (90 + (DecLat-O1808))))</f>
        <v>87.579444444444448</v>
      </c>
      <c r="AG1808" s="257">
        <f>angularseperation(MoonRA,MoonDec,$M1808,$O1808)</f>
        <v>125.2617039619898</v>
      </c>
      <c r="AH1808" s="261">
        <f ca="1">MIN(100,IF($O$5&gt;80,0+30*($AG1808/100),IF($O$5&gt;70,0+50*($AG1808/100),IF($O$5&gt;60,5+50*($AG1808/100),IF($O$5&gt;50,10+60*($AG1808/100),IF($O$5&gt;40,15+70*($AG1808/100),IF($O$5&gt;30,20+70*($AG1808/100),IF($O$5&gt;20,40+55*($AG1808/100),(80+(20-$O$5)+30*($AG1808/100))))))))))</f>
        <v>100</v>
      </c>
      <c r="AI1808" s="262">
        <v>2683</v>
      </c>
      <c r="AJ1808" s="262"/>
      <c r="AK1808" s="262">
        <v>121</v>
      </c>
      <c r="AL1808" s="263"/>
      <c r="AM1808" s="264"/>
      <c r="AN1808" s="263"/>
      <c r="AO1808" s="263"/>
      <c r="AP1808" s="265"/>
      <c r="AQ1808" s="266">
        <v>4641</v>
      </c>
      <c r="AR1808" s="267">
        <v>24930</v>
      </c>
      <c r="AS1808" s="263"/>
      <c r="AT1808" s="263"/>
      <c r="AU1808" s="263"/>
      <c r="AV1808" s="264"/>
      <c r="AW1808" s="263"/>
      <c r="AX1808" s="263"/>
      <c r="AY1808" s="263"/>
      <c r="AZ1808" s="263"/>
      <c r="BA1808" s="263"/>
      <c r="BB1808" s="263"/>
      <c r="BC1808" s="263"/>
      <c r="BD1808" s="264"/>
      <c r="BE1808" s="263">
        <v>47</v>
      </c>
      <c r="BF1808" s="263"/>
      <c r="BG1808" s="263"/>
      <c r="BH1808" s="263"/>
      <c r="BI1808" s="263"/>
      <c r="BJ1808" s="404">
        <f>altaz(J2000_Bas,$O1808,$M1808,DecLat,DecLong,2)</f>
        <v>335.96134299924472</v>
      </c>
      <c r="BK1808" s="378" t="s">
        <v>1778</v>
      </c>
      <c r="BL1808" s="379">
        <f>IF((2*G1808)/60&lt;0.2,0.2,(2*G1808)/60)</f>
        <v>0.3</v>
      </c>
      <c r="BM1808" s="380">
        <f>MOD((50000+AD1808-$B$3+(0/24)),1)</f>
        <v>0.5781974088968127</v>
      </c>
      <c r="BN1808" s="381"/>
      <c r="BO1808" s="382">
        <v>1801</v>
      </c>
    </row>
    <row r="1809" spans="1:67" s="24" customFormat="1" ht="15" customHeight="1" x14ac:dyDescent="0.25">
      <c r="A1809" s="288" t="s">
        <v>7581</v>
      </c>
      <c r="B1809" s="241" t="str">
        <f>HYPERLINK(CONCATENATE($AT$3,BK1809,$AU$3),$AV$3)</f>
        <v>S</v>
      </c>
      <c r="C1809" s="242" t="str">
        <f>HYPERLINK(CONCATENATE($AT$4,BK1809,$AU$4,BL1809),$AV$4)</f>
        <v>A</v>
      </c>
      <c r="D1809" s="243" t="s">
        <v>5638</v>
      </c>
      <c r="E1809" s="244" t="s">
        <v>5625</v>
      </c>
      <c r="F1809" s="269">
        <v>7</v>
      </c>
      <c r="G1809" s="282">
        <v>16</v>
      </c>
      <c r="H1809" s="283">
        <v>140</v>
      </c>
      <c r="I1809" s="284">
        <v>700</v>
      </c>
      <c r="J1809" s="246">
        <v>2</v>
      </c>
      <c r="K1809" s="247" t="s">
        <v>8558</v>
      </c>
      <c r="L1809" s="248">
        <v>85454</v>
      </c>
      <c r="M1809" s="249">
        <f>15*(LEFT(TEXT($L1809,"000000"),2)+(MID(TEXT($L1809,"000000"),3,2)/60)+(RIGHT(TEXT($L1809,"000000"),2)/3600))</f>
        <v>133.72500000000002</v>
      </c>
      <c r="N1809" s="250">
        <v>490937</v>
      </c>
      <c r="O1809" s="251">
        <f>IF($N1809&gt;0,(LEFT(TEXT($N1809,"000000"),2)+(MID(TEXT($N1809,"000000"),3,2)/60)+(RIGHT(TEXT($N1809,"000000"),2)/3600)),-(MID(TEXT($N1809,"000000"),2,2)+(MID(TEXT($N1809,"000000"),4,2)/60)+(RIGHT(TEXT($N1809,"000000"),2)/3600)))</f>
        <v>49.160277777777779</v>
      </c>
      <c r="P1809" s="252" t="s">
        <v>37</v>
      </c>
      <c r="Q1809" s="253"/>
      <c r="R1809" s="247" t="s">
        <v>3293</v>
      </c>
      <c r="S1809" s="272" t="s">
        <v>3293</v>
      </c>
      <c r="T1809" s="273">
        <v>12.9</v>
      </c>
      <c r="U1809" s="289">
        <v>21.29</v>
      </c>
      <c r="V1809" s="280"/>
      <c r="W1809" s="244"/>
      <c r="X1809" s="244"/>
      <c r="Y1809" s="362"/>
      <c r="Z1809" s="257">
        <f>altaz(J2000_Bas,$O1809,$M1809,DecLat,DecLong,1)</f>
        <v>-6.1164373578987474</v>
      </c>
      <c r="AA1809" s="257">
        <f>altaz((J2000_Bas+(2*0.04167)),$O1809,$M1809,DecLat,DecLong,1)</f>
        <v>-9.8120251839145212</v>
      </c>
      <c r="AB1809" s="257">
        <f>altaz((J2000_Bas+(4*0.04167)),$O1809,$M1809,DecLat,DecLong,1)</f>
        <v>-4.7832821628054374</v>
      </c>
      <c r="AC1809" s="257">
        <f>altaz((J2000_Bas+(6*0.04167)),$O1809,$M1809,DecLat,DecLong,1)</f>
        <v>7.5326050510345741</v>
      </c>
      <c r="AD1809" s="258">
        <f>1+ transit((J2000_Bas-1),$O1809,$M1809,DecLat,DecLong)/360 + (GMTOffset/24) + (IF(DST="Y", 1, 0)/24)</f>
        <v>1.3643582568172081</v>
      </c>
      <c r="AE1809" s="259">
        <f>DATE(2001,9,21)+(M1809/360)*365 - (360*((DecLong/360)- (GMTOffset/24) ))</f>
        <v>37295.582291666666</v>
      </c>
      <c r="AF1809" s="260">
        <f>IF(DecLat&gt;0,IF((90 - (DecLat-O1809))&gt;90, (90 - (O1809-DecLat)), (90 - (DecLat-O1809))),IF((90 + (DecLat-O1809))&gt;90, (90 + (O1809-DecLat)), (90 + (DecLat-O1809))))</f>
        <v>71.839722222222221</v>
      </c>
      <c r="AG1809" s="257">
        <f>angularseperation(MoonRA,MoonDec,$M1809,$O1809)</f>
        <v>126.53150667775149</v>
      </c>
      <c r="AH1809" s="261">
        <f ca="1">MIN(100,IF($O$5&gt;80,0+30*($AG1809/100),IF($O$5&gt;70,0+50*($AG1809/100),IF($O$5&gt;60,5+50*($AG1809/100),IF($O$5&gt;50,10+60*($AG1809/100),IF($O$5&gt;40,15+70*($AG1809/100),IF($O$5&gt;30,20+70*($AG1809/100),IF($O$5&gt;20,40+55*($AG1809/100),(80+(20-$O$5)+30*($AG1809/100))))))))))</f>
        <v>100</v>
      </c>
      <c r="AI1809" s="262">
        <v>2684</v>
      </c>
      <c r="AJ1809" s="262"/>
      <c r="AK1809" s="262"/>
      <c r="AL1809" s="263"/>
      <c r="AM1809" s="264"/>
      <c r="AN1809" s="263"/>
      <c r="AO1809" s="263"/>
      <c r="AP1809" s="265"/>
      <c r="AQ1809" s="266">
        <v>4662</v>
      </c>
      <c r="AR1809" s="267">
        <v>25024</v>
      </c>
      <c r="AS1809" s="263"/>
      <c r="AT1809" s="263"/>
      <c r="AU1809" s="263"/>
      <c r="AV1809" s="264"/>
      <c r="AW1809" s="263"/>
      <c r="AX1809" s="263"/>
      <c r="AY1809" s="263"/>
      <c r="AZ1809" s="263"/>
      <c r="BA1809" s="263"/>
      <c r="BB1809" s="263"/>
      <c r="BC1809" s="263"/>
      <c r="BD1809" s="264"/>
      <c r="BE1809" s="263"/>
      <c r="BF1809" s="263"/>
      <c r="BG1809" s="263"/>
      <c r="BH1809" s="263"/>
      <c r="BI1809" s="263"/>
      <c r="BJ1809" s="404">
        <f>altaz(J2000_Bas,$O1809,$M1809,DecLat,DecLong,2)</f>
        <v>342.18473541005807</v>
      </c>
      <c r="BK1809" s="378" t="s">
        <v>1779</v>
      </c>
      <c r="BL1809" s="379">
        <f>IF((2*G1809)/60&lt;0.2,0.2,(2*G1809)/60)</f>
        <v>0.53333333333333333</v>
      </c>
      <c r="BM1809" s="380">
        <f>MOD((50000+AD1809-$B$3+(0/24)),1)</f>
        <v>0.57972518652240979</v>
      </c>
      <c r="BN1809" s="381"/>
      <c r="BO1809" s="382">
        <v>1802</v>
      </c>
    </row>
    <row r="1810" spans="1:67" s="24" customFormat="1" ht="15" customHeight="1" x14ac:dyDescent="0.25">
      <c r="A1810" s="288" t="s">
        <v>1780</v>
      </c>
      <c r="B1810" s="241" t="str">
        <f>HYPERLINK(CONCATENATE($AT$3,BK1810,$AU$3),$AV$3)</f>
        <v>S</v>
      </c>
      <c r="C1810" s="242" t="str">
        <f>HYPERLINK(CONCATENATE($AT$4,BK1810,$AU$4,BL1810),$AV$4)</f>
        <v>A</v>
      </c>
      <c r="D1810" s="243" t="s">
        <v>5638</v>
      </c>
      <c r="E1810" s="244" t="s">
        <v>5192</v>
      </c>
      <c r="F1810" s="269" t="s">
        <v>8914</v>
      </c>
      <c r="G1810" s="273">
        <v>3.5</v>
      </c>
      <c r="H1810" s="283">
        <v>220</v>
      </c>
      <c r="I1810" s="246">
        <v>230</v>
      </c>
      <c r="J1810" s="246">
        <v>3</v>
      </c>
      <c r="K1810" s="247" t="s">
        <v>7278</v>
      </c>
      <c r="L1810" s="248">
        <v>85721</v>
      </c>
      <c r="M1810" s="249">
        <f>15*(LEFT(TEXT($L1810,"000000"),2)+(MID(TEXT($L1810,"000000"),3,2)/60)+(RIGHT(TEXT($L1810,"000000"),2)/3600))</f>
        <v>134.33749999999998</v>
      </c>
      <c r="N1810" s="250">
        <v>25515</v>
      </c>
      <c r="O1810" s="251">
        <f>IF($N1810&gt;0,(LEFT(TEXT($N1810,"000000"),2)+(MID(TEXT($N1810,"000000"),3,2)/60)+(RIGHT(TEXT($N1810,"000000"),2)/3600)),-(MID(TEXT($N1810,"000000"),2,2)+(MID(TEXT($N1810,"000000"),4,2)/60)+(RIGHT(TEXT($N1810,"000000"),2)/3600)))</f>
        <v>2.9208333333333334</v>
      </c>
      <c r="P1810" s="252" t="s">
        <v>103</v>
      </c>
      <c r="Q1810" s="253"/>
      <c r="R1810" s="277" t="s">
        <v>3293</v>
      </c>
      <c r="S1810" s="272" t="s">
        <v>7277</v>
      </c>
      <c r="T1810" s="273">
        <v>11.8</v>
      </c>
      <c r="U1810" s="289">
        <v>22.39</v>
      </c>
      <c r="V1810" s="280">
        <v>70</v>
      </c>
      <c r="W1810" s="244"/>
      <c r="X1810" s="244"/>
      <c r="Y1810" s="362"/>
      <c r="Z1810" s="257">
        <f>altaz(J2000_Bas,$O1810,$M1810,DecLat,DecLong,1)</f>
        <v>-46.655882240262777</v>
      </c>
      <c r="AA1810" s="257">
        <f>altaz((J2000_Bas+(2*0.04167)),$O1810,$M1810,DecLat,DecLong,1)</f>
        <v>-56.038209872607453</v>
      </c>
      <c r="AB1810" s="257">
        <f>altaz((J2000_Bas+(4*0.04167)),$O1810,$M1810,DecLat,DecLong,1)</f>
        <v>-44.51050267786308</v>
      </c>
      <c r="AC1810" s="257">
        <f>altaz((J2000_Bas+(6*0.04167)),$O1810,$M1810,DecLat,DecLong,1)</f>
        <v>-22.130653725242993</v>
      </c>
      <c r="AD1810" s="258">
        <f>1+ transit((J2000_Bas-1),$O1810,$M1810,DecLat,DecLong)/360 + (GMTOffset/24) + (IF(DST="Y", 1, 0)/24)</f>
        <v>1.3660596455359579</v>
      </c>
      <c r="AE1810" s="259">
        <f>DATE(2001,9,21)+(M1810/360)*365 - (360*((DecLong/360)- (GMTOffset/24) ))</f>
        <v>37296.203298611108</v>
      </c>
      <c r="AF1810" s="260">
        <f>IF(DecLat&gt;0,IF((90 - (DecLat-O1810))&gt;90, (90 - (O1810-DecLat)), (90 - (DecLat-O1810))),IF((90 + (DecLat-O1810))&gt;90, (90 + (O1810-DecLat)), (90 + (DecLat-O1810))))</f>
        <v>61.920833333333334</v>
      </c>
      <c r="AG1810" s="257">
        <f>angularseperation(MoonRA,MoonDec,$M1810,$O1810)</f>
        <v>113.43072711385464</v>
      </c>
      <c r="AH1810" s="261">
        <f ca="1">MIN(100,IF($O$5&gt;80,0+30*($AG1810/100),IF($O$5&gt;70,0+50*($AG1810/100),IF($O$5&gt;60,5+50*($AG1810/100),IF($O$5&gt;50,10+60*($AG1810/100),IF($O$5&gt;40,15+70*($AG1810/100),IF($O$5&gt;30,20+70*($AG1810/100),IF($O$5&gt;20,40+55*($AG1810/100),(80+(20-$O$5)+30*($AG1810/100))))))))))</f>
        <v>100</v>
      </c>
      <c r="AI1810" s="262">
        <v>2713</v>
      </c>
      <c r="AJ1810" s="263"/>
      <c r="AK1810" s="263"/>
      <c r="AL1810" s="263"/>
      <c r="AM1810" s="264"/>
      <c r="AN1810" s="263"/>
      <c r="AO1810" s="263"/>
      <c r="AP1810" s="265"/>
      <c r="AQ1810" s="265">
        <v>4691</v>
      </c>
      <c r="AR1810" s="285">
        <v>25161</v>
      </c>
      <c r="AS1810" s="263"/>
      <c r="AT1810" s="263"/>
      <c r="AU1810" s="263"/>
      <c r="AV1810" s="264"/>
      <c r="AW1810" s="263"/>
      <c r="AX1810" s="263"/>
      <c r="AY1810" s="263"/>
      <c r="AZ1810" s="263"/>
      <c r="BA1810" s="263"/>
      <c r="BB1810" s="263"/>
      <c r="BC1810" s="263"/>
      <c r="BD1810" s="264"/>
      <c r="BE1810" s="263"/>
      <c r="BF1810" s="263"/>
      <c r="BG1810" s="263"/>
      <c r="BH1810" s="263"/>
      <c r="BI1810" s="263"/>
      <c r="BJ1810" s="404">
        <f>altaz(J2000_Bas,$O1810,$M1810,DecLat,DecLong,2)</f>
        <v>316.3230211080122</v>
      </c>
      <c r="BK1810" s="378" t="s">
        <v>1780</v>
      </c>
      <c r="BL1810" s="379">
        <f>IF((2*G1810)/60&lt;0.2,0.2,(2*G1810)/60)</f>
        <v>0.2</v>
      </c>
      <c r="BM1810" s="380">
        <f>MOD((50000+AD1810-$B$3+(0/24)),1)</f>
        <v>0.58142657524149399</v>
      </c>
      <c r="BN1810" s="381"/>
      <c r="BO1810" s="382">
        <v>1803</v>
      </c>
    </row>
    <row r="1811" spans="1:67" s="24" customFormat="1" ht="15" customHeight="1" x14ac:dyDescent="0.25">
      <c r="A1811" s="288" t="s">
        <v>1781</v>
      </c>
      <c r="B1811" s="241" t="str">
        <f>HYPERLINK(CONCATENATE($AT$3,BK1811,$AU$3),$AV$3)</f>
        <v>S</v>
      </c>
      <c r="C1811" s="242" t="str">
        <f>HYPERLINK(CONCATENATE($AT$4,BK1811,$AU$4,BL1811),$AV$4)</f>
        <v>A</v>
      </c>
      <c r="D1811" s="243" t="s">
        <v>5638</v>
      </c>
      <c r="E1811" s="244" t="s">
        <v>5192</v>
      </c>
      <c r="F1811" s="269" t="s">
        <v>8889</v>
      </c>
      <c r="G1811" s="273">
        <v>4</v>
      </c>
      <c r="H1811" s="283">
        <v>60</v>
      </c>
      <c r="I1811" s="246">
        <v>70</v>
      </c>
      <c r="J1811" s="246">
        <v>3</v>
      </c>
      <c r="K1811" s="247" t="s">
        <v>8559</v>
      </c>
      <c r="L1811" s="248">
        <v>90806</v>
      </c>
      <c r="M1811" s="249">
        <f>15*(LEFT(TEXT($L1811,"000000"),2)+(MID(TEXT($L1811,"000000"),3,2)/60)+(RIGHT(TEXT($L1811,"000000"),2)/3600))</f>
        <v>137.02500000000001</v>
      </c>
      <c r="N1811" s="250">
        <v>780508</v>
      </c>
      <c r="O1811" s="251">
        <f>IF($N1811&gt;0,(LEFT(TEXT($N1811,"000000"),2)+(MID(TEXT($N1811,"000000"),3,2)/60)+(RIGHT(TEXT($N1811,"000000"),2)/3600)),-(MID(TEXT($N1811,"000000"),2,2)+(MID(TEXT($N1811,"000000"),4,2)/60)+(RIGHT(TEXT($N1811,"000000"),2)/3600)))</f>
        <v>78.085555555555544</v>
      </c>
      <c r="P1811" s="252" t="s">
        <v>226</v>
      </c>
      <c r="Q1811" s="253" t="s">
        <v>6893</v>
      </c>
      <c r="R1811" s="277" t="s">
        <v>3293</v>
      </c>
      <c r="S1811" s="272" t="s">
        <v>3293</v>
      </c>
      <c r="T1811" s="273">
        <v>11.5</v>
      </c>
      <c r="U1811" s="289">
        <v>22.29</v>
      </c>
      <c r="V1811" s="280">
        <v>70</v>
      </c>
      <c r="W1811" s="244"/>
      <c r="X1811" s="244"/>
      <c r="Y1811" s="362"/>
      <c r="Z1811" s="257">
        <f>altaz(J2000_Bas,$O1811,$M1811,DecLat,DecLong,1)</f>
        <v>20.627529019251124</v>
      </c>
      <c r="AA1811" s="257">
        <f>altaz((J2000_Bas+(2*0.04167)),$O1811,$M1811,DecLat,DecLong,1)</f>
        <v>19.086992775125534</v>
      </c>
      <c r="AB1811" s="257">
        <f>altaz((J2000_Bas+(4*0.04167)),$O1811,$M1811,DecLat,DecLong,1)</f>
        <v>20.449857819872268</v>
      </c>
      <c r="AC1811" s="257">
        <f>altaz((J2000_Bas+(6*0.04167)),$O1811,$M1811,DecLat,DecLong,1)</f>
        <v>24.419410801998939</v>
      </c>
      <c r="AD1811" s="258">
        <f>1+ transit((J2000_Bas-1),$O1811,$M1811,DecLat,DecLong)/360 + (GMTOffset/24) + (IF(DST="Y", 1, 0)/24)</f>
        <v>1.3735249225672079</v>
      </c>
      <c r="AE1811" s="259">
        <f>DATE(2001,9,21)+(M1811/360)*365 - (360*((DecLong/360)- (GMTOffset/24) ))</f>
        <v>37298.928124999999</v>
      </c>
      <c r="AF1811" s="260">
        <f>IF(DecLat&gt;0,IF((90 - (DecLat-O1811))&gt;90, (90 - (O1811-DecLat)), (90 - (DecLat-O1811))),IF((90 + (DecLat-O1811))&gt;90, (90 + (O1811-DecLat)), (90 + (DecLat-O1811))))</f>
        <v>42.914444444444456</v>
      </c>
      <c r="AG1811" s="257">
        <f>angularseperation(MoonRA,MoonDec,$M1811,$O1811)</f>
        <v>120.99684596968324</v>
      </c>
      <c r="AH1811" s="261">
        <f ca="1">MIN(100,IF($O$5&gt;80,0+30*($AG1811/100),IF($O$5&gt;70,0+50*($AG1811/100),IF($O$5&gt;60,5+50*($AG1811/100),IF($O$5&gt;50,10+60*($AG1811/100),IF($O$5&gt;40,15+70*($AG1811/100),IF($O$5&gt;30,20+70*($AG1811/100),IF($O$5&gt;20,40+55*($AG1811/100),(80+(20-$O$5)+30*($AG1811/100))))))))))</f>
        <v>100</v>
      </c>
      <c r="AI1811" s="262">
        <v>2715</v>
      </c>
      <c r="AJ1811" s="263"/>
      <c r="AK1811" s="263"/>
      <c r="AL1811" s="263"/>
      <c r="AM1811" s="264"/>
      <c r="AN1811" s="263"/>
      <c r="AO1811" s="263"/>
      <c r="AP1811" s="265"/>
      <c r="AQ1811" s="265">
        <v>4759</v>
      </c>
      <c r="AR1811" s="285">
        <v>25676</v>
      </c>
      <c r="AS1811" s="263"/>
      <c r="AT1811" s="263"/>
      <c r="AU1811" s="263"/>
      <c r="AV1811" s="264"/>
      <c r="AW1811" s="263"/>
      <c r="AX1811" s="263"/>
      <c r="AY1811" s="263"/>
      <c r="AZ1811" s="263"/>
      <c r="BA1811" s="263"/>
      <c r="BB1811" s="263"/>
      <c r="BC1811" s="263"/>
      <c r="BD1811" s="264"/>
      <c r="BE1811" s="263"/>
      <c r="BF1811" s="263"/>
      <c r="BG1811" s="263"/>
      <c r="BH1811" s="263"/>
      <c r="BI1811" s="263"/>
      <c r="BJ1811" s="404">
        <f>altaz(J2000_Bas,$O1811,$M1811,DecLat,DecLong,2)</f>
        <v>353.47206529519354</v>
      </c>
      <c r="BK1811" s="378" t="s">
        <v>1781</v>
      </c>
      <c r="BL1811" s="379">
        <f>IF((2*G1811)/60&lt;0.2,0.2,(2*G1811)/60)</f>
        <v>0.2</v>
      </c>
      <c r="BM1811" s="380">
        <f>MOD((50000+AD1811-$B$3+(0/24)),1)</f>
        <v>0.58889185226871632</v>
      </c>
      <c r="BN1811" s="381" t="s">
        <v>9220</v>
      </c>
      <c r="BO1811" s="382">
        <v>1804</v>
      </c>
    </row>
    <row r="1812" spans="1:67" s="24" customFormat="1" ht="15" customHeight="1" x14ac:dyDescent="0.25">
      <c r="A1812" s="288" t="s">
        <v>1782</v>
      </c>
      <c r="B1812" s="241" t="str">
        <f>HYPERLINK(CONCATENATE($AT$3,BK1812,$AU$3),$AV$3)</f>
        <v>S</v>
      </c>
      <c r="C1812" s="242" t="str">
        <f>HYPERLINK(CONCATENATE($AT$4,BK1812,$AU$4,BL1812),$AV$4)</f>
        <v>A</v>
      </c>
      <c r="D1812" s="243" t="s">
        <v>5638</v>
      </c>
      <c r="E1812" s="244" t="s">
        <v>5192</v>
      </c>
      <c r="F1812" s="269" t="s">
        <v>8914</v>
      </c>
      <c r="G1812" s="273">
        <v>2</v>
      </c>
      <c r="H1812" s="283">
        <v>190</v>
      </c>
      <c r="I1812" s="246">
        <v>120</v>
      </c>
      <c r="J1812" s="246">
        <v>2</v>
      </c>
      <c r="K1812" s="247" t="s">
        <v>7279</v>
      </c>
      <c r="L1812" s="248">
        <v>85850</v>
      </c>
      <c r="M1812" s="355">
        <f>15*(LEFT(TEXT($L1812,"000000"),2)+(MID(TEXT($L1812,"000000"),3,2)/60)+(RIGHT(TEXT($L1812,"000000"),2)/3600))</f>
        <v>134.70833333333334</v>
      </c>
      <c r="N1812" s="250">
        <v>61734</v>
      </c>
      <c r="O1812" s="251">
        <f>IF($N1812&gt;0,(LEFT(TEXT($N1812,"000000"),2)+(MID(TEXT($N1812,"000000"),3,2)/60)+(RIGHT(TEXT($N1812,"000000"),2)/3600)),-(MID(TEXT($N1812,"000000"),2,2)+(MID(TEXT($N1812,"000000"),4,2)/60)+(RIGHT(TEXT($N1812,"000000"),2)/3600)))</f>
        <v>6.2927777777777774</v>
      </c>
      <c r="P1812" s="252" t="s">
        <v>103</v>
      </c>
      <c r="Q1812" s="253"/>
      <c r="R1812" s="247" t="s">
        <v>3293</v>
      </c>
      <c r="S1812" s="272" t="s">
        <v>3293</v>
      </c>
      <c r="T1812" s="273">
        <v>14.2</v>
      </c>
      <c r="U1812" s="289">
        <v>22.19</v>
      </c>
      <c r="V1812" s="280">
        <v>15</v>
      </c>
      <c r="W1812" s="244"/>
      <c r="X1812" s="244"/>
      <c r="Y1812" s="362"/>
      <c r="Z1812" s="257">
        <f>altaz(J2000_Bas,$O1812,$M1812,DecLat,DecLong,1)</f>
        <v>-43.69642576849288</v>
      </c>
      <c r="AA1812" s="257">
        <f>altaz((J2000_Bas+(2*0.04167)),$O1812,$M1812,DecLat,DecLong,1)</f>
        <v>-52.683899187599479</v>
      </c>
      <c r="AB1812" s="257">
        <f>altaz((J2000_Bas+(4*0.04167)),$O1812,$M1812,DecLat,DecLong,1)</f>
        <v>-42.08893014686614</v>
      </c>
      <c r="AC1812" s="257">
        <f>altaz((J2000_Bas+(6*0.04167)),$O1812,$M1812,DecLat,DecLong,1)</f>
        <v>-20.454368375173402</v>
      </c>
      <c r="AD1812" s="258">
        <f>1+ transit((J2000_Bas-1),$O1812,$M1812,DecLat,DecLong)/360 + (GMTOffset/24) + (IF(DST="Y", 1, 0)/24)</f>
        <v>1.3670897380255413</v>
      </c>
      <c r="AE1812" s="259">
        <f>DATE(2001,9,21)+(M1812/360)*365 - (360*((DecLong/360)- (GMTOffset/24) ))</f>
        <v>37296.579282407409</v>
      </c>
      <c r="AF1812" s="260">
        <f>IF(DecLat&gt;0,IF((90 - (DecLat-O1812))&gt;90, (90 - (O1812-DecLat)), (90 - (DecLat-O1812))),IF((90 + (DecLat-O1812))&gt;90, (90 + (O1812-DecLat)), (90 + (DecLat-O1812))))</f>
        <v>65.292777777777786</v>
      </c>
      <c r="AG1812" s="257">
        <f>angularseperation(MoonRA,MoonDec,$M1812,$O1812)</f>
        <v>114.66863528824292</v>
      </c>
      <c r="AH1812" s="261">
        <f ca="1">MIN(100,IF($O$5&gt;80,0+30*($AG1812/100),IF($O$5&gt;70,0+50*($AG1812/100),IF($O$5&gt;60,5+50*($AG1812/100),IF($O$5&gt;50,10+60*($AG1812/100),IF($O$5&gt;40,15+70*($AG1812/100),IF($O$5&gt;30,20+70*($AG1812/100),IF($O$5&gt;20,40+55*($AG1812/100),(80+(20-$O$5)+30*($AG1812/100))))))))))</f>
        <v>100</v>
      </c>
      <c r="AI1812" s="262">
        <v>2718</v>
      </c>
      <c r="AJ1812" s="262"/>
      <c r="AK1812" s="262"/>
      <c r="AL1812" s="263"/>
      <c r="AM1812" s="264"/>
      <c r="AN1812" s="263"/>
      <c r="AO1812" s="263"/>
      <c r="AP1812" s="265"/>
      <c r="AQ1812" s="266">
        <v>4707</v>
      </c>
      <c r="AR1812" s="267">
        <v>25225</v>
      </c>
      <c r="AS1812" s="263"/>
      <c r="AT1812" s="263"/>
      <c r="AU1812" s="263"/>
      <c r="AV1812" s="264"/>
      <c r="AW1812" s="263"/>
      <c r="AX1812" s="263"/>
      <c r="AY1812" s="263"/>
      <c r="AZ1812" s="263"/>
      <c r="BA1812" s="263"/>
      <c r="BB1812" s="263"/>
      <c r="BC1812" s="263"/>
      <c r="BD1812" s="264"/>
      <c r="BE1812" s="263"/>
      <c r="BF1812" s="263"/>
      <c r="BG1812" s="263"/>
      <c r="BH1812" s="263"/>
      <c r="BI1812" s="263"/>
      <c r="BJ1812" s="404">
        <f>altaz(J2000_Bas,$O1812,$M1812,DecLat,DecLong,2)</f>
        <v>318.67584932316993</v>
      </c>
      <c r="BK1812" s="378" t="s">
        <v>1782</v>
      </c>
      <c r="BL1812" s="379">
        <f>IF((2*G1812)/60&lt;0.2,0.2,(2*G1812)/60)</f>
        <v>0.2</v>
      </c>
      <c r="BM1812" s="380">
        <f>MOD((50000+AD1812-$B$3+(0/24)),1)</f>
        <v>0.58245666773291305</v>
      </c>
      <c r="BN1812" s="381"/>
      <c r="BO1812" s="382">
        <v>1805</v>
      </c>
    </row>
    <row r="1813" spans="1:67" s="24" customFormat="1" ht="15" customHeight="1" x14ac:dyDescent="0.25">
      <c r="A1813" s="288" t="s">
        <v>1783</v>
      </c>
      <c r="B1813" s="241" t="str">
        <f>HYPERLINK(CONCATENATE($AT$3,BK1813,$AU$3),$AV$3)</f>
        <v>S</v>
      </c>
      <c r="C1813" s="242" t="str">
        <f>HYPERLINK(CONCATENATE($AT$4,BK1813,$AU$4,BL1813),$AV$4)</f>
        <v>A</v>
      </c>
      <c r="D1813" s="243" t="s">
        <v>5638</v>
      </c>
      <c r="E1813" s="244" t="s">
        <v>5192</v>
      </c>
      <c r="F1813" s="269" t="s">
        <v>8895</v>
      </c>
      <c r="G1813" s="273">
        <v>1.7</v>
      </c>
      <c r="H1813" s="283">
        <v>150</v>
      </c>
      <c r="I1813" s="246">
        <v>80</v>
      </c>
      <c r="J1813" s="246">
        <v>2</v>
      </c>
      <c r="K1813" s="247" t="s">
        <v>7280</v>
      </c>
      <c r="L1813" s="248">
        <v>90102</v>
      </c>
      <c r="M1813" s="249">
        <f>15*(LEFT(TEXT($L1813,"000000"),2)+(MID(TEXT($L1813,"000000"),3,2)/60)+(RIGHT(TEXT($L1813,"000000"),2)/3600))</f>
        <v>135.25833333333335</v>
      </c>
      <c r="N1813" s="250">
        <v>354544</v>
      </c>
      <c r="O1813" s="251">
        <f>IF($N1813&gt;0,(LEFT(TEXT($N1813,"000000"),2)+(MID(TEXT($N1813,"000000"),3,2)/60)+(RIGHT(TEXT($N1813,"000000"),2)/3600)),-(MID(TEXT($N1813,"000000"),2,2)+(MID(TEXT($N1813,"000000"),4,2)/60)+(RIGHT(TEXT($N1813,"000000"),2)/3600)))</f>
        <v>35.762222222222221</v>
      </c>
      <c r="P1813" s="252" t="s">
        <v>82</v>
      </c>
      <c r="Q1813" s="253"/>
      <c r="R1813" s="247" t="s">
        <v>3293</v>
      </c>
      <c r="S1813" s="272" t="s">
        <v>3293</v>
      </c>
      <c r="T1813" s="273">
        <v>13.6</v>
      </c>
      <c r="U1813" s="289">
        <v>23.39</v>
      </c>
      <c r="V1813" s="280">
        <v>50</v>
      </c>
      <c r="W1813" s="244"/>
      <c r="X1813" s="244"/>
      <c r="Y1813" s="362"/>
      <c r="Z1813" s="257">
        <f>altaz(J2000_Bas,$O1813,$M1813,DecLat,DecLong,1)</f>
        <v>-17.808037969821054</v>
      </c>
      <c r="AA1813" s="257">
        <f>altaz((J2000_Bas+(2*0.04167)),$O1813,$M1813,DecLat,DecLong,1)</f>
        <v>-23.233240017410928</v>
      </c>
      <c r="AB1813" s="257">
        <f>altaz((J2000_Bas+(4*0.04167)),$O1813,$M1813,DecLat,DecLong,1)</f>
        <v>-17.20202230833025</v>
      </c>
      <c r="AC1813" s="257">
        <f>altaz((J2000_Bas+(6*0.04167)),$O1813,$M1813,DecLat,DecLong,1)</f>
        <v>-2.0762993573187671</v>
      </c>
      <c r="AD1813" s="258">
        <f>1+ transit((J2000_Bas-1),$O1813,$M1813,DecLat,DecLong)/360 + (GMTOffset/24) + (IF(DST="Y", 1, 0)/24)</f>
        <v>1.3686175156505416</v>
      </c>
      <c r="AE1813" s="259">
        <f>DATE(2001,9,21)+(M1813/360)*365 - (360*((DecLong/360)- (GMTOffset/24) ))</f>
        <v>37297.136921296296</v>
      </c>
      <c r="AF1813" s="260">
        <f>IF(DecLat&gt;0,IF((90 - (DecLat-O1813))&gt;90, (90 - (O1813-DecLat)), (90 - (DecLat-O1813))),IF((90 + (DecLat-O1813))&gt;90, (90 + (O1813-DecLat)), (90 + (DecLat-O1813))))</f>
        <v>85.237777777777779</v>
      </c>
      <c r="AG1813" s="257">
        <f>angularseperation(MoonRA,MoonDec,$M1813,$O1813)</f>
        <v>124.03852853201933</v>
      </c>
      <c r="AH1813" s="261">
        <f ca="1">MIN(100,IF($O$5&gt;80,0+30*($AG1813/100),IF($O$5&gt;70,0+50*($AG1813/100),IF($O$5&gt;60,5+50*($AG1813/100),IF($O$5&gt;50,10+60*($AG1813/100),IF($O$5&gt;40,15+70*($AG1813/100),IF($O$5&gt;30,20+70*($AG1813/100),IF($O$5&gt;20,40+55*($AG1813/100),(80+(20-$O$5)+30*($AG1813/100))))))))))</f>
        <v>100</v>
      </c>
      <c r="AI1813" s="262">
        <v>2724</v>
      </c>
      <c r="AJ1813" s="262"/>
      <c r="AK1813" s="262"/>
      <c r="AL1813" s="263"/>
      <c r="AM1813" s="264"/>
      <c r="AN1813" s="263"/>
      <c r="AO1813" s="263"/>
      <c r="AP1813" s="265"/>
      <c r="AQ1813" s="266">
        <v>4726</v>
      </c>
      <c r="AR1813" s="267">
        <v>25331</v>
      </c>
      <c r="AS1813" s="263"/>
      <c r="AT1813" s="263"/>
      <c r="AU1813" s="263"/>
      <c r="AV1813" s="264"/>
      <c r="AW1813" s="263"/>
      <c r="AX1813" s="263"/>
      <c r="AY1813" s="263"/>
      <c r="AZ1813" s="263"/>
      <c r="BA1813" s="263"/>
      <c r="BB1813" s="263"/>
      <c r="BC1813" s="263"/>
      <c r="BD1813" s="264"/>
      <c r="BE1813" s="263"/>
      <c r="BF1813" s="263"/>
      <c r="BG1813" s="263"/>
      <c r="BH1813" s="263"/>
      <c r="BI1813" s="263"/>
      <c r="BJ1813" s="404">
        <f>altaz(J2000_Bas,$O1813,$M1813,DecLat,DecLong,2)</f>
        <v>335.38500331208928</v>
      </c>
      <c r="BK1813" s="378" t="s">
        <v>1783</v>
      </c>
      <c r="BL1813" s="379">
        <f>IF((2*G1813)/60&lt;0.2,0.2,(2*G1813)/60)</f>
        <v>0.2</v>
      </c>
      <c r="BM1813" s="380">
        <f>MOD((50000+AD1813-$B$3+(0/24)),1)</f>
        <v>0.58398444535123417</v>
      </c>
      <c r="BN1813" s="381"/>
      <c r="BO1813" s="382">
        <v>1806</v>
      </c>
    </row>
    <row r="1814" spans="1:67" s="24" customFormat="1" ht="15" customHeight="1" x14ac:dyDescent="0.25">
      <c r="A1814" s="288" t="s">
        <v>1784</v>
      </c>
      <c r="B1814" s="241" t="str">
        <f>HYPERLINK(CONCATENATE($AT$3,BK1814,$AU$3),$AV$3)</f>
        <v>S</v>
      </c>
      <c r="C1814" s="242" t="str">
        <f>HYPERLINK(CONCATENATE($AT$4,BK1814,$AU$4,BL1814),$AV$4)</f>
        <v>A</v>
      </c>
      <c r="D1814" s="243" t="s">
        <v>5187</v>
      </c>
      <c r="E1814" s="244" t="s">
        <v>16</v>
      </c>
      <c r="F1814" s="269"/>
      <c r="G1814" s="276">
        <v>40</v>
      </c>
      <c r="H1814" s="283">
        <v>800</v>
      </c>
      <c r="I1814" s="244">
        <v>10</v>
      </c>
      <c r="J1814" s="246">
        <v>4</v>
      </c>
      <c r="K1814" s="247" t="s">
        <v>8472</v>
      </c>
      <c r="L1814" s="248">
        <v>90016</v>
      </c>
      <c r="M1814" s="249">
        <f>15*(LEFT(TEXT($L1814,"000000"),2)+(MID(TEXT($L1814,"000000"),3,2)/60)+(RIGHT(TEXT($L1814,"000000"),2)/3600))</f>
        <v>135.06666666666666</v>
      </c>
      <c r="N1814" s="250">
        <v>-455654</v>
      </c>
      <c r="O1814" s="251">
        <f>IF($N1814&gt;0,(LEFT(TEXT($N1814,"000000"),2)+(MID(TEXT($N1814,"000000"),3,2)/60)+(RIGHT(TEXT($N1814,"000000"),2)/3600)),-(MID(TEXT($N1814,"000000"),2,2)+(MID(TEXT($N1814,"000000"),4,2)/60)+(RIGHT(TEXT($N1814,"000000"),2)/3600)))</f>
        <v>-45.948333333333331</v>
      </c>
      <c r="P1814" s="252" t="s">
        <v>980</v>
      </c>
      <c r="Q1814" s="253" t="s">
        <v>7281</v>
      </c>
      <c r="R1814" s="247" t="s">
        <v>3293</v>
      </c>
      <c r="S1814" s="272" t="s">
        <v>3293</v>
      </c>
      <c r="T1814" s="273"/>
      <c r="U1814" s="274"/>
      <c r="V1814" s="280"/>
      <c r="W1814" s="244"/>
      <c r="X1814" s="244"/>
      <c r="Y1814" s="362"/>
      <c r="Z1814" s="257">
        <f>altaz(J2000_Bas,$O1814,$M1814,DecLat,DecLong,1)</f>
        <v>-63.013013625109821</v>
      </c>
      <c r="AA1814" s="257">
        <f>altaz((J2000_Bas+(2*0.04167)),$O1814,$M1814,DecLat,DecLong,1)</f>
        <v>-75.030683177459409</v>
      </c>
      <c r="AB1814" s="257">
        <f>altaz((J2000_Bas+(4*0.04167)),$O1814,$M1814,DecLat,DecLong,1)</f>
        <v>-61.698834989149084</v>
      </c>
      <c r="AC1814" s="257">
        <f>altaz((J2000_Bas+(6*0.04167)),$O1814,$M1814,DecLat,DecLong,1)</f>
        <v>-41.100504594952227</v>
      </c>
      <c r="AD1814" s="258">
        <f>1+ transit((J2000_Bas-1),$O1814,$M1814,DecLat,DecLong)/360 + (GMTOffset/24) + (IF(DST="Y", 1, 0)/24)</f>
        <v>1.3680851082963745</v>
      </c>
      <c r="AE1814" s="259">
        <f>DATE(2001,9,21)+(M1814/360)*365 - (360*((DecLong/360)- (GMTOffset/24) ))</f>
        <v>37296.94259259259</v>
      </c>
      <c r="AF1814" s="260">
        <f>IF(DecLat&gt;0,IF((90 - (DecLat-O1814))&gt;90, (90 - (O1814-DecLat)), (90 - (DecLat-O1814))),IF((90 + (DecLat-O1814))&gt;90, (90 + (O1814-DecLat)), (90 + (DecLat-O1814))))</f>
        <v>13.051666666666677</v>
      </c>
      <c r="AG1814" s="257">
        <f>angularseperation(MoonRA,MoonDec,$M1814,$O1814)</f>
        <v>85.773128059367764</v>
      </c>
      <c r="AH1814" s="261">
        <f ca="1">MIN(100,IF($O$5&gt;80,0+30*($AG1814/100),IF($O$5&gt;70,0+50*($AG1814/100),IF($O$5&gt;60,5+50*($AG1814/100),IF($O$5&gt;50,10+60*($AG1814/100),IF($O$5&gt;40,15+70*($AG1814/100),IF($O$5&gt;30,20+70*($AG1814/100),IF($O$5&gt;20,40+55*($AG1814/100),(80+(20-$O$5)+30*($AG1814/100))))))))))</f>
        <v>100</v>
      </c>
      <c r="AI1814" s="262">
        <v>2736</v>
      </c>
      <c r="AJ1814" s="262"/>
      <c r="AK1814" s="262"/>
      <c r="AL1814" s="263"/>
      <c r="AM1814" s="264"/>
      <c r="AN1814" s="263"/>
      <c r="AO1814" s="263"/>
      <c r="AP1814" s="265"/>
      <c r="AQ1814" s="266"/>
      <c r="AR1814" s="267"/>
      <c r="AS1814" s="263"/>
      <c r="AT1814" s="263"/>
      <c r="AU1814" s="263"/>
      <c r="AV1814" s="264"/>
      <c r="AW1814" s="263"/>
      <c r="AX1814" s="263"/>
      <c r="AY1814" s="263"/>
      <c r="AZ1814" s="263"/>
      <c r="BA1814" s="263"/>
      <c r="BB1814" s="263"/>
      <c r="BC1814" s="268" t="s">
        <v>3059</v>
      </c>
      <c r="BD1814" s="264"/>
      <c r="BE1814" s="263"/>
      <c r="BF1814" s="263"/>
      <c r="BG1814" s="263">
        <v>47</v>
      </c>
      <c r="BH1814" s="263"/>
      <c r="BI1814" s="263"/>
      <c r="BJ1814" s="404">
        <f>altaz(J2000_Bas,$O1814,$M1814,DecLat,DecLong,2)</f>
        <v>228.10211167148623</v>
      </c>
      <c r="BK1814" s="378" t="s">
        <v>1784</v>
      </c>
      <c r="BL1814" s="379">
        <f>IF((2*G1814)/60&lt;0.2,0.2,(2*G1814)/60)</f>
        <v>1.3333333333333333</v>
      </c>
      <c r="BM1814" s="380">
        <f>MOD((50000+AD1814-$B$3+(0/24)),1)</f>
        <v>0.5834520380012691</v>
      </c>
      <c r="BN1814" s="381"/>
      <c r="BO1814" s="382">
        <v>1807</v>
      </c>
    </row>
    <row r="1815" spans="1:67" s="24" customFormat="1" ht="15" customHeight="1" x14ac:dyDescent="0.25">
      <c r="A1815" s="288" t="s">
        <v>1785</v>
      </c>
      <c r="B1815" s="241" t="str">
        <f>HYPERLINK(CONCATENATE($AT$3,BK1815,$AU$3),$AV$3)</f>
        <v>S</v>
      </c>
      <c r="C1815" s="242" t="str">
        <f>HYPERLINK(CONCATENATE($AT$4,BK1815,$AU$4,BL1815),$AV$4)</f>
        <v>A</v>
      </c>
      <c r="D1815" s="243" t="s">
        <v>5638</v>
      </c>
      <c r="E1815" s="244" t="s">
        <v>5192</v>
      </c>
      <c r="F1815" s="269" t="s">
        <v>8689</v>
      </c>
      <c r="G1815" s="273">
        <v>3</v>
      </c>
      <c r="H1815" s="283">
        <v>70</v>
      </c>
      <c r="I1815" s="246">
        <v>60</v>
      </c>
      <c r="J1815" s="246">
        <v>2</v>
      </c>
      <c r="K1815" s="247" t="s">
        <v>7282</v>
      </c>
      <c r="L1815" s="248">
        <v>90734</v>
      </c>
      <c r="M1815" s="249">
        <f>15*(LEFT(TEXT($L1815,"000000"),2)+(MID(TEXT($L1815,"000000"),3,2)/60)+(RIGHT(TEXT($L1815,"000000"),2)/3600))</f>
        <v>136.89166666666668</v>
      </c>
      <c r="N1815" s="250">
        <v>602846</v>
      </c>
      <c r="O1815" s="251">
        <f>IF($N1815&gt;0,(LEFT(TEXT($N1815,"000000"),2)+(MID(TEXT($N1815,"000000"),3,2)/60)+(RIGHT(TEXT($N1815,"000000"),2)/3600)),-(MID(TEXT($N1815,"000000"),2,2)+(MID(TEXT($N1815,"000000"),4,2)/60)+(RIGHT(TEXT($N1815,"000000"),2)/3600)))</f>
        <v>60.479444444444447</v>
      </c>
      <c r="P1815" s="252" t="s">
        <v>37</v>
      </c>
      <c r="Q1815" s="253"/>
      <c r="R1815" s="277" t="s">
        <v>3293</v>
      </c>
      <c r="S1815" s="272" t="s">
        <v>3293</v>
      </c>
      <c r="T1815" s="273">
        <v>11.4</v>
      </c>
      <c r="U1815" s="289">
        <v>21.89</v>
      </c>
      <c r="V1815" s="280">
        <v>70</v>
      </c>
      <c r="W1815" s="244"/>
      <c r="X1815" s="244"/>
      <c r="Y1815" s="362"/>
      <c r="Z1815" s="257">
        <f>altaz(J2000_Bas,$O1815,$M1815,DecLat,DecLong,1)</f>
        <v>4.9176649194300239</v>
      </c>
      <c r="AA1815" s="257">
        <f>altaz((J2000_Bas+(2*0.04167)),$O1815,$M1815,DecLat,DecLong,1)</f>
        <v>1.4818306759740982</v>
      </c>
      <c r="AB1815" s="257">
        <f>altaz((J2000_Bas+(4*0.04167)),$O1815,$M1815,DecLat,DecLong,1)</f>
        <v>4.575850758505891</v>
      </c>
      <c r="AC1815" s="257">
        <f>altaz((J2000_Bas+(6*0.04167)),$O1815,$M1815,DecLat,DecLong,1)</f>
        <v>13.471017964936342</v>
      </c>
      <c r="AD1815" s="258">
        <f>1+ transit((J2000_Bas-1),$O1815,$M1815,DecLat,DecLong)/360 + (GMTOffset/24) + (IF(DST="Y", 1, 0)/24)</f>
        <v>1.3731545522338748</v>
      </c>
      <c r="AE1815" s="259">
        <f>DATE(2001,9,21)+(M1815/360)*365 - (360*((DecLong/360)- (GMTOffset/24) ))</f>
        <v>37298.792939814812</v>
      </c>
      <c r="AF1815" s="260">
        <f>IF(DecLat&gt;0,IF((90 - (DecLat-O1815))&gt;90, (90 - (O1815-DecLat)), (90 - (DecLat-O1815))),IF((90 + (DecLat-O1815))&gt;90, (90 + (O1815-DecLat)), (90 + (DecLat-O1815))))</f>
        <v>60.520555555555553</v>
      </c>
      <c r="AG1815" s="257">
        <f>angularseperation(MoonRA,MoonDec,$M1815,$O1815)</f>
        <v>124.26453364497297</v>
      </c>
      <c r="AH1815" s="261">
        <f ca="1">MIN(100,IF($O$5&gt;80,0+30*($AG1815/100),IF($O$5&gt;70,0+50*($AG1815/100),IF($O$5&gt;60,5+50*($AG1815/100),IF($O$5&gt;50,10+60*($AG1815/100),IF($O$5&gt;40,15+70*($AG1815/100),IF($O$5&gt;30,20+70*($AG1815/100),IF($O$5&gt;20,40+55*($AG1815/100),(80+(20-$O$5)+30*($AG1815/100))))))))))</f>
        <v>100</v>
      </c>
      <c r="AI1815" s="262">
        <v>2742</v>
      </c>
      <c r="AJ1815" s="263"/>
      <c r="AK1815" s="263">
        <v>122</v>
      </c>
      <c r="AL1815" s="263"/>
      <c r="AM1815" s="264"/>
      <c r="AN1815" s="263"/>
      <c r="AO1815" s="263"/>
      <c r="AP1815" s="265"/>
      <c r="AQ1815" s="265">
        <v>4779</v>
      </c>
      <c r="AR1815" s="285">
        <v>25640</v>
      </c>
      <c r="AS1815" s="263"/>
      <c r="AT1815" s="263"/>
      <c r="AU1815" s="263"/>
      <c r="AV1815" s="264"/>
      <c r="AW1815" s="263"/>
      <c r="AX1815" s="263"/>
      <c r="AY1815" s="263"/>
      <c r="AZ1815" s="263"/>
      <c r="BA1815" s="263"/>
      <c r="BB1815" s="263"/>
      <c r="BC1815" s="263"/>
      <c r="BD1815" s="264"/>
      <c r="BE1815" s="263"/>
      <c r="BF1815" s="263"/>
      <c r="BG1815" s="263"/>
      <c r="BH1815" s="263"/>
      <c r="BI1815" s="263"/>
      <c r="BJ1815" s="404">
        <f>altaz(J2000_Bas,$O1815,$M1815,DecLat,DecLong,2)</f>
        <v>345.29194830480799</v>
      </c>
      <c r="BK1815" s="378" t="s">
        <v>1785</v>
      </c>
      <c r="BL1815" s="379">
        <f>IF((2*G1815)/60&lt;0.2,0.2,(2*G1815)/60)</f>
        <v>0.2</v>
      </c>
      <c r="BM1815" s="380">
        <f>MOD((50000+AD1815-$B$3+(0/24)),1)</f>
        <v>0.58852148193545872</v>
      </c>
      <c r="BN1815" s="381"/>
      <c r="BO1815" s="382">
        <v>1808</v>
      </c>
    </row>
    <row r="1816" spans="1:67" s="24" customFormat="1" ht="15" customHeight="1" x14ac:dyDescent="0.25">
      <c r="A1816" s="288" t="s">
        <v>1786</v>
      </c>
      <c r="B1816" s="241" t="str">
        <f>HYPERLINK(CONCATENATE($AT$3,BK1816,$AU$3),$AV$3)</f>
        <v>S</v>
      </c>
      <c r="C1816" s="242" t="str">
        <f>HYPERLINK(CONCATENATE($AT$4,BK1816,$AU$4,BL1816),$AV$4)</f>
        <v>A</v>
      </c>
      <c r="D1816" s="243" t="s">
        <v>5638</v>
      </c>
      <c r="E1816" s="244" t="s">
        <v>5337</v>
      </c>
      <c r="F1816" s="269" t="s">
        <v>3317</v>
      </c>
      <c r="G1816" s="273">
        <v>1</v>
      </c>
      <c r="H1816" s="283">
        <v>160</v>
      </c>
      <c r="I1816" s="246">
        <v>50</v>
      </c>
      <c r="J1816" s="246">
        <v>2</v>
      </c>
      <c r="K1816" s="247" t="s">
        <v>8438</v>
      </c>
      <c r="L1816" s="248">
        <v>90439</v>
      </c>
      <c r="M1816" s="249">
        <f>15*(LEFT(TEXT($L1816,"000000"),2)+(MID(TEXT($L1816,"000000"),3,2)/60)+(RIGHT(TEXT($L1816,"000000"),2)/3600))</f>
        <v>136.16250000000002</v>
      </c>
      <c r="N1816" s="250">
        <v>182750</v>
      </c>
      <c r="O1816" s="251">
        <f>IF($N1816&gt;0,(LEFT(TEXT($N1816,"000000"),2)+(MID(TEXT($N1816,"000000"),3,2)/60)+(RIGHT(TEXT($N1816,"000000"),2)/3600)),-(MID(TEXT($N1816,"000000"),2,2)+(MID(TEXT($N1816,"000000"),4,2)/60)+(RIGHT(TEXT($N1816,"000000"),2)/3600)))</f>
        <v>18.463888888888889</v>
      </c>
      <c r="P1816" s="252" t="s">
        <v>100</v>
      </c>
      <c r="Q1816" s="253"/>
      <c r="R1816" s="247" t="s">
        <v>3293</v>
      </c>
      <c r="S1816" s="272" t="s">
        <v>3293</v>
      </c>
      <c r="T1816" s="273">
        <v>13.5</v>
      </c>
      <c r="U1816" s="289">
        <v>22.79</v>
      </c>
      <c r="V1816" s="280"/>
      <c r="W1816" s="244"/>
      <c r="X1816" s="244"/>
      <c r="Y1816" s="362"/>
      <c r="Z1816" s="257">
        <f>altaz(J2000_Bas,$O1816,$M1816,DecLat,DecLong,1)</f>
        <v>-32.674310686703414</v>
      </c>
      <c r="AA1816" s="257">
        <f>altaz((J2000_Bas+(2*0.04167)),$O1816,$M1816,DecLat,DecLong,1)</f>
        <v>-40.536058135524549</v>
      </c>
      <c r="AB1816" s="257">
        <f>altaz((J2000_Bas+(4*0.04167)),$O1816,$M1816,DecLat,DecLong,1)</f>
        <v>-32.747286305489993</v>
      </c>
      <c r="AC1816" s="257">
        <f>altaz((J2000_Bas+(6*0.04167)),$O1816,$M1816,DecLat,DecLong,1)</f>
        <v>-14.019539044343995</v>
      </c>
      <c r="AD1816" s="258">
        <f>1+ transit((J2000_Bas-1),$O1816,$M1816,DecLat,DecLong)/360 + (GMTOffset/24) + (IF(DST="Y", 1, 0)/24)</f>
        <v>1.371129089473458</v>
      </c>
      <c r="AE1816" s="259">
        <f>DATE(2001,9,21)+(M1816/360)*365 - (360*((DecLong/360)- (GMTOffset/24) ))</f>
        <v>37298.05364583333</v>
      </c>
      <c r="AF1816" s="260">
        <f>IF(DecLat&gt;0,IF((90 - (DecLat-O1816))&gt;90, (90 - (O1816-DecLat)), (90 - (DecLat-O1816))),IF((90 + (DecLat-O1816))&gt;90, (90 + (O1816-DecLat)), (90 + (DecLat-O1816))))</f>
        <v>77.463888888888889</v>
      </c>
      <c r="AG1816" s="257">
        <f>angularseperation(MoonRA,MoonDec,$M1816,$O1816)</f>
        <v>118.3755305695817</v>
      </c>
      <c r="AH1816" s="261">
        <f ca="1">MIN(100,IF($O$5&gt;80,0+30*($AG1816/100),IF($O$5&gt;70,0+50*($AG1816/100),IF($O$5&gt;60,5+50*($AG1816/100),IF($O$5&gt;50,10+60*($AG1816/100),IF($O$5&gt;40,15+70*($AG1816/100),IF($O$5&gt;30,20+70*($AG1816/100),IF($O$5&gt;20,40+55*($AG1816/100),(80+(20-$O$5)+30*($AG1816/100))))))))))</f>
        <v>100</v>
      </c>
      <c r="AI1816" s="262">
        <v>2744</v>
      </c>
      <c r="AJ1816" s="262"/>
      <c r="AK1816" s="262"/>
      <c r="AL1816" s="263"/>
      <c r="AM1816" s="264"/>
      <c r="AN1816" s="263"/>
      <c r="AO1816" s="263"/>
      <c r="AP1816" s="265"/>
      <c r="AQ1816" s="266">
        <v>4757</v>
      </c>
      <c r="AR1816" s="267">
        <v>25480</v>
      </c>
      <c r="AS1816" s="263"/>
      <c r="AT1816" s="263"/>
      <c r="AU1816" s="263"/>
      <c r="AV1816" s="264"/>
      <c r="AW1816" s="263"/>
      <c r="AX1816" s="263"/>
      <c r="AY1816" s="263"/>
      <c r="AZ1816" s="263"/>
      <c r="BA1816" s="263"/>
      <c r="BB1816" s="263"/>
      <c r="BC1816" s="263"/>
      <c r="BD1816" s="264"/>
      <c r="BE1816" s="263"/>
      <c r="BF1816" s="263"/>
      <c r="BG1816" s="263"/>
      <c r="BH1816" s="263"/>
      <c r="BI1816" s="263"/>
      <c r="BJ1816" s="404">
        <f>altaz(J2000_Bas,$O1816,$M1816,DecLat,DecLong,2)</f>
        <v>325.51834526650555</v>
      </c>
      <c r="BK1816" s="378" t="s">
        <v>1786</v>
      </c>
      <c r="BL1816" s="379">
        <f>IF((2*G1816)/60&lt;0.2,0.2,(2*G1816)/60)</f>
        <v>0.2</v>
      </c>
      <c r="BM1816" s="380">
        <f>MOD((50000+AD1816-$B$3+(0/24)),1)</f>
        <v>0.58649601917568361</v>
      </c>
      <c r="BN1816" s="381" t="s">
        <v>9281</v>
      </c>
      <c r="BO1816" s="382">
        <v>1809</v>
      </c>
    </row>
    <row r="1817" spans="1:67" s="24" customFormat="1" ht="15" customHeight="1" x14ac:dyDescent="0.25">
      <c r="A1817" s="288" t="s">
        <v>1787</v>
      </c>
      <c r="B1817" s="241" t="str">
        <f>HYPERLINK(CONCATENATE($AT$3,BK1817,$AU$3),$AV$3)</f>
        <v>S</v>
      </c>
      <c r="C1817" s="242" t="str">
        <f>HYPERLINK(CONCATENATE($AT$4,BK1817,$AU$4,BL1817),$AV$4)</f>
        <v>A</v>
      </c>
      <c r="D1817" s="243" t="s">
        <v>5638</v>
      </c>
      <c r="E1817" s="244" t="s">
        <v>5192</v>
      </c>
      <c r="F1817" s="269" t="s">
        <v>8698</v>
      </c>
      <c r="G1817" s="273">
        <v>2</v>
      </c>
      <c r="H1817" s="283">
        <v>120</v>
      </c>
      <c r="I1817" s="246">
        <v>75</v>
      </c>
      <c r="J1817" s="246">
        <v>2</v>
      </c>
      <c r="K1817" s="247" t="s">
        <v>7283</v>
      </c>
      <c r="L1817" s="248">
        <v>90548</v>
      </c>
      <c r="M1817" s="249">
        <f>15*(LEFT(TEXT($L1817,"000000"),2)+(MID(TEXT($L1817,"000000"),3,2)/60)+(RIGHT(TEXT($L1817,"000000"),2)/3600))</f>
        <v>136.45000000000002</v>
      </c>
      <c r="N1817" s="250">
        <v>252612</v>
      </c>
      <c r="O1817" s="251">
        <f>IF($N1817&gt;0,(LEFT(TEXT($N1817,"000000"),2)+(MID(TEXT($N1817,"000000"),3,2)/60)+(RIGHT(TEXT($N1817,"000000"),2)/3600)),-(MID(TEXT($N1817,"000000"),2,2)+(MID(TEXT($N1817,"000000"),4,2)/60)+(RIGHT(TEXT($N1817,"000000"),2)/3600)))</f>
        <v>25.436666666666667</v>
      </c>
      <c r="P1817" s="252" t="s">
        <v>100</v>
      </c>
      <c r="Q1817" s="253"/>
      <c r="R1817" s="247" t="s">
        <v>3293</v>
      </c>
      <c r="S1817" s="272" t="s">
        <v>3293</v>
      </c>
      <c r="T1817" s="273">
        <v>11.9</v>
      </c>
      <c r="U1817" s="289">
        <v>22.19</v>
      </c>
      <c r="V1817" s="280">
        <v>40</v>
      </c>
      <c r="W1817" s="244"/>
      <c r="X1817" s="244"/>
      <c r="Y1817" s="362"/>
      <c r="Z1817" s="257">
        <f>altaz(J2000_Bas,$O1817,$M1817,DecLat,DecLong,1)</f>
        <v>-26.494359516934978</v>
      </c>
      <c r="AA1817" s="257">
        <f>altaz((J2000_Bas+(2*0.04167)),$O1817,$M1817,DecLat,DecLong,1)</f>
        <v>-33.562266143454664</v>
      </c>
      <c r="AB1817" s="257">
        <f>altaz((J2000_Bas+(4*0.04167)),$O1817,$M1817,DecLat,DecLong,1)</f>
        <v>-26.809406361987111</v>
      </c>
      <c r="AC1817" s="257">
        <f>altaz((J2000_Bas+(6*0.04167)),$O1817,$M1817,DecLat,DecLong,1)</f>
        <v>-9.676552194341852</v>
      </c>
      <c r="AD1817" s="258">
        <f>1+ transit((J2000_Bas-1),$O1817,$M1817,DecLat,DecLong)/360 + (GMTOffset/24) + (IF(DST="Y", 1, 0)/24)</f>
        <v>1.3719277005047081</v>
      </c>
      <c r="AE1817" s="259">
        <f>DATE(2001,9,21)+(M1817/360)*365 - (360*((DecLong/360)- (GMTOffset/24) ))</f>
        <v>37298.345138888886</v>
      </c>
      <c r="AF1817" s="260">
        <f>IF(DecLat&gt;0,IF((90 - (DecLat-O1817))&gt;90, (90 - (O1817-DecLat)), (90 - (DecLat-O1817))),IF((90 + (DecLat-O1817))&gt;90, (90 + (O1817-DecLat)), (90 + (DecLat-O1817))))</f>
        <v>84.436666666666667</v>
      </c>
      <c r="AG1817" s="257">
        <f>angularseperation(MoonRA,MoonDec,$M1817,$O1817)</f>
        <v>120.46593566230057</v>
      </c>
      <c r="AH1817" s="261">
        <f ca="1">MIN(100,IF($O$5&gt;80,0+30*($AG1817/100),IF($O$5&gt;70,0+50*($AG1817/100),IF($O$5&gt;60,5+50*($AG1817/100),IF($O$5&gt;50,10+60*($AG1817/100),IF($O$5&gt;40,15+70*($AG1817/100),IF($O$5&gt;30,20+70*($AG1817/100),IF($O$5&gt;20,40+55*($AG1817/100),(80+(20-$O$5)+30*($AG1817/100))))))))))</f>
        <v>100</v>
      </c>
      <c r="AI1817" s="262">
        <v>2750</v>
      </c>
      <c r="AJ1817" s="262"/>
      <c r="AK1817" s="262"/>
      <c r="AL1817" s="263"/>
      <c r="AM1817" s="264"/>
      <c r="AN1817" s="263"/>
      <c r="AO1817" s="263"/>
      <c r="AP1817" s="265"/>
      <c r="AQ1817" s="266">
        <v>4769</v>
      </c>
      <c r="AR1817" s="267">
        <v>25525</v>
      </c>
      <c r="AS1817" s="263"/>
      <c r="AT1817" s="263"/>
      <c r="AU1817" s="263"/>
      <c r="AV1817" s="264"/>
      <c r="AW1817" s="263"/>
      <c r="AX1817" s="263"/>
      <c r="AY1817" s="263"/>
      <c r="AZ1817" s="263"/>
      <c r="BA1817" s="263"/>
      <c r="BB1817" s="263"/>
      <c r="BC1817" s="263"/>
      <c r="BD1817" s="264"/>
      <c r="BE1817" s="263"/>
      <c r="BF1817" s="263"/>
      <c r="BG1817" s="263"/>
      <c r="BH1817" s="263"/>
      <c r="BI1817" s="263"/>
      <c r="BJ1817" s="404">
        <f>altaz(J2000_Bas,$O1817,$M1817,DecLat,DecLong,2)</f>
        <v>329.24800336587577</v>
      </c>
      <c r="BK1817" s="378" t="s">
        <v>1787</v>
      </c>
      <c r="BL1817" s="379">
        <f>IF((2*G1817)/60&lt;0.2,0.2,(2*G1817)/60)</f>
        <v>0.2</v>
      </c>
      <c r="BM1817" s="380">
        <f>MOD((50000+AD1817-$B$3+(0/24)),1)</f>
        <v>0.58729463021154515</v>
      </c>
      <c r="BN1817" s="381" t="s">
        <v>6500</v>
      </c>
      <c r="BO1817" s="382">
        <v>1810</v>
      </c>
    </row>
    <row r="1818" spans="1:67" s="24" customFormat="1" ht="15" customHeight="1" x14ac:dyDescent="0.25">
      <c r="A1818" s="287" t="s">
        <v>1788</v>
      </c>
      <c r="B1818" s="241" t="str">
        <f>HYPERLINK(CONCATENATE($AT$3,BK1818,$AU$3),$AV$3)</f>
        <v>S</v>
      </c>
      <c r="C1818" s="242" t="str">
        <f>HYPERLINK(CONCATENATE($AT$4,BK1818,$AU$4,BL1818),$AV$4)</f>
        <v>A</v>
      </c>
      <c r="D1818" s="243" t="s">
        <v>5638</v>
      </c>
      <c r="E1818" s="244" t="s">
        <v>5193</v>
      </c>
      <c r="F1818" s="269" t="s">
        <v>3313</v>
      </c>
      <c r="G1818" s="273">
        <v>6</v>
      </c>
      <c r="H1818" s="283">
        <v>75</v>
      </c>
      <c r="I1818" s="246">
        <v>135</v>
      </c>
      <c r="J1818" s="246">
        <v>2</v>
      </c>
      <c r="K1818" s="247" t="s">
        <v>7284</v>
      </c>
      <c r="L1818" s="248">
        <v>91137</v>
      </c>
      <c r="M1818" s="249">
        <f>15*(LEFT(TEXT($L1818,"000000"),2)+(MID(TEXT($L1818,"000000"),3,2)/60)+(RIGHT(TEXT($L1818,"000000"),2)/3600))</f>
        <v>137.90416666666667</v>
      </c>
      <c r="N1818" s="250">
        <v>600213</v>
      </c>
      <c r="O1818" s="251">
        <f>IF($N1818&gt;0,(LEFT(TEXT($N1818,"000000"),2)+(MID(TEXT($N1818,"000000"),3,2)/60)+(RIGHT(TEXT($N1818,"000000"),2)/3600)),-(MID(TEXT($N1818,"000000"),2,2)+(MID(TEXT($N1818,"000000"),4,2)/60)+(RIGHT(TEXT($N1818,"000000"),2)/3600)))</f>
        <v>60.036944444444444</v>
      </c>
      <c r="P1818" s="252" t="s">
        <v>37</v>
      </c>
      <c r="Q1818" s="253"/>
      <c r="R1818" s="277" t="s">
        <v>3293</v>
      </c>
      <c r="S1818" s="272" t="s">
        <v>3293</v>
      </c>
      <c r="T1818" s="273">
        <v>9.9</v>
      </c>
      <c r="U1818" s="289">
        <v>22.59</v>
      </c>
      <c r="V1818" s="280"/>
      <c r="W1818" s="244"/>
      <c r="X1818" s="244"/>
      <c r="Y1818" s="362"/>
      <c r="Z1818" s="257">
        <f>altaz(J2000_Bas,$O1818,$M1818,DecLat,DecLong,1)</f>
        <v>4.7471794016148046</v>
      </c>
      <c r="AA1818" s="257">
        <f>altaz((J2000_Bas+(2*0.04167)),$O1818,$M1818,DecLat,DecLong,1)</f>
        <v>1.0492794977322146</v>
      </c>
      <c r="AB1818" s="257">
        <f>altaz((J2000_Bas+(4*0.04167)),$O1818,$M1818,DecLat,DecLong,1)</f>
        <v>3.9651929713121814</v>
      </c>
      <c r="AC1818" s="257">
        <f>altaz((J2000_Bas+(6*0.04167)),$O1818,$M1818,DecLat,DecLong,1)</f>
        <v>12.801631699478904</v>
      </c>
      <c r="AD1818" s="258">
        <f>1+ transit((J2000_Bas-1),$O1818,$M1818,DecLat,DecLong)/360 + (GMTOffset/24) + (IF(DST="Y", 1, 0)/24)</f>
        <v>1.3759670519526248</v>
      </c>
      <c r="AE1818" s="259">
        <f>DATE(2001,9,21)+(M1818/360)*365 - (360*((DecLong/360)- (GMTOffset/24) ))</f>
        <v>37299.819502314815</v>
      </c>
      <c r="AF1818" s="260">
        <f>IF(DecLat&gt;0,IF((90 - (DecLat-O1818))&gt;90, (90 - (O1818-DecLat)), (90 - (DecLat-O1818))),IF((90 + (DecLat-O1818))&gt;90, (90 + (O1818-DecLat)), (90 + (DecLat-O1818))))</f>
        <v>60.963055555555556</v>
      </c>
      <c r="AG1818" s="257">
        <f>angularseperation(MoonRA,MoonDec,$M1818,$O1818)</f>
        <v>123.79663381155657</v>
      </c>
      <c r="AH1818" s="261">
        <f ca="1">MIN(100,IF($O$5&gt;80,0+30*($AG1818/100),IF($O$5&gt;70,0+50*($AG1818/100),IF($O$5&gt;60,5+50*($AG1818/100),IF($O$5&gt;50,10+60*($AG1818/100),IF($O$5&gt;40,15+70*($AG1818/100),IF($O$5&gt;30,20+70*($AG1818/100),IF($O$5&gt;20,40+55*($AG1818/100),(80+(20-$O$5)+30*($AG1818/100))))))))))</f>
        <v>100</v>
      </c>
      <c r="AI1818" s="262">
        <v>2768</v>
      </c>
      <c r="AJ1818" s="263"/>
      <c r="AK1818" s="263">
        <v>123</v>
      </c>
      <c r="AL1818" s="263"/>
      <c r="AM1818" s="264"/>
      <c r="AN1818" s="263"/>
      <c r="AO1818" s="263"/>
      <c r="AP1818" s="265"/>
      <c r="AQ1818" s="265">
        <v>4821</v>
      </c>
      <c r="AR1818" s="285">
        <v>25915</v>
      </c>
      <c r="AS1818" s="263"/>
      <c r="AT1818" s="263"/>
      <c r="AU1818" s="263"/>
      <c r="AV1818" s="264"/>
      <c r="AW1818" s="263"/>
      <c r="AX1818" s="263"/>
      <c r="AY1818" s="263"/>
      <c r="AZ1818" s="263"/>
      <c r="BA1818" s="263"/>
      <c r="BB1818" s="263"/>
      <c r="BC1818" s="263"/>
      <c r="BD1818" s="264"/>
      <c r="BE1818" s="263"/>
      <c r="BF1818" s="263"/>
      <c r="BG1818" s="263"/>
      <c r="BH1818" s="263"/>
      <c r="BI1818" s="263"/>
      <c r="BJ1818" s="404">
        <f>altaz(J2000_Bas,$O1818,$M1818,DecLat,DecLong,2)</f>
        <v>344.64231978300546</v>
      </c>
      <c r="BK1818" s="378" t="s">
        <v>1788</v>
      </c>
      <c r="BL1818" s="379">
        <f>IF((2*G1818)/60&lt;0.2,0.2,(2*G1818)/60)</f>
        <v>0.2</v>
      </c>
      <c r="BM1818" s="380">
        <f>MOD((50000+AD1818-$B$3+(0/24)),1)</f>
        <v>0.59133398165431572</v>
      </c>
      <c r="BN1818" s="381"/>
      <c r="BO1818" s="382">
        <v>1811</v>
      </c>
    </row>
    <row r="1819" spans="1:67" s="24" customFormat="1" ht="15" customHeight="1" x14ac:dyDescent="0.25">
      <c r="A1819" s="288" t="s">
        <v>1789</v>
      </c>
      <c r="B1819" s="241" t="str">
        <f>HYPERLINK(CONCATENATE($AT$3,BK1819,$AU$3),$AV$3)</f>
        <v>S</v>
      </c>
      <c r="C1819" s="242" t="str">
        <f>HYPERLINK(CONCATENATE($AT$4,BK1819,$AU$4,BL1819),$AV$4)</f>
        <v>A</v>
      </c>
      <c r="D1819" s="243" t="s">
        <v>5638</v>
      </c>
      <c r="E1819" s="244" t="s">
        <v>4292</v>
      </c>
      <c r="F1819" s="269" t="s">
        <v>8803</v>
      </c>
      <c r="G1819" s="273">
        <v>5</v>
      </c>
      <c r="H1819" s="283">
        <v>66</v>
      </c>
      <c r="I1819" s="246">
        <v>100</v>
      </c>
      <c r="J1819" s="246">
        <v>3</v>
      </c>
      <c r="K1819" s="247" t="s">
        <v>8844</v>
      </c>
      <c r="L1819" s="248">
        <v>91020</v>
      </c>
      <c r="M1819" s="249">
        <f>15*(LEFT(TEXT($L1819,"000000"),2)+(MID(TEXT($L1819,"000000"),3,2)/60)+(RIGHT(TEXT($L1819,"000000"),2)/3600))</f>
        <v>137.58333333333334</v>
      </c>
      <c r="N1819" s="250">
        <v>70216</v>
      </c>
      <c r="O1819" s="251">
        <f>IF($N1819&gt;0,(LEFT(TEXT($N1819,"000000"),2)+(MID(TEXT($N1819,"000000"),3,2)/60)+(RIGHT(TEXT($N1819,"000000"),2)/3600)),-(MID(TEXT($N1819,"000000"),2,2)+(MID(TEXT($N1819,"000000"),4,2)/60)+(RIGHT(TEXT($N1819,"000000"),2)/3600)))</f>
        <v>7.0377777777777775</v>
      </c>
      <c r="P1819" s="252" t="s">
        <v>100</v>
      </c>
      <c r="Q1819" s="253" t="s">
        <v>6857</v>
      </c>
      <c r="R1819" s="247" t="s">
        <v>7370</v>
      </c>
      <c r="S1819" s="272" t="s">
        <v>3293</v>
      </c>
      <c r="T1819" s="273">
        <v>10.5</v>
      </c>
      <c r="U1819" s="289">
        <v>21.79</v>
      </c>
      <c r="V1819" s="280">
        <v>25</v>
      </c>
      <c r="W1819" s="244"/>
      <c r="X1819" s="244"/>
      <c r="Y1819" s="362"/>
      <c r="Z1819" s="257">
        <f>altaz(J2000_Bas,$O1819,$M1819,DecLat,DecLong,1)</f>
        <v>-41.423347426841666</v>
      </c>
      <c r="AA1819" s="257">
        <f>altaz((J2000_Bas+(2*0.04167)),$O1819,$M1819,DecLat,DecLong,1)</f>
        <v>-51.935262061551384</v>
      </c>
      <c r="AB1819" s="257">
        <f>altaz((J2000_Bas+(4*0.04167)),$O1819,$M1819,DecLat,DecLong,1)</f>
        <v>-43.148077939168878</v>
      </c>
      <c r="AC1819" s="257">
        <f>altaz((J2000_Bas+(6*0.04167)),$O1819,$M1819,DecLat,DecLong,1)</f>
        <v>-22.284054188579912</v>
      </c>
      <c r="AD1819" s="258">
        <f>1+ transit((J2000_Bas-1),$O1819,$M1819,DecLat,DecLong)/360 + (GMTOffset/24) + (IF(DST="Y", 1, 0)/24)</f>
        <v>1.3750758483380412</v>
      </c>
      <c r="AE1819" s="259">
        <f>DATE(2001,9,21)+(M1819/360)*365 - (360*((DecLong/360)- (GMTOffset/24) ))</f>
        <v>37299.494212962964</v>
      </c>
      <c r="AF1819" s="260">
        <f>IF(DecLat&gt;0,IF((90 - (DecLat-O1819))&gt;90, (90 - (O1819-DecLat)), (90 - (DecLat-O1819))),IF((90 + (DecLat-O1819))&gt;90, (90 + (O1819-DecLat)), (90 + (DecLat-O1819))))</f>
        <v>66.037777777777777</v>
      </c>
      <c r="AG1819" s="257">
        <f>angularseperation(MoonRA,MoonDec,$M1819,$O1819)</f>
        <v>112.45209736690467</v>
      </c>
      <c r="AH1819" s="261">
        <f ca="1">MIN(100,IF($O$5&gt;80,0+30*($AG1819/100),IF($O$5&gt;70,0+50*($AG1819/100),IF($O$5&gt;60,5+50*($AG1819/100),IF($O$5&gt;50,10+60*($AG1819/100),IF($O$5&gt;40,15+70*($AG1819/100),IF($O$5&gt;30,20+70*($AG1819/100),IF($O$5&gt;20,40+55*($AG1819/100),(80+(20-$O$5)+30*($AG1819/100))))))))))</f>
        <v>100</v>
      </c>
      <c r="AI1819" s="262">
        <v>2775</v>
      </c>
      <c r="AJ1819" s="262"/>
      <c r="AK1819" s="262">
        <v>124</v>
      </c>
      <c r="AL1819" s="263"/>
      <c r="AM1819" s="264">
        <v>48</v>
      </c>
      <c r="AN1819" s="263"/>
      <c r="AO1819" s="263"/>
      <c r="AP1819" s="265"/>
      <c r="AQ1819" s="266">
        <v>4820</v>
      </c>
      <c r="AR1819" s="267">
        <v>25861</v>
      </c>
      <c r="AS1819" s="263"/>
      <c r="AT1819" s="263"/>
      <c r="AU1819" s="263"/>
      <c r="AV1819" s="264"/>
      <c r="AW1819" s="263"/>
      <c r="AX1819" s="263"/>
      <c r="AY1819" s="263"/>
      <c r="AZ1819" s="263"/>
      <c r="BA1819" s="263"/>
      <c r="BB1819" s="263"/>
      <c r="BC1819" s="263"/>
      <c r="BD1819" s="264"/>
      <c r="BE1819" s="263"/>
      <c r="BF1819" s="263"/>
      <c r="BG1819" s="263"/>
      <c r="BH1819" s="263"/>
      <c r="BI1819" s="263"/>
      <c r="BJ1819" s="404">
        <f>altaz(J2000_Bas,$O1819,$M1819,DecLat,DecLong,2)</f>
        <v>316.11995290935158</v>
      </c>
      <c r="BK1819" s="378" t="s">
        <v>1789</v>
      </c>
      <c r="BL1819" s="379">
        <f>IF((2*G1819)/60&lt;0.2,0.2,(2*G1819)/60)</f>
        <v>0.2</v>
      </c>
      <c r="BM1819" s="380">
        <f>MOD((50000+AD1819-$B$3+(0/24)),1)</f>
        <v>0.59044277804059675</v>
      </c>
      <c r="BN1819" s="381"/>
      <c r="BO1819" s="382">
        <v>1812</v>
      </c>
    </row>
    <row r="1820" spans="1:67" s="24" customFormat="1" ht="15" customHeight="1" x14ac:dyDescent="0.25">
      <c r="A1820" s="288" t="s">
        <v>1790</v>
      </c>
      <c r="B1820" s="241" t="str">
        <f>HYPERLINK(CONCATENATE($AT$3,BK1820,$AU$3),$AV$3)</f>
        <v>S</v>
      </c>
      <c r="C1820" s="242" t="str">
        <f>HYPERLINK(CONCATENATE($AT$4,BK1820,$AU$4,BL1820),$AV$4)</f>
        <v>A</v>
      </c>
      <c r="D1820" s="243" t="s">
        <v>5638</v>
      </c>
      <c r="E1820" s="244" t="s">
        <v>5182</v>
      </c>
      <c r="F1820" s="269" t="s">
        <v>8933</v>
      </c>
      <c r="G1820" s="273">
        <v>5</v>
      </c>
      <c r="H1820" s="283">
        <v>25</v>
      </c>
      <c r="I1820" s="246">
        <v>35</v>
      </c>
      <c r="J1820" s="246">
        <v>2</v>
      </c>
      <c r="K1820" s="247" t="s">
        <v>7285</v>
      </c>
      <c r="L1820" s="248">
        <v>91919</v>
      </c>
      <c r="M1820" s="249">
        <f>15*(LEFT(TEXT($L1820,"000000"),2)+(MID(TEXT($L1820,"000000"),3,2)/60)+(RIGHT(TEXT($L1820,"000000"),2)/3600))</f>
        <v>139.82916666666665</v>
      </c>
      <c r="N1820" s="250">
        <v>691211</v>
      </c>
      <c r="O1820" s="251">
        <f>IF($N1820&gt;0,(LEFT(TEXT($N1820,"000000"),2)+(MID(TEXT($N1820,"000000"),3,2)/60)+(RIGHT(TEXT($N1820,"000000"),2)/3600)),-(MID(TEXT($N1820,"000000"),2,2)+(MID(TEXT($N1820,"000000"),4,2)/60)+(RIGHT(TEXT($N1820,"000000"),2)/3600)))</f>
        <v>69.203055555555565</v>
      </c>
      <c r="P1820" s="252" t="s">
        <v>37</v>
      </c>
      <c r="Q1820" s="253"/>
      <c r="R1820" s="247" t="s">
        <v>3293</v>
      </c>
      <c r="S1820" s="272" t="s">
        <v>3293</v>
      </c>
      <c r="T1820" s="273">
        <v>12</v>
      </c>
      <c r="U1820" s="289">
        <v>21.39</v>
      </c>
      <c r="V1820" s="280">
        <v>65</v>
      </c>
      <c r="W1820" s="244"/>
      <c r="X1820" s="244"/>
      <c r="Y1820" s="362"/>
      <c r="Z1820" s="257">
        <f>altaz(J2000_Bas,$O1820,$M1820,DecLat,DecLong,1)</f>
        <v>13.217865264698851</v>
      </c>
      <c r="AA1820" s="257">
        <f>altaz((J2000_Bas+(2*0.04167)),$O1820,$M1820,DecLat,DecLong,1)</f>
        <v>10.240831206053144</v>
      </c>
      <c r="AB1820" s="257">
        <f>altaz((J2000_Bas+(4*0.04167)),$O1820,$M1820,DecLat,DecLong,1)</f>
        <v>12.048587961722996</v>
      </c>
      <c r="AC1820" s="257">
        <f>altaz((J2000_Bas+(6*0.04167)),$O1820,$M1820,DecLat,DecLong,1)</f>
        <v>18.250941796733834</v>
      </c>
      <c r="AD1820" s="258">
        <f>1+ transit((J2000_Bas-1),$O1820,$M1820,DecLat,DecLong)/360 + (GMTOffset/24) + (IF(DST="Y", 1, 0)/24)</f>
        <v>1.3813142736401247</v>
      </c>
      <c r="AE1820" s="259">
        <f>DATE(2001,9,21)+(M1820/360)*365 - (360*((DecLong/360)- (GMTOffset/24) ))</f>
        <v>37301.771238425928</v>
      </c>
      <c r="AF1820" s="260">
        <f>IF(DecLat&gt;0,IF((90 - (DecLat-O1820))&gt;90, (90 - (O1820-DecLat)), (90 - (DecLat-O1820))),IF((90 + (DecLat-O1820))&gt;90, (90 + (O1820-DecLat)), (90 + (DecLat-O1820))))</f>
        <v>51.796944444444435</v>
      </c>
      <c r="AG1820" s="257">
        <f>angularseperation(MoonRA,MoonDec,$M1820,$O1820)</f>
        <v>122.05290984569562</v>
      </c>
      <c r="AH1820" s="261">
        <f ca="1">MIN(100,IF($O$5&gt;80,0+30*($AG1820/100),IF($O$5&gt;70,0+50*($AG1820/100),IF($O$5&gt;60,5+50*($AG1820/100),IF($O$5&gt;50,10+60*($AG1820/100),IF($O$5&gt;40,15+70*($AG1820/100),IF($O$5&gt;30,20+70*($AG1820/100),IF($O$5&gt;20,40+55*($AG1820/100),(80+(20-$O$5)+30*($AG1820/100))))))))))</f>
        <v>100</v>
      </c>
      <c r="AI1820" s="262">
        <v>2787</v>
      </c>
      <c r="AJ1820" s="262"/>
      <c r="AK1820" s="262">
        <v>126</v>
      </c>
      <c r="AL1820" s="263"/>
      <c r="AM1820" s="264"/>
      <c r="AN1820" s="263"/>
      <c r="AO1820" s="263"/>
      <c r="AP1820" s="265"/>
      <c r="AQ1820" s="266">
        <v>4914</v>
      </c>
      <c r="AR1820" s="267">
        <v>26341</v>
      </c>
      <c r="AS1820" s="263"/>
      <c r="AT1820" s="263"/>
      <c r="AU1820" s="263"/>
      <c r="AV1820" s="264"/>
      <c r="AW1820" s="263"/>
      <c r="AX1820" s="263"/>
      <c r="AY1820" s="263"/>
      <c r="AZ1820" s="263"/>
      <c r="BA1820" s="263"/>
      <c r="BB1820" s="263"/>
      <c r="BC1820" s="263"/>
      <c r="BD1820" s="264"/>
      <c r="BE1820" s="263"/>
      <c r="BF1820" s="263"/>
      <c r="BG1820" s="263"/>
      <c r="BH1820" s="263"/>
      <c r="BI1820" s="263"/>
      <c r="BJ1820" s="404">
        <f>altaz(J2000_Bas,$O1820,$M1820,DecLat,DecLong,2)</f>
        <v>348.28567242617873</v>
      </c>
      <c r="BK1820" s="378" t="s">
        <v>1790</v>
      </c>
      <c r="BL1820" s="379">
        <f>IF((2*G1820)/60&lt;0.2,0.2,(2*G1820)/60)</f>
        <v>0.2</v>
      </c>
      <c r="BM1820" s="380">
        <f>MOD((50000+AD1820-$B$3+(0/24)),1)</f>
        <v>0.59668120334390551</v>
      </c>
      <c r="BN1820" s="381"/>
      <c r="BO1820" s="382">
        <v>1813</v>
      </c>
    </row>
    <row r="1821" spans="1:67" s="24" customFormat="1" ht="15" customHeight="1" x14ac:dyDescent="0.25">
      <c r="A1821" s="288" t="s">
        <v>1791</v>
      </c>
      <c r="B1821" s="241" t="str">
        <f>HYPERLINK(CONCATENATE($AT$3,BK1821,$AU$3),$AV$3)</f>
        <v>S</v>
      </c>
      <c r="C1821" s="242" t="str">
        <f>HYPERLINK(CONCATENATE($AT$4,BK1821,$AU$4,BL1821),$AV$4)</f>
        <v>A</v>
      </c>
      <c r="D1821" s="243" t="s">
        <v>5638</v>
      </c>
      <c r="E1821" s="244" t="s">
        <v>8641</v>
      </c>
      <c r="F1821" s="269"/>
      <c r="G1821" s="273">
        <v>1</v>
      </c>
      <c r="H1821" s="283">
        <v>80</v>
      </c>
      <c r="I1821" s="246">
        <v>25</v>
      </c>
      <c r="J1821" s="246">
        <v>3</v>
      </c>
      <c r="K1821" s="247" t="s">
        <v>7286</v>
      </c>
      <c r="L1821" s="248">
        <v>91646</v>
      </c>
      <c r="M1821" s="249">
        <f>15*(LEFT(TEXT($L1821,"000000"),2)+(MID(TEXT($L1821,"000000"),3,2)/60)+(RIGHT(TEXT($L1821,"000000"),2)/3600))</f>
        <v>139.19166666666669</v>
      </c>
      <c r="N1821" s="250">
        <v>342555</v>
      </c>
      <c r="O1821" s="251">
        <f>IF($N1821&gt;0,(LEFT(TEXT($N1821,"000000"),2)+(MID(TEXT($N1821,"000000"),3,2)/60)+(RIGHT(TEXT($N1821,"000000"),2)/3600)),-(MID(TEXT($N1821,"000000"),2,2)+(MID(TEXT($N1821,"000000"),4,2)/60)+(RIGHT(TEXT($N1821,"000000"),2)/3600)))</f>
        <v>34.43194444444444</v>
      </c>
      <c r="P1821" s="252" t="s">
        <v>82</v>
      </c>
      <c r="Q1821" s="253"/>
      <c r="R1821" s="247" t="s">
        <v>3293</v>
      </c>
      <c r="S1821" s="272" t="s">
        <v>3293</v>
      </c>
      <c r="T1821" s="273">
        <v>13</v>
      </c>
      <c r="U1821" s="289">
        <v>21.89</v>
      </c>
      <c r="V1821" s="280"/>
      <c r="W1821" s="244"/>
      <c r="X1821" s="244"/>
      <c r="Y1821" s="362"/>
      <c r="Z1821" s="257">
        <f>altaz(J2000_Bas,$O1821,$M1821,DecLat,DecLong,1)</f>
        <v>-17.484141059699684</v>
      </c>
      <c r="AA1821" s="257">
        <f>altaz((J2000_Bas+(2*0.04167)),$O1821,$M1821,DecLat,DecLong,1)</f>
        <v>-24.50270698175046</v>
      </c>
      <c r="AB1821" s="257">
        <f>altaz((J2000_Bas+(4*0.04167)),$O1821,$M1821,DecLat,DecLong,1)</f>
        <v>-19.805498248900342</v>
      </c>
      <c r="AC1821" s="257">
        <f>altaz((J2000_Bas+(6*0.04167)),$O1821,$M1821,DecLat,DecLong,1)</f>
        <v>-5.3459653717865274</v>
      </c>
      <c r="AD1821" s="258">
        <f>1+ transit((J2000_Bas-1),$O1821,$M1821,DecLat,DecLong)/360 + (GMTOffset/24) + (IF(DST="Y", 1, 0)/24)</f>
        <v>1.3795434404838747</v>
      </c>
      <c r="AE1821" s="259">
        <f>DATE(2001,9,21)+(M1821/360)*365 - (360*((DecLong/360)- (GMTOffset/24) ))</f>
        <v>37301.124884259261</v>
      </c>
      <c r="AF1821" s="260">
        <f>IF(DecLat&gt;0,IF((90 - (DecLat-O1821))&gt;90, (90 - (O1821-DecLat)), (90 - (DecLat-O1821))),IF((90 + (DecLat-O1821))&gt;90, (90 + (O1821-DecLat)), (90 + (DecLat-O1821))))</f>
        <v>86.56805555555556</v>
      </c>
      <c r="AG1821" s="257">
        <f>angularseperation(MoonRA,MoonDec,$M1821,$O1821)</f>
        <v>120.61090861220778</v>
      </c>
      <c r="AH1821" s="261">
        <f ca="1">MIN(100,IF($O$5&gt;80,0+30*($AG1821/100),IF($O$5&gt;70,0+50*($AG1821/100),IF($O$5&gt;60,5+50*($AG1821/100),IF($O$5&gt;50,10+60*($AG1821/100),IF($O$5&gt;40,15+70*($AG1821/100),IF($O$5&gt;30,20+70*($AG1821/100),IF($O$5&gt;20,40+55*($AG1821/100),(80+(20-$O$5)+30*($AG1821/100))))))))))</f>
        <v>100</v>
      </c>
      <c r="AI1821" s="262">
        <v>2793</v>
      </c>
      <c r="AJ1821" s="262"/>
      <c r="AK1821" s="262"/>
      <c r="AL1821" s="263"/>
      <c r="AM1821" s="264"/>
      <c r="AN1821" s="263"/>
      <c r="AO1821" s="263"/>
      <c r="AP1821" s="265"/>
      <c r="AQ1821" s="266">
        <v>4894</v>
      </c>
      <c r="AR1821" s="267">
        <v>26189</v>
      </c>
      <c r="AS1821" s="263"/>
      <c r="AT1821" s="263"/>
      <c r="AU1821" s="263"/>
      <c r="AV1821" s="264"/>
      <c r="AW1821" s="263"/>
      <c r="AX1821" s="263"/>
      <c r="AY1821" s="263"/>
      <c r="AZ1821" s="263"/>
      <c r="BA1821" s="263"/>
      <c r="BB1821" s="263"/>
      <c r="BC1821" s="263"/>
      <c r="BD1821" s="264"/>
      <c r="BE1821" s="263"/>
      <c r="BF1821" s="263"/>
      <c r="BG1821" s="263"/>
      <c r="BH1821" s="263"/>
      <c r="BI1821" s="263"/>
      <c r="BJ1821" s="404">
        <f>altaz(J2000_Bas,$O1821,$M1821,DecLat,DecLong,2)</f>
        <v>331.74694075954812</v>
      </c>
      <c r="BK1821" s="378" t="s">
        <v>1791</v>
      </c>
      <c r="BL1821" s="379">
        <f>IF((2*G1821)/60&lt;0.2,0.2,(2*G1821)/60)</f>
        <v>0.2</v>
      </c>
      <c r="BM1821" s="380">
        <f>MOD((50000+AD1821-$B$3+(0/24)),1)</f>
        <v>0.59491037018597126</v>
      </c>
      <c r="BN1821" s="381"/>
      <c r="BO1821" s="382">
        <v>1814</v>
      </c>
    </row>
    <row r="1822" spans="1:67" s="24" customFormat="1" ht="15" customHeight="1" x14ac:dyDescent="0.25">
      <c r="A1822" s="288" t="s">
        <v>7582</v>
      </c>
      <c r="B1822" s="241" t="str">
        <f>HYPERLINK(CONCATENATE($AT$3,BK1822,$AU$3),$AV$3)</f>
        <v>S</v>
      </c>
      <c r="C1822" s="242" t="str">
        <f>HYPERLINK(CONCATENATE($AT$4,BK1822,$AU$4,BL1822),$AV$4)</f>
        <v>A</v>
      </c>
      <c r="D1822" s="243" t="s">
        <v>5638</v>
      </c>
      <c r="E1822" s="244" t="s">
        <v>5625</v>
      </c>
      <c r="F1822" s="269">
        <v>4</v>
      </c>
      <c r="G1822" s="282">
        <v>20</v>
      </c>
      <c r="H1822" s="283">
        <v>90</v>
      </c>
      <c r="I1822" s="284">
        <v>550</v>
      </c>
      <c r="J1822" s="246">
        <v>2</v>
      </c>
      <c r="K1822" s="247" t="s">
        <v>4546</v>
      </c>
      <c r="L1822" s="248">
        <v>92112</v>
      </c>
      <c r="M1822" s="249">
        <f>15*(LEFT(TEXT($L1822,"000000"),2)+(MID(TEXT($L1822,"000000"),3,2)/60)+(RIGHT(TEXT($L1822,"000000"),2)/3600))</f>
        <v>140.30000000000001</v>
      </c>
      <c r="N1822" s="250">
        <v>641247</v>
      </c>
      <c r="O1822" s="251">
        <f>IF($N1822&gt;0,(LEFT(TEXT($N1822,"000000"),2)+(MID(TEXT($N1822,"000000"),3,2)/60)+(RIGHT(TEXT($N1822,"000000"),2)/3600)),-(MID(TEXT($N1822,"000000"),2,2)+(MID(TEXT($N1822,"000000"),4,2)/60)+(RIGHT(TEXT($N1822,"000000"),2)/3600)))</f>
        <v>64.213055555555556</v>
      </c>
      <c r="P1822" s="252" t="s">
        <v>37</v>
      </c>
      <c r="Q1822" s="253"/>
      <c r="R1822" s="247"/>
      <c r="S1822" s="272" t="s">
        <v>3293</v>
      </c>
      <c r="T1822" s="273">
        <v>14.5</v>
      </c>
      <c r="U1822" s="289">
        <v>23.490000000000002</v>
      </c>
      <c r="V1822" s="280"/>
      <c r="W1822" s="244"/>
      <c r="X1822" s="244"/>
      <c r="Y1822" s="362"/>
      <c r="Z1822" s="257">
        <f>altaz(J2000_Bas,$O1822,$M1822,DecLat,DecLong,1)</f>
        <v>8.9571686629671561</v>
      </c>
      <c r="AA1822" s="257">
        <f>altaz((J2000_Bas+(2*0.04167)),$O1822,$M1822,DecLat,DecLong,1)</f>
        <v>5.2710251629711964</v>
      </c>
      <c r="AB1822" s="257">
        <f>altaz((J2000_Bas+(4*0.04167)),$O1822,$M1822,DecLat,DecLong,1)</f>
        <v>7.3674980973731481</v>
      </c>
      <c r="AC1822" s="257">
        <f>altaz((J2000_Bas+(6*0.04167)),$O1822,$M1822,DecLat,DecLong,1)</f>
        <v>14.773355149699499</v>
      </c>
      <c r="AD1822" s="258">
        <f>1+ transit((J2000_Bas-1),$O1822,$M1822,DecLat,DecLong)/360 + (GMTOffset/24) + (IF(DST="Y", 1, 0)/24)</f>
        <v>1.3826221438797079</v>
      </c>
      <c r="AE1822" s="259">
        <f>DATE(2001,9,21)+(M1822/360)*365 - (360*((DecLong/360)- (GMTOffset/24) ))</f>
        <v>37302.248611111114</v>
      </c>
      <c r="AF1822" s="260">
        <f>IF(DecLat&gt;0,IF((90 - (DecLat-O1822))&gt;90, (90 - (O1822-DecLat)), (90 - (DecLat-O1822))),IF((90 + (DecLat-O1822))&gt;90, (90 + (O1822-DecLat)), (90 + (DecLat-O1822))))</f>
        <v>56.786944444444444</v>
      </c>
      <c r="AG1822" s="257">
        <f>angularseperation(MoonRA,MoonDec,$M1822,$O1822)</f>
        <v>122.39045806565329</v>
      </c>
      <c r="AH1822" s="261">
        <f ca="1">MIN(100,IF($O$5&gt;80,0+30*($AG1822/100),IF($O$5&gt;70,0+50*($AG1822/100),IF($O$5&gt;60,5+50*($AG1822/100),IF($O$5&gt;50,10+60*($AG1822/100),IF($O$5&gt;40,15+70*($AG1822/100),IF($O$5&gt;30,20+70*($AG1822/100),IF($O$5&gt;20,40+55*($AG1822/100),(80+(20-$O$5)+30*($AG1822/100))))))))))</f>
        <v>100</v>
      </c>
      <c r="AI1822" s="262">
        <v>2805</v>
      </c>
      <c r="AJ1822" s="262"/>
      <c r="AK1822" s="262"/>
      <c r="AL1822" s="263"/>
      <c r="AM1822" s="264"/>
      <c r="AN1822" s="263"/>
      <c r="AO1822" s="263"/>
      <c r="AP1822" s="265"/>
      <c r="AQ1822" s="266">
        <v>4936</v>
      </c>
      <c r="AR1822" s="267">
        <v>26410</v>
      </c>
      <c r="AS1822" s="263"/>
      <c r="AT1822" s="263"/>
      <c r="AU1822" s="263"/>
      <c r="AV1822" s="264"/>
      <c r="AW1822" s="263"/>
      <c r="AX1822" s="263"/>
      <c r="AY1822" s="263"/>
      <c r="AZ1822" s="263"/>
      <c r="BA1822" s="263"/>
      <c r="BB1822" s="263"/>
      <c r="BC1822" s="263"/>
      <c r="BD1822" s="264"/>
      <c r="BE1822" s="263"/>
      <c r="BF1822" s="263"/>
      <c r="BG1822" s="263"/>
      <c r="BH1822" s="263"/>
      <c r="BI1822" s="263"/>
      <c r="BJ1822" s="404">
        <f>altaz(J2000_Bas,$O1822,$M1822,DecLat,DecLong,2)</f>
        <v>345.63144578958907</v>
      </c>
      <c r="BK1822" s="378" t="s">
        <v>3523</v>
      </c>
      <c r="BL1822" s="379">
        <f>IF((2*G1822)/60&lt;0.2,0.2,(2*G1822)/60)</f>
        <v>0.66666666666666663</v>
      </c>
      <c r="BM1822" s="380">
        <f>MOD((50000+AD1822-$B$3+(0/24)),1)</f>
        <v>0.59798907358344877</v>
      </c>
      <c r="BN1822" s="381"/>
      <c r="BO1822" s="382">
        <v>1815</v>
      </c>
    </row>
    <row r="1823" spans="1:67" s="24" customFormat="1" ht="15" customHeight="1" x14ac:dyDescent="0.25">
      <c r="A1823" s="287" t="s">
        <v>5441</v>
      </c>
      <c r="B1823" s="241" t="str">
        <f>HYPERLINK(CONCATENATE($AT$3,BK1823,$AU$3),$AV$3)</f>
        <v>S</v>
      </c>
      <c r="C1823" s="242" t="str">
        <f>HYPERLINK(CONCATENATE($AT$4,BK1823,$AU$4,BL1823),$AV$4)</f>
        <v>A</v>
      </c>
      <c r="D1823" s="243" t="s">
        <v>5335</v>
      </c>
      <c r="E1823" s="244" t="s">
        <v>5184</v>
      </c>
      <c r="F1823" s="269" t="s">
        <v>3319</v>
      </c>
      <c r="G1823" s="273">
        <v>7</v>
      </c>
      <c r="H1823" s="283">
        <v>31000</v>
      </c>
      <c r="I1823" s="246">
        <v>65</v>
      </c>
      <c r="J1823" s="246">
        <v>4</v>
      </c>
      <c r="K1823" s="247" t="s">
        <v>5443</v>
      </c>
      <c r="L1823" s="248">
        <v>91200</v>
      </c>
      <c r="M1823" s="249">
        <f>15*(LEFT(TEXT($L1823,"000000"),2)+(MID(TEXT($L1823,"000000"),3,2)/60)+(RIGHT(TEXT($L1823,"000000"),2)/3600))</f>
        <v>138</v>
      </c>
      <c r="N1823" s="250">
        <v>-645200</v>
      </c>
      <c r="O1823" s="251">
        <f>IF($N1823&gt;0,(LEFT(TEXT($N1823,"000000"),2)+(MID(TEXT($N1823,"000000"),3,2)/60)+(RIGHT(TEXT($N1823,"000000"),2)/3600)),-(MID(TEXT($N1823,"000000"),2,2)+(MID(TEXT($N1823,"000000"),4,2)/60)+(RIGHT(TEXT($N1823,"000000"),2)/3600)))</f>
        <v>-64.86666666666666</v>
      </c>
      <c r="P1823" s="252" t="s">
        <v>1000</v>
      </c>
      <c r="Q1823" s="253"/>
      <c r="R1823" s="277" t="s">
        <v>5442</v>
      </c>
      <c r="S1823" s="272" t="s">
        <v>3293</v>
      </c>
      <c r="T1823" s="273">
        <v>6.2</v>
      </c>
      <c r="U1823" s="274"/>
      <c r="V1823" s="280"/>
      <c r="W1823" s="244"/>
      <c r="X1823" s="244"/>
      <c r="Y1823" s="362"/>
      <c r="Z1823" s="257">
        <f>altaz(J2000_Bas,$O1823,$M1823,DecLat,DecLong,1)</f>
        <v>-50.807358107464857</v>
      </c>
      <c r="AA1823" s="257">
        <f>altaz((J2000_Bas+(2*0.04167)),$O1823,$M1823,DecLat,DecLong,1)</f>
        <v>-56.112480897829499</v>
      </c>
      <c r="AB1823" s="257">
        <f>altaz((J2000_Bas+(4*0.04167)),$O1823,$M1823,DecLat,DecLong,1)</f>
        <v>-51.925418765063583</v>
      </c>
      <c r="AC1823" s="257">
        <f>altaz((J2000_Bas+(6*0.04167)),$O1823,$M1823,DecLat,DecLong,1)</f>
        <v>-41.133489095592829</v>
      </c>
      <c r="AD1823" s="258">
        <f>1+ transit((J2000_Bas-1),$O1823,$M1823,DecLat,DecLong)/360 + (GMTOffset/24) + (IF(DST="Y", 1, 0)/24)</f>
        <v>1.3762332556297079</v>
      </c>
      <c r="AE1823" s="259">
        <f>DATE(2001,9,21)+(M1823/360)*365 - (360*((DecLong/360)- (GMTOffset/24) ))</f>
        <v>37299.916666666664</v>
      </c>
      <c r="AF1823" s="260">
        <f>IF(DecLat&gt;0,IF((90 - (DecLat-O1823))&gt;90, (90 - (O1823-DecLat)), (90 - (DecLat-O1823))),IF((90 + (DecLat-O1823))&gt;90, (90 + (O1823-DecLat)), (90 + (DecLat-O1823))))</f>
        <v>-5.86666666666666</v>
      </c>
      <c r="AG1823" s="257">
        <f>angularseperation(MoonRA,MoonDec,$M1823,$O1823)</f>
        <v>74.02698094194028</v>
      </c>
      <c r="AH1823" s="261">
        <f ca="1">MIN(100,IF($O$5&gt;80,0+30*($AG1823/100),IF($O$5&gt;70,0+50*($AG1823/100),IF($O$5&gt;60,5+50*($AG1823/100),IF($O$5&gt;50,10+60*($AG1823/100),IF($O$5&gt;40,15+70*($AG1823/100),IF($O$5&gt;30,20+70*($AG1823/100),IF($O$5&gt;20,40+55*($AG1823/100),(80+(20-$O$5)+30*($AG1823/100))))))))))</f>
        <v>100</v>
      </c>
      <c r="AI1823" s="263">
        <v>2808</v>
      </c>
      <c r="AJ1823" s="263"/>
      <c r="AK1823" s="263"/>
      <c r="AL1823" s="263"/>
      <c r="AM1823" s="264"/>
      <c r="AN1823" s="263"/>
      <c r="AO1823" s="263"/>
      <c r="AP1823" s="265"/>
      <c r="AQ1823" s="265"/>
      <c r="AR1823" s="285"/>
      <c r="AS1823" s="263"/>
      <c r="AT1823" s="263"/>
      <c r="AU1823" s="263"/>
      <c r="AV1823" s="264"/>
      <c r="AW1823" s="263"/>
      <c r="AX1823" s="263"/>
      <c r="AY1823" s="263"/>
      <c r="AZ1823" s="263"/>
      <c r="BA1823" s="263"/>
      <c r="BB1823" s="263"/>
      <c r="BC1823" s="263"/>
      <c r="BD1823" s="264"/>
      <c r="BE1823" s="263"/>
      <c r="BF1823" s="263"/>
      <c r="BG1823" s="263"/>
      <c r="BH1823" s="263"/>
      <c r="BI1823" s="263"/>
      <c r="BJ1823" s="404">
        <f>altaz(J2000_Bas,$O1823,$M1823,DecLat,DecLong,2)</f>
        <v>200.86319313738329</v>
      </c>
      <c r="BK1823" s="378" t="s">
        <v>5441</v>
      </c>
      <c r="BL1823" s="379">
        <f>IF((2*G1823)/60&lt;0.2,0.2,(2*G1823)/60)</f>
        <v>0.23333333333333334</v>
      </c>
      <c r="BM1823" s="380">
        <f>MOD((50000+AD1823-$B$3+(0/24)),1)</f>
        <v>0.59160018533293623</v>
      </c>
      <c r="BN1823" s="381"/>
      <c r="BO1823" s="382">
        <v>1816</v>
      </c>
    </row>
    <row r="1824" spans="1:67" s="24" customFormat="1" ht="15" customHeight="1" x14ac:dyDescent="0.25">
      <c r="A1824" s="288" t="s">
        <v>2984</v>
      </c>
      <c r="B1824" s="241" t="str">
        <f>HYPERLINK(CONCATENATE($AT$3,BK1824,$AU$3),$AV$3)</f>
        <v>S</v>
      </c>
      <c r="C1824" s="242" t="str">
        <f>HYPERLINK(CONCATENATE($AT$4,BK1824,$AU$4,BL1824),$AV$4)</f>
        <v>A</v>
      </c>
      <c r="D1824" s="243" t="s">
        <v>5638</v>
      </c>
      <c r="E1824" s="244" t="s">
        <v>5192</v>
      </c>
      <c r="F1824" s="269" t="s">
        <v>8911</v>
      </c>
      <c r="G1824" s="273">
        <v>2.5</v>
      </c>
      <c r="H1824" s="283">
        <v>90</v>
      </c>
      <c r="I1824" s="246">
        <v>70</v>
      </c>
      <c r="J1824" s="246">
        <v>2</v>
      </c>
      <c r="K1824" s="247" t="s">
        <v>7287</v>
      </c>
      <c r="L1824" s="248">
        <v>91618</v>
      </c>
      <c r="M1824" s="249">
        <f>15*(LEFT(TEXT($L1824,"000000"),2)+(MID(TEXT($L1824,"000000"),3,2)/60)+(RIGHT(TEXT($L1824,"000000"),2)/3600))</f>
        <v>139.07500000000002</v>
      </c>
      <c r="N1824" s="250">
        <v>-161800</v>
      </c>
      <c r="O1824" s="251">
        <f>IF($N1824&gt;0,(LEFT(TEXT($N1824,"000000"),2)+(MID(TEXT($N1824,"000000"),3,2)/60)+(RIGHT(TEXT($N1824,"000000"),2)/3600)),-(MID(TEXT($N1824,"000000"),2,2)+(MID(TEXT($N1824,"000000"),4,2)/60)+(RIGHT(TEXT($N1824,"000000"),2)/3600)))</f>
        <v>-16.3</v>
      </c>
      <c r="P1824" s="252" t="s">
        <v>103</v>
      </c>
      <c r="Q1824" s="253"/>
      <c r="R1824" s="277" t="s">
        <v>3293</v>
      </c>
      <c r="S1824" s="272" t="s">
        <v>3293</v>
      </c>
      <c r="T1824" s="273">
        <v>11.3</v>
      </c>
      <c r="U1824" s="289">
        <v>20.89</v>
      </c>
      <c r="V1824" s="280">
        <v>75</v>
      </c>
      <c r="W1824" s="244"/>
      <c r="X1824" s="244"/>
      <c r="Y1824" s="362"/>
      <c r="Z1824" s="257">
        <f>altaz(J2000_Bas,$O1824,$M1824,DecLat,DecLong,1)</f>
        <v>-56.509079229694819</v>
      </c>
      <c r="AA1824" s="257">
        <f>altaz((J2000_Bas+(2*0.04167)),$O1824,$M1824,DecLat,DecLong,1)</f>
        <v>-75.049568984493121</v>
      </c>
      <c r="AB1824" s="257">
        <f>altaz((J2000_Bas+(4*0.04167)),$O1824,$M1824,DecLat,DecLong,1)</f>
        <v>-61.278489330200799</v>
      </c>
      <c r="AC1824" s="257">
        <f>altaz((J2000_Bas+(6*0.04167)),$O1824,$M1824,DecLat,DecLong,1)</f>
        <v>-36.189018688781594</v>
      </c>
      <c r="AD1824" s="258">
        <f>1+ transit((J2000_Bas-1),$O1824,$M1824,DecLat,DecLong)/360 + (GMTOffset/24) + (IF(DST="Y", 1, 0)/24)</f>
        <v>1.3792193664422081</v>
      </c>
      <c r="AE1824" s="259">
        <f>DATE(2001,9,21)+(M1824/360)*365 - (360*((DecLong/360)- (GMTOffset/24) ))</f>
        <v>37301.006597222222</v>
      </c>
      <c r="AF1824" s="260">
        <f>IF(DecLat&gt;0,IF((90 - (DecLat-O1824))&gt;90, (90 - (O1824-DecLat)), (90 - (DecLat-O1824))),IF((90 + (DecLat-O1824))&gt;90, (90 + (O1824-DecLat)), (90 + (DecLat-O1824))))</f>
        <v>42.7</v>
      </c>
      <c r="AG1824" s="257">
        <f>angularseperation(MoonRA,MoonDec,$M1824,$O1824)</f>
        <v>99.603284308693588</v>
      </c>
      <c r="AH1824" s="261">
        <f ca="1">MIN(100,IF($O$5&gt;80,0+30*($AG1824/100),IF($O$5&gt;70,0+50*($AG1824/100),IF($O$5&gt;60,5+50*($AG1824/100),IF($O$5&gt;50,10+60*($AG1824/100),IF($O$5&gt;40,15+70*($AG1824/100),IF($O$5&gt;30,20+70*($AG1824/100),IF($O$5&gt;20,40+55*($AG1824/100),(80+(20-$O$5)+30*($AG1824/100))))))))))</f>
        <v>100</v>
      </c>
      <c r="AI1824" s="262">
        <v>2811</v>
      </c>
      <c r="AJ1824" s="263"/>
      <c r="AK1824" s="263">
        <v>127</v>
      </c>
      <c r="AL1824" s="263"/>
      <c r="AM1824" s="264"/>
      <c r="AN1824" s="263"/>
      <c r="AO1824" s="263"/>
      <c r="AP1824" s="265"/>
      <c r="AQ1824" s="265"/>
      <c r="AR1824" s="285">
        <v>26151</v>
      </c>
      <c r="AS1824" s="263"/>
      <c r="AT1824" s="263"/>
      <c r="AU1824" s="263"/>
      <c r="AV1824" s="264"/>
      <c r="AW1824" s="263"/>
      <c r="AX1824" s="263"/>
      <c r="AY1824" s="263"/>
      <c r="AZ1824" s="263"/>
      <c r="BA1824" s="263"/>
      <c r="BB1824" s="263"/>
      <c r="BC1824" s="263"/>
      <c r="BD1824" s="264"/>
      <c r="BE1824" s="263"/>
      <c r="BF1824" s="263"/>
      <c r="BG1824" s="263"/>
      <c r="BH1824" s="263"/>
      <c r="BI1824" s="263"/>
      <c r="BJ1824" s="404">
        <f>altaz(J2000_Bas,$O1824,$M1824,DecLat,DecLong,2)</f>
        <v>288.34418717178607</v>
      </c>
      <c r="BK1824" s="378" t="s">
        <v>2984</v>
      </c>
      <c r="BL1824" s="379">
        <f>IF((2*G1824)/60&lt;0.2,0.2,(2*G1824)/60)</f>
        <v>0.2</v>
      </c>
      <c r="BM1824" s="380">
        <f>MOD((50000+AD1824-$B$3+(0/24)),1)</f>
        <v>0.59458629614528036</v>
      </c>
      <c r="BN1824" s="381"/>
      <c r="BO1824" s="382">
        <v>1817</v>
      </c>
    </row>
    <row r="1825" spans="1:67" s="24" customFormat="1" ht="15" customHeight="1" x14ac:dyDescent="0.25">
      <c r="A1825" s="288" t="s">
        <v>1792</v>
      </c>
      <c r="B1825" s="241" t="str">
        <f>HYPERLINK(CONCATENATE($AT$3,BK1825,$AU$3),$AV$3)</f>
        <v>S</v>
      </c>
      <c r="C1825" s="242" t="str">
        <f>HYPERLINK(CONCATENATE($AT$4,BK1825,$AU$4,BL1825),$AV$4)</f>
        <v>A</v>
      </c>
      <c r="D1825" s="243" t="s">
        <v>5187</v>
      </c>
      <c r="E1825" s="244" t="s">
        <v>5181</v>
      </c>
      <c r="F1825" s="269" t="s">
        <v>4813</v>
      </c>
      <c r="G1825" s="273">
        <v>2</v>
      </c>
      <c r="H1825" s="283">
        <v>10000</v>
      </c>
      <c r="I1825" s="279">
        <v>6</v>
      </c>
      <c r="J1825" s="246">
        <v>4</v>
      </c>
      <c r="K1825" s="247" t="s">
        <v>7288</v>
      </c>
      <c r="L1825" s="248">
        <v>91601</v>
      </c>
      <c r="M1825" s="249">
        <f>15*(LEFT(TEXT($L1825,"000000"),2)+(MID(TEXT($L1825,"000000"),3,2)/60)+(RIGHT(TEXT($L1825,"000000"),2)/3600))</f>
        <v>139.00416666666666</v>
      </c>
      <c r="N1825" s="250">
        <v>-363737</v>
      </c>
      <c r="O1825" s="251">
        <f>IF($N1825&gt;0,(LEFT(TEXT($N1825,"000000"),2)+(MID(TEXT($N1825,"000000"),3,2)/60)+(RIGHT(TEXT($N1825,"000000"),2)/3600)),-(MID(TEXT($N1825,"000000"),2,2)+(MID(TEXT($N1825,"000000"),4,2)/60)+(RIGHT(TEXT($N1825,"000000"),2)/3600)))</f>
        <v>-36.626944444444447</v>
      </c>
      <c r="P1825" s="252" t="s">
        <v>96</v>
      </c>
      <c r="Q1825" s="253"/>
      <c r="R1825" s="247" t="s">
        <v>3293</v>
      </c>
      <c r="S1825" s="272" t="s">
        <v>7289</v>
      </c>
      <c r="T1825" s="273">
        <v>11.2</v>
      </c>
      <c r="U1825" s="274"/>
      <c r="V1825" s="280"/>
      <c r="W1825" s="244"/>
      <c r="X1825" s="244"/>
      <c r="Y1825" s="362"/>
      <c r="Z1825" s="257">
        <f>altaz(J2000_Bas,$O1825,$M1825,DecLat,DecLong,1)</f>
        <v>-62.152184241438832</v>
      </c>
      <c r="AA1825" s="257">
        <f>altaz((J2000_Bas+(2*0.04167)),$O1825,$M1825,DecLat,DecLong,1)</f>
        <v>-83.874246948787572</v>
      </c>
      <c r="AB1825" s="257">
        <f>altaz((J2000_Bas+(4*0.04167)),$O1825,$M1825,DecLat,DecLong,1)</f>
        <v>-66.822211253415674</v>
      </c>
      <c r="AC1825" s="257">
        <f>altaz((J2000_Bas+(6*0.04167)),$O1825,$M1825,DecLat,DecLong,1)</f>
        <v>-42.796206677501601</v>
      </c>
      <c r="AD1825" s="258">
        <f>1+ transit((J2000_Bas-1),$O1825,$M1825,DecLat,DecLong)/360 + (GMTOffset/24) + (IF(DST="Y", 1, 0)/24)</f>
        <v>1.3790226072026246</v>
      </c>
      <c r="AE1825" s="259">
        <f>DATE(2001,9,21)+(M1825/360)*365 - (360*((DecLong/360)- (GMTOffset/24) ))</f>
        <v>37300.93478009259</v>
      </c>
      <c r="AF1825" s="260">
        <f>IF(DecLat&gt;0,IF((90 - (DecLat-O1825))&gt;90, (90 - (O1825-DecLat)), (90 - (DecLat-O1825))),IF((90 + (DecLat-O1825))&gt;90, (90 + (O1825-DecLat)), (90 + (DecLat-O1825))))</f>
        <v>22.373055555555553</v>
      </c>
      <c r="AG1825" s="257">
        <f>angularseperation(MoonRA,MoonDec,$M1825,$O1825)</f>
        <v>88.598176122711891</v>
      </c>
      <c r="AH1825" s="261">
        <f ca="1">MIN(100,IF($O$5&gt;80,0+30*($AG1825/100),IF($O$5&gt;70,0+50*($AG1825/100),IF($O$5&gt;60,5+50*($AG1825/100),IF($O$5&gt;50,10+60*($AG1825/100),IF($O$5&gt;40,15+70*($AG1825/100),IF($O$5&gt;30,20+70*($AG1825/100),IF($O$5&gt;20,40+55*($AG1825/100),(80+(20-$O$5)+30*($AG1825/100))))))))))</f>
        <v>100</v>
      </c>
      <c r="AI1825" s="262">
        <v>2818</v>
      </c>
      <c r="AJ1825" s="262"/>
      <c r="AK1825" s="262"/>
      <c r="AL1825" s="263"/>
      <c r="AM1825" s="264"/>
      <c r="AN1825" s="263"/>
      <c r="AO1825" s="263"/>
      <c r="AP1825" s="265"/>
      <c r="AQ1825" s="266"/>
      <c r="AR1825" s="267"/>
      <c r="AS1825" s="263"/>
      <c r="AT1825" s="263"/>
      <c r="AU1825" s="263"/>
      <c r="AV1825" s="264"/>
      <c r="AW1825" s="263"/>
      <c r="AX1825" s="263"/>
      <c r="AY1825" s="263"/>
      <c r="AZ1825" s="263"/>
      <c r="BA1825" s="263"/>
      <c r="BB1825" s="263"/>
      <c r="BC1825" s="263"/>
      <c r="BD1825" s="264"/>
      <c r="BE1825" s="263"/>
      <c r="BF1825" s="263"/>
      <c r="BG1825" s="263"/>
      <c r="BH1825" s="263">
        <v>35</v>
      </c>
      <c r="BI1825" s="263"/>
      <c r="BJ1825" s="404">
        <f>altaz(J2000_Bas,$O1825,$M1825,DecLat,DecLong,2)</f>
        <v>249.34934912842471</v>
      </c>
      <c r="BK1825" s="378" t="s">
        <v>1792</v>
      </c>
      <c r="BL1825" s="379">
        <f>IF((2*G1825)/60&lt;0.2,0.2,(2*G1825)/60)</f>
        <v>0.2</v>
      </c>
      <c r="BM1825" s="380">
        <f>MOD((50000+AD1825-$B$3+(0/24)),1)</f>
        <v>0.59438953690550989</v>
      </c>
      <c r="BN1825" s="381"/>
      <c r="BO1825" s="382">
        <v>1818</v>
      </c>
    </row>
    <row r="1826" spans="1:67" s="24" customFormat="1" ht="15" customHeight="1" x14ac:dyDescent="0.25">
      <c r="A1826" s="288" t="s">
        <v>1793</v>
      </c>
      <c r="B1826" s="241" t="str">
        <f>HYPERLINK(CONCATENATE($AT$3,BK1826,$AU$3),$AV$3)</f>
        <v>S</v>
      </c>
      <c r="C1826" s="242" t="str">
        <f>HYPERLINK(CONCATENATE($AT$4,BK1826,$AU$4,BL1826),$AV$4)</f>
        <v>A</v>
      </c>
      <c r="D1826" s="243" t="s">
        <v>5638</v>
      </c>
      <c r="E1826" s="244" t="s">
        <v>5192</v>
      </c>
      <c r="F1826" s="269" t="s">
        <v>8936</v>
      </c>
      <c r="G1826" s="273">
        <v>7</v>
      </c>
      <c r="H1826" s="283">
        <v>35</v>
      </c>
      <c r="I1826" s="246">
        <v>70</v>
      </c>
      <c r="J1826" s="246">
        <v>3</v>
      </c>
      <c r="K1826" s="247" t="s">
        <v>7290</v>
      </c>
      <c r="L1826" s="248">
        <v>91753</v>
      </c>
      <c r="M1826" s="249">
        <f>15*(LEFT(TEXT($L1826,"000000"),2)+(MID(TEXT($L1826,"000000"),3,2)/60)+(RIGHT(TEXT($L1826,"000000"),2)/3600))</f>
        <v>139.47083333333333</v>
      </c>
      <c r="N1826" s="250">
        <v>-222118</v>
      </c>
      <c r="O1826" s="251">
        <f>IF($N1826&gt;0,(LEFT(TEXT($N1826,"000000"),2)+(MID(TEXT($N1826,"000000"),3,2)/60)+(RIGHT(TEXT($N1826,"000000"),2)/3600)),-(MID(TEXT($N1826,"000000"),2,2)+(MID(TEXT($N1826,"000000"),4,2)/60)+(RIGHT(TEXT($N1826,"000000"),2)/3600)))</f>
        <v>-22.355</v>
      </c>
      <c r="P1826" s="252" t="s">
        <v>103</v>
      </c>
      <c r="Q1826" s="253"/>
      <c r="R1826" s="247" t="s">
        <v>3293</v>
      </c>
      <c r="S1826" s="272" t="s">
        <v>3293</v>
      </c>
      <c r="T1826" s="273">
        <v>10.5</v>
      </c>
      <c r="U1826" s="289">
        <v>22.89</v>
      </c>
      <c r="V1826" s="280">
        <v>45</v>
      </c>
      <c r="W1826" s="244"/>
      <c r="X1826" s="244"/>
      <c r="Y1826" s="362"/>
      <c r="Z1826" s="257">
        <f>altaz(J2000_Bas,$O1826,$M1826,DecLat,DecLong,1)</f>
        <v>-59.003061703059096</v>
      </c>
      <c r="AA1826" s="257">
        <f>altaz((J2000_Bas+(2*0.04167)),$O1826,$M1826,DecLat,DecLong,1)</f>
        <v>-80.843236748479114</v>
      </c>
      <c r="AB1826" s="257">
        <f>altaz((J2000_Bas+(4*0.04167)),$O1826,$M1826,DecLat,DecLong,1)</f>
        <v>-64.702828791088663</v>
      </c>
      <c r="AC1826" s="257">
        <f>altaz((J2000_Bas+(6*0.04167)),$O1826,$M1826,DecLat,DecLong,1)</f>
        <v>-39.060414837341618</v>
      </c>
      <c r="AD1826" s="258">
        <f>1+ transit((J2000_Bas-1),$O1826,$M1826,DecLat,DecLong)/360 + (GMTOffset/24) + (IF(DST="Y", 1, 0)/24)</f>
        <v>1.3803189033692913</v>
      </c>
      <c r="AE1826" s="259">
        <f>DATE(2001,9,21)+(M1826/360)*365 - (360*((DecLong/360)- (GMTOffset/24) ))</f>
        <v>37301.40792824074</v>
      </c>
      <c r="AF1826" s="260">
        <f>IF(DecLat&gt;0,IF((90 - (DecLat-O1826))&gt;90, (90 - (O1826-DecLat)), (90 - (DecLat-O1826))),IF((90 + (DecLat-O1826))&gt;90, (90 + (O1826-DecLat)), (90 + (DecLat-O1826))))</f>
        <v>36.644999999999996</v>
      </c>
      <c r="AG1826" s="257">
        <f>angularseperation(MoonRA,MoonDec,$M1826,$O1826)</f>
        <v>96.048174950656332</v>
      </c>
      <c r="AH1826" s="261">
        <f ca="1">MIN(100,IF($O$5&gt;80,0+30*($AG1826/100),IF($O$5&gt;70,0+50*($AG1826/100),IF($O$5&gt;60,5+50*($AG1826/100),IF($O$5&gt;50,10+60*($AG1826/100),IF($O$5&gt;40,15+70*($AG1826/100),IF($O$5&gt;30,20+70*($AG1826/100),IF($O$5&gt;20,40+55*($AG1826/100),(80+(20-$O$5)+30*($AG1826/100))))))))))</f>
        <v>100</v>
      </c>
      <c r="AI1826" s="262">
        <v>2835</v>
      </c>
      <c r="AJ1826" s="262"/>
      <c r="AK1826" s="262"/>
      <c r="AL1826" s="263"/>
      <c r="AM1826" s="264"/>
      <c r="AN1826" s="263"/>
      <c r="AO1826" s="263"/>
      <c r="AP1826" s="265"/>
      <c r="AQ1826" s="266"/>
      <c r="AR1826" s="267">
        <v>26259</v>
      </c>
      <c r="AS1826" s="263"/>
      <c r="AT1826" s="263"/>
      <c r="AU1826" s="263"/>
      <c r="AV1826" s="264"/>
      <c r="AW1826" s="263"/>
      <c r="AX1826" s="263"/>
      <c r="AY1826" s="263"/>
      <c r="AZ1826" s="263"/>
      <c r="BA1826" s="263"/>
      <c r="BB1826" s="263"/>
      <c r="BC1826" s="263"/>
      <c r="BD1826" s="264"/>
      <c r="BE1826" s="263"/>
      <c r="BF1826" s="263"/>
      <c r="BG1826" s="263">
        <v>48</v>
      </c>
      <c r="BH1826" s="263"/>
      <c r="BI1826" s="263"/>
      <c r="BJ1826" s="404">
        <f>altaz(J2000_Bas,$O1826,$M1826,DecLat,DecLong,2)</f>
        <v>277.96173399478005</v>
      </c>
      <c r="BK1826" s="378" t="s">
        <v>1793</v>
      </c>
      <c r="BL1826" s="379">
        <f>IF((2*G1826)/60&lt;0.2,0.2,(2*G1826)/60)</f>
        <v>0.23333333333333334</v>
      </c>
      <c r="BM1826" s="380">
        <f>MOD((50000+AD1826-$B$3+(0/24)),1)</f>
        <v>0.59568583307554945</v>
      </c>
      <c r="BN1826" s="381" t="s">
        <v>9288</v>
      </c>
      <c r="BO1826" s="382">
        <v>1819</v>
      </c>
    </row>
    <row r="1827" spans="1:67" s="24" customFormat="1" ht="15" customHeight="1" x14ac:dyDescent="0.25">
      <c r="A1827" s="288" t="s">
        <v>1794</v>
      </c>
      <c r="B1827" s="241" t="str">
        <f>HYPERLINK(CONCATENATE($AT$3,BK1827,$AU$3),$AV$3)</f>
        <v>S</v>
      </c>
      <c r="C1827" s="242" t="str">
        <f>HYPERLINK(CONCATENATE($AT$4,BK1827,$AU$4,BL1827),$AV$4)</f>
        <v>A</v>
      </c>
      <c r="D1827" s="243" t="s">
        <v>5638</v>
      </c>
      <c r="E1827" s="244" t="s">
        <v>4292</v>
      </c>
      <c r="F1827" s="269" t="s">
        <v>8795</v>
      </c>
      <c r="G1827" s="273">
        <v>8.1</v>
      </c>
      <c r="H1827" s="283">
        <v>45</v>
      </c>
      <c r="I1827" s="246">
        <v>105</v>
      </c>
      <c r="J1827" s="246">
        <v>4</v>
      </c>
      <c r="K1827" s="247" t="s">
        <v>7291</v>
      </c>
      <c r="L1827" s="248">
        <v>92203</v>
      </c>
      <c r="M1827" s="249">
        <f>15*(LEFT(TEXT($L1827,"000000"),2)+(MID(TEXT($L1827,"000000"),3,2)/60)+(RIGHT(TEXT($L1827,"000000"),2)/3600))</f>
        <v>140.51249999999999</v>
      </c>
      <c r="N1827" s="250">
        <v>505835</v>
      </c>
      <c r="O1827" s="251">
        <f>IF($N1827&gt;0,(LEFT(TEXT($N1827,"000000"),2)+(MID(TEXT($N1827,"000000"),3,2)/60)+(RIGHT(TEXT($N1827,"000000"),2)/3600)),-(MID(TEXT($N1827,"000000"),2,2)+(MID(TEXT($N1827,"000000"),4,2)/60)+(RIGHT(TEXT($N1827,"000000"),2)/3600)))</f>
        <v>50.976388888888891</v>
      </c>
      <c r="P1827" s="252" t="s">
        <v>37</v>
      </c>
      <c r="Q1827" s="253" t="s">
        <v>6896</v>
      </c>
      <c r="R1827" s="247" t="s">
        <v>3293</v>
      </c>
      <c r="S1827" s="272" t="s">
        <v>3293</v>
      </c>
      <c r="T1827" s="273">
        <v>9.1999999999999993</v>
      </c>
      <c r="U1827" s="289">
        <v>21.59</v>
      </c>
      <c r="V1827" s="280">
        <v>70</v>
      </c>
      <c r="W1827" s="244"/>
      <c r="X1827" s="244"/>
      <c r="Y1827" s="362"/>
      <c r="Z1827" s="257">
        <f>altaz(J2000_Bas,$O1827,$M1827,DecLat,DecLong,1)</f>
        <v>-2.5567044240095216</v>
      </c>
      <c r="AA1827" s="257">
        <f>altaz((J2000_Bas+(2*0.04167)),$O1827,$M1827,DecLat,DecLong,1)</f>
        <v>-7.9305209422080081</v>
      </c>
      <c r="AB1827" s="257">
        <f>altaz((J2000_Bas+(4*0.04167)),$O1827,$M1827,DecLat,DecLong,1)</f>
        <v>-4.9541309692936339</v>
      </c>
      <c r="AC1827" s="257">
        <f>altaz((J2000_Bas+(6*0.04167)),$O1827,$M1827,DecLat,DecLong,1)</f>
        <v>5.5277372051844136</v>
      </c>
      <c r="AD1827" s="258">
        <f>1+ transit((J2000_Bas-1),$O1827,$M1827,DecLat,DecLong)/360 + (GMTOffset/24) + (IF(DST="Y", 1, 0)/24)</f>
        <v>1.383212421598458</v>
      </c>
      <c r="AE1827" s="259">
        <f>DATE(2001,9,21)+(M1827/360)*365 - (360*((DecLong/360)- (GMTOffset/24) ))</f>
        <v>37302.464062500003</v>
      </c>
      <c r="AF1827" s="260">
        <f>IF(DecLat&gt;0,IF((90 - (DecLat-O1827))&gt;90, (90 - (O1827-DecLat)), (90 - (DecLat-O1827))),IF((90 + (DecLat-O1827))&gt;90, (90 + (O1827-DecLat)), (90 + (DecLat-O1827))))</f>
        <v>70.023611111111109</v>
      </c>
      <c r="AG1827" s="257">
        <f>angularseperation(MoonRA,MoonDec,$M1827,$O1827)</f>
        <v>122.25720668402086</v>
      </c>
      <c r="AH1827" s="261">
        <f ca="1">MIN(100,IF($O$5&gt;80,0+30*($AG1827/100),IF($O$5&gt;70,0+50*($AG1827/100),IF($O$5&gt;60,5+50*($AG1827/100),IF($O$5&gt;50,10+60*($AG1827/100),IF($O$5&gt;40,15+70*($AG1827/100),IF($O$5&gt;30,20+70*($AG1827/100),IF($O$5&gt;20,40+55*($AG1827/100),(80+(20-$O$5)+30*($AG1827/100))))))))))</f>
        <v>100</v>
      </c>
      <c r="AI1827" s="262">
        <v>2841</v>
      </c>
      <c r="AJ1827" s="262"/>
      <c r="AK1827" s="262">
        <v>128</v>
      </c>
      <c r="AL1827" s="263"/>
      <c r="AM1827" s="264"/>
      <c r="AN1827" s="263"/>
      <c r="AO1827" s="263"/>
      <c r="AP1827" s="265"/>
      <c r="AQ1827" s="266">
        <v>4966</v>
      </c>
      <c r="AR1827" s="267">
        <v>26512</v>
      </c>
      <c r="AS1827" s="263"/>
      <c r="AT1827" s="263"/>
      <c r="AU1827" s="263"/>
      <c r="AV1827" s="264"/>
      <c r="AW1827" s="263"/>
      <c r="AX1827" s="263"/>
      <c r="AY1827" s="263"/>
      <c r="AZ1827" s="263"/>
      <c r="BA1827" s="263"/>
      <c r="BB1827" s="263"/>
      <c r="BC1827" s="263"/>
      <c r="BD1827" s="264"/>
      <c r="BE1827" s="263">
        <v>49</v>
      </c>
      <c r="BF1827" s="263"/>
      <c r="BG1827" s="263"/>
      <c r="BH1827" s="263"/>
      <c r="BI1827" s="263"/>
      <c r="BJ1827" s="404">
        <f>altaz(J2000_Bas,$O1827,$M1827,DecLat,DecLong,2)</f>
        <v>339.07919394983799</v>
      </c>
      <c r="BK1827" s="378" t="s">
        <v>1794</v>
      </c>
      <c r="BL1827" s="379">
        <f>IF((2*G1827)/60&lt;0.2,0.2,(2*G1827)/60)</f>
        <v>0.26999999999999996</v>
      </c>
      <c r="BM1827" s="380">
        <f>MOD((50000+AD1827-$B$3+(0/24)),1)</f>
        <v>0.59857935130276019</v>
      </c>
      <c r="BN1827" s="381"/>
      <c r="BO1827" s="382">
        <v>1820</v>
      </c>
    </row>
    <row r="1828" spans="1:67" s="24" customFormat="1" ht="15" customHeight="1" x14ac:dyDescent="0.25">
      <c r="A1828" s="288" t="s">
        <v>1795</v>
      </c>
      <c r="B1828" s="241" t="str">
        <f>HYPERLINK(CONCATENATE($AT$3,BK1828,$AU$3),$AV$3)</f>
        <v>S</v>
      </c>
      <c r="C1828" s="242" t="str">
        <f>HYPERLINK(CONCATENATE($AT$4,BK1828,$AU$4,BL1828),$AV$4)</f>
        <v>A</v>
      </c>
      <c r="D1828" s="243" t="s">
        <v>5638</v>
      </c>
      <c r="E1828" s="244" t="s">
        <v>5182</v>
      </c>
      <c r="F1828" s="269" t="s">
        <v>8958</v>
      </c>
      <c r="G1828" s="273">
        <v>5</v>
      </c>
      <c r="H1828" s="283">
        <v>70</v>
      </c>
      <c r="I1828" s="246">
        <v>100</v>
      </c>
      <c r="J1828" s="246">
        <v>3</v>
      </c>
      <c r="K1828" s="247" t="s">
        <v>7292</v>
      </c>
      <c r="L1828" s="248">
        <v>92419</v>
      </c>
      <c r="M1828" s="249">
        <f>15*(LEFT(TEXT($L1828,"000000"),2)+(MID(TEXT($L1828,"000000"),3,2)/60)+(RIGHT(TEXT($L1828,"000000"),2)/3600))</f>
        <v>141.07916666666668</v>
      </c>
      <c r="N1828" s="250">
        <v>343047</v>
      </c>
      <c r="O1828" s="251">
        <f>IF($N1828&gt;0,(LEFT(TEXT($N1828,"000000"),2)+(MID(TEXT($N1828,"000000"),3,2)/60)+(RIGHT(TEXT($N1828,"000000"),2)/3600)),-(MID(TEXT($N1828,"000000"),2,2)+(MID(TEXT($N1828,"000000"),4,2)/60)+(RIGHT(TEXT($N1828,"000000"),2)/3600)))</f>
        <v>34.513055555555553</v>
      </c>
      <c r="P1828" s="252" t="s">
        <v>239</v>
      </c>
      <c r="Q1828" s="253"/>
      <c r="R1828" s="247" t="s">
        <v>3293</v>
      </c>
      <c r="S1828" s="272" t="s">
        <v>3293</v>
      </c>
      <c r="T1828" s="273">
        <v>10.9</v>
      </c>
      <c r="U1828" s="289">
        <v>22.69</v>
      </c>
      <c r="V1828" s="280">
        <v>40</v>
      </c>
      <c r="W1828" s="244"/>
      <c r="X1828" s="244"/>
      <c r="Y1828" s="362"/>
      <c r="Z1828" s="257">
        <f>altaz(J2000_Bas,$O1828,$M1828,DecLat,DecLong,1)</f>
        <v>-16.631229283434838</v>
      </c>
      <c r="AA1828" s="257">
        <f>altaz((J2000_Bas+(2*0.04167)),$O1828,$M1828,DecLat,DecLong,1)</f>
        <v>-24.318384604091641</v>
      </c>
      <c r="AB1828" s="257">
        <f>altaz((J2000_Bas+(4*0.04167)),$O1828,$M1828,DecLat,DecLong,1)</f>
        <v>-20.354509432267282</v>
      </c>
      <c r="AC1828" s="257">
        <f>altaz((J2000_Bas+(6*0.04167)),$O1828,$M1828,DecLat,DecLong,1)</f>
        <v>-6.4024420034783578</v>
      </c>
      <c r="AD1828" s="258">
        <f>1+ transit((J2000_Bas-1),$O1828,$M1828,DecLat,DecLong)/360 + (GMTOffset/24) + (IF(DST="Y", 1, 0)/24)</f>
        <v>1.3847864955151248</v>
      </c>
      <c r="AE1828" s="259">
        <f>DATE(2001,9,21)+(M1828/360)*365 - (360*((DecLong/360)- (GMTOffset/24) ))</f>
        <v>37303.038599537038</v>
      </c>
      <c r="AF1828" s="260">
        <f>IF(DecLat&gt;0,IF((90 - (DecLat-O1828))&gt;90, (90 - (O1828-DecLat)), (90 - (DecLat-O1828))),IF((90 + (DecLat-O1828))&gt;90, (90 + (O1828-DecLat)), (90 + (DecLat-O1828))))</f>
        <v>86.486944444444447</v>
      </c>
      <c r="AG1828" s="257">
        <f>angularseperation(MoonRA,MoonDec,$M1828,$O1828)</f>
        <v>119.12103980277787</v>
      </c>
      <c r="AH1828" s="261">
        <f ca="1">MIN(100,IF($O$5&gt;80,0+30*($AG1828/100),IF($O$5&gt;70,0+50*($AG1828/100),IF($O$5&gt;60,5+50*($AG1828/100),IF($O$5&gt;50,10+60*($AG1828/100),IF($O$5&gt;40,15+70*($AG1828/100),IF($O$5&gt;30,20+70*($AG1828/100),IF($O$5&gt;20,40+55*($AG1828/100),(80+(20-$O$5)+30*($AG1828/100))))))))))</f>
        <v>100</v>
      </c>
      <c r="AI1828" s="262">
        <v>2859</v>
      </c>
      <c r="AJ1828" s="262"/>
      <c r="AK1828" s="262">
        <v>129</v>
      </c>
      <c r="AL1828" s="263"/>
      <c r="AM1828" s="264"/>
      <c r="AN1828" s="263"/>
      <c r="AO1828" s="263"/>
      <c r="AP1828" s="265"/>
      <c r="AQ1828" s="266">
        <v>5001</v>
      </c>
      <c r="AR1828" s="267">
        <v>26649</v>
      </c>
      <c r="AS1828" s="263"/>
      <c r="AT1828" s="263"/>
      <c r="AU1828" s="263"/>
      <c r="AV1828" s="264"/>
      <c r="AW1828" s="263"/>
      <c r="AX1828" s="263"/>
      <c r="AY1828" s="263"/>
      <c r="AZ1828" s="263"/>
      <c r="BA1828" s="263"/>
      <c r="BB1828" s="263"/>
      <c r="BC1828" s="263"/>
      <c r="BD1828" s="264"/>
      <c r="BE1828" s="263"/>
      <c r="BF1828" s="263"/>
      <c r="BG1828" s="263"/>
      <c r="BH1828" s="263"/>
      <c r="BI1828" s="263"/>
      <c r="BJ1828" s="404">
        <f>altaz(J2000_Bas,$O1828,$M1828,DecLat,DecLong,2)</f>
        <v>330.3829479218349</v>
      </c>
      <c r="BK1828" s="378" t="s">
        <v>1795</v>
      </c>
      <c r="BL1828" s="379">
        <f>IF((2*G1828)/60&lt;0.2,0.2,(2*G1828)/60)</f>
        <v>0.2</v>
      </c>
      <c r="BM1828" s="380">
        <f>MOD((50000+AD1828-$B$3+(0/24)),1)</f>
        <v>0.60015342522092396</v>
      </c>
      <c r="BN1828" s="381"/>
      <c r="BO1828" s="382">
        <v>1821</v>
      </c>
    </row>
    <row r="1829" spans="1:67" s="24" customFormat="1" ht="15" customHeight="1" x14ac:dyDescent="0.25">
      <c r="A1829" s="298" t="s">
        <v>1796</v>
      </c>
      <c r="B1829" s="241" t="str">
        <f>HYPERLINK(CONCATENATE($AT$3,BK1829,$AU$3),$AV$3)</f>
        <v>S</v>
      </c>
      <c r="C1829" s="242" t="str">
        <f>HYPERLINK(CONCATENATE($AT$4,BK1829,$AU$4,BL1829),$AV$4)</f>
        <v>A</v>
      </c>
      <c r="D1829" s="243" t="s">
        <v>5187</v>
      </c>
      <c r="E1829" s="244" t="s">
        <v>5181</v>
      </c>
      <c r="F1829" s="269" t="s">
        <v>7294</v>
      </c>
      <c r="G1829" s="273">
        <v>1.2</v>
      </c>
      <c r="H1829" s="283">
        <v>8500</v>
      </c>
      <c r="I1829" s="279">
        <v>3</v>
      </c>
      <c r="J1829" s="246">
        <v>2</v>
      </c>
      <c r="K1829" s="247" t="s">
        <v>7293</v>
      </c>
      <c r="L1829" s="248">
        <v>92124</v>
      </c>
      <c r="M1829" s="249">
        <f>15*(LEFT(TEXT($L1829,"000000"),2)+(MID(TEXT($L1829,"000000"),3,2)/60)+(RIGHT(TEXT($L1829,"000000"),2)/3600))</f>
        <v>140.35</v>
      </c>
      <c r="N1829" s="286">
        <v>-581900</v>
      </c>
      <c r="O1829" s="251">
        <f>IF($N1829&gt;0,(LEFT(TEXT($N1829,"000000"),2)+(MID(TEXT($N1829,"000000"),3,2)/60)+(RIGHT(TEXT($N1829,"000000"),2)/3600)),-(MID(TEXT($N1829,"000000"),2,2)+(MID(TEXT($N1829,"000000"),4,2)/60)+(RIGHT(TEXT($N1829,"000000"),2)/3600)))</f>
        <v>-58.31666666666667</v>
      </c>
      <c r="P1829" s="252" t="s">
        <v>1000</v>
      </c>
      <c r="Q1829" s="253"/>
      <c r="R1829" s="247" t="s">
        <v>7402</v>
      </c>
      <c r="S1829" s="272" t="s">
        <v>3293</v>
      </c>
      <c r="T1829" s="273">
        <v>9.6999999999999993</v>
      </c>
      <c r="U1829" s="274"/>
      <c r="V1829" s="280">
        <v>65</v>
      </c>
      <c r="W1829" s="244"/>
      <c r="X1829" s="244"/>
      <c r="Y1829" s="362"/>
      <c r="Z1829" s="257">
        <f>altaz(J2000_Bas,$O1829,$M1829,DecLat,DecLong,1)</f>
        <v>-54.09421945771328</v>
      </c>
      <c r="AA1829" s="257">
        <f>altaz((J2000_Bas+(2*0.04167)),$O1829,$M1829,DecLat,DecLong,1)</f>
        <v>-62.528240575973513</v>
      </c>
      <c r="AB1829" s="257">
        <f>altaz((J2000_Bas+(4*0.04167)),$O1829,$M1829,DecLat,DecLong,1)</f>
        <v>-57.515045276402248</v>
      </c>
      <c r="AC1829" s="257">
        <f>altaz((J2000_Bas+(6*0.04167)),$O1829,$M1829,DecLat,DecLong,1)</f>
        <v>-43.680835692216824</v>
      </c>
      <c r="AD1829" s="258">
        <f>1+ transit((J2000_Bas-1),$O1829,$M1829,DecLat,DecLong)/360 + (GMTOffset/24) + (IF(DST="Y", 1, 0)/24)</f>
        <v>1.382761032754708</v>
      </c>
      <c r="AE1829" s="259">
        <f>DATE(2001,9,21)+(M1829/360)*365 - (360*((DecLong/360)- (GMTOffset/24) ))</f>
        <v>37302.299305555556</v>
      </c>
      <c r="AF1829" s="260">
        <f>IF(DecLat&gt;0,IF((90 - (DecLat-O1829))&gt;90, (90 - (O1829-DecLat)), (90 - (DecLat-O1829))),IF((90 + (DecLat-O1829))&gt;90, (90 + (O1829-DecLat)), (90 + (DecLat-O1829))))</f>
        <v>0.68333333333333712</v>
      </c>
      <c r="AG1829" s="257">
        <f>angularseperation(MoonRA,MoonDec,$M1829,$O1829)</f>
        <v>76.347556501151999</v>
      </c>
      <c r="AH1829" s="261">
        <f ca="1">MIN(100,IF($O$5&gt;80,0+30*($AG1829/100),IF($O$5&gt;70,0+50*($AG1829/100),IF($O$5&gt;60,5+50*($AG1829/100),IF($O$5&gt;50,10+60*($AG1829/100),IF($O$5&gt;40,15+70*($AG1829/100),IF($O$5&gt;30,20+70*($AG1829/100),IF($O$5&gt;20,40+55*($AG1829/100),(80+(20-$O$5)+30*($AG1829/100))))))))))</f>
        <v>100</v>
      </c>
      <c r="AI1829" s="262">
        <v>2867</v>
      </c>
      <c r="AJ1829" s="262"/>
      <c r="AK1829" s="262"/>
      <c r="AL1829" s="263"/>
      <c r="AM1829" s="264">
        <v>90</v>
      </c>
      <c r="AN1829" s="263"/>
      <c r="AO1829" s="263"/>
      <c r="AP1829" s="265"/>
      <c r="AQ1829" s="266"/>
      <c r="AR1829" s="267"/>
      <c r="AS1829" s="263"/>
      <c r="AT1829" s="263"/>
      <c r="AU1829" s="263"/>
      <c r="AV1829" s="264"/>
      <c r="AW1829" s="263"/>
      <c r="AX1829" s="263"/>
      <c r="AY1829" s="263"/>
      <c r="AZ1829" s="263"/>
      <c r="BA1829" s="263"/>
      <c r="BB1829" s="263"/>
      <c r="BC1829" s="263"/>
      <c r="BD1829" s="264"/>
      <c r="BE1829" s="263"/>
      <c r="BF1829" s="263"/>
      <c r="BG1829" s="263"/>
      <c r="BH1829" s="263"/>
      <c r="BI1829" s="263"/>
      <c r="BJ1829" s="404">
        <f>altaz(J2000_Bas,$O1829,$M1829,DecLat,DecLong,2)</f>
        <v>210.35136874246558</v>
      </c>
      <c r="BK1829" s="378" t="s">
        <v>1796</v>
      </c>
      <c r="BL1829" s="379">
        <f>IF((2*G1829)/60&lt;0.2,0.2,(2*G1829)/60)</f>
        <v>0.2</v>
      </c>
      <c r="BM1829" s="380">
        <f>MOD((50000+AD1829-$B$3+(0/24)),1)</f>
        <v>0.59812796246114885</v>
      </c>
      <c r="BN1829" s="381"/>
      <c r="BO1829" s="382">
        <v>1822</v>
      </c>
    </row>
    <row r="1830" spans="1:67" s="24" customFormat="1" ht="15" customHeight="1" x14ac:dyDescent="0.25">
      <c r="A1830" s="288" t="s">
        <v>1797</v>
      </c>
      <c r="B1830" s="241" t="str">
        <f>HYPERLINK(CONCATENATE($AT$3,BK1830,$AU$3),$AV$3)</f>
        <v>S</v>
      </c>
      <c r="C1830" s="242" t="str">
        <f>HYPERLINK(CONCATENATE($AT$4,BK1830,$AU$4,BL1830),$AV$4)</f>
        <v>A</v>
      </c>
      <c r="D1830" s="243" t="s">
        <v>5638</v>
      </c>
      <c r="E1830" s="244" t="s">
        <v>5337</v>
      </c>
      <c r="F1830" s="269" t="s">
        <v>9132</v>
      </c>
      <c r="G1830" s="273">
        <v>3</v>
      </c>
      <c r="H1830" s="283">
        <v>300</v>
      </c>
      <c r="I1830" s="246">
        <v>250</v>
      </c>
      <c r="J1830" s="246">
        <v>2</v>
      </c>
      <c r="K1830" s="247" t="s">
        <v>8439</v>
      </c>
      <c r="L1830" s="248">
        <v>92514</v>
      </c>
      <c r="M1830" s="249">
        <f>15*(LEFT(TEXT($L1830,"000000"),2)+(MID(TEXT($L1830,"000000"),3,2)/60)+(RIGHT(TEXT($L1830,"000000"),2)/3600))</f>
        <v>141.30833333333334</v>
      </c>
      <c r="N1830" s="250">
        <v>-64301</v>
      </c>
      <c r="O1830" s="251">
        <f>IF($N1830&gt;0,(LEFT(TEXT($N1830,"000000"),2)+(MID(TEXT($N1830,"000000"),3,2)/60)+(RIGHT(TEXT($N1830,"000000"),2)/3600)),-(MID(TEXT($N1830,"000000"),2,2)+(MID(TEXT($N1830,"000000"),4,2)/60)+(RIGHT(TEXT($N1830,"000000"),2)/3600)))</f>
        <v>-6.7169444444444446</v>
      </c>
      <c r="P1830" s="252" t="s">
        <v>103</v>
      </c>
      <c r="Q1830" s="253"/>
      <c r="R1830" s="277" t="s">
        <v>3293</v>
      </c>
      <c r="S1830" s="272" t="s">
        <v>3293</v>
      </c>
      <c r="T1830" s="273">
        <v>14</v>
      </c>
      <c r="U1830" s="289">
        <v>22.59</v>
      </c>
      <c r="V1830" s="280"/>
      <c r="W1830" s="244"/>
      <c r="X1830" s="244"/>
      <c r="Y1830" s="362"/>
      <c r="Z1830" s="257">
        <f>altaz(J2000_Bas,$O1830,$M1830,DecLat,DecLong,1)</f>
        <v>-49.02159962375066</v>
      </c>
      <c r="AA1830" s="257">
        <f>altaz((J2000_Bas+(2*0.04167)),$O1830,$M1830,DecLat,DecLong,1)</f>
        <v>-65.229433578178288</v>
      </c>
      <c r="AB1830" s="257">
        <f>altaz((J2000_Bas+(4*0.04167)),$O1830,$M1830,DecLat,DecLong,1)</f>
        <v>-56.369022999592879</v>
      </c>
      <c r="AC1830" s="257">
        <f>altaz((J2000_Bas+(6*0.04167)),$O1830,$M1830,DecLat,DecLong,1)</f>
        <v>-33.308791234099601</v>
      </c>
      <c r="AD1830" s="258">
        <f>1+ transit((J2000_Bas-1),$O1830,$M1830,DecLat,DecLong)/360 + (GMTOffset/24) + (IF(DST="Y", 1, 0)/24)</f>
        <v>1.3854230695255414</v>
      </c>
      <c r="AE1830" s="259">
        <f>DATE(2001,9,21)+(M1830/360)*365 - (360*((DecLong/360)- (GMTOffset/24) ))</f>
        <v>37303.270949074074</v>
      </c>
      <c r="AF1830" s="260">
        <f>IF(DecLat&gt;0,IF((90 - (DecLat-O1830))&gt;90, (90 - (O1830-DecLat)), (90 - (DecLat-O1830))),IF((90 + (DecLat-O1830))&gt;90, (90 + (O1830-DecLat)), (90 + (DecLat-O1830))))</f>
        <v>52.283055555555556</v>
      </c>
      <c r="AG1830" s="257">
        <f>angularseperation(MoonRA,MoonDec,$M1830,$O1830)</f>
        <v>102.65105508034661</v>
      </c>
      <c r="AH1830" s="261">
        <f ca="1">MIN(100,IF($O$5&gt;80,0+30*($AG1830/100),IF($O$5&gt;70,0+50*($AG1830/100),IF($O$5&gt;60,5+50*($AG1830/100),IF($O$5&gt;50,10+60*($AG1830/100),IF($O$5&gt;40,15+70*($AG1830/100),IF($O$5&gt;30,20+70*($AG1830/100),IF($O$5&gt;20,40+55*($AG1830/100),(80+(20-$O$5)+30*($AG1830/100))))))))))</f>
        <v>100</v>
      </c>
      <c r="AI1830" s="262">
        <v>2876</v>
      </c>
      <c r="AJ1830" s="263"/>
      <c r="AK1830" s="263"/>
      <c r="AL1830" s="263"/>
      <c r="AM1830" s="264"/>
      <c r="AN1830" s="263"/>
      <c r="AO1830" s="263"/>
      <c r="AP1830" s="265"/>
      <c r="AQ1830" s="265"/>
      <c r="AR1830" s="285">
        <v>26710</v>
      </c>
      <c r="AS1830" s="263"/>
      <c r="AT1830" s="263"/>
      <c r="AU1830" s="263"/>
      <c r="AV1830" s="264"/>
      <c r="AW1830" s="263"/>
      <c r="AX1830" s="263"/>
      <c r="AY1830" s="263"/>
      <c r="AZ1830" s="263"/>
      <c r="BA1830" s="263"/>
      <c r="BB1830" s="263"/>
      <c r="BC1830" s="263"/>
      <c r="BD1830" s="264"/>
      <c r="BE1830" s="263"/>
      <c r="BF1830" s="263"/>
      <c r="BG1830" s="263"/>
      <c r="BH1830" s="263"/>
      <c r="BI1830" s="263"/>
      <c r="BJ1830" s="404">
        <f>altaz(J2000_Bas,$O1830,$M1830,DecLat,DecLong,2)</f>
        <v>298.92444988847814</v>
      </c>
      <c r="BK1830" s="378" t="s">
        <v>1797</v>
      </c>
      <c r="BL1830" s="379">
        <f>IF((2*G1830)/60&lt;0.2,0.2,(2*G1830)/60)</f>
        <v>0.2</v>
      </c>
      <c r="BM1830" s="380">
        <f>MOD((50000+AD1830-$B$3+(0/24)),1)</f>
        <v>0.60078999923280207</v>
      </c>
      <c r="BN1830" s="381" t="s">
        <v>9281</v>
      </c>
      <c r="BO1830" s="382">
        <v>1823</v>
      </c>
    </row>
    <row r="1831" spans="1:67" s="24" customFormat="1" ht="15" customHeight="1" x14ac:dyDescent="0.25">
      <c r="A1831" s="288" t="s">
        <v>1798</v>
      </c>
      <c r="B1831" s="241" t="str">
        <f>HYPERLINK(CONCATENATE($AT$3,BK1831,$AU$3),$AV$3)</f>
        <v>S</v>
      </c>
      <c r="C1831" s="242" t="str">
        <f>HYPERLINK(CONCATENATE($AT$4,BK1831,$AU$4,BL1831),$AV$4)</f>
        <v>A</v>
      </c>
      <c r="D1831" s="243" t="s">
        <v>5638</v>
      </c>
      <c r="E1831" s="244" t="s">
        <v>5182</v>
      </c>
      <c r="F1831" s="269" t="s">
        <v>3300</v>
      </c>
      <c r="G1831" s="273">
        <v>2.5</v>
      </c>
      <c r="H1831" s="283">
        <v>238.27608000000004</v>
      </c>
      <c r="I1831" s="246">
        <v>190</v>
      </c>
      <c r="J1831" s="246">
        <v>2</v>
      </c>
      <c r="K1831" s="247" t="s">
        <v>9574</v>
      </c>
      <c r="L1831" s="248">
        <v>92624</v>
      </c>
      <c r="M1831" s="249">
        <f>15*(LEFT(TEXT($L1831,"000000"),2)+(MID(TEXT($L1831,"000000"),3,2)/60)+(RIGHT(TEXT($L1831,"000000"),2)/3600))</f>
        <v>141.6</v>
      </c>
      <c r="N1831" s="250">
        <v>-113319</v>
      </c>
      <c r="O1831" s="251">
        <f>IF($N1831&gt;0,(LEFT(TEXT($N1831,"000000"),2)+(MID(TEXT($N1831,"000000"),3,2)/60)+(RIGHT(TEXT($N1831,"000000"),2)/3600)),-(MID(TEXT($N1831,"000000"),2,2)+(MID(TEXT($N1831,"000000"),4,2)/60)+(RIGHT(TEXT($N1831,"000000"),2)/3600)))</f>
        <v>-11.555277777777778</v>
      </c>
      <c r="P1831" s="252" t="s">
        <v>103</v>
      </c>
      <c r="Q1831" s="253"/>
      <c r="R1831" s="277" t="s">
        <v>3293</v>
      </c>
      <c r="S1831" s="272" t="s">
        <v>7295</v>
      </c>
      <c r="T1831" s="273">
        <v>12.6</v>
      </c>
      <c r="U1831" s="289">
        <v>22.19</v>
      </c>
      <c r="V1831" s="280"/>
      <c r="W1831" s="244"/>
      <c r="X1831" s="244"/>
      <c r="Y1831" s="362"/>
      <c r="Z1831" s="257">
        <f>altaz(J2000_Bas,$O1831,$M1831,DecLat,DecLong,1)</f>
        <v>-51.815914101249206</v>
      </c>
      <c r="AA1831" s="257">
        <f>altaz((J2000_Bas+(2*0.04167)),$O1831,$M1831,DecLat,DecLong,1)</f>
        <v>-69.897426085760415</v>
      </c>
      <c r="AB1831" s="257">
        <f>altaz((J2000_Bas+(4*0.04167)),$O1831,$M1831,DecLat,DecLong,1)</f>
        <v>-60.101822818655023</v>
      </c>
      <c r="AC1831" s="257">
        <f>altaz((J2000_Bas+(6*0.04167)),$O1831,$M1831,DecLat,DecLong,1)</f>
        <v>-36.084199186919328</v>
      </c>
      <c r="AD1831" s="258">
        <f>1+ transit((J2000_Bas-1),$O1831,$M1831,DecLat,DecLong)/360 + (GMTOffset/24) + (IF(DST="Y", 1, 0)/24)</f>
        <v>1.386233254629708</v>
      </c>
      <c r="AE1831" s="259">
        <f>DATE(2001,9,21)+(M1831/360)*365 - (360*((DecLong/360)- (GMTOffset/24) ))</f>
        <v>37303.566666666666</v>
      </c>
      <c r="AF1831" s="260">
        <f>IF(DecLat&gt;0,IF((90 - (DecLat-O1831))&gt;90, (90 - (O1831-DecLat)), (90 - (DecLat-O1831))),IF((90 + (DecLat-O1831))&gt;90, (90 + (O1831-DecLat)), (90 + (DecLat-O1831))))</f>
        <v>47.444722222222225</v>
      </c>
      <c r="AG1831" s="257">
        <f>angularseperation(MoonRA,MoonDec,$M1831,$O1831)</f>
        <v>99.971677591555931</v>
      </c>
      <c r="AH1831" s="261">
        <f ca="1">MIN(100,IF($O$5&gt;80,0+30*($AG1831/100),IF($O$5&gt;70,0+50*($AG1831/100),IF($O$5&gt;60,5+50*($AG1831/100),IF($O$5&gt;50,10+60*($AG1831/100),IF($O$5&gt;40,15+70*($AG1831/100),IF($O$5&gt;30,20+70*($AG1831/100),IF($O$5&gt;20,40+55*($AG1831/100),(80+(20-$O$5)+30*($AG1831/100))))))))))</f>
        <v>100</v>
      </c>
      <c r="AI1831" s="262">
        <v>2884</v>
      </c>
      <c r="AJ1831" s="263"/>
      <c r="AK1831" s="263"/>
      <c r="AL1831" s="263"/>
      <c r="AM1831" s="264"/>
      <c r="AN1831" s="263"/>
      <c r="AO1831" s="263"/>
      <c r="AP1831" s="265"/>
      <c r="AQ1831" s="265"/>
      <c r="AR1831" s="285">
        <v>26773</v>
      </c>
      <c r="AS1831" s="263"/>
      <c r="AT1831" s="263"/>
      <c r="AU1831" s="263"/>
      <c r="AV1831" s="264"/>
      <c r="AW1831" s="263"/>
      <c r="AX1831" s="263"/>
      <c r="AY1831" s="263"/>
      <c r="AZ1831" s="263"/>
      <c r="BA1831" s="263"/>
      <c r="BB1831" s="263"/>
      <c r="BC1831" s="263"/>
      <c r="BD1831" s="264"/>
      <c r="BE1831" s="263"/>
      <c r="BF1831" s="263"/>
      <c r="BG1831" s="263"/>
      <c r="BH1831" s="263"/>
      <c r="BI1831" s="263"/>
      <c r="BJ1831" s="404">
        <f>altaz(J2000_Bas,$O1831,$M1831,DecLat,DecLong,2)</f>
        <v>292.70384023654839</v>
      </c>
      <c r="BK1831" s="378" t="s">
        <v>1798</v>
      </c>
      <c r="BL1831" s="379">
        <f>IF((2*G1831)/60&lt;0.2,0.2,(2*G1831)/60)</f>
        <v>0.2</v>
      </c>
      <c r="BM1831" s="380">
        <f>MOD((50000+AD1831-$B$3+(0/24)),1)</f>
        <v>0.60160018433089135</v>
      </c>
      <c r="BN1831" s="381"/>
      <c r="BO1831" s="382">
        <v>1824</v>
      </c>
    </row>
    <row r="1832" spans="1:67" s="24" customFormat="1" ht="15" customHeight="1" x14ac:dyDescent="0.25">
      <c r="A1832" s="288" t="s">
        <v>3192</v>
      </c>
      <c r="B1832" s="241" t="str">
        <f>HYPERLINK(CONCATENATE($AT$3,BK1832,$AU$3),$AV$3)</f>
        <v>S</v>
      </c>
      <c r="C1832" s="242" t="str">
        <f>HYPERLINK(CONCATENATE($AT$4,BK1832,$AU$4,BL1832),$AV$4)</f>
        <v>A</v>
      </c>
      <c r="D1832" s="243" t="s">
        <v>5638</v>
      </c>
      <c r="E1832" s="244" t="s">
        <v>5193</v>
      </c>
      <c r="F1832" s="269" t="s">
        <v>3303</v>
      </c>
      <c r="G1832" s="273">
        <v>1.5</v>
      </c>
      <c r="H1832" s="283">
        <v>110</v>
      </c>
      <c r="I1832" s="246">
        <v>50</v>
      </c>
      <c r="J1832" s="246">
        <v>2</v>
      </c>
      <c r="K1832" s="247" t="s">
        <v>8711</v>
      </c>
      <c r="L1832" s="248">
        <v>92620</v>
      </c>
      <c r="M1832" s="249">
        <f>15*(LEFT(TEXT($L1832,"000000"),2)+(MID(TEXT($L1832,"000000"),3,2)/60)+(RIGHT(TEXT($L1832,"000000"),2)/3600))</f>
        <v>141.58333333333334</v>
      </c>
      <c r="N1832" s="250">
        <v>-280207</v>
      </c>
      <c r="O1832" s="251">
        <f>IF($N1832&gt;0,(LEFT(TEXT($N1832,"000000"),2)+(MID(TEXT($N1832,"000000"),3,2)/60)+(RIGHT(TEXT($N1832,"000000"),2)/3600)),-(MID(TEXT($N1832,"000000"),2,2)+(MID(TEXT($N1832,"000000"),4,2)/60)+(RIGHT(TEXT($N1832,"000000"),2)/3600)))</f>
        <v>-28.035277777777779</v>
      </c>
      <c r="P1832" s="252" t="s">
        <v>96</v>
      </c>
      <c r="Q1832" s="253"/>
      <c r="R1832" s="277" t="s">
        <v>3293</v>
      </c>
      <c r="S1832" s="272" t="s">
        <v>2715</v>
      </c>
      <c r="T1832" s="273">
        <v>12.6</v>
      </c>
      <c r="U1832" s="289">
        <v>21.89</v>
      </c>
      <c r="V1832" s="280">
        <v>55</v>
      </c>
      <c r="W1832" s="244"/>
      <c r="X1832" s="244"/>
      <c r="Y1832" s="362"/>
      <c r="Z1832" s="257">
        <f>altaz(J2000_Bas,$O1832,$M1832,DecLat,DecLong,1)</f>
        <v>-59.026399265987401</v>
      </c>
      <c r="AA1832" s="257">
        <f>altaz((J2000_Bas+(2*0.04167)),$O1832,$M1832,DecLat,DecLong,1)</f>
        <v>-84.374138760832906</v>
      </c>
      <c r="AB1832" s="257">
        <f>altaz((J2000_Bas+(4*0.04167)),$O1832,$M1832,DecLat,DecLong,1)</f>
        <v>-68.443350088847723</v>
      </c>
      <c r="AC1832" s="257">
        <f>altaz((J2000_Bas+(6*0.04167)),$O1832,$M1832,DecLat,DecLong,1)</f>
        <v>-42.809764782109724</v>
      </c>
      <c r="AD1832" s="258">
        <f>1+ transit((J2000_Bas-1),$O1832,$M1832,DecLat,DecLong)/360 + (GMTOffset/24) + (IF(DST="Y", 1, 0)/24)</f>
        <v>1.3861869583380413</v>
      </c>
      <c r="AE1832" s="259">
        <f>DATE(2001,9,21)+(M1832/360)*365 - (360*((DecLong/360)- (GMTOffset/24) ))</f>
        <v>37303.549768518518</v>
      </c>
      <c r="AF1832" s="260">
        <f>IF(DecLat&gt;0,IF((90 - (DecLat-O1832))&gt;90, (90 - (O1832-DecLat)), (90 - (DecLat-O1832))),IF((90 + (DecLat-O1832))&gt;90, (90 + (O1832-DecLat)), (90 + (DecLat-O1832))))</f>
        <v>30.964722222222221</v>
      </c>
      <c r="AG1832" s="257">
        <f>angularseperation(MoonRA,MoonDec,$M1832,$O1832)</f>
        <v>91.39763646078859</v>
      </c>
      <c r="AH1832" s="261">
        <f ca="1">MIN(100,IF($O$5&gt;80,0+30*($AG1832/100),IF($O$5&gt;70,0+50*($AG1832/100),IF($O$5&gt;60,5+50*($AG1832/100),IF($O$5&gt;50,10+60*($AG1832/100),IF($O$5&gt;40,15+70*($AG1832/100),IF($O$5&gt;30,20+70*($AG1832/100),IF($O$5&gt;20,40+55*($AG1832/100),(80+(20-$O$5)+30*($AG1832/100))))))))))</f>
        <v>100</v>
      </c>
      <c r="AI1832" s="263">
        <v>2888</v>
      </c>
      <c r="AJ1832" s="263"/>
      <c r="AK1832" s="263"/>
      <c r="AL1832" s="263"/>
      <c r="AM1832" s="264"/>
      <c r="AN1832" s="263"/>
      <c r="AO1832" s="263"/>
      <c r="AP1832" s="265"/>
      <c r="AQ1832" s="265"/>
      <c r="AR1832" s="285">
        <v>26768</v>
      </c>
      <c r="AS1832" s="263"/>
      <c r="AT1832" s="263"/>
      <c r="AU1832" s="263"/>
      <c r="AV1832" s="264"/>
      <c r="AW1832" s="263"/>
      <c r="AX1832" s="263"/>
      <c r="AY1832" s="263"/>
      <c r="AZ1832" s="263"/>
      <c r="BA1832" s="263"/>
      <c r="BB1832" s="263"/>
      <c r="BC1832" s="263"/>
      <c r="BD1832" s="264"/>
      <c r="BE1832" s="263"/>
      <c r="BF1832" s="263"/>
      <c r="BG1832" s="263"/>
      <c r="BH1832" s="263"/>
      <c r="BI1832" s="263"/>
      <c r="BJ1832" s="404">
        <f>altaz(J2000_Bas,$O1832,$M1832,DecLat,DecLong,2)</f>
        <v>266.30629012495882</v>
      </c>
      <c r="BK1832" s="378" t="s">
        <v>3192</v>
      </c>
      <c r="BL1832" s="379">
        <f>IF((2*G1832)/60&lt;0.2,0.2,(2*G1832)/60)</f>
        <v>0.2</v>
      </c>
      <c r="BM1832" s="380">
        <f>MOD((50000+AD1832-$B$3+(0/24)),1)</f>
        <v>0.60155388804560062</v>
      </c>
      <c r="BN1832" s="381"/>
      <c r="BO1832" s="382">
        <v>1825</v>
      </c>
    </row>
    <row r="1833" spans="1:67" s="24" customFormat="1" ht="15" customHeight="1" x14ac:dyDescent="0.25">
      <c r="A1833" s="288" t="s">
        <v>1799</v>
      </c>
      <c r="B1833" s="241" t="str">
        <f>HYPERLINK(CONCATENATE($AT$3,BK1833,$AU$3),$AV$3)</f>
        <v>S</v>
      </c>
      <c r="C1833" s="242" t="str">
        <f>HYPERLINK(CONCATENATE($AT$4,BK1833,$AU$4,BL1833),$AV$4)</f>
        <v>A</v>
      </c>
      <c r="D1833" s="243" t="s">
        <v>5638</v>
      </c>
      <c r="E1833" s="244" t="s">
        <v>5192</v>
      </c>
      <c r="F1833" s="269" t="s">
        <v>8959</v>
      </c>
      <c r="G1833" s="276">
        <v>12</v>
      </c>
      <c r="H1833" s="283">
        <v>26</v>
      </c>
      <c r="I1833" s="246">
        <v>90</v>
      </c>
      <c r="J1833" s="246">
        <v>3</v>
      </c>
      <c r="K1833" s="247" t="s">
        <v>7296</v>
      </c>
      <c r="L1833" s="248">
        <v>93210</v>
      </c>
      <c r="M1833" s="249">
        <f>15*(LEFT(TEXT($L1833,"000000"),2)+(MID(TEXT($L1833,"000000"),3,2)/60)+(RIGHT(TEXT($L1833,"000000"),2)/3600))</f>
        <v>143.04166666666669</v>
      </c>
      <c r="N1833" s="250">
        <v>213004</v>
      </c>
      <c r="O1833" s="251">
        <f>IF($N1833&gt;0,(LEFT(TEXT($N1833,"000000"),2)+(MID(TEXT($N1833,"000000"),3,2)/60)+(RIGHT(TEXT($N1833,"000000"),2)/3600)),-(MID(TEXT($N1833,"000000"),2,2)+(MID(TEXT($N1833,"000000"),4,2)/60)+(RIGHT(TEXT($N1833,"000000"),2)/3600)))</f>
        <v>21.501111111111111</v>
      </c>
      <c r="P1833" s="252" t="s">
        <v>183</v>
      </c>
      <c r="Q1833" s="253" t="s">
        <v>6886</v>
      </c>
      <c r="R1833" s="247" t="s">
        <v>3293</v>
      </c>
      <c r="S1833" s="272" t="s">
        <v>3293</v>
      </c>
      <c r="T1833" s="273">
        <v>9</v>
      </c>
      <c r="U1833" s="289">
        <v>22.39</v>
      </c>
      <c r="V1833" s="280">
        <v>60</v>
      </c>
      <c r="W1833" s="244"/>
      <c r="X1833" s="244"/>
      <c r="Y1833" s="362"/>
      <c r="Z1833" s="257">
        <f>altaz(J2000_Bas,$O1833,$M1833,DecLat,DecLong,1)</f>
        <v>-26.604363126252956</v>
      </c>
      <c r="AA1833" s="257">
        <f>altaz((J2000_Bas+(2*0.04167)),$O1833,$M1833,DecLat,DecLong,1)</f>
        <v>-37.076327964479276</v>
      </c>
      <c r="AB1833" s="257">
        <f>altaz((J2000_Bas+(4*0.04167)),$O1833,$M1833,DecLat,DecLong,1)</f>
        <v>-32.999935857757812</v>
      </c>
      <c r="AC1833" s="257">
        <f>altaz((J2000_Bas+(6*0.04167)),$O1833,$M1833,DecLat,DecLong,1)</f>
        <v>-16.785991357355051</v>
      </c>
      <c r="AD1833" s="258">
        <f>1+ transit((J2000_Bas-1),$O1833,$M1833,DecLat,DecLong)/360 + (GMTOffset/24) + (IF(DST="Y", 1, 0)/24)</f>
        <v>1.3902378838588747</v>
      </c>
      <c r="AE1833" s="259">
        <f>DATE(2001,9,21)+(M1833/360)*365 - (360*((DecLong/360)- (GMTOffset/24) ))</f>
        <v>37305.028356481482</v>
      </c>
      <c r="AF1833" s="260">
        <f>IF(DecLat&gt;0,IF((90 - (DecLat-O1833))&gt;90, (90 - (O1833-DecLat)), (90 - (DecLat-O1833))),IF((90 + (DecLat-O1833))&gt;90, (90 + (O1833-DecLat)), (90 + (DecLat-O1833))))</f>
        <v>80.501111111111115</v>
      </c>
      <c r="AG1833" s="257">
        <f>angularseperation(MoonRA,MoonDec,$M1833,$O1833)</f>
        <v>113.45256627620176</v>
      </c>
      <c r="AH1833" s="261">
        <f ca="1">MIN(100,IF($O$5&gt;80,0+30*($AG1833/100),IF($O$5&gt;70,0+50*($AG1833/100),IF($O$5&gt;60,5+50*($AG1833/100),IF($O$5&gt;50,10+60*($AG1833/100),IF($O$5&gt;40,15+70*($AG1833/100),IF($O$5&gt;30,20+70*($AG1833/100),IF($O$5&gt;20,40+55*($AG1833/100),(80+(20-$O$5)+30*($AG1833/100))))))))))</f>
        <v>100</v>
      </c>
      <c r="AI1833" s="262">
        <v>2903</v>
      </c>
      <c r="AJ1833" s="262"/>
      <c r="AK1833" s="262">
        <v>130</v>
      </c>
      <c r="AL1833" s="263"/>
      <c r="AM1833" s="264"/>
      <c r="AN1833" s="263"/>
      <c r="AO1833" s="263"/>
      <c r="AP1833" s="265"/>
      <c r="AQ1833" s="266">
        <v>5079</v>
      </c>
      <c r="AR1833" s="267">
        <v>27077</v>
      </c>
      <c r="AS1833" s="263"/>
      <c r="AT1833" s="263"/>
      <c r="AU1833" s="263"/>
      <c r="AV1833" s="264"/>
      <c r="AW1833" s="263"/>
      <c r="AX1833" s="263"/>
      <c r="AY1833" s="263"/>
      <c r="AZ1833" s="263"/>
      <c r="BA1833" s="263"/>
      <c r="BB1833" s="263"/>
      <c r="BC1833" s="263"/>
      <c r="BD1833" s="264"/>
      <c r="BE1833" s="263">
        <v>51</v>
      </c>
      <c r="BF1833" s="263"/>
      <c r="BG1833" s="263"/>
      <c r="BH1833" s="263"/>
      <c r="BI1833" s="263"/>
      <c r="BJ1833" s="404">
        <f>altaz(J2000_Bas,$O1833,$M1833,DecLat,DecLong,2)</f>
        <v>321.18502731839152</v>
      </c>
      <c r="BK1833" s="378" t="s">
        <v>1799</v>
      </c>
      <c r="BL1833" s="379">
        <f>IF((2*G1833)/60&lt;0.2,0.2,(2*G1833)/60)</f>
        <v>0.4</v>
      </c>
      <c r="BM1833" s="380">
        <f>MOD((50000+AD1833-$B$3+(0/24)),1)</f>
        <v>0.60560481356515083</v>
      </c>
      <c r="BN1833" s="381"/>
      <c r="BO1833" s="382">
        <v>1826</v>
      </c>
    </row>
    <row r="1834" spans="1:67" s="24" customFormat="1" ht="15" customHeight="1" x14ac:dyDescent="0.25">
      <c r="A1834" s="288" t="s">
        <v>1800</v>
      </c>
      <c r="B1834" s="241" t="str">
        <f>HYPERLINK(CONCATENATE($AT$3,BK1834,$AU$3),$AV$3)</f>
        <v>S</v>
      </c>
      <c r="C1834" s="242" t="str">
        <f>HYPERLINK(CONCATENATE($AT$4,BK1834,$AU$4,BL1834),$AV$4)</f>
        <v>A</v>
      </c>
      <c r="D1834" s="243" t="s">
        <v>5638</v>
      </c>
      <c r="E1834" s="244" t="s">
        <v>5192</v>
      </c>
      <c r="F1834" s="269" t="s">
        <v>8960</v>
      </c>
      <c r="G1834" s="273">
        <v>3.5</v>
      </c>
      <c r="H1834" s="283">
        <v>100</v>
      </c>
      <c r="I1834" s="246">
        <v>105</v>
      </c>
      <c r="J1834" s="246">
        <v>2</v>
      </c>
      <c r="K1834" s="247" t="s">
        <v>8560</v>
      </c>
      <c r="L1834" s="248">
        <v>93645</v>
      </c>
      <c r="M1834" s="249">
        <f>15*(LEFT(TEXT($L1834,"000000"),2)+(MID(TEXT($L1834,"000000"),3,2)/60)+(RIGHT(TEXT($L1834,"000000"),2)/3600))</f>
        <v>144.18749999999997</v>
      </c>
      <c r="N1834" s="250">
        <v>-210742</v>
      </c>
      <c r="O1834" s="251">
        <f>IF($N1834&gt;0,(LEFT(TEXT($N1834,"000000"),2)+(MID(TEXT($N1834,"000000"),3,2)/60)+(RIGHT(TEXT($N1834,"000000"),2)/3600)),-(MID(TEXT($N1834,"000000"),2,2)+(MID(TEXT($N1834,"000000"),4,2)/60)+(RIGHT(TEXT($N1834,"000000"),2)/3600)))</f>
        <v>-21.128333333333334</v>
      </c>
      <c r="P1834" s="252" t="s">
        <v>103</v>
      </c>
      <c r="Q1834" s="253"/>
      <c r="R1834" s="247" t="s">
        <v>3293</v>
      </c>
      <c r="S1834" s="272" t="s">
        <v>3293</v>
      </c>
      <c r="T1834" s="273">
        <v>11.3</v>
      </c>
      <c r="U1834" s="289">
        <v>22.990000000000002</v>
      </c>
      <c r="V1834" s="280">
        <v>35</v>
      </c>
      <c r="W1834" s="244"/>
      <c r="X1834" s="244"/>
      <c r="Y1834" s="362"/>
      <c r="Z1834" s="257">
        <f>altaz(J2000_Bas,$O1834,$M1834,DecLat,DecLong,1)</f>
        <v>-54.499237192493759</v>
      </c>
      <c r="AA1834" s="257">
        <f>altaz((J2000_Bas+(2*0.04167)),$O1834,$M1834,DecLat,DecLong,1)</f>
        <v>-77.74620448588712</v>
      </c>
      <c r="AB1834" s="257">
        <f>altaz((J2000_Bas+(4*0.04167)),$O1834,$M1834,DecLat,DecLong,1)</f>
        <v>-67.980600100670117</v>
      </c>
      <c r="AC1834" s="257">
        <f>altaz((J2000_Bas+(6*0.04167)),$O1834,$M1834,DecLat,DecLong,1)</f>
        <v>-42.620709913998546</v>
      </c>
      <c r="AD1834" s="258">
        <f>1+ transit((J2000_Bas-1),$O1834,$M1834,DecLat,DecLong)/360 + (GMTOffset/24) + (IF(DST="Y", 1, 0)/24)</f>
        <v>1.393420753910958</v>
      </c>
      <c r="AE1834" s="259">
        <f>DATE(2001,9,21)+(M1834/360)*365 - (360*((DecLong/360)- (GMTOffset/24) ))</f>
        <v>37306.190104166664</v>
      </c>
      <c r="AF1834" s="260">
        <f>IF(DecLat&gt;0,IF((90 - (DecLat-O1834))&gt;90, (90 - (O1834-DecLat)), (90 - (DecLat-O1834))),IF((90 + (DecLat-O1834))&gt;90, (90 + (O1834-DecLat)), (90 + (DecLat-O1834))))</f>
        <v>37.87166666666667</v>
      </c>
      <c r="AG1834" s="257">
        <f>angularseperation(MoonRA,MoonDec,$M1834,$O1834)</f>
        <v>92.957298747909249</v>
      </c>
      <c r="AH1834" s="261">
        <f ca="1">MIN(100,IF($O$5&gt;80,0+30*($AG1834/100),IF($O$5&gt;70,0+50*($AG1834/100),IF($O$5&gt;60,5+50*($AG1834/100),IF($O$5&gt;50,10+60*($AG1834/100),IF($O$5&gt;40,15+70*($AG1834/100),IF($O$5&gt;30,20+70*($AG1834/100),IF($O$5&gt;20,40+55*($AG1834/100),(80+(20-$O$5)+30*($AG1834/100))))))))))</f>
        <v>100</v>
      </c>
      <c r="AI1834" s="262">
        <v>2935</v>
      </c>
      <c r="AJ1834" s="262"/>
      <c r="AK1834" s="262"/>
      <c r="AL1834" s="263"/>
      <c r="AM1834" s="264"/>
      <c r="AN1834" s="263"/>
      <c r="AO1834" s="263"/>
      <c r="AP1834" s="265"/>
      <c r="AQ1834" s="266"/>
      <c r="AR1834" s="267">
        <v>27351</v>
      </c>
      <c r="AS1834" s="263"/>
      <c r="AT1834" s="263"/>
      <c r="AU1834" s="263"/>
      <c r="AV1834" s="264"/>
      <c r="AW1834" s="263"/>
      <c r="AX1834" s="263"/>
      <c r="AY1834" s="263"/>
      <c r="AZ1834" s="263"/>
      <c r="BA1834" s="263"/>
      <c r="BB1834" s="263"/>
      <c r="BC1834" s="263"/>
      <c r="BD1834" s="264"/>
      <c r="BE1834" s="263"/>
      <c r="BF1834" s="263"/>
      <c r="BG1834" s="263"/>
      <c r="BH1834" s="263"/>
      <c r="BI1834" s="263"/>
      <c r="BJ1834" s="404">
        <f>altaz(J2000_Bas,$O1834,$M1834,DecLat,DecLong,2)</f>
        <v>276.78847511982644</v>
      </c>
      <c r="BK1834" s="378" t="s">
        <v>1800</v>
      </c>
      <c r="BL1834" s="379">
        <f>IF((2*G1834)/60&lt;0.2,0.2,(2*G1834)/60)</f>
        <v>0.2</v>
      </c>
      <c r="BM1834" s="380">
        <f>MOD((50000+AD1834-$B$3+(0/24)),1)</f>
        <v>0.60878768361726543</v>
      </c>
      <c r="BN1834" s="381"/>
      <c r="BO1834" s="382">
        <v>1827</v>
      </c>
    </row>
    <row r="1835" spans="1:67" s="24" customFormat="1" ht="15" customHeight="1" x14ac:dyDescent="0.25">
      <c r="A1835" s="288" t="s">
        <v>7583</v>
      </c>
      <c r="B1835" s="241" t="str">
        <f>HYPERLINK(CONCATENATE($AT$3,BK1835,$AU$3),$AV$3)</f>
        <v>S</v>
      </c>
      <c r="C1835" s="242" t="str">
        <f>HYPERLINK(CONCATENATE($AT$4,BK1835,$AU$4,BL1835),$AV$4)</f>
        <v>A</v>
      </c>
      <c r="D1835" s="243" t="s">
        <v>5638</v>
      </c>
      <c r="E1835" s="244" t="s">
        <v>5625</v>
      </c>
      <c r="F1835" s="269">
        <v>5</v>
      </c>
      <c r="G1835" s="282">
        <v>25</v>
      </c>
      <c r="H1835" s="283">
        <v>380</v>
      </c>
      <c r="I1835" s="284">
        <v>2800</v>
      </c>
      <c r="J1835" s="246">
        <v>2</v>
      </c>
      <c r="K1835" s="247" t="s">
        <v>7297</v>
      </c>
      <c r="L1835" s="248">
        <v>93833</v>
      </c>
      <c r="M1835" s="249">
        <f>15*(LEFT(TEXT($L1835,"000000"),2)+(MID(TEXT($L1835,"000000"),3,2)/60)+(RIGHT(TEXT($L1835,"000000"),2)/3600))</f>
        <v>144.63749999999999</v>
      </c>
      <c r="N1835" s="250">
        <v>170153</v>
      </c>
      <c r="O1835" s="251">
        <f>IF($N1835&gt;0,(LEFT(TEXT($N1835,"000000"),2)+(MID(TEXT($N1835,"000000"),3,2)/60)+(RIGHT(TEXT($N1835,"000000"),2)/3600)),-(MID(TEXT($N1835,"000000"),2,2)+(MID(TEXT($N1835,"000000"),4,2)/60)+(RIGHT(TEXT($N1835,"000000"),2)/3600)))</f>
        <v>17.031388888888888</v>
      </c>
      <c r="P1835" s="252" t="s">
        <v>183</v>
      </c>
      <c r="Q1835" s="253"/>
      <c r="R1835" s="247" t="s">
        <v>3293</v>
      </c>
      <c r="S1835" s="272" t="s">
        <v>3293</v>
      </c>
      <c r="T1835" s="273">
        <v>12.4</v>
      </c>
      <c r="U1835" s="289">
        <v>22.39</v>
      </c>
      <c r="V1835" s="280"/>
      <c r="W1835" s="244"/>
      <c r="X1835" s="244"/>
      <c r="Y1835" s="362"/>
      <c r="Z1835" s="257">
        <f>altaz(J2000_Bas,$O1835,$M1835,DecLat,DecLong,1)</f>
        <v>-29.29796832945247</v>
      </c>
      <c r="AA1835" s="257">
        <f>altaz((J2000_Bas+(2*0.04167)),$O1835,$M1835,DecLat,DecLong,1)</f>
        <v>-41.270465709990404</v>
      </c>
      <c r="AB1835" s="257">
        <f>altaz((J2000_Bas+(4*0.04167)),$O1835,$M1835,DecLat,DecLong,1)</f>
        <v>-37.699186080610815</v>
      </c>
      <c r="AC1835" s="257">
        <f>altaz((J2000_Bas+(6*0.04167)),$O1835,$M1835,DecLat,DecLong,1)</f>
        <v>-20.978338889954124</v>
      </c>
      <c r="AD1835" s="258">
        <f>1+ transit((J2000_Bas-1),$O1835,$M1835,DecLat,DecLong)/360 + (GMTOffset/24) + (IF(DST="Y", 1, 0)/24)</f>
        <v>1.394670753785958</v>
      </c>
      <c r="AE1835" s="259">
        <f>DATE(2001,9,21)+(M1835/360)*365 - (360*((DecLong/360)- (GMTOffset/24) ))</f>
        <v>37306.646354166667</v>
      </c>
      <c r="AF1835" s="260">
        <f>IF(DecLat&gt;0,IF((90 - (DecLat-O1835))&gt;90, (90 - (O1835-DecLat)), (90 - (DecLat-O1835))),IF((90 + (DecLat-O1835))&gt;90, (90 + (O1835-DecLat)), (90 + (DecLat-O1835))))</f>
        <v>76.031388888888884</v>
      </c>
      <c r="AG1835" s="257">
        <f>angularseperation(MoonRA,MoonDec,$M1835,$O1835)</f>
        <v>110.3652173900917</v>
      </c>
      <c r="AH1835" s="261">
        <f ca="1">MIN(100,IF($O$5&gt;80,0+30*($AG1835/100),IF($O$5&gt;70,0+50*($AG1835/100),IF($O$5&gt;60,5+50*($AG1835/100),IF($O$5&gt;50,10+60*($AG1835/100),IF($O$5&gt;40,15+70*($AG1835/100),IF($O$5&gt;30,20+70*($AG1835/100),IF($O$5&gt;20,40+55*($AG1835/100),(80+(20-$O$5)+30*($AG1835/100))))))))))</f>
        <v>100</v>
      </c>
      <c r="AI1835" s="262">
        <v>2943</v>
      </c>
      <c r="AJ1835" s="262"/>
      <c r="AK1835" s="262"/>
      <c r="AL1835" s="263"/>
      <c r="AM1835" s="264"/>
      <c r="AN1835" s="263"/>
      <c r="AO1835" s="263"/>
      <c r="AP1835" s="265"/>
      <c r="AQ1835" s="266">
        <v>5136</v>
      </c>
      <c r="AR1835" s="267">
        <v>27482</v>
      </c>
      <c r="AS1835" s="263"/>
      <c r="AT1835" s="263"/>
      <c r="AU1835" s="263"/>
      <c r="AV1835" s="264"/>
      <c r="AW1835" s="263"/>
      <c r="AX1835" s="263"/>
      <c r="AY1835" s="263"/>
      <c r="AZ1835" s="263"/>
      <c r="BA1835" s="263"/>
      <c r="BB1835" s="263"/>
      <c r="BC1835" s="263"/>
      <c r="BD1835" s="264"/>
      <c r="BE1835" s="263"/>
      <c r="BF1835" s="263"/>
      <c r="BG1835" s="263"/>
      <c r="BH1835" s="263"/>
      <c r="BI1835" s="263"/>
      <c r="BJ1835" s="404">
        <f>altaz(J2000_Bas,$O1835,$M1835,DecLat,DecLong,2)</f>
        <v>316.80096140458824</v>
      </c>
      <c r="BK1835" s="378" t="s">
        <v>1801</v>
      </c>
      <c r="BL1835" s="379">
        <f>IF((2*G1835)/60&lt;0.2,0.2,(2*G1835)/60)</f>
        <v>0.83333333333333337</v>
      </c>
      <c r="BM1835" s="380">
        <f>MOD((50000+AD1835-$B$3+(0/24)),1)</f>
        <v>0.61003768348746235</v>
      </c>
      <c r="BN1835" s="381"/>
      <c r="BO1835" s="382">
        <v>1828</v>
      </c>
    </row>
    <row r="1836" spans="1:67" s="24" customFormat="1" ht="15" customHeight="1" x14ac:dyDescent="0.25">
      <c r="A1836" s="287" t="s">
        <v>1802</v>
      </c>
      <c r="B1836" s="241" t="str">
        <f>HYPERLINK(CONCATENATE($AT$3,BK1836,$AU$3),$AV$3)</f>
        <v>S</v>
      </c>
      <c r="C1836" s="242" t="str">
        <f>HYPERLINK(CONCATENATE($AT$4,BK1836,$AU$4,BL1836),$AV$4)</f>
        <v>A</v>
      </c>
      <c r="D1836" s="243" t="s">
        <v>5638</v>
      </c>
      <c r="E1836" s="244" t="s">
        <v>5182</v>
      </c>
      <c r="F1836" s="269" t="s">
        <v>8903</v>
      </c>
      <c r="G1836" s="273">
        <v>4.5</v>
      </c>
      <c r="H1836" s="283">
        <v>50</v>
      </c>
      <c r="I1836" s="246">
        <v>65</v>
      </c>
      <c r="J1836" s="246">
        <v>2</v>
      </c>
      <c r="K1836" s="247" t="s">
        <v>7299</v>
      </c>
      <c r="L1836" s="248">
        <v>94235</v>
      </c>
      <c r="M1836" s="249">
        <f>15*(LEFT(TEXT($L1836,"000000"),2)+(MID(TEXT($L1836,"000000"),3,2)/60)+(RIGHT(TEXT($L1836,"000000"),2)/3600))</f>
        <v>145.64583333333334</v>
      </c>
      <c r="N1836" s="250">
        <v>585104</v>
      </c>
      <c r="O1836" s="251">
        <f>IF($N1836&gt;0,(LEFT(TEXT($N1836,"000000"),2)+(MID(TEXT($N1836,"000000"),3,2)/60)+(RIGHT(TEXT($N1836,"000000"),2)/3600)),-(MID(TEXT($N1836,"000000"),2,2)+(MID(TEXT($N1836,"000000"),4,2)/60)+(RIGHT(TEXT($N1836,"000000"),2)/3600)))</f>
        <v>58.851111111111109</v>
      </c>
      <c r="P1836" s="252" t="s">
        <v>37</v>
      </c>
      <c r="Q1836" s="253"/>
      <c r="R1836" s="277" t="s">
        <v>3293</v>
      </c>
      <c r="S1836" s="272" t="s">
        <v>3293</v>
      </c>
      <c r="T1836" s="273">
        <v>10.9</v>
      </c>
      <c r="U1836" s="289">
        <v>21.39</v>
      </c>
      <c r="V1836" s="280">
        <v>65</v>
      </c>
      <c r="W1836" s="244"/>
      <c r="X1836" s="244"/>
      <c r="Y1836" s="362"/>
      <c r="Z1836" s="257">
        <f>altaz(J2000_Bas,$O1836,$M1836,DecLat,DecLong,1)</f>
        <v>5.7025954749782528</v>
      </c>
      <c r="AA1836" s="257">
        <f>altaz((J2000_Bas+(2*0.04167)),$O1836,$M1836,DecLat,DecLong,1)</f>
        <v>0.20381683063228773</v>
      </c>
      <c r="AB1836" s="257">
        <f>altaz((J2000_Bas+(4*0.04167)),$O1836,$M1836,DecLat,DecLong,1)</f>
        <v>1.4640647400317446</v>
      </c>
      <c r="AC1836" s="257">
        <f>altaz((J2000_Bas+(6*0.04167)),$O1836,$M1836,DecLat,DecLong,1)</f>
        <v>9.1730881627225394</v>
      </c>
      <c r="AD1836" s="258">
        <f>1+ transit((J2000_Bas-1),$O1836,$M1836,DecLat,DecLong)/360 + (GMTOffset/24) + (IF(DST="Y", 1, 0)/24)</f>
        <v>1.3974716794317914</v>
      </c>
      <c r="AE1836" s="259">
        <f>DATE(2001,9,21)+(M1836/360)*365 - (360*((DecLong/360)- (GMTOffset/24) ))</f>
        <v>37307.668692129628</v>
      </c>
      <c r="AF1836" s="260">
        <f>IF(DecLat&gt;0,IF((90 - (DecLat-O1836))&gt;90, (90 - (O1836-DecLat)), (90 - (DecLat-O1836))),IF((90 + (DecLat-O1836))&gt;90, (90 + (O1836-DecLat)), (90 + (DecLat-O1836))))</f>
        <v>62.148888888888891</v>
      </c>
      <c r="AG1836" s="257">
        <f>angularseperation(MoonRA,MoonDec,$M1836,$O1836)</f>
        <v>119.86231354875821</v>
      </c>
      <c r="AH1836" s="261">
        <f ca="1">MIN(100,IF($O$5&gt;80,0+30*($AG1836/100),IF($O$5&gt;70,0+50*($AG1836/100),IF($O$5&gt;60,5+50*($AG1836/100),IF($O$5&gt;50,10+60*($AG1836/100),IF($O$5&gt;40,15+70*($AG1836/100),IF($O$5&gt;30,20+70*($AG1836/100),IF($O$5&gt;20,40+55*($AG1836/100),(80+(20-$O$5)+30*($AG1836/100))))))))))</f>
        <v>100</v>
      </c>
      <c r="AI1836" s="262">
        <v>2950</v>
      </c>
      <c r="AJ1836" s="263"/>
      <c r="AK1836" s="263">
        <v>131</v>
      </c>
      <c r="AL1836" s="263"/>
      <c r="AM1836" s="264"/>
      <c r="AN1836" s="263"/>
      <c r="AO1836" s="263"/>
      <c r="AP1836" s="265"/>
      <c r="AQ1836" s="265">
        <v>5176</v>
      </c>
      <c r="AR1836" s="285">
        <v>27765</v>
      </c>
      <c r="AS1836" s="263"/>
      <c r="AT1836" s="263"/>
      <c r="AU1836" s="263"/>
      <c r="AV1836" s="264"/>
      <c r="AW1836" s="263"/>
      <c r="AX1836" s="263"/>
      <c r="AY1836" s="263"/>
      <c r="AZ1836" s="263"/>
      <c r="BA1836" s="263"/>
      <c r="BB1836" s="263"/>
      <c r="BC1836" s="263"/>
      <c r="BD1836" s="264"/>
      <c r="BE1836" s="263"/>
      <c r="BF1836" s="263"/>
      <c r="BG1836" s="263"/>
      <c r="BH1836" s="263"/>
      <c r="BI1836" s="263"/>
      <c r="BJ1836" s="404">
        <f>altaz(J2000_Bas,$O1836,$M1836,DecLat,DecLong,2)</f>
        <v>340.63055089834381</v>
      </c>
      <c r="BK1836" s="378" t="s">
        <v>1802</v>
      </c>
      <c r="BL1836" s="379">
        <f>IF((2*G1836)/60&lt;0.2,0.2,(2*G1836)/60)</f>
        <v>0.2</v>
      </c>
      <c r="BM1836" s="380">
        <f>MOD((50000+AD1836-$B$3+(0/24)),1)</f>
        <v>0.61283860913681565</v>
      </c>
      <c r="BN1836" s="381"/>
      <c r="BO1836" s="382">
        <v>1829</v>
      </c>
    </row>
    <row r="1837" spans="1:67" s="24" customFormat="1" ht="15" customHeight="1" x14ac:dyDescent="0.25">
      <c r="A1837" s="288" t="s">
        <v>8754</v>
      </c>
      <c r="B1837" s="241" t="str">
        <f>HYPERLINK(CONCATENATE($AT$3,BK1837,$AU$3),$AV$3)</f>
        <v>S</v>
      </c>
      <c r="C1837" s="242" t="str">
        <f>HYPERLINK(CONCATENATE($AT$4,BK1837,$AU$4,BL1837),$AV$4)</f>
        <v>A</v>
      </c>
      <c r="D1837" s="243" t="s">
        <v>5638</v>
      </c>
      <c r="E1837" s="244" t="s">
        <v>5192</v>
      </c>
      <c r="F1837" s="269" t="s">
        <v>8886</v>
      </c>
      <c r="G1837" s="273">
        <v>3.5</v>
      </c>
      <c r="H1837" s="283">
        <v>57</v>
      </c>
      <c r="I1837" s="246">
        <v>60</v>
      </c>
      <c r="J1837" s="246">
        <v>2</v>
      </c>
      <c r="K1837" s="247" t="s">
        <v>8756</v>
      </c>
      <c r="L1837" s="248">
        <v>94254</v>
      </c>
      <c r="M1837" s="249">
        <f>15*(LEFT(TEXT($L1837,"000000"),2)+(MID(TEXT($L1837,"000000"),3,2)/60)+(RIGHT(TEXT($L1837,"000000"),2)/3600))</f>
        <v>145.72499999999999</v>
      </c>
      <c r="N1837" s="250">
        <v>315051</v>
      </c>
      <c r="O1837" s="251">
        <f>IF($N1837&gt;0,(LEFT(TEXT($N1837,"000000"),2)+(MID(TEXT($N1837,"000000"),3,2)/60)+(RIGHT(TEXT($N1837,"000000"),2)/3600)),-(MID(TEXT($N1837,"000000"),2,2)+(MID(TEXT($N1837,"000000"),4,2)/60)+(RIGHT(TEXT($N1837,"000000"),2)/3600)))</f>
        <v>31.8475</v>
      </c>
      <c r="P1837" s="252" t="s">
        <v>183</v>
      </c>
      <c r="Q1837" s="253"/>
      <c r="R1837" s="277" t="s">
        <v>3293</v>
      </c>
      <c r="S1837" s="272" t="s">
        <v>8755</v>
      </c>
      <c r="T1837" s="273">
        <v>11.5</v>
      </c>
      <c r="U1837" s="289"/>
      <c r="V1837" s="280">
        <v>55</v>
      </c>
      <c r="W1837" s="244"/>
      <c r="X1837" s="244"/>
      <c r="Y1837" s="362"/>
      <c r="Z1837" s="257">
        <f>altaz(J2000_Bas,$O1837,$M1837,DecLat,DecLong,1)</f>
        <v>-16.75457281104023</v>
      </c>
      <c r="AA1837" s="257">
        <f>altaz((J2000_Bas+(2*0.04167)),$O1837,$M1837,DecLat,DecLong,1)</f>
        <v>-26.4926780797832</v>
      </c>
      <c r="AB1837" s="257">
        <f>altaz((J2000_Bas+(4*0.04167)),$O1837,$M1837,DecLat,DecLong,1)</f>
        <v>-24.235410496430617</v>
      </c>
      <c r="AC1837" s="257">
        <f>altaz((J2000_Bas+(6*0.04167)),$O1837,$M1837,DecLat,DecLong,1)</f>
        <v>-11.0154154671784</v>
      </c>
      <c r="AD1837" s="258">
        <f>1+ transit((J2000_Bas-1),$O1837,$M1837,DecLat,DecLong)/360 + (GMTOffset/24) + (IF(DST="Y", 1, 0)/24)</f>
        <v>1.397691586817208</v>
      </c>
      <c r="AE1837" s="259">
        <f>DATE(2001,9,21)+(M1837/360)*365 - (360*((DecLong/360)- (GMTOffset/24) ))</f>
        <v>37307.74895833333</v>
      </c>
      <c r="AF1837" s="260">
        <f>IF(DecLat&gt;0,IF((90 - (DecLat-O1837))&gt;90, (90 - (O1837-DecLat)), (90 - (DecLat-O1837))),IF((90 + (DecLat-O1837))&gt;90, (90 + (O1837-DecLat)), (90 + (DecLat-O1837))))</f>
        <v>89.152500000000003</v>
      </c>
      <c r="AG1837" s="257">
        <f>angularseperation(MoonRA,MoonDec,$M1837,$O1837)</f>
        <v>114.64628328344446</v>
      </c>
      <c r="AH1837" s="261">
        <f ca="1">MIN(100,IF($O$5&gt;80,0+30*($AG1837/100),IF($O$5&gt;70,0+50*($AG1837/100),IF($O$5&gt;60,5+50*($AG1837/100),IF($O$5&gt;50,10+60*($AG1837/100),IF($O$5&gt;40,15+70*($AG1837/100),IF($O$5&gt;30,20+70*($AG1837/100),IF($O$5&gt;20,40+55*($AG1837/100),(80+(20-$O$5)+30*($AG1837/100))))))))))</f>
        <v>100</v>
      </c>
      <c r="AI1837" s="262">
        <v>2964</v>
      </c>
      <c r="AJ1837" s="263"/>
      <c r="AK1837" s="263">
        <v>132</v>
      </c>
      <c r="AL1837" s="263"/>
      <c r="AM1837" s="264"/>
      <c r="AN1837" s="263"/>
      <c r="AO1837" s="263"/>
      <c r="AP1837" s="265"/>
      <c r="AQ1837" s="265"/>
      <c r="AR1837" s="285">
        <v>27762</v>
      </c>
      <c r="AS1837" s="263"/>
      <c r="AT1837" s="263"/>
      <c r="AU1837" s="263"/>
      <c r="AV1837" s="264"/>
      <c r="AW1837" s="263"/>
      <c r="AX1837" s="263"/>
      <c r="AY1837" s="263"/>
      <c r="AZ1837" s="263"/>
      <c r="BA1837" s="263"/>
      <c r="BB1837" s="263"/>
      <c r="BC1837" s="263"/>
      <c r="BD1837" s="264"/>
      <c r="BE1837" s="263"/>
      <c r="BF1837" s="263"/>
      <c r="BG1837" s="263"/>
      <c r="BH1837" s="263"/>
      <c r="BI1837" s="263"/>
      <c r="BJ1837" s="404">
        <f>altaz(J2000_Bas,$O1837,$M1837,DecLat,DecLong,2)</f>
        <v>325.4637863639224</v>
      </c>
      <c r="BK1837" s="378" t="s">
        <v>8754</v>
      </c>
      <c r="BL1837" s="379">
        <f>IF((2*G1837)/60&lt;0.2,0.2,(2*G1837)/60)</f>
        <v>0.2</v>
      </c>
      <c r="BM1837" s="380">
        <f>MOD((50000+AD1837-$B$3+(0/24)),1)</f>
        <v>0.61305851652286947</v>
      </c>
      <c r="BN1837" s="381"/>
      <c r="BO1837" s="382">
        <v>1830</v>
      </c>
    </row>
    <row r="1838" spans="1:67" s="24" customFormat="1" ht="15" customHeight="1" x14ac:dyDescent="0.25">
      <c r="A1838" s="288" t="s">
        <v>9211</v>
      </c>
      <c r="B1838" s="241" t="str">
        <f>HYPERLINK(CONCATENATE($AT$3,BK1838,$AU$3),$AV$3)</f>
        <v>S</v>
      </c>
      <c r="C1838" s="242" t="str">
        <f>HYPERLINK(CONCATENATE($AT$4,BK1838,$AU$4,BL1838),$AV$4)</f>
        <v>A</v>
      </c>
      <c r="D1838" s="243" t="s">
        <v>5638</v>
      </c>
      <c r="E1838" s="244" t="s">
        <v>5178</v>
      </c>
      <c r="F1838" s="269"/>
      <c r="G1838" s="273">
        <v>4</v>
      </c>
      <c r="H1838" s="283">
        <v>80</v>
      </c>
      <c r="I1838" s="246">
        <v>90</v>
      </c>
      <c r="J1838" s="246">
        <v>3</v>
      </c>
      <c r="K1838" s="247" t="s">
        <v>8440</v>
      </c>
      <c r="L1838" s="248">
        <v>94312</v>
      </c>
      <c r="M1838" s="249">
        <f>15*(LEFT(TEXT($L1838,"000000"),2)+(MID(TEXT($L1838,"000000"),3,2)/60)+(RIGHT(TEXT($L1838,"000000"),2)/3600))</f>
        <v>145.80000000000001</v>
      </c>
      <c r="N1838" s="250">
        <v>315542</v>
      </c>
      <c r="O1838" s="251">
        <f>IF($N1838&gt;0,(LEFT(TEXT($N1838,"000000"),2)+(MID(TEXT($N1838,"000000"),3,2)/60)+(RIGHT(TEXT($N1838,"000000"),2)/3600)),-(MID(TEXT($N1838,"000000"),2,2)+(MID(TEXT($N1838,"000000"),4,2)/60)+(RIGHT(TEXT($N1838,"000000"),2)/3600)))</f>
        <v>31.928333333333335</v>
      </c>
      <c r="P1838" s="252" t="s">
        <v>183</v>
      </c>
      <c r="Q1838" s="253"/>
      <c r="R1838" s="247" t="s">
        <v>3293</v>
      </c>
      <c r="S1838" s="272" t="s">
        <v>9212</v>
      </c>
      <c r="T1838" s="273">
        <v>14.2</v>
      </c>
      <c r="U1838" s="289">
        <v>21.990000000000002</v>
      </c>
      <c r="V1838" s="280">
        <v>50</v>
      </c>
      <c r="W1838" s="244"/>
      <c r="X1838" s="244"/>
      <c r="Y1838" s="362"/>
      <c r="Z1838" s="257">
        <f>altaz(J2000_Bas,$O1838,$M1838,DecLat,DecLong,1)</f>
        <v>-16.651840622806638</v>
      </c>
      <c r="AA1838" s="257">
        <f>altaz((J2000_Bas+(2*0.04167)),$O1838,$M1838,DecLat,DecLong,1)</f>
        <v>-26.402651689047598</v>
      </c>
      <c r="AB1838" s="257">
        <f>altaz((J2000_Bas+(4*0.04167)),$O1838,$M1838,DecLat,DecLong,1)</f>
        <v>-24.179912002686475</v>
      </c>
      <c r="AC1838" s="257">
        <f>altaz((J2000_Bas+(6*0.04167)),$O1838,$M1838,DecLat,DecLong,1)</f>
        <v>-10.998587643783337</v>
      </c>
      <c r="AD1838" s="258">
        <f>1+ transit((J2000_Bas-1),$O1838,$M1838,DecLat,DecLong)/360 + (GMTOffset/24) + (IF(DST="Y", 1, 0)/24)</f>
        <v>1.397899920129708</v>
      </c>
      <c r="AE1838" s="259">
        <f>DATE(2001,9,21)+(M1838/360)*365 - (360*((DecLong/360)- (GMTOffset/24) ))</f>
        <v>37307.824999999997</v>
      </c>
      <c r="AF1838" s="260">
        <f>IF(DecLat&gt;0,IF((90 - (DecLat-O1838))&gt;90, (90 - (O1838-DecLat)), (90 - (DecLat-O1838))),IF((90 + (DecLat-O1838))&gt;90, (90 + (O1838-DecLat)), (90 + (DecLat-O1838))))</f>
        <v>89.071666666666658</v>
      </c>
      <c r="AG1838" s="257">
        <f>angularseperation(MoonRA,MoonDec,$M1838,$O1838)</f>
        <v>114.61025700981179</v>
      </c>
      <c r="AH1838" s="261">
        <f ca="1">MIN(100,IF($O$5&gt;80,0+30*($AG1838/100),IF($O$5&gt;70,0+50*($AG1838/100),IF($O$5&gt;60,5+50*($AG1838/100),IF($O$5&gt;50,10+60*($AG1838/100),IF($O$5&gt;40,15+70*($AG1838/100),IF($O$5&gt;30,20+70*($AG1838/100),IF($O$5&gt;20,40+55*($AG1838/100),(80+(20-$O$5)+30*($AG1838/100))))))))))</f>
        <v>100</v>
      </c>
      <c r="AI1838" s="262">
        <v>2968</v>
      </c>
      <c r="AJ1838" s="262"/>
      <c r="AK1838" s="262"/>
      <c r="AL1838" s="263"/>
      <c r="AM1838" s="264"/>
      <c r="AN1838" s="263"/>
      <c r="AO1838" s="263"/>
      <c r="AP1838" s="265"/>
      <c r="AQ1838" s="266">
        <v>5190</v>
      </c>
      <c r="AR1838" s="267">
        <v>27800</v>
      </c>
      <c r="AS1838" s="263"/>
      <c r="AT1838" s="263"/>
      <c r="AU1838" s="263"/>
      <c r="AV1838" s="264"/>
      <c r="AW1838" s="263"/>
      <c r="AX1838" s="263"/>
      <c r="AY1838" s="263"/>
      <c r="AZ1838" s="263"/>
      <c r="BA1838" s="263"/>
      <c r="BB1838" s="263"/>
      <c r="BC1838" s="263"/>
      <c r="BD1838" s="264"/>
      <c r="BE1838" s="263"/>
      <c r="BF1838" s="263"/>
      <c r="BG1838" s="263"/>
      <c r="BH1838" s="263">
        <v>99</v>
      </c>
      <c r="BI1838" s="263"/>
      <c r="BJ1838" s="404">
        <f>altaz(J2000_Bas,$O1838,$M1838,DecLat,DecLong,2)</f>
        <v>325.45757243906496</v>
      </c>
      <c r="BK1838" s="378" t="s">
        <v>1803</v>
      </c>
      <c r="BL1838" s="379">
        <f>IF((2*G1838)/60&lt;0.2,0.2,(2*G1838)/60)</f>
        <v>0.2</v>
      </c>
      <c r="BM1838" s="380">
        <f>MOD((50000+AD1838-$B$3+(0/24)),1)</f>
        <v>0.61326684983214363</v>
      </c>
      <c r="BN1838" s="381"/>
      <c r="BO1838" s="382">
        <v>1831</v>
      </c>
    </row>
    <row r="1839" spans="1:67" s="24" customFormat="1" ht="15" customHeight="1" x14ac:dyDescent="0.25">
      <c r="A1839" s="287" t="s">
        <v>2985</v>
      </c>
      <c r="B1839" s="241" t="str">
        <f>HYPERLINK(CONCATENATE($AT$3,BK1839,$AU$3),$AV$3)</f>
        <v>S</v>
      </c>
      <c r="C1839" s="242" t="str">
        <f>HYPERLINK(CONCATENATE($AT$4,BK1839,$AU$4,BL1839),$AV$4)</f>
        <v>A</v>
      </c>
      <c r="D1839" s="243" t="s">
        <v>5638</v>
      </c>
      <c r="E1839" s="244" t="s">
        <v>5182</v>
      </c>
      <c r="F1839" s="269" t="s">
        <v>3300</v>
      </c>
      <c r="G1839" s="273">
        <v>3.5</v>
      </c>
      <c r="H1839" s="283">
        <v>89</v>
      </c>
      <c r="I1839" s="246">
        <v>90</v>
      </c>
      <c r="J1839" s="246">
        <v>2</v>
      </c>
      <c r="K1839" s="247" t="s">
        <v>7300</v>
      </c>
      <c r="L1839" s="248">
        <v>94236</v>
      </c>
      <c r="M1839" s="249">
        <f>15*(LEFT(TEXT($L1839,"000000"),2)+(MID(TEXT($L1839,"000000"),3,2)/60)+(RIGHT(TEXT($L1839,"000000"),2)/3600))</f>
        <v>145.64999999999998</v>
      </c>
      <c r="N1839" s="250">
        <v>-34300</v>
      </c>
      <c r="O1839" s="251">
        <f>IF($N1839&gt;0,(LEFT(TEXT($N1839,"000000"),2)+(MID(TEXT($N1839,"000000"),3,2)/60)+(RIGHT(TEXT($N1839,"000000"),2)/3600)),-(MID(TEXT($N1839,"000000"),2,2)+(MID(TEXT($N1839,"000000"),4,2)/60)+(RIGHT(TEXT($N1839,"000000"),2)/3600)))</f>
        <v>-3.7166666666666668</v>
      </c>
      <c r="P1839" s="252" t="s">
        <v>263</v>
      </c>
      <c r="Q1839" s="253"/>
      <c r="R1839" s="277" t="s">
        <v>3293</v>
      </c>
      <c r="S1839" s="272" t="s">
        <v>3293</v>
      </c>
      <c r="T1839" s="273">
        <v>10.9</v>
      </c>
      <c r="U1839" s="289">
        <v>21.89</v>
      </c>
      <c r="V1839" s="280">
        <v>65</v>
      </c>
      <c r="W1839" s="244"/>
      <c r="X1839" s="244"/>
      <c r="Y1839" s="362"/>
      <c r="Z1839" s="257">
        <f>altaz(J2000_Bas,$O1839,$M1839,DecLat,DecLong,1)</f>
        <v>-43.789012722580871</v>
      </c>
      <c r="AA1839" s="257">
        <f>altaz((J2000_Bas+(2*0.04167)),$O1839,$M1839,DecLat,DecLong,1)</f>
        <v>-61.266410567743158</v>
      </c>
      <c r="AB1839" s="257">
        <f>altaz((J2000_Bas+(4*0.04167)),$O1839,$M1839,DecLat,DecLong,1)</f>
        <v>-56.560552162777761</v>
      </c>
      <c r="AC1839" s="257">
        <f>altaz((J2000_Bas+(6*0.04167)),$O1839,$M1839,DecLat,DecLong,1)</f>
        <v>-35.186506182624782</v>
      </c>
      <c r="AD1839" s="258">
        <f>1+ transit((J2000_Bas-1),$O1839,$M1839,DecLat,DecLong)/360 + (GMTOffset/24) + (IF(DST="Y", 1, 0)/24)</f>
        <v>1.3974832535047079</v>
      </c>
      <c r="AE1839" s="259">
        <f>DATE(2001,9,21)+(M1839/360)*365 - (360*((DecLong/360)- (GMTOffset/24) ))</f>
        <v>37307.67291666667</v>
      </c>
      <c r="AF1839" s="260">
        <f>IF(DecLat&gt;0,IF((90 - (DecLat-O1839))&gt;90, (90 - (O1839-DecLat)), (90 - (DecLat-O1839))),IF((90 + (DecLat-O1839))&gt;90, (90 + (O1839-DecLat)), (90 + (DecLat-O1839))))</f>
        <v>55.283333333333331</v>
      </c>
      <c r="AG1839" s="257">
        <f>angularseperation(MoonRA,MoonDec,$M1839,$O1839)</f>
        <v>100.32785124074523</v>
      </c>
      <c r="AH1839" s="261">
        <f ca="1">MIN(100,IF($O$5&gt;80,0+30*($AG1839/100),IF($O$5&gt;70,0+50*($AG1839/100),IF($O$5&gt;60,5+50*($AG1839/100),IF($O$5&gt;50,10+60*($AG1839/100),IF($O$5&gt;40,15+70*($AG1839/100),IF($O$5&gt;30,20+70*($AG1839/100),IF($O$5&gt;20,40+55*($AG1839/100),(80+(20-$O$5)+30*($AG1839/100))))))))))</f>
        <v>100</v>
      </c>
      <c r="AI1839" s="262">
        <v>2974</v>
      </c>
      <c r="AJ1839" s="263"/>
      <c r="AK1839" s="263">
        <v>133</v>
      </c>
      <c r="AL1839" s="263"/>
      <c r="AM1839" s="264"/>
      <c r="AN1839" s="263"/>
      <c r="AO1839" s="263"/>
      <c r="AP1839" s="265"/>
      <c r="AQ1839" s="265"/>
      <c r="AR1839" s="285">
        <v>27762</v>
      </c>
      <c r="AS1839" s="263"/>
      <c r="AT1839" s="263"/>
      <c r="AU1839" s="263"/>
      <c r="AV1839" s="264"/>
      <c r="AW1839" s="263"/>
      <c r="AX1839" s="263"/>
      <c r="AY1839" s="263"/>
      <c r="AZ1839" s="263"/>
      <c r="BA1839" s="263"/>
      <c r="BB1839" s="263"/>
      <c r="BC1839" s="263"/>
      <c r="BD1839" s="264"/>
      <c r="BE1839" s="263"/>
      <c r="BF1839" s="263"/>
      <c r="BG1839" s="263"/>
      <c r="BH1839" s="263"/>
      <c r="BI1839" s="263"/>
      <c r="BJ1839" s="404">
        <f>altaz(J2000_Bas,$O1839,$M1839,DecLat,DecLong,2)</f>
        <v>298.11386198373367</v>
      </c>
      <c r="BK1839" s="378" t="s">
        <v>2985</v>
      </c>
      <c r="BL1839" s="379">
        <f>IF((2*G1839)/60&lt;0.2,0.2,(2*G1839)/60)</f>
        <v>0.2</v>
      </c>
      <c r="BM1839" s="380">
        <f>MOD((50000+AD1839-$B$3+(0/24)),1)</f>
        <v>0.61285018320631934</v>
      </c>
      <c r="BN1839" s="381"/>
      <c r="BO1839" s="382">
        <v>1832</v>
      </c>
    </row>
    <row r="1840" spans="1:67" s="24" customFormat="1" ht="15" customHeight="1" x14ac:dyDescent="0.25">
      <c r="A1840" s="288" t="s">
        <v>1804</v>
      </c>
      <c r="B1840" s="241" t="str">
        <f>HYPERLINK(CONCATENATE($AT$3,BK1840,$AU$3),$AV$3)</f>
        <v>S</v>
      </c>
      <c r="C1840" s="242" t="str">
        <f>HYPERLINK(CONCATENATE($AT$4,BK1840,$AU$4,BL1840),$AV$4)</f>
        <v>A</v>
      </c>
      <c r="D1840" s="243" t="s">
        <v>5638</v>
      </c>
      <c r="E1840" s="244" t="s">
        <v>4292</v>
      </c>
      <c r="F1840" s="269"/>
      <c r="G1840" s="273">
        <v>5</v>
      </c>
      <c r="H1840" s="283">
        <v>12</v>
      </c>
      <c r="I1840" s="246">
        <v>18</v>
      </c>
      <c r="J1840" s="246">
        <v>3</v>
      </c>
      <c r="K1840" s="247" t="s">
        <v>7301</v>
      </c>
      <c r="L1840" s="248">
        <v>94716</v>
      </c>
      <c r="M1840" s="249">
        <f>15*(LEFT(TEXT($L1840,"000000"),2)+(MID(TEXT($L1840,"000000"),3,2)/60)+(RIGHT(TEXT($L1840,"000000"),2)/3600))</f>
        <v>146.81666666666666</v>
      </c>
      <c r="N1840" s="250">
        <v>675459</v>
      </c>
      <c r="O1840" s="251">
        <f>IF($N1840&gt;0,(LEFT(TEXT($N1840,"000000"),2)+(MID(TEXT($N1840,"000000"),3,2)/60)+(RIGHT(TEXT($N1840,"000000"),2)/3600)),-(MID(TEXT($N1840,"000000"),2,2)+(MID(TEXT($N1840,"000000"),4,2)/60)+(RIGHT(TEXT($N1840,"000000"),2)/3600)))</f>
        <v>67.916388888888889</v>
      </c>
      <c r="P1840" s="252" t="s">
        <v>37</v>
      </c>
      <c r="Q1840" s="253"/>
      <c r="R1840" s="247" t="s">
        <v>3293</v>
      </c>
      <c r="S1840" s="272" t="s">
        <v>3293</v>
      </c>
      <c r="T1840" s="273">
        <v>10.199999999999999</v>
      </c>
      <c r="U1840" s="289">
        <v>21.89</v>
      </c>
      <c r="V1840" s="280">
        <v>60</v>
      </c>
      <c r="W1840" s="244"/>
      <c r="X1840" s="244"/>
      <c r="Y1840" s="362"/>
      <c r="Z1840" s="257">
        <f>altaz(J2000_Bas,$O1840,$M1840,DecLat,DecLong,1)</f>
        <v>13.494695711483232</v>
      </c>
      <c r="AA1840" s="257">
        <f>altaz((J2000_Bas+(2*0.04167)),$O1840,$M1840,DecLat,DecLong,1)</f>
        <v>9.2432925300795912</v>
      </c>
      <c r="AB1840" s="257">
        <f>altaz((J2000_Bas+(4*0.04167)),$O1840,$M1840,DecLat,DecLong,1)</f>
        <v>9.9742841200974706</v>
      </c>
      <c r="AC1840" s="257">
        <f>altaz((J2000_Bas+(6*0.04167)),$O1840,$M1840,DecLat,DecLong,1)</f>
        <v>15.52766254725714</v>
      </c>
      <c r="AD1840" s="258">
        <f>1+ transit((J2000_Bas-1),$O1840,$M1840,DecLat,DecLong)/360 + (GMTOffset/24) + (IF(DST="Y", 1, 0)/24)</f>
        <v>1.4007239939213747</v>
      </c>
      <c r="AE1840" s="259">
        <f>DATE(2001,9,21)+(M1840/360)*365 - (360*((DecLong/360)- (GMTOffset/24) ))</f>
        <v>37308.855787037035</v>
      </c>
      <c r="AF1840" s="260">
        <f>IF(DecLat&gt;0,IF((90 - (DecLat-O1840))&gt;90, (90 - (O1840-DecLat)), (90 - (DecLat-O1840))),IF((90 + (DecLat-O1840))&gt;90, (90 + (O1840-DecLat)), (90 + (DecLat-O1840))))</f>
        <v>53.083611111111111</v>
      </c>
      <c r="AG1840" s="257">
        <f>angularseperation(MoonRA,MoonDec,$M1840,$O1840)</f>
        <v>119.59842988548058</v>
      </c>
      <c r="AH1840" s="261">
        <f ca="1">MIN(100,IF($O$5&gt;80,0+30*($AG1840/100),IF($O$5&gt;70,0+50*($AG1840/100),IF($O$5&gt;60,5+50*($AG1840/100),IF($O$5&gt;50,10+60*($AG1840/100),IF($O$5&gt;40,15+70*($AG1840/100),IF($O$5&gt;30,20+70*($AG1840/100),IF($O$5&gt;20,40+55*($AG1840/100),(80+(20-$O$5)+30*($AG1840/100))))))))))</f>
        <v>100</v>
      </c>
      <c r="AI1840" s="262">
        <v>2976</v>
      </c>
      <c r="AJ1840" s="262"/>
      <c r="AK1840" s="262">
        <v>134</v>
      </c>
      <c r="AL1840" s="263"/>
      <c r="AM1840" s="264"/>
      <c r="AN1840" s="263"/>
      <c r="AO1840" s="263"/>
      <c r="AP1840" s="265"/>
      <c r="AQ1840" s="266">
        <v>5221</v>
      </c>
      <c r="AR1840" s="267">
        <v>28120</v>
      </c>
      <c r="AS1840" s="263"/>
      <c r="AT1840" s="263"/>
      <c r="AU1840" s="263"/>
      <c r="AV1840" s="264"/>
      <c r="AW1840" s="263"/>
      <c r="AX1840" s="263"/>
      <c r="AY1840" s="263"/>
      <c r="AZ1840" s="263"/>
      <c r="BA1840" s="263"/>
      <c r="BB1840" s="263"/>
      <c r="BC1840" s="263"/>
      <c r="BD1840" s="264"/>
      <c r="BE1840" s="263"/>
      <c r="BF1840" s="263"/>
      <c r="BG1840" s="263">
        <v>50</v>
      </c>
      <c r="BH1840" s="263"/>
      <c r="BI1840" s="263"/>
      <c r="BJ1840" s="404">
        <f>altaz(J2000_Bas,$O1840,$M1840,DecLat,DecLong,2)</f>
        <v>345.362299057727</v>
      </c>
      <c r="BK1840" s="378" t="s">
        <v>1804</v>
      </c>
      <c r="BL1840" s="379">
        <f>IF((2*G1840)/60&lt;0.2,0.2,(2*G1840)/60)</f>
        <v>0.2</v>
      </c>
      <c r="BM1840" s="380">
        <f>MOD((50000+AD1840-$B$3+(0/24)),1)</f>
        <v>0.61609092362778028</v>
      </c>
      <c r="BN1840" s="381"/>
      <c r="BO1840" s="382">
        <v>1833</v>
      </c>
    </row>
    <row r="1841" spans="1:67" s="24" customFormat="1" ht="15" customHeight="1" x14ac:dyDescent="0.25">
      <c r="A1841" s="287" t="s">
        <v>1805</v>
      </c>
      <c r="B1841" s="241" t="str">
        <f>HYPERLINK(CONCATENATE($AT$3,BK1841,$AU$3),$AV$3)</f>
        <v>S</v>
      </c>
      <c r="C1841" s="242" t="str">
        <f>HYPERLINK(CONCATENATE($AT$4,BK1841,$AU$4,BL1841),$AV$4)</f>
        <v>A</v>
      </c>
      <c r="D1841" s="243" t="s">
        <v>5638</v>
      </c>
      <c r="E1841" s="244" t="s">
        <v>5182</v>
      </c>
      <c r="F1841" s="269" t="s">
        <v>8903</v>
      </c>
      <c r="G1841" s="273">
        <v>3</v>
      </c>
      <c r="H1841" s="283">
        <v>95</v>
      </c>
      <c r="I1841" s="246">
        <v>80</v>
      </c>
      <c r="J1841" s="246">
        <v>2</v>
      </c>
      <c r="K1841" s="247" t="s">
        <v>7302</v>
      </c>
      <c r="L1841" s="248">
        <v>94341</v>
      </c>
      <c r="M1841" s="249">
        <f>15*(LEFT(TEXT($L1841,"000000"),2)+(MID(TEXT($L1841,"000000"),3,2)/60)+(RIGHT(TEXT($L1841,"000000"),2)/3600))</f>
        <v>145.92083333333332</v>
      </c>
      <c r="N1841" s="250">
        <v>-202839</v>
      </c>
      <c r="O1841" s="251">
        <f>IF($N1841&gt;0,(LEFT(TEXT($N1841,"000000"),2)+(MID(TEXT($N1841,"000000"),3,2)/60)+(RIGHT(TEXT($N1841,"000000"),2)/3600)),-(MID(TEXT($N1841,"000000"),2,2)+(MID(TEXT($N1841,"000000"),4,2)/60)+(RIGHT(TEXT($N1841,"000000"),2)/3600)))</f>
        <v>-20.477499999999999</v>
      </c>
      <c r="P1841" s="252" t="s">
        <v>103</v>
      </c>
      <c r="Q1841" s="253"/>
      <c r="R1841" s="277" t="s">
        <v>3293</v>
      </c>
      <c r="S1841" s="272" t="s">
        <v>3293</v>
      </c>
      <c r="T1841" s="273">
        <v>11.8</v>
      </c>
      <c r="U1841" s="289">
        <v>21.990000000000002</v>
      </c>
      <c r="V1841" s="280">
        <v>70</v>
      </c>
      <c r="W1841" s="244"/>
      <c r="X1841" s="244"/>
      <c r="Y1841" s="362"/>
      <c r="Z1841" s="257">
        <f>altaz(J2000_Bas,$O1841,$M1841,DecLat,DecLong,1)</f>
        <v>-52.754787420889905</v>
      </c>
      <c r="AA1841" s="257">
        <f>altaz((J2000_Bas+(2*0.04167)),$O1841,$M1841,DecLat,DecLong,1)</f>
        <v>-76.260433102801727</v>
      </c>
      <c r="AB1841" s="257">
        <f>altaz((J2000_Bas+(4*0.04167)),$O1841,$M1841,DecLat,DecLong,1)</f>
        <v>-68.994572545005056</v>
      </c>
      <c r="AC1841" s="257">
        <f>altaz((J2000_Bas+(6*0.04167)),$O1841,$M1841,DecLat,DecLong,1)</f>
        <v>-43.846665604645409</v>
      </c>
      <c r="AD1841" s="258">
        <f>1+ transit((J2000_Bas-1),$O1841,$M1841,DecLat,DecLong)/360 + (GMTOffset/24) + (IF(DST="Y", 1, 0)/24)</f>
        <v>1.3982355682442913</v>
      </c>
      <c r="AE1841" s="259">
        <f>DATE(2001,9,21)+(M1841/360)*365 - (360*((DecLong/360)- (GMTOffset/24) ))</f>
        <v>37307.947511574072</v>
      </c>
      <c r="AF1841" s="260">
        <f>IF(DecLat&gt;0,IF((90 - (DecLat-O1841))&gt;90, (90 - (O1841-DecLat)), (90 - (DecLat-O1841))),IF((90 + (DecLat-O1841))&gt;90, (90 + (O1841-DecLat)), (90 + (DecLat-O1841))))</f>
        <v>38.522500000000001</v>
      </c>
      <c r="AG1841" s="257">
        <f>angularseperation(MoonRA,MoonDec,$M1841,$O1841)</f>
        <v>91.885198248222366</v>
      </c>
      <c r="AH1841" s="261">
        <f ca="1">MIN(100,IF($O$5&gt;80,0+30*($AG1841/100),IF($O$5&gt;70,0+50*($AG1841/100),IF($O$5&gt;60,5+50*($AG1841/100),IF($O$5&gt;50,10+60*($AG1841/100),IF($O$5&gt;40,15+70*($AG1841/100),IF($O$5&gt;30,20+70*($AG1841/100),IF($O$5&gt;20,40+55*($AG1841/100),(80+(20-$O$5)+30*($AG1841/100))))))))))</f>
        <v>100</v>
      </c>
      <c r="AI1841" s="262">
        <v>2983</v>
      </c>
      <c r="AJ1841" s="263"/>
      <c r="AK1841" s="263"/>
      <c r="AL1841" s="263"/>
      <c r="AM1841" s="264"/>
      <c r="AN1841" s="263"/>
      <c r="AO1841" s="263"/>
      <c r="AP1841" s="265"/>
      <c r="AQ1841" s="265"/>
      <c r="AR1841" s="285">
        <v>27840</v>
      </c>
      <c r="AS1841" s="263"/>
      <c r="AT1841" s="263"/>
      <c r="AU1841" s="263"/>
      <c r="AV1841" s="264"/>
      <c r="AW1841" s="263"/>
      <c r="AX1841" s="263"/>
      <c r="AY1841" s="263"/>
      <c r="AZ1841" s="263"/>
      <c r="BA1841" s="263"/>
      <c r="BB1841" s="263"/>
      <c r="BC1841" s="263"/>
      <c r="BD1841" s="264"/>
      <c r="BE1841" s="263"/>
      <c r="BF1841" s="263"/>
      <c r="BG1841" s="263"/>
      <c r="BH1841" s="263"/>
      <c r="BI1841" s="263"/>
      <c r="BJ1841" s="404">
        <f>altaz(J2000_Bas,$O1841,$M1841,DecLat,DecLong,2)</f>
        <v>276.65899881623176</v>
      </c>
      <c r="BK1841" s="378" t="s">
        <v>1805</v>
      </c>
      <c r="BL1841" s="379">
        <f>IF((2*G1841)/60&lt;0.2,0.2,(2*G1841)/60)</f>
        <v>0.2</v>
      </c>
      <c r="BM1841" s="380">
        <f>MOD((50000+AD1841-$B$3+(0/24)),1)</f>
        <v>0.61360249794961419</v>
      </c>
      <c r="BN1841" s="381"/>
      <c r="BO1841" s="382">
        <v>1834</v>
      </c>
    </row>
    <row r="1842" spans="1:67" s="24" customFormat="1" ht="15" customHeight="1" x14ac:dyDescent="0.25">
      <c r="A1842" s="288" t="s">
        <v>1806</v>
      </c>
      <c r="B1842" s="241" t="str">
        <f>HYPERLINK(CONCATENATE($AT$3,BK1842,$AU$3),$AV$3)</f>
        <v>S</v>
      </c>
      <c r="C1842" s="242" t="str">
        <f>HYPERLINK(CONCATENATE($AT$4,BK1842,$AU$4,BL1842),$AV$4)</f>
        <v>A</v>
      </c>
      <c r="D1842" s="243" t="s">
        <v>5638</v>
      </c>
      <c r="E1842" s="244" t="s">
        <v>4292</v>
      </c>
      <c r="F1842" s="269" t="s">
        <v>8803</v>
      </c>
      <c r="G1842" s="273">
        <v>3.5</v>
      </c>
      <c r="H1842" s="283">
        <v>75</v>
      </c>
      <c r="I1842" s="246">
        <v>75</v>
      </c>
      <c r="J1842" s="246">
        <v>3</v>
      </c>
      <c r="K1842" s="247" t="s">
        <v>8561</v>
      </c>
      <c r="L1842" s="248">
        <v>95022</v>
      </c>
      <c r="M1842" s="249">
        <f>15*(LEFT(TEXT($L1842,"000000"),2)+(MID(TEXT($L1842,"000000"),3,2)/60)+(RIGHT(TEXT($L1842,"000000"),2)/3600))</f>
        <v>147.59166666666667</v>
      </c>
      <c r="N1842" s="250">
        <v>721644</v>
      </c>
      <c r="O1842" s="251">
        <f>IF($N1842&gt;0,(LEFT(TEXT($N1842,"000000"),2)+(MID(TEXT($N1842,"000000"),3,2)/60)+(RIGHT(TEXT($N1842,"000000"),2)/3600)),-(MID(TEXT($N1842,"000000"),2,2)+(MID(TEXT($N1842,"000000"),4,2)/60)+(RIGHT(TEXT($N1842,"000000"),2)/3600)))</f>
        <v>72.278888888888886</v>
      </c>
      <c r="P1842" s="252" t="s">
        <v>37</v>
      </c>
      <c r="Q1842" s="253"/>
      <c r="R1842" s="247" t="s">
        <v>3293</v>
      </c>
      <c r="S1842" s="272" t="s">
        <v>3293</v>
      </c>
      <c r="T1842" s="273">
        <v>10.4</v>
      </c>
      <c r="U1842" s="289">
        <v>22.19</v>
      </c>
      <c r="V1842" s="280">
        <v>20</v>
      </c>
      <c r="W1842" s="244"/>
      <c r="X1842" s="244"/>
      <c r="Y1842" s="362"/>
      <c r="Z1842" s="257">
        <f>altaz(J2000_Bas,$O1842,$M1842,DecLat,DecLong,1)</f>
        <v>17.185094458771239</v>
      </c>
      <c r="AA1842" s="257">
        <f>altaz((J2000_Bas+(2*0.04167)),$O1842,$M1842,DecLat,DecLong,1)</f>
        <v>13.587675416996831</v>
      </c>
      <c r="AB1842" s="257">
        <f>altaz((J2000_Bas+(4*0.04167)),$O1842,$M1842,DecLat,DecLong,1)</f>
        <v>14.080790156771712</v>
      </c>
      <c r="AC1842" s="257">
        <f>altaz((J2000_Bas+(6*0.04167)),$O1842,$M1842,DecLat,DecLong,1)</f>
        <v>18.558838773485775</v>
      </c>
      <c r="AD1842" s="258">
        <f>1+ transit((J2000_Bas-1),$O1842,$M1842,DecLat,DecLong)/360 + (GMTOffset/24) + (IF(DST="Y", 1, 0)/24)</f>
        <v>1.4028767714838748</v>
      </c>
      <c r="AE1842" s="259">
        <f>DATE(2001,9,21)+(M1842/360)*365 - (360*((DecLong/360)- (GMTOffset/24) ))</f>
        <v>37309.641550925924</v>
      </c>
      <c r="AF1842" s="260">
        <f>IF(DecLat&gt;0,IF((90 - (DecLat-O1842))&gt;90, (90 - (O1842-DecLat)), (90 - (DecLat-O1842))),IF((90 + (DecLat-O1842))&gt;90, (90 + (O1842-DecLat)), (90 + (DecLat-O1842))))</f>
        <v>48.721111111111114</v>
      </c>
      <c r="AG1842" s="257">
        <f>angularseperation(MoonRA,MoonDec,$M1842,$O1842)</f>
        <v>119.236753193236</v>
      </c>
      <c r="AH1842" s="261">
        <f ca="1">MIN(100,IF($O$5&gt;80,0+30*($AG1842/100),IF($O$5&gt;70,0+50*($AG1842/100),IF($O$5&gt;60,5+50*($AG1842/100),IF($O$5&gt;50,10+60*($AG1842/100),IF($O$5&gt;40,15+70*($AG1842/100),IF($O$5&gt;30,20+70*($AG1842/100),IF($O$5&gt;20,40+55*($AG1842/100),(80+(20-$O$5)+30*($AG1842/100))))))))))</f>
        <v>100</v>
      </c>
      <c r="AI1842" s="262">
        <v>2985</v>
      </c>
      <c r="AJ1842" s="262"/>
      <c r="AK1842" s="262">
        <v>135</v>
      </c>
      <c r="AL1842" s="263"/>
      <c r="AM1842" s="264"/>
      <c r="AN1842" s="263"/>
      <c r="AO1842" s="263"/>
      <c r="AP1842" s="265"/>
      <c r="AQ1842" s="266">
        <v>5253</v>
      </c>
      <c r="AR1842" s="267">
        <v>28316</v>
      </c>
      <c r="AS1842" s="263"/>
      <c r="AT1842" s="263"/>
      <c r="AU1842" s="263"/>
      <c r="AV1842" s="264"/>
      <c r="AW1842" s="263"/>
      <c r="AX1842" s="263"/>
      <c r="AY1842" s="263"/>
      <c r="AZ1842" s="263"/>
      <c r="BA1842" s="263"/>
      <c r="BB1842" s="263"/>
      <c r="BC1842" s="263"/>
      <c r="BD1842" s="264"/>
      <c r="BE1842" s="263"/>
      <c r="BF1842" s="263"/>
      <c r="BG1842" s="263"/>
      <c r="BH1842" s="263"/>
      <c r="BI1842" s="263"/>
      <c r="BJ1842" s="404">
        <f>altaz(J2000_Bas,$O1842,$M1842,DecLat,DecLong,2)</f>
        <v>347.79050435294818</v>
      </c>
      <c r="BK1842" s="378" t="s">
        <v>1806</v>
      </c>
      <c r="BL1842" s="379">
        <f>IF((2*G1842)/60&lt;0.2,0.2,(2*G1842)/60)</f>
        <v>0.2</v>
      </c>
      <c r="BM1842" s="380">
        <f>MOD((50000+AD1842-$B$3+(0/24)),1)</f>
        <v>0.61824370118847582</v>
      </c>
      <c r="BN1842" s="381"/>
      <c r="BO1842" s="382">
        <v>1835</v>
      </c>
    </row>
    <row r="1843" spans="1:67" s="24" customFormat="1" ht="15" customHeight="1" x14ac:dyDescent="0.25">
      <c r="A1843" s="288" t="s">
        <v>1807</v>
      </c>
      <c r="B1843" s="241" t="str">
        <f>HYPERLINK(CONCATENATE($AT$3,BK1843,$AU$3),$AV$3)</f>
        <v>S</v>
      </c>
      <c r="C1843" s="242" t="str">
        <f>HYPERLINK(CONCATENATE($AT$4,BK1843,$AU$4,BL1843),$AV$4)</f>
        <v>A</v>
      </c>
      <c r="D1843" s="243" t="s">
        <v>5638</v>
      </c>
      <c r="E1843" s="244" t="s">
        <v>5192</v>
      </c>
      <c r="F1843" s="269" t="s">
        <v>8889</v>
      </c>
      <c r="G1843" s="273">
        <v>9</v>
      </c>
      <c r="H1843" s="283">
        <v>40</v>
      </c>
      <c r="I1843" s="246">
        <v>110</v>
      </c>
      <c r="J1843" s="246">
        <v>2</v>
      </c>
      <c r="K1843" s="247" t="s">
        <v>7303</v>
      </c>
      <c r="L1843" s="248">
        <v>94539</v>
      </c>
      <c r="M1843" s="249">
        <f>15*(LEFT(TEXT($L1843,"000000"),2)+(MID(TEXT($L1843,"000000"),3,2)/60)+(RIGHT(TEXT($L1843,"000000"),2)/3600))</f>
        <v>146.41250000000002</v>
      </c>
      <c r="N1843" s="250">
        <v>-311127</v>
      </c>
      <c r="O1843" s="251">
        <f>IF($N1843&gt;0,(LEFT(TEXT($N1843,"000000"),2)+(MID(TEXT($N1843,"000000"),3,2)/60)+(RIGHT(TEXT($N1843,"000000"),2)/3600)),-(MID(TEXT($N1843,"000000"),2,2)+(MID(TEXT($N1843,"000000"),4,2)/60)+(RIGHT(TEXT($N1843,"000000"),2)/3600)))</f>
        <v>-31.190833333333334</v>
      </c>
      <c r="P1843" s="252" t="s">
        <v>1210</v>
      </c>
      <c r="Q1843" s="253"/>
      <c r="R1843" s="247" t="s">
        <v>3293</v>
      </c>
      <c r="S1843" s="272" t="s">
        <v>3293</v>
      </c>
      <c r="T1843" s="273">
        <v>9.5</v>
      </c>
      <c r="U1843" s="289">
        <v>22.69</v>
      </c>
      <c r="V1843" s="280">
        <v>45</v>
      </c>
      <c r="W1843" s="244"/>
      <c r="X1843" s="244"/>
      <c r="Y1843" s="362"/>
      <c r="Z1843" s="257">
        <f>altaz(J2000_Bas,$O1843,$M1843,DecLat,DecLong,1)</f>
        <v>-55.594353930355183</v>
      </c>
      <c r="AA1843" s="257">
        <f>altaz((J2000_Bas+(2*0.04167)),$O1843,$M1843,DecLat,DecLong,1)</f>
        <v>-81.159481060943065</v>
      </c>
      <c r="AB1843" s="257">
        <f>altaz((J2000_Bas+(4*0.04167)),$O1843,$M1843,DecLat,DecLong,1)</f>
        <v>-73.101509567555539</v>
      </c>
      <c r="AC1843" s="257">
        <f>altaz((J2000_Bas+(6*0.04167)),$O1843,$M1843,DecLat,DecLong,1)</f>
        <v>-47.696877860957706</v>
      </c>
      <c r="AD1843" s="258">
        <f>1+ transit((J2000_Bas-1),$O1843,$M1843,DecLat,DecLong)/360 + (GMTOffset/24) + (IF(DST="Y", 1, 0)/24)</f>
        <v>1.3996013088484582</v>
      </c>
      <c r="AE1843" s="259">
        <f>DATE(2001,9,21)+(M1843/360)*365 - (360*((DecLong/360)- (GMTOffset/24) ))</f>
        <v>37308.446006944447</v>
      </c>
      <c r="AF1843" s="260">
        <f>IF(DecLat&gt;0,IF((90 - (DecLat-O1843))&gt;90, (90 - (O1843-DecLat)), (90 - (DecLat-O1843))),IF((90 + (DecLat-O1843))&gt;90, (90 + (O1843-DecLat)), (90 + (DecLat-O1843))))</f>
        <v>27.80916666666667</v>
      </c>
      <c r="AG1843" s="257">
        <f>angularseperation(MoonRA,MoonDec,$M1843,$O1843)</f>
        <v>86.177071731328098</v>
      </c>
      <c r="AH1843" s="261">
        <f ca="1">MIN(100,IF($O$5&gt;80,0+30*($AG1843/100),IF($O$5&gt;70,0+50*($AG1843/100),IF($O$5&gt;60,5+50*($AG1843/100),IF($O$5&gt;50,10+60*($AG1843/100),IF($O$5&gt;40,15+70*($AG1843/100),IF($O$5&gt;30,20+70*($AG1843/100),IF($O$5&gt;20,40+55*($AG1843/100),(80+(20-$O$5)+30*($AG1843/100))))))))))</f>
        <v>100</v>
      </c>
      <c r="AI1843" s="262">
        <v>2997</v>
      </c>
      <c r="AJ1843" s="262"/>
      <c r="AK1843" s="262"/>
      <c r="AL1843" s="263"/>
      <c r="AM1843" s="264"/>
      <c r="AN1843" s="263"/>
      <c r="AO1843" s="263"/>
      <c r="AP1843" s="265"/>
      <c r="AQ1843" s="266"/>
      <c r="AR1843" s="267">
        <v>27978</v>
      </c>
      <c r="AS1843" s="263"/>
      <c r="AT1843" s="263"/>
      <c r="AU1843" s="263"/>
      <c r="AV1843" s="264"/>
      <c r="AW1843" s="263"/>
      <c r="AX1843" s="263"/>
      <c r="AY1843" s="263"/>
      <c r="AZ1843" s="263"/>
      <c r="BA1843" s="263"/>
      <c r="BB1843" s="263"/>
      <c r="BC1843" s="263"/>
      <c r="BD1843" s="264"/>
      <c r="BE1843" s="263"/>
      <c r="BF1843" s="263"/>
      <c r="BG1843" s="263"/>
      <c r="BH1843" s="263"/>
      <c r="BI1843" s="263"/>
      <c r="BJ1843" s="404">
        <f>altaz(J2000_Bas,$O1843,$M1843,DecLat,DecLong,2)</f>
        <v>258.93523590482062</v>
      </c>
      <c r="BK1843" s="378" t="s">
        <v>1807</v>
      </c>
      <c r="BL1843" s="379">
        <f>IF((2*G1843)/60&lt;0.2,0.2,(2*G1843)/60)</f>
        <v>0.3</v>
      </c>
      <c r="BM1843" s="380">
        <f>MOD((50000+AD1843-$B$3+(0/24)),1)</f>
        <v>0.61496823855122784</v>
      </c>
      <c r="BN1843" s="381"/>
      <c r="BO1843" s="382">
        <v>1836</v>
      </c>
    </row>
    <row r="1844" spans="1:67" s="24" customFormat="1" ht="15" customHeight="1" x14ac:dyDescent="0.25">
      <c r="A1844" s="288" t="s">
        <v>1808</v>
      </c>
      <c r="B1844" s="241" t="str">
        <f>HYPERLINK(CONCATENATE($AT$3,BK1844,$AU$3),$AV$3)</f>
        <v>S</v>
      </c>
      <c r="C1844" s="242" t="str">
        <f>HYPERLINK(CONCATENATE($AT$4,BK1844,$AU$4,BL1844),$AV$4)</f>
        <v>A</v>
      </c>
      <c r="D1844" s="243" t="s">
        <v>5638</v>
      </c>
      <c r="E1844" s="244" t="s">
        <v>5192</v>
      </c>
      <c r="F1844" s="269" t="s">
        <v>8895</v>
      </c>
      <c r="G1844" s="273">
        <v>2.5</v>
      </c>
      <c r="H1844" s="283">
        <v>200</v>
      </c>
      <c r="I1844" s="246">
        <v>140</v>
      </c>
      <c r="J1844" s="246">
        <v>2</v>
      </c>
      <c r="K1844" s="247" t="s">
        <v>7298</v>
      </c>
      <c r="L1844" s="248">
        <v>94844</v>
      </c>
      <c r="M1844" s="249">
        <f>15*(LEFT(TEXT($L1844,"000000"),2)+(MID(TEXT($L1844,"000000"),3,2)/60)+(RIGHT(TEXT($L1844,"000000"),2)/3600))</f>
        <v>147.18333333333334</v>
      </c>
      <c r="N1844" s="250">
        <v>440452</v>
      </c>
      <c r="O1844" s="251">
        <f>IF($N1844&gt;0,(LEFT(TEXT($N1844,"000000"),2)+(MID(TEXT($N1844,"000000"),3,2)/60)+(RIGHT(TEXT($N1844,"000000"),2)/3600)),-(MID(TEXT($N1844,"000000"),2,2)+(MID(TEXT($N1844,"000000"),4,2)/60)+(RIGHT(TEXT($N1844,"000000"),2)/3600)))</f>
        <v>44.081111111111113</v>
      </c>
      <c r="P1844" s="252" t="s">
        <v>37</v>
      </c>
      <c r="Q1844" s="253"/>
      <c r="R1844" s="247" t="s">
        <v>3293</v>
      </c>
      <c r="S1844" s="272" t="s">
        <v>3293</v>
      </c>
      <c r="T1844" s="273">
        <v>12.5</v>
      </c>
      <c r="U1844" s="289">
        <v>22.79</v>
      </c>
      <c r="V1844" s="280">
        <v>60</v>
      </c>
      <c r="W1844" s="244"/>
      <c r="X1844" s="244"/>
      <c r="Y1844" s="362"/>
      <c r="Z1844" s="257">
        <f>altaz(J2000_Bas,$O1844,$M1844,DecLat,DecLong,1)</f>
        <v>-6.0350684349621027</v>
      </c>
      <c r="AA1844" s="257">
        <f>altaz((J2000_Bas+(2*0.04167)),$O1844,$M1844,DecLat,DecLong,1)</f>
        <v>-14.237406091601574</v>
      </c>
      <c r="AB1844" s="257">
        <f>altaz((J2000_Bas+(4*0.04167)),$O1844,$M1844,DecLat,DecLong,1)</f>
        <v>-12.940849064173351</v>
      </c>
      <c r="AC1844" s="257">
        <f>altaz((J2000_Bas+(6*0.04167)),$O1844,$M1844,DecLat,DecLong,1)</f>
        <v>-2.5836296231218521</v>
      </c>
      <c r="AD1844" s="258">
        <f>1+ transit((J2000_Bas-1),$O1844,$M1844,DecLat,DecLong)/360 + (GMTOffset/24) + (IF(DST="Y", 1, 0)/24)</f>
        <v>1.4017425123380414</v>
      </c>
      <c r="AE1844" s="259">
        <f>DATE(2001,9,21)+(M1844/360)*365 - (360*((DecLong/360)- (GMTOffset/24) ))</f>
        <v>37309.227546296293</v>
      </c>
      <c r="AF1844" s="260">
        <f>IF(DecLat&gt;0,IF((90 - (DecLat-O1844))&gt;90, (90 - (O1844-DecLat)), (90 - (DecLat-O1844))),IF((90 + (DecLat-O1844))&gt;90, (90 + (O1844-DecLat)), (90 + (DecLat-O1844))))</f>
        <v>76.918888888888887</v>
      </c>
      <c r="AG1844" s="257">
        <f>angularseperation(MoonRA,MoonDec,$M1844,$O1844)</f>
        <v>116.76649308538815</v>
      </c>
      <c r="AH1844" s="261">
        <f ca="1">MIN(100,IF($O$5&gt;80,0+30*($AG1844/100),IF($O$5&gt;70,0+50*($AG1844/100),IF($O$5&gt;60,5+50*($AG1844/100),IF($O$5&gt;50,10+60*($AG1844/100),IF($O$5&gt;40,15+70*($AG1844/100),IF($O$5&gt;30,20+70*($AG1844/100),IF($O$5&gt;20,40+55*($AG1844/100),(80+(20-$O$5)+30*($AG1844/100))))))))))</f>
        <v>100</v>
      </c>
      <c r="AI1844" s="262">
        <v>2998</v>
      </c>
      <c r="AJ1844" s="262"/>
      <c r="AK1844" s="262"/>
      <c r="AL1844" s="263"/>
      <c r="AM1844" s="264"/>
      <c r="AN1844" s="263"/>
      <c r="AO1844" s="263"/>
      <c r="AP1844" s="265"/>
      <c r="AQ1844" s="266">
        <v>5250</v>
      </c>
      <c r="AR1844" s="267">
        <v>28196</v>
      </c>
      <c r="AS1844" s="263"/>
      <c r="AT1844" s="263"/>
      <c r="AU1844" s="263"/>
      <c r="AV1844" s="264"/>
      <c r="AW1844" s="263"/>
      <c r="AX1844" s="263"/>
      <c r="AY1844" s="263"/>
      <c r="AZ1844" s="263"/>
      <c r="BA1844" s="263"/>
      <c r="BB1844" s="263"/>
      <c r="BC1844" s="263"/>
      <c r="BD1844" s="264"/>
      <c r="BE1844" s="263"/>
      <c r="BF1844" s="263"/>
      <c r="BG1844" s="263"/>
      <c r="BH1844" s="263"/>
      <c r="BI1844" s="263"/>
      <c r="BJ1844" s="404">
        <f>altaz(J2000_Bas,$O1844,$M1844,DecLat,DecLong,2)</f>
        <v>331.59979624169387</v>
      </c>
      <c r="BK1844" s="378" t="s">
        <v>1808</v>
      </c>
      <c r="BL1844" s="379">
        <f>IF((2*G1844)/60&lt;0.2,0.2,(2*G1844)/60)</f>
        <v>0.2</v>
      </c>
      <c r="BM1844" s="380">
        <f>MOD((50000+AD1844-$B$3+(0/24)),1)</f>
        <v>0.61710944204241969</v>
      </c>
      <c r="BN1844" s="381"/>
      <c r="BO1844" s="382">
        <v>1837</v>
      </c>
    </row>
    <row r="1845" spans="1:67" s="24" customFormat="1" ht="15" customHeight="1" x14ac:dyDescent="0.25">
      <c r="A1845" s="288" t="s">
        <v>1809</v>
      </c>
      <c r="B1845" s="241" t="str">
        <f>HYPERLINK(CONCATENATE($AT$3,BK1845,$AU$3),$AV$3)</f>
        <v>S</v>
      </c>
      <c r="C1845" s="242" t="str">
        <f>HYPERLINK(CONCATENATE($AT$4,BK1845,$AU$4,BL1845),$AV$4)</f>
        <v>A</v>
      </c>
      <c r="D1845" s="243" t="s">
        <v>5638</v>
      </c>
      <c r="E1845" s="244" t="s">
        <v>5192</v>
      </c>
      <c r="F1845" s="269" t="s">
        <v>8895</v>
      </c>
      <c r="G1845" s="273">
        <v>4</v>
      </c>
      <c r="H1845" s="283">
        <v>70</v>
      </c>
      <c r="I1845" s="246">
        <v>80</v>
      </c>
      <c r="J1845" s="246">
        <v>3</v>
      </c>
      <c r="K1845" s="247" t="s">
        <v>8562</v>
      </c>
      <c r="L1845" s="248">
        <v>95007</v>
      </c>
      <c r="M1845" s="249">
        <f>15*(LEFT(TEXT($L1845,"000000"),2)+(MID(TEXT($L1845,"000000"),3,2)/60)+(RIGHT(TEXT($L1845,"000000"),2)/3600))</f>
        <v>147.52916666666667</v>
      </c>
      <c r="N1845" s="250">
        <v>124848</v>
      </c>
      <c r="O1845" s="251">
        <f>IF($N1845&gt;0,(LEFT(TEXT($N1845,"000000"),2)+(MID(TEXT($N1845,"000000"),3,2)/60)+(RIGHT(TEXT($N1845,"000000"),2)/3600)),-(MID(TEXT($N1845,"000000"),2,2)+(MID(TEXT($N1845,"000000"),4,2)/60)+(RIGHT(TEXT($N1845,"000000"),2)/3600)))</f>
        <v>12.813333333333334</v>
      </c>
      <c r="P1845" s="252" t="s">
        <v>183</v>
      </c>
      <c r="Q1845" s="253"/>
      <c r="R1845" s="277" t="s">
        <v>3293</v>
      </c>
      <c r="S1845" s="272" t="s">
        <v>3293</v>
      </c>
      <c r="T1845" s="273">
        <v>11.9</v>
      </c>
      <c r="U1845" s="289">
        <v>22.39</v>
      </c>
      <c r="V1845" s="280">
        <v>60</v>
      </c>
      <c r="W1845" s="244"/>
      <c r="X1845" s="244"/>
      <c r="Y1845" s="362"/>
      <c r="Z1845" s="257">
        <f>altaz(J2000_Bas,$O1845,$M1845,DecLat,DecLong,1)</f>
        <v>-30.764744026280347</v>
      </c>
      <c r="AA1845" s="257">
        <f>altaz((J2000_Bas+(2*0.04167)),$O1845,$M1845,DecLat,DecLong,1)</f>
        <v>-44.828578154281111</v>
      </c>
      <c r="AB1845" s="257">
        <f>altaz((J2000_Bas+(4*0.04167)),$O1845,$M1845,DecLat,DecLong,1)</f>
        <v>-42.667651677553778</v>
      </c>
      <c r="AC1845" s="257">
        <f>altaz((J2000_Bas+(6*0.04167)),$O1845,$M1845,DecLat,DecLong,1)</f>
        <v>-25.920531460792997</v>
      </c>
      <c r="AD1845" s="258">
        <f>1+ transit((J2000_Bas-1),$O1845,$M1845,DecLat,DecLong)/360 + (GMTOffset/24) + (IF(DST="Y", 1, 0)/24)</f>
        <v>1.4027031603901248</v>
      </c>
      <c r="AE1845" s="259">
        <f>DATE(2001,9,21)+(M1845/360)*365 - (360*((DecLong/360)- (GMTOffset/24) ))</f>
        <v>37309.578182870369</v>
      </c>
      <c r="AF1845" s="260">
        <f>IF(DecLat&gt;0,IF((90 - (DecLat-O1845))&gt;90, (90 - (O1845-DecLat)), (90 - (DecLat-O1845))),IF((90 + (DecLat-O1845))&gt;90, (90 + (O1845-DecLat)), (90 + (DecLat-O1845))))</f>
        <v>71.813333333333333</v>
      </c>
      <c r="AG1845" s="257">
        <f>angularseperation(MoonRA,MoonDec,$M1845,$O1845)</f>
        <v>106.09413833383353</v>
      </c>
      <c r="AH1845" s="261">
        <f ca="1">MIN(100,IF($O$5&gt;80,0+30*($AG1845/100),IF($O$5&gt;70,0+50*($AG1845/100),IF($O$5&gt;60,5+50*($AG1845/100),IF($O$5&gt;50,10+60*($AG1845/100),IF($O$5&gt;40,15+70*($AG1845/100),IF($O$5&gt;30,20+70*($AG1845/100),IF($O$5&gt;20,40+55*($AG1845/100),(80+(20-$O$5)+30*($AG1845/100))))))))))</f>
        <v>100</v>
      </c>
      <c r="AI1845" s="262">
        <v>3020</v>
      </c>
      <c r="AJ1845" s="263"/>
      <c r="AK1845" s="263"/>
      <c r="AL1845" s="263"/>
      <c r="AM1845" s="264"/>
      <c r="AN1845" s="263"/>
      <c r="AO1845" s="263"/>
      <c r="AP1845" s="265"/>
      <c r="AQ1845" s="265">
        <v>5271</v>
      </c>
      <c r="AR1845" s="285">
        <v>28296</v>
      </c>
      <c r="AS1845" s="263"/>
      <c r="AT1845" s="263"/>
      <c r="AU1845" s="263"/>
      <c r="AV1845" s="264"/>
      <c r="AW1845" s="263"/>
      <c r="AX1845" s="263"/>
      <c r="AY1845" s="263"/>
      <c r="AZ1845" s="263"/>
      <c r="BA1845" s="263"/>
      <c r="BB1845" s="263"/>
      <c r="BC1845" s="263"/>
      <c r="BD1845" s="264"/>
      <c r="BE1845" s="263"/>
      <c r="BF1845" s="263"/>
      <c r="BG1845" s="263"/>
      <c r="BH1845" s="263"/>
      <c r="BI1845" s="263"/>
      <c r="BJ1845" s="404">
        <f>altaz(J2000_Bas,$O1845,$M1845,DecLat,DecLong,2)</f>
        <v>311.20745349822607</v>
      </c>
      <c r="BK1845" s="378" t="s">
        <v>1809</v>
      </c>
      <c r="BL1845" s="379">
        <f>IF((2*G1845)/60&lt;0.2,0.2,(2*G1845)/60)</f>
        <v>0.2</v>
      </c>
      <c r="BM1845" s="380">
        <f>MOD((50000+AD1845-$B$3+(0/24)),1)</f>
        <v>0.6180700900949887</v>
      </c>
      <c r="BN1845" s="381" t="s">
        <v>9238</v>
      </c>
      <c r="BO1845" s="382">
        <v>1838</v>
      </c>
    </row>
    <row r="1846" spans="1:67" s="24" customFormat="1" ht="15" customHeight="1" x14ac:dyDescent="0.25">
      <c r="A1846" s="288" t="s">
        <v>1810</v>
      </c>
      <c r="B1846" s="241" t="str">
        <f>HYPERLINK(CONCATENATE($AT$3,BK1846,$AU$3),$AV$3)</f>
        <v>S</v>
      </c>
      <c r="C1846" s="242" t="str">
        <f>HYPERLINK(CONCATENATE($AT$4,BK1846,$AU$4,BL1846),$AV$4)</f>
        <v>A</v>
      </c>
      <c r="D1846" s="243" t="s">
        <v>5638</v>
      </c>
      <c r="E1846" s="244" t="s">
        <v>5192</v>
      </c>
      <c r="F1846" s="269" t="s">
        <v>8895</v>
      </c>
      <c r="G1846" s="273">
        <v>3</v>
      </c>
      <c r="H1846" s="283">
        <v>90</v>
      </c>
      <c r="I1846" s="246">
        <v>80</v>
      </c>
      <c r="J1846" s="246">
        <v>3</v>
      </c>
      <c r="K1846" s="247" t="s">
        <v>7304</v>
      </c>
      <c r="L1846" s="248">
        <v>94952</v>
      </c>
      <c r="M1846" s="249">
        <f>15*(LEFT(TEXT($L1846,"000000"),2)+(MID(TEXT($L1846,"000000"),3,2)/60)+(RIGHT(TEXT($L1846,"000000"),2)/3600))</f>
        <v>147.46666666666667</v>
      </c>
      <c r="N1846" s="250">
        <v>3708</v>
      </c>
      <c r="O1846" s="251">
        <f>IF($N1846&gt;0,(LEFT(TEXT($N1846,"000000"),2)+(MID(TEXT($N1846,"000000"),3,2)/60)+(RIGHT(TEXT($N1846,"000000"),2)/3600)),-(MID(TEXT($N1846,"000000"),2,2)+(MID(TEXT($N1846,"000000"),4,2)/60)+(RIGHT(TEXT($N1846,"000000"),2)/3600)))</f>
        <v>0.61888888888888893</v>
      </c>
      <c r="P1846" s="252" t="s">
        <v>263</v>
      </c>
      <c r="Q1846" s="253"/>
      <c r="R1846" s="247" t="s">
        <v>3293</v>
      </c>
      <c r="S1846" s="272" t="s">
        <v>3293</v>
      </c>
      <c r="T1846" s="273">
        <v>12.3</v>
      </c>
      <c r="U1846" s="289">
        <v>22.59</v>
      </c>
      <c r="V1846" s="280">
        <v>50</v>
      </c>
      <c r="W1846" s="244"/>
      <c r="X1846" s="244"/>
      <c r="Y1846" s="362"/>
      <c r="Z1846" s="257">
        <f>altaz(J2000_Bas,$O1846,$M1846,DecLat,DecLong,1)</f>
        <v>-39.548865462498718</v>
      </c>
      <c r="AA1846" s="257">
        <f>altaz((J2000_Bas+(2*0.04167)),$O1846,$M1846,DecLat,DecLong,1)</f>
        <v>-56.585112486497891</v>
      </c>
      <c r="AB1846" s="257">
        <f>altaz((J2000_Bas+(4*0.04167)),$O1846,$M1846,DecLat,DecLong,1)</f>
        <v>-53.73433874224127</v>
      </c>
      <c r="AC1846" s="257">
        <f>altaz((J2000_Bas+(6*0.04167)),$O1846,$M1846,DecLat,DecLong,1)</f>
        <v>-33.995522788970064</v>
      </c>
      <c r="AD1846" s="258">
        <f>1+ transit((J2000_Bas-1),$O1846,$M1846,DecLat,DecLong)/360 + (GMTOffset/24) + (IF(DST="Y", 1, 0)/24)</f>
        <v>1.4025295492963747</v>
      </c>
      <c r="AE1846" s="259">
        <f>DATE(2001,9,21)+(M1846/360)*365 - (360*((DecLong/360)- (GMTOffset/24) ))</f>
        <v>37309.514814814815</v>
      </c>
      <c r="AF1846" s="260">
        <f>IF(DecLat&gt;0,IF((90 - (DecLat-O1846))&gt;90, (90 - (O1846-DecLat)), (90 - (DecLat-O1846))),IF((90 + (DecLat-O1846))&gt;90, (90 + (O1846-DecLat)), (90 + (DecLat-O1846))))</f>
        <v>59.61888888888889</v>
      </c>
      <c r="AG1846" s="257">
        <f>angularseperation(MoonRA,MoonDec,$M1846,$O1846)</f>
        <v>100.75452208260636</v>
      </c>
      <c r="AH1846" s="261">
        <f ca="1">MIN(100,IF($O$5&gt;80,0+30*($AG1846/100),IF($O$5&gt;70,0+50*($AG1846/100),IF($O$5&gt;60,5+50*($AG1846/100),IF($O$5&gt;50,10+60*($AG1846/100),IF($O$5&gt;40,15+70*($AG1846/100),IF($O$5&gt;30,20+70*($AG1846/100),IF($O$5&gt;20,40+55*($AG1846/100),(80+(20-$O$5)+30*($AG1846/100))))))))))</f>
        <v>100</v>
      </c>
      <c r="AI1846" s="262">
        <v>3023</v>
      </c>
      <c r="AJ1846" s="262"/>
      <c r="AK1846" s="262"/>
      <c r="AL1846" s="263"/>
      <c r="AM1846" s="264"/>
      <c r="AN1846" s="263"/>
      <c r="AO1846" s="263"/>
      <c r="AP1846" s="265"/>
      <c r="AQ1846" s="266">
        <v>5269</v>
      </c>
      <c r="AR1846" s="267">
        <v>28272</v>
      </c>
      <c r="AS1846" s="263"/>
      <c r="AT1846" s="263"/>
      <c r="AU1846" s="263"/>
      <c r="AV1846" s="264"/>
      <c r="AW1846" s="263"/>
      <c r="AX1846" s="263"/>
      <c r="AY1846" s="263"/>
      <c r="AZ1846" s="263"/>
      <c r="BA1846" s="263"/>
      <c r="BB1846" s="263"/>
      <c r="BC1846" s="263"/>
      <c r="BD1846" s="264"/>
      <c r="BE1846" s="263"/>
      <c r="BF1846" s="263"/>
      <c r="BG1846" s="263"/>
      <c r="BH1846" s="263"/>
      <c r="BI1846" s="263"/>
      <c r="BJ1846" s="404">
        <f>altaz(J2000_Bas,$O1846,$M1846,DecLat,DecLong,2)</f>
        <v>300.83149462079763</v>
      </c>
      <c r="BK1846" s="378" t="s">
        <v>1810</v>
      </c>
      <c r="BL1846" s="379">
        <f>IF((2*G1846)/60&lt;0.2,0.2,(2*G1846)/60)</f>
        <v>0.2</v>
      </c>
      <c r="BM1846" s="380">
        <f>MOD((50000+AD1846-$B$3+(0/24)),1)</f>
        <v>0.61789647900150158</v>
      </c>
      <c r="BN1846" s="381"/>
      <c r="BO1846" s="382">
        <v>1839</v>
      </c>
    </row>
    <row r="1847" spans="1:67" s="24" customFormat="1" ht="15" customHeight="1" x14ac:dyDescent="0.25">
      <c r="A1847" s="288" t="s">
        <v>1811</v>
      </c>
      <c r="B1847" s="241" t="str">
        <f>HYPERLINK(CONCATENATE($AT$3,BK1847,$AU$3),$AV$3)</f>
        <v>S</v>
      </c>
      <c r="C1847" s="242" t="str">
        <f>HYPERLINK(CONCATENATE($AT$4,BK1847,$AU$4,BL1847),$AV$4)</f>
        <v>A</v>
      </c>
      <c r="D1847" s="243" t="s">
        <v>5638</v>
      </c>
      <c r="E1847" s="244" t="s">
        <v>5192</v>
      </c>
      <c r="F1847" s="269" t="s">
        <v>8906</v>
      </c>
      <c r="G1847" s="273">
        <v>7</v>
      </c>
      <c r="H1847" s="283">
        <v>70</v>
      </c>
      <c r="I1847" s="246">
        <v>140</v>
      </c>
      <c r="J1847" s="246">
        <v>3</v>
      </c>
      <c r="K1847" s="247" t="s">
        <v>7305</v>
      </c>
      <c r="L1847" s="248">
        <v>95341</v>
      </c>
      <c r="M1847" s="249">
        <f>15*(LEFT(TEXT($L1847,"000000"),2)+(MID(TEXT($L1847,"000000"),3,2)/60)+(RIGHT(TEXT($L1847,"000000"),2)/3600))</f>
        <v>148.42083333333332</v>
      </c>
      <c r="N1847" s="250">
        <v>13445</v>
      </c>
      <c r="O1847" s="251">
        <f>IF($N1847&gt;0,(LEFT(TEXT($N1847,"000000"),2)+(MID(TEXT($N1847,"000000"),3,2)/60)+(RIGHT(TEXT($N1847,"000000"),2)/3600)),-(MID(TEXT($N1847,"000000"),2,2)+(MID(TEXT($N1847,"000000"),4,2)/60)+(RIGHT(TEXT($N1847,"000000"),2)/3600)))</f>
        <v>1.5791666666666666</v>
      </c>
      <c r="P1847" s="252" t="s">
        <v>263</v>
      </c>
      <c r="Q1847" s="253"/>
      <c r="R1847" s="277" t="s">
        <v>3293</v>
      </c>
      <c r="S1847" s="272" t="s">
        <v>3293</v>
      </c>
      <c r="T1847" s="273">
        <v>11.9</v>
      </c>
      <c r="U1847" s="289">
        <v>22.09</v>
      </c>
      <c r="V1847" s="280">
        <v>88</v>
      </c>
      <c r="W1847" s="244"/>
      <c r="X1847" s="244"/>
      <c r="Y1847" s="362"/>
      <c r="Z1847" s="257">
        <f>altaz(J2000_Bas,$O1847,$M1847,DecLat,DecLong,1)</f>
        <v>-38.19663461338024</v>
      </c>
      <c r="AA1847" s="257">
        <f>altaz((J2000_Bas+(2*0.04167)),$O1847,$M1847,DecLat,DecLong,1)</f>
        <v>-55.373389196899716</v>
      </c>
      <c r="AB1847" s="257">
        <f>altaz((J2000_Bas+(4*0.04167)),$O1847,$M1847,DecLat,DecLong,1)</f>
        <v>-53.30760480788971</v>
      </c>
      <c r="AC1847" s="257">
        <f>altaz((J2000_Bas+(6*0.04167)),$O1847,$M1847,DecLat,DecLong,1)</f>
        <v>-34.123056516622505</v>
      </c>
      <c r="AD1847" s="258">
        <f>1+ transit((J2000_Bas-1),$O1847,$M1847,DecLat,DecLong)/360 + (GMTOffset/24) + (IF(DST="Y", 1, 0)/24)</f>
        <v>1.4051800119942912</v>
      </c>
      <c r="AE1847" s="259">
        <f>DATE(2001,9,21)+(M1847/360)*365 - (360*((DecLong/360)- (GMTOffset/24) ))</f>
        <v>37310.482233796298</v>
      </c>
      <c r="AF1847" s="260">
        <f>IF(DecLat&gt;0,IF((90 - (DecLat-O1847))&gt;90, (90 - (O1847-DecLat)), (90 - (DecLat-O1847))),IF((90 + (DecLat-O1847))&gt;90, (90 + (O1847-DecLat)), (90 + (DecLat-O1847))))</f>
        <v>60.579166666666666</v>
      </c>
      <c r="AG1847" s="257">
        <f>angularseperation(MoonRA,MoonDec,$M1847,$O1847)</f>
        <v>100.34869624799852</v>
      </c>
      <c r="AH1847" s="261">
        <f ca="1">MIN(100,IF($O$5&gt;80,0+30*($AG1847/100),IF($O$5&gt;70,0+50*($AG1847/100),IF($O$5&gt;60,5+50*($AG1847/100),IF($O$5&gt;50,10+60*($AG1847/100),IF($O$5&gt;40,15+70*($AG1847/100),IF($O$5&gt;30,20+70*($AG1847/100),IF($O$5&gt;20,40+55*($AG1847/100),(80+(20-$O$5)+30*($AG1847/100))))))))))</f>
        <v>100</v>
      </c>
      <c r="AI1847" s="262">
        <v>3044</v>
      </c>
      <c r="AJ1847" s="263"/>
      <c r="AK1847" s="263"/>
      <c r="AL1847" s="263"/>
      <c r="AM1847" s="264"/>
      <c r="AN1847" s="263"/>
      <c r="AO1847" s="263"/>
      <c r="AP1847" s="265"/>
      <c r="AQ1847" s="265">
        <v>5311</v>
      </c>
      <c r="AR1847" s="285">
        <v>28517</v>
      </c>
      <c r="AS1847" s="263"/>
      <c r="AT1847" s="263"/>
      <c r="AU1847" s="263"/>
      <c r="AV1847" s="264"/>
      <c r="AW1847" s="263"/>
      <c r="AX1847" s="263"/>
      <c r="AY1847" s="263"/>
      <c r="AZ1847" s="263"/>
      <c r="BA1847" s="263"/>
      <c r="BB1847" s="263"/>
      <c r="BC1847" s="263"/>
      <c r="BD1847" s="264"/>
      <c r="BE1847" s="263"/>
      <c r="BF1847" s="263"/>
      <c r="BG1847" s="263"/>
      <c r="BH1847" s="263"/>
      <c r="BI1847" s="263"/>
      <c r="BJ1847" s="404">
        <f>altaz(J2000_Bas,$O1847,$M1847,DecLat,DecLong,2)</f>
        <v>300.90944934460055</v>
      </c>
      <c r="BK1847" s="378" t="s">
        <v>1811</v>
      </c>
      <c r="BL1847" s="379">
        <f>IF((2*G1847)/60&lt;0.2,0.2,(2*G1847)/60)</f>
        <v>0.23333333333333334</v>
      </c>
      <c r="BM1847" s="380">
        <f>MOD((50000+AD1847-$B$3+(0/24)),1)</f>
        <v>0.62054694169637514</v>
      </c>
      <c r="BN1847" s="381"/>
      <c r="BO1847" s="382">
        <v>1840</v>
      </c>
    </row>
    <row r="1848" spans="1:67" s="24" customFormat="1" ht="15" customHeight="1" x14ac:dyDescent="0.25">
      <c r="A1848" s="288" t="s">
        <v>1812</v>
      </c>
      <c r="B1848" s="241" t="str">
        <f>HYPERLINK(CONCATENATE($AT$3,BK1848,$AU$3),$AV$3)</f>
        <v>S</v>
      </c>
      <c r="C1848" s="242" t="str">
        <f>HYPERLINK(CONCATENATE($AT$4,BK1848,$AU$4,BL1848),$AV$4)</f>
        <v>A</v>
      </c>
      <c r="D1848" s="243" t="s">
        <v>5638</v>
      </c>
      <c r="E1848" s="244" t="s">
        <v>5192</v>
      </c>
      <c r="F1848" s="269" t="s">
        <v>8914</v>
      </c>
      <c r="G1848" s="273">
        <v>2.5</v>
      </c>
      <c r="H1848" s="283">
        <v>60</v>
      </c>
      <c r="I1848" s="246">
        <v>45</v>
      </c>
      <c r="J1848" s="246">
        <v>3</v>
      </c>
      <c r="K1848" s="247" t="s">
        <v>7306</v>
      </c>
      <c r="L1848" s="248">
        <v>95450</v>
      </c>
      <c r="M1848" s="249">
        <f>15*(LEFT(TEXT($L1848,"000000"),2)+(MID(TEXT($L1848,"000000"),3,2)/60)+(RIGHT(TEXT($L1848,"000000"),2)/3600))</f>
        <v>148.70833333333334</v>
      </c>
      <c r="N1848" s="250">
        <v>91618</v>
      </c>
      <c r="O1848" s="251">
        <f>IF($N1848&gt;0,(LEFT(TEXT($N1848,"000000"),2)+(MID(TEXT($N1848,"000000"),3,2)/60)+(RIGHT(TEXT($N1848,"000000"),2)/3600)),-(MID(TEXT($N1848,"000000"),2,2)+(MID(TEXT($N1848,"000000"),4,2)/60)+(RIGHT(TEXT($N1848,"000000"),2)/3600)))</f>
        <v>9.2716666666666683</v>
      </c>
      <c r="P1848" s="252" t="s">
        <v>183</v>
      </c>
      <c r="Q1848" s="253"/>
      <c r="R1848" s="247" t="s">
        <v>3293</v>
      </c>
      <c r="S1848" s="272" t="s">
        <v>3293</v>
      </c>
      <c r="T1848" s="273">
        <v>12.1</v>
      </c>
      <c r="U1848" s="289">
        <v>22.09</v>
      </c>
      <c r="V1848" s="280">
        <v>55</v>
      </c>
      <c r="W1848" s="244"/>
      <c r="X1848" s="244"/>
      <c r="Y1848" s="362"/>
      <c r="Z1848" s="257">
        <f>altaz(J2000_Bas,$O1848,$M1848,DecLat,DecLong,1)</f>
        <v>-32.593618108151816</v>
      </c>
      <c r="AA1848" s="257">
        <f>altaz((J2000_Bas+(2*0.04167)),$O1848,$M1848,DecLat,DecLong,1)</f>
        <v>-47.948766226926523</v>
      </c>
      <c r="AB1848" s="257">
        <f>altaz((J2000_Bas+(4*0.04167)),$O1848,$M1848,DecLat,DecLong,1)</f>
        <v>-46.385430794077756</v>
      </c>
      <c r="AC1848" s="257">
        <f>altaz((J2000_Bas+(6*0.04167)),$O1848,$M1848,DecLat,DecLong,1)</f>
        <v>-29.210892115960071</v>
      </c>
      <c r="AD1848" s="258">
        <f>1+ transit((J2000_Bas-1),$O1848,$M1848,DecLat,DecLong)/360 + (GMTOffset/24) + (IF(DST="Y", 1, 0)/24)</f>
        <v>1.4059786230255413</v>
      </c>
      <c r="AE1848" s="259">
        <f>DATE(2001,9,21)+(M1848/360)*365 - (360*((DecLong/360)- (GMTOffset/24) ))</f>
        <v>37310.773726851854</v>
      </c>
      <c r="AF1848" s="260">
        <f>IF(DecLat&gt;0,IF((90 - (DecLat-O1848))&gt;90, (90 - (O1848-DecLat)), (90 - (DecLat-O1848))),IF((90 + (DecLat-O1848))&gt;90, (90 + (O1848-DecLat)), (90 + (DecLat-O1848))))</f>
        <v>68.271666666666675</v>
      </c>
      <c r="AG1848" s="257">
        <f>angularseperation(MoonRA,MoonDec,$M1848,$O1848)</f>
        <v>103.53231169360424</v>
      </c>
      <c r="AH1848" s="261">
        <f ca="1">MIN(100,IF($O$5&gt;80,0+30*($AG1848/100),IF($O$5&gt;70,0+50*($AG1848/100),IF($O$5&gt;60,5+50*($AG1848/100),IF($O$5&gt;50,10+60*($AG1848/100),IF($O$5&gt;40,15+70*($AG1848/100),IF($O$5&gt;30,20+70*($AG1848/100),IF($O$5&gt;20,40+55*($AG1848/100),(80+(20-$O$5)+30*($AG1848/100))))))))))</f>
        <v>100</v>
      </c>
      <c r="AI1848" s="262">
        <v>3049</v>
      </c>
      <c r="AJ1848" s="262"/>
      <c r="AK1848" s="262"/>
      <c r="AL1848" s="263"/>
      <c r="AM1848" s="264"/>
      <c r="AN1848" s="263"/>
      <c r="AO1848" s="263"/>
      <c r="AP1848" s="265"/>
      <c r="AQ1848" s="266">
        <v>5325</v>
      </c>
      <c r="AR1848" s="267">
        <v>28590</v>
      </c>
      <c r="AS1848" s="263"/>
      <c r="AT1848" s="263"/>
      <c r="AU1848" s="263"/>
      <c r="AV1848" s="264"/>
      <c r="AW1848" s="263"/>
      <c r="AX1848" s="263"/>
      <c r="AY1848" s="263"/>
      <c r="AZ1848" s="263"/>
      <c r="BA1848" s="263"/>
      <c r="BB1848" s="263"/>
      <c r="BC1848" s="263"/>
      <c r="BD1848" s="264"/>
      <c r="BE1848" s="263"/>
      <c r="BF1848" s="263"/>
      <c r="BG1848" s="263"/>
      <c r="BH1848" s="263"/>
      <c r="BI1848" s="263"/>
      <c r="BJ1848" s="404">
        <f>altaz(J2000_Bas,$O1848,$M1848,DecLat,DecLong,2)</f>
        <v>307.39239417815901</v>
      </c>
      <c r="BK1848" s="378" t="s">
        <v>1812</v>
      </c>
      <c r="BL1848" s="379">
        <f>IF((2*G1848)/60&lt;0.2,0.2,(2*G1848)/60)</f>
        <v>0.2</v>
      </c>
      <c r="BM1848" s="380">
        <f>MOD((50000+AD1848-$B$3+(0/24)),1)</f>
        <v>0.62134555273223668</v>
      </c>
      <c r="BN1848" s="381"/>
      <c r="BO1848" s="382">
        <v>1841</v>
      </c>
    </row>
    <row r="1849" spans="1:67" s="24" customFormat="1" ht="15" customHeight="1" x14ac:dyDescent="0.25">
      <c r="A1849" s="288" t="s">
        <v>1813</v>
      </c>
      <c r="B1849" s="241" t="str">
        <f>HYPERLINK(CONCATENATE($AT$3,BK1849,$AU$3),$AV$3)</f>
        <v>S</v>
      </c>
      <c r="C1849" s="242" t="str">
        <f>HYPERLINK(CONCATENATE($AT$4,BK1849,$AU$4,BL1849),$AV$4)</f>
        <v>A</v>
      </c>
      <c r="D1849" s="243" t="s">
        <v>5638</v>
      </c>
      <c r="E1849" s="244" t="s">
        <v>5193</v>
      </c>
      <c r="F1849" s="269" t="s">
        <v>4287</v>
      </c>
      <c r="G1849" s="273">
        <v>6</v>
      </c>
      <c r="H1849" s="283">
        <v>12</v>
      </c>
      <c r="I1849" s="246">
        <v>20</v>
      </c>
      <c r="J1849" s="246">
        <v>3</v>
      </c>
      <c r="K1849" s="247" t="s">
        <v>7307</v>
      </c>
      <c r="L1849" s="248">
        <v>100320</v>
      </c>
      <c r="M1849" s="249">
        <f>15*(LEFT(TEXT($L1849,"000000"),2)+(MID(TEXT($L1849,"000000"),3,2)/60)+(RIGHT(TEXT($L1849,"000000"),2)/3600))</f>
        <v>150.83333333333337</v>
      </c>
      <c r="N1849" s="250">
        <v>684402</v>
      </c>
      <c r="O1849" s="251">
        <f>IF($N1849&gt;0,(LEFT(TEXT($N1849,"000000"),2)+(MID(TEXT($N1849,"000000"),3,2)/60)+(RIGHT(TEXT($N1849,"000000"),2)/3600)),-(MID(TEXT($N1849,"000000"),2,2)+(MID(TEXT($N1849,"000000"),4,2)/60)+(RIGHT(TEXT($N1849,"000000"),2)/3600)))</f>
        <v>68.733888888888885</v>
      </c>
      <c r="P1849" s="252" t="s">
        <v>37</v>
      </c>
      <c r="Q1849" s="253"/>
      <c r="R1849" s="247" t="s">
        <v>3293</v>
      </c>
      <c r="S1849" s="272" t="s">
        <v>3293</v>
      </c>
      <c r="T1849" s="273">
        <v>9.9</v>
      </c>
      <c r="U1849" s="289">
        <v>22.09</v>
      </c>
      <c r="V1849" s="280"/>
      <c r="W1849" s="244"/>
      <c r="X1849" s="244"/>
      <c r="Y1849" s="362"/>
      <c r="Z1849" s="257">
        <f>altaz(J2000_Bas,$O1849,$M1849,DecLat,DecLong,1)</f>
        <v>15.039370235092569</v>
      </c>
      <c r="AA1849" s="257">
        <f>altaz((J2000_Bas+(2*0.04167)),$O1849,$M1849,DecLat,DecLong,1)</f>
        <v>10.329706242035243</v>
      </c>
      <c r="AB1849" s="257">
        <f>altaz((J2000_Bas+(4*0.04167)),$O1849,$M1849,DecLat,DecLong,1)</f>
        <v>10.378281379886616</v>
      </c>
      <c r="AC1849" s="257">
        <f>altaz((J2000_Bas+(6*0.04167)),$O1849,$M1849,DecLat,DecLong,1)</f>
        <v>15.17451897403512</v>
      </c>
      <c r="AD1849" s="258">
        <f>1+ transit((J2000_Bas-1),$O1849,$M1849,DecLat,DecLong)/360 + (GMTOffset/24) + (IF(DST="Y", 1, 0)/24)</f>
        <v>1.4118814002130413</v>
      </c>
      <c r="AE1849" s="259">
        <f>DATE(2001,9,21)+(M1849/360)*365 - (360*((DecLong/360)- (GMTOffset/24) ))</f>
        <v>37312.928240740737</v>
      </c>
      <c r="AF1849" s="260">
        <f>IF(DecLat&gt;0,IF((90 - (DecLat-O1849))&gt;90, (90 - (O1849-DecLat)), (90 - (DecLat-O1849))),IF((90 + (DecLat-O1849))&gt;90, (90 + (O1849-DecLat)), (90 + (DecLat-O1849))))</f>
        <v>52.266111111111115</v>
      </c>
      <c r="AG1849" s="257">
        <f>angularseperation(MoonRA,MoonDec,$M1849,$O1849)</f>
        <v>118.13278222355818</v>
      </c>
      <c r="AH1849" s="261">
        <f ca="1">MIN(100,IF($O$5&gt;80,0+30*($AG1849/100),IF($O$5&gt;70,0+50*($AG1849/100),IF($O$5&gt;60,5+50*($AG1849/100),IF($O$5&gt;50,10+60*($AG1849/100),IF($O$5&gt;40,15+70*($AG1849/100),IF($O$5&gt;30,20+70*($AG1849/100),IF($O$5&gt;20,40+55*($AG1849/100),(80+(20-$O$5)+30*($AG1849/100))))))))))</f>
        <v>100</v>
      </c>
      <c r="AI1849" s="262">
        <v>3077</v>
      </c>
      <c r="AJ1849" s="262"/>
      <c r="AK1849" s="262">
        <v>137</v>
      </c>
      <c r="AL1849" s="263"/>
      <c r="AM1849" s="264"/>
      <c r="AN1849" s="263"/>
      <c r="AO1849" s="263"/>
      <c r="AP1849" s="265"/>
      <c r="AQ1849" s="266">
        <v>5398</v>
      </c>
      <c r="AR1849" s="267">
        <v>29146</v>
      </c>
      <c r="AS1849" s="263"/>
      <c r="AT1849" s="263"/>
      <c r="AU1849" s="263"/>
      <c r="AV1849" s="264"/>
      <c r="AW1849" s="263"/>
      <c r="AX1849" s="263"/>
      <c r="AY1849" s="263"/>
      <c r="AZ1849" s="263"/>
      <c r="BA1849" s="263"/>
      <c r="BB1849" s="263"/>
      <c r="BC1849" s="263"/>
      <c r="BD1849" s="264"/>
      <c r="BE1849" s="263"/>
      <c r="BF1849" s="263">
        <v>39</v>
      </c>
      <c r="BG1849" s="263"/>
      <c r="BH1849" s="263"/>
      <c r="BI1849" s="263"/>
      <c r="BJ1849" s="404">
        <f>altaz(J2000_Bas,$O1849,$M1849,DecLat,DecLong,2)</f>
        <v>344.6462363348524</v>
      </c>
      <c r="BK1849" s="378" t="s">
        <v>1813</v>
      </c>
      <c r="BL1849" s="379">
        <f>IF((2*G1849)/60&lt;0.2,0.2,(2*G1849)/60)</f>
        <v>0.2</v>
      </c>
      <c r="BM1849" s="380">
        <f>MOD((50000+AD1849-$B$3+(0/24)),1)</f>
        <v>0.62724832991807489</v>
      </c>
      <c r="BN1849" s="381"/>
      <c r="BO1849" s="382">
        <v>1842</v>
      </c>
    </row>
    <row r="1850" spans="1:67" s="24" customFormat="1" ht="15" customHeight="1" x14ac:dyDescent="0.25">
      <c r="A1850" s="288" t="s">
        <v>1814</v>
      </c>
      <c r="B1850" s="241" t="str">
        <f>HYPERLINK(CONCATENATE($AT$3,BK1850,$AU$3),$AV$3)</f>
        <v>S</v>
      </c>
      <c r="C1850" s="242" t="str">
        <f>HYPERLINK(CONCATENATE($AT$4,BK1850,$AU$4,BL1850),$AV$4)</f>
        <v>A</v>
      </c>
      <c r="D1850" s="243" t="s">
        <v>5638</v>
      </c>
      <c r="E1850" s="244" t="s">
        <v>5192</v>
      </c>
      <c r="F1850" s="269" t="s">
        <v>8902</v>
      </c>
      <c r="G1850" s="273">
        <v>8</v>
      </c>
      <c r="H1850" s="283">
        <v>50</v>
      </c>
      <c r="I1850" s="246">
        <v>120</v>
      </c>
      <c r="J1850" s="246">
        <v>3</v>
      </c>
      <c r="K1850" s="247" t="s">
        <v>8563</v>
      </c>
      <c r="L1850" s="248">
        <v>100158</v>
      </c>
      <c r="M1850" s="249">
        <f>15*(LEFT(TEXT($L1850,"000000"),2)+(MID(TEXT($L1850,"000000"),3,2)/60)+(RIGHT(TEXT($L1850,"000000"),2)/3600))</f>
        <v>150.4916666666667</v>
      </c>
      <c r="N1850" s="250">
        <v>554051</v>
      </c>
      <c r="O1850" s="251">
        <f>IF($N1850&gt;0,(LEFT(TEXT($N1850,"000000"),2)+(MID(TEXT($N1850,"000000"),3,2)/60)+(RIGHT(TEXT($N1850,"000000"),2)/3600)),-(MID(TEXT($N1850,"000000"),2,2)+(MID(TEXT($N1850,"000000"),4,2)/60)+(RIGHT(TEXT($N1850,"000000"),2)/3600)))</f>
        <v>55.680833333333332</v>
      </c>
      <c r="P1850" s="252" t="s">
        <v>37</v>
      </c>
      <c r="Q1850" s="253"/>
      <c r="R1850" s="247" t="s">
        <v>3293</v>
      </c>
      <c r="S1850" s="272" t="s">
        <v>3293</v>
      </c>
      <c r="T1850" s="273">
        <v>10.9</v>
      </c>
      <c r="U1850" s="289">
        <v>22.29</v>
      </c>
      <c r="V1850" s="280">
        <v>85</v>
      </c>
      <c r="W1850" s="244"/>
      <c r="X1850" s="244"/>
      <c r="Y1850" s="362"/>
      <c r="Z1850" s="257">
        <f>altaz(J2000_Bas,$O1850,$M1850,DecLat,DecLong,1)</f>
        <v>4.623946751955585</v>
      </c>
      <c r="AA1850" s="257">
        <f>altaz((J2000_Bas+(2*0.04167)),$O1850,$M1850,DecLat,DecLong,1)</f>
        <v>-2.4475978665955607</v>
      </c>
      <c r="AB1850" s="257">
        <f>altaz((J2000_Bas+(4*0.04167)),$O1850,$M1850,DecLat,DecLong,1)</f>
        <v>-2.2874788073221932</v>
      </c>
      <c r="AC1850" s="257">
        <f>altaz((J2000_Bas+(6*0.04167)),$O1850,$M1850,DecLat,DecLong,1)</f>
        <v>5.0623566197440821</v>
      </c>
      <c r="AD1850" s="258">
        <f>1+ transit((J2000_Bas-1),$O1850,$M1850,DecLat,DecLong)/360 + (GMTOffset/24) + (IF(DST="Y", 1, 0)/24)</f>
        <v>1.4109323262338747</v>
      </c>
      <c r="AE1850" s="259">
        <f>DATE(2001,9,21)+(M1850/360)*365 - (360*((DecLong/360)- (GMTOffset/24) ))</f>
        <v>37312.581828703704</v>
      </c>
      <c r="AF1850" s="260">
        <f>IF(DecLat&gt;0,IF((90 - (DecLat-O1850))&gt;90, (90 - (O1850-DecLat)), (90 - (DecLat-O1850))),IF((90 + (DecLat-O1850))&gt;90, (90 + (O1850-DecLat)), (90 + (DecLat-O1850))))</f>
        <v>65.319166666666661</v>
      </c>
      <c r="AG1850" s="257">
        <f>angularseperation(MoonRA,MoonDec,$M1850,$O1850)</f>
        <v>116.89771593890023</v>
      </c>
      <c r="AH1850" s="261">
        <f ca="1">MIN(100,IF($O$5&gt;80,0+30*($AG1850/100),IF($O$5&gt;70,0+50*($AG1850/100),IF($O$5&gt;60,5+50*($AG1850/100),IF($O$5&gt;50,10+60*($AG1850/100),IF($O$5&gt;40,15+70*($AG1850/100),IF($O$5&gt;30,20+70*($AG1850/100),IF($O$5&gt;20,40+55*($AG1850/100),(80+(20-$O$5)+30*($AG1850/100))))))))))</f>
        <v>100</v>
      </c>
      <c r="AI1850" s="262">
        <v>3079</v>
      </c>
      <c r="AJ1850" s="262"/>
      <c r="AK1850" s="262">
        <v>138</v>
      </c>
      <c r="AL1850" s="263"/>
      <c r="AM1850" s="264"/>
      <c r="AN1850" s="263"/>
      <c r="AO1850" s="263"/>
      <c r="AP1850" s="265"/>
      <c r="AQ1850" s="266">
        <v>5387</v>
      </c>
      <c r="AR1850" s="267">
        <v>29050</v>
      </c>
      <c r="AS1850" s="263"/>
      <c r="AT1850" s="263"/>
      <c r="AU1850" s="263"/>
      <c r="AV1850" s="264"/>
      <c r="AW1850" s="263"/>
      <c r="AX1850" s="263"/>
      <c r="AY1850" s="263"/>
      <c r="AZ1850" s="263"/>
      <c r="BA1850" s="263"/>
      <c r="BB1850" s="263"/>
      <c r="BC1850" s="263"/>
      <c r="BD1850" s="264"/>
      <c r="BE1850" s="263"/>
      <c r="BF1850" s="263">
        <v>38</v>
      </c>
      <c r="BG1850" s="263"/>
      <c r="BH1850" s="263"/>
      <c r="BI1850" s="263"/>
      <c r="BJ1850" s="404">
        <f>altaz(J2000_Bas,$O1850,$M1850,DecLat,DecLong,2)</f>
        <v>336.64746286819644</v>
      </c>
      <c r="BK1850" s="378" t="s">
        <v>1814</v>
      </c>
      <c r="BL1850" s="379">
        <f>IF((2*G1850)/60&lt;0.2,0.2,(2*G1850)/60)</f>
        <v>0.26666666666666666</v>
      </c>
      <c r="BM1850" s="380">
        <f>MOD((50000+AD1850-$B$3+(0/24)),1)</f>
        <v>0.62629925593500957</v>
      </c>
      <c r="BN1850" s="381" t="s">
        <v>9112</v>
      </c>
      <c r="BO1850" s="382">
        <v>1843</v>
      </c>
    </row>
    <row r="1851" spans="1:67" s="24" customFormat="1" ht="15" customHeight="1" x14ac:dyDescent="0.25">
      <c r="A1851" s="288" t="s">
        <v>1815</v>
      </c>
      <c r="B1851" s="241" t="str">
        <f>HYPERLINK(CONCATENATE($AT$3,BK1851,$AU$3),$AV$3)</f>
        <v>S</v>
      </c>
      <c r="C1851" s="242" t="str">
        <f>HYPERLINK(CONCATENATE($AT$4,BK1851,$AU$4,BL1851),$AV$4)</f>
        <v>A</v>
      </c>
      <c r="D1851" s="243" t="s">
        <v>5638</v>
      </c>
      <c r="E1851" s="244" t="s">
        <v>5182</v>
      </c>
      <c r="F1851" s="269" t="s">
        <v>8961</v>
      </c>
      <c r="G1851" s="273">
        <v>2.5</v>
      </c>
      <c r="H1851" s="283">
        <v>85</v>
      </c>
      <c r="I1851" s="246">
        <v>60</v>
      </c>
      <c r="J1851" s="246">
        <v>3</v>
      </c>
      <c r="K1851" s="247" t="s">
        <v>8564</v>
      </c>
      <c r="L1851" s="248">
        <v>95930</v>
      </c>
      <c r="M1851" s="249">
        <f>15*(LEFT(TEXT($L1851,"000000"),2)+(MID(TEXT($L1851,"000000"),3,2)/60)+(RIGHT(TEXT($L1851,"000000"),2)/3600))</f>
        <v>149.87499999999997</v>
      </c>
      <c r="N1851" s="250">
        <v>-224934</v>
      </c>
      <c r="O1851" s="251">
        <f>IF($N1851&gt;0,(LEFT(TEXT($N1851,"000000"),2)+(MID(TEXT($N1851,"000000"),3,2)/60)+(RIGHT(TEXT($N1851,"000000"),2)/3600)),-(MID(TEXT($N1851,"000000"),2,2)+(MID(TEXT($N1851,"000000"),4,2)/60)+(RIGHT(TEXT($N1851,"000000"),2)/3600)))</f>
        <v>-22.826111111111111</v>
      </c>
      <c r="P1851" s="252" t="s">
        <v>103</v>
      </c>
      <c r="Q1851" s="253"/>
      <c r="R1851" s="247" t="s">
        <v>3293</v>
      </c>
      <c r="S1851" s="272" t="s">
        <v>3293</v>
      </c>
      <c r="T1851" s="273">
        <v>13.5</v>
      </c>
      <c r="U1851" s="289">
        <v>22.09</v>
      </c>
      <c r="V1851" s="280">
        <v>65</v>
      </c>
      <c r="W1851" s="244"/>
      <c r="X1851" s="244"/>
      <c r="Y1851" s="362"/>
      <c r="Z1851" s="257">
        <f>altaz(J2000_Bas,$O1851,$M1851,DecLat,DecLong,1)</f>
        <v>-50.293721158866269</v>
      </c>
      <c r="AA1851" s="257">
        <f>altaz((J2000_Bas+(2*0.04167)),$O1851,$M1851,DecLat,DecLong,1)</f>
        <v>-75.256785041440224</v>
      </c>
      <c r="AB1851" s="257">
        <f>altaz((J2000_Bas+(4*0.04167)),$O1851,$M1851,DecLat,DecLong,1)</f>
        <v>-73.355106890821347</v>
      </c>
      <c r="AC1851" s="257">
        <f>altaz((J2000_Bas+(6*0.04167)),$O1851,$M1851,DecLat,DecLong,1)</f>
        <v>-48.143247615689532</v>
      </c>
      <c r="AD1851" s="258">
        <f>1+ transit((J2000_Bas-1),$O1851,$M1851,DecLat,DecLong)/360 + (GMTOffset/24) + (IF(DST="Y", 1, 0)/24)</f>
        <v>1.4092193634422079</v>
      </c>
      <c r="AE1851" s="259">
        <f>DATE(2001,9,21)+(M1851/360)*365 - (360*((DecLong/360)- (GMTOffset/24) ))</f>
        <v>37311.956597222219</v>
      </c>
      <c r="AF1851" s="260">
        <f>IF(DecLat&gt;0,IF((90 - (DecLat-O1851))&gt;90, (90 - (O1851-DecLat)), (90 - (DecLat-O1851))),IF((90 + (DecLat-O1851))&gt;90, (90 + (O1851-DecLat)), (90 + (DecLat-O1851))))</f>
        <v>36.173888888888889</v>
      </c>
      <c r="AG1851" s="257">
        <f>angularseperation(MoonRA,MoonDec,$M1851,$O1851)</f>
        <v>87.531720699256084</v>
      </c>
      <c r="AH1851" s="261">
        <f ca="1">MIN(100,IF($O$5&gt;80,0+30*($AG1851/100),IF($O$5&gt;70,0+50*($AG1851/100),IF($O$5&gt;60,5+50*($AG1851/100),IF($O$5&gt;50,10+60*($AG1851/100),IF($O$5&gt;40,15+70*($AG1851/100),IF($O$5&gt;30,20+70*($AG1851/100),IF($O$5&gt;20,40+55*($AG1851/100),(80+(20-$O$5)+30*($AG1851/100))))))))))</f>
        <v>100</v>
      </c>
      <c r="AI1851" s="262">
        <v>3081</v>
      </c>
      <c r="AJ1851" s="262"/>
      <c r="AK1851" s="262"/>
      <c r="AL1851" s="263"/>
      <c r="AM1851" s="264"/>
      <c r="AN1851" s="263"/>
      <c r="AO1851" s="263"/>
      <c r="AP1851" s="265"/>
      <c r="AQ1851" s="266"/>
      <c r="AR1851" s="267">
        <v>28876</v>
      </c>
      <c r="AS1851" s="263"/>
      <c r="AT1851" s="263"/>
      <c r="AU1851" s="263"/>
      <c r="AV1851" s="264"/>
      <c r="AW1851" s="263"/>
      <c r="AX1851" s="263"/>
      <c r="AY1851" s="263"/>
      <c r="AZ1851" s="263"/>
      <c r="BA1851" s="263"/>
      <c r="BB1851" s="263"/>
      <c r="BC1851" s="263"/>
      <c r="BD1851" s="264"/>
      <c r="BE1851" s="263"/>
      <c r="BF1851" s="263"/>
      <c r="BG1851" s="263"/>
      <c r="BH1851" s="263"/>
      <c r="BI1851" s="263"/>
      <c r="BJ1851" s="404">
        <f>altaz(J2000_Bas,$O1851,$M1851,DecLat,DecLong,2)</f>
        <v>270.86829034921897</v>
      </c>
      <c r="BK1851" s="378" t="s">
        <v>1815</v>
      </c>
      <c r="BL1851" s="379">
        <f>IF((2*G1851)/60&lt;0.2,0.2,(2*G1851)/60)</f>
        <v>0.2</v>
      </c>
      <c r="BM1851" s="380">
        <f>MOD((50000+AD1851-$B$3+(0/24)),1)</f>
        <v>0.62458629314642167</v>
      </c>
      <c r="BN1851" s="381"/>
      <c r="BO1851" s="382">
        <v>1844</v>
      </c>
    </row>
    <row r="1852" spans="1:67" s="24" customFormat="1" ht="15" customHeight="1" x14ac:dyDescent="0.25">
      <c r="A1852" s="288" t="s">
        <v>1816</v>
      </c>
      <c r="B1852" s="241" t="str">
        <f>HYPERLINK(CONCATENATE($AT$3,BK1852,$AU$3),$AV$3)</f>
        <v>S</v>
      </c>
      <c r="C1852" s="242" t="str">
        <f>HYPERLINK(CONCATENATE($AT$4,BK1852,$AU$4,BL1852),$AV$4)</f>
        <v>A</v>
      </c>
      <c r="D1852" s="243" t="s">
        <v>5638</v>
      </c>
      <c r="E1852" s="244" t="s">
        <v>3259</v>
      </c>
      <c r="F1852" s="269"/>
      <c r="G1852" s="276">
        <v>20</v>
      </c>
      <c r="H1852" s="289">
        <v>4</v>
      </c>
      <c r="I1852" s="246">
        <v>25</v>
      </c>
      <c r="J1852" s="246">
        <v>1</v>
      </c>
      <c r="K1852" s="247" t="s">
        <v>7311</v>
      </c>
      <c r="L1852" s="248">
        <v>100306</v>
      </c>
      <c r="M1852" s="249">
        <f>15*(LEFT(TEXT($L1852,"000000"),2)+(MID(TEXT($L1852,"000000"),3,2)/60)+(RIGHT(TEXT($L1852,"000000"),2)/3600))</f>
        <v>150.77500000000001</v>
      </c>
      <c r="N1852" s="250">
        <v>-260927</v>
      </c>
      <c r="O1852" s="251">
        <f>IF($N1852&gt;0,(LEFT(TEXT($N1852,"000000"),2)+(MID(TEXT($N1852,"000000"),3,2)/60)+(RIGHT(TEXT($N1852,"000000"),2)/3600)),-(MID(TEXT($N1852,"000000"),2,2)+(MID(TEXT($N1852,"000000"),4,2)/60)+(RIGHT(TEXT($N1852,"000000"),2)/3600)))</f>
        <v>-26.157499999999999</v>
      </c>
      <c r="P1852" s="252" t="s">
        <v>103</v>
      </c>
      <c r="Q1852" s="253"/>
      <c r="R1852" s="247" t="s">
        <v>3293</v>
      </c>
      <c r="S1852" s="272" t="s">
        <v>3293</v>
      </c>
      <c r="T1852" s="273">
        <v>9.9</v>
      </c>
      <c r="U1852" s="289">
        <v>23.19</v>
      </c>
      <c r="V1852" s="280">
        <v>75</v>
      </c>
      <c r="W1852" s="244"/>
      <c r="X1852" s="244"/>
      <c r="Y1852" s="362"/>
      <c r="Z1852" s="257">
        <f>altaz(J2000_Bas,$O1852,$M1852,DecLat,DecLong,1)</f>
        <v>-50.645834735857477</v>
      </c>
      <c r="AA1852" s="257">
        <f>altaz((J2000_Bas+(2*0.04167)),$O1852,$M1852,DecLat,DecLong,1)</f>
        <v>-76.237068716754635</v>
      </c>
      <c r="AB1852" s="257">
        <f>altaz((J2000_Bas+(4*0.04167)),$O1852,$M1852,DecLat,DecLong,1)</f>
        <v>-75.654184784083981</v>
      </c>
      <c r="AC1852" s="257">
        <f>altaz((J2000_Bas+(6*0.04167)),$O1852,$M1852,DecLat,DecLong,1)</f>
        <v>-50.040199748156468</v>
      </c>
      <c r="AD1852" s="258">
        <f>1+ transit((J2000_Bas-1),$O1852,$M1852,DecLat,DecLong)/360 + (GMTOffset/24) + (IF(DST="Y", 1, 0)/24)</f>
        <v>1.411719363192208</v>
      </c>
      <c r="AE1852" s="259">
        <f>DATE(2001,9,21)+(M1852/360)*365 - (360*((DecLong/360)- (GMTOffset/24) ))</f>
        <v>37312.869097222225</v>
      </c>
      <c r="AF1852" s="260">
        <f>IF(DecLat&gt;0,IF((90 - (DecLat-O1852))&gt;90, (90 - (O1852-DecLat)), (90 - (DecLat-O1852))),IF((90 + (DecLat-O1852))&gt;90, (90 + (O1852-DecLat)), (90 + (DecLat-O1852))))</f>
        <v>32.842500000000001</v>
      </c>
      <c r="AG1852" s="257">
        <f>angularseperation(MoonRA,MoonDec,$M1852,$O1852)</f>
        <v>85.236256026373809</v>
      </c>
      <c r="AH1852" s="261">
        <f ca="1">MIN(100,IF($O$5&gt;80,0+30*($AG1852/100),IF($O$5&gt;70,0+50*($AG1852/100),IF($O$5&gt;60,5+50*($AG1852/100),IF($O$5&gt;50,10+60*($AG1852/100),IF($O$5&gt;40,15+70*($AG1852/100),IF($O$5&gt;30,20+70*($AG1852/100),IF($O$5&gt;20,40+55*($AG1852/100),(80+(20-$O$5)+30*($AG1852/100))))))))))</f>
        <v>100</v>
      </c>
      <c r="AI1852" s="262">
        <v>3109</v>
      </c>
      <c r="AJ1852" s="262"/>
      <c r="AK1852" s="262"/>
      <c r="AL1852" s="263"/>
      <c r="AM1852" s="264"/>
      <c r="AN1852" s="263"/>
      <c r="AO1852" s="263"/>
      <c r="AP1852" s="265"/>
      <c r="AQ1852" s="266"/>
      <c r="AR1852" s="267">
        <v>29128</v>
      </c>
      <c r="AS1852" s="263"/>
      <c r="AT1852" s="263"/>
      <c r="AU1852" s="263"/>
      <c r="AV1852" s="264"/>
      <c r="AW1852" s="263"/>
      <c r="AX1852" s="263"/>
      <c r="AY1852" s="263"/>
      <c r="AZ1852" s="263"/>
      <c r="BA1852" s="263"/>
      <c r="BB1852" s="263"/>
      <c r="BC1852" s="263"/>
      <c r="BD1852" s="264"/>
      <c r="BE1852" s="263"/>
      <c r="BF1852" s="263"/>
      <c r="BG1852" s="263"/>
      <c r="BH1852" s="263"/>
      <c r="BI1852" s="263"/>
      <c r="BJ1852" s="404">
        <f>altaz(J2000_Bas,$O1852,$M1852,DecLat,DecLong,2)</f>
        <v>265.50572021978945</v>
      </c>
      <c r="BK1852" s="378" t="s">
        <v>1816</v>
      </c>
      <c r="BL1852" s="379">
        <f>IF((2*G1852)/60&lt;0.2,0.2,(2*G1852)/60)</f>
        <v>0.66666666666666663</v>
      </c>
      <c r="BM1852" s="380">
        <f>MOD((50000+AD1852-$B$3+(0/24)),1)</f>
        <v>0.62708629289409146</v>
      </c>
      <c r="BN1852" s="381" t="s">
        <v>9235</v>
      </c>
      <c r="BO1852" s="382">
        <v>1845</v>
      </c>
    </row>
    <row r="1853" spans="1:67" s="24" customFormat="1" ht="15" customHeight="1" x14ac:dyDescent="0.25">
      <c r="A1853" s="288" t="s">
        <v>1817</v>
      </c>
      <c r="B1853" s="241" t="str">
        <f>HYPERLINK(CONCATENATE($AT$3,BK1853,$AU$3),$AV$3)</f>
        <v>S</v>
      </c>
      <c r="C1853" s="242" t="str">
        <f>HYPERLINK(CONCATENATE($AT$4,BK1853,$AU$4,BL1853),$AV$4)</f>
        <v>A</v>
      </c>
      <c r="D1853" s="243" t="s">
        <v>5638</v>
      </c>
      <c r="E1853" s="244" t="s">
        <v>5192</v>
      </c>
      <c r="F1853" s="269" t="s">
        <v>8688</v>
      </c>
      <c r="G1853" s="273">
        <v>2</v>
      </c>
      <c r="H1853" s="283">
        <v>235</v>
      </c>
      <c r="I1853" s="246">
        <v>140</v>
      </c>
      <c r="J1853" s="246">
        <v>2</v>
      </c>
      <c r="K1853" s="247" t="s">
        <v>7312</v>
      </c>
      <c r="L1853" s="248">
        <v>100402</v>
      </c>
      <c r="M1853" s="249">
        <f>15*(LEFT(TEXT($L1853,"000000"),2)+(MID(TEXT($L1853,"000000"),3,2)/60)+(RIGHT(TEXT($L1853,"000000"),2)/3600))</f>
        <v>151.00833333333333</v>
      </c>
      <c r="N1853" s="250">
        <v>-62830</v>
      </c>
      <c r="O1853" s="251">
        <f>IF($N1853&gt;0,(LEFT(TEXT($N1853,"000000"),2)+(MID(TEXT($N1853,"000000"),3,2)/60)+(RIGHT(TEXT($N1853,"000000"),2)/3600)),-(MID(TEXT($N1853,"000000"),2,2)+(MID(TEXT($N1853,"000000"),4,2)/60)+(RIGHT(TEXT($N1853,"000000"),2)/3600)))</f>
        <v>-6.4750000000000005</v>
      </c>
      <c r="P1853" s="252" t="s">
        <v>263</v>
      </c>
      <c r="Q1853" s="253"/>
      <c r="R1853" s="277" t="s">
        <v>3293</v>
      </c>
      <c r="S1853" s="272" t="s">
        <v>3293</v>
      </c>
      <c r="T1853" s="273">
        <v>12.2</v>
      </c>
      <c r="U1853" s="289">
        <v>20.990000000000002</v>
      </c>
      <c r="V1853" s="280">
        <v>70</v>
      </c>
      <c r="W1853" s="244"/>
      <c r="X1853" s="244"/>
      <c r="Y1853" s="362"/>
      <c r="Z1853" s="257">
        <f>altaz(J2000_Bas,$O1853,$M1853,DecLat,DecLong,1)</f>
        <v>-41.319951314551375</v>
      </c>
      <c r="AA1853" s="257">
        <f>altaz((J2000_Bas+(2*0.04167)),$O1853,$M1853,DecLat,DecLong,1)</f>
        <v>-61.770716172012449</v>
      </c>
      <c r="AB1853" s="257">
        <f>altaz((J2000_Bas+(4*0.04167)),$O1853,$M1853,DecLat,DecLong,1)</f>
        <v>-61.657729960367099</v>
      </c>
      <c r="AC1853" s="257">
        <f>altaz((J2000_Bas+(6*0.04167)),$O1853,$M1853,DecLat,DecLong,1)</f>
        <v>-41.125580059666113</v>
      </c>
      <c r="AD1853" s="258">
        <f>1+ transit((J2000_Bas-1),$O1853,$M1853,DecLat,DecLong)/360 + (GMTOffset/24) + (IF(DST="Y", 1, 0)/24)</f>
        <v>1.4123675112755414</v>
      </c>
      <c r="AE1853" s="259">
        <f>DATE(2001,9,21)+(M1853/360)*365 - (360*((DecLong/360)- (GMTOffset/24) ))</f>
        <v>37313.105671296296</v>
      </c>
      <c r="AF1853" s="260">
        <f>IF(DecLat&gt;0,IF((90 - (DecLat-O1853))&gt;90, (90 - (O1853-DecLat)), (90 - (DecLat-O1853))),IF((90 + (DecLat-O1853))&gt;90, (90 + (O1853-DecLat)), (90 + (DecLat-O1853))))</f>
        <v>52.524999999999999</v>
      </c>
      <c r="AG1853" s="257">
        <f>angularseperation(MoonRA,MoonDec,$M1853,$O1853)</f>
        <v>94.321187039467247</v>
      </c>
      <c r="AH1853" s="261">
        <f ca="1">MIN(100,IF($O$5&gt;80,0+30*($AG1853/100),IF($O$5&gt;70,0+50*($AG1853/100),IF($O$5&gt;60,5+50*($AG1853/100),IF($O$5&gt;50,10+60*($AG1853/100),IF($O$5&gt;40,15+70*($AG1853/100),IF($O$5&gt;30,20+70*($AG1853/100),IF($O$5&gt;20,40+55*($AG1853/100),(80+(20-$O$5)+30*($AG1853/100))))))))))</f>
        <v>100</v>
      </c>
      <c r="AI1853" s="262">
        <v>3110</v>
      </c>
      <c r="AJ1853" s="263"/>
      <c r="AK1853" s="263"/>
      <c r="AL1853" s="263"/>
      <c r="AM1853" s="264"/>
      <c r="AN1853" s="263"/>
      <c r="AO1853" s="263"/>
      <c r="AP1853" s="265"/>
      <c r="AQ1853" s="265"/>
      <c r="AR1853" s="285">
        <v>29192</v>
      </c>
      <c r="AS1853" s="263"/>
      <c r="AT1853" s="263"/>
      <c r="AU1853" s="263"/>
      <c r="AV1853" s="264"/>
      <c r="AW1853" s="263"/>
      <c r="AX1853" s="263"/>
      <c r="AY1853" s="263"/>
      <c r="AZ1853" s="263"/>
      <c r="BA1853" s="263"/>
      <c r="BB1853" s="263"/>
      <c r="BC1853" s="263"/>
      <c r="BD1853" s="264"/>
      <c r="BE1853" s="263"/>
      <c r="BF1853" s="263"/>
      <c r="BG1853" s="263"/>
      <c r="BH1853" s="263"/>
      <c r="BI1853" s="263"/>
      <c r="BJ1853" s="404">
        <f>altaz(J2000_Bas,$O1853,$M1853,DecLat,DecLong,2)</f>
        <v>290.6750126355787</v>
      </c>
      <c r="BK1853" s="378" t="s">
        <v>1817</v>
      </c>
      <c r="BL1853" s="379">
        <f>IF((2*G1853)/60&lt;0.2,0.2,(2*G1853)/60)</f>
        <v>0.2</v>
      </c>
      <c r="BM1853" s="380">
        <f>MOD((50000+AD1853-$B$3+(0/24)),1)</f>
        <v>0.62773444098274922</v>
      </c>
      <c r="BN1853" s="381"/>
      <c r="BO1853" s="382">
        <v>1846</v>
      </c>
    </row>
    <row r="1854" spans="1:67" s="24" customFormat="1" ht="15" customHeight="1" x14ac:dyDescent="0.25">
      <c r="A1854" s="287" t="s">
        <v>8618</v>
      </c>
      <c r="B1854" s="241" t="str">
        <f>HYPERLINK(CONCATENATE($AT$3,BK1854,$AU$3),$AV$3)</f>
        <v>S</v>
      </c>
      <c r="C1854" s="242" t="str">
        <f>HYPERLINK(CONCATENATE($AT$4,BK1854,$AU$4,BL1854),$AV$4)</f>
        <v>A</v>
      </c>
      <c r="D1854" s="243" t="s">
        <v>5335</v>
      </c>
      <c r="E1854" s="244" t="s">
        <v>5185</v>
      </c>
      <c r="F1854" s="269" t="s">
        <v>6586</v>
      </c>
      <c r="G1854" s="276">
        <v>35</v>
      </c>
      <c r="H1854" s="283">
        <v>3300</v>
      </c>
      <c r="I1854" s="246">
        <v>34</v>
      </c>
      <c r="J1854" s="246">
        <v>3</v>
      </c>
      <c r="K1854" s="247" t="s">
        <v>8619</v>
      </c>
      <c r="L1854" s="248">
        <v>100300</v>
      </c>
      <c r="M1854" s="249">
        <f>15*(LEFT(TEXT($L1854,"000000"),2)+(MID(TEXT($L1854,"000000"),3,2)/60)+(RIGHT(TEXT($L1854,"000000"),2)/3600))</f>
        <v>150.75</v>
      </c>
      <c r="N1854" s="250">
        <v>-600700</v>
      </c>
      <c r="O1854" s="251">
        <f>IF($N1854&gt;0,(LEFT(TEXT($N1854,"000000"),2)+(MID(TEXT($N1854,"000000"),3,2)/60)+(RIGHT(TEXT($N1854,"000000"),2)/3600)),-(MID(TEXT($N1854,"000000"),2,2)+(MID(TEXT($N1854,"000000"),4,2)/60)+(RIGHT(TEXT($N1854,"000000"),2)/3600)))</f>
        <v>-60.116666666666667</v>
      </c>
      <c r="P1854" s="252" t="s">
        <v>1000</v>
      </c>
      <c r="Q1854" s="253"/>
      <c r="R1854" s="277" t="s">
        <v>3293</v>
      </c>
      <c r="S1854" s="272" t="s">
        <v>3293</v>
      </c>
      <c r="T1854" s="273">
        <v>4.2</v>
      </c>
      <c r="U1854" s="289"/>
      <c r="V1854" s="280"/>
      <c r="W1854" s="244"/>
      <c r="X1854" s="244"/>
      <c r="Y1854" s="362"/>
      <c r="Z1854" s="257">
        <f>altaz(J2000_Bas,$O1854,$M1854,DecLat,DecLong,1)</f>
        <v>-48.579379379618928</v>
      </c>
      <c r="AA1854" s="257">
        <f>altaz((J2000_Bas+(2*0.04167)),$O1854,$M1854,DecLat,DecLong,1)</f>
        <v>-59.28537623546967</v>
      </c>
      <c r="AB1854" s="257">
        <f>altaz((J2000_Bas+(4*0.04167)),$O1854,$M1854,DecLat,DecLong,1)</f>
        <v>-59.121090975196623</v>
      </c>
      <c r="AC1854" s="257">
        <f>altaz((J2000_Bas+(6*0.04167)),$O1854,$M1854,DecLat,DecLong,1)</f>
        <v>-48.233397868042928</v>
      </c>
      <c r="AD1854" s="258">
        <f>1+ transit((J2000_Bas-1),$O1854,$M1854,DecLat,DecLong)/360 + (GMTOffset/24) + (IF(DST="Y", 1, 0)/24)</f>
        <v>1.411649918754708</v>
      </c>
      <c r="AE1854" s="259">
        <f>DATE(2001,9,21)+(M1854/360)*365 - (360*((DecLong/360)- (GMTOffset/24) ))</f>
        <v>37312.84375</v>
      </c>
      <c r="AF1854" s="260">
        <f>IF(DecLat&gt;0,IF((90 - (DecLat-O1854))&gt;90, (90 - (O1854-DecLat)), (90 - (DecLat-O1854))),IF((90 + (DecLat-O1854))&gt;90, (90 + (O1854-DecLat)), (90 + (DecLat-O1854))))</f>
        <v>-1.1166666666666742</v>
      </c>
      <c r="AG1854" s="257">
        <f>angularseperation(MoonRA,MoonDec,$M1854,$O1854)</f>
        <v>70.776375493567585</v>
      </c>
      <c r="AH1854" s="261">
        <f ca="1">MIN(100,IF($O$5&gt;80,0+30*($AG1854/100),IF($O$5&gt;70,0+50*($AG1854/100),IF($O$5&gt;60,5+50*($AG1854/100),IF($O$5&gt;50,10+60*($AG1854/100),IF($O$5&gt;40,15+70*($AG1854/100),IF($O$5&gt;30,20+70*($AG1854/100),IF($O$5&gt;20,40+55*($AG1854/100),(80+(20-$O$5)+30*($AG1854/100))))))))))</f>
        <v>100</v>
      </c>
      <c r="AI1854" s="262">
        <v>3114</v>
      </c>
      <c r="AJ1854" s="263"/>
      <c r="AK1854" s="263"/>
      <c r="AL1854" s="263"/>
      <c r="AM1854" s="264"/>
      <c r="AN1854" s="263"/>
      <c r="AO1854" s="263"/>
      <c r="AP1854" s="265"/>
      <c r="AQ1854" s="265"/>
      <c r="AR1854" s="285"/>
      <c r="AS1854" s="263"/>
      <c r="AT1854" s="263"/>
      <c r="AU1854" s="263"/>
      <c r="AV1854" s="264"/>
      <c r="AW1854" s="263"/>
      <c r="AX1854" s="263"/>
      <c r="AY1854" s="263"/>
      <c r="AZ1854" s="263"/>
      <c r="BA1854" s="263"/>
      <c r="BB1854" s="263"/>
      <c r="BC1854" s="263"/>
      <c r="BD1854" s="264"/>
      <c r="BE1854" s="263"/>
      <c r="BF1854" s="263"/>
      <c r="BG1854" s="263"/>
      <c r="BH1854" s="263"/>
      <c r="BI1854" s="263"/>
      <c r="BJ1854" s="404">
        <f>altaz(J2000_Bas,$O1854,$M1854,DecLat,DecLong,2)</f>
        <v>212.01675009697675</v>
      </c>
      <c r="BK1854" s="378" t="s">
        <v>8618</v>
      </c>
      <c r="BL1854" s="379">
        <f>IF((2*G1854)/60&lt;0.2,0.2,(2*G1854)/60)</f>
        <v>1.1666666666666667</v>
      </c>
      <c r="BM1854" s="380">
        <f>MOD((50000+AD1854-$B$3+(0/24)),1)</f>
        <v>0.62701684845524142</v>
      </c>
      <c r="BN1854" s="381"/>
      <c r="BO1854" s="382">
        <v>1847</v>
      </c>
    </row>
    <row r="1855" spans="1:67" s="24" customFormat="1" ht="15" customHeight="1" x14ac:dyDescent="0.25">
      <c r="A1855" s="288" t="s">
        <v>1818</v>
      </c>
      <c r="B1855" s="241" t="str">
        <f>HYPERLINK(CONCATENATE($AT$3,BK1855,$AU$3),$AV$3)</f>
        <v>S</v>
      </c>
      <c r="C1855" s="242" t="str">
        <f>HYPERLINK(CONCATENATE($AT$4,BK1855,$AU$4,BL1855),$AV$4)</f>
        <v>A</v>
      </c>
      <c r="D1855" s="243" t="s">
        <v>5638</v>
      </c>
      <c r="E1855" s="244" t="s">
        <v>5182</v>
      </c>
      <c r="F1855" s="269" t="s">
        <v>8673</v>
      </c>
      <c r="G1855" s="273">
        <v>9</v>
      </c>
      <c r="H1855" s="283">
        <v>32</v>
      </c>
      <c r="I1855" s="246">
        <v>85</v>
      </c>
      <c r="J1855" s="246">
        <v>4</v>
      </c>
      <c r="K1855" s="247" t="s">
        <v>7313</v>
      </c>
      <c r="L1855" s="248">
        <v>100514</v>
      </c>
      <c r="M1855" s="249">
        <f>15*(LEFT(TEXT($L1855,"000000"),2)+(MID(TEXT($L1855,"000000"),3,2)/60)+(RIGHT(TEXT($L1855,"000000"),2)/3600))</f>
        <v>151.30833333333334</v>
      </c>
      <c r="N1855" s="250">
        <v>-74308</v>
      </c>
      <c r="O1855" s="251">
        <f>IF($N1855&gt;0,(LEFT(TEXT($N1855,"000000"),2)+(MID(TEXT($N1855,"000000"),3,2)/60)+(RIGHT(TEXT($N1855,"000000"),2)/3600)),-(MID(TEXT($N1855,"000000"),2,2)+(MID(TEXT($N1855,"000000"),4,2)/60)+(RIGHT(TEXT($N1855,"000000"),2)/3600)))</f>
        <v>-7.7188888888888894</v>
      </c>
      <c r="P1855" s="252" t="s">
        <v>263</v>
      </c>
      <c r="Q1855" s="253" t="s">
        <v>6909</v>
      </c>
      <c r="R1855" s="247" t="s">
        <v>7325</v>
      </c>
      <c r="S1855" s="272" t="s">
        <v>3293</v>
      </c>
      <c r="T1855" s="273">
        <v>8.9</v>
      </c>
      <c r="U1855" s="289">
        <v>20.79</v>
      </c>
      <c r="V1855" s="280">
        <v>90</v>
      </c>
      <c r="W1855" s="244"/>
      <c r="X1855" s="244"/>
      <c r="Y1855" s="362"/>
      <c r="Z1855" s="257">
        <f>altaz(J2000_Bas,$O1855,$M1855,DecLat,DecLong,1)</f>
        <v>-41.803646608921568</v>
      </c>
      <c r="AA1855" s="257">
        <f>altaz((J2000_Bas+(2*0.04167)),$O1855,$M1855,DecLat,DecLong,1)</f>
        <v>-62.720266951399047</v>
      </c>
      <c r="AB1855" s="257">
        <f>altaz((J2000_Bas+(4*0.04167)),$O1855,$M1855,DecLat,DecLong,1)</f>
        <v>-62.89285362569877</v>
      </c>
      <c r="AC1855" s="257">
        <f>altaz((J2000_Bas+(6*0.04167)),$O1855,$M1855,DecLat,DecLong,1)</f>
        <v>-42.09321342139193</v>
      </c>
      <c r="AD1855" s="258">
        <f>1+ transit((J2000_Bas-1),$O1855,$M1855,DecLat,DecLong)/360 + (GMTOffset/24) + (IF(DST="Y", 1, 0)/24)</f>
        <v>1.4132008445255415</v>
      </c>
      <c r="AE1855" s="259">
        <f>DATE(2001,9,21)+(M1855/360)*365 - (360*((DecLong/360)- (GMTOffset/24) ))</f>
        <v>37313.409837962965</v>
      </c>
      <c r="AF1855" s="260">
        <f>IF(DecLat&gt;0,IF((90 - (DecLat-O1855))&gt;90, (90 - (O1855-DecLat)), (90 - (DecLat-O1855))),IF((90 + (DecLat-O1855))&gt;90, (90 + (O1855-DecLat)), (90 + (DecLat-O1855))))</f>
        <v>51.281111111111109</v>
      </c>
      <c r="AG1855" s="257">
        <f>angularseperation(MoonRA,MoonDec,$M1855,$O1855)</f>
        <v>93.475587073103114</v>
      </c>
      <c r="AH1855" s="261">
        <f ca="1">MIN(100,IF($O$5&gt;80,0+30*($AG1855/100),IF($O$5&gt;70,0+50*($AG1855/100),IF($O$5&gt;60,5+50*($AG1855/100),IF($O$5&gt;50,10+60*($AG1855/100),IF($O$5&gt;40,15+70*($AG1855/100),IF($O$5&gt;30,20+70*($AG1855/100),IF($O$5&gt;20,40+55*($AG1855/100),(80+(20-$O$5)+30*($AG1855/100))))))))))</f>
        <v>100</v>
      </c>
      <c r="AI1855" s="262">
        <v>3115</v>
      </c>
      <c r="AJ1855" s="262"/>
      <c r="AK1855" s="262">
        <v>139</v>
      </c>
      <c r="AL1855" s="263"/>
      <c r="AM1855" s="264">
        <v>53</v>
      </c>
      <c r="AN1855" s="263"/>
      <c r="AO1855" s="263"/>
      <c r="AP1855" s="265"/>
      <c r="AQ1855" s="266"/>
      <c r="AR1855" s="267">
        <v>29265</v>
      </c>
      <c r="AS1855" s="263"/>
      <c r="AT1855" s="263"/>
      <c r="AU1855" s="263"/>
      <c r="AV1855" s="264"/>
      <c r="AW1855" s="263"/>
      <c r="AX1855" s="263"/>
      <c r="AY1855" s="263"/>
      <c r="AZ1855" s="263"/>
      <c r="BA1855" s="263"/>
      <c r="BB1855" s="263"/>
      <c r="BC1855" s="263"/>
      <c r="BD1855" s="264"/>
      <c r="BE1855" s="263"/>
      <c r="BF1855" s="263"/>
      <c r="BG1855" s="263"/>
      <c r="BH1855" s="263"/>
      <c r="BI1855" s="263"/>
      <c r="BJ1855" s="404">
        <f>altaz(J2000_Bas,$O1855,$M1855,DecLat,DecLong,2)</f>
        <v>289.0925592844855</v>
      </c>
      <c r="BK1855" s="378" t="s">
        <v>1818</v>
      </c>
      <c r="BL1855" s="379">
        <f>IF((2*G1855)/60&lt;0.2,0.2,(2*G1855)/60)</f>
        <v>0.3</v>
      </c>
      <c r="BM1855" s="380">
        <f>MOD((50000+AD1855-$B$3+(0/24)),1)</f>
        <v>0.62856777422712184</v>
      </c>
      <c r="BN1855" s="381"/>
      <c r="BO1855" s="382">
        <v>1848</v>
      </c>
    </row>
    <row r="1856" spans="1:67" s="24" customFormat="1" ht="15" customHeight="1" x14ac:dyDescent="0.25">
      <c r="A1856" s="288" t="s">
        <v>1819</v>
      </c>
      <c r="B1856" s="241" t="str">
        <f>HYPERLINK(CONCATENATE($AT$3,BK1856,$AU$3),$AV$3)</f>
        <v>S</v>
      </c>
      <c r="C1856" s="242" t="str">
        <f>HYPERLINK(CONCATENATE($AT$4,BK1856,$AU$4,BL1856),$AV$4)</f>
        <v>A</v>
      </c>
      <c r="D1856" s="243" t="s">
        <v>5638</v>
      </c>
      <c r="E1856" s="244" t="s">
        <v>5192</v>
      </c>
      <c r="F1856" s="269" t="s">
        <v>8886</v>
      </c>
      <c r="G1856" s="273">
        <v>2</v>
      </c>
      <c r="H1856" s="283">
        <v>165</v>
      </c>
      <c r="I1856" s="246">
        <v>100</v>
      </c>
      <c r="J1856" s="246">
        <v>3</v>
      </c>
      <c r="K1856" s="247" t="s">
        <v>7314</v>
      </c>
      <c r="L1856" s="248">
        <v>100640</v>
      </c>
      <c r="M1856" s="249">
        <f>15*(LEFT(TEXT($L1856,"000000"),2)+(MID(TEXT($L1856,"000000"),3,2)/60)+(RIGHT(TEXT($L1856,"000000"),2)/3600))</f>
        <v>151.66666666666666</v>
      </c>
      <c r="N1856" s="250">
        <v>-191319</v>
      </c>
      <c r="O1856" s="251">
        <f>IF($N1856&gt;0,(LEFT(TEXT($N1856,"000000"),2)+(MID(TEXT($N1856,"000000"),3,2)/60)+(RIGHT(TEXT($N1856,"000000"),2)/3600)),-(MID(TEXT($N1856,"000000"),2,2)+(MID(TEXT($N1856,"000000"),4,2)/60)+(RIGHT(TEXT($N1856,"000000"),2)/3600)))</f>
        <v>-19.221944444444443</v>
      </c>
      <c r="P1856" s="252" t="s">
        <v>103</v>
      </c>
      <c r="Q1856" s="253"/>
      <c r="R1856" s="277" t="s">
        <v>3293</v>
      </c>
      <c r="S1856" s="272" t="s">
        <v>3293</v>
      </c>
      <c r="T1856" s="273">
        <v>12.2</v>
      </c>
      <c r="U1856" s="289">
        <v>23.09</v>
      </c>
      <c r="V1856" s="280">
        <v>45</v>
      </c>
      <c r="W1856" s="244"/>
      <c r="X1856" s="244"/>
      <c r="Y1856" s="362"/>
      <c r="Z1856" s="257">
        <f>altaz(J2000_Bas,$O1856,$M1856,DecLat,DecLong,1)</f>
        <v>-47.325158112468706</v>
      </c>
      <c r="AA1856" s="257">
        <f>altaz((J2000_Bas+(2*0.04167)),$O1856,$M1856,DecLat,DecLong,1)</f>
        <v>-71.660353792561523</v>
      </c>
      <c r="AB1856" s="257">
        <f>altaz((J2000_Bas+(4*0.04167)),$O1856,$M1856,DecLat,DecLong,1)</f>
        <v>-72.391746743319047</v>
      </c>
      <c r="AC1856" s="257">
        <f>altaz((J2000_Bas+(6*0.04167)),$O1856,$M1856,DecLat,DecLong,1)</f>
        <v>-48.24234116768659</v>
      </c>
      <c r="AD1856" s="258">
        <f>1+ transit((J2000_Bas-1),$O1856,$M1856,DecLat,DecLong)/360 + (GMTOffset/24) + (IF(DST="Y", 1, 0)/24)</f>
        <v>1.4141962147963747</v>
      </c>
      <c r="AE1856" s="259">
        <f>DATE(2001,9,21)+(M1856/360)*365 - (360*((DecLong/360)- (GMTOffset/24) ))</f>
        <v>37313.773148148146</v>
      </c>
      <c r="AF1856" s="260">
        <f>IF(DecLat&gt;0,IF((90 - (DecLat-O1856))&gt;90, (90 - (O1856-DecLat)), (90 - (DecLat-O1856))),IF((90 + (DecLat-O1856))&gt;90, (90 + (O1856-DecLat)), (90 + (DecLat-O1856))))</f>
        <v>39.778055555555554</v>
      </c>
      <c r="AG1856" s="257">
        <f>angularseperation(MoonRA,MoonDec,$M1856,$O1856)</f>
        <v>87.760964763338322</v>
      </c>
      <c r="AH1856" s="261">
        <f ca="1">MIN(100,IF($O$5&gt;80,0+30*($AG1856/100),IF($O$5&gt;70,0+50*($AG1856/100),IF($O$5&gt;60,5+50*($AG1856/100),IF($O$5&gt;50,10+60*($AG1856/100),IF($O$5&gt;40,15+70*($AG1856/100),IF($O$5&gt;30,20+70*($AG1856/100),IF($O$5&gt;20,40+55*($AG1856/100),(80+(20-$O$5)+30*($AG1856/100))))))))))</f>
        <v>100</v>
      </c>
      <c r="AI1856" s="262">
        <v>3124</v>
      </c>
      <c r="AJ1856" s="263"/>
      <c r="AK1856" s="263"/>
      <c r="AL1856" s="263"/>
      <c r="AM1856" s="264"/>
      <c r="AN1856" s="263"/>
      <c r="AO1856" s="263"/>
      <c r="AP1856" s="265"/>
      <c r="AQ1856" s="265"/>
      <c r="AR1856" s="285">
        <v>29377</v>
      </c>
      <c r="AS1856" s="263"/>
      <c r="AT1856" s="263"/>
      <c r="AU1856" s="263"/>
      <c r="AV1856" s="264"/>
      <c r="AW1856" s="263"/>
      <c r="AX1856" s="263"/>
      <c r="AY1856" s="263"/>
      <c r="AZ1856" s="263"/>
      <c r="BA1856" s="263"/>
      <c r="BB1856" s="263"/>
      <c r="BC1856" s="263"/>
      <c r="BD1856" s="264"/>
      <c r="BE1856" s="263"/>
      <c r="BF1856" s="263"/>
      <c r="BG1856" s="263"/>
      <c r="BH1856" s="263"/>
      <c r="BI1856" s="263"/>
      <c r="BJ1856" s="404">
        <f>altaz(J2000_Bas,$O1856,$M1856,DecLat,DecLong,2)</f>
        <v>274.88070982750082</v>
      </c>
      <c r="BK1856" s="378" t="s">
        <v>1819</v>
      </c>
      <c r="BL1856" s="379">
        <f>IF((2*G1856)/60&lt;0.2,0.2,(2*G1856)/60)</f>
        <v>0.2</v>
      </c>
      <c r="BM1856" s="380">
        <f>MOD((50000+AD1856-$B$3+(0/24)),1)</f>
        <v>0.62956314450275386</v>
      </c>
      <c r="BN1856" s="381"/>
      <c r="BO1856" s="382">
        <v>1849</v>
      </c>
    </row>
    <row r="1857" spans="1:67" s="24" customFormat="1" ht="15" customHeight="1" x14ac:dyDescent="0.25">
      <c r="A1857" s="288" t="s">
        <v>1820</v>
      </c>
      <c r="B1857" s="241" t="str">
        <f>HYPERLINK(CONCATENATE($AT$3,BK1857,$AU$3),$AV$3)</f>
        <v>S</v>
      </c>
      <c r="C1857" s="242" t="str">
        <f>HYPERLINK(CONCATENATE($AT$4,BK1857,$AU$4,BL1857),$AV$4)</f>
        <v>A</v>
      </c>
      <c r="D1857" s="243" t="s">
        <v>5187</v>
      </c>
      <c r="E1857" s="244" t="s">
        <v>5181</v>
      </c>
      <c r="F1857" s="269" t="s">
        <v>8826</v>
      </c>
      <c r="G1857" s="273">
        <v>1.2</v>
      </c>
      <c r="H1857" s="283">
        <v>2800</v>
      </c>
      <c r="I1857" s="279">
        <v>1</v>
      </c>
      <c r="J1857" s="246">
        <v>4</v>
      </c>
      <c r="K1857" s="247" t="s">
        <v>7315</v>
      </c>
      <c r="L1857" s="248">
        <v>100702</v>
      </c>
      <c r="M1857" s="249">
        <f>15*(LEFT(TEXT($L1857,"000000"),2)+(MID(TEXT($L1857,"000000"),3,2)/60)+(RIGHT(TEXT($L1857,"000000"),2)/3600))</f>
        <v>151.75833333333335</v>
      </c>
      <c r="N1857" s="250">
        <v>-402611</v>
      </c>
      <c r="O1857" s="251">
        <f>IF($N1857&gt;0,(LEFT(TEXT($N1857,"000000"),2)+(MID(TEXT($N1857,"000000"),3,2)/60)+(RIGHT(TEXT($N1857,"000000"),2)/3600)),-(MID(TEXT($N1857,"000000"),2,2)+(MID(TEXT($N1857,"000000"),4,2)/60)+(RIGHT(TEXT($N1857,"000000"),2)/3600)))</f>
        <v>-40.436388888888885</v>
      </c>
      <c r="P1857" s="252" t="s">
        <v>980</v>
      </c>
      <c r="Q1857" s="253" t="s">
        <v>7316</v>
      </c>
      <c r="R1857" s="247" t="s">
        <v>7386</v>
      </c>
      <c r="S1857" s="272" t="s">
        <v>3293</v>
      </c>
      <c r="T1857" s="273">
        <v>9.1999999999999993</v>
      </c>
      <c r="U1857" s="274"/>
      <c r="V1857" s="280"/>
      <c r="W1857" s="244"/>
      <c r="X1857" s="244"/>
      <c r="Y1857" s="362"/>
      <c r="Z1857" s="257">
        <f>altaz(J2000_Bas,$O1857,$M1857,DecLat,DecLong,1)</f>
        <v>-52.116068028587215</v>
      </c>
      <c r="AA1857" s="257">
        <f>altaz((J2000_Bas+(2*0.04167)),$O1857,$M1857,DecLat,DecLong,1)</f>
        <v>-74.19971274324449</v>
      </c>
      <c r="AB1857" s="257">
        <f>altaz((J2000_Bas+(4*0.04167)),$O1857,$M1857,DecLat,DecLong,1)</f>
        <v>-75.001715749868637</v>
      </c>
      <c r="AC1857" s="257">
        <f>altaz((J2000_Bas+(6*0.04167)),$O1857,$M1857,DecLat,DecLong,1)</f>
        <v>-53.073390478489465</v>
      </c>
      <c r="AD1857" s="258">
        <f>1+ transit((J2000_Bas-1),$O1857,$M1857,DecLat,DecLong)/360 + (GMTOffset/24) + (IF(DST="Y", 1, 0)/24)</f>
        <v>1.4144508444005415</v>
      </c>
      <c r="AE1857" s="259">
        <f>DATE(2001,9,21)+(M1857/360)*365 - (360*((DecLong/360)- (GMTOffset/24) ))</f>
        <v>37313.866087962961</v>
      </c>
      <c r="AF1857" s="260">
        <f>IF(DecLat&gt;0,IF((90 - (DecLat-O1857))&gt;90, (90 - (O1857-DecLat)), (90 - (DecLat-O1857))),IF((90 + (DecLat-O1857))&gt;90, (90 + (O1857-DecLat)), (90 + (DecLat-O1857))))</f>
        <v>18.563611111111115</v>
      </c>
      <c r="AG1857" s="257">
        <f>angularseperation(MoonRA,MoonDec,$M1857,$O1857)</f>
        <v>78.050601226475536</v>
      </c>
      <c r="AH1857" s="261">
        <f ca="1">MIN(100,IF($O$5&gt;80,0+30*($AG1857/100),IF($O$5&gt;70,0+50*($AG1857/100),IF($O$5&gt;60,5+50*($AG1857/100),IF($O$5&gt;50,10+60*($AG1857/100),IF($O$5&gt;40,15+70*($AG1857/100),IF($O$5&gt;30,20+70*($AG1857/100),IF($O$5&gt;20,40+55*($AG1857/100),(80+(20-$O$5)+30*($AG1857/100))))))))))</f>
        <v>100</v>
      </c>
      <c r="AI1857" s="262">
        <v>3132</v>
      </c>
      <c r="AJ1857" s="262"/>
      <c r="AK1857" s="262"/>
      <c r="AL1857" s="263"/>
      <c r="AM1857" s="264">
        <v>74</v>
      </c>
      <c r="AN1857" s="263"/>
      <c r="AO1857" s="263"/>
      <c r="AP1857" s="265"/>
      <c r="AQ1857" s="266"/>
      <c r="AR1857" s="267"/>
      <c r="AS1857" s="263"/>
      <c r="AT1857" s="263"/>
      <c r="AU1857" s="263"/>
      <c r="AV1857" s="264"/>
      <c r="AW1857" s="263"/>
      <c r="AX1857" s="263"/>
      <c r="AY1857" s="263"/>
      <c r="AZ1857" s="263"/>
      <c r="BA1857" s="263"/>
      <c r="BB1857" s="263"/>
      <c r="BC1857" s="263"/>
      <c r="BD1857" s="264"/>
      <c r="BE1857" s="263"/>
      <c r="BF1857" s="263"/>
      <c r="BG1857" s="263"/>
      <c r="BH1857" s="263"/>
      <c r="BI1857" s="263"/>
      <c r="BJ1857" s="404">
        <f>altaz(J2000_Bas,$O1857,$M1857,DecLat,DecLong,2)</f>
        <v>242.61499521923417</v>
      </c>
      <c r="BK1857" s="378" t="s">
        <v>1820</v>
      </c>
      <c r="BL1857" s="379">
        <f>IF((2*G1857)/60&lt;0.2,0.2,(2*G1857)/60)</f>
        <v>0.2</v>
      </c>
      <c r="BM1857" s="380">
        <f>MOD((50000+AD1857-$B$3+(0/24)),1)</f>
        <v>0.62981777410459472</v>
      </c>
      <c r="BN1857" s="381" t="s">
        <v>8665</v>
      </c>
      <c r="BO1857" s="382">
        <v>1850</v>
      </c>
    </row>
    <row r="1858" spans="1:67" s="24" customFormat="1" ht="15" customHeight="1" x14ac:dyDescent="0.25">
      <c r="A1858" s="288" t="s">
        <v>1821</v>
      </c>
      <c r="B1858" s="241" t="str">
        <f>HYPERLINK(CONCATENATE($AT$3,BK1858,$AU$3),$AV$3)</f>
        <v>S</v>
      </c>
      <c r="C1858" s="242" t="str">
        <f>HYPERLINK(CONCATENATE($AT$4,BK1858,$AU$4,BL1858),$AV$4)</f>
        <v>A</v>
      </c>
      <c r="D1858" s="243" t="s">
        <v>5638</v>
      </c>
      <c r="E1858" s="244" t="s">
        <v>5192</v>
      </c>
      <c r="F1858" s="269" t="s">
        <v>8796</v>
      </c>
      <c r="G1858" s="273">
        <v>3.8</v>
      </c>
      <c r="H1858" s="283">
        <v>130</v>
      </c>
      <c r="I1858" s="246">
        <v>140</v>
      </c>
      <c r="J1858" s="246">
        <v>3</v>
      </c>
      <c r="K1858" s="247" t="s">
        <v>7317</v>
      </c>
      <c r="L1858" s="248">
        <v>101653</v>
      </c>
      <c r="M1858" s="249">
        <f>15*(LEFT(TEXT($L1858,"000000"),2)+(MID(TEXT($L1858,"000000"),3,2)/60)+(RIGHT(TEXT($L1858,"000000"),2)/3600))</f>
        <v>154.22083333333333</v>
      </c>
      <c r="N1858" s="250">
        <v>732402</v>
      </c>
      <c r="O1858" s="251">
        <f>IF($N1858&gt;0,(LEFT(TEXT($N1858,"000000"),2)+(MID(TEXT($N1858,"000000"),3,2)/60)+(RIGHT(TEXT($N1858,"000000"),2)/3600)),-(MID(TEXT($N1858,"000000"),2,2)+(MID(TEXT($N1858,"000000"),4,2)/60)+(RIGHT(TEXT($N1858,"000000"),2)/3600)))</f>
        <v>73.400555555555556</v>
      </c>
      <c r="P1858" s="252" t="s">
        <v>34</v>
      </c>
      <c r="Q1858" s="253"/>
      <c r="R1858" s="247" t="s">
        <v>3293</v>
      </c>
      <c r="S1858" s="272" t="s">
        <v>3293</v>
      </c>
      <c r="T1858" s="273">
        <v>10.6</v>
      </c>
      <c r="U1858" s="289">
        <v>22.19</v>
      </c>
      <c r="V1858" s="280">
        <v>15</v>
      </c>
      <c r="W1858" s="244"/>
      <c r="X1858" s="244"/>
      <c r="Y1858" s="362"/>
      <c r="Z1858" s="257">
        <f>altaz(J2000_Bas,$O1858,$M1858,DecLat,DecLong,1)</f>
        <v>19.293970824748786</v>
      </c>
      <c r="AA1858" s="257">
        <f>altaz((J2000_Bas+(2*0.04167)),$O1858,$M1858,DecLat,DecLong,1)</f>
        <v>15.121184512435276</v>
      </c>
      <c r="AB1858" s="257">
        <f>altaz((J2000_Bas+(4*0.04167)),$O1858,$M1858,DecLat,DecLong,1)</f>
        <v>14.714742646464405</v>
      </c>
      <c r="AC1858" s="257">
        <f>altaz((J2000_Bas+(6*0.04167)),$O1858,$M1858,DecLat,DecLong,1)</f>
        <v>18.161587962537421</v>
      </c>
      <c r="AD1858" s="258">
        <f>1+ transit((J2000_Bas-1),$O1858,$M1858,DecLat,DecLong)/360 + (GMTOffset/24) + (IF(DST="Y", 1, 0)/24)</f>
        <v>1.4212911214942914</v>
      </c>
      <c r="AE1858" s="259">
        <f>DATE(2001,9,21)+(M1858/360)*365 - (360*((DecLong/360)- (GMTOffset/24) ))</f>
        <v>37316.36278935185</v>
      </c>
      <c r="AF1858" s="260">
        <f>IF(DecLat&gt;0,IF((90 - (DecLat-O1858))&gt;90, (90 - (O1858-DecLat)), (90 - (DecLat-O1858))),IF((90 + (DecLat-O1858))&gt;90, (90 + (O1858-DecLat)), (90 + (DecLat-O1858))))</f>
        <v>47.599444444444444</v>
      </c>
      <c r="AG1858" s="257">
        <f>angularseperation(MoonRA,MoonDec,$M1858,$O1858)</f>
        <v>117.29582220550839</v>
      </c>
      <c r="AH1858" s="261">
        <f ca="1">MIN(100,IF($O$5&gt;80,0+30*($AG1858/100),IF($O$5&gt;70,0+50*($AG1858/100),IF($O$5&gt;60,5+50*($AG1858/100),IF($O$5&gt;50,10+60*($AG1858/100),IF($O$5&gt;40,15+70*($AG1858/100),IF($O$5&gt;30,20+70*($AG1858/100),IF($O$5&gt;20,40+55*($AG1858/100),(80+(20-$O$5)+30*($AG1858/100))))))))))</f>
        <v>100</v>
      </c>
      <c r="AI1858" s="262">
        <v>3147</v>
      </c>
      <c r="AJ1858" s="262"/>
      <c r="AK1858" s="262">
        <v>140</v>
      </c>
      <c r="AL1858" s="263"/>
      <c r="AM1858" s="264"/>
      <c r="AN1858" s="263"/>
      <c r="AO1858" s="263"/>
      <c r="AP1858" s="265"/>
      <c r="AQ1858" s="266">
        <v>5532</v>
      </c>
      <c r="AR1858" s="267">
        <v>30019</v>
      </c>
      <c r="AS1858" s="263"/>
      <c r="AT1858" s="263"/>
      <c r="AU1858" s="263"/>
      <c r="AV1858" s="264"/>
      <c r="AW1858" s="263"/>
      <c r="AX1858" s="263"/>
      <c r="AY1858" s="263"/>
      <c r="AZ1858" s="263"/>
      <c r="BA1858" s="263"/>
      <c r="BB1858" s="263"/>
      <c r="BC1858" s="263"/>
      <c r="BD1858" s="264"/>
      <c r="BE1858" s="263"/>
      <c r="BF1858" s="263"/>
      <c r="BG1858" s="263"/>
      <c r="BH1858" s="263"/>
      <c r="BI1858" s="263"/>
      <c r="BJ1858" s="404">
        <f>altaz(J2000_Bas,$O1858,$M1858,DecLat,DecLong,2)</f>
        <v>346.95572745260921</v>
      </c>
      <c r="BK1858" s="378" t="s">
        <v>1821</v>
      </c>
      <c r="BL1858" s="379">
        <f>IF((2*G1858)/60&lt;0.2,0.2,(2*G1858)/60)</f>
        <v>0.2</v>
      </c>
      <c r="BM1858" s="380">
        <f>MOD((50000+AD1858-$B$3+(0/24)),1)</f>
        <v>0.63665805119671859</v>
      </c>
      <c r="BN1858" s="381" t="s">
        <v>9116</v>
      </c>
      <c r="BO1858" s="382">
        <v>1851</v>
      </c>
    </row>
    <row r="1859" spans="1:67" s="24" customFormat="1" ht="15" customHeight="1" x14ac:dyDescent="0.25">
      <c r="A1859" s="288" t="s">
        <v>1822</v>
      </c>
      <c r="B1859" s="241" t="str">
        <f>HYPERLINK(CONCATENATE($AT$3,BK1859,$AU$3),$AV$3)</f>
        <v>S</v>
      </c>
      <c r="C1859" s="242" t="str">
        <f>HYPERLINK(CONCATENATE($AT$4,BK1859,$AU$4,BL1859),$AV$4)</f>
        <v>A</v>
      </c>
      <c r="D1859" s="243" t="s">
        <v>5638</v>
      </c>
      <c r="E1859" s="244" t="s">
        <v>5192</v>
      </c>
      <c r="F1859" s="269" t="s">
        <v>8962</v>
      </c>
      <c r="G1859" s="273">
        <v>3.2</v>
      </c>
      <c r="H1859" s="283">
        <v>85</v>
      </c>
      <c r="I1859" s="246">
        <v>80</v>
      </c>
      <c r="J1859" s="246">
        <v>2</v>
      </c>
      <c r="K1859" s="247" t="s">
        <v>7318</v>
      </c>
      <c r="L1859" s="248">
        <v>101332</v>
      </c>
      <c r="M1859" s="249">
        <f>15*(LEFT(TEXT($L1859,"000000"),2)+(MID(TEXT($L1859,"000000"),3,2)/60)+(RIGHT(TEXT($L1859,"000000"),2)/3600))</f>
        <v>153.38333333333333</v>
      </c>
      <c r="N1859" s="250">
        <v>224415</v>
      </c>
      <c r="O1859" s="251">
        <f>IF($N1859&gt;0,(LEFT(TEXT($N1859,"000000"),2)+(MID(TEXT($N1859,"000000"),3,2)/60)+(RIGHT(TEXT($N1859,"000000"),2)/3600)),-(MID(TEXT($N1859,"000000"),2,2)+(MID(TEXT($N1859,"000000"),4,2)/60)+(RIGHT(TEXT($N1859,"000000"),2)/3600)))</f>
        <v>22.737500000000001</v>
      </c>
      <c r="P1859" s="252" t="s">
        <v>183</v>
      </c>
      <c r="Q1859" s="253"/>
      <c r="R1859" s="277" t="s">
        <v>3293</v>
      </c>
      <c r="S1859" s="272" t="s">
        <v>3293</v>
      </c>
      <c r="T1859" s="273">
        <v>11.6</v>
      </c>
      <c r="U1859" s="289">
        <v>22.59</v>
      </c>
      <c r="V1859" s="280">
        <v>20</v>
      </c>
      <c r="W1859" s="244"/>
      <c r="X1859" s="244"/>
      <c r="Y1859" s="362"/>
      <c r="Z1859" s="257">
        <f>altaz(J2000_Bas,$O1859,$M1859,DecLat,DecLong,1)</f>
        <v>-19.647648245346723</v>
      </c>
      <c r="AA1859" s="257">
        <f>altaz((J2000_Bas+(2*0.04167)),$O1859,$M1859,DecLat,DecLong,1)</f>
        <v>-33.76151594022528</v>
      </c>
      <c r="AB1859" s="257">
        <f>altaz((J2000_Bas+(4*0.04167)),$O1859,$M1859,DecLat,DecLong,1)</f>
        <v>-34.881101753338378</v>
      </c>
      <c r="AC1859" s="257">
        <f>altaz((J2000_Bas+(6*0.04167)),$O1859,$M1859,DecLat,DecLong,1)</f>
        <v>-22.352318748568521</v>
      </c>
      <c r="AD1859" s="258">
        <f>1+ transit((J2000_Bas-1),$O1859,$M1859,DecLat,DecLong)/360 + (GMTOffset/24) + (IF(DST="Y", 1, 0)/24)</f>
        <v>1.4189647328380413</v>
      </c>
      <c r="AE1859" s="259">
        <f>DATE(2001,9,21)+(M1859/360)*365 - (360*((DecLong/360)- (GMTOffset/24) ))</f>
        <v>37315.513657407406</v>
      </c>
      <c r="AF1859" s="260">
        <f>IF(DecLat&gt;0,IF((90 - (DecLat-O1859))&gt;90, (90 - (O1859-DecLat)), (90 - (DecLat-O1859))),IF((90 + (DecLat-O1859))&gt;90, (90 + (O1859-DecLat)), (90 + (DecLat-O1859))))</f>
        <v>81.737499999999997</v>
      </c>
      <c r="AG1859" s="257">
        <f>angularseperation(MoonRA,MoonDec,$M1859,$O1859)</f>
        <v>105.05785532360177</v>
      </c>
      <c r="AH1859" s="261">
        <f ca="1">MIN(100,IF($O$5&gt;80,0+30*($AG1859/100),IF($O$5&gt;70,0+50*($AG1859/100),IF($O$5&gt;60,5+50*($AG1859/100),IF($O$5&gt;50,10+60*($AG1859/100),IF($O$5&gt;40,15+70*($AG1859/100),IF($O$5&gt;30,20+70*($AG1859/100),IF($O$5&gt;20,40+55*($AG1859/100),(80+(20-$O$5)+30*($AG1859/100))))))))))</f>
        <v>100</v>
      </c>
      <c r="AI1859" s="262">
        <v>3162</v>
      </c>
      <c r="AJ1859" s="263"/>
      <c r="AK1859" s="263"/>
      <c r="AL1859" s="263"/>
      <c r="AM1859" s="264"/>
      <c r="AN1859" s="263"/>
      <c r="AO1859" s="263"/>
      <c r="AP1859" s="265"/>
      <c r="AQ1859" s="265"/>
      <c r="AR1859" s="285">
        <v>29800</v>
      </c>
      <c r="AS1859" s="263"/>
      <c r="AT1859" s="263"/>
      <c r="AU1859" s="263"/>
      <c r="AV1859" s="264"/>
      <c r="AW1859" s="263"/>
      <c r="AX1859" s="263"/>
      <c r="AY1859" s="263"/>
      <c r="AZ1859" s="263"/>
      <c r="BA1859" s="263"/>
      <c r="BB1859" s="263"/>
      <c r="BC1859" s="263"/>
      <c r="BD1859" s="264"/>
      <c r="BE1859" s="263"/>
      <c r="BF1859" s="263"/>
      <c r="BG1859" s="263"/>
      <c r="BH1859" s="263"/>
      <c r="BI1859" s="263"/>
      <c r="BJ1859" s="404">
        <f>altaz(J2000_Bas,$O1859,$M1859,DecLat,DecLong,2)</f>
        <v>313.89280663564244</v>
      </c>
      <c r="BK1859" s="378" t="s">
        <v>1822</v>
      </c>
      <c r="BL1859" s="379">
        <f>IF((2*G1859)/60&lt;0.2,0.2,(2*G1859)/60)</f>
        <v>0.2</v>
      </c>
      <c r="BM1859" s="380">
        <f>MOD((50000+AD1859-$B$3+(0/24)),1)</f>
        <v>0.63433166254253592</v>
      </c>
      <c r="BN1859" s="381"/>
      <c r="BO1859" s="382">
        <v>1852</v>
      </c>
    </row>
    <row r="1860" spans="1:67" s="24" customFormat="1" ht="15" customHeight="1" x14ac:dyDescent="0.25">
      <c r="A1860" s="288" t="s">
        <v>1823</v>
      </c>
      <c r="B1860" s="241" t="str">
        <f>HYPERLINK(CONCATENATE($AT$3,BK1860,$AU$3),$AV$3)</f>
        <v>S</v>
      </c>
      <c r="C1860" s="242" t="str">
        <f>HYPERLINK(CONCATENATE($AT$4,BK1860,$AU$4,BL1860),$AV$4)</f>
        <v>A</v>
      </c>
      <c r="D1860" s="243" t="s">
        <v>5638</v>
      </c>
      <c r="E1860" s="244" t="s">
        <v>5182</v>
      </c>
      <c r="F1860" s="269" t="s">
        <v>8903</v>
      </c>
      <c r="G1860" s="273">
        <v>5.5</v>
      </c>
      <c r="H1860" s="283">
        <v>50</v>
      </c>
      <c r="I1860" s="246">
        <v>80</v>
      </c>
      <c r="J1860" s="246">
        <v>3</v>
      </c>
      <c r="K1860" s="247" t="s">
        <v>7321</v>
      </c>
      <c r="L1860" s="248">
        <v>101345</v>
      </c>
      <c r="M1860" s="249">
        <f>15*(LEFT(TEXT($L1860,"000000"),2)+(MID(TEXT($L1860,"000000"),3,2)/60)+(RIGHT(TEXT($L1860,"000000"),2)/3600))</f>
        <v>153.4375</v>
      </c>
      <c r="N1860" s="250">
        <v>32530</v>
      </c>
      <c r="O1860" s="251">
        <f>IF($N1860&gt;0,(LEFT(TEXT($N1860,"000000"),2)+(MID(TEXT($N1860,"000000"),3,2)/60)+(RIGHT(TEXT($N1860,"000000"),2)/3600)),-(MID(TEXT($N1860,"000000"),2,2)+(MID(TEXT($N1860,"000000"),4,2)/60)+(RIGHT(TEXT($N1860,"000000"),2)/3600)))</f>
        <v>3.4249999999999998</v>
      </c>
      <c r="P1860" s="252" t="s">
        <v>263</v>
      </c>
      <c r="Q1860" s="253"/>
      <c r="R1860" s="247" t="s">
        <v>3293</v>
      </c>
      <c r="S1860" s="272" t="s">
        <v>7319</v>
      </c>
      <c r="T1860" s="273">
        <v>10.4</v>
      </c>
      <c r="U1860" s="289">
        <v>21.79</v>
      </c>
      <c r="V1860" s="280">
        <v>65</v>
      </c>
      <c r="W1860" s="244"/>
      <c r="X1860" s="244"/>
      <c r="Y1860" s="362"/>
      <c r="Z1860" s="257">
        <f>altaz(J2000_Bas,$O1860,$M1860,DecLat,DecLong,1)</f>
        <v>-33.230379023838481</v>
      </c>
      <c r="AA1860" s="257">
        <f>altaz((J2000_Bas+(2*0.04167)),$O1860,$M1860,DecLat,DecLong,1)</f>
        <v>-51.807217136384857</v>
      </c>
      <c r="AB1860" s="257">
        <f>altaz((J2000_Bas+(4*0.04167)),$O1860,$M1860,DecLat,DecLong,1)</f>
        <v>-53.496535815408066</v>
      </c>
      <c r="AC1860" s="257">
        <f>altaz((J2000_Bas+(6*0.04167)),$O1860,$M1860,DecLat,DecLong,1)</f>
        <v>-36.644352234555818</v>
      </c>
      <c r="AD1860" s="258">
        <f>1+ transit((J2000_Bas-1),$O1860,$M1860,DecLat,DecLong)/360 + (GMTOffset/24) + (IF(DST="Y", 1, 0)/24)</f>
        <v>1.419115195785958</v>
      </c>
      <c r="AE1860" s="259">
        <f>DATE(2001,9,21)+(M1860/360)*365 - (360*((DecLong/360)- (GMTOffset/24) ))</f>
        <v>37315.568576388891</v>
      </c>
      <c r="AF1860" s="260">
        <f>IF(DecLat&gt;0,IF((90 - (DecLat-O1860))&gt;90, (90 - (O1860-DecLat)), (90 - (DecLat-O1860))),IF((90 + (DecLat-O1860))&gt;90, (90 + (O1860-DecLat)), (90 + (DecLat-O1860))))</f>
        <v>62.424999999999997</v>
      </c>
      <c r="AG1860" s="257">
        <f>angularseperation(MoonRA,MoonDec,$M1860,$O1860)</f>
        <v>96.723734150604685</v>
      </c>
      <c r="AH1860" s="261">
        <f ca="1">MIN(100,IF($O$5&gt;80,0+30*($AG1860/100),IF($O$5&gt;70,0+50*($AG1860/100),IF($O$5&gt;60,5+50*($AG1860/100),IF($O$5&gt;50,10+60*($AG1860/100),IF($O$5&gt;40,15+70*($AG1860/100),IF($O$5&gt;30,20+70*($AG1860/100),IF($O$5&gt;20,40+55*($AG1860/100),(80+(20-$O$5)+30*($AG1860/100))))))))))</f>
        <v>100</v>
      </c>
      <c r="AI1860" s="262">
        <v>3166</v>
      </c>
      <c r="AJ1860" s="262"/>
      <c r="AK1860" s="262">
        <v>141</v>
      </c>
      <c r="AL1860" s="263"/>
      <c r="AM1860" s="264"/>
      <c r="AN1860" s="263"/>
      <c r="AO1860" s="263"/>
      <c r="AP1860" s="265"/>
      <c r="AQ1860" s="266">
        <v>5516</v>
      </c>
      <c r="AR1860" s="267">
        <v>29814</v>
      </c>
      <c r="AS1860" s="263"/>
      <c r="AT1860" s="263"/>
      <c r="AU1860" s="263"/>
      <c r="AV1860" s="264"/>
      <c r="AW1860" s="263"/>
      <c r="AX1860" s="263"/>
      <c r="AY1860" s="263"/>
      <c r="AZ1860" s="263"/>
      <c r="BA1860" s="263"/>
      <c r="BB1860" s="263"/>
      <c r="BC1860" s="263"/>
      <c r="BD1860" s="264"/>
      <c r="BE1860" s="263"/>
      <c r="BF1860" s="263">
        <v>40</v>
      </c>
      <c r="BG1860" s="263"/>
      <c r="BH1860" s="263"/>
      <c r="BI1860" s="263"/>
      <c r="BJ1860" s="404">
        <f>altaz(J2000_Bas,$O1860,$M1860,DecLat,DecLong,2)</f>
        <v>298.48767106367927</v>
      </c>
      <c r="BK1860" s="378" t="s">
        <v>1823</v>
      </c>
      <c r="BL1860" s="379">
        <f>IF((2*G1860)/60&lt;0.2,0.2,(2*G1860)/60)</f>
        <v>0.2</v>
      </c>
      <c r="BM1860" s="380">
        <f>MOD((50000+AD1860-$B$3+(0/24)),1)</f>
        <v>0.6344821254897397</v>
      </c>
      <c r="BN1860" s="381"/>
      <c r="BO1860" s="382">
        <v>1853</v>
      </c>
    </row>
    <row r="1861" spans="1:67" s="24" customFormat="1" ht="15" customHeight="1" x14ac:dyDescent="0.25">
      <c r="A1861" s="288" t="s">
        <v>1824</v>
      </c>
      <c r="B1861" s="241" t="str">
        <f>HYPERLINK(CONCATENATE($AT$3,BK1861,$AU$3),$AV$3)</f>
        <v>S</v>
      </c>
      <c r="C1861" s="242" t="str">
        <f>HYPERLINK(CONCATENATE($AT$4,BK1861,$AU$4,BL1861),$AV$4)</f>
        <v>A</v>
      </c>
      <c r="D1861" s="243" t="s">
        <v>5638</v>
      </c>
      <c r="E1861" s="244" t="s">
        <v>5192</v>
      </c>
      <c r="F1861" s="269" t="s">
        <v>8709</v>
      </c>
      <c r="G1861" s="273">
        <v>5.5</v>
      </c>
      <c r="H1861" s="283">
        <v>50</v>
      </c>
      <c r="I1861" s="246">
        <v>80</v>
      </c>
      <c r="J1861" s="246">
        <v>3</v>
      </c>
      <c r="K1861" s="247" t="s">
        <v>7322</v>
      </c>
      <c r="L1861" s="248">
        <v>101415</v>
      </c>
      <c r="M1861" s="249">
        <f>15*(LEFT(TEXT($L1861,"000000"),2)+(MID(TEXT($L1861,"000000"),3,2)/60)+(RIGHT(TEXT($L1861,"000000"),2)/3600))</f>
        <v>153.56249999999997</v>
      </c>
      <c r="N1861" s="250">
        <v>32802</v>
      </c>
      <c r="O1861" s="251">
        <f>IF($N1861&gt;0,(LEFT(TEXT($N1861,"000000"),2)+(MID(TEXT($N1861,"000000"),3,2)/60)+(RIGHT(TEXT($N1861,"000000"),2)/3600)),-(MID(TEXT($N1861,"000000"),2,2)+(MID(TEXT($N1861,"000000"),4,2)/60)+(RIGHT(TEXT($N1861,"000000"),2)/3600)))</f>
        <v>3.4672222222222224</v>
      </c>
      <c r="P1861" s="252" t="s">
        <v>263</v>
      </c>
      <c r="Q1861" s="253"/>
      <c r="R1861" s="247" t="s">
        <v>3293</v>
      </c>
      <c r="S1861" s="272" t="s">
        <v>7320</v>
      </c>
      <c r="T1861" s="273">
        <v>10.199999999999999</v>
      </c>
      <c r="U1861" s="289">
        <v>21.69</v>
      </c>
      <c r="V1861" s="280">
        <v>80</v>
      </c>
      <c r="W1861" s="244"/>
      <c r="X1861" s="244"/>
      <c r="Y1861" s="362"/>
      <c r="Z1861" s="257">
        <f>altaz(J2000_Bas,$O1861,$M1861,DecLat,DecLong,1)</f>
        <v>-33.108491620093062</v>
      </c>
      <c r="AA1861" s="257">
        <f>altaz((J2000_Bas+(2*0.04167)),$O1861,$M1861,DecLat,DecLong,1)</f>
        <v>-51.717079902666789</v>
      </c>
      <c r="AB1861" s="257">
        <f>altaz((J2000_Bas+(4*0.04167)),$O1861,$M1861,DecLat,DecLong,1)</f>
        <v>-53.495917718669112</v>
      </c>
      <c r="AC1861" s="257">
        <f>altaz((J2000_Bas+(6*0.04167)),$O1861,$M1861,DecLat,DecLong,1)</f>
        <v>-36.705825474900692</v>
      </c>
      <c r="AD1861" s="258">
        <f>1+ transit((J2000_Bas-1),$O1861,$M1861,DecLat,DecLong)/360 + (GMTOffset/24) + (IF(DST="Y", 1, 0)/24)</f>
        <v>1.4194624179734581</v>
      </c>
      <c r="AE1861" s="259">
        <f>DATE(2001,9,21)+(M1861/360)*365 - (360*((DecLong/360)- (GMTOffset/24) ))</f>
        <v>37315.6953125</v>
      </c>
      <c r="AF1861" s="260">
        <f>IF(DecLat&gt;0,IF((90 - (DecLat-O1861))&gt;90, (90 - (O1861-DecLat)), (90 - (DecLat-O1861))),IF((90 + (DecLat-O1861))&gt;90, (90 + (O1861-DecLat)), (90 + (DecLat-O1861))))</f>
        <v>62.467222222222219</v>
      </c>
      <c r="AG1861" s="257">
        <f>angularseperation(MoonRA,MoonDec,$M1861,$O1861)</f>
        <v>96.631537788787014</v>
      </c>
      <c r="AH1861" s="261">
        <f ca="1">MIN(100,IF($O$5&gt;80,0+30*($AG1861/100),IF($O$5&gt;70,0+50*($AG1861/100),IF($O$5&gt;60,5+50*($AG1861/100),IF($O$5&gt;50,10+60*($AG1861/100),IF($O$5&gt;40,15+70*($AG1861/100),IF($O$5&gt;30,20+70*($AG1861/100),IF($O$5&gt;20,40+55*($AG1861/100),(80+(20-$O$5)+30*($AG1861/100))))))))))</f>
        <v>100</v>
      </c>
      <c r="AI1861" s="262">
        <v>3169</v>
      </c>
      <c r="AJ1861" s="262"/>
      <c r="AK1861" s="262">
        <v>142</v>
      </c>
      <c r="AL1861" s="263"/>
      <c r="AM1861" s="264"/>
      <c r="AN1861" s="263"/>
      <c r="AO1861" s="263"/>
      <c r="AP1861" s="265"/>
      <c r="AQ1861" s="266">
        <v>5525</v>
      </c>
      <c r="AR1861" s="267">
        <v>29855</v>
      </c>
      <c r="AS1861" s="263"/>
      <c r="AT1861" s="263"/>
      <c r="AU1861" s="263"/>
      <c r="AV1861" s="264"/>
      <c r="AW1861" s="263"/>
      <c r="AX1861" s="263"/>
      <c r="AY1861" s="263"/>
      <c r="AZ1861" s="263"/>
      <c r="BA1861" s="263"/>
      <c r="BB1861" s="263"/>
      <c r="BC1861" s="263"/>
      <c r="BD1861" s="264"/>
      <c r="BE1861" s="263"/>
      <c r="BF1861" s="263">
        <v>41</v>
      </c>
      <c r="BG1861" s="263"/>
      <c r="BH1861" s="263"/>
      <c r="BI1861" s="263"/>
      <c r="BJ1861" s="404">
        <f>altaz(J2000_Bas,$O1861,$M1861,DecLat,DecLong,2)</f>
        <v>298.42800100738879</v>
      </c>
      <c r="BK1861" s="378" t="s">
        <v>1824</v>
      </c>
      <c r="BL1861" s="379">
        <f>IF((2*G1861)/60&lt;0.2,0.2,(2*G1861)/60)</f>
        <v>0.2</v>
      </c>
      <c r="BM1861" s="380">
        <f>MOD((50000+AD1861-$B$3+(0/24)),1)</f>
        <v>0.63482934767671395</v>
      </c>
      <c r="BN1861" s="381"/>
      <c r="BO1861" s="382">
        <v>1854</v>
      </c>
    </row>
    <row r="1862" spans="1:67" s="24" customFormat="1" ht="15" customHeight="1" x14ac:dyDescent="0.25">
      <c r="A1862" s="288" t="s">
        <v>1825</v>
      </c>
      <c r="B1862" s="241" t="str">
        <f>HYPERLINK(CONCATENATE($AT$3,BK1862,$AU$3),$AV$3)</f>
        <v>S</v>
      </c>
      <c r="C1862" s="242" t="str">
        <f>HYPERLINK(CONCATENATE($AT$4,BK1862,$AU$4,BL1862),$AV$4)</f>
        <v>A</v>
      </c>
      <c r="D1862" s="243" t="s">
        <v>5638</v>
      </c>
      <c r="E1862" s="244" t="s">
        <v>5192</v>
      </c>
      <c r="F1862" s="269" t="s">
        <v>8910</v>
      </c>
      <c r="G1862" s="273">
        <v>7</v>
      </c>
      <c r="H1862" s="283">
        <v>30</v>
      </c>
      <c r="I1862" s="246">
        <v>60</v>
      </c>
      <c r="J1862" s="246">
        <v>3</v>
      </c>
      <c r="K1862" s="247" t="s">
        <v>8565</v>
      </c>
      <c r="L1862" s="248">
        <v>101817</v>
      </c>
      <c r="M1862" s="249">
        <f>15*(LEFT(TEXT($L1862,"000000"),2)+(MID(TEXT($L1862,"000000"),3,2)/60)+(RIGHT(TEXT($L1862,"000000"),2)/3600))</f>
        <v>154.57083333333335</v>
      </c>
      <c r="N1862" s="250">
        <v>412527</v>
      </c>
      <c r="O1862" s="251">
        <f>IF($N1862&gt;0,(LEFT(TEXT($N1862,"000000"),2)+(MID(TEXT($N1862,"000000"),3,2)/60)+(RIGHT(TEXT($N1862,"000000"),2)/3600)),-(MID(TEXT($N1862,"000000"),2,2)+(MID(TEXT($N1862,"000000"),4,2)/60)+(RIGHT(TEXT($N1862,"000000"),2)/3600)))</f>
        <v>41.424166666666665</v>
      </c>
      <c r="P1862" s="252" t="s">
        <v>37</v>
      </c>
      <c r="Q1862" s="253" t="s">
        <v>3379</v>
      </c>
      <c r="R1862" s="247" t="s">
        <v>3293</v>
      </c>
      <c r="S1862" s="272" t="s">
        <v>3293</v>
      </c>
      <c r="T1862" s="273">
        <v>9.8000000000000007</v>
      </c>
      <c r="U1862" s="289">
        <v>22.79</v>
      </c>
      <c r="V1862" s="280">
        <v>5</v>
      </c>
      <c r="W1862" s="244"/>
      <c r="X1862" s="244"/>
      <c r="Y1862" s="362"/>
      <c r="Z1862" s="257">
        <f>altaz(J2000_Bas,$O1862,$M1862,DecLat,DecLong,1)</f>
        <v>-4.8501337163617446</v>
      </c>
      <c r="AA1862" s="257">
        <f>altaz((J2000_Bas+(2*0.04167)),$O1862,$M1862,DecLat,DecLong,1)</f>
        <v>-15.59358206229812</v>
      </c>
      <c r="AB1862" s="257">
        <f>altaz((J2000_Bas+(4*0.04167)),$O1862,$M1862,DecLat,DecLong,1)</f>
        <v>-16.788413560034112</v>
      </c>
      <c r="AC1862" s="257">
        <f>altaz((J2000_Bas+(6*0.04167)),$O1862,$M1862,DecLat,DecLong,1)</f>
        <v>-8.0034621330185285</v>
      </c>
      <c r="AD1862" s="258">
        <f>1+ transit((J2000_Bas-1),$O1862,$M1862,DecLat,DecLong)/360 + (GMTOffset/24) + (IF(DST="Y", 1, 0)/24)</f>
        <v>1.4222633436192915</v>
      </c>
      <c r="AE1862" s="259">
        <f>DATE(2001,9,21)+(M1862/360)*365 - (360*((DecLong/360)- (GMTOffset/24) ))</f>
        <v>37316.717650462961</v>
      </c>
      <c r="AF1862" s="260">
        <f>IF(DecLat&gt;0,IF((90 - (DecLat-O1862))&gt;90, (90 - (O1862-DecLat)), (90 - (DecLat-O1862))),IF((90 + (DecLat-O1862))&gt;90, (90 + (O1862-DecLat)), (90 + (DecLat-O1862))))</f>
        <v>79.575833333333335</v>
      </c>
      <c r="AG1862" s="257">
        <f>angularseperation(MoonRA,MoonDec,$M1862,$O1862)</f>
        <v>110.83049823393613</v>
      </c>
      <c r="AH1862" s="261">
        <f ca="1">MIN(100,IF($O$5&gt;80,0+30*($AG1862/100),IF($O$5&gt;70,0+50*($AG1862/100),IF($O$5&gt;60,5+50*($AG1862/100),IF($O$5&gt;50,10+60*($AG1862/100),IF($O$5&gt;40,15+70*($AG1862/100),IF($O$5&gt;30,20+70*($AG1862/100),IF($O$5&gt;20,40+55*($AG1862/100),(80+(20-$O$5)+30*($AG1862/100))))))))))</f>
        <v>100</v>
      </c>
      <c r="AI1862" s="262">
        <v>3184</v>
      </c>
      <c r="AJ1862" s="262"/>
      <c r="AK1862" s="262">
        <v>143</v>
      </c>
      <c r="AL1862" s="263"/>
      <c r="AM1862" s="264"/>
      <c r="AN1862" s="263"/>
      <c r="AO1862" s="263"/>
      <c r="AP1862" s="265"/>
      <c r="AQ1862" s="266">
        <v>5557</v>
      </c>
      <c r="AR1862" s="267">
        <v>30087</v>
      </c>
      <c r="AS1862" s="263"/>
      <c r="AT1862" s="263"/>
      <c r="AU1862" s="263"/>
      <c r="AV1862" s="264"/>
      <c r="AW1862" s="263"/>
      <c r="AX1862" s="263"/>
      <c r="AY1862" s="263"/>
      <c r="AZ1862" s="263"/>
      <c r="BA1862" s="263"/>
      <c r="BB1862" s="263"/>
      <c r="BC1862" s="263"/>
      <c r="BD1862" s="264"/>
      <c r="BE1862" s="263">
        <v>52</v>
      </c>
      <c r="BF1862" s="263"/>
      <c r="BG1862" s="263"/>
      <c r="BH1862" s="263"/>
      <c r="BI1862" s="263"/>
      <c r="BJ1862" s="404">
        <f>altaz(J2000_Bas,$O1862,$M1862,DecLat,DecLong,2)</f>
        <v>325.65308063772306</v>
      </c>
      <c r="BK1862" s="378" t="s">
        <v>1825</v>
      </c>
      <c r="BL1862" s="379">
        <f>IF((2*G1862)/60&lt;0.2,0.2,(2*G1862)/60)</f>
        <v>0.23333333333333334</v>
      </c>
      <c r="BM1862" s="380">
        <f>MOD((50000+AD1862-$B$3+(0/24)),1)</f>
        <v>0.63763027332606725</v>
      </c>
      <c r="BN1862" s="381" t="s">
        <v>9277</v>
      </c>
      <c r="BO1862" s="382">
        <v>1855</v>
      </c>
    </row>
    <row r="1863" spans="1:67" s="24" customFormat="1" ht="15" customHeight="1" x14ac:dyDescent="0.25">
      <c r="A1863" s="288" t="s">
        <v>8757</v>
      </c>
      <c r="B1863" s="241" t="str">
        <f>HYPERLINK(CONCATENATE($AT$3,BK1863,$AU$3),$AV$3)</f>
        <v>S</v>
      </c>
      <c r="C1863" s="242" t="str">
        <f>HYPERLINK(CONCATENATE($AT$4,BK1863,$AU$4,BL1863),$AV$4)</f>
        <v>A</v>
      </c>
      <c r="D1863" s="243" t="s">
        <v>5638</v>
      </c>
      <c r="E1863" s="244" t="s">
        <v>5193</v>
      </c>
      <c r="F1863" s="269" t="s">
        <v>4287</v>
      </c>
      <c r="G1863" s="273">
        <v>2.6</v>
      </c>
      <c r="H1863" s="283">
        <v>110</v>
      </c>
      <c r="I1863" s="246">
        <v>85</v>
      </c>
      <c r="J1863" s="246">
        <v>2</v>
      </c>
      <c r="K1863" s="247" t="s">
        <v>8759</v>
      </c>
      <c r="L1863" s="248">
        <v>101825</v>
      </c>
      <c r="M1863" s="249">
        <f>15*(LEFT(TEXT($L1863,"000000"),2)+(MID(TEXT($L1863,"000000"),3,2)/60)+(RIGHT(TEXT($L1863,"000000"),2)/3600))</f>
        <v>154.60416666666669</v>
      </c>
      <c r="N1863" s="286">
        <v>215338</v>
      </c>
      <c r="O1863" s="251">
        <f>IF($N1863&gt;0,(LEFT(TEXT($N1863,"000000"),2)+(MID(TEXT($N1863,"000000"),3,2)/60)+(RIGHT(TEXT($N1863,"000000"),2)/3600)),-(MID(TEXT($N1863,"000000"),2,2)+(MID(TEXT($N1863,"000000"),4,2)/60)+(RIGHT(TEXT($N1863,"000000"),2)/3600)))</f>
        <v>21.893888888888888</v>
      </c>
      <c r="P1863" s="252" t="s">
        <v>183</v>
      </c>
      <c r="Q1863" s="253"/>
      <c r="R1863" s="247"/>
      <c r="S1863" s="272" t="s">
        <v>8758</v>
      </c>
      <c r="T1863" s="273">
        <v>10.9</v>
      </c>
      <c r="U1863" s="274"/>
      <c r="V1863" s="280"/>
      <c r="W1863" s="244"/>
      <c r="X1863" s="244"/>
      <c r="Y1863" s="362"/>
      <c r="Z1863" s="257">
        <f>altaz(J2000_Bas,$O1863,$M1863,DecLat,DecLong,1)</f>
        <v>-19.505850387724852</v>
      </c>
      <c r="AA1863" s="257">
        <f>altaz((J2000_Bas+(2*0.04167)),$O1863,$M1863,DecLat,DecLong,1)</f>
        <v>-34.202373404176164</v>
      </c>
      <c r="AB1863" s="257">
        <f>altaz((J2000_Bas+(4*0.04167)),$O1863,$M1863,DecLat,DecLong,1)</f>
        <v>-35.95422966666159</v>
      </c>
      <c r="AC1863" s="257">
        <f>altaz((J2000_Bas+(6*0.04167)),$O1863,$M1863,DecLat,DecLong,1)</f>
        <v>-23.717359890294382</v>
      </c>
      <c r="AD1863" s="258">
        <f>1+ transit((J2000_Bas-1),$O1863,$M1863,DecLat,DecLong)/360 + (GMTOffset/24) + (IF(DST="Y", 1, 0)/24)</f>
        <v>1.4223559362026248</v>
      </c>
      <c r="AE1863" s="259">
        <f>DATE(2001,9,21)+(M1863/360)*365 - (360*((DecLong/360)- (GMTOffset/24) ))</f>
        <v>37316.751446759263</v>
      </c>
      <c r="AF1863" s="260">
        <f>IF(DecLat&gt;0,IF((90 - (DecLat-O1863))&gt;90, (90 - (O1863-DecLat)), (90 - (DecLat-O1863))),IF((90 + (DecLat-O1863))&gt;90, (90 + (O1863-DecLat)), (90 + (DecLat-O1863))))</f>
        <v>80.893888888888881</v>
      </c>
      <c r="AG1863" s="257">
        <f>angularseperation(MoonRA,MoonDec,$M1863,$O1863)</f>
        <v>103.68431668577388</v>
      </c>
      <c r="AH1863" s="261">
        <f ca="1">MIN(100,IF($O$5&gt;80,0+30*($AG1863/100),IF($O$5&gt;70,0+50*($AG1863/100),IF($O$5&gt;60,5+50*($AG1863/100),IF($O$5&gt;50,10+60*($AG1863/100),IF($O$5&gt;40,15+70*($AG1863/100),IF($O$5&gt;30,20+70*($AG1863/100),IF($O$5&gt;20,40+55*($AG1863/100),(80+(20-$O$5)+30*($AG1863/100))))))))))</f>
        <v>100</v>
      </c>
      <c r="AI1863" s="262">
        <v>3193</v>
      </c>
      <c r="AJ1863" s="262"/>
      <c r="AK1863" s="262">
        <v>145</v>
      </c>
      <c r="AL1863" s="263"/>
      <c r="AM1863" s="264"/>
      <c r="AN1863" s="263"/>
      <c r="AO1863" s="263"/>
      <c r="AP1863" s="265"/>
      <c r="AQ1863" s="266"/>
      <c r="AR1863" s="267"/>
      <c r="AS1863" s="263"/>
      <c r="AT1863" s="263"/>
      <c r="AU1863" s="263"/>
      <c r="AV1863" s="264"/>
      <c r="AW1863" s="263"/>
      <c r="AX1863" s="263"/>
      <c r="AY1863" s="263"/>
      <c r="AZ1863" s="263"/>
      <c r="BA1863" s="263"/>
      <c r="BB1863" s="263"/>
      <c r="BC1863" s="263"/>
      <c r="BD1863" s="264"/>
      <c r="BE1863" s="263"/>
      <c r="BF1863" s="263"/>
      <c r="BG1863" s="263"/>
      <c r="BH1863" s="263"/>
      <c r="BI1863" s="263"/>
      <c r="BJ1863" s="404">
        <f>altaz(J2000_Bas,$O1863,$M1863,DecLat,DecLong,2)</f>
        <v>312.40422743024158</v>
      </c>
      <c r="BK1863" s="378" t="s">
        <v>8757</v>
      </c>
      <c r="BL1863" s="379">
        <f>IF((2*G1863)/60&lt;0.2,0.2,(2*G1863)/60)</f>
        <v>0.2</v>
      </c>
      <c r="BM1863" s="380">
        <f>MOD((50000+AD1863-$B$3+(0/24)),1)</f>
        <v>0.63772286590392468</v>
      </c>
      <c r="BN1863" s="381"/>
      <c r="BO1863" s="382">
        <v>1856</v>
      </c>
    </row>
    <row r="1864" spans="1:67" s="24" customFormat="1" ht="15" customHeight="1" x14ac:dyDescent="0.25">
      <c r="A1864" s="298" t="s">
        <v>1826</v>
      </c>
      <c r="B1864" s="241" t="str">
        <f>HYPERLINK(CONCATENATE($AT$3,BK1864,$AU$3),$AV$3)</f>
        <v>S</v>
      </c>
      <c r="C1864" s="242" t="str">
        <f>HYPERLINK(CONCATENATE($AT$4,BK1864,$AU$4,BL1864),$AV$4)</f>
        <v>A</v>
      </c>
      <c r="D1864" s="243" t="s">
        <v>5187</v>
      </c>
      <c r="E1864" s="244" t="s">
        <v>5181</v>
      </c>
      <c r="F1864" s="269" t="s">
        <v>4813</v>
      </c>
      <c r="G1864" s="270">
        <v>0.6</v>
      </c>
      <c r="H1864" s="283">
        <v>5500</v>
      </c>
      <c r="I1864" s="279">
        <v>1</v>
      </c>
      <c r="J1864" s="246">
        <v>4</v>
      </c>
      <c r="K1864" s="247" t="s">
        <v>5540</v>
      </c>
      <c r="L1864" s="248">
        <v>100924</v>
      </c>
      <c r="M1864" s="249">
        <f>15*(LEFT(TEXT($L1864,"000000"),2)+(MID(TEXT($L1864,"000000"),3,2)/60)+(RIGHT(TEXT($L1864,"000000"),2)/3600))</f>
        <v>152.35</v>
      </c>
      <c r="N1864" s="286">
        <v>-805200</v>
      </c>
      <c r="O1864" s="251">
        <f>IF($N1864&gt;0,(LEFT(TEXT($N1864,"000000"),2)+(MID(TEXT($N1864,"000000"),3,2)/60)+(RIGHT(TEXT($N1864,"000000"),2)/3600)),-(MID(TEXT($N1864,"000000"),2,2)+(MID(TEXT($N1864,"000000"),4,2)/60)+(RIGHT(TEXT($N1864,"000000"),2)/3600)))</f>
        <v>-80.86666666666666</v>
      </c>
      <c r="P1864" s="252" t="s">
        <v>1827</v>
      </c>
      <c r="Q1864" s="253"/>
      <c r="R1864" s="247" t="s">
        <v>7421</v>
      </c>
      <c r="S1864" s="272" t="s">
        <v>3293</v>
      </c>
      <c r="T1864" s="273">
        <v>11.6</v>
      </c>
      <c r="U1864" s="274"/>
      <c r="V1864" s="280"/>
      <c r="W1864" s="244"/>
      <c r="X1864" s="244"/>
      <c r="Y1864" s="362"/>
      <c r="Z1864" s="257">
        <f>altaz(J2000_Bas,$O1864,$M1864,DecLat,DecLong,1)</f>
        <v>-37.044027537378838</v>
      </c>
      <c r="AA1864" s="257">
        <f>altaz((J2000_Bas+(2*0.04167)),$O1864,$M1864,DecLat,DecLong,1)</f>
        <v>-39.726557415506178</v>
      </c>
      <c r="AB1864" s="257">
        <f>altaz((J2000_Bas+(4*0.04167)),$O1864,$M1864,DecLat,DecLong,1)</f>
        <v>-39.838719470921191</v>
      </c>
      <c r="AC1864" s="257">
        <f>altaz((J2000_Bas+(6*0.04167)),$O1864,$M1864,DecLat,DecLong,1)</f>
        <v>-37.339476049483196</v>
      </c>
      <c r="AD1864" s="258">
        <f>1+ transit((J2000_Bas-1),$O1864,$M1864,DecLat,DecLong)/360 + (GMTOffset/24) + (IF(DST="Y", 1, 0)/24)</f>
        <v>1.416094362754708</v>
      </c>
      <c r="AE1864" s="259">
        <f>DATE(2001,9,21)+(M1864/360)*365 - (360*((DecLong/360)- (GMTOffset/24) ))</f>
        <v>37314.46597222222</v>
      </c>
      <c r="AF1864" s="260">
        <f>IF(DecLat&gt;0,IF((90 - (DecLat-O1864))&gt;90, (90 - (O1864-DecLat)), (90 - (DecLat-O1864))),IF((90 + (DecLat-O1864))&gt;90, (90 + (O1864-DecLat)), (90 + (DecLat-O1864))))</f>
        <v>-21.86666666666666</v>
      </c>
      <c r="AG1864" s="257">
        <f>angularseperation(MoonRA,MoonDec,$M1864,$O1864)</f>
        <v>64.369441199015782</v>
      </c>
      <c r="AH1864" s="261">
        <f ca="1">MIN(100,IF($O$5&gt;80,0+30*($AG1864/100),IF($O$5&gt;70,0+50*($AG1864/100),IF($O$5&gt;60,5+50*($AG1864/100),IF($O$5&gt;50,10+60*($AG1864/100),IF($O$5&gt;40,15+70*($AG1864/100),IF($O$5&gt;30,20+70*($AG1864/100),IF($O$5&gt;20,40+55*($AG1864/100),(80+(20-$O$5)+30*($AG1864/100))))))))))</f>
        <v>100</v>
      </c>
      <c r="AI1864" s="262">
        <v>3195</v>
      </c>
      <c r="AJ1864" s="262"/>
      <c r="AK1864" s="262"/>
      <c r="AL1864" s="263"/>
      <c r="AM1864" s="264">
        <v>109</v>
      </c>
      <c r="AN1864" s="263"/>
      <c r="AO1864" s="263"/>
      <c r="AP1864" s="265"/>
      <c r="AQ1864" s="266"/>
      <c r="AR1864" s="267"/>
      <c r="AS1864" s="263"/>
      <c r="AT1864" s="263"/>
      <c r="AU1864" s="263"/>
      <c r="AV1864" s="264"/>
      <c r="AW1864" s="263"/>
      <c r="AX1864" s="263"/>
      <c r="AY1864" s="263"/>
      <c r="AZ1864" s="263"/>
      <c r="BA1864" s="263"/>
      <c r="BB1864" s="263"/>
      <c r="BC1864" s="263"/>
      <c r="BD1864" s="264"/>
      <c r="BE1864" s="263"/>
      <c r="BF1864" s="263"/>
      <c r="BG1864" s="263"/>
      <c r="BH1864" s="263"/>
      <c r="BI1864" s="263"/>
      <c r="BJ1864" s="404">
        <f>altaz(J2000_Bas,$O1864,$M1864,DecLat,DecLong,2)</f>
        <v>188.27300137502345</v>
      </c>
      <c r="BK1864" s="378" t="s">
        <v>1826</v>
      </c>
      <c r="BL1864" s="379">
        <f>IF((2*G1864)/60&lt;0.2,0.2,(2*G1864)/60)</f>
        <v>0.2</v>
      </c>
      <c r="BM1864" s="380">
        <f>MOD((50000+AD1864-$B$3+(0/24)),1)</f>
        <v>0.63146129246160854</v>
      </c>
      <c r="BN1864" s="381"/>
      <c r="BO1864" s="382">
        <v>1857</v>
      </c>
    </row>
    <row r="1865" spans="1:67" s="24" customFormat="1" ht="15" customHeight="1" x14ac:dyDescent="0.25">
      <c r="A1865" s="288" t="s">
        <v>1828</v>
      </c>
      <c r="B1865" s="241" t="str">
        <f>HYPERLINK(CONCATENATE($AT$3,BK1865,$AU$3),$AV$3)</f>
        <v>S</v>
      </c>
      <c r="C1865" s="242" t="str">
        <f>HYPERLINK(CONCATENATE($AT$4,BK1865,$AU$4,BL1865),$AV$4)</f>
        <v>A</v>
      </c>
      <c r="D1865" s="243" t="s">
        <v>5638</v>
      </c>
      <c r="E1865" s="244" t="s">
        <v>5192</v>
      </c>
      <c r="F1865" s="269" t="s">
        <v>8895</v>
      </c>
      <c r="G1865" s="276">
        <v>10</v>
      </c>
      <c r="H1865" s="283">
        <v>50</v>
      </c>
      <c r="I1865" s="246">
        <v>140</v>
      </c>
      <c r="J1865" s="246">
        <v>3</v>
      </c>
      <c r="K1865" s="247" t="s">
        <v>7323</v>
      </c>
      <c r="L1865" s="248">
        <v>101955</v>
      </c>
      <c r="M1865" s="249">
        <f>15*(LEFT(TEXT($L1865,"000000"),2)+(MID(TEXT($L1865,"000000"),3,2)/60)+(RIGHT(TEXT($L1865,"000000"),2)/3600))</f>
        <v>154.97916666666666</v>
      </c>
      <c r="N1865" s="250">
        <v>453300</v>
      </c>
      <c r="O1865" s="251">
        <f>IF($N1865&gt;0,(LEFT(TEXT($N1865,"000000"),2)+(MID(TEXT($N1865,"000000"),3,2)/60)+(RIGHT(TEXT($N1865,"000000"),2)/3600)),-(MID(TEXT($N1865,"000000"),2,2)+(MID(TEXT($N1865,"000000"),4,2)/60)+(RIGHT(TEXT($N1865,"000000"),2)/3600)))</f>
        <v>45.55</v>
      </c>
      <c r="P1865" s="252" t="s">
        <v>37</v>
      </c>
      <c r="Q1865" s="253"/>
      <c r="R1865" s="247" t="s">
        <v>3293</v>
      </c>
      <c r="S1865" s="272" t="s">
        <v>3293</v>
      </c>
      <c r="T1865" s="273">
        <v>10.3</v>
      </c>
      <c r="U1865" s="289">
        <v>22.69</v>
      </c>
      <c r="V1865" s="280">
        <v>75</v>
      </c>
      <c r="W1865" s="244"/>
      <c r="X1865" s="244"/>
      <c r="Y1865" s="362"/>
      <c r="Z1865" s="257">
        <f>altaz(J2000_Bas,$O1865,$M1865,DecLat,DecLong,1)</f>
        <v>-1.5086135742051683</v>
      </c>
      <c r="AA1865" s="257">
        <f>altaz((J2000_Bas+(2*0.04167)),$O1865,$M1865,DecLat,DecLong,1)</f>
        <v>-11.55221782699879</v>
      </c>
      <c r="AB1865" s="257">
        <f>altaz((J2000_Bas+(4*0.04167)),$O1865,$M1865,DecLat,DecLong,1)</f>
        <v>-12.778347792286631</v>
      </c>
      <c r="AC1865" s="257">
        <f>altaz((J2000_Bas+(6*0.04167)),$O1865,$M1865,DecLat,DecLong,1)</f>
        <v>-4.7867968532696619</v>
      </c>
      <c r="AD1865" s="258">
        <f>1+ transit((J2000_Bas-1),$O1865,$M1865,DecLat,DecLong)/360 + (GMTOffset/24) + (IF(DST="Y", 1, 0)/24)</f>
        <v>1.4233976027651247</v>
      </c>
      <c r="AE1865" s="259">
        <f>DATE(2001,9,21)+(M1865/360)*365 - (360*((DecLong/360)- (GMTOffset/24) ))</f>
        <v>37317.131655092591</v>
      </c>
      <c r="AF1865" s="260">
        <f>IF(DecLat&gt;0,IF((90 - (DecLat-O1865))&gt;90, (90 - (O1865-DecLat)), (90 - (DecLat-O1865))),IF((90 + (DecLat-O1865))&gt;90, (90 + (O1865-DecLat)), (90 + (DecLat-O1865))))</f>
        <v>75.45</v>
      </c>
      <c r="AG1865" s="257">
        <f>angularseperation(MoonRA,MoonDec,$M1865,$O1865)</f>
        <v>111.79976907232923</v>
      </c>
      <c r="AH1865" s="261">
        <f ca="1">MIN(100,IF($O$5&gt;80,0+30*($AG1865/100),IF($O$5&gt;70,0+50*($AG1865/100),IF($O$5&gt;60,5+50*($AG1865/100),IF($O$5&gt;50,10+60*($AG1865/100),IF($O$5&gt;40,15+70*($AG1865/100),IF($O$5&gt;30,20+70*($AG1865/100),IF($O$5&gt;20,40+55*($AG1865/100),(80+(20-$O$5)+30*($AG1865/100))))))))))</f>
        <v>100</v>
      </c>
      <c r="AI1865" s="262">
        <v>3198</v>
      </c>
      <c r="AJ1865" s="262"/>
      <c r="AK1865" s="262">
        <v>146</v>
      </c>
      <c r="AL1865" s="263"/>
      <c r="AM1865" s="264"/>
      <c r="AN1865" s="263"/>
      <c r="AO1865" s="263"/>
      <c r="AP1865" s="265"/>
      <c r="AQ1865" s="266">
        <v>5572</v>
      </c>
      <c r="AR1865" s="267">
        <v>30197</v>
      </c>
      <c r="AS1865" s="263"/>
      <c r="AT1865" s="263"/>
      <c r="AU1865" s="263"/>
      <c r="AV1865" s="264"/>
      <c r="AW1865" s="263"/>
      <c r="AX1865" s="263"/>
      <c r="AY1865" s="263"/>
      <c r="AZ1865" s="263"/>
      <c r="BA1865" s="263"/>
      <c r="BB1865" s="263"/>
      <c r="BC1865" s="263"/>
      <c r="BD1865" s="264"/>
      <c r="BE1865" s="263"/>
      <c r="BF1865" s="263">
        <v>42</v>
      </c>
      <c r="BG1865" s="263"/>
      <c r="BH1865" s="263"/>
      <c r="BI1865" s="263"/>
      <c r="BJ1865" s="404">
        <f>altaz(J2000_Bas,$O1865,$M1865,DecLat,DecLong,2)</f>
        <v>328.0952974059137</v>
      </c>
      <c r="BK1865" s="378" t="s">
        <v>1828</v>
      </c>
      <c r="BL1865" s="379">
        <f>IF((2*G1865)/60&lt;0.2,0.2,(2*G1865)/60)</f>
        <v>0.33333333333333331</v>
      </c>
      <c r="BM1865" s="380">
        <f>MOD((50000+AD1865-$B$3+(0/24)),1)</f>
        <v>0.63876453247212339</v>
      </c>
      <c r="BN1865" s="381"/>
      <c r="BO1865" s="382">
        <v>1858</v>
      </c>
    </row>
    <row r="1866" spans="1:67" s="24" customFormat="1" ht="15" customHeight="1" x14ac:dyDescent="0.25">
      <c r="A1866" s="297" t="s">
        <v>5450</v>
      </c>
      <c r="B1866" s="241" t="str">
        <f>HYPERLINK(CONCATENATE($AT$3,BK1866,$AU$3),$AV$3)</f>
        <v>S</v>
      </c>
      <c r="C1866" s="242" t="str">
        <f>HYPERLINK(CONCATENATE($AT$4,BK1866,$AU$4,BL1866),$AV$4)</f>
        <v>A</v>
      </c>
      <c r="D1866" s="243" t="s">
        <v>5187</v>
      </c>
      <c r="E1866" s="244" t="s">
        <v>5183</v>
      </c>
      <c r="F1866" s="269" t="s">
        <v>4579</v>
      </c>
      <c r="G1866" s="276">
        <v>20</v>
      </c>
      <c r="H1866" s="271">
        <v>12000</v>
      </c>
      <c r="I1866" s="281">
        <v>70</v>
      </c>
      <c r="J1866" s="246">
        <v>3</v>
      </c>
      <c r="K1866" s="247" t="s">
        <v>5451</v>
      </c>
      <c r="L1866" s="248">
        <v>101633</v>
      </c>
      <c r="M1866" s="249">
        <f>15*(LEFT(TEXT($L1866,"000000"),2)+(MID(TEXT($L1866,"000000"),3,2)/60)+(RIGHT(TEXT($L1866,"000000"),2)/3600))</f>
        <v>154.13750000000002</v>
      </c>
      <c r="N1866" s="286">
        <v>-575600</v>
      </c>
      <c r="O1866" s="251">
        <f>IF($N1866&gt;0,(LEFT(TEXT($N1866,"000000"),2)+(MID(TEXT($N1866,"000000"),3,2)/60)+(RIGHT(TEXT($N1866,"000000"),2)/3600)),-(MID(TEXT($N1866,"000000"),2,2)+(MID(TEXT($N1866,"000000"),4,2)/60)+(RIGHT(TEXT($N1866,"000000"),2)/3600)))</f>
        <v>-57.93333333333333</v>
      </c>
      <c r="P1866" s="252" t="s">
        <v>91</v>
      </c>
      <c r="Q1866" s="253" t="s">
        <v>5448</v>
      </c>
      <c r="R1866" s="277" t="s">
        <v>5449</v>
      </c>
      <c r="S1866" s="272" t="s">
        <v>3293</v>
      </c>
      <c r="T1866" s="273"/>
      <c r="U1866" s="274"/>
      <c r="V1866" s="256"/>
      <c r="W1866" s="244"/>
      <c r="X1866" s="244"/>
      <c r="Y1866" s="362"/>
      <c r="Z1866" s="257">
        <f>altaz(J2000_Bas,$O1866,$M1866,DecLat,DecLong,1)</f>
        <v>-47.745631224934051</v>
      </c>
      <c r="AA1866" s="257">
        <f>altaz((J2000_Bas+(2*0.04167)),$O1866,$M1866,DecLat,DecLong,1)</f>
        <v>-60.358567294738769</v>
      </c>
      <c r="AB1866" s="257">
        <f>altaz((J2000_Bas+(4*0.04167)),$O1866,$M1866,DecLat,DecLong,1)</f>
        <v>-61.827857348470651</v>
      </c>
      <c r="AC1866" s="257">
        <f>altaz((J2000_Bas+(6*0.04167)),$O1866,$M1866,DecLat,DecLong,1)</f>
        <v>-50.715716686356288</v>
      </c>
      <c r="AD1866" s="258">
        <f>1+ transit((J2000_Bas-1),$O1866,$M1866,DecLat,DecLong)/360 + (GMTOffset/24) + (IF(DST="Y", 1, 0)/24)</f>
        <v>1.4210596400359581</v>
      </c>
      <c r="AE1866" s="259">
        <f>DATE(2001,9,21)+(M1866/360)*365 - (360*((DecLong/360)- (GMTOffset/24) ))</f>
        <v>37316.278298611112</v>
      </c>
      <c r="AF1866" s="260">
        <f>IF(DecLat&gt;0,IF((90 - (DecLat-O1866))&gt;90, (90 - (O1866-DecLat)), (90 - (DecLat-O1866))),IF((90 + (DecLat-O1866))&gt;90, (90 + (O1866-DecLat)), (90 + (DecLat-O1866))))</f>
        <v>1.0666666666666629</v>
      </c>
      <c r="AG1866" s="257">
        <f>angularseperation(MoonRA,MoonDec,$M1866,$O1866)</f>
        <v>69.892779863537555</v>
      </c>
      <c r="AH1866" s="261">
        <f ca="1">MIN(100,IF($O$5&gt;80,0+30*($AG1866/100),IF($O$5&gt;70,0+50*($AG1866/100),IF($O$5&gt;60,5+50*($AG1866/100),IF($O$5&gt;50,10+60*($AG1866/100),IF($O$5&gt;40,15+70*($AG1866/100),IF($O$5&gt;30,20+70*($AG1866/100),IF($O$5&gt;20,40+55*($AG1866/100),(80+(20-$O$5)+30*($AG1866/100))))))))))</f>
        <v>100</v>
      </c>
      <c r="AI1866" s="263">
        <v>3199</v>
      </c>
      <c r="AJ1866" s="263"/>
      <c r="AK1866" s="263"/>
      <c r="AL1866" s="263"/>
      <c r="AM1866" s="264"/>
      <c r="AN1866" s="263"/>
      <c r="AO1866" s="263"/>
      <c r="AP1866" s="265"/>
      <c r="AQ1866" s="265"/>
      <c r="AR1866" s="285"/>
      <c r="AS1866" s="263"/>
      <c r="AT1866" s="263"/>
      <c r="AU1866" s="263"/>
      <c r="AV1866" s="264"/>
      <c r="AW1866" s="263"/>
      <c r="AX1866" s="263">
        <v>28</v>
      </c>
      <c r="AY1866" s="263"/>
      <c r="AZ1866" s="263"/>
      <c r="BA1866" s="263"/>
      <c r="BB1866" s="263"/>
      <c r="BC1866" s="263"/>
      <c r="BD1866" s="264"/>
      <c r="BE1866" s="263"/>
      <c r="BF1866" s="263"/>
      <c r="BG1866" s="263"/>
      <c r="BH1866" s="263"/>
      <c r="BI1866" s="263"/>
      <c r="BJ1866" s="404">
        <f>altaz(J2000_Bas,$O1866,$M1866,DecLat,DecLong,2)</f>
        <v>216.01416377787359</v>
      </c>
      <c r="BK1866" s="378" t="s">
        <v>5450</v>
      </c>
      <c r="BL1866" s="379">
        <f>IF((2*G1866)/60&lt;0.2,0.2,(2*G1866)/60)</f>
        <v>0.66666666666666663</v>
      </c>
      <c r="BM1866" s="380">
        <f>MOD((50000+AD1866-$B$3+(0/24)),1)</f>
        <v>0.63642656974116107</v>
      </c>
      <c r="BN1866" s="381"/>
      <c r="BO1866" s="382">
        <v>1859</v>
      </c>
    </row>
    <row r="1867" spans="1:67" s="24" customFormat="1" ht="15" customHeight="1" x14ac:dyDescent="0.25">
      <c r="A1867" s="288" t="s">
        <v>1829</v>
      </c>
      <c r="B1867" s="241" t="str">
        <f>HYPERLINK(CONCATENATE($AT$3,BK1867,$AU$3),$AV$3)</f>
        <v>S</v>
      </c>
      <c r="C1867" s="242" t="str">
        <f>HYPERLINK(CONCATENATE($AT$4,BK1867,$AU$4,BL1867),$AV$4)</f>
        <v>A</v>
      </c>
      <c r="D1867" s="243" t="s">
        <v>5335</v>
      </c>
      <c r="E1867" s="244" t="s">
        <v>5184</v>
      </c>
      <c r="F1867" s="269" t="s">
        <v>3179</v>
      </c>
      <c r="G1867" s="276">
        <v>18</v>
      </c>
      <c r="H1867" s="283">
        <v>17000</v>
      </c>
      <c r="I1867" s="246">
        <v>90</v>
      </c>
      <c r="J1867" s="246">
        <v>3</v>
      </c>
      <c r="K1867" s="247" t="s">
        <v>7422</v>
      </c>
      <c r="L1867" s="248">
        <v>101737</v>
      </c>
      <c r="M1867" s="249">
        <f>15*(LEFT(TEXT($L1867,"000000"),2)+(MID(TEXT($L1867,"000000"),3,2)/60)+(RIGHT(TEXT($L1867,"000000"),2)/3600))</f>
        <v>154.40416666666667</v>
      </c>
      <c r="N1867" s="250">
        <v>-462445</v>
      </c>
      <c r="O1867" s="251">
        <f>IF($N1867&gt;0,(LEFT(TEXT($N1867,"000000"),2)+(MID(TEXT($N1867,"000000"),3,2)/60)+(RIGHT(TEXT($N1867,"000000"),2)/3600)),-(MID(TEXT($N1867,"000000"),2,2)+(MID(TEXT($N1867,"000000"),4,2)/60)+(RIGHT(TEXT($N1867,"000000"),2)/3600)))</f>
        <v>-46.412500000000001</v>
      </c>
      <c r="P1867" s="252" t="s">
        <v>980</v>
      </c>
      <c r="Q1867" s="253"/>
      <c r="R1867" s="247" t="s">
        <v>7391</v>
      </c>
      <c r="S1867" s="272" t="s">
        <v>3293</v>
      </c>
      <c r="T1867" s="273">
        <v>6.9</v>
      </c>
      <c r="U1867" s="274"/>
      <c r="V1867" s="280"/>
      <c r="W1867" s="244"/>
      <c r="X1867" s="244"/>
      <c r="Y1867" s="362"/>
      <c r="Z1867" s="257">
        <f>altaz(J2000_Bas,$O1867,$M1867,DecLat,DecLong,1)</f>
        <v>-49.943603840784711</v>
      </c>
      <c r="AA1867" s="257">
        <f>altaz((J2000_Bas+(2*0.04167)),$O1867,$M1867,DecLat,DecLong,1)</f>
        <v>-69.082207532297204</v>
      </c>
      <c r="AB1867" s="257">
        <f>altaz((J2000_Bas+(4*0.04167)),$O1867,$M1867,DecLat,DecLong,1)</f>
        <v>-72.104170101080001</v>
      </c>
      <c r="AC1867" s="257">
        <f>altaz((J2000_Bas+(6*0.04167)),$O1867,$M1867,DecLat,DecLong,1)</f>
        <v>-54.415631726805721</v>
      </c>
      <c r="AD1867" s="258">
        <f>1+ transit((J2000_Bas-1),$O1867,$M1867,DecLat,DecLong)/360 + (GMTOffset/24) + (IF(DST="Y", 1, 0)/24)</f>
        <v>1.4218003807026247</v>
      </c>
      <c r="AE1867" s="259">
        <f>DATE(2001,9,21)+(M1867/360)*365 - (360*((DecLong/360)- (GMTOffset/24) ))</f>
        <v>37316.548668981479</v>
      </c>
      <c r="AF1867" s="260">
        <f>IF(DecLat&gt;0,IF((90 - (DecLat-O1867))&gt;90, (90 - (O1867-DecLat)), (90 - (DecLat-O1867))),IF((90 + (DecLat-O1867))&gt;90, (90 + (O1867-DecLat)), (90 + (DecLat-O1867))))</f>
        <v>12.587500000000006</v>
      </c>
      <c r="AG1867" s="257">
        <f>angularseperation(MoonRA,MoonDec,$M1867,$O1867)</f>
        <v>73.858331867620464</v>
      </c>
      <c r="AH1867" s="261">
        <f ca="1">MIN(100,IF($O$5&gt;80,0+30*($AG1867/100),IF($O$5&gt;70,0+50*($AG1867/100),IF($O$5&gt;60,5+50*($AG1867/100),IF($O$5&gt;50,10+60*($AG1867/100),IF($O$5&gt;40,15+70*($AG1867/100),IF($O$5&gt;30,20+70*($AG1867/100),IF($O$5&gt;20,40+55*($AG1867/100),(80+(20-$O$5)+30*($AG1867/100))))))))))</f>
        <v>100</v>
      </c>
      <c r="AI1867" s="262">
        <v>3201</v>
      </c>
      <c r="AJ1867" s="262"/>
      <c r="AK1867" s="262"/>
      <c r="AL1867" s="263"/>
      <c r="AM1867" s="264">
        <v>79</v>
      </c>
      <c r="AN1867" s="263"/>
      <c r="AO1867" s="263"/>
      <c r="AP1867" s="265"/>
      <c r="AQ1867" s="266"/>
      <c r="AR1867" s="267"/>
      <c r="AS1867" s="263"/>
      <c r="AT1867" s="263"/>
      <c r="AU1867" s="263"/>
      <c r="AV1867" s="264"/>
      <c r="AW1867" s="263"/>
      <c r="AX1867" s="263"/>
      <c r="AY1867" s="263"/>
      <c r="AZ1867" s="263"/>
      <c r="BA1867" s="263"/>
      <c r="BB1867" s="263"/>
      <c r="BC1867" s="263"/>
      <c r="BD1867" s="264"/>
      <c r="BE1867" s="263"/>
      <c r="BF1867" s="263"/>
      <c r="BG1867" s="263"/>
      <c r="BH1867" s="263"/>
      <c r="BI1867" s="263"/>
      <c r="BJ1867" s="404">
        <f>altaz(J2000_Bas,$O1867,$M1867,DecLat,DecLong,2)</f>
        <v>233.2426185812925</v>
      </c>
      <c r="BK1867" s="378" t="s">
        <v>1829</v>
      </c>
      <c r="BL1867" s="379">
        <f>IF((2*G1867)/60&lt;0.2,0.2,(2*G1867)/60)</f>
        <v>0.6</v>
      </c>
      <c r="BM1867" s="380">
        <f>MOD((50000+AD1867-$B$3+(0/24)),1)</f>
        <v>0.63716731040767627</v>
      </c>
      <c r="BN1867" s="381"/>
      <c r="BO1867" s="382">
        <v>1860</v>
      </c>
    </row>
    <row r="1868" spans="1:67" s="24" customFormat="1" ht="15" customHeight="1" x14ac:dyDescent="0.25">
      <c r="A1868" s="287" t="s">
        <v>7651</v>
      </c>
      <c r="B1868" s="241" t="str">
        <f>HYPERLINK(CONCATENATE($AT$3,BK1868,$AU$3),$AV$3)</f>
        <v>S</v>
      </c>
      <c r="C1868" s="242" t="str">
        <f>HYPERLINK(CONCATENATE($AT$4,BK1868,$AU$4,BL1868),$AV$4)</f>
        <v>A</v>
      </c>
      <c r="D1868" s="243" t="s">
        <v>5638</v>
      </c>
      <c r="E1868" s="244" t="s">
        <v>5194</v>
      </c>
      <c r="F1868" s="269"/>
      <c r="G1868" s="273">
        <v>1.5</v>
      </c>
      <c r="H1868" s="283">
        <v>330</v>
      </c>
      <c r="I1868" s="246">
        <v>140</v>
      </c>
      <c r="J1868" s="246">
        <v>1</v>
      </c>
      <c r="K1868" s="247" t="s">
        <v>7423</v>
      </c>
      <c r="L1868" s="248">
        <v>102050</v>
      </c>
      <c r="M1868" s="249">
        <f>15*(LEFT(TEXT($L1868,"000000"),2)+(MID(TEXT($L1868,"000000"),3,2)/60)+(RIGHT(TEXT($L1868,"000000"),2)/3600))</f>
        <v>155.20833333333334</v>
      </c>
      <c r="N1868" s="250">
        <v>425817</v>
      </c>
      <c r="O1868" s="251">
        <f>IF($N1868&gt;0,(LEFT(TEXT($N1868,"000000"),2)+(MID(TEXT($N1868,"000000"),3,2)/60)+(RIGHT(TEXT($N1868,"000000"),2)/3600)),-(MID(TEXT($N1868,"000000"),2,2)+(MID(TEXT($N1868,"000000"),4,2)/60)+(RIGHT(TEXT($N1868,"000000"),2)/3600)))</f>
        <v>42.971388888888889</v>
      </c>
      <c r="P1868" s="252" t="s">
        <v>37</v>
      </c>
      <c r="Q1868" s="253"/>
      <c r="R1868" s="277" t="s">
        <v>3293</v>
      </c>
      <c r="S1868" s="272" t="s">
        <v>3293</v>
      </c>
      <c r="T1868" s="273">
        <v>13.3</v>
      </c>
      <c r="U1868" s="289">
        <v>22.490000000000002</v>
      </c>
      <c r="V1868" s="280"/>
      <c r="W1868" s="244"/>
      <c r="X1868" s="244"/>
      <c r="Y1868" s="362"/>
      <c r="Z1868" s="257">
        <f>altaz(J2000_Bas,$O1868,$M1868,DecLat,DecLong,1)</f>
        <v>-3.3652475567661582</v>
      </c>
      <c r="AA1868" s="257">
        <f>altaz((J2000_Bas+(2*0.04167)),$O1868,$M1868,DecLat,DecLong,1)</f>
        <v>-13.975933670016852</v>
      </c>
      <c r="AB1868" s="257">
        <f>altaz((J2000_Bas+(4*0.04167)),$O1868,$M1868,DecLat,DecLong,1)</f>
        <v>-15.347377848498121</v>
      </c>
      <c r="AC1868" s="257">
        <f>altaz((J2000_Bas+(6*0.04167)),$O1868,$M1868,DecLat,DecLong,1)</f>
        <v>-7.0035413132839111</v>
      </c>
      <c r="AD1868" s="258">
        <f>1+ transit((J2000_Bas-1),$O1868,$M1868,DecLat,DecLong)/360 + (GMTOffset/24) + (IF(DST="Y", 1, 0)/24)</f>
        <v>1.4240341767755413</v>
      </c>
      <c r="AE1868" s="259">
        <f>DATE(2001,9,21)+(M1868/360)*365 - (360*((DecLong/360)- (GMTOffset/24) ))</f>
        <v>37317.364004629628</v>
      </c>
      <c r="AF1868" s="260">
        <f>IF(DecLat&gt;0,IF((90 - (DecLat-O1868))&gt;90, (90 - (O1868-DecLat)), (90 - (DecLat-O1868))),IF((90 + (DecLat-O1868))&gt;90, (90 + (O1868-DecLat)), (90 + (DecLat-O1868))))</f>
        <v>78.028611111111104</v>
      </c>
      <c r="AG1868" s="257">
        <f>angularseperation(MoonRA,MoonDec,$M1868,$O1868)</f>
        <v>110.86517591109069</v>
      </c>
      <c r="AH1868" s="261">
        <f ca="1">MIN(100,IF($O$5&gt;80,0+30*($AG1868/100),IF($O$5&gt;70,0+50*($AG1868/100),IF($O$5&gt;60,5+50*($AG1868/100),IF($O$5&gt;50,10+60*($AG1868/100),IF($O$5&gt;40,15+70*($AG1868/100),IF($O$5&gt;30,20+70*($AG1868/100),IF($O$5&gt;20,40+55*($AG1868/100),(80+(20-$O$5)+30*($AG1868/100))))))))))</f>
        <v>100</v>
      </c>
      <c r="AI1868" s="262">
        <v>3205</v>
      </c>
      <c r="AJ1868" s="263"/>
      <c r="AK1868" s="263"/>
      <c r="AL1868" s="263"/>
      <c r="AM1868" s="264"/>
      <c r="AN1868" s="263"/>
      <c r="AO1868" s="263"/>
      <c r="AP1868" s="265"/>
      <c r="AQ1868" s="265">
        <v>5585</v>
      </c>
      <c r="AR1868" s="285">
        <v>30254</v>
      </c>
      <c r="AS1868" s="263"/>
      <c r="AT1868" s="263"/>
      <c r="AU1868" s="263"/>
      <c r="AV1868" s="264"/>
      <c r="AW1868" s="263"/>
      <c r="AX1868" s="263"/>
      <c r="AY1868" s="263"/>
      <c r="AZ1868" s="263"/>
      <c r="BA1868" s="263"/>
      <c r="BB1868" s="263"/>
      <c r="BC1868" s="263"/>
      <c r="BD1868" s="264"/>
      <c r="BE1868" s="263"/>
      <c r="BF1868" s="263"/>
      <c r="BG1868" s="263"/>
      <c r="BH1868" s="263"/>
      <c r="BI1868" s="263"/>
      <c r="BJ1868" s="404">
        <f>altaz(J2000_Bas,$O1868,$M1868,DecLat,DecLong,2)</f>
        <v>326.29663183574718</v>
      </c>
      <c r="BK1868" s="378" t="s">
        <v>1830</v>
      </c>
      <c r="BL1868" s="379">
        <f>IF((2*G1868)/60&lt;0.2,0.2,(2*G1868)/60)</f>
        <v>0.2</v>
      </c>
      <c r="BM1868" s="380">
        <f>MOD((50000+AD1868-$B$3+(0/24)),1)</f>
        <v>0.63940110647672554</v>
      </c>
      <c r="BN1868" s="381"/>
      <c r="BO1868" s="382">
        <v>1861</v>
      </c>
    </row>
    <row r="1869" spans="1:67" s="24" customFormat="1" ht="15" customHeight="1" x14ac:dyDescent="0.25">
      <c r="A1869" s="288" t="s">
        <v>1831</v>
      </c>
      <c r="B1869" s="241" t="str">
        <f>HYPERLINK(CONCATENATE($AT$3,BK1869,$AU$3),$AV$3)</f>
        <v>S</v>
      </c>
      <c r="C1869" s="242" t="str">
        <f>HYPERLINK(CONCATENATE($AT$4,BK1869,$AU$4,BL1869),$AV$4)</f>
        <v>A</v>
      </c>
      <c r="D1869" s="243" t="s">
        <v>5638</v>
      </c>
      <c r="E1869" s="244" t="s">
        <v>5192</v>
      </c>
      <c r="F1869" s="269" t="s">
        <v>8906</v>
      </c>
      <c r="G1869" s="273">
        <v>2.9</v>
      </c>
      <c r="H1869" s="283">
        <v>180</v>
      </c>
      <c r="I1869" s="246">
        <v>150</v>
      </c>
      <c r="J1869" s="246">
        <v>2</v>
      </c>
      <c r="K1869" s="247" t="s">
        <v>8051</v>
      </c>
      <c r="L1869" s="248">
        <v>102220</v>
      </c>
      <c r="M1869" s="249">
        <f>15*(LEFT(TEXT($L1869,"000000"),2)+(MID(TEXT($L1869,"000000"),3,2)/60)+(RIGHT(TEXT($L1869,"000000"),2)/3600))</f>
        <v>155.58333333333334</v>
      </c>
      <c r="N1869" s="250">
        <v>213406</v>
      </c>
      <c r="O1869" s="251">
        <f>IF($N1869&gt;0,(LEFT(TEXT($N1869,"000000"),2)+(MID(TEXT($N1869,"000000"),3,2)/60)+(RIGHT(TEXT($N1869,"000000"),2)/3600)),-(MID(TEXT($N1869,"000000"),2,2)+(MID(TEXT($N1869,"000000"),4,2)/60)+(RIGHT(TEXT($N1869,"000000"),2)/3600)))</f>
        <v>21.568333333333332</v>
      </c>
      <c r="P1869" s="252" t="s">
        <v>183</v>
      </c>
      <c r="Q1869" s="253"/>
      <c r="R1869" s="247" t="s">
        <v>3293</v>
      </c>
      <c r="S1869" s="272" t="s">
        <v>3293</v>
      </c>
      <c r="T1869" s="273">
        <v>13.1</v>
      </c>
      <c r="U1869" s="289">
        <v>22.69</v>
      </c>
      <c r="V1869" s="280">
        <v>83</v>
      </c>
      <c r="W1869" s="244"/>
      <c r="X1869" s="244"/>
      <c r="Y1869" s="362"/>
      <c r="Z1869" s="257">
        <f>altaz(J2000_Bas,$O1869,$M1869,DecLat,DecLong,1)</f>
        <v>-19.11823276940591</v>
      </c>
      <c r="AA1869" s="257">
        <f>altaz((J2000_Bas+(2*0.04167)),$O1869,$M1869,DecLat,DecLong,1)</f>
        <v>-34.201802274107557</v>
      </c>
      <c r="AB1869" s="257">
        <f>altaz((J2000_Bas+(4*0.04167)),$O1869,$M1869,DecLat,DecLong,1)</f>
        <v>-36.458577262227259</v>
      </c>
      <c r="AC1869" s="257">
        <f>altaz((J2000_Bas+(6*0.04167)),$O1869,$M1869,DecLat,DecLong,1)</f>
        <v>-24.535538776378701</v>
      </c>
      <c r="AD1869" s="258">
        <f>1+ transit((J2000_Bas-1),$O1869,$M1869,DecLat,DecLong)/360 + (GMTOffset/24) + (IF(DST="Y", 1, 0)/24)</f>
        <v>1.4250758433380415</v>
      </c>
      <c r="AE1869" s="259">
        <f>DATE(2001,9,21)+(M1869/360)*365 - (360*((DecLong/360)- (GMTOffset/24) ))</f>
        <v>37317.744212962964</v>
      </c>
      <c r="AF1869" s="260">
        <f>IF(DecLat&gt;0,IF((90 - (DecLat-O1869))&gt;90, (90 - (O1869-DecLat)), (90 - (DecLat-O1869))),IF((90 + (DecLat-O1869))&gt;90, (90 + (O1869-DecLat)), (90 + (DecLat-O1869))))</f>
        <v>80.568333333333328</v>
      </c>
      <c r="AG1869" s="257">
        <f>angularseperation(MoonRA,MoonDec,$M1869,$O1869)</f>
        <v>102.72122206294691</v>
      </c>
      <c r="AH1869" s="261">
        <f ca="1">MIN(100,IF($O$5&gt;80,0+30*($AG1869/100),IF($O$5&gt;70,0+50*($AG1869/100),IF($O$5&gt;60,5+50*($AG1869/100),IF($O$5&gt;50,10+60*($AG1869/100),IF($O$5&gt;40,15+70*($AG1869/100),IF($O$5&gt;30,20+70*($AG1869/100),IF($O$5&gt;20,40+55*($AG1869/100),(80+(20-$O$5)+30*($AG1869/100))))))))))</f>
        <v>100</v>
      </c>
      <c r="AI1869" s="262">
        <v>3221</v>
      </c>
      <c r="AJ1869" s="262"/>
      <c r="AK1869" s="262"/>
      <c r="AL1869" s="263"/>
      <c r="AM1869" s="264"/>
      <c r="AN1869" s="263"/>
      <c r="AO1869" s="263"/>
      <c r="AP1869" s="265"/>
      <c r="AQ1869" s="266">
        <v>5601</v>
      </c>
      <c r="AR1869" s="267">
        <v>30358</v>
      </c>
      <c r="AS1869" s="263"/>
      <c r="AT1869" s="263"/>
      <c r="AU1869" s="263"/>
      <c r="AV1869" s="264"/>
      <c r="AW1869" s="263"/>
      <c r="AX1869" s="263"/>
      <c r="AY1869" s="263"/>
      <c r="AZ1869" s="263"/>
      <c r="BA1869" s="263"/>
      <c r="BB1869" s="263"/>
      <c r="BC1869" s="263"/>
      <c r="BD1869" s="264"/>
      <c r="BE1869" s="263"/>
      <c r="BF1869" s="263"/>
      <c r="BG1869" s="263"/>
      <c r="BH1869" s="263"/>
      <c r="BI1869" s="263"/>
      <c r="BJ1869" s="404">
        <f>altaz(J2000_Bas,$O1869,$M1869,DecLat,DecLong,2)</f>
        <v>311.46655181014796</v>
      </c>
      <c r="BK1869" s="378" t="s">
        <v>1831</v>
      </c>
      <c r="BL1869" s="379">
        <f>IF((2*G1869)/60&lt;0.2,0.2,(2*G1869)/60)</f>
        <v>0.2</v>
      </c>
      <c r="BM1869" s="380">
        <f>MOD((50000+AD1869-$B$3+(0/24)),1)</f>
        <v>0.64044277304492425</v>
      </c>
      <c r="BN1869" s="381"/>
      <c r="BO1869" s="382">
        <v>1862</v>
      </c>
    </row>
    <row r="1870" spans="1:67" s="24" customFormat="1" ht="15" customHeight="1" x14ac:dyDescent="0.25">
      <c r="A1870" s="288" t="s">
        <v>1832</v>
      </c>
      <c r="B1870" s="241" t="str">
        <f>HYPERLINK(CONCATENATE($AT$3,BK1870,$AU$3),$AV$3)</f>
        <v>S</v>
      </c>
      <c r="C1870" s="242" t="str">
        <f>HYPERLINK(CONCATENATE($AT$4,BK1870,$AU$4,BL1870),$AV$4)</f>
        <v>A</v>
      </c>
      <c r="D1870" s="243" t="s">
        <v>5638</v>
      </c>
      <c r="E1870" s="244" t="s">
        <v>5192</v>
      </c>
      <c r="F1870" s="269" t="s">
        <v>8688</v>
      </c>
      <c r="G1870" s="273">
        <v>3</v>
      </c>
      <c r="H1870" s="283">
        <v>110</v>
      </c>
      <c r="I1870" s="246">
        <v>100</v>
      </c>
      <c r="J1870" s="246">
        <v>2</v>
      </c>
      <c r="K1870" s="247" t="s">
        <v>7424</v>
      </c>
      <c r="L1870" s="248">
        <v>102135</v>
      </c>
      <c r="M1870" s="249">
        <f>15*(LEFT(TEXT($L1870,"000000"),2)+(MID(TEXT($L1870,"000000"),3,2)/60)+(RIGHT(TEXT($L1870,"000000"),2)/3600))</f>
        <v>155.39583333333334</v>
      </c>
      <c r="N1870" s="250">
        <v>-341600</v>
      </c>
      <c r="O1870" s="251">
        <f>IF($N1870&gt;0,(LEFT(TEXT($N1870,"000000"),2)+(MID(TEXT($N1870,"000000"),3,2)/60)+(RIGHT(TEXT($N1870,"000000"),2)/3600)),-(MID(TEXT($N1870,"000000"),2,2)+(MID(TEXT($N1870,"000000"),4,2)/60)+(RIGHT(TEXT($N1870,"000000"),2)/3600)))</f>
        <v>-34.266666666666666</v>
      </c>
      <c r="P1870" s="252" t="s">
        <v>1210</v>
      </c>
      <c r="Q1870" s="253"/>
      <c r="R1870" s="277" t="s">
        <v>3293</v>
      </c>
      <c r="S1870" s="272" t="s">
        <v>3293</v>
      </c>
      <c r="T1870" s="273">
        <v>11</v>
      </c>
      <c r="U1870" s="289">
        <v>22.19</v>
      </c>
      <c r="V1870" s="280">
        <v>50</v>
      </c>
      <c r="W1870" s="244"/>
      <c r="X1870" s="244"/>
      <c r="Y1870" s="362"/>
      <c r="Z1870" s="257">
        <f>altaz(J2000_Bas,$O1870,$M1870,DecLat,DecLong,1)</f>
        <v>-48.68162953123101</v>
      </c>
      <c r="AA1870" s="257">
        <f>altaz((J2000_Bas+(2*0.04167)),$O1870,$M1870,DecLat,DecLong,1)</f>
        <v>-73.44147958214181</v>
      </c>
      <c r="AB1870" s="257">
        <f>altaz((J2000_Bas+(4*0.04167)),$O1870,$M1870,DecLat,DecLong,1)</f>
        <v>-80.361412956637267</v>
      </c>
      <c r="AC1870" s="257">
        <f>altaz((J2000_Bas+(6*0.04167)),$O1870,$M1870,DecLat,DecLong,1)</f>
        <v>-55.664150862320788</v>
      </c>
      <c r="AD1870" s="258">
        <f>1+ transit((J2000_Bas-1),$O1870,$M1870,DecLat,DecLong)/360 + (GMTOffset/24) + (IF(DST="Y", 1, 0)/24)</f>
        <v>1.4245550100567914</v>
      </c>
      <c r="AE1870" s="259">
        <f>DATE(2001,9,21)+(M1870/360)*365 - (360*((DecLong/360)- (GMTOffset/24) ))</f>
        <v>37317.554108796299</v>
      </c>
      <c r="AF1870" s="260">
        <f>IF(DecLat&gt;0,IF((90 - (DecLat-O1870))&gt;90, (90 - (O1870-DecLat)), (90 - (DecLat-O1870))),IF((90 + (DecLat-O1870))&gt;90, (90 + (O1870-DecLat)), (90 + (DecLat-O1870))))</f>
        <v>24.733333333333334</v>
      </c>
      <c r="AG1870" s="257">
        <f>angularseperation(MoonRA,MoonDec,$M1870,$O1870)</f>
        <v>78.053483305468689</v>
      </c>
      <c r="AH1870" s="261">
        <f ca="1">MIN(100,IF($O$5&gt;80,0+30*($AG1870/100),IF($O$5&gt;70,0+50*($AG1870/100),IF($O$5&gt;60,5+50*($AG1870/100),IF($O$5&gt;50,10+60*($AG1870/100),IF($O$5&gt;40,15+70*($AG1870/100),IF($O$5&gt;30,20+70*($AG1870/100),IF($O$5&gt;20,40+55*($AG1870/100),(80+(20-$O$5)+30*($AG1870/100))))))))))</f>
        <v>100</v>
      </c>
      <c r="AI1870" s="262">
        <v>3223</v>
      </c>
      <c r="AJ1870" s="263"/>
      <c r="AK1870" s="263"/>
      <c r="AL1870" s="263"/>
      <c r="AM1870" s="264"/>
      <c r="AN1870" s="263"/>
      <c r="AO1870" s="263"/>
      <c r="AP1870" s="265"/>
      <c r="AQ1870" s="265"/>
      <c r="AR1870" s="285">
        <v>30308</v>
      </c>
      <c r="AS1870" s="263"/>
      <c r="AT1870" s="263"/>
      <c r="AU1870" s="263"/>
      <c r="AV1870" s="264"/>
      <c r="AW1870" s="263"/>
      <c r="AX1870" s="263"/>
      <c r="AY1870" s="263"/>
      <c r="AZ1870" s="263"/>
      <c r="BA1870" s="263"/>
      <c r="BB1870" s="263"/>
      <c r="BC1870" s="263"/>
      <c r="BD1870" s="264"/>
      <c r="BE1870" s="263"/>
      <c r="BF1870" s="263"/>
      <c r="BG1870" s="263"/>
      <c r="BH1870" s="263"/>
      <c r="BI1870" s="263"/>
      <c r="BJ1870" s="404">
        <f>altaz(J2000_Bas,$O1870,$M1870,DecLat,DecLong,2)</f>
        <v>251.85727986948086</v>
      </c>
      <c r="BK1870" s="378" t="s">
        <v>1832</v>
      </c>
      <c r="BL1870" s="379">
        <f>IF((2*G1870)/60&lt;0.2,0.2,(2*G1870)/60)</f>
        <v>0.2</v>
      </c>
      <c r="BM1870" s="380">
        <f>MOD((50000+AD1870-$B$3+(0/24)),1)</f>
        <v>0.63992193976446288</v>
      </c>
      <c r="BN1870" s="381"/>
      <c r="BO1870" s="382">
        <v>1863</v>
      </c>
    </row>
    <row r="1871" spans="1:67" s="24" customFormat="1" ht="15" customHeight="1" x14ac:dyDescent="0.25">
      <c r="A1871" s="288" t="s">
        <v>1833</v>
      </c>
      <c r="B1871" s="241" t="str">
        <f>HYPERLINK(CONCATENATE($AT$3,BK1871,$AU$3),$AV$3)</f>
        <v>S</v>
      </c>
      <c r="C1871" s="242" t="str">
        <f>HYPERLINK(CONCATENATE($AT$4,BK1871,$AU$4,BL1871),$AV$4)</f>
        <v>A</v>
      </c>
      <c r="D1871" s="243" t="s">
        <v>5638</v>
      </c>
      <c r="E1871" s="244" t="s">
        <v>5337</v>
      </c>
      <c r="F1871" s="269" t="s">
        <v>3310</v>
      </c>
      <c r="G1871" s="273">
        <v>4</v>
      </c>
      <c r="H1871" s="283">
        <v>50</v>
      </c>
      <c r="I1871" s="246">
        <v>60</v>
      </c>
      <c r="J1871" s="246">
        <v>2</v>
      </c>
      <c r="K1871" s="247" t="s">
        <v>8749</v>
      </c>
      <c r="L1871" s="248">
        <v>102327</v>
      </c>
      <c r="M1871" s="249">
        <f>15*(LEFT(TEXT($L1871,"000000"),2)+(MID(TEXT($L1871,"000000"),3,2)/60)+(RIGHT(TEXT($L1871,"000000"),2)/3600))</f>
        <v>155.86250000000001</v>
      </c>
      <c r="N1871" s="286">
        <v>195355</v>
      </c>
      <c r="O1871" s="251">
        <f>IF($N1871&gt;0,(LEFT(TEXT($N1871,"000000"),2)+(MID(TEXT($N1871,"000000"),3,2)/60)+(RIGHT(TEXT($N1871,"000000"),2)/3600)),-(MID(TEXT($N1871,"000000"),2,2)+(MID(TEXT($N1871,"000000"),4,2)/60)+(RIGHT(TEXT($N1871,"000000"),2)/3600)))</f>
        <v>19.898611111111112</v>
      </c>
      <c r="P1871" s="252" t="s">
        <v>183</v>
      </c>
      <c r="Q1871" s="253"/>
      <c r="R1871" s="247"/>
      <c r="S1871" s="272" t="s">
        <v>8748</v>
      </c>
      <c r="T1871" s="273">
        <v>13.3</v>
      </c>
      <c r="U1871" s="289"/>
      <c r="V1871" s="280"/>
      <c r="W1871" s="244"/>
      <c r="X1871" s="244"/>
      <c r="Y1871" s="362"/>
      <c r="Z1871" s="257">
        <f>altaz(J2000_Bas,$O1871,$M1871,DecLat,DecLong,1)</f>
        <v>-20.138644387269864</v>
      </c>
      <c r="AA1871" s="257">
        <f>altaz((J2000_Bas+(2*0.04167)),$O1871,$M1871,DecLat,DecLong,1)</f>
        <v>-35.673286353822206</v>
      </c>
      <c r="AB1871" s="257">
        <f>altaz((J2000_Bas+(4*0.04167)),$O1871,$M1871,DecLat,DecLong,1)</f>
        <v>-38.147125193146273</v>
      </c>
      <c r="AC1871" s="257">
        <f>altaz((J2000_Bas+(6*0.04167)),$O1871,$M1871,DecLat,DecLong,1)</f>
        <v>-26.011623150075156</v>
      </c>
      <c r="AD1871" s="258">
        <f>1+ transit((J2000_Bas-1),$O1871,$M1871,DecLat,DecLong)/360 + (GMTOffset/24) + (IF(DST="Y", 1, 0)/24)</f>
        <v>1.4258513062234581</v>
      </c>
      <c r="AE1871" s="259">
        <f>DATE(2001,9,21)+(M1871/360)*365 - (360*((DecLong/360)- (GMTOffset/24) ))</f>
        <v>37318.027256944442</v>
      </c>
      <c r="AF1871" s="260">
        <f>IF(DecLat&gt;0,IF((90 - (DecLat-O1871))&gt;90, (90 - (O1871-DecLat)), (90 - (DecLat-O1871))),IF((90 + (DecLat-O1871))&gt;90, (90 + (O1871-DecLat)), (90 + (DecLat-O1871))))</f>
        <v>78.898611111111109</v>
      </c>
      <c r="AG1871" s="257">
        <f>angularseperation(MoonRA,MoonDec,$M1871,$O1871)</f>
        <v>101.78932333237999</v>
      </c>
      <c r="AH1871" s="261">
        <f ca="1">MIN(100,IF($O$5&gt;80,0+30*($AG1871/100),IF($O$5&gt;70,0+50*($AG1871/100),IF($O$5&gt;60,5+50*($AG1871/100),IF($O$5&gt;50,10+60*($AG1871/100),IF($O$5&gt;40,15+70*($AG1871/100),IF($O$5&gt;30,20+70*($AG1871/100),IF($O$5&gt;20,40+55*($AG1871/100),(80+(20-$O$5)+30*($AG1871/100))))))))))</f>
        <v>100</v>
      </c>
      <c r="AI1871" s="262">
        <v>3226</v>
      </c>
      <c r="AJ1871" s="262"/>
      <c r="AK1871" s="262">
        <v>147</v>
      </c>
      <c r="AL1871" s="263"/>
      <c r="AM1871" s="264"/>
      <c r="AN1871" s="263"/>
      <c r="AO1871" s="263"/>
      <c r="AP1871" s="265"/>
      <c r="AQ1871" s="266">
        <v>5620</v>
      </c>
      <c r="AR1871" s="267">
        <v>30445</v>
      </c>
      <c r="AS1871" s="263"/>
      <c r="AT1871" s="263"/>
      <c r="AU1871" s="263"/>
      <c r="AV1871" s="264"/>
      <c r="AW1871" s="263"/>
      <c r="AX1871" s="263"/>
      <c r="AY1871" s="263"/>
      <c r="AZ1871" s="263"/>
      <c r="BA1871" s="263"/>
      <c r="BB1871" s="263"/>
      <c r="BC1871" s="263"/>
      <c r="BD1871" s="264"/>
      <c r="BE1871" s="263"/>
      <c r="BF1871" s="263">
        <v>43</v>
      </c>
      <c r="BG1871" s="263"/>
      <c r="BH1871" s="263"/>
      <c r="BI1871" s="263"/>
      <c r="BJ1871" s="404">
        <f>altaz(J2000_Bas,$O1871,$M1871,DecLat,DecLong,2)</f>
        <v>310.03622913830196</v>
      </c>
      <c r="BK1871" s="378" t="s">
        <v>1833</v>
      </c>
      <c r="BL1871" s="379">
        <f>IF((2*G1871)/60&lt;0.2,0.2,(2*G1871)/60)</f>
        <v>0.2</v>
      </c>
      <c r="BM1871" s="380">
        <f>MOD((50000+AD1871-$B$3+(0/24)),1)</f>
        <v>0.64121823592722649</v>
      </c>
      <c r="BN1871" s="381"/>
      <c r="BO1871" s="382">
        <v>1864</v>
      </c>
    </row>
    <row r="1872" spans="1:67" s="24" customFormat="1" ht="15" customHeight="1" x14ac:dyDescent="0.25">
      <c r="A1872" s="288" t="s">
        <v>1834</v>
      </c>
      <c r="B1872" s="241" t="str">
        <f>HYPERLINK(CONCATENATE($AT$3,BK1872,$AU$3),$AV$3)</f>
        <v>S</v>
      </c>
      <c r="C1872" s="242" t="str">
        <f>HYPERLINK(CONCATENATE($AT$4,BK1872,$AU$4,BL1872),$AV$4)</f>
        <v>A</v>
      </c>
      <c r="D1872" s="243" t="s">
        <v>5335</v>
      </c>
      <c r="E1872" s="244" t="s">
        <v>5185</v>
      </c>
      <c r="F1872" s="269" t="s">
        <v>7425</v>
      </c>
      <c r="G1872" s="273">
        <v>5</v>
      </c>
      <c r="H1872" s="283">
        <v>1600</v>
      </c>
      <c r="I1872" s="279">
        <v>2.2000000000000002</v>
      </c>
      <c r="J1872" s="246">
        <v>2</v>
      </c>
      <c r="K1872" s="247" t="s">
        <v>7426</v>
      </c>
      <c r="L1872" s="248">
        <v>102122</v>
      </c>
      <c r="M1872" s="249">
        <f>15*(LEFT(TEXT($L1872,"000000"),2)+(MID(TEXT($L1872,"000000"),3,2)/60)+(RIGHT(TEXT($L1872,"000000"),2)/3600))</f>
        <v>155.34166666666664</v>
      </c>
      <c r="N1872" s="250">
        <v>-514342</v>
      </c>
      <c r="O1872" s="251">
        <f>IF($N1872&gt;0,(LEFT(TEXT($N1872,"000000"),2)+(MID(TEXT($N1872,"000000"),3,2)/60)+(RIGHT(TEXT($N1872,"000000"),2)/3600)),-(MID(TEXT($N1872,"000000"),2,2)+(MID(TEXT($N1872,"000000"),4,2)/60)+(RIGHT(TEXT($N1872,"000000"),2)/3600)))</f>
        <v>-51.728333333333332</v>
      </c>
      <c r="P1872" s="252" t="s">
        <v>980</v>
      </c>
      <c r="Q1872" s="253" t="s">
        <v>7141</v>
      </c>
      <c r="R1872" s="247" t="s">
        <v>3293</v>
      </c>
      <c r="S1872" s="272" t="s">
        <v>3293</v>
      </c>
      <c r="T1872" s="273">
        <v>6</v>
      </c>
      <c r="U1872" s="274"/>
      <c r="V1872" s="280"/>
      <c r="W1872" s="244"/>
      <c r="X1872" s="244"/>
      <c r="Y1872" s="362"/>
      <c r="Z1872" s="257">
        <f>altaz(J2000_Bas,$O1872,$M1872,DecLat,DecLong,1)</f>
        <v>-48.61518473514279</v>
      </c>
      <c r="AA1872" s="257">
        <f>altaz((J2000_Bas+(2*0.04167)),$O1872,$M1872,DecLat,DecLong,1)</f>
        <v>-64.900302160362699</v>
      </c>
      <c r="AB1872" s="257">
        <f>altaz((J2000_Bas+(4*0.04167)),$O1872,$M1872,DecLat,DecLong,1)</f>
        <v>-67.791238118266335</v>
      </c>
      <c r="AC1872" s="257">
        <f>altaz((J2000_Bas+(6*0.04167)),$O1872,$M1872,DecLat,DecLong,1)</f>
        <v>-53.664170067931956</v>
      </c>
      <c r="AD1872" s="258">
        <f>1+ transit((J2000_Bas-1),$O1872,$M1872,DecLat,DecLong)/360 + (GMTOffset/24) + (IF(DST="Y", 1, 0)/24)</f>
        <v>1.4244045471088747</v>
      </c>
      <c r="AE1872" s="259">
        <f>DATE(2001,9,21)+(M1872/360)*365 - (360*((DecLong/360)- (GMTOffset/24) ))</f>
        <v>37317.499189814815</v>
      </c>
      <c r="AF1872" s="260">
        <f>IF(DecLat&gt;0,IF((90 - (DecLat-O1872))&gt;90, (90 - (O1872-DecLat)), (90 - (DecLat-O1872))),IF((90 + (DecLat-O1872))&gt;90, (90 + (O1872-DecLat)), (90 + (DecLat-O1872))))</f>
        <v>7.2716666666666754</v>
      </c>
      <c r="AG1872" s="257">
        <f>angularseperation(MoonRA,MoonDec,$M1872,$O1872)</f>
        <v>71.340957992397293</v>
      </c>
      <c r="AH1872" s="261">
        <f ca="1">MIN(100,IF($O$5&gt;80,0+30*($AG1872/100),IF($O$5&gt;70,0+50*($AG1872/100),IF($O$5&gt;60,5+50*($AG1872/100),IF($O$5&gt;50,10+60*($AG1872/100),IF($O$5&gt;40,15+70*($AG1872/100),IF($O$5&gt;30,20+70*($AG1872/100),IF($O$5&gt;20,40+55*($AG1872/100),(80+(20-$O$5)+30*($AG1872/100))))))))))</f>
        <v>100</v>
      </c>
      <c r="AI1872" s="262">
        <v>3228</v>
      </c>
      <c r="AJ1872" s="262"/>
      <c r="AK1872" s="262"/>
      <c r="AL1872" s="263"/>
      <c r="AM1872" s="264"/>
      <c r="AN1872" s="263"/>
      <c r="AO1872" s="263"/>
      <c r="AP1872" s="265"/>
      <c r="AQ1872" s="266"/>
      <c r="AR1872" s="267"/>
      <c r="AS1872" s="263"/>
      <c r="AT1872" s="263"/>
      <c r="AU1872" s="263"/>
      <c r="AV1872" s="264"/>
      <c r="AW1872" s="263"/>
      <c r="AX1872" s="263"/>
      <c r="AY1872" s="263"/>
      <c r="AZ1872" s="263"/>
      <c r="BA1872" s="263"/>
      <c r="BB1872" s="263"/>
      <c r="BC1872" s="263"/>
      <c r="BD1872" s="264"/>
      <c r="BE1872" s="263">
        <v>53</v>
      </c>
      <c r="BF1872" s="263"/>
      <c r="BG1872" s="263"/>
      <c r="BH1872" s="263"/>
      <c r="BI1872" s="263"/>
      <c r="BJ1872" s="404">
        <f>altaz(J2000_Bas,$O1872,$M1872,DecLat,DecLong,2)</f>
        <v>225.29233507413133</v>
      </c>
      <c r="BK1872" s="378" t="s">
        <v>1834</v>
      </c>
      <c r="BL1872" s="379">
        <f>IF((2*G1872)/60&lt;0.2,0.2,(2*G1872)/60)</f>
        <v>0.2</v>
      </c>
      <c r="BM1872" s="380">
        <f>MOD((50000+AD1872-$B$3+(0/24)),1)</f>
        <v>0.63977147680998314</v>
      </c>
      <c r="BN1872" s="381"/>
      <c r="BO1872" s="382">
        <v>1865</v>
      </c>
    </row>
    <row r="1873" spans="1:67" s="24" customFormat="1" ht="15" customHeight="1" x14ac:dyDescent="0.25">
      <c r="A1873" s="288" t="s">
        <v>1835</v>
      </c>
      <c r="B1873" s="241" t="str">
        <f>HYPERLINK(CONCATENATE($AT$3,BK1873,$AU$3),$AV$3)</f>
        <v>S</v>
      </c>
      <c r="C1873" s="242" t="str">
        <f>HYPERLINK(CONCATENATE($AT$4,BK1873,$AU$4,BL1873),$AV$4)</f>
        <v>A</v>
      </c>
      <c r="D1873" s="243" t="s">
        <v>5187</v>
      </c>
      <c r="E1873" s="244" t="s">
        <v>5181</v>
      </c>
      <c r="F1873" s="293" t="s">
        <v>5219</v>
      </c>
      <c r="G1873" s="273">
        <v>1</v>
      </c>
      <c r="H1873" s="283">
        <v>4000</v>
      </c>
      <c r="I1873" s="279">
        <v>1.1000000000000001</v>
      </c>
      <c r="J1873" s="246">
        <v>4</v>
      </c>
      <c r="K1873" s="247" t="s">
        <v>7427</v>
      </c>
      <c r="L1873" s="248">
        <v>102446</v>
      </c>
      <c r="M1873" s="249">
        <f>15*(LEFT(TEXT($L1873,"000000"),2)+(MID(TEXT($L1873,"000000"),3,2)/60)+(RIGHT(TEXT($L1873,"000000"),2)/3600))</f>
        <v>156.19166666666666</v>
      </c>
      <c r="N1873" s="250">
        <v>-183834</v>
      </c>
      <c r="O1873" s="251">
        <f>IF($N1873&gt;0,(LEFT(TEXT($N1873,"000000"),2)+(MID(TEXT($N1873,"000000"),3,2)/60)+(RIGHT(TEXT($N1873,"000000"),2)/3600)),-(MID(TEXT($N1873,"000000"),2,2)+(MID(TEXT($N1873,"000000"),4,2)/60)+(RIGHT(TEXT($N1873,"000000"),2)/3600)))</f>
        <v>-18.642777777777777</v>
      </c>
      <c r="P1873" s="252" t="s">
        <v>103</v>
      </c>
      <c r="Q1873" s="253" t="s">
        <v>6997</v>
      </c>
      <c r="R1873" s="247" t="s">
        <v>7325</v>
      </c>
      <c r="S1873" s="272" t="s">
        <v>3293</v>
      </c>
      <c r="T1873" s="273">
        <v>7.7</v>
      </c>
      <c r="U1873" s="274"/>
      <c r="V1873" s="280"/>
      <c r="W1873" s="244"/>
      <c r="X1873" s="244"/>
      <c r="Y1873" s="362"/>
      <c r="Z1873" s="257">
        <f>altaz(J2000_Bas,$O1873,$M1873,DecLat,DecLong,1)</f>
        <v>-43.20822602667576</v>
      </c>
      <c r="AA1873" s="257">
        <f>altaz((J2000_Bas+(2*0.04167)),$O1873,$M1873,DecLat,DecLong,1)</f>
        <v>-68.024397012028331</v>
      </c>
      <c r="AB1873" s="257">
        <f>altaz((J2000_Bas+(4*0.04167)),$O1873,$M1873,DecLat,DecLong,1)</f>
        <v>-74.696734305686519</v>
      </c>
      <c r="AC1873" s="257">
        <f>altaz((J2000_Bas+(6*0.04167)),$O1873,$M1873,DecLat,DecLong,1)</f>
        <v>-51.834268142699663</v>
      </c>
      <c r="AD1873" s="258">
        <f>1+ transit((J2000_Bas-1),$O1873,$M1873,DecLat,DecLong)/360 + (GMTOffset/24) + (IF(DST="Y", 1, 0)/24)</f>
        <v>1.4267656579838748</v>
      </c>
      <c r="AE1873" s="259">
        <f>DATE(2001,9,21)+(M1873/360)*365 - (360*((DecLong/360)- (GMTOffset/24) ))</f>
        <v>37318.360995370371</v>
      </c>
      <c r="AF1873" s="260">
        <f>IF(DecLat&gt;0,IF((90 - (DecLat-O1873))&gt;90, (90 - (O1873-DecLat)), (90 - (DecLat-O1873))),IF((90 + (DecLat-O1873))&gt;90, (90 + (O1873-DecLat)), (90 + (DecLat-O1873))))</f>
        <v>40.357222222222219</v>
      </c>
      <c r="AG1873" s="257">
        <f>angularseperation(MoonRA,MoonDec,$M1873,$O1873)</f>
        <v>84.223226828096386</v>
      </c>
      <c r="AH1873" s="261">
        <f ca="1">MIN(100,IF($O$5&gt;80,0+30*($AG1873/100),IF($O$5&gt;70,0+50*($AG1873/100),IF($O$5&gt;60,5+50*($AG1873/100),IF($O$5&gt;50,10+60*($AG1873/100),IF($O$5&gt;40,15+70*($AG1873/100),IF($O$5&gt;30,20+70*($AG1873/100),IF($O$5&gt;20,40+55*($AG1873/100),(80+(20-$O$5)+30*($AG1873/100))))))))))</f>
        <v>100</v>
      </c>
      <c r="AI1873" s="262">
        <v>3242</v>
      </c>
      <c r="AJ1873" s="262"/>
      <c r="AK1873" s="262">
        <v>149</v>
      </c>
      <c r="AL1873" s="263"/>
      <c r="AM1873" s="264">
        <v>59</v>
      </c>
      <c r="AN1873" s="263"/>
      <c r="AO1873" s="263"/>
      <c r="AP1873" s="265"/>
      <c r="AQ1873" s="266"/>
      <c r="AR1873" s="267"/>
      <c r="AS1873" s="263"/>
      <c r="AT1873" s="263">
        <v>17</v>
      </c>
      <c r="AU1873" s="263"/>
      <c r="AV1873" s="264"/>
      <c r="AW1873" s="263"/>
      <c r="AX1873" s="263"/>
      <c r="AY1873" s="263"/>
      <c r="AZ1873" s="263"/>
      <c r="BA1873" s="263"/>
      <c r="BB1873" s="263"/>
      <c r="BC1873" s="263"/>
      <c r="BD1873" s="264"/>
      <c r="BE1873" s="263"/>
      <c r="BF1873" s="263"/>
      <c r="BG1873" s="263"/>
      <c r="BH1873" s="263"/>
      <c r="BI1873" s="263"/>
      <c r="BJ1873" s="404">
        <f>altaz(J2000_Bas,$O1873,$M1873,DecLat,DecLong,2)</f>
        <v>273.02362676094788</v>
      </c>
      <c r="BK1873" s="378" t="s">
        <v>1835</v>
      </c>
      <c r="BL1873" s="379">
        <f>IF((2*G1873)/60&lt;0.2,0.2,(2*G1873)/60)</f>
        <v>0.2</v>
      </c>
      <c r="BM1873" s="380">
        <f>MOD((50000+AD1873-$B$3+(0/24)),1)</f>
        <v>0.64213258768722881</v>
      </c>
      <c r="BN1873" s="381" t="s">
        <v>8665</v>
      </c>
      <c r="BO1873" s="382">
        <v>1866</v>
      </c>
    </row>
    <row r="1874" spans="1:67" s="24" customFormat="1" ht="15" customHeight="1" x14ac:dyDescent="0.25">
      <c r="A1874" s="288" t="s">
        <v>2986</v>
      </c>
      <c r="B1874" s="241" t="str">
        <f>HYPERLINK(CONCATENATE($AT$3,BK1874,$AU$3),$AV$3)</f>
        <v>S</v>
      </c>
      <c r="C1874" s="242" t="str">
        <f>HYPERLINK(CONCATENATE($AT$4,BK1874,$AU$4,BL1874),$AV$4)</f>
        <v>A</v>
      </c>
      <c r="D1874" s="243" t="s">
        <v>5638</v>
      </c>
      <c r="E1874" s="244" t="s">
        <v>5182</v>
      </c>
      <c r="F1874" s="269" t="s">
        <v>3300</v>
      </c>
      <c r="G1874" s="273">
        <v>3.2</v>
      </c>
      <c r="H1874" s="283">
        <v>70</v>
      </c>
      <c r="I1874" s="246">
        <v>70</v>
      </c>
      <c r="J1874" s="246">
        <v>2</v>
      </c>
      <c r="K1874" s="247" t="s">
        <v>7428</v>
      </c>
      <c r="L1874" s="248">
        <v>102718</v>
      </c>
      <c r="M1874" s="249">
        <f>15*(LEFT(TEXT($L1874,"000000"),2)+(MID(TEXT($L1874,"000000"),3,2)/60)+(RIGHT(TEXT($L1874,"000000"),2)/3600))</f>
        <v>156.82499999999999</v>
      </c>
      <c r="N1874" s="250">
        <v>283000</v>
      </c>
      <c r="O1874" s="251">
        <f>IF($N1874&gt;0,(LEFT(TEXT($N1874,"000000"),2)+(MID(TEXT($N1874,"000000"),3,2)/60)+(RIGHT(TEXT($N1874,"000000"),2)/3600)),-(MID(TEXT($N1874,"000000"),2,2)+(MID(TEXT($N1874,"000000"),4,2)/60)+(RIGHT(TEXT($N1874,"000000"),2)/3600)))</f>
        <v>28.5</v>
      </c>
      <c r="P1874" s="252" t="s">
        <v>239</v>
      </c>
      <c r="Q1874" s="253"/>
      <c r="R1874" s="277" t="s">
        <v>3293</v>
      </c>
      <c r="S1874" s="272" t="s">
        <v>3293</v>
      </c>
      <c r="T1874" s="273">
        <v>10.8</v>
      </c>
      <c r="U1874" s="289">
        <v>21.490000000000002</v>
      </c>
      <c r="V1874" s="280">
        <v>70</v>
      </c>
      <c r="W1874" s="244"/>
      <c r="X1874" s="244"/>
      <c r="Y1874" s="362"/>
      <c r="Z1874" s="257">
        <f>altaz(J2000_Bas,$O1874,$M1874,DecLat,DecLong,1)</f>
        <v>-13.304167362368657</v>
      </c>
      <c r="AA1874" s="257">
        <f>altaz((J2000_Bas+(2*0.04167)),$O1874,$M1874,DecLat,DecLong,1)</f>
        <v>-27.305369365258343</v>
      </c>
      <c r="AB1874" s="257">
        <f>altaz((J2000_Bas+(4*0.04167)),$O1874,$M1874,DecLat,DecLong,1)</f>
        <v>-29.837206460761337</v>
      </c>
      <c r="AC1874" s="257">
        <f>altaz((J2000_Bas+(6*0.04167)),$O1874,$M1874,DecLat,DecLong,1)</f>
        <v>-19.638173656191547</v>
      </c>
      <c r="AD1874" s="258">
        <f>1+ transit((J2000_Bas-1),$O1874,$M1874,DecLat,DecLong)/360 + (GMTOffset/24) + (IF(DST="Y", 1, 0)/24)</f>
        <v>1.4285249170672081</v>
      </c>
      <c r="AE1874" s="259">
        <f>DATE(2001,9,21)+(M1874/360)*365 - (360*((DecLong/360)- (GMTOffset/24) ))</f>
        <v>37319.003125000003</v>
      </c>
      <c r="AF1874" s="260">
        <f>IF(DecLat&gt;0,IF((90 - (DecLat-O1874))&gt;90, (90 - (O1874-DecLat)), (90 - (DecLat-O1874))),IF((90 + (DecLat-O1874))&gt;90, (90 + (O1874-DecLat)), (90 + (DecLat-O1874))))</f>
        <v>87.5</v>
      </c>
      <c r="AG1874" s="257">
        <f>angularseperation(MoonRA,MoonDec,$M1874,$O1874)</f>
        <v>104.49203837401473</v>
      </c>
      <c r="AH1874" s="261">
        <f ca="1">MIN(100,IF($O$5&gt;80,0+30*($AG1874/100),IF($O$5&gt;70,0+50*($AG1874/100),IF($O$5&gt;60,5+50*($AG1874/100),IF($O$5&gt;50,10+60*($AG1874/100),IF($O$5&gt;40,15+70*($AG1874/100),IF($O$5&gt;30,20+70*($AG1874/100),IF($O$5&gt;20,40+55*($AG1874/100),(80+(20-$O$5)+30*($AG1874/100))))))))))</f>
        <v>100</v>
      </c>
      <c r="AI1874" s="262">
        <v>3245</v>
      </c>
      <c r="AJ1874" s="263"/>
      <c r="AK1874" s="263">
        <v>150</v>
      </c>
      <c r="AL1874" s="263"/>
      <c r="AM1874" s="264"/>
      <c r="AN1874" s="263"/>
      <c r="AO1874" s="263"/>
      <c r="AP1874" s="265"/>
      <c r="AQ1874" s="265">
        <v>5663</v>
      </c>
      <c r="AR1874" s="285">
        <v>30744</v>
      </c>
      <c r="AS1874" s="263"/>
      <c r="AT1874" s="263"/>
      <c r="AU1874" s="263"/>
      <c r="AV1874" s="264"/>
      <c r="AW1874" s="263"/>
      <c r="AX1874" s="263"/>
      <c r="AY1874" s="263"/>
      <c r="AZ1874" s="263"/>
      <c r="BA1874" s="263"/>
      <c r="BB1874" s="263"/>
      <c r="BC1874" s="263"/>
      <c r="BD1874" s="264"/>
      <c r="BE1874" s="263"/>
      <c r="BF1874" s="263"/>
      <c r="BG1874" s="263"/>
      <c r="BH1874" s="263"/>
      <c r="BI1874" s="263"/>
      <c r="BJ1874" s="404">
        <f>altaz(J2000_Bas,$O1874,$M1874,DecLat,DecLong,2)</f>
        <v>315.56987801711932</v>
      </c>
      <c r="BK1874" s="378" t="s">
        <v>2986</v>
      </c>
      <c r="BL1874" s="379">
        <f>IF((2*G1874)/60&lt;0.2,0.2,(2*G1874)/60)</f>
        <v>0.2</v>
      </c>
      <c r="BM1874" s="380">
        <f>MOD((50000+AD1874-$B$3+(0/24)),1)</f>
        <v>0.6438918467683834</v>
      </c>
      <c r="BN1874" s="381"/>
      <c r="BO1874" s="382">
        <v>1867</v>
      </c>
    </row>
    <row r="1875" spans="1:67" s="24" customFormat="1" ht="15" customHeight="1" x14ac:dyDescent="0.25">
      <c r="A1875" s="287" t="s">
        <v>5452</v>
      </c>
      <c r="B1875" s="241" t="str">
        <f>HYPERLINK(CONCATENATE($AT$3,BK1875,$AU$3),$AV$3)</f>
        <v>S</v>
      </c>
      <c r="C1875" s="242" t="str">
        <f>HYPERLINK(CONCATENATE($AT$4,BK1875,$AU$4,BL1875),$AV$4)</f>
        <v>A</v>
      </c>
      <c r="D1875" s="243" t="s">
        <v>5187</v>
      </c>
      <c r="E1875" s="244" t="s">
        <v>5183</v>
      </c>
      <c r="F1875" s="269" t="s">
        <v>5180</v>
      </c>
      <c r="G1875" s="276">
        <v>25</v>
      </c>
      <c r="H1875" s="283">
        <v>26000</v>
      </c>
      <c r="I1875" s="246">
        <v>200</v>
      </c>
      <c r="J1875" s="246">
        <v>4</v>
      </c>
      <c r="K1875" s="247" t="s">
        <v>5455</v>
      </c>
      <c r="L1875" s="248">
        <v>102354</v>
      </c>
      <c r="M1875" s="249">
        <f>15*(LEFT(TEXT($L1875,"000000"),2)+(MID(TEXT($L1875,"000000"),3,2)/60)+(RIGHT(TEXT($L1875,"000000"),2)/3600))</f>
        <v>155.97499999999999</v>
      </c>
      <c r="N1875" s="250">
        <v>-574500</v>
      </c>
      <c r="O1875" s="251">
        <f>IF($N1875&gt;0,(LEFT(TEXT($N1875,"000000"),2)+(MID(TEXT($N1875,"000000"),3,2)/60)+(RIGHT(TEXT($N1875,"000000"),2)/3600)),-(MID(TEXT($N1875,"000000"),2,2)+(MID(TEXT($N1875,"000000"),4,2)/60)+(RIGHT(TEXT($N1875,"000000"),2)/3600)))</f>
        <v>-57.75</v>
      </c>
      <c r="P1875" s="252" t="s">
        <v>1000</v>
      </c>
      <c r="Q1875" s="253" t="s">
        <v>5453</v>
      </c>
      <c r="R1875" s="277" t="s">
        <v>5494</v>
      </c>
      <c r="S1875" s="272" t="s">
        <v>5454</v>
      </c>
      <c r="T1875" s="273">
        <v>7.6</v>
      </c>
      <c r="U1875" s="274"/>
      <c r="V1875" s="280"/>
      <c r="W1875" s="244"/>
      <c r="X1875" s="244"/>
      <c r="Y1875" s="362"/>
      <c r="Z1875" s="257">
        <f>altaz(J2000_Bas,$O1875,$M1875,DecLat,DecLong,1)</f>
        <v>-46.866278952224093</v>
      </c>
      <c r="AA1875" s="257">
        <f>altaz((J2000_Bas+(2*0.04167)),$O1875,$M1875,DecLat,DecLong,1)</f>
        <v>-59.962730029864588</v>
      </c>
      <c r="AB1875" s="257">
        <f>altaz((J2000_Bas+(4*0.04167)),$O1875,$M1875,DecLat,DecLong,1)</f>
        <v>-62.344539339625278</v>
      </c>
      <c r="AC1875" s="257">
        <f>altaz((J2000_Bas+(6*0.04167)),$O1875,$M1875,DecLat,DecLong,1)</f>
        <v>-51.676390946404851</v>
      </c>
      <c r="AD1875" s="258">
        <f>1+ transit((J2000_Bas-1),$O1875,$M1875,DecLat,DecLong)/360 + (GMTOffset/24) + (IF(DST="Y", 1, 0)/24)</f>
        <v>1.426163806192208</v>
      </c>
      <c r="AE1875" s="259">
        <f>DATE(2001,9,21)+(M1875/360)*365 - (360*((DecLong/360)- (GMTOffset/24) ))</f>
        <v>37318.141319444447</v>
      </c>
      <c r="AF1875" s="260">
        <f>IF(DecLat&gt;0,IF((90 - (DecLat-O1875))&gt;90, (90 - (O1875-DecLat)), (90 - (DecLat-O1875))),IF((90 + (DecLat-O1875))&gt;90, (90 + (O1875-DecLat)), (90 + (DecLat-O1875))))</f>
        <v>1.25</v>
      </c>
      <c r="AG1875" s="257">
        <f>angularseperation(MoonRA,MoonDec,$M1875,$O1875)</f>
        <v>69.023602996961159</v>
      </c>
      <c r="AH1875" s="261">
        <f ca="1">MIN(100,IF($O$5&gt;80,0+30*($AG1875/100),IF($O$5&gt;70,0+50*($AG1875/100),IF($O$5&gt;60,5+50*($AG1875/100),IF($O$5&gt;50,10+60*($AG1875/100),IF($O$5&gt;40,15+70*($AG1875/100),IF($O$5&gt;30,20+70*($AG1875/100),IF($O$5&gt;20,40+55*($AG1875/100),(80+(20-$O$5)+30*($AG1875/100))))))))))</f>
        <v>100</v>
      </c>
      <c r="AI1875" s="263"/>
      <c r="AJ1875" s="263"/>
      <c r="AK1875" s="263"/>
      <c r="AL1875" s="263"/>
      <c r="AM1875" s="264"/>
      <c r="AN1875" s="263"/>
      <c r="AO1875" s="263"/>
      <c r="AP1875" s="265"/>
      <c r="AQ1875" s="265"/>
      <c r="AR1875" s="285"/>
      <c r="AS1875" s="263"/>
      <c r="AT1875" s="263"/>
      <c r="AU1875" s="263"/>
      <c r="AV1875" s="264"/>
      <c r="AW1875" s="263"/>
      <c r="AX1875" s="263">
        <v>29</v>
      </c>
      <c r="AY1875" s="263"/>
      <c r="AZ1875" s="263"/>
      <c r="BA1875" s="263">
        <v>49</v>
      </c>
      <c r="BB1875" s="263"/>
      <c r="BC1875" s="263"/>
      <c r="BD1875" s="264"/>
      <c r="BE1875" s="263"/>
      <c r="BF1875" s="263"/>
      <c r="BG1875" s="263"/>
      <c r="BH1875" s="263"/>
      <c r="BI1875" s="263"/>
      <c r="BJ1875" s="404">
        <f>altaz(J2000_Bas,$O1875,$M1875,DecLat,DecLong,2)</f>
        <v>216.70090527358556</v>
      </c>
      <c r="BK1875" s="378" t="s">
        <v>5452</v>
      </c>
      <c r="BL1875" s="379">
        <f>IF((2*G1875)/60&lt;0.2,0.2,(2*G1875)/60)</f>
        <v>0.83333333333333337</v>
      </c>
      <c r="BM1875" s="380">
        <f>MOD((50000+AD1875-$B$3+(0/24)),1)</f>
        <v>0.6415307358984137</v>
      </c>
      <c r="BN1875" s="381"/>
      <c r="BO1875" s="382">
        <v>1868</v>
      </c>
    </row>
    <row r="1876" spans="1:67" s="24" customFormat="1" ht="15" customHeight="1" x14ac:dyDescent="0.25">
      <c r="A1876" s="288" t="s">
        <v>1836</v>
      </c>
      <c r="B1876" s="241" t="str">
        <f>HYPERLINK(CONCATENATE($AT$3,BK1876,$AU$3),$AV$3)</f>
        <v>S</v>
      </c>
      <c r="C1876" s="242" t="str">
        <f>HYPERLINK(CONCATENATE($AT$4,BK1876,$AU$4,BL1876),$AV$4)</f>
        <v>A</v>
      </c>
      <c r="D1876" s="243" t="s">
        <v>5638</v>
      </c>
      <c r="E1876" s="244" t="s">
        <v>5192</v>
      </c>
      <c r="F1876" s="269" t="s">
        <v>8799</v>
      </c>
      <c r="G1876" s="273">
        <v>5</v>
      </c>
      <c r="H1876" s="283">
        <v>120</v>
      </c>
      <c r="I1876" s="246">
        <v>175</v>
      </c>
      <c r="J1876" s="246">
        <v>2</v>
      </c>
      <c r="K1876" s="247" t="s">
        <v>7429</v>
      </c>
      <c r="L1876" s="248">
        <v>102920</v>
      </c>
      <c r="M1876" s="249">
        <f>15*(LEFT(TEXT($L1876,"000000"),2)+(MID(TEXT($L1876,"000000"),3,2)/60)+(RIGHT(TEXT($L1876,"000000"),2)/3600))</f>
        <v>157.33333333333334</v>
      </c>
      <c r="N1876" s="250">
        <v>292930</v>
      </c>
      <c r="O1876" s="251">
        <f>IF($N1876&gt;0,(LEFT(TEXT($N1876,"000000"),2)+(MID(TEXT($N1876,"000000"),3,2)/60)+(RIGHT(TEXT($N1876,"000000"),2)/3600)),-(MID(TEXT($N1876,"000000"),2,2)+(MID(TEXT($N1876,"000000"),4,2)/60)+(RIGHT(TEXT($N1876,"000000"),2)/3600)))</f>
        <v>29.491666666666667</v>
      </c>
      <c r="P1876" s="252" t="s">
        <v>239</v>
      </c>
      <c r="Q1876" s="253"/>
      <c r="R1876" s="247" t="s">
        <v>3293</v>
      </c>
      <c r="S1876" s="272" t="s">
        <v>3293</v>
      </c>
      <c r="T1876" s="273">
        <v>11.7</v>
      </c>
      <c r="U1876" s="289">
        <v>22.69</v>
      </c>
      <c r="V1876" s="280">
        <v>75</v>
      </c>
      <c r="W1876" s="244"/>
      <c r="X1876" s="244"/>
      <c r="Y1876" s="362"/>
      <c r="Z1876" s="257">
        <f>altaz(J2000_Bas,$O1876,$M1876,DecLat,DecLong,1)</f>
        <v>-12.276573126710606</v>
      </c>
      <c r="AA1876" s="257">
        <f>altaz((J2000_Bas+(2*0.04167)),$O1876,$M1876,DecLat,DecLong,1)</f>
        <v>-26.221288342954374</v>
      </c>
      <c r="AB1876" s="257">
        <f>altaz((J2000_Bas+(4*0.04167)),$O1876,$M1876,DecLat,DecLong,1)</f>
        <v>-28.926725498567713</v>
      </c>
      <c r="AC1876" s="257">
        <f>altaz((J2000_Bas+(6*0.04167)),$O1876,$M1876,DecLat,DecLong,1)</f>
        <v>-19.081297974935815</v>
      </c>
      <c r="AD1876" s="258">
        <f>1+ transit((J2000_Bas-1),$O1876,$M1876,DecLat,DecLong)/360 + (GMTOffset/24) + (IF(DST="Y", 1, 0)/24)</f>
        <v>1.4299369539630413</v>
      </c>
      <c r="AE1876" s="259">
        <f>DATE(2001,9,21)+(M1876/360)*365 - (360*((DecLong/360)- (GMTOffset/24) ))</f>
        <v>37319.518518518518</v>
      </c>
      <c r="AF1876" s="260">
        <f>IF(DecLat&gt;0,IF((90 - (DecLat-O1876))&gt;90, (90 - (O1876-DecLat)), (90 - (DecLat-O1876))),IF((90 + (DecLat-O1876))&gt;90, (90 + (O1876-DecLat)), (90 + (DecLat-O1876))))</f>
        <v>88.491666666666674</v>
      </c>
      <c r="AG1876" s="257">
        <f>angularseperation(MoonRA,MoonDec,$M1876,$O1876)</f>
        <v>104.47467918921284</v>
      </c>
      <c r="AH1876" s="261">
        <f ca="1">MIN(100,IF($O$5&gt;80,0+30*($AG1876/100),IF($O$5&gt;70,0+50*($AG1876/100),IF($O$5&gt;60,5+50*($AG1876/100),IF($O$5&gt;50,10+60*($AG1876/100),IF($O$5&gt;40,15+70*($AG1876/100),IF($O$5&gt;30,20+70*($AG1876/100),IF($O$5&gt;20,40+55*($AG1876/100),(80+(20-$O$5)+30*($AG1876/100))))))))))</f>
        <v>100</v>
      </c>
      <c r="AI1876" s="262">
        <v>3254</v>
      </c>
      <c r="AJ1876" s="262"/>
      <c r="AK1876" s="262"/>
      <c r="AL1876" s="263"/>
      <c r="AM1876" s="264"/>
      <c r="AN1876" s="263"/>
      <c r="AO1876" s="263"/>
      <c r="AP1876" s="265"/>
      <c r="AQ1876" s="266">
        <v>5685</v>
      </c>
      <c r="AR1876" s="267">
        <v>30895</v>
      </c>
      <c r="AS1876" s="263"/>
      <c r="AT1876" s="263"/>
      <c r="AU1876" s="263"/>
      <c r="AV1876" s="264"/>
      <c r="AW1876" s="263"/>
      <c r="AX1876" s="263"/>
      <c r="AY1876" s="263"/>
      <c r="AZ1876" s="263"/>
      <c r="BA1876" s="263"/>
      <c r="BB1876" s="263"/>
      <c r="BC1876" s="263"/>
      <c r="BD1876" s="264"/>
      <c r="BE1876" s="263"/>
      <c r="BF1876" s="263"/>
      <c r="BG1876" s="263"/>
      <c r="BH1876" s="263"/>
      <c r="BI1876" s="263"/>
      <c r="BJ1876" s="404">
        <f>altaz(J2000_Bas,$O1876,$M1876,DecLat,DecLong,2)</f>
        <v>315.9326168482354</v>
      </c>
      <c r="BK1876" s="378" t="s">
        <v>1836</v>
      </c>
      <c r="BL1876" s="379">
        <f>IF((2*G1876)/60&lt;0.2,0.2,(2*G1876)/60)</f>
        <v>0.2</v>
      </c>
      <c r="BM1876" s="380">
        <f>MOD((50000+AD1876-$B$3+(0/24)),1)</f>
        <v>0.64530388366983971</v>
      </c>
      <c r="BN1876" s="381"/>
      <c r="BO1876" s="382">
        <v>1869</v>
      </c>
    </row>
    <row r="1877" spans="1:67" s="24" customFormat="1" ht="15" customHeight="1" x14ac:dyDescent="0.25">
      <c r="A1877" s="288" t="s">
        <v>1837</v>
      </c>
      <c r="B1877" s="241" t="str">
        <f>HYPERLINK(CONCATENATE($AT$3,BK1877,$AU$3),$AV$3)</f>
        <v>S</v>
      </c>
      <c r="C1877" s="242" t="str">
        <f>HYPERLINK(CONCATENATE($AT$4,BK1877,$AU$4,BL1877),$AV$4)</f>
        <v>A</v>
      </c>
      <c r="D1877" s="243" t="s">
        <v>5638</v>
      </c>
      <c r="E1877" s="244" t="s">
        <v>5337</v>
      </c>
      <c r="F1877" s="269" t="s">
        <v>3316</v>
      </c>
      <c r="G1877" s="273">
        <v>2</v>
      </c>
      <c r="H1877" s="283">
        <v>125</v>
      </c>
      <c r="I1877" s="246">
        <v>75</v>
      </c>
      <c r="J1877" s="246">
        <v>2</v>
      </c>
      <c r="K1877" s="247" t="s">
        <v>8441</v>
      </c>
      <c r="L1877" s="248">
        <v>102751</v>
      </c>
      <c r="M1877" s="249">
        <f>15*(LEFT(TEXT($L1877,"000000"),2)+(MID(TEXT($L1877,"000000"),3,2)/60)+(RIGHT(TEXT($L1877,"000000"),2)/3600))</f>
        <v>156.96249999999998</v>
      </c>
      <c r="N1877" s="250">
        <v>-435420</v>
      </c>
      <c r="O1877" s="251">
        <f>IF($N1877&gt;0,(LEFT(TEXT($N1877,"000000"),2)+(MID(TEXT($N1877,"000000"),3,2)/60)+(RIGHT(TEXT($N1877,"000000"),2)/3600)),-(MID(TEXT($N1877,"000000"),2,2)+(MID(TEXT($N1877,"000000"),4,2)/60)+(RIGHT(TEXT($N1877,"000000"),2)/3600)))</f>
        <v>-43.905555555555551</v>
      </c>
      <c r="P1877" s="252" t="s">
        <v>980</v>
      </c>
      <c r="Q1877" s="253"/>
      <c r="R1877" s="247" t="s">
        <v>3293</v>
      </c>
      <c r="S1877" s="272" t="s">
        <v>3293</v>
      </c>
      <c r="T1877" s="273">
        <v>11.5</v>
      </c>
      <c r="U1877" s="289">
        <v>22.490000000000002</v>
      </c>
      <c r="V1877" s="280"/>
      <c r="W1877" s="244"/>
      <c r="X1877" s="244"/>
      <c r="Y1877" s="362"/>
      <c r="Z1877" s="257">
        <f>altaz(J2000_Bas,$O1877,$M1877,DecLat,DecLong,1)</f>
        <v>-48.25823182858506</v>
      </c>
      <c r="AA1877" s="257">
        <f>altaz((J2000_Bas+(2*0.04167)),$O1877,$M1877,DecLat,DecLong,1)</f>
        <v>-69.099388480429113</v>
      </c>
      <c r="AB1877" s="257">
        <f>altaz((J2000_Bas+(4*0.04167)),$O1877,$M1877,DecLat,DecLong,1)</f>
        <v>-75.190121250219377</v>
      </c>
      <c r="AC1877" s="257">
        <f>altaz((J2000_Bas+(6*0.04167)),$O1877,$M1877,DecLat,DecLong,1)</f>
        <v>-56.627446887464608</v>
      </c>
      <c r="AD1877" s="258">
        <f>1+ transit((J2000_Bas-1),$O1877,$M1877,DecLat,DecLong)/360 + (GMTOffset/24) + (IF(DST="Y", 1, 0)/24)</f>
        <v>1.4289068614734579</v>
      </c>
      <c r="AE1877" s="259">
        <f>DATE(2001,9,21)+(M1877/360)*365 - (360*((DecLong/360)- (GMTOffset/24) ))</f>
        <v>37319.142534722225</v>
      </c>
      <c r="AF1877" s="260">
        <f>IF(DecLat&gt;0,IF((90 - (DecLat-O1877))&gt;90, (90 - (O1877-DecLat)), (90 - (DecLat-O1877))),IF((90 + (DecLat-O1877))&gt;90, (90 + (O1877-DecLat)), (90 + (DecLat-O1877))))</f>
        <v>15.094444444444449</v>
      </c>
      <c r="AG1877" s="257">
        <f>angularseperation(MoonRA,MoonDec,$M1877,$O1877)</f>
        <v>73.128700945172938</v>
      </c>
      <c r="AH1877" s="261">
        <f ca="1">MIN(100,IF($O$5&gt;80,0+30*($AG1877/100),IF($O$5&gt;70,0+50*($AG1877/100),IF($O$5&gt;60,5+50*($AG1877/100),IF($O$5&gt;50,10+60*($AG1877/100),IF($O$5&gt;40,15+70*($AG1877/100),IF($O$5&gt;30,20+70*($AG1877/100),IF($O$5&gt;20,40+55*($AG1877/100),(80+(20-$O$5)+30*($AG1877/100))))))))))</f>
        <v>100</v>
      </c>
      <c r="AI1877" s="262">
        <v>3256</v>
      </c>
      <c r="AJ1877" s="262"/>
      <c r="AK1877" s="262"/>
      <c r="AL1877" s="263"/>
      <c r="AM1877" s="264"/>
      <c r="AN1877" s="263"/>
      <c r="AO1877" s="263"/>
      <c r="AP1877" s="265"/>
      <c r="AQ1877" s="266"/>
      <c r="AR1877" s="267">
        <v>30785</v>
      </c>
      <c r="AS1877" s="263"/>
      <c r="AT1877" s="263"/>
      <c r="AU1877" s="263"/>
      <c r="AV1877" s="264"/>
      <c r="AW1877" s="263"/>
      <c r="AX1877" s="263"/>
      <c r="AY1877" s="263"/>
      <c r="AZ1877" s="263"/>
      <c r="BA1877" s="263"/>
      <c r="BB1877" s="263"/>
      <c r="BC1877" s="263"/>
      <c r="BD1877" s="264"/>
      <c r="BE1877" s="263"/>
      <c r="BF1877" s="263"/>
      <c r="BG1877" s="263"/>
      <c r="BH1877" s="263"/>
      <c r="BI1877" s="263"/>
      <c r="BJ1877" s="404">
        <f>altaz(J2000_Bas,$O1877,$M1877,DecLat,DecLong,2)</f>
        <v>237.19613366890891</v>
      </c>
      <c r="BK1877" s="378" t="s">
        <v>1837</v>
      </c>
      <c r="BL1877" s="379">
        <f>IF((2*G1877)/60&lt;0.2,0.2,(2*G1877)/60)</f>
        <v>0.2</v>
      </c>
      <c r="BM1877" s="380">
        <f>MOD((50000+AD1877-$B$3+(0/24)),1)</f>
        <v>0.64427379117842065</v>
      </c>
      <c r="BN1877" s="381" t="s">
        <v>9281</v>
      </c>
      <c r="BO1877" s="382">
        <v>1870</v>
      </c>
    </row>
    <row r="1878" spans="1:67" s="24" customFormat="1" ht="15" customHeight="1" x14ac:dyDescent="0.25">
      <c r="A1878" s="287" t="s">
        <v>1838</v>
      </c>
      <c r="B1878" s="241" t="str">
        <f>HYPERLINK(CONCATENATE($AT$3,BK1878,$AU$3),$AV$3)</f>
        <v>S</v>
      </c>
      <c r="C1878" s="242" t="str">
        <f>HYPERLINK(CONCATENATE($AT$4,BK1878,$AU$4,BL1878),$AV$4)</f>
        <v>A</v>
      </c>
      <c r="D1878" s="243" t="s">
        <v>5638</v>
      </c>
      <c r="E1878" s="244" t="s">
        <v>5192</v>
      </c>
      <c r="F1878" s="269" t="s">
        <v>8963</v>
      </c>
      <c r="G1878" s="273">
        <v>3.2</v>
      </c>
      <c r="H1878" s="283">
        <v>110</v>
      </c>
      <c r="I1878" s="246">
        <v>100</v>
      </c>
      <c r="J1878" s="246">
        <v>2</v>
      </c>
      <c r="K1878" s="247" t="s">
        <v>7430</v>
      </c>
      <c r="L1878" s="248">
        <v>102902</v>
      </c>
      <c r="M1878" s="249">
        <f>15*(LEFT(TEXT($L1878,"000000"),2)+(MID(TEXT($L1878,"000000"),3,2)/60)+(RIGHT(TEXT($L1878,"000000"),2)/3600))</f>
        <v>157.25833333333333</v>
      </c>
      <c r="N1878" s="250">
        <v>-443926</v>
      </c>
      <c r="O1878" s="251">
        <f>IF($N1878&gt;0,(LEFT(TEXT($N1878,"000000"),2)+(MID(TEXT($N1878,"000000"),3,2)/60)+(RIGHT(TEXT($N1878,"000000"),2)/3600)),-(MID(TEXT($N1878,"000000"),2,2)+(MID(TEXT($N1878,"000000"),4,2)/60)+(RIGHT(TEXT($N1878,"000000"),2)/3600)))</f>
        <v>-44.657222222222224</v>
      </c>
      <c r="P1878" s="252" t="s">
        <v>980</v>
      </c>
      <c r="Q1878" s="253"/>
      <c r="R1878" s="277" t="s">
        <v>3293</v>
      </c>
      <c r="S1878" s="272" t="s">
        <v>3293</v>
      </c>
      <c r="T1878" s="273">
        <v>11.2</v>
      </c>
      <c r="U1878" s="289">
        <v>22.39</v>
      </c>
      <c r="V1878" s="280">
        <v>10</v>
      </c>
      <c r="W1878" s="244"/>
      <c r="X1878" s="244"/>
      <c r="Y1878" s="362"/>
      <c r="Z1878" s="257">
        <f>altaz(J2000_Bas,$O1878,$M1878,DecLat,DecLong,1)</f>
        <v>-48.038549559064855</v>
      </c>
      <c r="AA1878" s="257">
        <f>altaz((J2000_Bas+(2*0.04167)),$O1878,$M1878,DecLat,DecLong,1)</f>
        <v>-68.524276507171749</v>
      </c>
      <c r="AB1878" s="257">
        <f>altaz((J2000_Bas+(4*0.04167)),$O1878,$M1878,DecLat,DecLong,1)</f>
        <v>-74.657726880942448</v>
      </c>
      <c r="AC1878" s="257">
        <f>altaz((J2000_Bas+(6*0.04167)),$O1878,$M1878,DecLat,DecLong,1)</f>
        <v>-56.705504557941488</v>
      </c>
      <c r="AD1878" s="258">
        <f>1+ transit((J2000_Bas-1),$O1878,$M1878,DecLat,DecLong)/360 + (GMTOffset/24) + (IF(DST="Y", 1, 0)/24)</f>
        <v>1.4297286206505413</v>
      </c>
      <c r="AE1878" s="259">
        <f>DATE(2001,9,21)+(M1878/360)*365 - (360*((DecLong/360)- (GMTOffset/24) ))</f>
        <v>37319.442476851851</v>
      </c>
      <c r="AF1878" s="260">
        <f>IF(DecLat&gt;0,IF((90 - (DecLat-O1878))&gt;90, (90 - (O1878-DecLat)), (90 - (DecLat-O1878))),IF((90 + (DecLat-O1878))&gt;90, (90 + (O1878-DecLat)), (90 + (DecLat-O1878))))</f>
        <v>14.342777777777769</v>
      </c>
      <c r="AG1878" s="257">
        <f>angularseperation(MoonRA,MoonDec,$M1878,$O1878)</f>
        <v>72.657010375171154</v>
      </c>
      <c r="AH1878" s="261">
        <f ca="1">MIN(100,IF($O$5&gt;80,0+30*($AG1878/100),IF($O$5&gt;70,0+50*($AG1878/100),IF($O$5&gt;60,5+50*($AG1878/100),IF($O$5&gt;50,10+60*($AG1878/100),IF($O$5&gt;40,15+70*($AG1878/100),IF($O$5&gt;30,20+70*($AG1878/100),IF($O$5&gt;20,40+55*($AG1878/100),(80+(20-$O$5)+30*($AG1878/100))))))))))</f>
        <v>100</v>
      </c>
      <c r="AI1878" s="262">
        <v>3261</v>
      </c>
      <c r="AJ1878" s="263"/>
      <c r="AK1878" s="263"/>
      <c r="AL1878" s="263"/>
      <c r="AM1878" s="264"/>
      <c r="AN1878" s="263"/>
      <c r="AO1878" s="263"/>
      <c r="AP1878" s="265"/>
      <c r="AQ1878" s="265"/>
      <c r="AR1878" s="285">
        <v>30868</v>
      </c>
      <c r="AS1878" s="263"/>
      <c r="AT1878" s="263"/>
      <c r="AU1878" s="263"/>
      <c r="AV1878" s="264"/>
      <c r="AW1878" s="263"/>
      <c r="AX1878" s="263"/>
      <c r="AY1878" s="263"/>
      <c r="AZ1878" s="263"/>
      <c r="BA1878" s="263"/>
      <c r="BB1878" s="263"/>
      <c r="BC1878" s="263"/>
      <c r="BD1878" s="264"/>
      <c r="BE1878" s="263"/>
      <c r="BF1878" s="263"/>
      <c r="BG1878" s="263"/>
      <c r="BH1878" s="263"/>
      <c r="BI1878" s="263"/>
      <c r="BJ1878" s="404">
        <f>altaz(J2000_Bas,$O1878,$M1878,DecLat,DecLong,2)</f>
        <v>236.07292939031186</v>
      </c>
      <c r="BK1878" s="378" t="s">
        <v>1838</v>
      </c>
      <c r="BL1878" s="379">
        <f>IF((2*G1878)/60&lt;0.2,0.2,(2*G1878)/60)</f>
        <v>0.2</v>
      </c>
      <c r="BM1878" s="380">
        <f>MOD((50000+AD1878-$B$3+(0/24)),1)</f>
        <v>0.64509555035328958</v>
      </c>
      <c r="BN1878" s="381"/>
      <c r="BO1878" s="382">
        <v>1871</v>
      </c>
    </row>
    <row r="1879" spans="1:67" s="24" customFormat="1" ht="15" customHeight="1" x14ac:dyDescent="0.25">
      <c r="A1879" s="288" t="s">
        <v>7584</v>
      </c>
      <c r="B1879" s="241" t="str">
        <f>HYPERLINK(CONCATENATE($AT$3,BK1879,$AU$3),$AV$3)</f>
        <v>S</v>
      </c>
      <c r="C1879" s="242" t="str">
        <f>HYPERLINK(CONCATENATE($AT$4,BK1879,$AU$4,BL1879),$AV$4)</f>
        <v>A</v>
      </c>
      <c r="D1879" s="243" t="s">
        <v>5638</v>
      </c>
      <c r="E1879" s="244" t="s">
        <v>5625</v>
      </c>
      <c r="F1879" s="269">
        <v>4</v>
      </c>
      <c r="G1879" s="282">
        <v>10</v>
      </c>
      <c r="H1879" s="283">
        <v>110</v>
      </c>
      <c r="I1879" s="284">
        <v>320</v>
      </c>
      <c r="J1879" s="246">
        <v>2</v>
      </c>
      <c r="K1879" s="247" t="s">
        <v>7431</v>
      </c>
      <c r="L1879" s="248">
        <v>102957</v>
      </c>
      <c r="M1879" s="249">
        <f>15*(LEFT(TEXT($L1879,"000000"),2)+(MID(TEXT($L1879,"000000"),3,2)/60)+(RIGHT(TEXT($L1879,"000000"),2)/3600))</f>
        <v>157.48749999999998</v>
      </c>
      <c r="N1879" s="250">
        <v>-351327</v>
      </c>
      <c r="O1879" s="251">
        <f>IF($N1879&gt;0,(LEFT(TEXT($N1879,"000000"),2)+(MID(TEXT($N1879,"000000"),3,2)/60)+(RIGHT(TEXT($N1879,"000000"),2)/3600)),-(MID(TEXT($N1879,"000000"),2,2)+(MID(TEXT($N1879,"000000"),4,2)/60)+(RIGHT(TEXT($N1879,"000000"),2)/3600)))</f>
        <v>-35.224166666666669</v>
      </c>
      <c r="P1879" s="252" t="s">
        <v>1210</v>
      </c>
      <c r="Q1879" s="253"/>
      <c r="R1879" s="247" t="s">
        <v>3293</v>
      </c>
      <c r="S1879" s="272" t="s">
        <v>3293</v>
      </c>
      <c r="T1879" s="273">
        <v>12.2</v>
      </c>
      <c r="U1879" s="289">
        <v>22.09</v>
      </c>
      <c r="V1879" s="280"/>
      <c r="W1879" s="244"/>
      <c r="X1879" s="244"/>
      <c r="Y1879" s="362"/>
      <c r="Z1879" s="257">
        <f>altaz(J2000_Bas,$O1879,$M1879,DecLat,DecLong,1)</f>
        <v>-47.147317989897985</v>
      </c>
      <c r="AA1879" s="257">
        <f>altaz((J2000_Bas+(2*0.04167)),$O1879,$M1879,DecLat,DecLong,1)</f>
        <v>-71.623579799723814</v>
      </c>
      <c r="AB1879" s="257">
        <f>altaz((J2000_Bas+(4*0.04167)),$O1879,$M1879,DecLat,DecLong,1)</f>
        <v>-81.593527770659833</v>
      </c>
      <c r="AC1879" s="257">
        <f>altaz((J2000_Bas+(6*0.04167)),$O1879,$M1879,DecLat,DecLong,1)</f>
        <v>-57.459386507551997</v>
      </c>
      <c r="AD1879" s="258">
        <f>1+ transit((J2000_Bas-1),$O1879,$M1879,DecLat,DecLong)/360 + (GMTOffset/24) + (IF(DST="Y", 1, 0)/24)</f>
        <v>1.4303651946609579</v>
      </c>
      <c r="AE1879" s="259">
        <f>DATE(2001,9,21)+(M1879/360)*365 - (360*((DecLong/360)- (GMTOffset/24) ))</f>
        <v>37319.674826388888</v>
      </c>
      <c r="AF1879" s="260">
        <f>IF(DecLat&gt;0,IF((90 - (DecLat-O1879))&gt;90, (90 - (O1879-DecLat)), (90 - (DecLat-O1879))),IF((90 + (DecLat-O1879))&gt;90, (90 + (O1879-DecLat)), (90 + (DecLat-O1879))))</f>
        <v>23.775833333333338</v>
      </c>
      <c r="AG1879" s="257">
        <f>angularseperation(MoonRA,MoonDec,$M1879,$O1879)</f>
        <v>76.093510427486308</v>
      </c>
      <c r="AH1879" s="261">
        <f ca="1">MIN(100,IF($O$5&gt;80,0+30*($AG1879/100),IF($O$5&gt;70,0+50*($AG1879/100),IF($O$5&gt;60,5+50*($AG1879/100),IF($O$5&gt;50,10+60*($AG1879/100),IF($O$5&gt;40,15+70*($AG1879/100),IF($O$5&gt;30,20+70*($AG1879/100),IF($O$5&gt;20,40+55*($AG1879/100),(80+(20-$O$5)+30*($AG1879/100))))))))))</f>
        <v>100</v>
      </c>
      <c r="AI1879" s="262">
        <v>3269</v>
      </c>
      <c r="AJ1879" s="262"/>
      <c r="AK1879" s="262"/>
      <c r="AL1879" s="263"/>
      <c r="AM1879" s="264"/>
      <c r="AN1879" s="263"/>
      <c r="AO1879" s="263"/>
      <c r="AP1879" s="265"/>
      <c r="AQ1879" s="266"/>
      <c r="AR1879" s="267">
        <v>30945</v>
      </c>
      <c r="AS1879" s="263"/>
      <c r="AT1879" s="263"/>
      <c r="AU1879" s="263"/>
      <c r="AV1879" s="264"/>
      <c r="AW1879" s="263"/>
      <c r="AX1879" s="263"/>
      <c r="AY1879" s="263"/>
      <c r="AZ1879" s="263"/>
      <c r="BA1879" s="263"/>
      <c r="BB1879" s="263"/>
      <c r="BC1879" s="263"/>
      <c r="BD1879" s="264"/>
      <c r="BE1879" s="263"/>
      <c r="BF1879" s="263"/>
      <c r="BG1879" s="263"/>
      <c r="BH1879" s="263"/>
      <c r="BI1879" s="263"/>
      <c r="BJ1879" s="404">
        <f>altaz(J2000_Bas,$O1879,$M1879,DecLat,DecLong,2)</f>
        <v>250.01970851421197</v>
      </c>
      <c r="BK1879" s="378" t="s">
        <v>1839</v>
      </c>
      <c r="BL1879" s="379">
        <f>IF((2*G1879)/60&lt;0.2,0.2,(2*G1879)/60)</f>
        <v>0.33333333333333331</v>
      </c>
      <c r="BM1879" s="380">
        <f>MOD((50000+AD1879-$B$3+(0/24)),1)</f>
        <v>0.64573212436516769</v>
      </c>
      <c r="BN1879" s="381"/>
      <c r="BO1879" s="382">
        <v>1872</v>
      </c>
    </row>
    <row r="1880" spans="1:67" s="24" customFormat="1" ht="15" customHeight="1" x14ac:dyDescent="0.25">
      <c r="A1880" s="288" t="s">
        <v>2987</v>
      </c>
      <c r="B1880" s="241" t="str">
        <f>HYPERLINK(CONCATENATE($AT$3,BK1880,$AU$3),$AV$3)</f>
        <v>S</v>
      </c>
      <c r="C1880" s="242" t="str">
        <f>HYPERLINK(CONCATENATE($AT$4,BK1880,$AU$4,BL1880),$AV$4)</f>
        <v>A</v>
      </c>
      <c r="D1880" s="243" t="s">
        <v>5638</v>
      </c>
      <c r="E1880" s="244" t="s">
        <v>5182</v>
      </c>
      <c r="F1880" s="269" t="s">
        <v>6572</v>
      </c>
      <c r="G1880" s="273">
        <v>2.2999999999999998</v>
      </c>
      <c r="H1880" s="283">
        <v>80</v>
      </c>
      <c r="I1880" s="246">
        <v>55</v>
      </c>
      <c r="J1880" s="246">
        <v>2</v>
      </c>
      <c r="K1880" s="247" t="s">
        <v>7432</v>
      </c>
      <c r="L1880" s="248">
        <v>103254</v>
      </c>
      <c r="M1880" s="249">
        <f>15*(LEFT(TEXT($L1880,"000000"),2)+(MID(TEXT($L1880,"000000"),3,2)/60)+(RIGHT(TEXT($L1880,"000000"),2)/3600))</f>
        <v>158.22499999999999</v>
      </c>
      <c r="N1880" s="250">
        <v>283100</v>
      </c>
      <c r="O1880" s="251">
        <f>IF($N1880&gt;0,(LEFT(TEXT($N1880,"000000"),2)+(MID(TEXT($N1880,"000000"),3,2)/60)+(RIGHT(TEXT($N1880,"000000"),2)/3600)),-(MID(TEXT($N1880,"000000"),2,2)+(MID(TEXT($N1880,"000000"),4,2)/60)+(RIGHT(TEXT($N1880,"000000"),2)/3600)))</f>
        <v>28.516666666666666</v>
      </c>
      <c r="P1880" s="252" t="s">
        <v>239</v>
      </c>
      <c r="Q1880" s="253"/>
      <c r="R1880" s="277" t="s">
        <v>3293</v>
      </c>
      <c r="S1880" s="272" t="s">
        <v>3293</v>
      </c>
      <c r="T1880" s="273">
        <v>11.7</v>
      </c>
      <c r="U1880" s="289">
        <v>21.79</v>
      </c>
      <c r="V1880" s="280">
        <v>5</v>
      </c>
      <c r="W1880" s="244"/>
      <c r="X1880" s="244"/>
      <c r="Y1880" s="362"/>
      <c r="Z1880" s="257">
        <f>altaz(J2000_Bas,$O1880,$M1880,DecLat,DecLong,1)</f>
        <v>-12.44526354323073</v>
      </c>
      <c r="AA1880" s="257">
        <f>altaz((J2000_Bas+(2*0.04167)),$O1880,$M1880,DecLat,DecLong,1)</f>
        <v>-26.856898652198417</v>
      </c>
      <c r="AB1880" s="257">
        <f>altaz((J2000_Bas+(4*0.04167)),$O1880,$M1880,DecLat,DecLong,1)</f>
        <v>-30.00364051527103</v>
      </c>
      <c r="AC1880" s="257">
        <f>altaz((J2000_Bas+(6*0.04167)),$O1880,$M1880,DecLat,DecLong,1)</f>
        <v>-20.326523728356335</v>
      </c>
      <c r="AD1880" s="258">
        <f>1+ transit((J2000_Bas-1),$O1880,$M1880,DecLat,DecLong)/360 + (GMTOffset/24) + (IF(DST="Y", 1, 0)/24)</f>
        <v>1.432413805567208</v>
      </c>
      <c r="AE1880" s="259">
        <f>DATE(2001,9,21)+(M1880/360)*365 - (360*((DecLong/360)- (GMTOffset/24) ))</f>
        <v>37320.422569444447</v>
      </c>
      <c r="AF1880" s="260">
        <f>IF(DecLat&gt;0,IF((90 - (DecLat-O1880))&gt;90, (90 - (O1880-DecLat)), (90 - (DecLat-O1880))),IF((90 + (DecLat-O1880))&gt;90, (90 + (O1880-DecLat)), (90 + (DecLat-O1880))))</f>
        <v>87.516666666666666</v>
      </c>
      <c r="AG1880" s="257">
        <f>angularseperation(MoonRA,MoonDec,$M1880,$O1880)</f>
        <v>103.3706739318453</v>
      </c>
      <c r="AH1880" s="261">
        <f ca="1">MIN(100,IF($O$5&gt;80,0+30*($AG1880/100),IF($O$5&gt;70,0+50*($AG1880/100),IF($O$5&gt;60,5+50*($AG1880/100),IF($O$5&gt;50,10+60*($AG1880/100),IF($O$5&gt;40,15+70*($AG1880/100),IF($O$5&gt;30,20+70*($AG1880/100),IF($O$5&gt;20,40+55*($AG1880/100),(80+(20-$O$5)+30*($AG1880/100))))))))))</f>
        <v>100</v>
      </c>
      <c r="AI1880" s="262">
        <v>3277</v>
      </c>
      <c r="AJ1880" s="263"/>
      <c r="AK1880" s="263">
        <v>151</v>
      </c>
      <c r="AL1880" s="263"/>
      <c r="AM1880" s="264"/>
      <c r="AN1880" s="263"/>
      <c r="AO1880" s="263"/>
      <c r="AP1880" s="265"/>
      <c r="AQ1880" s="265">
        <v>5731</v>
      </c>
      <c r="AR1880" s="285">
        <v>31166</v>
      </c>
      <c r="AS1880" s="263"/>
      <c r="AT1880" s="263"/>
      <c r="AU1880" s="263"/>
      <c r="AV1880" s="264"/>
      <c r="AW1880" s="263"/>
      <c r="AX1880" s="263"/>
      <c r="AY1880" s="263"/>
      <c r="AZ1880" s="263"/>
      <c r="BA1880" s="263"/>
      <c r="BB1880" s="263"/>
      <c r="BC1880" s="263"/>
      <c r="BD1880" s="264"/>
      <c r="BE1880" s="263"/>
      <c r="BF1880" s="263"/>
      <c r="BG1880" s="263"/>
      <c r="BH1880" s="263"/>
      <c r="BI1880" s="263"/>
      <c r="BJ1880" s="404">
        <f>altaz(J2000_Bas,$O1880,$M1880,DecLat,DecLong,2)</f>
        <v>314.6662113715762</v>
      </c>
      <c r="BK1880" s="378" t="s">
        <v>2987</v>
      </c>
      <c r="BL1880" s="379">
        <f>IF((2*G1880)/60&lt;0.2,0.2,(2*G1880)/60)</f>
        <v>0.2</v>
      </c>
      <c r="BM1880" s="380">
        <f>MOD((50000+AD1880-$B$3+(0/24)),1)</f>
        <v>0.64778073527122615</v>
      </c>
      <c r="BN1880" s="381"/>
      <c r="BO1880" s="382">
        <v>1873</v>
      </c>
    </row>
    <row r="1881" spans="1:67" s="24" customFormat="1" ht="15" customHeight="1" x14ac:dyDescent="0.25">
      <c r="A1881" s="298" t="s">
        <v>1840</v>
      </c>
      <c r="B1881" s="241" t="str">
        <f>HYPERLINK(CONCATENATE($AT$3,BK1881,$AU$3),$AV$3)</f>
        <v>S</v>
      </c>
      <c r="C1881" s="242" t="str">
        <f>HYPERLINK(CONCATENATE($AT$4,BK1881,$AU$4,BL1881),$AV$4)</f>
        <v>A</v>
      </c>
      <c r="D1881" s="243" t="s">
        <v>5335</v>
      </c>
      <c r="E1881" s="244" t="s">
        <v>5185</v>
      </c>
      <c r="F1881" s="269" t="s">
        <v>5457</v>
      </c>
      <c r="G1881" s="273">
        <v>6</v>
      </c>
      <c r="H1881" s="283">
        <v>8400</v>
      </c>
      <c r="I1881" s="246">
        <v>15</v>
      </c>
      <c r="J1881" s="246">
        <v>4</v>
      </c>
      <c r="K1881" s="247" t="s">
        <v>5456</v>
      </c>
      <c r="L1881" s="248">
        <v>103548</v>
      </c>
      <c r="M1881" s="249">
        <f>15*(LEFT(TEXT($L1881,"000000"),2)+(MID(TEXT($L1881,"000000"),3,2)/60)+(RIGHT(TEXT($L1881,"000000"),2)/3600))</f>
        <v>158.95000000000002</v>
      </c>
      <c r="N1881" s="286">
        <v>-581300</v>
      </c>
      <c r="O1881" s="251">
        <f>IF($N1881&gt;0,(LEFT(TEXT($N1881,"000000"),2)+(MID(TEXT($N1881,"000000"),3,2)/60)+(RIGHT(TEXT($N1881,"000000"),2)/3600)),-(MID(TEXT($N1881,"000000"),2,2)+(MID(TEXT($N1881,"000000"),4,2)/60)+(RIGHT(TEXT($N1881,"000000"),2)/3600)))</f>
        <v>-58.216666666666669</v>
      </c>
      <c r="P1881" s="252" t="s">
        <v>91</v>
      </c>
      <c r="Q1881" s="253" t="s">
        <v>7114</v>
      </c>
      <c r="R1881" s="247" t="s">
        <v>3293</v>
      </c>
      <c r="S1881" s="272" t="s">
        <v>3293</v>
      </c>
      <c r="T1881" s="273">
        <v>4.7</v>
      </c>
      <c r="U1881" s="274"/>
      <c r="V1881" s="280"/>
      <c r="W1881" s="244"/>
      <c r="X1881" s="244"/>
      <c r="Y1881" s="362"/>
      <c r="Z1881" s="257">
        <f>altaz(J2000_Bas,$O1881,$M1881,DecLat,DecLong,1)</f>
        <v>-45.222138330547203</v>
      </c>
      <c r="AA1881" s="257">
        <f>altaz((J2000_Bas+(2*0.04167)),$O1881,$M1881,DecLat,DecLong,1)</f>
        <v>-58.628984438026436</v>
      </c>
      <c r="AB1881" s="257">
        <f>altaz((J2000_Bas+(4*0.04167)),$O1881,$M1881,DecLat,DecLong,1)</f>
        <v>-62.338016553105248</v>
      </c>
      <c r="AC1881" s="257">
        <f>altaz((J2000_Bas+(6*0.04167)),$O1881,$M1881,DecLat,DecLong,1)</f>
        <v>-52.836450786509445</v>
      </c>
      <c r="AD1881" s="258">
        <f>1+ transit((J2000_Bas-1),$O1881,$M1881,DecLat,DecLong)/360 + (GMTOffset/24) + (IF(DST="Y", 1, 0)/24)</f>
        <v>1.4344276942547081</v>
      </c>
      <c r="AE1881" s="259">
        <f>DATE(2001,9,21)+(M1881/360)*365 - (360*((DecLong/360)- (GMTOffset/24) ))</f>
        <v>37321.157638888886</v>
      </c>
      <c r="AF1881" s="260">
        <f>IF(DecLat&gt;0,IF((90 - (DecLat-O1881))&gt;90, (90 - (O1881-DecLat)), (90 - (DecLat-O1881))),IF((90 + (DecLat-O1881))&gt;90, (90 + (O1881-DecLat)), (90 + (DecLat-O1881))))</f>
        <v>0.78333333333333144</v>
      </c>
      <c r="AG1881" s="257">
        <f>angularseperation(MoonRA,MoonDec,$M1881,$O1881)</f>
        <v>67.378930450791472</v>
      </c>
      <c r="AH1881" s="261">
        <f ca="1">MIN(100,IF($O$5&gt;80,0+30*($AG1881/100),IF($O$5&gt;70,0+50*($AG1881/100),IF($O$5&gt;60,5+50*($AG1881/100),IF($O$5&gt;50,10+60*($AG1881/100),IF($O$5&gt;40,15+70*($AG1881/100),IF($O$5&gt;30,20+70*($AG1881/100),IF($O$5&gt;20,40+55*($AG1881/100),(80+(20-$O$5)+30*($AG1881/100))))))))))</f>
        <v>100</v>
      </c>
      <c r="AI1881" s="262">
        <v>3293</v>
      </c>
      <c r="AJ1881" s="262"/>
      <c r="AK1881" s="262"/>
      <c r="AL1881" s="263"/>
      <c r="AM1881" s="264"/>
      <c r="AN1881" s="263"/>
      <c r="AO1881" s="263"/>
      <c r="AP1881" s="265"/>
      <c r="AQ1881" s="266"/>
      <c r="AR1881" s="267"/>
      <c r="AS1881" s="263"/>
      <c r="AT1881" s="263"/>
      <c r="AU1881" s="263"/>
      <c r="AV1881" s="264"/>
      <c r="AW1881" s="263"/>
      <c r="AX1881" s="263"/>
      <c r="AY1881" s="263"/>
      <c r="AZ1881" s="263"/>
      <c r="BA1881" s="263"/>
      <c r="BB1881" s="263"/>
      <c r="BC1881" s="263"/>
      <c r="BD1881" s="264"/>
      <c r="BE1881" s="263">
        <v>54</v>
      </c>
      <c r="BF1881" s="263"/>
      <c r="BG1881" s="263"/>
      <c r="BH1881" s="263"/>
      <c r="BI1881" s="263"/>
      <c r="BJ1881" s="404">
        <f>altaz(J2000_Bas,$O1881,$M1881,DecLat,DecLong,2)</f>
        <v>216.64052756881651</v>
      </c>
      <c r="BK1881" s="378" t="s">
        <v>1840</v>
      </c>
      <c r="BL1881" s="379">
        <f>IF((2*G1881)/60&lt;0.2,0.2,(2*G1881)/60)</f>
        <v>0.2</v>
      </c>
      <c r="BM1881" s="380">
        <f>MOD((50000+AD1881-$B$3+(0/24)),1)</f>
        <v>0.64979462396149756</v>
      </c>
      <c r="BN1881" s="381"/>
      <c r="BO1881" s="382">
        <v>1874</v>
      </c>
    </row>
    <row r="1882" spans="1:67" s="24" customFormat="1" ht="15" customHeight="1" x14ac:dyDescent="0.25">
      <c r="A1882" s="288" t="s">
        <v>1841</v>
      </c>
      <c r="B1882" s="241" t="str">
        <f>HYPERLINK(CONCATENATE($AT$3,BK1882,$AU$3),$AV$3)</f>
        <v>S</v>
      </c>
      <c r="C1882" s="242" t="str">
        <f>HYPERLINK(CONCATENATE($AT$4,BK1882,$AU$4,BL1882),$AV$4)</f>
        <v>A</v>
      </c>
      <c r="D1882" s="243" t="s">
        <v>5638</v>
      </c>
      <c r="E1882" s="244" t="s">
        <v>5192</v>
      </c>
      <c r="F1882" s="269" t="s">
        <v>8689</v>
      </c>
      <c r="G1882" s="273">
        <v>4</v>
      </c>
      <c r="H1882" s="283">
        <v>100</v>
      </c>
      <c r="I1882" s="246">
        <v>120</v>
      </c>
      <c r="J1882" s="246">
        <v>2</v>
      </c>
      <c r="K1882" s="247" t="s">
        <v>7433</v>
      </c>
      <c r="L1882" s="248">
        <v>103616</v>
      </c>
      <c r="M1882" s="249">
        <f>15*(LEFT(TEXT($L1882,"000000"),2)+(MID(TEXT($L1882,"000000"),3,2)/60)+(RIGHT(TEXT($L1882,"000000"),2)/3600))</f>
        <v>159.06666666666666</v>
      </c>
      <c r="N1882" s="250">
        <v>371928</v>
      </c>
      <c r="O1882" s="251">
        <f>IF($N1882&gt;0,(LEFT(TEXT($N1882,"000000"),2)+(MID(TEXT($N1882,"000000"),3,2)/60)+(RIGHT(TEXT($N1882,"000000"),2)/3600)),-(MID(TEXT($N1882,"000000"),2,2)+(MID(TEXT($N1882,"000000"),4,2)/60)+(RIGHT(TEXT($N1882,"000000"),2)/3600)))</f>
        <v>37.324444444444445</v>
      </c>
      <c r="P1882" s="252" t="s">
        <v>239</v>
      </c>
      <c r="Q1882" s="253"/>
      <c r="R1882" s="277" t="s">
        <v>3293</v>
      </c>
      <c r="S1882" s="272" t="s">
        <v>3293</v>
      </c>
      <c r="T1882" s="273">
        <v>11</v>
      </c>
      <c r="U1882" s="289">
        <v>22.490000000000002</v>
      </c>
      <c r="V1882" s="280">
        <v>60</v>
      </c>
      <c r="W1882" s="244"/>
      <c r="X1882" s="244"/>
      <c r="Y1882" s="362"/>
      <c r="Z1882" s="257">
        <f>altaz(J2000_Bas,$O1882,$M1882,DecLat,DecLong,1)</f>
        <v>-5.5852056928004785</v>
      </c>
      <c r="AA1882" s="257">
        <f>altaz((J2000_Bas+(2*0.04167)),$O1882,$M1882,DecLat,DecLong,1)</f>
        <v>-18.376458752335967</v>
      </c>
      <c r="AB1882" s="257">
        <f>altaz((J2000_Bas+(4*0.04167)),$O1882,$M1882,DecLat,DecLong,1)</f>
        <v>-21.353196037928811</v>
      </c>
      <c r="AC1882" s="257">
        <f>altaz((J2000_Bas+(6*0.04167)),$O1882,$M1882,DecLat,DecLong,1)</f>
        <v>-13.340255072908574</v>
      </c>
      <c r="AD1882" s="258">
        <f>1+ transit((J2000_Bas-1),$O1882,$M1882,DecLat,DecLong)/360 + (GMTOffset/24) + (IF(DST="Y", 1, 0)/24)</f>
        <v>1.4347517682963746</v>
      </c>
      <c r="AE1882" s="259">
        <f>DATE(2001,9,21)+(M1882/360)*365 - (360*((DecLong/360)- (GMTOffset/24) ))</f>
        <v>37321.275925925926</v>
      </c>
      <c r="AF1882" s="260">
        <f>IF(DecLat&gt;0,IF((90 - (DecLat-O1882))&gt;90, (90 - (O1882-DecLat)), (90 - (DecLat-O1882))),IF((90 + (DecLat-O1882))&gt;90, (90 + (O1882-DecLat)), (90 + (DecLat-O1882))))</f>
        <v>83.675555555555547</v>
      </c>
      <c r="AG1882" s="257">
        <f>angularseperation(MoonRA,MoonDec,$M1882,$O1882)</f>
        <v>106.15430589422157</v>
      </c>
      <c r="AH1882" s="261">
        <f ca="1">MIN(100,IF($O$5&gt;80,0+30*($AG1882/100),IF($O$5&gt;70,0+50*($AG1882/100),IF($O$5&gt;60,5+50*($AG1882/100),IF($O$5&gt;50,10+60*($AG1882/100),IF($O$5&gt;40,15+70*($AG1882/100),IF($O$5&gt;30,20+70*($AG1882/100),IF($O$5&gt;20,40+55*($AG1882/100),(80+(20-$O$5)+30*($AG1882/100))))))))))</f>
        <v>100</v>
      </c>
      <c r="AI1882" s="262">
        <v>3294</v>
      </c>
      <c r="AJ1882" s="263"/>
      <c r="AK1882" s="263">
        <v>152</v>
      </c>
      <c r="AL1882" s="263"/>
      <c r="AM1882" s="264"/>
      <c r="AN1882" s="263"/>
      <c r="AO1882" s="263"/>
      <c r="AP1882" s="265"/>
      <c r="AQ1882" s="265">
        <v>5753</v>
      </c>
      <c r="AR1882" s="285">
        <v>31428</v>
      </c>
      <c r="AS1882" s="263"/>
      <c r="AT1882" s="263"/>
      <c r="AU1882" s="263"/>
      <c r="AV1882" s="264"/>
      <c r="AW1882" s="263"/>
      <c r="AX1882" s="263"/>
      <c r="AY1882" s="263"/>
      <c r="AZ1882" s="263"/>
      <c r="BA1882" s="263"/>
      <c r="BB1882" s="263"/>
      <c r="BC1882" s="263"/>
      <c r="BD1882" s="264"/>
      <c r="BE1882" s="263"/>
      <c r="BF1882" s="263"/>
      <c r="BG1882" s="263"/>
      <c r="BH1882" s="263"/>
      <c r="BI1882" s="263"/>
      <c r="BJ1882" s="404">
        <f>altaz(J2000_Bas,$O1882,$M1882,DecLat,DecLong,2)</f>
        <v>320.30852693715423</v>
      </c>
      <c r="BK1882" s="378" t="s">
        <v>1841</v>
      </c>
      <c r="BL1882" s="379">
        <f>IF((2*G1882)/60&lt;0.2,0.2,(2*G1882)/60)</f>
        <v>0.2</v>
      </c>
      <c r="BM1882" s="380">
        <f>MOD((50000+AD1882-$B$3+(0/24)),1)</f>
        <v>0.65011869800218847</v>
      </c>
      <c r="BN1882" s="381" t="s">
        <v>9220</v>
      </c>
      <c r="BO1882" s="382">
        <v>1875</v>
      </c>
    </row>
    <row r="1883" spans="1:67" s="24" customFormat="1" ht="15" customHeight="1" x14ac:dyDescent="0.25">
      <c r="A1883" s="288" t="s">
        <v>1842</v>
      </c>
      <c r="B1883" s="241" t="str">
        <f>HYPERLINK(CONCATENATE($AT$3,BK1883,$AU$3),$AV$3)</f>
        <v>S</v>
      </c>
      <c r="C1883" s="242" t="str">
        <f>HYPERLINK(CONCATENATE($AT$4,BK1883,$AU$4,BL1883),$AV$4)</f>
        <v>A</v>
      </c>
      <c r="D1883" s="243" t="s">
        <v>5638</v>
      </c>
      <c r="E1883" s="244" t="s">
        <v>5192</v>
      </c>
      <c r="F1883" s="269" t="s">
        <v>8964</v>
      </c>
      <c r="G1883" s="273">
        <v>3.5</v>
      </c>
      <c r="H1883" s="283">
        <v>170.22474</v>
      </c>
      <c r="I1883" s="246">
        <v>170</v>
      </c>
      <c r="J1883" s="246">
        <v>3</v>
      </c>
      <c r="K1883" s="247" t="s">
        <v>7434</v>
      </c>
      <c r="L1883" s="248">
        <v>103725</v>
      </c>
      <c r="M1883" s="249">
        <f>15*(LEFT(TEXT($L1883,"000000"),2)+(MID(TEXT($L1883,"000000"),3,2)/60)+(RIGHT(TEXT($L1883,"000000"),2)/3600))</f>
        <v>159.35416666666669</v>
      </c>
      <c r="N1883" s="250">
        <v>-251907</v>
      </c>
      <c r="O1883" s="251">
        <f>IF($N1883&gt;0,(LEFT(TEXT($N1883,"000000"),2)+(MID(TEXT($N1883,"000000"),3,2)/60)+(RIGHT(TEXT($N1883,"000000"),2)/3600)),-(MID(TEXT($N1883,"000000"),2,2)+(MID(TEXT($N1883,"000000"),4,2)/60)+(RIGHT(TEXT($N1883,"000000"),2)/3600)))</f>
        <v>-25.31861111111111</v>
      </c>
      <c r="P1883" s="252" t="s">
        <v>103</v>
      </c>
      <c r="Q1883" s="253"/>
      <c r="R1883" s="277" t="s">
        <v>3293</v>
      </c>
      <c r="S1883" s="272" t="s">
        <v>3293</v>
      </c>
      <c r="T1883" s="273">
        <v>12</v>
      </c>
      <c r="U1883" s="289">
        <v>22.89</v>
      </c>
      <c r="V1883" s="280">
        <v>10</v>
      </c>
      <c r="W1883" s="244"/>
      <c r="X1883" s="244"/>
      <c r="Y1883" s="362"/>
      <c r="Z1883" s="257">
        <f>altaz(J2000_Bas,$O1883,$M1883,DecLat,DecLong,1)</f>
        <v>-43.059404611933033</v>
      </c>
      <c r="AA1883" s="257">
        <f>altaz((J2000_Bas+(2*0.04167)),$O1883,$M1883,DecLat,DecLong,1)</f>
        <v>-68.760446262608767</v>
      </c>
      <c r="AB1883" s="257">
        <f>altaz((J2000_Bas+(4*0.04167)),$O1883,$M1883,DecLat,DecLong,1)</f>
        <v>-81.73313327070278</v>
      </c>
      <c r="AC1883" s="257">
        <f>altaz((J2000_Bas+(6*0.04167)),$O1883,$M1883,DecLat,DecLong,1)</f>
        <v>-57.125366711244077</v>
      </c>
      <c r="AD1883" s="258">
        <f>1+ transit((J2000_Bas-1),$O1883,$M1883,DecLat,DecLong)/360 + (GMTOffset/24) + (IF(DST="Y", 1, 0)/24)</f>
        <v>1.4355503793276247</v>
      </c>
      <c r="AE1883" s="259">
        <f>DATE(2001,9,21)+(M1883/360)*365 - (360*((DecLong/360)- (GMTOffset/24) ))</f>
        <v>37321.567418981482</v>
      </c>
      <c r="AF1883" s="260">
        <f>IF(DecLat&gt;0,IF((90 - (DecLat-O1883))&gt;90, (90 - (O1883-DecLat)), (90 - (DecLat-O1883))),IF((90 + (DecLat-O1883))&gt;90, (90 + (O1883-DecLat)), (90 + (DecLat-O1883))))</f>
        <v>33.68138888888889</v>
      </c>
      <c r="AG1883" s="257">
        <f>angularseperation(MoonRA,MoonDec,$M1883,$O1883)</f>
        <v>78.680167226506285</v>
      </c>
      <c r="AH1883" s="261">
        <f ca="1">MIN(100,IF($O$5&gt;80,0+30*($AG1883/100),IF($O$5&gt;70,0+50*($AG1883/100),IF($O$5&gt;60,5+50*($AG1883/100),IF($O$5&gt;50,10+60*($AG1883/100),IF($O$5&gt;40,15+70*($AG1883/100),IF($O$5&gt;30,20+70*($AG1883/100),IF($O$5&gt;20,40+55*($AG1883/100),(80+(20-$O$5)+30*($AG1883/100))))))))))</f>
        <v>100</v>
      </c>
      <c r="AI1883" s="262">
        <v>3313</v>
      </c>
      <c r="AJ1883" s="263"/>
      <c r="AK1883" s="263"/>
      <c r="AL1883" s="263"/>
      <c r="AM1883" s="264"/>
      <c r="AN1883" s="263"/>
      <c r="AO1883" s="263"/>
      <c r="AP1883" s="265"/>
      <c r="AQ1883" s="265"/>
      <c r="AR1883" s="285">
        <v>31551</v>
      </c>
      <c r="AS1883" s="263"/>
      <c r="AT1883" s="263"/>
      <c r="AU1883" s="263"/>
      <c r="AV1883" s="264"/>
      <c r="AW1883" s="263"/>
      <c r="AX1883" s="263"/>
      <c r="AY1883" s="263"/>
      <c r="AZ1883" s="263"/>
      <c r="BA1883" s="263"/>
      <c r="BB1883" s="263"/>
      <c r="BC1883" s="263"/>
      <c r="BD1883" s="264"/>
      <c r="BE1883" s="263"/>
      <c r="BF1883" s="263"/>
      <c r="BG1883" s="263"/>
      <c r="BH1883" s="263"/>
      <c r="BI1883" s="263"/>
      <c r="BJ1883" s="404">
        <f>altaz(J2000_Bas,$O1883,$M1883,DecLat,DecLong,2)</f>
        <v>263.02940483150167</v>
      </c>
      <c r="BK1883" s="378" t="s">
        <v>1842</v>
      </c>
      <c r="BL1883" s="379">
        <f>IF((2*G1883)/60&lt;0.2,0.2,(2*G1883)/60)</f>
        <v>0.2</v>
      </c>
      <c r="BM1883" s="380">
        <f>MOD((50000+AD1883-$B$3+(0/24)),1)</f>
        <v>0.65091730903077405</v>
      </c>
      <c r="BN1883" s="381"/>
      <c r="BO1883" s="382">
        <v>1876</v>
      </c>
    </row>
    <row r="1884" spans="1:67" s="24" customFormat="1" ht="15" customHeight="1" x14ac:dyDescent="0.25">
      <c r="A1884" s="288" t="s">
        <v>1843</v>
      </c>
      <c r="B1884" s="241" t="str">
        <f>HYPERLINK(CONCATENATE($AT$3,BK1884,$AU$3),$AV$3)</f>
        <v>S</v>
      </c>
      <c r="C1884" s="242" t="str">
        <f>HYPERLINK(CONCATENATE($AT$4,BK1884,$AU$4,BL1884),$AV$4)</f>
        <v>A</v>
      </c>
      <c r="D1884" s="243" t="s">
        <v>5638</v>
      </c>
      <c r="E1884" s="244" t="s">
        <v>5192</v>
      </c>
      <c r="F1884" s="269" t="s">
        <v>8895</v>
      </c>
      <c r="G1884" s="273">
        <v>7</v>
      </c>
      <c r="H1884" s="283">
        <v>40</v>
      </c>
      <c r="I1884" s="246">
        <v>80</v>
      </c>
      <c r="J1884" s="246">
        <v>2</v>
      </c>
      <c r="K1884" s="247" t="s">
        <v>7435</v>
      </c>
      <c r="L1884" s="248">
        <v>103910</v>
      </c>
      <c r="M1884" s="249">
        <f>15*(LEFT(TEXT($L1884,"000000"),2)+(MID(TEXT($L1884,"000000"),3,2)/60)+(RIGHT(TEXT($L1884,"000000"),2)/3600))</f>
        <v>159.79166666666669</v>
      </c>
      <c r="N1884" s="250">
        <v>414114</v>
      </c>
      <c r="O1884" s="251">
        <f>IF($N1884&gt;0,(LEFT(TEXT($N1884,"000000"),2)+(MID(TEXT($N1884,"000000"),3,2)/60)+(RIGHT(TEXT($N1884,"000000"),2)/3600)),-(MID(TEXT($N1884,"000000"),2,2)+(MID(TEXT($N1884,"000000"),4,2)/60)+(RIGHT(TEXT($N1884,"000000"),2)/3600)))</f>
        <v>41.687222222222218</v>
      </c>
      <c r="P1884" s="252" t="s">
        <v>37</v>
      </c>
      <c r="Q1884" s="253"/>
      <c r="R1884" s="247" t="s">
        <v>3293</v>
      </c>
      <c r="S1884" s="272" t="s">
        <v>3293</v>
      </c>
      <c r="T1884" s="273">
        <v>11.1</v>
      </c>
      <c r="U1884" s="289">
        <v>23.09</v>
      </c>
      <c r="V1884" s="280">
        <v>65</v>
      </c>
      <c r="W1884" s="244"/>
      <c r="X1884" s="244"/>
      <c r="Y1884" s="362"/>
      <c r="Z1884" s="257">
        <f>altaz(J2000_Bas,$O1884,$M1884,DecLat,DecLong,1)</f>
        <v>-2.0415766383274638</v>
      </c>
      <c r="AA1884" s="257">
        <f>altaz((J2000_Bas+(2*0.04167)),$O1884,$M1884,DecLat,DecLong,1)</f>
        <v>-14.09801774176122</v>
      </c>
      <c r="AB1884" s="257">
        <f>altaz((J2000_Bas+(4*0.04167)),$O1884,$M1884,DecLat,DecLong,1)</f>
        <v>-17.075003664657874</v>
      </c>
      <c r="AC1884" s="257">
        <f>altaz((J2000_Bas+(6*0.04167)),$O1884,$M1884,DecLat,DecLong,1)</f>
        <v>-9.919691768910333</v>
      </c>
      <c r="AD1884" s="258">
        <f>1+ transit((J2000_Bas-1),$O1884,$M1884,DecLat,DecLong)/360 + (GMTOffset/24) + (IF(DST="Y", 1, 0)/24)</f>
        <v>1.4367656569838747</v>
      </c>
      <c r="AE1884" s="259">
        <f>DATE(2001,9,21)+(M1884/360)*365 - (360*((DecLong/360)- (GMTOffset/24) ))</f>
        <v>37322.010995370372</v>
      </c>
      <c r="AF1884" s="260">
        <f>IF(DecLat&gt;0,IF((90 - (DecLat-O1884))&gt;90, (90 - (O1884-DecLat)), (90 - (DecLat-O1884))),IF((90 + (DecLat-O1884))&gt;90, (90 + (O1884-DecLat)), (90 + (DecLat-O1884))))</f>
        <v>79.312777777777782</v>
      </c>
      <c r="AG1884" s="257">
        <f>angularseperation(MoonRA,MoonDec,$M1884,$O1884)</f>
        <v>107.24285564055533</v>
      </c>
      <c r="AH1884" s="261">
        <f ca="1">MIN(100,IF($O$5&gt;80,0+30*($AG1884/100),IF($O$5&gt;70,0+50*($AG1884/100),IF($O$5&gt;60,5+50*($AG1884/100),IF($O$5&gt;50,10+60*($AG1884/100),IF($O$5&gt;40,15+70*($AG1884/100),IF($O$5&gt;30,20+70*($AG1884/100),IF($O$5&gt;20,40+55*($AG1884/100),(80+(20-$O$5)+30*($AG1884/100))))))))))</f>
        <v>100</v>
      </c>
      <c r="AI1884" s="262">
        <v>3319</v>
      </c>
      <c r="AJ1884" s="262"/>
      <c r="AK1884" s="262"/>
      <c r="AL1884" s="263"/>
      <c r="AM1884" s="264"/>
      <c r="AN1884" s="263"/>
      <c r="AO1884" s="263"/>
      <c r="AP1884" s="265"/>
      <c r="AQ1884" s="266">
        <v>5789</v>
      </c>
      <c r="AR1884" s="267">
        <v>31671</v>
      </c>
      <c r="AS1884" s="263"/>
      <c r="AT1884" s="263"/>
      <c r="AU1884" s="263"/>
      <c r="AV1884" s="264"/>
      <c r="AW1884" s="263"/>
      <c r="AX1884" s="263"/>
      <c r="AY1884" s="263"/>
      <c r="AZ1884" s="263"/>
      <c r="BA1884" s="263"/>
      <c r="BB1884" s="263"/>
      <c r="BC1884" s="263"/>
      <c r="BD1884" s="264"/>
      <c r="BE1884" s="263"/>
      <c r="BF1884" s="263"/>
      <c r="BG1884" s="263"/>
      <c r="BH1884" s="263"/>
      <c r="BI1884" s="263"/>
      <c r="BJ1884" s="404">
        <f>altaz(J2000_Bas,$O1884,$M1884,DecLat,DecLong,2)</f>
        <v>322.9202964182864</v>
      </c>
      <c r="BK1884" s="378" t="s">
        <v>1843</v>
      </c>
      <c r="BL1884" s="379">
        <f>IF((2*G1884)/60&lt;0.2,0.2,(2*G1884)/60)</f>
        <v>0.23333333333333334</v>
      </c>
      <c r="BM1884" s="380">
        <f>MOD((50000+AD1884-$B$3+(0/24)),1)</f>
        <v>0.65213258668518392</v>
      </c>
      <c r="BN1884" s="381"/>
      <c r="BO1884" s="382">
        <v>1877</v>
      </c>
    </row>
    <row r="1885" spans="1:67" s="24" customFormat="1" ht="15" customHeight="1" x14ac:dyDescent="0.25">
      <c r="A1885" s="297" t="s">
        <v>5460</v>
      </c>
      <c r="B1885" s="241" t="str">
        <f>HYPERLINK(CONCATENATE($AT$3,BK1885,$AU$3),$AV$3)</f>
        <v>S</v>
      </c>
      <c r="C1885" s="242" t="str">
        <f>HYPERLINK(CONCATENATE($AT$4,BK1885,$AU$4,BL1885),$AV$4)</f>
        <v>A</v>
      </c>
      <c r="D1885" s="243" t="s">
        <v>5187</v>
      </c>
      <c r="E1885" s="244" t="s">
        <v>5183</v>
      </c>
      <c r="F1885" s="269" t="s">
        <v>5180</v>
      </c>
      <c r="G1885" s="276">
        <v>20</v>
      </c>
      <c r="H1885" s="271">
        <v>7200</v>
      </c>
      <c r="I1885" s="281">
        <v>44</v>
      </c>
      <c r="J1885" s="246">
        <v>4</v>
      </c>
      <c r="K1885" s="247" t="s">
        <v>5461</v>
      </c>
      <c r="L1885" s="248">
        <v>103742</v>
      </c>
      <c r="M1885" s="249">
        <f>15*(LEFT(TEXT($L1885,"000000"),2)+(MID(TEXT($L1885,"000000"),3,2)/60)+(RIGHT(TEXT($L1885,"000000"),2)/3600))</f>
        <v>159.42500000000001</v>
      </c>
      <c r="N1885" s="286">
        <v>-583901</v>
      </c>
      <c r="O1885" s="251">
        <f>IF($N1885&gt;0,(LEFT(TEXT($N1885,"000000"),2)+(MID(TEXT($N1885,"000000"),3,2)/60)+(RIGHT(TEXT($N1885,"000000"),2)/3600)),-(MID(TEXT($N1885,"000000"),2,2)+(MID(TEXT($N1885,"000000"),4,2)/60)+(RIGHT(TEXT($N1885,"000000"),2)/3600)))</f>
        <v>-58.650277777777774</v>
      </c>
      <c r="P1885" s="252" t="s">
        <v>91</v>
      </c>
      <c r="Q1885" s="253" t="s">
        <v>5459</v>
      </c>
      <c r="R1885" s="277" t="s">
        <v>998</v>
      </c>
      <c r="S1885" s="272" t="s">
        <v>5462</v>
      </c>
      <c r="T1885" s="273"/>
      <c r="U1885" s="274"/>
      <c r="V1885" s="256"/>
      <c r="W1885" s="244"/>
      <c r="X1885" s="244"/>
      <c r="Y1885" s="362"/>
      <c r="Z1885" s="257">
        <f>altaz(J2000_Bas,$O1885,$M1885,DecLat,DecLong,1)</f>
        <v>-44.877492656791965</v>
      </c>
      <c r="AA1885" s="257">
        <f>altaz((J2000_Bas+(2*0.04167)),$O1885,$M1885,DecLat,DecLong,1)</f>
        <v>-58.136839562723857</v>
      </c>
      <c r="AB1885" s="257">
        <f>altaz((J2000_Bas+(4*0.04167)),$O1885,$M1885,DecLat,DecLong,1)</f>
        <v>-61.970843034736014</v>
      </c>
      <c r="AC1885" s="257">
        <f>altaz((J2000_Bas+(6*0.04167)),$O1885,$M1885,DecLat,DecLong,1)</f>
        <v>-52.824370275485066</v>
      </c>
      <c r="AD1885" s="258">
        <f>1+ transit((J2000_Bas-1),$O1885,$M1885,DecLat,DecLong)/360 + (GMTOffset/24) + (IF(DST="Y", 1, 0)/24)</f>
        <v>1.435747138567208</v>
      </c>
      <c r="AE1885" s="259">
        <f>DATE(2001,9,21)+(M1885/360)*365 - (360*((DecLong/360)- (GMTOffset/24) ))</f>
        <v>37321.639236111114</v>
      </c>
      <c r="AF1885" s="260">
        <f>IF(DecLat&gt;0,IF((90 - (DecLat-O1885))&gt;90, (90 - (O1885-DecLat)), (90 - (DecLat-O1885))),IF((90 + (DecLat-O1885))&gt;90, (90 + (O1885-DecLat)), (90 + (DecLat-O1885))))</f>
        <v>0.34972222222222626</v>
      </c>
      <c r="AG1885" s="257">
        <f>angularseperation(MoonRA,MoonDec,$M1885,$O1885)</f>
        <v>67.026338822798508</v>
      </c>
      <c r="AH1885" s="261">
        <f ca="1">MIN(100,IF($O$5&gt;80,0+30*($AG1885/100),IF($O$5&gt;70,0+50*($AG1885/100),IF($O$5&gt;60,5+50*($AG1885/100),IF($O$5&gt;50,10+60*($AG1885/100),IF($O$5&gt;40,15+70*($AG1885/100),IF($O$5&gt;30,20+70*($AG1885/100),IF($O$5&gt;20,40+55*($AG1885/100),(80+(20-$O$5)+30*($AG1885/100))))))))))</f>
        <v>100</v>
      </c>
      <c r="AI1885" s="263">
        <v>3324</v>
      </c>
      <c r="AJ1885" s="263"/>
      <c r="AK1885" s="263"/>
      <c r="AL1885" s="263"/>
      <c r="AM1885" s="264"/>
      <c r="AN1885" s="263"/>
      <c r="AO1885" s="263"/>
      <c r="AP1885" s="265"/>
      <c r="AQ1885" s="265"/>
      <c r="AR1885" s="285"/>
      <c r="AS1885" s="263"/>
      <c r="AT1885" s="263"/>
      <c r="AU1885" s="263"/>
      <c r="AV1885" s="264"/>
      <c r="AW1885" s="263"/>
      <c r="AX1885" s="263">
        <v>31</v>
      </c>
      <c r="AY1885" s="263"/>
      <c r="AZ1885" s="263"/>
      <c r="BA1885" s="263"/>
      <c r="BB1885" s="263"/>
      <c r="BC1885" s="263"/>
      <c r="BD1885" s="264"/>
      <c r="BE1885" s="263"/>
      <c r="BF1885" s="263"/>
      <c r="BG1885" s="263"/>
      <c r="BH1885" s="263"/>
      <c r="BI1885" s="263"/>
      <c r="BJ1885" s="404">
        <f>altaz(J2000_Bas,$O1885,$M1885,DecLat,DecLong,2)</f>
        <v>216.1280909406627</v>
      </c>
      <c r="BK1885" s="378" t="s">
        <v>998</v>
      </c>
      <c r="BL1885" s="379">
        <f>IF((2*G1885)/60&lt;0.2,0.2,(2*G1885)/60)</f>
        <v>0.66666666666666663</v>
      </c>
      <c r="BM1885" s="380">
        <f>MOD((50000+AD1885-$B$3+(0/24)),1)</f>
        <v>0.65111406827054452</v>
      </c>
      <c r="BN1885" s="381"/>
      <c r="BO1885" s="382">
        <v>1878</v>
      </c>
    </row>
    <row r="1886" spans="1:67" s="24" customFormat="1" ht="15" customHeight="1" x14ac:dyDescent="0.25">
      <c r="A1886" s="288" t="s">
        <v>1844</v>
      </c>
      <c r="B1886" s="241" t="str">
        <f>HYPERLINK(CONCATENATE($AT$3,BK1886,$AU$3),$AV$3)</f>
        <v>S</v>
      </c>
      <c r="C1886" s="242" t="str">
        <f>HYPERLINK(CONCATENATE($AT$4,BK1886,$AU$4,BL1886),$AV$4)</f>
        <v>A</v>
      </c>
      <c r="D1886" s="243" t="s">
        <v>5638</v>
      </c>
      <c r="E1886" s="244" t="s">
        <v>5182</v>
      </c>
      <c r="F1886" s="269" t="s">
        <v>3300</v>
      </c>
      <c r="G1886" s="273">
        <v>1.5</v>
      </c>
      <c r="H1886" s="283">
        <v>270</v>
      </c>
      <c r="I1886" s="246">
        <v>120</v>
      </c>
      <c r="J1886" s="246">
        <v>3</v>
      </c>
      <c r="K1886" s="247" t="s">
        <v>7436</v>
      </c>
      <c r="L1886" s="248">
        <v>104028</v>
      </c>
      <c r="M1886" s="249">
        <f>15*(LEFT(TEXT($L1886,"000000"),2)+(MID(TEXT($L1886,"000000"),3,2)/60)+(RIGHT(TEXT($L1886,"000000"),2)/3600))</f>
        <v>160.11666666666665</v>
      </c>
      <c r="N1886" s="250">
        <v>91057</v>
      </c>
      <c r="O1886" s="251">
        <f>IF($N1886&gt;0,(LEFT(TEXT($N1886,"000000"),2)+(MID(TEXT($N1886,"000000"),3,2)/60)+(RIGHT(TEXT($N1886,"000000"),2)/3600)),-(MID(TEXT($N1886,"000000"),2,2)+(MID(TEXT($N1886,"000000"),4,2)/60)+(RIGHT(TEXT($N1886,"000000"),2)/3600)))</f>
        <v>9.1824999999999992</v>
      </c>
      <c r="P1886" s="252" t="s">
        <v>183</v>
      </c>
      <c r="Q1886" s="253"/>
      <c r="R1886" s="277" t="s">
        <v>3293</v>
      </c>
      <c r="S1886" s="272" t="s">
        <v>3293</v>
      </c>
      <c r="T1886" s="273">
        <v>13</v>
      </c>
      <c r="U1886" s="289">
        <v>21.79</v>
      </c>
      <c r="V1886" s="280"/>
      <c r="W1886" s="244"/>
      <c r="X1886" s="244"/>
      <c r="Y1886" s="362"/>
      <c r="Z1886" s="257">
        <f>altaz(J2000_Bas,$O1886,$M1886,DecLat,DecLong,1)</f>
        <v>-24.445065129564036</v>
      </c>
      <c r="AA1886" s="257">
        <f>altaz((J2000_Bas+(2*0.04167)),$O1886,$M1886,DecLat,DecLong,1)</f>
        <v>-43.682337644774087</v>
      </c>
      <c r="AB1886" s="257">
        <f>altaz((J2000_Bas+(4*0.04167)),$O1886,$M1886,DecLat,DecLong,1)</f>
        <v>-49.400086573022875</v>
      </c>
      <c r="AC1886" s="257">
        <f>altaz((J2000_Bas+(6*0.04167)),$O1886,$M1886,DecLat,DecLong,1)</f>
        <v>-36.953940366946384</v>
      </c>
      <c r="AD1886" s="258">
        <f>1+ transit((J2000_Bas-1),$O1886,$M1886,DecLat,DecLong)/360 + (GMTOffset/24) + (IF(DST="Y", 1, 0)/24)</f>
        <v>1.4376684346713746</v>
      </c>
      <c r="AE1886" s="259">
        <f>DATE(2001,9,21)+(M1886/360)*365 - (360*((DecLong/360)- (GMTOffset/24) ))</f>
        <v>37322.340509259258</v>
      </c>
      <c r="AF1886" s="260">
        <f>IF(DecLat&gt;0,IF((90 - (DecLat-O1886))&gt;90, (90 - (O1886-DecLat)), (90 - (DecLat-O1886))),IF((90 + (DecLat-O1886))&gt;90, (90 + (O1886-DecLat)), (90 + (DecLat-O1886))))</f>
        <v>68.182500000000005</v>
      </c>
      <c r="AG1886" s="257">
        <f>angularseperation(MoonRA,MoonDec,$M1886,$O1886)</f>
        <v>93.396067938694358</v>
      </c>
      <c r="AH1886" s="261">
        <f ca="1">MIN(100,IF($O$5&gt;80,0+30*($AG1886/100),IF($O$5&gt;70,0+50*($AG1886/100),IF($O$5&gt;60,5+50*($AG1886/100),IF($O$5&gt;50,10+60*($AG1886/100),IF($O$5&gt;40,15+70*($AG1886/100),IF($O$5&gt;30,20+70*($AG1886/100),IF($O$5&gt;20,40+55*($AG1886/100),(80+(20-$O$5)+30*($AG1886/100))))))))))</f>
        <v>100</v>
      </c>
      <c r="AI1886" s="262">
        <v>3332</v>
      </c>
      <c r="AJ1886" s="263"/>
      <c r="AK1886" s="263"/>
      <c r="AL1886" s="263"/>
      <c r="AM1886" s="264"/>
      <c r="AN1886" s="263"/>
      <c r="AO1886" s="263"/>
      <c r="AP1886" s="265"/>
      <c r="AQ1886" s="265"/>
      <c r="AR1886" s="285">
        <v>31768</v>
      </c>
      <c r="AS1886" s="263"/>
      <c r="AT1886" s="263"/>
      <c r="AU1886" s="263"/>
      <c r="AV1886" s="264"/>
      <c r="AW1886" s="263"/>
      <c r="AX1886" s="263"/>
      <c r="AY1886" s="263"/>
      <c r="AZ1886" s="263"/>
      <c r="BA1886" s="263"/>
      <c r="BB1886" s="263"/>
      <c r="BC1886" s="263"/>
      <c r="BD1886" s="264"/>
      <c r="BE1886" s="263"/>
      <c r="BF1886" s="263"/>
      <c r="BG1886" s="263"/>
      <c r="BH1886" s="263"/>
      <c r="BI1886" s="263"/>
      <c r="BJ1886" s="404">
        <f>altaz(J2000_Bas,$O1886,$M1886,DecLat,DecLong,2)</f>
        <v>298.53108322895952</v>
      </c>
      <c r="BK1886" s="378" t="s">
        <v>1844</v>
      </c>
      <c r="BL1886" s="379">
        <f>IF((2*G1886)/60&lt;0.2,0.2,(2*G1886)/60)</f>
        <v>0.2</v>
      </c>
      <c r="BM1886" s="380">
        <f>MOD((50000+AD1886-$B$3+(0/24)),1)</f>
        <v>0.65303536437568255</v>
      </c>
      <c r="BN1886" s="381"/>
      <c r="BO1886" s="382">
        <v>1879</v>
      </c>
    </row>
    <row r="1887" spans="1:67" s="24" customFormat="1" ht="15" customHeight="1" x14ac:dyDescent="0.25">
      <c r="A1887" s="288" t="s">
        <v>1845</v>
      </c>
      <c r="B1887" s="241" t="str">
        <f>HYPERLINK(CONCATENATE($AT$3,BK1887,$AU$3),$AV$3)</f>
        <v>S</v>
      </c>
      <c r="C1887" s="242" t="str">
        <f>HYPERLINK(CONCATENATE($AT$4,BK1887,$AU$4,BL1887),$AV$4)</f>
        <v>A</v>
      </c>
      <c r="D1887" s="243" t="s">
        <v>5638</v>
      </c>
      <c r="E1887" s="244" t="s">
        <v>5192</v>
      </c>
      <c r="F1887" s="269" t="s">
        <v>8693</v>
      </c>
      <c r="G1887" s="273">
        <v>5</v>
      </c>
      <c r="H1887" s="283">
        <v>75</v>
      </c>
      <c r="I1887" s="246">
        <v>110</v>
      </c>
      <c r="J1887" s="246">
        <v>2</v>
      </c>
      <c r="K1887" s="247" t="s">
        <v>7437</v>
      </c>
      <c r="L1887" s="248">
        <v>104208</v>
      </c>
      <c r="M1887" s="249">
        <f>15*(LEFT(TEXT($L1887,"000000"),2)+(MID(TEXT($L1887,"000000"),3,2)/60)+(RIGHT(TEXT($L1887,"000000"),2)/3600))</f>
        <v>160.53333333333333</v>
      </c>
      <c r="N1887" s="250">
        <v>134449</v>
      </c>
      <c r="O1887" s="251">
        <f>IF($N1887&gt;0,(LEFT(TEXT($N1887,"000000"),2)+(MID(TEXT($N1887,"000000"),3,2)/60)+(RIGHT(TEXT($N1887,"000000"),2)/3600)),-(MID(TEXT($N1887,"000000"),2,2)+(MID(TEXT($N1887,"000000"),4,2)/60)+(RIGHT(TEXT($N1887,"000000"),2)/3600)))</f>
        <v>13.746944444444443</v>
      </c>
      <c r="P1887" s="252" t="s">
        <v>183</v>
      </c>
      <c r="Q1887" s="253"/>
      <c r="R1887" s="247" t="s">
        <v>3293</v>
      </c>
      <c r="S1887" s="272" t="s">
        <v>3293</v>
      </c>
      <c r="T1887" s="273">
        <v>13</v>
      </c>
      <c r="U1887" s="289">
        <v>23.09</v>
      </c>
      <c r="V1887" s="280">
        <v>55</v>
      </c>
      <c r="W1887" s="244"/>
      <c r="X1887" s="244"/>
      <c r="Y1887" s="362"/>
      <c r="Z1887" s="257">
        <f>altaz(J2000_Bas,$O1887,$M1887,DecLat,DecLong,1)</f>
        <v>-21.146090323641992</v>
      </c>
      <c r="AA1887" s="257">
        <f>altaz((J2000_Bas+(2*0.04167)),$O1887,$M1887,DecLat,DecLong,1)</f>
        <v>-39.462982605691074</v>
      </c>
      <c r="AB1887" s="257">
        <f>altaz((J2000_Bas+(4*0.04167)),$O1887,$M1887,DecLat,DecLong,1)</f>
        <v>-44.926132933599831</v>
      </c>
      <c r="AC1887" s="257">
        <f>altaz((J2000_Bas+(6*0.04167)),$O1887,$M1887,DecLat,DecLong,1)</f>
        <v>-33.612046826551079</v>
      </c>
      <c r="AD1887" s="258">
        <f>1+ transit((J2000_Bas-1),$O1887,$M1887,DecLat,DecLong)/360 + (GMTOffset/24) + (IF(DST="Y", 1, 0)/24)</f>
        <v>1.4388258419630413</v>
      </c>
      <c r="AE1887" s="259">
        <f>DATE(2001,9,21)+(M1887/360)*365 - (360*((DecLong/360)- (GMTOffset/24) ))</f>
        <v>37322.762962962966</v>
      </c>
      <c r="AF1887" s="260">
        <f>IF(DecLat&gt;0,IF((90 - (DecLat-O1887))&gt;90, (90 - (O1887-DecLat)), (90 - (DecLat-O1887))),IF((90 + (DecLat-O1887))&gt;90, (90 + (O1887-DecLat)), (90 + (DecLat-O1887))))</f>
        <v>72.746944444444438</v>
      </c>
      <c r="AG1887" s="257">
        <f>angularseperation(MoonRA,MoonDec,$M1887,$O1887)</f>
        <v>95.088991328837366</v>
      </c>
      <c r="AH1887" s="261">
        <f ca="1">MIN(100,IF($O$5&gt;80,0+30*($AG1887/100),IF($O$5&gt;70,0+50*($AG1887/100),IF($O$5&gt;60,5+50*($AG1887/100),IF($O$5&gt;50,10+60*($AG1887/100),IF($O$5&gt;40,15+70*($AG1887/100),IF($O$5&gt;30,20+70*($AG1887/100),IF($O$5&gt;20,40+55*($AG1887/100),(80+(20-$O$5)+30*($AG1887/100))))))))))</f>
        <v>100</v>
      </c>
      <c r="AI1887" s="262">
        <v>3338</v>
      </c>
      <c r="AJ1887" s="262"/>
      <c r="AK1887" s="262"/>
      <c r="AL1887" s="263"/>
      <c r="AM1887" s="264"/>
      <c r="AN1887" s="263"/>
      <c r="AO1887" s="263"/>
      <c r="AP1887" s="265"/>
      <c r="AQ1887" s="266">
        <v>5826</v>
      </c>
      <c r="AR1887" s="267">
        <v>31883</v>
      </c>
      <c r="AS1887" s="263"/>
      <c r="AT1887" s="263"/>
      <c r="AU1887" s="263"/>
      <c r="AV1887" s="264"/>
      <c r="AW1887" s="263"/>
      <c r="AX1887" s="263"/>
      <c r="AY1887" s="263"/>
      <c r="AZ1887" s="263"/>
      <c r="BA1887" s="263"/>
      <c r="BB1887" s="263"/>
      <c r="BC1887" s="263"/>
      <c r="BD1887" s="264"/>
      <c r="BE1887" s="263"/>
      <c r="BF1887" s="263"/>
      <c r="BG1887" s="263"/>
      <c r="BH1887" s="263"/>
      <c r="BI1887" s="263"/>
      <c r="BJ1887" s="404">
        <f>altaz(J2000_Bas,$O1887,$M1887,DecLat,DecLong,2)</f>
        <v>301.98219697912873</v>
      </c>
      <c r="BK1887" s="378" t="s">
        <v>1845</v>
      </c>
      <c r="BL1887" s="379">
        <f>IF((2*G1887)/60&lt;0.2,0.2,(2*G1887)/60)</f>
        <v>0.2</v>
      </c>
      <c r="BM1887" s="380">
        <f>MOD((50000+AD1887-$B$3+(0/24)),1)</f>
        <v>0.65419277166802203</v>
      </c>
      <c r="BN1887" s="381"/>
      <c r="BO1887" s="382">
        <v>1880</v>
      </c>
    </row>
    <row r="1888" spans="1:67" s="24" customFormat="1" ht="15" customHeight="1" x14ac:dyDescent="0.25">
      <c r="A1888" s="288" t="s">
        <v>1846</v>
      </c>
      <c r="B1888" s="241" t="str">
        <f>HYPERLINK(CONCATENATE($AT$3,BK1888,$AU$3),$AV$3)</f>
        <v>S</v>
      </c>
      <c r="C1888" s="242" t="str">
        <f>HYPERLINK(CONCATENATE($AT$4,BK1888,$AU$4,BL1888),$AV$4)</f>
        <v>A</v>
      </c>
      <c r="D1888" s="243" t="s">
        <v>5638</v>
      </c>
      <c r="E1888" s="244" t="s">
        <v>5192</v>
      </c>
      <c r="F1888" s="269" t="s">
        <v>8965</v>
      </c>
      <c r="G1888" s="273">
        <v>6.9</v>
      </c>
      <c r="H1888" s="283">
        <v>35</v>
      </c>
      <c r="I1888" s="246">
        <v>75</v>
      </c>
      <c r="J1888" s="246">
        <v>3</v>
      </c>
      <c r="K1888" s="247" t="s">
        <v>7438</v>
      </c>
      <c r="L1888" s="248">
        <v>104331</v>
      </c>
      <c r="M1888" s="249">
        <f>15*(LEFT(TEXT($L1888,"000000"),2)+(MID(TEXT($L1888,"000000"),3,2)/60)+(RIGHT(TEXT($L1888,"000000"),2)/3600))</f>
        <v>160.87916666666666</v>
      </c>
      <c r="N1888" s="250">
        <v>245520</v>
      </c>
      <c r="O1888" s="251">
        <f>IF($N1888&gt;0,(LEFT(TEXT($N1888,"000000"),2)+(MID(TEXT($N1888,"000000"),3,2)/60)+(RIGHT(TEXT($N1888,"000000"),2)/3600)),-(MID(TEXT($N1888,"000000"),2,2)+(MID(TEXT($N1888,"000000"),4,2)/60)+(RIGHT(TEXT($N1888,"000000"),2)/3600)))</f>
        <v>24.922222222222224</v>
      </c>
      <c r="P1888" s="252" t="s">
        <v>239</v>
      </c>
      <c r="Q1888" s="253"/>
      <c r="R1888" s="247" t="s">
        <v>3293</v>
      </c>
      <c r="S1888" s="272" t="s">
        <v>3293</v>
      </c>
      <c r="T1888" s="273">
        <v>9.9</v>
      </c>
      <c r="U1888" s="289">
        <v>22.79</v>
      </c>
      <c r="V1888" s="280">
        <v>10</v>
      </c>
      <c r="W1888" s="244"/>
      <c r="X1888" s="244"/>
      <c r="Y1888" s="362"/>
      <c r="Z1888" s="257">
        <f>altaz(J2000_Bas,$O1888,$M1888,DecLat,DecLong,1)</f>
        <v>-13.309386134522228</v>
      </c>
      <c r="AA1888" s="257">
        <f>altaz((J2000_Bas+(2*0.04167)),$O1888,$M1888,DecLat,DecLong,1)</f>
        <v>-29.253484276854149</v>
      </c>
      <c r="AB1888" s="257">
        <f>altaz((J2000_Bas+(4*0.04167)),$O1888,$M1888,DecLat,DecLong,1)</f>
        <v>-33.848837349539451</v>
      </c>
      <c r="AC1888" s="257">
        <f>altaz((J2000_Bas+(6*0.04167)),$O1888,$M1888,DecLat,DecLong,1)</f>
        <v>-24.631944518974947</v>
      </c>
      <c r="AD1888" s="258">
        <f>1+ transit((J2000_Bas-1),$O1888,$M1888,DecLat,DecLong)/360 + (GMTOffset/24) + (IF(DST="Y", 1, 0)/24)</f>
        <v>1.4397864900151247</v>
      </c>
      <c r="AE1888" s="259">
        <f>DATE(2001,9,21)+(M1888/360)*365 - (360*((DecLong/360)- (GMTOffset/24) ))</f>
        <v>37323.113599537035</v>
      </c>
      <c r="AF1888" s="260">
        <f>IF(DecLat&gt;0,IF((90 - (DecLat-O1888))&gt;90, (90 - (O1888-DecLat)), (90 - (DecLat-O1888))),IF((90 + (DecLat-O1888))&gt;90, (90 + (O1888-DecLat)), (90 + (DecLat-O1888))))</f>
        <v>83.922222222222217</v>
      </c>
      <c r="AG1888" s="257">
        <f>angularseperation(MoonRA,MoonDec,$M1888,$O1888)</f>
        <v>99.7173125310252</v>
      </c>
      <c r="AH1888" s="261">
        <f ca="1">MIN(100,IF($O$5&gt;80,0+30*($AG1888/100),IF($O$5&gt;70,0+50*($AG1888/100),IF($O$5&gt;60,5+50*($AG1888/100),IF($O$5&gt;50,10+60*($AG1888/100),IF($O$5&gt;40,15+70*($AG1888/100),IF($O$5&gt;30,20+70*($AG1888/100),IF($O$5&gt;20,40+55*($AG1888/100),(80+(20-$O$5)+30*($AG1888/100))))))))))</f>
        <v>100</v>
      </c>
      <c r="AI1888" s="262">
        <v>3344</v>
      </c>
      <c r="AJ1888" s="262"/>
      <c r="AK1888" s="262">
        <v>154</v>
      </c>
      <c r="AL1888" s="263"/>
      <c r="AM1888" s="264"/>
      <c r="AN1888" s="263"/>
      <c r="AO1888" s="263"/>
      <c r="AP1888" s="265"/>
      <c r="AQ1888" s="266">
        <v>5840</v>
      </c>
      <c r="AR1888" s="267">
        <v>31968</v>
      </c>
      <c r="AS1888" s="263"/>
      <c r="AT1888" s="263"/>
      <c r="AU1888" s="263"/>
      <c r="AV1888" s="264"/>
      <c r="AW1888" s="263"/>
      <c r="AX1888" s="263"/>
      <c r="AY1888" s="263"/>
      <c r="AZ1888" s="263"/>
      <c r="BA1888" s="263"/>
      <c r="BB1888" s="263"/>
      <c r="BC1888" s="263"/>
      <c r="BD1888" s="264"/>
      <c r="BE1888" s="263">
        <v>55</v>
      </c>
      <c r="BF1888" s="263"/>
      <c r="BG1888" s="263"/>
      <c r="BH1888" s="263"/>
      <c r="BI1888" s="263"/>
      <c r="BJ1888" s="404">
        <f>altaz(J2000_Bas,$O1888,$M1888,DecLat,DecLong,2)</f>
        <v>310.3394351781447</v>
      </c>
      <c r="BK1888" s="378" t="s">
        <v>1846</v>
      </c>
      <c r="BL1888" s="379">
        <f>IF((2*G1888)/60&lt;0.2,0.2,(2*G1888)/60)</f>
        <v>0.23</v>
      </c>
      <c r="BM1888" s="380">
        <f>MOD((50000+AD1888-$B$3+(0/24)),1)</f>
        <v>0.65515341972059105</v>
      </c>
      <c r="BN1888" s="381" t="s">
        <v>9237</v>
      </c>
      <c r="BO1888" s="382">
        <v>1881</v>
      </c>
    </row>
    <row r="1889" spans="1:67" s="24" customFormat="1" ht="15" customHeight="1" x14ac:dyDescent="0.25">
      <c r="A1889" s="288" t="s">
        <v>1847</v>
      </c>
      <c r="B1889" s="241" t="str">
        <f>HYPERLINK(CONCATENATE($AT$3,BK1889,$AU$3),$AV$3)</f>
        <v>S</v>
      </c>
      <c r="C1889" s="242" t="str">
        <f>HYPERLINK(CONCATENATE($AT$4,BK1889,$AU$4,BL1889),$AV$4)</f>
        <v>A</v>
      </c>
      <c r="D1889" s="243" t="s">
        <v>5638</v>
      </c>
      <c r="E1889" s="244" t="s">
        <v>5192</v>
      </c>
      <c r="F1889" s="269" t="s">
        <v>8895</v>
      </c>
      <c r="G1889" s="273">
        <v>3</v>
      </c>
      <c r="H1889" s="283">
        <v>75</v>
      </c>
      <c r="I1889" s="246">
        <v>65</v>
      </c>
      <c r="J1889" s="246">
        <v>2</v>
      </c>
      <c r="K1889" s="247" t="s">
        <v>7439</v>
      </c>
      <c r="L1889" s="248">
        <v>104339</v>
      </c>
      <c r="M1889" s="249">
        <f>15*(LEFT(TEXT($L1889,"000000"),2)+(MID(TEXT($L1889,"000000"),3,2)/60)+(RIGHT(TEXT($L1889,"000000"),2)/3600))</f>
        <v>160.91250000000002</v>
      </c>
      <c r="N1889" s="250">
        <v>145219</v>
      </c>
      <c r="O1889" s="251">
        <f>IF($N1889&gt;0,(LEFT(TEXT($N1889,"000000"),2)+(MID(TEXT($N1889,"000000"),3,2)/60)+(RIGHT(TEXT($N1889,"000000"),2)/3600)),-(MID(TEXT($N1889,"000000"),2,2)+(MID(TEXT($N1889,"000000"),4,2)/60)+(RIGHT(TEXT($N1889,"000000"),2)/3600)))</f>
        <v>14.871944444444445</v>
      </c>
      <c r="P1889" s="252" t="s">
        <v>183</v>
      </c>
      <c r="Q1889" s="253"/>
      <c r="R1889" s="247" t="s">
        <v>3293</v>
      </c>
      <c r="S1889" s="272" t="s">
        <v>3293</v>
      </c>
      <c r="T1889" s="273">
        <v>11.7</v>
      </c>
      <c r="U1889" s="289">
        <v>22.59</v>
      </c>
      <c r="V1889" s="280">
        <v>40</v>
      </c>
      <c r="W1889" s="244"/>
      <c r="X1889" s="244"/>
      <c r="Y1889" s="362"/>
      <c r="Z1889" s="257">
        <f>altaz(J2000_Bas,$O1889,$M1889,DecLat,DecLong,1)</f>
        <v>-20.124366332268927</v>
      </c>
      <c r="AA1889" s="257">
        <f>altaz((J2000_Bas+(2*0.04167)),$O1889,$M1889,DecLat,DecLong,1)</f>
        <v>-38.294855086859599</v>
      </c>
      <c r="AB1889" s="257">
        <f>altaz((J2000_Bas+(4*0.04167)),$O1889,$M1889,DecLat,DecLong,1)</f>
        <v>-43.850314744932852</v>
      </c>
      <c r="AC1889" s="257">
        <f>altaz((J2000_Bas+(6*0.04167)),$O1889,$M1889,DecLat,DecLong,1)</f>
        <v>-32.927475938293192</v>
      </c>
      <c r="AD1889" s="258">
        <f>1+ transit((J2000_Bas-1),$O1889,$M1889,DecLat,DecLong)/360 + (GMTOffset/24) + (IF(DST="Y", 1, 0)/24)</f>
        <v>1.439879082598458</v>
      </c>
      <c r="AE1889" s="259">
        <f>DATE(2001,9,21)+(M1889/360)*365 - (360*((DecLong/360)- (GMTOffset/24) ))</f>
        <v>37323.14739583333</v>
      </c>
      <c r="AF1889" s="260">
        <f>IF(DecLat&gt;0,IF((90 - (DecLat-O1889))&gt;90, (90 - (O1889-DecLat)), (90 - (DecLat-O1889))),IF((90 + (DecLat-O1889))&gt;90, (90 + (O1889-DecLat)), (90 + (DecLat-O1889))))</f>
        <v>73.871944444444438</v>
      </c>
      <c r="AG1889" s="257">
        <f>angularseperation(MoonRA,MoonDec,$M1889,$O1889)</f>
        <v>95.265432420145814</v>
      </c>
      <c r="AH1889" s="261">
        <f ca="1">MIN(100,IF($O$5&gt;80,0+30*($AG1889/100),IF($O$5&gt;70,0+50*($AG1889/100),IF($O$5&gt;60,5+50*($AG1889/100),IF($O$5&gt;50,10+60*($AG1889/100),IF($O$5&gt;40,15+70*($AG1889/100),IF($O$5&gt;30,20+70*($AG1889/100),IF($O$5&gt;20,40+55*($AG1889/100),(80+(20-$O$5)+30*($AG1889/100))))))))))</f>
        <v>100</v>
      </c>
      <c r="AI1889" s="262">
        <v>3346</v>
      </c>
      <c r="AJ1889" s="262"/>
      <c r="AK1889" s="262"/>
      <c r="AL1889" s="263"/>
      <c r="AM1889" s="264"/>
      <c r="AN1889" s="263"/>
      <c r="AO1889" s="263"/>
      <c r="AP1889" s="265"/>
      <c r="AQ1889" s="266">
        <v>5842</v>
      </c>
      <c r="AR1889" s="267">
        <v>31982</v>
      </c>
      <c r="AS1889" s="263"/>
      <c r="AT1889" s="263"/>
      <c r="AU1889" s="263"/>
      <c r="AV1889" s="264"/>
      <c r="AW1889" s="263"/>
      <c r="AX1889" s="263"/>
      <c r="AY1889" s="263"/>
      <c r="AZ1889" s="263"/>
      <c r="BA1889" s="263"/>
      <c r="BB1889" s="263"/>
      <c r="BC1889" s="263"/>
      <c r="BD1889" s="264"/>
      <c r="BE1889" s="263"/>
      <c r="BF1889" s="263"/>
      <c r="BG1889" s="263"/>
      <c r="BH1889" s="263"/>
      <c r="BI1889" s="263"/>
      <c r="BJ1889" s="404">
        <f>altaz(J2000_Bas,$O1889,$M1889,DecLat,DecLong,2)</f>
        <v>302.62038376164674</v>
      </c>
      <c r="BK1889" s="378" t="s">
        <v>1847</v>
      </c>
      <c r="BL1889" s="379">
        <f>IF((2*G1889)/60&lt;0.2,0.2,(2*G1889)/60)</f>
        <v>0.2</v>
      </c>
      <c r="BM1889" s="380">
        <f>MOD((50000+AD1889-$B$3+(0/24)),1)</f>
        <v>0.65524601230572443</v>
      </c>
      <c r="BN1889" s="381"/>
      <c r="BO1889" s="382">
        <v>1882</v>
      </c>
    </row>
    <row r="1890" spans="1:67" s="24" customFormat="1" ht="15" customHeight="1" x14ac:dyDescent="0.25">
      <c r="A1890" s="288" t="s">
        <v>1848</v>
      </c>
      <c r="B1890" s="241" t="str">
        <f>HYPERLINK(CONCATENATE($AT$3,BK1890,$AU$3),$AV$3)</f>
        <v>S</v>
      </c>
      <c r="C1890" s="242" t="str">
        <f>HYPERLINK(CONCATENATE($AT$4,BK1890,$AU$4,BL1890),$AV$4)</f>
        <v>A</v>
      </c>
      <c r="D1890" s="243" t="s">
        <v>5638</v>
      </c>
      <c r="E1890" s="244" t="s">
        <v>5192</v>
      </c>
      <c r="F1890" s="269" t="s">
        <v>8908</v>
      </c>
      <c r="G1890" s="273">
        <v>4</v>
      </c>
      <c r="H1890" s="283">
        <v>140</v>
      </c>
      <c r="I1890" s="246">
        <v>160</v>
      </c>
      <c r="J1890" s="246">
        <v>3</v>
      </c>
      <c r="K1890" s="247" t="s">
        <v>7442</v>
      </c>
      <c r="L1890" s="248">
        <v>104247</v>
      </c>
      <c r="M1890" s="249">
        <f>15*(LEFT(TEXT($L1890,"000000"),2)+(MID(TEXT($L1890,"000000"),3,2)/60)+(RIGHT(TEXT($L1890,"000000"),2)/3600))</f>
        <v>160.69583333333333</v>
      </c>
      <c r="N1890" s="286">
        <v>-362109</v>
      </c>
      <c r="O1890" s="251">
        <f>IF($N1890&gt;0,(LEFT(TEXT($N1890,"000000"),2)+(MID(TEXT($N1890,"000000"),3,2)/60)+(RIGHT(TEXT($N1890,"000000"),2)/3600)),-(MID(TEXT($N1890,"000000"),2,2)+(MID(TEXT($N1890,"000000"),4,2)/60)+(RIGHT(TEXT($N1890,"000000"),2)/3600)))</f>
        <v>-36.352499999999999</v>
      </c>
      <c r="P1890" s="252" t="s">
        <v>1210</v>
      </c>
      <c r="Q1890" s="253"/>
      <c r="R1890" s="247" t="s">
        <v>3293</v>
      </c>
      <c r="S1890" s="272" t="s">
        <v>7440</v>
      </c>
      <c r="T1890" s="273">
        <v>11.3</v>
      </c>
      <c r="U1890" s="289">
        <v>22.29</v>
      </c>
      <c r="V1890" s="280">
        <v>78</v>
      </c>
      <c r="W1890" s="244"/>
      <c r="X1890" s="244"/>
      <c r="Y1890" s="362"/>
      <c r="Z1890" s="257">
        <f>altaz(J2000_Bas,$O1890,$M1890,DecLat,DecLong,1)</f>
        <v>-44.771438926698345</v>
      </c>
      <c r="AA1890" s="257">
        <f>altaz((J2000_Bas+(2*0.04167)),$O1890,$M1890,DecLat,DecLong,1)</f>
        <v>-68.897420094528314</v>
      </c>
      <c r="AB1890" s="257">
        <f>altaz((J2000_Bas+(4*0.04167)),$O1890,$M1890,DecLat,DecLong,1)</f>
        <v>-82.97327474121083</v>
      </c>
      <c r="AC1890" s="257">
        <f>altaz((J2000_Bas+(6*0.04167)),$O1890,$M1890,DecLat,DecLong,1)</f>
        <v>-60.099359209725321</v>
      </c>
      <c r="AD1890" s="258">
        <f>1+ transit((J2000_Bas-1),$O1890,$M1890,DecLat,DecLong)/360 + (GMTOffset/24) + (IF(DST="Y", 1, 0)/24)</f>
        <v>1.4392772308067914</v>
      </c>
      <c r="AE1890" s="259">
        <f>DATE(2001,9,21)+(M1890/360)*365 - (360*((DecLong/360)- (GMTOffset/24) ))</f>
        <v>37322.927719907406</v>
      </c>
      <c r="AF1890" s="260">
        <f>IF(DecLat&gt;0,IF((90 - (DecLat-O1890))&gt;90, (90 - (O1890-DecLat)), (90 - (DecLat-O1890))),IF((90 + (DecLat-O1890))&gt;90, (90 + (O1890-DecLat)), (90 + (DecLat-O1890))))</f>
        <v>22.647500000000008</v>
      </c>
      <c r="AG1890" s="257">
        <f>angularseperation(MoonRA,MoonDec,$M1890,$O1890)</f>
        <v>73.257406183131678</v>
      </c>
      <c r="AH1890" s="261">
        <f ca="1">MIN(100,IF($O$5&gt;80,0+30*($AG1890/100),IF($O$5&gt;70,0+50*($AG1890/100),IF($O$5&gt;60,5+50*($AG1890/100),IF($O$5&gt;50,10+60*($AG1890/100),IF($O$5&gt;40,15+70*($AG1890/100),IF($O$5&gt;30,20+70*($AG1890/100),IF($O$5&gt;20,40+55*($AG1890/100),(80+(20-$O$5)+30*($AG1890/100))))))))))</f>
        <v>100</v>
      </c>
      <c r="AI1890" s="262">
        <v>3347</v>
      </c>
      <c r="AJ1890" s="262"/>
      <c r="AK1890" s="262"/>
      <c r="AL1890" s="263"/>
      <c r="AM1890" s="264"/>
      <c r="AN1890" s="263"/>
      <c r="AO1890" s="263"/>
      <c r="AP1890" s="265"/>
      <c r="AQ1890" s="266"/>
      <c r="AR1890" s="267">
        <v>31926</v>
      </c>
      <c r="AS1890" s="263"/>
      <c r="AT1890" s="263"/>
      <c r="AU1890" s="263"/>
      <c r="AV1890" s="264"/>
      <c r="AW1890" s="263"/>
      <c r="AX1890" s="263"/>
      <c r="AY1890" s="263"/>
      <c r="AZ1890" s="263"/>
      <c r="BA1890" s="263"/>
      <c r="BB1890" s="263"/>
      <c r="BC1890" s="263"/>
      <c r="BD1890" s="264"/>
      <c r="BE1890" s="263"/>
      <c r="BF1890" s="263"/>
      <c r="BG1890" s="263"/>
      <c r="BH1890" s="263"/>
      <c r="BI1890" s="263"/>
      <c r="BJ1890" s="404">
        <f>altaz(J2000_Bas,$O1890,$M1890,DecLat,DecLong,2)</f>
        <v>247.79025703319996</v>
      </c>
      <c r="BK1890" s="378" t="s">
        <v>1848</v>
      </c>
      <c r="BL1890" s="379">
        <f>IF((2*G1890)/60&lt;0.2,0.2,(2*G1890)/60)</f>
        <v>0.2</v>
      </c>
      <c r="BM1890" s="380">
        <f>MOD((50000+AD1890-$B$3+(0/24)),1)</f>
        <v>0.65464416050963337</v>
      </c>
      <c r="BN1890" s="381"/>
      <c r="BO1890" s="382">
        <v>1883</v>
      </c>
    </row>
    <row r="1891" spans="1:67" s="24" customFormat="1" ht="15" customHeight="1" x14ac:dyDescent="0.25">
      <c r="A1891" s="288" t="s">
        <v>1849</v>
      </c>
      <c r="B1891" s="241" t="str">
        <f>HYPERLINK(CONCATENATE($AT$3,BK1891,$AU$3),$AV$3)</f>
        <v>S</v>
      </c>
      <c r="C1891" s="242" t="str">
        <f>HYPERLINK(CONCATENATE($AT$4,BK1891,$AU$4,BL1891),$AV$4)</f>
        <v>A</v>
      </c>
      <c r="D1891" s="243" t="s">
        <v>5638</v>
      </c>
      <c r="E1891" s="244" t="s">
        <v>5192</v>
      </c>
      <c r="F1891" s="269" t="s">
        <v>8699</v>
      </c>
      <c r="G1891" s="273">
        <v>3</v>
      </c>
      <c r="H1891" s="283">
        <v>200</v>
      </c>
      <c r="I1891" s="246">
        <v>180</v>
      </c>
      <c r="J1891" s="246">
        <v>3</v>
      </c>
      <c r="K1891" s="247" t="s">
        <v>7444</v>
      </c>
      <c r="L1891" s="248">
        <v>104412</v>
      </c>
      <c r="M1891" s="249">
        <f>15*(LEFT(TEXT($L1891,"000000"),2)+(MID(TEXT($L1891,"000000"),3,2)/60)+(RIGHT(TEXT($L1891,"000000"),2)/3600))</f>
        <v>161.04999999999998</v>
      </c>
      <c r="N1891" s="250">
        <v>64531</v>
      </c>
      <c r="O1891" s="251">
        <f>IF($N1891&gt;0,(LEFT(TEXT($N1891,"000000"),2)+(MID(TEXT($N1891,"000000"),3,2)/60)+(RIGHT(TEXT($N1891,"000000"),2)/3600)),-(MID(TEXT($N1891,"000000"),2,2)+(MID(TEXT($N1891,"000000"),4,2)/60)+(RIGHT(TEXT($N1891,"000000"),2)/3600)))</f>
        <v>6.7586111111111107</v>
      </c>
      <c r="P1891" s="252" t="s">
        <v>183</v>
      </c>
      <c r="Q1891" s="253"/>
      <c r="R1891" s="277" t="s">
        <v>3293</v>
      </c>
      <c r="S1891" s="272" t="s">
        <v>5202</v>
      </c>
      <c r="T1891" s="273">
        <v>13.3</v>
      </c>
      <c r="U1891" s="289">
        <v>22.39</v>
      </c>
      <c r="V1891" s="280">
        <v>65</v>
      </c>
      <c r="W1891" s="244"/>
      <c r="X1891" s="244"/>
      <c r="Y1891" s="362"/>
      <c r="Z1891" s="257">
        <f>altaz(J2000_Bas,$O1891,$M1891,DecLat,DecLong,1)</f>
        <v>-25.280148093230832</v>
      </c>
      <c r="AA1891" s="257">
        <f>altaz((J2000_Bas+(2*0.04167)),$O1891,$M1891,DecLat,DecLong,1)</f>
        <v>-45.322770530313569</v>
      </c>
      <c r="AB1891" s="257">
        <f>altaz((J2000_Bas+(4*0.04167)),$O1891,$M1891,DecLat,DecLong,1)</f>
        <v>-51.924512035797235</v>
      </c>
      <c r="AC1891" s="257">
        <f>altaz((J2000_Bas+(6*0.04167)),$O1891,$M1891,DecLat,DecLong,1)</f>
        <v>-39.41225225043992</v>
      </c>
      <c r="AD1891" s="258">
        <f>1+ transit((J2000_Bas-1),$O1891,$M1891,DecLat,DecLong)/360 + (GMTOffset/24) + (IF(DST="Y", 1, 0)/24)</f>
        <v>1.440261027004708</v>
      </c>
      <c r="AE1891" s="259">
        <f>DATE(2001,9,21)+(M1891/360)*365 - (360*((DecLong/360)- (GMTOffset/24) ))</f>
        <v>37323.286805555559</v>
      </c>
      <c r="AF1891" s="260">
        <f>IF(DecLat&gt;0,IF((90 - (DecLat-O1891))&gt;90, (90 - (O1891-DecLat)), (90 - (DecLat-O1891))),IF((90 + (DecLat-O1891))&gt;90, (90 + (O1891-DecLat)), (90 + (DecLat-O1891))))</f>
        <v>65.758611111111108</v>
      </c>
      <c r="AG1891" s="257">
        <f>angularseperation(MoonRA,MoonDec,$M1891,$O1891)</f>
        <v>91.471851726901818</v>
      </c>
      <c r="AH1891" s="261">
        <f ca="1">MIN(100,IF($O$5&gt;80,0+30*($AG1891/100),IF($O$5&gt;70,0+50*($AG1891/100),IF($O$5&gt;60,5+50*($AG1891/100),IF($O$5&gt;50,10+60*($AG1891/100),IF($O$5&gt;40,15+70*($AG1891/100),IF($O$5&gt;30,20+70*($AG1891/100),IF($O$5&gt;20,40+55*($AG1891/100),(80+(20-$O$5)+30*($AG1891/100))))))))))</f>
        <v>100</v>
      </c>
      <c r="AI1891" s="262">
        <v>3356</v>
      </c>
      <c r="AJ1891" s="263"/>
      <c r="AK1891" s="263"/>
      <c r="AL1891" s="263"/>
      <c r="AM1891" s="264"/>
      <c r="AN1891" s="263"/>
      <c r="AO1891" s="263"/>
      <c r="AP1891" s="265"/>
      <c r="AQ1891" s="265">
        <v>5852</v>
      </c>
      <c r="AR1891" s="285">
        <v>32021</v>
      </c>
      <c r="AS1891" s="263"/>
      <c r="AT1891" s="263"/>
      <c r="AU1891" s="263"/>
      <c r="AV1891" s="264"/>
      <c r="AW1891" s="263"/>
      <c r="AX1891" s="263"/>
      <c r="AY1891" s="263"/>
      <c r="AZ1891" s="263"/>
      <c r="BA1891" s="263"/>
      <c r="BB1891" s="263"/>
      <c r="BC1891" s="263"/>
      <c r="BD1891" s="264"/>
      <c r="BE1891" s="263"/>
      <c r="BF1891" s="263"/>
      <c r="BG1891" s="263"/>
      <c r="BH1891" s="263"/>
      <c r="BI1891" s="263"/>
      <c r="BJ1891" s="404">
        <f>altaz(J2000_Bas,$O1891,$M1891,DecLat,DecLong,2)</f>
        <v>295.82408534414122</v>
      </c>
      <c r="BK1891" s="378" t="s">
        <v>1849</v>
      </c>
      <c r="BL1891" s="379">
        <f>IF((2*G1891)/60&lt;0.2,0.2,(2*G1891)/60)</f>
        <v>0.2</v>
      </c>
      <c r="BM1891" s="380">
        <f>MOD((50000+AD1891-$B$3+(0/24)),1)</f>
        <v>0.65562795670848573</v>
      </c>
      <c r="BN1891" s="381"/>
      <c r="BO1891" s="382">
        <v>1884</v>
      </c>
    </row>
    <row r="1892" spans="1:67" s="24" customFormat="1" ht="15" customHeight="1" x14ac:dyDescent="0.25">
      <c r="A1892" s="288" t="s">
        <v>1850</v>
      </c>
      <c r="B1892" s="241" t="str">
        <f>HYPERLINK(CONCATENATE($AT$3,BK1892,$AU$3),$AV$3)</f>
        <v>S</v>
      </c>
      <c r="C1892" s="242" t="str">
        <f>HYPERLINK(CONCATENATE($AT$4,BK1892,$AU$4,BL1892),$AV$4)</f>
        <v>A</v>
      </c>
      <c r="D1892" s="243" t="s">
        <v>5638</v>
      </c>
      <c r="E1892" s="244" t="s">
        <v>5182</v>
      </c>
      <c r="F1892" s="269" t="s">
        <v>8903</v>
      </c>
      <c r="G1892" s="273">
        <v>4</v>
      </c>
      <c r="H1892" s="283">
        <v>140</v>
      </c>
      <c r="I1892" s="246">
        <v>160</v>
      </c>
      <c r="J1892" s="246">
        <v>2</v>
      </c>
      <c r="K1892" s="247" t="s">
        <v>7443</v>
      </c>
      <c r="L1892" s="248">
        <v>104333</v>
      </c>
      <c r="M1892" s="249">
        <f>15*(LEFT(TEXT($L1892,"000000"),2)+(MID(TEXT($L1892,"000000"),3,2)/60)+(RIGHT(TEXT($L1892,"000000"),2)/3600))</f>
        <v>160.88750000000002</v>
      </c>
      <c r="N1892" s="250">
        <v>-362439</v>
      </c>
      <c r="O1892" s="251">
        <f>IF($N1892&gt;0,(LEFT(TEXT($N1892,"000000"),2)+(MID(TEXT($N1892,"000000"),3,2)/60)+(RIGHT(TEXT($N1892,"000000"),2)/3600)),-(MID(TEXT($N1892,"000000"),2,2)+(MID(TEXT($N1892,"000000"),4,2)/60)+(RIGHT(TEXT($N1892,"000000"),2)/3600)))</f>
        <v>-36.410833333333329</v>
      </c>
      <c r="P1892" s="252" t="s">
        <v>1210</v>
      </c>
      <c r="Q1892" s="253"/>
      <c r="R1892" s="247" t="s">
        <v>3293</v>
      </c>
      <c r="S1892" s="272" t="s">
        <v>7441</v>
      </c>
      <c r="T1892" s="273">
        <v>11.4</v>
      </c>
      <c r="U1892" s="289">
        <v>22.19</v>
      </c>
      <c r="V1892" s="280">
        <v>70</v>
      </c>
      <c r="W1892" s="244"/>
      <c r="X1892" s="244"/>
      <c r="Y1892" s="362"/>
      <c r="Z1892" s="257">
        <f>altaz(J2000_Bas,$O1892,$M1892,DecLat,DecLong,1)</f>
        <v>-44.629372235308118</v>
      </c>
      <c r="AA1892" s="257">
        <f>altaz((J2000_Bas+(2*0.04167)),$O1892,$M1892,DecLat,DecLong,1)</f>
        <v>-68.73680906326959</v>
      </c>
      <c r="AB1892" s="257">
        <f>altaz((J2000_Bas+(4*0.04167)),$O1892,$M1892,DecLat,DecLong,1)</f>
        <v>-83.031234381395251</v>
      </c>
      <c r="AC1892" s="257">
        <f>altaz((J2000_Bas+(6*0.04167)),$O1892,$M1892,DecLat,DecLong,1)</f>
        <v>-60.25372982711712</v>
      </c>
      <c r="AD1892" s="258">
        <f>1+ transit((J2000_Bas-1),$O1892,$M1892,DecLat,DecLong)/360 + (GMTOffset/24) + (IF(DST="Y", 1, 0)/24)</f>
        <v>1.439809638160958</v>
      </c>
      <c r="AE1892" s="259">
        <f>DATE(2001,9,21)+(M1892/360)*365 - (360*((DecLong/360)- (GMTOffset/24) ))</f>
        <v>37323.122048611112</v>
      </c>
      <c r="AF1892" s="260">
        <f>IF(DecLat&gt;0,IF((90 - (DecLat-O1892))&gt;90, (90 - (O1892-DecLat)), (90 - (DecLat-O1892))),IF((90 + (DecLat-O1892))&gt;90, (90 + (O1892-DecLat)), (90 + (DecLat-O1892))))</f>
        <v>22.589166666666671</v>
      </c>
      <c r="AG1892" s="257">
        <f>angularseperation(MoonRA,MoonDec,$M1892,$O1892)</f>
        <v>73.092460345132736</v>
      </c>
      <c r="AH1892" s="261">
        <f ca="1">MIN(100,IF($O$5&gt;80,0+30*($AG1892/100),IF($O$5&gt;70,0+50*($AG1892/100),IF($O$5&gt;60,5+50*($AG1892/100),IF($O$5&gt;50,10+60*($AG1892/100),IF($O$5&gt;40,15+70*($AG1892/100),IF($O$5&gt;30,20+70*($AG1892/100),IF($O$5&gt;20,40+55*($AG1892/100),(80+(20-$O$5)+30*($AG1892/100))))))))))</f>
        <v>100</v>
      </c>
      <c r="AI1892" s="262">
        <v>3358</v>
      </c>
      <c r="AJ1892" s="262"/>
      <c r="AK1892" s="262"/>
      <c r="AL1892" s="263"/>
      <c r="AM1892" s="264"/>
      <c r="AN1892" s="263"/>
      <c r="AO1892" s="263"/>
      <c r="AP1892" s="265"/>
      <c r="AQ1892" s="266"/>
      <c r="AR1892" s="267">
        <v>31974</v>
      </c>
      <c r="AS1892" s="263"/>
      <c r="AT1892" s="263"/>
      <c r="AU1892" s="263"/>
      <c r="AV1892" s="264"/>
      <c r="AW1892" s="263"/>
      <c r="AX1892" s="263"/>
      <c r="AY1892" s="263"/>
      <c r="AZ1892" s="263"/>
      <c r="BA1892" s="263"/>
      <c r="BB1892" s="263"/>
      <c r="BC1892" s="263"/>
      <c r="BD1892" s="264"/>
      <c r="BE1892" s="263"/>
      <c r="BF1892" s="263"/>
      <c r="BG1892" s="263"/>
      <c r="BH1892" s="263"/>
      <c r="BI1892" s="263"/>
      <c r="BJ1892" s="404">
        <f>altaz(J2000_Bas,$O1892,$M1892,DecLat,DecLong,2)</f>
        <v>247.67229147031935</v>
      </c>
      <c r="BK1892" s="378" t="s">
        <v>1850</v>
      </c>
      <c r="BL1892" s="379">
        <f>IF((2*G1892)/60&lt;0.2,0.2,(2*G1892)/60)</f>
        <v>0.2</v>
      </c>
      <c r="BM1892" s="380">
        <f>MOD((50000+AD1892-$B$3+(0/24)),1)</f>
        <v>0.65517656786687439</v>
      </c>
      <c r="BN1892" s="381"/>
      <c r="BO1892" s="382">
        <v>1885</v>
      </c>
    </row>
    <row r="1893" spans="1:67" s="24" customFormat="1" ht="15" customHeight="1" x14ac:dyDescent="0.25">
      <c r="A1893" s="288" t="s">
        <v>1851</v>
      </c>
      <c r="B1893" s="241" t="str">
        <f>HYPERLINK(CONCATENATE($AT$3,BK1893,$AU$3),$AV$3)</f>
        <v>S</v>
      </c>
      <c r="C1893" s="242" t="str">
        <f>HYPERLINK(CONCATENATE($AT$4,BK1893,$AU$4,BL1893),$AV$4)</f>
        <v>A</v>
      </c>
      <c r="D1893" s="243" t="s">
        <v>5638</v>
      </c>
      <c r="E1893" s="244" t="s">
        <v>5192</v>
      </c>
      <c r="F1893" s="269" t="s">
        <v>8895</v>
      </c>
      <c r="G1893" s="273">
        <v>7</v>
      </c>
      <c r="H1893" s="283">
        <v>60</v>
      </c>
      <c r="I1893" s="246">
        <v>120</v>
      </c>
      <c r="J1893" s="246">
        <v>3</v>
      </c>
      <c r="K1893" s="247" t="s">
        <v>7445</v>
      </c>
      <c r="L1893" s="248">
        <v>104637</v>
      </c>
      <c r="M1893" s="249">
        <f>15*(LEFT(TEXT($L1893,"000000"),2)+(MID(TEXT($L1893,"000000"),3,2)/60)+(RIGHT(TEXT($L1893,"000000"),2)/3600))</f>
        <v>161.6541666666667</v>
      </c>
      <c r="N1893" s="250">
        <v>631325</v>
      </c>
      <c r="O1893" s="251">
        <f>IF($N1893&gt;0,(LEFT(TEXT($N1893,"000000"),2)+(MID(TEXT($N1893,"000000"),3,2)/60)+(RIGHT(TEXT($N1893,"000000"),2)/3600)),-(MID(TEXT($N1893,"000000"),2,2)+(MID(TEXT($N1893,"000000"),4,2)/60)+(RIGHT(TEXT($N1893,"000000"),2)/3600)))</f>
        <v>63.223611111111111</v>
      </c>
      <c r="P1893" s="252" t="s">
        <v>37</v>
      </c>
      <c r="Q1893" s="253"/>
      <c r="R1893" s="247" t="s">
        <v>3293</v>
      </c>
      <c r="S1893" s="272" t="s">
        <v>3293</v>
      </c>
      <c r="T1893" s="273">
        <v>10.6</v>
      </c>
      <c r="U1893" s="289">
        <v>23.09</v>
      </c>
      <c r="V1893" s="280">
        <v>55</v>
      </c>
      <c r="W1893" s="244"/>
      <c r="X1893" s="244"/>
      <c r="Y1893" s="362"/>
      <c r="Z1893" s="257">
        <f>altaz(J2000_Bas,$O1893,$M1893,DecLat,DecLong,1)</f>
        <v>14.000429209995735</v>
      </c>
      <c r="AA1893" s="257">
        <f>altaz((J2000_Bas+(2*0.04167)),$O1893,$M1893,DecLat,DecLong,1)</f>
        <v>6.3995820894719309</v>
      </c>
      <c r="AB1893" s="257">
        <f>altaz((J2000_Bas+(4*0.04167)),$O1893,$M1893,DecLat,DecLong,1)</f>
        <v>4.2925394944763555</v>
      </c>
      <c r="AC1893" s="257">
        <f>altaz((J2000_Bas+(6*0.04167)),$O1893,$M1893,DecLat,DecLong,1)</f>
        <v>8.1610024798440808</v>
      </c>
      <c r="AD1893" s="258">
        <f>1+ transit((J2000_Bas-1),$O1893,$M1893,DecLat,DecLong)/360 + (GMTOffset/24) + (IF(DST="Y", 1, 0)/24)</f>
        <v>1.4419392675776248</v>
      </c>
      <c r="AE1893" s="259">
        <f>DATE(2001,9,21)+(M1893/360)*365 - (360*((DecLong/360)- (GMTOffset/24) ))</f>
        <v>37323.899363425924</v>
      </c>
      <c r="AF1893" s="260">
        <f>IF(DecLat&gt;0,IF((90 - (DecLat-O1893))&gt;90, (90 - (O1893-DecLat)), (90 - (DecLat-O1893))),IF((90 + (DecLat-O1893))&gt;90, (90 + (O1893-DecLat)), (90 + (DecLat-O1893))))</f>
        <v>57.776388888888889</v>
      </c>
      <c r="AG1893" s="257">
        <f>angularseperation(MoonRA,MoonDec,$M1893,$O1893)</f>
        <v>112.92927418250272</v>
      </c>
      <c r="AH1893" s="261">
        <f ca="1">MIN(100,IF($O$5&gt;80,0+30*($AG1893/100),IF($O$5&gt;70,0+50*($AG1893/100),IF($O$5&gt;60,5+50*($AG1893/100),IF($O$5&gt;50,10+60*($AG1893/100),IF($O$5&gt;40,15+70*($AG1893/100),IF($O$5&gt;30,20+70*($AG1893/100),IF($O$5&gt;20,40+55*($AG1893/100),(80+(20-$O$5)+30*($AG1893/100))))))))))</f>
        <v>100</v>
      </c>
      <c r="AI1893" s="262">
        <v>3359</v>
      </c>
      <c r="AJ1893" s="262"/>
      <c r="AK1893" s="262"/>
      <c r="AL1893" s="263"/>
      <c r="AM1893" s="264"/>
      <c r="AN1893" s="263"/>
      <c r="AO1893" s="263"/>
      <c r="AP1893" s="265"/>
      <c r="AQ1893" s="266">
        <v>5873</v>
      </c>
      <c r="AR1893" s="267">
        <v>32183</v>
      </c>
      <c r="AS1893" s="263"/>
      <c r="AT1893" s="263"/>
      <c r="AU1893" s="263"/>
      <c r="AV1893" s="264"/>
      <c r="AW1893" s="263"/>
      <c r="AX1893" s="263"/>
      <c r="AY1893" s="263"/>
      <c r="AZ1893" s="263"/>
      <c r="BA1893" s="263"/>
      <c r="BB1893" s="263"/>
      <c r="BC1893" s="263"/>
      <c r="BD1893" s="264"/>
      <c r="BE1893" s="263"/>
      <c r="BF1893" s="263"/>
      <c r="BG1893" s="263">
        <v>52</v>
      </c>
      <c r="BH1893" s="263"/>
      <c r="BI1893" s="263"/>
      <c r="BJ1893" s="404">
        <f>altaz(J2000_Bas,$O1893,$M1893,DecLat,DecLong,2)</f>
        <v>337.45940717400947</v>
      </c>
      <c r="BK1893" s="378" t="s">
        <v>1851</v>
      </c>
      <c r="BL1893" s="379">
        <f>IF((2*G1893)/60&lt;0.2,0.2,(2*G1893)/60)</f>
        <v>0.23333333333333334</v>
      </c>
      <c r="BM1893" s="380">
        <f>MOD((50000+AD1893-$B$3+(0/24)),1)</f>
        <v>0.65730619728128659</v>
      </c>
      <c r="BN1893" s="381" t="s">
        <v>9271</v>
      </c>
      <c r="BO1893" s="382">
        <v>1886</v>
      </c>
    </row>
    <row r="1894" spans="1:67" s="24" customFormat="1" ht="15" customHeight="1" x14ac:dyDescent="0.25">
      <c r="A1894" s="288" t="s">
        <v>1852</v>
      </c>
      <c r="B1894" s="241" t="str">
        <f>HYPERLINK(CONCATENATE($AT$3,BK1894,$AU$3),$AV$3)</f>
        <v>S</v>
      </c>
      <c r="C1894" s="242" t="str">
        <f>HYPERLINK(CONCATENATE($AT$4,BK1894,$AU$4,BL1894),$AV$4)</f>
        <v>A</v>
      </c>
      <c r="D1894" s="243" t="s">
        <v>5638</v>
      </c>
      <c r="E1894" s="244" t="s">
        <v>5192</v>
      </c>
      <c r="F1894" s="269" t="s">
        <v>8689</v>
      </c>
      <c r="G1894" s="273">
        <v>3</v>
      </c>
      <c r="H1894" s="283">
        <v>100</v>
      </c>
      <c r="I1894" s="246">
        <v>90</v>
      </c>
      <c r="J1894" s="246">
        <v>2</v>
      </c>
      <c r="K1894" s="247" t="s">
        <v>7446</v>
      </c>
      <c r="L1894" s="248">
        <v>104704</v>
      </c>
      <c r="M1894" s="249">
        <f>15*(LEFT(TEXT($L1894,"000000"),2)+(MID(TEXT($L1894,"000000"),3,2)/60)+(RIGHT(TEXT($L1894,"000000"),2)/3600))</f>
        <v>161.76666666666668</v>
      </c>
      <c r="N1894" s="250">
        <v>171624</v>
      </c>
      <c r="O1894" s="251">
        <f>IF($N1894&gt;0,(LEFT(TEXT($N1894,"000000"),2)+(MID(TEXT($N1894,"000000"),3,2)/60)+(RIGHT(TEXT($N1894,"000000"),2)/3600)),-(MID(TEXT($N1894,"000000"),2,2)+(MID(TEXT($N1894,"000000"),4,2)/60)+(RIGHT(TEXT($N1894,"000000"),2)/3600)))</f>
        <v>17.273333333333333</v>
      </c>
      <c r="P1894" s="252" t="s">
        <v>183</v>
      </c>
      <c r="Q1894" s="253"/>
      <c r="R1894" s="277" t="s">
        <v>3293</v>
      </c>
      <c r="S1894" s="272" t="s">
        <v>3293</v>
      </c>
      <c r="T1894" s="273">
        <v>11.6</v>
      </c>
      <c r="U1894" s="289">
        <v>21.79</v>
      </c>
      <c r="V1894" s="280">
        <v>45</v>
      </c>
      <c r="W1894" s="244"/>
      <c r="X1894" s="244"/>
      <c r="Y1894" s="362"/>
      <c r="Z1894" s="257">
        <f>altaz(J2000_Bas,$O1894,$M1894,DecLat,DecLong,1)</f>
        <v>-17.912498729923101</v>
      </c>
      <c r="AA1894" s="257">
        <f>altaz((J2000_Bas+(2*0.04167)),$O1894,$M1894,DecLat,DecLong,1)</f>
        <v>-35.784305394238018</v>
      </c>
      <c r="AB1894" s="257">
        <f>altaz((J2000_Bas+(4*0.04167)),$O1894,$M1894,DecLat,DecLong,1)</f>
        <v>-41.541312428136969</v>
      </c>
      <c r="AC1894" s="257">
        <f>altaz((J2000_Bas+(6*0.04167)),$O1894,$M1894,DecLat,DecLong,1)</f>
        <v>-31.446878453418737</v>
      </c>
      <c r="AD1894" s="258">
        <f>1+ transit((J2000_Bas-1),$O1894,$M1894,DecLat,DecLong)/360 + (GMTOffset/24) + (IF(DST="Y", 1, 0)/24)</f>
        <v>1.4422517675463746</v>
      </c>
      <c r="AE1894" s="259">
        <f>DATE(2001,9,21)+(M1894/360)*365 - (360*((DecLong/360)- (GMTOffset/24) ))</f>
        <v>37324.013425925928</v>
      </c>
      <c r="AF1894" s="260">
        <f>IF(DecLat&gt;0,IF((90 - (DecLat-O1894))&gt;90, (90 - (O1894-DecLat)), (90 - (DecLat-O1894))),IF((90 + (DecLat-O1894))&gt;90, (90 + (O1894-DecLat)), (90 + (DecLat-O1894))))</f>
        <v>76.273333333333341</v>
      </c>
      <c r="AG1894" s="257">
        <f>angularseperation(MoonRA,MoonDec,$M1894,$O1894)</f>
        <v>95.609061592209841</v>
      </c>
      <c r="AH1894" s="261">
        <f ca="1">MIN(100,IF($O$5&gt;80,0+30*($AG1894/100),IF($O$5&gt;70,0+50*($AG1894/100),IF($O$5&gt;60,5+50*($AG1894/100),IF($O$5&gt;50,10+60*($AG1894/100),IF($O$5&gt;40,15+70*($AG1894/100),IF($O$5&gt;30,20+70*($AG1894/100),IF($O$5&gt;20,40+55*($AG1894/100),(80+(20-$O$5)+30*($AG1894/100))))))))))</f>
        <v>100</v>
      </c>
      <c r="AI1894" s="262">
        <v>3370</v>
      </c>
      <c r="AJ1894" s="263"/>
      <c r="AK1894" s="263"/>
      <c r="AL1894" s="263"/>
      <c r="AM1894" s="264"/>
      <c r="AN1894" s="263"/>
      <c r="AO1894" s="263"/>
      <c r="AP1894" s="265"/>
      <c r="AQ1894" s="265">
        <v>5887</v>
      </c>
      <c r="AR1894" s="285">
        <v>32207</v>
      </c>
      <c r="AS1894" s="263"/>
      <c r="AT1894" s="263"/>
      <c r="AU1894" s="263"/>
      <c r="AV1894" s="264"/>
      <c r="AW1894" s="263"/>
      <c r="AX1894" s="263"/>
      <c r="AY1894" s="263"/>
      <c r="AZ1894" s="263"/>
      <c r="BA1894" s="263"/>
      <c r="BB1894" s="263"/>
      <c r="BC1894" s="263"/>
      <c r="BD1894" s="264"/>
      <c r="BE1894" s="263"/>
      <c r="BF1894" s="263"/>
      <c r="BG1894" s="263"/>
      <c r="BH1894" s="263"/>
      <c r="BI1894" s="263"/>
      <c r="BJ1894" s="404">
        <f>altaz(J2000_Bas,$O1894,$M1894,DecLat,DecLong,2)</f>
        <v>303.9364629160084</v>
      </c>
      <c r="BK1894" s="378" t="s">
        <v>1852</v>
      </c>
      <c r="BL1894" s="379">
        <f>IF((2*G1894)/60&lt;0.2,0.2,(2*G1894)/60)</f>
        <v>0.2</v>
      </c>
      <c r="BM1894" s="380">
        <f>MOD((50000+AD1894-$B$3+(0/24)),1)</f>
        <v>0.65761869725247379</v>
      </c>
      <c r="BN1894" s="381"/>
      <c r="BO1894" s="382">
        <v>1887</v>
      </c>
    </row>
    <row r="1895" spans="1:67" s="24" customFormat="1" ht="15" customHeight="1" x14ac:dyDescent="0.25">
      <c r="A1895" s="298" t="s">
        <v>1853</v>
      </c>
      <c r="B1895" s="241" t="str">
        <f>HYPERLINK(CONCATENATE($AT$3,BK1895,$AU$3),$AV$3)</f>
        <v>S</v>
      </c>
      <c r="C1895" s="242" t="str">
        <f>HYPERLINK(CONCATENATE($AT$4,BK1895,$AU$4,BL1895),$AV$4)</f>
        <v>A</v>
      </c>
      <c r="D1895" s="243" t="s">
        <v>5187</v>
      </c>
      <c r="E1895" s="244" t="s">
        <v>5183</v>
      </c>
      <c r="F1895" s="269" t="s">
        <v>9158</v>
      </c>
      <c r="G1895" s="276">
        <v>120</v>
      </c>
      <c r="H1895" s="283">
        <v>7200</v>
      </c>
      <c r="I1895" s="246">
        <v>250</v>
      </c>
      <c r="J1895" s="246">
        <v>5</v>
      </c>
      <c r="K1895" s="247" t="s">
        <v>5463</v>
      </c>
      <c r="L1895" s="248">
        <v>104348</v>
      </c>
      <c r="M1895" s="249">
        <f>15*(LEFT(TEXT($L1895,"000000"),2)+(MID(TEXT($L1895,"000000"),3,2)/60)+(RIGHT(TEXT($L1895,"000000"),2)/3600))</f>
        <v>160.95000000000002</v>
      </c>
      <c r="N1895" s="286">
        <v>-595200</v>
      </c>
      <c r="O1895" s="251">
        <f>IF($N1895&gt;0,(LEFT(TEXT($N1895,"000000"),2)+(MID(TEXT($N1895,"000000"),3,2)/60)+(RIGHT(TEXT($N1895,"000000"),2)/3600)),-(MID(TEXT($N1895,"000000"),2,2)+(MID(TEXT($N1895,"000000"),4,2)/60)+(RIGHT(TEXT($N1895,"000000"),2)/3600)))</f>
        <v>-59.866666666666667</v>
      </c>
      <c r="P1895" s="252" t="s">
        <v>1000</v>
      </c>
      <c r="Q1895" s="253" t="s">
        <v>3366</v>
      </c>
      <c r="R1895" s="247" t="s">
        <v>7404</v>
      </c>
      <c r="S1895" s="272" t="s">
        <v>3293</v>
      </c>
      <c r="T1895" s="273"/>
      <c r="U1895" s="274"/>
      <c r="V1895" s="280"/>
      <c r="W1895" s="244"/>
      <c r="X1895" s="244"/>
      <c r="Y1895" s="362"/>
      <c r="Z1895" s="257">
        <f>altaz(J2000_Bas,$O1895,$M1895,DecLat,DecLong,1)</f>
        <v>-43.834281266823304</v>
      </c>
      <c r="AA1895" s="257">
        <f>altaz((J2000_Bas+(2*0.04167)),$O1895,$M1895,DecLat,DecLong,1)</f>
        <v>-56.705818393699708</v>
      </c>
      <c r="AB1895" s="257">
        <f>altaz((J2000_Bas+(4*0.04167)),$O1895,$M1895,DecLat,DecLong,1)</f>
        <v>-60.922099892076922</v>
      </c>
      <c r="AC1895" s="257">
        <f>altaz((J2000_Bas+(6*0.04167)),$O1895,$M1895,DecLat,DecLong,1)</f>
        <v>-52.806694104114499</v>
      </c>
      <c r="AD1895" s="258">
        <f>1+ transit((J2000_Bas-1),$O1895,$M1895,DecLat,DecLong)/360 + (GMTOffset/24) + (IF(DST="Y", 1, 0)/24)</f>
        <v>1.439983249254708</v>
      </c>
      <c r="AE1895" s="259">
        <f>DATE(2001,9,21)+(M1895/360)*365 - (360*((DecLong/360)- (GMTOffset/24) ))</f>
        <v>37323.185416666667</v>
      </c>
      <c r="AF1895" s="260">
        <f>IF(DecLat&gt;0,IF((90 - (DecLat-O1895))&gt;90, (90 - (O1895-DecLat)), (90 - (DecLat-O1895))),IF((90 + (DecLat-O1895))&gt;90, (90 + (O1895-DecLat)), (90 + (DecLat-O1895))))</f>
        <v>-0.86666666666667425</v>
      </c>
      <c r="AG1895" s="257">
        <f>angularseperation(MoonRA,MoonDec,$M1895,$O1895)</f>
        <v>65.977751495158998</v>
      </c>
      <c r="AH1895" s="261">
        <f ca="1">MIN(100,IF($O$5&gt;80,0+30*($AG1895/100),IF($O$5&gt;70,0+50*($AG1895/100),IF($O$5&gt;60,5+50*($AG1895/100),IF($O$5&gt;50,10+60*($AG1895/100),IF($O$5&gt;40,15+70*($AG1895/100),IF($O$5&gt;30,20+70*($AG1895/100),IF($O$5&gt;20,40+55*($AG1895/100),(80+(20-$O$5)+30*($AG1895/100))))))))))</f>
        <v>100</v>
      </c>
      <c r="AI1895" s="262">
        <v>3372</v>
      </c>
      <c r="AJ1895" s="262"/>
      <c r="AK1895" s="262"/>
      <c r="AL1895" s="263"/>
      <c r="AM1895" s="264">
        <v>92</v>
      </c>
      <c r="AN1895" s="263"/>
      <c r="AO1895" s="263"/>
      <c r="AP1895" s="265"/>
      <c r="AQ1895" s="266"/>
      <c r="AR1895" s="267"/>
      <c r="AS1895" s="263"/>
      <c r="AT1895" s="263"/>
      <c r="AU1895" s="263"/>
      <c r="AV1895" s="264"/>
      <c r="AW1895" s="263"/>
      <c r="AX1895" s="263">
        <v>33</v>
      </c>
      <c r="AY1895" s="263"/>
      <c r="AZ1895" s="263"/>
      <c r="BA1895" s="263">
        <v>53</v>
      </c>
      <c r="BB1895" s="263"/>
      <c r="BC1895" s="263"/>
      <c r="BD1895" s="264"/>
      <c r="BE1895" s="263"/>
      <c r="BF1895" s="263"/>
      <c r="BG1895" s="263"/>
      <c r="BH1895" s="263"/>
      <c r="BI1895" s="263"/>
      <c r="BJ1895" s="404">
        <f>altaz(J2000_Bas,$O1895,$M1895,DecLat,DecLong,2)</f>
        <v>214.73030589067235</v>
      </c>
      <c r="BK1895" s="378" t="s">
        <v>1853</v>
      </c>
      <c r="BL1895" s="379">
        <f>IF((2*G1895)/60&lt;0.2,0.2,(2*G1895)/60)</f>
        <v>4</v>
      </c>
      <c r="BM1895" s="380">
        <f>MOD((50000+AD1895-$B$3+(0/24)),1)</f>
        <v>0.65535017896036152</v>
      </c>
      <c r="BN1895" s="381"/>
      <c r="BO1895" s="382">
        <v>1888</v>
      </c>
    </row>
    <row r="1896" spans="1:67" s="24" customFormat="1" ht="15" customHeight="1" x14ac:dyDescent="0.25">
      <c r="A1896" s="287" t="s">
        <v>2988</v>
      </c>
      <c r="B1896" s="241" t="str">
        <f>HYPERLINK(CONCATENATE($AT$3,BK1896,$AU$3),$AV$3)</f>
        <v>S</v>
      </c>
      <c r="C1896" s="242" t="str">
        <f>HYPERLINK(CONCATENATE($AT$4,BK1896,$AU$4,BL1896),$AV$4)</f>
        <v>A</v>
      </c>
      <c r="D1896" s="243" t="s">
        <v>5638</v>
      </c>
      <c r="E1896" s="244" t="s">
        <v>5193</v>
      </c>
      <c r="F1896" s="269" t="s">
        <v>3309</v>
      </c>
      <c r="G1896" s="273">
        <v>6</v>
      </c>
      <c r="H1896" s="283">
        <v>35</v>
      </c>
      <c r="I1896" s="246">
        <v>65</v>
      </c>
      <c r="J1896" s="246">
        <v>2</v>
      </c>
      <c r="K1896" s="247" t="s">
        <v>7447</v>
      </c>
      <c r="L1896" s="248">
        <v>104742</v>
      </c>
      <c r="M1896" s="249">
        <f>15*(LEFT(TEXT($L1896,"000000"),2)+(MID(TEXT($L1896,"000000"),3,2)/60)+(RIGHT(TEXT($L1896,"000000"),2)/3600))</f>
        <v>161.92500000000001</v>
      </c>
      <c r="N1896" s="250">
        <v>135900</v>
      </c>
      <c r="O1896" s="251">
        <f>IF($N1896&gt;0,(LEFT(TEXT($N1896,"000000"),2)+(MID(TEXT($N1896,"000000"),3,2)/60)+(RIGHT(TEXT($N1896,"000000"),2)/3600)),-(MID(TEXT($N1896,"000000"),2,2)+(MID(TEXT($N1896,"000000"),4,2)/60)+(RIGHT(TEXT($N1896,"000000"),2)/3600)))</f>
        <v>13.983333333333333</v>
      </c>
      <c r="P1896" s="252" t="s">
        <v>183</v>
      </c>
      <c r="Q1896" s="253"/>
      <c r="R1896" s="277" t="s">
        <v>3293</v>
      </c>
      <c r="S1896" s="272" t="s">
        <v>3293</v>
      </c>
      <c r="T1896" s="273">
        <v>10.4</v>
      </c>
      <c r="U1896" s="289">
        <v>22.29</v>
      </c>
      <c r="V1896" s="280"/>
      <c r="W1896" s="244"/>
      <c r="X1896" s="244"/>
      <c r="Y1896" s="362"/>
      <c r="Z1896" s="257">
        <f>altaz(J2000_Bas,$O1896,$M1896,DecLat,DecLong,1)</f>
        <v>-19.974256013822309</v>
      </c>
      <c r="AA1896" s="257">
        <f>altaz((J2000_Bas+(2*0.04167)),$O1896,$M1896,DecLat,DecLong,1)</f>
        <v>-38.620692193882313</v>
      </c>
      <c r="AB1896" s="257">
        <f>altaz((J2000_Bas+(4*0.04167)),$O1896,$M1896,DecLat,DecLong,1)</f>
        <v>-44.831868440057775</v>
      </c>
      <c r="AC1896" s="257">
        <f>altaz((J2000_Bas+(6*0.04167)),$O1896,$M1896,DecLat,DecLong,1)</f>
        <v>-34.222704871155081</v>
      </c>
      <c r="AD1896" s="258">
        <f>1+ transit((J2000_Bas-1),$O1896,$M1896,DecLat,DecLong)/360 + (GMTOffset/24) + (IF(DST="Y", 1, 0)/24)</f>
        <v>1.442691582317208</v>
      </c>
      <c r="AE1896" s="259">
        <f>DATE(2001,9,21)+(M1896/360)*365 - (360*((DecLong/360)- (GMTOffset/24) ))</f>
        <v>37324.173958333333</v>
      </c>
      <c r="AF1896" s="260">
        <f>IF(DecLat&gt;0,IF((90 - (DecLat-O1896))&gt;90, (90 - (O1896-DecLat)), (90 - (DecLat-O1896))),IF((90 + (DecLat-O1896))&gt;90, (90 + (O1896-DecLat)), (90 + (DecLat-O1896))))</f>
        <v>72.983333333333334</v>
      </c>
      <c r="AG1896" s="257">
        <f>angularseperation(MoonRA,MoonDec,$M1896,$O1896)</f>
        <v>93.98956924276446</v>
      </c>
      <c r="AH1896" s="261">
        <f ca="1">MIN(100,IF($O$5&gt;80,0+30*($AG1896/100),IF($O$5&gt;70,0+50*($AG1896/100),IF($O$5&gt;60,5+50*($AG1896/100),IF($O$5&gt;50,10+60*($AG1896/100),IF($O$5&gt;40,15+70*($AG1896/100),IF($O$5&gt;30,20+70*($AG1896/100),IF($O$5&gt;20,40+55*($AG1896/100),(80+(20-$O$5)+30*($AG1896/100))))))))))</f>
        <v>100</v>
      </c>
      <c r="AI1896" s="262">
        <v>3377</v>
      </c>
      <c r="AJ1896" s="263"/>
      <c r="AK1896" s="263">
        <v>155</v>
      </c>
      <c r="AL1896" s="263"/>
      <c r="AM1896" s="264"/>
      <c r="AN1896" s="263"/>
      <c r="AO1896" s="263"/>
      <c r="AP1896" s="265"/>
      <c r="AQ1896" s="265">
        <v>5899</v>
      </c>
      <c r="AR1896" s="285">
        <v>32249</v>
      </c>
      <c r="AS1896" s="263"/>
      <c r="AT1896" s="263"/>
      <c r="AU1896" s="263"/>
      <c r="AV1896" s="264"/>
      <c r="AW1896" s="263"/>
      <c r="AX1896" s="263"/>
      <c r="AY1896" s="263"/>
      <c r="AZ1896" s="263"/>
      <c r="BA1896" s="263"/>
      <c r="BB1896" s="263"/>
      <c r="BC1896" s="263"/>
      <c r="BD1896" s="264"/>
      <c r="BE1896" s="263"/>
      <c r="BF1896" s="263"/>
      <c r="BG1896" s="263"/>
      <c r="BH1896" s="263"/>
      <c r="BI1896" s="263"/>
      <c r="BJ1896" s="404">
        <f>altaz(J2000_Bas,$O1896,$M1896,DecLat,DecLong,2)</f>
        <v>301.22080448212307</v>
      </c>
      <c r="BK1896" s="378" t="s">
        <v>2988</v>
      </c>
      <c r="BL1896" s="379">
        <f>IF((2*G1896)/60&lt;0.2,0.2,(2*G1896)/60)</f>
        <v>0.2</v>
      </c>
      <c r="BM1896" s="380">
        <f>MOD((50000+AD1896-$B$3+(0/24)),1)</f>
        <v>0.65805851202458143</v>
      </c>
      <c r="BN1896" s="381"/>
      <c r="BO1896" s="382">
        <v>1889</v>
      </c>
    </row>
    <row r="1897" spans="1:67" s="24" customFormat="1" ht="15" customHeight="1" x14ac:dyDescent="0.25">
      <c r="A1897" s="288" t="s">
        <v>1854</v>
      </c>
      <c r="B1897" s="241" t="str">
        <f>HYPERLINK(CONCATENATE($AT$3,BK1897,$AU$3),$AV$3)</f>
        <v>S</v>
      </c>
      <c r="C1897" s="242" t="str">
        <f>HYPERLINK(CONCATENATE($AT$4,BK1897,$AU$4,BL1897),$AV$4)</f>
        <v>A</v>
      </c>
      <c r="D1897" s="243" t="s">
        <v>5638</v>
      </c>
      <c r="E1897" s="244" t="s">
        <v>5182</v>
      </c>
      <c r="F1897" s="269" t="s">
        <v>8903</v>
      </c>
      <c r="G1897" s="273">
        <v>6</v>
      </c>
      <c r="H1897" s="283">
        <v>32.331959999999995</v>
      </c>
      <c r="I1897" s="246">
        <v>60</v>
      </c>
      <c r="J1897" s="246">
        <v>2</v>
      </c>
      <c r="K1897" s="247" t="s">
        <v>7448</v>
      </c>
      <c r="L1897" s="248">
        <v>104817</v>
      </c>
      <c r="M1897" s="249">
        <f>15*(LEFT(TEXT($L1897,"000000"),2)+(MID(TEXT($L1897,"000000"),3,2)/60)+(RIGHT(TEXT($L1897,"000000"),2)/3600))</f>
        <v>162.07083333333335</v>
      </c>
      <c r="N1897" s="250">
        <v>123746</v>
      </c>
      <c r="O1897" s="251">
        <f>IF($N1897&gt;0,(LEFT(TEXT($N1897,"000000"),2)+(MID(TEXT($N1897,"000000"),3,2)/60)+(RIGHT(TEXT($N1897,"000000"),2)/3600)),-(MID(TEXT($N1897,"000000"),2,2)+(MID(TEXT($N1897,"000000"),4,2)/60)+(RIGHT(TEXT($N1897,"000000"),2)/3600)))</f>
        <v>12.629444444444445</v>
      </c>
      <c r="P1897" s="252" t="s">
        <v>183</v>
      </c>
      <c r="Q1897" s="253" t="s">
        <v>1855</v>
      </c>
      <c r="R1897" s="247" t="s">
        <v>3293</v>
      </c>
      <c r="S1897" s="272" t="s">
        <v>3293</v>
      </c>
      <c r="T1897" s="273">
        <v>9.9</v>
      </c>
      <c r="U1897" s="289">
        <v>21.59</v>
      </c>
      <c r="V1897" s="280"/>
      <c r="W1897" s="244"/>
      <c r="X1897" s="244"/>
      <c r="Y1897" s="362"/>
      <c r="Z1897" s="257">
        <f>altaz(J2000_Bas,$O1897,$M1897,DecLat,DecLong,1)</f>
        <v>-20.749830993839314</v>
      </c>
      <c r="AA1897" s="257">
        <f>altaz((J2000_Bas+(2*0.04167)),$O1897,$M1897,DecLat,DecLong,1)</f>
        <v>-39.737438318915878</v>
      </c>
      <c r="AB1897" s="257">
        <f>altaz((J2000_Bas+(4*0.04167)),$O1897,$M1897,DecLat,DecLong,1)</f>
        <v>-46.193015480004838</v>
      </c>
      <c r="AC1897" s="257">
        <f>altaz((J2000_Bas+(6*0.04167)),$O1897,$M1897,DecLat,DecLong,1)</f>
        <v>-35.401487681308993</v>
      </c>
      <c r="AD1897" s="258">
        <f>1+ transit((J2000_Bas-1),$O1897,$M1897,DecLat,DecLong)/360 + (GMTOffset/24) + (IF(DST="Y", 1, 0)/24)</f>
        <v>1.4430966748692915</v>
      </c>
      <c r="AE1897" s="259">
        <f>DATE(2001,9,21)+(M1897/360)*365 - (360*((DecLong/360)- (GMTOffset/24) ))</f>
        <v>37324.321817129632</v>
      </c>
      <c r="AF1897" s="260">
        <f>IF(DecLat&gt;0,IF((90 - (DecLat-O1897))&gt;90, (90 - (O1897-DecLat)), (90 - (DecLat-O1897))),IF((90 + (DecLat-O1897))&gt;90, (90 + (O1897-DecLat)), (90 + (DecLat-O1897))))</f>
        <v>71.629444444444445</v>
      </c>
      <c r="AG1897" s="257">
        <f>angularseperation(MoonRA,MoonDec,$M1897,$O1897)</f>
        <v>93.248686943077715</v>
      </c>
      <c r="AH1897" s="261">
        <f ca="1">MIN(100,IF($O$5&gt;80,0+30*($AG1897/100),IF($O$5&gt;70,0+50*($AG1897/100),IF($O$5&gt;60,5+50*($AG1897/100),IF($O$5&gt;50,10+60*($AG1897/100),IF($O$5&gt;40,15+70*($AG1897/100),IF($O$5&gt;30,20+70*($AG1897/100),IF($O$5&gt;20,40+55*($AG1897/100),(80+(20-$O$5)+30*($AG1897/100))))))))))</f>
        <v>100</v>
      </c>
      <c r="AI1897" s="262">
        <v>3384</v>
      </c>
      <c r="AJ1897" s="262"/>
      <c r="AK1897" s="262">
        <v>157</v>
      </c>
      <c r="AL1897" s="263"/>
      <c r="AM1897" s="264"/>
      <c r="AN1897" s="263"/>
      <c r="AO1897" s="263"/>
      <c r="AP1897" s="265"/>
      <c r="AQ1897" s="266"/>
      <c r="AR1897" s="267">
        <v>32292</v>
      </c>
      <c r="AS1897" s="263"/>
      <c r="AT1897" s="263"/>
      <c r="AU1897" s="263"/>
      <c r="AV1897" s="264"/>
      <c r="AW1897" s="263"/>
      <c r="AX1897" s="263"/>
      <c r="AY1897" s="263"/>
      <c r="AZ1897" s="263"/>
      <c r="BA1897" s="263"/>
      <c r="BB1897" s="263"/>
      <c r="BC1897" s="263"/>
      <c r="BD1897" s="264"/>
      <c r="BE1897" s="263"/>
      <c r="BF1897" s="263"/>
      <c r="BG1897" s="263"/>
      <c r="BH1897" s="263"/>
      <c r="BI1897" s="263"/>
      <c r="BJ1897" s="404">
        <f>altaz(J2000_Bas,$O1897,$M1897,DecLat,DecLong,2)</f>
        <v>300.0274543393399</v>
      </c>
      <c r="BK1897" s="378" t="s">
        <v>1854</v>
      </c>
      <c r="BL1897" s="379">
        <f>IF((2*G1897)/60&lt;0.2,0.2,(2*G1897)/60)</f>
        <v>0.2</v>
      </c>
      <c r="BM1897" s="380">
        <f>MOD((50000+AD1897-$B$3+(0/24)),1)</f>
        <v>0.65846360457362607</v>
      </c>
      <c r="BN1897" s="381"/>
      <c r="BO1897" s="382">
        <v>1890</v>
      </c>
    </row>
    <row r="1898" spans="1:67" s="24" customFormat="1" ht="15" customHeight="1" x14ac:dyDescent="0.25">
      <c r="A1898" s="288" t="s">
        <v>1856</v>
      </c>
      <c r="B1898" s="241" t="str">
        <f>HYPERLINK(CONCATENATE($AT$3,BK1898,$AU$3),$AV$3)</f>
        <v>S</v>
      </c>
      <c r="C1898" s="242" t="str">
        <f>HYPERLINK(CONCATENATE($AT$4,BK1898,$AU$4,BL1898),$AV$4)</f>
        <v>A</v>
      </c>
      <c r="D1898" s="243" t="s">
        <v>5638</v>
      </c>
      <c r="E1898" s="244" t="s">
        <v>5192</v>
      </c>
      <c r="F1898" s="269" t="s">
        <v>8689</v>
      </c>
      <c r="G1898" s="273">
        <v>3</v>
      </c>
      <c r="H1898" s="283">
        <v>75</v>
      </c>
      <c r="I1898" s="246">
        <v>65</v>
      </c>
      <c r="J1898" s="246">
        <v>2</v>
      </c>
      <c r="K1898" s="247" t="s">
        <v>7449</v>
      </c>
      <c r="L1898" s="248">
        <v>104828</v>
      </c>
      <c r="M1898" s="249">
        <f>15*(LEFT(TEXT($L1898,"000000"),2)+(MID(TEXT($L1898,"000000"),3,2)/60)+(RIGHT(TEXT($L1898,"000000"),2)/3600))</f>
        <v>162.11666666666667</v>
      </c>
      <c r="N1898" s="250">
        <v>123159</v>
      </c>
      <c r="O1898" s="251">
        <f>IF($N1898&gt;0,(LEFT(TEXT($N1898,"000000"),2)+(MID(TEXT($N1898,"000000"),3,2)/60)+(RIGHT(TEXT($N1898,"000000"),2)/3600)),-(MID(TEXT($N1898,"000000"),2,2)+(MID(TEXT($N1898,"000000"),4,2)/60)+(RIGHT(TEXT($N1898,"000000"),2)/3600)))</f>
        <v>12.533055555555556</v>
      </c>
      <c r="P1898" s="252" t="s">
        <v>183</v>
      </c>
      <c r="Q1898" s="253" t="s">
        <v>1855</v>
      </c>
      <c r="R1898" s="247" t="s">
        <v>3293</v>
      </c>
      <c r="S1898" s="272" t="s">
        <v>3293</v>
      </c>
      <c r="T1898" s="273">
        <v>11.9</v>
      </c>
      <c r="U1898" s="289">
        <v>22.09</v>
      </c>
      <c r="V1898" s="280">
        <v>65</v>
      </c>
      <c r="W1898" s="244"/>
      <c r="X1898" s="244"/>
      <c r="Y1898" s="362"/>
      <c r="Z1898" s="257">
        <f>altaz(J2000_Bas,$O1898,$M1898,DecLat,DecLong,1)</f>
        <v>-20.778353232227229</v>
      </c>
      <c r="AA1898" s="257">
        <f>altaz((J2000_Bas+(2*0.04167)),$O1898,$M1898,DecLat,DecLong,1)</f>
        <v>-39.799644553411149</v>
      </c>
      <c r="AB1898" s="257">
        <f>altaz((J2000_Bas+(4*0.04167)),$O1898,$M1898,DecLat,DecLong,1)</f>
        <v>-46.29297190440095</v>
      </c>
      <c r="AC1898" s="257">
        <f>altaz((J2000_Bas+(6*0.04167)),$O1898,$M1898,DecLat,DecLong,1)</f>
        <v>-35.50568161796653</v>
      </c>
      <c r="AD1898" s="258">
        <f>1+ transit((J2000_Bas-1),$O1898,$M1898,DecLat,DecLong)/360 + (GMTOffset/24) + (IF(DST="Y", 1, 0)/24)</f>
        <v>1.4432239896713746</v>
      </c>
      <c r="AE1898" s="259">
        <f>DATE(2001,9,21)+(M1898/360)*365 - (360*((DecLong/360)- (GMTOffset/24) ))</f>
        <v>37324.368287037039</v>
      </c>
      <c r="AF1898" s="260">
        <f>IF(DecLat&gt;0,IF((90 - (DecLat-O1898))&gt;90, (90 - (O1898-DecLat)), (90 - (DecLat-O1898))),IF((90 + (DecLat-O1898))&gt;90, (90 + (O1898-DecLat)), (90 + (DecLat-O1898))))</f>
        <v>71.533055555555563</v>
      </c>
      <c r="AG1898" s="257">
        <f>angularseperation(MoonRA,MoonDec,$M1898,$O1898)</f>
        <v>93.165015977413049</v>
      </c>
      <c r="AH1898" s="261">
        <f ca="1">MIN(100,IF($O$5&gt;80,0+30*($AG1898/100),IF($O$5&gt;70,0+50*($AG1898/100),IF($O$5&gt;60,5+50*($AG1898/100),IF($O$5&gt;50,10+60*($AG1898/100),IF($O$5&gt;40,15+70*($AG1898/100),IF($O$5&gt;30,20+70*($AG1898/100),IF($O$5&gt;20,40+55*($AG1898/100),(80+(20-$O$5)+30*($AG1898/100))))))))))</f>
        <v>100</v>
      </c>
      <c r="AI1898" s="262">
        <v>3389</v>
      </c>
      <c r="AJ1898" s="262"/>
      <c r="AK1898" s="262"/>
      <c r="AL1898" s="263"/>
      <c r="AM1898" s="264"/>
      <c r="AN1898" s="263"/>
      <c r="AO1898" s="263"/>
      <c r="AP1898" s="265"/>
      <c r="AQ1898" s="266"/>
      <c r="AR1898" s="267">
        <v>32306</v>
      </c>
      <c r="AS1898" s="263"/>
      <c r="AT1898" s="263"/>
      <c r="AU1898" s="263"/>
      <c r="AV1898" s="264"/>
      <c r="AW1898" s="263"/>
      <c r="AX1898" s="263"/>
      <c r="AY1898" s="263"/>
      <c r="AZ1898" s="263"/>
      <c r="BA1898" s="263"/>
      <c r="BB1898" s="263"/>
      <c r="BC1898" s="263"/>
      <c r="BD1898" s="264"/>
      <c r="BE1898" s="263"/>
      <c r="BF1898" s="263"/>
      <c r="BG1898" s="263"/>
      <c r="BH1898" s="263"/>
      <c r="BI1898" s="263"/>
      <c r="BJ1898" s="404">
        <f>altaz(J2000_Bas,$O1898,$M1898,DecLat,DecLong,2)</f>
        <v>299.91798009634471</v>
      </c>
      <c r="BK1898" s="378" t="s">
        <v>1856</v>
      </c>
      <c r="BL1898" s="379">
        <f>IF((2*G1898)/60&lt;0.2,0.2,(2*G1898)/60)</f>
        <v>0.2</v>
      </c>
      <c r="BM1898" s="380">
        <f>MOD((50000+AD1898-$B$3+(0/24)),1)</f>
        <v>0.6585909193745465</v>
      </c>
      <c r="BN1898" s="381"/>
      <c r="BO1898" s="382">
        <v>1891</v>
      </c>
    </row>
    <row r="1899" spans="1:67" s="24" customFormat="1" ht="15" customHeight="1" x14ac:dyDescent="0.25">
      <c r="A1899" s="287" t="s">
        <v>2989</v>
      </c>
      <c r="B1899" s="241" t="str">
        <f>HYPERLINK(CONCATENATE($AT$3,BK1899,$AU$3),$AV$3)</f>
        <v>S</v>
      </c>
      <c r="C1899" s="242" t="str">
        <f>HYPERLINK(CONCATENATE($AT$4,BK1899,$AU$4,BL1899),$AV$4)</f>
        <v>A</v>
      </c>
      <c r="D1899" s="243" t="s">
        <v>5638</v>
      </c>
      <c r="E1899" s="244" t="s">
        <v>5182</v>
      </c>
      <c r="F1899" s="269" t="s">
        <v>8903</v>
      </c>
      <c r="G1899" s="273">
        <v>3.8</v>
      </c>
      <c r="H1899" s="283">
        <v>35</v>
      </c>
      <c r="I1899" s="246">
        <v>40</v>
      </c>
      <c r="J1899" s="246">
        <v>1</v>
      </c>
      <c r="K1899" s="247" t="s">
        <v>7450</v>
      </c>
      <c r="L1899" s="248">
        <v>105054</v>
      </c>
      <c r="M1899" s="249">
        <f>15*(LEFT(TEXT($L1899,"000000"),2)+(MID(TEXT($L1899,"000000"),3,2)/60)+(RIGHT(TEXT($L1899,"000000"),2)/3600))</f>
        <v>162.72500000000002</v>
      </c>
      <c r="N1899" s="250">
        <v>132444</v>
      </c>
      <c r="O1899" s="251">
        <f>IF($N1899&gt;0,(LEFT(TEXT($N1899,"000000"),2)+(MID(TEXT($N1899,"000000"),3,2)/60)+(RIGHT(TEXT($N1899,"000000"),2)/3600)),-(MID(TEXT($N1899,"000000"),2,2)+(MID(TEXT($N1899,"000000"),4,2)/60)+(RIGHT(TEXT($N1899,"000000"),2)/3600)))</f>
        <v>13.412222222222223</v>
      </c>
      <c r="P1899" s="252" t="s">
        <v>183</v>
      </c>
      <c r="Q1899" s="253"/>
      <c r="R1899" s="277" t="s">
        <v>3293</v>
      </c>
      <c r="S1899" s="272" t="s">
        <v>3293</v>
      </c>
      <c r="T1899" s="273">
        <v>10.5</v>
      </c>
      <c r="U1899" s="289">
        <v>21.490000000000002</v>
      </c>
      <c r="V1899" s="280"/>
      <c r="W1899" s="244"/>
      <c r="X1899" s="244"/>
      <c r="Y1899" s="362"/>
      <c r="Z1899" s="257">
        <f>altaz(J2000_Bas,$O1899,$M1899,DecLat,DecLong,1)</f>
        <v>-19.756976459685031</v>
      </c>
      <c r="AA1899" s="257">
        <f>altaz((J2000_Bas+(2*0.04167)),$O1899,$M1899,DecLat,DecLong,1)</f>
        <v>-38.742669984860129</v>
      </c>
      <c r="AB1899" s="257">
        <f>altaz((J2000_Bas+(4*0.04167)),$O1899,$M1899,DecLat,DecLong,1)</f>
        <v>-45.464432336667954</v>
      </c>
      <c r="AC1899" s="257">
        <f>altaz((J2000_Bas+(6*0.04167)),$O1899,$M1899,DecLat,DecLong,1)</f>
        <v>-35.139420709124806</v>
      </c>
      <c r="AD1899" s="258">
        <f>1+ transit((J2000_Bas-1),$O1899,$M1899,DecLat,DecLong)/360 + (GMTOffset/24) + (IF(DST="Y", 1, 0)/24)</f>
        <v>1.4449138043172081</v>
      </c>
      <c r="AE1899" s="259">
        <f>DATE(2001,9,21)+(M1899/360)*365 - (360*((DecLong/360)- (GMTOffset/24) ))</f>
        <v>37324.985069444447</v>
      </c>
      <c r="AF1899" s="260">
        <f>IF(DecLat&gt;0,IF((90 - (DecLat-O1899))&gt;90, (90 - (O1899-DecLat)), (90 - (DecLat-O1899))),IF((90 + (DecLat-O1899))&gt;90, (90 + (O1899-DecLat)), (90 + (DecLat-O1899))))</f>
        <v>72.412222222222226</v>
      </c>
      <c r="AG1899" s="257">
        <f>angularseperation(MoonRA,MoonDec,$M1899,$O1899)</f>
        <v>93.03766673921848</v>
      </c>
      <c r="AH1899" s="261">
        <f ca="1">MIN(100,IF($O$5&gt;80,0+30*($AG1899/100),IF($O$5&gt;70,0+50*($AG1899/100),IF($O$5&gt;60,5+50*($AG1899/100),IF($O$5&gt;50,10+60*($AG1899/100),IF($O$5&gt;40,15+70*($AG1899/100),IF($O$5&gt;30,20+70*($AG1899/100),IF($O$5&gt;20,40+55*($AG1899/100),(80+(20-$O$5)+30*($AG1899/100))))))))))</f>
        <v>100</v>
      </c>
      <c r="AI1899" s="262">
        <v>3412</v>
      </c>
      <c r="AJ1899" s="263"/>
      <c r="AK1899" s="263">
        <v>159</v>
      </c>
      <c r="AL1899" s="263"/>
      <c r="AM1899" s="264"/>
      <c r="AN1899" s="263"/>
      <c r="AO1899" s="263"/>
      <c r="AP1899" s="265"/>
      <c r="AQ1899" s="265">
        <v>5952</v>
      </c>
      <c r="AR1899" s="285">
        <v>32508</v>
      </c>
      <c r="AS1899" s="263"/>
      <c r="AT1899" s="263"/>
      <c r="AU1899" s="263"/>
      <c r="AV1899" s="264"/>
      <c r="AW1899" s="263"/>
      <c r="AX1899" s="263"/>
      <c r="AY1899" s="263"/>
      <c r="AZ1899" s="263"/>
      <c r="BA1899" s="263"/>
      <c r="BB1899" s="263"/>
      <c r="BC1899" s="263"/>
      <c r="BD1899" s="264"/>
      <c r="BE1899" s="263"/>
      <c r="BF1899" s="263"/>
      <c r="BG1899" s="263"/>
      <c r="BH1899" s="263"/>
      <c r="BI1899" s="263"/>
      <c r="BJ1899" s="404">
        <f>altaz(J2000_Bas,$O1899,$M1899,DecLat,DecLong,2)</f>
        <v>300.22162908623841</v>
      </c>
      <c r="BK1899" s="378" t="s">
        <v>2989</v>
      </c>
      <c r="BL1899" s="379">
        <f>IF((2*G1899)/60&lt;0.2,0.2,(2*G1899)/60)</f>
        <v>0.2</v>
      </c>
      <c r="BM1899" s="380">
        <f>MOD((50000+AD1899-$B$3+(0/24)),1)</f>
        <v>0.66028073402412701</v>
      </c>
      <c r="BN1899" s="381"/>
      <c r="BO1899" s="382">
        <v>1892</v>
      </c>
    </row>
    <row r="1900" spans="1:67" s="24" customFormat="1" ht="15" customHeight="1" x14ac:dyDescent="0.25">
      <c r="A1900" s="288" t="s">
        <v>1857</v>
      </c>
      <c r="B1900" s="241" t="str">
        <f>HYPERLINK(CONCATENATE($AT$3,BK1900,$AU$3),$AV$3)</f>
        <v>S</v>
      </c>
      <c r="C1900" s="242" t="str">
        <f>HYPERLINK(CONCATENATE($AT$4,BK1900,$AU$4,BL1900),$AV$4)</f>
        <v>A</v>
      </c>
      <c r="D1900" s="243" t="s">
        <v>5638</v>
      </c>
      <c r="E1900" s="244" t="s">
        <v>5192</v>
      </c>
      <c r="F1900" s="269" t="s">
        <v>8712</v>
      </c>
      <c r="G1900" s="273">
        <v>4</v>
      </c>
      <c r="H1900" s="283">
        <v>60</v>
      </c>
      <c r="I1900" s="246">
        <v>70</v>
      </c>
      <c r="J1900" s="246">
        <v>2</v>
      </c>
      <c r="K1900" s="247" t="s">
        <v>7451</v>
      </c>
      <c r="L1900" s="248">
        <v>105114</v>
      </c>
      <c r="M1900" s="249">
        <f>15*(LEFT(TEXT($L1900,"000000"),2)+(MID(TEXT($L1900,"000000"),3,2)/60)+(RIGHT(TEXT($L1900,"000000"),2)/3600))</f>
        <v>162.80833333333334</v>
      </c>
      <c r="N1900" s="250">
        <v>55024</v>
      </c>
      <c r="O1900" s="251">
        <f>IF($N1900&gt;0,(LEFT(TEXT($N1900,"000000"),2)+(MID(TEXT($N1900,"000000"),3,2)/60)+(RIGHT(TEXT($N1900,"000000"),2)/3600)),-(MID(TEXT($N1900,"000000"),2,2)+(MID(TEXT($N1900,"000000"),4,2)/60)+(RIGHT(TEXT($N1900,"000000"),2)/3600)))</f>
        <v>5.84</v>
      </c>
      <c r="P1900" s="252" t="s">
        <v>263</v>
      </c>
      <c r="Q1900" s="253"/>
      <c r="R1900" s="247" t="s">
        <v>3293</v>
      </c>
      <c r="S1900" s="272" t="s">
        <v>3293</v>
      </c>
      <c r="T1900" s="273">
        <v>12</v>
      </c>
      <c r="U1900" s="289">
        <v>22.59</v>
      </c>
      <c r="V1900" s="280">
        <v>10</v>
      </c>
      <c r="W1900" s="244"/>
      <c r="X1900" s="244"/>
      <c r="Y1900" s="362"/>
      <c r="Z1900" s="257">
        <f>altaz(J2000_Bas,$O1900,$M1900,DecLat,DecLong,1)</f>
        <v>-24.484098985685474</v>
      </c>
      <c r="AA1900" s="257">
        <f>altaz((J2000_Bas+(2*0.04167)),$O1900,$M1900,DecLat,DecLong,1)</f>
        <v>-45.173699847626658</v>
      </c>
      <c r="AB1900" s="257">
        <f>altaz((J2000_Bas+(4*0.04167)),$O1900,$M1900,DecLat,DecLong,1)</f>
        <v>-53.019872365621325</v>
      </c>
      <c r="AC1900" s="257">
        <f>altaz((J2000_Bas+(6*0.04167)),$O1900,$M1900,DecLat,DecLong,1)</f>
        <v>-41.230645578157457</v>
      </c>
      <c r="AD1900" s="258">
        <f>1+ transit((J2000_Bas-1),$O1900,$M1900,DecLat,DecLong)/360 + (GMTOffset/24) + (IF(DST="Y", 1, 0)/24)</f>
        <v>1.4451452857755414</v>
      </c>
      <c r="AE1900" s="259">
        <f>DATE(2001,9,21)+(M1900/360)*365 - (360*((DecLong/360)- (GMTOffset/24) ))</f>
        <v>37325.069560185184</v>
      </c>
      <c r="AF1900" s="260">
        <f>IF(DecLat&gt;0,IF((90 - (DecLat-O1900))&gt;90, (90 - (O1900-DecLat)), (90 - (DecLat-O1900))),IF((90 + (DecLat-O1900))&gt;90, (90 + (O1900-DecLat)), (90 + (DecLat-O1900))))</f>
        <v>64.84</v>
      </c>
      <c r="AG1900" s="257">
        <f>angularseperation(MoonRA,MoonDec,$M1900,$O1900)</f>
        <v>89.497525754001117</v>
      </c>
      <c r="AH1900" s="261">
        <f ca="1">MIN(100,IF($O$5&gt;80,0+30*($AG1900/100),IF($O$5&gt;70,0+50*($AG1900/100),IF($O$5&gt;60,5+50*($AG1900/100),IF($O$5&gt;50,10+60*($AG1900/100),IF($O$5&gt;40,15+70*($AG1900/100),IF($O$5&gt;30,20+70*($AG1900/100),IF($O$5&gt;20,40+55*($AG1900/100),(80+(20-$O$5)+30*($AG1900/100))))))))))</f>
        <v>100</v>
      </c>
      <c r="AI1900" s="262">
        <v>3423</v>
      </c>
      <c r="AJ1900" s="262"/>
      <c r="AK1900" s="262"/>
      <c r="AL1900" s="263"/>
      <c r="AM1900" s="264"/>
      <c r="AN1900" s="263"/>
      <c r="AO1900" s="263"/>
      <c r="AP1900" s="265"/>
      <c r="AQ1900" s="266">
        <v>5962</v>
      </c>
      <c r="AR1900" s="267">
        <v>32529</v>
      </c>
      <c r="AS1900" s="263"/>
      <c r="AT1900" s="263"/>
      <c r="AU1900" s="263"/>
      <c r="AV1900" s="264"/>
      <c r="AW1900" s="263"/>
      <c r="AX1900" s="263"/>
      <c r="AY1900" s="263"/>
      <c r="AZ1900" s="263"/>
      <c r="BA1900" s="263"/>
      <c r="BB1900" s="263"/>
      <c r="BC1900" s="263"/>
      <c r="BD1900" s="264"/>
      <c r="BE1900" s="263"/>
      <c r="BF1900" s="263"/>
      <c r="BG1900" s="263"/>
      <c r="BH1900" s="263"/>
      <c r="BI1900" s="263"/>
      <c r="BJ1900" s="404">
        <f>altaz(J2000_Bas,$O1900,$M1900,DecLat,DecLong,2)</f>
        <v>293.83234314452932</v>
      </c>
      <c r="BK1900" s="378" t="s">
        <v>1857</v>
      </c>
      <c r="BL1900" s="379">
        <f>IF((2*G1900)/60&lt;0.2,0.2,(2*G1900)/60)</f>
        <v>0.2</v>
      </c>
      <c r="BM1900" s="380">
        <f>MOD((50000+AD1900-$B$3+(0/24)),1)</f>
        <v>0.66051221547968453</v>
      </c>
      <c r="BN1900" s="381"/>
      <c r="BO1900" s="382">
        <v>1893</v>
      </c>
    </row>
    <row r="1901" spans="1:67" s="24" customFormat="1" ht="15" customHeight="1" x14ac:dyDescent="0.25">
      <c r="A1901" s="288" t="s">
        <v>7707</v>
      </c>
      <c r="B1901" s="241" t="str">
        <f>HYPERLINK(CONCATENATE($AT$3,BK1901,$AU$3),$AV$3)</f>
        <v>S</v>
      </c>
      <c r="C1901" s="242" t="str">
        <f>HYPERLINK(CONCATENATE($AT$4,BK1901,$AU$4,BL1901),$AV$4)</f>
        <v>A</v>
      </c>
      <c r="D1901" s="243" t="s">
        <v>5638</v>
      </c>
      <c r="E1901" s="244" t="s">
        <v>7709</v>
      </c>
      <c r="F1901" s="269"/>
      <c r="G1901" s="273">
        <v>4.5</v>
      </c>
      <c r="H1901" s="283">
        <v>100</v>
      </c>
      <c r="I1901" s="246">
        <v>130</v>
      </c>
      <c r="J1901" s="246">
        <v>2</v>
      </c>
      <c r="K1901" s="247" t="s">
        <v>7708</v>
      </c>
      <c r="L1901" s="248">
        <v>105211</v>
      </c>
      <c r="M1901" s="249">
        <f>15*(LEFT(TEXT($L1901,"000000"),2)+(MID(TEXT($L1901,"000000"),3,2)/60)+(RIGHT(TEXT($L1901,"000000"),2)/3600))</f>
        <v>163.04583333333335</v>
      </c>
      <c r="N1901" s="250">
        <v>325702</v>
      </c>
      <c r="O1901" s="251">
        <f>IF($N1901&gt;0,(LEFT(TEXT($N1901,"000000"),2)+(MID(TEXT($N1901,"000000"),3,2)/60)+(RIGHT(TEXT($N1901,"000000"),2)/3600)),-(MID(TEXT($N1901,"000000"),2,2)+(MID(TEXT($N1901,"000000"),4,2)/60)+(RIGHT(TEXT($N1901,"000000"),2)/3600)))</f>
        <v>32.95055555555556</v>
      </c>
      <c r="P1901" s="252" t="s">
        <v>239</v>
      </c>
      <c r="Q1901" s="253"/>
      <c r="R1901" s="277" t="s">
        <v>3293</v>
      </c>
      <c r="S1901" s="272" t="s">
        <v>1858</v>
      </c>
      <c r="T1901" s="273">
        <v>11.6</v>
      </c>
      <c r="U1901" s="289">
        <v>22.69</v>
      </c>
      <c r="V1901" s="280"/>
      <c r="W1901" s="244"/>
      <c r="X1901" s="244"/>
      <c r="Y1901" s="362"/>
      <c r="Z1901" s="257">
        <f>altaz(J2000_Bas,$O1901,$M1901,DecLat,DecLong,1)</f>
        <v>-6.3820695135956473</v>
      </c>
      <c r="AA1901" s="257">
        <f>altaz((J2000_Bas+(2*0.04167)),$O1901,$M1901,DecLat,DecLong,1)</f>
        <v>-21.160689801272756</v>
      </c>
      <c r="AB1901" s="257">
        <f>altaz((J2000_Bas+(4*0.04167)),$O1901,$M1901,DecLat,DecLong,1)</f>
        <v>-25.981213512363301</v>
      </c>
      <c r="AC1901" s="257">
        <f>altaz((J2000_Bas+(6*0.04167)),$O1901,$M1901,DecLat,DecLong,1)</f>
        <v>-18.76347691752941</v>
      </c>
      <c r="AD1901" s="258">
        <f>1+ transit((J2000_Bas-1),$O1901,$M1901,DecLat,DecLong)/360 + (GMTOffset/24) + (IF(DST="Y", 1, 0)/24)</f>
        <v>1.4458050079317915</v>
      </c>
      <c r="AE1901" s="259">
        <f>DATE(2001,9,21)+(M1901/360)*365 - (360*((DecLong/360)- (GMTOffset/24) ))</f>
        <v>37325.310358796298</v>
      </c>
      <c r="AF1901" s="260">
        <f>IF(DecLat&gt;0,IF((90 - (DecLat-O1901))&gt;90, (90 - (O1901-DecLat)), (90 - (DecLat-O1901))),IF((90 + (DecLat-O1901))&gt;90, (90 + (O1901-DecLat)), (90 + (DecLat-O1901))))</f>
        <v>88.049444444444447</v>
      </c>
      <c r="AG1901" s="257">
        <f>angularseperation(MoonRA,MoonDec,$M1901,$O1901)</f>
        <v>101.42457470557214</v>
      </c>
      <c r="AH1901" s="261">
        <f ca="1">MIN(100,IF($O$5&gt;80,0+30*($AG1901/100),IF($O$5&gt;70,0+50*($AG1901/100),IF($O$5&gt;60,5+50*($AG1901/100),IF($O$5&gt;50,10+60*($AG1901/100),IF($O$5&gt;40,15+70*($AG1901/100),IF($O$5&gt;30,20+70*($AG1901/100),IF($O$5&gt;20,40+55*($AG1901/100),(80+(20-$O$5)+30*($AG1901/100))))))))))</f>
        <v>100</v>
      </c>
      <c r="AI1901" s="263">
        <v>3430</v>
      </c>
      <c r="AJ1901" s="263"/>
      <c r="AK1901" s="263"/>
      <c r="AL1901" s="263"/>
      <c r="AM1901" s="264"/>
      <c r="AN1901" s="263"/>
      <c r="AO1901" s="263"/>
      <c r="AP1901" s="265"/>
      <c r="AQ1901" s="265">
        <v>5982</v>
      </c>
      <c r="AR1901" s="285">
        <v>32614</v>
      </c>
      <c r="AS1901" s="263"/>
      <c r="AT1901" s="263"/>
      <c r="AU1901" s="263"/>
      <c r="AV1901" s="264"/>
      <c r="AW1901" s="263"/>
      <c r="AX1901" s="263"/>
      <c r="AY1901" s="263"/>
      <c r="AZ1901" s="263"/>
      <c r="BA1901" s="263"/>
      <c r="BB1901" s="263"/>
      <c r="BC1901" s="263"/>
      <c r="BD1901" s="264"/>
      <c r="BE1901" s="263"/>
      <c r="BF1901" s="263"/>
      <c r="BG1901" s="263"/>
      <c r="BH1901" s="263"/>
      <c r="BI1901" s="263"/>
      <c r="BJ1901" s="404">
        <f>altaz(J2000_Bas,$O1901,$M1901,DecLat,DecLong,2)</f>
        <v>314.88720800457833</v>
      </c>
      <c r="BK1901" s="378" t="s">
        <v>3209</v>
      </c>
      <c r="BL1901" s="379">
        <f>IF((2*G1901)/60&lt;0.2,0.2,(2*G1901)/60)</f>
        <v>0.2</v>
      </c>
      <c r="BM1901" s="380">
        <f>MOD((50000+AD1901-$B$3+(0/24)),1)</f>
        <v>0.66117193763784599</v>
      </c>
      <c r="BN1901" s="381"/>
      <c r="BO1901" s="382">
        <v>1894</v>
      </c>
    </row>
    <row r="1902" spans="1:67" s="24" customFormat="1" ht="15" customHeight="1" x14ac:dyDescent="0.25">
      <c r="A1902" s="288" t="s">
        <v>1859</v>
      </c>
      <c r="B1902" s="241" t="str">
        <f>HYPERLINK(CONCATENATE($AT$3,BK1902,$AU$3),$AV$3)</f>
        <v>S</v>
      </c>
      <c r="C1902" s="242" t="str">
        <f>HYPERLINK(CONCATENATE($AT$4,BK1902,$AU$4,BL1902),$AV$4)</f>
        <v>A</v>
      </c>
      <c r="D1902" s="243" t="s">
        <v>5638</v>
      </c>
      <c r="E1902" s="244" t="s">
        <v>5192</v>
      </c>
      <c r="F1902" s="269" t="s">
        <v>8713</v>
      </c>
      <c r="G1902" s="273">
        <v>3.5</v>
      </c>
      <c r="H1902" s="283">
        <v>130</v>
      </c>
      <c r="I1902" s="246">
        <v>130</v>
      </c>
      <c r="J1902" s="246">
        <v>2</v>
      </c>
      <c r="K1902" s="247" t="s">
        <v>7710</v>
      </c>
      <c r="L1902" s="248">
        <v>105204</v>
      </c>
      <c r="M1902" s="249">
        <f>15*(LEFT(TEXT($L1902,"000000"),2)+(MID(TEXT($L1902,"000000"),3,2)/60)+(RIGHT(TEXT($L1902,"000000"),2)/3600))</f>
        <v>163.01666666666668</v>
      </c>
      <c r="N1902" s="250">
        <v>100853</v>
      </c>
      <c r="O1902" s="251">
        <f>IF($N1902&gt;0,(LEFT(TEXT($N1902,"000000"),2)+(MID(TEXT($N1902,"000000"),3,2)/60)+(RIGHT(TEXT($N1902,"000000"),2)/3600)),-(MID(TEXT($N1902,"000000"),2,2)+(MID(TEXT($N1902,"000000"),4,2)/60)+(RIGHT(TEXT($N1902,"000000"),2)/3600)))</f>
        <v>10.148055555555555</v>
      </c>
      <c r="P1902" s="252" t="s">
        <v>183</v>
      </c>
      <c r="Q1902" s="253"/>
      <c r="R1902" s="247" t="s">
        <v>3293</v>
      </c>
      <c r="S1902" s="272" t="s">
        <v>3293</v>
      </c>
      <c r="T1902" s="273">
        <v>11.6</v>
      </c>
      <c r="U1902" s="289">
        <v>22.89</v>
      </c>
      <c r="V1902" s="280">
        <v>35</v>
      </c>
      <c r="W1902" s="244"/>
      <c r="X1902" s="244"/>
      <c r="Y1902" s="362"/>
      <c r="Z1902" s="257">
        <f>altaz(J2000_Bas,$O1902,$M1902,DecLat,DecLong,1)</f>
        <v>-21.630786954958722</v>
      </c>
      <c r="AA1902" s="257">
        <f>altaz((J2000_Bas+(2*0.04167)),$O1902,$M1902,DecLat,DecLong,1)</f>
        <v>-41.415784851614688</v>
      </c>
      <c r="AB1902" s="257">
        <f>altaz((J2000_Bas+(4*0.04167)),$O1902,$M1902,DecLat,DecLong,1)</f>
        <v>-48.740706031259222</v>
      </c>
      <c r="AC1902" s="257">
        <f>altaz((J2000_Bas+(6*0.04167)),$O1902,$M1902,DecLat,DecLong,1)</f>
        <v>-37.949086699812632</v>
      </c>
      <c r="AD1902" s="258">
        <f>1+ transit((J2000_Bas-1),$O1902,$M1902,DecLat,DecLong)/360 + (GMTOffset/24) + (IF(DST="Y", 1, 0)/24)</f>
        <v>1.4457239894213747</v>
      </c>
      <c r="AE1902" s="259">
        <f>DATE(2001,9,21)+(M1902/360)*365 - (360*((DecLong/360)- (GMTOffset/24) ))</f>
        <v>37325.280787037038</v>
      </c>
      <c r="AF1902" s="260">
        <f>IF(DecLat&gt;0,IF((90 - (DecLat-O1902))&gt;90, (90 - (O1902-DecLat)), (90 - (DecLat-O1902))),IF((90 + (DecLat-O1902))&gt;90, (90 + (O1902-DecLat)), (90 + (DecLat-O1902))))</f>
        <v>69.148055555555558</v>
      </c>
      <c r="AG1902" s="257">
        <f>angularseperation(MoonRA,MoonDec,$M1902,$O1902)</f>
        <v>91.290534590923727</v>
      </c>
      <c r="AH1902" s="261">
        <f ca="1">MIN(100,IF($O$5&gt;80,0+30*($AG1902/100),IF($O$5&gt;70,0+50*($AG1902/100),IF($O$5&gt;60,5+50*($AG1902/100),IF($O$5&gt;50,10+60*($AG1902/100),IF($O$5&gt;40,15+70*($AG1902/100),IF($O$5&gt;30,20+70*($AG1902/100),IF($O$5&gt;20,40+55*($AG1902/100),(80+(20-$O$5)+30*($AG1902/100))))))))))</f>
        <v>100</v>
      </c>
      <c r="AI1902" s="262">
        <v>3433</v>
      </c>
      <c r="AJ1902" s="262"/>
      <c r="AK1902" s="262"/>
      <c r="AL1902" s="263"/>
      <c r="AM1902" s="264"/>
      <c r="AN1902" s="263"/>
      <c r="AO1902" s="263"/>
      <c r="AP1902" s="265"/>
      <c r="AQ1902" s="266">
        <v>5981</v>
      </c>
      <c r="AR1902" s="267">
        <v>32605</v>
      </c>
      <c r="AS1902" s="263"/>
      <c r="AT1902" s="263"/>
      <c r="AU1902" s="263"/>
      <c r="AV1902" s="264"/>
      <c r="AW1902" s="263"/>
      <c r="AX1902" s="263"/>
      <c r="AY1902" s="263"/>
      <c r="AZ1902" s="263"/>
      <c r="BA1902" s="263"/>
      <c r="BB1902" s="263"/>
      <c r="BC1902" s="263"/>
      <c r="BD1902" s="264"/>
      <c r="BE1902" s="263"/>
      <c r="BF1902" s="263"/>
      <c r="BG1902" s="263"/>
      <c r="BH1902" s="263"/>
      <c r="BI1902" s="263"/>
      <c r="BJ1902" s="404">
        <f>altaz(J2000_Bas,$O1902,$M1902,DecLat,DecLong,2)</f>
        <v>297.34806792733843</v>
      </c>
      <c r="BK1902" s="378" t="s">
        <v>1859</v>
      </c>
      <c r="BL1902" s="379">
        <f>IF((2*G1902)/60&lt;0.2,0.2,(2*G1902)/60)</f>
        <v>0.2</v>
      </c>
      <c r="BM1902" s="380">
        <f>MOD((50000+AD1902-$B$3+(0/24)),1)</f>
        <v>0.66109091912221629</v>
      </c>
      <c r="BN1902" s="381"/>
      <c r="BO1902" s="382">
        <v>1895</v>
      </c>
    </row>
    <row r="1903" spans="1:67" s="24" customFormat="1" ht="15" customHeight="1" x14ac:dyDescent="0.25">
      <c r="A1903" s="288" t="s">
        <v>1860</v>
      </c>
      <c r="B1903" s="241" t="str">
        <f>HYPERLINK(CONCATENATE($AT$3,BK1903,$AU$3),$AV$3)</f>
        <v>S</v>
      </c>
      <c r="C1903" s="242" t="str">
        <f>HYPERLINK(CONCATENATE($AT$4,BK1903,$AU$4,BL1903),$AV$4)</f>
        <v>A</v>
      </c>
      <c r="D1903" s="243" t="s">
        <v>5638</v>
      </c>
      <c r="E1903" s="244" t="s">
        <v>3259</v>
      </c>
      <c r="F1903" s="269"/>
      <c r="G1903" s="273">
        <v>4</v>
      </c>
      <c r="H1903" s="283">
        <v>48.966120000000004</v>
      </c>
      <c r="I1903" s="246">
        <v>60</v>
      </c>
      <c r="J1903" s="246">
        <v>3</v>
      </c>
      <c r="K1903" s="247" t="s">
        <v>7711</v>
      </c>
      <c r="L1903" s="248">
        <v>105324</v>
      </c>
      <c r="M1903" s="249">
        <f>15*(LEFT(TEXT($L1903,"000000"),2)+(MID(TEXT($L1903,"000000"),3,2)/60)+(RIGHT(TEXT($L1903,"000000"),2)/3600))</f>
        <v>163.35</v>
      </c>
      <c r="N1903" s="250">
        <v>164620</v>
      </c>
      <c r="O1903" s="251">
        <f>IF($N1903&gt;0,(LEFT(TEXT($N1903,"000000"),2)+(MID(TEXT($N1903,"000000"),3,2)/60)+(RIGHT(TEXT($N1903,"000000"),2)/3600)),-(MID(TEXT($N1903,"000000"),2,2)+(MID(TEXT($N1903,"000000"),4,2)/60)+(RIGHT(TEXT($N1903,"000000"),2)/3600)))</f>
        <v>16.772222222222222</v>
      </c>
      <c r="P1903" s="252" t="s">
        <v>183</v>
      </c>
      <c r="Q1903" s="253"/>
      <c r="R1903" s="247" t="s">
        <v>3293</v>
      </c>
      <c r="S1903" s="272" t="s">
        <v>3293</v>
      </c>
      <c r="T1903" s="273">
        <v>13.3</v>
      </c>
      <c r="U1903" s="289">
        <v>24.39</v>
      </c>
      <c r="V1903" s="280">
        <v>40</v>
      </c>
      <c r="W1903" s="244"/>
      <c r="X1903" s="244"/>
      <c r="Y1903" s="362"/>
      <c r="Z1903" s="257">
        <f>altaz(J2000_Bas,$O1903,$M1903,DecLat,DecLong,1)</f>
        <v>-17.108513728762674</v>
      </c>
      <c r="AA1903" s="257">
        <f>altaz((J2000_Bas+(2*0.04167)),$O1903,$M1903,DecLat,DecLong,1)</f>
        <v>-35.514681066257459</v>
      </c>
      <c r="AB1903" s="257">
        <f>altaz((J2000_Bas+(4*0.04167)),$O1903,$M1903,DecLat,DecLong,1)</f>
        <v>-42.150830251787198</v>
      </c>
      <c r="AC1903" s="257">
        <f>altaz((J2000_Bas+(6*0.04167)),$O1903,$M1903,DecLat,DecLong,1)</f>
        <v>-32.711315940793547</v>
      </c>
      <c r="AD1903" s="258">
        <f>1+ transit((J2000_Bas-1),$O1903,$M1903,DecLat,DecLong)/360 + (GMTOffset/24) + (IF(DST="Y", 1, 0)/24)</f>
        <v>1.4466499152547081</v>
      </c>
      <c r="AE1903" s="259">
        <f>DATE(2001,9,21)+(M1903/360)*365 - (360*((DecLong/360)- (GMTOffset/24) ))</f>
        <v>37325.618750000001</v>
      </c>
      <c r="AF1903" s="260">
        <f>IF(DecLat&gt;0,IF((90 - (DecLat-O1903))&gt;90, (90 - (O1903-DecLat)), (90 - (DecLat-O1903))),IF((90 + (DecLat-O1903))&gt;90, (90 + (O1903-DecLat)), (90 + (DecLat-O1903))))</f>
        <v>75.772222222222226</v>
      </c>
      <c r="AG1903" s="257">
        <f>angularseperation(MoonRA,MoonDec,$M1903,$O1903)</f>
        <v>94.032090935643851</v>
      </c>
      <c r="AH1903" s="261">
        <f ca="1">MIN(100,IF($O$5&gt;80,0+30*($AG1903/100),IF($O$5&gt;70,0+50*($AG1903/100),IF($O$5&gt;60,5+50*($AG1903/100),IF($O$5&gt;50,10+60*($AG1903/100),IF($O$5&gt;40,15+70*($AG1903/100),IF($O$5&gt;30,20+70*($AG1903/100),IF($O$5&gt;20,40+55*($AG1903/100),(80+(20-$O$5)+30*($AG1903/100))))))))))</f>
        <v>100</v>
      </c>
      <c r="AI1903" s="262">
        <v>3447</v>
      </c>
      <c r="AJ1903" s="262"/>
      <c r="AK1903" s="262"/>
      <c r="AL1903" s="263"/>
      <c r="AM1903" s="264"/>
      <c r="AN1903" s="263"/>
      <c r="AO1903" s="263"/>
      <c r="AP1903" s="265"/>
      <c r="AQ1903" s="266">
        <v>6006</v>
      </c>
      <c r="AR1903" s="267">
        <v>32694</v>
      </c>
      <c r="AS1903" s="263"/>
      <c r="AT1903" s="263"/>
      <c r="AU1903" s="263"/>
      <c r="AV1903" s="264"/>
      <c r="AW1903" s="263"/>
      <c r="AX1903" s="263"/>
      <c r="AY1903" s="263"/>
      <c r="AZ1903" s="263"/>
      <c r="BA1903" s="263"/>
      <c r="BB1903" s="263"/>
      <c r="BC1903" s="263"/>
      <c r="BD1903" s="264"/>
      <c r="BE1903" s="263"/>
      <c r="BF1903" s="263"/>
      <c r="BG1903" s="263"/>
      <c r="BH1903" s="263"/>
      <c r="BI1903" s="263"/>
      <c r="BJ1903" s="404">
        <f>altaz(J2000_Bas,$O1903,$M1903,DecLat,DecLong,2)</f>
        <v>302.4922883394749</v>
      </c>
      <c r="BK1903" s="378" t="s">
        <v>1860</v>
      </c>
      <c r="BL1903" s="379">
        <f>IF((2*G1903)/60&lt;0.2,0.2,(2*G1903)/60)</f>
        <v>0.2</v>
      </c>
      <c r="BM1903" s="380">
        <f>MOD((50000+AD1903-$B$3+(0/24)),1)</f>
        <v>0.66201684495899826</v>
      </c>
      <c r="BN1903" s="381"/>
      <c r="BO1903" s="382">
        <v>1896</v>
      </c>
    </row>
    <row r="1904" spans="1:67" s="24" customFormat="1" ht="15" customHeight="1" x14ac:dyDescent="0.25">
      <c r="A1904" s="288" t="s">
        <v>7712</v>
      </c>
      <c r="B1904" s="241" t="str">
        <f>HYPERLINK(CONCATENATE($AT$3,BK1904,$AU$3),$AV$3)</f>
        <v>S</v>
      </c>
      <c r="C1904" s="242" t="str">
        <f>HYPERLINK(CONCATENATE($AT$4,BK1904,$AU$4,BL1904),$AV$4)</f>
        <v>A</v>
      </c>
      <c r="D1904" s="243" t="s">
        <v>5638</v>
      </c>
      <c r="E1904" s="244" t="s">
        <v>5178</v>
      </c>
      <c r="F1904" s="269" t="s">
        <v>8665</v>
      </c>
      <c r="G1904" s="273">
        <v>3</v>
      </c>
      <c r="H1904" s="283">
        <v>90</v>
      </c>
      <c r="I1904" s="246">
        <v>75</v>
      </c>
      <c r="J1904" s="246">
        <v>2</v>
      </c>
      <c r="K1904" s="247" t="s">
        <v>7713</v>
      </c>
      <c r="L1904" s="248">
        <v>105431</v>
      </c>
      <c r="M1904" s="249">
        <f>15*(LEFT(TEXT($L1904,"000000"),2)+(MID(TEXT($L1904,"000000"),3,2)/60)+(RIGHT(TEXT($L1904,"000000"),2)/3600))</f>
        <v>163.62916666666669</v>
      </c>
      <c r="N1904" s="286">
        <v>171705</v>
      </c>
      <c r="O1904" s="251">
        <f>IF($N1904&gt;0,(LEFT(TEXT($N1904,"000000"),2)+(MID(TEXT($N1904,"000000"),3,2)/60)+(RIGHT(TEXT($N1904,"000000"),2)/3600)),-(MID(TEXT($N1904,"000000"),2,2)+(MID(TEXT($N1904,"000000"),4,2)/60)+(RIGHT(TEXT($N1904,"000000"),2)/3600)))</f>
        <v>17.284722222222225</v>
      </c>
      <c r="P1904" s="252" t="s">
        <v>183</v>
      </c>
      <c r="Q1904" s="253"/>
      <c r="R1904" s="247" t="s">
        <v>3293</v>
      </c>
      <c r="S1904" s="272" t="s">
        <v>9206</v>
      </c>
      <c r="T1904" s="273">
        <v>12</v>
      </c>
      <c r="U1904" s="289">
        <v>22.59</v>
      </c>
      <c r="V1904" s="280"/>
      <c r="W1904" s="244"/>
      <c r="X1904" s="244"/>
      <c r="Y1904" s="362"/>
      <c r="Z1904" s="257">
        <f>altaz(J2000_Bas,$O1904,$M1904,DecLat,DecLong,1)</f>
        <v>-16.570992444000158</v>
      </c>
      <c r="AA1904" s="257">
        <f>altaz((J2000_Bas+(2*0.04167)),$O1904,$M1904,DecLat,DecLong,1)</f>
        <v>-34.936998984133602</v>
      </c>
      <c r="AB1904" s="257">
        <f>altaz((J2000_Bas+(4*0.04167)),$O1904,$M1904,DecLat,DecLong,1)</f>
        <v>-41.653462624583241</v>
      </c>
      <c r="AC1904" s="257">
        <f>altaz((J2000_Bas+(6*0.04167)),$O1904,$M1904,DecLat,DecLong,1)</f>
        <v>-32.430406109032958</v>
      </c>
      <c r="AD1904" s="258">
        <f>1+ transit((J2000_Bas-1),$O1904,$M1904,DecLat,DecLong)/360 + (GMTOffset/24) + (IF(DST="Y", 1, 0)/24)</f>
        <v>1.4474253781401247</v>
      </c>
      <c r="AE1904" s="259">
        <f>DATE(2001,9,21)+(M1904/360)*365 - (360*((DecLong/360)- (GMTOffset/24) ))</f>
        <v>37325.90179398148</v>
      </c>
      <c r="AF1904" s="260">
        <f>IF(DecLat&gt;0,IF((90 - (DecLat-O1904))&gt;90, (90 - (O1904-DecLat)), (90 - (DecLat-O1904))),IF((90 + (DecLat-O1904))&gt;90, (90 + (O1904-DecLat)), (90 + (DecLat-O1904))))</f>
        <v>76.284722222222229</v>
      </c>
      <c r="AG1904" s="257">
        <f>angularseperation(MoonRA,MoonDec,$M1904,$O1904)</f>
        <v>94.028087011046964</v>
      </c>
      <c r="AH1904" s="261">
        <f ca="1">MIN(100,IF($O$5&gt;80,0+30*($AG1904/100),IF($O$5&gt;70,0+50*($AG1904/100),IF($O$5&gt;60,5+50*($AG1904/100),IF($O$5&gt;50,10+60*($AG1904/100),IF($O$5&gt;40,15+70*($AG1904/100),IF($O$5&gt;30,20+70*($AG1904/100),IF($O$5&gt;20,40+55*($AG1904/100),(80+(20-$O$5)+30*($AG1904/100))))))))))</f>
        <v>100</v>
      </c>
      <c r="AI1904" s="262">
        <v>3455</v>
      </c>
      <c r="AJ1904" s="262"/>
      <c r="AK1904" s="262"/>
      <c r="AL1904" s="263"/>
      <c r="AM1904" s="264"/>
      <c r="AN1904" s="263"/>
      <c r="AO1904" s="263"/>
      <c r="AP1904" s="265"/>
      <c r="AQ1904" s="266">
        <v>6028</v>
      </c>
      <c r="AR1904" s="267">
        <v>32767</v>
      </c>
      <c r="AS1904" s="263"/>
      <c r="AT1904" s="263"/>
      <c r="AU1904" s="263"/>
      <c r="AV1904" s="264"/>
      <c r="AW1904" s="263"/>
      <c r="AX1904" s="263"/>
      <c r="AY1904" s="263"/>
      <c r="AZ1904" s="263"/>
      <c r="BA1904" s="263"/>
      <c r="BB1904" s="263"/>
      <c r="BC1904" s="263"/>
      <c r="BD1904" s="264"/>
      <c r="BE1904" s="263"/>
      <c r="BF1904" s="263"/>
      <c r="BG1904" s="263"/>
      <c r="BH1904" s="263"/>
      <c r="BI1904" s="263"/>
      <c r="BJ1904" s="404">
        <f>altaz(J2000_Bas,$O1904,$M1904,DecLat,DecLong,2)</f>
        <v>302.71386870557183</v>
      </c>
      <c r="BK1904" s="378" t="s">
        <v>1861</v>
      </c>
      <c r="BL1904" s="379">
        <f>IF((2*G1904)/60&lt;0.2,0.2,(2*G1904)/60)</f>
        <v>0.2</v>
      </c>
      <c r="BM1904" s="380">
        <f>MOD((50000+AD1904-$B$3+(0/24)),1)</f>
        <v>0.6627923078413005</v>
      </c>
      <c r="BN1904" s="381"/>
      <c r="BO1904" s="382">
        <v>1897</v>
      </c>
    </row>
    <row r="1905" spans="1:67" s="24" customFormat="1" ht="15" customHeight="1" x14ac:dyDescent="0.25">
      <c r="A1905" s="288" t="s">
        <v>1862</v>
      </c>
      <c r="B1905" s="241" t="str">
        <f>HYPERLINK(CONCATENATE($AT$3,BK1905,$AU$3),$AV$3)</f>
        <v>S</v>
      </c>
      <c r="C1905" s="242" t="str">
        <f>HYPERLINK(CONCATENATE($AT$4,BK1905,$AU$4,BL1905),$AV$4)</f>
        <v>A</v>
      </c>
      <c r="D1905" s="243" t="s">
        <v>5638</v>
      </c>
      <c r="E1905" s="244" t="s">
        <v>5192</v>
      </c>
      <c r="F1905" s="269" t="s">
        <v>8966</v>
      </c>
      <c r="G1905" s="273">
        <v>7</v>
      </c>
      <c r="H1905" s="283">
        <v>40</v>
      </c>
      <c r="I1905" s="246">
        <v>80</v>
      </c>
      <c r="J1905" s="246">
        <v>3</v>
      </c>
      <c r="K1905" s="247" t="s">
        <v>7714</v>
      </c>
      <c r="L1905" s="248">
        <v>110024</v>
      </c>
      <c r="M1905" s="249">
        <f>15*(LEFT(TEXT($L1905,"000000"),2)+(MID(TEXT($L1905,"000000"),3,2)/60)+(RIGHT(TEXT($L1905,"000000"),2)/3600))</f>
        <v>165.1</v>
      </c>
      <c r="N1905" s="250">
        <v>285830</v>
      </c>
      <c r="O1905" s="251">
        <f>IF($N1905&gt;0,(LEFT(TEXT($N1905,"000000"),2)+(MID(TEXT($N1905,"000000"),3,2)/60)+(RIGHT(TEXT($N1905,"000000"),2)/3600)),-(MID(TEXT($N1905,"000000"),2,2)+(MID(TEXT($N1905,"000000"),4,2)/60)+(RIGHT(TEXT($N1905,"000000"),2)/3600)))</f>
        <v>28.974999999999998</v>
      </c>
      <c r="P1905" s="252" t="s">
        <v>239</v>
      </c>
      <c r="Q1905" s="253"/>
      <c r="R1905" s="247" t="s">
        <v>3293</v>
      </c>
      <c r="S1905" s="272" t="s">
        <v>3293</v>
      </c>
      <c r="T1905" s="273">
        <v>11</v>
      </c>
      <c r="U1905" s="289">
        <v>23.19</v>
      </c>
      <c r="V1905" s="280">
        <v>40</v>
      </c>
      <c r="W1905" s="244"/>
      <c r="X1905" s="244"/>
      <c r="Y1905" s="362"/>
      <c r="Z1905" s="257">
        <f>altaz(J2000_Bas,$O1905,$M1905,DecLat,DecLong,1)</f>
        <v>-7.7946617742196302</v>
      </c>
      <c r="AA1905" s="257">
        <f>altaz((J2000_Bas+(2*0.04167)),$O1905,$M1905,DecLat,DecLong,1)</f>
        <v>-23.971153518749666</v>
      </c>
      <c r="AB1905" s="257">
        <f>altaz((J2000_Bas+(4*0.04167)),$O1905,$M1905,DecLat,DecLong,1)</f>
        <v>-30.0163195404979</v>
      </c>
      <c r="AC1905" s="257">
        <f>altaz((J2000_Bas+(6*0.04167)),$O1905,$M1905,DecLat,DecLong,1)</f>
        <v>-23.092408155798051</v>
      </c>
      <c r="AD1905" s="258">
        <f>1+ transit((J2000_Bas-1),$O1905,$M1905,DecLat,DecLong)/360 + (GMTOffset/24) + (IF(DST="Y", 1, 0)/24)</f>
        <v>1.4515110258797079</v>
      </c>
      <c r="AE1905" s="259">
        <f>DATE(2001,9,21)+(M1905/360)*365 - (360*((DecLong/360)- (GMTOffset/24) ))</f>
        <v>37327.393055555556</v>
      </c>
      <c r="AF1905" s="260">
        <f>IF(DecLat&gt;0,IF((90 - (DecLat-O1905))&gt;90, (90 - (O1905-DecLat)), (90 - (DecLat-O1905))),IF((90 + (DecLat-O1905))&gt;90, (90 + (O1905-DecLat)), (90 + (DecLat-O1905))))</f>
        <v>87.974999999999994</v>
      </c>
      <c r="AG1905" s="257">
        <f>angularseperation(MoonRA,MoonDec,$M1905,$O1905)</f>
        <v>98.109244899248807</v>
      </c>
      <c r="AH1905" s="261">
        <f ca="1">MIN(100,IF($O$5&gt;80,0+30*($AG1905/100),IF($O$5&gt;70,0+50*($AG1905/100),IF($O$5&gt;60,5+50*($AG1905/100),IF($O$5&gt;50,10+60*($AG1905/100),IF($O$5&gt;40,15+70*($AG1905/100),IF($O$5&gt;30,20+70*($AG1905/100),IF($O$5&gt;20,40+55*($AG1905/100),(80+(20-$O$5)+30*($AG1905/100))))))))))</f>
        <v>100</v>
      </c>
      <c r="AI1905" s="262">
        <v>3486</v>
      </c>
      <c r="AJ1905" s="262"/>
      <c r="AK1905" s="262">
        <v>162</v>
      </c>
      <c r="AL1905" s="263"/>
      <c r="AM1905" s="264"/>
      <c r="AN1905" s="263"/>
      <c r="AO1905" s="263"/>
      <c r="AP1905" s="265"/>
      <c r="AQ1905" s="266">
        <v>6079</v>
      </c>
      <c r="AR1905" s="267">
        <v>33166</v>
      </c>
      <c r="AS1905" s="263"/>
      <c r="AT1905" s="263"/>
      <c r="AU1905" s="263"/>
      <c r="AV1905" s="264"/>
      <c r="AW1905" s="263"/>
      <c r="AX1905" s="263"/>
      <c r="AY1905" s="263"/>
      <c r="AZ1905" s="263"/>
      <c r="BA1905" s="263"/>
      <c r="BB1905" s="263"/>
      <c r="BC1905" s="263"/>
      <c r="BD1905" s="264"/>
      <c r="BE1905" s="263"/>
      <c r="BF1905" s="263"/>
      <c r="BG1905" s="263"/>
      <c r="BH1905" s="263"/>
      <c r="BI1905" s="263"/>
      <c r="BJ1905" s="404">
        <f>altaz(J2000_Bas,$O1905,$M1905,DecLat,DecLong,2)</f>
        <v>310.74327785337431</v>
      </c>
      <c r="BK1905" s="378" t="s">
        <v>1862</v>
      </c>
      <c r="BL1905" s="379">
        <f>IF((2*G1905)/60&lt;0.2,0.2,(2*G1905)/60)</f>
        <v>0.23333333333333334</v>
      </c>
      <c r="BM1905" s="380">
        <f>MOD((50000+AD1905-$B$3+(0/24)),1)</f>
        <v>0.66687795558391372</v>
      </c>
      <c r="BN1905" s="381" t="s">
        <v>9220</v>
      </c>
      <c r="BO1905" s="382">
        <v>1898</v>
      </c>
    </row>
    <row r="1906" spans="1:67" s="24" customFormat="1" ht="15" customHeight="1" x14ac:dyDescent="0.25">
      <c r="A1906" s="287" t="s">
        <v>1863</v>
      </c>
      <c r="B1906" s="241" t="str">
        <f>HYPERLINK(CONCATENATE($AT$3,BK1906,$AU$3),$AV$3)</f>
        <v>S</v>
      </c>
      <c r="C1906" s="242" t="str">
        <f>HYPERLINK(CONCATENATE($AT$4,BK1906,$AU$4,BL1906),$AV$4)</f>
        <v>A</v>
      </c>
      <c r="D1906" s="243" t="s">
        <v>5638</v>
      </c>
      <c r="E1906" s="244" t="s">
        <v>5182</v>
      </c>
      <c r="F1906" s="269" t="s">
        <v>8903</v>
      </c>
      <c r="G1906" s="273">
        <v>4</v>
      </c>
      <c r="H1906" s="283">
        <v>40</v>
      </c>
      <c r="I1906" s="246">
        <v>50</v>
      </c>
      <c r="J1906" s="246">
        <v>2</v>
      </c>
      <c r="K1906" s="247" t="s">
        <v>7715</v>
      </c>
      <c r="L1906" s="248">
        <v>110019</v>
      </c>
      <c r="M1906" s="249">
        <f>15*(LEFT(TEXT($L1906,"000000"),2)+(MID(TEXT($L1906,"000000"),3,2)/60)+(RIGHT(TEXT($L1906,"000000"),2)/3600))</f>
        <v>165.07916666666665</v>
      </c>
      <c r="N1906" s="250">
        <v>135404</v>
      </c>
      <c r="O1906" s="251">
        <f>IF($N1906&gt;0,(LEFT(TEXT($N1906,"000000"),2)+(MID(TEXT($N1906,"000000"),3,2)/60)+(RIGHT(TEXT($N1906,"000000"),2)/3600)),-(MID(TEXT($N1906,"000000"),2,2)+(MID(TEXT($N1906,"000000"),4,2)/60)+(RIGHT(TEXT($N1906,"000000"),2)/3600)))</f>
        <v>13.901111111111112</v>
      </c>
      <c r="P1906" s="252" t="s">
        <v>183</v>
      </c>
      <c r="Q1906" s="253"/>
      <c r="R1906" s="277" t="s">
        <v>3293</v>
      </c>
      <c r="S1906" s="272" t="s">
        <v>3293</v>
      </c>
      <c r="T1906" s="273">
        <v>10.3</v>
      </c>
      <c r="U1906" s="289">
        <v>21.19</v>
      </c>
      <c r="V1906" s="280">
        <v>75</v>
      </c>
      <c r="W1906" s="244"/>
      <c r="X1906" s="244"/>
      <c r="Y1906" s="362"/>
      <c r="Z1906" s="257">
        <f>altaz(J2000_Bas,$O1906,$M1906,DecLat,DecLong,1)</f>
        <v>-17.689255317946682</v>
      </c>
      <c r="AA1906" s="257">
        <f>altaz((J2000_Bas+(2*0.04167)),$O1906,$M1906,DecLat,DecLong,1)</f>
        <v>-37.161105651313711</v>
      </c>
      <c r="AB1906" s="257">
        <f>altaz((J2000_Bas+(4*0.04167)),$O1906,$M1906,DecLat,DecLong,1)</f>
        <v>-45.0866119426884</v>
      </c>
      <c r="AC1906" s="257">
        <f>altaz((J2000_Bas+(6*0.04167)),$O1906,$M1906,DecLat,DecLong,1)</f>
        <v>-36.02601064978645</v>
      </c>
      <c r="AD1906" s="258">
        <f>1+ transit((J2000_Bas-1),$O1906,$M1906,DecLat,DecLong)/360 + (GMTOffset/24) + (IF(DST="Y", 1, 0)/24)</f>
        <v>1.4514531555151247</v>
      </c>
      <c r="AE1906" s="259">
        <f>DATE(2001,9,21)+(M1906/360)*365 - (360*((DecLong/360)- (GMTOffset/24) ))</f>
        <v>37327.371932870374</v>
      </c>
      <c r="AF1906" s="260">
        <f>IF(DecLat&gt;0,IF((90 - (DecLat-O1906))&gt;90, (90 - (O1906-DecLat)), (90 - (DecLat-O1906))),IF((90 + (DecLat-O1906))&gt;90, (90 + (O1906-DecLat)), (90 + (DecLat-O1906))))</f>
        <v>72.901111111111106</v>
      </c>
      <c r="AG1906" s="257">
        <f>angularseperation(MoonRA,MoonDec,$M1906,$O1906)</f>
        <v>91.231128706563254</v>
      </c>
      <c r="AH1906" s="261">
        <f ca="1">MIN(100,IF($O$5&gt;80,0+30*($AG1906/100),IF($O$5&gt;70,0+50*($AG1906/100),IF($O$5&gt;60,5+50*($AG1906/100),IF($O$5&gt;50,10+60*($AG1906/100),IF($O$5&gt;40,15+70*($AG1906/100),IF($O$5&gt;30,20+70*($AG1906/100),IF($O$5&gt;20,40+55*($AG1906/100),(80+(20-$O$5)+30*($AG1906/100))))))))))</f>
        <v>100</v>
      </c>
      <c r="AI1906" s="262">
        <v>3489</v>
      </c>
      <c r="AJ1906" s="263"/>
      <c r="AK1906" s="263">
        <v>163</v>
      </c>
      <c r="AL1906" s="263"/>
      <c r="AM1906" s="264"/>
      <c r="AN1906" s="263"/>
      <c r="AO1906" s="263"/>
      <c r="AP1906" s="265"/>
      <c r="AQ1906" s="265">
        <v>6082</v>
      </c>
      <c r="AR1906" s="285">
        <v>33160</v>
      </c>
      <c r="AS1906" s="263"/>
      <c r="AT1906" s="263"/>
      <c r="AU1906" s="263"/>
      <c r="AV1906" s="264"/>
      <c r="AW1906" s="263"/>
      <c r="AX1906" s="263"/>
      <c r="AY1906" s="263"/>
      <c r="AZ1906" s="263"/>
      <c r="BA1906" s="263"/>
      <c r="BB1906" s="263"/>
      <c r="BC1906" s="263"/>
      <c r="BD1906" s="264"/>
      <c r="BE1906" s="263"/>
      <c r="BF1906" s="263"/>
      <c r="BG1906" s="263"/>
      <c r="BH1906" s="263"/>
      <c r="BI1906" s="263"/>
      <c r="BJ1906" s="404">
        <f>altaz(J2000_Bas,$O1906,$M1906,DecLat,DecLong,2)</f>
        <v>299.06651821238586</v>
      </c>
      <c r="BK1906" s="378" t="s">
        <v>1863</v>
      </c>
      <c r="BL1906" s="379">
        <f>IF((2*G1906)/60&lt;0.2,0.2,(2*G1906)/60)</f>
        <v>0.2</v>
      </c>
      <c r="BM1906" s="380">
        <f>MOD((50000+AD1906-$B$3+(0/24)),1)</f>
        <v>0.66682008522184333</v>
      </c>
      <c r="BN1906" s="381"/>
      <c r="BO1906" s="382">
        <v>1899</v>
      </c>
    </row>
    <row r="1907" spans="1:67" s="24" customFormat="1" ht="15" customHeight="1" x14ac:dyDescent="0.25">
      <c r="A1907" s="288" t="s">
        <v>1864</v>
      </c>
      <c r="B1907" s="241" t="str">
        <f>HYPERLINK(CONCATENATE($AT$3,BK1907,$AU$3),$AV$3)</f>
        <v>S</v>
      </c>
      <c r="C1907" s="242" t="str">
        <f>HYPERLINK(CONCATENATE($AT$4,BK1907,$AU$4,BL1907),$AV$4)</f>
        <v>A</v>
      </c>
      <c r="D1907" s="243" t="s">
        <v>5638</v>
      </c>
      <c r="E1907" s="244" t="s">
        <v>5192</v>
      </c>
      <c r="F1907" s="269" t="s">
        <v>8697</v>
      </c>
      <c r="G1907" s="273">
        <v>5</v>
      </c>
      <c r="H1907" s="283">
        <v>74</v>
      </c>
      <c r="I1907" s="246">
        <v>110</v>
      </c>
      <c r="J1907" s="246">
        <v>2</v>
      </c>
      <c r="K1907" s="247" t="s">
        <v>7718</v>
      </c>
      <c r="L1907" s="248">
        <v>110247</v>
      </c>
      <c r="M1907" s="249">
        <f>15*(LEFT(TEXT($L1907,"000000"),2)+(MID(TEXT($L1907,"000000"),3,2)/60)+(RIGHT(TEXT($L1907,"000000"),2)/3600))</f>
        <v>165.69583333333333</v>
      </c>
      <c r="N1907" s="250">
        <v>175921</v>
      </c>
      <c r="O1907" s="251">
        <f>IF($N1907&gt;0,(LEFT(TEXT($N1907,"000000"),2)+(MID(TEXT($N1907,"000000"),3,2)/60)+(RIGHT(TEXT($N1907,"000000"),2)/3600)),-(MID(TEXT($N1907,"000000"),2,2)+(MID(TEXT($N1907,"000000"),4,2)/60)+(RIGHT(TEXT($N1907,"000000"),2)/3600)))</f>
        <v>17.989166666666666</v>
      </c>
      <c r="P1907" s="252" t="s">
        <v>183</v>
      </c>
      <c r="Q1907" s="253"/>
      <c r="R1907" s="247" t="s">
        <v>3293</v>
      </c>
      <c r="S1907" s="272" t="s">
        <v>7716</v>
      </c>
      <c r="T1907" s="273">
        <v>12.9</v>
      </c>
      <c r="U1907" s="289">
        <v>22.29</v>
      </c>
      <c r="V1907" s="280">
        <v>84</v>
      </c>
      <c r="W1907" s="244"/>
      <c r="X1907" s="244"/>
      <c r="Y1907" s="362"/>
      <c r="Z1907" s="257">
        <f>altaz(J2000_Bas,$O1907,$M1907,DecLat,DecLong,1)</f>
        <v>-14.616266146855631</v>
      </c>
      <c r="AA1907" s="257">
        <f>altaz((J2000_Bas+(2*0.04167)),$O1907,$M1907,DecLat,DecLong,1)</f>
        <v>-33.349497245882212</v>
      </c>
      <c r="AB1907" s="257">
        <f>altaz((J2000_Bas+(4*0.04167)),$O1907,$M1907,DecLat,DecLong,1)</f>
        <v>-41.008698198519753</v>
      </c>
      <c r="AC1907" s="257">
        <f>altaz((J2000_Bas+(6*0.04167)),$O1907,$M1907,DecLat,DecLong,1)</f>
        <v>-32.885100882681925</v>
      </c>
      <c r="AD1907" s="258">
        <f>1+ transit((J2000_Bas-1),$O1907,$M1907,DecLat,DecLong)/360 + (GMTOffset/24) + (IF(DST="Y", 1, 0)/24)</f>
        <v>1.4531661183067912</v>
      </c>
      <c r="AE1907" s="259">
        <f>DATE(2001,9,21)+(M1907/360)*365 - (360*((DecLong/360)- (GMTOffset/24) ))</f>
        <v>37327.997164351851</v>
      </c>
      <c r="AF1907" s="260">
        <f>IF(DecLat&gt;0,IF((90 - (DecLat-O1907))&gt;90, (90 - (O1907-DecLat)), (90 - (DecLat-O1907))),IF((90 + (DecLat-O1907))&gt;90, (90 + (O1907-DecLat)), (90 + (DecLat-O1907))))</f>
        <v>76.989166666666662</v>
      </c>
      <c r="AG1907" s="257">
        <f>angularseperation(MoonRA,MoonDec,$M1907,$O1907)</f>
        <v>92.603693035773759</v>
      </c>
      <c r="AH1907" s="261">
        <f ca="1">MIN(100,IF($O$5&gt;80,0+30*($AG1907/100),IF($O$5&gt;70,0+50*($AG1907/100),IF($O$5&gt;60,5+50*($AG1907/100),IF($O$5&gt;50,10+60*($AG1907/100),IF($O$5&gt;40,15+70*($AG1907/100),IF($O$5&gt;30,20+70*($AG1907/100),IF($O$5&gt;20,40+55*($AG1907/100),(80+(20-$O$5)+30*($AG1907/100))))))))))</f>
        <v>100</v>
      </c>
      <c r="AI1907" s="262">
        <v>3501</v>
      </c>
      <c r="AJ1907" s="262"/>
      <c r="AK1907" s="262"/>
      <c r="AL1907" s="263"/>
      <c r="AM1907" s="264"/>
      <c r="AN1907" s="263"/>
      <c r="AO1907" s="263"/>
      <c r="AP1907" s="265"/>
      <c r="AQ1907" s="266">
        <v>6116</v>
      </c>
      <c r="AR1907" s="267">
        <v>33343</v>
      </c>
      <c r="AS1907" s="263"/>
      <c r="AT1907" s="263"/>
      <c r="AU1907" s="263"/>
      <c r="AV1907" s="264"/>
      <c r="AW1907" s="263"/>
      <c r="AX1907" s="263"/>
      <c r="AY1907" s="263"/>
      <c r="AZ1907" s="263"/>
      <c r="BA1907" s="263"/>
      <c r="BB1907" s="263"/>
      <c r="BC1907" s="263"/>
      <c r="BD1907" s="264"/>
      <c r="BE1907" s="263"/>
      <c r="BF1907" s="263"/>
      <c r="BG1907" s="263"/>
      <c r="BH1907" s="263"/>
      <c r="BI1907" s="263"/>
      <c r="BJ1907" s="404">
        <f>altaz(J2000_Bas,$O1907,$M1907,DecLat,DecLong,2)</f>
        <v>301.94092082035644</v>
      </c>
      <c r="BK1907" s="378" t="s">
        <v>1864</v>
      </c>
      <c r="BL1907" s="379">
        <f>IF((2*G1907)/60&lt;0.2,0.2,(2*G1907)/60)</f>
        <v>0.2</v>
      </c>
      <c r="BM1907" s="380">
        <f>MOD((50000+AD1907-$B$3+(0/24)),1)</f>
        <v>0.66853304801043123</v>
      </c>
      <c r="BN1907" s="381"/>
      <c r="BO1907" s="382">
        <v>1900</v>
      </c>
    </row>
    <row r="1908" spans="1:67" s="24" customFormat="1" ht="15" customHeight="1" x14ac:dyDescent="0.25">
      <c r="A1908" s="288" t="s">
        <v>1865</v>
      </c>
      <c r="B1908" s="241" t="str">
        <f>HYPERLINK(CONCATENATE($AT$3,BK1908,$AU$3),$AV$3)</f>
        <v>S</v>
      </c>
      <c r="C1908" s="242" t="str">
        <f>HYPERLINK(CONCATENATE($AT$4,BK1908,$AU$4,BL1908),$AV$4)</f>
        <v>A</v>
      </c>
      <c r="D1908" s="243" t="s">
        <v>5638</v>
      </c>
      <c r="E1908" s="244" t="s">
        <v>5192</v>
      </c>
      <c r="F1908" s="269" t="s">
        <v>8914</v>
      </c>
      <c r="G1908" s="273">
        <v>2.5</v>
      </c>
      <c r="H1908" s="283">
        <v>110</v>
      </c>
      <c r="I1908" s="246">
        <v>80</v>
      </c>
      <c r="J1908" s="246">
        <v>2</v>
      </c>
      <c r="K1908" s="247" t="s">
        <v>7724</v>
      </c>
      <c r="L1908" s="248">
        <v>110311</v>
      </c>
      <c r="M1908" s="249">
        <f>15*(LEFT(TEXT($L1908,"000000"),2)+(MID(TEXT($L1908,"000000"),3,2)/60)+(RIGHT(TEXT($L1908,"000000"),2)/3600))</f>
        <v>165.79583333333335</v>
      </c>
      <c r="N1908" s="250">
        <v>275821</v>
      </c>
      <c r="O1908" s="251">
        <f>IF($N1908&gt;0,(LEFT(TEXT($N1908,"000000"),2)+(MID(TEXT($N1908,"000000"),3,2)/60)+(RIGHT(TEXT($N1908,"000000"),2)/3600)),-(MID(TEXT($N1908,"000000"),2,2)+(MID(TEXT($N1908,"000000"),4,2)/60)+(RIGHT(TEXT($N1908,"000000"),2)/3600)))</f>
        <v>27.972499999999997</v>
      </c>
      <c r="P1908" s="252" t="s">
        <v>239</v>
      </c>
      <c r="Q1908" s="253"/>
      <c r="R1908" s="247" t="s">
        <v>3293</v>
      </c>
      <c r="S1908" s="272" t="s">
        <v>7719</v>
      </c>
      <c r="T1908" s="273">
        <v>13</v>
      </c>
      <c r="U1908" s="289">
        <v>21.69</v>
      </c>
      <c r="V1908" s="280">
        <v>30</v>
      </c>
      <c r="W1908" s="244"/>
      <c r="X1908" s="244"/>
      <c r="Y1908" s="362"/>
      <c r="Z1908" s="257">
        <f>altaz(J2000_Bas,$O1908,$M1908,DecLat,DecLong,1)</f>
        <v>-8.0073279155105652</v>
      </c>
      <c r="AA1908" s="257">
        <f>altaz((J2000_Bas+(2*0.04167)),$O1908,$M1908,DecLat,DecLong,1)</f>
        <v>-24.578730775784368</v>
      </c>
      <c r="AB1908" s="257">
        <f>altaz((J2000_Bas+(4*0.04167)),$O1908,$M1908,DecLat,DecLong,1)</f>
        <v>-31.026410779371474</v>
      </c>
      <c r="AC1908" s="257">
        <f>altaz((J2000_Bas+(6*0.04167)),$O1908,$M1908,DecLat,DecLong,1)</f>
        <v>-24.265419564680474</v>
      </c>
      <c r="AD1908" s="258">
        <f>1+ transit((J2000_Bas-1),$O1908,$M1908,DecLat,DecLong)/360 + (GMTOffset/24) + (IF(DST="Y", 1, 0)/24)</f>
        <v>1.4534438960567915</v>
      </c>
      <c r="AE1908" s="259">
        <f>DATE(2001,9,21)+(M1908/360)*365 - (360*((DecLong/360)- (GMTOffset/24) ))</f>
        <v>37328.098553240743</v>
      </c>
      <c r="AF1908" s="260">
        <f>IF(DecLat&gt;0,IF((90 - (DecLat-O1908))&gt;90, (90 - (O1908-DecLat)), (90 - (DecLat-O1908))),IF((90 + (DecLat-O1908))&gt;90, (90 + (O1908-DecLat)), (90 + (DecLat-O1908))))</f>
        <v>86.972499999999997</v>
      </c>
      <c r="AG1908" s="257">
        <f>angularseperation(MoonRA,MoonDec,$M1908,$O1908)</f>
        <v>97.111856296054242</v>
      </c>
      <c r="AH1908" s="261">
        <f ca="1">MIN(100,IF($O$5&gt;80,0+30*($AG1908/100),IF($O$5&gt;70,0+50*($AG1908/100),IF($O$5&gt;60,5+50*($AG1908/100),IF($O$5&gt;50,10+60*($AG1908/100),IF($O$5&gt;40,15+70*($AG1908/100),IF($O$5&gt;30,20+70*($AG1908/100),IF($O$5&gt;20,40+55*($AG1908/100),(80+(20-$O$5)+30*($AG1908/100))))))))))</f>
        <v>100</v>
      </c>
      <c r="AI1908" s="262">
        <v>3504</v>
      </c>
      <c r="AJ1908" s="262"/>
      <c r="AK1908" s="262">
        <v>164</v>
      </c>
      <c r="AL1908" s="263"/>
      <c r="AM1908" s="264"/>
      <c r="AN1908" s="263"/>
      <c r="AO1908" s="263"/>
      <c r="AP1908" s="265"/>
      <c r="AQ1908" s="266">
        <v>6118</v>
      </c>
      <c r="AR1908" s="267">
        <v>33371</v>
      </c>
      <c r="AS1908" s="263"/>
      <c r="AT1908" s="263"/>
      <c r="AU1908" s="263"/>
      <c r="AV1908" s="264"/>
      <c r="AW1908" s="263"/>
      <c r="AX1908" s="263"/>
      <c r="AY1908" s="263"/>
      <c r="AZ1908" s="263"/>
      <c r="BA1908" s="263"/>
      <c r="BB1908" s="263"/>
      <c r="BC1908" s="263"/>
      <c r="BD1908" s="264"/>
      <c r="BE1908" s="263"/>
      <c r="BF1908" s="263"/>
      <c r="BG1908" s="263"/>
      <c r="BH1908" s="263"/>
      <c r="BI1908" s="263"/>
      <c r="BJ1908" s="404">
        <f>altaz(J2000_Bas,$O1908,$M1908,DecLat,DecLong,2)</f>
        <v>309.57726587585853</v>
      </c>
      <c r="BK1908" s="378" t="s">
        <v>1865</v>
      </c>
      <c r="BL1908" s="379">
        <f>IF((2*G1908)/60&lt;0.2,0.2,(2*G1908)/60)</f>
        <v>0.2</v>
      </c>
      <c r="BM1908" s="380">
        <f>MOD((50000+AD1908-$B$3+(0/24)),1)</f>
        <v>0.66881082575855544</v>
      </c>
      <c r="BN1908" s="381"/>
      <c r="BO1908" s="382">
        <v>1901</v>
      </c>
    </row>
    <row r="1909" spans="1:67" s="24" customFormat="1" ht="15" customHeight="1" x14ac:dyDescent="0.25">
      <c r="A1909" s="288" t="s">
        <v>1866</v>
      </c>
      <c r="B1909" s="241" t="str">
        <f>HYPERLINK(CONCATENATE($AT$3,BK1909,$AU$3),$AV$3)</f>
        <v>S</v>
      </c>
      <c r="C1909" s="242" t="str">
        <f>HYPERLINK(CONCATENATE($AT$4,BK1909,$AU$4,BL1909),$AV$4)</f>
        <v>A</v>
      </c>
      <c r="D1909" s="243" t="s">
        <v>5638</v>
      </c>
      <c r="E1909" s="244" t="s">
        <v>5192</v>
      </c>
      <c r="F1909" s="269" t="s">
        <v>8967</v>
      </c>
      <c r="G1909" s="273">
        <v>3</v>
      </c>
      <c r="H1909" s="283">
        <v>50</v>
      </c>
      <c r="I1909" s="246">
        <v>45</v>
      </c>
      <c r="J1909" s="246">
        <v>2</v>
      </c>
      <c r="K1909" s="247" t="s">
        <v>8473</v>
      </c>
      <c r="L1909" s="248">
        <v>110325</v>
      </c>
      <c r="M1909" s="249">
        <f>15*(LEFT(TEXT($L1909,"000000"),2)+(MID(TEXT($L1909,"000000"),3,2)/60)+(RIGHT(TEXT($L1909,"000000"),2)/3600))</f>
        <v>165.85416666666669</v>
      </c>
      <c r="N1909" s="250">
        <v>180806</v>
      </c>
      <c r="O1909" s="251">
        <f>IF($N1909&gt;0,(LEFT(TEXT($N1909,"000000"),2)+(MID(TEXT($N1909,"000000"),3,2)/60)+(RIGHT(TEXT($N1909,"000000"),2)/3600)),-(MID(TEXT($N1909,"000000"),2,2)+(MID(TEXT($N1909,"000000"),4,2)/60)+(RIGHT(TEXT($N1909,"000000"),2)/3600)))</f>
        <v>18.134999999999998</v>
      </c>
      <c r="P1909" s="252" t="s">
        <v>183</v>
      </c>
      <c r="Q1909" s="253"/>
      <c r="R1909" s="247" t="s">
        <v>3293</v>
      </c>
      <c r="S1909" s="272" t="s">
        <v>7717</v>
      </c>
      <c r="T1909" s="273">
        <v>11.9</v>
      </c>
      <c r="U1909" s="289">
        <v>23.09</v>
      </c>
      <c r="V1909" s="280">
        <v>20</v>
      </c>
      <c r="W1909" s="244"/>
      <c r="X1909" s="244"/>
      <c r="Y1909" s="362"/>
      <c r="Z1909" s="257">
        <f>altaz(J2000_Bas,$O1909,$M1909,DecLat,DecLong,1)</f>
        <v>-14.407189632435033</v>
      </c>
      <c r="AA1909" s="257">
        <f>altaz((J2000_Bas+(2*0.04167)),$O1909,$M1909,DecLat,DecLong,1)</f>
        <v>-33.147436843343527</v>
      </c>
      <c r="AB1909" s="257">
        <f>altaz((J2000_Bas+(4*0.04167)),$O1909,$M1909,DecLat,DecLong,1)</f>
        <v>-40.864052165000288</v>
      </c>
      <c r="AC1909" s="257">
        <f>altaz((J2000_Bas+(6*0.04167)),$O1909,$M1909,DecLat,DecLong,1)</f>
        <v>-32.838245579389422</v>
      </c>
      <c r="AD1909" s="258">
        <f>1+ transit((J2000_Bas-1),$O1909,$M1909,DecLat,DecLong)/360 + (GMTOffset/24) + (IF(DST="Y", 1, 0)/24)</f>
        <v>1.4536059330776248</v>
      </c>
      <c r="AE1909" s="259">
        <f>DATE(2001,9,21)+(M1909/360)*365 - (360*((DecLong/360)- (GMTOffset/24) ))</f>
        <v>37328.157696759263</v>
      </c>
      <c r="AF1909" s="260">
        <f>IF(DecLat&gt;0,IF((90 - (DecLat-O1909))&gt;90, (90 - (O1909-DecLat)), (90 - (DecLat-O1909))),IF((90 + (DecLat-O1909))&gt;90, (90 + (O1909-DecLat)), (90 + (DecLat-O1909))))</f>
        <v>77.134999999999991</v>
      </c>
      <c r="AG1909" s="257">
        <f>angularseperation(MoonRA,MoonDec,$M1909,$O1909)</f>
        <v>92.5381799032142</v>
      </c>
      <c r="AH1909" s="261">
        <f ca="1">MIN(100,IF($O$5&gt;80,0+30*($AG1909/100),IF($O$5&gt;70,0+50*($AG1909/100),IF($O$5&gt;60,5+50*($AG1909/100),IF($O$5&gt;50,10+60*($AG1909/100),IF($O$5&gt;40,15+70*($AG1909/100),IF($O$5&gt;30,20+70*($AG1909/100),IF($O$5&gt;20,40+55*($AG1909/100),(80+(20-$O$5)+30*($AG1909/100))))))))))</f>
        <v>100</v>
      </c>
      <c r="AI1909" s="262">
        <v>3507</v>
      </c>
      <c r="AJ1909" s="262"/>
      <c r="AK1909" s="262"/>
      <c r="AL1909" s="263"/>
      <c r="AM1909" s="264"/>
      <c r="AN1909" s="263"/>
      <c r="AO1909" s="263"/>
      <c r="AP1909" s="265"/>
      <c r="AQ1909" s="266">
        <v>6123</v>
      </c>
      <c r="AR1909" s="267">
        <v>33390</v>
      </c>
      <c r="AS1909" s="263"/>
      <c r="AT1909" s="263"/>
      <c r="AU1909" s="263"/>
      <c r="AV1909" s="264"/>
      <c r="AW1909" s="263"/>
      <c r="AX1909" s="263"/>
      <c r="AY1909" s="263"/>
      <c r="AZ1909" s="263"/>
      <c r="BA1909" s="263"/>
      <c r="BB1909" s="263"/>
      <c r="BC1909" s="263"/>
      <c r="BD1909" s="264"/>
      <c r="BE1909" s="263"/>
      <c r="BF1909" s="263"/>
      <c r="BG1909" s="263"/>
      <c r="BH1909" s="263"/>
      <c r="BI1909" s="263"/>
      <c r="BJ1909" s="404">
        <f>altaz(J2000_Bas,$O1909,$M1909,DecLat,DecLong,2)</f>
        <v>301.95602776496173</v>
      </c>
      <c r="BK1909" s="378" t="s">
        <v>1866</v>
      </c>
      <c r="BL1909" s="379">
        <f>IF((2*G1909)/60&lt;0.2,0.2,(2*G1909)/60)</f>
        <v>0.2</v>
      </c>
      <c r="BM1909" s="380">
        <f>MOD((50000+AD1909-$B$3+(0/24)),1)</f>
        <v>0.66897286278253887</v>
      </c>
      <c r="BN1909" s="381"/>
      <c r="BO1909" s="382">
        <v>1902</v>
      </c>
    </row>
    <row r="1910" spans="1:67" s="24" customFormat="1" ht="15" customHeight="1" x14ac:dyDescent="0.25">
      <c r="A1910" s="287" t="s">
        <v>1867</v>
      </c>
      <c r="B1910" s="241" t="str">
        <f>HYPERLINK(CONCATENATE($AT$3,BK1910,$AU$3),$AV$3)</f>
        <v>S</v>
      </c>
      <c r="C1910" s="242" t="str">
        <f>HYPERLINK(CONCATENATE($AT$4,BK1910,$AU$4,BL1910),$AV$4)</f>
        <v>A</v>
      </c>
      <c r="D1910" s="243" t="s">
        <v>5638</v>
      </c>
      <c r="E1910" s="244" t="s">
        <v>3259</v>
      </c>
      <c r="F1910" s="269" t="s">
        <v>8640</v>
      </c>
      <c r="G1910" s="273">
        <v>4</v>
      </c>
      <c r="H1910" s="283">
        <v>48</v>
      </c>
      <c r="I1910" s="246">
        <v>55</v>
      </c>
      <c r="J1910" s="246">
        <v>2</v>
      </c>
      <c r="K1910" s="247" t="s">
        <v>7723</v>
      </c>
      <c r="L1910" s="248">
        <v>110344</v>
      </c>
      <c r="M1910" s="249">
        <f>15*(LEFT(TEXT($L1910,"000000"),2)+(MID(TEXT($L1910,"000000"),3,2)/60)+(RIGHT(TEXT($L1910,"000000"),2)/3600))</f>
        <v>165.93333333333334</v>
      </c>
      <c r="N1910" s="250">
        <v>285306</v>
      </c>
      <c r="O1910" s="251">
        <f>IF($N1910&gt;0,(LEFT(TEXT($N1910,"000000"),2)+(MID(TEXT($N1910,"000000"),3,2)/60)+(RIGHT(TEXT($N1910,"000000"),2)/3600)),-(MID(TEXT($N1910,"000000"),2,2)+(MID(TEXT($N1910,"000000"),4,2)/60)+(RIGHT(TEXT($N1910,"000000"),2)/3600)))</f>
        <v>28.884999999999998</v>
      </c>
      <c r="P1910" s="252" t="s">
        <v>239</v>
      </c>
      <c r="Q1910" s="253"/>
      <c r="R1910" s="277" t="s">
        <v>3293</v>
      </c>
      <c r="S1910" s="272" t="s">
        <v>3293</v>
      </c>
      <c r="T1910" s="273">
        <v>12.1</v>
      </c>
      <c r="U1910" s="289">
        <v>22.09</v>
      </c>
      <c r="V1910" s="280"/>
      <c r="W1910" s="244"/>
      <c r="X1910" s="244"/>
      <c r="Y1910" s="362"/>
      <c r="Z1910" s="257">
        <f>altaz(J2000_Bas,$O1910,$M1910,DecLat,DecLong,1)</f>
        <v>-7.3112306095309796</v>
      </c>
      <c r="AA1910" s="257">
        <f>altaz((J2000_Bas+(2*0.04167)),$O1910,$M1910,DecLat,DecLong,1)</f>
        <v>-23.715205102772185</v>
      </c>
      <c r="AB1910" s="257">
        <f>altaz((J2000_Bas+(4*0.04167)),$O1910,$M1910,DecLat,DecLong,1)</f>
        <v>-30.114569739990092</v>
      </c>
      <c r="AC1910" s="257">
        <f>altaz((J2000_Bas+(6*0.04167)),$O1910,$M1910,DecLat,DecLong,1)</f>
        <v>-23.519439615611738</v>
      </c>
      <c r="AD1910" s="258">
        <f>1+ transit((J2000_Bas-1),$O1910,$M1910,DecLat,DecLong)/360 + (GMTOffset/24) + (IF(DST="Y", 1, 0)/24)</f>
        <v>1.4538258404630413</v>
      </c>
      <c r="AE1910" s="259">
        <f>DATE(2001,9,21)+(M1910/360)*365 - (360*((DecLong/360)- (GMTOffset/24) ))</f>
        <v>37328.237962962965</v>
      </c>
      <c r="AF1910" s="260">
        <f>IF(DecLat&gt;0,IF((90 - (DecLat-O1910))&gt;90, (90 - (O1910-DecLat)), (90 - (DecLat-O1910))),IF((90 + (DecLat-O1910))&gt;90, (90 + (O1910-DecLat)), (90 + (DecLat-O1910))))</f>
        <v>87.884999999999991</v>
      </c>
      <c r="AG1910" s="257">
        <f>angularseperation(MoonRA,MoonDec,$M1910,$O1910)</f>
        <v>97.417332814245754</v>
      </c>
      <c r="AH1910" s="261">
        <f ca="1">MIN(100,IF($O$5&gt;80,0+30*($AG1910/100),IF($O$5&gt;70,0+50*($AG1910/100),IF($O$5&gt;60,5+50*($AG1910/100),IF($O$5&gt;50,10+60*($AG1910/100),IF($O$5&gt;40,15+70*($AG1910/100),IF($O$5&gt;30,20+70*($AG1910/100),IF($O$5&gt;20,40+55*($AG1910/100),(80+(20-$O$5)+30*($AG1910/100))))))))))</f>
        <v>100</v>
      </c>
      <c r="AI1910" s="262">
        <v>3510</v>
      </c>
      <c r="AJ1910" s="263"/>
      <c r="AK1910" s="263"/>
      <c r="AL1910" s="263"/>
      <c r="AM1910" s="264"/>
      <c r="AN1910" s="263"/>
      <c r="AO1910" s="263"/>
      <c r="AP1910" s="265"/>
      <c r="AQ1910" s="265">
        <v>6126</v>
      </c>
      <c r="AR1910" s="285">
        <v>33408</v>
      </c>
      <c r="AS1910" s="263"/>
      <c r="AT1910" s="263"/>
      <c r="AU1910" s="263"/>
      <c r="AV1910" s="264"/>
      <c r="AW1910" s="263"/>
      <c r="AX1910" s="263"/>
      <c r="AY1910" s="263"/>
      <c r="AZ1910" s="263"/>
      <c r="BA1910" s="263"/>
      <c r="BB1910" s="263"/>
      <c r="BC1910" s="263"/>
      <c r="BD1910" s="264"/>
      <c r="BE1910" s="263"/>
      <c r="BF1910" s="263"/>
      <c r="BG1910" s="263"/>
      <c r="BH1910" s="263"/>
      <c r="BI1910" s="263"/>
      <c r="BJ1910" s="404">
        <f>altaz(J2000_Bas,$O1910,$M1910,DecLat,DecLong,2)</f>
        <v>310.18495858965332</v>
      </c>
      <c r="BK1910" s="378" t="s">
        <v>1867</v>
      </c>
      <c r="BL1910" s="379">
        <f>IF((2*G1910)/60&lt;0.2,0.2,(2*G1910)/60)</f>
        <v>0.2</v>
      </c>
      <c r="BM1910" s="380">
        <f>MOD((50000+AD1910-$B$3+(0/24)),1)</f>
        <v>0.66919277016859269</v>
      </c>
      <c r="BN1910" s="381"/>
      <c r="BO1910" s="382">
        <v>1903</v>
      </c>
    </row>
    <row r="1911" spans="1:67" s="24" customFormat="1" ht="15" customHeight="1" x14ac:dyDescent="0.25">
      <c r="A1911" s="288" t="s">
        <v>1868</v>
      </c>
      <c r="B1911" s="241" t="str">
        <f>HYPERLINK(CONCATENATE($AT$3,BK1911,$AU$3),$AV$3)</f>
        <v>S</v>
      </c>
      <c r="C1911" s="242" t="str">
        <f>HYPERLINK(CONCATENATE($AT$4,BK1911,$AU$4,BL1911),$AV$4)</f>
        <v>A</v>
      </c>
      <c r="D1911" s="243" t="s">
        <v>5638</v>
      </c>
      <c r="E1911" s="244" t="s">
        <v>5192</v>
      </c>
      <c r="F1911" s="269" t="s">
        <v>8895</v>
      </c>
      <c r="G1911" s="273">
        <v>5</v>
      </c>
      <c r="H1911" s="283">
        <v>40</v>
      </c>
      <c r="I1911" s="246">
        <v>60</v>
      </c>
      <c r="J1911" s="246">
        <v>2</v>
      </c>
      <c r="K1911" s="247" t="s">
        <v>8474</v>
      </c>
      <c r="L1911" s="248">
        <v>110324</v>
      </c>
      <c r="M1911" s="249">
        <f>15*(LEFT(TEXT($L1911,"000000"),2)+(MID(TEXT($L1911,"000000"),3,2)/60)+(RIGHT(TEXT($L1911,"000000"),2)/3600))</f>
        <v>165.85</v>
      </c>
      <c r="N1911" s="250">
        <v>-230511</v>
      </c>
      <c r="O1911" s="251">
        <f>IF($N1911&gt;0,(LEFT(TEXT($N1911,"000000"),2)+(MID(TEXT($N1911,"000000"),3,2)/60)+(RIGHT(TEXT($N1911,"000000"),2)/3600)),-(MID(TEXT($N1911,"000000"),2,2)+(MID(TEXT($N1911,"000000"),4,2)/60)+(RIGHT(TEXT($N1911,"000000"),2)/3600)))</f>
        <v>-23.086388888888887</v>
      </c>
      <c r="P1911" s="252" t="s">
        <v>509</v>
      </c>
      <c r="Q1911" s="253"/>
      <c r="R1911" s="247" t="s">
        <v>3293</v>
      </c>
      <c r="S1911" s="272" t="s">
        <v>7721</v>
      </c>
      <c r="T1911" s="273">
        <v>11</v>
      </c>
      <c r="U1911" s="289">
        <v>22.39</v>
      </c>
      <c r="V1911" s="280">
        <v>75</v>
      </c>
      <c r="W1911" s="244"/>
      <c r="X1911" s="244"/>
      <c r="Y1911" s="362"/>
      <c r="Z1911" s="257">
        <f>altaz(J2000_Bas,$O1911,$M1911,DecLat,DecLong,1)</f>
        <v>-36.72922811443091</v>
      </c>
      <c r="AA1911" s="257">
        <f>altaz((J2000_Bas+(2*0.04167)),$O1911,$M1911,DecLat,DecLong,1)</f>
        <v>-62.431874690601973</v>
      </c>
      <c r="AB1911" s="257">
        <f>altaz((J2000_Bas+(4*0.04167)),$O1911,$M1911,DecLat,DecLong,1)</f>
        <v>-82.081217707757162</v>
      </c>
      <c r="AC1911" s="257">
        <f>altaz((J2000_Bas+(6*0.04167)),$O1911,$M1911,DecLat,DecLong,1)</f>
        <v>-61.887290845309231</v>
      </c>
      <c r="AD1911" s="258">
        <f>1+ transit((J2000_Bas-1),$O1911,$M1911,DecLat,DecLong)/360 + (GMTOffset/24) + (IF(DST="Y", 1, 0)/24)</f>
        <v>1.453594359004708</v>
      </c>
      <c r="AE1911" s="259">
        <f>DATE(2001,9,21)+(M1911/360)*365 - (360*((DecLong/360)- (GMTOffset/24) ))</f>
        <v>37328.15347222222</v>
      </c>
      <c r="AF1911" s="260">
        <f>IF(DecLat&gt;0,IF((90 - (DecLat-O1911))&gt;90, (90 - (O1911-DecLat)), (90 - (DecLat-O1911))),IF((90 + (DecLat-O1911))&gt;90, (90 + (O1911-DecLat)), (90 + (DecLat-O1911))))</f>
        <v>35.913611111111109</v>
      </c>
      <c r="AG1911" s="257">
        <f>angularseperation(MoonRA,MoonDec,$M1911,$O1911)</f>
        <v>74.170047041052797</v>
      </c>
      <c r="AH1911" s="261">
        <f ca="1">MIN(100,IF($O$5&gt;80,0+30*($AG1911/100),IF($O$5&gt;70,0+50*($AG1911/100),IF($O$5&gt;60,5+50*($AG1911/100),IF($O$5&gt;50,10+60*($AG1911/100),IF($O$5&gt;40,15+70*($AG1911/100),IF($O$5&gt;30,20+70*($AG1911/100),IF($O$5&gt;20,40+55*($AG1911/100),(80+(20-$O$5)+30*($AG1911/100))))))))))</f>
        <v>100</v>
      </c>
      <c r="AI1911" s="262">
        <v>3511</v>
      </c>
      <c r="AJ1911" s="262"/>
      <c r="AK1911" s="262"/>
      <c r="AL1911" s="263"/>
      <c r="AM1911" s="264"/>
      <c r="AN1911" s="263"/>
      <c r="AO1911" s="263"/>
      <c r="AP1911" s="265"/>
      <c r="AQ1911" s="266"/>
      <c r="AR1911" s="267">
        <v>33385</v>
      </c>
      <c r="AS1911" s="263"/>
      <c r="AT1911" s="263"/>
      <c r="AU1911" s="263"/>
      <c r="AV1911" s="264"/>
      <c r="AW1911" s="263"/>
      <c r="AX1911" s="263"/>
      <c r="AY1911" s="263"/>
      <c r="AZ1911" s="263"/>
      <c r="BA1911" s="263"/>
      <c r="BB1911" s="263"/>
      <c r="BC1911" s="263"/>
      <c r="BD1911" s="264"/>
      <c r="BE1911" s="263"/>
      <c r="BF1911" s="263"/>
      <c r="BG1911" s="263"/>
      <c r="BH1911" s="263"/>
      <c r="BI1911" s="263"/>
      <c r="BJ1911" s="404">
        <f>altaz(J2000_Bas,$O1911,$M1911,DecLat,DecLong,2)</f>
        <v>262.96767275776926</v>
      </c>
      <c r="BK1911" s="378" t="s">
        <v>1868</v>
      </c>
      <c r="BL1911" s="379">
        <f>IF((2*G1911)/60&lt;0.2,0.2,(2*G1911)/60)</f>
        <v>0.2</v>
      </c>
      <c r="BM1911" s="380">
        <f>MOD((50000+AD1911-$B$3+(0/24)),1)</f>
        <v>0.66896128870575922</v>
      </c>
      <c r="BN1911" s="381" t="s">
        <v>9221</v>
      </c>
      <c r="BO1911" s="382">
        <v>1904</v>
      </c>
    </row>
    <row r="1912" spans="1:67" s="24" customFormat="1" ht="15" customHeight="1" x14ac:dyDescent="0.25">
      <c r="A1912" s="288" t="s">
        <v>1869</v>
      </c>
      <c r="B1912" s="241" t="str">
        <f>HYPERLINK(CONCATENATE($AT$3,BK1912,$AU$3),$AV$3)</f>
        <v>S</v>
      </c>
      <c r="C1912" s="242" t="str">
        <f>HYPERLINK(CONCATENATE($AT$4,BK1912,$AU$4,BL1912),$AV$4)</f>
        <v>A</v>
      </c>
      <c r="D1912" s="243" t="s">
        <v>5638</v>
      </c>
      <c r="E1912" s="244" t="s">
        <v>5192</v>
      </c>
      <c r="F1912" s="269" t="s">
        <v>8895</v>
      </c>
      <c r="G1912" s="273">
        <v>1.8</v>
      </c>
      <c r="H1912" s="283">
        <v>80</v>
      </c>
      <c r="I1912" s="246">
        <v>45</v>
      </c>
      <c r="J1912" s="246">
        <v>2</v>
      </c>
      <c r="K1912" s="247" t="s">
        <v>7725</v>
      </c>
      <c r="L1912" s="248">
        <v>110403</v>
      </c>
      <c r="M1912" s="249">
        <f>15*(LEFT(TEXT($L1912,"000000"),2)+(MID(TEXT($L1912,"000000"),3,2)/60)+(RIGHT(TEXT($L1912,"000000"),2)/3600))</f>
        <v>166.01249999999999</v>
      </c>
      <c r="N1912" s="286">
        <v>280212</v>
      </c>
      <c r="O1912" s="251">
        <f>IF($N1912&gt;0,(LEFT(TEXT($N1912,"000000"),2)+(MID(TEXT($N1912,"000000"),3,2)/60)+(RIGHT(TEXT($N1912,"000000"),2)/3600)),-(MID(TEXT($N1912,"000000"),2,2)+(MID(TEXT($N1912,"000000"),4,2)/60)+(RIGHT(TEXT($N1912,"000000"),2)/3600)))</f>
        <v>28.036666666666669</v>
      </c>
      <c r="P1912" s="252" t="s">
        <v>239</v>
      </c>
      <c r="Q1912" s="253"/>
      <c r="R1912" s="247" t="s">
        <v>3293</v>
      </c>
      <c r="S1912" s="272" t="s">
        <v>7720</v>
      </c>
      <c r="T1912" s="273">
        <v>13</v>
      </c>
      <c r="U1912" s="289">
        <v>21.990000000000002</v>
      </c>
      <c r="V1912" s="280">
        <v>15</v>
      </c>
      <c r="W1912" s="244"/>
      <c r="X1912" s="244"/>
      <c r="Y1912" s="362"/>
      <c r="Z1912" s="257">
        <f>altaz(J2000_Bas,$O1912,$M1912,DecLat,DecLong,1)</f>
        <v>-7.821564405447976</v>
      </c>
      <c r="AA1912" s="257">
        <f>altaz((J2000_Bas+(2*0.04167)),$O1912,$M1912,DecLat,DecLong,1)</f>
        <v>-24.432434360579965</v>
      </c>
      <c r="AB1912" s="257">
        <f>altaz((J2000_Bas+(4*0.04167)),$O1912,$M1912,DecLat,DecLong,1)</f>
        <v>-30.963138154396358</v>
      </c>
      <c r="AC1912" s="257">
        <f>altaz((J2000_Bas+(6*0.04167)),$O1912,$M1912,DecLat,DecLong,1)</f>
        <v>-24.299860028011928</v>
      </c>
      <c r="AD1912" s="258">
        <f>1+ transit((J2000_Bas-1),$O1912,$M1912,DecLat,DecLong)/360 + (GMTOffset/24) + (IF(DST="Y", 1, 0)/24)</f>
        <v>1.4540457478484581</v>
      </c>
      <c r="AE1912" s="259">
        <f>DATE(2001,9,21)+(M1912/360)*365 - (360*((DecLong/360)- (GMTOffset/24) ))</f>
        <v>37328.318229166667</v>
      </c>
      <c r="AF1912" s="260">
        <f>IF(DecLat&gt;0,IF((90 - (DecLat-O1912))&gt;90, (90 - (O1912-DecLat)), (90 - (DecLat-O1912))),IF((90 + (DecLat-O1912))&gt;90, (90 + (O1912-DecLat)), (90 + (DecLat-O1912))))</f>
        <v>87.036666666666662</v>
      </c>
      <c r="AG1912" s="257">
        <f>angularseperation(MoonRA,MoonDec,$M1912,$O1912)</f>
        <v>96.97052755637057</v>
      </c>
      <c r="AH1912" s="261">
        <f ca="1">MIN(100,IF($O$5&gt;80,0+30*($AG1912/100),IF($O$5&gt;70,0+50*($AG1912/100),IF($O$5&gt;60,5+50*($AG1912/100),IF($O$5&gt;50,10+60*($AG1912/100),IF($O$5&gt;40,15+70*($AG1912/100),IF($O$5&gt;30,20+70*($AG1912/100),IF($O$5&gt;20,40+55*($AG1912/100),(80+(20-$O$5)+30*($AG1912/100))))))))))</f>
        <v>100</v>
      </c>
      <c r="AI1912" s="262">
        <v>3512</v>
      </c>
      <c r="AJ1912" s="262"/>
      <c r="AK1912" s="262"/>
      <c r="AL1912" s="263"/>
      <c r="AM1912" s="264"/>
      <c r="AN1912" s="263"/>
      <c r="AO1912" s="263"/>
      <c r="AP1912" s="265"/>
      <c r="AQ1912" s="266">
        <v>6128</v>
      </c>
      <c r="AR1912" s="267">
        <v>33432</v>
      </c>
      <c r="AS1912" s="263"/>
      <c r="AT1912" s="263"/>
      <c r="AU1912" s="263"/>
      <c r="AV1912" s="264"/>
      <c r="AW1912" s="263"/>
      <c r="AX1912" s="263"/>
      <c r="AY1912" s="263"/>
      <c r="AZ1912" s="263"/>
      <c r="BA1912" s="263"/>
      <c r="BB1912" s="263"/>
      <c r="BC1912" s="263"/>
      <c r="BD1912" s="264"/>
      <c r="BE1912" s="263"/>
      <c r="BF1912" s="263"/>
      <c r="BG1912" s="263"/>
      <c r="BH1912" s="263"/>
      <c r="BI1912" s="263"/>
      <c r="BJ1912" s="404">
        <f>altaz(J2000_Bas,$O1912,$M1912,DecLat,DecLong,2)</f>
        <v>309.49774371314936</v>
      </c>
      <c r="BK1912" s="378" t="s">
        <v>1869</v>
      </c>
      <c r="BL1912" s="379">
        <f>IF((2*G1912)/60&lt;0.2,0.2,(2*G1912)/60)</f>
        <v>0.2</v>
      </c>
      <c r="BM1912" s="380">
        <f>MOD((50000+AD1912-$B$3+(0/24)),1)</f>
        <v>0.66941267755464651</v>
      </c>
      <c r="BN1912" s="381"/>
      <c r="BO1912" s="382">
        <v>1905</v>
      </c>
    </row>
    <row r="1913" spans="1:67" s="24" customFormat="1" ht="15" customHeight="1" x14ac:dyDescent="0.25">
      <c r="A1913" s="288" t="s">
        <v>1870</v>
      </c>
      <c r="B1913" s="241" t="str">
        <f>HYPERLINK(CONCATENATE($AT$3,BK1913,$AU$3),$AV$3)</f>
        <v>S</v>
      </c>
      <c r="C1913" s="242" t="str">
        <f>HYPERLINK(CONCATENATE($AT$4,BK1913,$AU$4,BL1913),$AV$4)</f>
        <v>A</v>
      </c>
      <c r="D1913" s="243" t="s">
        <v>5638</v>
      </c>
      <c r="E1913" s="244" t="s">
        <v>5192</v>
      </c>
      <c r="F1913" s="269" t="s">
        <v>8967</v>
      </c>
      <c r="G1913" s="273">
        <v>3</v>
      </c>
      <c r="H1913" s="283">
        <v>54.845910000000011</v>
      </c>
      <c r="I1913" s="246">
        <v>45</v>
      </c>
      <c r="J1913" s="246">
        <v>2</v>
      </c>
      <c r="K1913" s="247" t="s">
        <v>7726</v>
      </c>
      <c r="L1913" s="248">
        <v>110346</v>
      </c>
      <c r="M1913" s="249">
        <f>15*(LEFT(TEXT($L1913,"000000"),2)+(MID(TEXT($L1913,"000000"),3,2)/60)+(RIGHT(TEXT($L1913,"000000"),2)/3600))</f>
        <v>165.94166666666669</v>
      </c>
      <c r="N1913" s="250">
        <v>-231440</v>
      </c>
      <c r="O1913" s="251">
        <f>IF($N1913&gt;0,(LEFT(TEXT($N1913,"000000"),2)+(MID(TEXT($N1913,"000000"),3,2)/60)+(RIGHT(TEXT($N1913,"000000"),2)/3600)),-(MID(TEXT($N1913,"000000"),2,2)+(MID(TEXT($N1913,"000000"),4,2)/60)+(RIGHT(TEXT($N1913,"000000"),2)/3600)))</f>
        <v>-23.244444444444447</v>
      </c>
      <c r="P1913" s="252" t="s">
        <v>509</v>
      </c>
      <c r="Q1913" s="253"/>
      <c r="R1913" s="247" t="s">
        <v>3293</v>
      </c>
      <c r="S1913" s="272" t="s">
        <v>7722</v>
      </c>
      <c r="T1913" s="273">
        <v>11.5</v>
      </c>
      <c r="U1913" s="289">
        <v>22.29</v>
      </c>
      <c r="V1913" s="280">
        <v>45</v>
      </c>
      <c r="W1913" s="244"/>
      <c r="X1913" s="244"/>
      <c r="Y1913" s="362"/>
      <c r="Z1913" s="257">
        <f>altaz(J2000_Bas,$O1913,$M1913,DecLat,DecLong,1)</f>
        <v>-36.711281071003704</v>
      </c>
      <c r="AA1913" s="257">
        <f>altaz((J2000_Bas+(2*0.04167)),$O1913,$M1913,DecLat,DecLong,1)</f>
        <v>-62.416076490008386</v>
      </c>
      <c r="AB1913" s="257">
        <f>altaz((J2000_Bas+(4*0.04167)),$O1913,$M1913,DecLat,DecLong,1)</f>
        <v>-82.241749523788968</v>
      </c>
      <c r="AC1913" s="257">
        <f>altaz((J2000_Bas+(6*0.04167)),$O1913,$M1913,DecLat,DecLong,1)</f>
        <v>-62.026327002307674</v>
      </c>
      <c r="AD1913" s="258">
        <f>1+ transit((J2000_Bas-1),$O1913,$M1913,DecLat,DecLong)/360 + (GMTOffset/24) + (IF(DST="Y", 1, 0)/24)</f>
        <v>1.4538489886088748</v>
      </c>
      <c r="AE1913" s="259">
        <f>DATE(2001,9,21)+(M1913/360)*365 - (360*((DecLong/360)- (GMTOffset/24) ))</f>
        <v>37328.246412037035</v>
      </c>
      <c r="AF1913" s="260">
        <f>IF(DecLat&gt;0,IF((90 - (DecLat-O1913))&gt;90, (90 - (O1913-DecLat)), (90 - (DecLat-O1913))),IF((90 + (DecLat-O1913))&gt;90, (90 + (O1913-DecLat)), (90 + (DecLat-O1913))))</f>
        <v>35.755555555555553</v>
      </c>
      <c r="AG1913" s="257">
        <f>angularseperation(MoonRA,MoonDec,$M1913,$O1913)</f>
        <v>74.030431354308519</v>
      </c>
      <c r="AH1913" s="261">
        <f ca="1">MIN(100,IF($O$5&gt;80,0+30*($AG1913/100),IF($O$5&gt;70,0+50*($AG1913/100),IF($O$5&gt;60,5+50*($AG1913/100),IF($O$5&gt;50,10+60*($AG1913/100),IF($O$5&gt;40,15+70*($AG1913/100),IF($O$5&gt;30,20+70*($AG1913/100),IF($O$5&gt;20,40+55*($AG1913/100),(80+(20-$O$5)+30*($AG1913/100))))))))))</f>
        <v>100</v>
      </c>
      <c r="AI1913" s="262">
        <v>3513</v>
      </c>
      <c r="AJ1913" s="262"/>
      <c r="AK1913" s="262"/>
      <c r="AL1913" s="263"/>
      <c r="AM1913" s="264"/>
      <c r="AN1913" s="263"/>
      <c r="AO1913" s="263"/>
      <c r="AP1913" s="265"/>
      <c r="AQ1913" s="266"/>
      <c r="AR1913" s="267">
        <v>33410</v>
      </c>
      <c r="AS1913" s="263"/>
      <c r="AT1913" s="263"/>
      <c r="AU1913" s="263"/>
      <c r="AV1913" s="264"/>
      <c r="AW1913" s="263"/>
      <c r="AX1913" s="263"/>
      <c r="AY1913" s="263"/>
      <c r="AZ1913" s="263"/>
      <c r="BA1913" s="263"/>
      <c r="BB1913" s="263"/>
      <c r="BC1913" s="263"/>
      <c r="BD1913" s="264"/>
      <c r="BE1913" s="263"/>
      <c r="BF1913" s="263"/>
      <c r="BG1913" s="263"/>
      <c r="BH1913" s="263"/>
      <c r="BI1913" s="263"/>
      <c r="BJ1913" s="404">
        <f>altaz(J2000_Bas,$O1913,$M1913,DecLat,DecLong,2)</f>
        <v>262.7453342000606</v>
      </c>
      <c r="BK1913" s="378" t="s">
        <v>1870</v>
      </c>
      <c r="BL1913" s="379">
        <f>IF((2*G1913)/60&lt;0.2,0.2,(2*G1913)/60)</f>
        <v>0.2</v>
      </c>
      <c r="BM1913" s="380">
        <f>MOD((50000+AD1913-$B$3+(0/24)),1)</f>
        <v>0.66921591831487603</v>
      </c>
      <c r="BN1913" s="381"/>
      <c r="BO1913" s="382">
        <v>1906</v>
      </c>
    </row>
    <row r="1914" spans="1:67" s="24" customFormat="1" ht="15" customHeight="1" x14ac:dyDescent="0.25">
      <c r="A1914" s="288" t="s">
        <v>1871</v>
      </c>
      <c r="B1914" s="241" t="str">
        <f>HYPERLINK(CONCATENATE($AT$3,BK1914,$AU$3),$AV$3)</f>
        <v>S</v>
      </c>
      <c r="C1914" s="242" t="str">
        <f>HYPERLINK(CONCATENATE($AT$4,BK1914,$AU$4,BL1914),$AV$4)</f>
        <v>A</v>
      </c>
      <c r="D1914" s="243" t="s">
        <v>5638</v>
      </c>
      <c r="E1914" s="244" t="s">
        <v>4292</v>
      </c>
      <c r="F1914" s="269" t="s">
        <v>8800</v>
      </c>
      <c r="G1914" s="276">
        <v>11</v>
      </c>
      <c r="H1914" s="283">
        <v>30</v>
      </c>
      <c r="I1914" s="246">
        <v>100</v>
      </c>
      <c r="J1914" s="246">
        <v>4</v>
      </c>
      <c r="K1914" s="247" t="s">
        <v>8843</v>
      </c>
      <c r="L1914" s="248">
        <v>110549</v>
      </c>
      <c r="M1914" s="249">
        <f>15*(LEFT(TEXT($L1914,"000000"),2)+(MID(TEXT($L1914,"000000"),3,2)/60)+(RIGHT(TEXT($L1914,"000000"),2)/3600))</f>
        <v>166.45416666666668</v>
      </c>
      <c r="N1914" s="250">
        <v>-210</v>
      </c>
      <c r="O1914" s="251">
        <f>IF($N1914&gt;0,(LEFT(TEXT($N1914,"000000"),2)+(MID(TEXT($N1914,"000000"),3,2)/60)+(RIGHT(TEXT($N1914,"000000"),2)/3600)),-(MID(TEXT($N1914,"000000"),2,2)+(MID(TEXT($N1914,"000000"),4,2)/60)+(RIGHT(TEXT($N1914,"000000"),2)/3600)))</f>
        <v>-3.6111111111111108E-2</v>
      </c>
      <c r="P1914" s="252" t="s">
        <v>183</v>
      </c>
      <c r="Q1914" s="253" t="s">
        <v>6861</v>
      </c>
      <c r="R1914" s="247" t="s">
        <v>3293</v>
      </c>
      <c r="S1914" s="272" t="s">
        <v>3293</v>
      </c>
      <c r="T1914" s="273">
        <v>9</v>
      </c>
      <c r="U1914" s="289">
        <v>22.09</v>
      </c>
      <c r="V1914" s="280">
        <v>70</v>
      </c>
      <c r="W1914" s="244"/>
      <c r="X1914" s="244"/>
      <c r="Y1914" s="362"/>
      <c r="Z1914" s="257">
        <f>altaz(J2000_Bas,$O1914,$M1914,DecLat,DecLong,1)</f>
        <v>-25.026964468069604</v>
      </c>
      <c r="AA1914" s="257">
        <f>altaz((J2000_Bas+(2*0.04167)),$O1914,$M1914,DecLat,DecLong,1)</f>
        <v>-47.722276699208287</v>
      </c>
      <c r="AB1914" s="257">
        <f>altaz((J2000_Bas+(4*0.04167)),$O1914,$M1914,DecLat,DecLong,1)</f>
        <v>-59.034951237900124</v>
      </c>
      <c r="AC1914" s="257">
        <f>altaz((J2000_Bas+(6*0.04167)),$O1914,$M1914,DecLat,DecLong,1)</f>
        <v>-48.084347690228554</v>
      </c>
      <c r="AD1914" s="258">
        <f>1+ transit((J2000_Bas-1),$O1914,$M1914,DecLat,DecLong)/360 + (GMTOffset/24) + (IF(DST="Y", 1, 0)/24)</f>
        <v>1.4552725995776246</v>
      </c>
      <c r="AE1914" s="259">
        <f>DATE(2001,9,21)+(M1914/360)*365 - (360*((DecLong/360)- (GMTOffset/24) ))</f>
        <v>37328.766030092593</v>
      </c>
      <c r="AF1914" s="260">
        <f>IF(DecLat&gt;0,IF((90 - (DecLat-O1914))&gt;90, (90 - (O1914-DecLat)), (90 - (DecLat-O1914))),IF((90 + (DecLat-O1914))&gt;90, (90 + (O1914-DecLat)), (90 + (DecLat-O1914))))</f>
        <v>58.963888888888889</v>
      </c>
      <c r="AG1914" s="257">
        <f>angularseperation(MoonRA,MoonDec,$M1914,$O1914)</f>
        <v>83.565635361384039</v>
      </c>
      <c r="AH1914" s="261">
        <f ca="1">MIN(100,IF($O$5&gt;80,0+30*($AG1914/100),IF($O$5&gt;70,0+50*($AG1914/100),IF($O$5&gt;60,5+50*($AG1914/100),IF($O$5&gt;50,10+60*($AG1914/100),IF($O$5&gt;40,15+70*($AG1914/100),IF($O$5&gt;30,20+70*($AG1914/100),IF($O$5&gt;20,40+55*($AG1914/100),(80+(20-$O$5)+30*($AG1914/100))))))))))</f>
        <v>100</v>
      </c>
      <c r="AI1914" s="262">
        <v>3521</v>
      </c>
      <c r="AJ1914" s="262"/>
      <c r="AK1914" s="262">
        <v>165</v>
      </c>
      <c r="AL1914" s="263"/>
      <c r="AM1914" s="264"/>
      <c r="AN1914" s="263"/>
      <c r="AO1914" s="263"/>
      <c r="AP1914" s="265"/>
      <c r="AQ1914" s="266">
        <v>6150</v>
      </c>
      <c r="AR1914" s="267">
        <v>33550</v>
      </c>
      <c r="AS1914" s="263"/>
      <c r="AT1914" s="263"/>
      <c r="AU1914" s="263"/>
      <c r="AV1914" s="264"/>
      <c r="AW1914" s="263"/>
      <c r="AX1914" s="263"/>
      <c r="AY1914" s="263"/>
      <c r="AZ1914" s="263"/>
      <c r="BA1914" s="263"/>
      <c r="BB1914" s="263"/>
      <c r="BC1914" s="263"/>
      <c r="BD1914" s="264"/>
      <c r="BE1914" s="263">
        <v>56</v>
      </c>
      <c r="BF1914" s="263"/>
      <c r="BG1914" s="263"/>
      <c r="BH1914" s="263"/>
      <c r="BI1914" s="263"/>
      <c r="BJ1914" s="404">
        <f>altaz(J2000_Bas,$O1914,$M1914,DecLat,DecLong,2)</f>
        <v>286.2434212282605</v>
      </c>
      <c r="BK1914" s="378" t="s">
        <v>1871</v>
      </c>
      <c r="BL1914" s="379">
        <f>IF((2*G1914)/60&lt;0.2,0.2,(2*G1914)/60)</f>
        <v>0.36666666666666664</v>
      </c>
      <c r="BM1914" s="380">
        <f>MOD((50000+AD1914-$B$3+(0/24)),1)</f>
        <v>0.67063952927856008</v>
      </c>
      <c r="BN1914" s="381" t="s">
        <v>9116</v>
      </c>
      <c r="BO1914" s="382">
        <v>1907</v>
      </c>
    </row>
    <row r="1915" spans="1:67" s="24" customFormat="1" ht="15" customHeight="1" x14ac:dyDescent="0.25">
      <c r="A1915" s="298" t="s">
        <v>1872</v>
      </c>
      <c r="B1915" s="241" t="str">
        <f>HYPERLINK(CONCATENATE($AT$3,BK1915,$AU$3),$AV$3)</f>
        <v>S</v>
      </c>
      <c r="C1915" s="242" t="str">
        <f>HYPERLINK(CONCATENATE($AT$4,BK1915,$AU$4,BL1915),$AV$4)</f>
        <v>A</v>
      </c>
      <c r="D1915" s="243" t="s">
        <v>5335</v>
      </c>
      <c r="E1915" s="244" t="s">
        <v>5185</v>
      </c>
      <c r="F1915" s="269" t="s">
        <v>5467</v>
      </c>
      <c r="G1915" s="276">
        <v>50</v>
      </c>
      <c r="H1915" s="283">
        <v>1300</v>
      </c>
      <c r="I1915" s="246">
        <v>20</v>
      </c>
      <c r="J1915" s="246">
        <v>4</v>
      </c>
      <c r="K1915" s="247" t="s">
        <v>5468</v>
      </c>
      <c r="L1915" s="248">
        <v>110530</v>
      </c>
      <c r="M1915" s="249">
        <f>15*(LEFT(TEXT($L1915,"000000"),2)+(MID(TEXT($L1915,"000000"),3,2)/60)+(RIGHT(TEXT($L1915,"000000"),2)/3600))</f>
        <v>166.375</v>
      </c>
      <c r="N1915" s="286">
        <v>-584400</v>
      </c>
      <c r="O1915" s="251">
        <f>IF($N1915&gt;0,(LEFT(TEXT($N1915,"000000"),2)+(MID(TEXT($N1915,"000000"),3,2)/60)+(RIGHT(TEXT($N1915,"000000"),2)/3600)),-(MID(TEXT($N1915,"000000"),2,2)+(MID(TEXT($N1915,"000000"),4,2)/60)+(RIGHT(TEXT($N1915,"000000"),2)/3600)))</f>
        <v>-58.733333333333334</v>
      </c>
      <c r="P1915" s="252" t="s">
        <v>1000</v>
      </c>
      <c r="Q1915" s="253" t="s">
        <v>7138</v>
      </c>
      <c r="R1915" s="247" t="s">
        <v>7403</v>
      </c>
      <c r="S1915" s="272" t="s">
        <v>3293</v>
      </c>
      <c r="T1915" s="273">
        <v>3</v>
      </c>
      <c r="U1915" s="274"/>
      <c r="V1915" s="280"/>
      <c r="W1915" s="244"/>
      <c r="X1915" s="244"/>
      <c r="Y1915" s="362"/>
      <c r="Z1915" s="257">
        <f>altaz(J2000_Bas,$O1915,$M1915,DecLat,DecLong,1)</f>
        <v>-41.312841841572933</v>
      </c>
      <c r="AA1915" s="257">
        <f>altaz((J2000_Bas+(2*0.04167)),$O1915,$M1915,DecLat,DecLong,1)</f>
        <v>-55.527398661760444</v>
      </c>
      <c r="AB1915" s="257">
        <f>altaz((J2000_Bas+(4*0.04167)),$O1915,$M1915,DecLat,DecLong,1)</f>
        <v>-62.266321902986796</v>
      </c>
      <c r="AC1915" s="257">
        <f>altaz((J2000_Bas+(6*0.04167)),$O1915,$M1915,DecLat,DecLong,1)</f>
        <v>-55.687917624316334</v>
      </c>
      <c r="AD1915" s="258">
        <f>1+ transit((J2000_Bas-1),$O1915,$M1915,DecLat,DecLong)/360 + (GMTOffset/24) + (IF(DST="Y", 1, 0)/24)</f>
        <v>1.455052692192208</v>
      </c>
      <c r="AE1915" s="259">
        <f>DATE(2001,9,21)+(M1915/360)*365 - (360*((DecLong/360)- (GMTOffset/24) ))</f>
        <v>37328.685763888891</v>
      </c>
      <c r="AF1915" s="260">
        <f>IF(DecLat&gt;0,IF((90 - (DecLat-O1915))&gt;90, (90 - (O1915-DecLat)), (90 - (DecLat-O1915))),IF((90 + (DecLat-O1915))&gt;90, (90 + (O1915-DecLat)), (90 + (DecLat-O1915))))</f>
        <v>0.26666666666666572</v>
      </c>
      <c r="AG1915" s="257">
        <f>angularseperation(MoonRA,MoonDec,$M1915,$O1915)</f>
        <v>63.477292491710486</v>
      </c>
      <c r="AH1915" s="261">
        <f ca="1">MIN(100,IF($O$5&gt;80,0+30*($AG1915/100),IF($O$5&gt;70,0+50*($AG1915/100),IF($O$5&gt;60,5+50*($AG1915/100),IF($O$5&gt;50,10+60*($AG1915/100),IF($O$5&gt;40,15+70*($AG1915/100),IF($O$5&gt;30,20+70*($AG1915/100),IF($O$5&gt;20,40+55*($AG1915/100),(80+(20-$O$5)+30*($AG1915/100))))))))))</f>
        <v>100</v>
      </c>
      <c r="AI1915" s="262">
        <v>3532</v>
      </c>
      <c r="AJ1915" s="262"/>
      <c r="AK1915" s="262"/>
      <c r="AL1915" s="263"/>
      <c r="AM1915" s="264">
        <v>91</v>
      </c>
      <c r="AN1915" s="263"/>
      <c r="AO1915" s="263"/>
      <c r="AP1915" s="265"/>
      <c r="AQ1915" s="266"/>
      <c r="AR1915" s="267"/>
      <c r="AS1915" s="263"/>
      <c r="AT1915" s="263"/>
      <c r="AU1915" s="263"/>
      <c r="AV1915" s="264"/>
      <c r="AW1915" s="263"/>
      <c r="AX1915" s="263"/>
      <c r="AY1915" s="263"/>
      <c r="AZ1915" s="263"/>
      <c r="BA1915" s="263"/>
      <c r="BB1915" s="263"/>
      <c r="BC1915" s="263"/>
      <c r="BD1915" s="264"/>
      <c r="BE1915" s="263"/>
      <c r="BF1915" s="263"/>
      <c r="BG1915" s="263"/>
      <c r="BH1915" s="263"/>
      <c r="BI1915" s="263"/>
      <c r="BJ1915" s="404">
        <f>altaz(J2000_Bas,$O1915,$M1915,DecLat,DecLong,2)</f>
        <v>216.91697247175665</v>
      </c>
      <c r="BK1915" s="378" t="s">
        <v>1872</v>
      </c>
      <c r="BL1915" s="379">
        <f>IF((2*G1915)/60&lt;0.2,0.2,(2*G1915)/60)</f>
        <v>1.6666666666666667</v>
      </c>
      <c r="BM1915" s="380">
        <f>MOD((50000+AD1915-$B$3+(0/24)),1)</f>
        <v>0.67041962189978221</v>
      </c>
      <c r="BN1915" s="381"/>
      <c r="BO1915" s="382">
        <v>1908</v>
      </c>
    </row>
    <row r="1916" spans="1:67" s="24" customFormat="1" ht="15" customHeight="1" x14ac:dyDescent="0.25">
      <c r="A1916" s="297" t="s">
        <v>5469</v>
      </c>
      <c r="B1916" s="241" t="str">
        <f>HYPERLINK(CONCATENATE($AT$3,BK1916,$AU$3),$AV$3)</f>
        <v>S</v>
      </c>
      <c r="C1916" s="242" t="str">
        <f>HYPERLINK(CONCATENATE($AT$4,BK1916,$AU$4,BL1916),$AV$4)</f>
        <v>A</v>
      </c>
      <c r="D1916" s="243" t="s">
        <v>5187</v>
      </c>
      <c r="E1916" s="244" t="s">
        <v>5183</v>
      </c>
      <c r="F1916" s="269" t="s">
        <v>5180</v>
      </c>
      <c r="G1916" s="276">
        <v>50</v>
      </c>
      <c r="H1916" s="271">
        <v>9000</v>
      </c>
      <c r="I1916" s="281">
        <v>130</v>
      </c>
      <c r="J1916" s="246">
        <v>5</v>
      </c>
      <c r="K1916" s="247" t="s">
        <v>5471</v>
      </c>
      <c r="L1916" s="248">
        <v>111206</v>
      </c>
      <c r="M1916" s="249">
        <f>15*(LEFT(TEXT($L1916,"000000"),2)+(MID(TEXT($L1916,"000000"),3,2)/60)+(RIGHT(TEXT($L1916,"000000"),2)/3600))</f>
        <v>168.02500000000001</v>
      </c>
      <c r="N1916" s="286">
        <v>-611634</v>
      </c>
      <c r="O1916" s="251">
        <f>IF($N1916&gt;0,(LEFT(TEXT($N1916,"000000"),2)+(MID(TEXT($N1916,"000000"),3,2)/60)+(RIGHT(TEXT($N1916,"000000"),2)/3600)),-(MID(TEXT($N1916,"000000"),2,2)+(MID(TEXT($N1916,"000000"),4,2)/60)+(RIGHT(TEXT($N1916,"000000"),2)/3600)))</f>
        <v>-61.276111111111113</v>
      </c>
      <c r="P1916" s="252" t="s">
        <v>1000</v>
      </c>
      <c r="Q1916" s="253" t="s">
        <v>7081</v>
      </c>
      <c r="R1916" s="277" t="s">
        <v>6054</v>
      </c>
      <c r="S1916" s="272" t="s">
        <v>5474</v>
      </c>
      <c r="T1916" s="273"/>
      <c r="U1916" s="274"/>
      <c r="V1916" s="256"/>
      <c r="W1916" s="244"/>
      <c r="X1916" s="244"/>
      <c r="Y1916" s="362"/>
      <c r="Z1916" s="257">
        <f>altaz(J2000_Bas,$O1916,$M1916,DecLat,DecLong,1)</f>
        <v>-40.159308799313258</v>
      </c>
      <c r="AA1916" s="257">
        <f>altaz((J2000_Bas+(2*0.04167)),$O1916,$M1916,DecLat,DecLong,1)</f>
        <v>-53.249311510992555</v>
      </c>
      <c r="AB1916" s="257">
        <f>altaz((J2000_Bas+(4*0.04167)),$O1916,$M1916,DecLat,DecLong,1)</f>
        <v>-59.699409540276697</v>
      </c>
      <c r="AC1916" s="257">
        <f>altaz((J2000_Bas+(6*0.04167)),$O1916,$M1916,DecLat,DecLong,1)</f>
        <v>-54.548135116033322</v>
      </c>
      <c r="AD1916" s="258">
        <f>1+ transit((J2000_Bas-1),$O1916,$M1916,DecLat,DecLong)/360 + (GMTOffset/24) + (IF(DST="Y", 1, 0)/24)</f>
        <v>1.459636025067208</v>
      </c>
      <c r="AE1916" s="259">
        <f>DATE(2001,9,21)+(M1916/360)*365 - (360*((DecLong/360)- (GMTOffset/24) ))</f>
        <v>37330.358680555553</v>
      </c>
      <c r="AF1916" s="260">
        <f>IF(DecLat&gt;0,IF((90 - (DecLat-O1916))&gt;90, (90 - (O1916-DecLat)), (90 - (DecLat-O1916))),IF((90 + (DecLat-O1916))&gt;90, (90 + (O1916-DecLat)), (90 + (DecLat-O1916))))</f>
        <v>-2.2761111111111063</v>
      </c>
      <c r="AG1916" s="257">
        <f>angularseperation(MoonRA,MoonDec,$M1916,$O1916)</f>
        <v>62.315185617312913</v>
      </c>
      <c r="AH1916" s="261">
        <f ca="1">MIN(100,IF($O$5&gt;80,0+30*($AG1916/100),IF($O$5&gt;70,0+50*($AG1916/100),IF($O$5&gt;60,5+50*($AG1916/100),IF($O$5&gt;50,10+60*($AG1916/100),IF($O$5&gt;40,15+70*($AG1916/100),IF($O$5&gt;30,20+70*($AG1916/100),IF($O$5&gt;20,40+55*($AG1916/100),(80+(20-$O$5)+30*($AG1916/100))))))))))</f>
        <v>100</v>
      </c>
      <c r="AI1916" s="263">
        <v>3576</v>
      </c>
      <c r="AJ1916" s="263"/>
      <c r="AK1916" s="263"/>
      <c r="AL1916" s="263"/>
      <c r="AM1916" s="264"/>
      <c r="AN1916" s="263"/>
      <c r="AO1916" s="263"/>
      <c r="AP1916" s="265"/>
      <c r="AQ1916" s="265"/>
      <c r="AR1916" s="285"/>
      <c r="AS1916" s="263"/>
      <c r="AT1916" s="263"/>
      <c r="AU1916" s="263"/>
      <c r="AV1916" s="264"/>
      <c r="AW1916" s="263"/>
      <c r="AX1916" s="263">
        <v>38</v>
      </c>
      <c r="AY1916" s="263"/>
      <c r="AZ1916" s="263"/>
      <c r="BA1916" s="263">
        <v>57</v>
      </c>
      <c r="BB1916" s="263"/>
      <c r="BC1916" s="263"/>
      <c r="BD1916" s="264"/>
      <c r="BE1916" s="263"/>
      <c r="BF1916" s="263"/>
      <c r="BG1916" s="263"/>
      <c r="BH1916" s="263"/>
      <c r="BI1916" s="263"/>
      <c r="BJ1916" s="404">
        <f>altaz(J2000_Bas,$O1916,$M1916,DecLat,DecLong,2)</f>
        <v>213.73433239143171</v>
      </c>
      <c r="BK1916" s="378" t="s">
        <v>5469</v>
      </c>
      <c r="BL1916" s="379">
        <f>IF((2*G1916)/60&lt;0.2,0.2,(2*G1916)/60)</f>
        <v>1.6666666666666667</v>
      </c>
      <c r="BM1916" s="380">
        <f>MOD((50000+AD1916-$B$3+(0/24)),1)</f>
        <v>0.6750029547692975</v>
      </c>
      <c r="BN1916" s="381"/>
      <c r="BO1916" s="382">
        <v>1909</v>
      </c>
    </row>
    <row r="1917" spans="1:67" s="24" customFormat="1" ht="15" customHeight="1" x14ac:dyDescent="0.25">
      <c r="A1917" s="288" t="s">
        <v>1873</v>
      </c>
      <c r="B1917" s="241" t="str">
        <f>HYPERLINK(CONCATENATE($AT$3,BK1917,$AU$3),$AV$3)</f>
        <v>S</v>
      </c>
      <c r="C1917" s="242" t="str">
        <f>HYPERLINK(CONCATENATE($AT$4,BK1917,$AU$4,BL1917),$AV$4)</f>
        <v>A</v>
      </c>
      <c r="D1917" s="243" t="s">
        <v>5638</v>
      </c>
      <c r="E1917" s="244" t="s">
        <v>5192</v>
      </c>
      <c r="F1917" s="269" t="s">
        <v>8968</v>
      </c>
      <c r="G1917" s="273">
        <v>2.5</v>
      </c>
      <c r="H1917" s="283">
        <v>100</v>
      </c>
      <c r="I1917" s="246">
        <v>70</v>
      </c>
      <c r="J1917" s="246">
        <v>3</v>
      </c>
      <c r="K1917" s="247" t="s">
        <v>7728</v>
      </c>
      <c r="L1917" s="248">
        <v>111411</v>
      </c>
      <c r="M1917" s="249">
        <f>15*(LEFT(TEXT($L1917,"000000"),2)+(MID(TEXT($L1917,"000000"),3,2)/60)+(RIGHT(TEXT($L1917,"000000"),2)/3600))</f>
        <v>168.54583333333332</v>
      </c>
      <c r="N1917" s="250">
        <v>481906</v>
      </c>
      <c r="O1917" s="251">
        <f>IF($N1917&gt;0,(LEFT(TEXT($N1917,"000000"),2)+(MID(TEXT($N1917,"000000"),3,2)/60)+(RIGHT(TEXT($N1917,"000000"),2)/3600)),-(MID(TEXT($N1917,"000000"),2,2)+(MID(TEXT($N1917,"000000"),4,2)/60)+(RIGHT(TEXT($N1917,"000000"),2)/3600)))</f>
        <v>48.318333333333335</v>
      </c>
      <c r="P1917" s="252" t="s">
        <v>37</v>
      </c>
      <c r="Q1917" s="253"/>
      <c r="R1917" s="247" t="s">
        <v>3293</v>
      </c>
      <c r="S1917" s="272" t="s">
        <v>7727</v>
      </c>
      <c r="T1917" s="273">
        <v>11.1</v>
      </c>
      <c r="U1917" s="289">
        <v>21.59</v>
      </c>
      <c r="V1917" s="280">
        <v>55</v>
      </c>
      <c r="W1917" s="244"/>
      <c r="X1917" s="244"/>
      <c r="Y1917" s="362"/>
      <c r="Z1917" s="257">
        <f>altaz(J2000_Bas,$O1917,$M1917,DecLat,DecLong,1)</f>
        <v>6.9981464145432994</v>
      </c>
      <c r="AA1917" s="257">
        <f>altaz((J2000_Bas+(2*0.04167)),$O1917,$M1917,DecLat,DecLong,1)</f>
        <v>-5.5264214897749744</v>
      </c>
      <c r="AB1917" s="257">
        <f>altaz((J2000_Bas+(4*0.04167)),$O1917,$M1917,DecLat,DecLong,1)</f>
        <v>-10.653140547843746</v>
      </c>
      <c r="AC1917" s="257">
        <f>altaz((J2000_Bas+(6*0.04167)),$O1917,$M1917,DecLat,DecLong,1)</f>
        <v>-6.8907936573440569</v>
      </c>
      <c r="AD1917" s="258">
        <f>1+ transit((J2000_Bas-1),$O1917,$M1917,DecLat,DecLong)/360 + (GMTOffset/24) + (IF(DST="Y", 1, 0)/24)</f>
        <v>1.4610827841817913</v>
      </c>
      <c r="AE1917" s="259">
        <f>DATE(2001,9,21)+(M1917/360)*365 - (360*((DecLong/360)- (GMTOffset/24) ))</f>
        <v>37330.886747685188</v>
      </c>
      <c r="AF1917" s="260">
        <f>IF(DecLat&gt;0,IF((90 - (DecLat-O1917))&gt;90, (90 - (O1917-DecLat)), (90 - (DecLat-O1917))),IF((90 + (DecLat-O1917))&gt;90, (90 + (O1917-DecLat)), (90 + (DecLat-O1917))))</f>
        <v>72.681666666666672</v>
      </c>
      <c r="AG1917" s="257">
        <f>angularseperation(MoonRA,MoonDec,$M1917,$O1917)</f>
        <v>104.14160095721732</v>
      </c>
      <c r="AH1917" s="261">
        <f ca="1">MIN(100,IF($O$5&gt;80,0+30*($AG1917/100),IF($O$5&gt;70,0+50*($AG1917/100),IF($O$5&gt;60,5+50*($AG1917/100),IF($O$5&gt;50,10+60*($AG1917/100),IF($O$5&gt;40,15+70*($AG1917/100),IF($O$5&gt;30,20+70*($AG1917/100),IF($O$5&gt;20,40+55*($AG1917/100),(80+(20-$O$5)+30*($AG1917/100))))))))))</f>
        <v>100</v>
      </c>
      <c r="AI1917" s="262">
        <v>3583</v>
      </c>
      <c r="AJ1917" s="262"/>
      <c r="AK1917" s="262"/>
      <c r="AL1917" s="263"/>
      <c r="AM1917" s="264"/>
      <c r="AN1917" s="263"/>
      <c r="AO1917" s="263"/>
      <c r="AP1917" s="265"/>
      <c r="AQ1917" s="266">
        <v>6263</v>
      </c>
      <c r="AR1917" s="267">
        <v>34232</v>
      </c>
      <c r="AS1917" s="263"/>
      <c r="AT1917" s="263"/>
      <c r="AU1917" s="263"/>
      <c r="AV1917" s="264"/>
      <c r="AW1917" s="263"/>
      <c r="AX1917" s="263"/>
      <c r="AY1917" s="263"/>
      <c r="AZ1917" s="263"/>
      <c r="BA1917" s="263"/>
      <c r="BB1917" s="263"/>
      <c r="BC1917" s="263"/>
      <c r="BD1917" s="264"/>
      <c r="BE1917" s="263"/>
      <c r="BF1917" s="263"/>
      <c r="BG1917" s="263"/>
      <c r="BH1917" s="263"/>
      <c r="BI1917" s="263"/>
      <c r="BJ1917" s="404">
        <f>altaz(J2000_Bas,$O1917,$M1917,DecLat,DecLong,2)</f>
        <v>323.52193098884425</v>
      </c>
      <c r="BK1917" s="378" t="s">
        <v>1873</v>
      </c>
      <c r="BL1917" s="379">
        <f>IF((2*G1917)/60&lt;0.2,0.2,(2*G1917)/60)</f>
        <v>0.2</v>
      </c>
      <c r="BM1917" s="380">
        <f>MOD((50000+AD1917-$B$3+(0/24)),1)</f>
        <v>0.67644971388654085</v>
      </c>
      <c r="BN1917" s="381"/>
      <c r="BO1917" s="382">
        <v>1910</v>
      </c>
    </row>
    <row r="1918" spans="1:67" s="24" customFormat="1" ht="15" customHeight="1" x14ac:dyDescent="0.25">
      <c r="A1918" s="288" t="s">
        <v>1874</v>
      </c>
      <c r="B1918" s="241" t="str">
        <f>HYPERLINK(CONCATENATE($AT$3,BK1918,$AU$3),$AV$3)</f>
        <v>S</v>
      </c>
      <c r="C1918" s="242" t="str">
        <f>HYPERLINK(CONCATENATE($AT$4,BK1918,$AU$4,BL1918),$AV$4)</f>
        <v>A</v>
      </c>
      <c r="D1918" s="243" t="s">
        <v>5638</v>
      </c>
      <c r="E1918" s="244" t="s">
        <v>5182</v>
      </c>
      <c r="F1918" s="269" t="s">
        <v>5640</v>
      </c>
      <c r="G1918" s="273">
        <v>5</v>
      </c>
      <c r="H1918" s="283">
        <v>30</v>
      </c>
      <c r="I1918" s="246">
        <v>45</v>
      </c>
      <c r="J1918" s="246">
        <v>2</v>
      </c>
      <c r="K1918" s="247" t="s">
        <v>8057</v>
      </c>
      <c r="L1918" s="248">
        <v>111437</v>
      </c>
      <c r="M1918" s="249">
        <f>15*(LEFT(TEXT($L1918,"000000"),2)+(MID(TEXT($L1918,"000000"),3,2)/60)+(RIGHT(TEXT($L1918,"000000"),2)/3600))</f>
        <v>168.65416666666667</v>
      </c>
      <c r="N1918" s="250">
        <v>124903</v>
      </c>
      <c r="O1918" s="251">
        <f>IF($N1918&gt;0,(LEFT(TEXT($N1918,"000000"),2)+(MID(TEXT($N1918,"000000"),3,2)/60)+(RIGHT(TEXT($N1918,"000000"),2)/3600)),-(MID(TEXT($N1918,"000000"),2,2)+(MID(TEXT($N1918,"000000"),4,2)/60)+(RIGHT(TEXT($N1918,"000000"),2)/3600)))</f>
        <v>12.817499999999999</v>
      </c>
      <c r="P1918" s="252" t="s">
        <v>183</v>
      </c>
      <c r="Q1918" s="253"/>
      <c r="R1918" s="247" t="s">
        <v>3293</v>
      </c>
      <c r="S1918" s="272" t="s">
        <v>3293</v>
      </c>
      <c r="T1918" s="273">
        <v>10.9</v>
      </c>
      <c r="U1918" s="289">
        <v>22.19</v>
      </c>
      <c r="V1918" s="280">
        <v>80</v>
      </c>
      <c r="W1918" s="244"/>
      <c r="X1918" s="244"/>
      <c r="Y1918" s="362"/>
      <c r="Z1918" s="257">
        <f>altaz(J2000_Bas,$O1918,$M1918,DecLat,DecLong,1)</f>
        <v>-15.647114955362927</v>
      </c>
      <c r="AA1918" s="257">
        <f>altaz((J2000_Bas+(2*0.04167)),$O1918,$M1918,DecLat,DecLong,1)</f>
        <v>-36.166127768522038</v>
      </c>
      <c r="AB1918" s="257">
        <f>altaz((J2000_Bas+(4*0.04167)),$O1918,$M1918,DecLat,DecLong,1)</f>
        <v>-46.117627975914871</v>
      </c>
      <c r="AC1918" s="257">
        <f>altaz((J2000_Bas+(6*0.04167)),$O1918,$M1918,DecLat,DecLong,1)</f>
        <v>-38.786684977282789</v>
      </c>
      <c r="AD1918" s="258">
        <f>1+ transit((J2000_Bas-1),$O1918,$M1918,DecLat,DecLong)/360 + (GMTOffset/24) + (IF(DST="Y", 1, 0)/24)</f>
        <v>1.4613837100776246</v>
      </c>
      <c r="AE1918" s="259">
        <f>DATE(2001,9,21)+(M1918/360)*365 - (360*((DecLong/360)- (GMTOffset/24) ))</f>
        <v>37330.99658564815</v>
      </c>
      <c r="AF1918" s="260">
        <f>IF(DecLat&gt;0,IF((90 - (DecLat-O1918))&gt;90, (90 - (O1918-DecLat)), (90 - (DecLat-O1918))),IF((90 + (DecLat-O1918))&gt;90, (90 + (O1918-DecLat)), (90 + (DecLat-O1918))))</f>
        <v>71.817499999999995</v>
      </c>
      <c r="AG1918" s="257">
        <f>angularseperation(MoonRA,MoonDec,$M1918,$O1918)</f>
        <v>87.651989283280997</v>
      </c>
      <c r="AH1918" s="261">
        <f ca="1">MIN(100,IF($O$5&gt;80,0+30*($AG1918/100),IF($O$5&gt;70,0+50*($AG1918/100),IF($O$5&gt;60,5+50*($AG1918/100),IF($O$5&gt;50,10+60*($AG1918/100),IF($O$5&gt;40,15+70*($AG1918/100),IF($O$5&gt;30,20+70*($AG1918/100),IF($O$5&gt;20,40+55*($AG1918/100),(80+(20-$O$5)+30*($AG1918/100))))))))))</f>
        <v>100</v>
      </c>
      <c r="AI1918" s="262">
        <v>3593</v>
      </c>
      <c r="AJ1918" s="262"/>
      <c r="AK1918" s="262">
        <v>167</v>
      </c>
      <c r="AL1918" s="263"/>
      <c r="AM1918" s="264"/>
      <c r="AN1918" s="263"/>
      <c r="AO1918" s="263"/>
      <c r="AP1918" s="265"/>
      <c r="AQ1918" s="266">
        <v>6272</v>
      </c>
      <c r="AR1918" s="267">
        <v>34257</v>
      </c>
      <c r="AS1918" s="263"/>
      <c r="AT1918" s="263"/>
      <c r="AU1918" s="263"/>
      <c r="AV1918" s="264"/>
      <c r="AW1918" s="263"/>
      <c r="AX1918" s="263"/>
      <c r="AY1918" s="263"/>
      <c r="AZ1918" s="263"/>
      <c r="BA1918" s="263"/>
      <c r="BB1918" s="263"/>
      <c r="BC1918" s="263"/>
      <c r="BD1918" s="264"/>
      <c r="BE1918" s="263"/>
      <c r="BF1918" s="263"/>
      <c r="BG1918" s="263"/>
      <c r="BH1918" s="263"/>
      <c r="BI1918" s="263"/>
      <c r="BJ1918" s="404">
        <f>altaz(J2000_Bas,$O1918,$M1918,DecLat,DecLong,2)</f>
        <v>295.91707371211754</v>
      </c>
      <c r="BK1918" s="378" t="s">
        <v>1874</v>
      </c>
      <c r="BL1918" s="379">
        <f>IF((2*G1918)/60&lt;0.2,0.2,(2*G1918)/60)</f>
        <v>0.2</v>
      </c>
      <c r="BM1918" s="380">
        <f>MOD((50000+AD1918-$B$3+(0/24)),1)</f>
        <v>0.6767506397809484</v>
      </c>
      <c r="BN1918" s="381"/>
      <c r="BO1918" s="382">
        <v>1911</v>
      </c>
    </row>
    <row r="1919" spans="1:67" s="24" customFormat="1" ht="15" customHeight="1" x14ac:dyDescent="0.25">
      <c r="A1919" s="288" t="s">
        <v>1875</v>
      </c>
      <c r="B1919" s="241" t="str">
        <f>HYPERLINK(CONCATENATE($AT$3,BK1919,$AU$3),$AV$3)</f>
        <v>S</v>
      </c>
      <c r="C1919" s="242" t="str">
        <f>HYPERLINK(CONCATENATE($AT$4,BK1919,$AU$4,BL1919),$AV$4)</f>
        <v>A</v>
      </c>
      <c r="D1919" s="243" t="s">
        <v>5638</v>
      </c>
      <c r="E1919" s="244" t="s">
        <v>5192</v>
      </c>
      <c r="F1919" s="269" t="s">
        <v>8892</v>
      </c>
      <c r="G1919" s="273">
        <v>4</v>
      </c>
      <c r="H1919" s="283">
        <v>90</v>
      </c>
      <c r="I1919" s="246">
        <v>110</v>
      </c>
      <c r="J1919" s="246">
        <v>2</v>
      </c>
      <c r="K1919" s="247" t="s">
        <v>7729</v>
      </c>
      <c r="L1919" s="248">
        <v>111506</v>
      </c>
      <c r="M1919" s="249">
        <f>15*(LEFT(TEXT($L1919,"000000"),2)+(MID(TEXT($L1919,"000000"),3,2)/60)+(RIGHT(TEXT($L1919,"000000"),2)/3600))</f>
        <v>168.77500000000001</v>
      </c>
      <c r="N1919" s="250">
        <v>144712</v>
      </c>
      <c r="O1919" s="251">
        <f>IF($N1919&gt;0,(LEFT(TEXT($N1919,"000000"),2)+(MID(TEXT($N1919,"000000"),3,2)/60)+(RIGHT(TEXT($N1919,"000000"),2)/3600)),-(MID(TEXT($N1919,"000000"),2,2)+(MID(TEXT($N1919,"000000"),4,2)/60)+(RIGHT(TEXT($N1919,"000000"),2)/3600)))</f>
        <v>14.786666666666667</v>
      </c>
      <c r="P1919" s="252" t="s">
        <v>183</v>
      </c>
      <c r="Q1919" s="253"/>
      <c r="R1919" s="277" t="s">
        <v>3293</v>
      </c>
      <c r="S1919" s="272" t="s">
        <v>3293</v>
      </c>
      <c r="T1919" s="273">
        <v>11.3</v>
      </c>
      <c r="U1919" s="289">
        <v>22.990000000000002</v>
      </c>
      <c r="V1919" s="280">
        <v>0</v>
      </c>
      <c r="W1919" s="244"/>
      <c r="X1919" s="244"/>
      <c r="Y1919" s="362"/>
      <c r="Z1919" s="257">
        <f>altaz(J2000_Bas,$O1919,$M1919,DecLat,DecLong,1)</f>
        <v>-14.343861369505596</v>
      </c>
      <c r="AA1919" s="257">
        <f>altaz((J2000_Bas+(2*0.04167)),$O1919,$M1919,DecLat,DecLong,1)</f>
        <v>-34.476923451402804</v>
      </c>
      <c r="AB1919" s="257">
        <f>altaz((J2000_Bas+(4*0.04167)),$O1919,$M1919,DecLat,DecLong,1)</f>
        <v>-44.14499928645391</v>
      </c>
      <c r="AC1919" s="257">
        <f>altaz((J2000_Bas+(6*0.04167)),$O1919,$M1919,DecLat,DecLong,1)</f>
        <v>-37.143536098903397</v>
      </c>
      <c r="AD1919" s="258">
        <f>1+ transit((J2000_Bas-1),$O1919,$M1919,DecLat,DecLong)/360 + (GMTOffset/24) + (IF(DST="Y", 1, 0)/24)</f>
        <v>1.4617193581922081</v>
      </c>
      <c r="AE1919" s="259">
        <f>DATE(2001,9,21)+(M1919/360)*365 - (360*((DecLong/360)- (GMTOffset/24) ))</f>
        <v>37331.119097222225</v>
      </c>
      <c r="AF1919" s="260">
        <f>IF(DecLat&gt;0,IF((90 - (DecLat-O1919))&gt;90, (90 - (O1919-DecLat)), (90 - (DecLat-O1919))),IF((90 + (DecLat-O1919))&gt;90, (90 + (O1919-DecLat)), (90 + (DecLat-O1919))))</f>
        <v>73.786666666666662</v>
      </c>
      <c r="AG1919" s="257">
        <f>angularseperation(MoonRA,MoonDec,$M1919,$O1919)</f>
        <v>88.488895024700753</v>
      </c>
      <c r="AH1919" s="261">
        <f ca="1">MIN(100,IF($O$5&gt;80,0+30*($AG1919/100),IF($O$5&gt;70,0+50*($AG1919/100),IF($O$5&gt;60,5+50*($AG1919/100),IF($O$5&gt;50,10+60*($AG1919/100),IF($O$5&gt;40,15+70*($AG1919/100),IF($O$5&gt;30,20+70*($AG1919/100),IF($O$5&gt;20,40+55*($AG1919/100),(80+(20-$O$5)+30*($AG1919/100))))))))))</f>
        <v>100</v>
      </c>
      <c r="AI1919" s="262">
        <v>3596</v>
      </c>
      <c r="AJ1919" s="263"/>
      <c r="AK1919" s="263"/>
      <c r="AL1919" s="263"/>
      <c r="AM1919" s="264"/>
      <c r="AN1919" s="263"/>
      <c r="AO1919" s="263"/>
      <c r="AP1919" s="265"/>
      <c r="AQ1919" s="265">
        <v>6277</v>
      </c>
      <c r="AR1919" s="285">
        <v>34298</v>
      </c>
      <c r="AS1919" s="263"/>
      <c r="AT1919" s="263"/>
      <c r="AU1919" s="263"/>
      <c r="AV1919" s="264"/>
      <c r="AW1919" s="263"/>
      <c r="AX1919" s="263"/>
      <c r="AY1919" s="263"/>
      <c r="AZ1919" s="263"/>
      <c r="BA1919" s="263"/>
      <c r="BB1919" s="263"/>
      <c r="BC1919" s="263"/>
      <c r="BD1919" s="264"/>
      <c r="BE1919" s="263"/>
      <c r="BF1919" s="263"/>
      <c r="BG1919" s="263"/>
      <c r="BH1919" s="263"/>
      <c r="BI1919" s="263"/>
      <c r="BJ1919" s="404">
        <f>altaz(J2000_Bas,$O1919,$M1919,DecLat,DecLong,2)</f>
        <v>297.45017291793266</v>
      </c>
      <c r="BK1919" s="378" t="s">
        <v>1875</v>
      </c>
      <c r="BL1919" s="379">
        <f>IF((2*G1919)/60&lt;0.2,0.2,(2*G1919)/60)</f>
        <v>0.2</v>
      </c>
      <c r="BM1919" s="380">
        <f>MOD((50000+AD1919-$B$3+(0/24)),1)</f>
        <v>0.67708628789841896</v>
      </c>
      <c r="BN1919" s="381"/>
      <c r="BO1919" s="382">
        <v>1912</v>
      </c>
    </row>
    <row r="1920" spans="1:67" s="24" customFormat="1" ht="15" customHeight="1" x14ac:dyDescent="0.25">
      <c r="A1920" s="297" t="s">
        <v>5470</v>
      </c>
      <c r="B1920" s="241" t="str">
        <f>HYPERLINK(CONCATENATE($AT$3,BK1920,$AU$3),$AV$3)</f>
        <v>S</v>
      </c>
      <c r="C1920" s="242" t="str">
        <f>HYPERLINK(CONCATENATE($AT$4,BK1920,$AU$4,BL1920),$AV$4)</f>
        <v>A</v>
      </c>
      <c r="D1920" s="243" t="s">
        <v>5187</v>
      </c>
      <c r="E1920" s="244" t="s">
        <v>5183</v>
      </c>
      <c r="F1920" s="269" t="s">
        <v>5180</v>
      </c>
      <c r="G1920" s="276">
        <v>50</v>
      </c>
      <c r="H1920" s="271">
        <v>20000</v>
      </c>
      <c r="I1920" s="281">
        <v>300</v>
      </c>
      <c r="J1920" s="246">
        <v>4</v>
      </c>
      <c r="K1920" s="247" t="s">
        <v>5633</v>
      </c>
      <c r="L1920" s="248">
        <v>111504</v>
      </c>
      <c r="M1920" s="249">
        <f>15*(LEFT(TEXT($L1920,"000000"),2)+(MID(TEXT($L1920,"000000"),3,2)/60)+(RIGHT(TEXT($L1920,"000000"),2)/3600))</f>
        <v>168.76666666666668</v>
      </c>
      <c r="N1920" s="286">
        <v>-611610</v>
      </c>
      <c r="O1920" s="251">
        <f>IF($N1920&gt;0,(LEFT(TEXT($N1920,"000000"),2)+(MID(TEXT($N1920,"000000"),3,2)/60)+(RIGHT(TEXT($N1920,"000000"),2)/3600)),-(MID(TEXT($N1920,"000000"),2,2)+(MID(TEXT($N1920,"000000"),4,2)/60)+(RIGHT(TEXT($N1920,"000000"),2)/3600)))</f>
        <v>-61.269444444444446</v>
      </c>
      <c r="P1920" s="252" t="s">
        <v>1000</v>
      </c>
      <c r="Q1920" s="253"/>
      <c r="R1920" s="277" t="s">
        <v>6054</v>
      </c>
      <c r="S1920" s="272" t="s">
        <v>5475</v>
      </c>
      <c r="T1920" s="273"/>
      <c r="U1920" s="274"/>
      <c r="V1920" s="256"/>
      <c r="W1920" s="244"/>
      <c r="X1920" s="244"/>
      <c r="Y1920" s="362"/>
      <c r="Z1920" s="257">
        <f>altaz(J2000_Bas,$O1920,$M1920,DecLat,DecLong,1)</f>
        <v>-39.806809586217646</v>
      </c>
      <c r="AA1920" s="257">
        <f>altaz((J2000_Bas+(2*0.04167)),$O1920,$M1920,DecLat,DecLong,1)</f>
        <v>-52.981521186462217</v>
      </c>
      <c r="AB1920" s="257">
        <f>altaz((J2000_Bas+(4*0.04167)),$O1920,$M1920,DecLat,DecLong,1)</f>
        <v>-59.682564121239416</v>
      </c>
      <c r="AC1920" s="257">
        <f>altaz((J2000_Bas+(6*0.04167)),$O1920,$M1920,DecLat,DecLong,1)</f>
        <v>-54.799891229436184</v>
      </c>
      <c r="AD1920" s="258">
        <f>1+ transit((J2000_Bas-1),$O1920,$M1920,DecLat,DecLong)/360 + (GMTOffset/24) + (IF(DST="Y", 1, 0)/24)</f>
        <v>1.4616962100463746</v>
      </c>
      <c r="AE1920" s="259">
        <f>DATE(2001,9,21)+(M1920/360)*365 - (360*((DecLong/360)- (GMTOffset/24) ))</f>
        <v>37331.110648148147</v>
      </c>
      <c r="AF1920" s="260">
        <f>IF(DecLat&gt;0,IF((90 - (DecLat-O1920))&gt;90, (90 - (O1920-DecLat)), (90 - (DecLat-O1920))),IF((90 + (DecLat-O1920))&gt;90, (90 + (O1920-DecLat)), (90 + (DecLat-O1920))))</f>
        <v>-2.2694444444444457</v>
      </c>
      <c r="AG1920" s="257">
        <f>angularseperation(MoonRA,MoonDec,$M1920,$O1920)</f>
        <v>61.961473880756948</v>
      </c>
      <c r="AH1920" s="261">
        <f ca="1">MIN(100,IF($O$5&gt;80,0+30*($AG1920/100),IF($O$5&gt;70,0+50*($AG1920/100),IF($O$5&gt;60,5+50*($AG1920/100),IF($O$5&gt;50,10+60*($AG1920/100),IF($O$5&gt;40,15+70*($AG1920/100),IF($O$5&gt;30,20+70*($AG1920/100),IF($O$5&gt;20,40+55*($AG1920/100),(80+(20-$O$5)+30*($AG1920/100))))))))))</f>
        <v>100</v>
      </c>
      <c r="AI1920" s="263">
        <v>3603</v>
      </c>
      <c r="AJ1920" s="263"/>
      <c r="AK1920" s="263"/>
      <c r="AL1920" s="263"/>
      <c r="AM1920" s="264"/>
      <c r="AN1920" s="263"/>
      <c r="AO1920" s="263"/>
      <c r="AP1920" s="265"/>
      <c r="AQ1920" s="265"/>
      <c r="AR1920" s="285"/>
      <c r="AS1920" s="263"/>
      <c r="AT1920" s="263"/>
      <c r="AU1920" s="263"/>
      <c r="AV1920" s="264"/>
      <c r="AW1920" s="263"/>
      <c r="AX1920" s="263">
        <v>38</v>
      </c>
      <c r="AY1920" s="263"/>
      <c r="AZ1920" s="263"/>
      <c r="BA1920" s="263">
        <v>57</v>
      </c>
      <c r="BB1920" s="263"/>
      <c r="BC1920" s="263"/>
      <c r="BD1920" s="264"/>
      <c r="BE1920" s="263"/>
      <c r="BF1920" s="263"/>
      <c r="BG1920" s="263"/>
      <c r="BH1920" s="263"/>
      <c r="BI1920" s="263"/>
      <c r="BJ1920" s="404">
        <f>altaz(J2000_Bas,$O1920,$M1920,DecLat,DecLong,2)</f>
        <v>213.80414765487382</v>
      </c>
      <c r="BK1920" s="378" t="s">
        <v>5470</v>
      </c>
      <c r="BL1920" s="379">
        <f>IF((2*G1920)/60&lt;0.2,0.2,(2*G1920)/60)</f>
        <v>1.6666666666666667</v>
      </c>
      <c r="BM1920" s="380">
        <f>MOD((50000+AD1920-$B$3+(0/24)),1)</f>
        <v>0.67706313975213561</v>
      </c>
      <c r="BN1920" s="381"/>
      <c r="BO1920" s="382">
        <v>1913</v>
      </c>
    </row>
    <row r="1921" spans="1:67" s="24" customFormat="1" ht="15" customHeight="1" x14ac:dyDescent="0.25">
      <c r="A1921" s="287" t="s">
        <v>7660</v>
      </c>
      <c r="B1921" s="241" t="str">
        <f>HYPERLINK(CONCATENATE($AT$3,BK1921,$AU$3),$AV$3)</f>
        <v>S</v>
      </c>
      <c r="C1921" s="242" t="str">
        <f>HYPERLINK(CONCATENATE($AT$4,BK1921,$AU$4,BL1921),$AV$4)</f>
        <v>A</v>
      </c>
      <c r="D1921" s="243" t="s">
        <v>5638</v>
      </c>
      <c r="E1921" s="244" t="s">
        <v>5178</v>
      </c>
      <c r="F1921" s="269"/>
      <c r="G1921" s="273">
        <v>7</v>
      </c>
      <c r="H1921" s="283">
        <v>75</v>
      </c>
      <c r="I1921" s="246">
        <v>160</v>
      </c>
      <c r="J1921" s="246">
        <v>2</v>
      </c>
      <c r="K1921" s="247" t="s">
        <v>7730</v>
      </c>
      <c r="L1921" s="248">
        <v>111655</v>
      </c>
      <c r="M1921" s="249">
        <f>15*(LEFT(TEXT($L1921,"000000"),2)+(MID(TEXT($L1921,"000000"),3,2)/60)+(RIGHT(TEXT($L1921,"000000"),2)/3600))</f>
        <v>169.22916666666669</v>
      </c>
      <c r="N1921" s="250">
        <v>180306</v>
      </c>
      <c r="O1921" s="251">
        <f>IF($N1921&gt;0,(LEFT(TEXT($N1921,"000000"),2)+(MID(TEXT($N1921,"000000"),3,2)/60)+(RIGHT(TEXT($N1921,"000000"),2)/3600)),-(MID(TEXT($N1921,"000000"),2,2)+(MID(TEXT($N1921,"000000"),4,2)/60)+(RIGHT(TEXT($N1921,"000000"),2)/3600)))</f>
        <v>18.051666666666666</v>
      </c>
      <c r="P1921" s="252" t="s">
        <v>183</v>
      </c>
      <c r="Q1921" s="253"/>
      <c r="R1921" s="277" t="s">
        <v>3293</v>
      </c>
      <c r="S1921" s="272" t="s">
        <v>5196</v>
      </c>
      <c r="T1921" s="273">
        <v>9.9</v>
      </c>
      <c r="U1921" s="289">
        <v>21.39</v>
      </c>
      <c r="V1921" s="280"/>
      <c r="W1921" s="244"/>
      <c r="X1921" s="244"/>
      <c r="Y1921" s="362"/>
      <c r="Z1921" s="257">
        <f>altaz(J2000_Bas,$O1921,$M1921,DecLat,DecLong,1)</f>
        <v>-11.977053581153076</v>
      </c>
      <c r="AA1921" s="257">
        <f>altaz((J2000_Bas+(2*0.04167)),$O1921,$M1921,DecLat,DecLong,1)</f>
        <v>-31.520026598213597</v>
      </c>
      <c r="AB1921" s="257">
        <f>altaz((J2000_Bas+(4*0.04167)),$O1921,$M1921,DecLat,DecLong,1)</f>
        <v>-40.860390761701076</v>
      </c>
      <c r="AC1921" s="257">
        <f>altaz((J2000_Bas+(6*0.04167)),$O1921,$M1921,DecLat,DecLong,1)</f>
        <v>-34.497910010802251</v>
      </c>
      <c r="AD1921" s="258">
        <f>1+ transit((J2000_Bas-1),$O1921,$M1921,DecLat,DecLong)/360 + (GMTOffset/24) + (IF(DST="Y", 1, 0)/24)</f>
        <v>1.4629809321401248</v>
      </c>
      <c r="AE1921" s="259">
        <f>DATE(2001,9,21)+(M1921/360)*365 - (360*((DecLong/360)- (GMTOffset/24) ))</f>
        <v>37331.579571759263</v>
      </c>
      <c r="AF1921" s="260">
        <f>IF(DecLat&gt;0,IF((90 - (DecLat-O1921))&gt;90, (90 - (O1921-DecLat)), (90 - (DecLat-O1921))),IF((90 + (DecLat-O1921))&gt;90, (90 + (O1921-DecLat)), (90 + (DecLat-O1921))))</f>
        <v>77.051666666666662</v>
      </c>
      <c r="AG1921" s="257">
        <f>angularseperation(MoonRA,MoonDec,$M1921,$O1921)</f>
        <v>89.671974546078857</v>
      </c>
      <c r="AH1921" s="261">
        <f ca="1">MIN(100,IF($O$5&gt;80,0+30*($AG1921/100),IF($O$5&gt;70,0+50*($AG1921/100),IF($O$5&gt;60,5+50*($AG1921/100),IF($O$5&gt;50,10+60*($AG1921/100),IF($O$5&gt;40,15+70*($AG1921/100),IF($O$5&gt;30,20+70*($AG1921/100),IF($O$5&gt;20,40+55*($AG1921/100),(80+(20-$O$5)+30*($AG1921/100))))))))))</f>
        <v>100</v>
      </c>
      <c r="AI1921" s="262">
        <v>3607</v>
      </c>
      <c r="AJ1921" s="263"/>
      <c r="AK1921" s="263">
        <v>168</v>
      </c>
      <c r="AL1921" s="263"/>
      <c r="AM1921" s="264"/>
      <c r="AN1921" s="263"/>
      <c r="AO1921" s="263"/>
      <c r="AP1921" s="265"/>
      <c r="AQ1921" s="265">
        <v>6297</v>
      </c>
      <c r="AR1921" s="285">
        <v>34426</v>
      </c>
      <c r="AS1921" s="263"/>
      <c r="AT1921" s="263"/>
      <c r="AU1921" s="263"/>
      <c r="AV1921" s="264"/>
      <c r="AW1921" s="263"/>
      <c r="AX1921" s="263"/>
      <c r="AY1921" s="263"/>
      <c r="AZ1921" s="263"/>
      <c r="BA1921" s="263"/>
      <c r="BB1921" s="263"/>
      <c r="BC1921" s="263"/>
      <c r="BD1921" s="264"/>
      <c r="BE1921" s="263"/>
      <c r="BF1921" s="263"/>
      <c r="BG1921" s="263"/>
      <c r="BH1921" s="263"/>
      <c r="BI1921" s="263"/>
      <c r="BJ1921" s="404">
        <f>altaz(J2000_Bas,$O1921,$M1921,DecLat,DecLong,2)</f>
        <v>299.8030544083515</v>
      </c>
      <c r="BK1921" s="378" t="s">
        <v>1876</v>
      </c>
      <c r="BL1921" s="379">
        <f>IF((2*G1921)/60&lt;0.2,0.2,(2*G1921)/60)</f>
        <v>0.23333333333333334</v>
      </c>
      <c r="BM1921" s="380">
        <f>MOD((50000+AD1921-$B$3+(0/24)),1)</f>
        <v>0.67834786184539553</v>
      </c>
      <c r="BN1921" s="381"/>
      <c r="BO1921" s="382">
        <v>1914</v>
      </c>
    </row>
    <row r="1922" spans="1:67" s="24" customFormat="1" ht="15" customHeight="1" x14ac:dyDescent="0.25">
      <c r="A1922" s="287" t="s">
        <v>8761</v>
      </c>
      <c r="B1922" s="241" t="str">
        <f>HYPERLINK(CONCATENATE($AT$3,BK1922,$AU$3),$AV$3)</f>
        <v>S</v>
      </c>
      <c r="C1922" s="242" t="str">
        <f>HYPERLINK(CONCATENATE($AT$4,BK1922,$AU$4,BL1922),$AV$4)</f>
        <v>A</v>
      </c>
      <c r="D1922" s="243" t="s">
        <v>5638</v>
      </c>
      <c r="E1922" s="244" t="s">
        <v>5193</v>
      </c>
      <c r="F1922" s="269" t="s">
        <v>4287</v>
      </c>
      <c r="G1922" s="273">
        <v>3</v>
      </c>
      <c r="H1922" s="283">
        <v>74</v>
      </c>
      <c r="I1922" s="246">
        <v>65</v>
      </c>
      <c r="J1922" s="246">
        <v>2</v>
      </c>
      <c r="K1922" s="247" t="s">
        <v>8774</v>
      </c>
      <c r="L1922" s="248">
        <v>111659</v>
      </c>
      <c r="M1922" s="249">
        <f>15*(LEFT(TEXT($L1922,"000000"),2)+(MID(TEXT($L1922,"000000"),3,2)/60)+(RIGHT(TEXT($L1922,"000000"),2)/3600))</f>
        <v>169.24583333333334</v>
      </c>
      <c r="N1922" s="250">
        <v>180854</v>
      </c>
      <c r="O1922" s="251">
        <f>IF($N1922&gt;0,(LEFT(TEXT($N1922,"000000"),2)+(MID(TEXT($N1922,"000000"),3,2)/60)+(RIGHT(TEXT($N1922,"000000"),2)/3600)),-(MID(TEXT($N1922,"000000"),2,2)+(MID(TEXT($N1922,"000000"),4,2)/60)+(RIGHT(TEXT($N1922,"000000"),2)/3600)))</f>
        <v>18.148333333333333</v>
      </c>
      <c r="P1922" s="252" t="s">
        <v>183</v>
      </c>
      <c r="Q1922" s="253"/>
      <c r="R1922" s="277" t="s">
        <v>3293</v>
      </c>
      <c r="S1922" s="272" t="s">
        <v>8773</v>
      </c>
      <c r="T1922" s="273">
        <v>11.2</v>
      </c>
      <c r="U1922" s="289">
        <v>23.09</v>
      </c>
      <c r="V1922" s="280"/>
      <c r="W1922" s="244"/>
      <c r="X1922" s="244"/>
      <c r="Y1922" s="362"/>
      <c r="Z1922" s="257">
        <f>altaz(J2000_Bas,$O1922,$M1922,DecLat,DecLong,1)</f>
        <v>-11.904442049564571</v>
      </c>
      <c r="AA1922" s="257">
        <f>altaz((J2000_Bas+(2*0.04167)),$O1922,$M1922,DecLat,DecLong,1)</f>
        <v>-31.43056164948079</v>
      </c>
      <c r="AB1922" s="257">
        <f>altaz((J2000_Bas+(4*0.04167)),$O1922,$M1922,DecLat,DecLong,1)</f>
        <v>-40.762942030365693</v>
      </c>
      <c r="AC1922" s="257">
        <f>altaz((J2000_Bas+(6*0.04167)),$O1922,$M1922,DecLat,DecLong,1)</f>
        <v>-34.420184037102345</v>
      </c>
      <c r="AD1922" s="258">
        <f>1+ transit((J2000_Bas-1),$O1922,$M1922,DecLat,DecLong)/360 + (GMTOffset/24) + (IF(DST="Y", 1, 0)/24)</f>
        <v>1.4630272284317913</v>
      </c>
      <c r="AE1922" s="259">
        <f>DATE(2001,9,21)+(M1922/360)*365 - (360*((DecLong/360)- (GMTOffset/24) ))</f>
        <v>37331.59646990741</v>
      </c>
      <c r="AF1922" s="260">
        <f>IF(DecLat&gt;0,IF((90 - (DecLat-O1922))&gt;90, (90 - (O1922-DecLat)), (90 - (DecLat-O1922))),IF((90 + (DecLat-O1922))&gt;90, (90 + (O1922-DecLat)), (90 + (DecLat-O1922))))</f>
        <v>77.148333333333341</v>
      </c>
      <c r="AG1922" s="257">
        <f>angularseperation(MoonRA,MoonDec,$M1922,$O1922)</f>
        <v>89.704559740065847</v>
      </c>
      <c r="AH1922" s="261">
        <f ca="1">MIN(100,IF($O$5&gt;80,0+30*($AG1922/100),IF($O$5&gt;70,0+50*($AG1922/100),IF($O$5&gt;60,5+50*($AG1922/100),IF($O$5&gt;50,10+60*($AG1922/100),IF($O$5&gt;40,15+70*($AG1922/100),IF($O$5&gt;30,20+70*($AG1922/100),IF($O$5&gt;20,40+55*($AG1922/100),(80+(20-$O$5)+30*($AG1922/100))))))))))</f>
        <v>100</v>
      </c>
      <c r="AI1922" s="263">
        <v>3608</v>
      </c>
      <c r="AJ1922" s="263"/>
      <c r="AK1922" s="263">
        <v>169</v>
      </c>
      <c r="AL1922" s="263"/>
      <c r="AM1922" s="264"/>
      <c r="AN1922" s="263"/>
      <c r="AO1922" s="263"/>
      <c r="AP1922" s="265"/>
      <c r="AQ1922" s="265">
        <v>6299</v>
      </c>
      <c r="AR1922" s="285">
        <v>34433</v>
      </c>
      <c r="AS1922" s="263"/>
      <c r="AT1922" s="263"/>
      <c r="AU1922" s="263"/>
      <c r="AV1922" s="264"/>
      <c r="AW1922" s="263"/>
      <c r="AX1922" s="263"/>
      <c r="AY1922" s="263"/>
      <c r="AZ1922" s="263"/>
      <c r="BA1922" s="263"/>
      <c r="BB1922" s="263"/>
      <c r="BC1922" s="263"/>
      <c r="BD1922" s="264"/>
      <c r="BE1922" s="263"/>
      <c r="BF1922" s="263"/>
      <c r="BG1922" s="263"/>
      <c r="BH1922" s="263"/>
      <c r="BI1922" s="263"/>
      <c r="BJ1922" s="404">
        <f>altaz(J2000_Bas,$O1922,$M1922,DecLat,DecLong,2)</f>
        <v>299.87025790319865</v>
      </c>
      <c r="BK1922" s="378" t="s">
        <v>8761</v>
      </c>
      <c r="BL1922" s="379">
        <f>IF((2*G1922)/60&lt;0.2,0.2,(2*G1922)/60)</f>
        <v>0.2</v>
      </c>
      <c r="BM1922" s="380">
        <f>MOD((50000+AD1922-$B$3+(0/24)),1)</f>
        <v>0.67839415813796222</v>
      </c>
      <c r="BN1922" s="381"/>
      <c r="BO1922" s="382">
        <v>1915</v>
      </c>
    </row>
    <row r="1923" spans="1:67" s="24" customFormat="1" ht="15" customHeight="1" x14ac:dyDescent="0.25">
      <c r="A1923" s="287" t="s">
        <v>2990</v>
      </c>
      <c r="B1923" s="241" t="str">
        <f>HYPERLINK(CONCATENATE($AT$3,BK1923,$AU$3),$AV$3)</f>
        <v>S</v>
      </c>
      <c r="C1923" s="242" t="str">
        <f>HYPERLINK(CONCATENATE($AT$4,BK1923,$AU$4,BL1923),$AV$4)</f>
        <v>A</v>
      </c>
      <c r="D1923" s="243" t="s">
        <v>5638</v>
      </c>
      <c r="E1923" s="244" t="s">
        <v>5193</v>
      </c>
      <c r="F1923" s="269" t="s">
        <v>3309</v>
      </c>
      <c r="G1923" s="273">
        <v>2</v>
      </c>
      <c r="H1923" s="283">
        <v>110</v>
      </c>
      <c r="I1923" s="246">
        <v>65</v>
      </c>
      <c r="J1923" s="246">
        <v>2</v>
      </c>
      <c r="K1923" s="247" t="s">
        <v>7731</v>
      </c>
      <c r="L1923" s="248">
        <v>111824</v>
      </c>
      <c r="M1923" s="249">
        <f>15*(LEFT(TEXT($L1923,"000000"),2)+(MID(TEXT($L1923,"000000"),3,2)/60)+(RIGHT(TEXT($L1923,"000000"),2)/3600))</f>
        <v>169.6</v>
      </c>
      <c r="N1923" s="250">
        <v>584700</v>
      </c>
      <c r="O1923" s="251">
        <f>IF($N1923&gt;0,(LEFT(TEXT($N1923,"000000"),2)+(MID(TEXT($N1923,"000000"),3,2)/60)+(RIGHT(TEXT($N1923,"000000"),2)/3600)),-(MID(TEXT($N1923,"000000"),2,2)+(MID(TEXT($N1923,"000000"),4,2)/60)+(RIGHT(TEXT($N1923,"000000"),2)/3600)))</f>
        <v>58.783333333333331</v>
      </c>
      <c r="P1923" s="252" t="s">
        <v>37</v>
      </c>
      <c r="Q1923" s="253"/>
      <c r="R1923" s="277" t="s">
        <v>3293</v>
      </c>
      <c r="S1923" s="272" t="s">
        <v>3293</v>
      </c>
      <c r="T1923" s="273">
        <v>10.8</v>
      </c>
      <c r="U1923" s="289">
        <v>21.69</v>
      </c>
      <c r="V1923" s="280"/>
      <c r="W1923" s="244"/>
      <c r="X1923" s="244"/>
      <c r="Y1923" s="362"/>
      <c r="Z1923" s="257">
        <f>altaz(J2000_Bas,$O1923,$M1923,DecLat,DecLong,1)</f>
        <v>14.058976393209708</v>
      </c>
      <c r="AA1923" s="257">
        <f>altaz((J2000_Bas+(2*0.04167)),$O1923,$M1923,DecLat,DecLong,1)</f>
        <v>4.0179758228419775</v>
      </c>
      <c r="AB1923" s="257">
        <f>altaz((J2000_Bas+(4*0.04167)),$O1923,$M1923,DecLat,DecLong,1)</f>
        <v>-0.1711153700227229</v>
      </c>
      <c r="AC1923" s="257">
        <f>altaz((J2000_Bas+(6*0.04167)),$O1923,$M1923,DecLat,DecLong,1)</f>
        <v>2.4894741732063448</v>
      </c>
      <c r="AD1923" s="258">
        <f>1+ transit((J2000_Bas-1),$O1923,$M1923,DecLat,DecLong)/360 + (GMTOffset/24) + (IF(DST="Y", 1, 0)/24)</f>
        <v>1.464011024629708</v>
      </c>
      <c r="AE1923" s="259">
        <f>DATE(2001,9,21)+(M1923/360)*365 - (360*((DecLong/360)- (GMTOffset/24) ))</f>
        <v>37331.955555555556</v>
      </c>
      <c r="AF1923" s="260">
        <f>IF(DecLat&gt;0,IF((90 - (DecLat-O1923))&gt;90, (90 - (O1923-DecLat)), (90 - (DecLat-O1923))),IF((90 + (DecLat-O1923))&gt;90, (90 + (O1923-DecLat)), (90 + (DecLat-O1923))))</f>
        <v>62.216666666666669</v>
      </c>
      <c r="AG1923" s="257">
        <f>angularseperation(MoonRA,MoonDec,$M1923,$O1923)</f>
        <v>107.84300276248109</v>
      </c>
      <c r="AH1923" s="261">
        <f ca="1">MIN(100,IF($O$5&gt;80,0+30*($AG1923/100),IF($O$5&gt;70,0+50*($AG1923/100),IF($O$5&gt;60,5+50*($AG1923/100),IF($O$5&gt;50,10+60*($AG1923/100),IF($O$5&gt;40,15+70*($AG1923/100),IF($O$5&gt;30,20+70*($AG1923/100),IF($O$5&gt;20,40+55*($AG1923/100),(80+(20-$O$5)+30*($AG1923/100))))))))))</f>
        <v>100</v>
      </c>
      <c r="AI1923" s="262">
        <v>3610</v>
      </c>
      <c r="AJ1923" s="263"/>
      <c r="AK1923" s="263">
        <v>170</v>
      </c>
      <c r="AL1923" s="263"/>
      <c r="AM1923" s="264"/>
      <c r="AN1923" s="263"/>
      <c r="AO1923" s="263"/>
      <c r="AP1923" s="265"/>
      <c r="AQ1923" s="265">
        <v>6319</v>
      </c>
      <c r="AR1923" s="285">
        <v>34566</v>
      </c>
      <c r="AS1923" s="263"/>
      <c r="AT1923" s="263"/>
      <c r="AU1923" s="263"/>
      <c r="AV1923" s="264"/>
      <c r="AW1923" s="263"/>
      <c r="AX1923" s="263"/>
      <c r="AY1923" s="263"/>
      <c r="AZ1923" s="263"/>
      <c r="BA1923" s="263"/>
      <c r="BB1923" s="263"/>
      <c r="BC1923" s="263"/>
      <c r="BD1923" s="264"/>
      <c r="BE1923" s="263"/>
      <c r="BF1923" s="263"/>
      <c r="BG1923" s="263"/>
      <c r="BH1923" s="263"/>
      <c r="BI1923" s="263"/>
      <c r="BJ1923" s="404">
        <f>altaz(J2000_Bas,$O1923,$M1923,DecLat,DecLong,2)</f>
        <v>331.40928666600894</v>
      </c>
      <c r="BK1923" s="378" t="s">
        <v>2990</v>
      </c>
      <c r="BL1923" s="379">
        <f>IF((2*G1923)/60&lt;0.2,0.2,(2*G1923)/60)</f>
        <v>0.2</v>
      </c>
      <c r="BM1923" s="380">
        <f>MOD((50000+AD1923-$B$3+(0/24)),1)</f>
        <v>0.67937795433681458</v>
      </c>
      <c r="BN1923" s="381"/>
      <c r="BO1923" s="382">
        <v>1916</v>
      </c>
    </row>
    <row r="1924" spans="1:67" s="24" customFormat="1" ht="15" customHeight="1" x14ac:dyDescent="0.25">
      <c r="A1924" s="287" t="s">
        <v>3168</v>
      </c>
      <c r="B1924" s="241" t="str">
        <f>HYPERLINK(CONCATENATE($AT$3,BK1924,$AU$3),$AV$3)</f>
        <v>S</v>
      </c>
      <c r="C1924" s="242" t="str">
        <f>HYPERLINK(CONCATENATE($AT$4,BK1924,$AU$4,BL1924),$AV$4)</f>
        <v>A</v>
      </c>
      <c r="D1924" s="243" t="s">
        <v>5638</v>
      </c>
      <c r="E1924" s="244" t="s">
        <v>5192</v>
      </c>
      <c r="F1924" s="269" t="s">
        <v>8709</v>
      </c>
      <c r="G1924" s="273">
        <v>2.2000000000000002</v>
      </c>
      <c r="H1924" s="283">
        <v>105</v>
      </c>
      <c r="I1924" s="246">
        <v>70</v>
      </c>
      <c r="J1924" s="246">
        <v>2</v>
      </c>
      <c r="K1924" s="247" t="s">
        <v>8566</v>
      </c>
      <c r="L1924" s="248">
        <v>111730</v>
      </c>
      <c r="M1924" s="249">
        <f>15*(LEFT(TEXT($L1924,"000000"),2)+(MID(TEXT($L1924,"000000"),3,2)/60)+(RIGHT(TEXT($L1924,"000000"),2)/3600))</f>
        <v>169.375</v>
      </c>
      <c r="N1924" s="250">
        <v>43312</v>
      </c>
      <c r="O1924" s="251">
        <f>IF($N1924&gt;0,(LEFT(TEXT($N1924,"000000"),2)+(MID(TEXT($N1924,"000000"),3,2)/60)+(RIGHT(TEXT($N1924,"000000"),2)/3600)),-(MID(TEXT($N1924,"000000"),2,2)+(MID(TEXT($N1924,"000000"),4,2)/60)+(RIGHT(TEXT($N1924,"000000"),2)/3600)))</f>
        <v>4.5533333333333328</v>
      </c>
      <c r="P1924" s="252" t="s">
        <v>183</v>
      </c>
      <c r="Q1924" s="253"/>
      <c r="R1924" s="277" t="s">
        <v>3293</v>
      </c>
      <c r="S1924" s="272" t="s">
        <v>3293</v>
      </c>
      <c r="T1924" s="273">
        <v>12.2</v>
      </c>
      <c r="U1924" s="289">
        <v>22.29</v>
      </c>
      <c r="V1924" s="280">
        <v>50</v>
      </c>
      <c r="W1924" s="244"/>
      <c r="X1924" s="244"/>
      <c r="Y1924" s="362"/>
      <c r="Z1924" s="257">
        <f>altaz(J2000_Bas,$O1924,$M1924,DecLat,DecLong,1)</f>
        <v>-20.003291043701484</v>
      </c>
      <c r="AA1924" s="257">
        <f>altaz((J2000_Bas+(2*0.04167)),$O1924,$M1924,DecLat,DecLong,1)</f>
        <v>-42.328310554678822</v>
      </c>
      <c r="AB1924" s="257">
        <f>altaz((J2000_Bas+(4*0.04167)),$O1924,$M1924,DecLat,DecLong,1)</f>
        <v>-54.315325019687094</v>
      </c>
      <c r="AC1924" s="257">
        <f>altaz((J2000_Bas+(6*0.04167)),$O1924,$M1924,DecLat,DecLong,1)</f>
        <v>-46.157460087484289</v>
      </c>
      <c r="AD1924" s="258">
        <f>1+ transit((J2000_Bas-1),$O1924,$M1924,DecLat,DecLong)/360 + (GMTOffset/24) + (IF(DST="Y", 1, 0)/24)</f>
        <v>1.4633860246922079</v>
      </c>
      <c r="AE1924" s="259">
        <f>DATE(2001,9,21)+(M1924/360)*365 - (360*((DecLong/360)- (GMTOffset/24) ))</f>
        <v>37331.727430555555</v>
      </c>
      <c r="AF1924" s="260">
        <f>IF(DecLat&gt;0,IF((90 - (DecLat-O1924))&gt;90, (90 - (O1924-DecLat)), (90 - (DecLat-O1924))),IF((90 + (DecLat-O1924))&gt;90, (90 + (O1924-DecLat)), (90 + (DecLat-O1924))))</f>
        <v>63.553333333333335</v>
      </c>
      <c r="AG1924" s="257">
        <f>angularseperation(MoonRA,MoonDec,$M1924,$O1924)</f>
        <v>83.10772856701864</v>
      </c>
      <c r="AH1924" s="261">
        <f ca="1">MIN(100,IF($O$5&gt;80,0+30*($AG1924/100),IF($O$5&gt;70,0+50*($AG1924/100),IF($O$5&gt;60,5+50*($AG1924/100),IF($O$5&gt;50,10+60*($AG1924/100),IF($O$5&gt;40,15+70*($AG1924/100),IF($O$5&gt;30,20+70*($AG1924/100),IF($O$5&gt;20,40+55*($AG1924/100),(80+(20-$O$5)+30*($AG1924/100))))))))))</f>
        <v>100</v>
      </c>
      <c r="AI1924" s="263">
        <v>3611</v>
      </c>
      <c r="AJ1924" s="263"/>
      <c r="AK1924" s="263"/>
      <c r="AL1924" s="263"/>
      <c r="AM1924" s="264"/>
      <c r="AN1924" s="263"/>
      <c r="AO1924" s="263"/>
      <c r="AP1924" s="265"/>
      <c r="AQ1924" s="265"/>
      <c r="AR1924" s="285">
        <v>34478</v>
      </c>
      <c r="AS1924" s="263"/>
      <c r="AT1924" s="263"/>
      <c r="AU1924" s="263"/>
      <c r="AV1924" s="264"/>
      <c r="AW1924" s="263"/>
      <c r="AX1924" s="263"/>
      <c r="AY1924" s="263"/>
      <c r="AZ1924" s="263"/>
      <c r="BA1924" s="263"/>
      <c r="BB1924" s="263"/>
      <c r="BC1924" s="263"/>
      <c r="BD1924" s="264"/>
      <c r="BE1924" s="263"/>
      <c r="BF1924" s="263"/>
      <c r="BG1924" s="263"/>
      <c r="BH1924" s="263"/>
      <c r="BI1924" s="263"/>
      <c r="BJ1924" s="404">
        <f>altaz(J2000_Bas,$O1924,$M1924,DecLat,DecLong,2)</f>
        <v>288.4994741831913</v>
      </c>
      <c r="BK1924" s="378" t="s">
        <v>3168</v>
      </c>
      <c r="BL1924" s="379">
        <f>IF((2*G1924)/60&lt;0.2,0.2,(2*G1924)/60)</f>
        <v>0.2</v>
      </c>
      <c r="BM1924" s="380">
        <f>MOD((50000+AD1924-$B$3+(0/24)),1)</f>
        <v>0.67875295439444017</v>
      </c>
      <c r="BN1924" s="381"/>
      <c r="BO1924" s="382">
        <v>1917</v>
      </c>
    </row>
    <row r="1925" spans="1:67" s="24" customFormat="1" ht="15" customHeight="1" x14ac:dyDescent="0.25">
      <c r="A1925" s="287" t="s">
        <v>2991</v>
      </c>
      <c r="B1925" s="241" t="str">
        <f>HYPERLINK(CONCATENATE($AT$3,BK1925,$AU$3),$AV$3)</f>
        <v>S</v>
      </c>
      <c r="C1925" s="242" t="str">
        <f>HYPERLINK(CONCATENATE($AT$4,BK1925,$AU$4,BL1925),$AV$4)</f>
        <v>A</v>
      </c>
      <c r="D1925" s="243" t="s">
        <v>5638</v>
      </c>
      <c r="E1925" s="244" t="s">
        <v>5193</v>
      </c>
      <c r="F1925" s="269" t="s">
        <v>3313</v>
      </c>
      <c r="G1925" s="273">
        <v>4</v>
      </c>
      <c r="H1925" s="283">
        <v>95</v>
      </c>
      <c r="I1925" s="246">
        <v>110</v>
      </c>
      <c r="J1925" s="246">
        <v>2</v>
      </c>
      <c r="K1925" s="247" t="s">
        <v>7734</v>
      </c>
      <c r="L1925" s="248">
        <v>111854</v>
      </c>
      <c r="M1925" s="249">
        <f>15*(LEFT(TEXT($L1925,"000000"),2)+(MID(TEXT($L1925,"000000"),3,2)/60)+(RIGHT(TEXT($L1925,"000000"),2)/3600))</f>
        <v>169.72500000000002</v>
      </c>
      <c r="N1925" s="250">
        <v>580000</v>
      </c>
      <c r="O1925" s="251">
        <f>IF($N1925&gt;0,(LEFT(TEXT($N1925,"000000"),2)+(MID(TEXT($N1925,"000000"),3,2)/60)+(RIGHT(TEXT($N1925,"000000"),2)/3600)),-(MID(TEXT($N1925,"000000"),2,2)+(MID(TEXT($N1925,"000000"),4,2)/60)+(RIGHT(TEXT($N1925,"000000"),2)/3600)))</f>
        <v>58</v>
      </c>
      <c r="P1925" s="252" t="s">
        <v>37</v>
      </c>
      <c r="Q1925" s="253"/>
      <c r="R1925" s="277" t="s">
        <v>3293</v>
      </c>
      <c r="S1925" s="272" t="s">
        <v>3293</v>
      </c>
      <c r="T1925" s="273">
        <v>10.9</v>
      </c>
      <c r="U1925" s="289">
        <v>21.89</v>
      </c>
      <c r="V1925" s="280"/>
      <c r="W1925" s="244"/>
      <c r="X1925" s="244"/>
      <c r="Y1925" s="362"/>
      <c r="Z1925" s="257">
        <f>altaz(J2000_Bas,$O1925,$M1925,DecLat,DecLong,1)</f>
        <v>13.631715307791429</v>
      </c>
      <c r="AA1925" s="257">
        <f>altaz((J2000_Bas+(2*0.04167)),$O1925,$M1925,DecLat,DecLong,1)</f>
        <v>3.3597864095947387</v>
      </c>
      <c r="AB1925" s="257">
        <f>altaz((J2000_Bas+(4*0.04167)),$O1925,$M1925,DecLat,DecLong,1)</f>
        <v>-0.94996123997796367</v>
      </c>
      <c r="AC1925" s="257">
        <f>altaz((J2000_Bas+(6*0.04167)),$O1925,$M1925,DecLat,DecLong,1)</f>
        <v>1.741036066379543</v>
      </c>
      <c r="AD1925" s="258">
        <f>1+ transit((J2000_Bas-1),$O1925,$M1925,DecLat,DecLong)/360 + (GMTOffset/24) + (IF(DST="Y", 1, 0)/24)</f>
        <v>1.4643582468172081</v>
      </c>
      <c r="AE1925" s="259">
        <f>DATE(2001,9,21)+(M1925/360)*365 - (360*((DecLong/360)- (GMTOffset/24) ))</f>
        <v>37332.082291666666</v>
      </c>
      <c r="AF1925" s="260">
        <f>IF(DecLat&gt;0,IF((90 - (DecLat-O1925))&gt;90, (90 - (O1925-DecLat)), (90 - (DecLat-O1925))),IF((90 + (DecLat-O1925))&gt;90, (90 + (O1925-DecLat)), (90 + (DecLat-O1925))))</f>
        <v>63</v>
      </c>
      <c r="AG1925" s="257">
        <f>angularseperation(MoonRA,MoonDec,$M1925,$O1925)</f>
        <v>107.47389017738419</v>
      </c>
      <c r="AH1925" s="261">
        <f ca="1">MIN(100,IF($O$5&gt;80,0+30*($AG1925/100),IF($O$5&gt;70,0+50*($AG1925/100),IF($O$5&gt;60,5+50*($AG1925/100),IF($O$5&gt;50,10+60*($AG1925/100),IF($O$5&gt;40,15+70*($AG1925/100),IF($O$5&gt;30,20+70*($AG1925/100),IF($O$5&gt;20,40+55*($AG1925/100),(80+(20-$O$5)+30*($AG1925/100))))))))))</f>
        <v>100</v>
      </c>
      <c r="AI1925" s="262">
        <v>3613</v>
      </c>
      <c r="AJ1925" s="263"/>
      <c r="AK1925" s="263">
        <v>171</v>
      </c>
      <c r="AL1925" s="263"/>
      <c r="AM1925" s="264"/>
      <c r="AN1925" s="263"/>
      <c r="AO1925" s="263"/>
      <c r="AP1925" s="265"/>
      <c r="AQ1925" s="265">
        <v>6323</v>
      </c>
      <c r="AR1925" s="285">
        <v>34583</v>
      </c>
      <c r="AS1925" s="263"/>
      <c r="AT1925" s="263"/>
      <c r="AU1925" s="263"/>
      <c r="AV1925" s="264"/>
      <c r="AW1925" s="263"/>
      <c r="AX1925" s="263"/>
      <c r="AY1925" s="263"/>
      <c r="AZ1925" s="263"/>
      <c r="BA1925" s="263"/>
      <c r="BB1925" s="263"/>
      <c r="BC1925" s="263"/>
      <c r="BD1925" s="264"/>
      <c r="BE1925" s="263"/>
      <c r="BF1925" s="263"/>
      <c r="BG1925" s="263"/>
      <c r="BH1925" s="263"/>
      <c r="BI1925" s="263"/>
      <c r="BJ1925" s="404">
        <f>altaz(J2000_Bas,$O1925,$M1925,DecLat,DecLong,2)</f>
        <v>330.72972924941888</v>
      </c>
      <c r="BK1925" s="378" t="s">
        <v>2991</v>
      </c>
      <c r="BL1925" s="379">
        <f>IF((2*G1925)/60&lt;0.2,0.2,(2*G1925)/60)</f>
        <v>0.2</v>
      </c>
      <c r="BM1925" s="380">
        <f>MOD((50000+AD1925-$B$3+(0/24)),1)</f>
        <v>0.67972517652378883</v>
      </c>
      <c r="BN1925" s="381"/>
      <c r="BO1925" s="382">
        <v>1918</v>
      </c>
    </row>
    <row r="1926" spans="1:67" s="24" customFormat="1" ht="15" customHeight="1" x14ac:dyDescent="0.25">
      <c r="A1926" s="288" t="s">
        <v>1877</v>
      </c>
      <c r="B1926" s="241" t="str">
        <f>HYPERLINK(CONCATENATE($AT$3,BK1926,$AU$3),$AV$3)</f>
        <v>S</v>
      </c>
      <c r="C1926" s="242" t="str">
        <f>HYPERLINK(CONCATENATE($AT$4,BK1926,$AU$4,BL1926),$AV$4)</f>
        <v>A</v>
      </c>
      <c r="D1926" s="243" t="s">
        <v>5638</v>
      </c>
      <c r="E1926" s="244" t="s">
        <v>5192</v>
      </c>
      <c r="F1926" s="269" t="s">
        <v>8693</v>
      </c>
      <c r="G1926" s="273">
        <v>5</v>
      </c>
      <c r="H1926" s="283">
        <v>116</v>
      </c>
      <c r="I1926" s="246">
        <v>170</v>
      </c>
      <c r="J1926" s="246">
        <v>2</v>
      </c>
      <c r="K1926" s="247" t="s">
        <v>7735</v>
      </c>
      <c r="L1926" s="248">
        <v>111821</v>
      </c>
      <c r="M1926" s="249">
        <f>15*(LEFT(TEXT($L1926,"000000"),2)+(MID(TEXT($L1926,"000000"),3,2)/60)+(RIGHT(TEXT($L1926,"000000"),2)/3600))</f>
        <v>169.58750000000001</v>
      </c>
      <c r="N1926" s="250">
        <v>454451</v>
      </c>
      <c r="O1926" s="251">
        <f>IF($N1926&gt;0,(LEFT(TEXT($N1926,"000000"),2)+(MID(TEXT($N1926,"000000"),3,2)/60)+(RIGHT(TEXT($N1926,"000000"),2)/3600)),-(MID(TEXT($N1926,"000000"),2,2)+(MID(TEXT($N1926,"000000"),4,2)/60)+(RIGHT(TEXT($N1926,"000000"),2)/3600)))</f>
        <v>45.747500000000002</v>
      </c>
      <c r="P1926" s="252" t="s">
        <v>37</v>
      </c>
      <c r="Q1926" s="253"/>
      <c r="R1926" s="277" t="s">
        <v>3293</v>
      </c>
      <c r="S1926" s="272" t="s">
        <v>3293</v>
      </c>
      <c r="T1926" s="273">
        <v>11.6</v>
      </c>
      <c r="U1926" s="289">
        <v>22.990000000000002</v>
      </c>
      <c r="V1926" s="280">
        <v>60</v>
      </c>
      <c r="W1926" s="244"/>
      <c r="X1926" s="244"/>
      <c r="Y1926" s="362"/>
      <c r="Z1926" s="257">
        <f>altaz(J2000_Bas,$O1926,$M1926,DecLat,DecLong,1)</f>
        <v>5.9008410358748717</v>
      </c>
      <c r="AA1926" s="257">
        <f>altaz((J2000_Bas+(2*0.04167)),$O1926,$M1926,DecLat,DecLong,1)</f>
        <v>-7.4626451801792228</v>
      </c>
      <c r="AB1926" s="257">
        <f>altaz((J2000_Bas+(4*0.04167)),$O1926,$M1926,DecLat,DecLong,1)</f>
        <v>-13.18995730485911</v>
      </c>
      <c r="AC1926" s="257">
        <f>altaz((J2000_Bas+(6*0.04167)),$O1926,$M1926,DecLat,DecLong,1)</f>
        <v>-9.5326392968605305</v>
      </c>
      <c r="AD1926" s="258">
        <f>1+ transit((J2000_Bas-1),$O1926,$M1926,DecLat,DecLong)/360 + (GMTOffset/24) + (IF(DST="Y", 1, 0)/24)</f>
        <v>1.463976302410958</v>
      </c>
      <c r="AE1926" s="259">
        <f>DATE(2001,9,21)+(M1926/360)*365 - (360*((DecLong/360)- (GMTOffset/24) ))</f>
        <v>37331.942881944444</v>
      </c>
      <c r="AF1926" s="260">
        <f>IF(DecLat&gt;0,IF((90 - (DecLat-O1926))&gt;90, (90 - (O1926-DecLat)), (90 - (DecLat-O1926))),IF((90 + (DecLat-O1926))&gt;90, (90 + (O1926-DecLat)), (90 + (DecLat-O1926))))</f>
        <v>75.252499999999998</v>
      </c>
      <c r="AG1926" s="257">
        <f>angularseperation(MoonRA,MoonDec,$M1926,$O1926)</f>
        <v>102.38859947959807</v>
      </c>
      <c r="AH1926" s="261">
        <f ca="1">MIN(100,IF($O$5&gt;80,0+30*($AG1926/100),IF($O$5&gt;70,0+50*($AG1926/100),IF($O$5&gt;60,5+50*($AG1926/100),IF($O$5&gt;50,10+60*($AG1926/100),IF($O$5&gt;40,15+70*($AG1926/100),IF($O$5&gt;30,20+70*($AG1926/100),IF($O$5&gt;20,40+55*($AG1926/100),(80+(20-$O$5)+30*($AG1926/100))))))))))</f>
        <v>100</v>
      </c>
      <c r="AI1926" s="262">
        <v>3614</v>
      </c>
      <c r="AJ1926" s="263"/>
      <c r="AK1926" s="263"/>
      <c r="AL1926" s="263"/>
      <c r="AM1926" s="264"/>
      <c r="AN1926" s="263"/>
      <c r="AO1926" s="263"/>
      <c r="AP1926" s="265"/>
      <c r="AQ1926" s="265">
        <v>6318</v>
      </c>
      <c r="AR1926" s="285">
        <v>34561</v>
      </c>
      <c r="AS1926" s="263"/>
      <c r="AT1926" s="263"/>
      <c r="AU1926" s="263"/>
      <c r="AV1926" s="264"/>
      <c r="AW1926" s="263"/>
      <c r="AX1926" s="263"/>
      <c r="AY1926" s="263"/>
      <c r="AZ1926" s="263"/>
      <c r="BA1926" s="263"/>
      <c r="BB1926" s="263"/>
      <c r="BC1926" s="263"/>
      <c r="BD1926" s="264"/>
      <c r="BE1926" s="263"/>
      <c r="BF1926" s="263"/>
      <c r="BG1926" s="263"/>
      <c r="BH1926" s="263"/>
      <c r="BI1926" s="263"/>
      <c r="BJ1926" s="404">
        <f>altaz(J2000_Bas,$O1926,$M1926,DecLat,DecLong,2)</f>
        <v>321.07560806246727</v>
      </c>
      <c r="BK1926" s="378" t="s">
        <v>1877</v>
      </c>
      <c r="BL1926" s="379">
        <f>IF((2*G1926)/60&lt;0.2,0.2,(2*G1926)/60)</f>
        <v>0.2</v>
      </c>
      <c r="BM1926" s="380">
        <f>MOD((50000+AD1926-$B$3+(0/24)),1)</f>
        <v>0.67934323211375158</v>
      </c>
      <c r="BN1926" s="381"/>
      <c r="BO1926" s="382">
        <v>1919</v>
      </c>
    </row>
    <row r="1927" spans="1:67" s="24" customFormat="1" ht="15" customHeight="1" x14ac:dyDescent="0.25">
      <c r="A1927" s="287" t="s">
        <v>2992</v>
      </c>
      <c r="B1927" s="241" t="str">
        <f>HYPERLINK(CONCATENATE($AT$3,BK1927,$AU$3),$AV$3)</f>
        <v>S</v>
      </c>
      <c r="C1927" s="242" t="str">
        <f>HYPERLINK(CONCATENATE($AT$4,BK1927,$AU$4,BL1927),$AV$4)</f>
        <v>A</v>
      </c>
      <c r="D1927" s="243" t="s">
        <v>5638</v>
      </c>
      <c r="E1927" s="244" t="s">
        <v>5182</v>
      </c>
      <c r="F1927" s="269" t="s">
        <v>6572</v>
      </c>
      <c r="G1927" s="273">
        <v>2.5</v>
      </c>
      <c r="H1927" s="283">
        <v>110</v>
      </c>
      <c r="I1927" s="246">
        <v>85</v>
      </c>
      <c r="J1927" s="246">
        <v>2</v>
      </c>
      <c r="K1927" s="247" t="s">
        <v>7736</v>
      </c>
      <c r="L1927" s="248">
        <v>111924</v>
      </c>
      <c r="M1927" s="249">
        <f>15*(LEFT(TEXT($L1927,"000000"),2)+(MID(TEXT($L1927,"000000"),3,2)/60)+(RIGHT(TEXT($L1927,"000000"),2)/3600))</f>
        <v>169.85</v>
      </c>
      <c r="N1927" s="250">
        <v>574600</v>
      </c>
      <c r="O1927" s="251">
        <f>IF($N1927&gt;0,(LEFT(TEXT($N1927,"000000"),2)+(MID(TEXT($N1927,"000000"),3,2)/60)+(RIGHT(TEXT($N1927,"000000"),2)/3600)),-(MID(TEXT($N1927,"000000"),2,2)+(MID(TEXT($N1927,"000000"),4,2)/60)+(RIGHT(TEXT($N1927,"000000"),2)/3600)))</f>
        <v>57.766666666666666</v>
      </c>
      <c r="P1927" s="252" t="s">
        <v>37</v>
      </c>
      <c r="Q1927" s="253"/>
      <c r="R1927" s="277" t="s">
        <v>3293</v>
      </c>
      <c r="S1927" s="272" t="s">
        <v>3293</v>
      </c>
      <c r="T1927" s="273">
        <v>11.5</v>
      </c>
      <c r="U1927" s="289">
        <v>22.29</v>
      </c>
      <c r="V1927" s="280">
        <v>5</v>
      </c>
      <c r="W1927" s="244"/>
      <c r="X1927" s="244"/>
      <c r="Y1927" s="362"/>
      <c r="Z1927" s="257">
        <f>altaz(J2000_Bas,$O1927,$M1927,DecLat,DecLong,1)</f>
        <v>13.541576068059673</v>
      </c>
      <c r="AA1927" s="257">
        <f>altaz((J2000_Bas+(2*0.04167)),$O1927,$M1927,DecLat,DecLong,1)</f>
        <v>3.1862878907156924</v>
      </c>
      <c r="AB1927" s="257">
        <f>altaz((J2000_Bas+(4*0.04167)),$O1927,$M1927,DecLat,DecLong,1)</f>
        <v>-1.179360120963135</v>
      </c>
      <c r="AC1927" s="257">
        <f>altaz((J2000_Bas+(6*0.04167)),$O1927,$M1927,DecLat,DecLong,1)</f>
        <v>1.5000182914045757</v>
      </c>
      <c r="AD1927" s="258">
        <f>1+ transit((J2000_Bas-1),$O1927,$M1927,DecLat,DecLong)/360 + (GMTOffset/24) + (IF(DST="Y", 1, 0)/24)</f>
        <v>1.4647054690047081</v>
      </c>
      <c r="AE1927" s="259">
        <f>DATE(2001,9,21)+(M1927/360)*365 - (360*((DecLong/360)- (GMTOffset/24) ))</f>
        <v>37332.209027777775</v>
      </c>
      <c r="AF1927" s="260">
        <f>IF(DecLat&gt;0,IF((90 - (DecLat-O1927))&gt;90, (90 - (O1927-DecLat)), (90 - (DecLat-O1927))),IF((90 + (DecLat-O1927))&gt;90, (90 + (O1927-DecLat)), (90 + (DecLat-O1927))))</f>
        <v>63.233333333333334</v>
      </c>
      <c r="AG1927" s="257">
        <f>angularseperation(MoonRA,MoonDec,$M1927,$O1927)</f>
        <v>107.31999952854763</v>
      </c>
      <c r="AH1927" s="261">
        <f ca="1">MIN(100,IF($O$5&gt;80,0+30*($AG1927/100),IF($O$5&gt;70,0+50*($AG1927/100),IF($O$5&gt;60,5+50*($AG1927/100),IF($O$5&gt;50,10+60*($AG1927/100),IF($O$5&gt;40,15+70*($AG1927/100),IF($O$5&gt;30,20+70*($AG1927/100),IF($O$5&gt;20,40+55*($AG1927/100),(80+(20-$O$5)+30*($AG1927/100))))))))))</f>
        <v>100</v>
      </c>
      <c r="AI1927" s="262">
        <v>3619</v>
      </c>
      <c r="AJ1927" s="263"/>
      <c r="AK1927" s="263">
        <v>172</v>
      </c>
      <c r="AL1927" s="263"/>
      <c r="AM1927" s="264"/>
      <c r="AN1927" s="263"/>
      <c r="AO1927" s="263"/>
      <c r="AP1927" s="265"/>
      <c r="AQ1927" s="265">
        <v>6330</v>
      </c>
      <c r="AR1927" s="285">
        <v>34641</v>
      </c>
      <c r="AS1927" s="263"/>
      <c r="AT1927" s="263"/>
      <c r="AU1927" s="263"/>
      <c r="AV1927" s="264"/>
      <c r="AW1927" s="263"/>
      <c r="AX1927" s="263"/>
      <c r="AY1927" s="263"/>
      <c r="AZ1927" s="263"/>
      <c r="BA1927" s="263"/>
      <c r="BB1927" s="263"/>
      <c r="BC1927" s="263"/>
      <c r="BD1927" s="264"/>
      <c r="BE1927" s="263"/>
      <c r="BF1927" s="263"/>
      <c r="BG1927" s="263"/>
      <c r="BH1927" s="263"/>
      <c r="BI1927" s="263"/>
      <c r="BJ1927" s="404">
        <f>altaz(J2000_Bas,$O1927,$M1927,DecLat,DecLong,2)</f>
        <v>330.49799864153772</v>
      </c>
      <c r="BK1927" s="378" t="s">
        <v>2992</v>
      </c>
      <c r="BL1927" s="379">
        <f>IF((2*G1927)/60&lt;0.2,0.2,(2*G1927)/60)</f>
        <v>0.2</v>
      </c>
      <c r="BM1927" s="380">
        <f>MOD((50000+AD1927-$B$3+(0/24)),1)</f>
        <v>0.68007239871076308</v>
      </c>
      <c r="BN1927" s="381"/>
      <c r="BO1927" s="382">
        <v>1920</v>
      </c>
    </row>
    <row r="1928" spans="1:67" s="24" customFormat="1" ht="15" customHeight="1" x14ac:dyDescent="0.25">
      <c r="A1928" s="288" t="s">
        <v>1878</v>
      </c>
      <c r="B1928" s="241" t="str">
        <f>HYPERLINK(CONCATENATE($AT$3,BK1928,$AU$3),$AV$3)</f>
        <v>S</v>
      </c>
      <c r="C1928" s="242" t="str">
        <f>HYPERLINK(CONCATENATE($AT$4,BK1928,$AU$4,BL1928),$AV$4)</f>
        <v>A</v>
      </c>
      <c r="D1928" s="243" t="s">
        <v>5638</v>
      </c>
      <c r="E1928" s="244" t="s">
        <v>4292</v>
      </c>
      <c r="F1928" s="269"/>
      <c r="G1928" s="273">
        <v>9</v>
      </c>
      <c r="H1928" s="283">
        <v>20</v>
      </c>
      <c r="I1928" s="246">
        <v>50</v>
      </c>
      <c r="J1928" s="246">
        <v>2</v>
      </c>
      <c r="K1928" s="247" t="s">
        <v>7737</v>
      </c>
      <c r="L1928" s="248">
        <v>111816</v>
      </c>
      <c r="M1928" s="249">
        <f>15*(LEFT(TEXT($L1928,"000000"),2)+(MID(TEXT($L1928,"000000"),3,2)/60)+(RIGHT(TEXT($L1928,"000000"),2)/3600))</f>
        <v>169.56666666666669</v>
      </c>
      <c r="N1928" s="250">
        <v>-324850</v>
      </c>
      <c r="O1928" s="251">
        <f>IF($N1928&gt;0,(LEFT(TEXT($N1928,"000000"),2)+(MID(TEXT($N1928,"000000"),3,2)/60)+(RIGHT(TEXT($N1928,"000000"),2)/3600)),-(MID(TEXT($N1928,"000000"),2,2)+(MID(TEXT($N1928,"000000"),4,2)/60)+(RIGHT(TEXT($N1928,"000000"),2)/3600)))</f>
        <v>-32.813888888888883</v>
      </c>
      <c r="P1928" s="252" t="s">
        <v>103</v>
      </c>
      <c r="Q1928" s="253"/>
      <c r="R1928" s="247" t="s">
        <v>3293</v>
      </c>
      <c r="S1928" s="272" t="s">
        <v>3293</v>
      </c>
      <c r="T1928" s="273">
        <v>9.6999999999999993</v>
      </c>
      <c r="U1928" s="289">
        <v>23.19</v>
      </c>
      <c r="V1928" s="280">
        <v>65</v>
      </c>
      <c r="W1928" s="244"/>
      <c r="X1928" s="244"/>
      <c r="Y1928" s="362"/>
      <c r="Z1928" s="257">
        <f>altaz(J2000_Bas,$O1928,$M1928,DecLat,DecLong,1)</f>
        <v>-36.857190545590541</v>
      </c>
      <c r="AA1928" s="257">
        <f>altaz((J2000_Bas+(2*0.04167)),$O1928,$M1928,DecLat,DecLong,1)</f>
        <v>-61.639175889874778</v>
      </c>
      <c r="AB1928" s="257">
        <f>altaz((J2000_Bas+(4*0.04167)),$O1928,$M1928,DecLat,DecLong,1)</f>
        <v>-86.595012320621862</v>
      </c>
      <c r="AC1928" s="257">
        <f>altaz((J2000_Bas+(6*0.04167)),$O1928,$M1928,DecLat,DecLong,1)</f>
        <v>-67.330462427444004</v>
      </c>
      <c r="AD1928" s="258">
        <f>1+ transit((J2000_Bas-1),$O1928,$M1928,DecLat,DecLong)/360 + (GMTOffset/24) + (IF(DST="Y", 1, 0)/24)</f>
        <v>1.4639184320463747</v>
      </c>
      <c r="AE1928" s="259">
        <f>DATE(2001,9,21)+(M1928/360)*365 - (360*((DecLong/360)- (GMTOffset/24) ))</f>
        <v>37331.921759259261</v>
      </c>
      <c r="AF1928" s="260">
        <f>IF(DecLat&gt;0,IF((90 - (DecLat-O1928))&gt;90, (90 - (O1928-DecLat)), (90 - (DecLat-O1928))),IF((90 + (DecLat-O1928))&gt;90, (90 + (O1928-DecLat)), (90 + (DecLat-O1928))))</f>
        <v>26.186111111111117</v>
      </c>
      <c r="AG1928" s="257">
        <f>angularseperation(MoonRA,MoonDec,$M1928,$O1928)</f>
        <v>67.614143834021505</v>
      </c>
      <c r="AH1928" s="261">
        <f ca="1">MIN(100,IF($O$5&gt;80,0+30*($AG1928/100),IF($O$5&gt;70,0+50*($AG1928/100),IF($O$5&gt;60,5+50*($AG1928/100),IF($O$5&gt;50,10+60*($AG1928/100),IF($O$5&gt;40,15+70*($AG1928/100),IF($O$5&gt;30,20+70*($AG1928/100),IF($O$5&gt;20,40+55*($AG1928/100),(80+(20-$O$5)+30*($AG1928/100))))))))))</f>
        <v>100</v>
      </c>
      <c r="AI1928" s="262">
        <v>3621</v>
      </c>
      <c r="AJ1928" s="262"/>
      <c r="AK1928" s="262">
        <v>173</v>
      </c>
      <c r="AL1928" s="263"/>
      <c r="AM1928" s="264"/>
      <c r="AN1928" s="263"/>
      <c r="AO1928" s="263"/>
      <c r="AP1928" s="265"/>
      <c r="AQ1928" s="266"/>
      <c r="AR1928" s="267">
        <v>34554</v>
      </c>
      <c r="AS1928" s="263"/>
      <c r="AT1928" s="263"/>
      <c r="AU1928" s="263"/>
      <c r="AV1928" s="264"/>
      <c r="AW1928" s="263"/>
      <c r="AX1928" s="263"/>
      <c r="AY1928" s="263"/>
      <c r="AZ1928" s="263"/>
      <c r="BA1928" s="263"/>
      <c r="BB1928" s="263"/>
      <c r="BC1928" s="263"/>
      <c r="BD1928" s="264"/>
      <c r="BE1928" s="263">
        <v>57</v>
      </c>
      <c r="BF1928" s="263"/>
      <c r="BG1928" s="263"/>
      <c r="BH1928" s="263"/>
      <c r="BI1928" s="263"/>
      <c r="BJ1928" s="404">
        <f>altaz(J2000_Bas,$O1928,$M1928,DecLat,DecLong,2)</f>
        <v>250.14158281837229</v>
      </c>
      <c r="BK1928" s="378" t="s">
        <v>1878</v>
      </c>
      <c r="BL1928" s="379">
        <f>IF((2*G1928)/60&lt;0.2,0.2,(2*G1928)/60)</f>
        <v>0.3</v>
      </c>
      <c r="BM1928" s="380">
        <f>MOD((50000+AD1928-$B$3+(0/24)),1)</f>
        <v>0.67928536175168119</v>
      </c>
      <c r="BN1928" s="381"/>
      <c r="BO1928" s="382">
        <v>1921</v>
      </c>
    </row>
    <row r="1929" spans="1:67" s="24" customFormat="1" ht="15" customHeight="1" x14ac:dyDescent="0.25">
      <c r="A1929" s="288" t="s">
        <v>1879</v>
      </c>
      <c r="B1929" s="241" t="str">
        <f>HYPERLINK(CONCATENATE($AT$3,BK1929,$AU$3),$AV$3)</f>
        <v>S</v>
      </c>
      <c r="C1929" s="242" t="str">
        <f>HYPERLINK(CONCATENATE($AT$4,BK1929,$AU$4,BL1929),$AV$4)</f>
        <v>A</v>
      </c>
      <c r="D1929" s="243" t="s">
        <v>5638</v>
      </c>
      <c r="E1929" s="244" t="s">
        <v>5182</v>
      </c>
      <c r="F1929" s="269" t="s">
        <v>3300</v>
      </c>
      <c r="G1929" s="273">
        <v>3</v>
      </c>
      <c r="H1929" s="283">
        <v>80</v>
      </c>
      <c r="I1929" s="246">
        <v>70</v>
      </c>
      <c r="J1929" s="246">
        <v>2</v>
      </c>
      <c r="K1929" s="247" t="s">
        <v>8475</v>
      </c>
      <c r="L1929" s="248">
        <v>112004</v>
      </c>
      <c r="M1929" s="249">
        <f>15*(LEFT(TEXT($L1929,"000000"),2)+(MID(TEXT($L1929,"000000"),3,2)/60)+(RIGHT(TEXT($L1929,"000000"),2)/3600))</f>
        <v>170.01666666666668</v>
      </c>
      <c r="N1929" s="250">
        <v>182125</v>
      </c>
      <c r="O1929" s="251">
        <f>IF($N1929&gt;0,(LEFT(TEXT($N1929,"000000"),2)+(MID(TEXT($N1929,"000000"),3,2)/60)+(RIGHT(TEXT($N1929,"000000"),2)/3600)),-(MID(TEXT($N1929,"000000"),2,2)+(MID(TEXT($N1929,"000000"),4,2)/60)+(RIGHT(TEXT($N1929,"000000"),2)/3600)))</f>
        <v>18.356944444444444</v>
      </c>
      <c r="P1929" s="252" t="s">
        <v>183</v>
      </c>
      <c r="Q1929" s="253"/>
      <c r="R1929" s="277" t="s">
        <v>7363</v>
      </c>
      <c r="S1929" s="272" t="s">
        <v>3293</v>
      </c>
      <c r="T1929" s="273">
        <v>11</v>
      </c>
      <c r="U1929" s="289">
        <v>21.490000000000002</v>
      </c>
      <c r="V1929" s="280">
        <v>45</v>
      </c>
      <c r="W1929" s="244"/>
      <c r="X1929" s="244"/>
      <c r="Y1929" s="362"/>
      <c r="Z1929" s="257">
        <f>altaz(J2000_Bas,$O1929,$M1929,DecLat,DecLong,1)</f>
        <v>-11.201092452916185</v>
      </c>
      <c r="AA1929" s="257">
        <f>altaz((J2000_Bas+(2*0.04167)),$O1929,$M1929,DecLat,DecLong,1)</f>
        <v>-30.851695011860965</v>
      </c>
      <c r="AB1929" s="257">
        <f>altaz((J2000_Bas+(4*0.04167)),$O1929,$M1929,DecLat,DecLong,1)</f>
        <v>-40.504926850079684</v>
      </c>
      <c r="AC1929" s="257">
        <f>altaz((J2000_Bas+(6*0.04167)),$O1929,$M1929,DecLat,DecLong,1)</f>
        <v>-34.576835975210834</v>
      </c>
      <c r="AD1929" s="258">
        <f>1+ transit((J2000_Bas-1),$O1929,$M1929,DecLat,DecLong)/360 + (GMTOffset/24) + (IF(DST="Y", 1, 0)/24)</f>
        <v>1.4651684319213747</v>
      </c>
      <c r="AE1929" s="259">
        <f>DATE(2001,9,21)+(M1929/360)*365 - (360*((DecLong/360)- (GMTOffset/24) ))</f>
        <v>37332.378009259257</v>
      </c>
      <c r="AF1929" s="260">
        <f>IF(DecLat&gt;0,IF((90 - (DecLat-O1929))&gt;90, (90 - (O1929-DecLat)), (90 - (DecLat-O1929))),IF((90 + (DecLat-O1929))&gt;90, (90 + (O1929-DecLat)), (90 + (DecLat-O1929))))</f>
        <v>77.356944444444451</v>
      </c>
      <c r="AG1929" s="257">
        <f>angularseperation(MoonRA,MoonDec,$M1929,$O1929)</f>
        <v>89.164143147657583</v>
      </c>
      <c r="AH1929" s="261">
        <f ca="1">MIN(100,IF($O$5&gt;80,0+30*($AG1929/100),IF($O$5&gt;70,0+50*($AG1929/100),IF($O$5&gt;60,5+50*($AG1929/100),IF($O$5&gt;50,10+60*($AG1929/100),IF($O$5&gt;40,15+70*($AG1929/100),IF($O$5&gt;30,20+70*($AG1929/100),IF($O$5&gt;20,40+55*($AG1929/100),(80+(20-$O$5)+30*($AG1929/100))))))))))</f>
        <v>100</v>
      </c>
      <c r="AI1929" s="263">
        <v>3626</v>
      </c>
      <c r="AJ1929" s="263"/>
      <c r="AK1929" s="263">
        <v>174</v>
      </c>
      <c r="AL1929" s="263"/>
      <c r="AM1929" s="264">
        <v>40</v>
      </c>
      <c r="AN1929" s="263"/>
      <c r="AO1929" s="263"/>
      <c r="AP1929" s="265"/>
      <c r="AQ1929" s="265"/>
      <c r="AR1929" s="285">
        <v>34684</v>
      </c>
      <c r="AS1929" s="263"/>
      <c r="AT1929" s="263"/>
      <c r="AU1929" s="263"/>
      <c r="AV1929" s="264"/>
      <c r="AW1929" s="263"/>
      <c r="AX1929" s="263"/>
      <c r="AY1929" s="263"/>
      <c r="AZ1929" s="263"/>
      <c r="BA1929" s="263"/>
      <c r="BB1929" s="263"/>
      <c r="BC1929" s="263"/>
      <c r="BD1929" s="264"/>
      <c r="BE1929" s="263"/>
      <c r="BF1929" s="263"/>
      <c r="BG1929" s="263"/>
      <c r="BH1929" s="263"/>
      <c r="BI1929" s="263"/>
      <c r="BJ1929" s="404">
        <f>altaz(J2000_Bas,$O1929,$M1929,DecLat,DecLong,2)</f>
        <v>299.57318484717615</v>
      </c>
      <c r="BK1929" s="378" t="s">
        <v>1879</v>
      </c>
      <c r="BL1929" s="379">
        <f>IF((2*G1929)/60&lt;0.2,0.2,(2*G1929)/60)</f>
        <v>0.2</v>
      </c>
      <c r="BM1929" s="380">
        <f>MOD((50000+AD1929-$B$3+(0/24)),1)</f>
        <v>0.68053536162187811</v>
      </c>
      <c r="BN1929" s="381"/>
      <c r="BO1929" s="382">
        <v>1922</v>
      </c>
    </row>
    <row r="1930" spans="1:67" s="24" customFormat="1" ht="15" customHeight="1" x14ac:dyDescent="0.25">
      <c r="A1930" s="288" t="s">
        <v>1880</v>
      </c>
      <c r="B1930" s="241" t="str">
        <f>HYPERLINK(CONCATENATE($AT$3,BK1930,$AU$3),$AV$3)</f>
        <v>S</v>
      </c>
      <c r="C1930" s="242" t="str">
        <f>HYPERLINK(CONCATENATE($AT$4,BK1930,$AU$4,BL1930),$AV$4)</f>
        <v>A</v>
      </c>
      <c r="D1930" s="243" t="s">
        <v>5638</v>
      </c>
      <c r="E1930" s="244" t="s">
        <v>5192</v>
      </c>
      <c r="F1930" s="269" t="s">
        <v>8701</v>
      </c>
      <c r="G1930" s="276">
        <v>17</v>
      </c>
      <c r="H1930" s="283">
        <v>35</v>
      </c>
      <c r="I1930" s="246">
        <v>170</v>
      </c>
      <c r="J1930" s="246">
        <v>4</v>
      </c>
      <c r="K1930" s="247" t="s">
        <v>7739</v>
      </c>
      <c r="L1930" s="248">
        <v>112017</v>
      </c>
      <c r="M1930" s="249">
        <f>15*(LEFT(TEXT($L1930,"000000"),2)+(MID(TEXT($L1930,"000000"),3,2)/60)+(RIGHT(TEXT($L1930,"000000"),2)/3600))</f>
        <v>170.07083333333333</v>
      </c>
      <c r="N1930" s="250">
        <v>133519</v>
      </c>
      <c r="O1930" s="251">
        <f>IF($N1930&gt;0,(LEFT(TEXT($N1930,"000000"),2)+(MID(TEXT($N1930,"000000"),3,2)/60)+(RIGHT(TEXT($N1930,"000000"),2)/3600)),-(MID(TEXT($N1930,"000000"),2,2)+(MID(TEXT($N1930,"000000"),4,2)/60)+(RIGHT(TEXT($N1930,"000000"),2)/3600)))</f>
        <v>13.588611111111112</v>
      </c>
      <c r="P1930" s="252" t="s">
        <v>183</v>
      </c>
      <c r="Q1930" s="253" t="s">
        <v>6876</v>
      </c>
      <c r="R1930" s="247" t="s">
        <v>3293</v>
      </c>
      <c r="S1930" s="272" t="s">
        <v>7738</v>
      </c>
      <c r="T1930" s="273">
        <v>9.5</v>
      </c>
      <c r="U1930" s="289">
        <v>22.29</v>
      </c>
      <c r="V1930" s="280">
        <v>87</v>
      </c>
      <c r="W1930" s="244"/>
      <c r="X1930" s="244"/>
      <c r="Y1930" s="362"/>
      <c r="Z1930" s="257">
        <f>altaz(J2000_Bas,$O1930,$M1930,DecLat,DecLong,1)</f>
        <v>-14.083740074572125</v>
      </c>
      <c r="AA1930" s="257">
        <f>altaz((J2000_Bas+(2*0.04167)),$O1930,$M1930,DecLat,DecLong,1)</f>
        <v>-34.740261780335508</v>
      </c>
      <c r="AB1930" s="257">
        <f>altaz((J2000_Bas+(4*0.04167)),$O1930,$M1930,DecLat,DecLong,1)</f>
        <v>-45.254207766468916</v>
      </c>
      <c r="AC1930" s="257">
        <f>altaz((J2000_Bas+(6*0.04167)),$O1930,$M1930,DecLat,DecLong,1)</f>
        <v>-38.803952666794764</v>
      </c>
      <c r="AD1930" s="258">
        <f>1+ transit((J2000_Bas-1),$O1930,$M1930,DecLat,DecLong)/360 + (GMTOffset/24) + (IF(DST="Y", 1, 0)/24)</f>
        <v>1.4653188948692912</v>
      </c>
      <c r="AE1930" s="259">
        <f>DATE(2001,9,21)+(M1930/360)*365 - (360*((DecLong/360)- (GMTOffset/24) ))</f>
        <v>37332.432928240742</v>
      </c>
      <c r="AF1930" s="260">
        <f>IF(DecLat&gt;0,IF((90 - (DecLat-O1930))&gt;90, (90 - (O1930-DecLat)), (90 - (DecLat-O1930))),IF((90 + (DecLat-O1930))&gt;90, (90 + (O1930-DecLat)), (90 + (DecLat-O1930))))</f>
        <v>72.588611111111106</v>
      </c>
      <c r="AG1930" s="257">
        <f>angularseperation(MoonRA,MoonDec,$M1930,$O1930)</f>
        <v>86.811547712340669</v>
      </c>
      <c r="AH1930" s="261">
        <f ca="1">MIN(100,IF($O$5&gt;80,0+30*($AG1930/100),IF($O$5&gt;70,0+50*($AG1930/100),IF($O$5&gt;60,5+50*($AG1930/100),IF($O$5&gt;50,10+60*($AG1930/100),IF($O$5&gt;40,15+70*($AG1930/100),IF($O$5&gt;30,20+70*($AG1930/100),IF($O$5&gt;20,40+55*($AG1930/100),(80+(20-$O$5)+30*($AG1930/100))))))))))</f>
        <v>100</v>
      </c>
      <c r="AI1930" s="262">
        <v>3628</v>
      </c>
      <c r="AJ1930" s="262"/>
      <c r="AK1930" s="262">
        <v>175</v>
      </c>
      <c r="AL1930" s="263"/>
      <c r="AM1930" s="264"/>
      <c r="AN1930" s="263"/>
      <c r="AO1930" s="263"/>
      <c r="AP1930" s="265"/>
      <c r="AQ1930" s="266">
        <v>6350</v>
      </c>
      <c r="AR1930" s="267">
        <v>34697</v>
      </c>
      <c r="AS1930" s="263"/>
      <c r="AT1930" s="263"/>
      <c r="AU1930" s="263"/>
      <c r="AV1930" s="264"/>
      <c r="AW1930" s="263"/>
      <c r="AX1930" s="263"/>
      <c r="AY1930" s="263"/>
      <c r="AZ1930" s="263"/>
      <c r="BA1930" s="263"/>
      <c r="BB1930" s="263"/>
      <c r="BC1930" s="263"/>
      <c r="BD1930" s="264"/>
      <c r="BE1930" s="263">
        <v>58</v>
      </c>
      <c r="BF1930" s="263"/>
      <c r="BG1930" s="263"/>
      <c r="BH1930" s="263"/>
      <c r="BI1930" s="263"/>
      <c r="BJ1930" s="404">
        <f>altaz(J2000_Bas,$O1930,$M1930,DecLat,DecLong,2)</f>
        <v>295.67959723803426</v>
      </c>
      <c r="BK1930" s="378" t="s">
        <v>1880</v>
      </c>
      <c r="BL1930" s="379">
        <f>IF((2*G1930)/60&lt;0.2,0.2,(2*G1930)/60)</f>
        <v>0.56666666666666665</v>
      </c>
      <c r="BM1930" s="380">
        <f>MOD((50000+AD1930-$B$3+(0/24)),1)</f>
        <v>0.68068582457635785</v>
      </c>
      <c r="BN1930" s="381"/>
      <c r="BO1930" s="382">
        <v>1923</v>
      </c>
    </row>
    <row r="1931" spans="1:67" s="24" customFormat="1" ht="15" customHeight="1" x14ac:dyDescent="0.25">
      <c r="A1931" s="288" t="s">
        <v>1881</v>
      </c>
      <c r="B1931" s="241" t="str">
        <f>HYPERLINK(CONCATENATE($AT$3,BK1931,$AU$3),$AV$3)</f>
        <v>S</v>
      </c>
      <c r="C1931" s="242" t="str">
        <f>HYPERLINK(CONCATENATE($AT$4,BK1931,$AU$4,BL1931),$AV$4)</f>
        <v>A</v>
      </c>
      <c r="D1931" s="243" t="s">
        <v>5638</v>
      </c>
      <c r="E1931" s="244" t="s">
        <v>5193</v>
      </c>
      <c r="F1931" s="269" t="s">
        <v>3303</v>
      </c>
      <c r="G1931" s="273">
        <v>4.5</v>
      </c>
      <c r="H1931" s="283">
        <v>85</v>
      </c>
      <c r="I1931" s="246">
        <v>110</v>
      </c>
      <c r="J1931" s="246">
        <v>3</v>
      </c>
      <c r="K1931" s="247" t="s">
        <v>7740</v>
      </c>
      <c r="L1931" s="248">
        <v>112107</v>
      </c>
      <c r="M1931" s="249">
        <f>15*(LEFT(TEXT($L1931,"000000"),2)+(MID(TEXT($L1931,"000000"),3,2)/60)+(RIGHT(TEXT($L1931,"000000"),2)/3600))</f>
        <v>170.27916666666664</v>
      </c>
      <c r="N1931" s="250">
        <v>31406</v>
      </c>
      <c r="O1931" s="251">
        <f>IF($N1931&gt;0,(LEFT(TEXT($N1931,"000000"),2)+(MID(TEXT($N1931,"000000"),3,2)/60)+(RIGHT(TEXT($N1931,"000000"),2)/3600)),-(MID(TEXT($N1931,"000000"),2,2)+(MID(TEXT($N1931,"000000"),4,2)/60)+(RIGHT(TEXT($N1931,"000000"),2)/3600)))</f>
        <v>3.2349999999999999</v>
      </c>
      <c r="P1931" s="252" t="s">
        <v>183</v>
      </c>
      <c r="Q1931" s="253"/>
      <c r="R1931" s="277" t="s">
        <v>3293</v>
      </c>
      <c r="S1931" s="272" t="s">
        <v>3293</v>
      </c>
      <c r="T1931" s="273">
        <v>10.4</v>
      </c>
      <c r="U1931" s="289">
        <v>22.09</v>
      </c>
      <c r="V1931" s="280"/>
      <c r="W1931" s="244"/>
      <c r="X1931" s="244"/>
      <c r="Y1931" s="362"/>
      <c r="Z1931" s="257">
        <f>altaz(J2000_Bas,$O1931,$M1931,DecLat,DecLong,1)</f>
        <v>-20.021787100169366</v>
      </c>
      <c r="AA1931" s="257">
        <f>altaz((J2000_Bas+(2*0.04167)),$O1931,$M1931,DecLat,DecLong,1)</f>
        <v>-42.751468893801437</v>
      </c>
      <c r="AB1931" s="257">
        <f>altaz((J2000_Bas+(4*0.04167)),$O1931,$M1931,DecLat,DecLong,1)</f>
        <v>-55.541772281339192</v>
      </c>
      <c r="AC1931" s="257">
        <f>altaz((J2000_Bas+(6*0.04167)),$O1931,$M1931,DecLat,DecLong,1)</f>
        <v>-47.754829809883795</v>
      </c>
      <c r="AD1931" s="258">
        <f>1+ transit((J2000_Bas-1),$O1931,$M1931,DecLat,DecLong)/360 + (GMTOffset/24) + (IF(DST="Y", 1, 0)/24)</f>
        <v>1.4658975985151246</v>
      </c>
      <c r="AE1931" s="259">
        <f>DATE(2001,9,21)+(M1931/360)*365 - (360*((DecLong/360)- (GMTOffset/24) ))</f>
        <v>37332.644155092596</v>
      </c>
      <c r="AF1931" s="260">
        <f>IF(DecLat&gt;0,IF((90 - (DecLat-O1931))&gt;90, (90 - (O1931-DecLat)), (90 - (DecLat-O1931))),IF((90 + (DecLat-O1931))&gt;90, (90 + (O1931-DecLat)), (90 + (DecLat-O1931))))</f>
        <v>62.234999999999999</v>
      </c>
      <c r="AG1931" s="257">
        <f>angularseperation(MoonRA,MoonDec,$M1931,$O1931)</f>
        <v>81.69235336879639</v>
      </c>
      <c r="AH1931" s="261">
        <f ca="1">MIN(100,IF($O$5&gt;80,0+30*($AG1931/100),IF($O$5&gt;70,0+50*($AG1931/100),IF($O$5&gt;60,5+50*($AG1931/100),IF($O$5&gt;50,10+60*($AG1931/100),IF($O$5&gt;40,15+70*($AG1931/100),IF($O$5&gt;30,20+70*($AG1931/100),IF($O$5&gt;20,40+55*($AG1931/100),(80+(20-$O$5)+30*($AG1931/100))))))))))</f>
        <v>100</v>
      </c>
      <c r="AI1931" s="262">
        <v>3640</v>
      </c>
      <c r="AJ1931" s="263"/>
      <c r="AK1931" s="263">
        <v>177</v>
      </c>
      <c r="AL1931" s="263"/>
      <c r="AM1931" s="264"/>
      <c r="AN1931" s="263"/>
      <c r="AO1931" s="263"/>
      <c r="AP1931" s="265"/>
      <c r="AQ1931" s="265">
        <v>6368</v>
      </c>
      <c r="AR1931" s="285">
        <v>34778</v>
      </c>
      <c r="AS1931" s="263"/>
      <c r="AT1931" s="263"/>
      <c r="AU1931" s="263"/>
      <c r="AV1931" s="264"/>
      <c r="AW1931" s="263"/>
      <c r="AX1931" s="263"/>
      <c r="AY1931" s="263"/>
      <c r="AZ1931" s="263"/>
      <c r="BA1931" s="263"/>
      <c r="BB1931" s="263"/>
      <c r="BC1931" s="263"/>
      <c r="BD1931" s="264"/>
      <c r="BE1931" s="263"/>
      <c r="BF1931" s="263"/>
      <c r="BG1931" s="263"/>
      <c r="BH1931" s="263"/>
      <c r="BI1931" s="263"/>
      <c r="BJ1931" s="404">
        <f>altaz(J2000_Bas,$O1931,$M1931,DecLat,DecLong,2)</f>
        <v>286.79951904819762</v>
      </c>
      <c r="BK1931" s="378" t="s">
        <v>1881</v>
      </c>
      <c r="BL1931" s="379">
        <f>IF((2*G1931)/60&lt;0.2,0.2,(2*G1931)/60)</f>
        <v>0.2</v>
      </c>
      <c r="BM1931" s="380">
        <f>MOD((50000+AD1931-$B$3+(0/24)),1)</f>
        <v>0.68126452821888961</v>
      </c>
      <c r="BN1931" s="381"/>
      <c r="BO1931" s="382">
        <v>1924</v>
      </c>
    </row>
    <row r="1932" spans="1:67" s="24" customFormat="1" ht="15" customHeight="1" x14ac:dyDescent="0.25">
      <c r="A1932" s="288" t="s">
        <v>1882</v>
      </c>
      <c r="B1932" s="241" t="str">
        <f>HYPERLINK(CONCATENATE($AT$3,BK1932,$AU$3),$AV$3)</f>
        <v>S</v>
      </c>
      <c r="C1932" s="242" t="str">
        <f>HYPERLINK(CONCATENATE($AT$4,BK1932,$AU$4,BL1932),$AV$4)</f>
        <v>A</v>
      </c>
      <c r="D1932" s="243" t="s">
        <v>5638</v>
      </c>
      <c r="E1932" s="244" t="s">
        <v>5192</v>
      </c>
      <c r="F1932" s="269" t="s">
        <v>8805</v>
      </c>
      <c r="G1932" s="273">
        <v>2.5</v>
      </c>
      <c r="H1932" s="283">
        <v>90</v>
      </c>
      <c r="I1932" s="246">
        <v>70</v>
      </c>
      <c r="J1932" s="246">
        <v>2</v>
      </c>
      <c r="K1932" s="247" t="s">
        <v>7741</v>
      </c>
      <c r="L1932" s="248">
        <v>112218</v>
      </c>
      <c r="M1932" s="249">
        <f>15*(LEFT(TEXT($L1932,"000000"),2)+(MID(TEXT($L1932,"000000"),3,2)/60)+(RIGHT(TEXT($L1932,"000000"),2)/3600))</f>
        <v>170.57500000000002</v>
      </c>
      <c r="N1932" s="250">
        <v>590429</v>
      </c>
      <c r="O1932" s="251">
        <f>IF($N1932&gt;0,(LEFT(TEXT($N1932,"000000"),2)+(MID(TEXT($N1932,"000000"),3,2)/60)+(RIGHT(TEXT($N1932,"000000"),2)/3600)),-(MID(TEXT($N1932,"000000"),2,2)+(MID(TEXT($N1932,"000000"),4,2)/60)+(RIGHT(TEXT($N1932,"000000"),2)/3600)))</f>
        <v>59.074722222222228</v>
      </c>
      <c r="P1932" s="252" t="s">
        <v>37</v>
      </c>
      <c r="Q1932" s="253"/>
      <c r="R1932" s="247" t="s">
        <v>3293</v>
      </c>
      <c r="S1932" s="272" t="s">
        <v>3293</v>
      </c>
      <c r="T1932" s="273">
        <v>14</v>
      </c>
      <c r="U1932" s="289">
        <v>23.39</v>
      </c>
      <c r="V1932" s="280">
        <v>5</v>
      </c>
      <c r="W1932" s="244"/>
      <c r="X1932" s="244"/>
      <c r="Y1932" s="362"/>
      <c r="Z1932" s="257">
        <f>altaz(J2000_Bas,$O1932,$M1932,DecLat,DecLong,1)</f>
        <v>14.635864973186802</v>
      </c>
      <c r="AA1932" s="257">
        <f>altaz((J2000_Bas+(2*0.04167)),$O1932,$M1932,DecLat,DecLong,1)</f>
        <v>4.5153540469375963</v>
      </c>
      <c r="AB1932" s="257">
        <f>altaz((J2000_Bas+(4*0.04167)),$O1932,$M1932,DecLat,DecLong,1)</f>
        <v>0.14922098165700035</v>
      </c>
      <c r="AC1932" s="257">
        <f>altaz((J2000_Bas+(6*0.04167)),$O1932,$M1932,DecLat,DecLong,1)</f>
        <v>2.568786270736124</v>
      </c>
      <c r="AD1932" s="258">
        <f>1+ transit((J2000_Bas-1),$O1932,$M1932,DecLat,DecLong)/360 + (GMTOffset/24) + (IF(DST="Y", 1, 0)/24)</f>
        <v>1.466719357692208</v>
      </c>
      <c r="AE1932" s="259">
        <f>DATE(2001,9,21)+(M1932/360)*365 - (360*((DecLong/360)- (GMTOffset/24) ))</f>
        <v>37332.944097222222</v>
      </c>
      <c r="AF1932" s="260">
        <f>IF(DecLat&gt;0,IF((90 - (DecLat-O1932))&gt;90, (90 - (O1932-DecLat)), (90 - (DecLat-O1932))),IF((90 + (DecLat-O1932))&gt;90, (90 + (O1932-DecLat)), (90 + (DecLat-O1932))))</f>
        <v>61.925277777777772</v>
      </c>
      <c r="AG1932" s="257">
        <f>angularseperation(MoonRA,MoonDec,$M1932,$O1932)</f>
        <v>107.4969499024422</v>
      </c>
      <c r="AH1932" s="261">
        <f ca="1">MIN(100,IF($O$5&gt;80,0+30*($AG1932/100),IF($O$5&gt;70,0+50*($AG1932/100),IF($O$5&gt;60,5+50*($AG1932/100),IF($O$5&gt;50,10+60*($AG1932/100),IF($O$5&gt;40,15+70*($AG1932/100),IF($O$5&gt;30,20+70*($AG1932/100),IF($O$5&gt;20,40+55*($AG1932/100),(80+(20-$O$5)+30*($AG1932/100))))))))))</f>
        <v>100</v>
      </c>
      <c r="AI1932" s="262">
        <v>3642</v>
      </c>
      <c r="AJ1932" s="262"/>
      <c r="AK1932" s="262"/>
      <c r="AL1932" s="263"/>
      <c r="AM1932" s="264"/>
      <c r="AN1932" s="263"/>
      <c r="AO1932" s="263"/>
      <c r="AP1932" s="265"/>
      <c r="AQ1932" s="266">
        <v>6385</v>
      </c>
      <c r="AR1932" s="267">
        <v>34889</v>
      </c>
      <c r="AS1932" s="263"/>
      <c r="AT1932" s="263"/>
      <c r="AU1932" s="263"/>
      <c r="AV1932" s="264"/>
      <c r="AW1932" s="263"/>
      <c r="AX1932" s="263"/>
      <c r="AY1932" s="263"/>
      <c r="AZ1932" s="263"/>
      <c r="BA1932" s="263"/>
      <c r="BB1932" s="263"/>
      <c r="BC1932" s="263"/>
      <c r="BD1932" s="264"/>
      <c r="BE1932" s="263"/>
      <c r="BF1932" s="263"/>
      <c r="BG1932" s="263"/>
      <c r="BH1932" s="263"/>
      <c r="BI1932" s="263"/>
      <c r="BJ1932" s="404">
        <f>altaz(J2000_Bas,$O1932,$M1932,DecLat,DecLong,2)</f>
        <v>331.33410819002563</v>
      </c>
      <c r="BK1932" s="378" t="s">
        <v>1882</v>
      </c>
      <c r="BL1932" s="379">
        <f>IF((2*G1932)/60&lt;0.2,0.2,(2*G1932)/60)</f>
        <v>0.2</v>
      </c>
      <c r="BM1932" s="380">
        <f>MOD((50000+AD1932-$B$3+(0/24)),1)</f>
        <v>0.68208628739375854</v>
      </c>
      <c r="BN1932" s="381"/>
      <c r="BO1932" s="382">
        <v>1925</v>
      </c>
    </row>
    <row r="1933" spans="1:67" s="24" customFormat="1" ht="15" customHeight="1" x14ac:dyDescent="0.25">
      <c r="A1933" s="288" t="s">
        <v>1883</v>
      </c>
      <c r="B1933" s="241" t="str">
        <f>HYPERLINK(CONCATENATE($AT$3,BK1933,$AU$3),$AV$3)</f>
        <v>S</v>
      </c>
      <c r="C1933" s="242" t="str">
        <f>HYPERLINK(CONCATENATE($AT$4,BK1933,$AU$4,BL1933),$AV$4)</f>
        <v>A</v>
      </c>
      <c r="D1933" s="243" t="s">
        <v>5638</v>
      </c>
      <c r="E1933" s="244" t="s">
        <v>5192</v>
      </c>
      <c r="F1933" s="269" t="s">
        <v>8699</v>
      </c>
      <c r="G1933" s="273">
        <v>4</v>
      </c>
      <c r="H1933" s="283">
        <v>130</v>
      </c>
      <c r="I1933" s="246">
        <v>150</v>
      </c>
      <c r="J1933" s="246">
        <v>3</v>
      </c>
      <c r="K1933" s="247" t="s">
        <v>8567</v>
      </c>
      <c r="L1933" s="248">
        <v>112143</v>
      </c>
      <c r="M1933" s="249">
        <f>15*(LEFT(TEXT($L1933,"000000"),2)+(MID(TEXT($L1933,"000000"),3,2)/60)+(RIGHT(TEXT($L1933,"000000"),2)/3600))</f>
        <v>170.42916666666665</v>
      </c>
      <c r="N1933" s="250">
        <v>201011</v>
      </c>
      <c r="O1933" s="251">
        <f>IF($N1933&gt;0,(LEFT(TEXT($N1933,"000000"),2)+(MID(TEXT($N1933,"000000"),3,2)/60)+(RIGHT(TEXT($N1933,"000000"),2)/3600)),-(MID(TEXT($N1933,"000000"),2,2)+(MID(TEXT($N1933,"000000"),4,2)/60)+(RIGHT(TEXT($N1933,"000000"),2)/3600)))</f>
        <v>20.169722222222223</v>
      </c>
      <c r="P1933" s="252" t="s">
        <v>183</v>
      </c>
      <c r="Q1933" s="253"/>
      <c r="R1933" s="277" t="s">
        <v>3293</v>
      </c>
      <c r="S1933" s="272" t="s">
        <v>3293</v>
      </c>
      <c r="T1933" s="273">
        <v>11.1</v>
      </c>
      <c r="U1933" s="289">
        <v>22.29</v>
      </c>
      <c r="V1933" s="280">
        <v>70</v>
      </c>
      <c r="W1933" s="244"/>
      <c r="X1933" s="244"/>
      <c r="Y1933" s="362"/>
      <c r="Z1933" s="257">
        <f>altaz(J2000_Bas,$O1933,$M1933,DecLat,DecLong,1)</f>
        <v>-9.7723868600701103</v>
      </c>
      <c r="AA1933" s="257">
        <f>altaz((J2000_Bas+(2*0.04167)),$O1933,$M1933,DecLat,DecLong,1)</f>
        <v>-29.127940243506771</v>
      </c>
      <c r="AB1933" s="257">
        <f>altaz((J2000_Bas+(4*0.04167)),$O1933,$M1933,DecLat,DecLong,1)</f>
        <v>-38.667164184098922</v>
      </c>
      <c r="AC1933" s="257">
        <f>altaz((J2000_Bas+(6*0.04167)),$O1933,$M1933,DecLat,DecLong,1)</f>
        <v>-33.137231081094306</v>
      </c>
      <c r="AD1933" s="258">
        <f>1+ transit((J2000_Bas-1),$O1933,$M1933,DecLat,DecLong)/360 + (GMTOffset/24) + (IF(DST="Y", 1, 0)/24)</f>
        <v>1.4663142651401246</v>
      </c>
      <c r="AE1933" s="259">
        <f>DATE(2001,9,21)+(M1933/360)*365 - (360*((DecLong/360)- (GMTOffset/24) ))</f>
        <v>37332.796238425923</v>
      </c>
      <c r="AF1933" s="260">
        <f>IF(DecLat&gt;0,IF((90 - (DecLat-O1933))&gt;90, (90 - (O1933-DecLat)), (90 - (DecLat-O1933))),IF((90 + (DecLat-O1933))&gt;90, (90 + (O1933-DecLat)), (90 + (DecLat-O1933))))</f>
        <v>79.169722222222219</v>
      </c>
      <c r="AG1933" s="257">
        <f>angularseperation(MoonRA,MoonDec,$M1933,$O1933)</f>
        <v>89.70439373002138</v>
      </c>
      <c r="AH1933" s="261">
        <f ca="1">MIN(100,IF($O$5&gt;80,0+30*($AG1933/100),IF($O$5&gt;70,0+50*($AG1933/100),IF($O$5&gt;60,5+50*($AG1933/100),IF($O$5&gt;50,10+60*($AG1933/100),IF($O$5&gt;40,15+70*($AG1933/100),IF($O$5&gt;30,20+70*($AG1933/100),IF($O$5&gt;20,40+55*($AG1933/100),(80+(20-$O$5)+30*($AG1933/100))))))))))</f>
        <v>100</v>
      </c>
      <c r="AI1933" s="262">
        <v>3646</v>
      </c>
      <c r="AJ1933" s="263"/>
      <c r="AK1933" s="263"/>
      <c r="AL1933" s="263"/>
      <c r="AM1933" s="264"/>
      <c r="AN1933" s="263"/>
      <c r="AO1933" s="263"/>
      <c r="AP1933" s="265"/>
      <c r="AQ1933" s="265">
        <v>6376</v>
      </c>
      <c r="AR1933" s="285">
        <v>34836</v>
      </c>
      <c r="AS1933" s="263"/>
      <c r="AT1933" s="263"/>
      <c r="AU1933" s="263"/>
      <c r="AV1933" s="264"/>
      <c r="AW1933" s="263"/>
      <c r="AX1933" s="263"/>
      <c r="AY1933" s="263"/>
      <c r="AZ1933" s="263"/>
      <c r="BA1933" s="263"/>
      <c r="BB1933" s="263"/>
      <c r="BC1933" s="263"/>
      <c r="BD1933" s="264"/>
      <c r="BE1933" s="263"/>
      <c r="BF1933" s="263"/>
      <c r="BG1933" s="263"/>
      <c r="BH1933" s="263"/>
      <c r="BI1933" s="263"/>
      <c r="BJ1933" s="404">
        <f>altaz(J2000_Bas,$O1933,$M1933,DecLat,DecLong,2)</f>
        <v>300.77506520697068</v>
      </c>
      <c r="BK1933" s="378" t="s">
        <v>1883</v>
      </c>
      <c r="BL1933" s="379">
        <f>IF((2*G1933)/60&lt;0.2,0.2,(2*G1933)/60)</f>
        <v>0.2</v>
      </c>
      <c r="BM1933" s="380">
        <f>MOD((50000+AD1933-$B$3+(0/24)),1)</f>
        <v>0.6816811948447139</v>
      </c>
      <c r="BN1933" s="381"/>
      <c r="BO1933" s="382">
        <v>1926</v>
      </c>
    </row>
    <row r="1934" spans="1:67" s="24" customFormat="1" ht="15" customHeight="1" x14ac:dyDescent="0.25">
      <c r="A1934" s="287" t="s">
        <v>2993</v>
      </c>
      <c r="B1934" s="241" t="str">
        <f>HYPERLINK(CONCATENATE($AT$3,BK1934,$AU$3),$AV$3)</f>
        <v>S</v>
      </c>
      <c r="C1934" s="242" t="str">
        <f>HYPERLINK(CONCATENATE($AT$4,BK1934,$AU$4,BL1934),$AV$4)</f>
        <v>A</v>
      </c>
      <c r="D1934" s="243" t="s">
        <v>5638</v>
      </c>
      <c r="E1934" s="244" t="s">
        <v>5192</v>
      </c>
      <c r="F1934" s="269" t="s">
        <v>8689</v>
      </c>
      <c r="G1934" s="273">
        <v>1.5</v>
      </c>
      <c r="H1934" s="283">
        <v>95</v>
      </c>
      <c r="I1934" s="246">
        <v>45</v>
      </c>
      <c r="J1934" s="246">
        <v>2</v>
      </c>
      <c r="K1934" s="247" t="s">
        <v>7742</v>
      </c>
      <c r="L1934" s="248">
        <v>112254</v>
      </c>
      <c r="M1934" s="249">
        <f>15*(LEFT(TEXT($L1934,"000000"),2)+(MID(TEXT($L1934,"000000"),3,2)/60)+(RIGHT(TEXT($L1934,"000000"),2)/3600))</f>
        <v>170.72500000000002</v>
      </c>
      <c r="N1934" s="250">
        <v>163524</v>
      </c>
      <c r="O1934" s="251">
        <f>IF($N1934&gt;0,(LEFT(TEXT($N1934,"000000"),2)+(MID(TEXT($N1934,"000000"),3,2)/60)+(RIGHT(TEXT($N1934,"000000"),2)/3600)),-(MID(TEXT($N1934,"000000"),2,2)+(MID(TEXT($N1934,"000000"),4,2)/60)+(RIGHT(TEXT($N1934,"000000"),2)/3600)))</f>
        <v>16.59</v>
      </c>
      <c r="P1934" s="252" t="s">
        <v>183</v>
      </c>
      <c r="Q1934" s="253"/>
      <c r="R1934" s="277" t="s">
        <v>3293</v>
      </c>
      <c r="S1934" s="272" t="s">
        <v>3293</v>
      </c>
      <c r="T1934" s="273">
        <v>11.7</v>
      </c>
      <c r="U1934" s="289">
        <v>20.89</v>
      </c>
      <c r="V1934" s="280">
        <v>60</v>
      </c>
      <c r="W1934" s="244"/>
      <c r="X1934" s="244"/>
      <c r="Y1934" s="362"/>
      <c r="Z1934" s="257">
        <f>altaz(J2000_Bas,$O1934,$M1934,DecLat,DecLong,1)</f>
        <v>-11.754814239680824</v>
      </c>
      <c r="AA1934" s="257">
        <f>altaz((J2000_Bas+(2*0.04167)),$O1934,$M1934,DecLat,DecLong,1)</f>
        <v>-31.926586419273292</v>
      </c>
      <c r="AB1934" s="257">
        <f>altaz((J2000_Bas+(4*0.04167)),$O1934,$M1934,DecLat,DecLong,1)</f>
        <v>-42.209127969916757</v>
      </c>
      <c r="AC1934" s="257">
        <f>altaz((J2000_Bas+(6*0.04167)),$O1934,$M1934,DecLat,DecLong,1)</f>
        <v>-36.456579722865271</v>
      </c>
      <c r="AD1934" s="258">
        <f>1+ transit((J2000_Bas-1),$O1934,$M1934,DecLat,DecLong)/360 + (GMTOffset/24) + (IF(DST="Y", 1, 0)/24)</f>
        <v>1.467136024317208</v>
      </c>
      <c r="AE1934" s="259">
        <f>DATE(2001,9,21)+(M1934/360)*365 - (360*((DecLong/360)- (GMTOffset/24) ))</f>
        <v>37333.096180555556</v>
      </c>
      <c r="AF1934" s="260">
        <f>IF(DecLat&gt;0,IF((90 - (DecLat-O1934))&gt;90, (90 - (O1934-DecLat)), (90 - (DecLat-O1934))),IF((90 + (DecLat-O1934))&gt;90, (90 + (O1934-DecLat)), (90 + (DecLat-O1934))))</f>
        <v>75.59</v>
      </c>
      <c r="AG1934" s="257">
        <f>angularseperation(MoonRA,MoonDec,$M1934,$O1934)</f>
        <v>87.714893632695137</v>
      </c>
      <c r="AH1934" s="261">
        <f ca="1">MIN(100,IF($O$5&gt;80,0+30*($AG1934/100),IF($O$5&gt;70,0+50*($AG1934/100),IF($O$5&gt;60,5+50*($AG1934/100),IF($O$5&gt;50,10+60*($AG1934/100),IF($O$5&gt;40,15+70*($AG1934/100),IF($O$5&gt;30,20+70*($AG1934/100),IF($O$5&gt;20,40+55*($AG1934/100),(80+(20-$O$5)+30*($AG1934/100))))))))))</f>
        <v>100</v>
      </c>
      <c r="AI1934" s="262">
        <v>3655</v>
      </c>
      <c r="AJ1934" s="263"/>
      <c r="AK1934" s="263">
        <v>178</v>
      </c>
      <c r="AL1934" s="263"/>
      <c r="AM1934" s="264"/>
      <c r="AN1934" s="263"/>
      <c r="AO1934" s="263"/>
      <c r="AP1934" s="265"/>
      <c r="AQ1934" s="265">
        <v>6396</v>
      </c>
      <c r="AR1934" s="285">
        <v>34935</v>
      </c>
      <c r="AS1934" s="263"/>
      <c r="AT1934" s="263"/>
      <c r="AU1934" s="263"/>
      <c r="AV1934" s="264"/>
      <c r="AW1934" s="263"/>
      <c r="AX1934" s="263"/>
      <c r="AY1934" s="263"/>
      <c r="AZ1934" s="263"/>
      <c r="BA1934" s="263"/>
      <c r="BB1934" s="263"/>
      <c r="BC1934" s="263"/>
      <c r="BD1934" s="264"/>
      <c r="BE1934" s="263"/>
      <c r="BF1934" s="263"/>
      <c r="BG1934" s="263"/>
      <c r="BH1934" s="263"/>
      <c r="BI1934" s="263"/>
      <c r="BJ1934" s="404">
        <f>altaz(J2000_Bas,$O1934,$M1934,DecLat,DecLong,2)</f>
        <v>297.7274110244133</v>
      </c>
      <c r="BK1934" s="378" t="s">
        <v>2993</v>
      </c>
      <c r="BL1934" s="379">
        <f>IF((2*G1934)/60&lt;0.2,0.2,(2*G1934)/60)</f>
        <v>0.2</v>
      </c>
      <c r="BM1934" s="380">
        <f>MOD((50000+AD1934-$B$3+(0/24)),1)</f>
        <v>0.68250295401958283</v>
      </c>
      <c r="BN1934" s="381"/>
      <c r="BO1934" s="382">
        <v>1927</v>
      </c>
    </row>
    <row r="1935" spans="1:67" s="24" customFormat="1" ht="15" customHeight="1" x14ac:dyDescent="0.25">
      <c r="A1935" s="288" t="s">
        <v>3169</v>
      </c>
      <c r="B1935" s="241" t="str">
        <f>HYPERLINK(CONCATENATE($AT$3,BK1935,$AU$3),$AV$3)</f>
        <v>S</v>
      </c>
      <c r="C1935" s="242" t="str">
        <f>HYPERLINK(CONCATENATE($AT$4,BK1935,$AU$4,BL1935),$AV$4)</f>
        <v>A</v>
      </c>
      <c r="D1935" s="243" t="s">
        <v>5638</v>
      </c>
      <c r="E1935" s="244" t="s">
        <v>5192</v>
      </c>
      <c r="F1935" s="269" t="s">
        <v>8886</v>
      </c>
      <c r="G1935" s="273">
        <v>2.8</v>
      </c>
      <c r="H1935" s="283">
        <v>180</v>
      </c>
      <c r="I1935" s="246">
        <v>150</v>
      </c>
      <c r="J1935" s="246">
        <v>2</v>
      </c>
      <c r="K1935" s="247" t="s">
        <v>7743</v>
      </c>
      <c r="L1935" s="248">
        <v>112332</v>
      </c>
      <c r="M1935" s="249">
        <f>15*(LEFT(TEXT($L1935,"000000"),2)+(MID(TEXT($L1935,"000000"),3,2)/60)+(RIGHT(TEXT($L1935,"000000"),2)/3600))</f>
        <v>170.88333333333333</v>
      </c>
      <c r="N1935" s="250">
        <v>-83930</v>
      </c>
      <c r="O1935" s="251">
        <f>IF($N1935&gt;0,(LEFT(TEXT($N1935,"000000"),2)+(MID(TEXT($N1935,"000000"),3,2)/60)+(RIGHT(TEXT($N1935,"000000"),2)/3600)),-(MID(TEXT($N1935,"000000"),2,2)+(MID(TEXT($N1935,"000000"),4,2)/60)+(RIGHT(TEXT($N1935,"000000"),2)/3600)))</f>
        <v>-8.6583333333333332</v>
      </c>
      <c r="P1935" s="252" t="s">
        <v>509</v>
      </c>
      <c r="Q1935" s="253"/>
      <c r="R1935" s="277" t="s">
        <v>3293</v>
      </c>
      <c r="S1935" s="272" t="s">
        <v>5199</v>
      </c>
      <c r="T1935" s="273">
        <v>14.4</v>
      </c>
      <c r="U1935" s="289">
        <v>22.59</v>
      </c>
      <c r="V1935" s="280">
        <v>15</v>
      </c>
      <c r="W1935" s="244"/>
      <c r="X1935" s="244"/>
      <c r="Y1935" s="362"/>
      <c r="Z1935" s="257">
        <f>altaz(J2000_Bas,$O1935,$M1935,DecLat,DecLong,1)</f>
        <v>-25.929140740008013</v>
      </c>
      <c r="AA1935" s="257">
        <f>altaz((J2000_Bas+(2*0.04167)),$O1935,$M1935,DecLat,DecLong,1)</f>
        <v>-50.660917352831106</v>
      </c>
      <c r="AB1935" s="257">
        <f>altaz((J2000_Bas+(4*0.04167)),$O1935,$M1935,DecLat,DecLong,1)</f>
        <v>-67.230595999680887</v>
      </c>
      <c r="AC1935" s="257">
        <f>altaz((J2000_Bas+(6*0.04167)),$O1935,$M1935,DecLat,DecLong,1)</f>
        <v>-57.478700977319399</v>
      </c>
      <c r="AD1935" s="258">
        <f>1+ transit((J2000_Bas-1),$O1935,$M1935,DecLat,DecLong)/360 + (GMTOffset/24) + (IF(DST="Y", 1, 0)/24)</f>
        <v>1.4675758390880413</v>
      </c>
      <c r="AE1935" s="259">
        <f>DATE(2001,9,21)+(M1935/360)*365 - (360*((DecLong/360)- (GMTOffset/24) ))</f>
        <v>37333.256712962961</v>
      </c>
      <c r="AF1935" s="260">
        <f>IF(DecLat&gt;0,IF((90 - (DecLat-O1935))&gt;90, (90 - (O1935-DecLat)), (90 - (DecLat-O1935))),IF((90 + (DecLat-O1935))&gt;90, (90 + (O1935-DecLat)), (90 + (DecLat-O1935))))</f>
        <v>50.341666666666669</v>
      </c>
      <c r="AG1935" s="257">
        <f>angularseperation(MoonRA,MoonDec,$M1935,$O1935)</f>
        <v>75.750077821021662</v>
      </c>
      <c r="AH1935" s="261">
        <f ca="1">MIN(100,IF($O$5&gt;80,0+30*($AG1935/100),IF($O$5&gt;70,0+50*($AG1935/100),IF($O$5&gt;60,5+50*($AG1935/100),IF($O$5&gt;50,10+60*($AG1935/100),IF($O$5&gt;40,15+70*($AG1935/100),IF($O$5&gt;30,20+70*($AG1935/100),IF($O$5&gt;20,40+55*($AG1935/100),(80+(20-$O$5)+30*($AG1935/100))))))))))</f>
        <v>100</v>
      </c>
      <c r="AI1935" s="263">
        <v>3660</v>
      </c>
      <c r="AJ1935" s="263"/>
      <c r="AK1935" s="263"/>
      <c r="AL1935" s="263"/>
      <c r="AM1935" s="264"/>
      <c r="AN1935" s="263"/>
      <c r="AO1935" s="263"/>
      <c r="AP1935" s="265"/>
      <c r="AQ1935" s="265"/>
      <c r="AR1935" s="285">
        <v>34980</v>
      </c>
      <c r="AS1935" s="263"/>
      <c r="AT1935" s="263"/>
      <c r="AU1935" s="263"/>
      <c r="AV1935" s="264"/>
      <c r="AW1935" s="263"/>
      <c r="AX1935" s="263"/>
      <c r="AY1935" s="263"/>
      <c r="AZ1935" s="263"/>
      <c r="BA1935" s="263"/>
      <c r="BB1935" s="263"/>
      <c r="BC1935" s="263"/>
      <c r="BD1935" s="264"/>
      <c r="BE1935" s="263"/>
      <c r="BF1935" s="263"/>
      <c r="BG1935" s="263"/>
      <c r="BH1935" s="263"/>
      <c r="BI1935" s="263"/>
      <c r="BJ1935" s="404">
        <f>altaz(J2000_Bas,$O1935,$M1935,DecLat,DecLong,2)</f>
        <v>275.55806278950428</v>
      </c>
      <c r="BK1935" s="378" t="s">
        <v>3169</v>
      </c>
      <c r="BL1935" s="379">
        <f>IF((2*G1935)/60&lt;0.2,0.2,(2*G1935)/60)</f>
        <v>0.2</v>
      </c>
      <c r="BM1935" s="380">
        <f>MOD((50000+AD1935-$B$3+(0/24)),1)</f>
        <v>0.68294276879169047</v>
      </c>
      <c r="BN1935" s="381"/>
      <c r="BO1935" s="382">
        <v>1928</v>
      </c>
    </row>
    <row r="1936" spans="1:67" s="24" customFormat="1" ht="15" customHeight="1" x14ac:dyDescent="0.25">
      <c r="A1936" s="288" t="s">
        <v>2994</v>
      </c>
      <c r="B1936" s="241" t="str">
        <f>HYPERLINK(CONCATENATE($AT$3,BK1936,$AU$3),$AV$3)</f>
        <v>S</v>
      </c>
      <c r="C1936" s="242" t="str">
        <f>HYPERLINK(CONCATENATE($AT$4,BK1936,$AU$4,BL1936),$AV$4)</f>
        <v>A</v>
      </c>
      <c r="D1936" s="243" t="s">
        <v>5638</v>
      </c>
      <c r="E1936" s="244" t="s">
        <v>5182</v>
      </c>
      <c r="F1936" s="269" t="s">
        <v>3300</v>
      </c>
      <c r="G1936" s="273">
        <v>4.5999999999999996</v>
      </c>
      <c r="H1936" s="283">
        <v>100</v>
      </c>
      <c r="I1936" s="246">
        <v>140</v>
      </c>
      <c r="J1936" s="246">
        <v>2</v>
      </c>
      <c r="K1936" s="247" t="s">
        <v>7744</v>
      </c>
      <c r="L1936" s="248">
        <v>112442</v>
      </c>
      <c r="M1936" s="249">
        <f>15*(LEFT(TEXT($L1936,"000000"),2)+(MID(TEXT($L1936,"000000"),3,2)/60)+(RIGHT(TEXT($L1936,"000000"),2)/3600))</f>
        <v>171.17500000000001</v>
      </c>
      <c r="N1936" s="250">
        <v>384600</v>
      </c>
      <c r="O1936" s="251">
        <f>IF($N1936&gt;0,(LEFT(TEXT($N1936,"000000"),2)+(MID(TEXT($N1936,"000000"),3,2)/60)+(RIGHT(TEXT($N1936,"000000"),2)/3600)),-(MID(TEXT($N1936,"000000"),2,2)+(MID(TEXT($N1936,"000000"),4,2)/60)+(RIGHT(TEXT($N1936,"000000"),2)/3600)))</f>
        <v>38.766666666666666</v>
      </c>
      <c r="P1936" s="252" t="s">
        <v>37</v>
      </c>
      <c r="Q1936" s="253"/>
      <c r="R1936" s="277" t="s">
        <v>3293</v>
      </c>
      <c r="S1936" s="272" t="s">
        <v>3293</v>
      </c>
      <c r="T1936" s="273">
        <v>11.6</v>
      </c>
      <c r="U1936" s="289">
        <v>21.29</v>
      </c>
      <c r="V1936" s="280">
        <v>65</v>
      </c>
      <c r="W1936" s="244"/>
      <c r="X1936" s="244"/>
      <c r="Y1936" s="362"/>
      <c r="Z1936" s="257">
        <f>altaz(J2000_Bas,$O1936,$M1936,DecLat,DecLong,1)</f>
        <v>2.3993359137508743</v>
      </c>
      <c r="AA1936" s="257">
        <f>altaz((J2000_Bas+(2*0.04167)),$O1936,$M1936,DecLat,DecLong,1)</f>
        <v>-12.966938599980375</v>
      </c>
      <c r="AB1936" s="257">
        <f>altaz((J2000_Bas+(4*0.04167)),$O1936,$M1936,DecLat,DecLong,1)</f>
        <v>-20.077907987943608</v>
      </c>
      <c r="AC1936" s="257">
        <f>altaz((J2000_Bas+(6*0.04167)),$O1936,$M1936,DecLat,DecLong,1)</f>
        <v>-16.4288895453879</v>
      </c>
      <c r="AD1936" s="258">
        <f>1+ transit((J2000_Bas-1),$O1936,$M1936,DecLat,DecLong)/360 + (GMTOffset/24) + (IF(DST="Y", 1, 0)/24)</f>
        <v>1.468386024192208</v>
      </c>
      <c r="AE1936" s="259">
        <f>DATE(2001,9,21)+(M1936/360)*365 - (360*((DecLong/360)- (GMTOffset/24) ))</f>
        <v>37333.552430555559</v>
      </c>
      <c r="AF1936" s="260">
        <f>IF(DecLat&gt;0,IF((90 - (DecLat-O1936))&gt;90, (90 - (O1936-DecLat)), (90 - (DecLat-O1936))),IF((90 + (DecLat-O1936))&gt;90, (90 + (O1936-DecLat)), (90 + (DecLat-O1936))))</f>
        <v>82.233333333333334</v>
      </c>
      <c r="AG1936" s="257">
        <f>angularseperation(MoonRA,MoonDec,$M1936,$O1936)</f>
        <v>98.137299028726062</v>
      </c>
      <c r="AH1936" s="261">
        <f ca="1">MIN(100,IF($O$5&gt;80,0+30*($AG1936/100),IF($O$5&gt;70,0+50*($AG1936/100),IF($O$5&gt;60,5+50*($AG1936/100),IF($O$5&gt;50,10+60*($AG1936/100),IF($O$5&gt;40,15+70*($AG1936/100),IF($O$5&gt;30,20+70*($AG1936/100),IF($O$5&gt;20,40+55*($AG1936/100),(80+(20-$O$5)+30*($AG1936/100))))))))))</f>
        <v>100</v>
      </c>
      <c r="AI1936" s="262">
        <v>3665</v>
      </c>
      <c r="AJ1936" s="263"/>
      <c r="AK1936" s="263">
        <v>179</v>
      </c>
      <c r="AL1936" s="263"/>
      <c r="AM1936" s="264"/>
      <c r="AN1936" s="263"/>
      <c r="AO1936" s="263"/>
      <c r="AP1936" s="265"/>
      <c r="AQ1936" s="265">
        <v>6426</v>
      </c>
      <c r="AR1936" s="285">
        <v>35064</v>
      </c>
      <c r="AS1936" s="263"/>
      <c r="AT1936" s="263"/>
      <c r="AU1936" s="263"/>
      <c r="AV1936" s="264"/>
      <c r="AW1936" s="263"/>
      <c r="AX1936" s="263"/>
      <c r="AY1936" s="263"/>
      <c r="AZ1936" s="263"/>
      <c r="BA1936" s="263"/>
      <c r="BB1936" s="263"/>
      <c r="BC1936" s="263"/>
      <c r="BD1936" s="264"/>
      <c r="BE1936" s="263"/>
      <c r="BF1936" s="263"/>
      <c r="BG1936" s="263"/>
      <c r="BH1936" s="263"/>
      <c r="BI1936" s="263"/>
      <c r="BJ1936" s="404">
        <f>altaz(J2000_Bas,$O1936,$M1936,DecLat,DecLong,2)</f>
        <v>314.90652888586891</v>
      </c>
      <c r="BK1936" s="378" t="s">
        <v>2994</v>
      </c>
      <c r="BL1936" s="379">
        <f>IF((2*G1936)/60&lt;0.2,0.2,(2*G1936)/60)</f>
        <v>0.2</v>
      </c>
      <c r="BM1936" s="380">
        <f>MOD((50000+AD1936-$B$3+(0/24)),1)</f>
        <v>0.6837529538970557</v>
      </c>
      <c r="BN1936" s="381"/>
      <c r="BO1936" s="382">
        <v>1929</v>
      </c>
    </row>
    <row r="1937" spans="1:67" s="24" customFormat="1" ht="15" customHeight="1" x14ac:dyDescent="0.25">
      <c r="A1937" s="287" t="s">
        <v>1884</v>
      </c>
      <c r="B1937" s="241" t="str">
        <f>HYPERLINK(CONCATENATE($AT$3,BK1937,$AU$3),$AV$3)</f>
        <v>S</v>
      </c>
      <c r="C1937" s="242" t="str">
        <f>HYPERLINK(CONCATENATE($AT$4,BK1937,$AU$4,BL1937),$AV$4)</f>
        <v>A</v>
      </c>
      <c r="D1937" s="243" t="s">
        <v>5638</v>
      </c>
      <c r="E1937" s="244" t="s">
        <v>5192</v>
      </c>
      <c r="F1937" s="269" t="s">
        <v>8689</v>
      </c>
      <c r="G1937" s="273">
        <v>4</v>
      </c>
      <c r="H1937" s="283">
        <v>80</v>
      </c>
      <c r="I1937" s="246">
        <v>90</v>
      </c>
      <c r="J1937" s="246">
        <v>3</v>
      </c>
      <c r="K1937" s="247" t="s">
        <v>7745</v>
      </c>
      <c r="L1937" s="248">
        <v>112502</v>
      </c>
      <c r="M1937" s="249">
        <f>15*(LEFT(TEXT($L1937,"000000"),2)+(MID(TEXT($L1937,"000000"),3,2)/60)+(RIGHT(TEXT($L1937,"000000"),2)/3600))</f>
        <v>171.25833333333333</v>
      </c>
      <c r="N1937" s="250">
        <v>-94742</v>
      </c>
      <c r="O1937" s="251">
        <f>IF($N1937&gt;0,(LEFT(TEXT($N1937,"000000"),2)+(MID(TEXT($N1937,"000000"),3,2)/60)+(RIGHT(TEXT($N1937,"000000"),2)/3600)),-(MID(TEXT($N1937,"000000"),2,2)+(MID(TEXT($N1937,"000000"),4,2)/60)+(RIGHT(TEXT($N1937,"000000"),2)/3600)))</f>
        <v>-9.7949999999999999</v>
      </c>
      <c r="P1937" s="252" t="s">
        <v>509</v>
      </c>
      <c r="Q1937" s="253"/>
      <c r="R1937" s="277" t="s">
        <v>3293</v>
      </c>
      <c r="S1937" s="272" t="s">
        <v>3293</v>
      </c>
      <c r="T1937" s="273">
        <v>11.4</v>
      </c>
      <c r="U1937" s="289">
        <v>22.39</v>
      </c>
      <c r="V1937" s="280">
        <v>70</v>
      </c>
      <c r="W1937" s="244"/>
      <c r="X1937" s="244"/>
      <c r="Y1937" s="362"/>
      <c r="Z1937" s="257">
        <f>altaz(J2000_Bas,$O1937,$M1937,DecLat,DecLong,1)</f>
        <v>-26.178805032091319</v>
      </c>
      <c r="AA1937" s="257">
        <f>altaz((J2000_Bas+(2*0.04167)),$O1937,$M1937,DecLat,DecLong,1)</f>
        <v>-51.085536062506925</v>
      </c>
      <c r="AB1937" s="257">
        <f>altaz((J2000_Bas+(4*0.04167)),$O1937,$M1937,DecLat,DecLong,1)</f>
        <v>-68.274164290079653</v>
      </c>
      <c r="AC1937" s="257">
        <f>altaz((J2000_Bas+(6*0.04167)),$O1937,$M1937,DecLat,DecLong,1)</f>
        <v>-58.557705053417358</v>
      </c>
      <c r="AD1937" s="258">
        <f>1+ transit((J2000_Bas-1),$O1937,$M1937,DecLat,DecLong)/360 + (GMTOffset/24) + (IF(DST="Y", 1, 0)/24)</f>
        <v>1.4686175056505413</v>
      </c>
      <c r="AE1937" s="259">
        <f>DATE(2001,9,21)+(M1937/360)*365 - (360*((DecLong/360)- (GMTOffset/24) ))</f>
        <v>37333.636921296296</v>
      </c>
      <c r="AF1937" s="260">
        <f>IF(DecLat&gt;0,IF((90 - (DecLat-O1937))&gt;90, (90 - (O1937-DecLat)), (90 - (DecLat-O1937))),IF((90 + (DecLat-O1937))&gt;90, (90 + (O1937-DecLat)), (90 + (DecLat-O1937))))</f>
        <v>49.204999999999998</v>
      </c>
      <c r="AG1937" s="257">
        <f>angularseperation(MoonRA,MoonDec,$M1937,$O1937)</f>
        <v>74.923036165862442</v>
      </c>
      <c r="AH1937" s="261">
        <f ca="1">MIN(100,IF($O$5&gt;80,0+30*($AG1937/100),IF($O$5&gt;70,0+50*($AG1937/100),IF($O$5&gt;60,5+50*($AG1937/100),IF($O$5&gt;50,10+60*($AG1937/100),IF($O$5&gt;40,15+70*($AG1937/100),IF($O$5&gt;30,20+70*($AG1937/100),IF($O$5&gt;20,40+55*($AG1937/100),(80+(20-$O$5)+30*($AG1937/100))))))))))</f>
        <v>100</v>
      </c>
      <c r="AI1937" s="262">
        <v>3672</v>
      </c>
      <c r="AJ1937" s="263"/>
      <c r="AK1937" s="263"/>
      <c r="AL1937" s="263"/>
      <c r="AM1937" s="264"/>
      <c r="AN1937" s="263"/>
      <c r="AO1937" s="263"/>
      <c r="AP1937" s="265"/>
      <c r="AQ1937" s="265"/>
      <c r="AR1937" s="285">
        <v>35088</v>
      </c>
      <c r="AS1937" s="263"/>
      <c r="AT1937" s="263"/>
      <c r="AU1937" s="263"/>
      <c r="AV1937" s="264"/>
      <c r="AW1937" s="263"/>
      <c r="AX1937" s="263"/>
      <c r="AY1937" s="263"/>
      <c r="AZ1937" s="263"/>
      <c r="BA1937" s="263"/>
      <c r="BB1937" s="263"/>
      <c r="BC1937" s="263"/>
      <c r="BD1937" s="264"/>
      <c r="BE1937" s="263"/>
      <c r="BF1937" s="263"/>
      <c r="BG1937" s="263"/>
      <c r="BH1937" s="263"/>
      <c r="BI1937" s="263"/>
      <c r="BJ1937" s="404">
        <f>altaz(J2000_Bas,$O1937,$M1937,DecLat,DecLong,2)</f>
        <v>274.25676714448593</v>
      </c>
      <c r="BK1937" s="378" t="s">
        <v>1884</v>
      </c>
      <c r="BL1937" s="379">
        <f>IF((2*G1937)/60&lt;0.2,0.2,(2*G1937)/60)</f>
        <v>0.2</v>
      </c>
      <c r="BM1937" s="380">
        <f>MOD((50000+AD1937-$B$3+(0/24)),1)</f>
        <v>0.68398443535261322</v>
      </c>
      <c r="BN1937" s="381"/>
      <c r="BO1937" s="382">
        <v>1930</v>
      </c>
    </row>
    <row r="1938" spans="1:67" s="24" customFormat="1" ht="15" customHeight="1" x14ac:dyDescent="0.25">
      <c r="A1938" s="288" t="s">
        <v>1885</v>
      </c>
      <c r="B1938" s="241" t="str">
        <f>HYPERLINK(CONCATENATE($AT$3,BK1938,$AU$3),$AV$3)</f>
        <v>S</v>
      </c>
      <c r="C1938" s="242" t="str">
        <f>HYPERLINK(CONCATENATE($AT$4,BK1938,$AU$4,BL1938),$AV$4)</f>
        <v>A</v>
      </c>
      <c r="D1938" s="243" t="s">
        <v>5638</v>
      </c>
      <c r="E1938" s="244" t="s">
        <v>4292</v>
      </c>
      <c r="F1938" s="269" t="s">
        <v>8795</v>
      </c>
      <c r="G1938" s="273">
        <v>6.7</v>
      </c>
      <c r="H1938" s="283">
        <v>60</v>
      </c>
      <c r="I1938" s="246">
        <v>120</v>
      </c>
      <c r="J1938" s="246">
        <v>3</v>
      </c>
      <c r="K1938" s="247" t="s">
        <v>7746</v>
      </c>
      <c r="L1938" s="248">
        <v>112608</v>
      </c>
      <c r="M1938" s="249">
        <f>15*(LEFT(TEXT($L1938,"000000"),2)+(MID(TEXT($L1938,"000000"),3,2)/60)+(RIGHT(TEXT($L1938,"000000"),2)/3600))</f>
        <v>171.53333333333333</v>
      </c>
      <c r="N1938" s="250">
        <v>433509</v>
      </c>
      <c r="O1938" s="251">
        <f>IF($N1938&gt;0,(LEFT(TEXT($N1938,"000000"),2)+(MID(TEXT($N1938,"000000"),3,2)/60)+(RIGHT(TEXT($N1938,"000000"),2)/3600)),-(MID(TEXT($N1938,"000000"),2,2)+(MID(TEXT($N1938,"000000"),4,2)/60)+(RIGHT(TEXT($N1938,"000000"),2)/3600)))</f>
        <v>43.585833333333333</v>
      </c>
      <c r="P1938" s="252" t="s">
        <v>37</v>
      </c>
      <c r="Q1938" s="253"/>
      <c r="R1938" s="247" t="s">
        <v>3293</v>
      </c>
      <c r="S1938" s="272" t="s">
        <v>3293</v>
      </c>
      <c r="T1938" s="273">
        <v>10.199999999999999</v>
      </c>
      <c r="U1938" s="289">
        <v>22.09</v>
      </c>
      <c r="V1938" s="280">
        <v>65</v>
      </c>
      <c r="W1938" s="244"/>
      <c r="X1938" s="244"/>
      <c r="Y1938" s="362"/>
      <c r="Z1938" s="257">
        <f>altaz(J2000_Bas,$O1938,$M1938,DecLat,DecLong,1)</f>
        <v>5.6191256237791967</v>
      </c>
      <c r="AA1938" s="257">
        <f>altaz((J2000_Bas+(2*0.04167)),$O1938,$M1938,DecLat,DecLong,1)</f>
        <v>-8.6686894638995913</v>
      </c>
      <c r="AB1938" s="257">
        <f>altaz((J2000_Bas+(4*0.04167)),$O1938,$M1938,DecLat,DecLong,1)</f>
        <v>-15.25277790325039</v>
      </c>
      <c r="AC1938" s="257">
        <f>altaz((J2000_Bas+(6*0.04167)),$O1938,$M1938,DecLat,DecLong,1)</f>
        <v>-12.057015671041089</v>
      </c>
      <c r="AD1938" s="258">
        <f>1+ transit((J2000_Bas-1),$O1938,$M1938,DecLat,DecLong)/360 + (GMTOffset/24) + (IF(DST="Y", 1, 0)/24)</f>
        <v>1.4693813944630414</v>
      </c>
      <c r="AE1938" s="259">
        <f>DATE(2001,9,21)+(M1938/360)*365 - (360*((DecLong/360)- (GMTOffset/24) ))</f>
        <v>37333.91574074074</v>
      </c>
      <c r="AF1938" s="260">
        <f>IF(DecLat&gt;0,IF((90 - (DecLat-O1938))&gt;90, (90 - (O1938-DecLat)), (90 - (DecLat-O1938))),IF((90 + (DecLat-O1938))&gt;90, (90 + (O1938-DecLat)), (90 + (DecLat-O1938))))</f>
        <v>77.414166666666659</v>
      </c>
      <c r="AG1938" s="257">
        <f>angularseperation(MoonRA,MoonDec,$M1938,$O1938)</f>
        <v>100.17233584817843</v>
      </c>
      <c r="AH1938" s="261">
        <f ca="1">MIN(100,IF($O$5&gt;80,0+30*($AG1938/100),IF($O$5&gt;70,0+50*($AG1938/100),IF($O$5&gt;60,5+50*($AG1938/100),IF($O$5&gt;50,10+60*($AG1938/100),IF($O$5&gt;40,15+70*($AG1938/100),IF($O$5&gt;30,20+70*($AG1938/100),IF($O$5&gt;20,40+55*($AG1938/100),(80+(20-$O$5)+30*($AG1938/100))))))))))</f>
        <v>100</v>
      </c>
      <c r="AI1938" s="262">
        <v>3675</v>
      </c>
      <c r="AJ1938" s="262"/>
      <c r="AK1938" s="262">
        <v>180</v>
      </c>
      <c r="AL1938" s="263"/>
      <c r="AM1938" s="264"/>
      <c r="AN1938" s="263"/>
      <c r="AO1938" s="263"/>
      <c r="AP1938" s="265"/>
      <c r="AQ1938" s="266">
        <v>6439</v>
      </c>
      <c r="AR1938" s="267">
        <v>35164</v>
      </c>
      <c r="AS1938" s="263"/>
      <c r="AT1938" s="263"/>
      <c r="AU1938" s="263"/>
      <c r="AV1938" s="264"/>
      <c r="AW1938" s="263"/>
      <c r="AX1938" s="263"/>
      <c r="AY1938" s="263"/>
      <c r="AZ1938" s="263"/>
      <c r="BA1938" s="263"/>
      <c r="BB1938" s="263"/>
      <c r="BC1938" s="263"/>
      <c r="BD1938" s="264"/>
      <c r="BE1938" s="263"/>
      <c r="BF1938" s="263">
        <v>46</v>
      </c>
      <c r="BG1938" s="263"/>
      <c r="BH1938" s="263"/>
      <c r="BI1938" s="263"/>
      <c r="BJ1938" s="404">
        <f>altaz(J2000_Bas,$O1938,$M1938,DecLat,DecLong,2)</f>
        <v>318.51165506160515</v>
      </c>
      <c r="BK1938" s="378" t="s">
        <v>1885</v>
      </c>
      <c r="BL1938" s="379">
        <f>IF((2*G1938)/60&lt;0.2,0.2,(2*G1938)/60)</f>
        <v>0.22333333333333333</v>
      </c>
      <c r="BM1938" s="380">
        <f>MOD((50000+AD1938-$B$3+(0/24)),1)</f>
        <v>0.68474832416541176</v>
      </c>
      <c r="BN1938" s="381"/>
      <c r="BO1938" s="382">
        <v>1931</v>
      </c>
    </row>
    <row r="1939" spans="1:67" s="24" customFormat="1" ht="15" customHeight="1" x14ac:dyDescent="0.25">
      <c r="A1939" s="288" t="s">
        <v>1886</v>
      </c>
      <c r="B1939" s="241" t="str">
        <f>HYPERLINK(CONCATENATE($AT$3,BK1939,$AU$3),$AV$3)</f>
        <v>S</v>
      </c>
      <c r="C1939" s="242" t="str">
        <f>HYPERLINK(CONCATENATE($AT$4,BK1939,$AU$4,BL1939),$AV$4)</f>
        <v>A</v>
      </c>
      <c r="D1939" s="243" t="s">
        <v>5638</v>
      </c>
      <c r="E1939" s="244" t="s">
        <v>5192</v>
      </c>
      <c r="F1939" s="269" t="s">
        <v>8895</v>
      </c>
      <c r="G1939" s="273">
        <v>1.5</v>
      </c>
      <c r="H1939" s="283">
        <v>100</v>
      </c>
      <c r="I1939" s="246">
        <v>45</v>
      </c>
      <c r="J1939" s="246">
        <v>2</v>
      </c>
      <c r="K1939" s="247" t="s">
        <v>7747</v>
      </c>
      <c r="L1939" s="248">
        <v>112732</v>
      </c>
      <c r="M1939" s="249">
        <f>15*(LEFT(TEXT($L1939,"000000"),2)+(MID(TEXT($L1939,"000000"),3,2)/60)+(RIGHT(TEXT($L1939,"000000"),2)/3600))</f>
        <v>171.88333333333333</v>
      </c>
      <c r="N1939" s="250">
        <v>565240</v>
      </c>
      <c r="O1939" s="251">
        <f>IF($N1939&gt;0,(LEFT(TEXT($N1939,"000000"),2)+(MID(TEXT($N1939,"000000"),3,2)/60)+(RIGHT(TEXT($N1939,"000000"),2)/3600)),-(MID(TEXT($N1939,"000000"),2,2)+(MID(TEXT($N1939,"000000"),4,2)/60)+(RIGHT(TEXT($N1939,"000000"),2)/3600)))</f>
        <v>56.87777777777778</v>
      </c>
      <c r="P1939" s="252" t="s">
        <v>37</v>
      </c>
      <c r="Q1939" s="253"/>
      <c r="R1939" s="247" t="s">
        <v>3293</v>
      </c>
      <c r="S1939" s="272" t="s">
        <v>3293</v>
      </c>
      <c r="T1939" s="273">
        <v>11.9</v>
      </c>
      <c r="U1939" s="289">
        <v>22.19</v>
      </c>
      <c r="V1939" s="280">
        <v>80</v>
      </c>
      <c r="W1939" s="244"/>
      <c r="X1939" s="244"/>
      <c r="Y1939" s="362"/>
      <c r="Z1939" s="257">
        <f>altaz(J2000_Bas,$O1939,$M1939,DecLat,DecLong,1)</f>
        <v>13.88361611242186</v>
      </c>
      <c r="AA1939" s="257">
        <f>altaz((J2000_Bas+(2*0.04167)),$O1939,$M1939,DecLat,DecLong,1)</f>
        <v>2.9488333824620492</v>
      </c>
      <c r="AB1939" s="257">
        <f>altaz((J2000_Bas+(4*0.04167)),$O1939,$M1939,DecLat,DecLong,1)</f>
        <v>-1.9889058873336298</v>
      </c>
      <c r="AC1939" s="257">
        <f>altaz((J2000_Bas+(6*0.04167)),$O1939,$M1939,DecLat,DecLong,1)</f>
        <v>0.26993489437341689</v>
      </c>
      <c r="AD1939" s="258">
        <f>1+ transit((J2000_Bas-1),$O1939,$M1939,DecLat,DecLong)/360 + (GMTOffset/24) + (IF(DST="Y", 1, 0)/24)</f>
        <v>1.4703536165880413</v>
      </c>
      <c r="AE1939" s="259">
        <f>DATE(2001,9,21)+(M1939/360)*365 - (360*((DecLong/360)- (GMTOffset/24) ))</f>
        <v>37334.270601851851</v>
      </c>
      <c r="AF1939" s="260">
        <f>IF(DecLat&gt;0,IF((90 - (DecLat-O1939))&gt;90, (90 - (O1939-DecLat)), (90 - (DecLat-O1939))),IF((90 + (DecLat-O1939))&gt;90, (90 + (O1939-DecLat)), (90 + (DecLat-O1939))))</f>
        <v>64.12222222222222</v>
      </c>
      <c r="AG1939" s="257">
        <f>angularseperation(MoonRA,MoonDec,$M1939,$O1939)</f>
        <v>105.95271370736994</v>
      </c>
      <c r="AH1939" s="261">
        <f ca="1">MIN(100,IF($O$5&gt;80,0+30*($AG1939/100),IF($O$5&gt;70,0+50*($AG1939/100),IF($O$5&gt;60,5+50*($AG1939/100),IF($O$5&gt;50,10+60*($AG1939/100),IF($O$5&gt;40,15+70*($AG1939/100),IF($O$5&gt;30,20+70*($AG1939/100),IF($O$5&gt;20,40+55*($AG1939/100),(80+(20-$O$5)+30*($AG1939/100))))))))))</f>
        <v>100</v>
      </c>
      <c r="AI1939" s="262">
        <v>3683</v>
      </c>
      <c r="AJ1939" s="262"/>
      <c r="AK1939" s="262"/>
      <c r="AL1939" s="263"/>
      <c r="AM1939" s="264"/>
      <c r="AN1939" s="263"/>
      <c r="AO1939" s="263"/>
      <c r="AP1939" s="265"/>
      <c r="AQ1939" s="266">
        <v>6484</v>
      </c>
      <c r="AR1939" s="267">
        <v>35376</v>
      </c>
      <c r="AS1939" s="263"/>
      <c r="AT1939" s="263"/>
      <c r="AU1939" s="263"/>
      <c r="AV1939" s="264"/>
      <c r="AW1939" s="263"/>
      <c r="AX1939" s="263"/>
      <c r="AY1939" s="263"/>
      <c r="AZ1939" s="263"/>
      <c r="BA1939" s="263"/>
      <c r="BB1939" s="263"/>
      <c r="BC1939" s="263"/>
      <c r="BD1939" s="264"/>
      <c r="BE1939" s="263"/>
      <c r="BF1939" s="263"/>
      <c r="BG1939" s="263"/>
      <c r="BH1939" s="263"/>
      <c r="BI1939" s="263"/>
      <c r="BJ1939" s="404">
        <f>altaz(J2000_Bas,$O1939,$M1939,DecLat,DecLong,2)</f>
        <v>329.08736312009847</v>
      </c>
      <c r="BK1939" s="378" t="s">
        <v>1886</v>
      </c>
      <c r="BL1939" s="379">
        <f>IF((2*G1939)/60&lt;0.2,0.2,(2*G1939)/60)</f>
        <v>0.2</v>
      </c>
      <c r="BM1939" s="380">
        <f>MOD((50000+AD1939-$B$3+(0/24)),1)</f>
        <v>0.68572054629476042</v>
      </c>
      <c r="BN1939" s="381"/>
      <c r="BO1939" s="382">
        <v>1932</v>
      </c>
    </row>
    <row r="1940" spans="1:67" s="24" customFormat="1" ht="15" customHeight="1" x14ac:dyDescent="0.25">
      <c r="A1940" s="288" t="s">
        <v>9575</v>
      </c>
      <c r="B1940" s="241" t="str">
        <f>HYPERLINK(CONCATENATE($AT$3,BK1940,$AU$3),$AV$3)</f>
        <v>S</v>
      </c>
      <c r="C1940" s="242" t="str">
        <f>HYPERLINK(CONCATENATE($AT$4,BK1940,$AU$4,BL1940),$AV$4)</f>
        <v>A</v>
      </c>
      <c r="D1940" s="243" t="s">
        <v>5638</v>
      </c>
      <c r="E1940" s="244" t="s">
        <v>5625</v>
      </c>
      <c r="F1940" s="269">
        <v>4</v>
      </c>
      <c r="G1940" s="282">
        <v>30</v>
      </c>
      <c r="H1940" s="283">
        <v>55</v>
      </c>
      <c r="I1940" s="246">
        <v>60</v>
      </c>
      <c r="J1940" s="246">
        <v>2</v>
      </c>
      <c r="K1940" s="247" t="s">
        <v>7748</v>
      </c>
      <c r="L1940" s="248">
        <v>112744</v>
      </c>
      <c r="M1940" s="249">
        <f>15*(LEFT(TEXT($L1940,"000000"),2)+(MID(TEXT($L1940,"000000"),3,2)/60)+(RIGHT(TEXT($L1940,"000000"),2)/3600))</f>
        <v>171.93333333333334</v>
      </c>
      <c r="N1940" s="250">
        <v>171325</v>
      </c>
      <c r="O1940" s="251">
        <f>IF($N1940&gt;0,(LEFT(TEXT($N1940,"000000"),2)+(MID(TEXT($N1940,"000000"),3,2)/60)+(RIGHT(TEXT($N1940,"000000"),2)/3600)),-(MID(TEXT($N1940,"000000"),2,2)+(MID(TEXT($N1940,"000000"),4,2)/60)+(RIGHT(TEXT($N1940,"000000"),2)/3600)))</f>
        <v>17.223611111111108</v>
      </c>
      <c r="P1940" s="252" t="s">
        <v>183</v>
      </c>
      <c r="Q1940" s="253"/>
      <c r="R1940" s="277" t="s">
        <v>3293</v>
      </c>
      <c r="S1940" s="272" t="s">
        <v>3293</v>
      </c>
      <c r="T1940" s="273">
        <v>11.3</v>
      </c>
      <c r="U1940" s="289">
        <v>22.29</v>
      </c>
      <c r="V1940" s="280">
        <v>45</v>
      </c>
      <c r="W1940" s="244"/>
      <c r="X1940" s="244"/>
      <c r="Y1940" s="362"/>
      <c r="Z1940" s="257">
        <f>altaz(J2000_Bas,$O1940,$M1940,DecLat,DecLong,1)</f>
        <v>-10.451765417482985</v>
      </c>
      <c r="AA1940" s="257">
        <f>altaz((J2000_Bas+(2*0.04167)),$O1940,$M1940,DecLat,DecLong,1)</f>
        <v>-30.740569702717778</v>
      </c>
      <c r="AB1940" s="257">
        <f>altaz((J2000_Bas+(4*0.04167)),$O1940,$M1940,DecLat,DecLong,1)</f>
        <v>-41.459397733768725</v>
      </c>
      <c r="AC1940" s="257">
        <f>altaz((J2000_Bas+(6*0.04167)),$O1940,$M1940,DecLat,DecLong,1)</f>
        <v>-36.409593484669728</v>
      </c>
      <c r="AD1940" s="258">
        <f>1+ transit((J2000_Bas-1),$O1940,$M1940,DecLat,DecLong)/360 + (GMTOffset/24) + (IF(DST="Y", 1, 0)/24)</f>
        <v>1.4704925054630413</v>
      </c>
      <c r="AE1940" s="259">
        <f>DATE(2001,9,21)+(M1940/360)*365 - (360*((DecLong/360)- (GMTOffset/24) ))</f>
        <v>37334.321296296293</v>
      </c>
      <c r="AF1940" s="260">
        <f>IF(DecLat&gt;0,IF((90 - (DecLat-O1940))&gt;90, (90 - (O1940-DecLat)), (90 - (DecLat-O1940))),IF((90 + (DecLat-O1940))&gt;90, (90 + (O1940-DecLat)), (90 + (DecLat-O1940))))</f>
        <v>76.223611111111111</v>
      </c>
      <c r="AG1940" s="257">
        <f>angularseperation(MoonRA,MoonDec,$M1940,$O1940)</f>
        <v>87.018043034440041</v>
      </c>
      <c r="AH1940" s="261">
        <f ca="1">MIN(100,IF($O$5&gt;80,0+30*($AG1940/100),IF($O$5&gt;70,0+50*($AG1940/100),IF($O$5&gt;60,5+50*($AG1940/100),IF($O$5&gt;50,10+60*($AG1940/100),IF($O$5&gt;40,15+70*($AG1940/100),IF($O$5&gt;30,20+70*($AG1940/100),IF($O$5&gt;20,40+55*($AG1940/100),(80+(20-$O$5)+30*($AG1940/100))))))))))</f>
        <v>100</v>
      </c>
      <c r="AI1940" s="262">
        <v>3686</v>
      </c>
      <c r="AJ1940" s="263"/>
      <c r="AK1940" s="263">
        <v>181</v>
      </c>
      <c r="AL1940" s="263"/>
      <c r="AM1940" s="264"/>
      <c r="AN1940" s="263"/>
      <c r="AO1940" s="263"/>
      <c r="AP1940" s="265"/>
      <c r="AQ1940" s="265">
        <v>6460</v>
      </c>
      <c r="AR1940" s="285">
        <v>35268</v>
      </c>
      <c r="AS1940" s="263"/>
      <c r="AT1940" s="263"/>
      <c r="AU1940" s="263"/>
      <c r="AV1940" s="264"/>
      <c r="AW1940" s="263"/>
      <c r="AX1940" s="263"/>
      <c r="AY1940" s="263"/>
      <c r="AZ1940" s="263"/>
      <c r="BA1940" s="263"/>
      <c r="BB1940" s="263"/>
      <c r="BC1940" s="263"/>
      <c r="BD1940" s="264"/>
      <c r="BE1940" s="263"/>
      <c r="BF1940" s="263"/>
      <c r="BG1940" s="263"/>
      <c r="BH1940" s="263"/>
      <c r="BI1940" s="263"/>
      <c r="BJ1940" s="404">
        <f>altaz(J2000_Bas,$O1940,$M1940,DecLat,DecLong,2)</f>
        <v>297.52335940342505</v>
      </c>
      <c r="BK1940" s="378" t="s">
        <v>1887</v>
      </c>
      <c r="BL1940" s="379">
        <f>IF((2*G1940)/60&lt;0.2,0.2,(2*G1940)/60)</f>
        <v>1</v>
      </c>
      <c r="BM1940" s="380">
        <f>MOD((50000+AD1940-$B$3+(0/24)),1)</f>
        <v>0.68585943516518455</v>
      </c>
      <c r="BN1940" s="381"/>
      <c r="BO1940" s="382">
        <v>1933</v>
      </c>
    </row>
    <row r="1941" spans="1:67" s="24" customFormat="1" ht="15" customHeight="1" x14ac:dyDescent="0.25">
      <c r="A1941" s="288" t="s">
        <v>1888</v>
      </c>
      <c r="B1941" s="241" t="str">
        <f>HYPERLINK(CONCATENATE($AT$3,BK1941,$AU$3),$AV$3)</f>
        <v>S</v>
      </c>
      <c r="C1941" s="242" t="str">
        <f>HYPERLINK(CONCATENATE($AT$4,BK1941,$AU$4,BL1941),$AV$4)</f>
        <v>A</v>
      </c>
      <c r="D1941" s="243" t="s">
        <v>5638</v>
      </c>
      <c r="E1941" s="244" t="s">
        <v>5192</v>
      </c>
      <c r="F1941" s="269" t="s">
        <v>8701</v>
      </c>
      <c r="G1941" s="273">
        <v>6</v>
      </c>
      <c r="H1941" s="283">
        <v>60</v>
      </c>
      <c r="I1941" s="246">
        <v>110</v>
      </c>
      <c r="J1941" s="246">
        <v>3</v>
      </c>
      <c r="K1941" s="247" t="s">
        <v>7749</v>
      </c>
      <c r="L1941" s="248">
        <v>113132</v>
      </c>
      <c r="M1941" s="249">
        <f>15*(LEFT(TEXT($L1941,"000000"),2)+(MID(TEXT($L1941,"000000"),3,2)/60)+(RIGHT(TEXT($L1941,"000000"),2)/3600))</f>
        <v>172.88333333333333</v>
      </c>
      <c r="N1941" s="250">
        <v>-301830</v>
      </c>
      <c r="O1941" s="251">
        <f>IF($N1941&gt;0,(LEFT(TEXT($N1941,"000000"),2)+(MID(TEXT($N1941,"000000"),3,2)/60)+(RIGHT(TEXT($N1941,"000000"),2)/3600)),-(MID(TEXT($N1941,"000000"),2,2)+(MID(TEXT($N1941,"000000"),4,2)/60)+(RIGHT(TEXT($N1941,"000000"),2)/3600)))</f>
        <v>-30.308333333333334</v>
      </c>
      <c r="P1941" s="252" t="s">
        <v>103</v>
      </c>
      <c r="Q1941" s="253"/>
      <c r="R1941" s="247" t="s">
        <v>3293</v>
      </c>
      <c r="S1941" s="272" t="s">
        <v>3293</v>
      </c>
      <c r="T1941" s="273">
        <v>12.2</v>
      </c>
      <c r="U1941" s="289">
        <v>21.990000000000002</v>
      </c>
      <c r="V1941" s="280">
        <v>87</v>
      </c>
      <c r="W1941" s="244"/>
      <c r="X1941" s="244"/>
      <c r="Y1941" s="362"/>
      <c r="Z1941" s="257">
        <f>altaz(J2000_Bas,$O1941,$M1941,DecLat,DecLong,1)</f>
        <v>-33.399866272468763</v>
      </c>
      <c r="AA1941" s="257">
        <f>altaz((J2000_Bas+(2*0.04167)),$O1941,$M1941,DecLat,DecLong,1)</f>
        <v>-58.484166607719935</v>
      </c>
      <c r="AB1941" s="257">
        <f>altaz((J2000_Bas+(4*0.04167)),$O1941,$M1941,DecLat,DecLong,1)</f>
        <v>-84.185902990538906</v>
      </c>
      <c r="AC1941" s="257">
        <f>altaz((J2000_Bas+(6*0.04167)),$O1941,$M1941,DecLat,DecLong,1)</f>
        <v>-69.918207513726855</v>
      </c>
      <c r="AD1941" s="258">
        <f>1+ transit((J2000_Bas-1),$O1941,$M1941,DecLat,DecLong)/360 + (GMTOffset/24) + (IF(DST="Y", 1, 0)/24)</f>
        <v>1.4731313940880415</v>
      </c>
      <c r="AE1941" s="259">
        <f>DATE(2001,9,21)+(M1941/360)*365 - (360*((DecLong/360)- (GMTOffset/24) ))</f>
        <v>37335.284490740742</v>
      </c>
      <c r="AF1941" s="260">
        <f>IF(DecLat&gt;0,IF((90 - (DecLat-O1941))&gt;90, (90 - (O1941-DecLat)), (90 - (DecLat-O1941))),IF((90 + (DecLat-O1941))&gt;90, (90 + (O1941-DecLat)), (90 + (DecLat-O1941))))</f>
        <v>28.691666666666663</v>
      </c>
      <c r="AG1941" s="257">
        <f>angularseperation(MoonRA,MoonDec,$M1941,$O1941)</f>
        <v>65.729226114057795</v>
      </c>
      <c r="AH1941" s="261">
        <f ca="1">MIN(100,IF($O$5&gt;80,0+30*($AG1941/100),IF($O$5&gt;70,0+50*($AG1941/100),IF($O$5&gt;60,5+50*($AG1941/100),IF($O$5&gt;50,10+60*($AG1941/100),IF($O$5&gt;40,15+70*($AG1941/100),IF($O$5&gt;30,20+70*($AG1941/100),IF($O$5&gt;20,40+55*($AG1941/100),(80+(20-$O$5)+30*($AG1941/100))))))))))</f>
        <v>100</v>
      </c>
      <c r="AI1941" s="262">
        <v>3717</v>
      </c>
      <c r="AJ1941" s="262"/>
      <c r="AK1941" s="262"/>
      <c r="AL1941" s="263"/>
      <c r="AM1941" s="264"/>
      <c r="AN1941" s="263"/>
      <c r="AO1941" s="263"/>
      <c r="AP1941" s="265"/>
      <c r="AQ1941" s="266"/>
      <c r="AR1941" s="267">
        <v>35539</v>
      </c>
      <c r="AS1941" s="263"/>
      <c r="AT1941" s="263"/>
      <c r="AU1941" s="263"/>
      <c r="AV1941" s="264"/>
      <c r="AW1941" s="263"/>
      <c r="AX1941" s="263"/>
      <c r="AY1941" s="263"/>
      <c r="AZ1941" s="263"/>
      <c r="BA1941" s="263"/>
      <c r="BB1941" s="263"/>
      <c r="BC1941" s="263"/>
      <c r="BD1941" s="264"/>
      <c r="BE1941" s="263"/>
      <c r="BF1941" s="263"/>
      <c r="BG1941" s="263"/>
      <c r="BH1941" s="263"/>
      <c r="BI1941" s="263"/>
      <c r="BJ1941" s="404">
        <f>altaz(J2000_Bas,$O1941,$M1941,DecLat,DecLong,2)</f>
        <v>251.99987959814428</v>
      </c>
      <c r="BK1941" s="378" t="s">
        <v>1888</v>
      </c>
      <c r="BL1941" s="379">
        <f>IF((2*G1941)/60&lt;0.2,0.2,(2*G1941)/60)</f>
        <v>0.2</v>
      </c>
      <c r="BM1941" s="380">
        <f>MOD((50000+AD1941-$B$3+(0/24)),1)</f>
        <v>0.68849832379055442</v>
      </c>
      <c r="BN1941" s="381"/>
      <c r="BO1941" s="382">
        <v>1934</v>
      </c>
    </row>
    <row r="1942" spans="1:67" s="24" customFormat="1" ht="15" customHeight="1" x14ac:dyDescent="0.25">
      <c r="A1942" s="288" t="s">
        <v>7585</v>
      </c>
      <c r="B1942" s="241" t="str">
        <f>HYPERLINK(CONCATENATE($AT$3,BK1942,$AU$3),$AV$3)</f>
        <v>S</v>
      </c>
      <c r="C1942" s="242" t="str">
        <f>HYPERLINK(CONCATENATE($AT$4,BK1942,$AU$4,BL1942),$AV$4)</f>
        <v>A</v>
      </c>
      <c r="D1942" s="243" t="s">
        <v>5638</v>
      </c>
      <c r="E1942" s="244" t="s">
        <v>5625</v>
      </c>
      <c r="F1942" s="269">
        <v>10</v>
      </c>
      <c r="G1942" s="282">
        <v>15</v>
      </c>
      <c r="H1942" s="283">
        <v>260</v>
      </c>
      <c r="I1942" s="284">
        <v>1200</v>
      </c>
      <c r="J1942" s="246">
        <v>2</v>
      </c>
      <c r="K1942" s="247" t="s">
        <v>7751</v>
      </c>
      <c r="L1942" s="248">
        <v>113429</v>
      </c>
      <c r="M1942" s="249">
        <f>15*(LEFT(TEXT($L1942,"000000"),2)+(MID(TEXT($L1942,"000000"),3,2)/60)+(RIGHT(TEXT($L1942,"000000"),2)/3600))</f>
        <v>173.62083333333334</v>
      </c>
      <c r="N1942" s="250">
        <v>-93930</v>
      </c>
      <c r="O1942" s="251">
        <f>IF($N1942&gt;0,(LEFT(TEXT($N1942,"000000"),2)+(MID(TEXT($N1942,"000000"),3,2)/60)+(RIGHT(TEXT($N1942,"000000"),2)/3600)),-(MID(TEXT($N1942,"000000"),2,2)+(MID(TEXT($N1942,"000000"),4,2)/60)+(RIGHT(TEXT($N1942,"000000"),2)/3600)))</f>
        <v>-9.6583333333333332</v>
      </c>
      <c r="P1942" s="252" t="s">
        <v>509</v>
      </c>
      <c r="Q1942" s="253"/>
      <c r="R1942" s="277" t="s">
        <v>7750</v>
      </c>
      <c r="S1942" s="272" t="s">
        <v>3293</v>
      </c>
      <c r="T1942" s="273">
        <v>14.5</v>
      </c>
      <c r="U1942" s="289">
        <v>22.490000000000002</v>
      </c>
      <c r="V1942" s="280"/>
      <c r="W1942" s="244"/>
      <c r="X1942" s="244"/>
      <c r="Y1942" s="362"/>
      <c r="Z1942" s="257">
        <f>altaz(J2000_Bas,$O1942,$M1942,DecLat,DecLong,1)</f>
        <v>-24.090062557409041</v>
      </c>
      <c r="AA1942" s="257">
        <f>altaz((J2000_Bas+(2*0.04167)),$O1942,$M1942,DecLat,DecLong,1)</f>
        <v>-49.156996044360021</v>
      </c>
      <c r="AB1942" s="257">
        <f>altaz((J2000_Bas+(4*0.04167)),$O1942,$M1942,DecLat,DecLong,1)</f>
        <v>-67.562315018715211</v>
      </c>
      <c r="AC1942" s="257">
        <f>altaz((J2000_Bas+(6*0.04167)),$O1942,$M1942,DecLat,DecLong,1)</f>
        <v>-60.035745259960706</v>
      </c>
      <c r="AD1942" s="258">
        <f>1+ transit((J2000_Bas-1),$O1942,$M1942,DecLat,DecLong)/360 + (GMTOffset/24) + (IF(DST="Y", 1, 0)/24)</f>
        <v>1.4751800049942914</v>
      </c>
      <c r="AE1942" s="259">
        <f>DATE(2001,9,21)+(M1942/360)*365 - (360*((DecLong/360)- (GMTOffset/24) ))</f>
        <v>37336.032233796293</v>
      </c>
      <c r="AF1942" s="260">
        <f>IF(DecLat&gt;0,IF((90 - (DecLat-O1942))&gt;90, (90 - (O1942-DecLat)), (90 - (DecLat-O1942))),IF((90 + (DecLat-O1942))&gt;90, (90 + (O1942-DecLat)), (90 + (DecLat-O1942))))</f>
        <v>49.341666666666669</v>
      </c>
      <c r="AG1942" s="257">
        <f>angularseperation(MoonRA,MoonDec,$M1942,$O1942)</f>
        <v>72.881220191934503</v>
      </c>
      <c r="AH1942" s="261">
        <f ca="1">MIN(100,IF($O$5&gt;80,0+30*($AG1942/100),IF($O$5&gt;70,0+50*($AG1942/100),IF($O$5&gt;60,5+50*($AG1942/100),IF($O$5&gt;50,10+60*($AG1942/100),IF($O$5&gt;40,15+70*($AG1942/100),IF($O$5&gt;30,20+70*($AG1942/100),IF($O$5&gt;20,40+55*($AG1942/100),(80+(20-$O$5)+30*($AG1942/100))))))))))</f>
        <v>100</v>
      </c>
      <c r="AI1942" s="263">
        <v>3721</v>
      </c>
      <c r="AJ1942" s="263"/>
      <c r="AK1942" s="263"/>
      <c r="AL1942" s="263"/>
      <c r="AM1942" s="264"/>
      <c r="AN1942" s="263"/>
      <c r="AO1942" s="263"/>
      <c r="AP1942" s="265"/>
      <c r="AQ1942" s="265"/>
      <c r="AR1942" s="285">
        <v>35727</v>
      </c>
      <c r="AS1942" s="263"/>
      <c r="AT1942" s="263"/>
      <c r="AU1942" s="263"/>
      <c r="AV1942" s="264"/>
      <c r="AW1942" s="263"/>
      <c r="AX1942" s="263"/>
      <c r="AY1942" s="263"/>
      <c r="AZ1942" s="263"/>
      <c r="BA1942" s="263"/>
      <c r="BB1942" s="263"/>
      <c r="BC1942" s="263"/>
      <c r="BD1942" s="264"/>
      <c r="BE1942" s="263"/>
      <c r="BF1942" s="263"/>
      <c r="BG1942" s="263"/>
      <c r="BH1942" s="263"/>
      <c r="BI1942" s="263"/>
      <c r="BJ1942" s="404">
        <f>altaz(J2000_Bas,$O1942,$M1942,DecLat,DecLong,2)</f>
        <v>273.10985095031236</v>
      </c>
      <c r="BK1942" s="378" t="s">
        <v>3108</v>
      </c>
      <c r="BL1942" s="379">
        <f>IF((2*G1942)/60&lt;0.2,0.2,(2*G1942)/60)</f>
        <v>0.5</v>
      </c>
      <c r="BM1942" s="380">
        <f>MOD((50000+AD1942-$B$3+(0/24)),1)</f>
        <v>0.69054693469661288</v>
      </c>
      <c r="BN1942" s="381"/>
      <c r="BO1942" s="382">
        <v>1935</v>
      </c>
    </row>
    <row r="1943" spans="1:67" s="24" customFormat="1" ht="15" customHeight="1" x14ac:dyDescent="0.25">
      <c r="A1943" s="288" t="s">
        <v>1889</v>
      </c>
      <c r="B1943" s="241" t="str">
        <f>HYPERLINK(CONCATENATE($AT$3,BK1943,$AU$3),$AV$3)</f>
        <v>S</v>
      </c>
      <c r="C1943" s="242" t="str">
        <f>HYPERLINK(CONCATENATE($AT$4,BK1943,$AU$4,BL1943),$AV$4)</f>
        <v>A</v>
      </c>
      <c r="D1943" s="243" t="s">
        <v>5638</v>
      </c>
      <c r="E1943" s="244" t="s">
        <v>5192</v>
      </c>
      <c r="F1943" s="269" t="s">
        <v>8895</v>
      </c>
      <c r="G1943" s="273">
        <v>5</v>
      </c>
      <c r="H1943" s="283">
        <v>45</v>
      </c>
      <c r="I1943" s="246">
        <v>70</v>
      </c>
      <c r="J1943" s="246">
        <v>2</v>
      </c>
      <c r="K1943" s="247" t="s">
        <v>8476</v>
      </c>
      <c r="L1943" s="248">
        <v>113321</v>
      </c>
      <c r="M1943" s="249">
        <f>15*(LEFT(TEXT($L1943,"000000"),2)+(MID(TEXT($L1943,"000000"),3,2)/60)+(RIGHT(TEXT($L1943,"000000"),2)/3600))</f>
        <v>173.33750000000001</v>
      </c>
      <c r="N1943" s="250">
        <v>470143</v>
      </c>
      <c r="O1943" s="251">
        <f>IF($N1943&gt;0,(LEFT(TEXT($N1943,"000000"),2)+(MID(TEXT($N1943,"000000"),3,2)/60)+(RIGHT(TEXT($N1943,"000000"),2)/3600)),-(MID(TEXT($N1943,"000000"),2,2)+(MID(TEXT($N1943,"000000"),4,2)/60)+(RIGHT(TEXT($N1943,"000000"),2)/3600)))</f>
        <v>47.028611111111111</v>
      </c>
      <c r="P1943" s="252" t="s">
        <v>37</v>
      </c>
      <c r="Q1943" s="253"/>
      <c r="R1943" s="277" t="s">
        <v>3293</v>
      </c>
      <c r="S1943" s="272" t="s">
        <v>3293</v>
      </c>
      <c r="T1943" s="273">
        <v>10.4</v>
      </c>
      <c r="U1943" s="289">
        <v>22.69</v>
      </c>
      <c r="V1943" s="280">
        <v>55</v>
      </c>
      <c r="W1943" s="244"/>
      <c r="X1943" s="244"/>
      <c r="Y1943" s="362"/>
      <c r="Z1943" s="257">
        <f>altaz(J2000_Bas,$O1943,$M1943,DecLat,DecLong,1)</f>
        <v>8.7256752563333109</v>
      </c>
      <c r="AA1943" s="257">
        <f>altaz((J2000_Bas+(2*0.04167)),$O1943,$M1943,DecLat,DecLong,1)</f>
        <v>-5.0618199368826415</v>
      </c>
      <c r="AB1943" s="257">
        <f>altaz((J2000_Bas+(4*0.04167)),$O1943,$M1943,DecLat,DecLong,1)</f>
        <v>-11.704234969599282</v>
      </c>
      <c r="AC1943" s="257">
        <f>altaz((J2000_Bas+(6*0.04167)),$O1943,$M1943,DecLat,DecLong,1)</f>
        <v>-9.2823301297190053</v>
      </c>
      <c r="AD1943" s="258">
        <f>1+ transit((J2000_Bas-1),$O1943,$M1943,DecLat,DecLong)/360 + (GMTOffset/24) + (IF(DST="Y", 1, 0)/24)</f>
        <v>1.474392968035958</v>
      </c>
      <c r="AE1943" s="259">
        <f>DATE(2001,9,21)+(M1943/360)*365 - (360*((DecLong/360)- (GMTOffset/24) ))</f>
        <v>37335.74496527778</v>
      </c>
      <c r="AF1943" s="260">
        <f>IF(DecLat&gt;0,IF((90 - (DecLat-O1943))&gt;90, (90 - (O1943-DecLat)), (90 - (DecLat-O1943))),IF((90 + (DecLat-O1943))&gt;90, (90 + (O1943-DecLat)), (90 + (DecLat-O1943))))</f>
        <v>73.971388888888896</v>
      </c>
      <c r="AG1943" s="257">
        <f>angularseperation(MoonRA,MoonDec,$M1943,$O1943)</f>
        <v>100.68082844746318</v>
      </c>
      <c r="AH1943" s="261">
        <f ca="1">MIN(100,IF($O$5&gt;80,0+30*($AG1943/100),IF($O$5&gt;70,0+50*($AG1943/100),IF($O$5&gt;60,5+50*($AG1943/100),IF($O$5&gt;50,10+60*($AG1943/100),IF($O$5&gt;40,15+70*($AG1943/100),IF($O$5&gt;30,20+70*($AG1943/100),IF($O$5&gt;20,40+55*($AG1943/100),(80+(20-$O$5)+30*($AG1943/100))))))))))</f>
        <v>100</v>
      </c>
      <c r="AI1943" s="262">
        <v>3726</v>
      </c>
      <c r="AJ1943" s="263"/>
      <c r="AK1943" s="263">
        <v>182</v>
      </c>
      <c r="AL1943" s="263"/>
      <c r="AM1943" s="264"/>
      <c r="AN1943" s="263"/>
      <c r="AO1943" s="263"/>
      <c r="AP1943" s="265"/>
      <c r="AQ1943" s="265">
        <v>6537</v>
      </c>
      <c r="AR1943" s="285">
        <v>35676</v>
      </c>
      <c r="AS1943" s="263"/>
      <c r="AT1943" s="263"/>
      <c r="AU1943" s="263"/>
      <c r="AV1943" s="264"/>
      <c r="AW1943" s="263"/>
      <c r="AX1943" s="263"/>
      <c r="AY1943" s="263"/>
      <c r="AZ1943" s="263"/>
      <c r="BA1943" s="263"/>
      <c r="BB1943" s="263"/>
      <c r="BC1943" s="263"/>
      <c r="BD1943" s="264"/>
      <c r="BE1943" s="263"/>
      <c r="BF1943" s="263"/>
      <c r="BG1943" s="263"/>
      <c r="BH1943" s="263"/>
      <c r="BI1943" s="263"/>
      <c r="BJ1943" s="404">
        <f>altaz(J2000_Bas,$O1943,$M1943,DecLat,DecLong,2)</f>
        <v>320.47924792659393</v>
      </c>
      <c r="BK1943" s="378" t="s">
        <v>1889</v>
      </c>
      <c r="BL1943" s="379">
        <f>IF((2*G1943)/60&lt;0.2,0.2,(2*G1943)/60)</f>
        <v>0.2</v>
      </c>
      <c r="BM1943" s="380">
        <f>MOD((50000+AD1943-$B$3+(0/24)),1)</f>
        <v>0.68975989773753099</v>
      </c>
      <c r="BN1943" s="381" t="s">
        <v>9220</v>
      </c>
      <c r="BO1943" s="382">
        <v>1936</v>
      </c>
    </row>
    <row r="1944" spans="1:67" s="24" customFormat="1" ht="15" customHeight="1" x14ac:dyDescent="0.25">
      <c r="A1944" s="288" t="s">
        <v>8762</v>
      </c>
      <c r="B1944" s="241" t="str">
        <f>HYPERLINK(CONCATENATE($AT$3,BK1944,$AU$3),$AV$3)</f>
        <v>S</v>
      </c>
      <c r="C1944" s="242" t="str">
        <f>HYPERLINK(CONCATENATE($AT$4,BK1944,$AU$4,BL1944),$AV$4)</f>
        <v>A</v>
      </c>
      <c r="D1944" s="243" t="s">
        <v>5638</v>
      </c>
      <c r="E1944" s="244" t="s">
        <v>5192</v>
      </c>
      <c r="F1944" s="269" t="s">
        <v>8895</v>
      </c>
      <c r="G1944" s="273">
        <v>2.6</v>
      </c>
      <c r="H1944" s="283">
        <v>144</v>
      </c>
      <c r="I1944" s="246">
        <v>110</v>
      </c>
      <c r="J1944" s="246">
        <v>2</v>
      </c>
      <c r="K1944" s="247" t="s">
        <v>8776</v>
      </c>
      <c r="L1944" s="248">
        <v>113349</v>
      </c>
      <c r="M1944" s="249">
        <f>15*(LEFT(TEXT($L1944,"000000"),2)+(MID(TEXT($L1944,"000000"),3,2)/60)+(RIGHT(TEXT($L1944,"000000"),2)/3600))</f>
        <v>173.45416666666668</v>
      </c>
      <c r="N1944" s="250">
        <v>530731</v>
      </c>
      <c r="O1944" s="251">
        <f>IF($N1944&gt;0,(LEFT(TEXT($N1944,"000000"),2)+(MID(TEXT($N1944,"000000"),3,2)/60)+(RIGHT(TEXT($N1944,"000000"),2)/3600)),-(MID(TEXT($N1944,"000000"),2,2)+(MID(TEXT($N1944,"000000"),4,2)/60)+(RIGHT(TEXT($N1944,"000000"),2)/3600)))</f>
        <v>53.125277777777775</v>
      </c>
      <c r="P1944" s="252" t="s">
        <v>37</v>
      </c>
      <c r="Q1944" s="253"/>
      <c r="R1944" s="277" t="s">
        <v>3293</v>
      </c>
      <c r="S1944" s="272" t="s">
        <v>8775</v>
      </c>
      <c r="T1944" s="273">
        <v>12</v>
      </c>
      <c r="U1944" s="289"/>
      <c r="V1944" s="280">
        <v>45</v>
      </c>
      <c r="W1944" s="244"/>
      <c r="X1944" s="244"/>
      <c r="Y1944" s="362"/>
      <c r="Z1944" s="257">
        <f>altaz(J2000_Bas,$O1944,$M1944,DecLat,DecLong,1)</f>
        <v>12.401814204995484</v>
      </c>
      <c r="AA1944" s="257">
        <f>altaz((J2000_Bas+(2*0.04167)),$O1944,$M1944,DecLat,DecLong,1)</f>
        <v>0.18397344027307599</v>
      </c>
      <c r="AB1944" s="257">
        <f>altaz((J2000_Bas+(4*0.04167)),$O1944,$M1944,DecLat,DecLong,1)</f>
        <v>-5.6357879377858753</v>
      </c>
      <c r="AC1944" s="257">
        <f>altaz((J2000_Bas+(6*0.04167)),$O1944,$M1944,DecLat,DecLong,1)</f>
        <v>-3.5635783401964969</v>
      </c>
      <c r="AD1944" s="258">
        <f>1+ transit((J2000_Bas-1),$O1944,$M1944,DecLat,DecLong)/360 + (GMTOffset/24) + (IF(DST="Y", 1, 0)/24)</f>
        <v>1.4747170420776248</v>
      </c>
      <c r="AE1944" s="259">
        <f>DATE(2001,9,21)+(M1944/360)*365 - (360*((DecLong/360)- (GMTOffset/24) ))</f>
        <v>37335.863252314812</v>
      </c>
      <c r="AF1944" s="260">
        <f>IF(DecLat&gt;0,IF((90 - (DecLat-O1944))&gt;90, (90 - (O1944-DecLat)), (90 - (DecLat-O1944))),IF((90 + (DecLat-O1944))&gt;90, (90 + (O1944-DecLat)), (90 + (DecLat-O1944))))</f>
        <v>67.874722222222232</v>
      </c>
      <c r="AG1944" s="257">
        <f>angularseperation(MoonRA,MoonDec,$M1944,$O1944)</f>
        <v>103.47644719679441</v>
      </c>
      <c r="AH1944" s="261">
        <f ca="1">MIN(100,IF($O$5&gt;80,0+30*($AG1944/100),IF($O$5&gt;70,0+50*($AG1944/100),IF($O$5&gt;60,5+50*($AG1944/100),IF($O$5&gt;50,10+60*($AG1944/100),IF($O$5&gt;40,15+70*($AG1944/100),IF($O$5&gt;30,20+70*($AG1944/100),IF($O$5&gt;20,40+55*($AG1944/100),(80+(20-$O$5)+30*($AG1944/100))))))))))</f>
        <v>100</v>
      </c>
      <c r="AI1944" s="263">
        <v>3729</v>
      </c>
      <c r="AJ1944" s="263"/>
      <c r="AK1944" s="263">
        <v>183</v>
      </c>
      <c r="AL1944" s="263"/>
      <c r="AM1944" s="264"/>
      <c r="AN1944" s="263"/>
      <c r="AO1944" s="263"/>
      <c r="AP1944" s="265"/>
      <c r="AQ1944" s="265">
        <v>6547</v>
      </c>
      <c r="AR1944" s="285">
        <v>35711</v>
      </c>
      <c r="AS1944" s="263"/>
      <c r="AT1944" s="263"/>
      <c r="AU1944" s="263"/>
      <c r="AV1944" s="264"/>
      <c r="AW1944" s="263"/>
      <c r="AX1944" s="263"/>
      <c r="AY1944" s="263"/>
      <c r="AZ1944" s="263"/>
      <c r="BA1944" s="263"/>
      <c r="BB1944" s="263"/>
      <c r="BC1944" s="263"/>
      <c r="BD1944" s="264"/>
      <c r="BE1944" s="263"/>
      <c r="BF1944" s="263"/>
      <c r="BG1944" s="263"/>
      <c r="BH1944" s="263"/>
      <c r="BI1944" s="263"/>
      <c r="BJ1944" s="404">
        <f>altaz(J2000_Bas,$O1944,$M1944,DecLat,DecLong,2)</f>
        <v>325.42834994307094</v>
      </c>
      <c r="BK1944" s="378" t="s">
        <v>8762</v>
      </c>
      <c r="BL1944" s="379">
        <f>IF((2*G1944)/60&lt;0.2,0.2,(2*G1944)/60)</f>
        <v>0.2</v>
      </c>
      <c r="BM1944" s="380">
        <f>MOD((50000+AD1944-$B$3+(0/24)),1)</f>
        <v>0.69008397177822189</v>
      </c>
      <c r="BN1944" s="381"/>
      <c r="BO1944" s="382">
        <v>1937</v>
      </c>
    </row>
    <row r="1945" spans="1:67" s="24" customFormat="1" ht="15" customHeight="1" x14ac:dyDescent="0.25">
      <c r="A1945" s="288" t="s">
        <v>1890</v>
      </c>
      <c r="B1945" s="241" t="str">
        <f>HYPERLINK(CONCATENATE($AT$3,BK1945,$AU$3),$AV$3)</f>
        <v>S</v>
      </c>
      <c r="C1945" s="242" t="str">
        <f>HYPERLINK(CONCATENATE($AT$4,BK1945,$AU$4,BL1945),$AV$4)</f>
        <v>A</v>
      </c>
      <c r="D1945" s="243" t="s">
        <v>5638</v>
      </c>
      <c r="E1945" s="244" t="s">
        <v>5192</v>
      </c>
      <c r="F1945" s="269" t="s">
        <v>8936</v>
      </c>
      <c r="G1945" s="273">
        <v>5</v>
      </c>
      <c r="H1945" s="283">
        <v>75</v>
      </c>
      <c r="I1945" s="246">
        <v>105</v>
      </c>
      <c r="J1945" s="246">
        <v>2</v>
      </c>
      <c r="K1945" s="247" t="s">
        <v>7752</v>
      </c>
      <c r="L1945" s="248">
        <v>113502</v>
      </c>
      <c r="M1945" s="249">
        <f>15*(LEFT(TEXT($L1945,"000000"),2)+(MID(TEXT($L1945,"000000"),3,2)/60)+(RIGHT(TEXT($L1945,"000000"),2)/3600))</f>
        <v>173.75833333333335</v>
      </c>
      <c r="N1945" s="250">
        <v>545102</v>
      </c>
      <c r="O1945" s="251">
        <f>IF($N1945&gt;0,(LEFT(TEXT($N1945,"000000"),2)+(MID(TEXT($N1945,"000000"),3,2)/60)+(RIGHT(TEXT($N1945,"000000"),2)/3600)),-(MID(TEXT($N1945,"000000"),2,2)+(MID(TEXT($N1945,"000000"),4,2)/60)+(RIGHT(TEXT($N1945,"000000"),2)/3600)))</f>
        <v>54.850555555555559</v>
      </c>
      <c r="P1945" s="252" t="s">
        <v>37</v>
      </c>
      <c r="Q1945" s="253"/>
      <c r="R1945" s="277" t="s">
        <v>3293</v>
      </c>
      <c r="S1945" s="272" t="s">
        <v>3293</v>
      </c>
      <c r="T1945" s="273">
        <v>12.4</v>
      </c>
      <c r="U1945" s="289">
        <v>23.69</v>
      </c>
      <c r="V1945" s="280">
        <v>75</v>
      </c>
      <c r="W1945" s="244"/>
      <c r="X1945" s="244"/>
      <c r="Y1945" s="362"/>
      <c r="Z1945" s="257">
        <f>altaz(J2000_Bas,$O1945,$M1945,DecLat,DecLong,1)</f>
        <v>13.551084714879487</v>
      </c>
      <c r="AA1945" s="257">
        <f>altaz((J2000_Bas+(2*0.04167)),$O1945,$M1945,DecLat,DecLong,1)</f>
        <v>1.74877505683867</v>
      </c>
      <c r="AB1945" s="257">
        <f>altaz((J2000_Bas+(4*0.04167)),$O1945,$M1945,DecLat,DecLong,1)</f>
        <v>-3.9013297508000124</v>
      </c>
      <c r="AC1945" s="257">
        <f>altaz((J2000_Bas+(6*0.04167)),$O1945,$M1945,DecLat,DecLong,1)</f>
        <v>-1.9943550458846053</v>
      </c>
      <c r="AD1945" s="258">
        <f>1+ transit((J2000_Bas-1),$O1945,$M1945,DecLat,DecLong)/360 + (GMTOffset/24) + (IF(DST="Y", 1, 0)/24)</f>
        <v>1.4755619494005414</v>
      </c>
      <c r="AE1945" s="259">
        <f>DATE(2001,9,21)+(M1945/360)*365 - (360*((DecLong/360)- (GMTOffset/24) ))</f>
        <v>37336.171643518515</v>
      </c>
      <c r="AF1945" s="260">
        <f>IF(DecLat&gt;0,IF((90 - (DecLat-O1945))&gt;90, (90 - (O1945-DecLat)), (90 - (DecLat-O1945))),IF((90 + (DecLat-O1945))&gt;90, (90 + (O1945-DecLat)), (90 + (DecLat-O1945))))</f>
        <v>66.149444444444441</v>
      </c>
      <c r="AG1945" s="257">
        <f>angularseperation(MoonRA,MoonDec,$M1945,$O1945)</f>
        <v>104.11058074513636</v>
      </c>
      <c r="AH1945" s="261">
        <f ca="1">MIN(100,IF($O$5&gt;80,0+30*($AG1945/100),IF($O$5&gt;70,0+50*($AG1945/100),IF($O$5&gt;60,5+50*($AG1945/100),IF($O$5&gt;50,10+60*($AG1945/100),IF($O$5&gt;40,15+70*($AG1945/100),IF($O$5&gt;30,20+70*($AG1945/100),IF($O$5&gt;20,40+55*($AG1945/100),(80+(20-$O$5)+30*($AG1945/100))))))))))</f>
        <v>100</v>
      </c>
      <c r="AI1945" s="262">
        <v>3733</v>
      </c>
      <c r="AJ1945" s="263"/>
      <c r="AK1945" s="263"/>
      <c r="AL1945" s="263"/>
      <c r="AM1945" s="264"/>
      <c r="AN1945" s="263"/>
      <c r="AO1945" s="263"/>
      <c r="AP1945" s="265"/>
      <c r="AQ1945" s="265">
        <v>6554</v>
      </c>
      <c r="AR1945" s="285">
        <v>35797</v>
      </c>
      <c r="AS1945" s="263"/>
      <c r="AT1945" s="263"/>
      <c r="AU1945" s="263"/>
      <c r="AV1945" s="264"/>
      <c r="AW1945" s="263"/>
      <c r="AX1945" s="263"/>
      <c r="AY1945" s="263"/>
      <c r="AZ1945" s="263"/>
      <c r="BA1945" s="263"/>
      <c r="BB1945" s="263"/>
      <c r="BC1945" s="263"/>
      <c r="BD1945" s="264"/>
      <c r="BE1945" s="263"/>
      <c r="BF1945" s="263"/>
      <c r="BG1945" s="263"/>
      <c r="BH1945" s="263"/>
      <c r="BI1945" s="263"/>
      <c r="BJ1945" s="404">
        <f>altaz(J2000_Bas,$O1945,$M1945,DecLat,DecLong,2)</f>
        <v>326.76154879890788</v>
      </c>
      <c r="BK1945" s="378" t="s">
        <v>1890</v>
      </c>
      <c r="BL1945" s="379">
        <f>IF((2*G1945)/60&lt;0.2,0.2,(2*G1945)/60)</f>
        <v>0.2</v>
      </c>
      <c r="BM1945" s="380">
        <f>MOD((50000+AD1945-$B$3+(0/24)),1)</f>
        <v>0.69092887910665013</v>
      </c>
      <c r="BN1945" s="381"/>
      <c r="BO1945" s="382">
        <v>1938</v>
      </c>
    </row>
    <row r="1946" spans="1:67" s="24" customFormat="1" ht="15" customHeight="1" x14ac:dyDescent="0.25">
      <c r="A1946" s="288" t="s">
        <v>9414</v>
      </c>
      <c r="B1946" s="241" t="str">
        <f>HYPERLINK(CONCATENATE($AT$3,BK1946,$AU$3),$AV$3)</f>
        <v>S</v>
      </c>
      <c r="C1946" s="242" t="str">
        <f>HYPERLINK(CONCATENATE($AT$4,BK1946,$AU$4,BL1946),$AV$4)</f>
        <v>A</v>
      </c>
      <c r="D1946" s="243" t="s">
        <v>5638</v>
      </c>
      <c r="E1946" s="244" t="s">
        <v>5192</v>
      </c>
      <c r="F1946" s="269" t="s">
        <v>8693</v>
      </c>
      <c r="G1946" s="273">
        <v>2.1</v>
      </c>
      <c r="H1946" s="283">
        <v>68</v>
      </c>
      <c r="I1946" s="246">
        <v>50</v>
      </c>
      <c r="J1946" s="246">
        <v>2</v>
      </c>
      <c r="K1946" s="247" t="s">
        <v>9415</v>
      </c>
      <c r="L1946" s="248">
        <v>113646</v>
      </c>
      <c r="M1946" s="249">
        <f>15*(LEFT(TEXT($L1946,"000000"),2)+(MID(TEXT($L1946,"000000"),3,2)/60)+(RIGHT(TEXT($L1946,"000000"),2)/3600))</f>
        <v>174.19166666666666</v>
      </c>
      <c r="N1946" s="250">
        <v>541736</v>
      </c>
      <c r="O1946" s="251">
        <f>IF($N1946&gt;0,(LEFT(TEXT($N1946,"000000"),2)+(MID(TEXT($N1946,"000000"),3,2)/60)+(RIGHT(TEXT($N1946,"000000"),2)/3600)),-(MID(TEXT($N1946,"000000"),2,2)+(MID(TEXT($N1946,"000000"),4,2)/60)+(RIGHT(TEXT($N1946,"000000"),2)/3600)))</f>
        <v>54.293333333333329</v>
      </c>
      <c r="P1946" s="252" t="s">
        <v>37</v>
      </c>
      <c r="Q1946" s="253"/>
      <c r="R1946" s="277" t="s">
        <v>3293</v>
      </c>
      <c r="S1946" s="272" t="s">
        <v>3293</v>
      </c>
      <c r="T1946" s="273">
        <v>11.9</v>
      </c>
      <c r="U1946" s="289">
        <v>23.69</v>
      </c>
      <c r="V1946" s="280">
        <v>65</v>
      </c>
      <c r="W1946" s="244"/>
      <c r="X1946" s="244"/>
      <c r="Y1946" s="362"/>
      <c r="Z1946" s="257">
        <f>altaz(J2000_Bas,$O1946,$M1946,DecLat,DecLong,1)</f>
        <v>13.435150427419703</v>
      </c>
      <c r="AA1946" s="257">
        <f>altaz((J2000_Bas+(2*0.04167)),$O1946,$M1946,DecLat,DecLong,1)</f>
        <v>1.4073544795056849</v>
      </c>
      <c r="AB1946" s="257">
        <f>altaz((J2000_Bas+(4*0.04167)),$O1946,$M1946,DecLat,DecLong,1)</f>
        <v>-4.4254311751156035</v>
      </c>
      <c r="AC1946" s="257">
        <f>altaz((J2000_Bas+(6*0.04167)),$O1946,$M1946,DecLat,DecLong,1)</f>
        <v>-2.6029787817993082</v>
      </c>
      <c r="AD1946" s="258">
        <f>1+ transit((J2000_Bas-1),$O1946,$M1946,DecLat,DecLong)/360 + (GMTOffset/24) + (IF(DST="Y", 1, 0)/24)</f>
        <v>1.4767656529838746</v>
      </c>
      <c r="AE1946" s="259">
        <f>DATE(2001,9,21)+(M1946/360)*365 - (360*((DecLong/360)- (GMTOffset/24) ))</f>
        <v>37336.610995370371</v>
      </c>
      <c r="AF1946" s="260">
        <f>IF(DecLat&gt;0,IF((90 - (DecLat-O1946))&gt;90, (90 - (O1946-DecLat)), (90 - (DecLat-O1946))),IF((90 + (DecLat-O1946))&gt;90, (90 + (O1946-DecLat)), (90 + (DecLat-O1946))))</f>
        <v>66.706666666666678</v>
      </c>
      <c r="AG1946" s="257">
        <f>angularseperation(MoonRA,MoonDec,$M1946,$O1946)</f>
        <v>103.63041176119883</v>
      </c>
      <c r="AH1946" s="261">
        <f ca="1">MIN(100,IF($O$5&gt;80,0+30*($AG1946/100),IF($O$5&gt;70,0+50*($AG1946/100),IF($O$5&gt;60,5+50*($AG1946/100),IF($O$5&gt;50,10+60*($AG1946/100),IF($O$5&gt;40,15+70*($AG1946/100),IF($O$5&gt;30,20+70*($AG1946/100),IF($O$5&gt;20,40+55*($AG1946/100),(80+(20-$O$5)+30*($AG1946/100))))))))))</f>
        <v>100</v>
      </c>
      <c r="AI1946" s="262">
        <v>3756</v>
      </c>
      <c r="AJ1946" s="263"/>
      <c r="AK1946" s="263"/>
      <c r="AL1946" s="263"/>
      <c r="AM1946" s="264"/>
      <c r="AN1946" s="263"/>
      <c r="AO1946" s="263"/>
      <c r="AP1946" s="265"/>
      <c r="AQ1946" s="265">
        <v>6579</v>
      </c>
      <c r="AR1946" s="285">
        <v>35931</v>
      </c>
      <c r="AS1946" s="263"/>
      <c r="AT1946" s="263"/>
      <c r="AU1946" s="263"/>
      <c r="AV1946" s="264"/>
      <c r="AW1946" s="263"/>
      <c r="AX1946" s="263"/>
      <c r="AY1946" s="263"/>
      <c r="AZ1946" s="263"/>
      <c r="BA1946" s="263"/>
      <c r="BB1946" s="263"/>
      <c r="BC1946" s="263"/>
      <c r="BD1946" s="264"/>
      <c r="BE1946" s="263"/>
      <c r="BF1946" s="263"/>
      <c r="BG1946" s="263"/>
      <c r="BH1946" s="263"/>
      <c r="BI1946" s="263"/>
      <c r="BJ1946" s="404">
        <f>altaz(J2000_Bas,$O1946,$M1946,DecLat,DecLong,2)</f>
        <v>326.14438778341207</v>
      </c>
      <c r="BK1946" s="378" t="s">
        <v>9414</v>
      </c>
      <c r="BL1946" s="379">
        <f>IF((2*G1946)/60&lt;0.2,0.2,(2*G1946)/60)</f>
        <v>0.2</v>
      </c>
      <c r="BM1946" s="380">
        <f>MOD((50000+AD1946-$B$3+(0/24)),1)</f>
        <v>0.69213258268428035</v>
      </c>
      <c r="BN1946" s="381"/>
      <c r="BO1946" s="382">
        <v>3152</v>
      </c>
    </row>
    <row r="1947" spans="1:67" s="24" customFormat="1" ht="15" customHeight="1" x14ac:dyDescent="0.25">
      <c r="A1947" s="298" t="s">
        <v>1891</v>
      </c>
      <c r="B1947" s="241" t="str">
        <f>HYPERLINK(CONCATENATE($AT$3,BK1947,$AU$3),$AV$3)</f>
        <v>S</v>
      </c>
      <c r="C1947" s="242" t="str">
        <f>HYPERLINK(CONCATENATE($AT$4,BK1947,$AU$4,BL1947),$AV$4)</f>
        <v>A</v>
      </c>
      <c r="D1947" s="243" t="s">
        <v>5335</v>
      </c>
      <c r="E1947" s="244" t="s">
        <v>5185</v>
      </c>
      <c r="F1947" s="269" t="s">
        <v>5425</v>
      </c>
      <c r="G1947" s="276">
        <v>15</v>
      </c>
      <c r="H1947" s="283">
        <v>5500</v>
      </c>
      <c r="I1947" s="246">
        <v>25</v>
      </c>
      <c r="J1947" s="246">
        <v>4</v>
      </c>
      <c r="K1947" s="247" t="s">
        <v>5426</v>
      </c>
      <c r="L1947" s="248">
        <v>113612</v>
      </c>
      <c r="M1947" s="249">
        <f>15*(LEFT(TEXT($L1947,"000000"),2)+(MID(TEXT($L1947,"000000"),3,2)/60)+(RIGHT(TEXT($L1947,"000000"),2)/3600))</f>
        <v>174.05</v>
      </c>
      <c r="N1947" s="286">
        <v>-613700</v>
      </c>
      <c r="O1947" s="251">
        <f>IF($N1947&gt;0,(LEFT(TEXT($N1947,"000000"),2)+(MID(TEXT($N1947,"000000"),3,2)/60)+(RIGHT(TEXT($N1947,"000000"),2)/3600)),-(MID(TEXT($N1947,"000000"),2,2)+(MID(TEXT($N1947,"000000"),4,2)/60)+(RIGHT(TEXT($N1947,"000000"),2)/3600)))</f>
        <v>-61.616666666666667</v>
      </c>
      <c r="P1947" s="252" t="s">
        <v>927</v>
      </c>
      <c r="Q1947" s="253"/>
      <c r="R1947" s="247" t="s">
        <v>7409</v>
      </c>
      <c r="S1947" s="272" t="s">
        <v>3293</v>
      </c>
      <c r="T1947" s="273">
        <v>5.3</v>
      </c>
      <c r="U1947" s="274"/>
      <c r="V1947" s="280"/>
      <c r="W1947" s="244"/>
      <c r="X1947" s="244"/>
      <c r="Y1947" s="362"/>
      <c r="Z1947" s="257">
        <f>altaz(J2000_Bas,$O1947,$M1947,DecLat,DecLong,1)</f>
        <v>-37.26139861987928</v>
      </c>
      <c r="AA1947" s="257">
        <f>altaz((J2000_Bas+(2*0.04167)),$O1947,$M1947,DecLat,DecLong,1)</f>
        <v>-50.748610783600988</v>
      </c>
      <c r="AB1947" s="257">
        <f>altaz((J2000_Bas+(4*0.04167)),$O1947,$M1947,DecLat,DecLong,1)</f>
        <v>-58.953386381473862</v>
      </c>
      <c r="AC1947" s="257">
        <f>altaz((J2000_Bas+(6*0.04167)),$O1947,$M1947,DecLat,DecLong,1)</f>
        <v>-56.136926320536624</v>
      </c>
      <c r="AD1947" s="258">
        <f>1+ transit((J2000_Bas-1),$O1947,$M1947,DecLat,DecLong)/360 + (GMTOffset/24) + (IF(DST="Y", 1, 0)/24)</f>
        <v>1.4763721345047081</v>
      </c>
      <c r="AE1947" s="259">
        <f>DATE(2001,9,21)+(M1947/360)*365 - (360*((DecLong/360)- (GMTOffset/24) ))</f>
        <v>37336.467361111114</v>
      </c>
      <c r="AF1947" s="260">
        <f>IF(DecLat&gt;0,IF((90 - (DecLat-O1947))&gt;90, (90 - (O1947-DecLat)), (90 - (DecLat-O1947))),IF((90 + (DecLat-O1947))&gt;90, (90 + (O1947-DecLat)), (90 + (DecLat-O1947))))</f>
        <v>-2.6166666666666742</v>
      </c>
      <c r="AG1947" s="257">
        <f>angularseperation(MoonRA,MoonDec,$M1947,$O1947)</f>
        <v>59.420237065503287</v>
      </c>
      <c r="AH1947" s="261">
        <f ca="1">MIN(100,IF($O$5&gt;80,0+30*($AG1947/100),IF($O$5&gt;70,0+50*($AG1947/100),IF($O$5&gt;60,5+50*($AG1947/100),IF($O$5&gt;50,10+60*($AG1947/100),IF($O$5&gt;40,15+70*($AG1947/100),IF($O$5&gt;30,20+70*($AG1947/100),IF($O$5&gt;20,40+55*($AG1947/100),(80+(20-$O$5)+30*($AG1947/100))))))))))</f>
        <v>100</v>
      </c>
      <c r="AI1947" s="262">
        <v>3766</v>
      </c>
      <c r="AJ1947" s="262"/>
      <c r="AK1947" s="262"/>
      <c r="AL1947" s="263"/>
      <c r="AM1947" s="264">
        <v>97</v>
      </c>
      <c r="AN1947" s="263"/>
      <c r="AO1947" s="263"/>
      <c r="AP1947" s="265"/>
      <c r="AQ1947" s="266"/>
      <c r="AR1947" s="267"/>
      <c r="AS1947" s="263"/>
      <c r="AT1947" s="263"/>
      <c r="AU1947" s="263"/>
      <c r="AV1947" s="264"/>
      <c r="AW1947" s="263"/>
      <c r="AX1947" s="263"/>
      <c r="AY1947" s="263"/>
      <c r="AZ1947" s="263"/>
      <c r="BA1947" s="263"/>
      <c r="BB1947" s="263"/>
      <c r="BC1947" s="263"/>
      <c r="BD1947" s="264"/>
      <c r="BE1947" s="263"/>
      <c r="BF1947" s="263"/>
      <c r="BG1947" s="263"/>
      <c r="BH1947" s="263"/>
      <c r="BI1947" s="263"/>
      <c r="BJ1947" s="404">
        <f>altaz(J2000_Bas,$O1947,$M1947,DecLat,DecLong,2)</f>
        <v>213.64035319736246</v>
      </c>
      <c r="BK1947" s="378" t="s">
        <v>1891</v>
      </c>
      <c r="BL1947" s="379">
        <f>IF((2*G1947)/60&lt;0.2,0.2,(2*G1947)/60)</f>
        <v>0.5</v>
      </c>
      <c r="BM1947" s="380">
        <f>MOD((50000+AD1947-$B$3+(0/24)),1)</f>
        <v>0.69173906421201536</v>
      </c>
      <c r="BN1947" s="381"/>
      <c r="BO1947" s="382">
        <v>1939</v>
      </c>
    </row>
    <row r="1948" spans="1:67" s="24" customFormat="1" ht="15" customHeight="1" x14ac:dyDescent="0.25">
      <c r="A1948" s="287" t="s">
        <v>1892</v>
      </c>
      <c r="B1948" s="241" t="str">
        <f>HYPERLINK(CONCATENATE($AT$3,BK1948,$AU$3),$AV$3)</f>
        <v>S</v>
      </c>
      <c r="C1948" s="242" t="str">
        <f>HYPERLINK(CONCATENATE($AT$4,BK1948,$AU$4,BL1948),$AV$4)</f>
        <v>A</v>
      </c>
      <c r="D1948" s="243" t="s">
        <v>5638</v>
      </c>
      <c r="E1948" s="244" t="s">
        <v>5192</v>
      </c>
      <c r="F1948" s="269" t="s">
        <v>8689</v>
      </c>
      <c r="G1948" s="273">
        <v>3.2</v>
      </c>
      <c r="H1948" s="283">
        <v>120</v>
      </c>
      <c r="I1948" s="246">
        <v>110</v>
      </c>
      <c r="J1948" s="246">
        <v>2</v>
      </c>
      <c r="K1948" s="247" t="s">
        <v>7753</v>
      </c>
      <c r="L1948" s="248">
        <v>113923</v>
      </c>
      <c r="M1948" s="249">
        <f>15*(LEFT(TEXT($L1948,"000000"),2)+(MID(TEXT($L1948,"000000"),3,2)/60)+(RIGHT(TEXT($L1948,"000000"),2)/3600))</f>
        <v>174.84583333333333</v>
      </c>
      <c r="N1948" s="250">
        <v>561612</v>
      </c>
      <c r="O1948" s="251">
        <f>IF($N1948&gt;0,(LEFT(TEXT($N1948,"000000"),2)+(MID(TEXT($N1948,"000000"),3,2)/60)+(RIGHT(TEXT($N1948,"000000"),2)/3600)),-(MID(TEXT($N1948,"000000"),2,2)+(MID(TEXT($N1948,"000000"),4,2)/60)+(RIGHT(TEXT($N1948,"000000"),2)/3600)))</f>
        <v>56.269999999999996</v>
      </c>
      <c r="P1948" s="252" t="s">
        <v>37</v>
      </c>
      <c r="Q1948" s="253"/>
      <c r="R1948" s="277" t="s">
        <v>3293</v>
      </c>
      <c r="S1948" s="272" t="s">
        <v>5201</v>
      </c>
      <c r="T1948" s="273">
        <v>11.5</v>
      </c>
      <c r="U1948" s="289">
        <v>22.39</v>
      </c>
      <c r="V1948" s="280">
        <v>60</v>
      </c>
      <c r="W1948" s="244"/>
      <c r="X1948" s="244"/>
      <c r="Y1948" s="362"/>
      <c r="Z1948" s="257">
        <f>altaz(J2000_Bas,$O1948,$M1948,DecLat,DecLong,1)</f>
        <v>14.865531531346184</v>
      </c>
      <c r="AA1948" s="257">
        <f>altaz((J2000_Bas+(2*0.04167)),$O1948,$M1948,DecLat,DecLong,1)</f>
        <v>3.2781607943677491</v>
      </c>
      <c r="AB1948" s="257">
        <f>altaz((J2000_Bas+(4*0.04167)),$O1948,$M1948,DecLat,DecLong,1)</f>
        <v>-2.4177625854057609</v>
      </c>
      <c r="AC1948" s="257">
        <f>altaz((J2000_Bas+(6*0.04167)),$O1948,$M1948,DecLat,DecLong,1)</f>
        <v>-0.84701379857283032</v>
      </c>
      <c r="AD1948" s="258">
        <f>1+ transit((J2000_Bas-1),$O1948,$M1948,DecLat,DecLong)/360 + (GMTOffset/24) + (IF(DST="Y", 1, 0)/24)</f>
        <v>1.4785827824317914</v>
      </c>
      <c r="AE1948" s="259">
        <f>DATE(2001,9,21)+(M1948/360)*365 - (360*((DecLong/360)- (GMTOffset/24) ))</f>
        <v>37337.274247685185</v>
      </c>
      <c r="AF1948" s="260">
        <f>IF(DecLat&gt;0,IF((90 - (DecLat-O1948))&gt;90, (90 - (O1948-DecLat)), (90 - (DecLat-O1948))),IF((90 + (DecLat-O1948))&gt;90, (90 + (O1948-DecLat)), (90 + (DecLat-O1948))))</f>
        <v>64.73</v>
      </c>
      <c r="AG1948" s="257">
        <f>angularseperation(MoonRA,MoonDec,$M1948,$O1948)</f>
        <v>104.2215097862715</v>
      </c>
      <c r="AH1948" s="261">
        <f ca="1">MIN(100,IF($O$5&gt;80,0+30*($AG1948/100),IF($O$5&gt;70,0+50*($AG1948/100),IF($O$5&gt;60,5+50*($AG1948/100),IF($O$5&gt;50,10+60*($AG1948/100),IF($O$5&gt;40,15+70*($AG1948/100),IF($O$5&gt;30,20+70*($AG1948/100),IF($O$5&gt;20,40+55*($AG1948/100),(80+(20-$O$5)+30*($AG1948/100))))))))))</f>
        <v>100</v>
      </c>
      <c r="AI1948" s="262">
        <v>3780</v>
      </c>
      <c r="AJ1948" s="263"/>
      <c r="AK1948" s="263"/>
      <c r="AL1948" s="263"/>
      <c r="AM1948" s="264"/>
      <c r="AN1948" s="263"/>
      <c r="AO1948" s="263"/>
      <c r="AP1948" s="265"/>
      <c r="AQ1948" s="265">
        <v>6615</v>
      </c>
      <c r="AR1948" s="285">
        <v>36138</v>
      </c>
      <c r="AS1948" s="263"/>
      <c r="AT1948" s="263"/>
      <c r="AU1948" s="263"/>
      <c r="AV1948" s="264"/>
      <c r="AW1948" s="263"/>
      <c r="AX1948" s="263"/>
      <c r="AY1948" s="263"/>
      <c r="AZ1948" s="263"/>
      <c r="BA1948" s="263"/>
      <c r="BB1948" s="263"/>
      <c r="BC1948" s="263"/>
      <c r="BD1948" s="264"/>
      <c r="BE1948" s="263"/>
      <c r="BF1948" s="263"/>
      <c r="BG1948" s="263"/>
      <c r="BH1948" s="263"/>
      <c r="BI1948" s="263"/>
      <c r="BJ1948" s="404">
        <f>altaz(J2000_Bas,$O1948,$M1948,DecLat,DecLong,2)</f>
        <v>327.60287771793952</v>
      </c>
      <c r="BK1948" s="378" t="s">
        <v>1892</v>
      </c>
      <c r="BL1948" s="379">
        <f>IF((2*G1948)/60&lt;0.2,0.2,(2*G1948)/60)</f>
        <v>0.2</v>
      </c>
      <c r="BM1948" s="380">
        <f>MOD((50000+AD1948-$B$3+(0/24)),1)</f>
        <v>0.69394971213478129</v>
      </c>
      <c r="BN1948" s="381"/>
      <c r="BO1948" s="382">
        <v>1940</v>
      </c>
    </row>
    <row r="1949" spans="1:67" s="24" customFormat="1" ht="15" customHeight="1" x14ac:dyDescent="0.25">
      <c r="A1949" s="288" t="s">
        <v>3109</v>
      </c>
      <c r="B1949" s="241" t="str">
        <f>HYPERLINK(CONCATENATE($AT$3,BK1949,$AU$3),$AV$3)</f>
        <v>S</v>
      </c>
      <c r="C1949" s="242" t="str">
        <f>HYPERLINK(CONCATENATE($AT$4,BK1949,$AU$4,BL1949),$AV$4)</f>
        <v>A</v>
      </c>
      <c r="D1949" s="243" t="s">
        <v>5638</v>
      </c>
      <c r="E1949" s="244" t="s">
        <v>5337</v>
      </c>
      <c r="F1949" s="269" t="s">
        <v>3301</v>
      </c>
      <c r="G1949" s="273">
        <v>2</v>
      </c>
      <c r="H1949" s="283">
        <v>160</v>
      </c>
      <c r="I1949" s="246">
        <v>100</v>
      </c>
      <c r="J1949" s="246">
        <v>2</v>
      </c>
      <c r="K1949" s="247" t="s">
        <v>7754</v>
      </c>
      <c r="L1949" s="248">
        <v>114017</v>
      </c>
      <c r="M1949" s="249">
        <f>15*(LEFT(TEXT($L1949,"000000"),2)+(MID(TEXT($L1949,"000000"),3,2)/60)+(RIGHT(TEXT($L1949,"000000"),2)/3600))</f>
        <v>175.07083333333333</v>
      </c>
      <c r="N1949" s="250">
        <v>174336</v>
      </c>
      <c r="O1949" s="251">
        <f>IF($N1949&gt;0,(LEFT(TEXT($N1949,"000000"),2)+(MID(TEXT($N1949,"000000"),3,2)/60)+(RIGHT(TEXT($N1949,"000000"),2)/3600)),-(MID(TEXT($N1949,"000000"),2,2)+(MID(TEXT($N1949,"000000"),4,2)/60)+(RIGHT(TEXT($N1949,"000000"),2)/3600)))</f>
        <v>17.726666666666667</v>
      </c>
      <c r="P1949" s="252" t="s">
        <v>183</v>
      </c>
      <c r="Q1949" s="253"/>
      <c r="R1949" s="277" t="s">
        <v>3293</v>
      </c>
      <c r="S1949" s="272" t="s">
        <v>3293</v>
      </c>
      <c r="T1949" s="273">
        <v>12</v>
      </c>
      <c r="U1949" s="289">
        <v>22.990000000000002</v>
      </c>
      <c r="V1949" s="280">
        <v>65</v>
      </c>
      <c r="W1949" s="244"/>
      <c r="X1949" s="244"/>
      <c r="Y1949" s="362"/>
      <c r="Z1949" s="257">
        <f>altaz(J2000_Bas,$O1949,$M1949,DecLat,DecLong,1)</f>
        <v>-7.7512031795510756</v>
      </c>
      <c r="AA1949" s="257">
        <f>altaz((J2000_Bas+(2*0.04167)),$O1949,$M1949,DecLat,DecLong,1)</f>
        <v>-28.544752467968884</v>
      </c>
      <c r="AB1949" s="257">
        <f>altaz((J2000_Bas+(4*0.04167)),$O1949,$M1949,DecLat,DecLong,1)</f>
        <v>-40.52829511151235</v>
      </c>
      <c r="AC1949" s="257">
        <f>altaz((J2000_Bas+(6*0.04167)),$O1949,$M1949,DecLat,DecLong,1)</f>
        <v>-37.190821959742927</v>
      </c>
      <c r="AD1949" s="258">
        <f>1+ transit((J2000_Bas-1),$O1949,$M1949,DecLat,DecLong)/360 + (GMTOffset/24) + (IF(DST="Y", 1, 0)/24)</f>
        <v>1.4792077823692913</v>
      </c>
      <c r="AE1949" s="259">
        <f>DATE(2001,9,21)+(M1949/360)*365 - (360*((DecLong/360)- (GMTOffset/24) ))</f>
        <v>37337.502372685187</v>
      </c>
      <c r="AF1949" s="260">
        <f>IF(DecLat&gt;0,IF((90 - (DecLat-O1949))&gt;90, (90 - (O1949-DecLat)), (90 - (DecLat-O1949))),IF((90 + (DecLat-O1949))&gt;90, (90 + (O1949-DecLat)), (90 + (DecLat-O1949))))</f>
        <v>76.726666666666659</v>
      </c>
      <c r="AG1949" s="257">
        <f>angularseperation(MoonRA,MoonDec,$M1949,$O1949)</f>
        <v>84.681273728309989</v>
      </c>
      <c r="AH1949" s="261">
        <f ca="1">MIN(100,IF($O$5&gt;80,0+30*($AG1949/100),IF($O$5&gt;70,0+50*($AG1949/100),IF($O$5&gt;60,5+50*($AG1949/100),IF($O$5&gt;50,10+60*($AG1949/100),IF($O$5&gt;40,15+70*($AG1949/100),IF($O$5&gt;30,20+70*($AG1949/100),IF($O$5&gt;20,40+55*($AG1949/100),(80+(20-$O$5)+30*($AG1949/100))))))))))</f>
        <v>100</v>
      </c>
      <c r="AI1949" s="263">
        <v>3801</v>
      </c>
      <c r="AJ1949" s="263"/>
      <c r="AK1949" s="263"/>
      <c r="AL1949" s="263"/>
      <c r="AM1949" s="264"/>
      <c r="AN1949" s="263"/>
      <c r="AO1949" s="263"/>
      <c r="AP1949" s="265"/>
      <c r="AQ1949" s="265">
        <v>6635</v>
      </c>
      <c r="AR1949" s="285">
        <v>36200</v>
      </c>
      <c r="AS1949" s="263"/>
      <c r="AT1949" s="263"/>
      <c r="AU1949" s="263"/>
      <c r="AV1949" s="264"/>
      <c r="AW1949" s="263"/>
      <c r="AX1949" s="263"/>
      <c r="AY1949" s="263"/>
      <c r="AZ1949" s="263"/>
      <c r="BA1949" s="263"/>
      <c r="BB1949" s="263"/>
      <c r="BC1949" s="263"/>
      <c r="BD1949" s="264"/>
      <c r="BE1949" s="263"/>
      <c r="BF1949" s="263"/>
      <c r="BG1949" s="263"/>
      <c r="BH1949" s="263"/>
      <c r="BI1949" s="263"/>
      <c r="BJ1949" s="404">
        <f>altaz(J2000_Bas,$O1949,$M1949,DecLat,DecLong,2)</f>
        <v>296.12137934682409</v>
      </c>
      <c r="BK1949" s="378" t="s">
        <v>3109</v>
      </c>
      <c r="BL1949" s="379">
        <f>IF((2*G1949)/60&lt;0.2,0.2,(2*G1949)/60)</f>
        <v>0.2</v>
      </c>
      <c r="BM1949" s="380">
        <f>MOD((50000+AD1949-$B$3+(0/24)),1)</f>
        <v>0.69457471206987975</v>
      </c>
      <c r="BN1949" s="381" t="s">
        <v>9281</v>
      </c>
      <c r="BO1949" s="382">
        <v>1941</v>
      </c>
    </row>
    <row r="1950" spans="1:67" s="24" customFormat="1" ht="15" customHeight="1" x14ac:dyDescent="0.25">
      <c r="A1950" s="288" t="s">
        <v>1893</v>
      </c>
      <c r="B1950" s="241" t="str">
        <f>HYPERLINK(CONCATENATE($AT$3,BK1950,$AU$3),$AV$3)</f>
        <v>S</v>
      </c>
      <c r="C1950" s="242" t="str">
        <f>HYPERLINK(CONCATENATE($AT$4,BK1950,$AU$4,BL1950),$AV$4)</f>
        <v>A</v>
      </c>
      <c r="D1950" s="243" t="s">
        <v>5638</v>
      </c>
      <c r="E1950" s="244" t="s">
        <v>5192</v>
      </c>
      <c r="F1950" s="269" t="s">
        <v>8689</v>
      </c>
      <c r="G1950" s="273">
        <v>4</v>
      </c>
      <c r="H1950" s="283">
        <v>50</v>
      </c>
      <c r="I1950" s="246">
        <v>60</v>
      </c>
      <c r="J1950" s="246">
        <v>2</v>
      </c>
      <c r="K1950" s="247" t="s">
        <v>7755</v>
      </c>
      <c r="L1950" s="248">
        <v>114059</v>
      </c>
      <c r="M1950" s="249">
        <f>15*(LEFT(TEXT($L1950,"000000"),2)+(MID(TEXT($L1950,"000000"),3,2)/60)+(RIGHT(TEXT($L1950,"000000"),2)/3600))</f>
        <v>175.24583333333334</v>
      </c>
      <c r="N1950" s="250">
        <v>112818</v>
      </c>
      <c r="O1950" s="251">
        <f>IF($N1950&gt;0,(LEFT(TEXT($N1950,"000000"),2)+(MID(TEXT($N1950,"000000"),3,2)/60)+(RIGHT(TEXT($N1950,"000000"),2)/3600)),-(MID(TEXT($N1950,"000000"),2,2)+(MID(TEXT($N1950,"000000"),4,2)/60)+(RIGHT(TEXT($N1950,"000000"),2)/3600)))</f>
        <v>11.471666666666668</v>
      </c>
      <c r="P1950" s="252" t="s">
        <v>183</v>
      </c>
      <c r="Q1950" s="253"/>
      <c r="R1950" s="277" t="s">
        <v>3293</v>
      </c>
      <c r="S1950" s="272" t="s">
        <v>3293</v>
      </c>
      <c r="T1950" s="273">
        <v>10.8</v>
      </c>
      <c r="U1950" s="289">
        <v>22.29</v>
      </c>
      <c r="V1950" s="280">
        <v>50</v>
      </c>
      <c r="W1950" s="244"/>
      <c r="X1950" s="244"/>
      <c r="Y1950" s="362"/>
      <c r="Z1950" s="257">
        <f>altaz(J2000_Bas,$O1950,$M1950,DecLat,DecLong,1)</f>
        <v>-11.261118989135314</v>
      </c>
      <c r="AA1950" s="257">
        <f>altaz((J2000_Bas+(2*0.04167)),$O1950,$M1950,DecLat,DecLong,1)</f>
        <v>-33.294167056198766</v>
      </c>
      <c r="AB1950" s="257">
        <f>altaz((J2000_Bas+(4*0.04167)),$O1950,$M1950,DecLat,DecLong,1)</f>
        <v>-46.643683440532314</v>
      </c>
      <c r="AC1950" s="257">
        <f>altaz((J2000_Bas+(6*0.04167)),$O1950,$M1950,DecLat,DecLong,1)</f>
        <v>-42.981422514027308</v>
      </c>
      <c r="AD1950" s="258">
        <f>1+ transit((J2000_Bas-1),$O1950,$M1950,DecLat,DecLong)/360 + (GMTOffset/24) + (IF(DST="Y", 1, 0)/24)</f>
        <v>1.4796938934317914</v>
      </c>
      <c r="AE1950" s="259">
        <f>DATE(2001,9,21)+(M1950/360)*365 - (360*((DecLong/360)- (GMTOffset/24) ))</f>
        <v>37337.679803240739</v>
      </c>
      <c r="AF1950" s="260">
        <f>IF(DecLat&gt;0,IF((90 - (DecLat-O1950))&gt;90, (90 - (O1950-DecLat)), (90 - (DecLat-O1950))),IF((90 + (DecLat-O1950))&gt;90, (90 + (O1950-DecLat)), (90 + (DecLat-O1950))))</f>
        <v>70.471666666666664</v>
      </c>
      <c r="AG1950" s="257">
        <f>angularseperation(MoonRA,MoonDec,$M1950,$O1950)</f>
        <v>81.372233339711073</v>
      </c>
      <c r="AH1950" s="261">
        <f ca="1">MIN(100,IF($O$5&gt;80,0+30*($AG1950/100),IF($O$5&gt;70,0+50*($AG1950/100),IF($O$5&gt;60,5+50*($AG1950/100),IF($O$5&gt;50,10+60*($AG1950/100),IF($O$5&gt;40,15+70*($AG1950/100),IF($O$5&gt;30,20+70*($AG1950/100),IF($O$5&gt;20,40+55*($AG1950/100),(80+(20-$O$5)+30*($AG1950/100))))))))))</f>
        <v>100</v>
      </c>
      <c r="AI1950" s="262">
        <v>3810</v>
      </c>
      <c r="AJ1950" s="263"/>
      <c r="AK1950" s="263">
        <v>184</v>
      </c>
      <c r="AL1950" s="263"/>
      <c r="AM1950" s="264"/>
      <c r="AN1950" s="263"/>
      <c r="AO1950" s="263"/>
      <c r="AP1950" s="265"/>
      <c r="AQ1950" s="265">
        <v>6644</v>
      </c>
      <c r="AR1950" s="285">
        <v>36243</v>
      </c>
      <c r="AS1950" s="263"/>
      <c r="AT1950" s="263"/>
      <c r="AU1950" s="263"/>
      <c r="AV1950" s="264"/>
      <c r="AW1950" s="263"/>
      <c r="AX1950" s="263"/>
      <c r="AY1950" s="263"/>
      <c r="AZ1950" s="263"/>
      <c r="BA1950" s="263"/>
      <c r="BB1950" s="263"/>
      <c r="BC1950" s="263"/>
      <c r="BD1950" s="264"/>
      <c r="BE1950" s="263"/>
      <c r="BF1950" s="263"/>
      <c r="BG1950" s="263"/>
      <c r="BH1950" s="263"/>
      <c r="BI1950" s="263"/>
      <c r="BJ1950" s="404">
        <f>altaz(J2000_Bas,$O1950,$M1950,DecLat,DecLong,2)</f>
        <v>290.86814300240906</v>
      </c>
      <c r="BK1950" s="378" t="s">
        <v>1893</v>
      </c>
      <c r="BL1950" s="379">
        <f>IF((2*G1950)/60&lt;0.2,0.2,(2*G1950)/60)</f>
        <v>0.2</v>
      </c>
      <c r="BM1950" s="380">
        <f>MOD((50000+AD1950-$B$3+(0/24)),1)</f>
        <v>0.69506082313455408</v>
      </c>
      <c r="BN1950" s="381" t="s">
        <v>9220</v>
      </c>
      <c r="BO1950" s="382">
        <v>1942</v>
      </c>
    </row>
    <row r="1951" spans="1:67" s="24" customFormat="1" ht="15" customHeight="1" x14ac:dyDescent="0.25">
      <c r="A1951" s="287" t="s">
        <v>2995</v>
      </c>
      <c r="B1951" s="241" t="str">
        <f>HYPERLINK(CONCATENATE($AT$3,BK1951,$AU$3),$AV$3)</f>
        <v>S</v>
      </c>
      <c r="C1951" s="242" t="str">
        <f>HYPERLINK(CONCATENATE($AT$4,BK1951,$AU$4,BL1951),$AV$4)</f>
        <v>A</v>
      </c>
      <c r="D1951" s="243" t="s">
        <v>5638</v>
      </c>
      <c r="E1951" s="244" t="s">
        <v>5192</v>
      </c>
      <c r="F1951" s="269" t="s">
        <v>8688</v>
      </c>
      <c r="G1951" s="273">
        <v>2.2000000000000002</v>
      </c>
      <c r="H1951" s="283">
        <v>65</v>
      </c>
      <c r="I1951" s="246">
        <v>40</v>
      </c>
      <c r="J1951" s="246">
        <v>2</v>
      </c>
      <c r="K1951" s="247" t="s">
        <v>7756</v>
      </c>
      <c r="L1951" s="248">
        <v>114118</v>
      </c>
      <c r="M1951" s="249">
        <f>15*(LEFT(TEXT($L1951,"000000"),2)+(MID(TEXT($L1951,"000000"),3,2)/60)+(RIGHT(TEXT($L1951,"000000"),2)/3600))</f>
        <v>175.32500000000002</v>
      </c>
      <c r="N1951" s="250">
        <v>363249</v>
      </c>
      <c r="O1951" s="251">
        <f>IF($N1951&gt;0,(LEFT(TEXT($N1951,"000000"),2)+(MID(TEXT($N1951,"000000"),3,2)/60)+(RIGHT(TEXT($N1951,"000000"),2)/3600)),-(MID(TEXT($N1951,"000000"),2,2)+(MID(TEXT($N1951,"000000"),4,2)/60)+(RIGHT(TEXT($N1951,"000000"),2)/3600)))</f>
        <v>36.546944444444442</v>
      </c>
      <c r="P1951" s="252" t="s">
        <v>37</v>
      </c>
      <c r="Q1951" s="253"/>
      <c r="R1951" s="277" t="s">
        <v>3293</v>
      </c>
      <c r="S1951" s="272" t="s">
        <v>3293</v>
      </c>
      <c r="T1951" s="273">
        <v>11.7</v>
      </c>
      <c r="U1951" s="289">
        <v>21.39</v>
      </c>
      <c r="V1951" s="280">
        <v>75</v>
      </c>
      <c r="W1951" s="244"/>
      <c r="X1951" s="244"/>
      <c r="Y1951" s="362"/>
      <c r="Z1951" s="257">
        <f>altaz(J2000_Bas,$O1951,$M1951,DecLat,DecLong,1)</f>
        <v>3.6428303749591389</v>
      </c>
      <c r="AA1951" s="257">
        <f>altaz((J2000_Bas+(2*0.04167)),$O1951,$M1951,DecLat,DecLong,1)</f>
        <v>-13.100553947472051</v>
      </c>
      <c r="AB1951" s="257">
        <f>altaz((J2000_Bas+(4*0.04167)),$O1951,$M1951,DecLat,DecLong,1)</f>
        <v>-21.910488668659386</v>
      </c>
      <c r="AC1951" s="257">
        <f>altaz((J2000_Bas+(6*0.04167)),$O1951,$M1951,DecLat,DecLong,1)</f>
        <v>-19.662803515934428</v>
      </c>
      <c r="AD1951" s="258">
        <f>1+ transit((J2000_Bas-1),$O1951,$M1951,DecLat,DecLong)/360 + (GMTOffset/24) + (IF(DST="Y", 1, 0)/24)</f>
        <v>1.4799138008172081</v>
      </c>
      <c r="AE1951" s="259">
        <f>DATE(2001,9,21)+(M1951/360)*365 - (360*((DecLong/360)- (GMTOffset/24) ))</f>
        <v>37337.760069444441</v>
      </c>
      <c r="AF1951" s="260">
        <f>IF(DecLat&gt;0,IF((90 - (DecLat-O1951))&gt;90, (90 - (O1951-DecLat)), (90 - (DecLat-O1951))),IF((90 + (DecLat-O1951))&gt;90, (90 + (O1951-DecLat)), (90 + (DecLat-O1951))))</f>
        <v>84.453055555555551</v>
      </c>
      <c r="AG1951" s="257">
        <f>angularseperation(MoonRA,MoonDec,$M1951,$O1951)</f>
        <v>94.184531241198201</v>
      </c>
      <c r="AH1951" s="261">
        <f ca="1">MIN(100,IF($O$5&gt;80,0+30*($AG1951/100),IF($O$5&gt;70,0+50*($AG1951/100),IF($O$5&gt;60,5+50*($AG1951/100),IF($O$5&gt;50,10+60*($AG1951/100),IF($O$5&gt;40,15+70*($AG1951/100),IF($O$5&gt;30,20+70*($AG1951/100),IF($O$5&gt;20,40+55*($AG1951/100),(80+(20-$O$5)+30*($AG1951/100))))))))))</f>
        <v>100</v>
      </c>
      <c r="AI1951" s="262">
        <v>3813</v>
      </c>
      <c r="AJ1951" s="263"/>
      <c r="AK1951" s="263">
        <v>185</v>
      </c>
      <c r="AL1951" s="263"/>
      <c r="AM1951" s="264"/>
      <c r="AN1951" s="263"/>
      <c r="AO1951" s="263"/>
      <c r="AP1951" s="265"/>
      <c r="AQ1951" s="265">
        <v>6651</v>
      </c>
      <c r="AR1951" s="285">
        <v>36266</v>
      </c>
      <c r="AS1951" s="263"/>
      <c r="AT1951" s="263"/>
      <c r="AU1951" s="263"/>
      <c r="AV1951" s="264"/>
      <c r="AW1951" s="263"/>
      <c r="AX1951" s="263"/>
      <c r="AY1951" s="263"/>
      <c r="AZ1951" s="263"/>
      <c r="BA1951" s="263"/>
      <c r="BB1951" s="263"/>
      <c r="BC1951" s="263"/>
      <c r="BD1951" s="264"/>
      <c r="BE1951" s="263"/>
      <c r="BF1951" s="263"/>
      <c r="BG1951" s="263"/>
      <c r="BH1951" s="263"/>
      <c r="BI1951" s="263"/>
      <c r="BJ1951" s="404">
        <f>altaz(J2000_Bas,$O1951,$M1951,DecLat,DecLong,2)</f>
        <v>311.13693297650025</v>
      </c>
      <c r="BK1951" s="378" t="s">
        <v>2995</v>
      </c>
      <c r="BL1951" s="379">
        <f>IF((2*G1951)/60&lt;0.2,0.2,(2*G1951)/60)</f>
        <v>0.2</v>
      </c>
      <c r="BM1951" s="380">
        <f>MOD((50000+AD1951-$B$3+(0/24)),1)</f>
        <v>0.6952807305206079</v>
      </c>
      <c r="BN1951" s="381"/>
      <c r="BO1951" s="382">
        <v>1943</v>
      </c>
    </row>
    <row r="1952" spans="1:67" s="24" customFormat="1" ht="15" customHeight="1" x14ac:dyDescent="0.25">
      <c r="A1952" s="288" t="s">
        <v>1894</v>
      </c>
      <c r="B1952" s="241" t="str">
        <f>HYPERLINK(CONCATENATE($AT$3,BK1952,$AU$3),$AV$3)</f>
        <v>S</v>
      </c>
      <c r="C1952" s="242" t="str">
        <f>HYPERLINK(CONCATENATE($AT$4,BK1952,$AU$4,BL1952),$AV$4)</f>
        <v>A</v>
      </c>
      <c r="D1952" s="243" t="s">
        <v>5638</v>
      </c>
      <c r="E1952" s="244" t="s">
        <v>5192</v>
      </c>
      <c r="F1952" s="269" t="s">
        <v>8710</v>
      </c>
      <c r="G1952" s="273">
        <v>6</v>
      </c>
      <c r="H1952" s="283">
        <v>50</v>
      </c>
      <c r="I1952" s="246">
        <v>90</v>
      </c>
      <c r="J1952" s="246">
        <v>2</v>
      </c>
      <c r="K1952" s="247" t="s">
        <v>7757</v>
      </c>
      <c r="L1952" s="248">
        <v>114608</v>
      </c>
      <c r="M1952" s="249">
        <f>15*(LEFT(TEXT($L1952,"000000"),2)+(MID(TEXT($L1952,"000000"),3,2)/60)+(RIGHT(TEXT($L1952,"000000"),2)/3600))</f>
        <v>176.53333333333336</v>
      </c>
      <c r="N1952" s="250">
        <v>472941</v>
      </c>
      <c r="O1952" s="251">
        <f>IF($N1952&gt;0,(LEFT(TEXT($N1952,"000000"),2)+(MID(TEXT($N1952,"000000"),3,2)/60)+(RIGHT(TEXT($N1952,"000000"),2)/3600)),-(MID(TEXT($N1952,"000000"),2,2)+(MID(TEXT($N1952,"000000"),4,2)/60)+(RIGHT(TEXT($N1952,"000000"),2)/3600)))</f>
        <v>47.494722222222222</v>
      </c>
      <c r="P1952" s="252" t="s">
        <v>37</v>
      </c>
      <c r="Q1952" s="253"/>
      <c r="R1952" s="247" t="s">
        <v>3293</v>
      </c>
      <c r="S1952" s="272" t="s">
        <v>3293</v>
      </c>
      <c r="T1952" s="273">
        <v>11</v>
      </c>
      <c r="U1952" s="289">
        <v>21.89</v>
      </c>
      <c r="V1952" s="280">
        <v>85</v>
      </c>
      <c r="W1952" s="244"/>
      <c r="X1952" s="244"/>
      <c r="Y1952" s="362"/>
      <c r="Z1952" s="257">
        <f>altaz(J2000_Bas,$O1952,$M1952,DecLat,DecLong,1)</f>
        <v>10.758018623425066</v>
      </c>
      <c r="AA1952" s="257">
        <f>altaz((J2000_Bas+(2*0.04167)),$O1952,$M1952,DecLat,DecLong,1)</f>
        <v>-3.500087036276804</v>
      </c>
      <c r="AB1952" s="257">
        <f>altaz((J2000_Bas+(4*0.04167)),$O1952,$M1952,DecLat,DecLong,1)</f>
        <v>-10.953571433849376</v>
      </c>
      <c r="AC1952" s="257">
        <f>altaz((J2000_Bas+(6*0.04167)),$O1952,$M1952,DecLat,DecLong,1)</f>
        <v>-9.5252700331287929</v>
      </c>
      <c r="AD1952" s="258">
        <f>1+ transit((J2000_Bas-1),$O1952,$M1952,DecLat,DecLong)/360 + (GMTOffset/24) + (IF(DST="Y", 1, 0)/24)</f>
        <v>1.4832702819630414</v>
      </c>
      <c r="AE1952" s="259">
        <f>DATE(2001,9,21)+(M1952/360)*365 - (360*((DecLong/360)- (GMTOffset/24) ))</f>
        <v>37338.985185185185</v>
      </c>
      <c r="AF1952" s="260">
        <f>IF(DecLat&gt;0,IF((90 - (DecLat-O1952))&gt;90, (90 - (O1952-DecLat)), (90 - (DecLat-O1952))),IF((90 + (DecLat-O1952))&gt;90, (90 + (O1952-DecLat)), (90 + (DecLat-O1952))))</f>
        <v>73.505277777777778</v>
      </c>
      <c r="AG1952" s="257">
        <f>angularseperation(MoonRA,MoonDec,$M1952,$O1952)</f>
        <v>99.023994220309007</v>
      </c>
      <c r="AH1952" s="261">
        <f ca="1">MIN(100,IF($O$5&gt;80,0+30*($AG1952/100),IF($O$5&gt;70,0+50*($AG1952/100),IF($O$5&gt;60,5+50*($AG1952/100),IF($O$5&gt;50,10+60*($AG1952/100),IF($O$5&gt;40,15+70*($AG1952/100),IF($O$5&gt;30,20+70*($AG1952/100),IF($O$5&gt;20,40+55*($AG1952/100),(80+(20-$O$5)+30*($AG1952/100))))))))))</f>
        <v>100</v>
      </c>
      <c r="AI1952" s="262">
        <v>3877</v>
      </c>
      <c r="AJ1952" s="262"/>
      <c r="AK1952" s="262">
        <v>186</v>
      </c>
      <c r="AL1952" s="263"/>
      <c r="AM1952" s="264"/>
      <c r="AN1952" s="263"/>
      <c r="AO1952" s="263"/>
      <c r="AP1952" s="265"/>
      <c r="AQ1952" s="266">
        <v>6745</v>
      </c>
      <c r="AR1952" s="267">
        <v>36699</v>
      </c>
      <c r="AS1952" s="263"/>
      <c r="AT1952" s="263"/>
      <c r="AU1952" s="263"/>
      <c r="AV1952" s="264"/>
      <c r="AW1952" s="263"/>
      <c r="AX1952" s="263"/>
      <c r="AY1952" s="263"/>
      <c r="AZ1952" s="263"/>
      <c r="BA1952" s="263"/>
      <c r="BB1952" s="263"/>
      <c r="BC1952" s="263"/>
      <c r="BD1952" s="264"/>
      <c r="BE1952" s="263"/>
      <c r="BF1952" s="263"/>
      <c r="BG1952" s="263"/>
      <c r="BH1952" s="263"/>
      <c r="BI1952" s="263"/>
      <c r="BJ1952" s="404">
        <f>altaz(J2000_Bas,$O1952,$M1952,DecLat,DecLong,2)</f>
        <v>319.57737145590346</v>
      </c>
      <c r="BK1952" s="378" t="s">
        <v>1894</v>
      </c>
      <c r="BL1952" s="379">
        <f>IF((2*G1952)/60&lt;0.2,0.2,(2*G1952)/60)</f>
        <v>0.2</v>
      </c>
      <c r="BM1952" s="380">
        <f>MOD((50000+AD1952-$B$3+(0/24)),1)</f>
        <v>0.69863721166620962</v>
      </c>
      <c r="BN1952" s="381"/>
      <c r="BO1952" s="382">
        <v>1944</v>
      </c>
    </row>
    <row r="1953" spans="1:67" s="24" customFormat="1" ht="15" customHeight="1" x14ac:dyDescent="0.25">
      <c r="A1953" s="288" t="s">
        <v>1895</v>
      </c>
      <c r="B1953" s="241" t="str">
        <f>HYPERLINK(CONCATENATE($AT$3,BK1953,$AU$3),$AV$3)</f>
        <v>S</v>
      </c>
      <c r="C1953" s="242" t="str">
        <f>HYPERLINK(CONCATENATE($AT$4,BK1953,$AU$4,BL1953),$AV$4)</f>
        <v>A</v>
      </c>
      <c r="D1953" s="243" t="s">
        <v>5638</v>
      </c>
      <c r="E1953" s="244" t="s">
        <v>5182</v>
      </c>
      <c r="F1953" s="269" t="s">
        <v>5642</v>
      </c>
      <c r="G1953" s="273">
        <v>2.2000000000000002</v>
      </c>
      <c r="H1953" s="283">
        <v>220</v>
      </c>
      <c r="I1953" s="246">
        <v>140</v>
      </c>
      <c r="J1953" s="246">
        <v>2</v>
      </c>
      <c r="K1953" s="247" t="s">
        <v>7758</v>
      </c>
      <c r="L1953" s="248">
        <v>114612</v>
      </c>
      <c r="M1953" s="249">
        <f>15*(LEFT(TEXT($L1953,"000000"),2)+(MID(TEXT($L1953,"000000"),3,2)/60)+(RIGHT(TEXT($L1953,"000000"),2)/3600))</f>
        <v>176.55</v>
      </c>
      <c r="N1953" s="250">
        <v>202329</v>
      </c>
      <c r="O1953" s="251">
        <f>IF($N1953&gt;0,(LEFT(TEXT($N1953,"000000"),2)+(MID(TEXT($N1953,"000000"),3,2)/60)+(RIGHT(TEXT($N1953,"000000"),2)/3600)),-(MID(TEXT($N1953,"000000"),2,2)+(MID(TEXT($N1953,"000000"),4,2)/60)+(RIGHT(TEXT($N1953,"000000"),2)/3600)))</f>
        <v>20.391388888888887</v>
      </c>
      <c r="P1953" s="252" t="s">
        <v>183</v>
      </c>
      <c r="Q1953" s="253"/>
      <c r="R1953" s="277" t="s">
        <v>3293</v>
      </c>
      <c r="S1953" s="272" t="s">
        <v>3293</v>
      </c>
      <c r="T1953" s="273">
        <v>12.6</v>
      </c>
      <c r="U1953" s="289">
        <v>22.490000000000002</v>
      </c>
      <c r="V1953" s="280">
        <v>75</v>
      </c>
      <c r="W1953" s="244"/>
      <c r="X1953" s="244"/>
      <c r="Y1953" s="362"/>
      <c r="Z1953" s="257">
        <f>altaz(J2000_Bas,$O1953,$M1953,DecLat,DecLong,1)</f>
        <v>-5.0552481123980098</v>
      </c>
      <c r="AA1953" s="257">
        <f>altaz((J2000_Bas+(2*0.04167)),$O1953,$M1953,DecLat,DecLong,1)</f>
        <v>-25.583946001382618</v>
      </c>
      <c r="AB1953" s="257">
        <f>altaz((J2000_Bas+(4*0.04167)),$O1953,$M1953,DecLat,DecLong,1)</f>
        <v>-37.651163828843316</v>
      </c>
      <c r="AC1953" s="257">
        <f>altaz((J2000_Bas+(6*0.04167)),$O1953,$M1953,DecLat,DecLong,1)</f>
        <v>-35.2357333139189</v>
      </c>
      <c r="AD1953" s="258">
        <f>1+ transit((J2000_Bas-1),$O1953,$M1953,DecLat,DecLong)/360 + (GMTOffset/24) + (IF(DST="Y", 1, 0)/24)</f>
        <v>1.483316578254708</v>
      </c>
      <c r="AE1953" s="259">
        <f>DATE(2001,9,21)+(M1953/360)*365 - (360*((DecLong/360)- (GMTOffset/24) ))</f>
        <v>37339.002083333333</v>
      </c>
      <c r="AF1953" s="260">
        <f>IF(DecLat&gt;0,IF((90 - (DecLat-O1953))&gt;90, (90 - (O1953-DecLat)), (90 - (DecLat-O1953))),IF((90 + (DecLat-O1953))&gt;90, (90 + (O1953-DecLat)), (90 + (DecLat-O1953))))</f>
        <v>79.391388888888883</v>
      </c>
      <c r="AG1953" s="257">
        <f>angularseperation(MoonRA,MoonDec,$M1953,$O1953)</f>
        <v>84.856790943100933</v>
      </c>
      <c r="AH1953" s="261">
        <f ca="1">MIN(100,IF($O$5&gt;80,0+30*($AG1953/100),IF($O$5&gt;70,0+50*($AG1953/100),IF($O$5&gt;60,5+50*($AG1953/100),IF($O$5&gt;50,10+60*($AG1953/100),IF($O$5&gt;40,15+70*($AG1953/100),IF($O$5&gt;30,20+70*($AG1953/100),IF($O$5&gt;20,40+55*($AG1953/100),(80+(20-$O$5)+30*($AG1953/100))))))))))</f>
        <v>100</v>
      </c>
      <c r="AI1953" s="262">
        <v>3884</v>
      </c>
      <c r="AJ1953" s="263"/>
      <c r="AK1953" s="263"/>
      <c r="AL1953" s="263"/>
      <c r="AM1953" s="264"/>
      <c r="AN1953" s="263"/>
      <c r="AO1953" s="263"/>
      <c r="AP1953" s="265"/>
      <c r="AQ1953" s="265">
        <v>6746</v>
      </c>
      <c r="AR1953" s="285">
        <v>36706</v>
      </c>
      <c r="AS1953" s="263"/>
      <c r="AT1953" s="263"/>
      <c r="AU1953" s="263"/>
      <c r="AV1953" s="264"/>
      <c r="AW1953" s="263"/>
      <c r="AX1953" s="263"/>
      <c r="AY1953" s="263"/>
      <c r="AZ1953" s="263"/>
      <c r="BA1953" s="263"/>
      <c r="BB1953" s="263"/>
      <c r="BC1953" s="263"/>
      <c r="BD1953" s="264"/>
      <c r="BE1953" s="263"/>
      <c r="BF1953" s="263"/>
      <c r="BG1953" s="263"/>
      <c r="BH1953" s="263"/>
      <c r="BI1953" s="263"/>
      <c r="BJ1953" s="404">
        <f>altaz(J2000_Bas,$O1953,$M1953,DecLat,DecLong,2)</f>
        <v>297.46658049799743</v>
      </c>
      <c r="BK1953" s="378" t="s">
        <v>1895</v>
      </c>
      <c r="BL1953" s="379">
        <f>IF((2*G1953)/60&lt;0.2,0.2,(2*G1953)/60)</f>
        <v>0.2</v>
      </c>
      <c r="BM1953" s="380">
        <f>MOD((50000+AD1953-$B$3+(0/24)),1)</f>
        <v>0.69868350795877632</v>
      </c>
      <c r="BN1953" s="381"/>
      <c r="BO1953" s="382">
        <v>1945</v>
      </c>
    </row>
    <row r="1954" spans="1:67" s="24" customFormat="1" ht="15" customHeight="1" x14ac:dyDescent="0.25">
      <c r="A1954" s="288" t="s">
        <v>1896</v>
      </c>
      <c r="B1954" s="241" t="str">
        <f>HYPERLINK(CONCATENATE($AT$3,BK1954,$AU$3),$AV$3)</f>
        <v>S</v>
      </c>
      <c r="C1954" s="242" t="str">
        <f>HYPERLINK(CONCATENATE($AT$4,BK1954,$AU$4,BL1954),$AV$4)</f>
        <v>A</v>
      </c>
      <c r="D1954" s="243" t="s">
        <v>5638</v>
      </c>
      <c r="E1954" s="244" t="s">
        <v>5192</v>
      </c>
      <c r="F1954" s="269" t="s">
        <v>8699</v>
      </c>
      <c r="G1954" s="273">
        <v>4.5999999999999996</v>
      </c>
      <c r="H1954" s="283">
        <v>60</v>
      </c>
      <c r="I1954" s="246">
        <v>80</v>
      </c>
      <c r="J1954" s="246">
        <v>2</v>
      </c>
      <c r="K1954" s="247" t="s">
        <v>7759</v>
      </c>
      <c r="L1954" s="248">
        <v>114705</v>
      </c>
      <c r="M1954" s="249">
        <f>15*(LEFT(TEXT($L1954,"000000"),2)+(MID(TEXT($L1954,"000000"),3,2)/60)+(RIGHT(TEXT($L1954,"000000"),2)/3600))</f>
        <v>176.77083333333331</v>
      </c>
      <c r="N1954" s="250">
        <v>-165116</v>
      </c>
      <c r="O1954" s="251">
        <f>IF($N1954&gt;0,(LEFT(TEXT($N1954,"000000"),2)+(MID(TEXT($N1954,"000000"),3,2)/60)+(RIGHT(TEXT($N1954,"000000"),2)/3600)),-(MID(TEXT($N1954,"000000"),2,2)+(MID(TEXT($N1954,"000000"),4,2)/60)+(RIGHT(TEXT($N1954,"000000"),2)/3600)))</f>
        <v>-16.854444444444447</v>
      </c>
      <c r="P1954" s="252" t="s">
        <v>509</v>
      </c>
      <c r="Q1954" s="253"/>
      <c r="R1954" s="277" t="s">
        <v>3293</v>
      </c>
      <c r="S1954" s="272" t="s">
        <v>3293</v>
      </c>
      <c r="T1954" s="273">
        <v>10.6</v>
      </c>
      <c r="U1954" s="289">
        <v>21.69</v>
      </c>
      <c r="V1954" s="280">
        <v>50</v>
      </c>
      <c r="W1954" s="244"/>
      <c r="X1954" s="244"/>
      <c r="Y1954" s="362"/>
      <c r="Z1954" s="257">
        <f>altaz(J2000_Bas,$O1954,$M1954,DecLat,DecLong,1)</f>
        <v>-24.805896933025775</v>
      </c>
      <c r="AA1954" s="257">
        <f>altaz((J2000_Bas+(2*0.04167)),$O1954,$M1954,DecLat,DecLong,1)</f>
        <v>-50.48127896376247</v>
      </c>
      <c r="AB1954" s="257">
        <f>altaz((J2000_Bas+(4*0.04167)),$O1954,$M1954,DecLat,DecLong,1)</f>
        <v>-72.87826346458607</v>
      </c>
      <c r="AC1954" s="257">
        <f>altaz((J2000_Bas+(6*0.04167)),$O1954,$M1954,DecLat,DecLong,1)</f>
        <v>-67.323122815296372</v>
      </c>
      <c r="AD1954" s="258">
        <f>1+ transit((J2000_Bas-1),$O1954,$M1954,DecLat,DecLong)/360 + (GMTOffset/24) + (IF(DST="Y", 1, 0)/24)</f>
        <v>1.4839300041192913</v>
      </c>
      <c r="AE1954" s="259">
        <f>DATE(2001,9,21)+(M1954/360)*365 - (360*((DecLong/360)- (GMTOffset/24) ))</f>
        <v>37339.225983796299</v>
      </c>
      <c r="AF1954" s="260">
        <f>IF(DecLat&gt;0,IF((90 - (DecLat-O1954))&gt;90, (90 - (O1954-DecLat)), (90 - (DecLat-O1954))),IF((90 + (DecLat-O1954))&gt;90, (90 + (O1954-DecLat)), (90 + (DecLat-O1954))))</f>
        <v>42.145555555555553</v>
      </c>
      <c r="AG1954" s="257">
        <f>angularseperation(MoonRA,MoonDec,$M1954,$O1954)</f>
        <v>67.129507954606382</v>
      </c>
      <c r="AH1954" s="261">
        <f ca="1">MIN(100,IF($O$5&gt;80,0+30*($AG1954/100),IF($O$5&gt;70,0+50*($AG1954/100),IF($O$5&gt;60,5+50*($AG1954/100),IF($O$5&gt;50,10+60*($AG1954/100),IF($O$5&gt;40,15+70*($AG1954/100),IF($O$5&gt;30,20+70*($AG1954/100),IF($O$5&gt;20,40+55*($AG1954/100),(80+(20-$O$5)+30*($AG1954/100))))))))))</f>
        <v>100</v>
      </c>
      <c r="AI1954" s="262">
        <v>3887</v>
      </c>
      <c r="AJ1954" s="263"/>
      <c r="AK1954" s="263"/>
      <c r="AL1954" s="263"/>
      <c r="AM1954" s="264"/>
      <c r="AN1954" s="263"/>
      <c r="AO1954" s="263"/>
      <c r="AP1954" s="265"/>
      <c r="AQ1954" s="265"/>
      <c r="AR1954" s="285">
        <v>36754</v>
      </c>
      <c r="AS1954" s="263"/>
      <c r="AT1954" s="263"/>
      <c r="AU1954" s="263"/>
      <c r="AV1954" s="264"/>
      <c r="AW1954" s="263"/>
      <c r="AX1954" s="263"/>
      <c r="AY1954" s="263"/>
      <c r="AZ1954" s="263"/>
      <c r="BA1954" s="263"/>
      <c r="BB1954" s="263"/>
      <c r="BC1954" s="263"/>
      <c r="BD1954" s="264"/>
      <c r="BE1954" s="263"/>
      <c r="BF1954" s="263"/>
      <c r="BG1954" s="263"/>
      <c r="BH1954" s="263"/>
      <c r="BI1954" s="263"/>
      <c r="BJ1954" s="404">
        <f>altaz(J2000_Bas,$O1954,$M1954,DecLat,DecLong,2)</f>
        <v>264.55298403333836</v>
      </c>
      <c r="BK1954" s="378" t="s">
        <v>1896</v>
      </c>
      <c r="BL1954" s="379">
        <f>IF((2*G1954)/60&lt;0.2,0.2,(2*G1954)/60)</f>
        <v>0.2</v>
      </c>
      <c r="BM1954" s="380">
        <f>MOD((50000+AD1954-$B$3+(0/24)),1)</f>
        <v>0.69929693382437108</v>
      </c>
      <c r="BN1954" s="381"/>
      <c r="BO1954" s="382">
        <v>1946</v>
      </c>
    </row>
    <row r="1955" spans="1:67" s="24" customFormat="1" ht="15" customHeight="1" x14ac:dyDescent="0.25">
      <c r="A1955" s="288" t="s">
        <v>1897</v>
      </c>
      <c r="B1955" s="241" t="str">
        <f>HYPERLINK(CONCATENATE($AT$3,BK1955,$AU$3),$AV$3)</f>
        <v>S</v>
      </c>
      <c r="C1955" s="242" t="str">
        <f>HYPERLINK(CONCATENATE($AT$4,BK1955,$AU$4,BL1955),$AV$4)</f>
        <v>A</v>
      </c>
      <c r="D1955" s="243" t="s">
        <v>5638</v>
      </c>
      <c r="E1955" s="244" t="s">
        <v>5192</v>
      </c>
      <c r="F1955" s="269" t="s">
        <v>8895</v>
      </c>
      <c r="G1955" s="273">
        <v>1.8</v>
      </c>
      <c r="H1955" s="283">
        <v>135</v>
      </c>
      <c r="I1955" s="246">
        <v>70</v>
      </c>
      <c r="J1955" s="246">
        <v>2</v>
      </c>
      <c r="K1955" s="247" t="s">
        <v>8477</v>
      </c>
      <c r="L1955" s="248">
        <v>114735</v>
      </c>
      <c r="M1955" s="249">
        <f>15*(LEFT(TEXT($L1955,"000000"),2)+(MID(TEXT($L1955,"000000"),3,2)/60)+(RIGHT(TEXT($L1955,"000000"),2)/3600))</f>
        <v>176.89583333333334</v>
      </c>
      <c r="N1955" s="286">
        <v>555802</v>
      </c>
      <c r="O1955" s="251">
        <f>IF($N1955&gt;0,(LEFT(TEXT($N1955,"000000"),2)+(MID(TEXT($N1955,"000000"),3,2)/60)+(RIGHT(TEXT($N1955,"000000"),2)/3600)),-(MID(TEXT($N1955,"000000"),2,2)+(MID(TEXT($N1955,"000000"),4,2)/60)+(RIGHT(TEXT($N1955,"000000"),2)/3600)))</f>
        <v>55.967222222222226</v>
      </c>
      <c r="P1955" s="252" t="s">
        <v>37</v>
      </c>
      <c r="Q1955" s="253"/>
      <c r="R1955" s="247" t="s">
        <v>3293</v>
      </c>
      <c r="S1955" s="272" t="s">
        <v>1899</v>
      </c>
      <c r="T1955" s="273">
        <v>12.1</v>
      </c>
      <c r="U1955" s="289">
        <v>21.79</v>
      </c>
      <c r="V1955" s="280">
        <v>45</v>
      </c>
      <c r="W1955" s="244"/>
      <c r="X1955" s="244"/>
      <c r="Y1955" s="362"/>
      <c r="Z1955" s="257">
        <f>altaz(J2000_Bas,$O1955,$M1955,DecLat,DecLong,1)</f>
        <v>15.651868511341606</v>
      </c>
      <c r="AA1955" s="257">
        <f>altaz((J2000_Bas+(2*0.04167)),$O1955,$M1955,DecLat,DecLong,1)</f>
        <v>3.6531617072429179</v>
      </c>
      <c r="AB1955" s="257">
        <f>altaz((J2000_Bas+(4*0.04167)),$O1955,$M1955,DecLat,DecLong,1)</f>
        <v>-2.5521432365971317</v>
      </c>
      <c r="AC1955" s="257">
        <f>altaz((J2000_Bas+(6*0.04167)),$O1955,$M1955,DecLat,DecLong,1)</f>
        <v>-1.4772201603517472</v>
      </c>
      <c r="AD1955" s="258">
        <f>1+ transit((J2000_Bas-1),$O1955,$M1955,DecLat,DecLong)/360 + (GMTOffset/24) + (IF(DST="Y", 1, 0)/24)</f>
        <v>1.4842772263067914</v>
      </c>
      <c r="AE1955" s="259">
        <f>DATE(2001,9,21)+(M1955/360)*365 - (360*((DecLong/360)- (GMTOffset/24) ))</f>
        <v>37339.352719907409</v>
      </c>
      <c r="AF1955" s="260">
        <f>IF(DecLat&gt;0,IF((90 - (DecLat-O1955))&gt;90, (90 - (O1955-DecLat)), (90 - (DecLat-O1955))),IF((90 + (DecLat-O1955))&gt;90, (90 + (O1955-DecLat)), (90 + (DecLat-O1955))))</f>
        <v>65.032777777777767</v>
      </c>
      <c r="AG1955" s="257">
        <f>angularseperation(MoonRA,MoonDec,$M1955,$O1955)</f>
        <v>103.07329503720034</v>
      </c>
      <c r="AH1955" s="261">
        <f ca="1">MIN(100,IF($O$5&gt;80,0+30*($AG1955/100),IF($O$5&gt;70,0+50*($AG1955/100),IF($O$5&gt;60,5+50*($AG1955/100),IF($O$5&gt;50,10+60*($AG1955/100),IF($O$5&gt;40,15+70*($AG1955/100),IF($O$5&gt;30,20+70*($AG1955/100),IF($O$5&gt;20,40+55*($AG1955/100),(80+(20-$O$5)+30*($AG1955/100))))))))))</f>
        <v>100</v>
      </c>
      <c r="AI1955" s="262">
        <v>3888</v>
      </c>
      <c r="AJ1955" s="262"/>
      <c r="AK1955" s="262"/>
      <c r="AL1955" s="263"/>
      <c r="AM1955" s="264"/>
      <c r="AN1955" s="263"/>
      <c r="AO1955" s="263"/>
      <c r="AP1955" s="265"/>
      <c r="AQ1955" s="266">
        <v>6765</v>
      </c>
      <c r="AR1955" s="267">
        <v>36789</v>
      </c>
      <c r="AS1955" s="263"/>
      <c r="AT1955" s="263"/>
      <c r="AU1955" s="263"/>
      <c r="AV1955" s="264"/>
      <c r="AW1955" s="263"/>
      <c r="AX1955" s="263"/>
      <c r="AY1955" s="263"/>
      <c r="AZ1955" s="263"/>
      <c r="BA1955" s="263"/>
      <c r="BB1955" s="263"/>
      <c r="BC1955" s="263"/>
      <c r="BD1955" s="264"/>
      <c r="BE1955" s="263"/>
      <c r="BF1955" s="263"/>
      <c r="BG1955" s="263"/>
      <c r="BH1955" s="263"/>
      <c r="BI1955" s="263"/>
      <c r="BJ1955" s="404">
        <f>altaz(J2000_Bas,$O1955,$M1955,DecLat,DecLong,2)</f>
        <v>326.68784425984541</v>
      </c>
      <c r="BK1955" s="378" t="s">
        <v>1897</v>
      </c>
      <c r="BL1955" s="379">
        <f>IF((2*G1955)/60&lt;0.2,0.2,(2*G1955)/60)</f>
        <v>0.2</v>
      </c>
      <c r="BM1955" s="380">
        <f>MOD((50000+AD1955-$B$3+(0/24)),1)</f>
        <v>0.69964415601134533</v>
      </c>
      <c r="BN1955" s="381"/>
      <c r="BO1955" s="382">
        <v>1947</v>
      </c>
    </row>
    <row r="1956" spans="1:67" s="24" customFormat="1" ht="15" customHeight="1" x14ac:dyDescent="0.25">
      <c r="A1956" s="288" t="s">
        <v>1898</v>
      </c>
      <c r="B1956" s="241" t="str">
        <f>HYPERLINK(CONCATENATE($AT$3,BK1956,$AU$3),$AV$3)</f>
        <v>S</v>
      </c>
      <c r="C1956" s="242" t="str">
        <f>HYPERLINK(CONCATENATE($AT$4,BK1956,$AU$4,BL1956),$AV$4)</f>
        <v>A</v>
      </c>
      <c r="D1956" s="243" t="s">
        <v>5638</v>
      </c>
      <c r="E1956" s="244" t="s">
        <v>5192</v>
      </c>
      <c r="F1956" s="269" t="s">
        <v>8936</v>
      </c>
      <c r="G1956" s="273">
        <v>4</v>
      </c>
      <c r="H1956" s="283">
        <v>50</v>
      </c>
      <c r="I1956" s="246">
        <v>60</v>
      </c>
      <c r="J1956" s="246">
        <v>2</v>
      </c>
      <c r="K1956" s="247" t="s">
        <v>8568</v>
      </c>
      <c r="L1956" s="248">
        <v>114838</v>
      </c>
      <c r="M1956" s="249">
        <f>15*(LEFT(TEXT($L1956,"000000"),2)+(MID(TEXT($L1956,"000000"),3,2)/60)+(RIGHT(TEXT($L1956,"000000"),2)/3600))</f>
        <v>177.15833333333333</v>
      </c>
      <c r="N1956" s="250">
        <v>484239</v>
      </c>
      <c r="O1956" s="251">
        <f>IF($N1956&gt;0,(LEFT(TEXT($N1956,"000000"),2)+(MID(TEXT($N1956,"000000"),3,2)/60)+(RIGHT(TEXT($N1956,"000000"),2)/3600)),-(MID(TEXT($N1956,"000000"),2,2)+(MID(TEXT($N1956,"000000"),4,2)/60)+(RIGHT(TEXT($N1956,"000000"),2)/3600)))</f>
        <v>48.710833333333333</v>
      </c>
      <c r="P1956" s="252" t="s">
        <v>37</v>
      </c>
      <c r="Q1956" s="253"/>
      <c r="R1956" s="247" t="s">
        <v>3293</v>
      </c>
      <c r="S1956" s="272" t="s">
        <v>7761</v>
      </c>
      <c r="T1956" s="273">
        <v>10.5</v>
      </c>
      <c r="U1956" s="289">
        <v>21.990000000000002</v>
      </c>
      <c r="V1956" s="280">
        <v>55</v>
      </c>
      <c r="W1956" s="244"/>
      <c r="X1956" s="244"/>
      <c r="Y1956" s="362"/>
      <c r="Z1956" s="257">
        <f>altaz(J2000_Bas,$O1956,$M1956,DecLat,DecLong,1)</f>
        <v>11.788717896201891</v>
      </c>
      <c r="AA1956" s="257">
        <f>altaz((J2000_Bas+(2*0.04167)),$O1956,$M1956,DecLat,DecLong,1)</f>
        <v>-2.2589692502490926</v>
      </c>
      <c r="AB1956" s="257">
        <f>altaz((J2000_Bas+(4*0.04167)),$O1956,$M1956,DecLat,DecLong,1)</f>
        <v>-9.6860581117250106</v>
      </c>
      <c r="AC1956" s="257">
        <f>altaz((J2000_Bas+(6*0.04167)),$O1956,$M1956,DecLat,DecLong,1)</f>
        <v>-8.4812317277683764</v>
      </c>
      <c r="AD1956" s="258">
        <f>1+ transit((J2000_Bas-1),$O1956,$M1956,DecLat,DecLong)/360 + (GMTOffset/24) + (IF(DST="Y", 1, 0)/24)</f>
        <v>1.4850063929005415</v>
      </c>
      <c r="AE1956" s="259">
        <f>DATE(2001,9,21)+(M1956/360)*365 - (360*((DecLong/360)- (GMTOffset/24) ))</f>
        <v>37339.61886574074</v>
      </c>
      <c r="AF1956" s="260">
        <f>IF(DecLat&gt;0,IF((90 - (DecLat-O1956))&gt;90, (90 - (O1956-DecLat)), (90 - (DecLat-O1956))),IF((90 + (DecLat-O1956))&gt;90, (90 + (O1956-DecLat)), (90 + (DecLat-O1956))))</f>
        <v>72.289166666666659</v>
      </c>
      <c r="AG1956" s="257">
        <f>angularseperation(MoonRA,MoonDec,$M1956,$O1956)</f>
        <v>99.286644210039213</v>
      </c>
      <c r="AH1956" s="261">
        <f ca="1">MIN(100,IF($O$5&gt;80,0+30*($AG1956/100),IF($O$5&gt;70,0+50*($AG1956/100),IF($O$5&gt;60,5+50*($AG1956/100),IF($O$5&gt;50,10+60*($AG1956/100),IF($O$5&gt;40,15+70*($AG1956/100),IF($O$5&gt;30,20+70*($AG1956/100),IF($O$5&gt;20,40+55*($AG1956/100),(80+(20-$O$5)+30*($AG1956/100))))))))))</f>
        <v>100</v>
      </c>
      <c r="AI1956" s="262">
        <v>3893</v>
      </c>
      <c r="AJ1956" s="262"/>
      <c r="AK1956" s="262">
        <v>187</v>
      </c>
      <c r="AL1956" s="263"/>
      <c r="AM1956" s="264"/>
      <c r="AN1956" s="263"/>
      <c r="AO1956" s="263"/>
      <c r="AP1956" s="265"/>
      <c r="AQ1956" s="266">
        <v>6778</v>
      </c>
      <c r="AR1956" s="267">
        <v>36875</v>
      </c>
      <c r="AS1956" s="263"/>
      <c r="AT1956" s="263"/>
      <c r="AU1956" s="263"/>
      <c r="AV1956" s="264"/>
      <c r="AW1956" s="263"/>
      <c r="AX1956" s="263"/>
      <c r="AY1956" s="263"/>
      <c r="AZ1956" s="263"/>
      <c r="BA1956" s="263"/>
      <c r="BB1956" s="263"/>
      <c r="BC1956" s="263"/>
      <c r="BD1956" s="264"/>
      <c r="BE1956" s="263"/>
      <c r="BF1956" s="263">
        <v>47</v>
      </c>
      <c r="BG1956" s="263"/>
      <c r="BH1956" s="263"/>
      <c r="BI1956" s="263"/>
      <c r="BJ1956" s="404">
        <f>altaz(J2000_Bas,$O1956,$M1956,DecLat,DecLong,2)</f>
        <v>320.36110987536364</v>
      </c>
      <c r="BK1956" s="378" t="s">
        <v>1898</v>
      </c>
      <c r="BL1956" s="379">
        <f>IF((2*G1956)/60&lt;0.2,0.2,(2*G1956)/60)</f>
        <v>0.2</v>
      </c>
      <c r="BM1956" s="380">
        <f>MOD((50000+AD1956-$B$3+(0/24)),1)</f>
        <v>0.70037332260108087</v>
      </c>
      <c r="BN1956" s="381"/>
      <c r="BO1956" s="382">
        <v>1948</v>
      </c>
    </row>
    <row r="1957" spans="1:67" s="24" customFormat="1" ht="15" customHeight="1" x14ac:dyDescent="0.25">
      <c r="A1957" s="288" t="s">
        <v>1899</v>
      </c>
      <c r="B1957" s="241" t="str">
        <f>HYPERLINK(CONCATENATE($AT$3,BK1957,$AU$3),$AV$3)</f>
        <v>S</v>
      </c>
      <c r="C1957" s="242" t="str">
        <f>HYPERLINK(CONCATENATE($AT$4,BK1957,$AU$4,BL1957),$AV$4)</f>
        <v>A</v>
      </c>
      <c r="D1957" s="243" t="s">
        <v>5638</v>
      </c>
      <c r="E1957" s="244" t="s">
        <v>5192</v>
      </c>
      <c r="F1957" s="269" t="s">
        <v>8802</v>
      </c>
      <c r="G1957" s="273">
        <v>4</v>
      </c>
      <c r="H1957" s="283">
        <v>135</v>
      </c>
      <c r="I1957" s="246">
        <v>155</v>
      </c>
      <c r="J1957" s="246">
        <v>2</v>
      </c>
      <c r="K1957" s="247" t="s">
        <v>7760</v>
      </c>
      <c r="L1957" s="248">
        <v>114915</v>
      </c>
      <c r="M1957" s="249">
        <f>15*(LEFT(TEXT($L1957,"000000"),2)+(MID(TEXT($L1957,"000000"),3,2)/60)+(RIGHT(TEXT($L1957,"000000"),2)/3600))</f>
        <v>177.3125</v>
      </c>
      <c r="N1957" s="250">
        <v>560503</v>
      </c>
      <c r="O1957" s="251">
        <f>IF($N1957&gt;0,(LEFT(TEXT($N1957,"000000"),2)+(MID(TEXT($N1957,"000000"),3,2)/60)+(RIGHT(TEXT($N1957,"000000"),2)/3600)),-(MID(TEXT($N1957,"000000"),2,2)+(MID(TEXT($N1957,"000000"),4,2)/60)+(RIGHT(TEXT($N1957,"000000"),2)/3600)))</f>
        <v>56.084166666666668</v>
      </c>
      <c r="P1957" s="252" t="s">
        <v>37</v>
      </c>
      <c r="Q1957" s="253"/>
      <c r="R1957" s="247" t="s">
        <v>3293</v>
      </c>
      <c r="S1957" s="272" t="s">
        <v>1897</v>
      </c>
      <c r="T1957" s="273">
        <v>10.7</v>
      </c>
      <c r="U1957" s="289">
        <v>22.09</v>
      </c>
      <c r="V1957" s="280">
        <v>70</v>
      </c>
      <c r="W1957" s="244"/>
      <c r="X1957" s="244"/>
      <c r="Y1957" s="362"/>
      <c r="Z1957" s="257">
        <f>altaz(J2000_Bas,$O1957,$M1957,DecLat,DecLong,1)</f>
        <v>15.911046262736527</v>
      </c>
      <c r="AA1957" s="257">
        <f>altaz((J2000_Bas+(2*0.04167)),$O1957,$M1957,DecLat,DecLong,1)</f>
        <v>3.8810174312971402</v>
      </c>
      <c r="AB1957" s="257">
        <f>altaz((J2000_Bas+(4*0.04167)),$O1957,$M1957,DecLat,DecLong,1)</f>
        <v>-2.3988710270033984</v>
      </c>
      <c r="AC1957" s="257">
        <f>altaz((J2000_Bas+(6*0.04167)),$O1957,$M1957,DecLat,DecLong,1)</f>
        <v>-1.4304987633587076</v>
      </c>
      <c r="AD1957" s="258">
        <f>1+ transit((J2000_Bas-1),$O1957,$M1957,DecLat,DecLong)/360 + (GMTOffset/24) + (IF(DST="Y", 1, 0)/24)</f>
        <v>1.4854346335984581</v>
      </c>
      <c r="AE1957" s="259">
        <f>DATE(2001,9,21)+(M1957/360)*365 - (360*((DecLong/360)- (GMTOffset/24) ))</f>
        <v>37339.775173611109</v>
      </c>
      <c r="AF1957" s="260">
        <f>IF(DecLat&gt;0,IF((90 - (DecLat-O1957))&gt;90, (90 - (O1957-DecLat)), (90 - (DecLat-O1957))),IF((90 + (DecLat-O1957))&gt;90, (90 + (O1957-DecLat)), (90 + (DecLat-O1957))))</f>
        <v>64.915833333333325</v>
      </c>
      <c r="AG1957" s="257">
        <f>angularseperation(MoonRA,MoonDec,$M1957,$O1957)</f>
        <v>102.92850738378117</v>
      </c>
      <c r="AH1957" s="261">
        <f ca="1">MIN(100,IF($O$5&gt;80,0+30*($AG1957/100),IF($O$5&gt;70,0+50*($AG1957/100),IF($O$5&gt;60,5+50*($AG1957/100),IF($O$5&gt;50,10+60*($AG1957/100),IF($O$5&gt;40,15+70*($AG1957/100),IF($O$5&gt;30,20+70*($AG1957/100),IF($O$5&gt;20,40+55*($AG1957/100),(80+(20-$O$5)+30*($AG1957/100))))))))))</f>
        <v>100</v>
      </c>
      <c r="AI1957" s="262">
        <v>3898</v>
      </c>
      <c r="AJ1957" s="262"/>
      <c r="AK1957" s="262">
        <v>188</v>
      </c>
      <c r="AL1957" s="263"/>
      <c r="AM1957" s="264"/>
      <c r="AN1957" s="263"/>
      <c r="AO1957" s="263"/>
      <c r="AP1957" s="265"/>
      <c r="AQ1957" s="266">
        <v>6787</v>
      </c>
      <c r="AR1957" s="267">
        <v>36921</v>
      </c>
      <c r="AS1957" s="263"/>
      <c r="AT1957" s="263"/>
      <c r="AU1957" s="263"/>
      <c r="AV1957" s="264"/>
      <c r="AW1957" s="263"/>
      <c r="AX1957" s="263"/>
      <c r="AY1957" s="263"/>
      <c r="AZ1957" s="263"/>
      <c r="BA1957" s="263"/>
      <c r="BB1957" s="263"/>
      <c r="BC1957" s="263"/>
      <c r="BD1957" s="264"/>
      <c r="BE1957" s="263"/>
      <c r="BF1957" s="263"/>
      <c r="BG1957" s="263"/>
      <c r="BH1957" s="263"/>
      <c r="BI1957" s="263"/>
      <c r="BJ1957" s="404">
        <f>altaz(J2000_Bas,$O1957,$M1957,DecLat,DecLong,2)</f>
        <v>326.65999840269143</v>
      </c>
      <c r="BK1957" s="378" t="s">
        <v>1899</v>
      </c>
      <c r="BL1957" s="379">
        <f>IF((2*G1957)/60&lt;0.2,0.2,(2*G1957)/60)</f>
        <v>0.2</v>
      </c>
      <c r="BM1957" s="380">
        <f>MOD((50000+AD1957-$B$3+(0/24)),1)</f>
        <v>0.70080156330368482</v>
      </c>
      <c r="BN1957" s="381"/>
      <c r="BO1957" s="382">
        <v>1949</v>
      </c>
    </row>
    <row r="1958" spans="1:67" s="24" customFormat="1" ht="15" customHeight="1" x14ac:dyDescent="0.25">
      <c r="A1958" s="287" t="s">
        <v>1900</v>
      </c>
      <c r="B1958" s="241" t="str">
        <f>HYPERLINK(CONCATENATE($AT$3,BK1958,$AU$3),$AV$3)</f>
        <v>S</v>
      </c>
      <c r="C1958" s="242" t="str">
        <f>HYPERLINK(CONCATENATE($AT$4,BK1958,$AU$4,BL1958),$AV$4)</f>
        <v>A</v>
      </c>
      <c r="D1958" s="243" t="s">
        <v>5638</v>
      </c>
      <c r="E1958" s="244" t="s">
        <v>5182</v>
      </c>
      <c r="F1958" s="269" t="s">
        <v>5642</v>
      </c>
      <c r="G1958" s="273">
        <v>3.8</v>
      </c>
      <c r="H1958" s="283">
        <v>120</v>
      </c>
      <c r="I1958" s="246">
        <v>130</v>
      </c>
      <c r="J1958" s="246">
        <v>2</v>
      </c>
      <c r="K1958" s="247" t="s">
        <v>7762</v>
      </c>
      <c r="L1958" s="248">
        <v>114909</v>
      </c>
      <c r="M1958" s="249">
        <f>15*(LEFT(TEXT($L1958,"000000"),2)+(MID(TEXT($L1958,"000000"),3,2)/60)+(RIGHT(TEXT($L1958,"000000"),2)/3600))</f>
        <v>177.28749999999999</v>
      </c>
      <c r="N1958" s="250">
        <v>270119</v>
      </c>
      <c r="O1958" s="251">
        <f>IF($N1958&gt;0,(LEFT(TEXT($N1958,"000000"),2)+(MID(TEXT($N1958,"000000"),3,2)/60)+(RIGHT(TEXT($N1958,"000000"),2)/3600)),-(MID(TEXT($N1958,"000000"),2,2)+(MID(TEXT($N1958,"000000"),4,2)/60)+(RIGHT(TEXT($N1958,"000000"),2)/3600)))</f>
        <v>27.021944444444443</v>
      </c>
      <c r="P1958" s="252" t="s">
        <v>183</v>
      </c>
      <c r="Q1958" s="253"/>
      <c r="R1958" s="277" t="s">
        <v>3293</v>
      </c>
      <c r="S1958" s="272" t="s">
        <v>3293</v>
      </c>
      <c r="T1958" s="273">
        <v>11.4</v>
      </c>
      <c r="U1958" s="289">
        <v>21.990000000000002</v>
      </c>
      <c r="V1958" s="280">
        <v>75</v>
      </c>
      <c r="W1958" s="244"/>
      <c r="X1958" s="244"/>
      <c r="Y1958" s="362"/>
      <c r="Z1958" s="257">
        <f>altaz(J2000_Bas,$O1958,$M1958,DecLat,DecLong,1)</f>
        <v>-0.63086826097774629</v>
      </c>
      <c r="AA1958" s="257">
        <f>altaz((J2000_Bas+(2*0.04167)),$O1958,$M1958,DecLat,DecLong,1)</f>
        <v>-19.909618629541114</v>
      </c>
      <c r="AB1958" s="257">
        <f>altaz((J2000_Bas+(4*0.04167)),$O1958,$M1958,DecLat,DecLong,1)</f>
        <v>-31.015444228577252</v>
      </c>
      <c r="AC1958" s="257">
        <f>altaz((J2000_Bas+(6*0.04167)),$O1958,$M1958,DecLat,DecLong,1)</f>
        <v>-29.217631419517218</v>
      </c>
      <c r="AD1958" s="258">
        <f>1+ transit((J2000_Bas-1),$O1958,$M1958,DecLat,DecLong)/360 + (GMTOffset/24) + (IF(DST="Y", 1, 0)/24)</f>
        <v>1.4853651891609581</v>
      </c>
      <c r="AE1958" s="259">
        <f>DATE(2001,9,21)+(M1958/360)*365 - (360*((DecLong/360)- (GMTOffset/24) ))</f>
        <v>37339.749826388892</v>
      </c>
      <c r="AF1958" s="260">
        <f>IF(DecLat&gt;0,IF((90 - (DecLat-O1958))&gt;90, (90 - (O1958-DecLat)), (90 - (DecLat-O1958))),IF((90 + (DecLat-O1958))&gt;90, (90 + (O1958-DecLat)), (90 + (DecLat-O1958))))</f>
        <v>86.021944444444443</v>
      </c>
      <c r="AG1958" s="257">
        <f>angularseperation(MoonRA,MoonDec,$M1958,$O1958)</f>
        <v>87.77415084444614</v>
      </c>
      <c r="AH1958" s="261">
        <f ca="1">MIN(100,IF($O$5&gt;80,0+30*($AG1958/100),IF($O$5&gt;70,0+50*($AG1958/100),IF($O$5&gt;60,5+50*($AG1958/100),IF($O$5&gt;50,10+60*($AG1958/100),IF($O$5&gt;40,15+70*($AG1958/100),IF($O$5&gt;30,20+70*($AG1958/100),IF($O$5&gt;20,40+55*($AG1958/100),(80+(20-$O$5)+30*($AG1958/100))))))))))</f>
        <v>100</v>
      </c>
      <c r="AI1958" s="262">
        <v>3900</v>
      </c>
      <c r="AJ1958" s="263"/>
      <c r="AK1958" s="263">
        <v>189</v>
      </c>
      <c r="AL1958" s="263"/>
      <c r="AM1958" s="264"/>
      <c r="AN1958" s="263"/>
      <c r="AO1958" s="263"/>
      <c r="AP1958" s="265"/>
      <c r="AQ1958" s="265">
        <v>6786</v>
      </c>
      <c r="AR1958" s="285">
        <v>36914</v>
      </c>
      <c r="AS1958" s="263"/>
      <c r="AT1958" s="263"/>
      <c r="AU1958" s="263"/>
      <c r="AV1958" s="264"/>
      <c r="AW1958" s="263"/>
      <c r="AX1958" s="263"/>
      <c r="AY1958" s="263"/>
      <c r="AZ1958" s="263"/>
      <c r="BA1958" s="263"/>
      <c r="BB1958" s="263"/>
      <c r="BC1958" s="263"/>
      <c r="BD1958" s="264"/>
      <c r="BE1958" s="263"/>
      <c r="BF1958" s="263"/>
      <c r="BG1958" s="263"/>
      <c r="BH1958" s="263"/>
      <c r="BI1958" s="263"/>
      <c r="BJ1958" s="404">
        <f>altaz(J2000_Bas,$O1958,$M1958,DecLat,DecLong,2)</f>
        <v>302.45838360341287</v>
      </c>
      <c r="BK1958" s="378" t="s">
        <v>1900</v>
      </c>
      <c r="BL1958" s="379">
        <f>IF((2*G1958)/60&lt;0.2,0.2,(2*G1958)/60)</f>
        <v>0.2</v>
      </c>
      <c r="BM1958" s="380">
        <f>MOD((50000+AD1958-$B$3+(0/24)),1)</f>
        <v>0.70073211886483477</v>
      </c>
      <c r="BN1958" s="381"/>
      <c r="BO1958" s="382">
        <v>1950</v>
      </c>
    </row>
    <row r="1959" spans="1:67" s="24" customFormat="1" ht="15" customHeight="1" x14ac:dyDescent="0.25">
      <c r="A1959" s="287" t="s">
        <v>1901</v>
      </c>
      <c r="B1959" s="241" t="str">
        <f>HYPERLINK(CONCATENATE($AT$3,BK1959,$AU$3),$AV$3)</f>
        <v>S</v>
      </c>
      <c r="C1959" s="242" t="str">
        <f>HYPERLINK(CONCATENATE($AT$4,BK1959,$AU$4,BL1959),$AV$4)</f>
        <v>A</v>
      </c>
      <c r="D1959" s="243" t="s">
        <v>5638</v>
      </c>
      <c r="E1959" s="244" t="s">
        <v>3259</v>
      </c>
      <c r="F1959" s="269"/>
      <c r="G1959" s="273">
        <v>1.8</v>
      </c>
      <c r="H1959" s="283">
        <v>50</v>
      </c>
      <c r="I1959" s="246">
        <v>25</v>
      </c>
      <c r="J1959" s="246">
        <v>2</v>
      </c>
      <c r="K1959" s="247" t="s">
        <v>7763</v>
      </c>
      <c r="L1959" s="248">
        <v>115005</v>
      </c>
      <c r="M1959" s="249">
        <f>15*(LEFT(TEXT($L1959,"000000"),2)+(MID(TEXT($L1959,"000000"),3,2)/60)+(RIGHT(TEXT($L1959,"000000"),2)/3600))</f>
        <v>177.52083333333334</v>
      </c>
      <c r="N1959" s="250">
        <v>262847</v>
      </c>
      <c r="O1959" s="251">
        <f>IF($N1959&gt;0,(LEFT(TEXT($N1959,"000000"),2)+(MID(TEXT($N1959,"000000"),3,2)/60)+(RIGHT(TEXT($N1959,"000000"),2)/3600)),-(MID(TEXT($N1959,"000000"),2,2)+(MID(TEXT($N1959,"000000"),4,2)/60)+(RIGHT(TEXT($N1959,"000000"),2)/3600)))</f>
        <v>26.479722222222222</v>
      </c>
      <c r="P1959" s="252" t="s">
        <v>183</v>
      </c>
      <c r="Q1959" s="253"/>
      <c r="R1959" s="277" t="s">
        <v>3293</v>
      </c>
      <c r="S1959" s="272" t="s">
        <v>3293</v>
      </c>
      <c r="T1959" s="273">
        <v>12.4</v>
      </c>
      <c r="U1959" s="289">
        <v>21.490000000000002</v>
      </c>
      <c r="V1959" s="280"/>
      <c r="W1959" s="244"/>
      <c r="X1959" s="244"/>
      <c r="Y1959" s="362"/>
      <c r="Z1959" s="257">
        <f>altaz(J2000_Bas,$O1959,$M1959,DecLat,DecLong,1)</f>
        <v>-0.77770469515346241</v>
      </c>
      <c r="AA1959" s="257">
        <f>altaz((J2000_Bas+(2*0.04167)),$O1959,$M1959,DecLat,DecLong,1)</f>
        <v>-20.216846968973474</v>
      </c>
      <c r="AB1959" s="257">
        <f>altaz((J2000_Bas+(4*0.04167)),$O1959,$M1959,DecLat,DecLong,1)</f>
        <v>-31.506522224749144</v>
      </c>
      <c r="AC1959" s="257">
        <f>altaz((J2000_Bas+(6*0.04167)),$O1959,$M1959,DecLat,DecLong,1)</f>
        <v>-29.797972034987559</v>
      </c>
      <c r="AD1959" s="258">
        <f>1+ transit((J2000_Bas-1),$O1959,$M1959,DecLat,DecLong)/360 + (GMTOffset/24) + (IF(DST="Y", 1, 0)/24)</f>
        <v>1.4860133372442914</v>
      </c>
      <c r="AE1959" s="259">
        <f>DATE(2001,9,21)+(M1959/360)*365 - (360*((DecLong/360)- (GMTOffset/24) ))</f>
        <v>37339.986400462964</v>
      </c>
      <c r="AF1959" s="260">
        <f>IF(DecLat&gt;0,IF((90 - (DecLat-O1959))&gt;90, (90 - (O1959-DecLat)), (90 - (DecLat-O1959))),IF((90 + (DecLat-O1959))&gt;90, (90 + (O1959-DecLat)), (90 + (DecLat-O1959))))</f>
        <v>85.479722222222222</v>
      </c>
      <c r="AG1959" s="257">
        <f>angularseperation(MoonRA,MoonDec,$M1959,$O1959)</f>
        <v>87.309272713173996</v>
      </c>
      <c r="AH1959" s="261">
        <f ca="1">MIN(100,IF($O$5&gt;80,0+30*($AG1959/100),IF($O$5&gt;70,0+50*($AG1959/100),IF($O$5&gt;60,5+50*($AG1959/100),IF($O$5&gt;50,10+60*($AG1959/100),IF($O$5&gt;40,15+70*($AG1959/100),IF($O$5&gt;30,20+70*($AG1959/100),IF($O$5&gt;20,40+55*($AG1959/100),(80+(20-$O$5)+30*($AG1959/100))))))))))</f>
        <v>100</v>
      </c>
      <c r="AI1959" s="262">
        <v>3912</v>
      </c>
      <c r="AJ1959" s="263"/>
      <c r="AK1959" s="263">
        <v>190</v>
      </c>
      <c r="AL1959" s="263"/>
      <c r="AM1959" s="264"/>
      <c r="AN1959" s="263"/>
      <c r="AO1959" s="263"/>
      <c r="AP1959" s="265"/>
      <c r="AQ1959" s="265"/>
      <c r="AR1959" s="285">
        <v>36979</v>
      </c>
      <c r="AS1959" s="263"/>
      <c r="AT1959" s="263"/>
      <c r="AU1959" s="263"/>
      <c r="AV1959" s="264"/>
      <c r="AW1959" s="263"/>
      <c r="AX1959" s="263"/>
      <c r="AY1959" s="263"/>
      <c r="AZ1959" s="263"/>
      <c r="BA1959" s="263"/>
      <c r="BB1959" s="263"/>
      <c r="BC1959" s="263"/>
      <c r="BD1959" s="264"/>
      <c r="BE1959" s="263"/>
      <c r="BF1959" s="263"/>
      <c r="BG1959" s="263"/>
      <c r="BH1959" s="263"/>
      <c r="BI1959" s="263"/>
      <c r="BJ1959" s="404">
        <f>altaz(J2000_Bas,$O1959,$M1959,DecLat,DecLong,2)</f>
        <v>301.89632906557915</v>
      </c>
      <c r="BK1959" s="378" t="s">
        <v>1901</v>
      </c>
      <c r="BL1959" s="379">
        <f>IF((2*G1959)/60&lt;0.2,0.2,(2*G1959)/60)</f>
        <v>0.2</v>
      </c>
      <c r="BM1959" s="380">
        <f>MOD((50000+AD1959-$B$3+(0/24)),1)</f>
        <v>0.70138026694621658</v>
      </c>
      <c r="BN1959" s="381"/>
      <c r="BO1959" s="382">
        <v>1951</v>
      </c>
    </row>
    <row r="1960" spans="1:67" s="24" customFormat="1" ht="15" customHeight="1" x14ac:dyDescent="0.25">
      <c r="A1960" s="287" t="s">
        <v>1902</v>
      </c>
      <c r="B1960" s="241" t="str">
        <f>HYPERLINK(CONCATENATE($AT$3,BK1960,$AU$3),$AV$3)</f>
        <v>S</v>
      </c>
      <c r="C1960" s="242" t="str">
        <f>HYPERLINK(CONCATENATE($AT$4,BK1960,$AU$4,BL1960),$AV$4)</f>
        <v>A</v>
      </c>
      <c r="D1960" s="243" t="s">
        <v>5638</v>
      </c>
      <c r="E1960" s="244" t="s">
        <v>5192</v>
      </c>
      <c r="F1960" s="269" t="s">
        <v>8706</v>
      </c>
      <c r="G1960" s="273">
        <v>3.2</v>
      </c>
      <c r="H1960" s="283">
        <v>65</v>
      </c>
      <c r="I1960" s="246">
        <v>60</v>
      </c>
      <c r="J1960" s="246">
        <v>3</v>
      </c>
      <c r="K1960" s="247" t="s">
        <v>7764</v>
      </c>
      <c r="L1960" s="248">
        <v>115039</v>
      </c>
      <c r="M1960" s="249">
        <f>15*(LEFT(TEXT($L1960,"000000"),2)+(MID(TEXT($L1960,"000000"),3,2)/60)+(RIGHT(TEXT($L1960,"000000"),2)/3600))</f>
        <v>177.66250000000002</v>
      </c>
      <c r="N1960" s="250">
        <v>552113</v>
      </c>
      <c r="O1960" s="251">
        <f>IF($N1960&gt;0,(LEFT(TEXT($N1960,"000000"),2)+(MID(TEXT($N1960,"000000"),3,2)/60)+(RIGHT(TEXT($N1960,"000000"),2)/3600)),-(MID(TEXT($N1960,"000000"),2,2)+(MID(TEXT($N1960,"000000"),4,2)/60)+(RIGHT(TEXT($N1960,"000000"),2)/3600)))</f>
        <v>55.353611111111114</v>
      </c>
      <c r="P1960" s="252" t="s">
        <v>37</v>
      </c>
      <c r="Q1960" s="253"/>
      <c r="R1960" s="277" t="s">
        <v>3293</v>
      </c>
      <c r="S1960" s="272" t="s">
        <v>3293</v>
      </c>
      <c r="T1960" s="273">
        <v>12.6</v>
      </c>
      <c r="U1960" s="289">
        <v>23.39</v>
      </c>
      <c r="V1960" s="280">
        <v>0</v>
      </c>
      <c r="W1960" s="244"/>
      <c r="X1960" s="244"/>
      <c r="Y1960" s="362"/>
      <c r="Z1960" s="257">
        <f>altaz(J2000_Bas,$O1960,$M1960,DecLat,DecLong,1)</f>
        <v>15.686556747112437</v>
      </c>
      <c r="AA1960" s="257">
        <f>altaz((J2000_Bas+(2*0.04167)),$O1960,$M1960,DecLat,DecLong,1)</f>
        <v>3.3917270872621534</v>
      </c>
      <c r="AB1960" s="257">
        <f>altaz((J2000_Bas+(4*0.04167)),$O1960,$M1960,DecLat,DecLong,1)</f>
        <v>-3.0857980363775801</v>
      </c>
      <c r="AC1960" s="257">
        <f>altaz((J2000_Bas+(6*0.04167)),$O1960,$M1960,DecLat,DecLong,1)</f>
        <v>-2.1870863143506392</v>
      </c>
      <c r="AD1960" s="258">
        <f>1+ transit((J2000_Bas-1),$O1960,$M1960,DecLat,DecLong)/360 + (GMTOffset/24) + (IF(DST="Y", 1, 0)/24)</f>
        <v>1.4864068557234582</v>
      </c>
      <c r="AE1960" s="259">
        <f>DATE(2001,9,21)+(M1960/360)*365 - (360*((DecLong/360)- (GMTOffset/24) ))</f>
        <v>37340.13003472222</v>
      </c>
      <c r="AF1960" s="260">
        <f>IF(DecLat&gt;0,IF((90 - (DecLat-O1960))&gt;90, (90 - (O1960-DecLat)), (90 - (DecLat-O1960))),IF((90 + (DecLat-O1960))&gt;90, (90 + (O1960-DecLat)), (90 + (DecLat-O1960))))</f>
        <v>65.646388888888879</v>
      </c>
      <c r="AG1960" s="257">
        <f>angularseperation(MoonRA,MoonDec,$M1960,$O1960)</f>
        <v>102.39317958774112</v>
      </c>
      <c r="AH1960" s="261">
        <f ca="1">MIN(100,IF($O$5&gt;80,0+30*($AG1960/100),IF($O$5&gt;70,0+50*($AG1960/100),IF($O$5&gt;60,5+50*($AG1960/100),IF($O$5&gt;50,10+60*($AG1960/100),IF($O$5&gt;40,15+70*($AG1960/100),IF($O$5&gt;30,20+70*($AG1960/100),IF($O$5&gt;20,40+55*($AG1960/100),(80+(20-$O$5)+30*($AG1960/100))))))))))</f>
        <v>100</v>
      </c>
      <c r="AI1960" s="262">
        <v>3913</v>
      </c>
      <c r="AJ1960" s="263"/>
      <c r="AK1960" s="263"/>
      <c r="AL1960" s="263"/>
      <c r="AM1960" s="264"/>
      <c r="AN1960" s="263"/>
      <c r="AO1960" s="263"/>
      <c r="AP1960" s="265"/>
      <c r="AQ1960" s="265"/>
      <c r="AR1960" s="285">
        <v>37024</v>
      </c>
      <c r="AS1960" s="263"/>
      <c r="AT1960" s="263"/>
      <c r="AU1960" s="263"/>
      <c r="AV1960" s="264"/>
      <c r="AW1960" s="263"/>
      <c r="AX1960" s="263"/>
      <c r="AY1960" s="263"/>
      <c r="AZ1960" s="263"/>
      <c r="BA1960" s="263"/>
      <c r="BB1960" s="263"/>
      <c r="BC1960" s="263"/>
      <c r="BD1960" s="264"/>
      <c r="BE1960" s="263"/>
      <c r="BF1960" s="263"/>
      <c r="BG1960" s="263"/>
      <c r="BH1960" s="263"/>
      <c r="BI1960" s="263"/>
      <c r="BJ1960" s="404">
        <f>altaz(J2000_Bas,$O1960,$M1960,DecLat,DecLong,2)</f>
        <v>325.9090107353253</v>
      </c>
      <c r="BK1960" s="378" t="s">
        <v>1902</v>
      </c>
      <c r="BL1960" s="379">
        <f>IF((2*G1960)/60&lt;0.2,0.2,(2*G1960)/60)</f>
        <v>0.2</v>
      </c>
      <c r="BM1960" s="380">
        <f>MOD((50000+AD1960-$B$3+(0/24)),1)</f>
        <v>0.70177378542575752</v>
      </c>
      <c r="BN1960" s="381"/>
      <c r="BO1960" s="382">
        <v>1952</v>
      </c>
    </row>
    <row r="1961" spans="1:67" s="24" customFormat="1" ht="15" customHeight="1" x14ac:dyDescent="0.25">
      <c r="A1961" s="288" t="s">
        <v>1903</v>
      </c>
      <c r="B1961" s="241" t="str">
        <f>HYPERLINK(CONCATENATE($AT$3,BK1961,$AU$3),$AV$3)</f>
        <v>S</v>
      </c>
      <c r="C1961" s="242" t="str">
        <f>HYPERLINK(CONCATENATE($AT$4,BK1961,$AU$4,BL1961),$AV$4)</f>
        <v>A</v>
      </c>
      <c r="D1961" s="243" t="s">
        <v>5638</v>
      </c>
      <c r="E1961" s="244" t="s">
        <v>5192</v>
      </c>
      <c r="F1961" s="269" t="s">
        <v>8689</v>
      </c>
      <c r="G1961" s="273">
        <v>5</v>
      </c>
      <c r="H1961" s="283">
        <v>55</v>
      </c>
      <c r="I1961" s="246">
        <v>80</v>
      </c>
      <c r="J1961" s="246">
        <v>2</v>
      </c>
      <c r="K1961" s="247" t="s">
        <v>8478</v>
      </c>
      <c r="L1961" s="248">
        <v>115045</v>
      </c>
      <c r="M1961" s="249">
        <f>15*(LEFT(TEXT($L1961,"000000"),2)+(MID(TEXT($L1961,"000000"),3,2)/60)+(RIGHT(TEXT($L1961,"000000"),2)/3600))</f>
        <v>177.6875</v>
      </c>
      <c r="N1961" s="250">
        <v>514929</v>
      </c>
      <c r="O1961" s="251">
        <f>IF($N1961&gt;0,(LEFT(TEXT($N1961,"000000"),2)+(MID(TEXT($N1961,"000000"),3,2)/60)+(RIGHT(TEXT($N1961,"000000"),2)/3600)),-(MID(TEXT($N1961,"000000"),2,2)+(MID(TEXT($N1961,"000000"),4,2)/60)+(RIGHT(TEXT($N1961,"000000"),2)/3600)))</f>
        <v>51.824722222222228</v>
      </c>
      <c r="P1961" s="252" t="s">
        <v>37</v>
      </c>
      <c r="Q1961" s="253"/>
      <c r="R1961" s="277" t="s">
        <v>3293</v>
      </c>
      <c r="S1961" s="272" t="s">
        <v>3293</v>
      </c>
      <c r="T1961" s="273">
        <v>11.8</v>
      </c>
      <c r="U1961" s="289">
        <v>22.490000000000002</v>
      </c>
      <c r="V1961" s="280">
        <v>80</v>
      </c>
      <c r="W1961" s="244"/>
      <c r="X1961" s="244"/>
      <c r="Y1961" s="362"/>
      <c r="Z1961" s="257">
        <f>altaz(J2000_Bas,$O1961,$M1961,DecLat,DecLong,1)</f>
        <v>13.792194067778818</v>
      </c>
      <c r="AA1961" s="257">
        <f>altaz((J2000_Bas+(2*0.04167)),$O1961,$M1961,DecLat,DecLong,1)</f>
        <v>0.49908784387672167</v>
      </c>
      <c r="AB1961" s="257">
        <f>altaz((J2000_Bas+(4*0.04167)),$O1961,$M1961,DecLat,DecLong,1)</f>
        <v>-6.559811836989776</v>
      </c>
      <c r="AC1961" s="257">
        <f>altaz((J2000_Bas+(6*0.04167)),$O1961,$M1961,DecLat,DecLong,1)</f>
        <v>-5.5851813299775062</v>
      </c>
      <c r="AD1961" s="258">
        <f>1+ transit((J2000_Bas-1),$O1961,$M1961,DecLat,DecLong)/360 + (GMTOffset/24) + (IF(DST="Y", 1, 0)/24)</f>
        <v>1.486476300160958</v>
      </c>
      <c r="AE1961" s="259">
        <f>DATE(2001,9,21)+(M1961/360)*365 - (360*((DecLong/360)- (GMTOffset/24) ))</f>
        <v>37340.155381944445</v>
      </c>
      <c r="AF1961" s="260">
        <f>IF(DecLat&gt;0,IF((90 - (DecLat-O1961))&gt;90, (90 - (O1961-DecLat)), (90 - (DecLat-O1961))),IF((90 + (DecLat-O1961))&gt;90, (90 + (O1961-DecLat)), (90 + (DecLat-O1961))))</f>
        <v>69.175277777777779</v>
      </c>
      <c r="AG1961" s="257">
        <f>angularseperation(MoonRA,MoonDec,$M1961,$O1961)</f>
        <v>100.59152749135187</v>
      </c>
      <c r="AH1961" s="261">
        <f ca="1">MIN(100,IF($O$5&gt;80,0+30*($AG1961/100),IF($O$5&gt;70,0+50*($AG1961/100),IF($O$5&gt;60,5+50*($AG1961/100),IF($O$5&gt;50,10+60*($AG1961/100),IF($O$5&gt;40,15+70*($AG1961/100),IF($O$5&gt;30,20+70*($AG1961/100),IF($O$5&gt;20,40+55*($AG1961/100),(80+(20-$O$5)+30*($AG1961/100))))))))))</f>
        <v>100</v>
      </c>
      <c r="AI1961" s="262">
        <v>3917</v>
      </c>
      <c r="AJ1961" s="263"/>
      <c r="AK1961" s="263"/>
      <c r="AL1961" s="263"/>
      <c r="AM1961" s="264"/>
      <c r="AN1961" s="263"/>
      <c r="AO1961" s="263"/>
      <c r="AP1961" s="265"/>
      <c r="AQ1961" s="265">
        <v>6815</v>
      </c>
      <c r="AR1961" s="285">
        <v>37036</v>
      </c>
      <c r="AS1961" s="263"/>
      <c r="AT1961" s="263"/>
      <c r="AU1961" s="263"/>
      <c r="AV1961" s="264"/>
      <c r="AW1961" s="263"/>
      <c r="AX1961" s="263"/>
      <c r="AY1961" s="263"/>
      <c r="AZ1961" s="263"/>
      <c r="BA1961" s="263"/>
      <c r="BB1961" s="263"/>
      <c r="BC1961" s="263"/>
      <c r="BD1961" s="264"/>
      <c r="BE1961" s="263"/>
      <c r="BF1961" s="263"/>
      <c r="BG1961" s="263"/>
      <c r="BH1961" s="263"/>
      <c r="BI1961" s="263"/>
      <c r="BJ1961" s="404">
        <f>altaz(J2000_Bas,$O1961,$M1961,DecLat,DecLong,2)</f>
        <v>322.83014905562686</v>
      </c>
      <c r="BK1961" s="378" t="s">
        <v>1903</v>
      </c>
      <c r="BL1961" s="379">
        <f>IF((2*G1961)/60&lt;0.2,0.2,(2*G1961)/60)</f>
        <v>0.2</v>
      </c>
      <c r="BM1961" s="380">
        <f>MOD((50000+AD1961-$B$3+(0/24)),1)</f>
        <v>0.70184322986460757</v>
      </c>
      <c r="BN1961" s="381"/>
      <c r="BO1961" s="382">
        <v>1953</v>
      </c>
    </row>
    <row r="1962" spans="1:67" s="24" customFormat="1" ht="15" customHeight="1" x14ac:dyDescent="0.25">
      <c r="A1962" s="327" t="s">
        <v>8625</v>
      </c>
      <c r="B1962" s="241" t="str">
        <f>HYPERLINK(CONCATENATE($AT$3,BK1962,$AU$3),$AV$3)</f>
        <v>S</v>
      </c>
      <c r="C1962" s="242" t="str">
        <f>HYPERLINK(CONCATENATE($AT$4,BK1962,$AU$4,BL1962),$AV$4)</f>
        <v>A</v>
      </c>
      <c r="D1962" s="243" t="s">
        <v>5187</v>
      </c>
      <c r="E1962" s="244" t="s">
        <v>5181</v>
      </c>
      <c r="F1962" s="293" t="s">
        <v>9090</v>
      </c>
      <c r="G1962" s="270">
        <v>0.7</v>
      </c>
      <c r="H1962" s="283">
        <v>5300</v>
      </c>
      <c r="I1962" s="279">
        <v>1.2</v>
      </c>
      <c r="J1962" s="246">
        <v>2</v>
      </c>
      <c r="K1962" s="247" t="s">
        <v>8626</v>
      </c>
      <c r="L1962" s="248">
        <v>115018</v>
      </c>
      <c r="M1962" s="249">
        <f>15*(LEFT(TEXT($L1962,"000000"),2)+(MID(TEXT($L1962,"000000"),3,2)/60)+(RIGHT(TEXT($L1962,"000000"),2)/3600))</f>
        <v>177.57500000000002</v>
      </c>
      <c r="N1962" s="250">
        <v>-571057</v>
      </c>
      <c r="O1962" s="251">
        <f>IF($N1962&gt;0,(LEFT(TEXT($N1962,"000000"),2)+(MID(TEXT($N1962,"000000"),3,2)/60)+(RIGHT(TEXT($N1962,"000000"),2)/3600)),-(MID(TEXT($N1962,"000000"),2,2)+(MID(TEXT($N1962,"000000"),4,2)/60)+(RIGHT(TEXT($N1962,"000000"),2)/3600)))</f>
        <v>-57.182499999999997</v>
      </c>
      <c r="P1962" s="252" t="s">
        <v>927</v>
      </c>
      <c r="Q1962" s="253"/>
      <c r="R1962" s="247" t="s">
        <v>3293</v>
      </c>
      <c r="S1962" s="272" t="s">
        <v>3293</v>
      </c>
      <c r="T1962" s="273">
        <v>8.4</v>
      </c>
      <c r="U1962" s="274"/>
      <c r="V1962" s="280"/>
      <c r="W1962" s="244"/>
      <c r="X1962" s="244"/>
      <c r="Y1962" s="362"/>
      <c r="Z1962" s="257">
        <f>altaz(J2000_Bas,$O1962,$M1962,DecLat,DecLong,1)</f>
        <v>-35.428553045913446</v>
      </c>
      <c r="AA1962" s="257">
        <f>altaz((J2000_Bas+(2*0.04167)),$O1962,$M1962,DecLat,DecLong,1)</f>
        <v>-51.337070865766677</v>
      </c>
      <c r="AB1962" s="257">
        <f>altaz((J2000_Bas+(4*0.04167)),$O1962,$M1962,DecLat,DecLong,1)</f>
        <v>-62.650766789122393</v>
      </c>
      <c r="AC1962" s="257">
        <f>altaz((J2000_Bas+(6*0.04167)),$O1962,$M1962,DecLat,DecLong,1)</f>
        <v>-60.799540521047987</v>
      </c>
      <c r="AD1962" s="258">
        <f>1+ transit((J2000_Bas-1),$O1962,$M1962,DecLat,DecLong)/360 + (GMTOffset/24) + (IF(DST="Y", 1, 0)/24)</f>
        <v>1.4861638001922082</v>
      </c>
      <c r="AE1962" s="259">
        <f>DATE(2001,9,21)+(M1962/360)*365 - (360*((DecLong/360)- (GMTOffset/24) ))</f>
        <v>37340.041319444441</v>
      </c>
      <c r="AF1962" s="260">
        <f>IF(DecLat&gt;0,IF((90 - (DecLat-O1962))&gt;90, (90 - (O1962-DecLat)), (90 - (DecLat-O1962))),IF((90 + (DecLat-O1962))&gt;90, (90 + (O1962-DecLat)), (90 + (DecLat-O1962))))</f>
        <v>1.8174999999999955</v>
      </c>
      <c r="AG1962" s="257">
        <f>angularseperation(MoonRA,MoonDec,$M1962,$O1962)</f>
        <v>57.696168367708296</v>
      </c>
      <c r="AH1962" s="261">
        <f ca="1">MIN(100,IF($O$5&gt;80,0+30*($AG1962/100),IF($O$5&gt;70,0+50*($AG1962/100),IF($O$5&gt;60,5+50*($AG1962/100),IF($O$5&gt;50,10+60*($AG1962/100),IF($O$5&gt;40,15+70*($AG1962/100),IF($O$5&gt;30,20+70*($AG1962/100),IF($O$5&gt;20,40+55*($AG1962/100),(80+(20-$O$5)+30*($AG1962/100))))))))))</f>
        <v>100</v>
      </c>
      <c r="AI1962" s="262">
        <v>3918</v>
      </c>
      <c r="AJ1962" s="262"/>
      <c r="AK1962" s="262"/>
      <c r="AL1962" s="263"/>
      <c r="AM1962" s="264"/>
      <c r="AN1962" s="263"/>
      <c r="AO1962" s="263"/>
      <c r="AP1962" s="265"/>
      <c r="AQ1962" s="266"/>
      <c r="AR1962" s="267"/>
      <c r="AS1962" s="263"/>
      <c r="AT1962" s="263"/>
      <c r="AU1962" s="263"/>
      <c r="AV1962" s="264"/>
      <c r="AW1962" s="263"/>
      <c r="AX1962" s="263"/>
      <c r="AY1962" s="263"/>
      <c r="AZ1962" s="263"/>
      <c r="BA1962" s="263"/>
      <c r="BB1962" s="263"/>
      <c r="BC1962" s="263"/>
      <c r="BD1962" s="264"/>
      <c r="BE1962" s="263"/>
      <c r="BF1962" s="263"/>
      <c r="BG1962" s="263"/>
      <c r="BH1962" s="263"/>
      <c r="BI1962" s="263"/>
      <c r="BJ1962" s="404">
        <f>altaz(J2000_Bas,$O1962,$M1962,DecLat,DecLong,2)</f>
        <v>219.12498611553232</v>
      </c>
      <c r="BK1962" s="378" t="s">
        <v>8625</v>
      </c>
      <c r="BL1962" s="379">
        <f>IF((2*G1962)/60&lt;0.2,0.2,(2*G1962)/60)</f>
        <v>0.2</v>
      </c>
      <c r="BM1962" s="380">
        <f>MOD((50000+AD1962-$B$3+(0/24)),1)</f>
        <v>0.70153072989342036</v>
      </c>
      <c r="BN1962" s="381"/>
      <c r="BO1962" s="382">
        <v>1954</v>
      </c>
    </row>
    <row r="1963" spans="1:67" s="24" customFormat="1" ht="15" customHeight="1" x14ac:dyDescent="0.25">
      <c r="A1963" s="288" t="s">
        <v>1904</v>
      </c>
      <c r="B1963" s="241" t="str">
        <f>HYPERLINK(CONCATENATE($AT$3,BK1963,$AU$3),$AV$3)</f>
        <v>S</v>
      </c>
      <c r="C1963" s="242" t="str">
        <f>HYPERLINK(CONCATENATE($AT$4,BK1963,$AU$4,BL1963),$AV$4)</f>
        <v>A</v>
      </c>
      <c r="D1963" s="243" t="s">
        <v>5638</v>
      </c>
      <c r="E1963" s="244" t="s">
        <v>5193</v>
      </c>
      <c r="F1963" s="269" t="s">
        <v>9118</v>
      </c>
      <c r="G1963" s="273">
        <v>5</v>
      </c>
      <c r="H1963" s="283">
        <v>70</v>
      </c>
      <c r="I1963" s="246">
        <v>100</v>
      </c>
      <c r="J1963" s="246">
        <v>2</v>
      </c>
      <c r="K1963" s="247" t="s">
        <v>7765</v>
      </c>
      <c r="L1963" s="248">
        <v>115102</v>
      </c>
      <c r="M1963" s="249">
        <f>15*(LEFT(TEXT($L1963,"000000"),2)+(MID(TEXT($L1963,"000000"),3,2)/60)+(RIGHT(TEXT($L1963,"000000"),2)/3600))</f>
        <v>177.75833333333333</v>
      </c>
      <c r="N1963" s="250">
        <v>-284823</v>
      </c>
      <c r="O1963" s="251">
        <f>IF($N1963&gt;0,(LEFT(TEXT($N1963,"000000"),2)+(MID(TEXT($N1963,"000000"),3,2)/60)+(RIGHT(TEXT($N1963,"000000"),2)/3600)),-(MID(TEXT($N1963,"000000"),2,2)+(MID(TEXT($N1963,"000000"),4,2)/60)+(RIGHT(TEXT($N1963,"000000"),2)/3600)))</f>
        <v>-28.80638888888889</v>
      </c>
      <c r="P1963" s="252" t="s">
        <v>103</v>
      </c>
      <c r="Q1963" s="253"/>
      <c r="R1963" s="247" t="s">
        <v>3293</v>
      </c>
      <c r="S1963" s="272" t="s">
        <v>3293</v>
      </c>
      <c r="T1963" s="273">
        <v>9.8000000000000007</v>
      </c>
      <c r="U1963" s="289">
        <v>22.09</v>
      </c>
      <c r="V1963" s="280"/>
      <c r="W1963" s="244"/>
      <c r="X1963" s="244"/>
      <c r="Y1963" s="362"/>
      <c r="Z1963" s="257">
        <f>altaz(J2000_Bas,$O1963,$M1963,DecLat,DecLong,1)</f>
        <v>-28.902242961282351</v>
      </c>
      <c r="AA1963" s="257">
        <f>altaz((J2000_Bas+(2*0.04167)),$O1963,$M1963,DecLat,DecLong,1)</f>
        <v>-54.019764670280999</v>
      </c>
      <c r="AB1963" s="257">
        <f>altaz((J2000_Bas+(4*0.04167)),$O1963,$M1963,DecLat,DecLong,1)</f>
        <v>-79.724532969397202</v>
      </c>
      <c r="AC1963" s="257">
        <f>altaz((J2000_Bas+(6*0.04167)),$O1963,$M1963,DecLat,DecLong,1)</f>
        <v>-73.83459339794021</v>
      </c>
      <c r="AD1963" s="258">
        <f>1+ transit((J2000_Bas-1),$O1963,$M1963,DecLat,DecLong)/360 + (GMTOffset/24) + (IF(DST="Y", 1, 0)/24)</f>
        <v>1.4866730594005413</v>
      </c>
      <c r="AE1963" s="259">
        <f>DATE(2001,9,21)+(M1963/360)*365 - (360*((DecLong/360)- (GMTOffset/24) ))</f>
        <v>37340.227199074077</v>
      </c>
      <c r="AF1963" s="260">
        <f>IF(DecLat&gt;0,IF((90 - (DecLat-O1963))&gt;90, (90 - (O1963-DecLat)), (90 - (DecLat-O1963))),IF((90 + (DecLat-O1963))&gt;90, (90 + (O1963-DecLat)), (90 + (DecLat-O1963))))</f>
        <v>30.19361111111111</v>
      </c>
      <c r="AG1963" s="257">
        <f>angularseperation(MoonRA,MoonDec,$M1963,$O1963)</f>
        <v>62.150736550265691</v>
      </c>
      <c r="AH1963" s="261">
        <f ca="1">MIN(100,IF($O$5&gt;80,0+30*($AG1963/100),IF($O$5&gt;70,0+50*($AG1963/100),IF($O$5&gt;60,5+50*($AG1963/100),IF($O$5&gt;50,10+60*($AG1963/100),IF($O$5&gt;40,15+70*($AG1963/100),IF($O$5&gt;30,20+70*($AG1963/100),IF($O$5&gt;20,40+55*($AG1963/100),(80+(20-$O$5)+30*($AG1963/100))))))))))</f>
        <v>100</v>
      </c>
      <c r="AI1963" s="262">
        <v>3923</v>
      </c>
      <c r="AJ1963" s="262"/>
      <c r="AK1963" s="262"/>
      <c r="AL1963" s="263"/>
      <c r="AM1963" s="264"/>
      <c r="AN1963" s="263"/>
      <c r="AO1963" s="263"/>
      <c r="AP1963" s="265"/>
      <c r="AQ1963" s="266"/>
      <c r="AR1963" s="267">
        <v>37061</v>
      </c>
      <c r="AS1963" s="263"/>
      <c r="AT1963" s="263"/>
      <c r="AU1963" s="263"/>
      <c r="AV1963" s="264"/>
      <c r="AW1963" s="263"/>
      <c r="AX1963" s="263"/>
      <c r="AY1963" s="263"/>
      <c r="AZ1963" s="263"/>
      <c r="BA1963" s="263"/>
      <c r="BB1963" s="263"/>
      <c r="BC1963" s="263"/>
      <c r="BD1963" s="264"/>
      <c r="BE1963" s="263"/>
      <c r="BF1963" s="263"/>
      <c r="BG1963" s="263"/>
      <c r="BH1963" s="263"/>
      <c r="BI1963" s="263"/>
      <c r="BJ1963" s="404">
        <f>altaz(J2000_Bas,$O1963,$M1963,DecLat,DecLong,2)</f>
        <v>251.91668554873473</v>
      </c>
      <c r="BK1963" s="378" t="s">
        <v>1904</v>
      </c>
      <c r="BL1963" s="379">
        <f>IF((2*G1963)/60&lt;0.2,0.2,(2*G1963)/60)</f>
        <v>0.2</v>
      </c>
      <c r="BM1963" s="380">
        <f>MOD((50000+AD1963-$B$3+(0/24)),1)</f>
        <v>0.70203998910437804</v>
      </c>
      <c r="BN1963" s="381"/>
      <c r="BO1963" s="382">
        <v>1955</v>
      </c>
    </row>
    <row r="1964" spans="1:67" s="24" customFormat="1" ht="15" customHeight="1" x14ac:dyDescent="0.25">
      <c r="A1964" s="288" t="s">
        <v>1905</v>
      </c>
      <c r="B1964" s="241" t="str">
        <f>HYPERLINK(CONCATENATE($AT$3,BK1964,$AU$3),$AV$3)</f>
        <v>S</v>
      </c>
      <c r="C1964" s="242" t="str">
        <f>HYPERLINK(CONCATENATE($AT$4,BK1964,$AU$4,BL1964),$AV$4)</f>
        <v>A</v>
      </c>
      <c r="D1964" s="243" t="s">
        <v>5638</v>
      </c>
      <c r="E1964" s="244" t="s">
        <v>5192</v>
      </c>
      <c r="F1964" s="269" t="s">
        <v>8809</v>
      </c>
      <c r="G1964" s="273">
        <v>5</v>
      </c>
      <c r="H1964" s="283">
        <v>50</v>
      </c>
      <c r="I1964" s="246">
        <v>75</v>
      </c>
      <c r="J1964" s="246">
        <v>3</v>
      </c>
      <c r="K1964" s="247" t="s">
        <v>7766</v>
      </c>
      <c r="L1964" s="248">
        <v>115249</v>
      </c>
      <c r="M1964" s="249">
        <f>15*(LEFT(TEXT($L1964,"000000"),2)+(MID(TEXT($L1964,"000000"),3,2)/60)+(RIGHT(TEXT($L1964,"000000"),2)/3600))</f>
        <v>178.20416666666665</v>
      </c>
      <c r="N1964" s="250">
        <v>440714</v>
      </c>
      <c r="O1964" s="251">
        <f>IF($N1964&gt;0,(LEFT(TEXT($N1964,"000000"),2)+(MID(TEXT($N1964,"000000"),3,2)/60)+(RIGHT(TEXT($N1964,"000000"),2)/3600)),-(MID(TEXT($N1964,"000000"),2,2)+(MID(TEXT($N1964,"000000"),4,2)/60)+(RIGHT(TEXT($N1964,"000000"),2)/3600)))</f>
        <v>44.120555555555555</v>
      </c>
      <c r="P1964" s="252" t="s">
        <v>37</v>
      </c>
      <c r="Q1964" s="253"/>
      <c r="R1964" s="247" t="s">
        <v>3293</v>
      </c>
      <c r="S1964" s="272" t="s">
        <v>3293</v>
      </c>
      <c r="T1964" s="273">
        <v>10.4</v>
      </c>
      <c r="U1964" s="289">
        <v>22.69</v>
      </c>
      <c r="V1964" s="280">
        <v>5</v>
      </c>
      <c r="W1964" s="244"/>
      <c r="X1964" s="244"/>
      <c r="Y1964" s="362"/>
      <c r="Z1964" s="257">
        <f>altaz(J2000_Bas,$O1964,$M1964,DecLat,DecLong,1)</f>
        <v>9.8147602886298611</v>
      </c>
      <c r="AA1964" s="257">
        <f>altaz((J2000_Bas+(2*0.04167)),$O1964,$M1964,DecLat,DecLong,1)</f>
        <v>-5.6177384458022468</v>
      </c>
      <c r="AB1964" s="257">
        <f>altaz((J2000_Bas+(4*0.04167)),$O1964,$M1964,DecLat,DecLong,1)</f>
        <v>-14.079433400159942</v>
      </c>
      <c r="AC1964" s="257">
        <f>altaz((J2000_Bas+(6*0.04167)),$O1964,$M1964,DecLat,DecLong,1)</f>
        <v>-13.090867239129732</v>
      </c>
      <c r="AD1964" s="258">
        <f>1+ transit((J2000_Bas-1),$O1964,$M1964,DecLat,DecLong)/360 + (GMTOffset/24) + (IF(DST="Y", 1, 0)/24)</f>
        <v>1.4879114852026245</v>
      </c>
      <c r="AE1964" s="259">
        <f>DATE(2001,9,21)+(M1964/360)*365 - (360*((DecLong/360)- (GMTOffset/24) ))</f>
        <v>37340.679224537038</v>
      </c>
      <c r="AF1964" s="260">
        <f>IF(DecLat&gt;0,IF((90 - (DecLat-O1964))&gt;90, (90 - (O1964-DecLat)), (90 - (DecLat-O1964))),IF((90 + (DecLat-O1964))&gt;90, (90 + (O1964-DecLat)), (90 + (DecLat-O1964))))</f>
        <v>76.879444444444445</v>
      </c>
      <c r="AG1964" s="257">
        <f>angularseperation(MoonRA,MoonDec,$M1964,$O1964)</f>
        <v>96.273517678372713</v>
      </c>
      <c r="AH1964" s="261">
        <f ca="1">MIN(100,IF($O$5&gt;80,0+30*($AG1964/100),IF($O$5&gt;70,0+50*($AG1964/100),IF($O$5&gt;60,5+50*($AG1964/100),IF($O$5&gt;50,10+60*($AG1964/100),IF($O$5&gt;40,15+70*($AG1964/100),IF($O$5&gt;30,20+70*($AG1964/100),IF($O$5&gt;20,40+55*($AG1964/100),(80+(20-$O$5)+30*($AG1964/100))))))))))</f>
        <v>100</v>
      </c>
      <c r="AI1964" s="262">
        <v>3938</v>
      </c>
      <c r="AJ1964" s="262"/>
      <c r="AK1964" s="262">
        <v>191</v>
      </c>
      <c r="AL1964" s="263"/>
      <c r="AM1964" s="264"/>
      <c r="AN1964" s="263"/>
      <c r="AO1964" s="263"/>
      <c r="AP1964" s="265"/>
      <c r="AQ1964" s="266">
        <v>6856</v>
      </c>
      <c r="AR1964" s="267">
        <v>37229</v>
      </c>
      <c r="AS1964" s="263"/>
      <c r="AT1964" s="263"/>
      <c r="AU1964" s="263"/>
      <c r="AV1964" s="264"/>
      <c r="AW1964" s="263"/>
      <c r="AX1964" s="263"/>
      <c r="AY1964" s="263"/>
      <c r="AZ1964" s="263"/>
      <c r="BA1964" s="263"/>
      <c r="BB1964" s="263"/>
      <c r="BC1964" s="263"/>
      <c r="BD1964" s="264"/>
      <c r="BE1964" s="263"/>
      <c r="BF1964" s="263"/>
      <c r="BG1964" s="263"/>
      <c r="BH1964" s="263"/>
      <c r="BI1964" s="263"/>
      <c r="BJ1964" s="404">
        <f>altaz(J2000_Bas,$O1964,$M1964,DecLat,DecLong,2)</f>
        <v>316.07868534179858</v>
      </c>
      <c r="BK1964" s="378" t="s">
        <v>1905</v>
      </c>
      <c r="BL1964" s="379">
        <f>IF((2*G1964)/60&lt;0.2,0.2,(2*G1964)/60)</f>
        <v>0.2</v>
      </c>
      <c r="BM1964" s="380">
        <f>MOD((50000+AD1964-$B$3+(0/24)),1)</f>
        <v>0.70327841490507126</v>
      </c>
      <c r="BN1964" s="381" t="s">
        <v>9220</v>
      </c>
      <c r="BO1964" s="382">
        <v>1956</v>
      </c>
    </row>
    <row r="1965" spans="1:67" s="24" customFormat="1" ht="15" customHeight="1" x14ac:dyDescent="0.25">
      <c r="A1965" s="287" t="s">
        <v>2996</v>
      </c>
      <c r="B1965" s="241" t="str">
        <f>HYPERLINK(CONCATENATE($AT$3,BK1965,$AU$3),$AV$3)</f>
        <v>S</v>
      </c>
      <c r="C1965" s="242" t="str">
        <f>HYPERLINK(CONCATENATE($AT$4,BK1965,$AU$4,BL1965),$AV$4)</f>
        <v>A</v>
      </c>
      <c r="D1965" s="243" t="s">
        <v>5638</v>
      </c>
      <c r="E1965" s="244" t="s">
        <v>5182</v>
      </c>
      <c r="F1965" s="269" t="s">
        <v>8903</v>
      </c>
      <c r="G1965" s="273">
        <v>3.2</v>
      </c>
      <c r="H1965" s="283">
        <v>40</v>
      </c>
      <c r="I1965" s="246">
        <v>40</v>
      </c>
      <c r="J1965" s="246">
        <v>2</v>
      </c>
      <c r="K1965" s="247" t="s">
        <v>7767</v>
      </c>
      <c r="L1965" s="248">
        <v>115254</v>
      </c>
      <c r="M1965" s="249">
        <f>15*(LEFT(TEXT($L1965,"000000"),2)+(MID(TEXT($L1965,"000000"),3,2)/60)+(RIGHT(TEXT($L1965,"000000"),2)/3600))</f>
        <v>178.22500000000002</v>
      </c>
      <c r="N1965" s="250">
        <v>365900</v>
      </c>
      <c r="O1965" s="251">
        <f>IF($N1965&gt;0,(LEFT(TEXT($N1965,"000000"),2)+(MID(TEXT($N1965,"000000"),3,2)/60)+(RIGHT(TEXT($N1965,"000000"),2)/3600)),-(MID(TEXT($N1965,"000000"),2,2)+(MID(TEXT($N1965,"000000"),4,2)/60)+(RIGHT(TEXT($N1965,"000000"),2)/3600)))</f>
        <v>36.983333333333334</v>
      </c>
      <c r="P1965" s="252" t="s">
        <v>37</v>
      </c>
      <c r="Q1965" s="253"/>
      <c r="R1965" s="277" t="s">
        <v>3293</v>
      </c>
      <c r="S1965" s="272" t="s">
        <v>3293</v>
      </c>
      <c r="T1965" s="273">
        <v>11.6</v>
      </c>
      <c r="U1965" s="289">
        <v>21.39</v>
      </c>
      <c r="V1965" s="280">
        <v>45</v>
      </c>
      <c r="W1965" s="244"/>
      <c r="X1965" s="244"/>
      <c r="Y1965" s="362"/>
      <c r="Z1965" s="257">
        <f>altaz(J2000_Bas,$O1965,$M1965,DecLat,DecLong,1)</f>
        <v>5.7840095257359909</v>
      </c>
      <c r="AA1965" s="257">
        <f>altaz((J2000_Bas+(2*0.04167)),$O1965,$M1965,DecLat,DecLong,1)</f>
        <v>-11.414198982997263</v>
      </c>
      <c r="AB1965" s="257">
        <f>altaz((J2000_Bas+(4*0.04167)),$O1965,$M1965,DecLat,DecLong,1)</f>
        <v>-21.086744002207812</v>
      </c>
      <c r="AC1965" s="257">
        <f>altaz((J2000_Bas+(6*0.04167)),$O1965,$M1965,DecLat,DecLong,1)</f>
        <v>-19.952954691310698</v>
      </c>
      <c r="AD1965" s="258">
        <f>1+ transit((J2000_Bas-1),$O1965,$M1965,DecLat,DecLong)/360 + (GMTOffset/24) + (IF(DST="Y", 1, 0)/24)</f>
        <v>1.487969355567208</v>
      </c>
      <c r="AE1965" s="259">
        <f>DATE(2001,9,21)+(M1965/360)*365 - (360*((DecLong/360)- (GMTOffset/24) ))</f>
        <v>37340.70034722222</v>
      </c>
      <c r="AF1965" s="260">
        <f>IF(DecLat&gt;0,IF((90 - (DecLat-O1965))&gt;90, (90 - (O1965-DecLat)), (90 - (DecLat-O1965))),IF((90 + (DecLat-O1965))&gt;90, (90 + (O1965-DecLat)), (90 + (DecLat-O1965))))</f>
        <v>84.016666666666666</v>
      </c>
      <c r="AG1965" s="257">
        <f>angularseperation(MoonRA,MoonDec,$M1965,$O1965)</f>
        <v>92.438651252872233</v>
      </c>
      <c r="AH1965" s="261">
        <f ca="1">MIN(100,IF($O$5&gt;80,0+30*($AG1965/100),IF($O$5&gt;70,0+50*($AG1965/100),IF($O$5&gt;60,5+50*($AG1965/100),IF($O$5&gt;50,10+60*($AG1965/100),IF($O$5&gt;40,15+70*($AG1965/100),IF($O$5&gt;30,20+70*($AG1965/100),IF($O$5&gt;20,40+55*($AG1965/100),(80+(20-$O$5)+30*($AG1965/100))))))))))</f>
        <v>100</v>
      </c>
      <c r="AI1965" s="262">
        <v>3941</v>
      </c>
      <c r="AJ1965" s="263"/>
      <c r="AK1965" s="263">
        <v>192</v>
      </c>
      <c r="AL1965" s="263"/>
      <c r="AM1965" s="264"/>
      <c r="AN1965" s="263"/>
      <c r="AO1965" s="263"/>
      <c r="AP1965" s="265"/>
      <c r="AQ1965" s="265">
        <v>6857</v>
      </c>
      <c r="AR1965" s="285">
        <v>37235</v>
      </c>
      <c r="AS1965" s="263"/>
      <c r="AT1965" s="263"/>
      <c r="AU1965" s="263"/>
      <c r="AV1965" s="264"/>
      <c r="AW1965" s="263"/>
      <c r="AX1965" s="263"/>
      <c r="AY1965" s="263"/>
      <c r="AZ1965" s="263"/>
      <c r="BA1965" s="263"/>
      <c r="BB1965" s="263"/>
      <c r="BC1965" s="263"/>
      <c r="BD1965" s="264"/>
      <c r="BE1965" s="263"/>
      <c r="BF1965" s="263"/>
      <c r="BG1965" s="263"/>
      <c r="BH1965" s="263"/>
      <c r="BI1965" s="263"/>
      <c r="BJ1965" s="404">
        <f>altaz(J2000_Bas,$O1965,$M1965,DecLat,DecLong,2)</f>
        <v>310.13224739184318</v>
      </c>
      <c r="BK1965" s="378" t="s">
        <v>2996</v>
      </c>
      <c r="BL1965" s="379">
        <f>IF((2*G1965)/60&lt;0.2,0.2,(2*G1965)/60)</f>
        <v>0.2</v>
      </c>
      <c r="BM1965" s="380">
        <f>MOD((50000+AD1965-$B$3+(0/24)),1)</f>
        <v>0.70333628527441761</v>
      </c>
      <c r="BN1965" s="381"/>
      <c r="BO1965" s="382">
        <v>1957</v>
      </c>
    </row>
    <row r="1966" spans="1:67" s="24" customFormat="1" ht="15" customHeight="1" x14ac:dyDescent="0.25">
      <c r="A1966" s="288" t="s">
        <v>1906</v>
      </c>
      <c r="B1966" s="241" t="str">
        <f>HYPERLINK(CONCATENATE($AT$3,BK1966,$AU$3),$AV$3)</f>
        <v>S</v>
      </c>
      <c r="C1966" s="242" t="str">
        <f>HYPERLINK(CONCATENATE($AT$4,BK1966,$AU$4,BL1966),$AV$4)</f>
        <v>A</v>
      </c>
      <c r="D1966" s="243" t="s">
        <v>5638</v>
      </c>
      <c r="E1966" s="244" t="s">
        <v>5182</v>
      </c>
      <c r="F1966" s="269" t="s">
        <v>8958</v>
      </c>
      <c r="G1966" s="273">
        <v>5.5</v>
      </c>
      <c r="H1966" s="283">
        <v>75</v>
      </c>
      <c r="I1966" s="246">
        <v>120</v>
      </c>
      <c r="J1966" s="246">
        <v>2</v>
      </c>
      <c r="K1966" s="247" t="s">
        <v>7768</v>
      </c>
      <c r="L1966" s="248">
        <v>115314</v>
      </c>
      <c r="M1966" s="249">
        <f>15*(LEFT(TEXT($L1966,"000000"),2)+(MID(TEXT($L1966,"000000"),3,2)/60)+(RIGHT(TEXT($L1966,"000000"),2)/3600))</f>
        <v>178.30833333333334</v>
      </c>
      <c r="N1966" s="250">
        <v>604033</v>
      </c>
      <c r="O1966" s="251">
        <f>IF($N1966&gt;0,(LEFT(TEXT($N1966,"000000"),2)+(MID(TEXT($N1966,"000000"),3,2)/60)+(RIGHT(TEXT($N1966,"000000"),2)/3600)),-(MID(TEXT($N1966,"000000"),2,2)+(MID(TEXT($N1966,"000000"),4,2)/60)+(RIGHT(TEXT($N1966,"000000"),2)/3600)))</f>
        <v>60.67583333333333</v>
      </c>
      <c r="P1966" s="252" t="s">
        <v>37</v>
      </c>
      <c r="Q1966" s="253"/>
      <c r="R1966" s="247" t="s">
        <v>3293</v>
      </c>
      <c r="S1966" s="272" t="s">
        <v>3293</v>
      </c>
      <c r="T1966" s="273">
        <v>10.9</v>
      </c>
      <c r="U1966" s="289">
        <v>22.69</v>
      </c>
      <c r="V1966" s="280">
        <v>65</v>
      </c>
      <c r="W1966" s="244"/>
      <c r="X1966" s="244"/>
      <c r="Y1966" s="362"/>
      <c r="Z1966" s="257">
        <f>altaz(J2000_Bas,$O1966,$M1966,DecLat,DecLong,1)</f>
        <v>18.75063268359656</v>
      </c>
      <c r="AA1966" s="257">
        <f>altaz((J2000_Bas+(2*0.04167)),$O1966,$M1966,DecLat,DecLong,1)</f>
        <v>7.9413003879399495</v>
      </c>
      <c r="AB1966" s="257">
        <f>altaz((J2000_Bas+(4*0.04167)),$O1966,$M1966,DecLat,DecLong,1)</f>
        <v>2.2137442690666829</v>
      </c>
      <c r="AC1966" s="257">
        <f>altaz((J2000_Bas+(6*0.04167)),$O1966,$M1966,DecLat,DecLong,1)</f>
        <v>2.8472405242115957</v>
      </c>
      <c r="AD1966" s="258">
        <f>1+ transit((J2000_Bas-1),$O1966,$M1966,DecLat,DecLong)/360 + (GMTOffset/24) + (IF(DST="Y", 1, 0)/24)</f>
        <v>1.4882008370255415</v>
      </c>
      <c r="AE1966" s="259">
        <f>DATE(2001,9,21)+(M1966/360)*365 - (360*((DecLong/360)- (GMTOffset/24) ))</f>
        <v>37340.784837962965</v>
      </c>
      <c r="AF1966" s="260">
        <f>IF(DecLat&gt;0,IF((90 - (DecLat-O1966))&gt;90, (90 - (O1966-DecLat)), (90 - (DecLat-O1966))),IF((90 + (DecLat-O1966))&gt;90, (90 + (O1966-DecLat)), (90 + (DecLat-O1966))))</f>
        <v>60.32416666666667</v>
      </c>
      <c r="AG1966" s="257">
        <f>angularseperation(MoonRA,MoonDec,$M1966,$O1966)</f>
        <v>104.74498516586571</v>
      </c>
      <c r="AH1966" s="261">
        <f ca="1">MIN(100,IF($O$5&gt;80,0+30*($AG1966/100),IF($O$5&gt;70,0+50*($AG1966/100),IF($O$5&gt;60,5+50*($AG1966/100),IF($O$5&gt;50,10+60*($AG1966/100),IF($O$5&gt;40,15+70*($AG1966/100),IF($O$5&gt;30,20+70*($AG1966/100),IF($O$5&gt;20,40+55*($AG1966/100),(80+(20-$O$5)+30*($AG1966/100))))))))))</f>
        <v>100</v>
      </c>
      <c r="AI1966" s="262">
        <v>3945</v>
      </c>
      <c r="AJ1966" s="262"/>
      <c r="AK1966" s="262">
        <v>193</v>
      </c>
      <c r="AL1966" s="263"/>
      <c r="AM1966" s="264"/>
      <c r="AN1966" s="263"/>
      <c r="AO1966" s="263"/>
      <c r="AP1966" s="265"/>
      <c r="AQ1966" s="266">
        <v>6860</v>
      </c>
      <c r="AR1966" s="267">
        <v>37258</v>
      </c>
      <c r="AS1966" s="263"/>
      <c r="AT1966" s="263"/>
      <c r="AU1966" s="263"/>
      <c r="AV1966" s="264"/>
      <c r="AW1966" s="263"/>
      <c r="AX1966" s="263"/>
      <c r="AY1966" s="263"/>
      <c r="AZ1966" s="263"/>
      <c r="BA1966" s="263"/>
      <c r="BB1966" s="263"/>
      <c r="BC1966" s="263"/>
      <c r="BD1966" s="264"/>
      <c r="BE1966" s="263"/>
      <c r="BF1966" s="263"/>
      <c r="BG1966" s="263"/>
      <c r="BH1966" s="263"/>
      <c r="BI1966" s="263"/>
      <c r="BJ1966" s="404">
        <f>altaz(J2000_Bas,$O1966,$M1966,DecLat,DecLong,2)</f>
        <v>330.47969427800462</v>
      </c>
      <c r="BK1966" s="378" t="s">
        <v>1906</v>
      </c>
      <c r="BL1966" s="379">
        <f>IF((2*G1966)/60&lt;0.2,0.2,(2*G1966)/60)</f>
        <v>0.2</v>
      </c>
      <c r="BM1966" s="380">
        <f>MOD((50000+AD1966-$B$3+(0/24)),1)</f>
        <v>0.70356776672997512</v>
      </c>
      <c r="BN1966" s="381"/>
      <c r="BO1966" s="382">
        <v>1958</v>
      </c>
    </row>
    <row r="1967" spans="1:67" s="24" customFormat="1" ht="15" customHeight="1" x14ac:dyDescent="0.25">
      <c r="A1967" s="287" t="s">
        <v>1907</v>
      </c>
      <c r="B1967" s="241" t="str">
        <f>HYPERLINK(CONCATENATE($AT$3,BK1967,$AU$3),$AV$3)</f>
        <v>S</v>
      </c>
      <c r="C1967" s="242" t="str">
        <f>HYPERLINK(CONCATENATE($AT$4,BK1967,$AU$4,BL1967),$AV$4)</f>
        <v>A</v>
      </c>
      <c r="D1967" s="243" t="s">
        <v>5638</v>
      </c>
      <c r="E1967" s="244" t="s">
        <v>5192</v>
      </c>
      <c r="F1967" s="269" t="s">
        <v>8699</v>
      </c>
      <c r="G1967" s="273">
        <v>2.6</v>
      </c>
      <c r="H1967" s="283">
        <v>55</v>
      </c>
      <c r="I1967" s="246">
        <v>42</v>
      </c>
      <c r="J1967" s="246">
        <v>2</v>
      </c>
      <c r="K1967" s="247" t="s">
        <v>7769</v>
      </c>
      <c r="L1967" s="248">
        <v>115342</v>
      </c>
      <c r="M1967" s="249">
        <f>15*(LEFT(TEXT($L1967,"000000"),2)+(MID(TEXT($L1967,"000000"),3,2)/60)+(RIGHT(TEXT($L1967,"000000"),2)/3600))</f>
        <v>178.42499999999998</v>
      </c>
      <c r="N1967" s="250">
        <v>475132</v>
      </c>
      <c r="O1967" s="251">
        <f>IF($N1967&gt;0,(LEFT(TEXT($N1967,"000000"),2)+(MID(TEXT($N1967,"000000"),3,2)/60)+(RIGHT(TEXT($N1967,"000000"),2)/3600)),-(MID(TEXT($N1967,"000000"),2,2)+(MID(TEXT($N1967,"000000"),4,2)/60)+(RIGHT(TEXT($N1967,"000000"),2)/3600)))</f>
        <v>47.858888888888892</v>
      </c>
      <c r="P1967" s="252" t="s">
        <v>37</v>
      </c>
      <c r="Q1967" s="253"/>
      <c r="R1967" s="277" t="s">
        <v>3293</v>
      </c>
      <c r="S1967" s="272" t="s">
        <v>3293</v>
      </c>
      <c r="T1967" s="273">
        <v>11.1</v>
      </c>
      <c r="U1967" s="289">
        <v>21.490000000000002</v>
      </c>
      <c r="V1967" s="280">
        <v>50</v>
      </c>
      <c r="W1967" s="244"/>
      <c r="X1967" s="244"/>
      <c r="Y1967" s="362"/>
      <c r="Z1967" s="257">
        <f>altaz(J2000_Bas,$O1967,$M1967,DecLat,DecLong,1)</f>
        <v>12.017583088860091</v>
      </c>
      <c r="AA1967" s="257">
        <f>altaz((J2000_Bas+(2*0.04167)),$O1967,$M1967,DecLat,DecLong,1)</f>
        <v>-2.4774375199317951</v>
      </c>
      <c r="AB1967" s="257">
        <f>altaz((J2000_Bas+(4*0.04167)),$O1967,$M1967,DecLat,DecLong,1)</f>
        <v>-10.376987411132697</v>
      </c>
      <c r="AC1967" s="257">
        <f>altaz((J2000_Bas+(6*0.04167)),$O1967,$M1967,DecLat,DecLong,1)</f>
        <v>-9.5320034853142808</v>
      </c>
      <c r="AD1967" s="258">
        <f>1+ transit((J2000_Bas-1),$O1967,$M1967,DecLat,DecLong)/360 + (GMTOffset/24) + (IF(DST="Y", 1, 0)/24)</f>
        <v>1.4885249110672081</v>
      </c>
      <c r="AE1967" s="259">
        <f>DATE(2001,9,21)+(M1967/360)*365 - (360*((DecLong/360)- (GMTOffset/24) ))</f>
        <v>37340.903124999997</v>
      </c>
      <c r="AF1967" s="260">
        <f>IF(DecLat&gt;0,IF((90 - (DecLat-O1967))&gt;90, (90 - (O1967-DecLat)), (90 - (DecLat-O1967))),IF((90 + (DecLat-O1967))&gt;90, (90 + (O1967-DecLat)), (90 + (DecLat-O1967))))</f>
        <v>73.141111111111115</v>
      </c>
      <c r="AG1967" s="257">
        <f>angularseperation(MoonRA,MoonDec,$M1967,$O1967)</f>
        <v>98.123580486907571</v>
      </c>
      <c r="AH1967" s="261">
        <f ca="1">MIN(100,IF($O$5&gt;80,0+30*($AG1967/100),IF($O$5&gt;70,0+50*($AG1967/100),IF($O$5&gt;60,5+50*($AG1967/100),IF($O$5&gt;50,10+60*($AG1967/100),IF($O$5&gt;40,15+70*($AG1967/100),IF($O$5&gt;30,20+70*($AG1967/100),IF($O$5&gt;20,40+55*($AG1967/100),(80+(20-$O$5)+30*($AG1967/100))))))))))</f>
        <v>100</v>
      </c>
      <c r="AI1967" s="262">
        <v>3949</v>
      </c>
      <c r="AJ1967" s="263"/>
      <c r="AK1967" s="263">
        <v>194</v>
      </c>
      <c r="AL1967" s="263"/>
      <c r="AM1967" s="264"/>
      <c r="AN1967" s="263"/>
      <c r="AO1967" s="263"/>
      <c r="AP1967" s="265"/>
      <c r="AQ1967" s="265">
        <v>6869</v>
      </c>
      <c r="AR1967" s="285">
        <v>37290</v>
      </c>
      <c r="AS1967" s="263"/>
      <c r="AT1967" s="263"/>
      <c r="AU1967" s="263"/>
      <c r="AV1967" s="264"/>
      <c r="AW1967" s="263"/>
      <c r="AX1967" s="263"/>
      <c r="AY1967" s="263"/>
      <c r="AZ1967" s="263"/>
      <c r="BA1967" s="263"/>
      <c r="BB1967" s="263"/>
      <c r="BC1967" s="263"/>
      <c r="BD1967" s="264"/>
      <c r="BE1967" s="263"/>
      <c r="BF1967" s="263"/>
      <c r="BG1967" s="263"/>
      <c r="BH1967" s="263"/>
      <c r="BI1967" s="263"/>
      <c r="BJ1967" s="404">
        <f>altaz(J2000_Bas,$O1967,$M1967,DecLat,DecLong,2)</f>
        <v>319.15891209764521</v>
      </c>
      <c r="BK1967" s="378" t="s">
        <v>1907</v>
      </c>
      <c r="BL1967" s="379">
        <f>IF((2*G1967)/60&lt;0.2,0.2,(2*G1967)/60)</f>
        <v>0.2</v>
      </c>
      <c r="BM1967" s="380">
        <f>MOD((50000+AD1967-$B$3+(0/24)),1)</f>
        <v>0.70389184077066602</v>
      </c>
      <c r="BN1967" s="381"/>
      <c r="BO1967" s="382">
        <v>1959</v>
      </c>
    </row>
    <row r="1968" spans="1:67" s="24" customFormat="1" ht="15" customHeight="1" x14ac:dyDescent="0.25">
      <c r="A1968" s="288" t="s">
        <v>1908</v>
      </c>
      <c r="B1968" s="241" t="str">
        <f>HYPERLINK(CONCATENATE($AT$3,BK1968,$AU$3),$AV$3)</f>
        <v>S</v>
      </c>
      <c r="C1968" s="242" t="str">
        <f>HYPERLINK(CONCATENATE($AT$4,BK1968,$AU$4,BL1968),$AV$4)</f>
        <v>A</v>
      </c>
      <c r="D1968" s="243" t="s">
        <v>5638</v>
      </c>
      <c r="E1968" s="244" t="s">
        <v>5192</v>
      </c>
      <c r="F1968" s="269" t="s">
        <v>8893</v>
      </c>
      <c r="G1968" s="273">
        <v>6</v>
      </c>
      <c r="H1968" s="283">
        <v>50</v>
      </c>
      <c r="I1968" s="246">
        <v>90</v>
      </c>
      <c r="J1968" s="246">
        <v>3</v>
      </c>
      <c r="K1968" s="247" t="s">
        <v>7770</v>
      </c>
      <c r="L1968" s="248">
        <v>115349</v>
      </c>
      <c r="M1968" s="249">
        <f>15*(LEFT(TEXT($L1968,"000000"),2)+(MID(TEXT($L1968,"000000"),3,2)/60)+(RIGHT(TEXT($L1968,"000000"),2)/3600))</f>
        <v>178.45416666666665</v>
      </c>
      <c r="N1968" s="250">
        <v>521936</v>
      </c>
      <c r="O1968" s="251">
        <f>IF($N1968&gt;0,(LEFT(TEXT($N1968,"000000"),2)+(MID(TEXT($N1968,"000000"),3,2)/60)+(RIGHT(TEXT($N1968,"000000"),2)/3600)),-(MID(TEXT($N1968,"000000"),2,2)+(MID(TEXT($N1968,"000000"),4,2)/60)+(RIGHT(TEXT($N1968,"000000"),2)/3600)))</f>
        <v>52.326666666666668</v>
      </c>
      <c r="P1968" s="252" t="s">
        <v>37</v>
      </c>
      <c r="Q1968" s="253"/>
      <c r="R1968" s="247" t="s">
        <v>3293</v>
      </c>
      <c r="S1968" s="272" t="s">
        <v>3293</v>
      </c>
      <c r="T1968" s="273">
        <v>10.1</v>
      </c>
      <c r="U1968" s="289">
        <v>22.29</v>
      </c>
      <c r="V1968" s="280">
        <v>60</v>
      </c>
      <c r="W1968" s="244"/>
      <c r="X1968" s="244"/>
      <c r="Y1968" s="362"/>
      <c r="Z1968" s="257">
        <f>altaz(J2000_Bas,$O1968,$M1968,DecLat,DecLong,1)</f>
        <v>14.460053175664616</v>
      </c>
      <c r="AA1968" s="257">
        <f>altaz((J2000_Bas+(2*0.04167)),$O1968,$M1968,DecLat,DecLong,1)</f>
        <v>1.1805064771340719</v>
      </c>
      <c r="AB1968" s="257">
        <f>altaz((J2000_Bas+(4*0.04167)),$O1968,$M1968,DecLat,DecLong,1)</f>
        <v>-5.9820916660119581</v>
      </c>
      <c r="AC1968" s="257">
        <f>altaz((J2000_Bas+(6*0.04167)),$O1968,$M1968,DecLat,DecLong,1)</f>
        <v>-5.2283242560322511</v>
      </c>
      <c r="AD1968" s="258">
        <f>1+ transit((J2000_Bas-1),$O1968,$M1968,DecLat,DecLong)/360 + (GMTOffset/24) + (IF(DST="Y", 1, 0)/24)</f>
        <v>1.4886059295776246</v>
      </c>
      <c r="AE1968" s="259">
        <f>DATE(2001,9,21)+(M1968/360)*365 - (360*((DecLong/360)- (GMTOffset/24) ))</f>
        <v>37340.932696759257</v>
      </c>
      <c r="AF1968" s="260">
        <f>IF(DecLat&gt;0,IF((90 - (DecLat-O1968))&gt;90, (90 - (O1968-DecLat)), (90 - (DecLat-O1968))),IF((90 + (DecLat-O1968))&gt;90, (90 + (O1968-DecLat)), (90 + (DecLat-O1968))))</f>
        <v>68.673333333333332</v>
      </c>
      <c r="AG1968" s="257">
        <f>angularseperation(MoonRA,MoonDec,$M1968,$O1968)</f>
        <v>100.44624171447786</v>
      </c>
      <c r="AH1968" s="261">
        <f ca="1">MIN(100,IF($O$5&gt;80,0+30*($AG1968/100),IF($O$5&gt;70,0+50*($AG1968/100),IF($O$5&gt;60,5+50*($AG1968/100),IF($O$5&gt;50,10+60*($AG1968/100),IF($O$5&gt;40,15+70*($AG1968/100),IF($O$5&gt;30,20+70*($AG1968/100),IF($O$5&gt;20,40+55*($AG1968/100),(80+(20-$O$5)+30*($AG1968/100))))))))))</f>
        <v>100</v>
      </c>
      <c r="AI1968" s="262">
        <v>3953</v>
      </c>
      <c r="AJ1968" s="262"/>
      <c r="AK1968" s="262">
        <v>195</v>
      </c>
      <c r="AL1968" s="263"/>
      <c r="AM1968" s="264"/>
      <c r="AN1968" s="263"/>
      <c r="AO1968" s="263"/>
      <c r="AP1968" s="265"/>
      <c r="AQ1968" s="266">
        <v>6870</v>
      </c>
      <c r="AR1968" s="267">
        <v>37306</v>
      </c>
      <c r="AS1968" s="263"/>
      <c r="AT1968" s="263"/>
      <c r="AU1968" s="263"/>
      <c r="AV1968" s="264"/>
      <c r="AW1968" s="263"/>
      <c r="AX1968" s="263"/>
      <c r="AY1968" s="263"/>
      <c r="AZ1968" s="263"/>
      <c r="BA1968" s="263"/>
      <c r="BB1968" s="263"/>
      <c r="BC1968" s="263"/>
      <c r="BD1968" s="264"/>
      <c r="BE1968" s="263"/>
      <c r="BF1968" s="263">
        <v>48</v>
      </c>
      <c r="BG1968" s="263"/>
      <c r="BH1968" s="263"/>
      <c r="BI1968" s="263"/>
      <c r="BJ1968" s="404">
        <f>altaz(J2000_Bas,$O1968,$M1968,DecLat,DecLong,2)</f>
        <v>323.00251335223601</v>
      </c>
      <c r="BK1968" s="378" t="s">
        <v>1908</v>
      </c>
      <c r="BL1968" s="379">
        <f>IF((2*G1968)/60&lt;0.2,0.2,(2*G1968)/60)</f>
        <v>0.2</v>
      </c>
      <c r="BM1968" s="380">
        <f>MOD((50000+AD1968-$B$3+(0/24)),1)</f>
        <v>0.70397285927901976</v>
      </c>
      <c r="BN1968" s="381" t="s">
        <v>9220</v>
      </c>
      <c r="BO1968" s="382">
        <v>1960</v>
      </c>
    </row>
    <row r="1969" spans="1:67" s="24" customFormat="1" ht="15" customHeight="1" x14ac:dyDescent="0.25">
      <c r="A1969" s="287" t="s">
        <v>1909</v>
      </c>
      <c r="B1969" s="241" t="str">
        <f>HYPERLINK(CONCATENATE($AT$3,BK1969,$AU$3),$AV$3)</f>
        <v>S</v>
      </c>
      <c r="C1969" s="242" t="str">
        <f>HYPERLINK(CONCATENATE($AT$4,BK1969,$AU$4,BL1969),$AV$4)</f>
        <v>A</v>
      </c>
      <c r="D1969" s="243" t="s">
        <v>5638</v>
      </c>
      <c r="E1969" s="244" t="s">
        <v>5182</v>
      </c>
      <c r="F1969" s="269" t="s">
        <v>3300</v>
      </c>
      <c r="G1969" s="273">
        <v>3.2</v>
      </c>
      <c r="H1969" s="283">
        <v>65</v>
      </c>
      <c r="I1969" s="246">
        <v>60</v>
      </c>
      <c r="J1969" s="246">
        <v>2</v>
      </c>
      <c r="K1969" s="247" t="s">
        <v>7771</v>
      </c>
      <c r="L1969" s="248">
        <v>115357</v>
      </c>
      <c r="M1969" s="249">
        <f>15*(LEFT(TEXT($L1969,"000000"),2)+(MID(TEXT($L1969,"000000"),3,2)/60)+(RIGHT(TEXT($L1969,"000000"),2)/3600))</f>
        <v>178.48749999999998</v>
      </c>
      <c r="N1969" s="250">
        <v>-230953</v>
      </c>
      <c r="O1969" s="251">
        <f>IF($N1969&gt;0,(LEFT(TEXT($N1969,"000000"),2)+(MID(TEXT($N1969,"000000"),3,2)/60)+(RIGHT(TEXT($N1969,"000000"),2)/3600)),-(MID(TEXT($N1969,"000000"),2,2)+(MID(TEXT($N1969,"000000"),4,2)/60)+(RIGHT(TEXT($N1969,"000000"),2)/3600)))</f>
        <v>-23.16472222222222</v>
      </c>
      <c r="P1969" s="252" t="s">
        <v>509</v>
      </c>
      <c r="Q1969" s="253"/>
      <c r="R1969" s="277" t="s">
        <v>3293</v>
      </c>
      <c r="S1969" s="272" t="s">
        <v>3293</v>
      </c>
      <c r="T1969" s="273">
        <v>12</v>
      </c>
      <c r="U1969" s="289">
        <v>21.79</v>
      </c>
      <c r="V1969" s="280">
        <v>75</v>
      </c>
      <c r="W1969" s="244"/>
      <c r="X1969" s="244"/>
      <c r="Y1969" s="362"/>
      <c r="Z1969" s="257">
        <f>altaz(J2000_Bas,$O1969,$M1969,DecLat,DecLong,1)</f>
        <v>-26.089613053181647</v>
      </c>
      <c r="AA1969" s="257">
        <f>altaz((J2000_Bas+(2*0.04167)),$O1969,$M1969,DecLat,DecLong,1)</f>
        <v>-51.678894735959631</v>
      </c>
      <c r="AB1969" s="257">
        <f>altaz((J2000_Bas+(4*0.04167)),$O1969,$M1969,DecLat,DecLong,1)</f>
        <v>-76.538935147399542</v>
      </c>
      <c r="AC1969" s="257">
        <f>altaz((J2000_Bas+(6*0.04167)),$O1969,$M1969,DecLat,DecLong,1)</f>
        <v>-72.37722519811291</v>
      </c>
      <c r="AD1969" s="258">
        <f>1+ transit((J2000_Bas-1),$O1969,$M1969,DecLat,DecLong)/360 + (GMTOffset/24) + (IF(DST="Y", 1, 0)/24)</f>
        <v>1.4886985221609581</v>
      </c>
      <c r="AE1969" s="259">
        <f>DATE(2001,9,21)+(M1969/360)*365 - (360*((DecLong/360)- (GMTOffset/24) ))</f>
        <v>37340.966493055559</v>
      </c>
      <c r="AF1969" s="260">
        <f>IF(DecLat&gt;0,IF((90 - (DecLat-O1969))&gt;90, (90 - (O1969-DecLat)), (90 - (DecLat-O1969))),IF((90 + (DecLat-O1969))&gt;90, (90 + (O1969-DecLat)), (90 + (DecLat-O1969))))</f>
        <v>35.835277777777776</v>
      </c>
      <c r="AG1969" s="257">
        <f>angularseperation(MoonRA,MoonDec,$M1969,$O1969)</f>
        <v>63.325933675158076</v>
      </c>
      <c r="AH1969" s="261">
        <f ca="1">MIN(100,IF($O$5&gt;80,0+30*($AG1969/100),IF($O$5&gt;70,0+50*($AG1969/100),IF($O$5&gt;60,5+50*($AG1969/100),IF($O$5&gt;50,10+60*($AG1969/100),IF($O$5&gt;40,15+70*($AG1969/100),IF($O$5&gt;30,20+70*($AG1969/100),IF($O$5&gt;20,40+55*($AG1969/100),(80+(20-$O$5)+30*($AG1969/100))))))))))</f>
        <v>100</v>
      </c>
      <c r="AI1969" s="262">
        <v>3955</v>
      </c>
      <c r="AJ1969" s="263"/>
      <c r="AK1969" s="263"/>
      <c r="AL1969" s="263"/>
      <c r="AM1969" s="264"/>
      <c r="AN1969" s="263"/>
      <c r="AO1969" s="263"/>
      <c r="AP1969" s="265"/>
      <c r="AQ1969" s="265"/>
      <c r="AR1969" s="285">
        <v>37320</v>
      </c>
      <c r="AS1969" s="263"/>
      <c r="AT1969" s="263"/>
      <c r="AU1969" s="263"/>
      <c r="AV1969" s="264"/>
      <c r="AW1969" s="263"/>
      <c r="AX1969" s="263"/>
      <c r="AY1969" s="263"/>
      <c r="AZ1969" s="263"/>
      <c r="BA1969" s="263"/>
      <c r="BB1969" s="263"/>
      <c r="BC1969" s="263"/>
      <c r="BD1969" s="264"/>
      <c r="BE1969" s="263"/>
      <c r="BF1969" s="263"/>
      <c r="BG1969" s="263"/>
      <c r="BH1969" s="263"/>
      <c r="BI1969" s="263"/>
      <c r="BJ1969" s="404">
        <f>altaz(J2000_Bas,$O1969,$M1969,DecLat,DecLong,2)</f>
        <v>257.48071089189085</v>
      </c>
      <c r="BK1969" s="378" t="s">
        <v>1909</v>
      </c>
      <c r="BL1969" s="379">
        <f>IF((2*G1969)/60&lt;0.2,0.2,(2*G1969)/60)</f>
        <v>0.2</v>
      </c>
      <c r="BM1969" s="380">
        <f>MOD((50000+AD1969-$B$3+(0/24)),1)</f>
        <v>0.70406545186415315</v>
      </c>
      <c r="BN1969" s="381"/>
      <c r="BO1969" s="382">
        <v>1961</v>
      </c>
    </row>
    <row r="1970" spans="1:67" s="24" customFormat="1" ht="15" customHeight="1" x14ac:dyDescent="0.25">
      <c r="A1970" s="287" t="s">
        <v>8763</v>
      </c>
      <c r="B1970" s="241" t="str">
        <f>HYPERLINK(CONCATENATE($AT$3,BK1970,$AU$3),$AV$3)</f>
        <v>S</v>
      </c>
      <c r="C1970" s="242" t="str">
        <f>HYPERLINK(CONCATENATE($AT$4,BK1970,$AU$4,BL1970),$AV$4)</f>
        <v>A</v>
      </c>
      <c r="D1970" s="243" t="s">
        <v>5638</v>
      </c>
      <c r="E1970" s="244" t="s">
        <v>5193</v>
      </c>
      <c r="F1970" s="269" t="s">
        <v>3311</v>
      </c>
      <c r="G1970" s="273">
        <v>2</v>
      </c>
      <c r="H1970" s="283">
        <v>118</v>
      </c>
      <c r="I1970" s="246">
        <v>65</v>
      </c>
      <c r="J1970" s="246">
        <v>2</v>
      </c>
      <c r="K1970" s="247" t="s">
        <v>8777</v>
      </c>
      <c r="L1970" s="248">
        <v>115440</v>
      </c>
      <c r="M1970" s="249">
        <f>15*(LEFT(TEXT($L1970,"000000"),2)+(MID(TEXT($L1970,"000000"),3,2)/60)+(RIGHT(TEXT($L1970,"000000"),2)/3600))</f>
        <v>178.66666666666669</v>
      </c>
      <c r="N1970" s="250">
        <v>-135827</v>
      </c>
      <c r="O1970" s="251">
        <f>IF($N1970&gt;0,(LEFT(TEXT($N1970,"000000"),2)+(MID(TEXT($N1970,"000000"),3,2)/60)+(RIGHT(TEXT($N1970,"000000"),2)/3600)),-(MID(TEXT($N1970,"000000"),2,2)+(MID(TEXT($N1970,"000000"),4,2)/60)+(RIGHT(TEXT($N1970,"000000"),2)/3600)))</f>
        <v>-13.974166666666667</v>
      </c>
      <c r="P1970" s="252" t="s">
        <v>509</v>
      </c>
      <c r="Q1970" s="253"/>
      <c r="R1970" s="277" t="s">
        <v>3293</v>
      </c>
      <c r="S1970" s="272" t="s">
        <v>3293</v>
      </c>
      <c r="T1970" s="273">
        <v>12.2</v>
      </c>
      <c r="U1970" s="289"/>
      <c r="V1970" s="280"/>
      <c r="W1970" s="244"/>
      <c r="X1970" s="244"/>
      <c r="Y1970" s="362"/>
      <c r="Z1970" s="257">
        <f>altaz(J2000_Bas,$O1970,$M1970,DecLat,DecLong,1)</f>
        <v>-21.853103350553717</v>
      </c>
      <c r="AA1970" s="257">
        <f>altaz((J2000_Bas+(2*0.04167)),$O1970,$M1970,DecLat,DecLong,1)</f>
        <v>-47.464622958303174</v>
      </c>
      <c r="AB1970" s="257">
        <f>altaz((J2000_Bas+(4*0.04167)),$O1970,$M1970,DecLat,DecLong,1)</f>
        <v>-69.467229185995649</v>
      </c>
      <c r="AC1970" s="257">
        <f>altaz((J2000_Bas+(6*0.04167)),$O1970,$M1970,DecLat,DecLong,1)</f>
        <v>-66.53198728879579</v>
      </c>
      <c r="AD1970" s="258">
        <f>1+ transit((J2000_Bas-1),$O1970,$M1970,DecLat,DecLong)/360 + (GMTOffset/24) + (IF(DST="Y", 1, 0)/24)</f>
        <v>1.4891962072963747</v>
      </c>
      <c r="AE1970" s="259">
        <f>DATE(2001,9,21)+(M1970/360)*365 - (360*((DecLong/360)- (GMTOffset/24) ))</f>
        <v>37341.148148148146</v>
      </c>
      <c r="AF1970" s="260">
        <f>IF(DecLat&gt;0,IF((90 - (DecLat-O1970))&gt;90, (90 - (O1970-DecLat)), (90 - (DecLat-O1970))),IF((90 + (DecLat-O1970))&gt;90, (90 + (O1970-DecLat)), (90 + (DecLat-O1970))))</f>
        <v>45.025833333333331</v>
      </c>
      <c r="AG1970" s="257">
        <f>angularseperation(MoonRA,MoonDec,$M1970,$O1970)</f>
        <v>66.591561553201714</v>
      </c>
      <c r="AH1970" s="261">
        <f ca="1">MIN(100,IF($O$5&gt;80,0+30*($AG1970/100),IF($O$5&gt;70,0+50*($AG1970/100),IF($O$5&gt;60,5+50*($AG1970/100),IF($O$5&gt;50,10+60*($AG1970/100),IF($O$5&gt;40,15+70*($AG1970/100),IF($O$5&gt;30,20+70*($AG1970/100),IF($O$5&gt;20,40+55*($AG1970/100),(80+(20-$O$5)+30*($AG1970/100))))))))))</f>
        <v>100</v>
      </c>
      <c r="AI1970" s="263">
        <v>3962</v>
      </c>
      <c r="AJ1970" s="263"/>
      <c r="AK1970" s="263">
        <v>196</v>
      </c>
      <c r="AL1970" s="263"/>
      <c r="AM1970" s="264"/>
      <c r="AN1970" s="263"/>
      <c r="AO1970" s="263"/>
      <c r="AP1970" s="265"/>
      <c r="AQ1970" s="265"/>
      <c r="AR1970" s="285">
        <v>37366</v>
      </c>
      <c r="AS1970" s="263"/>
      <c r="AT1970" s="263"/>
      <c r="AU1970" s="263"/>
      <c r="AV1970" s="264"/>
      <c r="AW1970" s="263"/>
      <c r="AX1970" s="263"/>
      <c r="AY1970" s="263"/>
      <c r="AZ1970" s="263"/>
      <c r="BA1970" s="263"/>
      <c r="BB1970" s="263"/>
      <c r="BC1970" s="263"/>
      <c r="BD1970" s="264"/>
      <c r="BE1970" s="263"/>
      <c r="BF1970" s="263"/>
      <c r="BG1970" s="263"/>
      <c r="BH1970" s="263"/>
      <c r="BI1970" s="263"/>
      <c r="BJ1970" s="404">
        <f>altaz(J2000_Bas,$O1970,$M1970,DecLat,DecLong,2)</f>
        <v>266.41311288666668</v>
      </c>
      <c r="BK1970" s="378" t="s">
        <v>8763</v>
      </c>
      <c r="BL1970" s="379">
        <f>IF((2*G1970)/60&lt;0.2,0.2,(2*G1970)/60)</f>
        <v>0.2</v>
      </c>
      <c r="BM1970" s="380">
        <f>MOD((50000+AD1970-$B$3+(0/24)),1)</f>
        <v>0.70456313699833117</v>
      </c>
      <c r="BN1970" s="381"/>
      <c r="BO1970" s="382">
        <v>1962</v>
      </c>
    </row>
    <row r="1971" spans="1:67" s="24" customFormat="1" ht="15" customHeight="1" x14ac:dyDescent="0.25">
      <c r="A1971" s="287" t="s">
        <v>1910</v>
      </c>
      <c r="B1971" s="241" t="str">
        <f>HYPERLINK(CONCATENATE($AT$3,BK1971,$AU$3),$AV$3)</f>
        <v>S</v>
      </c>
      <c r="C1971" s="242" t="str">
        <f>HYPERLINK(CONCATENATE($AT$4,BK1971,$AU$4,BL1971),$AV$4)</f>
        <v>A</v>
      </c>
      <c r="D1971" s="243" t="s">
        <v>5638</v>
      </c>
      <c r="E1971" s="244" t="s">
        <v>5192</v>
      </c>
      <c r="F1971" s="269" t="s">
        <v>8699</v>
      </c>
      <c r="G1971" s="273">
        <v>3.8</v>
      </c>
      <c r="H1971" s="283">
        <v>65</v>
      </c>
      <c r="I1971" s="246">
        <v>70</v>
      </c>
      <c r="J1971" s="246">
        <v>2</v>
      </c>
      <c r="K1971" s="247" t="s">
        <v>7772</v>
      </c>
      <c r="L1971" s="248">
        <v>115545</v>
      </c>
      <c r="M1971" s="249">
        <f>15*(LEFT(TEXT($L1971,"000000"),2)+(MID(TEXT($L1971,"000000"),3,2)/60)+(RIGHT(TEXT($L1971,"000000"),2)/3600))</f>
        <v>178.93749999999997</v>
      </c>
      <c r="N1971" s="250">
        <v>551912</v>
      </c>
      <c r="O1971" s="251">
        <f>IF($N1971&gt;0,(LEFT(TEXT($N1971,"000000"),2)+(MID(TEXT($N1971,"000000"),3,2)/60)+(RIGHT(TEXT($N1971,"000000"),2)/3600)),-(MID(TEXT($N1971,"000000"),2,2)+(MID(TEXT($N1971,"000000"),4,2)/60)+(RIGHT(TEXT($N1971,"000000"),2)/3600)))</f>
        <v>55.32</v>
      </c>
      <c r="P1971" s="252" t="s">
        <v>37</v>
      </c>
      <c r="Q1971" s="253"/>
      <c r="R1971" s="277" t="s">
        <v>3293</v>
      </c>
      <c r="S1971" s="272" t="s">
        <v>3293</v>
      </c>
      <c r="T1971" s="273">
        <v>12.3</v>
      </c>
      <c r="U1971" s="289">
        <v>22.69</v>
      </c>
      <c r="V1971" s="280">
        <v>70</v>
      </c>
      <c r="W1971" s="244"/>
      <c r="X1971" s="244"/>
      <c r="Y1971" s="362"/>
      <c r="Z1971" s="257">
        <f>altaz(J2000_Bas,$O1971,$M1971,DecLat,DecLong,1)</f>
        <v>16.284777289342358</v>
      </c>
      <c r="AA1971" s="257">
        <f>altaz((J2000_Bas+(2*0.04167)),$O1971,$M1971,DecLat,DecLong,1)</f>
        <v>3.7827218619680889</v>
      </c>
      <c r="AB1971" s="257">
        <f>altaz((J2000_Bas+(4*0.04167)),$O1971,$M1971,DecLat,DecLong,1)</f>
        <v>-2.9880805017140561</v>
      </c>
      <c r="AC1971" s="257">
        <f>altaz((J2000_Bas+(6*0.04167)),$O1971,$M1971,DecLat,DecLong,1)</f>
        <v>-2.4112777188746732</v>
      </c>
      <c r="AD1971" s="258">
        <f>1+ transit((J2000_Bas-1),$O1971,$M1971,DecLat,DecLong)/360 + (GMTOffset/24) + (IF(DST="Y", 1, 0)/24)</f>
        <v>1.4899485220359578</v>
      </c>
      <c r="AE1971" s="259">
        <f>DATE(2001,9,21)+(M1971/360)*365 - (360*((DecLong/360)- (GMTOffset/24) ))</f>
        <v>37341.422743055555</v>
      </c>
      <c r="AF1971" s="260">
        <f>IF(DecLat&gt;0,IF((90 - (DecLat-O1971))&gt;90, (90 - (O1971-DecLat)), (90 - (DecLat-O1971))),IF((90 + (DecLat-O1971))&gt;90, (90 + (O1971-DecLat)), (90 + (DecLat-O1971))))</f>
        <v>65.680000000000007</v>
      </c>
      <c r="AG1971" s="257">
        <f>angularseperation(MoonRA,MoonDec,$M1971,$O1971)</f>
        <v>101.75202054168255</v>
      </c>
      <c r="AH1971" s="261">
        <f ca="1">MIN(100,IF($O$5&gt;80,0+30*($AG1971/100),IF($O$5&gt;70,0+50*($AG1971/100),IF($O$5&gt;60,5+50*($AG1971/100),IF($O$5&gt;50,10+60*($AG1971/100),IF($O$5&gt;40,15+70*($AG1971/100),IF($O$5&gt;30,20+70*($AG1971/100),IF($O$5&gt;20,40+55*($AG1971/100),(80+(20-$O$5)+30*($AG1971/100))))))))))</f>
        <v>100</v>
      </c>
      <c r="AI1971" s="262">
        <v>3972</v>
      </c>
      <c r="AJ1971" s="263"/>
      <c r="AK1971" s="263"/>
      <c r="AL1971" s="263"/>
      <c r="AM1971" s="264"/>
      <c r="AN1971" s="263"/>
      <c r="AO1971" s="263"/>
      <c r="AP1971" s="265"/>
      <c r="AQ1971" s="265">
        <v>6904</v>
      </c>
      <c r="AR1971" s="285">
        <v>37466</v>
      </c>
      <c r="AS1971" s="263"/>
      <c r="AT1971" s="263"/>
      <c r="AU1971" s="263"/>
      <c r="AV1971" s="264"/>
      <c r="AW1971" s="263"/>
      <c r="AX1971" s="263"/>
      <c r="AY1971" s="263"/>
      <c r="AZ1971" s="263"/>
      <c r="BA1971" s="263"/>
      <c r="BB1971" s="263"/>
      <c r="BC1971" s="263"/>
      <c r="BD1971" s="264"/>
      <c r="BE1971" s="263"/>
      <c r="BF1971" s="263"/>
      <c r="BG1971" s="263"/>
      <c r="BH1971" s="263"/>
      <c r="BI1971" s="263"/>
      <c r="BJ1971" s="404">
        <f>altaz(J2000_Bas,$O1971,$M1971,DecLat,DecLong,2)</f>
        <v>325.48124803468772</v>
      </c>
      <c r="BK1971" s="378" t="s">
        <v>1910</v>
      </c>
      <c r="BL1971" s="379">
        <f>IF((2*G1971)/60&lt;0.2,0.2,(2*G1971)/60)</f>
        <v>0.2</v>
      </c>
      <c r="BM1971" s="380">
        <f>MOD((50000+AD1971-$B$3+(0/24)),1)</f>
        <v>0.70531545174162602</v>
      </c>
      <c r="BN1971" s="381"/>
      <c r="BO1971" s="382">
        <v>1963</v>
      </c>
    </row>
    <row r="1972" spans="1:67" s="24" customFormat="1" ht="15" customHeight="1" x14ac:dyDescent="0.25">
      <c r="A1972" s="287" t="s">
        <v>1911</v>
      </c>
      <c r="B1972" s="241" t="str">
        <f>HYPERLINK(CONCATENATE($AT$3,BK1972,$AU$3),$AV$3)</f>
        <v>S</v>
      </c>
      <c r="C1972" s="242" t="str">
        <f>HYPERLINK(CONCATENATE($AT$4,BK1972,$AU$4,BL1972),$AV$4)</f>
        <v>A</v>
      </c>
      <c r="D1972" s="243" t="s">
        <v>5638</v>
      </c>
      <c r="E1972" s="244" t="s">
        <v>5192</v>
      </c>
      <c r="F1972" s="269" t="s">
        <v>8925</v>
      </c>
      <c r="G1972" s="273">
        <v>1.8</v>
      </c>
      <c r="H1972" s="283">
        <v>70</v>
      </c>
      <c r="I1972" s="246">
        <v>40</v>
      </c>
      <c r="J1972" s="246">
        <v>2</v>
      </c>
      <c r="K1972" s="247" t="s">
        <v>7773</v>
      </c>
      <c r="L1972" s="248">
        <v>115628</v>
      </c>
      <c r="M1972" s="249">
        <f>15*(LEFT(TEXT($L1972,"000000"),2)+(MID(TEXT($L1972,"000000"),3,2)/60)+(RIGHT(TEXT($L1972,"000000"),2)/3600))</f>
        <v>179.11666666666667</v>
      </c>
      <c r="N1972" s="250">
        <v>550731</v>
      </c>
      <c r="O1972" s="251">
        <f>IF($N1972&gt;0,(LEFT(TEXT($N1972,"000000"),2)+(MID(TEXT($N1972,"000000"),3,2)/60)+(RIGHT(TEXT($N1972,"000000"),2)/3600)),-(MID(TEXT($N1972,"000000"),2,2)+(MID(TEXT($N1972,"000000"),4,2)/60)+(RIGHT(TEXT($N1972,"000000"),2)/3600)))</f>
        <v>55.125277777777775</v>
      </c>
      <c r="P1972" s="252" t="s">
        <v>37</v>
      </c>
      <c r="Q1972" s="253"/>
      <c r="R1972" s="277" t="s">
        <v>3293</v>
      </c>
      <c r="S1972" s="272" t="s">
        <v>3293</v>
      </c>
      <c r="T1972" s="273">
        <v>11</v>
      </c>
      <c r="U1972" s="289">
        <v>21.39</v>
      </c>
      <c r="V1972" s="280">
        <v>0</v>
      </c>
      <c r="W1972" s="244"/>
      <c r="X1972" s="244"/>
      <c r="Y1972" s="362"/>
      <c r="Z1972" s="257">
        <f>altaz(J2000_Bas,$O1972,$M1972,DecLat,DecLong,1)</f>
        <v>16.270766090022434</v>
      </c>
      <c r="AA1972" s="257">
        <f>altaz((J2000_Bas+(2*0.04167)),$O1972,$M1972,DecLat,DecLong,1)</f>
        <v>3.6846210971823692</v>
      </c>
      <c r="AB1972" s="257">
        <f>altaz((J2000_Bas+(4*0.04167)),$O1972,$M1972,DecLat,DecLong,1)</f>
        <v>-3.1597004193969314</v>
      </c>
      <c r="AC1972" s="257">
        <f>altaz((J2000_Bas+(6*0.04167)),$O1972,$M1972,DecLat,DecLong,1)</f>
        <v>-2.6255779773215671</v>
      </c>
      <c r="AD1972" s="258">
        <f>1+ transit((J2000_Bas-1),$O1972,$M1972,DecLat,DecLong)/360 + (GMTOffset/24) + (IF(DST="Y", 1, 0)/24)</f>
        <v>1.4904462071713747</v>
      </c>
      <c r="AE1972" s="259">
        <f>DATE(2001,9,21)+(M1972/360)*365 - (360*((DecLong/360)- (GMTOffset/24) ))</f>
        <v>37341.604398148149</v>
      </c>
      <c r="AF1972" s="260">
        <f>IF(DecLat&gt;0,IF((90 - (DecLat-O1972))&gt;90, (90 - (O1972-DecLat)), (90 - (DecLat-O1972))),IF((90 + (DecLat-O1972))&gt;90, (90 + (O1972-DecLat)), (90 + (DecLat-O1972))))</f>
        <v>65.874722222222232</v>
      </c>
      <c r="AG1972" s="257">
        <f>angularseperation(MoonRA,MoonDec,$M1972,$O1972)</f>
        <v>101.56374959103943</v>
      </c>
      <c r="AH1972" s="261">
        <f ca="1">MIN(100,IF($O$5&gt;80,0+30*($AG1972/100),IF($O$5&gt;70,0+50*($AG1972/100),IF($O$5&gt;60,5+50*($AG1972/100),IF($O$5&gt;50,10+60*($AG1972/100),IF($O$5&gt;40,15+70*($AG1972/100),IF($O$5&gt;30,20+70*($AG1972/100),IF($O$5&gt;20,40+55*($AG1972/100),(80+(20-$O$5)+30*($AG1972/100))))))))))</f>
        <v>100</v>
      </c>
      <c r="AI1972" s="262">
        <v>3982</v>
      </c>
      <c r="AJ1972" s="263"/>
      <c r="AK1972" s="263">
        <v>197</v>
      </c>
      <c r="AL1972" s="263"/>
      <c r="AM1972" s="264"/>
      <c r="AN1972" s="263"/>
      <c r="AO1972" s="263"/>
      <c r="AP1972" s="265"/>
      <c r="AQ1972" s="265">
        <v>6918</v>
      </c>
      <c r="AR1972" s="285">
        <v>37520</v>
      </c>
      <c r="AS1972" s="263"/>
      <c r="AT1972" s="263"/>
      <c r="AU1972" s="263"/>
      <c r="AV1972" s="264"/>
      <c r="AW1972" s="263"/>
      <c r="AX1972" s="263"/>
      <c r="AY1972" s="263"/>
      <c r="AZ1972" s="263"/>
      <c r="BA1972" s="263"/>
      <c r="BB1972" s="263"/>
      <c r="BC1972" s="263"/>
      <c r="BD1972" s="264"/>
      <c r="BE1972" s="263"/>
      <c r="BF1972" s="263"/>
      <c r="BG1972" s="263"/>
      <c r="BH1972" s="263"/>
      <c r="BI1972" s="263"/>
      <c r="BJ1972" s="404">
        <f>altaz(J2000_Bas,$O1972,$M1972,DecLat,DecLong,2)</f>
        <v>325.25262003294586</v>
      </c>
      <c r="BK1972" s="378" t="s">
        <v>1911</v>
      </c>
      <c r="BL1972" s="379">
        <f>IF((2*G1972)/60&lt;0.2,0.2,(2*G1972)/60)</f>
        <v>0.2</v>
      </c>
      <c r="BM1972" s="380">
        <f>MOD((50000+AD1972-$B$3+(0/24)),1)</f>
        <v>0.70581313687580405</v>
      </c>
      <c r="BN1972" s="381"/>
      <c r="BO1972" s="382">
        <v>1964</v>
      </c>
    </row>
    <row r="1973" spans="1:67" s="24" customFormat="1" ht="15" customHeight="1" x14ac:dyDescent="0.25">
      <c r="A1973" s="287" t="s">
        <v>2997</v>
      </c>
      <c r="B1973" s="241" t="str">
        <f>HYPERLINK(CONCATENATE($AT$3,BK1973,$AU$3),$AV$3)</f>
        <v>S</v>
      </c>
      <c r="C1973" s="242" t="str">
        <f>HYPERLINK(CONCATENATE($AT$4,BK1973,$AU$4,BL1973),$AV$4)</f>
        <v>A</v>
      </c>
      <c r="D1973" s="243" t="s">
        <v>5638</v>
      </c>
      <c r="E1973" s="244" t="s">
        <v>5182</v>
      </c>
      <c r="F1973" s="269" t="s">
        <v>3300</v>
      </c>
      <c r="G1973" s="273">
        <v>3.8</v>
      </c>
      <c r="H1973" s="283">
        <v>45</v>
      </c>
      <c r="I1973" s="246">
        <v>50</v>
      </c>
      <c r="J1973" s="246">
        <v>2</v>
      </c>
      <c r="K1973" s="247" t="s">
        <v>7775</v>
      </c>
      <c r="L1973" s="248">
        <v>115754</v>
      </c>
      <c r="M1973" s="249">
        <f>15*(LEFT(TEXT($L1973,"000000"),2)+(MID(TEXT($L1973,"000000"),3,2)/60)+(RIGHT(TEXT($L1973,"000000"),2)/3600))</f>
        <v>179.47499999999999</v>
      </c>
      <c r="N1973" s="250">
        <v>552713</v>
      </c>
      <c r="O1973" s="251">
        <f>IF($N1973&gt;0,(LEFT(TEXT($N1973,"000000"),2)+(MID(TEXT($N1973,"000000"),3,2)/60)+(RIGHT(TEXT($N1973,"000000"),2)/3600)),-(MID(TEXT($N1973,"000000"),2,2)+(MID(TEXT($N1973,"000000"),4,2)/60)+(RIGHT(TEXT($N1973,"000000"),2)/3600)))</f>
        <v>55.453611111111115</v>
      </c>
      <c r="P1973" s="252" t="s">
        <v>37</v>
      </c>
      <c r="Q1973" s="253"/>
      <c r="R1973" s="277" t="s">
        <v>3293</v>
      </c>
      <c r="S1973" s="272" t="s">
        <v>7774</v>
      </c>
      <c r="T1973" s="273">
        <v>12</v>
      </c>
      <c r="U1973" s="289">
        <v>21.39</v>
      </c>
      <c r="V1973" s="280">
        <v>15</v>
      </c>
      <c r="W1973" s="244"/>
      <c r="X1973" s="244"/>
      <c r="Y1973" s="362"/>
      <c r="Z1973" s="257">
        <f>altaz(J2000_Bas,$O1973,$M1973,DecLat,DecLong,1)</f>
        <v>16.615170123617499</v>
      </c>
      <c r="AA1973" s="257">
        <f>altaz((J2000_Bas+(2*0.04167)),$O1973,$M1973,DecLat,DecLong,1)</f>
        <v>4.0701676241464817</v>
      </c>
      <c r="AB1973" s="257">
        <f>altaz((J2000_Bas+(4*0.04167)),$O1973,$M1973,DecLat,DecLong,1)</f>
        <v>-2.7978970898205917</v>
      </c>
      <c r="AC1973" s="257">
        <f>altaz((J2000_Bas+(6*0.04167)),$O1973,$M1973,DecLat,DecLong,1)</f>
        <v>-2.3587646109639908</v>
      </c>
      <c r="AD1973" s="258">
        <f>1+ transit((J2000_Bas-1),$O1973,$M1973,DecLat,DecLong)/360 + (GMTOffset/24) + (IF(DST="Y", 1, 0)/24)</f>
        <v>1.4914415774422081</v>
      </c>
      <c r="AE1973" s="259">
        <f>DATE(2001,9,21)+(M1973/360)*365 - (360*((DecLong/360)- (GMTOffset/24) ))</f>
        <v>37341.96770833333</v>
      </c>
      <c r="AF1973" s="260">
        <f>IF(DecLat&gt;0,IF((90 - (DecLat-O1973))&gt;90, (90 - (O1973-DecLat)), (90 - (DecLat-O1973))),IF((90 + (DecLat-O1973))&gt;90, (90 + (O1973-DecLat)), (90 + (DecLat-O1973))))</f>
        <v>65.546388888888885</v>
      </c>
      <c r="AG1973" s="257">
        <f>angularseperation(MoonRA,MoonDec,$M1973,$O1973)</f>
        <v>101.56055504195571</v>
      </c>
      <c r="AH1973" s="261">
        <f ca="1">MIN(100,IF($O$5&gt;80,0+30*($AG1973/100),IF($O$5&gt;70,0+50*($AG1973/100),IF($O$5&gt;60,5+50*($AG1973/100),IF($O$5&gt;50,10+60*($AG1973/100),IF($O$5&gt;40,15+70*($AG1973/100),IF($O$5&gt;30,20+70*($AG1973/100),IF($O$5&gt;20,40+55*($AG1973/100),(80+(20-$O$5)+30*($AG1973/100))))))))))</f>
        <v>100</v>
      </c>
      <c r="AI1973" s="262">
        <v>3998</v>
      </c>
      <c r="AJ1973" s="263"/>
      <c r="AK1973" s="263">
        <v>199</v>
      </c>
      <c r="AL1973" s="263"/>
      <c r="AM1973" s="264"/>
      <c r="AN1973" s="263"/>
      <c r="AO1973" s="263"/>
      <c r="AP1973" s="265"/>
      <c r="AQ1973" s="265">
        <v>6946</v>
      </c>
      <c r="AR1973" s="285">
        <v>37642</v>
      </c>
      <c r="AS1973" s="263"/>
      <c r="AT1973" s="263"/>
      <c r="AU1973" s="263"/>
      <c r="AV1973" s="264"/>
      <c r="AW1973" s="263"/>
      <c r="AX1973" s="263"/>
      <c r="AY1973" s="263"/>
      <c r="AZ1973" s="263"/>
      <c r="BA1973" s="263"/>
      <c r="BB1973" s="263"/>
      <c r="BC1973" s="263"/>
      <c r="BD1973" s="264"/>
      <c r="BE1973" s="263"/>
      <c r="BF1973" s="263"/>
      <c r="BG1973" s="263"/>
      <c r="BH1973" s="263"/>
      <c r="BI1973" s="263"/>
      <c r="BJ1973" s="404">
        <f>altaz(J2000_Bas,$O1973,$M1973,DecLat,DecLong,2)</f>
        <v>325.43567023660688</v>
      </c>
      <c r="BK1973" s="378" t="s">
        <v>2997</v>
      </c>
      <c r="BL1973" s="379">
        <f>IF((2*G1973)/60&lt;0.2,0.2,(2*G1973)/60)</f>
        <v>0.2</v>
      </c>
      <c r="BM1973" s="380">
        <f>MOD((50000+AD1973-$B$3+(0/24)),1)</f>
        <v>0.7068085071441601</v>
      </c>
      <c r="BN1973" s="381"/>
      <c r="BO1973" s="382">
        <v>1965</v>
      </c>
    </row>
    <row r="1974" spans="1:67" s="24" customFormat="1" ht="15" customHeight="1" x14ac:dyDescent="0.25">
      <c r="A1974" s="287" t="s">
        <v>1912</v>
      </c>
      <c r="B1974" s="241" t="str">
        <f>HYPERLINK(CONCATENATE($AT$3,BK1974,$AU$3),$AV$3)</f>
        <v>S</v>
      </c>
      <c r="C1974" s="242" t="str">
        <f>HYPERLINK(CONCATENATE($AT$4,BK1974,$AU$4,BL1974),$AV$4)</f>
        <v>A</v>
      </c>
      <c r="D1974" s="243" t="s">
        <v>5638</v>
      </c>
      <c r="E1974" s="244" t="s">
        <v>5192</v>
      </c>
      <c r="F1974" s="269" t="s">
        <v>8906</v>
      </c>
      <c r="G1974" s="273">
        <v>4</v>
      </c>
      <c r="H1974" s="283">
        <v>58</v>
      </c>
      <c r="I1974" s="246">
        <v>70</v>
      </c>
      <c r="J1974" s="246">
        <v>2</v>
      </c>
      <c r="K1974" s="247" t="s">
        <v>7776</v>
      </c>
      <c r="L1974" s="248">
        <v>115837</v>
      </c>
      <c r="M1974" s="249">
        <f>15*(LEFT(TEXT($L1974,"000000"),2)+(MID(TEXT($L1974,"000000"),3,2)/60)+(RIGHT(TEXT($L1974,"000000"),2)/3600))</f>
        <v>179.65416666666667</v>
      </c>
      <c r="N1974" s="250">
        <v>471538</v>
      </c>
      <c r="O1974" s="251">
        <f>IF($N1974&gt;0,(LEFT(TEXT($N1974,"000000"),2)+(MID(TEXT($N1974,"000000"),3,2)/60)+(RIGHT(TEXT($N1974,"000000"),2)/3600)),-(MID(TEXT($N1974,"000000"),2,2)+(MID(TEXT($N1974,"000000"),4,2)/60)+(RIGHT(TEXT($N1974,"000000"),2)/3600)))</f>
        <v>47.260555555555555</v>
      </c>
      <c r="P1974" s="252" t="s">
        <v>37</v>
      </c>
      <c r="Q1974" s="253"/>
      <c r="R1974" s="277" t="s">
        <v>3293</v>
      </c>
      <c r="S1974" s="272" t="s">
        <v>3293</v>
      </c>
      <c r="T1974" s="273">
        <v>12.6</v>
      </c>
      <c r="U1974" s="289">
        <v>22.69</v>
      </c>
      <c r="V1974" s="280">
        <v>90</v>
      </c>
      <c r="W1974" s="244"/>
      <c r="X1974" s="244"/>
      <c r="Y1974" s="362"/>
      <c r="Z1974" s="257">
        <f>altaz(J2000_Bas,$O1974,$M1974,DecLat,DecLong,1)</f>
        <v>12.38760696525982</v>
      </c>
      <c r="AA1974" s="257">
        <f>altaz((J2000_Bas+(2*0.04167)),$O1974,$M1974,DecLat,DecLong,1)</f>
        <v>-2.4779519843423361</v>
      </c>
      <c r="AB1974" s="257">
        <f>altaz((J2000_Bas+(4*0.04167)),$O1974,$M1974,DecLat,DecLong,1)</f>
        <v>-10.802822457879653</v>
      </c>
      <c r="AC1974" s="257">
        <f>altaz((J2000_Bas+(6*0.04167)),$O1974,$M1974,DecLat,DecLong,1)</f>
        <v>-10.323765933078599</v>
      </c>
      <c r="AD1974" s="258">
        <f>1+ transit((J2000_Bas-1),$O1974,$M1974,DecLat,DecLong)/360 + (GMTOffset/24) + (IF(DST="Y", 1, 0)/24)</f>
        <v>1.4919392625776247</v>
      </c>
      <c r="AE1974" s="259">
        <f>DATE(2001,9,21)+(M1974/360)*365 - (360*((DecLong/360)- (GMTOffset/24) ))</f>
        <v>37342.149363425924</v>
      </c>
      <c r="AF1974" s="260">
        <f>IF(DecLat&gt;0,IF((90 - (DecLat-O1974))&gt;90, (90 - (O1974-DecLat)), (90 - (DecLat-O1974))),IF((90 + (DecLat-O1974))&gt;90, (90 + (O1974-DecLat)), (90 + (DecLat-O1974))))</f>
        <v>73.739444444444445</v>
      </c>
      <c r="AG1974" s="257">
        <f>angularseperation(MoonRA,MoonDec,$M1974,$O1974)</f>
        <v>97.102752457301989</v>
      </c>
      <c r="AH1974" s="261">
        <f ca="1">MIN(100,IF($O$5&gt;80,0+30*($AG1974/100),IF($O$5&gt;70,0+50*($AG1974/100),IF($O$5&gt;60,5+50*($AG1974/100),IF($O$5&gt;50,10+60*($AG1974/100),IF($O$5&gt;40,15+70*($AG1974/100),IF($O$5&gt;30,20+70*($AG1974/100),IF($O$5&gt;20,40+55*($AG1974/100),(80+(20-$O$5)+30*($AG1974/100))))))))))</f>
        <v>100</v>
      </c>
      <c r="AI1974" s="262">
        <v>4010</v>
      </c>
      <c r="AJ1974" s="263"/>
      <c r="AK1974" s="263"/>
      <c r="AL1974" s="263"/>
      <c r="AM1974" s="264"/>
      <c r="AN1974" s="263"/>
      <c r="AO1974" s="263"/>
      <c r="AP1974" s="265"/>
      <c r="AQ1974" s="265">
        <v>6964</v>
      </c>
      <c r="AR1974" s="285">
        <v>37697</v>
      </c>
      <c r="AS1974" s="263"/>
      <c r="AT1974" s="263"/>
      <c r="AU1974" s="263"/>
      <c r="AV1974" s="264"/>
      <c r="AW1974" s="263"/>
      <c r="AX1974" s="263"/>
      <c r="AY1974" s="263"/>
      <c r="AZ1974" s="263"/>
      <c r="BA1974" s="263"/>
      <c r="BB1974" s="263"/>
      <c r="BC1974" s="263"/>
      <c r="BD1974" s="264"/>
      <c r="BE1974" s="263"/>
      <c r="BF1974" s="263"/>
      <c r="BG1974" s="263"/>
      <c r="BH1974" s="263"/>
      <c r="BI1974" s="263"/>
      <c r="BJ1974" s="404">
        <f>altaz(J2000_Bas,$O1974,$M1974,DecLat,DecLong,2)</f>
        <v>318.18342394962951</v>
      </c>
      <c r="BK1974" s="378" t="s">
        <v>1912</v>
      </c>
      <c r="BL1974" s="379">
        <f>IF((2*G1974)/60&lt;0.2,0.2,(2*G1974)/60)</f>
        <v>0.2</v>
      </c>
      <c r="BM1974" s="380">
        <f>MOD((50000+AD1974-$B$3+(0/24)),1)</f>
        <v>0.70730619227833813</v>
      </c>
      <c r="BN1974" s="381"/>
      <c r="BO1974" s="382">
        <v>1966</v>
      </c>
    </row>
    <row r="1975" spans="1:67" s="24" customFormat="1" ht="15" customHeight="1" x14ac:dyDescent="0.25">
      <c r="A1975" s="288" t="s">
        <v>1913</v>
      </c>
      <c r="B1975" s="241" t="str">
        <f>HYPERLINK(CONCATENATE($AT$3,BK1975,$AU$3),$AV$3)</f>
        <v>S</v>
      </c>
      <c r="C1975" s="242" t="str">
        <f>HYPERLINK(CONCATENATE($AT$4,BK1975,$AU$4,BL1975),$AV$4)</f>
        <v>A</v>
      </c>
      <c r="D1975" s="243" t="s">
        <v>5638</v>
      </c>
      <c r="E1975" s="244" t="s">
        <v>5192</v>
      </c>
      <c r="F1975" s="269" t="s">
        <v>8701</v>
      </c>
      <c r="G1975" s="273">
        <v>5</v>
      </c>
      <c r="H1975" s="283">
        <v>60</v>
      </c>
      <c r="I1975" s="246">
        <v>90</v>
      </c>
      <c r="J1975" s="246">
        <v>3</v>
      </c>
      <c r="K1975" s="247" t="s">
        <v>7777</v>
      </c>
      <c r="L1975" s="248">
        <v>115831</v>
      </c>
      <c r="M1975" s="249">
        <f>15*(LEFT(TEXT($L1975,"000000"),2)+(MID(TEXT($L1975,"000000"),3,2)/60)+(RIGHT(TEXT($L1975,"000000"),2)/3600))</f>
        <v>179.62916666666666</v>
      </c>
      <c r="N1975" s="250">
        <v>435649</v>
      </c>
      <c r="O1975" s="251">
        <f>IF($N1975&gt;0,(LEFT(TEXT($N1975,"000000"),2)+(MID(TEXT($N1975,"000000"),3,2)/60)+(RIGHT(TEXT($N1975,"000000"),2)/3600)),-(MID(TEXT($N1975,"000000"),2,2)+(MID(TEXT($N1975,"000000"),4,2)/60)+(RIGHT(TEXT($N1975,"000000"),2)/3600)))</f>
        <v>43.946944444444441</v>
      </c>
      <c r="P1975" s="252" t="s">
        <v>37</v>
      </c>
      <c r="Q1975" s="253"/>
      <c r="R1975" s="247" t="s">
        <v>3293</v>
      </c>
      <c r="S1975" s="272" t="s">
        <v>3293</v>
      </c>
      <c r="T1975" s="273">
        <v>12</v>
      </c>
      <c r="U1975" s="289">
        <v>21.79</v>
      </c>
      <c r="V1975" s="280">
        <v>90</v>
      </c>
      <c r="W1975" s="244"/>
      <c r="X1975" s="244"/>
      <c r="Y1975" s="362"/>
      <c r="Z1975" s="257">
        <f>altaz(J2000_Bas,$O1975,$M1975,DecLat,DecLong,1)</f>
        <v>10.571403102826864</v>
      </c>
      <c r="AA1975" s="257">
        <f>altaz((J2000_Bas+(2*0.04167)),$O1975,$M1975,DecLat,DecLong,1)</f>
        <v>-5.1588819211649808</v>
      </c>
      <c r="AB1975" s="257">
        <f>altaz((J2000_Bas+(4*0.04167)),$O1975,$M1975,DecLat,DecLong,1)</f>
        <v>-14.049992136994154</v>
      </c>
      <c r="AC1975" s="257">
        <f>altaz((J2000_Bas+(6*0.04167)),$O1975,$M1975,DecLat,DecLong,1)</f>
        <v>-13.527314882309879</v>
      </c>
      <c r="AD1975" s="258">
        <f>1+ transit((J2000_Bas-1),$O1975,$M1975,DecLat,DecLong)/360 + (GMTOffset/24) + (IF(DST="Y", 1, 0)/24)</f>
        <v>1.4918698181401246</v>
      </c>
      <c r="AE1975" s="259">
        <f>DATE(2001,9,21)+(M1975/360)*365 - (360*((DecLong/360)- (GMTOffset/24) ))</f>
        <v>37342.124016203707</v>
      </c>
      <c r="AF1975" s="260">
        <f>IF(DecLat&gt;0,IF((90 - (DecLat-O1975))&gt;90, (90 - (O1975-DecLat)), (90 - (DecLat-O1975))),IF((90 + (DecLat-O1975))&gt;90, (90 + (O1975-DecLat)), (90 + (DecLat-O1975))))</f>
        <v>77.053055555555559</v>
      </c>
      <c r="AG1975" s="257">
        <f>angularseperation(MoonRA,MoonDec,$M1975,$O1975)</f>
        <v>95.31676199143061</v>
      </c>
      <c r="AH1975" s="261">
        <f ca="1">MIN(100,IF($O$5&gt;80,0+30*($AG1975/100),IF($O$5&gt;70,0+50*($AG1975/100),IF($O$5&gt;60,5+50*($AG1975/100),IF($O$5&gt;50,10+60*($AG1975/100),IF($O$5&gt;40,15+70*($AG1975/100),IF($O$5&gt;30,20+70*($AG1975/100),IF($O$5&gt;20,40+55*($AG1975/100),(80+(20-$O$5)+30*($AG1975/100))))))))))</f>
        <v>100</v>
      </c>
      <c r="AI1975" s="262">
        <v>4013</v>
      </c>
      <c r="AJ1975" s="262"/>
      <c r="AK1975" s="262"/>
      <c r="AL1975" s="263"/>
      <c r="AM1975" s="264"/>
      <c r="AN1975" s="263"/>
      <c r="AO1975" s="263"/>
      <c r="AP1975" s="265"/>
      <c r="AQ1975" s="266">
        <v>6963</v>
      </c>
      <c r="AR1975" s="267">
        <v>37691</v>
      </c>
      <c r="AS1975" s="263"/>
      <c r="AT1975" s="263"/>
      <c r="AU1975" s="263"/>
      <c r="AV1975" s="264"/>
      <c r="AW1975" s="263"/>
      <c r="AX1975" s="263"/>
      <c r="AY1975" s="263"/>
      <c r="AZ1975" s="263"/>
      <c r="BA1975" s="263"/>
      <c r="BB1975" s="263"/>
      <c r="BC1975" s="263"/>
      <c r="BD1975" s="264"/>
      <c r="BE1975" s="263"/>
      <c r="BF1975" s="263"/>
      <c r="BG1975" s="263"/>
      <c r="BH1975" s="263"/>
      <c r="BI1975" s="263"/>
      <c r="BJ1975" s="404">
        <f>altaz(J2000_Bas,$O1975,$M1975,DecLat,DecLong,2)</f>
        <v>315.35511171810094</v>
      </c>
      <c r="BK1975" s="378" t="s">
        <v>1913</v>
      </c>
      <c r="BL1975" s="379">
        <f>IF((2*G1975)/60&lt;0.2,0.2,(2*G1975)/60)</f>
        <v>0.2</v>
      </c>
      <c r="BM1975" s="380">
        <f>MOD((50000+AD1975-$B$3+(0/24)),1)</f>
        <v>0.70723674784676405</v>
      </c>
      <c r="BN1975" s="381"/>
      <c r="BO1975" s="382">
        <v>1967</v>
      </c>
    </row>
    <row r="1976" spans="1:67" s="24" customFormat="1" ht="15" customHeight="1" x14ac:dyDescent="0.25">
      <c r="A1976" s="287" t="s">
        <v>1914</v>
      </c>
      <c r="B1976" s="241" t="str">
        <f>HYPERLINK(CONCATENATE($AT$3,BK1976,$AU$3),$AV$3)</f>
        <v>S</v>
      </c>
      <c r="C1976" s="242" t="str">
        <f>HYPERLINK(CONCATENATE($AT$4,BK1976,$AU$4,BL1976),$AV$4)</f>
        <v>A</v>
      </c>
      <c r="D1976" s="243" t="s">
        <v>5638</v>
      </c>
      <c r="E1976" s="244" t="s">
        <v>5182</v>
      </c>
      <c r="F1976" s="269" t="s">
        <v>8675</v>
      </c>
      <c r="G1976" s="273">
        <v>5</v>
      </c>
      <c r="H1976" s="283">
        <v>46</v>
      </c>
      <c r="I1976" s="246">
        <v>70</v>
      </c>
      <c r="J1976" s="246">
        <v>2</v>
      </c>
      <c r="K1976" s="247" t="s">
        <v>7778</v>
      </c>
      <c r="L1976" s="248">
        <v>115925</v>
      </c>
      <c r="M1976" s="249">
        <f>15*(LEFT(TEXT($L1976,"000000"),2)+(MID(TEXT($L1976,"000000"),3,2)/60)+(RIGHT(TEXT($L1976,"000000"),2)/3600))</f>
        <v>179.85416666666666</v>
      </c>
      <c r="N1976" s="250">
        <v>505742</v>
      </c>
      <c r="O1976" s="251">
        <f>IF($N1976&gt;0,(LEFT(TEXT($N1976,"000000"),2)+(MID(TEXT($N1976,"000000"),3,2)/60)+(RIGHT(TEXT($N1976,"000000"),2)/3600)),-(MID(TEXT($N1976,"000000"),2,2)+(MID(TEXT($N1976,"000000"),4,2)/60)+(RIGHT(TEXT($N1976,"000000"),2)/3600)))</f>
        <v>50.961666666666666</v>
      </c>
      <c r="P1976" s="252" t="s">
        <v>37</v>
      </c>
      <c r="Q1976" s="253"/>
      <c r="R1976" s="277" t="s">
        <v>3293</v>
      </c>
      <c r="S1976" s="272" t="s">
        <v>3293</v>
      </c>
      <c r="T1976" s="273">
        <v>10.8</v>
      </c>
      <c r="U1976" s="289">
        <v>21.59</v>
      </c>
      <c r="V1976" s="280">
        <v>90</v>
      </c>
      <c r="W1976" s="244"/>
      <c r="X1976" s="244"/>
      <c r="Y1976" s="362"/>
      <c r="Z1976" s="257">
        <f>altaz(J2000_Bas,$O1976,$M1976,DecLat,DecLong,1)</f>
        <v>14.470882279823334</v>
      </c>
      <c r="AA1976" s="257">
        <f>altaz((J2000_Bas+(2*0.04167)),$O1976,$M1976,DecLat,DecLong,1)</f>
        <v>0.58241383305445549</v>
      </c>
      <c r="AB1976" s="257">
        <f>altaz((J2000_Bas+(4*0.04167)),$O1976,$M1976,DecLat,DecLong,1)</f>
        <v>-7.1527324464606288</v>
      </c>
      <c r="AC1976" s="257">
        <f>altaz((J2000_Bas+(6*0.04167)),$O1976,$M1976,DecLat,DecLong,1)</f>
        <v>-6.7688744480922933</v>
      </c>
      <c r="AD1976" s="258">
        <f>1+ transit((J2000_Bas-1),$O1976,$M1976,DecLat,DecLong)/360 + (GMTOffset/24) + (IF(DST="Y", 1, 0)/24)</f>
        <v>1.4924948180776247</v>
      </c>
      <c r="AE1976" s="259">
        <f>DATE(2001,9,21)+(M1976/360)*365 - (360*((DecLong/360)- (GMTOffset/24) ))</f>
        <v>37342.352141203701</v>
      </c>
      <c r="AF1976" s="260">
        <f>IF(DecLat&gt;0,IF((90 - (DecLat-O1976))&gt;90, (90 - (O1976-DecLat)), (90 - (DecLat-O1976))),IF((90 + (DecLat-O1976))&gt;90, (90 + (O1976-DecLat)), (90 + (DecLat-O1976))))</f>
        <v>70.038333333333327</v>
      </c>
      <c r="AG1976" s="257">
        <f>angularseperation(MoonRA,MoonDec,$M1976,$O1976)</f>
        <v>98.987907739511712</v>
      </c>
      <c r="AH1976" s="261">
        <f ca="1">MIN(100,IF($O$5&gt;80,0+30*($AG1976/100),IF($O$5&gt;70,0+50*($AG1976/100),IF($O$5&gt;60,5+50*($AG1976/100),IF($O$5&gt;50,10+60*($AG1976/100),IF($O$5&gt;40,15+70*($AG1976/100),IF($O$5&gt;30,20+70*($AG1976/100),IF($O$5&gt;20,40+55*($AG1976/100),(80+(20-$O$5)+30*($AG1976/100))))))))))</f>
        <v>100</v>
      </c>
      <c r="AI1976" s="262">
        <v>4026</v>
      </c>
      <c r="AJ1976" s="263"/>
      <c r="AK1976" s="263">
        <v>200</v>
      </c>
      <c r="AL1976" s="263"/>
      <c r="AM1976" s="264"/>
      <c r="AN1976" s="263"/>
      <c r="AO1976" s="263"/>
      <c r="AP1976" s="265"/>
      <c r="AQ1976" s="265">
        <v>6985</v>
      </c>
      <c r="AR1976" s="285">
        <v>37760</v>
      </c>
      <c r="AS1976" s="263"/>
      <c r="AT1976" s="263"/>
      <c r="AU1976" s="263"/>
      <c r="AV1976" s="264"/>
      <c r="AW1976" s="263"/>
      <c r="AX1976" s="263"/>
      <c r="AY1976" s="263"/>
      <c r="AZ1976" s="263"/>
      <c r="BA1976" s="263"/>
      <c r="BB1976" s="263"/>
      <c r="BC1976" s="263"/>
      <c r="BD1976" s="264"/>
      <c r="BE1976" s="263"/>
      <c r="BF1976" s="263"/>
      <c r="BG1976" s="263"/>
      <c r="BH1976" s="263"/>
      <c r="BI1976" s="263"/>
      <c r="BJ1976" s="404">
        <f>altaz(J2000_Bas,$O1976,$M1976,DecLat,DecLong,2)</f>
        <v>321.33163304260307</v>
      </c>
      <c r="BK1976" s="378" t="s">
        <v>1914</v>
      </c>
      <c r="BL1976" s="379">
        <f>IF((2*G1976)/60&lt;0.2,0.2,(2*G1976)/60)</f>
        <v>0.2</v>
      </c>
      <c r="BM1976" s="380">
        <f>MOD((50000+AD1976-$B$3+(0/24)),1)</f>
        <v>0.7078617477818625</v>
      </c>
      <c r="BN1976" s="381"/>
      <c r="BO1976" s="382">
        <v>1968</v>
      </c>
    </row>
    <row r="1977" spans="1:67" s="24" customFormat="1" ht="15" customHeight="1" x14ac:dyDescent="0.25">
      <c r="A1977" s="288" t="s">
        <v>1915</v>
      </c>
      <c r="B1977" s="241" t="str">
        <f>HYPERLINK(CONCATENATE($AT$3,BK1977,$AU$3),$AV$3)</f>
        <v>S</v>
      </c>
      <c r="C1977" s="242" t="str">
        <f>HYPERLINK(CONCATENATE($AT$4,BK1977,$AU$4,BL1977),$AV$4)</f>
        <v>A</v>
      </c>
      <c r="D1977" s="243" t="s">
        <v>5638</v>
      </c>
      <c r="E1977" s="244" t="s">
        <v>5192</v>
      </c>
      <c r="F1977" s="269" t="s">
        <v>8699</v>
      </c>
      <c r="G1977" s="273">
        <v>3.8</v>
      </c>
      <c r="H1977" s="283">
        <v>90</v>
      </c>
      <c r="I1977" s="246">
        <v>100</v>
      </c>
      <c r="J1977" s="246">
        <v>3</v>
      </c>
      <c r="K1977" s="247" t="s">
        <v>7779</v>
      </c>
      <c r="L1977" s="248">
        <v>120024</v>
      </c>
      <c r="M1977" s="249">
        <f>15*(LEFT(TEXT($L1977,"000000"),2)+(MID(TEXT($L1977,"000000"),3,2)/60)+(RIGHT(TEXT($L1977,"000000"),2)/3600))</f>
        <v>180.1</v>
      </c>
      <c r="N1977" s="250">
        <v>-10601</v>
      </c>
      <c r="O1977" s="251">
        <f>IF($N1977&gt;0,(LEFT(TEXT($N1977,"000000"),2)+(MID(TEXT($N1977,"000000"),3,2)/60)+(RIGHT(TEXT($N1977,"000000"),2)/3600)),-(MID(TEXT($N1977,"000000"),2,2)+(MID(TEXT($N1977,"000000"),4,2)/60)+(RIGHT(TEXT($N1977,"000000"),2)/3600)))</f>
        <v>-1.1002777777777779</v>
      </c>
      <c r="P1977" s="252" t="s">
        <v>61</v>
      </c>
      <c r="Q1977" s="253"/>
      <c r="R1977" s="277" t="s">
        <v>3293</v>
      </c>
      <c r="S1977" s="272" t="s">
        <v>3293</v>
      </c>
      <c r="T1977" s="273">
        <v>10.6</v>
      </c>
      <c r="U1977" s="289">
        <v>22.19</v>
      </c>
      <c r="V1977" s="280">
        <v>20</v>
      </c>
      <c r="W1977" s="244"/>
      <c r="X1977" s="244"/>
      <c r="Y1977" s="362"/>
      <c r="Z1977" s="257">
        <f>altaz(J2000_Bas,$O1977,$M1977,DecLat,DecLong,1)</f>
        <v>-14.164890454385835</v>
      </c>
      <c r="AA1977" s="257">
        <f>altaz((J2000_Bas+(2*0.04167)),$O1977,$M1977,DecLat,DecLong,1)</f>
        <v>-38.773071512626878</v>
      </c>
      <c r="AB1977" s="257">
        <f>altaz((J2000_Bas+(4*0.04167)),$O1977,$M1977,DecLat,DecLong,1)</f>
        <v>-57.32019862191941</v>
      </c>
      <c r="AC1977" s="257">
        <f>altaz((J2000_Bas+(6*0.04167)),$O1977,$M1977,DecLat,DecLong,1)</f>
        <v>-56.413621676072985</v>
      </c>
      <c r="AD1977" s="258">
        <f>1+ transit((J2000_Bas-1),$O1977,$M1977,DecLat,DecLong)/360 + (GMTOffset/24) + (IF(DST="Y", 1, 0)/24)</f>
        <v>1.4931776883797079</v>
      </c>
      <c r="AE1977" s="259">
        <f>DATE(2001,9,21)+(M1977/360)*365 - (360*((DecLong/360)- (GMTOffset/24) ))</f>
        <v>37342.601388888892</v>
      </c>
      <c r="AF1977" s="260">
        <f>IF(DecLat&gt;0,IF((90 - (DecLat-O1977))&gt;90, (90 - (O1977-DecLat)), (90 - (DecLat-O1977))),IF((90 + (DecLat-O1977))&gt;90, (90 + (O1977-DecLat)), (90 + (DecLat-O1977))))</f>
        <v>57.899722222222223</v>
      </c>
      <c r="AG1977" s="257">
        <f>angularseperation(MoonRA,MoonDec,$M1977,$O1977)</f>
        <v>70.992396584325334</v>
      </c>
      <c r="AH1977" s="261">
        <f ca="1">MIN(100,IF($O$5&gt;80,0+30*($AG1977/100),IF($O$5&gt;70,0+50*($AG1977/100),IF($O$5&gt;60,5+50*($AG1977/100),IF($O$5&gt;50,10+60*($AG1977/100),IF($O$5&gt;40,15+70*($AG1977/100),IF($O$5&gt;30,20+70*($AG1977/100),IF($O$5&gt;20,40+55*($AG1977/100),(80+(20-$O$5)+30*($AG1977/100))))))))))</f>
        <v>100</v>
      </c>
      <c r="AI1977" s="262">
        <v>4030</v>
      </c>
      <c r="AJ1977" s="263"/>
      <c r="AK1977" s="263">
        <v>202</v>
      </c>
      <c r="AL1977" s="263"/>
      <c r="AM1977" s="264"/>
      <c r="AN1977" s="263"/>
      <c r="AO1977" s="263"/>
      <c r="AP1977" s="265"/>
      <c r="AQ1977" s="265">
        <v>6993</v>
      </c>
      <c r="AR1977" s="285">
        <v>37845</v>
      </c>
      <c r="AS1977" s="263"/>
      <c r="AT1977" s="263"/>
      <c r="AU1977" s="263"/>
      <c r="AV1977" s="264"/>
      <c r="AW1977" s="263"/>
      <c r="AX1977" s="263"/>
      <c r="AY1977" s="263"/>
      <c r="AZ1977" s="263"/>
      <c r="BA1977" s="263"/>
      <c r="BB1977" s="263"/>
      <c r="BC1977" s="263"/>
      <c r="BD1977" s="264"/>
      <c r="BE1977" s="263"/>
      <c r="BF1977" s="263"/>
      <c r="BG1977" s="263"/>
      <c r="BH1977" s="263"/>
      <c r="BI1977" s="263"/>
      <c r="BJ1977" s="404">
        <f>altaz(J2000_Bas,$O1977,$M1977,DecLat,DecLong,2)</f>
        <v>277.3855150973738</v>
      </c>
      <c r="BK1977" s="378" t="s">
        <v>1915</v>
      </c>
      <c r="BL1977" s="379">
        <f>IF((2*G1977)/60&lt;0.2,0.2,(2*G1977)/60)</f>
        <v>0.2</v>
      </c>
      <c r="BM1977" s="380">
        <f>MOD((50000+AD1977-$B$3+(0/24)),1)</f>
        <v>0.70854461808630731</v>
      </c>
      <c r="BN1977" s="381"/>
      <c r="BO1977" s="382">
        <v>1969</v>
      </c>
    </row>
    <row r="1978" spans="1:67" s="24" customFormat="1" ht="15" customHeight="1" x14ac:dyDescent="0.25">
      <c r="A1978" s="288" t="s">
        <v>1916</v>
      </c>
      <c r="B1978" s="241" t="str">
        <f>HYPERLINK(CONCATENATE($AT$3,BK1978,$AU$3),$AV$3)</f>
        <v>S</v>
      </c>
      <c r="C1978" s="242" t="str">
        <f>HYPERLINK(CONCATENATE($AT$4,BK1978,$AU$4,BL1978),$AV$4)</f>
        <v>A</v>
      </c>
      <c r="D1978" s="243" t="s">
        <v>5638</v>
      </c>
      <c r="E1978" s="244" t="s">
        <v>5182</v>
      </c>
      <c r="F1978" s="269" t="s">
        <v>3300</v>
      </c>
      <c r="G1978" s="273">
        <v>3.8</v>
      </c>
      <c r="H1978" s="283">
        <v>70</v>
      </c>
      <c r="I1978" s="246">
        <v>75</v>
      </c>
      <c r="J1978" s="246">
        <v>2</v>
      </c>
      <c r="K1978" s="247" t="s">
        <v>7782</v>
      </c>
      <c r="L1978" s="248">
        <v>120127</v>
      </c>
      <c r="M1978" s="249">
        <f>15*(LEFT(TEXT($L1978,"000000"),2)+(MID(TEXT($L1978,"000000"),3,2)/60)+(RIGHT(TEXT($L1978,"000000"),2)/3600))</f>
        <v>180.36250000000001</v>
      </c>
      <c r="N1978" s="250">
        <v>615344</v>
      </c>
      <c r="O1978" s="251">
        <f>IF($N1978&gt;0,(LEFT(TEXT($N1978,"000000"),2)+(MID(TEXT($N1978,"000000"),3,2)/60)+(RIGHT(TEXT($N1978,"000000"),2)/3600)),-(MID(TEXT($N1978,"000000"),2,2)+(MID(TEXT($N1978,"000000"),4,2)/60)+(RIGHT(TEXT($N1978,"000000"),2)/3600)))</f>
        <v>61.895555555555553</v>
      </c>
      <c r="P1978" s="252" t="s">
        <v>37</v>
      </c>
      <c r="Q1978" s="253"/>
      <c r="R1978" s="247" t="s">
        <v>3293</v>
      </c>
      <c r="S1978" s="272" t="s">
        <v>7780</v>
      </c>
      <c r="T1978" s="273">
        <v>10.7</v>
      </c>
      <c r="U1978" s="289">
        <v>21.59</v>
      </c>
      <c r="V1978" s="280">
        <v>72</v>
      </c>
      <c r="W1978" s="244"/>
      <c r="X1978" s="244"/>
      <c r="Y1978" s="362"/>
      <c r="Z1978" s="257">
        <f>altaz(J2000_Bas,$O1978,$M1978,DecLat,DecLong,1)</f>
        <v>20.209229428924242</v>
      </c>
      <c r="AA1978" s="257">
        <f>altaz((J2000_Bas+(2*0.04167)),$O1978,$M1978,DecLat,DecLong,1)</f>
        <v>9.5086097755113084</v>
      </c>
      <c r="AB1978" s="257">
        <f>altaz((J2000_Bas+(4*0.04167)),$O1978,$M1978,DecLat,DecLong,1)</f>
        <v>3.6026883518749138</v>
      </c>
      <c r="AC1978" s="257">
        <f>altaz((J2000_Bas+(6*0.04167)),$O1978,$M1978,DecLat,DecLong,1)</f>
        <v>3.7815203110054378</v>
      </c>
      <c r="AD1978" s="258">
        <f>1+ transit((J2000_Bas-1),$O1978,$M1978,DecLat,DecLong)/360 + (GMTOffset/24) + (IF(DST="Y", 1, 0)/24)</f>
        <v>1.493906854973458</v>
      </c>
      <c r="AE1978" s="259">
        <f>DATE(2001,9,21)+(M1978/360)*365 - (360*((DecLong/360)- (GMTOffset/24) ))</f>
        <v>37342.867534722223</v>
      </c>
      <c r="AF1978" s="260">
        <f>IF(DecLat&gt;0,IF((90 - (DecLat-O1978))&gt;90, (90 - (O1978-DecLat)), (90 - (DecLat-O1978))),IF((90 + (DecLat-O1978))&gt;90, (90 + (O1978-DecLat)), (90 + (DecLat-O1978))))</f>
        <v>59.104444444444447</v>
      </c>
      <c r="AG1978" s="257">
        <f>angularseperation(MoonRA,MoonDec,$M1978,$O1978)</f>
        <v>104.50608464027313</v>
      </c>
      <c r="AH1978" s="261">
        <f ca="1">MIN(100,IF($O$5&gt;80,0+30*($AG1978/100),IF($O$5&gt;70,0+50*($AG1978/100),IF($O$5&gt;60,5+50*($AG1978/100),IF($O$5&gt;50,10+60*($AG1978/100),IF($O$5&gt;40,15+70*($AG1978/100),IF($O$5&gt;30,20+70*($AG1978/100),IF($O$5&gt;20,40+55*($AG1978/100),(80+(20-$O$5)+30*($AG1978/100))))))))))</f>
        <v>100</v>
      </c>
      <c r="AI1978" s="262">
        <v>4036</v>
      </c>
      <c r="AJ1978" s="262"/>
      <c r="AK1978" s="262">
        <v>203</v>
      </c>
      <c r="AL1978" s="263"/>
      <c r="AM1978" s="264"/>
      <c r="AN1978" s="263"/>
      <c r="AO1978" s="263"/>
      <c r="AP1978" s="265"/>
      <c r="AQ1978" s="266">
        <v>7005</v>
      </c>
      <c r="AR1978" s="267">
        <v>37930</v>
      </c>
      <c r="AS1978" s="263"/>
      <c r="AT1978" s="263"/>
      <c r="AU1978" s="263"/>
      <c r="AV1978" s="264"/>
      <c r="AW1978" s="263"/>
      <c r="AX1978" s="263"/>
      <c r="AY1978" s="263"/>
      <c r="AZ1978" s="263"/>
      <c r="BA1978" s="263"/>
      <c r="BB1978" s="263"/>
      <c r="BC1978" s="263"/>
      <c r="BD1978" s="264"/>
      <c r="BE1978" s="263"/>
      <c r="BF1978" s="263">
        <v>49</v>
      </c>
      <c r="BG1978" s="263"/>
      <c r="BH1978" s="263"/>
      <c r="BI1978" s="263"/>
      <c r="BJ1978" s="404">
        <f>altaz(J2000_Bas,$O1978,$M1978,DecLat,DecLong,2)</f>
        <v>331.09247998002053</v>
      </c>
      <c r="BK1978" s="378" t="s">
        <v>1916</v>
      </c>
      <c r="BL1978" s="379">
        <f>IF((2*G1978)/60&lt;0.2,0.2,(2*G1978)/60)</f>
        <v>0.2</v>
      </c>
      <c r="BM1978" s="380">
        <f>MOD((50000+AD1978-$B$3+(0/24)),1)</f>
        <v>0.70927378467604285</v>
      </c>
      <c r="BN1978" s="381"/>
      <c r="BO1978" s="382">
        <v>1970</v>
      </c>
    </row>
    <row r="1979" spans="1:67" s="24" customFormat="1" ht="15" customHeight="1" x14ac:dyDescent="0.25">
      <c r="A1979" s="288" t="s">
        <v>8736</v>
      </c>
      <c r="B1979" s="241" t="str">
        <f>HYPERLINK(CONCATENATE($AT$3,BK1979,$AU$3),$AV$3)</f>
        <v>S</v>
      </c>
      <c r="C1979" s="242" t="str">
        <f>HYPERLINK(CONCATENATE($AT$4,BK1979,$AU$4,BL1979),$AV$4)</f>
        <v>A</v>
      </c>
      <c r="D1979" s="243" t="s">
        <v>5638</v>
      </c>
      <c r="E1979" s="244" t="s">
        <v>5337</v>
      </c>
      <c r="F1979" s="269" t="s">
        <v>9128</v>
      </c>
      <c r="G1979" s="273">
        <v>3</v>
      </c>
      <c r="H1979" s="283">
        <v>60</v>
      </c>
      <c r="I1979" s="246">
        <v>50</v>
      </c>
      <c r="J1979" s="246">
        <v>3</v>
      </c>
      <c r="K1979" s="247" t="s">
        <v>8738</v>
      </c>
      <c r="L1979" s="248">
        <v>120154</v>
      </c>
      <c r="M1979" s="249">
        <f>15*(LEFT(TEXT($L1979,"000000"),2)+(MID(TEXT($L1979,"000000"),3,2)/60)+(RIGHT(TEXT($L1979,"000000"),2)/3600))</f>
        <v>180.47500000000002</v>
      </c>
      <c r="N1979" s="250">
        <v>-185310</v>
      </c>
      <c r="O1979" s="251">
        <f>IF($N1979&gt;0,(LEFT(TEXT($N1979,"000000"),2)+(MID(TEXT($N1979,"000000"),3,2)/60)+(RIGHT(TEXT($N1979,"000000"),2)/3600)),-(MID(TEXT($N1979,"000000"),2,2)+(MID(TEXT($N1979,"000000"),4,2)/60)+(RIGHT(TEXT($N1979,"000000"),2)/3600)))</f>
        <v>-18.886111111111109</v>
      </c>
      <c r="P1979" s="252" t="s">
        <v>192</v>
      </c>
      <c r="Q1979" s="253"/>
      <c r="R1979" s="247"/>
      <c r="S1979" s="272" t="s">
        <v>8735</v>
      </c>
      <c r="T1979" s="273">
        <v>10.3</v>
      </c>
      <c r="U1979" s="289">
        <v>20.990000000000002</v>
      </c>
      <c r="V1979" s="280"/>
      <c r="W1979" s="244"/>
      <c r="X1979" s="244"/>
      <c r="Y1979" s="362"/>
      <c r="Z1979" s="257">
        <f>altaz(J2000_Bas,$O1979,$M1979,DecLat,DecLong,1)</f>
        <v>-22.570773903029671</v>
      </c>
      <c r="AA1979" s="257">
        <f>altaz((J2000_Bas+(2*0.04167)),$O1979,$M1979,DecLat,DecLong,1)</f>
        <v>-48.26953353642876</v>
      </c>
      <c r="AB1979" s="257">
        <f>altaz((J2000_Bas+(4*0.04167)),$O1979,$M1979,DecLat,DecLong,1)</f>
        <v>-72.28691523884406</v>
      </c>
      <c r="AC1979" s="257">
        <f>altaz((J2000_Bas+(6*0.04167)),$O1979,$M1979,DecLat,DecLong,1)</f>
        <v>-71.291480703317148</v>
      </c>
      <c r="AD1979" s="258">
        <f>1+ transit((J2000_Bas-1),$O1979,$M1979,DecLat,DecLong)/360 + (GMTOffset/24) + (IF(DST="Y", 1, 0)/24)</f>
        <v>1.494219354942208</v>
      </c>
      <c r="AE1979" s="259">
        <f>DATE(2001,9,21)+(M1979/360)*365 - (360*((DecLong/360)- (GMTOffset/24) ))</f>
        <v>37342.98159722222</v>
      </c>
      <c r="AF1979" s="260">
        <f>IF(DecLat&gt;0,IF((90 - (DecLat-O1979))&gt;90, (90 - (O1979-DecLat)), (90 - (DecLat-O1979))),IF((90 + (DecLat-O1979))&gt;90, (90 + (O1979-DecLat)), (90 + (DecLat-O1979))))</f>
        <v>40.113888888888894</v>
      </c>
      <c r="AG1979" s="257">
        <f>angularseperation(MoonRA,MoonDec,$M1979,$O1979)</f>
        <v>63.098185307686933</v>
      </c>
      <c r="AH1979" s="261">
        <f ca="1">MIN(100,IF($O$5&gt;80,0+30*($AG1979/100),IF($O$5&gt;70,0+50*($AG1979/100),IF($O$5&gt;60,5+50*($AG1979/100),IF($O$5&gt;50,10+60*($AG1979/100),IF($O$5&gt;40,15+70*($AG1979/100),IF($O$5&gt;30,20+70*($AG1979/100),IF($O$5&gt;20,40+55*($AG1979/100),(80+(20-$O$5)+30*($AG1979/100))))))))))</f>
        <v>100</v>
      </c>
      <c r="AI1979" s="262">
        <v>4039</v>
      </c>
      <c r="AJ1979" s="262"/>
      <c r="AK1979" s="262"/>
      <c r="AL1979" s="263"/>
      <c r="AM1979" s="264">
        <v>61</v>
      </c>
      <c r="AN1979" s="263"/>
      <c r="AO1979" s="263"/>
      <c r="AP1979" s="265"/>
      <c r="AQ1979" s="266"/>
      <c r="AR1979" s="267">
        <v>37969</v>
      </c>
      <c r="AS1979" s="263"/>
      <c r="AT1979" s="263"/>
      <c r="AU1979" s="263"/>
      <c r="AV1979" s="264"/>
      <c r="AW1979" s="263"/>
      <c r="AX1979" s="263"/>
      <c r="AY1979" s="263"/>
      <c r="AZ1979" s="263"/>
      <c r="BA1979" s="263"/>
      <c r="BB1979" s="263"/>
      <c r="BC1979" s="263"/>
      <c r="BD1979" s="264"/>
      <c r="BE1979" s="263"/>
      <c r="BF1979" s="263"/>
      <c r="BG1979" s="263"/>
      <c r="BH1979" s="263"/>
      <c r="BI1979" s="263"/>
      <c r="BJ1979" s="404">
        <f>altaz(J2000_Bas,$O1979,$M1979,DecLat,DecLong,2)</f>
        <v>260.83990499454484</v>
      </c>
      <c r="BK1979" s="378" t="s">
        <v>8737</v>
      </c>
      <c r="BL1979" s="379">
        <f>IF((2*G1979)/60&lt;0.2,0.2,(2*G1979)/60)</f>
        <v>0.2</v>
      </c>
      <c r="BM1979" s="380">
        <f>MOD((50000+AD1979-$B$3+(0/24)),1)</f>
        <v>0.70958628464723006</v>
      </c>
      <c r="BN1979" s="381" t="s">
        <v>9283</v>
      </c>
      <c r="BO1979" s="382">
        <v>1971</v>
      </c>
    </row>
    <row r="1980" spans="1:67" s="24" customFormat="1" ht="15" customHeight="1" x14ac:dyDescent="0.25">
      <c r="A1980" s="288" t="s">
        <v>1917</v>
      </c>
      <c r="B1980" s="241" t="str">
        <f>HYPERLINK(CONCATENATE($AT$3,BK1980,$AU$3),$AV$3)</f>
        <v>S</v>
      </c>
      <c r="C1980" s="242" t="str">
        <f>HYPERLINK(CONCATENATE($AT$4,BK1980,$AU$4,BL1980),$AV$4)</f>
        <v>A</v>
      </c>
      <c r="D1980" s="243" t="s">
        <v>5638</v>
      </c>
      <c r="E1980" s="244" t="s">
        <v>5192</v>
      </c>
      <c r="F1980" s="269" t="s">
        <v>8714</v>
      </c>
      <c r="G1980" s="273">
        <v>3.2</v>
      </c>
      <c r="H1980" s="283">
        <v>70</v>
      </c>
      <c r="I1980" s="246">
        <v>65</v>
      </c>
      <c r="J1980" s="246">
        <v>2</v>
      </c>
      <c r="K1980" s="247" t="s">
        <v>7783</v>
      </c>
      <c r="L1980" s="248">
        <v>120212</v>
      </c>
      <c r="M1980" s="249">
        <f>15*(LEFT(TEXT($L1980,"000000"),2)+(MID(TEXT($L1980,"000000"),3,2)/60)+(RIGHT(TEXT($L1980,"000000"),2)/3600))</f>
        <v>180.55</v>
      </c>
      <c r="N1980" s="286">
        <v>620814</v>
      </c>
      <c r="O1980" s="251">
        <f>IF($N1980&gt;0,(LEFT(TEXT($N1980,"000000"),2)+(MID(TEXT($N1980,"000000"),3,2)/60)+(RIGHT(TEXT($N1980,"000000"),2)/3600)),-(MID(TEXT($N1980,"000000"),2,2)+(MID(TEXT($N1980,"000000"),4,2)/60)+(RIGHT(TEXT($N1980,"000000"),2)/3600)))</f>
        <v>62.137222222222221</v>
      </c>
      <c r="P1980" s="252" t="s">
        <v>37</v>
      </c>
      <c r="Q1980" s="253"/>
      <c r="R1980" s="247" t="s">
        <v>3293</v>
      </c>
      <c r="S1980" s="272" t="s">
        <v>7781</v>
      </c>
      <c r="T1980" s="273">
        <v>11.3</v>
      </c>
      <c r="U1980" s="289">
        <v>22.09</v>
      </c>
      <c r="V1980" s="280">
        <v>4</v>
      </c>
      <c r="W1980" s="244"/>
      <c r="X1980" s="244"/>
      <c r="Y1980" s="362"/>
      <c r="Z1980" s="257">
        <f>altaz(J2000_Bas,$O1980,$M1980,DecLat,DecLong,1)</f>
        <v>20.401245833604182</v>
      </c>
      <c r="AA1980" s="257">
        <f>altaz((J2000_Bas+(2*0.04167)),$O1980,$M1980,DecLat,DecLong,1)</f>
        <v>9.753971673278869</v>
      </c>
      <c r="AB1980" s="257">
        <f>altaz((J2000_Bas+(4*0.04167)),$O1980,$M1980,DecLat,DecLong,1)</f>
        <v>3.8575110728761408</v>
      </c>
      <c r="AC1980" s="257">
        <f>altaz((J2000_Bas+(6*0.04167)),$O1980,$M1980,DecLat,DecLong,1)</f>
        <v>3.9959007543894156</v>
      </c>
      <c r="AD1980" s="258">
        <f>1+ transit((J2000_Bas-1),$O1980,$M1980,DecLat,DecLong)/360 + (GMTOffset/24) + (IF(DST="Y", 1, 0)/24)</f>
        <v>1.4944276882547081</v>
      </c>
      <c r="AE1980" s="259">
        <f>DATE(2001,9,21)+(M1980/360)*365 - (360*((DecLong/360)- (GMTOffset/24) ))</f>
        <v>37343.057638888888</v>
      </c>
      <c r="AF1980" s="260">
        <f>IF(DecLat&gt;0,IF((90 - (DecLat-O1980))&gt;90, (90 - (O1980-DecLat)), (90 - (DecLat-O1980))),IF((90 + (DecLat-O1980))&gt;90, (90 + (O1980-DecLat)), (90 + (DecLat-O1980))))</f>
        <v>58.862777777777779</v>
      </c>
      <c r="AG1980" s="257">
        <f>angularseperation(MoonRA,MoonDec,$M1980,$O1980)</f>
        <v>104.55501148448346</v>
      </c>
      <c r="AH1980" s="261">
        <f ca="1">MIN(100,IF($O$5&gt;80,0+30*($AG1980/100),IF($O$5&gt;70,0+50*($AG1980/100),IF($O$5&gt;60,5+50*($AG1980/100),IF($O$5&gt;50,10+60*($AG1980/100),IF($O$5&gt;40,15+70*($AG1980/100),IF($O$5&gt;30,20+70*($AG1980/100),IF($O$5&gt;20,40+55*($AG1980/100),(80+(20-$O$5)+30*($AG1980/100))))))))))</f>
        <v>100</v>
      </c>
      <c r="AI1980" s="262">
        <v>4041</v>
      </c>
      <c r="AJ1980" s="262"/>
      <c r="AK1980" s="262">
        <v>205</v>
      </c>
      <c r="AL1980" s="263"/>
      <c r="AM1980" s="264"/>
      <c r="AN1980" s="263"/>
      <c r="AO1980" s="263"/>
      <c r="AP1980" s="265"/>
      <c r="AQ1980" s="266">
        <v>7014</v>
      </c>
      <c r="AR1980" s="267">
        <v>37999</v>
      </c>
      <c r="AS1980" s="263"/>
      <c r="AT1980" s="263"/>
      <c r="AU1980" s="263"/>
      <c r="AV1980" s="264"/>
      <c r="AW1980" s="263"/>
      <c r="AX1980" s="263"/>
      <c r="AY1980" s="263"/>
      <c r="AZ1980" s="263"/>
      <c r="BA1980" s="263"/>
      <c r="BB1980" s="263"/>
      <c r="BC1980" s="263"/>
      <c r="BD1980" s="264"/>
      <c r="BE1980" s="263"/>
      <c r="BF1980" s="263"/>
      <c r="BG1980" s="263"/>
      <c r="BH1980" s="263"/>
      <c r="BI1980" s="263"/>
      <c r="BJ1980" s="404">
        <f>altaz(J2000_Bas,$O1980,$M1980,DecLat,DecLong,2)</f>
        <v>331.2749090245772</v>
      </c>
      <c r="BK1980" s="378" t="s">
        <v>1917</v>
      </c>
      <c r="BL1980" s="379">
        <f>IF((2*G1980)/60&lt;0.2,0.2,(2*G1980)/60)</f>
        <v>0.2</v>
      </c>
      <c r="BM1980" s="380">
        <f>MOD((50000+AD1980-$B$3+(0/24)),1)</f>
        <v>0.70979461795650423</v>
      </c>
      <c r="BN1980" s="381"/>
      <c r="BO1980" s="382">
        <v>1972</v>
      </c>
    </row>
    <row r="1981" spans="1:67" s="24" customFormat="1" ht="15" customHeight="1" x14ac:dyDescent="0.25">
      <c r="A1981" s="288" t="s">
        <v>1918</v>
      </c>
      <c r="B1981" s="241" t="str">
        <f>HYPERLINK(CONCATENATE($AT$3,BK1981,$AU$3),$AV$3)</f>
        <v>S</v>
      </c>
      <c r="C1981" s="242" t="str">
        <f>HYPERLINK(CONCATENATE($AT$4,BK1981,$AU$4,BL1981),$AV$4)</f>
        <v>A</v>
      </c>
      <c r="D1981" s="243" t="s">
        <v>5638</v>
      </c>
      <c r="E1981" s="244" t="s">
        <v>5192</v>
      </c>
      <c r="F1981" s="269" t="s">
        <v>8911</v>
      </c>
      <c r="G1981" s="273">
        <v>3.2</v>
      </c>
      <c r="H1981" s="283">
        <v>110</v>
      </c>
      <c r="I1981" s="246">
        <v>100</v>
      </c>
      <c r="J1981" s="246">
        <v>2</v>
      </c>
      <c r="K1981" s="247" t="s">
        <v>8569</v>
      </c>
      <c r="L1981" s="248">
        <v>120242</v>
      </c>
      <c r="M1981" s="249">
        <f>15*(LEFT(TEXT($L1981,"000000"),2)+(MID(TEXT($L1981,"000000"),3,2)/60)+(RIGHT(TEXT($L1981,"000000"),2)/3600))</f>
        <v>180.67500000000001</v>
      </c>
      <c r="N1981" s="250">
        <v>15836</v>
      </c>
      <c r="O1981" s="251">
        <f>IF($N1981&gt;0,(LEFT(TEXT($N1981,"000000"),2)+(MID(TEXT($N1981,"000000"),3,2)/60)+(RIGHT(TEXT($N1981,"000000"),2)/3600)),-(MID(TEXT($N1981,"000000"),2,2)+(MID(TEXT($N1981,"000000"),4,2)/60)+(RIGHT(TEXT($N1981,"000000"),2)/3600)))</f>
        <v>1.9766666666666668</v>
      </c>
      <c r="P1981" s="252" t="s">
        <v>61</v>
      </c>
      <c r="Q1981" s="253"/>
      <c r="R1981" s="277" t="s">
        <v>3293</v>
      </c>
      <c r="S1981" s="272" t="s">
        <v>9571</v>
      </c>
      <c r="T1981" s="273">
        <v>12</v>
      </c>
      <c r="U1981" s="289">
        <v>22.490000000000002</v>
      </c>
      <c r="V1981" s="280">
        <v>70</v>
      </c>
      <c r="W1981" s="244"/>
      <c r="X1981" s="244"/>
      <c r="Y1981" s="362"/>
      <c r="Z1981" s="257">
        <f>altaz(J2000_Bas,$O1981,$M1981,DecLat,DecLong,1)</f>
        <v>-12.045137502636106</v>
      </c>
      <c r="AA1981" s="257">
        <f>altaz((J2000_Bas+(2*0.04167)),$O1981,$M1981,DecLat,DecLong,1)</f>
        <v>-36.322177266147996</v>
      </c>
      <c r="AB1981" s="257">
        <f>altaz((J2000_Bas+(4*0.04167)),$O1981,$M1981,DecLat,DecLong,1)</f>
        <v>-54.251908646528378</v>
      </c>
      <c r="AC1981" s="257">
        <f>altaz((J2000_Bas+(6*0.04167)),$O1981,$M1981,DecLat,DecLong,1)</f>
        <v>-53.843701751960502</v>
      </c>
      <c r="AD1981" s="258">
        <f>1+ transit((J2000_Bas-1),$O1981,$M1981,DecLat,DecLong)/360 + (GMTOffset/24) + (IF(DST="Y", 1, 0)/24)</f>
        <v>1.4947749104422081</v>
      </c>
      <c r="AE1981" s="259">
        <f>DATE(2001,9,21)+(M1981/360)*365 - (360*((DecLong/360)- (GMTOffset/24) ))</f>
        <v>37343.184374999997</v>
      </c>
      <c r="AF1981" s="260">
        <f>IF(DecLat&gt;0,IF((90 - (DecLat-O1981))&gt;90, (90 - (O1981-DecLat)), (90 - (DecLat-O1981))),IF((90 + (DecLat-O1981))&gt;90, (90 + (O1981-DecLat)), (90 + (DecLat-O1981))))</f>
        <v>60.976666666666667</v>
      </c>
      <c r="AG1981" s="257">
        <f>angularseperation(MoonRA,MoonDec,$M1981,$O1981)</f>
        <v>71.974223476922376</v>
      </c>
      <c r="AH1981" s="261">
        <f ca="1">MIN(100,IF($O$5&gt;80,0+30*($AG1981/100),IF($O$5&gt;70,0+50*($AG1981/100),IF($O$5&gt;60,5+50*($AG1981/100),IF($O$5&gt;50,10+60*($AG1981/100),IF($O$5&gt;40,15+70*($AG1981/100),IF($O$5&gt;30,20+70*($AG1981/100),IF($O$5&gt;20,40+55*($AG1981/100),(80+(20-$O$5)+30*($AG1981/100))))))))))</f>
        <v>100</v>
      </c>
      <c r="AI1981" s="262">
        <v>4045</v>
      </c>
      <c r="AJ1981" s="263"/>
      <c r="AK1981" s="263"/>
      <c r="AL1981" s="263"/>
      <c r="AM1981" s="264"/>
      <c r="AN1981" s="263"/>
      <c r="AO1981" s="263"/>
      <c r="AP1981" s="265"/>
      <c r="AQ1981" s="265"/>
      <c r="AR1981" s="285">
        <v>38031</v>
      </c>
      <c r="AS1981" s="263"/>
      <c r="AT1981" s="263"/>
      <c r="AU1981" s="263"/>
      <c r="AV1981" s="264"/>
      <c r="AW1981" s="263"/>
      <c r="AX1981" s="263"/>
      <c r="AY1981" s="263"/>
      <c r="AZ1981" s="263"/>
      <c r="BA1981" s="263"/>
      <c r="BB1981" s="263"/>
      <c r="BC1981" s="263"/>
      <c r="BD1981" s="264"/>
      <c r="BE1981" s="263"/>
      <c r="BF1981" s="263"/>
      <c r="BG1981" s="263"/>
      <c r="BH1981" s="263"/>
      <c r="BI1981" s="263"/>
      <c r="BJ1981" s="404">
        <f>altaz(J2000_Bas,$O1981,$M1981,DecLat,DecLong,2)</f>
        <v>279.75047558728659</v>
      </c>
      <c r="BK1981" s="378" t="s">
        <v>1918</v>
      </c>
      <c r="BL1981" s="379">
        <f>IF((2*G1981)/60&lt;0.2,0.2,(2*G1981)/60)</f>
        <v>0.2</v>
      </c>
      <c r="BM1981" s="380">
        <f>MOD((50000+AD1981-$B$3+(0/24)),1)</f>
        <v>0.71014184014347848</v>
      </c>
      <c r="BN1981" s="381"/>
      <c r="BO1981" s="382">
        <v>1973</v>
      </c>
    </row>
    <row r="1982" spans="1:67" s="24" customFormat="1" ht="15" customHeight="1" x14ac:dyDescent="0.25">
      <c r="A1982" s="287" t="s">
        <v>1919</v>
      </c>
      <c r="B1982" s="241" t="str">
        <f>HYPERLINK(CONCATENATE($AT$3,BK1982,$AU$3),$AV$3)</f>
        <v>S</v>
      </c>
      <c r="C1982" s="242" t="str">
        <f>HYPERLINK(CONCATENATE($AT$4,BK1982,$AU$4,BL1982),$AV$4)</f>
        <v>A</v>
      </c>
      <c r="D1982" s="243" t="s">
        <v>5638</v>
      </c>
      <c r="E1982" s="244" t="s">
        <v>5192</v>
      </c>
      <c r="F1982" s="269" t="s">
        <v>8715</v>
      </c>
      <c r="G1982" s="273">
        <v>2.8</v>
      </c>
      <c r="H1982" s="283">
        <v>110</v>
      </c>
      <c r="I1982" s="246">
        <v>90</v>
      </c>
      <c r="J1982" s="246">
        <v>2</v>
      </c>
      <c r="K1982" s="247" t="s">
        <v>7784</v>
      </c>
      <c r="L1982" s="248">
        <v>120254</v>
      </c>
      <c r="M1982" s="249">
        <f>15*(LEFT(TEXT($L1982,"000000"),2)+(MID(TEXT($L1982,"000000"),3,2)/60)+(RIGHT(TEXT($L1982,"000000"),2)/3600))</f>
        <v>180.72499999999999</v>
      </c>
      <c r="N1982" s="250">
        <v>-162227</v>
      </c>
      <c r="O1982" s="251">
        <f>IF($N1982&gt;0,(LEFT(TEXT($N1982,"000000"),2)+(MID(TEXT($N1982,"000000"),3,2)/60)+(RIGHT(TEXT($N1982,"000000"),2)/3600)),-(MID(TEXT($N1982,"000000"),2,2)+(MID(TEXT($N1982,"000000"),4,2)/60)+(RIGHT(TEXT($N1982,"000000"),2)/3600)))</f>
        <v>-16.374166666666667</v>
      </c>
      <c r="P1982" s="252" t="s">
        <v>192</v>
      </c>
      <c r="Q1982" s="253"/>
      <c r="R1982" s="277" t="s">
        <v>3293</v>
      </c>
      <c r="S1982" s="272" t="s">
        <v>3293</v>
      </c>
      <c r="T1982" s="273">
        <v>12.2</v>
      </c>
      <c r="U1982" s="289">
        <v>22.990000000000002</v>
      </c>
      <c r="V1982" s="280">
        <v>50</v>
      </c>
      <c r="W1982" s="244"/>
      <c r="X1982" s="244"/>
      <c r="Y1982" s="362"/>
      <c r="Z1982" s="257">
        <f>altaz(J2000_Bas,$O1982,$M1982,DecLat,DecLong,1)</f>
        <v>-21.216538168146862</v>
      </c>
      <c r="AA1982" s="257">
        <f>altaz((J2000_Bas+(2*0.04167)),$O1982,$M1982,DecLat,DecLong,1)</f>
        <v>-46.918578290950315</v>
      </c>
      <c r="AB1982" s="257">
        <f>altaz((J2000_Bas+(4*0.04167)),$O1982,$M1982,DecLat,DecLong,1)</f>
        <v>-70.255448340786344</v>
      </c>
      <c r="AC1982" s="257">
        <f>altaz((J2000_Bas+(6*0.04167)),$O1982,$M1982,DecLat,DecLong,1)</f>
        <v>-69.646574381563056</v>
      </c>
      <c r="AD1982" s="258">
        <f>1+ transit((J2000_Bas-1),$O1982,$M1982,DecLat,DecLong)/360 + (GMTOffset/24) + (IF(DST="Y", 1, 0)/24)</f>
        <v>1.4949137993172081</v>
      </c>
      <c r="AE1982" s="259">
        <f>DATE(2001,9,21)+(M1982/360)*365 - (360*((DecLong/360)- (GMTOffset/24) ))</f>
        <v>37343.235069444447</v>
      </c>
      <c r="AF1982" s="260">
        <f>IF(DecLat&gt;0,IF((90 - (DecLat-O1982))&gt;90, (90 - (O1982-DecLat)), (90 - (DecLat-O1982))),IF((90 + (DecLat-O1982))&gt;90, (90 + (O1982-DecLat)), (90 + (DecLat-O1982))))</f>
        <v>42.625833333333333</v>
      </c>
      <c r="AG1982" s="257">
        <f>angularseperation(MoonRA,MoonDec,$M1982,$O1982)</f>
        <v>63.819942343223019</v>
      </c>
      <c r="AH1982" s="261">
        <f ca="1">MIN(100,IF($O$5&gt;80,0+30*($AG1982/100),IF($O$5&gt;70,0+50*($AG1982/100),IF($O$5&gt;60,5+50*($AG1982/100),IF($O$5&gt;50,10+60*($AG1982/100),IF($O$5&gt;40,15+70*($AG1982/100),IF($O$5&gt;30,20+70*($AG1982/100),IF($O$5&gt;20,40+55*($AG1982/100),(80+(20-$O$5)+30*($AG1982/100))))))))))</f>
        <v>100</v>
      </c>
      <c r="AI1982" s="262">
        <v>4050</v>
      </c>
      <c r="AJ1982" s="263"/>
      <c r="AK1982" s="263"/>
      <c r="AL1982" s="263"/>
      <c r="AM1982" s="264"/>
      <c r="AN1982" s="263"/>
      <c r="AO1982" s="263"/>
      <c r="AP1982" s="265"/>
      <c r="AQ1982" s="265"/>
      <c r="AR1982" s="285">
        <v>38049</v>
      </c>
      <c r="AS1982" s="263"/>
      <c r="AT1982" s="263"/>
      <c r="AU1982" s="263"/>
      <c r="AV1982" s="264"/>
      <c r="AW1982" s="263"/>
      <c r="AX1982" s="263"/>
      <c r="AY1982" s="263"/>
      <c r="AZ1982" s="263"/>
      <c r="BA1982" s="263"/>
      <c r="BB1982" s="263"/>
      <c r="BC1982" s="263"/>
      <c r="BD1982" s="264"/>
      <c r="BE1982" s="263"/>
      <c r="BF1982" s="263"/>
      <c r="BG1982" s="263"/>
      <c r="BH1982" s="263"/>
      <c r="BI1982" s="263"/>
      <c r="BJ1982" s="404">
        <f>altaz(J2000_Bas,$O1982,$M1982,DecLat,DecLong,2)</f>
        <v>263.13449559728969</v>
      </c>
      <c r="BK1982" s="378" t="s">
        <v>1919</v>
      </c>
      <c r="BL1982" s="379">
        <f>IF((2*G1982)/60&lt;0.2,0.2,(2*G1982)/60)</f>
        <v>0.2</v>
      </c>
      <c r="BM1982" s="380">
        <f>MOD((50000+AD1982-$B$3+(0/24)),1)</f>
        <v>0.71028072902117856</v>
      </c>
      <c r="BN1982" s="381"/>
      <c r="BO1982" s="382">
        <v>1974</v>
      </c>
    </row>
    <row r="1983" spans="1:67" s="24" customFormat="1" ht="15" customHeight="1" x14ac:dyDescent="0.25">
      <c r="A1983" s="288" t="s">
        <v>1920</v>
      </c>
      <c r="B1983" s="241" t="str">
        <f>HYPERLINK(CONCATENATE($AT$3,BK1983,$AU$3),$AV$3)</f>
        <v>S</v>
      </c>
      <c r="C1983" s="242" t="str">
        <f>HYPERLINK(CONCATENATE($AT$4,BK1983,$AU$4,BL1983),$AV$4)</f>
        <v>A</v>
      </c>
      <c r="D1983" s="243" t="s">
        <v>5638</v>
      </c>
      <c r="E1983" s="244" t="s">
        <v>5192</v>
      </c>
      <c r="F1983" s="269" t="s">
        <v>8886</v>
      </c>
      <c r="G1983" s="273">
        <v>5.5</v>
      </c>
      <c r="H1983" s="283">
        <v>40</v>
      </c>
      <c r="I1983" s="246">
        <v>65</v>
      </c>
      <c r="J1983" s="246">
        <v>2</v>
      </c>
      <c r="K1983" s="247" t="s">
        <v>7785</v>
      </c>
      <c r="L1983" s="248">
        <v>120310</v>
      </c>
      <c r="M1983" s="249">
        <f>15*(LEFT(TEXT($L1983,"000000"),2)+(MID(TEXT($L1983,"000000"),3,2)/60)+(RIGHT(TEXT($L1983,"000000"),2)/3600))</f>
        <v>180.79166666666669</v>
      </c>
      <c r="N1983" s="250">
        <v>443153</v>
      </c>
      <c r="O1983" s="251">
        <f>IF($N1983&gt;0,(LEFT(TEXT($N1983,"000000"),2)+(MID(TEXT($N1983,"000000"),3,2)/60)+(RIGHT(TEXT($N1983,"000000"),2)/3600)),-(MID(TEXT($N1983,"000000"),2,2)+(MID(TEXT($N1983,"000000"),4,2)/60)+(RIGHT(TEXT($N1983,"000000"),2)/3600)))</f>
        <v>44.531388888888891</v>
      </c>
      <c r="P1983" s="252" t="s">
        <v>37</v>
      </c>
      <c r="Q1983" s="253"/>
      <c r="R1983" s="247" t="s">
        <v>3293</v>
      </c>
      <c r="S1983" s="272" t="s">
        <v>3293</v>
      </c>
      <c r="T1983" s="273">
        <v>12.9</v>
      </c>
      <c r="U1983" s="289">
        <v>22.19</v>
      </c>
      <c r="V1983" s="280">
        <v>45</v>
      </c>
      <c r="W1983" s="244"/>
      <c r="X1983" s="244"/>
      <c r="Y1983" s="362"/>
      <c r="Z1983" s="257">
        <f>altaz(J2000_Bas,$O1983,$M1983,DecLat,DecLong,1)</f>
        <v>11.588059861293607</v>
      </c>
      <c r="AA1983" s="257">
        <f>altaz((J2000_Bas+(2*0.04167)),$O1983,$M1983,DecLat,DecLong,1)</f>
        <v>-4.1921239819448832</v>
      </c>
      <c r="AB1983" s="257">
        <f>altaz((J2000_Bas+(4*0.04167)),$O1983,$M1983,DecLat,DecLong,1)</f>
        <v>-13.300882790774184</v>
      </c>
      <c r="AC1983" s="257">
        <f>altaz((J2000_Bas+(6*0.04167)),$O1983,$M1983,DecLat,DecLong,1)</f>
        <v>-13.163283027754758</v>
      </c>
      <c r="AD1983" s="258">
        <f>1+ transit((J2000_Bas-1),$O1983,$M1983,DecLat,DecLong)/360 + (GMTOffset/24) + (IF(DST="Y", 1, 0)/24)</f>
        <v>1.4950989844838747</v>
      </c>
      <c r="AE1983" s="259">
        <f>DATE(2001,9,21)+(M1983/360)*365 - (360*((DecLong/360)- (GMTOffset/24) ))</f>
        <v>37343.302662037036</v>
      </c>
      <c r="AF1983" s="260">
        <f>IF(DecLat&gt;0,IF((90 - (DecLat-O1983))&gt;90, (90 - (O1983-DecLat)), (90 - (DecLat-O1983))),IF((90 + (DecLat-O1983))&gt;90, (90 + (O1983-DecLat)), (90 + (DecLat-O1983))))</f>
        <v>76.468611111111102</v>
      </c>
      <c r="AG1983" s="257">
        <f>angularseperation(MoonRA,MoonDec,$M1983,$O1983)</f>
        <v>94.943412769432214</v>
      </c>
      <c r="AH1983" s="261">
        <f ca="1">MIN(100,IF($O$5&gt;80,0+30*($AG1983/100),IF($O$5&gt;70,0+50*($AG1983/100),IF($O$5&gt;60,5+50*($AG1983/100),IF($O$5&gt;50,10+60*($AG1983/100),IF($O$5&gt;40,15+70*($AG1983/100),IF($O$5&gt;30,20+70*($AG1983/100),IF($O$5&gt;20,40+55*($AG1983/100),(80+(20-$O$5)+30*($AG1983/100))))))))))</f>
        <v>100</v>
      </c>
      <c r="AI1983" s="262">
        <v>4051</v>
      </c>
      <c r="AJ1983" s="262"/>
      <c r="AK1983" s="262">
        <v>206</v>
      </c>
      <c r="AL1983" s="263"/>
      <c r="AM1983" s="264"/>
      <c r="AN1983" s="263"/>
      <c r="AO1983" s="263"/>
      <c r="AP1983" s="265"/>
      <c r="AQ1983" s="266">
        <v>7030</v>
      </c>
      <c r="AR1983" s="267">
        <v>38068</v>
      </c>
      <c r="AS1983" s="263"/>
      <c r="AT1983" s="263"/>
      <c r="AU1983" s="263"/>
      <c r="AV1983" s="264"/>
      <c r="AW1983" s="263"/>
      <c r="AX1983" s="263"/>
      <c r="AY1983" s="263"/>
      <c r="AZ1983" s="263"/>
      <c r="BA1983" s="263"/>
      <c r="BB1983" s="263"/>
      <c r="BC1983" s="263"/>
      <c r="BD1983" s="264"/>
      <c r="BE1983" s="263"/>
      <c r="BF1983" s="263">
        <v>50</v>
      </c>
      <c r="BG1983" s="263"/>
      <c r="BH1983" s="263"/>
      <c r="BI1983" s="263"/>
      <c r="BJ1983" s="404">
        <f>altaz(J2000_Bas,$O1983,$M1983,DecLat,DecLong,2)</f>
        <v>315.39582157196929</v>
      </c>
      <c r="BK1983" s="378" t="s">
        <v>1920</v>
      </c>
      <c r="BL1983" s="379">
        <f>IF((2*G1983)/60&lt;0.2,0.2,(2*G1983)/60)</f>
        <v>0.2</v>
      </c>
      <c r="BM1983" s="380">
        <f>MOD((50000+AD1983-$B$3+(0/24)),1)</f>
        <v>0.71046591419144534</v>
      </c>
      <c r="BN1983" s="381"/>
      <c r="BO1983" s="382">
        <v>1975</v>
      </c>
    </row>
    <row r="1984" spans="1:67" s="24" customFormat="1" ht="15" customHeight="1" x14ac:dyDescent="0.25">
      <c r="A1984" s="288" t="s">
        <v>1921</v>
      </c>
      <c r="B1984" s="241" t="str">
        <f>HYPERLINK(CONCATENATE($AT$3,BK1984,$AU$3),$AV$3)</f>
        <v>S</v>
      </c>
      <c r="C1984" s="242" t="str">
        <f>HYPERLINK(CONCATENATE($AT$4,BK1984,$AU$4,BL1984),$AV$4)</f>
        <v>A</v>
      </c>
      <c r="D1984" s="243" t="s">
        <v>5638</v>
      </c>
      <c r="E1984" s="244" t="s">
        <v>5192</v>
      </c>
      <c r="F1984" s="269" t="s">
        <v>8895</v>
      </c>
      <c r="G1984" s="273">
        <v>3.7</v>
      </c>
      <c r="H1984" s="283">
        <v>50</v>
      </c>
      <c r="I1984" s="246">
        <v>55</v>
      </c>
      <c r="J1984" s="246">
        <v>2</v>
      </c>
      <c r="K1984" s="247" t="s">
        <v>7786</v>
      </c>
      <c r="L1984" s="248">
        <v>120404</v>
      </c>
      <c r="M1984" s="249">
        <f>15*(LEFT(TEXT($L1984,"000000"),2)+(MID(TEXT($L1984,"000000"),3,2)/60)+(RIGHT(TEXT($L1984,"000000"),2)/3600))</f>
        <v>181.01666666666665</v>
      </c>
      <c r="N1984" s="250">
        <v>315343</v>
      </c>
      <c r="O1984" s="251">
        <f>IF($N1984&gt;0,(LEFT(TEXT($N1984,"000000"),2)+(MID(TEXT($N1984,"000000"),3,2)/60)+(RIGHT(TEXT($N1984,"000000"),2)/3600)),-(MID(TEXT($N1984,"000000"),2,2)+(MID(TEXT($N1984,"000000"),4,2)/60)+(RIGHT(TEXT($N1984,"000000"),2)/3600)))</f>
        <v>31.895277777777778</v>
      </c>
      <c r="P1984" s="252" t="s">
        <v>37</v>
      </c>
      <c r="Q1984" s="253"/>
      <c r="R1984" s="277" t="s">
        <v>3293</v>
      </c>
      <c r="S1984" s="272" t="s">
        <v>3293</v>
      </c>
      <c r="T1984" s="273">
        <v>11.1</v>
      </c>
      <c r="U1984" s="289">
        <v>21.990000000000002</v>
      </c>
      <c r="V1984" s="280">
        <v>70</v>
      </c>
      <c r="W1984" s="244"/>
      <c r="X1984" s="244"/>
      <c r="Y1984" s="362"/>
      <c r="Z1984" s="257">
        <f>altaz(J2000_Bas,$O1984,$M1984,DecLat,DecLong,1)</f>
        <v>4.8154766763249217</v>
      </c>
      <c r="AA1984" s="257">
        <f>altaz((J2000_Bas+(2*0.04167)),$O1984,$M1984,DecLat,DecLong,1)</f>
        <v>-14.069496321111885</v>
      </c>
      <c r="AB1984" s="257">
        <f>altaz((J2000_Bas+(4*0.04167)),$O1984,$M1984,DecLat,DecLong,1)</f>
        <v>-25.551867485145671</v>
      </c>
      <c r="AC1984" s="257">
        <f>altaz((J2000_Bas+(6*0.04167)),$O1984,$M1984,DecLat,DecLong,1)</f>
        <v>-25.469278627366648</v>
      </c>
      <c r="AD1984" s="258">
        <f>1+ transit((J2000_Bas-1),$O1984,$M1984,DecLat,DecLong)/360 + (GMTOffset/24) + (IF(DST="Y", 1, 0)/24)</f>
        <v>1.4957239844213748</v>
      </c>
      <c r="AE1984" s="259">
        <f>DATE(2001,9,21)+(M1984/360)*365 - (360*((DecLong/360)- (GMTOffset/24) ))</f>
        <v>37343.530787037038</v>
      </c>
      <c r="AF1984" s="260">
        <f>IF(DecLat&gt;0,IF((90 - (DecLat-O1984))&gt;90, (90 - (O1984-DecLat)), (90 - (DecLat-O1984))),IF((90 + (DecLat-O1984))&gt;90, (90 + (O1984-DecLat)), (90 + (DecLat-O1984))))</f>
        <v>89.104722222222222</v>
      </c>
      <c r="AG1984" s="257">
        <f>angularseperation(MoonRA,MoonDec,$M1984,$O1984)</f>
        <v>87.716327635887737</v>
      </c>
      <c r="AH1984" s="261">
        <f ca="1">MIN(100,IF($O$5&gt;80,0+30*($AG1984/100),IF($O$5&gt;70,0+50*($AG1984/100),IF($O$5&gt;60,5+50*($AG1984/100),IF($O$5&gt;50,10+60*($AG1984/100),IF($O$5&gt;40,15+70*($AG1984/100),IF($O$5&gt;30,20+70*($AG1984/100),IF($O$5&gt;20,40+55*($AG1984/100),(80+(20-$O$5)+30*($AG1984/100))))))))))</f>
        <v>100</v>
      </c>
      <c r="AI1984" s="262">
        <v>4062</v>
      </c>
      <c r="AJ1984" s="263"/>
      <c r="AK1984" s="263"/>
      <c r="AL1984" s="263"/>
      <c r="AM1984" s="264"/>
      <c r="AN1984" s="263"/>
      <c r="AO1984" s="263"/>
      <c r="AP1984" s="265"/>
      <c r="AQ1984" s="265">
        <v>7045</v>
      </c>
      <c r="AR1984" s="285">
        <v>38150</v>
      </c>
      <c r="AS1984" s="263"/>
      <c r="AT1984" s="263"/>
      <c r="AU1984" s="263"/>
      <c r="AV1984" s="264"/>
      <c r="AW1984" s="263"/>
      <c r="AX1984" s="263"/>
      <c r="AY1984" s="263"/>
      <c r="AZ1984" s="263"/>
      <c r="BA1984" s="263"/>
      <c r="BB1984" s="263"/>
      <c r="BC1984" s="263"/>
      <c r="BD1984" s="264"/>
      <c r="BE1984" s="263"/>
      <c r="BF1984" s="263"/>
      <c r="BG1984" s="263"/>
      <c r="BH1984" s="263"/>
      <c r="BI1984" s="263"/>
      <c r="BJ1984" s="404">
        <f>altaz(J2000_Bas,$O1984,$M1984,DecLat,DecLong,2)</f>
        <v>304.60924504634164</v>
      </c>
      <c r="BK1984" s="378" t="s">
        <v>1921</v>
      </c>
      <c r="BL1984" s="379">
        <f>IF((2*G1984)/60&lt;0.2,0.2,(2*G1984)/60)</f>
        <v>0.2</v>
      </c>
      <c r="BM1984" s="380">
        <f>MOD((50000+AD1984-$B$3+(0/24)),1)</f>
        <v>0.71109091412654379</v>
      </c>
      <c r="BN1984" s="381"/>
      <c r="BO1984" s="382">
        <v>1976</v>
      </c>
    </row>
    <row r="1985" spans="1:67" s="24" customFormat="1" ht="15" customHeight="1" x14ac:dyDescent="0.25">
      <c r="A1985" s="288" t="s">
        <v>1922</v>
      </c>
      <c r="B1985" s="241" t="str">
        <f>HYPERLINK(CONCATENATE($AT$3,BK1985,$AU$3),$AV$3)</f>
        <v>S</v>
      </c>
      <c r="C1985" s="242" t="str">
        <f>HYPERLINK(CONCATENATE($AT$4,BK1985,$AU$4,BL1985),$AV$4)</f>
        <v>A</v>
      </c>
      <c r="D1985" s="243" t="s">
        <v>5638</v>
      </c>
      <c r="E1985" s="244" t="s">
        <v>29</v>
      </c>
      <c r="F1985" s="269"/>
      <c r="G1985" s="273">
        <v>3.2</v>
      </c>
      <c r="H1985" s="283">
        <v>14</v>
      </c>
      <c r="I1985" s="246">
        <v>13</v>
      </c>
      <c r="J1985" s="246">
        <v>2</v>
      </c>
      <c r="K1985" s="247" t="s">
        <v>7787</v>
      </c>
      <c r="L1985" s="248">
        <v>120402</v>
      </c>
      <c r="M1985" s="249">
        <f>15*(LEFT(TEXT($L1985,"000000"),2)+(MID(TEXT($L1985,"000000"),3,2)/60)+(RIGHT(TEXT($L1985,"000000"),2)/3600))</f>
        <v>181.00833333333333</v>
      </c>
      <c r="N1985" s="250">
        <v>523526</v>
      </c>
      <c r="O1985" s="251">
        <f>IF($N1985&gt;0,(LEFT(TEXT($N1985,"000000"),2)+(MID(TEXT($N1985,"000000"),3,2)/60)+(RIGHT(TEXT($N1985,"000000"),2)/3600)),-(MID(TEXT($N1985,"000000"),2,2)+(MID(TEXT($N1985,"000000"),4,2)/60)+(RIGHT(TEXT($N1985,"000000"),2)/3600)))</f>
        <v>52.590555555555561</v>
      </c>
      <c r="P1985" s="252" t="s">
        <v>37</v>
      </c>
      <c r="Q1985" s="253"/>
      <c r="R1985" s="277" t="s">
        <v>3293</v>
      </c>
      <c r="S1985" s="272" t="s">
        <v>3293</v>
      </c>
      <c r="T1985" s="273">
        <v>12.4</v>
      </c>
      <c r="U1985" s="289">
        <v>22.69</v>
      </c>
      <c r="V1985" s="280"/>
      <c r="W1985" s="244"/>
      <c r="X1985" s="244"/>
      <c r="Y1985" s="362"/>
      <c r="Z1985" s="257">
        <f>altaz(J2000_Bas,$O1985,$M1985,DecLat,DecLong,1)</f>
        <v>15.924842092907644</v>
      </c>
      <c r="AA1985" s="257">
        <f>altaz((J2000_Bas+(2*0.04167)),$O1985,$M1985,DecLat,DecLong,1)</f>
        <v>2.3142722859323683</v>
      </c>
      <c r="AB1985" s="257">
        <f>altaz((J2000_Bas+(4*0.04167)),$O1985,$M1985,DecLat,DecLong,1)</f>
        <v>-5.4093859820617052</v>
      </c>
      <c r="AC1985" s="257">
        <f>altaz((J2000_Bas+(6*0.04167)),$O1985,$M1985,DecLat,DecLong,1)</f>
        <v>-5.3535530897802399</v>
      </c>
      <c r="AD1985" s="258">
        <f>1+ transit((J2000_Bas-1),$O1985,$M1985,DecLat,DecLong)/360 + (GMTOffset/24) + (IF(DST="Y", 1, 0)/24)</f>
        <v>1.4957008362755413</v>
      </c>
      <c r="AE1985" s="259">
        <f>DATE(2001,9,21)+(M1985/360)*365 - (360*((DecLong/360)- (GMTOffset/24) ))</f>
        <v>37343.522337962961</v>
      </c>
      <c r="AF1985" s="260">
        <f>IF(DecLat&gt;0,IF((90 - (DecLat-O1985))&gt;90, (90 - (O1985-DecLat)), (90 - (DecLat-O1985))),IF((90 + (DecLat-O1985))&gt;90, (90 + (O1985-DecLat)), (90 + (DecLat-O1985))))</f>
        <v>68.409444444444432</v>
      </c>
      <c r="AG1985" s="257">
        <f>angularseperation(MoonRA,MoonDec,$M1985,$O1985)</f>
        <v>99.269349188219692</v>
      </c>
      <c r="AH1985" s="261">
        <f ca="1">MIN(100,IF($O$5&gt;80,0+30*($AG1985/100),IF($O$5&gt;70,0+50*($AG1985/100),IF($O$5&gt;60,5+50*($AG1985/100),IF($O$5&gt;50,10+60*($AG1985/100),IF($O$5&gt;40,15+70*($AG1985/100),IF($O$5&gt;30,20+70*($AG1985/100),IF($O$5&gt;20,40+55*($AG1985/100),(80+(20-$O$5)+30*($AG1985/100))))))))))</f>
        <v>100</v>
      </c>
      <c r="AI1985" s="262">
        <v>4068</v>
      </c>
      <c r="AJ1985" s="263"/>
      <c r="AK1985" s="263"/>
      <c r="AL1985" s="263"/>
      <c r="AM1985" s="264"/>
      <c r="AN1985" s="263"/>
      <c r="AO1985" s="263"/>
      <c r="AP1985" s="265"/>
      <c r="AQ1985" s="265"/>
      <c r="AR1985" s="285">
        <v>38148</v>
      </c>
      <c r="AS1985" s="263"/>
      <c r="AT1985" s="263"/>
      <c r="AU1985" s="263"/>
      <c r="AV1985" s="264"/>
      <c r="AW1985" s="263"/>
      <c r="AX1985" s="263"/>
      <c r="AY1985" s="263"/>
      <c r="AZ1985" s="263"/>
      <c r="BA1985" s="263"/>
      <c r="BB1985" s="263"/>
      <c r="BC1985" s="263"/>
      <c r="BD1985" s="264"/>
      <c r="BE1985" s="263"/>
      <c r="BF1985" s="263"/>
      <c r="BG1985" s="263"/>
      <c r="BH1985" s="263"/>
      <c r="BI1985" s="263"/>
      <c r="BJ1985" s="404">
        <f>altaz(J2000_Bas,$O1985,$M1985,DecLat,DecLong,2)</f>
        <v>322.39301588734509</v>
      </c>
      <c r="BK1985" s="378" t="s">
        <v>1922</v>
      </c>
      <c r="BL1985" s="379">
        <f>IF((2*G1985)/60&lt;0.2,0.2,(2*G1985)/60)</f>
        <v>0.2</v>
      </c>
      <c r="BM1985" s="380">
        <f>MOD((50000+AD1985-$B$3+(0/24)),1)</f>
        <v>0.71106776598026045</v>
      </c>
      <c r="BN1985" s="381"/>
      <c r="BO1985" s="382">
        <v>1977</v>
      </c>
    </row>
    <row r="1986" spans="1:67" s="24" customFormat="1" ht="15" customHeight="1" x14ac:dyDescent="0.25">
      <c r="A1986" s="288" t="s">
        <v>9571</v>
      </c>
      <c r="B1986" s="241" t="str">
        <f>HYPERLINK(CONCATENATE($AT$3,BK1986,$AU$3),$AV$3)</f>
        <v>S</v>
      </c>
      <c r="C1986" s="242" t="str">
        <f>HYPERLINK(CONCATENATE($AT$4,BK1986,$AU$4,BL1986),$AV$4)</f>
        <v>A</v>
      </c>
      <c r="D1986" s="243" t="s">
        <v>5638</v>
      </c>
      <c r="E1986" s="244" t="s">
        <v>5192</v>
      </c>
      <c r="F1986" s="269" t="s">
        <v>3300</v>
      </c>
      <c r="G1986" s="273">
        <v>1.6</v>
      </c>
      <c r="H1986" s="283">
        <v>280</v>
      </c>
      <c r="I1986" s="246">
        <v>330</v>
      </c>
      <c r="J1986" s="246">
        <v>2</v>
      </c>
      <c r="K1986" s="247" t="s">
        <v>9572</v>
      </c>
      <c r="L1986" s="248">
        <v>120427</v>
      </c>
      <c r="M1986" s="249">
        <f>15*(LEFT(TEXT($L1986,"000000"),2)+(MID(TEXT($L1986,"000000"),3,2)/60)+(RIGHT(TEXT($L1986,"000000"),2)/3600))</f>
        <v>181.11250000000001</v>
      </c>
      <c r="N1986" s="250">
        <v>15836</v>
      </c>
      <c r="O1986" s="251">
        <f>IF($N1986&gt;0,(LEFT(TEXT($N1986,"000000"),2)+(MID(TEXT($N1986,"000000"),3,2)/60)+(RIGHT(TEXT($N1986,"000000"),2)/3600)),-(MID(TEXT($N1986,"000000"),2,2)+(MID(TEXT($N1986,"000000"),4,2)/60)+(RIGHT(TEXT($N1986,"000000"),2)/3600)))</f>
        <v>1.9766666666666668</v>
      </c>
      <c r="P1986" s="252" t="s">
        <v>61</v>
      </c>
      <c r="Q1986" s="253"/>
      <c r="R1986" s="277" t="s">
        <v>3293</v>
      </c>
      <c r="S1986" s="272" t="s">
        <v>1918</v>
      </c>
      <c r="T1986" s="273">
        <v>13.2</v>
      </c>
      <c r="U1986" s="289">
        <v>22.490000000000002</v>
      </c>
      <c r="V1986" s="280">
        <v>70</v>
      </c>
      <c r="W1986" s="244"/>
      <c r="X1986" s="244"/>
      <c r="Y1986" s="362"/>
      <c r="Z1986" s="257">
        <f>altaz(J2000_Bas,$O1986,$M1986,DecLat,DecLong,1)</f>
        <v>-11.675412778441602</v>
      </c>
      <c r="AA1986" s="257">
        <f>altaz((J2000_Bas+(2*0.04167)),$O1986,$M1986,DecLat,DecLong,1)</f>
        <v>-35.9950497883314</v>
      </c>
      <c r="AB1986" s="257">
        <f>altaz((J2000_Bas+(4*0.04167)),$O1986,$M1986,DecLat,DecLong,1)</f>
        <v>-54.089201615984827</v>
      </c>
      <c r="AC1986" s="257">
        <f>altaz((J2000_Bas+(6*0.04167)),$O1986,$M1986,DecLat,DecLong,1)</f>
        <v>-54.012333312766145</v>
      </c>
      <c r="AD1986" s="258">
        <f>1+ transit((J2000_Bas-1),$O1986,$M1986,DecLat,DecLong)/360 + (GMTOffset/24) + (IF(DST="Y", 1, 0)/24)</f>
        <v>1.4959901880984581</v>
      </c>
      <c r="AE1986" s="259">
        <f>DATE(2001,9,21)+(M1986/360)*365 - (360*((DecLong/360)- (GMTOffset/24) ))</f>
        <v>37343.627951388888</v>
      </c>
      <c r="AF1986" s="260">
        <f>IF(DecLat&gt;0,IF((90 - (DecLat-O1986))&gt;90, (90 - (O1986-DecLat)), (90 - (DecLat-O1986))),IF((90 + (DecLat-O1986))&gt;90, (90 + (O1986-DecLat)), (90 + (DecLat-O1986))))</f>
        <v>60.976666666666667</v>
      </c>
      <c r="AG1986" s="257">
        <f>angularseperation(MoonRA,MoonDec,$M1986,$O1986)</f>
        <v>71.593309202519762</v>
      </c>
      <c r="AH1986" s="261">
        <f ca="1">MIN(100,IF($O$5&gt;80,0+30*($AG1986/100),IF($O$5&gt;70,0+50*($AG1986/100),IF($O$5&gt;60,5+50*($AG1986/100),IF($O$5&gt;50,10+60*($AG1986/100),IF($O$5&gt;40,15+70*($AG1986/100),IF($O$5&gt;30,20+70*($AG1986/100),IF($O$5&gt;20,40+55*($AG1986/100),(80+(20-$O$5)+30*($AG1986/100))))))))))</f>
        <v>100</v>
      </c>
      <c r="AI1986" s="262">
        <v>4073</v>
      </c>
      <c r="AJ1986" s="263"/>
      <c r="AK1986" s="263"/>
      <c r="AL1986" s="263"/>
      <c r="AM1986" s="264"/>
      <c r="AN1986" s="263"/>
      <c r="AO1986" s="263"/>
      <c r="AP1986" s="265"/>
      <c r="AQ1986" s="265"/>
      <c r="AR1986" s="285">
        <v>38201</v>
      </c>
      <c r="AS1986" s="263"/>
      <c r="AT1986" s="263"/>
      <c r="AU1986" s="263"/>
      <c r="AV1986" s="264"/>
      <c r="AW1986" s="263"/>
      <c r="AX1986" s="263"/>
      <c r="AY1986" s="263"/>
      <c r="AZ1986" s="263"/>
      <c r="BA1986" s="263"/>
      <c r="BB1986" s="263"/>
      <c r="BC1986" s="263"/>
      <c r="BD1986" s="264"/>
      <c r="BE1986" s="263"/>
      <c r="BF1986" s="263"/>
      <c r="BG1986" s="263"/>
      <c r="BH1986" s="263"/>
      <c r="BI1986" s="263"/>
      <c r="BJ1986" s="404">
        <f>altaz(J2000_Bas,$O1986,$M1986,DecLat,DecLong,2)</f>
        <v>279.51196929420092</v>
      </c>
      <c r="BK1986" s="378" t="s">
        <v>9571</v>
      </c>
      <c r="BL1986" s="379">
        <f>IF((2*G1986)/60&lt;0.2,0.2,(2*G1986)/60)</f>
        <v>0.2</v>
      </c>
      <c r="BM1986" s="380">
        <f>MOD((50000+AD1986-$B$3+(0/24)),1)</f>
        <v>0.71135711780516431</v>
      </c>
      <c r="BN1986" s="381"/>
      <c r="BO1986" s="382">
        <v>3153</v>
      </c>
    </row>
    <row r="1987" spans="1:67" s="24" customFormat="1" ht="15" customHeight="1" x14ac:dyDescent="0.25">
      <c r="A1987" s="288" t="s">
        <v>8764</v>
      </c>
      <c r="B1987" s="241" t="str">
        <f>HYPERLINK(CONCATENATE($AT$3,BK1987,$AU$3),$AV$3)</f>
        <v>S</v>
      </c>
      <c r="C1987" s="242" t="str">
        <f>HYPERLINK(CONCATENATE($AT$4,BK1987,$AU$4,BL1987),$AV$4)</f>
        <v>A</v>
      </c>
      <c r="D1987" s="243" t="s">
        <v>5638</v>
      </c>
      <c r="E1987" s="244" t="s">
        <v>5192</v>
      </c>
      <c r="F1987" s="269" t="s">
        <v>8689</v>
      </c>
      <c r="G1987" s="273">
        <v>2.5</v>
      </c>
      <c r="H1987" s="283">
        <v>73</v>
      </c>
      <c r="I1987" s="246">
        <v>55</v>
      </c>
      <c r="J1987" s="246">
        <v>2</v>
      </c>
      <c r="K1987" s="247" t="s">
        <v>8778</v>
      </c>
      <c r="L1987" s="248">
        <v>120523</v>
      </c>
      <c r="M1987" s="249">
        <f>15*(LEFT(TEXT($L1987,"000000"),2)+(MID(TEXT($L1987,"000000"),3,2)/60)+(RIGHT(TEXT($L1987,"000000"),2)/3600))</f>
        <v>181.34583333333333</v>
      </c>
      <c r="N1987" s="250">
        <v>502109</v>
      </c>
      <c r="O1987" s="251">
        <f>IF($N1987&gt;0,(LEFT(TEXT($N1987,"000000"),2)+(MID(TEXT($N1987,"000000"),3,2)/60)+(RIGHT(TEXT($N1987,"000000"),2)/3600)),-(MID(TEXT($N1987,"000000"),2,2)+(MID(TEXT($N1987,"000000"),4,2)/60)+(RIGHT(TEXT($N1987,"000000"),2)/3600)))</f>
        <v>50.352499999999999</v>
      </c>
      <c r="P1987" s="252" t="s">
        <v>37</v>
      </c>
      <c r="Q1987" s="253"/>
      <c r="R1987" s="277" t="s">
        <v>3293</v>
      </c>
      <c r="S1987" s="272" t="s">
        <v>3293</v>
      </c>
      <c r="T1987" s="273">
        <v>12.8</v>
      </c>
      <c r="U1987" s="289"/>
      <c r="V1987" s="280">
        <v>75</v>
      </c>
      <c r="W1987" s="244"/>
      <c r="X1987" s="244"/>
      <c r="Y1987" s="362"/>
      <c r="Z1987" s="257">
        <f>altaz(J2000_Bas,$O1987,$M1987,DecLat,DecLong,1)</f>
        <v>14.962299831462147</v>
      </c>
      <c r="AA1987" s="257">
        <f>altaz((J2000_Bas+(2*0.04167)),$O1987,$M1987,DecLat,DecLong,1)</f>
        <v>0.66383658058575767</v>
      </c>
      <c r="AB1987" s="257">
        <f>altaz((J2000_Bas+(4*0.04167)),$O1987,$M1987,DecLat,DecLong,1)</f>
        <v>-7.5439302659010297</v>
      </c>
      <c r="AC1987" s="257">
        <f>altaz((J2000_Bas+(6*0.04167)),$O1987,$M1987,DecLat,DecLong,1)</f>
        <v>-7.5816885740514834</v>
      </c>
      <c r="AD1987" s="258">
        <f>1+ transit((J2000_Bas-1),$O1987,$M1987,DecLat,DecLong)/360 + (GMTOffset/24) + (IF(DST="Y", 1, 0)/24)</f>
        <v>1.4966383361817914</v>
      </c>
      <c r="AE1987" s="259">
        <f>DATE(2001,9,21)+(M1987/360)*365 - (360*((DecLong/360)- (GMTOffset/24) ))</f>
        <v>37343.864525462966</v>
      </c>
      <c r="AF1987" s="260">
        <f>IF(DecLat&gt;0,IF((90 - (DecLat-O1987))&gt;90, (90 - (O1987-DecLat)), (90 - (DecLat-O1987))),IF((90 + (DecLat-O1987))&gt;90, (90 + (O1987-DecLat)), (90 + (DecLat-O1987))))</f>
        <v>70.647500000000008</v>
      </c>
      <c r="AG1987" s="257">
        <f>angularseperation(MoonRA,MoonDec,$M1987,$O1987)</f>
        <v>97.863074166834224</v>
      </c>
      <c r="AH1987" s="261">
        <f ca="1">MIN(100,IF($O$5&gt;80,0+30*($AG1987/100),IF($O$5&gt;70,0+50*($AG1987/100),IF($O$5&gt;60,5+50*($AG1987/100),IF($O$5&gt;50,10+60*($AG1987/100),IF($O$5&gt;40,15+70*($AG1987/100),IF($O$5&gt;30,20+70*($AG1987/100),IF($O$5&gt;20,40+55*($AG1987/100),(80+(20-$O$5)+30*($AG1987/100))))))))))</f>
        <v>100</v>
      </c>
      <c r="AI1987" s="263">
        <v>4085</v>
      </c>
      <c r="AJ1987" s="263"/>
      <c r="AK1987" s="263">
        <v>207</v>
      </c>
      <c r="AL1987" s="263"/>
      <c r="AM1987" s="264"/>
      <c r="AN1987" s="263"/>
      <c r="AO1987" s="263"/>
      <c r="AP1987" s="265"/>
      <c r="AQ1987" s="265">
        <v>7075</v>
      </c>
      <c r="AR1987" s="285">
        <v>38283</v>
      </c>
      <c r="AS1987" s="263"/>
      <c r="AT1987" s="263"/>
      <c r="AU1987" s="263"/>
      <c r="AV1987" s="264"/>
      <c r="AW1987" s="263"/>
      <c r="AX1987" s="263"/>
      <c r="AY1987" s="263"/>
      <c r="AZ1987" s="263"/>
      <c r="BA1987" s="263"/>
      <c r="BB1987" s="263"/>
      <c r="BC1987" s="263"/>
      <c r="BD1987" s="264"/>
      <c r="BE1987" s="263"/>
      <c r="BF1987" s="263"/>
      <c r="BG1987" s="263"/>
      <c r="BH1987" s="263"/>
      <c r="BI1987" s="263"/>
      <c r="BJ1987" s="404">
        <f>altaz(J2000_Bas,$O1987,$M1987,DecLat,DecLong,2)</f>
        <v>320.28548629587783</v>
      </c>
      <c r="BK1987" s="378" t="s">
        <v>8764</v>
      </c>
      <c r="BL1987" s="379">
        <f>IF((2*G1987)/60&lt;0.2,0.2,(2*G1987)/60)</f>
        <v>0.2</v>
      </c>
      <c r="BM1987" s="380">
        <f>MOD((50000+AD1987-$B$3+(0/24)),1)</f>
        <v>0.71200526588654611</v>
      </c>
      <c r="BN1987" s="381"/>
      <c r="BO1987" s="382">
        <v>1978</v>
      </c>
    </row>
    <row r="1988" spans="1:67" s="24" customFormat="1" ht="15" customHeight="1" x14ac:dyDescent="0.25">
      <c r="A1988" s="288" t="s">
        <v>1923</v>
      </c>
      <c r="B1988" s="241" t="str">
        <f>HYPERLINK(CONCATENATE($AT$3,BK1988,$AU$3),$AV$3)</f>
        <v>S</v>
      </c>
      <c r="C1988" s="242" t="str">
        <f>HYPERLINK(CONCATENATE($AT$4,BK1988,$AU$4,BL1988),$AV$4)</f>
        <v>A</v>
      </c>
      <c r="D1988" s="243" t="s">
        <v>5638</v>
      </c>
      <c r="E1988" s="244" t="s">
        <v>5192</v>
      </c>
      <c r="F1988" s="269" t="s">
        <v>8895</v>
      </c>
      <c r="G1988" s="273">
        <v>7</v>
      </c>
      <c r="H1988" s="283">
        <v>40</v>
      </c>
      <c r="I1988" s="246">
        <v>80</v>
      </c>
      <c r="J1988" s="246">
        <v>2</v>
      </c>
      <c r="K1988" s="247" t="s">
        <v>7788</v>
      </c>
      <c r="L1988" s="248">
        <v>120601</v>
      </c>
      <c r="M1988" s="249">
        <f>15*(LEFT(TEXT($L1988,"000000"),2)+(MID(TEXT($L1988,"000000"),3,2)/60)+(RIGHT(TEXT($L1988,"000000"),2)/3600))</f>
        <v>181.50416666666666</v>
      </c>
      <c r="N1988" s="250">
        <v>472841</v>
      </c>
      <c r="O1988" s="251">
        <f>IF($N1988&gt;0,(LEFT(TEXT($N1988,"000000"),2)+(MID(TEXT($N1988,"000000"),3,2)/60)+(RIGHT(TEXT($N1988,"000000"),2)/3600)),-(MID(TEXT($N1988,"000000"),2,2)+(MID(TEXT($N1988,"000000"),4,2)/60)+(RIGHT(TEXT($N1988,"000000"),2)/3600)))</f>
        <v>47.478055555555557</v>
      </c>
      <c r="P1988" s="252" t="s">
        <v>37</v>
      </c>
      <c r="Q1988" s="253"/>
      <c r="R1988" s="247" t="s">
        <v>3293</v>
      </c>
      <c r="S1988" s="272" t="s">
        <v>3293</v>
      </c>
      <c r="T1988" s="273">
        <v>10.9</v>
      </c>
      <c r="U1988" s="289">
        <v>22.29</v>
      </c>
      <c r="V1988" s="280">
        <v>80</v>
      </c>
      <c r="W1988" s="244"/>
      <c r="X1988" s="244"/>
      <c r="Y1988" s="362"/>
      <c r="Z1988" s="257">
        <f>altaz(J2000_Bas,$O1988,$M1988,DecLat,DecLong,1)</f>
        <v>13.565308592380614</v>
      </c>
      <c r="AA1988" s="257">
        <f>altaz((J2000_Bas+(2*0.04167)),$O1988,$M1988,DecLat,DecLong,1)</f>
        <v>-1.5510396801966704</v>
      </c>
      <c r="AB1988" s="257">
        <f>altaz((J2000_Bas+(4*0.04167)),$O1988,$M1988,DecLat,DecLong,1)</f>
        <v>-10.318704568283563</v>
      </c>
      <c r="AC1988" s="257">
        <f>altaz((J2000_Bas+(6*0.04167)),$O1988,$M1988,DecLat,DecLong,1)</f>
        <v>-10.407411839747349</v>
      </c>
      <c r="AD1988" s="258">
        <f>1+ transit((J2000_Bas-1),$O1988,$M1988,DecLat,DecLong)/360 + (GMTOffset/24) + (IF(DST="Y", 1, 0)/24)</f>
        <v>1.4970781509526245</v>
      </c>
      <c r="AE1988" s="259">
        <f>DATE(2001,9,21)+(M1988/360)*365 - (360*((DecLong/360)- (GMTOffset/24) ))</f>
        <v>37344.025057870371</v>
      </c>
      <c r="AF1988" s="260">
        <f>IF(DecLat&gt;0,IF((90 - (DecLat-O1988))&gt;90, (90 - (O1988-DecLat)), (90 - (DecLat-O1988))),IF((90 + (DecLat-O1988))&gt;90, (90 + (O1988-DecLat)), (90 + (DecLat-O1988))))</f>
        <v>73.521944444444443</v>
      </c>
      <c r="AG1988" s="257">
        <f>angularseperation(MoonRA,MoonDec,$M1988,$O1988)</f>
        <v>96.176393174846453</v>
      </c>
      <c r="AH1988" s="261">
        <f ca="1">MIN(100,IF($O$5&gt;80,0+30*($AG1988/100),IF($O$5&gt;70,0+50*($AG1988/100),IF($O$5&gt;60,5+50*($AG1988/100),IF($O$5&gt;50,10+60*($AG1988/100),IF($O$5&gt;40,15+70*($AG1988/100),IF($O$5&gt;30,20+70*($AG1988/100),IF($O$5&gt;20,40+55*($AG1988/100),(80+(20-$O$5)+30*($AG1988/100))))))))))</f>
        <v>100</v>
      </c>
      <c r="AI1988" s="262">
        <v>4096</v>
      </c>
      <c r="AJ1988" s="262"/>
      <c r="AK1988" s="262"/>
      <c r="AL1988" s="263"/>
      <c r="AM1988" s="264"/>
      <c r="AN1988" s="263"/>
      <c r="AO1988" s="263"/>
      <c r="AP1988" s="265"/>
      <c r="AQ1988" s="266">
        <v>7090</v>
      </c>
      <c r="AR1988" s="267">
        <v>38361</v>
      </c>
      <c r="AS1988" s="263"/>
      <c r="AT1988" s="263"/>
      <c r="AU1988" s="263"/>
      <c r="AV1988" s="264"/>
      <c r="AW1988" s="263"/>
      <c r="AX1988" s="263"/>
      <c r="AY1988" s="263"/>
      <c r="AZ1988" s="263"/>
      <c r="BA1988" s="263"/>
      <c r="BB1988" s="263"/>
      <c r="BC1988" s="263"/>
      <c r="BD1988" s="264"/>
      <c r="BE1988" s="263"/>
      <c r="BF1988" s="263"/>
      <c r="BG1988" s="263"/>
      <c r="BH1988" s="263"/>
      <c r="BI1988" s="263"/>
      <c r="BJ1988" s="404">
        <f>altaz(J2000_Bas,$O1988,$M1988,DecLat,DecLong,2)</f>
        <v>317.69112733275801</v>
      </c>
      <c r="BK1988" s="378" t="s">
        <v>1923</v>
      </c>
      <c r="BL1988" s="379">
        <f>IF((2*G1988)/60&lt;0.2,0.2,(2*G1988)/60)</f>
        <v>0.23333333333333334</v>
      </c>
      <c r="BM1988" s="380">
        <f>MOD((50000+AD1988-$B$3+(0/24)),1)</f>
        <v>0.71244508065865375</v>
      </c>
      <c r="BN1988" s="381"/>
      <c r="BO1988" s="382">
        <v>1979</v>
      </c>
    </row>
    <row r="1989" spans="1:67" s="24" customFormat="1" ht="15" customHeight="1" x14ac:dyDescent="0.25">
      <c r="A1989" s="288" t="s">
        <v>1924</v>
      </c>
      <c r="B1989" s="241" t="str">
        <f>HYPERLINK(CONCATENATE($AT$3,BK1989,$AU$3),$AV$3)</f>
        <v>S</v>
      </c>
      <c r="C1989" s="242" t="str">
        <f>HYPERLINK(CONCATENATE($AT$4,BK1989,$AU$4,BL1989),$AV$4)</f>
        <v>A</v>
      </c>
      <c r="D1989" s="243" t="s">
        <v>5638</v>
      </c>
      <c r="E1989" s="244" t="s">
        <v>5192</v>
      </c>
      <c r="F1989" s="269" t="s">
        <v>8699</v>
      </c>
      <c r="G1989" s="273">
        <v>3.5</v>
      </c>
      <c r="H1989" s="283">
        <v>65</v>
      </c>
      <c r="I1989" s="246">
        <v>70</v>
      </c>
      <c r="J1989" s="246">
        <v>2</v>
      </c>
      <c r="K1989" s="247" t="s">
        <v>8479</v>
      </c>
      <c r="L1989" s="248">
        <v>120608</v>
      </c>
      <c r="M1989" s="249">
        <f>15*(LEFT(TEXT($L1989,"000000"),2)+(MID(TEXT($L1989,"000000"),3,2)/60)+(RIGHT(TEXT($L1989,"000000"),2)/3600))</f>
        <v>181.53333333333333</v>
      </c>
      <c r="N1989" s="250">
        <v>493457</v>
      </c>
      <c r="O1989" s="251">
        <f>IF($N1989&gt;0,(LEFT(TEXT($N1989,"000000"),2)+(MID(TEXT($N1989,"000000"),3,2)/60)+(RIGHT(TEXT($N1989,"000000"),2)/3600)),-(MID(TEXT($N1989,"000000"),2,2)+(MID(TEXT($N1989,"000000"),4,2)/60)+(RIGHT(TEXT($N1989,"000000"),2)/3600)))</f>
        <v>49.582500000000003</v>
      </c>
      <c r="P1989" s="252" t="s">
        <v>37</v>
      </c>
      <c r="Q1989" s="253"/>
      <c r="R1989" s="247" t="s">
        <v>3293</v>
      </c>
      <c r="S1989" s="272" t="s">
        <v>3293</v>
      </c>
      <c r="T1989" s="273">
        <v>11.2</v>
      </c>
      <c r="U1989" s="289">
        <v>22.39</v>
      </c>
      <c r="V1989" s="280">
        <v>75</v>
      </c>
      <c r="W1989" s="244"/>
      <c r="X1989" s="244"/>
      <c r="Y1989" s="362"/>
      <c r="Z1989" s="257">
        <f>altaz(J2000_Bas,$O1989,$M1989,DecLat,DecLong,1)</f>
        <v>14.67049474563415</v>
      </c>
      <c r="AA1989" s="257">
        <f>altaz((J2000_Bas+(2*0.04167)),$O1989,$M1989,DecLat,DecLong,1)</f>
        <v>0.12714318349699338</v>
      </c>
      <c r="AB1989" s="257">
        <f>altaz((J2000_Bas+(4*0.04167)),$O1989,$M1989,DecLat,DecLong,1)</f>
        <v>-8.2661849262475116</v>
      </c>
      <c r="AC1989" s="257">
        <f>altaz((J2000_Bas+(6*0.04167)),$O1989,$M1989,DecLat,DecLong,1)</f>
        <v>-8.3592837728529421</v>
      </c>
      <c r="AD1989" s="258">
        <f>1+ transit((J2000_Bas-1),$O1989,$M1989,DecLat,DecLong)/360 + (GMTOffset/24) + (IF(DST="Y", 1, 0)/24)</f>
        <v>1.4971591694630415</v>
      </c>
      <c r="AE1989" s="259">
        <f>DATE(2001,9,21)+(M1989/360)*365 - (360*((DecLong/360)- (GMTOffset/24) ))</f>
        <v>37344.054629629631</v>
      </c>
      <c r="AF1989" s="260">
        <f>IF(DecLat&gt;0,IF((90 - (DecLat-O1989))&gt;90, (90 - (O1989-DecLat)), (90 - (DecLat-O1989))),IF((90 + (DecLat-O1989))&gt;90, (90 + (O1989-DecLat)), (90 + (DecLat-O1989))))</f>
        <v>71.41749999999999</v>
      </c>
      <c r="AG1989" s="257">
        <f>angularseperation(MoonRA,MoonDec,$M1989,$O1989)</f>
        <v>97.335204880801399</v>
      </c>
      <c r="AH1989" s="261">
        <f ca="1">MIN(100,IF($O$5&gt;80,0+30*($AG1989/100),IF($O$5&gt;70,0+50*($AG1989/100),IF($O$5&gt;60,5+50*($AG1989/100),IF($O$5&gt;50,10+60*($AG1989/100),IF($O$5&gt;40,15+70*($AG1989/100),IF($O$5&gt;30,20+70*($AG1989/100),IF($O$5&gt;20,40+55*($AG1989/100),(80+(20-$O$5)+30*($AG1989/100))))))))))</f>
        <v>100</v>
      </c>
      <c r="AI1989" s="262">
        <v>4100</v>
      </c>
      <c r="AJ1989" s="262"/>
      <c r="AK1989" s="262"/>
      <c r="AL1989" s="263"/>
      <c r="AM1989" s="264"/>
      <c r="AN1989" s="263"/>
      <c r="AO1989" s="263"/>
      <c r="AP1989" s="265"/>
      <c r="AQ1989" s="266">
        <v>7095</v>
      </c>
      <c r="AR1989" s="267">
        <v>38370</v>
      </c>
      <c r="AS1989" s="263"/>
      <c r="AT1989" s="263"/>
      <c r="AU1989" s="263"/>
      <c r="AV1989" s="264"/>
      <c r="AW1989" s="263"/>
      <c r="AX1989" s="263"/>
      <c r="AY1989" s="263"/>
      <c r="AZ1989" s="263"/>
      <c r="BA1989" s="263"/>
      <c r="BB1989" s="263"/>
      <c r="BC1989" s="263"/>
      <c r="BD1989" s="264"/>
      <c r="BE1989" s="263"/>
      <c r="BF1989" s="263"/>
      <c r="BG1989" s="263"/>
      <c r="BH1989" s="263"/>
      <c r="BI1989" s="263"/>
      <c r="BJ1989" s="404">
        <f>altaz(J2000_Bas,$O1989,$M1989,DecLat,DecLong,2)</f>
        <v>319.53792984455475</v>
      </c>
      <c r="BK1989" s="378" t="s">
        <v>1924</v>
      </c>
      <c r="BL1989" s="379">
        <f>IF((2*G1989)/60&lt;0.2,0.2,(2*G1989)/60)</f>
        <v>0.2</v>
      </c>
      <c r="BM1989" s="380">
        <f>MOD((50000+AD1989-$B$3+(0/24)),1)</f>
        <v>0.71252609916700749</v>
      </c>
      <c r="BN1989" s="381"/>
      <c r="BO1989" s="382">
        <v>1980</v>
      </c>
    </row>
    <row r="1990" spans="1:67" s="24" customFormat="1" ht="15" customHeight="1" x14ac:dyDescent="0.25">
      <c r="A1990" s="288" t="s">
        <v>1925</v>
      </c>
      <c r="B1990" s="241" t="str">
        <f>HYPERLINK(CONCATENATE($AT$3,BK1990,$AU$3),$AV$3)</f>
        <v>S</v>
      </c>
      <c r="C1990" s="242" t="str">
        <f>HYPERLINK(CONCATENATE($AT$4,BK1990,$AU$4,BL1990),$AV$4)</f>
        <v>A</v>
      </c>
      <c r="D1990" s="243" t="s">
        <v>5638</v>
      </c>
      <c r="E1990" s="244" t="s">
        <v>5192</v>
      </c>
      <c r="F1990" s="269" t="s">
        <v>8915</v>
      </c>
      <c r="G1990" s="273">
        <v>3.2</v>
      </c>
      <c r="H1990" s="283">
        <v>40</v>
      </c>
      <c r="I1990" s="246">
        <v>40</v>
      </c>
      <c r="J1990" s="246">
        <v>3</v>
      </c>
      <c r="K1990" s="247" t="s">
        <v>7789</v>
      </c>
      <c r="L1990" s="248">
        <v>120623</v>
      </c>
      <c r="M1990" s="249">
        <f>15*(LEFT(TEXT($L1990,"000000"),2)+(MID(TEXT($L1990,"000000"),3,2)/60)+(RIGHT(TEXT($L1990,"000000"),2)/3600))</f>
        <v>181.59583333333333</v>
      </c>
      <c r="N1990" s="250">
        <v>524239</v>
      </c>
      <c r="O1990" s="251">
        <f>IF($N1990&gt;0,(LEFT(TEXT($N1990,"000000"),2)+(MID(TEXT($N1990,"000000"),3,2)/60)+(RIGHT(TEXT($N1990,"000000"),2)/3600)),-(MID(TEXT($N1990,"000000"),2,2)+(MID(TEXT($N1990,"000000"),4,2)/60)+(RIGHT(TEXT($N1990,"000000"),2)/3600)))</f>
        <v>52.710833333333333</v>
      </c>
      <c r="P1990" s="252" t="s">
        <v>37</v>
      </c>
      <c r="Q1990" s="253"/>
      <c r="R1990" s="277" t="s">
        <v>3293</v>
      </c>
      <c r="S1990" s="272" t="s">
        <v>3293</v>
      </c>
      <c r="T1990" s="273">
        <v>11.2</v>
      </c>
      <c r="U1990" s="289">
        <v>21.69</v>
      </c>
      <c r="V1990" s="280">
        <v>45</v>
      </c>
      <c r="W1990" s="244"/>
      <c r="X1990" s="244"/>
      <c r="Y1990" s="362"/>
      <c r="Z1990" s="257">
        <f>altaz(J2000_Bas,$O1990,$M1990,DecLat,DecLong,1)</f>
        <v>16.293195309736259</v>
      </c>
      <c r="AA1990" s="257">
        <f>altaz((J2000_Bas+(2*0.04167)),$O1990,$M1990,DecLat,DecLong,1)</f>
        <v>2.6267167176969872</v>
      </c>
      <c r="AB1990" s="257">
        <f>altaz((J2000_Bas+(4*0.04167)),$O1990,$M1990,DecLat,DecLong,1)</f>
        <v>-5.2120980458255657</v>
      </c>
      <c r="AC1990" s="257">
        <f>altaz((J2000_Bas+(6*0.04167)),$O1990,$M1990,DecLat,DecLong,1)</f>
        <v>-5.3154606964572322</v>
      </c>
      <c r="AD1990" s="258">
        <f>1+ transit((J2000_Bas-1),$O1990,$M1990,DecLat,DecLong)/360 + (GMTOffset/24) + (IF(DST="Y", 1, 0)/24)</f>
        <v>1.4973327805567915</v>
      </c>
      <c r="AE1990" s="259">
        <f>DATE(2001,9,21)+(M1990/360)*365 - (360*((DecLong/360)- (GMTOffset/24) ))</f>
        <v>37344.117997685185</v>
      </c>
      <c r="AF1990" s="260">
        <f>IF(DecLat&gt;0,IF((90 - (DecLat-O1990))&gt;90, (90 - (O1990-DecLat)), (90 - (DecLat-O1990))),IF((90 + (DecLat-O1990))&gt;90, (90 + (O1990-DecLat)), (90 + (DecLat-O1990))))</f>
        <v>68.289166666666659</v>
      </c>
      <c r="AG1990" s="257">
        <f>angularseperation(MoonRA,MoonDec,$M1990,$O1990)</f>
        <v>99.03749053768388</v>
      </c>
      <c r="AH1990" s="261">
        <f ca="1">MIN(100,IF($O$5&gt;80,0+30*($AG1990/100),IF($O$5&gt;70,0+50*($AG1990/100),IF($O$5&gt;60,5+50*($AG1990/100),IF($O$5&gt;50,10+60*($AG1990/100),IF($O$5&gt;40,15+70*($AG1990/100),IF($O$5&gt;30,20+70*($AG1990/100),IF($O$5&gt;20,40+55*($AG1990/100),(80+(20-$O$5)+30*($AG1990/100))))))))))</f>
        <v>100</v>
      </c>
      <c r="AI1990" s="262">
        <v>4102</v>
      </c>
      <c r="AJ1990" s="263"/>
      <c r="AK1990" s="263">
        <v>209</v>
      </c>
      <c r="AL1990" s="263"/>
      <c r="AM1990" s="264"/>
      <c r="AN1990" s="263"/>
      <c r="AO1990" s="263"/>
      <c r="AP1990" s="265"/>
      <c r="AQ1990" s="265">
        <v>7096</v>
      </c>
      <c r="AR1990" s="285">
        <v>38392</v>
      </c>
      <c r="AS1990" s="263"/>
      <c r="AT1990" s="263"/>
      <c r="AU1990" s="263"/>
      <c r="AV1990" s="264"/>
      <c r="AW1990" s="263"/>
      <c r="AX1990" s="263"/>
      <c r="AY1990" s="263"/>
      <c r="AZ1990" s="263"/>
      <c r="BA1990" s="263"/>
      <c r="BB1990" s="263"/>
      <c r="BC1990" s="263"/>
      <c r="BD1990" s="264"/>
      <c r="BE1990" s="263"/>
      <c r="BF1990" s="263"/>
      <c r="BG1990" s="263"/>
      <c r="BH1990" s="263"/>
      <c r="BI1990" s="263"/>
      <c r="BJ1990" s="404">
        <f>altaz(J2000_Bas,$O1990,$M1990,DecLat,DecLong,2)</f>
        <v>322.31362915352423</v>
      </c>
      <c r="BK1990" s="378" t="s">
        <v>1925</v>
      </c>
      <c r="BL1990" s="379">
        <f>IF((2*G1990)/60&lt;0.2,0.2,(2*G1990)/60)</f>
        <v>0.2</v>
      </c>
      <c r="BM1990" s="380">
        <f>MOD((50000+AD1990-$B$3+(0/24)),1)</f>
        <v>0.71269971026049461</v>
      </c>
      <c r="BN1990" s="381"/>
      <c r="BO1990" s="382">
        <v>1981</v>
      </c>
    </row>
    <row r="1991" spans="1:67" s="24" customFormat="1" ht="15" customHeight="1" x14ac:dyDescent="0.25">
      <c r="A1991" s="287" t="s">
        <v>5519</v>
      </c>
      <c r="B1991" s="241" t="str">
        <f>HYPERLINK(CONCATENATE($AT$3,BK1991,$AU$3),$AV$3)</f>
        <v>S</v>
      </c>
      <c r="C1991" s="242" t="str">
        <f>HYPERLINK(CONCATENATE($AT$4,BK1991,$AU$4,BL1991),$AV$4)</f>
        <v>A</v>
      </c>
      <c r="D1991" s="243" t="s">
        <v>5335</v>
      </c>
      <c r="E1991" s="244" t="s">
        <v>5185</v>
      </c>
      <c r="F1991" s="269" t="s">
        <v>5521</v>
      </c>
      <c r="G1991" s="273">
        <v>6</v>
      </c>
      <c r="H1991" s="283">
        <v>5300</v>
      </c>
      <c r="I1991" s="244">
        <v>10</v>
      </c>
      <c r="J1991" s="246">
        <v>4</v>
      </c>
      <c r="K1991" s="247" t="s">
        <v>5522</v>
      </c>
      <c r="L1991" s="248">
        <v>120642</v>
      </c>
      <c r="M1991" s="249">
        <f>15*(LEFT(TEXT($L1991,"000000"),2)+(MID(TEXT($L1991,"000000"),3,2)/60)+(RIGHT(TEXT($L1991,"000000"),2)/3600))</f>
        <v>181.67499999999998</v>
      </c>
      <c r="N1991" s="250">
        <v>-611500</v>
      </c>
      <c r="O1991" s="251">
        <f>IF($N1991&gt;0,(LEFT(TEXT($N1991,"000000"),2)+(MID(TEXT($N1991,"000000"),3,2)/60)+(RIGHT(TEXT($N1991,"000000"),2)/3600)),-(MID(TEXT($N1991,"000000"),2,2)+(MID(TEXT($N1991,"000000"),4,2)/60)+(RIGHT(TEXT($N1991,"000000"),2)/3600)))</f>
        <v>-61.25</v>
      </c>
      <c r="P1991" s="252" t="s">
        <v>5520</v>
      </c>
      <c r="Q1991" s="253"/>
      <c r="R1991" s="277" t="s">
        <v>3293</v>
      </c>
      <c r="S1991" s="272" t="s">
        <v>3293</v>
      </c>
      <c r="T1991" s="273">
        <v>7.4</v>
      </c>
      <c r="U1991" s="274"/>
      <c r="V1991" s="280"/>
      <c r="W1991" s="244"/>
      <c r="X1991" s="244"/>
      <c r="Y1991" s="362"/>
      <c r="Z1991" s="257">
        <f>altaz(J2000_Bas,$O1991,$M1991,DecLat,DecLong,1)</f>
        <v>-33.612618739662246</v>
      </c>
      <c r="AA1991" s="257">
        <f>altaz((J2000_Bas+(2*0.04167)),$O1991,$M1991,DecLat,DecLong,1)</f>
        <v>-47.737627359237628</v>
      </c>
      <c r="AB1991" s="257">
        <f>altaz((J2000_Bas+(4*0.04167)),$O1991,$M1991,DecLat,DecLong,1)</f>
        <v>-58.085124758307238</v>
      </c>
      <c r="AC1991" s="257">
        <f>altaz((J2000_Bas+(6*0.04167)),$O1991,$M1991,DecLat,DecLong,1)</f>
        <v>-58.27223395897429</v>
      </c>
      <c r="AD1991" s="258">
        <f>1+ transit((J2000_Bas-1),$O1991,$M1991,DecLat,DecLong)/360 + (GMTOffset/24) + (IF(DST="Y", 1, 0)/24)</f>
        <v>1.4975526879422081</v>
      </c>
      <c r="AE1991" s="259">
        <f>DATE(2001,9,21)+(M1991/360)*365 - (360*((DecLong/360)- (GMTOffset/24) ))</f>
        <v>37344.198263888888</v>
      </c>
      <c r="AF1991" s="260">
        <f>IF(DecLat&gt;0,IF((90 - (DecLat-O1991))&gt;90, (90 - (O1991-DecLat)), (90 - (DecLat-O1991))),IF((90 + (DecLat-O1991))&gt;90, (90 + (O1991-DecLat)), (90 + (DecLat-O1991))))</f>
        <v>-2.25</v>
      </c>
      <c r="AG1991" s="257">
        <f>angularseperation(MoonRA,MoonDec,$M1991,$O1991)</f>
        <v>55.76481901438931</v>
      </c>
      <c r="AH1991" s="261">
        <f ca="1">MIN(100,IF($O$5&gt;80,0+30*($AG1991/100),IF($O$5&gt;70,0+50*($AG1991/100),IF($O$5&gt;60,5+50*($AG1991/100),IF($O$5&gt;50,10+60*($AG1991/100),IF($O$5&gt;40,15+70*($AG1991/100),IF($O$5&gt;30,20+70*($AG1991/100),IF($O$5&gt;20,40+55*($AG1991/100),(80+(20-$O$5)+30*($AG1991/100))))))))))</f>
        <v>100</v>
      </c>
      <c r="AI1991" s="263">
        <v>4103</v>
      </c>
      <c r="AJ1991" s="263"/>
      <c r="AK1991" s="263"/>
      <c r="AL1991" s="263"/>
      <c r="AM1991" s="264"/>
      <c r="AN1991" s="263"/>
      <c r="AO1991" s="263"/>
      <c r="AP1991" s="265"/>
      <c r="AQ1991" s="265"/>
      <c r="AR1991" s="285"/>
      <c r="AS1991" s="263"/>
      <c r="AT1991" s="263"/>
      <c r="AU1991" s="263"/>
      <c r="AV1991" s="264"/>
      <c r="AW1991" s="263"/>
      <c r="AX1991" s="263"/>
      <c r="AY1991" s="263"/>
      <c r="AZ1991" s="263"/>
      <c r="BA1991" s="263"/>
      <c r="BB1991" s="263"/>
      <c r="BC1991" s="263"/>
      <c r="BD1991" s="264"/>
      <c r="BE1991" s="263"/>
      <c r="BF1991" s="263"/>
      <c r="BG1991" s="263"/>
      <c r="BH1991" s="263"/>
      <c r="BI1991" s="263"/>
      <c r="BJ1991" s="404">
        <f>altaz(J2000_Bas,$O1991,$M1991,DecLat,DecLong,2)</f>
        <v>214.02762760985217</v>
      </c>
      <c r="BK1991" s="378" t="s">
        <v>5519</v>
      </c>
      <c r="BL1991" s="379">
        <f>IF((2*G1991)/60&lt;0.2,0.2,(2*G1991)/60)</f>
        <v>0.2</v>
      </c>
      <c r="BM1991" s="380">
        <f>MOD((50000+AD1991-$B$3+(0/24)),1)</f>
        <v>0.71291961764654843</v>
      </c>
      <c r="BN1991" s="381"/>
      <c r="BO1991" s="382">
        <v>1982</v>
      </c>
    </row>
    <row r="1992" spans="1:67" s="24" customFormat="1" ht="15" customHeight="1" x14ac:dyDescent="0.25">
      <c r="A1992" s="288" t="s">
        <v>1926</v>
      </c>
      <c r="B1992" s="241" t="str">
        <f>HYPERLINK(CONCATENATE($AT$3,BK1992,$AU$3),$AV$3)</f>
        <v>S</v>
      </c>
      <c r="C1992" s="242" t="str">
        <f>HYPERLINK(CONCATENATE($AT$4,BK1992,$AU$4,BL1992),$AV$4)</f>
        <v>A</v>
      </c>
      <c r="D1992" s="243" t="s">
        <v>5638</v>
      </c>
      <c r="E1992" s="244" t="s">
        <v>5182</v>
      </c>
      <c r="F1992" s="269" t="s">
        <v>8818</v>
      </c>
      <c r="G1992" s="273">
        <v>4.5</v>
      </c>
      <c r="H1992" s="283">
        <v>30</v>
      </c>
      <c r="I1992" s="246">
        <v>40</v>
      </c>
      <c r="J1992" s="246">
        <v>2</v>
      </c>
      <c r="K1992" s="247" t="s">
        <v>7790</v>
      </c>
      <c r="L1992" s="248">
        <v>120703</v>
      </c>
      <c r="M1992" s="249">
        <f>15*(LEFT(TEXT($L1992,"000000"),2)+(MID(TEXT($L1992,"000000"),3,2)/60)+(RIGHT(TEXT($L1992,"000000"),2)/3600))</f>
        <v>181.76249999999999</v>
      </c>
      <c r="N1992" s="250">
        <v>430357</v>
      </c>
      <c r="O1992" s="251">
        <f>IF($N1992&gt;0,(LEFT(TEXT($N1992,"000000"),2)+(MID(TEXT($N1992,"000000"),3,2)/60)+(RIGHT(TEXT($N1992,"000000"),2)/3600)),-(MID(TEXT($N1992,"000000"),2,2)+(MID(TEXT($N1992,"000000"),4,2)/60)+(RIGHT(TEXT($N1992,"000000"),2)/3600)))</f>
        <v>43.06583333333333</v>
      </c>
      <c r="P1992" s="252" t="s">
        <v>242</v>
      </c>
      <c r="Q1992" s="253"/>
      <c r="R1992" s="247" t="s">
        <v>3293</v>
      </c>
      <c r="S1992" s="272" t="s">
        <v>3293</v>
      </c>
      <c r="T1992" s="273">
        <v>10.7</v>
      </c>
      <c r="U1992" s="289">
        <v>21.09</v>
      </c>
      <c r="V1992" s="280">
        <v>87</v>
      </c>
      <c r="W1992" s="244"/>
      <c r="X1992" s="244"/>
      <c r="Y1992" s="362"/>
      <c r="Z1992" s="257">
        <f>altaz(J2000_Bas,$O1992,$M1992,DecLat,DecLong,1)</f>
        <v>11.39934170318149</v>
      </c>
      <c r="AA1992" s="257">
        <f>altaz((J2000_Bas+(2*0.04167)),$O1992,$M1992,DecLat,DecLong,1)</f>
        <v>-4.9258898092652075</v>
      </c>
      <c r="AB1992" s="257">
        <f>altaz((J2000_Bas+(4*0.04167)),$O1992,$M1992,DecLat,DecLong,1)</f>
        <v>-14.565783180267166</v>
      </c>
      <c r="AC1992" s="257">
        <f>altaz((J2000_Bas+(6*0.04167)),$O1992,$M1992,DecLat,DecLong,1)</f>
        <v>-14.750071587686415</v>
      </c>
      <c r="AD1992" s="258">
        <f>1+ transit((J2000_Bas-1),$O1992,$M1992,DecLat,DecLong)/360 + (GMTOffset/24) + (IF(DST="Y", 1, 0)/24)</f>
        <v>1.4977957434734581</v>
      </c>
      <c r="AE1992" s="259">
        <f>DATE(2001,9,21)+(M1992/360)*365 - (360*((DecLong/360)- (GMTOffset/24) ))</f>
        <v>37344.286979166667</v>
      </c>
      <c r="AF1992" s="260">
        <f>IF(DecLat&gt;0,IF((90 - (DecLat-O1992))&gt;90, (90 - (O1992-DecLat)), (90 - (DecLat-O1992))),IF((90 + (DecLat-O1992))&gt;90, (90 + (O1992-DecLat)), (90 + (DecLat-O1992))))</f>
        <v>77.93416666666667</v>
      </c>
      <c r="AG1992" s="257">
        <f>angularseperation(MoonRA,MoonDec,$M1992,$O1992)</f>
        <v>93.540870850877752</v>
      </c>
      <c r="AH1992" s="261">
        <f ca="1">MIN(100,IF($O$5&gt;80,0+30*($AG1992/100),IF($O$5&gt;70,0+50*($AG1992/100),IF($O$5&gt;60,5+50*($AG1992/100),IF($O$5&gt;50,10+60*($AG1992/100),IF($O$5&gt;40,15+70*($AG1992/100),IF($O$5&gt;30,20+70*($AG1992/100),IF($O$5&gt;20,40+55*($AG1992/100),(80+(20-$O$5)+30*($AG1992/100))))))))))</f>
        <v>100</v>
      </c>
      <c r="AI1992" s="262">
        <v>4111</v>
      </c>
      <c r="AJ1992" s="262"/>
      <c r="AK1992" s="262">
        <v>210</v>
      </c>
      <c r="AL1992" s="263"/>
      <c r="AM1992" s="264"/>
      <c r="AN1992" s="263"/>
      <c r="AO1992" s="263"/>
      <c r="AP1992" s="265"/>
      <c r="AQ1992" s="266">
        <v>7103</v>
      </c>
      <c r="AR1992" s="267">
        <v>38440</v>
      </c>
      <c r="AS1992" s="263"/>
      <c r="AT1992" s="263"/>
      <c r="AU1992" s="263"/>
      <c r="AV1992" s="264"/>
      <c r="AW1992" s="263"/>
      <c r="AX1992" s="263"/>
      <c r="AY1992" s="263"/>
      <c r="AZ1992" s="263"/>
      <c r="BA1992" s="263"/>
      <c r="BB1992" s="263"/>
      <c r="BC1992" s="263"/>
      <c r="BD1992" s="264"/>
      <c r="BE1992" s="263"/>
      <c r="BF1992" s="263">
        <v>51</v>
      </c>
      <c r="BG1992" s="263"/>
      <c r="BH1992" s="263"/>
      <c r="BI1992" s="263"/>
      <c r="BJ1992" s="404">
        <f>altaz(J2000_Bas,$O1992,$M1992,DecLat,DecLong,2)</f>
        <v>313.74937428408862</v>
      </c>
      <c r="BK1992" s="378" t="s">
        <v>1926</v>
      </c>
      <c r="BL1992" s="379">
        <f>IF((2*G1992)/60&lt;0.2,0.2,(2*G1992)/60)</f>
        <v>0.2</v>
      </c>
      <c r="BM1992" s="380">
        <f>MOD((50000+AD1992-$B$3+(0/24)),1)</f>
        <v>0.7131626731788856</v>
      </c>
      <c r="BN1992" s="381"/>
      <c r="BO1992" s="382">
        <v>1983</v>
      </c>
    </row>
    <row r="1993" spans="1:67" s="24" customFormat="1" ht="15" customHeight="1" x14ac:dyDescent="0.25">
      <c r="A1993" s="288" t="s">
        <v>1927</v>
      </c>
      <c r="B1993" s="241" t="str">
        <f>HYPERLINK(CONCATENATE($AT$3,BK1993,$AU$3),$AV$3)</f>
        <v>S</v>
      </c>
      <c r="C1993" s="242" t="str">
        <f>HYPERLINK(CONCATENATE($AT$4,BK1993,$AU$4,BL1993),$AV$4)</f>
        <v>A</v>
      </c>
      <c r="D1993" s="243" t="s">
        <v>5638</v>
      </c>
      <c r="E1993" s="244" t="s">
        <v>5193</v>
      </c>
      <c r="F1993" s="269" t="s">
        <v>3313</v>
      </c>
      <c r="G1993" s="273">
        <v>6</v>
      </c>
      <c r="H1993" s="283">
        <v>80</v>
      </c>
      <c r="I1993" s="246">
        <v>140</v>
      </c>
      <c r="J1993" s="246">
        <v>2</v>
      </c>
      <c r="K1993" s="247" t="s">
        <v>8480</v>
      </c>
      <c r="L1993" s="248">
        <v>120806</v>
      </c>
      <c r="M1993" s="249">
        <f>15*(LEFT(TEXT($L1993,"000000"),2)+(MID(TEXT($L1993,"000000"),3,2)/60)+(RIGHT(TEXT($L1993,"000000"),2)/3600))</f>
        <v>182.02500000000001</v>
      </c>
      <c r="N1993" s="250">
        <v>651026</v>
      </c>
      <c r="O1993" s="251">
        <f>IF($N1993&gt;0,(LEFT(TEXT($N1993,"000000"),2)+(MID(TEXT($N1993,"000000"),3,2)/60)+(RIGHT(TEXT($N1993,"000000"),2)/3600)),-(MID(TEXT($N1993,"000000"),2,2)+(MID(TEXT($N1993,"000000"),4,2)/60)+(RIGHT(TEXT($N1993,"000000"),2)/3600)))</f>
        <v>65.173888888888897</v>
      </c>
      <c r="P1993" s="252" t="s">
        <v>34</v>
      </c>
      <c r="Q1993" s="253"/>
      <c r="R1993" s="247" t="s">
        <v>3293</v>
      </c>
      <c r="S1993" s="272" t="s">
        <v>3293</v>
      </c>
      <c r="T1993" s="273">
        <v>9.6999999999999993</v>
      </c>
      <c r="U1993" s="289">
        <v>21.79</v>
      </c>
      <c r="V1993" s="280"/>
      <c r="W1993" s="244"/>
      <c r="X1993" s="244"/>
      <c r="Y1993" s="362"/>
      <c r="Z1993" s="257">
        <f>altaz(J2000_Bas,$O1993,$M1993,DecLat,DecLong,1)</f>
        <v>22.365357701626944</v>
      </c>
      <c r="AA1993" s="257">
        <f>altaz((J2000_Bas+(2*0.04167)),$O1993,$M1993,DecLat,DecLong,1)</f>
        <v>12.542075157282966</v>
      </c>
      <c r="AB1993" s="257">
        <f>altaz((J2000_Bas+(4*0.04167)),$O1993,$M1993,DecLat,DecLong,1)</f>
        <v>6.9633908070821127</v>
      </c>
      <c r="AC1993" s="257">
        <f>altaz((J2000_Bas+(6*0.04167)),$O1993,$M1993,DecLat,DecLong,1)</f>
        <v>6.810790634656386</v>
      </c>
      <c r="AD1993" s="258">
        <f>1+ transit((J2000_Bas-1),$O1993,$M1993,DecLat,DecLong)/360 + (GMTOffset/24) + (IF(DST="Y", 1, 0)/24)</f>
        <v>1.498524910067208</v>
      </c>
      <c r="AE1993" s="259">
        <f>DATE(2001,9,21)+(M1993/360)*365 - (360*((DecLong/360)- (GMTOffset/24) ))</f>
        <v>37344.553124999999</v>
      </c>
      <c r="AF1993" s="260">
        <f>IF(DecLat&gt;0,IF((90 - (DecLat-O1993))&gt;90, (90 - (O1993-DecLat)), (90 - (DecLat-O1993))),IF((90 + (DecLat-O1993))&gt;90, (90 + (O1993-DecLat)), (90 + (DecLat-O1993))))</f>
        <v>55.826111111111103</v>
      </c>
      <c r="AG1993" s="257">
        <f>angularseperation(MoonRA,MoonDec,$M1993,$O1993)</f>
        <v>105.57273598450784</v>
      </c>
      <c r="AH1993" s="261">
        <f ca="1">MIN(100,IF($O$5&gt;80,0+30*($AG1993/100),IF($O$5&gt;70,0+50*($AG1993/100),IF($O$5&gt;60,5+50*($AG1993/100),IF($O$5&gt;50,10+60*($AG1993/100),IF($O$5&gt;40,15+70*($AG1993/100),IF($O$5&gt;30,20+70*($AG1993/100),IF($O$5&gt;20,40+55*($AG1993/100),(80+(20-$O$5)+30*($AG1993/100))))))))))</f>
        <v>100</v>
      </c>
      <c r="AI1993" s="262">
        <v>4125</v>
      </c>
      <c r="AJ1993" s="262"/>
      <c r="AK1993" s="262"/>
      <c r="AL1993" s="263"/>
      <c r="AM1993" s="264"/>
      <c r="AN1993" s="263"/>
      <c r="AO1993" s="263"/>
      <c r="AP1993" s="265"/>
      <c r="AQ1993" s="266">
        <v>7118</v>
      </c>
      <c r="AR1993" s="267">
        <v>38524</v>
      </c>
      <c r="AS1993" s="263"/>
      <c r="AT1993" s="263"/>
      <c r="AU1993" s="263"/>
      <c r="AV1993" s="264"/>
      <c r="AW1993" s="263"/>
      <c r="AX1993" s="263"/>
      <c r="AY1993" s="263"/>
      <c r="AZ1993" s="263"/>
      <c r="BA1993" s="263"/>
      <c r="BB1993" s="263"/>
      <c r="BC1993" s="263"/>
      <c r="BD1993" s="264"/>
      <c r="BE1993" s="263"/>
      <c r="BF1993" s="263"/>
      <c r="BG1993" s="263"/>
      <c r="BH1993" s="263"/>
      <c r="BI1993" s="263"/>
      <c r="BJ1993" s="404">
        <f>altaz(J2000_Bas,$O1993,$M1993,DecLat,DecLong,2)</f>
        <v>333.85940813232247</v>
      </c>
      <c r="BK1993" s="378" t="s">
        <v>1927</v>
      </c>
      <c r="BL1993" s="379">
        <f>IF((2*G1993)/60&lt;0.2,0.2,(2*G1993)/60)</f>
        <v>0.2</v>
      </c>
      <c r="BM1993" s="380">
        <f>MOD((50000+AD1993-$B$3+(0/24)),1)</f>
        <v>0.71389183976862114</v>
      </c>
      <c r="BN1993" s="381"/>
      <c r="BO1993" s="382">
        <v>1984</v>
      </c>
    </row>
    <row r="1994" spans="1:67" s="24" customFormat="1" ht="15" customHeight="1" x14ac:dyDescent="0.25">
      <c r="A1994" s="287" t="s">
        <v>1928</v>
      </c>
      <c r="B1994" s="241" t="str">
        <f>HYPERLINK(CONCATENATE($AT$3,BK1994,$AU$3),$AV$3)</f>
        <v>S</v>
      </c>
      <c r="C1994" s="242" t="str">
        <f>HYPERLINK(CONCATENATE($AT$4,BK1994,$AU$4,BL1994),$AV$4)</f>
        <v>A</v>
      </c>
      <c r="D1994" s="243" t="s">
        <v>5638</v>
      </c>
      <c r="E1994" s="244" t="s">
        <v>5192</v>
      </c>
      <c r="F1994" s="269" t="s">
        <v>8910</v>
      </c>
      <c r="G1994" s="273">
        <v>3.8</v>
      </c>
      <c r="H1994" s="283">
        <v>26</v>
      </c>
      <c r="I1994" s="246">
        <v>30</v>
      </c>
      <c r="J1994" s="246">
        <v>2</v>
      </c>
      <c r="K1994" s="247" t="s">
        <v>7791</v>
      </c>
      <c r="L1994" s="248">
        <v>120918</v>
      </c>
      <c r="M1994" s="249">
        <f>15*(LEFT(TEXT($L1994,"000000"),2)+(MID(TEXT($L1994,"000000"),3,2)/60)+(RIGHT(TEXT($L1994,"000000"),2)/3600))</f>
        <v>182.32500000000002</v>
      </c>
      <c r="N1994" s="250">
        <v>295538</v>
      </c>
      <c r="O1994" s="251">
        <f>IF($N1994&gt;0,(LEFT(TEXT($N1994,"000000"),2)+(MID(TEXT($N1994,"000000"),3,2)/60)+(RIGHT(TEXT($N1994,"000000"),2)/3600)),-(MID(TEXT($N1994,"000000"),2,2)+(MID(TEXT($N1994,"000000"),4,2)/60)+(RIGHT(TEXT($N1994,"000000"),2)/3600)))</f>
        <v>29.927222222222223</v>
      </c>
      <c r="P1994" s="252" t="s">
        <v>190</v>
      </c>
      <c r="Q1994" s="253"/>
      <c r="R1994" s="277" t="s">
        <v>3293</v>
      </c>
      <c r="S1994" s="272" t="s">
        <v>3293</v>
      </c>
      <c r="T1994" s="273">
        <v>11.1</v>
      </c>
      <c r="U1994" s="289">
        <v>22.69</v>
      </c>
      <c r="V1994" s="280">
        <v>0</v>
      </c>
      <c r="W1994" s="244"/>
      <c r="X1994" s="244"/>
      <c r="Y1994" s="362"/>
      <c r="Z1994" s="257">
        <f>altaz(J2000_Bas,$O1994,$M1994,DecLat,DecLong,1)</f>
        <v>4.6629243446314428</v>
      </c>
      <c r="AA1994" s="257">
        <f>altaz((J2000_Bas+(2*0.04167)),$O1994,$M1994,DecLat,DecLong,1)</f>
        <v>-14.884283821486667</v>
      </c>
      <c r="AB1994" s="257">
        <f>altaz((J2000_Bas+(4*0.04167)),$O1994,$M1994,DecLat,DecLong,1)</f>
        <v>-27.167425864974799</v>
      </c>
      <c r="AC1994" s="257">
        <f>altaz((J2000_Bas+(6*0.04167)),$O1994,$M1994,DecLat,DecLong,1)</f>
        <v>-27.649972633851881</v>
      </c>
      <c r="AD1994" s="258">
        <f>1+ transit((J2000_Bas-1),$O1994,$M1994,DecLat,DecLong)/360 + (GMTOffset/24) + (IF(DST="Y", 1, 0)/24)</f>
        <v>1.4993582433172081</v>
      </c>
      <c r="AE1994" s="259">
        <f>DATE(2001,9,21)+(M1994/360)*365 - (360*((DecLong/360)- (GMTOffset/24) ))</f>
        <v>37344.857291666667</v>
      </c>
      <c r="AF1994" s="260">
        <f>IF(DecLat&gt;0,IF((90 - (DecLat-O1994))&gt;90, (90 - (O1994-DecLat)), (90 - (DecLat-O1994))),IF((90 + (DecLat-O1994))&gt;90, (90 + (O1994-DecLat)), (90 + (DecLat-O1994))))</f>
        <v>88.927222222222227</v>
      </c>
      <c r="AG1994" s="257">
        <f>angularseperation(MoonRA,MoonDec,$M1994,$O1994)</f>
        <v>85.677041521289851</v>
      </c>
      <c r="AH1994" s="261">
        <f ca="1">MIN(100,IF($O$5&gt;80,0+30*($AG1994/100),IF($O$5&gt;70,0+50*($AG1994/100),IF($O$5&gt;60,5+50*($AG1994/100),IF($O$5&gt;50,10+60*($AG1994/100),IF($O$5&gt;40,15+70*($AG1994/100),IF($O$5&gt;30,20+70*($AG1994/100),IF($O$5&gt;20,40+55*($AG1994/100),(80+(20-$O$5)+30*($AG1994/100))))))))))</f>
        <v>100</v>
      </c>
      <c r="AI1994" s="262">
        <v>4136</v>
      </c>
      <c r="AJ1994" s="263"/>
      <c r="AK1994" s="263"/>
      <c r="AL1994" s="263"/>
      <c r="AM1994" s="264"/>
      <c r="AN1994" s="263"/>
      <c r="AO1994" s="263"/>
      <c r="AP1994" s="265"/>
      <c r="AQ1994" s="265">
        <v>7134</v>
      </c>
      <c r="AR1994" s="285">
        <v>38618</v>
      </c>
      <c r="AS1994" s="263"/>
      <c r="AT1994" s="263"/>
      <c r="AU1994" s="263"/>
      <c r="AV1994" s="264"/>
      <c r="AW1994" s="263"/>
      <c r="AX1994" s="263"/>
      <c r="AY1994" s="263"/>
      <c r="AZ1994" s="263"/>
      <c r="BA1994" s="263"/>
      <c r="BB1994" s="263"/>
      <c r="BC1994" s="263"/>
      <c r="BD1994" s="264"/>
      <c r="BE1994" s="263"/>
      <c r="BF1994" s="263"/>
      <c r="BG1994" s="263"/>
      <c r="BH1994" s="263"/>
      <c r="BI1994" s="263"/>
      <c r="BJ1994" s="404">
        <f>altaz(J2000_Bas,$O1994,$M1994,DecLat,DecLong,2)</f>
        <v>302.3410213506159</v>
      </c>
      <c r="BK1994" s="378" t="s">
        <v>1928</v>
      </c>
      <c r="BL1994" s="379">
        <f>IF((2*G1994)/60&lt;0.2,0.2,(2*G1994)/60)</f>
        <v>0.2</v>
      </c>
      <c r="BM1994" s="380">
        <f>MOD((50000+AD1994-$B$3+(0/24)),1)</f>
        <v>0.71472517302026972</v>
      </c>
      <c r="BN1994" s="381"/>
      <c r="BO1994" s="382">
        <v>1985</v>
      </c>
    </row>
    <row r="1995" spans="1:67" s="24" customFormat="1" ht="15" customHeight="1" x14ac:dyDescent="0.25">
      <c r="A1995" s="287" t="s">
        <v>1929</v>
      </c>
      <c r="B1995" s="241" t="str">
        <f>HYPERLINK(CONCATENATE($AT$3,BK1995,$AU$3),$AV$3)</f>
        <v>S</v>
      </c>
      <c r="C1995" s="242" t="str">
        <f>HYPERLINK(CONCATENATE($AT$4,BK1995,$AU$4,BL1995),$AV$4)</f>
        <v>A</v>
      </c>
      <c r="D1995" s="243" t="s">
        <v>5638</v>
      </c>
      <c r="E1995" s="244" t="s">
        <v>5182</v>
      </c>
      <c r="F1995" s="269" t="s">
        <v>5642</v>
      </c>
      <c r="G1995" s="273">
        <v>3.2</v>
      </c>
      <c r="H1995" s="283">
        <v>45</v>
      </c>
      <c r="I1995" s="246">
        <v>42</v>
      </c>
      <c r="J1995" s="246">
        <v>2</v>
      </c>
      <c r="K1995" s="247" t="s">
        <v>7792</v>
      </c>
      <c r="L1995" s="248">
        <v>120930</v>
      </c>
      <c r="M1995" s="249">
        <f>15*(LEFT(TEXT($L1995,"000000"),2)+(MID(TEXT($L1995,"000000"),3,2)/60)+(RIGHT(TEXT($L1995,"000000"),2)/3600))</f>
        <v>182.375</v>
      </c>
      <c r="N1995" s="250">
        <v>434107</v>
      </c>
      <c r="O1995" s="251">
        <f>IF($N1995&gt;0,(LEFT(TEXT($N1995,"000000"),2)+(MID(TEXT($N1995,"000000"),3,2)/60)+(RIGHT(TEXT($N1995,"000000"),2)/3600)),-(MID(TEXT($N1995,"000000"),2,2)+(MID(TEXT($N1995,"000000"),4,2)/60)+(RIGHT(TEXT($N1995,"000000"),2)/3600)))</f>
        <v>43.685277777777777</v>
      </c>
      <c r="P1995" s="252" t="s">
        <v>242</v>
      </c>
      <c r="Q1995" s="253"/>
      <c r="R1995" s="277" t="s">
        <v>3293</v>
      </c>
      <c r="S1995" s="272" t="s">
        <v>3293</v>
      </c>
      <c r="T1995" s="273">
        <v>11.3</v>
      </c>
      <c r="U1995" s="289">
        <v>21.69</v>
      </c>
      <c r="V1995" s="280">
        <v>50</v>
      </c>
      <c r="W1995" s="244"/>
      <c r="X1995" s="244"/>
      <c r="Y1995" s="362"/>
      <c r="Z1995" s="257">
        <f>altaz(J2000_Bas,$O1995,$M1995,DecLat,DecLong,1)</f>
        <v>12.104205762701751</v>
      </c>
      <c r="AA1995" s="257">
        <f>altaz((J2000_Bas+(2*0.04167)),$O1995,$M1995,DecLat,DecLong,1)</f>
        <v>-4.1637784154641171</v>
      </c>
      <c r="AB1995" s="257">
        <f>altaz((J2000_Bas+(4*0.04167)),$O1995,$M1995,DecLat,DecLong,1)</f>
        <v>-13.856959469553384</v>
      </c>
      <c r="AC1995" s="257">
        <f>altaz((J2000_Bas+(6*0.04167)),$O1995,$M1995,DecLat,DecLong,1)</f>
        <v>-14.242002209900823</v>
      </c>
      <c r="AD1995" s="258">
        <f>1+ transit((J2000_Bas-1),$O1995,$M1995,DecLat,DecLong)/360 + (GMTOffset/24) + (IF(DST="Y", 1, 0)/24)</f>
        <v>1.4994971321922079</v>
      </c>
      <c r="AE1995" s="259">
        <f>DATE(2001,9,21)+(M1995/360)*365 - (360*((DecLong/360)- (GMTOffset/24) ))</f>
        <v>37344.907986111109</v>
      </c>
      <c r="AF1995" s="260">
        <f>IF(DecLat&gt;0,IF((90 - (DecLat-O1995))&gt;90, (90 - (O1995-DecLat)), (90 - (DecLat-O1995))),IF((90 + (DecLat-O1995))&gt;90, (90 + (O1995-DecLat)), (90 + (DecLat-O1995))))</f>
        <v>77.31472222222223</v>
      </c>
      <c r="AG1995" s="257">
        <f>angularseperation(MoonRA,MoonDec,$M1995,$O1995)</f>
        <v>93.527450001269969</v>
      </c>
      <c r="AH1995" s="261">
        <f ca="1">MIN(100,IF($O$5&gt;80,0+30*($AG1995/100),IF($O$5&gt;70,0+50*($AG1995/100),IF($O$5&gt;60,5+50*($AG1995/100),IF($O$5&gt;50,10+60*($AG1995/100),IF($O$5&gt;40,15+70*($AG1995/100),IF($O$5&gt;30,20+70*($AG1995/100),IF($O$5&gt;20,40+55*($AG1995/100),(80+(20-$O$5)+30*($AG1995/100))))))))))</f>
        <v>100</v>
      </c>
      <c r="AI1995" s="262">
        <v>4138</v>
      </c>
      <c r="AJ1995" s="263"/>
      <c r="AK1995" s="263"/>
      <c r="AL1995" s="263"/>
      <c r="AM1995" s="264"/>
      <c r="AN1995" s="263"/>
      <c r="AO1995" s="263"/>
      <c r="AP1995" s="265"/>
      <c r="AQ1995" s="265">
        <v>7139</v>
      </c>
      <c r="AR1995" s="285">
        <v>38643</v>
      </c>
      <c r="AS1995" s="263"/>
      <c r="AT1995" s="263"/>
      <c r="AU1995" s="263"/>
      <c r="AV1995" s="264"/>
      <c r="AW1995" s="263"/>
      <c r="AX1995" s="263"/>
      <c r="AY1995" s="263"/>
      <c r="AZ1995" s="263"/>
      <c r="BA1995" s="263"/>
      <c r="BB1995" s="263"/>
      <c r="BC1995" s="263"/>
      <c r="BD1995" s="264"/>
      <c r="BE1995" s="263"/>
      <c r="BF1995" s="263"/>
      <c r="BG1995" s="263"/>
      <c r="BH1995" s="263"/>
      <c r="BI1995" s="263"/>
      <c r="BJ1995" s="404">
        <f>altaz(J2000_Bas,$O1995,$M1995,DecLat,DecLong,2)</f>
        <v>314.04730411876562</v>
      </c>
      <c r="BK1995" s="378" t="s">
        <v>1929</v>
      </c>
      <c r="BL1995" s="379">
        <f>IF((2*G1995)/60&lt;0.2,0.2,(2*G1995)/60)</f>
        <v>0.2</v>
      </c>
      <c r="BM1995" s="380">
        <f>MOD((50000+AD1995-$B$3+(0/24)),1)</f>
        <v>0.7148640618979698</v>
      </c>
      <c r="BN1995" s="381"/>
      <c r="BO1995" s="382">
        <v>1986</v>
      </c>
    </row>
    <row r="1996" spans="1:67" s="24" customFormat="1" ht="15" customHeight="1" x14ac:dyDescent="0.25">
      <c r="A1996" s="287" t="s">
        <v>2998</v>
      </c>
      <c r="B1996" s="241" t="str">
        <f>HYPERLINK(CONCATENATE($AT$3,BK1996,$AU$3),$AV$3)</f>
        <v>S</v>
      </c>
      <c r="C1996" s="242" t="str">
        <f>HYPERLINK(CONCATENATE($AT$4,BK1996,$AU$4,BL1996),$AV$4)</f>
        <v>A</v>
      </c>
      <c r="D1996" s="243" t="s">
        <v>5638</v>
      </c>
      <c r="E1996" s="244" t="s">
        <v>5182</v>
      </c>
      <c r="F1996" s="269" t="s">
        <v>8903</v>
      </c>
      <c r="G1996" s="273">
        <v>2.6</v>
      </c>
      <c r="H1996" s="283">
        <v>52</v>
      </c>
      <c r="I1996" s="246">
        <v>40</v>
      </c>
      <c r="J1996" s="246">
        <v>1</v>
      </c>
      <c r="K1996" s="247" t="s">
        <v>7793</v>
      </c>
      <c r="L1996" s="248">
        <v>120942</v>
      </c>
      <c r="M1996" s="249">
        <f>15*(LEFT(TEXT($L1996,"000000"),2)+(MID(TEXT($L1996,"000000"),3,2)/60)+(RIGHT(TEXT($L1996,"000000"),2)/3600))</f>
        <v>182.42500000000001</v>
      </c>
      <c r="N1996" s="250">
        <v>423300</v>
      </c>
      <c r="O1996" s="251">
        <f>IF($N1996&gt;0,(LEFT(TEXT($N1996,"000000"),2)+(MID(TEXT($N1996,"000000"),3,2)/60)+(RIGHT(TEXT($N1996,"000000"),2)/3600)),-(MID(TEXT($N1996,"000000"),2,2)+(MID(TEXT($N1996,"000000"),4,2)/60)+(RIGHT(TEXT($N1996,"000000"),2)/3600)))</f>
        <v>42.55</v>
      </c>
      <c r="P1996" s="252" t="s">
        <v>242</v>
      </c>
      <c r="Q1996" s="253"/>
      <c r="R1996" s="277" t="s">
        <v>3293</v>
      </c>
      <c r="S1996" s="272" t="s">
        <v>3293</v>
      </c>
      <c r="T1996" s="273">
        <v>10.9</v>
      </c>
      <c r="U1996" s="289">
        <v>20.89</v>
      </c>
      <c r="V1996" s="280"/>
      <c r="W1996" s="244"/>
      <c r="X1996" s="244"/>
      <c r="Y1996" s="362"/>
      <c r="Z1996" s="257">
        <f>altaz(J2000_Bas,$O1996,$M1996,DecLat,DecLong,1)</f>
        <v>11.539398382274703</v>
      </c>
      <c r="AA1996" s="257">
        <f>altaz((J2000_Bas+(2*0.04167)),$O1996,$M1996,DecLat,DecLong,1)</f>
        <v>-5.0301664950182126</v>
      </c>
      <c r="AB1996" s="257">
        <f>altaz((J2000_Bas+(4*0.04167)),$O1996,$M1996,DecLat,DecLong,1)</f>
        <v>-14.947939953930959</v>
      </c>
      <c r="AC1996" s="257">
        <f>altaz((J2000_Bas+(6*0.04167)),$O1996,$M1996,DecLat,DecLong,1)</f>
        <v>-15.359143121364049</v>
      </c>
      <c r="AD1996" s="258">
        <f>1+ transit((J2000_Bas-1),$O1996,$M1996,DecLat,DecLong)/360 + (GMTOffset/24) + (IF(DST="Y", 1, 0)/24)</f>
        <v>1.4996360210672079</v>
      </c>
      <c r="AE1996" s="259">
        <f>DATE(2001,9,21)+(M1996/360)*365 - (360*((DecLong/360)- (GMTOffset/24) ))</f>
        <v>37344.958680555559</v>
      </c>
      <c r="AF1996" s="260">
        <f>IF(DecLat&gt;0,IF((90 - (DecLat-O1996))&gt;90, (90 - (O1996-DecLat)), (90 - (DecLat-O1996))),IF((90 + (DecLat-O1996))&gt;90, (90 + (O1996-DecLat)), (90 + (DecLat-O1996))))</f>
        <v>78.45</v>
      </c>
      <c r="AG1996" s="257">
        <f>angularseperation(MoonRA,MoonDec,$M1996,$O1996)</f>
        <v>92.847527580414223</v>
      </c>
      <c r="AH1996" s="261">
        <f ca="1">MIN(100,IF($O$5&gt;80,0+30*($AG1996/100),IF($O$5&gt;70,0+50*($AG1996/100),IF($O$5&gt;60,5+50*($AG1996/100),IF($O$5&gt;50,10+60*($AG1996/100),IF($O$5&gt;40,15+70*($AG1996/100),IF($O$5&gt;30,20+70*($AG1996/100),IF($O$5&gt;20,40+55*($AG1996/100),(80+(20-$O$5)+30*($AG1996/100))))))))))</f>
        <v>100</v>
      </c>
      <c r="AI1996" s="262">
        <v>4143</v>
      </c>
      <c r="AJ1996" s="263"/>
      <c r="AK1996" s="263">
        <v>211</v>
      </c>
      <c r="AL1996" s="263"/>
      <c r="AM1996" s="264"/>
      <c r="AN1996" s="263"/>
      <c r="AO1996" s="263"/>
      <c r="AP1996" s="265"/>
      <c r="AQ1996" s="265">
        <v>7142</v>
      </c>
      <c r="AR1996" s="285">
        <v>38654</v>
      </c>
      <c r="AS1996" s="263"/>
      <c r="AT1996" s="263"/>
      <c r="AU1996" s="263"/>
      <c r="AV1996" s="264"/>
      <c r="AW1996" s="263"/>
      <c r="AX1996" s="263"/>
      <c r="AY1996" s="263"/>
      <c r="AZ1996" s="263"/>
      <c r="BA1996" s="263"/>
      <c r="BB1996" s="263"/>
      <c r="BC1996" s="263"/>
      <c r="BD1996" s="264"/>
      <c r="BE1996" s="263"/>
      <c r="BF1996" s="263"/>
      <c r="BG1996" s="263"/>
      <c r="BH1996" s="263"/>
      <c r="BI1996" s="263"/>
      <c r="BJ1996" s="404">
        <f>altaz(J2000_Bas,$O1996,$M1996,DecLat,DecLong,2)</f>
        <v>313.04045863977711</v>
      </c>
      <c r="BK1996" s="378" t="s">
        <v>2998</v>
      </c>
      <c r="BL1996" s="379">
        <f>IF((2*G1996)/60&lt;0.2,0.2,(2*G1996)/60)</f>
        <v>0.2</v>
      </c>
      <c r="BM1996" s="380">
        <f>MOD((50000+AD1996-$B$3+(0/24)),1)</f>
        <v>0.71500295076839393</v>
      </c>
      <c r="BN1996" s="381"/>
      <c r="BO1996" s="382">
        <v>1987</v>
      </c>
    </row>
    <row r="1997" spans="1:67" s="24" customFormat="1" ht="15" customHeight="1" x14ac:dyDescent="0.25">
      <c r="A1997" s="288" t="s">
        <v>1930</v>
      </c>
      <c r="B1997" s="241" t="str">
        <f>HYPERLINK(CONCATENATE($AT$3,BK1997,$AU$3),$AV$3)</f>
        <v>S</v>
      </c>
      <c r="C1997" s="242" t="str">
        <f>HYPERLINK(CONCATENATE($AT$4,BK1997,$AU$4,BL1997),$AV$4)</f>
        <v>A</v>
      </c>
      <c r="D1997" s="243" t="s">
        <v>5638</v>
      </c>
      <c r="E1997" s="244" t="s">
        <v>5192</v>
      </c>
      <c r="F1997" s="269" t="s">
        <v>8895</v>
      </c>
      <c r="G1997" s="273">
        <v>5.6</v>
      </c>
      <c r="H1997" s="283">
        <v>50</v>
      </c>
      <c r="I1997" s="246">
        <v>80</v>
      </c>
      <c r="J1997" s="246">
        <v>2</v>
      </c>
      <c r="K1997" s="247" t="s">
        <v>7794</v>
      </c>
      <c r="L1997" s="248">
        <v>121002</v>
      </c>
      <c r="M1997" s="249">
        <f>15*(LEFT(TEXT($L1997,"000000"),2)+(MID(TEXT($L1997,"000000"),3,2)/60)+(RIGHT(TEXT($L1997,"000000"),2)/3600))</f>
        <v>182.50833333333333</v>
      </c>
      <c r="N1997" s="250">
        <v>395257</v>
      </c>
      <c r="O1997" s="251">
        <f>IF($N1997&gt;0,(LEFT(TEXT($N1997,"000000"),2)+(MID(TEXT($N1997,"000000"),3,2)/60)+(RIGHT(TEXT($N1997,"000000"),2)/3600)),-(MID(TEXT($N1997,"000000"),2,2)+(MID(TEXT($N1997,"000000"),4,2)/60)+(RIGHT(TEXT($N1997,"000000"),2)/3600)))</f>
        <v>39.8825</v>
      </c>
      <c r="P1997" s="252" t="s">
        <v>242</v>
      </c>
      <c r="Q1997" s="253"/>
      <c r="R1997" s="277" t="s">
        <v>3293</v>
      </c>
      <c r="S1997" s="272" t="s">
        <v>3293</v>
      </c>
      <c r="T1997" s="273">
        <v>11.3</v>
      </c>
      <c r="U1997" s="289">
        <v>23.490000000000002</v>
      </c>
      <c r="V1997" s="280">
        <v>50</v>
      </c>
      <c r="W1997" s="244"/>
      <c r="X1997" s="244"/>
      <c r="Y1997" s="362"/>
      <c r="Z1997" s="257">
        <f>altaz(J2000_Bas,$O1997,$M1997,DecLat,DecLong,1)</f>
        <v>10.181311675279405</v>
      </c>
      <c r="AA1997" s="257">
        <f>altaz((J2000_Bas+(2*0.04167)),$O1997,$M1997,DecLat,DecLong,1)</f>
        <v>-7.075416033034613</v>
      </c>
      <c r="AB1997" s="257">
        <f>altaz((J2000_Bas+(4*0.04167)),$O1997,$M1997,DecLat,DecLong,1)</f>
        <v>-17.514673862688646</v>
      </c>
      <c r="AC1997" s="257">
        <f>altaz((J2000_Bas+(6*0.04167)),$O1997,$M1997,DecLat,DecLong,1)</f>
        <v>-17.978627832885369</v>
      </c>
      <c r="AD1997" s="258">
        <f>1+ transit((J2000_Bas-1),$O1997,$M1997,DecLat,DecLong)/360 + (GMTOffset/24) + (IF(DST="Y", 1, 0)/24)</f>
        <v>1.4998675025255415</v>
      </c>
      <c r="AE1997" s="259">
        <f>DATE(2001,9,21)+(M1997/360)*365 - (360*((DecLong/360)- (GMTOffset/24) ))</f>
        <v>37345.043171296296</v>
      </c>
      <c r="AF1997" s="260">
        <f>IF(DecLat&gt;0,IF((90 - (DecLat-O1997))&gt;90, (90 - (O1997-DecLat)), (90 - (DecLat-O1997))),IF((90 + (DecLat-O1997))&gt;90, (90 + (O1997-DecLat)), (90 + (DecLat-O1997))))</f>
        <v>81.117500000000007</v>
      </c>
      <c r="AG1997" s="257">
        <f>angularseperation(MoonRA,MoonDec,$M1997,$O1997)</f>
        <v>91.264642040065837</v>
      </c>
      <c r="AH1997" s="261">
        <f ca="1">MIN(100,IF($O$5&gt;80,0+30*($AG1997/100),IF($O$5&gt;70,0+50*($AG1997/100),IF($O$5&gt;60,5+50*($AG1997/100),IF($O$5&gt;50,10+60*($AG1997/100),IF($O$5&gt;40,15+70*($AG1997/100),IF($O$5&gt;30,20+70*($AG1997/100),IF($O$5&gt;20,40+55*($AG1997/100),(80+(20-$O$5)+30*($AG1997/100))))))))))</f>
        <v>100</v>
      </c>
      <c r="AI1997" s="262">
        <v>4145</v>
      </c>
      <c r="AJ1997" s="263"/>
      <c r="AK1997" s="263"/>
      <c r="AL1997" s="263"/>
      <c r="AM1997" s="264"/>
      <c r="AN1997" s="263"/>
      <c r="AO1997" s="263"/>
      <c r="AP1997" s="265"/>
      <c r="AQ1997" s="265">
        <v>7154</v>
      </c>
      <c r="AR1997" s="285">
        <v>38693</v>
      </c>
      <c r="AS1997" s="263"/>
      <c r="AT1997" s="263"/>
      <c r="AU1997" s="263"/>
      <c r="AV1997" s="264"/>
      <c r="AW1997" s="263"/>
      <c r="AX1997" s="263"/>
      <c r="AY1997" s="263"/>
      <c r="AZ1997" s="263"/>
      <c r="BA1997" s="263"/>
      <c r="BB1997" s="263"/>
      <c r="BC1997" s="263"/>
      <c r="BD1997" s="264"/>
      <c r="BE1997" s="263"/>
      <c r="BF1997" s="263"/>
      <c r="BG1997" s="263"/>
      <c r="BH1997" s="263"/>
      <c r="BI1997" s="263"/>
      <c r="BJ1997" s="404">
        <f>altaz(J2000_Bas,$O1997,$M1997,DecLat,DecLong,2)</f>
        <v>310.70175033226013</v>
      </c>
      <c r="BK1997" s="378" t="s">
        <v>1930</v>
      </c>
      <c r="BL1997" s="379">
        <f>IF((2*G1997)/60&lt;0.2,0.2,(2*G1997)/60)</f>
        <v>0.2</v>
      </c>
      <c r="BM1997" s="380">
        <f>MOD((50000+AD1997-$B$3+(0/24)),1)</f>
        <v>0.7152344322312274</v>
      </c>
      <c r="BN1997" s="381"/>
      <c r="BO1997" s="382">
        <v>1988</v>
      </c>
    </row>
    <row r="1998" spans="1:67" s="24" customFormat="1" ht="15" customHeight="1" x14ac:dyDescent="0.25">
      <c r="A1998" s="288" t="s">
        <v>1931</v>
      </c>
      <c r="B1998" s="241" t="str">
        <f>HYPERLINK(CONCATENATE($AT$3,BK1998,$AU$3),$AV$3)</f>
        <v>S</v>
      </c>
      <c r="C1998" s="242" t="str">
        <f>HYPERLINK(CONCATENATE($AT$4,BK1998,$AU$4,BL1998),$AV$4)</f>
        <v>A</v>
      </c>
      <c r="D1998" s="243" t="s">
        <v>5335</v>
      </c>
      <c r="E1998" s="244" t="s">
        <v>5184</v>
      </c>
      <c r="F1998" s="269" t="s">
        <v>3312</v>
      </c>
      <c r="G1998" s="273">
        <v>4</v>
      </c>
      <c r="H1998" s="283">
        <v>60000</v>
      </c>
      <c r="I1998" s="246">
        <v>70</v>
      </c>
      <c r="J1998" s="246">
        <v>1</v>
      </c>
      <c r="K1998" s="247" t="s">
        <v>7795</v>
      </c>
      <c r="L1998" s="248">
        <v>121006</v>
      </c>
      <c r="M1998" s="249">
        <f>15*(LEFT(TEXT($L1998,"000000"),2)+(MID(TEXT($L1998,"000000"),3,2)/60)+(RIGHT(TEXT($L1998,"000000"),2)/3600))</f>
        <v>182.52500000000001</v>
      </c>
      <c r="N1998" s="250">
        <v>183230</v>
      </c>
      <c r="O1998" s="251">
        <f>IF($N1998&gt;0,(LEFT(TEXT($N1998,"000000"),2)+(MID(TEXT($N1998,"000000"),3,2)/60)+(RIGHT(TEXT($N1998,"000000"),2)/3600)),-(MID(TEXT($N1998,"000000"),2,2)+(MID(TEXT($N1998,"000000"),4,2)/60)+(RIGHT(TEXT($N1998,"000000"),2)/3600)))</f>
        <v>18.541666666666668</v>
      </c>
      <c r="P1998" s="252" t="s">
        <v>190</v>
      </c>
      <c r="Q1998" s="253"/>
      <c r="R1998" s="247" t="s">
        <v>3293</v>
      </c>
      <c r="S1998" s="272" t="s">
        <v>3293</v>
      </c>
      <c r="T1998" s="273">
        <v>10.4</v>
      </c>
      <c r="U1998" s="274"/>
      <c r="V1998" s="280"/>
      <c r="W1998" s="244"/>
      <c r="X1998" s="244"/>
      <c r="Y1998" s="362"/>
      <c r="Z1998" s="257">
        <f>altaz(J2000_Bas,$O1998,$M1998,DecLat,DecLong,1)</f>
        <v>-1.4684953726960772</v>
      </c>
      <c r="AA1998" s="257">
        <f>altaz((J2000_Bas+(2*0.04167)),$O1998,$M1998,DecLat,DecLong,1)</f>
        <v>-23.345084109263937</v>
      </c>
      <c r="AB1998" s="257">
        <f>altaz((J2000_Bas+(4*0.04167)),$O1998,$M1998,DecLat,DecLong,1)</f>
        <v>-38.025871727576749</v>
      </c>
      <c r="AC1998" s="257">
        <f>altaz((J2000_Bas+(6*0.04167)),$O1998,$M1998,DecLat,DecLong,1)</f>
        <v>-38.731268897040053</v>
      </c>
      <c r="AD1998" s="258">
        <f>1+ transit((J2000_Bas-1),$O1998,$M1998,DecLat,DecLong)/360 + (GMTOffset/24) + (IF(DST="Y", 1, 0)/24)</f>
        <v>1.499913798817208</v>
      </c>
      <c r="AE1998" s="259">
        <f>DATE(2001,9,21)+(M1998/360)*365 - (360*((DecLong/360)- (GMTOffset/24) ))</f>
        <v>37345.060069444444</v>
      </c>
      <c r="AF1998" s="260">
        <f>IF(DecLat&gt;0,IF((90 - (DecLat-O1998))&gt;90, (90 - (O1998-DecLat)), (90 - (DecLat-O1998))),IF((90 + (DecLat-O1998))&gt;90, (90 + (O1998-DecLat)), (90 + (DecLat-O1998))))</f>
        <v>77.541666666666671</v>
      </c>
      <c r="AG1998" s="257">
        <f>angularseperation(MoonRA,MoonDec,$M1998,$O1998)</f>
        <v>79.112653118786795</v>
      </c>
      <c r="AH1998" s="261">
        <f ca="1">MIN(100,IF($O$5&gt;80,0+30*($AG1998/100),IF($O$5&gt;70,0+50*($AG1998/100),IF($O$5&gt;60,5+50*($AG1998/100),IF($O$5&gt;50,10+60*($AG1998/100),IF($O$5&gt;40,15+70*($AG1998/100),IF($O$5&gt;30,20+70*($AG1998/100),IF($O$5&gt;20,40+55*($AG1998/100),(80+(20-$O$5)+30*($AG1998/100))))))))))</f>
        <v>100</v>
      </c>
      <c r="AI1998" s="262">
        <v>4147</v>
      </c>
      <c r="AJ1998" s="262"/>
      <c r="AK1998" s="262">
        <v>212</v>
      </c>
      <c r="AL1998" s="263"/>
      <c r="AM1998" s="264"/>
      <c r="AN1998" s="263"/>
      <c r="AO1998" s="263"/>
      <c r="AP1998" s="265"/>
      <c r="AQ1998" s="266"/>
      <c r="AR1998" s="267"/>
      <c r="AS1998" s="263"/>
      <c r="AT1998" s="263"/>
      <c r="AU1998" s="263"/>
      <c r="AV1998" s="264"/>
      <c r="AW1998" s="263"/>
      <c r="AX1998" s="263"/>
      <c r="AY1998" s="263"/>
      <c r="AZ1998" s="263"/>
      <c r="BA1998" s="263"/>
      <c r="BB1998" s="263"/>
      <c r="BC1998" s="263"/>
      <c r="BD1998" s="264"/>
      <c r="BE1998" s="263"/>
      <c r="BF1998" s="263">
        <v>52</v>
      </c>
      <c r="BG1998" s="263"/>
      <c r="BH1998" s="263"/>
      <c r="BI1998" s="263"/>
      <c r="BJ1998" s="404">
        <f>altaz(J2000_Bas,$O1998,$M1998,DecLat,DecLong,2)</f>
        <v>292.73739256137333</v>
      </c>
      <c r="BK1998" s="378" t="s">
        <v>1931</v>
      </c>
      <c r="BL1998" s="379">
        <f>IF((2*G1998)/60&lt;0.2,0.2,(2*G1998)/60)</f>
        <v>0.2</v>
      </c>
      <c r="BM1998" s="380">
        <f>MOD((50000+AD1998-$B$3+(0/24)),1)</f>
        <v>0.7152807285237941</v>
      </c>
      <c r="BN1998" s="381"/>
      <c r="BO1998" s="382">
        <v>1989</v>
      </c>
    </row>
    <row r="1999" spans="1:67" s="24" customFormat="1" ht="15" customHeight="1" x14ac:dyDescent="0.25">
      <c r="A1999" s="287" t="s">
        <v>2999</v>
      </c>
      <c r="B1999" s="241" t="str">
        <f>HYPERLINK(CONCATENATE($AT$3,BK1999,$AU$3),$AV$3)</f>
        <v>S</v>
      </c>
      <c r="C1999" s="242" t="str">
        <f>HYPERLINK(CONCATENATE($AT$4,BK1999,$AU$4,BL1999),$AV$4)</f>
        <v>A</v>
      </c>
      <c r="D1999" s="243" t="s">
        <v>5638</v>
      </c>
      <c r="E1999" s="244" t="s">
        <v>5182</v>
      </c>
      <c r="F1999" s="269" t="s">
        <v>3300</v>
      </c>
      <c r="G1999" s="273">
        <v>2.6</v>
      </c>
      <c r="H1999" s="283">
        <v>42</v>
      </c>
      <c r="I1999" s="246">
        <v>32</v>
      </c>
      <c r="J1999" s="246">
        <v>1</v>
      </c>
      <c r="K1999" s="247" t="s">
        <v>7796</v>
      </c>
      <c r="L1999" s="248">
        <v>121036</v>
      </c>
      <c r="M1999" s="249">
        <f>15*(LEFT(TEXT($L1999,"000000"),2)+(MID(TEXT($L1999,"000000"),3,2)/60)+(RIGHT(TEXT($L1999,"000000"),2)/3600))</f>
        <v>182.64999999999998</v>
      </c>
      <c r="N1999" s="250">
        <v>302500</v>
      </c>
      <c r="O1999" s="251">
        <f>IF($N1999&gt;0,(LEFT(TEXT($N1999,"000000"),2)+(MID(TEXT($N1999,"000000"),3,2)/60)+(RIGHT(TEXT($N1999,"000000"),2)/3600)),-(MID(TEXT($N1999,"000000"),2,2)+(MID(TEXT($N1999,"000000"),4,2)/60)+(RIGHT(TEXT($N1999,"000000"),2)/3600)))</f>
        <v>30.416666666666668</v>
      </c>
      <c r="P1999" s="252" t="s">
        <v>190</v>
      </c>
      <c r="Q1999" s="253"/>
      <c r="R1999" s="277" t="s">
        <v>3293</v>
      </c>
      <c r="S1999" s="272" t="s">
        <v>3293</v>
      </c>
      <c r="T1999" s="273">
        <v>11.6</v>
      </c>
      <c r="U1999" s="289">
        <v>21.89</v>
      </c>
      <c r="V1999" s="280">
        <v>45</v>
      </c>
      <c r="W1999" s="244"/>
      <c r="X1999" s="244"/>
      <c r="Y1999" s="362"/>
      <c r="Z1999" s="257">
        <f>altaz(J2000_Bas,$O1999,$M1999,DecLat,DecLong,1)</f>
        <v>5.1661494835139088</v>
      </c>
      <c r="AA1999" s="257">
        <f>altaz((J2000_Bas+(2*0.04167)),$O1999,$M1999,DecLat,DecLong,1)</f>
        <v>-14.328575294104628</v>
      </c>
      <c r="AB1999" s="257">
        <f>altaz((J2000_Bas+(4*0.04167)),$O1999,$M1999,DecLat,DecLong,1)</f>
        <v>-26.620297619651648</v>
      </c>
      <c r="AC1999" s="257">
        <f>altaz((J2000_Bas+(6*0.04167)),$O1999,$M1999,DecLat,DecLong,1)</f>
        <v>-27.238227473106257</v>
      </c>
      <c r="AD1999" s="258">
        <f>1+ transit((J2000_Bas-1),$O1999,$M1999,DecLat,DecLong)/360 + (GMTOffset/24) + (IF(DST="Y", 1, 0)/24)</f>
        <v>1.500261021004708</v>
      </c>
      <c r="AE1999" s="259">
        <f>DATE(2001,9,21)+(M1999/360)*365 - (360*((DecLong/360)- (GMTOffset/24) ))</f>
        <v>37345.186805555553</v>
      </c>
      <c r="AF1999" s="260">
        <f>IF(DecLat&gt;0,IF((90 - (DecLat-O1999))&gt;90, (90 - (O1999-DecLat)), (90 - (DecLat-O1999))),IF((90 + (DecLat-O1999))&gt;90, (90 + (O1999-DecLat)), (90 + (DecLat-O1999))))</f>
        <v>89.416666666666671</v>
      </c>
      <c r="AG1999" s="257">
        <f>angularseperation(MoonRA,MoonDec,$M1999,$O1999)</f>
        <v>85.726423703832822</v>
      </c>
      <c r="AH1999" s="261">
        <f ca="1">MIN(100,IF($O$5&gt;80,0+30*($AG1999/100),IF($O$5&gt;70,0+50*($AG1999/100),IF($O$5&gt;60,5+50*($AG1999/100),IF($O$5&gt;50,10+60*($AG1999/100),IF($O$5&gt;40,15+70*($AG1999/100),IF($O$5&gt;30,20+70*($AG1999/100),IF($O$5&gt;20,40+55*($AG1999/100),(80+(20-$O$5)+30*($AG1999/100))))))))))</f>
        <v>100</v>
      </c>
      <c r="AI1999" s="262">
        <v>4150</v>
      </c>
      <c r="AJ1999" s="263"/>
      <c r="AK1999" s="263">
        <v>213</v>
      </c>
      <c r="AL1999" s="263"/>
      <c r="AM1999" s="264"/>
      <c r="AN1999" s="263"/>
      <c r="AO1999" s="263"/>
      <c r="AP1999" s="265"/>
      <c r="AQ1999" s="265">
        <v>7165</v>
      </c>
      <c r="AR1999" s="285">
        <v>38742</v>
      </c>
      <c r="AS1999" s="263"/>
      <c r="AT1999" s="263"/>
      <c r="AU1999" s="263"/>
      <c r="AV1999" s="264"/>
      <c r="AW1999" s="263"/>
      <c r="AX1999" s="263"/>
      <c r="AY1999" s="263"/>
      <c r="AZ1999" s="263"/>
      <c r="BA1999" s="263"/>
      <c r="BB1999" s="263"/>
      <c r="BC1999" s="263"/>
      <c r="BD1999" s="264"/>
      <c r="BE1999" s="263"/>
      <c r="BF1999" s="263"/>
      <c r="BG1999" s="263"/>
      <c r="BH1999" s="263"/>
      <c r="BI1999" s="263"/>
      <c r="BJ1999" s="404">
        <f>altaz(J2000_Bas,$O1999,$M1999,DecLat,DecLong,2)</f>
        <v>302.59743122943627</v>
      </c>
      <c r="BK1999" s="378" t="s">
        <v>2999</v>
      </c>
      <c r="BL1999" s="379">
        <f>IF((2*G1999)/60&lt;0.2,0.2,(2*G1999)/60)</f>
        <v>0.2</v>
      </c>
      <c r="BM1999" s="380">
        <f>MOD((50000+AD1999-$B$3+(0/24)),1)</f>
        <v>0.71562795071076835</v>
      </c>
      <c r="BN1999" s="381"/>
      <c r="BO1999" s="382">
        <v>1990</v>
      </c>
    </row>
    <row r="2000" spans="1:67" s="24" customFormat="1" ht="15" customHeight="1" x14ac:dyDescent="0.25">
      <c r="A2000" s="288" t="s">
        <v>1932</v>
      </c>
      <c r="B2000" s="241" t="str">
        <f>HYPERLINK(CONCATENATE($AT$3,BK2000,$AU$3),$AV$3)</f>
        <v>S</v>
      </c>
      <c r="C2000" s="242" t="str">
        <f>HYPERLINK(CONCATENATE($AT$4,BK2000,$AU$4,BL2000),$AV$4)</f>
        <v>A</v>
      </c>
      <c r="D2000" s="243" t="s">
        <v>5638</v>
      </c>
      <c r="E2000" s="244" t="s">
        <v>5192</v>
      </c>
      <c r="F2000" s="269" t="s">
        <v>8914</v>
      </c>
      <c r="G2000" s="273">
        <v>6</v>
      </c>
      <c r="H2000" s="283">
        <v>60</v>
      </c>
      <c r="I2000" s="246">
        <v>100</v>
      </c>
      <c r="J2000" s="246">
        <v>3</v>
      </c>
      <c r="K2000" s="247" t="s">
        <v>7797</v>
      </c>
      <c r="L2000" s="248">
        <v>121033</v>
      </c>
      <c r="M2000" s="249">
        <f>15*(LEFT(TEXT($L2000,"000000"),2)+(MID(TEXT($L2000,"000000"),3,2)/60)+(RIGHT(TEXT($L2000,"000000"),2)/3600))</f>
        <v>182.63749999999999</v>
      </c>
      <c r="N2000" s="250">
        <v>392421</v>
      </c>
      <c r="O2000" s="251">
        <f>IF($N2000&gt;0,(LEFT(TEXT($N2000,"000000"),2)+(MID(TEXT($N2000,"000000"),3,2)/60)+(RIGHT(TEXT($N2000,"000000"),2)/3600)),-(MID(TEXT($N2000,"000000"),2,2)+(MID(TEXT($N2000,"000000"),4,2)/60)+(RIGHT(TEXT($N2000,"000000"),2)/3600)))</f>
        <v>39.405833333333334</v>
      </c>
      <c r="P2000" s="252" t="s">
        <v>242</v>
      </c>
      <c r="Q2000" s="253" t="s">
        <v>6867</v>
      </c>
      <c r="R2000" s="247" t="s">
        <v>3293</v>
      </c>
      <c r="S2000" s="272" t="s">
        <v>3293</v>
      </c>
      <c r="T2000" s="273">
        <v>10.8</v>
      </c>
      <c r="U2000" s="289">
        <v>23.09</v>
      </c>
      <c r="V2000" s="280">
        <v>25</v>
      </c>
      <c r="W2000" s="244"/>
      <c r="X2000" s="244"/>
      <c r="Y2000" s="362"/>
      <c r="Z2000" s="257">
        <f>altaz(J2000_Bas,$O2000,$M2000,DecLat,DecLong,1)</f>
        <v>10.012027843207717</v>
      </c>
      <c r="AA2000" s="257">
        <f>altaz((J2000_Bas+(2*0.04167)),$O2000,$M2000,DecLat,DecLong,1)</f>
        <v>-7.3845778811537972</v>
      </c>
      <c r="AB2000" s="257">
        <f>altaz((J2000_Bas+(4*0.04167)),$O2000,$M2000,DecLat,DecLong,1)</f>
        <v>-17.950420913284709</v>
      </c>
      <c r="AC2000" s="257">
        <f>altaz((J2000_Bas+(6*0.04167)),$O2000,$M2000,DecLat,DecLong,1)</f>
        <v>-18.465538922554003</v>
      </c>
      <c r="AD2000" s="258">
        <f>1+ transit((J2000_Bas-1),$O2000,$M2000,DecLat,DecLong)/360 + (GMTOffset/24) + (IF(DST="Y", 1, 0)/24)</f>
        <v>1.500226298785958</v>
      </c>
      <c r="AE2000" s="259">
        <f>DATE(2001,9,21)+(M2000/360)*365 - (360*((DecLong/360)- (GMTOffset/24) ))</f>
        <v>37345.174131944441</v>
      </c>
      <c r="AF2000" s="260">
        <f>IF(DecLat&gt;0,IF((90 - (DecLat-O2000))&gt;90, (90 - (O2000-DecLat)), (90 - (DecLat-O2000))),IF((90 + (DecLat-O2000))&gt;90, (90 + (O2000-DecLat)), (90 + (DecLat-O2000))))</f>
        <v>81.594166666666666</v>
      </c>
      <c r="AG2000" s="257">
        <f>angularseperation(MoonRA,MoonDec,$M2000,$O2000)</f>
        <v>90.90891460816259</v>
      </c>
      <c r="AH2000" s="261">
        <f ca="1">MIN(100,IF($O$5&gt;80,0+30*($AG2000/100),IF($O$5&gt;70,0+50*($AG2000/100),IF($O$5&gt;60,5+50*($AG2000/100),IF($O$5&gt;50,10+60*($AG2000/100),IF($O$5&gt;40,15+70*($AG2000/100),IF($O$5&gt;30,20+70*($AG2000/100),IF($O$5&gt;20,40+55*($AG2000/100),(80+(20-$O$5)+30*($AG2000/100))))))))))</f>
        <v>100</v>
      </c>
      <c r="AI2000" s="262">
        <v>4151</v>
      </c>
      <c r="AJ2000" s="262"/>
      <c r="AK2000" s="262">
        <v>214</v>
      </c>
      <c r="AL2000" s="263"/>
      <c r="AM2000" s="264"/>
      <c r="AN2000" s="263"/>
      <c r="AO2000" s="263"/>
      <c r="AP2000" s="265"/>
      <c r="AQ2000" s="266">
        <v>7166</v>
      </c>
      <c r="AR2000" s="267">
        <v>38739</v>
      </c>
      <c r="AS2000" s="263"/>
      <c r="AT2000" s="263"/>
      <c r="AU2000" s="263"/>
      <c r="AV2000" s="264"/>
      <c r="AW2000" s="263"/>
      <c r="AX2000" s="263"/>
      <c r="AY2000" s="263"/>
      <c r="AZ2000" s="263"/>
      <c r="BA2000" s="263"/>
      <c r="BB2000" s="263"/>
      <c r="BC2000" s="263"/>
      <c r="BD2000" s="264"/>
      <c r="BE2000" s="263"/>
      <c r="BF2000" s="263"/>
      <c r="BG2000" s="263"/>
      <c r="BH2000" s="263"/>
      <c r="BI2000" s="263"/>
      <c r="BJ2000" s="404">
        <f>altaz(J2000_Bas,$O2000,$M2000,DecLat,DecLong,2)</f>
        <v>310.23800897695992</v>
      </c>
      <c r="BK2000" s="378" t="s">
        <v>1932</v>
      </c>
      <c r="BL2000" s="379">
        <f>IF((2*G2000)/60&lt;0.2,0.2,(2*G2000)/60)</f>
        <v>0.2</v>
      </c>
      <c r="BM2000" s="380">
        <f>MOD((50000+AD2000-$B$3+(0/24)),1)</f>
        <v>0.71559322848770535</v>
      </c>
      <c r="BN2000" s="381"/>
      <c r="BO2000" s="382">
        <v>1991</v>
      </c>
    </row>
    <row r="2001" spans="1:67" s="24" customFormat="1" ht="15" customHeight="1" x14ac:dyDescent="0.25">
      <c r="A2001" s="288" t="s">
        <v>1933</v>
      </c>
      <c r="B2001" s="241" t="str">
        <f>HYPERLINK(CONCATENATE($AT$3,BK2001,$AU$3),$AV$3)</f>
        <v>S</v>
      </c>
      <c r="C2001" s="242" t="str">
        <f>HYPERLINK(CONCATENATE($AT$4,BK2001,$AU$4,BL2001),$AV$4)</f>
        <v>A</v>
      </c>
      <c r="D2001" s="243" t="s">
        <v>5638</v>
      </c>
      <c r="E2001" s="244" t="s">
        <v>5192</v>
      </c>
      <c r="F2001" s="269" t="s">
        <v>8928</v>
      </c>
      <c r="G2001" s="273">
        <v>8</v>
      </c>
      <c r="H2001" s="283">
        <v>55</v>
      </c>
      <c r="I2001" s="246">
        <v>130</v>
      </c>
      <c r="J2001" s="246">
        <v>3</v>
      </c>
      <c r="K2001" s="247" t="s">
        <v>7798</v>
      </c>
      <c r="L2001" s="248">
        <v>121104</v>
      </c>
      <c r="M2001" s="249">
        <f>15*(LEFT(TEXT($L2001,"000000"),2)+(MID(TEXT($L2001,"000000"),3,2)/60)+(RIGHT(TEXT($L2001,"000000"),2)/3600))</f>
        <v>182.76666666666668</v>
      </c>
      <c r="N2001" s="250">
        <v>502904</v>
      </c>
      <c r="O2001" s="251">
        <f>IF($N2001&gt;0,(LEFT(TEXT($N2001,"000000"),2)+(MID(TEXT($N2001,"000000"),3,2)/60)+(RIGHT(TEXT($N2001,"000000"),2)/3600)),-(MID(TEXT($N2001,"000000"),2,2)+(MID(TEXT($N2001,"000000"),4,2)/60)+(RIGHT(TEXT($N2001,"000000"),2)/3600)))</f>
        <v>50.484444444444442</v>
      </c>
      <c r="P2001" s="252" t="s">
        <v>37</v>
      </c>
      <c r="Q2001" s="253"/>
      <c r="R2001" s="247" t="s">
        <v>3293</v>
      </c>
      <c r="S2001" s="272" t="s">
        <v>3293</v>
      </c>
      <c r="T2001" s="273">
        <v>11.4</v>
      </c>
      <c r="U2001" s="289">
        <v>22.490000000000002</v>
      </c>
      <c r="V2001" s="280">
        <v>86</v>
      </c>
      <c r="W2001" s="244"/>
      <c r="X2001" s="244"/>
      <c r="Y2001" s="362"/>
      <c r="Z2001" s="257">
        <f>altaz(J2000_Bas,$O2001,$M2001,DecLat,DecLong,1)</f>
        <v>15.810116271593989</v>
      </c>
      <c r="AA2001" s="257">
        <f>altaz((J2000_Bas+(2*0.04167)),$O2001,$M2001,DecLat,DecLong,1)</f>
        <v>1.325730565958529</v>
      </c>
      <c r="AB2001" s="257">
        <f>altaz((J2000_Bas+(4*0.04167)),$O2001,$M2001,DecLat,DecLong,1)</f>
        <v>-7.2015786484863504</v>
      </c>
      <c r="AC2001" s="257">
        <f>altaz((J2000_Bas+(6*0.04167)),$O2001,$M2001,DecLat,DecLong,1)</f>
        <v>-7.6448038812027761</v>
      </c>
      <c r="AD2001" s="258">
        <f>1+ transit((J2000_Bas-1),$O2001,$M2001,DecLat,DecLong)/360 + (GMTOffset/24) + (IF(DST="Y", 1, 0)/24)</f>
        <v>1.5005850950463746</v>
      </c>
      <c r="AE2001" s="259">
        <f>DATE(2001,9,21)+(M2001/360)*365 - (360*((DecLong/360)- (GMTOffset/24) ))</f>
        <v>37345.305092592593</v>
      </c>
      <c r="AF2001" s="260">
        <f>IF(DecLat&gt;0,IF((90 - (DecLat-O2001))&gt;90, (90 - (O2001-DecLat)), (90 - (DecLat-O2001))),IF((90 + (DecLat-O2001))&gt;90, (90 + (O2001-DecLat)), (90 + (DecLat-O2001))))</f>
        <v>70.515555555555551</v>
      </c>
      <c r="AG2001" s="257">
        <f>angularseperation(MoonRA,MoonDec,$M2001,$O2001)</f>
        <v>97.187671873481975</v>
      </c>
      <c r="AH2001" s="261">
        <f ca="1">MIN(100,IF($O$5&gt;80,0+30*($AG2001/100),IF($O$5&gt;70,0+50*($AG2001/100),IF($O$5&gt;60,5+50*($AG2001/100),IF($O$5&gt;50,10+60*($AG2001/100),IF($O$5&gt;40,15+70*($AG2001/100),IF($O$5&gt;30,20+70*($AG2001/100),IF($O$5&gt;20,40+55*($AG2001/100),(80+(20-$O$5)+30*($AG2001/100))))))))))</f>
        <v>100</v>
      </c>
      <c r="AI2001" s="262">
        <v>4157</v>
      </c>
      <c r="AJ2001" s="262"/>
      <c r="AK2001" s="262"/>
      <c r="AL2001" s="263"/>
      <c r="AM2001" s="264"/>
      <c r="AN2001" s="263"/>
      <c r="AO2001" s="263"/>
      <c r="AP2001" s="265"/>
      <c r="AQ2001" s="266">
        <v>7183</v>
      </c>
      <c r="AR2001" s="267">
        <v>38795</v>
      </c>
      <c r="AS2001" s="263"/>
      <c r="AT2001" s="263"/>
      <c r="AU2001" s="263"/>
      <c r="AV2001" s="264"/>
      <c r="AW2001" s="263"/>
      <c r="AX2001" s="263"/>
      <c r="AY2001" s="263"/>
      <c r="AZ2001" s="263"/>
      <c r="BA2001" s="263"/>
      <c r="BB2001" s="263"/>
      <c r="BC2001" s="263"/>
      <c r="BD2001" s="264"/>
      <c r="BE2001" s="263"/>
      <c r="BF2001" s="263"/>
      <c r="BG2001" s="263"/>
      <c r="BH2001" s="263"/>
      <c r="BI2001" s="263"/>
      <c r="BJ2001" s="404">
        <f>altaz(J2000_Bas,$O2001,$M2001,DecLat,DecLong,2)</f>
        <v>319.92890816678835</v>
      </c>
      <c r="BK2001" s="378" t="s">
        <v>1933</v>
      </c>
      <c r="BL2001" s="379">
        <f>IF((2*G2001)/60&lt;0.2,0.2,(2*G2001)/60)</f>
        <v>0.26666666666666666</v>
      </c>
      <c r="BM2001" s="380">
        <f>MOD((50000+AD2001-$B$3+(0/24)),1)</f>
        <v>0.71595202475145925</v>
      </c>
      <c r="BN2001" s="381"/>
      <c r="BO2001" s="382">
        <v>1992</v>
      </c>
    </row>
    <row r="2002" spans="1:67" s="24" customFormat="1" ht="15" customHeight="1" x14ac:dyDescent="0.25">
      <c r="A2002" s="288" t="s">
        <v>1934</v>
      </c>
      <c r="B2002" s="241" t="str">
        <f>HYPERLINK(CONCATENATE($AT$3,BK2002,$AU$3),$AV$3)</f>
        <v>S</v>
      </c>
      <c r="C2002" s="242" t="str">
        <f>HYPERLINK(CONCATENATE($AT$4,BK2002,$AU$4,BL2002),$AV$4)</f>
        <v>A</v>
      </c>
      <c r="D2002" s="243" t="s">
        <v>5638</v>
      </c>
      <c r="E2002" s="244" t="s">
        <v>5192</v>
      </c>
      <c r="F2002" s="269" t="s">
        <v>8936</v>
      </c>
      <c r="G2002" s="273">
        <v>5.5</v>
      </c>
      <c r="H2002" s="283">
        <v>45</v>
      </c>
      <c r="I2002" s="246">
        <v>72</v>
      </c>
      <c r="J2002" s="246">
        <v>2</v>
      </c>
      <c r="K2002" s="247" t="s">
        <v>7799</v>
      </c>
      <c r="L2002" s="248">
        <v>121246</v>
      </c>
      <c r="M2002" s="249">
        <f>15*(LEFT(TEXT($L2002,"000000"),2)+(MID(TEXT($L2002,"000000"),3,2)/60)+(RIGHT(TEXT($L2002,"000000"),2)/3600))</f>
        <v>183.19166666666666</v>
      </c>
      <c r="N2002" s="250">
        <v>105153</v>
      </c>
      <c r="O2002" s="251">
        <f>IF($N2002&gt;0,(LEFT(TEXT($N2002,"000000"),2)+(MID(TEXT($N2002,"000000"),3,2)/60)+(RIGHT(TEXT($N2002,"000000"),2)/3600)),-(MID(TEXT($N2002,"000000"),2,2)+(MID(TEXT($N2002,"000000"),4,2)/60)+(RIGHT(TEXT($N2002,"000000"),2)/3600)))</f>
        <v>10.864722222222222</v>
      </c>
      <c r="P2002" s="252" t="s">
        <v>61</v>
      </c>
      <c r="Q2002" s="253"/>
      <c r="R2002" s="277" t="s">
        <v>3293</v>
      </c>
      <c r="S2002" s="272" t="s">
        <v>3293</v>
      </c>
      <c r="T2002" s="273">
        <v>11.4</v>
      </c>
      <c r="U2002" s="289">
        <v>22.59</v>
      </c>
      <c r="V2002" s="280">
        <v>72</v>
      </c>
      <c r="W2002" s="244"/>
      <c r="X2002" s="244"/>
      <c r="Y2002" s="362"/>
      <c r="Z2002" s="257">
        <f>altaz(J2000_Bas,$O2002,$M2002,DecLat,DecLong,1)</f>
        <v>-5.1392826853460782</v>
      </c>
      <c r="AA2002" s="257">
        <f>altaz((J2000_Bas+(2*0.04167)),$O2002,$M2002,DecLat,DecLong,1)</f>
        <v>-28.418240455431956</v>
      </c>
      <c r="AB2002" s="257">
        <f>altaz((J2000_Bas+(4*0.04167)),$O2002,$M2002,DecLat,DecLong,1)</f>
        <v>-45.060584258195384</v>
      </c>
      <c r="AC2002" s="257">
        <f>altaz((J2000_Bas+(6*0.04167)),$O2002,$M2002,DecLat,DecLong,1)</f>
        <v>-46.297189434186443</v>
      </c>
      <c r="AD2002" s="258">
        <f>1+ transit((J2000_Bas-1),$O2002,$M2002,DecLat,DecLong)/360 + (GMTOffset/24) + (IF(DST="Y", 1, 0)/24)</f>
        <v>1.5017656504838748</v>
      </c>
      <c r="AE2002" s="259">
        <f>DATE(2001,9,21)+(M2002/360)*365 - (360*((DecLong/360)- (GMTOffset/24) ))</f>
        <v>37345.735995370371</v>
      </c>
      <c r="AF2002" s="260">
        <f>IF(DecLat&gt;0,IF((90 - (DecLat-O2002))&gt;90, (90 - (O2002-DecLat)), (90 - (DecLat-O2002))),IF((90 + (DecLat-O2002))&gt;90, (90 + (O2002-DecLat)), (90 + (DecLat-O2002))))</f>
        <v>69.864722222222213</v>
      </c>
      <c r="AG2002" s="257">
        <f>angularseperation(MoonRA,MoonDec,$M2002,$O2002)</f>
        <v>74.387956845469375</v>
      </c>
      <c r="AH2002" s="261">
        <f ca="1">MIN(100,IF($O$5&gt;80,0+30*($AG2002/100),IF($O$5&gt;70,0+50*($AG2002/100),IF($O$5&gt;60,5+50*($AG2002/100),IF($O$5&gt;50,10+60*($AG2002/100),IF($O$5&gt;40,15+70*($AG2002/100),IF($O$5&gt;30,20+70*($AG2002/100),IF($O$5&gt;20,40+55*($AG2002/100),(80+(20-$O$5)+30*($AG2002/100))))))))))</f>
        <v>100</v>
      </c>
      <c r="AI2002" s="262">
        <v>4178</v>
      </c>
      <c r="AJ2002" s="263"/>
      <c r="AK2002" s="263"/>
      <c r="AL2002" s="263"/>
      <c r="AM2002" s="264"/>
      <c r="AN2002" s="263"/>
      <c r="AO2002" s="263"/>
      <c r="AP2002" s="265"/>
      <c r="AQ2002" s="265"/>
      <c r="AR2002" s="285">
        <v>38943</v>
      </c>
      <c r="AS2002" s="263"/>
      <c r="AT2002" s="263"/>
      <c r="AU2002" s="263"/>
      <c r="AV2002" s="264"/>
      <c r="AW2002" s="263"/>
      <c r="AX2002" s="263"/>
      <c r="AY2002" s="263"/>
      <c r="AZ2002" s="263"/>
      <c r="BA2002" s="263"/>
      <c r="BB2002" s="263"/>
      <c r="BC2002" s="263"/>
      <c r="BD2002" s="264"/>
      <c r="BE2002" s="263"/>
      <c r="BF2002" s="263"/>
      <c r="BG2002" s="263"/>
      <c r="BH2002" s="263"/>
      <c r="BI2002" s="263"/>
      <c r="BJ2002" s="404">
        <f>altaz(J2000_Bas,$O2002,$M2002,DecLat,DecLong,2)</f>
        <v>285.9517584423632</v>
      </c>
      <c r="BK2002" s="378" t="s">
        <v>1934</v>
      </c>
      <c r="BL2002" s="379">
        <f>IF((2*G2002)/60&lt;0.2,0.2,(2*G2002)/60)</f>
        <v>0.2</v>
      </c>
      <c r="BM2002" s="380">
        <f>MOD((50000+AD2002-$B$3+(0/24)),1)</f>
        <v>0.71713258019008208</v>
      </c>
      <c r="BN2002" s="381"/>
      <c r="BO2002" s="382">
        <v>1993</v>
      </c>
    </row>
    <row r="2003" spans="1:67" s="24" customFormat="1" ht="15" customHeight="1" x14ac:dyDescent="0.25">
      <c r="A2003" s="287" t="s">
        <v>3000</v>
      </c>
      <c r="B2003" s="241" t="str">
        <f>HYPERLINK(CONCATENATE($AT$3,BK2003,$AU$3),$AV$3)</f>
        <v>S</v>
      </c>
      <c r="C2003" s="242" t="str">
        <f>HYPERLINK(CONCATENATE($AT$4,BK2003,$AU$4,BL2003),$AV$4)</f>
        <v>A</v>
      </c>
      <c r="D2003" s="243" t="s">
        <v>5638</v>
      </c>
      <c r="E2003" s="244" t="s">
        <v>5182</v>
      </c>
      <c r="F2003" s="269" t="s">
        <v>8673</v>
      </c>
      <c r="G2003" s="273">
        <v>4.5999999999999996</v>
      </c>
      <c r="H2003" s="283">
        <v>60</v>
      </c>
      <c r="I2003" s="246">
        <v>80</v>
      </c>
      <c r="J2003" s="246">
        <v>2</v>
      </c>
      <c r="K2003" s="247" t="s">
        <v>7800</v>
      </c>
      <c r="L2003" s="248">
        <v>121254</v>
      </c>
      <c r="M2003" s="249">
        <f>15*(LEFT(TEXT($L2003,"000000"),2)+(MID(TEXT($L2003,"000000"),3,2)/60)+(RIGHT(TEXT($L2003,"000000"),2)/3600))</f>
        <v>183.22499999999999</v>
      </c>
      <c r="N2003" s="250">
        <v>11900</v>
      </c>
      <c r="O2003" s="251">
        <f>IF($N2003&gt;0,(LEFT(TEXT($N2003,"000000"),2)+(MID(TEXT($N2003,"000000"),3,2)/60)+(RIGHT(TEXT($N2003,"000000"),2)/3600)),-(MID(TEXT($N2003,"000000"),2,2)+(MID(TEXT($N2003,"000000"),4,2)/60)+(RIGHT(TEXT($N2003,"000000"),2)/3600)))</f>
        <v>1.3166666666666667</v>
      </c>
      <c r="P2003" s="252" t="s">
        <v>61</v>
      </c>
      <c r="Q2003" s="253"/>
      <c r="R2003" s="277" t="s">
        <v>3293</v>
      </c>
      <c r="S2003" s="272" t="s">
        <v>3293</v>
      </c>
      <c r="T2003" s="273">
        <v>11</v>
      </c>
      <c r="U2003" s="289">
        <v>21.39</v>
      </c>
      <c r="V2003" s="280">
        <v>90</v>
      </c>
      <c r="W2003" s="244"/>
      <c r="X2003" s="244"/>
      <c r="Y2003" s="362"/>
      <c r="Z2003" s="257">
        <f>altaz(J2000_Bas,$O2003,$M2003,DecLat,DecLong,1)</f>
        <v>-10.235415048527429</v>
      </c>
      <c r="AA2003" s="257">
        <f>altaz((J2000_Bas+(2*0.04167)),$O2003,$M2003,DecLat,DecLong,1)</f>
        <v>-34.826157867867899</v>
      </c>
      <c r="AB2003" s="257">
        <f>altaz((J2000_Bas+(4*0.04167)),$O2003,$M2003,DecLat,DecLong,1)</f>
        <v>-53.845468971841967</v>
      </c>
      <c r="AC2003" s="257">
        <f>altaz((J2000_Bas+(6*0.04167)),$O2003,$M2003,DecLat,DecLong,1)</f>
        <v>-55.390048194301933</v>
      </c>
      <c r="AD2003" s="258">
        <f>1+ transit((J2000_Bas-1),$O2003,$M2003,DecLat,DecLong)/360 + (GMTOffset/24) + (IF(DST="Y", 1, 0)/24)</f>
        <v>1.5018582430672081</v>
      </c>
      <c r="AE2003" s="259">
        <f>DATE(2001,9,21)+(M2003/360)*365 - (360*((DecLong/360)- (GMTOffset/24) ))</f>
        <v>37345.769791666666</v>
      </c>
      <c r="AF2003" s="260">
        <f>IF(DecLat&gt;0,IF((90 - (DecLat-O2003))&gt;90, (90 - (O2003-DecLat)), (90 - (DecLat-O2003))),IF((90 + (DecLat-O2003))&gt;90, (90 + (O2003-DecLat)), (90 + (DecLat-O2003))))</f>
        <v>60.316666666666663</v>
      </c>
      <c r="AG2003" s="257">
        <f>angularseperation(MoonRA,MoonDec,$M2003,$O2003)</f>
        <v>69.430944652430469</v>
      </c>
      <c r="AH2003" s="261">
        <f ca="1">MIN(100,IF($O$5&gt;80,0+30*($AG2003/100),IF($O$5&gt;70,0+50*($AG2003/100),IF($O$5&gt;60,5+50*($AG2003/100),IF($O$5&gt;50,10+60*($AG2003/100),IF($O$5&gt;40,15+70*($AG2003/100),IF($O$5&gt;30,20+70*($AG2003/100),IF($O$5&gt;20,40+55*($AG2003/100),(80+(20-$O$5)+30*($AG2003/100))))))))))</f>
        <v>100</v>
      </c>
      <c r="AI2003" s="262">
        <v>4179</v>
      </c>
      <c r="AJ2003" s="263"/>
      <c r="AK2003" s="263">
        <v>215</v>
      </c>
      <c r="AL2003" s="263"/>
      <c r="AM2003" s="264"/>
      <c r="AN2003" s="263"/>
      <c r="AO2003" s="263"/>
      <c r="AP2003" s="265"/>
      <c r="AQ2003" s="265">
        <v>7214</v>
      </c>
      <c r="AR2003" s="285">
        <v>38950</v>
      </c>
      <c r="AS2003" s="263"/>
      <c r="AT2003" s="263"/>
      <c r="AU2003" s="263"/>
      <c r="AV2003" s="264"/>
      <c r="AW2003" s="263"/>
      <c r="AX2003" s="263"/>
      <c r="AY2003" s="263"/>
      <c r="AZ2003" s="263"/>
      <c r="BA2003" s="263"/>
      <c r="BB2003" s="263"/>
      <c r="BC2003" s="263"/>
      <c r="BD2003" s="264"/>
      <c r="BE2003" s="263"/>
      <c r="BF2003" s="263"/>
      <c r="BG2003" s="263"/>
      <c r="BH2003" s="263"/>
      <c r="BI2003" s="263"/>
      <c r="BJ2003" s="404">
        <f>altaz(J2000_Bas,$O2003,$M2003,DecLat,DecLong,2)</f>
        <v>277.80117748979706</v>
      </c>
      <c r="BK2003" s="378" t="s">
        <v>3000</v>
      </c>
      <c r="BL2003" s="379">
        <f>IF((2*G2003)/60&lt;0.2,0.2,(2*G2003)/60)</f>
        <v>0.2</v>
      </c>
      <c r="BM2003" s="380">
        <f>MOD((50000+AD2003-$B$3+(0/24)),1)</f>
        <v>0.71722517276793951</v>
      </c>
      <c r="BN2003" s="381"/>
      <c r="BO2003" s="382">
        <v>1994</v>
      </c>
    </row>
    <row r="2004" spans="1:67" s="24" customFormat="1" ht="15" customHeight="1" x14ac:dyDescent="0.25">
      <c r="A2004" s="287" t="s">
        <v>1935</v>
      </c>
      <c r="B2004" s="241" t="str">
        <f>HYPERLINK(CONCATENATE($AT$3,BK2004,$AU$3),$AV$3)</f>
        <v>S</v>
      </c>
      <c r="C2004" s="242" t="str">
        <f>HYPERLINK(CONCATENATE($AT$4,BK2004,$AU$4,BL2004),$AV$4)</f>
        <v>A</v>
      </c>
      <c r="D2004" s="243" t="s">
        <v>5638</v>
      </c>
      <c r="E2004" s="244" t="s">
        <v>5192</v>
      </c>
      <c r="F2004" s="269" t="s">
        <v>8697</v>
      </c>
      <c r="G2004" s="273">
        <v>5.5</v>
      </c>
      <c r="H2004" s="283">
        <v>55</v>
      </c>
      <c r="I2004" s="246">
        <v>90</v>
      </c>
      <c r="J2004" s="246">
        <v>2</v>
      </c>
      <c r="K2004" s="247" t="s">
        <v>7801</v>
      </c>
      <c r="L2004" s="248">
        <v>121317</v>
      </c>
      <c r="M2004" s="249">
        <f>15*(LEFT(TEXT($L2004,"000000"),2)+(MID(TEXT($L2004,"000000"),3,2)/60)+(RIGHT(TEXT($L2004,"000000"),2)/3600))</f>
        <v>183.32083333333333</v>
      </c>
      <c r="N2004" s="250">
        <v>434153</v>
      </c>
      <c r="O2004" s="251">
        <f>IF($N2004&gt;0,(LEFT(TEXT($N2004,"000000"),2)+(MID(TEXT($N2004,"000000"),3,2)/60)+(RIGHT(TEXT($N2004,"000000"),2)/3600)),-(MID(TEXT($N2004,"000000"),2,2)+(MID(TEXT($N2004,"000000"),4,2)/60)+(RIGHT(TEXT($N2004,"000000"),2)/3600)))</f>
        <v>43.698055555555555</v>
      </c>
      <c r="P2004" s="252" t="s">
        <v>242</v>
      </c>
      <c r="Q2004" s="253"/>
      <c r="R2004" s="277" t="s">
        <v>3293</v>
      </c>
      <c r="S2004" s="272" t="s">
        <v>3293</v>
      </c>
      <c r="T2004" s="273">
        <v>12.3</v>
      </c>
      <c r="U2004" s="289">
        <v>22.59</v>
      </c>
      <c r="V2004" s="280">
        <v>89</v>
      </c>
      <c r="W2004" s="244"/>
      <c r="X2004" s="244"/>
      <c r="Y2004" s="362"/>
      <c r="Z2004" s="257">
        <f>altaz(J2000_Bas,$O2004,$M2004,DecLat,DecLong,1)</f>
        <v>12.695305723332162</v>
      </c>
      <c r="AA2004" s="257">
        <f>altaz((J2000_Bas+(2*0.04167)),$O2004,$M2004,DecLat,DecLong,1)</f>
        <v>-3.7257436178349561</v>
      </c>
      <c r="AB2004" s="257">
        <f>altaz((J2000_Bas+(4*0.04167)),$O2004,$M2004,DecLat,DecLong,1)</f>
        <v>-13.671404124283521</v>
      </c>
      <c r="AC2004" s="257">
        <f>altaz((J2000_Bas+(6*0.04167)),$O2004,$M2004,DecLat,DecLong,1)</f>
        <v>-14.369783012291828</v>
      </c>
      <c r="AD2004" s="258">
        <f>1+ transit((J2000_Bas-1),$O2004,$M2004,DecLat,DecLong)/360 + (GMTOffset/24) + (IF(DST="Y", 1, 0)/24)</f>
        <v>1.5021244467442914</v>
      </c>
      <c r="AE2004" s="259">
        <f>DATE(2001,9,21)+(M2004/360)*365 - (360*((DecLong/360)- (GMTOffset/24) ))</f>
        <v>37345.866956018515</v>
      </c>
      <c r="AF2004" s="260">
        <f>IF(DecLat&gt;0,IF((90 - (DecLat-O2004))&gt;90, (90 - (O2004-DecLat)), (90 - (DecLat-O2004))),IF((90 + (DecLat-O2004))&gt;90, (90 + (O2004-DecLat)), (90 + (DecLat-O2004))))</f>
        <v>77.301944444444445</v>
      </c>
      <c r="AG2004" s="257">
        <f>angularseperation(MoonRA,MoonDec,$M2004,$O2004)</f>
        <v>92.975968096404344</v>
      </c>
      <c r="AH2004" s="261">
        <f ca="1">MIN(100,IF($O$5&gt;80,0+30*($AG2004/100),IF($O$5&gt;70,0+50*($AG2004/100),IF($O$5&gt;60,5+50*($AG2004/100),IF($O$5&gt;50,10+60*($AG2004/100),IF($O$5&gt;40,15+70*($AG2004/100),IF($O$5&gt;30,20+70*($AG2004/100),IF($O$5&gt;20,40+55*($AG2004/100),(80+(20-$O$5)+30*($AG2004/100))))))))))</f>
        <v>100</v>
      </c>
      <c r="AI2004" s="262">
        <v>4183</v>
      </c>
      <c r="AJ2004" s="263"/>
      <c r="AK2004" s="263"/>
      <c r="AL2004" s="263"/>
      <c r="AM2004" s="264"/>
      <c r="AN2004" s="263"/>
      <c r="AO2004" s="263"/>
      <c r="AP2004" s="265"/>
      <c r="AQ2004" s="265">
        <v>7222</v>
      </c>
      <c r="AR2004" s="285">
        <v>38988</v>
      </c>
      <c r="AS2004" s="263"/>
      <c r="AT2004" s="263"/>
      <c r="AU2004" s="263"/>
      <c r="AV2004" s="264"/>
      <c r="AW2004" s="263"/>
      <c r="AX2004" s="263"/>
      <c r="AY2004" s="263"/>
      <c r="AZ2004" s="263"/>
      <c r="BA2004" s="263"/>
      <c r="BB2004" s="263"/>
      <c r="BC2004" s="263"/>
      <c r="BD2004" s="264"/>
      <c r="BE2004" s="263"/>
      <c r="BF2004" s="263"/>
      <c r="BG2004" s="263"/>
      <c r="BH2004" s="263"/>
      <c r="BI2004" s="263"/>
      <c r="BJ2004" s="404">
        <f>altaz(J2000_Bas,$O2004,$M2004,DecLat,DecLong,2)</f>
        <v>313.69487163479675</v>
      </c>
      <c r="BK2004" s="378" t="s">
        <v>1935</v>
      </c>
      <c r="BL2004" s="379">
        <f>IF((2*G2004)/60&lt;0.2,0.2,(2*G2004)/60)</f>
        <v>0.2</v>
      </c>
      <c r="BM2004" s="380">
        <f>MOD((50000+AD2004-$B$3+(0/24)),1)</f>
        <v>0.71749137644656003</v>
      </c>
      <c r="BN2004" s="381"/>
      <c r="BO2004" s="382">
        <v>1995</v>
      </c>
    </row>
    <row r="2005" spans="1:67" s="24" customFormat="1" ht="15" customHeight="1" x14ac:dyDescent="0.25">
      <c r="A2005" s="287" t="s">
        <v>3001</v>
      </c>
      <c r="B2005" s="241" t="str">
        <f>HYPERLINK(CONCATENATE($AT$3,BK2005,$AU$3),$AV$3)</f>
        <v>S</v>
      </c>
      <c r="C2005" s="242" t="str">
        <f>HYPERLINK(CONCATENATE($AT$4,BK2005,$AU$4,BL2005),$AV$4)</f>
        <v>A</v>
      </c>
      <c r="D2005" s="243" t="s">
        <v>5638</v>
      </c>
      <c r="E2005" s="244" t="s">
        <v>5182</v>
      </c>
      <c r="F2005" s="269" t="s">
        <v>8969</v>
      </c>
      <c r="G2005" s="273">
        <v>3.8</v>
      </c>
      <c r="H2005" s="283">
        <v>49.888709999999996</v>
      </c>
      <c r="I2005" s="246">
        <v>55</v>
      </c>
      <c r="J2005" s="246">
        <v>2</v>
      </c>
      <c r="K2005" s="247" t="s">
        <v>7802</v>
      </c>
      <c r="L2005" s="248">
        <v>121512</v>
      </c>
      <c r="M2005" s="249">
        <f>15*(LEFT(TEXT($L2005,"000000"),2)+(MID(TEXT($L2005,"000000"),3,2)/60)+(RIGHT(TEXT($L2005,"000000"),2)/3600))</f>
        <v>183.8</v>
      </c>
      <c r="N2005" s="250">
        <v>331300</v>
      </c>
      <c r="O2005" s="251">
        <f>IF($N2005&gt;0,(LEFT(TEXT($N2005,"000000"),2)+(MID(TEXT($N2005,"000000"),3,2)/60)+(RIGHT(TEXT($N2005,"000000"),2)/3600)),-(MID(TEXT($N2005,"000000"),2,2)+(MID(TEXT($N2005,"000000"),4,2)/60)+(RIGHT(TEXT($N2005,"000000"),2)/3600)))</f>
        <v>33.216666666666669</v>
      </c>
      <c r="P2005" s="252" t="s">
        <v>190</v>
      </c>
      <c r="Q2005" s="253"/>
      <c r="R2005" s="277" t="s">
        <v>3293</v>
      </c>
      <c r="S2005" s="272" t="s">
        <v>3293</v>
      </c>
      <c r="T2005" s="273">
        <v>10.9</v>
      </c>
      <c r="U2005" s="289">
        <v>22.19</v>
      </c>
      <c r="V2005" s="280">
        <v>0</v>
      </c>
      <c r="W2005" s="244"/>
      <c r="X2005" s="244"/>
      <c r="Y2005" s="362"/>
      <c r="Z2005" s="257">
        <f>altaz(J2000_Bas,$O2005,$M2005,DecLat,DecLong,1)</f>
        <v>7.502294937937334</v>
      </c>
      <c r="AA2005" s="257">
        <f>altaz((J2000_Bas+(2*0.04167)),$O2005,$M2005,DecLat,DecLong,1)</f>
        <v>-11.55826145249635</v>
      </c>
      <c r="AB2005" s="257">
        <f>altaz((J2000_Bas+(4*0.04167)),$O2005,$M2005,DecLat,DecLong,1)</f>
        <v>-23.65913516141168</v>
      </c>
      <c r="AC2005" s="257">
        <f>altaz((J2000_Bas+(6*0.04167)),$O2005,$M2005,DecLat,DecLong,1)</f>
        <v>-24.714002861572997</v>
      </c>
      <c r="AD2005" s="258">
        <f>1+ transit((J2000_Bas-1),$O2005,$M2005,DecLat,DecLong)/360 + (GMTOffset/24) + (IF(DST="Y", 1, 0)/24)</f>
        <v>1.5034554651297081</v>
      </c>
      <c r="AE2005" s="259">
        <f>DATE(2001,9,21)+(M2005/360)*365 - (360*((DecLong/360)- (GMTOffset/24) ))</f>
        <v>37346.352777777778</v>
      </c>
      <c r="AF2005" s="260">
        <f>IF(DecLat&gt;0,IF((90 - (DecLat-O2005))&gt;90, (90 - (O2005-DecLat)), (90 - (DecLat-O2005))),IF((90 + (DecLat-O2005))&gt;90, (90 + (O2005-DecLat)), (90 + (DecLat-O2005))))</f>
        <v>87.783333333333331</v>
      </c>
      <c r="AG2005" s="257">
        <f>angularseperation(MoonRA,MoonDec,$M2005,$O2005)</f>
        <v>86.550932067735062</v>
      </c>
      <c r="AH2005" s="261">
        <f ca="1">MIN(100,IF($O$5&gt;80,0+30*($AG2005/100),IF($O$5&gt;70,0+50*($AG2005/100),IF($O$5&gt;60,5+50*($AG2005/100),IF($O$5&gt;50,10+60*($AG2005/100),IF($O$5&gt;40,15+70*($AG2005/100),IF($O$5&gt;30,20+70*($AG2005/100),IF($O$5&gt;20,40+55*($AG2005/100),(80+(20-$O$5)+30*($AG2005/100))))))))))</f>
        <v>100</v>
      </c>
      <c r="AI2005" s="262">
        <v>4203</v>
      </c>
      <c r="AJ2005" s="263"/>
      <c r="AK2005" s="263">
        <v>216</v>
      </c>
      <c r="AL2005" s="263"/>
      <c r="AM2005" s="264"/>
      <c r="AN2005" s="263"/>
      <c r="AO2005" s="263"/>
      <c r="AP2005" s="265"/>
      <c r="AQ2005" s="265">
        <v>7256</v>
      </c>
      <c r="AR2005" s="285">
        <v>39158</v>
      </c>
      <c r="AS2005" s="263"/>
      <c r="AT2005" s="263"/>
      <c r="AU2005" s="263"/>
      <c r="AV2005" s="264"/>
      <c r="AW2005" s="263"/>
      <c r="AX2005" s="263"/>
      <c r="AY2005" s="263"/>
      <c r="AZ2005" s="263"/>
      <c r="BA2005" s="263"/>
      <c r="BB2005" s="263"/>
      <c r="BC2005" s="263"/>
      <c r="BD2005" s="264"/>
      <c r="BE2005" s="263"/>
      <c r="BF2005" s="263"/>
      <c r="BG2005" s="263"/>
      <c r="BH2005" s="263"/>
      <c r="BI2005" s="263"/>
      <c r="BJ2005" s="404">
        <f>altaz(J2000_Bas,$O2005,$M2005,DecLat,DecLong,2)</f>
        <v>304.43551003234398</v>
      </c>
      <c r="BK2005" s="378" t="s">
        <v>3001</v>
      </c>
      <c r="BL2005" s="379">
        <f>IF((2*G2005)/60&lt;0.2,0.2,(2*G2005)/60)</f>
        <v>0.2</v>
      </c>
      <c r="BM2005" s="380">
        <f>MOD((50000+AD2005-$B$3+(0/24)),1)</f>
        <v>0.71882239483238664</v>
      </c>
      <c r="BN2005" s="381"/>
      <c r="BO2005" s="382">
        <v>1996</v>
      </c>
    </row>
    <row r="2006" spans="1:67" s="24" customFormat="1" ht="15" customHeight="1" x14ac:dyDescent="0.25">
      <c r="A2006" s="287" t="s">
        <v>1936</v>
      </c>
      <c r="B2006" s="241" t="str">
        <f>HYPERLINK(CONCATENATE($AT$3,BK2006,$AU$3),$AV$3)</f>
        <v>S</v>
      </c>
      <c r="C2006" s="242" t="str">
        <f>HYPERLINK(CONCATENATE($AT$4,BK2006,$AU$4,BL2006),$AV$4)</f>
        <v>A</v>
      </c>
      <c r="D2006" s="243" t="s">
        <v>5638</v>
      </c>
      <c r="E2006" s="244" t="s">
        <v>5192</v>
      </c>
      <c r="F2006" s="269" t="s">
        <v>8689</v>
      </c>
      <c r="G2006" s="273">
        <v>3.2</v>
      </c>
      <c r="H2006" s="283">
        <v>57</v>
      </c>
      <c r="I2006" s="246">
        <v>52</v>
      </c>
      <c r="J2006" s="246">
        <v>2</v>
      </c>
      <c r="K2006" s="247" t="s">
        <v>7806</v>
      </c>
      <c r="L2006" s="248">
        <v>121539</v>
      </c>
      <c r="M2006" s="249">
        <f>15*(LEFT(TEXT($L2006,"000000"),2)+(MID(TEXT($L2006,"000000"),3,2)/60)+(RIGHT(TEXT($L2006,"000000"),2)/3600))</f>
        <v>183.91250000000002</v>
      </c>
      <c r="N2006" s="250">
        <v>135405</v>
      </c>
      <c r="O2006" s="251">
        <f>IF($N2006&gt;0,(LEFT(TEXT($N2006,"000000"),2)+(MID(TEXT($N2006,"000000"),3,2)/60)+(RIGHT(TEXT($N2006,"000000"),2)/3600)),-(MID(TEXT($N2006,"000000"),2,2)+(MID(TEXT($N2006,"000000"),4,2)/60)+(RIGHT(TEXT($N2006,"000000"),2)/3600)))</f>
        <v>13.901388888888889</v>
      </c>
      <c r="P2006" s="252" t="s">
        <v>190</v>
      </c>
      <c r="Q2006" s="253"/>
      <c r="R2006" s="277" t="s">
        <v>3293</v>
      </c>
      <c r="S2006" s="272" t="s">
        <v>3293</v>
      </c>
      <c r="T2006" s="273">
        <v>11.2</v>
      </c>
      <c r="U2006" s="289">
        <v>21.89</v>
      </c>
      <c r="V2006" s="280">
        <v>50</v>
      </c>
      <c r="W2006" s="244"/>
      <c r="X2006" s="244"/>
      <c r="Y2006" s="362"/>
      <c r="Z2006" s="257">
        <f>altaz(J2000_Bas,$O2006,$M2006,DecLat,DecLong,1)</f>
        <v>-2.8967688969672993</v>
      </c>
      <c r="AA2006" s="257">
        <f>altaz((J2000_Bas+(2*0.04167)),$O2006,$M2006,DecLat,DecLong,1)</f>
        <v>-25.779028900017082</v>
      </c>
      <c r="AB2006" s="257">
        <f>altaz((J2000_Bas+(4*0.04167)),$O2006,$M2006,DecLat,DecLong,1)</f>
        <v>-41.970962398913194</v>
      </c>
      <c r="AC2006" s="257">
        <f>altaz((J2000_Bas+(6*0.04167)),$O2006,$M2006,DecLat,DecLong,1)</f>
        <v>-43.557929636833698</v>
      </c>
      <c r="AD2006" s="258">
        <f>1+ transit((J2000_Bas-1),$O2006,$M2006,DecLat,DecLong)/360 + (GMTOffset/24) + (IF(DST="Y", 1, 0)/24)</f>
        <v>1.5037679650984581</v>
      </c>
      <c r="AE2006" s="259">
        <f>DATE(2001,9,21)+(M2006/360)*365 - (360*((DecLong/360)- (GMTOffset/24) ))</f>
        <v>37346.466840277775</v>
      </c>
      <c r="AF2006" s="260">
        <f>IF(DecLat&gt;0,IF((90 - (DecLat-O2006))&gt;90, (90 - (O2006-DecLat)), (90 - (DecLat-O2006))),IF((90 + (DecLat-O2006))&gt;90, (90 + (O2006-DecLat)), (90 + (DecLat-O2006))))</f>
        <v>72.901388888888889</v>
      </c>
      <c r="AG2006" s="257">
        <f>angularseperation(MoonRA,MoonDec,$M2006,$O2006)</f>
        <v>75.442147558673071</v>
      </c>
      <c r="AH2006" s="261">
        <f ca="1">MIN(100,IF($O$5&gt;80,0+30*($AG2006/100),IF($O$5&gt;70,0+50*($AG2006/100),IF($O$5&gt;60,5+50*($AG2006/100),IF($O$5&gt;50,10+60*($AG2006/100),IF($O$5&gt;40,15+70*($AG2006/100),IF($O$5&gt;30,20+70*($AG2006/100),IF($O$5&gt;20,40+55*($AG2006/100),(80+(20-$O$5)+30*($AG2006/100))))))))))</f>
        <v>100</v>
      </c>
      <c r="AI2006" s="262">
        <v>4212</v>
      </c>
      <c r="AJ2006" s="263"/>
      <c r="AK2006" s="263"/>
      <c r="AL2006" s="263"/>
      <c r="AM2006" s="264"/>
      <c r="AN2006" s="263"/>
      <c r="AO2006" s="263"/>
      <c r="AP2006" s="265"/>
      <c r="AQ2006" s="265"/>
      <c r="AR2006" s="285">
        <v>39224</v>
      </c>
      <c r="AS2006" s="263"/>
      <c r="AT2006" s="263"/>
      <c r="AU2006" s="263"/>
      <c r="AV2006" s="264"/>
      <c r="AW2006" s="263"/>
      <c r="AX2006" s="263"/>
      <c r="AY2006" s="263"/>
      <c r="AZ2006" s="263"/>
      <c r="BA2006" s="263"/>
      <c r="BB2006" s="263"/>
      <c r="BC2006" s="263"/>
      <c r="BD2006" s="264"/>
      <c r="BE2006" s="263"/>
      <c r="BF2006" s="263"/>
      <c r="BG2006" s="263"/>
      <c r="BH2006" s="263"/>
      <c r="BI2006" s="263"/>
      <c r="BJ2006" s="404">
        <f>altaz(J2000_Bas,$O2006,$M2006,DecLat,DecLong,2)</f>
        <v>288.1224249917264</v>
      </c>
      <c r="BK2006" s="378" t="s">
        <v>1936</v>
      </c>
      <c r="BL2006" s="379">
        <f>IF((2*G2006)/60&lt;0.2,0.2,(2*G2006)/60)</f>
        <v>0.2</v>
      </c>
      <c r="BM2006" s="380">
        <f>MOD((50000+AD2006-$B$3+(0/24)),1)</f>
        <v>0.71913489480357384</v>
      </c>
      <c r="BN2006" s="381"/>
      <c r="BO2006" s="382">
        <v>1997</v>
      </c>
    </row>
    <row r="2007" spans="1:67" s="24" customFormat="1" ht="15" customHeight="1" x14ac:dyDescent="0.25">
      <c r="A2007" s="288" t="s">
        <v>1937</v>
      </c>
      <c r="B2007" s="241" t="str">
        <f>HYPERLINK(CONCATENATE($AT$3,BK2007,$AU$3),$AV$3)</f>
        <v>S</v>
      </c>
      <c r="C2007" s="242" t="str">
        <f>HYPERLINK(CONCATENATE($AT$4,BK2007,$AU$4,BL2007),$AV$4)</f>
        <v>A</v>
      </c>
      <c r="D2007" s="243" t="s">
        <v>5638</v>
      </c>
      <c r="E2007" s="244" t="s">
        <v>3259</v>
      </c>
      <c r="F2007" s="269"/>
      <c r="G2007" s="273">
        <v>4</v>
      </c>
      <c r="H2007" s="283">
        <v>10</v>
      </c>
      <c r="I2007" s="246">
        <v>12</v>
      </c>
      <c r="J2007" s="246">
        <v>2</v>
      </c>
      <c r="K2007" s="247" t="s">
        <v>7807</v>
      </c>
      <c r="L2007" s="248">
        <v>121539</v>
      </c>
      <c r="M2007" s="249">
        <f>15*(LEFT(TEXT($L2007,"000000"),2)+(MID(TEXT($L2007,"000000"),3,2)/60)+(RIGHT(TEXT($L2007,"000000"),2)/3600))</f>
        <v>183.91250000000002</v>
      </c>
      <c r="N2007" s="250">
        <v>361938</v>
      </c>
      <c r="O2007" s="251">
        <f>IF($N2007&gt;0,(LEFT(TEXT($N2007,"000000"),2)+(MID(TEXT($N2007,"000000"),3,2)/60)+(RIGHT(TEXT($N2007,"000000"),2)/3600)),-(MID(TEXT($N2007,"000000"),2,2)+(MID(TEXT($N2007,"000000"),4,2)/60)+(RIGHT(TEXT($N2007,"000000"),2)/3600)))</f>
        <v>36.327222222222225</v>
      </c>
      <c r="P2007" s="252" t="s">
        <v>242</v>
      </c>
      <c r="Q2007" s="253"/>
      <c r="R2007" s="247" t="s">
        <v>3293</v>
      </c>
      <c r="S2007" s="272" t="s">
        <v>3293</v>
      </c>
      <c r="T2007" s="273">
        <v>9.8000000000000007</v>
      </c>
      <c r="U2007" s="289">
        <v>22.89</v>
      </c>
      <c r="V2007" s="280"/>
      <c r="W2007" s="244"/>
      <c r="X2007" s="244"/>
      <c r="Y2007" s="362"/>
      <c r="Z2007" s="257">
        <f>altaz(J2000_Bas,$O2007,$M2007,DecLat,DecLong,1)</f>
        <v>9.2339277579185843</v>
      </c>
      <c r="AA2007" s="257">
        <f>altaz((J2000_Bas+(2*0.04167)),$O2007,$M2007,DecLat,DecLong,1)</f>
        <v>-9.1221739261301327</v>
      </c>
      <c r="AB2007" s="257">
        <f>altaz((J2000_Bas+(4*0.04167)),$O2007,$M2007,DecLat,DecLong,1)</f>
        <v>-20.648097164867011</v>
      </c>
      <c r="AC2007" s="257">
        <f>altaz((J2000_Bas+(6*0.04167)),$O2007,$M2007,DecLat,DecLong,1)</f>
        <v>-21.684993901844525</v>
      </c>
      <c r="AD2007" s="258">
        <f>1+ transit((J2000_Bas-1),$O2007,$M2007,DecLat,DecLong)/360 + (GMTOffset/24) + (IF(DST="Y", 1, 0)/24)</f>
        <v>1.5037679650984581</v>
      </c>
      <c r="AE2007" s="259">
        <f>DATE(2001,9,21)+(M2007/360)*365 - (360*((DecLong/360)- (GMTOffset/24) ))</f>
        <v>37346.466840277775</v>
      </c>
      <c r="AF2007" s="260">
        <f>IF(DecLat&gt;0,IF((90 - (DecLat-O2007))&gt;90, (90 - (O2007-DecLat)), (90 - (DecLat-O2007))),IF((90 + (DecLat-O2007))&gt;90, (90 + (O2007-DecLat)), (90 + (DecLat-O2007))))</f>
        <v>84.672777777777782</v>
      </c>
      <c r="AG2007" s="257">
        <f>angularseperation(MoonRA,MoonDec,$M2007,$O2007)</f>
        <v>88.298952390945047</v>
      </c>
      <c r="AH2007" s="261">
        <f ca="1">MIN(100,IF($O$5&gt;80,0+30*($AG2007/100),IF($O$5&gt;70,0+50*($AG2007/100),IF($O$5&gt;60,5+50*($AG2007/100),IF($O$5&gt;50,10+60*($AG2007/100),IF($O$5&gt;40,15+70*($AG2007/100),IF($O$5&gt;30,20+70*($AG2007/100),IF($O$5&gt;20,40+55*($AG2007/100),(80+(20-$O$5)+30*($AG2007/100))))))))))</f>
        <v>100</v>
      </c>
      <c r="AI2007" s="262">
        <v>4214</v>
      </c>
      <c r="AJ2007" s="262"/>
      <c r="AK2007" s="262">
        <v>217</v>
      </c>
      <c r="AL2007" s="263"/>
      <c r="AM2007" s="264"/>
      <c r="AN2007" s="263"/>
      <c r="AO2007" s="263"/>
      <c r="AP2007" s="265"/>
      <c r="AQ2007" s="266"/>
      <c r="AR2007" s="267">
        <v>39225</v>
      </c>
      <c r="AS2007" s="263"/>
      <c r="AT2007" s="263"/>
      <c r="AU2007" s="263"/>
      <c r="AV2007" s="264"/>
      <c r="AW2007" s="263"/>
      <c r="AX2007" s="263"/>
      <c r="AY2007" s="263"/>
      <c r="AZ2007" s="263"/>
      <c r="BA2007" s="263"/>
      <c r="BB2007" s="263"/>
      <c r="BC2007" s="263"/>
      <c r="BD2007" s="264"/>
      <c r="BE2007" s="263">
        <v>59</v>
      </c>
      <c r="BF2007" s="263"/>
      <c r="BG2007" s="263"/>
      <c r="BH2007" s="263"/>
      <c r="BI2007" s="263"/>
      <c r="BJ2007" s="404">
        <f>altaz(J2000_Bas,$O2007,$M2007,DecLat,DecLong,2)</f>
        <v>307.04908584629067</v>
      </c>
      <c r="BK2007" s="378" t="s">
        <v>1937</v>
      </c>
      <c r="BL2007" s="379">
        <f>IF((2*G2007)/60&lt;0.2,0.2,(2*G2007)/60)</f>
        <v>0.2</v>
      </c>
      <c r="BM2007" s="380">
        <f>MOD((50000+AD2007-$B$3+(0/24)),1)</f>
        <v>0.71913489480357384</v>
      </c>
      <c r="BN2007" s="381"/>
      <c r="BO2007" s="382">
        <v>1998</v>
      </c>
    </row>
    <row r="2008" spans="1:67" s="24" customFormat="1" ht="15" customHeight="1" x14ac:dyDescent="0.25">
      <c r="A2008" s="288" t="s">
        <v>7805</v>
      </c>
      <c r="B2008" s="241" t="str">
        <f>HYPERLINK(CONCATENATE($AT$3,BK2008,$AU$3),$AV$3)</f>
        <v>S</v>
      </c>
      <c r="C2008" s="242" t="str">
        <f>HYPERLINK(CONCATENATE($AT$4,BK2008,$AU$4,BL2008),$AV$4)</f>
        <v>A</v>
      </c>
      <c r="D2008" s="243" t="s">
        <v>5638</v>
      </c>
      <c r="E2008" s="244" t="s">
        <v>5194</v>
      </c>
      <c r="F2008" s="269" t="s">
        <v>8665</v>
      </c>
      <c r="G2008" s="276">
        <v>8.1999999999999993</v>
      </c>
      <c r="H2008" s="283">
        <v>50</v>
      </c>
      <c r="I2008" s="246">
        <v>120</v>
      </c>
      <c r="J2008" s="246">
        <v>4</v>
      </c>
      <c r="K2008" s="247" t="s">
        <v>8481</v>
      </c>
      <c r="L2008" s="248">
        <v>121554</v>
      </c>
      <c r="M2008" s="249">
        <f>15*(LEFT(TEXT($L2008,"000000"),2)+(MID(TEXT($L2008,"000000"),3,2)/60)+(RIGHT(TEXT($L2008,"000000"),2)/3600))</f>
        <v>183.97500000000002</v>
      </c>
      <c r="N2008" s="250">
        <v>130859</v>
      </c>
      <c r="O2008" s="251">
        <f>IF($N2008&gt;0,(LEFT(TEXT($N2008,"000000"),2)+(MID(TEXT($N2008,"000000"),3,2)/60)+(RIGHT(TEXT($N2008,"000000"),2)/3600)),-(MID(TEXT($N2008,"000000"),2,2)+(MID(TEXT($N2008,"000000"),4,2)/60)+(RIGHT(TEXT($N2008,"000000"),2)/3600)))</f>
        <v>13.149722222222222</v>
      </c>
      <c r="P2008" s="252" t="s">
        <v>61</v>
      </c>
      <c r="Q2008" s="253" t="s">
        <v>7803</v>
      </c>
      <c r="R2008" s="247" t="s">
        <v>3293</v>
      </c>
      <c r="S2008" s="272" t="s">
        <v>7804</v>
      </c>
      <c r="T2008" s="273">
        <v>10</v>
      </c>
      <c r="U2008" s="289">
        <v>21.69</v>
      </c>
      <c r="V2008" s="280"/>
      <c r="W2008" s="244"/>
      <c r="X2008" s="244"/>
      <c r="Y2008" s="362"/>
      <c r="Z2008" s="257">
        <f>altaz(J2000_Bas,$O2008,$M2008,DecLat,DecLong,1)</f>
        <v>-3.2542262044985115</v>
      </c>
      <c r="AA2008" s="257">
        <f>altaz((J2000_Bas+(2*0.04167)),$O2008,$M2008,DecLat,DecLong,1)</f>
        <v>-26.26743377094709</v>
      </c>
      <c r="AB2008" s="257">
        <f>altaz((J2000_Bas+(4*0.04167)),$O2008,$M2008,DecLat,DecLong,1)</f>
        <v>-42.65250895380391</v>
      </c>
      <c r="AC2008" s="257">
        <f>altaz((J2000_Bas+(6*0.04167)),$O2008,$M2008,DecLat,DecLong,1)</f>
        <v>-44.30040625051754</v>
      </c>
      <c r="AD2008" s="258">
        <f>1+ transit((J2000_Bas-1),$O2008,$M2008,DecLat,DecLong)/360 + (GMTOffset/24) + (IF(DST="Y", 1, 0)/24)</f>
        <v>1.5039415761922081</v>
      </c>
      <c r="AE2008" s="259">
        <f>DATE(2001,9,21)+(M2008/360)*365 - (360*((DecLong/360)- (GMTOffset/24) ))</f>
        <v>37346.53020833333</v>
      </c>
      <c r="AF2008" s="260">
        <f>IF(DecLat&gt;0,IF((90 - (DecLat-O2008))&gt;90, (90 - (O2008-DecLat)), (90 - (DecLat-O2008))),IF((90 + (DecLat-O2008))&gt;90, (90 + (O2008-DecLat)), (90 + (DecLat-O2008))))</f>
        <v>72.149722222222223</v>
      </c>
      <c r="AG2008" s="257">
        <f>angularseperation(MoonRA,MoonDec,$M2008,$O2008)</f>
        <v>74.979522037759637</v>
      </c>
      <c r="AH2008" s="261">
        <f ca="1">MIN(100,IF($O$5&gt;80,0+30*($AG2008/100),IF($O$5&gt;70,0+50*($AG2008/100),IF($O$5&gt;60,5+50*($AG2008/100),IF($O$5&gt;50,10+60*($AG2008/100),IF($O$5&gt;40,15+70*($AG2008/100),IF($O$5&gt;30,20+70*($AG2008/100),IF($O$5&gt;20,40+55*($AG2008/100),(80+(20-$O$5)+30*($AG2008/100))))))))))</f>
        <v>100</v>
      </c>
      <c r="AI2008" s="262">
        <v>4216</v>
      </c>
      <c r="AJ2008" s="262"/>
      <c r="AK2008" s="262">
        <v>218</v>
      </c>
      <c r="AL2008" s="263"/>
      <c r="AM2008" s="264"/>
      <c r="AN2008" s="263"/>
      <c r="AO2008" s="263"/>
      <c r="AP2008" s="265"/>
      <c r="AQ2008" s="266">
        <v>7284</v>
      </c>
      <c r="AR2008" s="267">
        <v>39246</v>
      </c>
      <c r="AS2008" s="263"/>
      <c r="AT2008" s="263"/>
      <c r="AU2008" s="263"/>
      <c r="AV2008" s="264"/>
      <c r="AW2008" s="263"/>
      <c r="AX2008" s="263"/>
      <c r="AY2008" s="263"/>
      <c r="AZ2008" s="263"/>
      <c r="BA2008" s="263"/>
      <c r="BB2008" s="263"/>
      <c r="BC2008" s="263"/>
      <c r="BD2008" s="264"/>
      <c r="BE2008" s="263">
        <v>60</v>
      </c>
      <c r="BF2008" s="263"/>
      <c r="BG2008" s="263"/>
      <c r="BH2008" s="263"/>
      <c r="BI2008" s="263"/>
      <c r="BJ2008" s="404">
        <f>altaz(J2000_Bas,$O2008,$M2008,DecLat,DecLong,2)</f>
        <v>287.45744838502878</v>
      </c>
      <c r="BK2008" s="378" t="s">
        <v>1938</v>
      </c>
      <c r="BL2008" s="379">
        <f>IF((2*G2008)/60&lt;0.2,0.2,(2*G2008)/60)</f>
        <v>0.27333333333333332</v>
      </c>
      <c r="BM2008" s="380">
        <f>MOD((50000+AD2008-$B$3+(0/24)),1)</f>
        <v>0.71930850589706097</v>
      </c>
      <c r="BN2008" s="381"/>
      <c r="BO2008" s="382">
        <v>1999</v>
      </c>
    </row>
    <row r="2009" spans="1:67" s="24" customFormat="1" ht="15" customHeight="1" x14ac:dyDescent="0.25">
      <c r="A2009" s="288" t="s">
        <v>1939</v>
      </c>
      <c r="B2009" s="241" t="str">
        <f>HYPERLINK(CONCATENATE($AT$3,BK2009,$AU$3),$AV$3)</f>
        <v>S</v>
      </c>
      <c r="C2009" s="242" t="str">
        <f>HYPERLINK(CONCATENATE($AT$4,BK2009,$AU$4,BL2009),$AV$4)</f>
        <v>A</v>
      </c>
      <c r="D2009" s="243" t="s">
        <v>5638</v>
      </c>
      <c r="E2009" s="244" t="s">
        <v>5192</v>
      </c>
      <c r="F2009" s="269" t="s">
        <v>8701</v>
      </c>
      <c r="G2009" s="273">
        <v>5</v>
      </c>
      <c r="H2009" s="283">
        <v>60</v>
      </c>
      <c r="I2009" s="246">
        <v>90</v>
      </c>
      <c r="J2009" s="246">
        <v>3</v>
      </c>
      <c r="K2009" s="247" t="s">
        <v>7808</v>
      </c>
      <c r="L2009" s="248">
        <v>121551</v>
      </c>
      <c r="M2009" s="249">
        <f>15*(LEFT(TEXT($L2009,"000000"),2)+(MID(TEXT($L2009,"000000"),3,2)/60)+(RIGHT(TEXT($L2009,"000000"),2)/3600))</f>
        <v>183.96250000000001</v>
      </c>
      <c r="N2009" s="250">
        <v>470529</v>
      </c>
      <c r="O2009" s="251">
        <f>IF($N2009&gt;0,(LEFT(TEXT($N2009,"000000"),2)+(MID(TEXT($N2009,"000000"),3,2)/60)+(RIGHT(TEXT($N2009,"000000"),2)/3600)),-(MID(TEXT($N2009,"000000"),2,2)+(MID(TEXT($N2009,"000000"),4,2)/60)+(RIGHT(TEXT($N2009,"000000"),2)/3600)))</f>
        <v>47.091388888888893</v>
      </c>
      <c r="P2009" s="252" t="s">
        <v>242</v>
      </c>
      <c r="Q2009" s="253"/>
      <c r="R2009" s="247" t="s">
        <v>3293</v>
      </c>
      <c r="S2009" s="272" t="s">
        <v>3293</v>
      </c>
      <c r="T2009" s="273">
        <v>11.2</v>
      </c>
      <c r="U2009" s="289">
        <v>22.19</v>
      </c>
      <c r="V2009" s="280">
        <v>88</v>
      </c>
      <c r="W2009" s="244"/>
      <c r="X2009" s="244"/>
      <c r="Y2009" s="362"/>
      <c r="Z2009" s="257">
        <f>altaz(J2000_Bas,$O2009,$M2009,DecLat,DecLong,1)</f>
        <v>14.8032546440082</v>
      </c>
      <c r="AA2009" s="257">
        <f>altaz((J2000_Bas+(2*0.04167)),$O2009,$M2009,DecLat,DecLong,1)</f>
        <v>-0.813812724966956</v>
      </c>
      <c r="AB2009" s="257">
        <f>altaz((J2000_Bas+(4*0.04167)),$O2009,$M2009,DecLat,DecLong,1)</f>
        <v>-10.279100231473429</v>
      </c>
      <c r="AC2009" s="257">
        <f>altaz((J2000_Bas+(6*0.04167)),$O2009,$M2009,DecLat,DecLong,1)</f>
        <v>-11.126096906528485</v>
      </c>
      <c r="AD2009" s="258">
        <f>1+ transit((J2000_Bas-1),$O2009,$M2009,DecLat,DecLong)/360 + (GMTOffset/24) + (IF(DST="Y", 1, 0)/24)</f>
        <v>1.5039068539734581</v>
      </c>
      <c r="AE2009" s="259">
        <f>DATE(2001,9,21)+(M2009/360)*365 - (360*((DecLong/360)- (GMTOffset/24) ))</f>
        <v>37346.517534722225</v>
      </c>
      <c r="AF2009" s="260">
        <f>IF(DecLat&gt;0,IF((90 - (DecLat-O2009))&gt;90, (90 - (O2009-DecLat)), (90 - (DecLat-O2009))),IF((90 + (DecLat-O2009))&gt;90, (90 + (O2009-DecLat)), (90 + (DecLat-O2009))))</f>
        <v>73.908611111111099</v>
      </c>
      <c r="AG2009" s="257">
        <f>angularseperation(MoonRA,MoonDec,$M2009,$O2009)</f>
        <v>94.587529715785649</v>
      </c>
      <c r="AH2009" s="261">
        <f ca="1">MIN(100,IF($O$5&gt;80,0+30*($AG2009/100),IF($O$5&gt;70,0+50*($AG2009/100),IF($O$5&gt;60,5+50*($AG2009/100),IF($O$5&gt;50,10+60*($AG2009/100),IF($O$5&gt;40,15+70*($AG2009/100),IF($O$5&gt;30,20+70*($AG2009/100),IF($O$5&gt;20,40+55*($AG2009/100),(80+(20-$O$5)+30*($AG2009/100))))))))))</f>
        <v>100</v>
      </c>
      <c r="AI2009" s="262">
        <v>4217</v>
      </c>
      <c r="AJ2009" s="262"/>
      <c r="AK2009" s="262"/>
      <c r="AL2009" s="263"/>
      <c r="AM2009" s="264"/>
      <c r="AN2009" s="263"/>
      <c r="AO2009" s="263"/>
      <c r="AP2009" s="265"/>
      <c r="AQ2009" s="266">
        <v>7282</v>
      </c>
      <c r="AR2009" s="267">
        <v>39241</v>
      </c>
      <c r="AS2009" s="263"/>
      <c r="AT2009" s="263"/>
      <c r="AU2009" s="263"/>
      <c r="AV2009" s="264"/>
      <c r="AW2009" s="263"/>
      <c r="AX2009" s="263"/>
      <c r="AY2009" s="263"/>
      <c r="AZ2009" s="263"/>
      <c r="BA2009" s="263"/>
      <c r="BB2009" s="263"/>
      <c r="BC2009" s="263"/>
      <c r="BD2009" s="264"/>
      <c r="BE2009" s="263"/>
      <c r="BF2009" s="263"/>
      <c r="BG2009" s="263"/>
      <c r="BH2009" s="263"/>
      <c r="BI2009" s="263"/>
      <c r="BJ2009" s="404">
        <f>altaz(J2000_Bas,$O2009,$M2009,DecLat,DecLong,2)</f>
        <v>316.47168009074733</v>
      </c>
      <c r="BK2009" s="378" t="s">
        <v>1939</v>
      </c>
      <c r="BL2009" s="379">
        <f>IF((2*G2009)/60&lt;0.2,0.2,(2*G2009)/60)</f>
        <v>0.2</v>
      </c>
      <c r="BM2009" s="380">
        <f>MOD((50000+AD2009-$B$3+(0/24)),1)</f>
        <v>0.71927378367399797</v>
      </c>
      <c r="BN2009" s="381" t="s">
        <v>9218</v>
      </c>
      <c r="BO2009" s="382">
        <v>2000</v>
      </c>
    </row>
    <row r="2010" spans="1:67" s="24" customFormat="1" ht="15" customHeight="1" x14ac:dyDescent="0.25">
      <c r="A2010" s="287" t="s">
        <v>1940</v>
      </c>
      <c r="B2010" s="241" t="str">
        <f>HYPERLINK(CONCATENATE($AT$3,BK2010,$AU$3),$AV$3)</f>
        <v>S</v>
      </c>
      <c r="C2010" s="242" t="str">
        <f>HYPERLINK(CONCATENATE($AT$4,BK2010,$AU$4,BL2010),$AV$4)</f>
        <v>A</v>
      </c>
      <c r="D2010" s="243" t="s">
        <v>5638</v>
      </c>
      <c r="E2010" s="244" t="s">
        <v>5182</v>
      </c>
      <c r="F2010" s="269" t="s">
        <v>3300</v>
      </c>
      <c r="G2010" s="273">
        <v>3.8</v>
      </c>
      <c r="H2010" s="283">
        <v>67</v>
      </c>
      <c r="I2010" s="246">
        <v>75</v>
      </c>
      <c r="J2010" s="246">
        <v>2</v>
      </c>
      <c r="K2010" s="247" t="s">
        <v>7809</v>
      </c>
      <c r="L2010" s="248">
        <v>121612</v>
      </c>
      <c r="M2010" s="249">
        <f>15*(LEFT(TEXT($L2010,"000000"),2)+(MID(TEXT($L2010,"000000"),3,2)/60)+(RIGHT(TEXT($L2010,"000000"),2)/3600))</f>
        <v>184.05</v>
      </c>
      <c r="N2010" s="250">
        <v>475300</v>
      </c>
      <c r="O2010" s="251">
        <f>IF($N2010&gt;0,(LEFT(TEXT($N2010,"000000"),2)+(MID(TEXT($N2010,"000000"),3,2)/60)+(RIGHT(TEXT($N2010,"000000"),2)/3600)),-(MID(TEXT($N2010,"000000"),2,2)+(MID(TEXT($N2010,"000000"),4,2)/60)+(RIGHT(TEXT($N2010,"000000"),2)/3600)))</f>
        <v>47.883333333333333</v>
      </c>
      <c r="P2010" s="252" t="s">
        <v>242</v>
      </c>
      <c r="Q2010" s="253"/>
      <c r="R2010" s="277" t="s">
        <v>3293</v>
      </c>
      <c r="S2010" s="272" t="s">
        <v>3293</v>
      </c>
      <c r="T2010" s="273">
        <v>11.4</v>
      </c>
      <c r="U2010" s="289">
        <v>21.990000000000002</v>
      </c>
      <c r="V2010" s="280">
        <v>80</v>
      </c>
      <c r="W2010" s="244"/>
      <c r="X2010" s="244"/>
      <c r="Y2010" s="362"/>
      <c r="Z2010" s="257">
        <f>altaz(J2000_Bas,$O2010,$M2010,DecLat,DecLong,1)</f>
        <v>15.247652988582706</v>
      </c>
      <c r="AA2010" s="257">
        <f>altaz((J2000_Bas+(2*0.04167)),$O2010,$M2010,DecLat,DecLong,1)</f>
        <v>-0.16520045796426283</v>
      </c>
      <c r="AB2010" s="257">
        <f>altaz((J2000_Bas+(4*0.04167)),$O2010,$M2010,DecLat,DecLong,1)</f>
        <v>-9.5000366911172129</v>
      </c>
      <c r="AC2010" s="257">
        <f>altaz((J2000_Bas+(6*0.04167)),$O2010,$M2010,DecLat,DecLong,1)</f>
        <v>-10.35878603353042</v>
      </c>
      <c r="AD2010" s="258">
        <f>1+ transit((J2000_Bas-1),$O2010,$M2010,DecLat,DecLong)/360 + (GMTOffset/24) + (IF(DST="Y", 1, 0)/24)</f>
        <v>1.5041499095047082</v>
      </c>
      <c r="AE2010" s="259">
        <f>DATE(2001,9,21)+(M2010/360)*365 - (360*((DecLong/360)- (GMTOffset/24) ))</f>
        <v>37346.606249999997</v>
      </c>
      <c r="AF2010" s="260">
        <f>IF(DecLat&gt;0,IF((90 - (DecLat-O2010))&gt;90, (90 - (O2010-DecLat)), (90 - (DecLat-O2010))),IF((90 + (DecLat-O2010))&gt;90, (90 + (O2010-DecLat)), (90 + (DecLat-O2010))))</f>
        <v>73.116666666666674</v>
      </c>
      <c r="AG2010" s="257">
        <f>angularseperation(MoonRA,MoonDec,$M2010,$O2010)</f>
        <v>95.002549964334932</v>
      </c>
      <c r="AH2010" s="261">
        <f ca="1">MIN(100,IF($O$5&gt;80,0+30*($AG2010/100),IF($O$5&gt;70,0+50*($AG2010/100),IF($O$5&gt;60,5+50*($AG2010/100),IF($O$5&gt;50,10+60*($AG2010/100),IF($O$5&gt;40,15+70*($AG2010/100),IF($O$5&gt;30,20+70*($AG2010/100),IF($O$5&gt;20,40+55*($AG2010/100),(80+(20-$O$5)+30*($AG2010/100))))))))))</f>
        <v>100</v>
      </c>
      <c r="AI2010" s="262">
        <v>4220</v>
      </c>
      <c r="AJ2010" s="263"/>
      <c r="AK2010" s="263"/>
      <c r="AL2010" s="263"/>
      <c r="AM2010" s="264"/>
      <c r="AN2010" s="263"/>
      <c r="AO2010" s="263"/>
      <c r="AP2010" s="265"/>
      <c r="AQ2010" s="265">
        <v>7290</v>
      </c>
      <c r="AR2010" s="285">
        <v>39285</v>
      </c>
      <c r="AS2010" s="263"/>
      <c r="AT2010" s="263"/>
      <c r="AU2010" s="263"/>
      <c r="AV2010" s="264"/>
      <c r="AW2010" s="263"/>
      <c r="AX2010" s="263"/>
      <c r="AY2010" s="263"/>
      <c r="AZ2010" s="263"/>
      <c r="BA2010" s="263"/>
      <c r="BB2010" s="263"/>
      <c r="BC2010" s="263"/>
      <c r="BD2010" s="264"/>
      <c r="BE2010" s="263"/>
      <c r="BF2010" s="263"/>
      <c r="BG2010" s="263"/>
      <c r="BH2010" s="263"/>
      <c r="BI2010" s="263"/>
      <c r="BJ2010" s="404">
        <f>altaz(J2000_Bas,$O2010,$M2010,DecLat,DecLong,2)</f>
        <v>317.15314684622069</v>
      </c>
      <c r="BK2010" s="378" t="s">
        <v>1940</v>
      </c>
      <c r="BL2010" s="379">
        <f>IF((2*G2010)/60&lt;0.2,0.2,(2*G2010)/60)</f>
        <v>0.2</v>
      </c>
      <c r="BM2010" s="380">
        <f>MOD((50000+AD2010-$B$3+(0/24)),1)</f>
        <v>0.71951683920633513</v>
      </c>
      <c r="BN2010" s="381"/>
      <c r="BO2010" s="382">
        <v>2001</v>
      </c>
    </row>
    <row r="2011" spans="1:67" s="24" customFormat="1" ht="15" customHeight="1" x14ac:dyDescent="0.25">
      <c r="A2011" s="288" t="s">
        <v>1941</v>
      </c>
      <c r="B2011" s="241" t="str">
        <f>HYPERLINK(CONCATENATE($AT$3,BK2011,$AU$3),$AV$3)</f>
        <v>S</v>
      </c>
      <c r="C2011" s="242" t="str">
        <f>HYPERLINK(CONCATENATE($AT$4,BK2011,$AU$4,BL2011),$AV$4)</f>
        <v>A</v>
      </c>
      <c r="D2011" s="243" t="s">
        <v>5638</v>
      </c>
      <c r="E2011" s="244" t="s">
        <v>7538</v>
      </c>
      <c r="F2011" s="269" t="s">
        <v>8895</v>
      </c>
      <c r="G2011" s="276">
        <v>20</v>
      </c>
      <c r="H2011" s="283">
        <v>16</v>
      </c>
      <c r="I2011" s="246">
        <v>100</v>
      </c>
      <c r="J2011" s="246">
        <v>2</v>
      </c>
      <c r="K2011" s="247" t="s">
        <v>7810</v>
      </c>
      <c r="L2011" s="248">
        <v>121643</v>
      </c>
      <c r="M2011" s="249">
        <f>15*(LEFT(TEXT($L2011,"000000"),2)+(MID(TEXT($L2011,"000000"),3,2)/60)+(RIGHT(TEXT($L2011,"000000"),2)/3600))</f>
        <v>184.17916666666667</v>
      </c>
      <c r="N2011" s="250">
        <v>692750</v>
      </c>
      <c r="O2011" s="251">
        <f>IF($N2011&gt;0,(LEFT(TEXT($N2011,"000000"),2)+(MID(TEXT($N2011,"000000"),3,2)/60)+(RIGHT(TEXT($N2011,"000000"),2)/3600)),-(MID(TEXT($N2011,"000000"),2,2)+(MID(TEXT($N2011,"000000"),4,2)/60)+(RIGHT(TEXT($N2011,"000000"),2)/3600)))</f>
        <v>69.463888888888889</v>
      </c>
      <c r="P2011" s="252" t="s">
        <v>34</v>
      </c>
      <c r="Q2011" s="253"/>
      <c r="R2011" s="247" t="s">
        <v>7327</v>
      </c>
      <c r="S2011" s="272" t="s">
        <v>3293</v>
      </c>
      <c r="T2011" s="273">
        <v>9.6</v>
      </c>
      <c r="U2011" s="289">
        <v>23.89</v>
      </c>
      <c r="V2011" s="280">
        <v>75</v>
      </c>
      <c r="W2011" s="244"/>
      <c r="X2011" s="244"/>
      <c r="Y2011" s="362"/>
      <c r="Z2011" s="257">
        <f>altaz(J2000_Bas,$O2011,$M2011,DecLat,DecLong,1)</f>
        <v>24.878610397112357</v>
      </c>
      <c r="AA2011" s="257">
        <f>altaz((J2000_Bas+(2*0.04167)),$O2011,$M2011,DecLat,DecLong,1)</f>
        <v>16.34764251028782</v>
      </c>
      <c r="AB2011" s="257">
        <f>altaz((J2000_Bas+(4*0.04167)),$O2011,$M2011,DecLat,DecLong,1)</f>
        <v>11.32329381683406</v>
      </c>
      <c r="AC2011" s="257">
        <f>altaz((J2000_Bas+(6*0.04167)),$O2011,$M2011,DecLat,DecLong,1)</f>
        <v>10.851899888208658</v>
      </c>
      <c r="AD2011" s="258">
        <f>1+ transit((J2000_Bas-1),$O2011,$M2011,DecLat,DecLong)/360 + (GMTOffset/24) + (IF(DST="Y", 1, 0)/24)</f>
        <v>1.5045087057651247</v>
      </c>
      <c r="AE2011" s="259">
        <f>DATE(2001,9,21)+(M2011/360)*365 - (360*((DecLong/360)- (GMTOffset/24) ))</f>
        <v>37346.737210648149</v>
      </c>
      <c r="AF2011" s="260">
        <f>IF(DecLat&gt;0,IF((90 - (DecLat-O2011))&gt;90, (90 - (O2011-DecLat)), (90 - (DecLat-O2011))),IF((90 + (DecLat-O2011))&gt;90, (90 + (O2011-DecLat)), (90 + (DecLat-O2011))))</f>
        <v>51.536111111111111</v>
      </c>
      <c r="AG2011" s="257">
        <f>angularseperation(MoonRA,MoonDec,$M2011,$O2011)</f>
        <v>107.13824897126491</v>
      </c>
      <c r="AH2011" s="261">
        <f ca="1">MIN(100,IF($O$5&gt;80,0+30*($AG2011/100),IF($O$5&gt;70,0+50*($AG2011/100),IF($O$5&gt;60,5+50*($AG2011/100),IF($O$5&gt;50,10+60*($AG2011/100),IF($O$5&gt;40,15+70*($AG2011/100),IF($O$5&gt;30,20+70*($AG2011/100),IF($O$5&gt;20,40+55*($AG2011/100),(80+(20-$O$5)+30*($AG2011/100))))))))))</f>
        <v>100</v>
      </c>
      <c r="AI2011" s="262">
        <v>4236</v>
      </c>
      <c r="AJ2011" s="262"/>
      <c r="AK2011" s="262"/>
      <c r="AL2011" s="263"/>
      <c r="AM2011" s="264">
        <v>3</v>
      </c>
      <c r="AN2011" s="263"/>
      <c r="AO2011" s="263"/>
      <c r="AP2011" s="265"/>
      <c r="AQ2011" s="266">
        <v>7306</v>
      </c>
      <c r="AR2011" s="267">
        <v>39346</v>
      </c>
      <c r="AS2011" s="263"/>
      <c r="AT2011" s="263"/>
      <c r="AU2011" s="263"/>
      <c r="AV2011" s="264"/>
      <c r="AW2011" s="263"/>
      <c r="AX2011" s="263"/>
      <c r="AY2011" s="263"/>
      <c r="AZ2011" s="263"/>
      <c r="BA2011" s="263"/>
      <c r="BB2011" s="263"/>
      <c r="BC2011" s="263"/>
      <c r="BD2011" s="264"/>
      <c r="BE2011" s="263"/>
      <c r="BF2011" s="263"/>
      <c r="BG2011" s="263"/>
      <c r="BH2011" s="263"/>
      <c r="BI2011" s="263"/>
      <c r="BJ2011" s="404">
        <f>altaz(J2000_Bas,$O2011,$M2011,DecLat,DecLong,2)</f>
        <v>337.76060850567694</v>
      </c>
      <c r="BK2011" s="378" t="s">
        <v>1941</v>
      </c>
      <c r="BL2011" s="379">
        <f>IF((2*G2011)/60&lt;0.2,0.2,(2*G2011)/60)</f>
        <v>0.66666666666666663</v>
      </c>
      <c r="BM2011" s="380">
        <f>MOD((50000+AD2011-$B$3+(0/24)),1)</f>
        <v>0.71987563547008904</v>
      </c>
      <c r="BN2011" s="381"/>
      <c r="BO2011" s="382">
        <v>2002</v>
      </c>
    </row>
    <row r="2012" spans="1:67" s="24" customFormat="1" ht="15" customHeight="1" x14ac:dyDescent="0.25">
      <c r="A2012" s="287" t="s">
        <v>1942</v>
      </c>
      <c r="B2012" s="241" t="str">
        <f>HYPERLINK(CONCATENATE($AT$3,BK2012,$AU$3),$AV$3)</f>
        <v>S</v>
      </c>
      <c r="C2012" s="242" t="str">
        <f>HYPERLINK(CONCATENATE($AT$4,BK2012,$AU$4,BL2012),$AV$4)</f>
        <v>A</v>
      </c>
      <c r="D2012" s="243" t="s">
        <v>5638</v>
      </c>
      <c r="E2012" s="244" t="s">
        <v>3259</v>
      </c>
      <c r="F2012" s="269"/>
      <c r="G2012" s="273">
        <v>5</v>
      </c>
      <c r="H2012" s="283">
        <v>22</v>
      </c>
      <c r="I2012" s="246">
        <v>32</v>
      </c>
      <c r="J2012" s="246">
        <v>2</v>
      </c>
      <c r="K2012" s="247" t="s">
        <v>7811</v>
      </c>
      <c r="L2012" s="248">
        <v>121730</v>
      </c>
      <c r="M2012" s="249">
        <f>15*(LEFT(TEXT($L2012,"000000"),2)+(MID(TEXT($L2012,"000000"),3,2)/60)+(RIGHT(TEXT($L2012,"000000"),2)/3600))</f>
        <v>184.375</v>
      </c>
      <c r="N2012" s="250">
        <v>453708</v>
      </c>
      <c r="O2012" s="251">
        <f>IF($N2012&gt;0,(LEFT(TEXT($N2012,"000000"),2)+(MID(TEXT($N2012,"000000"),3,2)/60)+(RIGHT(TEXT($N2012,"000000"),2)/3600)),-(MID(TEXT($N2012,"000000"),2,2)+(MID(TEXT($N2012,"000000"),4,2)/60)+(RIGHT(TEXT($N2012,"000000"),2)/3600)))</f>
        <v>45.61888888888889</v>
      </c>
      <c r="P2012" s="252" t="s">
        <v>242</v>
      </c>
      <c r="Q2012" s="253"/>
      <c r="R2012" s="277" t="s">
        <v>3293</v>
      </c>
      <c r="S2012" s="272" t="s">
        <v>3293</v>
      </c>
      <c r="T2012" s="273">
        <v>10.8</v>
      </c>
      <c r="U2012" s="289">
        <v>22.79</v>
      </c>
      <c r="V2012" s="280">
        <v>40</v>
      </c>
      <c r="W2012" s="244"/>
      <c r="X2012" s="244"/>
      <c r="Y2012" s="362"/>
      <c r="Z2012" s="257">
        <f>altaz(J2000_Bas,$O2012,$M2012,DecLat,DecLong,1)</f>
        <v>14.31570927341714</v>
      </c>
      <c r="AA2012" s="257">
        <f>altaz((J2000_Bas+(2*0.04167)),$O2012,$M2012,DecLat,DecLong,1)</f>
        <v>-1.7660760146446033</v>
      </c>
      <c r="AB2012" s="257">
        <f>altaz((J2000_Bas+(4*0.04167)),$O2012,$M2012,DecLat,DecLong,1)</f>
        <v>-11.62020609994374</v>
      </c>
      <c r="AC2012" s="257">
        <f>altaz((J2000_Bas+(6*0.04167)),$O2012,$M2012,DecLat,DecLong,1)</f>
        <v>-12.625829017647334</v>
      </c>
      <c r="AD2012" s="258">
        <f>1+ transit((J2000_Bas-1),$O2012,$M2012,DecLat,DecLong)/360 + (GMTOffset/24) + (IF(DST="Y", 1, 0)/24)</f>
        <v>1.5050526871922081</v>
      </c>
      <c r="AE2012" s="259">
        <f>DATE(2001,9,21)+(M2012/360)*365 - (360*((DecLong/360)- (GMTOffset/24) ))</f>
        <v>37346.935763888891</v>
      </c>
      <c r="AF2012" s="260">
        <f>IF(DecLat&gt;0,IF((90 - (DecLat-O2012))&gt;90, (90 - (O2012-DecLat)), (90 - (DecLat-O2012))),IF((90 + (DecLat-O2012))&gt;90, (90 + (O2012-DecLat)), (90 + (DecLat-O2012))))</f>
        <v>75.38111111111111</v>
      </c>
      <c r="AG2012" s="257">
        <f>angularseperation(MoonRA,MoonDec,$M2012,$O2012)</f>
        <v>93.492410998474796</v>
      </c>
      <c r="AH2012" s="261">
        <f ca="1">MIN(100,IF($O$5&gt;80,0+30*($AG2012/100),IF($O$5&gt;70,0+50*($AG2012/100),IF($O$5&gt;60,5+50*($AG2012/100),IF($O$5&gt;50,10+60*($AG2012/100),IF($O$5&gt;40,15+70*($AG2012/100),IF($O$5&gt;30,20+70*($AG2012/100),IF($O$5&gt;20,40+55*($AG2012/100),(80+(20-$O$5)+30*($AG2012/100))))))))))</f>
        <v>100</v>
      </c>
      <c r="AI2012" s="262">
        <v>4242</v>
      </c>
      <c r="AJ2012" s="263"/>
      <c r="AK2012" s="263"/>
      <c r="AL2012" s="263"/>
      <c r="AM2012" s="264"/>
      <c r="AN2012" s="263"/>
      <c r="AO2012" s="263"/>
      <c r="AP2012" s="265"/>
      <c r="AQ2012" s="265">
        <v>7323</v>
      </c>
      <c r="AR2012" s="285">
        <v>39423</v>
      </c>
      <c r="AS2012" s="263"/>
      <c r="AT2012" s="263"/>
      <c r="AU2012" s="263"/>
      <c r="AV2012" s="264"/>
      <c r="AW2012" s="263"/>
      <c r="AX2012" s="263"/>
      <c r="AY2012" s="263"/>
      <c r="AZ2012" s="263"/>
      <c r="BA2012" s="263"/>
      <c r="BB2012" s="263"/>
      <c r="BC2012" s="263"/>
      <c r="BD2012" s="264"/>
      <c r="BE2012" s="263"/>
      <c r="BF2012" s="263"/>
      <c r="BG2012" s="263"/>
      <c r="BH2012" s="263"/>
      <c r="BI2012" s="263"/>
      <c r="BJ2012" s="404">
        <f>altaz(J2000_Bas,$O2012,$M2012,DecLat,DecLong,2)</f>
        <v>315.00630945154148</v>
      </c>
      <c r="BK2012" s="378" t="s">
        <v>1942</v>
      </c>
      <c r="BL2012" s="379">
        <f>IF((2*G2012)/60&lt;0.2,0.2,(2*G2012)/60)</f>
        <v>0.2</v>
      </c>
      <c r="BM2012" s="380">
        <f>MOD((50000+AD2012-$B$3+(0/24)),1)</f>
        <v>0.72041961689683376</v>
      </c>
      <c r="BN2012" s="381"/>
      <c r="BO2012" s="382">
        <v>2003</v>
      </c>
    </row>
    <row r="2013" spans="1:67" s="24" customFormat="1" ht="15" customHeight="1" x14ac:dyDescent="0.25">
      <c r="A2013" s="288" t="s">
        <v>1943</v>
      </c>
      <c r="B2013" s="241" t="str">
        <f>HYPERLINK(CONCATENATE($AT$3,BK2013,$AU$3),$AV$3)</f>
        <v>S</v>
      </c>
      <c r="C2013" s="242" t="str">
        <f>HYPERLINK(CONCATENATE($AT$4,BK2013,$AU$4,BL2013),$AV$4)</f>
        <v>A</v>
      </c>
      <c r="D2013" s="243" t="s">
        <v>5638</v>
      </c>
      <c r="E2013" s="244" t="s">
        <v>5192</v>
      </c>
      <c r="F2013" s="269" t="s">
        <v>8691</v>
      </c>
      <c r="G2013" s="276">
        <v>17</v>
      </c>
      <c r="H2013" s="283">
        <v>14</v>
      </c>
      <c r="I2013" s="246">
        <v>70</v>
      </c>
      <c r="J2013" s="246">
        <v>2</v>
      </c>
      <c r="K2013" s="247" t="s">
        <v>7812</v>
      </c>
      <c r="L2013" s="248">
        <v>121730</v>
      </c>
      <c r="M2013" s="249">
        <f>15*(LEFT(TEXT($L2013,"000000"),2)+(MID(TEXT($L2013,"000000"),3,2)/60)+(RIGHT(TEXT($L2013,"000000"),2)/3600))</f>
        <v>184.375</v>
      </c>
      <c r="N2013" s="250">
        <v>374827</v>
      </c>
      <c r="O2013" s="251">
        <f>IF($N2013&gt;0,(LEFT(TEXT($N2013,"000000"),2)+(MID(TEXT($N2013,"000000"),3,2)/60)+(RIGHT(TEXT($N2013,"000000"),2)/3600)),-(MID(TEXT($N2013,"000000"),2,2)+(MID(TEXT($N2013,"000000"),4,2)/60)+(RIGHT(TEXT($N2013,"000000"),2)/3600)))</f>
        <v>37.807499999999997</v>
      </c>
      <c r="P2013" s="252" t="s">
        <v>242</v>
      </c>
      <c r="Q2013" s="253" t="s">
        <v>6903</v>
      </c>
      <c r="R2013" s="247" t="s">
        <v>7350</v>
      </c>
      <c r="S2013" s="272" t="s">
        <v>3293</v>
      </c>
      <c r="T2013" s="273">
        <v>10.4</v>
      </c>
      <c r="U2013" s="289">
        <v>22.89</v>
      </c>
      <c r="V2013" s="280">
        <v>90</v>
      </c>
      <c r="W2013" s="244"/>
      <c r="X2013" s="244"/>
      <c r="Y2013" s="362"/>
      <c r="Z2013" s="257">
        <f>altaz(J2000_Bas,$O2013,$M2013,DecLat,DecLong,1)</f>
        <v>10.324832777210265</v>
      </c>
      <c r="AA2013" s="257">
        <f>altaz((J2000_Bas+(2*0.04167)),$O2013,$M2013,DecLat,DecLong,1)</f>
        <v>-7.7525557525501636</v>
      </c>
      <c r="AB2013" s="257">
        <f>altaz((J2000_Bas+(4*0.04167)),$O2013,$M2013,DecLat,DecLong,1)</f>
        <v>-19.123785705635726</v>
      </c>
      <c r="AC2013" s="257">
        <f>altaz((J2000_Bas+(6*0.04167)),$O2013,$M2013,DecLat,DecLong,1)</f>
        <v>-20.303557804520146</v>
      </c>
      <c r="AD2013" s="258">
        <f>1+ transit((J2000_Bas-1),$O2013,$M2013,DecLat,DecLong)/360 + (GMTOffset/24) + (IF(DST="Y", 1, 0)/24)</f>
        <v>1.5050526871922081</v>
      </c>
      <c r="AE2013" s="259">
        <f>DATE(2001,9,21)+(M2013/360)*365 - (360*((DecLong/360)- (GMTOffset/24) ))</f>
        <v>37346.935763888891</v>
      </c>
      <c r="AF2013" s="260">
        <f>IF(DecLat&gt;0,IF((90 - (DecLat-O2013))&gt;90, (90 - (O2013-DecLat)), (90 - (DecLat-O2013))),IF((90 + (DecLat-O2013))&gt;90, (90 + (O2013-DecLat)), (90 + (DecLat-O2013))))</f>
        <v>83.192499999999995</v>
      </c>
      <c r="AG2013" s="257">
        <f>angularseperation(MoonRA,MoonDec,$M2013,$O2013)</f>
        <v>88.873373725426546</v>
      </c>
      <c r="AH2013" s="261">
        <f ca="1">MIN(100,IF($O$5&gt;80,0+30*($AG2013/100),IF($O$5&gt;70,0+50*($AG2013/100),IF($O$5&gt;60,5+50*($AG2013/100),IF($O$5&gt;50,10+60*($AG2013/100),IF($O$5&gt;40,15+70*($AG2013/100),IF($O$5&gt;30,20+70*($AG2013/100),IF($O$5&gt;20,40+55*($AG2013/100),(80+(20-$O$5)+30*($AG2013/100))))))))))</f>
        <v>100</v>
      </c>
      <c r="AI2013" s="262">
        <v>4244</v>
      </c>
      <c r="AJ2013" s="262"/>
      <c r="AK2013" s="262"/>
      <c r="AL2013" s="263"/>
      <c r="AM2013" s="264">
        <v>26</v>
      </c>
      <c r="AN2013" s="263"/>
      <c r="AO2013" s="263"/>
      <c r="AP2013" s="265"/>
      <c r="AQ2013" s="266">
        <v>7322</v>
      </c>
      <c r="AR2013" s="267">
        <v>39422</v>
      </c>
      <c r="AS2013" s="263"/>
      <c r="AT2013" s="263"/>
      <c r="AU2013" s="263"/>
      <c r="AV2013" s="264"/>
      <c r="AW2013" s="263"/>
      <c r="AX2013" s="263"/>
      <c r="AY2013" s="263"/>
      <c r="AZ2013" s="263"/>
      <c r="BA2013" s="263"/>
      <c r="BB2013" s="263"/>
      <c r="BC2013" s="263"/>
      <c r="BD2013" s="264"/>
      <c r="BE2013" s="263"/>
      <c r="BF2013" s="263"/>
      <c r="BG2013" s="263"/>
      <c r="BH2013" s="263"/>
      <c r="BI2013" s="263"/>
      <c r="BJ2013" s="404">
        <f>altaz(J2000_Bas,$O2013,$M2013,DecLat,DecLong,2)</f>
        <v>308.13128086217483</v>
      </c>
      <c r="BK2013" s="378" t="s">
        <v>1943</v>
      </c>
      <c r="BL2013" s="379">
        <f>IF((2*G2013)/60&lt;0.2,0.2,(2*G2013)/60)</f>
        <v>0.56666666666666665</v>
      </c>
      <c r="BM2013" s="380">
        <f>MOD((50000+AD2013-$B$3+(0/24)),1)</f>
        <v>0.72041961689683376</v>
      </c>
      <c r="BN2013" s="381"/>
      <c r="BO2013" s="382">
        <v>2004</v>
      </c>
    </row>
    <row r="2014" spans="1:67" s="24" customFormat="1" ht="15" customHeight="1" x14ac:dyDescent="0.25">
      <c r="A2014" s="287" t="s">
        <v>1944</v>
      </c>
      <c r="B2014" s="241" t="str">
        <f>HYPERLINK(CONCATENATE($AT$3,BK2014,$AU$3),$AV$3)</f>
        <v>S</v>
      </c>
      <c r="C2014" s="242" t="str">
        <f>HYPERLINK(CONCATENATE($AT$4,BK2014,$AU$4,BL2014),$AV$4)</f>
        <v>A</v>
      </c>
      <c r="D2014" s="243" t="s">
        <v>5638</v>
      </c>
      <c r="E2014" s="244" t="s">
        <v>5182</v>
      </c>
      <c r="F2014" s="269" t="s">
        <v>8970</v>
      </c>
      <c r="G2014" s="273">
        <v>2.6</v>
      </c>
      <c r="H2014" s="283">
        <v>40</v>
      </c>
      <c r="I2014" s="246">
        <v>30</v>
      </c>
      <c r="J2014" s="246">
        <v>2</v>
      </c>
      <c r="K2014" s="247" t="s">
        <v>7813</v>
      </c>
      <c r="L2014" s="248">
        <v>121737</v>
      </c>
      <c r="M2014" s="249">
        <f>15*(LEFT(TEXT($L2014,"000000"),2)+(MID(TEXT($L2014,"000000"),3,2)/60)+(RIGHT(TEXT($L2014,"000000"),2)/3600))</f>
        <v>184.40416666666667</v>
      </c>
      <c r="N2014" s="250">
        <v>293628</v>
      </c>
      <c r="O2014" s="251">
        <f>IF($N2014&gt;0,(LEFT(TEXT($N2014,"000000"),2)+(MID(TEXT($N2014,"000000"),3,2)/60)+(RIGHT(TEXT($N2014,"000000"),2)/3600)),-(MID(TEXT($N2014,"000000"),2,2)+(MID(TEXT($N2014,"000000"),4,2)/60)+(RIGHT(TEXT($N2014,"000000"),2)/3600)))</f>
        <v>29.60777777777778</v>
      </c>
      <c r="P2014" s="252" t="s">
        <v>190</v>
      </c>
      <c r="Q2014" s="253"/>
      <c r="R2014" s="277" t="s">
        <v>3293</v>
      </c>
      <c r="S2014" s="272" t="s">
        <v>3293</v>
      </c>
      <c r="T2014" s="273">
        <v>11.4</v>
      </c>
      <c r="U2014" s="289">
        <v>22.19</v>
      </c>
      <c r="V2014" s="280">
        <v>60</v>
      </c>
      <c r="W2014" s="244"/>
      <c r="X2014" s="244"/>
      <c r="Y2014" s="362"/>
      <c r="Z2014" s="257">
        <f>altaz(J2000_Bas,$O2014,$M2014,DecLat,DecLong,1)</f>
        <v>6.0056728960847439</v>
      </c>
      <c r="AA2014" s="257">
        <f>altaz((J2000_Bas+(2*0.04167)),$O2014,$M2014,DecLat,DecLong,1)</f>
        <v>-13.953536007361757</v>
      </c>
      <c r="AB2014" s="257">
        <f>altaz((J2000_Bas+(4*0.04167)),$O2014,$M2014,DecLat,DecLong,1)</f>
        <v>-26.96013486574061</v>
      </c>
      <c r="AC2014" s="257">
        <f>altaz((J2000_Bas+(6*0.04167)),$O2014,$M2014,DecLat,DecLong,1)</f>
        <v>-28.352686143206462</v>
      </c>
      <c r="AD2014" s="258">
        <f>1+ transit((J2000_Bas-1),$O2014,$M2014,DecLat,DecLong)/360 + (GMTOffset/24) + (IF(DST="Y", 1, 0)/24)</f>
        <v>1.5051337057026248</v>
      </c>
      <c r="AE2014" s="259">
        <f>DATE(2001,9,21)+(M2014/360)*365 - (360*((DecLong/360)- (GMTOffset/24) ))</f>
        <v>37346.96533564815</v>
      </c>
      <c r="AF2014" s="260">
        <f>IF(DecLat&gt;0,IF((90 - (DecLat-O2014))&gt;90, (90 - (O2014-DecLat)), (90 - (DecLat-O2014))),IF((90 + (DecLat-O2014))&gt;90, (90 + (O2014-DecLat)), (90 + (DecLat-O2014))))</f>
        <v>88.607777777777784</v>
      </c>
      <c r="AG2014" s="257">
        <f>angularseperation(MoonRA,MoonDec,$M2014,$O2014)</f>
        <v>84.019854151407728</v>
      </c>
      <c r="AH2014" s="261">
        <f ca="1">MIN(100,IF($O$5&gt;80,0+30*($AG2014/100),IF($O$5&gt;70,0+50*($AG2014/100),IF($O$5&gt;60,5+50*($AG2014/100),IF($O$5&gt;50,10+60*($AG2014/100),IF($O$5&gt;40,15+70*($AG2014/100),IF($O$5&gt;30,20+70*($AG2014/100),IF($O$5&gt;20,40+55*($AG2014/100),(80+(20-$O$5)+30*($AG2014/100))))))))))</f>
        <v>100</v>
      </c>
      <c r="AI2014" s="262">
        <v>4245</v>
      </c>
      <c r="AJ2014" s="263"/>
      <c r="AK2014" s="263">
        <v>219</v>
      </c>
      <c r="AL2014" s="263"/>
      <c r="AM2014" s="264"/>
      <c r="AN2014" s="263"/>
      <c r="AO2014" s="263"/>
      <c r="AP2014" s="265"/>
      <c r="AQ2014" s="265">
        <v>7328</v>
      </c>
      <c r="AR2014" s="285">
        <v>39437</v>
      </c>
      <c r="AS2014" s="263"/>
      <c r="AT2014" s="263"/>
      <c r="AU2014" s="263"/>
      <c r="AV2014" s="264"/>
      <c r="AW2014" s="263"/>
      <c r="AX2014" s="263"/>
      <c r="AY2014" s="263"/>
      <c r="AZ2014" s="263"/>
      <c r="BA2014" s="263"/>
      <c r="BB2014" s="263"/>
      <c r="BC2014" s="263"/>
      <c r="BD2014" s="264"/>
      <c r="BE2014" s="263"/>
      <c r="BF2014" s="263"/>
      <c r="BG2014" s="263"/>
      <c r="BH2014" s="263"/>
      <c r="BI2014" s="263"/>
      <c r="BJ2014" s="404">
        <f>altaz(J2000_Bas,$O2014,$M2014,DecLat,DecLong,2)</f>
        <v>301.08803877246396</v>
      </c>
      <c r="BK2014" s="378" t="s">
        <v>1944</v>
      </c>
      <c r="BL2014" s="379">
        <f>IF((2*G2014)/60&lt;0.2,0.2,(2*G2014)/60)</f>
        <v>0.2</v>
      </c>
      <c r="BM2014" s="380">
        <f>MOD((50000+AD2014-$B$3+(0/24)),1)</f>
        <v>0.7205006354051875</v>
      </c>
      <c r="BN2014" s="381"/>
      <c r="BO2014" s="382">
        <v>2005</v>
      </c>
    </row>
    <row r="2015" spans="1:67" s="24" customFormat="1" ht="15" customHeight="1" x14ac:dyDescent="0.25">
      <c r="A2015" s="288" t="s">
        <v>3138</v>
      </c>
      <c r="B2015" s="241" t="str">
        <f>HYPERLINK(CONCATENATE($AT$3,BK2015,$AU$3),$AV$3)</f>
        <v>S</v>
      </c>
      <c r="C2015" s="242" t="str">
        <f>HYPERLINK(CONCATENATE($AT$4,BK2015,$AU$4,BL2015),$AV$4)</f>
        <v>A</v>
      </c>
      <c r="D2015" s="243" t="s">
        <v>5638</v>
      </c>
      <c r="E2015" s="244" t="s">
        <v>5182</v>
      </c>
      <c r="F2015" s="269" t="s">
        <v>8971</v>
      </c>
      <c r="G2015" s="273">
        <v>3.4</v>
      </c>
      <c r="H2015" s="283">
        <v>90</v>
      </c>
      <c r="I2015" s="246">
        <v>90</v>
      </c>
      <c r="J2015" s="246">
        <v>2</v>
      </c>
      <c r="K2015" s="247" t="s">
        <v>7814</v>
      </c>
      <c r="L2015" s="248">
        <v>121726</v>
      </c>
      <c r="M2015" s="249">
        <f>15*(LEFT(TEXT($L2015,"000000"),2)+(MID(TEXT($L2015,"000000"),3,2)/60)+(RIGHT(TEXT($L2015,"000000"),2)/3600))</f>
        <v>184.35833333333332</v>
      </c>
      <c r="N2015" s="250">
        <v>704806</v>
      </c>
      <c r="O2015" s="251">
        <f>IF($N2015&gt;0,(LEFT(TEXT($N2015,"000000"),2)+(MID(TEXT($N2015,"000000"),3,2)/60)+(RIGHT(TEXT($N2015,"000000"),2)/3600)),-(MID(TEXT($N2015,"000000"),2,2)+(MID(TEXT($N2015,"000000"),4,2)/60)+(RIGHT(TEXT($N2015,"000000"),2)/3600)))</f>
        <v>70.801666666666662</v>
      </c>
      <c r="P2015" s="252" t="s">
        <v>34</v>
      </c>
      <c r="Q2015" s="253"/>
      <c r="R2015" s="277" t="s">
        <v>3293</v>
      </c>
      <c r="S2015" s="272" t="s">
        <v>3293</v>
      </c>
      <c r="T2015" s="273">
        <v>11.8</v>
      </c>
      <c r="U2015" s="289">
        <v>22.39</v>
      </c>
      <c r="V2015" s="280">
        <v>45</v>
      </c>
      <c r="W2015" s="244"/>
      <c r="X2015" s="244"/>
      <c r="Y2015" s="362"/>
      <c r="Z2015" s="257">
        <f>altaz(J2000_Bas,$O2015,$M2015,DecLat,DecLong,1)</f>
        <v>25.436049125972293</v>
      </c>
      <c r="AA2015" s="257">
        <f>altaz((J2000_Bas+(2*0.04167)),$O2015,$M2015,DecLat,DecLong,1)</f>
        <v>17.384354367129284</v>
      </c>
      <c r="AB2015" s="257">
        <f>altaz((J2000_Bas+(4*0.04167)),$O2015,$M2015,DecLat,DecLong,1)</f>
        <v>12.627132241813277</v>
      </c>
      <c r="AC2015" s="257">
        <f>altaz((J2000_Bas+(6*0.04167)),$O2015,$M2015,DecLat,DecLong,1)</f>
        <v>12.156349608561843</v>
      </c>
      <c r="AD2015" s="258">
        <f>1+ transit((J2000_Bas-1),$O2015,$M2015,DecLat,DecLong)/360 + (GMTOffset/24) + (IF(DST="Y", 1, 0)/24)</f>
        <v>1.5050063909005413</v>
      </c>
      <c r="AE2015" s="259">
        <f>DATE(2001,9,21)+(M2015/360)*365 - (360*((DecLong/360)- (GMTOffset/24) ))</f>
        <v>37346.918865740743</v>
      </c>
      <c r="AF2015" s="260">
        <f>IF(DecLat&gt;0,IF((90 - (DecLat-O2015))&gt;90, (90 - (O2015-DecLat)), (90 - (DecLat-O2015))),IF((90 + (DecLat-O2015))&gt;90, (90 + (O2015-DecLat)), (90 + (DecLat-O2015))))</f>
        <v>50.198333333333338</v>
      </c>
      <c r="AG2015" s="257">
        <f>angularseperation(MoonRA,MoonDec,$M2015,$O2015)</f>
        <v>107.80054517588187</v>
      </c>
      <c r="AH2015" s="261">
        <f ca="1">MIN(100,IF($O$5&gt;80,0+30*($AG2015/100),IF($O$5&gt;70,0+50*($AG2015/100),IF($O$5&gt;60,5+50*($AG2015/100),IF($O$5&gt;50,10+60*($AG2015/100),IF($O$5&gt;40,15+70*($AG2015/100),IF($O$5&gt;30,20+70*($AG2015/100),IF($O$5&gt;20,40+55*($AG2015/100),(80+(20-$O$5)+30*($AG2015/100))))))))))</f>
        <v>100</v>
      </c>
      <c r="AI2015" s="263">
        <v>4250</v>
      </c>
      <c r="AJ2015" s="263"/>
      <c r="AK2015" s="263"/>
      <c r="AL2015" s="263"/>
      <c r="AM2015" s="264"/>
      <c r="AN2015" s="263"/>
      <c r="AO2015" s="263"/>
      <c r="AP2015" s="265"/>
      <c r="AQ2015" s="265">
        <v>7329</v>
      </c>
      <c r="AR2015" s="285">
        <v>39414</v>
      </c>
      <c r="AS2015" s="263"/>
      <c r="AT2015" s="263"/>
      <c r="AU2015" s="263"/>
      <c r="AV2015" s="264"/>
      <c r="AW2015" s="263"/>
      <c r="AX2015" s="263"/>
      <c r="AY2015" s="263"/>
      <c r="AZ2015" s="263"/>
      <c r="BA2015" s="263"/>
      <c r="BB2015" s="263"/>
      <c r="BC2015" s="263"/>
      <c r="BD2015" s="264"/>
      <c r="BE2015" s="263"/>
      <c r="BF2015" s="263"/>
      <c r="BG2015" s="263"/>
      <c r="BH2015" s="263"/>
      <c r="BI2015" s="263"/>
      <c r="BJ2015" s="404">
        <f>altaz(J2000_Bas,$O2015,$M2015,DecLat,DecLong,2)</f>
        <v>339.10585288628619</v>
      </c>
      <c r="BK2015" s="378" t="s">
        <v>3138</v>
      </c>
      <c r="BL2015" s="379">
        <f>IF((2*G2015)/60&lt;0.2,0.2,(2*G2015)/60)</f>
        <v>0.2</v>
      </c>
      <c r="BM2015" s="380">
        <f>MOD((50000+AD2015-$B$3+(0/24)),1)</f>
        <v>0.72037332060426706</v>
      </c>
      <c r="BN2015" s="381"/>
      <c r="BO2015" s="382">
        <v>2006</v>
      </c>
    </row>
    <row r="2016" spans="1:67" s="24" customFormat="1" ht="15" customHeight="1" x14ac:dyDescent="0.25">
      <c r="A2016" s="287" t="s">
        <v>3002</v>
      </c>
      <c r="B2016" s="241" t="str">
        <f>HYPERLINK(CONCATENATE($AT$3,BK2016,$AU$3),$AV$3)</f>
        <v>S</v>
      </c>
      <c r="C2016" s="242" t="str">
        <f>HYPERLINK(CONCATENATE($AT$4,BK2016,$AU$4,BL2016),$AV$4)</f>
        <v>A</v>
      </c>
      <c r="D2016" s="243" t="s">
        <v>5638</v>
      </c>
      <c r="E2016" s="244" t="s">
        <v>5182</v>
      </c>
      <c r="F2016" s="269" t="s">
        <v>8972</v>
      </c>
      <c r="G2016" s="273">
        <v>3.6</v>
      </c>
      <c r="H2016" s="283">
        <v>62</v>
      </c>
      <c r="I2016" s="246">
        <v>70</v>
      </c>
      <c r="J2016" s="246">
        <v>2</v>
      </c>
      <c r="K2016" s="247" t="s">
        <v>7815</v>
      </c>
      <c r="L2016" s="248">
        <v>121812</v>
      </c>
      <c r="M2016" s="249">
        <f>15*(LEFT(TEXT($L2016,"000000"),2)+(MID(TEXT($L2016,"000000"),3,2)/60)+(RIGHT(TEXT($L2016,"000000"),2)/3600))</f>
        <v>184.55</v>
      </c>
      <c r="N2016" s="250">
        <v>281100</v>
      </c>
      <c r="O2016" s="251">
        <f>IF($N2016&gt;0,(LEFT(TEXT($N2016,"000000"),2)+(MID(TEXT($N2016,"000000"),3,2)/60)+(RIGHT(TEXT($N2016,"000000"),2)/3600)),-(MID(TEXT($N2016,"000000"),2,2)+(MID(TEXT($N2016,"000000"),4,2)/60)+(RIGHT(TEXT($N2016,"000000"),2)/3600)))</f>
        <v>28.183333333333334</v>
      </c>
      <c r="P2016" s="252" t="s">
        <v>190</v>
      </c>
      <c r="Q2016" s="253"/>
      <c r="R2016" s="277" t="s">
        <v>3293</v>
      </c>
      <c r="S2016" s="272" t="s">
        <v>3293</v>
      </c>
      <c r="T2016" s="273">
        <v>10.7</v>
      </c>
      <c r="U2016" s="289">
        <v>21.29</v>
      </c>
      <c r="V2016" s="280">
        <v>90</v>
      </c>
      <c r="W2016" s="244"/>
      <c r="X2016" s="244"/>
      <c r="Y2016" s="362"/>
      <c r="Z2016" s="257">
        <f>altaz(J2000_Bas,$O2016,$M2016,DecLat,DecLong,1)</f>
        <v>5.3495052371070448</v>
      </c>
      <c r="AA2016" s="257">
        <f>altaz((J2000_Bas+(2*0.04167)),$O2016,$M2016,DecLat,DecLong,1)</f>
        <v>-14.93688653618257</v>
      </c>
      <c r="AB2016" s="257">
        <f>altaz((J2000_Bas+(4*0.04167)),$O2016,$M2016,DecLat,DecLong,1)</f>
        <v>-28.278429847774905</v>
      </c>
      <c r="AC2016" s="257">
        <f>altaz((J2000_Bas+(6*0.04167)),$O2016,$M2016,DecLat,DecLong,1)</f>
        <v>-29.77385401831463</v>
      </c>
      <c r="AD2016" s="258">
        <f>1+ transit((J2000_Bas-1),$O2016,$M2016,DecLat,DecLong)/360 + (GMTOffset/24) + (IF(DST="Y", 1, 0)/24)</f>
        <v>1.5055387982547079</v>
      </c>
      <c r="AE2016" s="259">
        <f>DATE(2001,9,21)+(M2016/360)*365 - (360*((DecLong/360)- (GMTOffset/24) ))</f>
        <v>37347.113194444442</v>
      </c>
      <c r="AF2016" s="260">
        <f>IF(DecLat&gt;0,IF((90 - (DecLat-O2016))&gt;90, (90 - (O2016-DecLat)), (90 - (DecLat-O2016))),IF((90 + (DecLat-O2016))&gt;90, (90 + (O2016-DecLat)), (90 + (DecLat-O2016))))</f>
        <v>87.183333333333337</v>
      </c>
      <c r="AG2016" s="257">
        <f>angularseperation(MoonRA,MoonDec,$M2016,$O2016)</f>
        <v>83.082036481357733</v>
      </c>
      <c r="AH2016" s="261">
        <f ca="1">MIN(100,IF($O$5&gt;80,0+30*($AG2016/100),IF($O$5&gt;70,0+50*($AG2016/100),IF($O$5&gt;60,5+50*($AG2016/100),IF($O$5&gt;50,10+60*($AG2016/100),IF($O$5&gt;40,15+70*($AG2016/100),IF($O$5&gt;30,20+70*($AG2016/100),IF($O$5&gt;20,40+55*($AG2016/100),(80+(20-$O$5)+30*($AG2016/100))))))))))</f>
        <v>100</v>
      </c>
      <c r="AI2016" s="262">
        <v>4251</v>
      </c>
      <c r="AJ2016" s="263"/>
      <c r="AK2016" s="263">
        <v>220</v>
      </c>
      <c r="AL2016" s="263"/>
      <c r="AM2016" s="264"/>
      <c r="AN2016" s="263"/>
      <c r="AO2016" s="263"/>
      <c r="AP2016" s="265"/>
      <c r="AQ2016" s="265">
        <v>7338</v>
      </c>
      <c r="AR2016" s="285">
        <v>39492</v>
      </c>
      <c r="AS2016" s="263"/>
      <c r="AT2016" s="263"/>
      <c r="AU2016" s="263"/>
      <c r="AV2016" s="264"/>
      <c r="AW2016" s="263"/>
      <c r="AX2016" s="263"/>
      <c r="AY2016" s="263"/>
      <c r="AZ2016" s="263"/>
      <c r="BA2016" s="263"/>
      <c r="BB2016" s="263"/>
      <c r="BC2016" s="263"/>
      <c r="BD2016" s="264"/>
      <c r="BE2016" s="263"/>
      <c r="BF2016" s="263"/>
      <c r="BG2016" s="263"/>
      <c r="BH2016" s="263"/>
      <c r="BI2016" s="263"/>
      <c r="BJ2016" s="404">
        <f>altaz(J2000_Bas,$O2016,$M2016,DecLat,DecLong,2)</f>
        <v>299.81102451333584</v>
      </c>
      <c r="BK2016" s="378" t="s">
        <v>3002</v>
      </c>
      <c r="BL2016" s="379">
        <f>IF((2*G2016)/60&lt;0.2,0.2,(2*G2016)/60)</f>
        <v>0.2</v>
      </c>
      <c r="BM2016" s="380">
        <f>MOD((50000+AD2016-$B$3+(0/24)),1)</f>
        <v>0.72090572796150809</v>
      </c>
      <c r="BN2016" s="381"/>
      <c r="BO2016" s="382">
        <v>2007</v>
      </c>
    </row>
    <row r="2017" spans="1:67" s="24" customFormat="1" ht="15" customHeight="1" x14ac:dyDescent="0.25">
      <c r="A2017" s="287" t="s">
        <v>1945</v>
      </c>
      <c r="B2017" s="241" t="str">
        <f>HYPERLINK(CONCATENATE($AT$3,BK2017,$AU$3),$AV$3)</f>
        <v>S</v>
      </c>
      <c r="C2017" s="242" t="str">
        <f>HYPERLINK(CONCATENATE($AT$4,BK2017,$AU$4,BL2017),$AV$4)</f>
        <v>A</v>
      </c>
      <c r="D2017" s="243" t="s">
        <v>5638</v>
      </c>
      <c r="E2017" s="244" t="s">
        <v>5192</v>
      </c>
      <c r="F2017" s="269" t="s">
        <v>8932</v>
      </c>
      <c r="G2017" s="273">
        <v>3.8</v>
      </c>
      <c r="H2017" s="283">
        <v>150</v>
      </c>
      <c r="I2017" s="246">
        <v>170</v>
      </c>
      <c r="J2017" s="246">
        <v>2</v>
      </c>
      <c r="K2017" s="247" t="s">
        <v>7816</v>
      </c>
      <c r="L2017" s="248">
        <v>121922</v>
      </c>
      <c r="M2017" s="249">
        <f>15*(LEFT(TEXT($L2017,"000000"),2)+(MID(TEXT($L2017,"000000"),3,2)/60)+(RIGHT(TEXT($L2017,"000000"),2)/3600))</f>
        <v>184.84166666666664</v>
      </c>
      <c r="N2017" s="250">
        <v>60556</v>
      </c>
      <c r="O2017" s="251">
        <f>IF($N2017&gt;0,(LEFT(TEXT($N2017,"000000"),2)+(MID(TEXT($N2017,"000000"),3,2)/60)+(RIGHT(TEXT($N2017,"000000"),2)/3600)),-(MID(TEXT($N2017,"000000"),2,2)+(MID(TEXT($N2017,"000000"),4,2)/60)+(RIGHT(TEXT($N2017,"000000"),2)/3600)))</f>
        <v>6.0988888888888884</v>
      </c>
      <c r="P2017" s="252" t="s">
        <v>61</v>
      </c>
      <c r="Q2017" s="253"/>
      <c r="R2017" s="277" t="s">
        <v>3293</v>
      </c>
      <c r="S2017" s="272" t="s">
        <v>3293</v>
      </c>
      <c r="T2017" s="273">
        <v>11.8</v>
      </c>
      <c r="U2017" s="289">
        <v>21.89</v>
      </c>
      <c r="V2017" s="280">
        <v>70</v>
      </c>
      <c r="W2017" s="244"/>
      <c r="X2017" s="244"/>
      <c r="Y2017" s="362"/>
      <c r="Z2017" s="257">
        <f>altaz(J2000_Bas,$O2017,$M2017,DecLat,DecLong,1)</f>
        <v>-6.3302552878950848</v>
      </c>
      <c r="AA2017" s="257">
        <f>altaz((J2000_Bas+(2*0.04167)),$O2017,$M2017,DecLat,DecLong,1)</f>
        <v>-30.477530353691584</v>
      </c>
      <c r="AB2017" s="257">
        <f>altaz((J2000_Bas+(4*0.04167)),$O2017,$M2017,DecLat,DecLong,1)</f>
        <v>-48.828748337314202</v>
      </c>
      <c r="AC2017" s="257">
        <f>altaz((J2000_Bas+(6*0.04167)),$O2017,$M2017,DecLat,DecLong,1)</f>
        <v>-51.328150495664353</v>
      </c>
      <c r="AD2017" s="258">
        <f>1+ transit((J2000_Bas-1),$O2017,$M2017,DecLat,DecLong)/360 + (GMTOffset/24) + (IF(DST="Y", 1, 0)/24)</f>
        <v>1.5063489833588746</v>
      </c>
      <c r="AE2017" s="259">
        <f>DATE(2001,9,21)+(M2017/360)*365 - (360*((DecLong/360)- (GMTOffset/24) ))</f>
        <v>37347.408912037034</v>
      </c>
      <c r="AF2017" s="260">
        <f>IF(DecLat&gt;0,IF((90 - (DecLat-O2017))&gt;90, (90 - (O2017-DecLat)), (90 - (DecLat-O2017))),IF((90 + (DecLat-O2017))&gt;90, (90 + (O2017-DecLat)), (90 + (DecLat-O2017))))</f>
        <v>65.098888888888894</v>
      </c>
      <c r="AG2017" s="257">
        <f>angularseperation(MoonRA,MoonDec,$M2017,$O2017)</f>
        <v>70.479199754949917</v>
      </c>
      <c r="AH2017" s="261">
        <f ca="1">MIN(100,IF($O$5&gt;80,0+30*($AG2017/100),IF($O$5&gt;70,0+50*($AG2017/100),IF($O$5&gt;60,5+50*($AG2017/100),IF($O$5&gt;50,10+60*($AG2017/100),IF($O$5&gt;40,15+70*($AG2017/100),IF($O$5&gt;30,20+70*($AG2017/100),IF($O$5&gt;20,40+55*($AG2017/100),(80+(20-$O$5)+30*($AG2017/100))))))))))</f>
        <v>100</v>
      </c>
      <c r="AI2017" s="262">
        <v>4260</v>
      </c>
      <c r="AJ2017" s="263"/>
      <c r="AK2017" s="263"/>
      <c r="AL2017" s="263"/>
      <c r="AM2017" s="264"/>
      <c r="AN2017" s="263"/>
      <c r="AO2017" s="263"/>
      <c r="AP2017" s="265"/>
      <c r="AQ2017" s="265">
        <v>7361</v>
      </c>
      <c r="AR2017" s="285">
        <v>39656</v>
      </c>
      <c r="AS2017" s="263"/>
      <c r="AT2017" s="263"/>
      <c r="AU2017" s="263"/>
      <c r="AV2017" s="264"/>
      <c r="AW2017" s="263"/>
      <c r="AX2017" s="263"/>
      <c r="AY2017" s="263"/>
      <c r="AZ2017" s="263"/>
      <c r="BA2017" s="263"/>
      <c r="BB2017" s="263"/>
      <c r="BC2017" s="263"/>
      <c r="BD2017" s="264"/>
      <c r="BE2017" s="263"/>
      <c r="BF2017" s="263"/>
      <c r="BG2017" s="263"/>
      <c r="BH2017" s="263"/>
      <c r="BI2017" s="263"/>
      <c r="BJ2017" s="404">
        <f>altaz(J2000_Bas,$O2017,$M2017,DecLat,DecLong,2)</f>
        <v>281.03250665198402</v>
      </c>
      <c r="BK2017" s="378" t="s">
        <v>1945</v>
      </c>
      <c r="BL2017" s="379">
        <f>IF((2*G2017)/60&lt;0.2,0.2,(2*G2017)/60)</f>
        <v>0.2</v>
      </c>
      <c r="BM2017" s="380">
        <f>MOD((50000+AD2017-$B$3+(0/24)),1)</f>
        <v>0.72171591305959737</v>
      </c>
      <c r="BN2017" s="381"/>
      <c r="BO2017" s="382">
        <v>2008</v>
      </c>
    </row>
    <row r="2018" spans="1:67" s="24" customFormat="1" ht="15" customHeight="1" x14ac:dyDescent="0.25">
      <c r="A2018" s="287" t="s">
        <v>3003</v>
      </c>
      <c r="B2018" s="241" t="str">
        <f>HYPERLINK(CONCATENATE($AT$3,BK2018,$AU$3),$AV$3)</f>
        <v>S</v>
      </c>
      <c r="C2018" s="242" t="str">
        <f>HYPERLINK(CONCATENATE($AT$4,BK2018,$AU$4,BL2018),$AV$4)</f>
        <v>A</v>
      </c>
      <c r="D2018" s="243" t="s">
        <v>5638</v>
      </c>
      <c r="E2018" s="244" t="s">
        <v>5193</v>
      </c>
      <c r="F2018" s="269" t="s">
        <v>3304</v>
      </c>
      <c r="G2018" s="273">
        <v>3.8</v>
      </c>
      <c r="H2018" s="283">
        <v>100</v>
      </c>
      <c r="I2018" s="246">
        <v>110</v>
      </c>
      <c r="J2018" s="246">
        <v>2</v>
      </c>
      <c r="K2018" s="247" t="s">
        <v>7817</v>
      </c>
      <c r="L2018" s="248">
        <v>121924</v>
      </c>
      <c r="M2018" s="249">
        <f>15*(LEFT(TEXT($L2018,"000000"),2)+(MID(TEXT($L2018,"000000"),3,2)/60)+(RIGHT(TEXT($L2018,"000000"),2)/3600))</f>
        <v>184.85</v>
      </c>
      <c r="N2018" s="250">
        <v>55000</v>
      </c>
      <c r="O2018" s="251">
        <f>IF($N2018&gt;0,(LEFT(TEXT($N2018,"000000"),2)+(MID(TEXT($N2018,"000000"),3,2)/60)+(RIGHT(TEXT($N2018,"000000"),2)/3600)),-(MID(TEXT($N2018,"000000"),2,2)+(MID(TEXT($N2018,"000000"),4,2)/60)+(RIGHT(TEXT($N2018,"000000"),2)/3600)))</f>
        <v>5.833333333333333</v>
      </c>
      <c r="P2018" s="252" t="s">
        <v>61</v>
      </c>
      <c r="Q2018" s="253"/>
      <c r="R2018" s="277" t="s">
        <v>3293</v>
      </c>
      <c r="S2018" s="272" t="s">
        <v>3293</v>
      </c>
      <c r="T2018" s="273">
        <v>10.4</v>
      </c>
      <c r="U2018" s="289">
        <v>22.19</v>
      </c>
      <c r="V2018" s="280"/>
      <c r="W2018" s="244"/>
      <c r="X2018" s="244"/>
      <c r="Y2018" s="362"/>
      <c r="Z2018" s="257">
        <f>altaz(J2000_Bas,$O2018,$M2018,DecLat,DecLong,1)</f>
        <v>-6.4647308923740505</v>
      </c>
      <c r="AA2018" s="257">
        <f>altaz((J2000_Bas+(2*0.04167)),$O2018,$M2018,DecLat,DecLong,1)</f>
        <v>-30.647417191747415</v>
      </c>
      <c r="AB2018" s="257">
        <f>altaz((J2000_Bas+(4*0.04167)),$O2018,$M2018,DecLat,DecLong,1)</f>
        <v>-49.066540416130771</v>
      </c>
      <c r="AC2018" s="257">
        <f>altaz((J2000_Bas+(6*0.04167)),$O2018,$M2018,DecLat,DecLong,1)</f>
        <v>-51.5859380228977</v>
      </c>
      <c r="AD2018" s="258">
        <f>1+ transit((J2000_Bas-1),$O2018,$M2018,DecLat,DecLong)/360 + (GMTOffset/24) + (IF(DST="Y", 1, 0)/24)</f>
        <v>1.5063721315047081</v>
      </c>
      <c r="AE2018" s="259">
        <f>DATE(2001,9,21)+(M2018/360)*365 - (360*((DecLong/360)- (GMTOffset/24) ))</f>
        <v>37347.417361111111</v>
      </c>
      <c r="AF2018" s="260">
        <f>IF(DecLat&gt;0,IF((90 - (DecLat-O2018))&gt;90, (90 - (O2018-DecLat)), (90 - (DecLat-O2018))),IF((90 + (DecLat-O2018))&gt;90, (90 + (O2018-DecLat)), (90 + (DecLat-O2018))))</f>
        <v>64.833333333333329</v>
      </c>
      <c r="AG2018" s="257">
        <f>angularseperation(MoonRA,MoonDec,$M2018,$O2018)</f>
        <v>70.333220035836788</v>
      </c>
      <c r="AH2018" s="261">
        <f ca="1">MIN(100,IF($O$5&gt;80,0+30*($AG2018/100),IF($O$5&gt;70,0+50*($AG2018/100),IF($O$5&gt;60,5+50*($AG2018/100),IF($O$5&gt;50,10+60*($AG2018/100),IF($O$5&gt;40,15+70*($AG2018/100),IF($O$5&gt;30,20+70*($AG2018/100),IF($O$5&gt;20,40+55*($AG2018/100),(80+(20-$O$5)+30*($AG2018/100))))))))))</f>
        <v>100</v>
      </c>
      <c r="AI2018" s="262">
        <v>4261</v>
      </c>
      <c r="AJ2018" s="263"/>
      <c r="AK2018" s="263">
        <v>222</v>
      </c>
      <c r="AL2018" s="263"/>
      <c r="AM2018" s="264"/>
      <c r="AN2018" s="263"/>
      <c r="AO2018" s="263"/>
      <c r="AP2018" s="265"/>
      <c r="AQ2018" s="265">
        <v>7360</v>
      </c>
      <c r="AR2018" s="285">
        <v>39659</v>
      </c>
      <c r="AS2018" s="263"/>
      <c r="AT2018" s="263"/>
      <c r="AU2018" s="263"/>
      <c r="AV2018" s="264"/>
      <c r="AW2018" s="263"/>
      <c r="AX2018" s="263"/>
      <c r="AY2018" s="263"/>
      <c r="AZ2018" s="263"/>
      <c r="BA2018" s="263"/>
      <c r="BB2018" s="263"/>
      <c r="BC2018" s="263"/>
      <c r="BD2018" s="264"/>
      <c r="BE2018" s="263"/>
      <c r="BF2018" s="263"/>
      <c r="BG2018" s="263"/>
      <c r="BH2018" s="263"/>
      <c r="BI2018" s="263"/>
      <c r="BJ2018" s="404">
        <f>altaz(J2000_Bas,$O2018,$M2018,DecLat,DecLong,2)</f>
        <v>280.80193158798272</v>
      </c>
      <c r="BK2018" s="378" t="s">
        <v>3003</v>
      </c>
      <c r="BL2018" s="379">
        <f>IF((2*G2018)/60&lt;0.2,0.2,(2*G2018)/60)</f>
        <v>0.2</v>
      </c>
      <c r="BM2018" s="380">
        <f>MOD((50000+AD2018-$B$3+(0/24)),1)</f>
        <v>0.72173906120588072</v>
      </c>
      <c r="BN2018" s="381"/>
      <c r="BO2018" s="382">
        <v>2009</v>
      </c>
    </row>
    <row r="2019" spans="1:67" s="24" customFormat="1" ht="15" customHeight="1" x14ac:dyDescent="0.25">
      <c r="A2019" s="287" t="s">
        <v>3170</v>
      </c>
      <c r="B2019" s="241" t="str">
        <f>HYPERLINK(CONCATENATE($AT$3,BK2019,$AU$3),$AV$3)</f>
        <v>S</v>
      </c>
      <c r="C2019" s="242" t="str">
        <f>HYPERLINK(CONCATENATE($AT$4,BK2019,$AU$4,BL2019),$AV$4)</f>
        <v>A</v>
      </c>
      <c r="D2019" s="243" t="s">
        <v>5638</v>
      </c>
      <c r="E2019" s="244" t="s">
        <v>5182</v>
      </c>
      <c r="F2019" s="269" t="s">
        <v>8969</v>
      </c>
      <c r="G2019" s="273">
        <v>2.2000000000000002</v>
      </c>
      <c r="H2019" s="283">
        <v>55</v>
      </c>
      <c r="I2019" s="246">
        <v>35</v>
      </c>
      <c r="J2019" s="246">
        <v>2</v>
      </c>
      <c r="K2019" s="247" t="s">
        <v>7818</v>
      </c>
      <c r="L2019" s="248">
        <v>121931</v>
      </c>
      <c r="M2019" s="249">
        <f>15*(LEFT(TEXT($L2019,"000000"),2)+(MID(TEXT($L2019,"000000"),3,2)/60)+(RIGHT(TEXT($L2019,"000000"),2)/3600))</f>
        <v>184.87916666666666</v>
      </c>
      <c r="N2019" s="250">
        <v>145236</v>
      </c>
      <c r="O2019" s="251">
        <f>IF($N2019&gt;0,(LEFT(TEXT($N2019,"000000"),2)+(MID(TEXT($N2019,"000000"),3,2)/60)+(RIGHT(TEXT($N2019,"000000"),2)/3600)),-(MID(TEXT($N2019,"000000"),2,2)+(MID(TEXT($N2019,"000000"),4,2)/60)+(RIGHT(TEXT($N2019,"000000"),2)/3600)))</f>
        <v>14.876666666666667</v>
      </c>
      <c r="P2019" s="252" t="s">
        <v>190</v>
      </c>
      <c r="Q2019" s="253"/>
      <c r="R2019" s="277" t="s">
        <v>3293</v>
      </c>
      <c r="S2019" s="272" t="s">
        <v>3293</v>
      </c>
      <c r="T2019" s="273">
        <v>11.6</v>
      </c>
      <c r="U2019" s="289">
        <v>21.59</v>
      </c>
      <c r="V2019" s="280">
        <v>5</v>
      </c>
      <c r="W2019" s="244"/>
      <c r="X2019" s="244"/>
      <c r="Y2019" s="362"/>
      <c r="Z2019" s="257">
        <f>altaz(J2000_Bas,$O2019,$M2019,DecLat,DecLong,1)</f>
        <v>-1.5812457096569545</v>
      </c>
      <c r="AA2019" s="257">
        <f>altaz((J2000_Bas+(2*0.04167)),$O2019,$M2019,DecLat,DecLong,1)</f>
        <v>-24.427308733013195</v>
      </c>
      <c r="AB2019" s="257">
        <f>altaz((J2000_Bas+(4*0.04167)),$O2019,$M2019,DecLat,DecLong,1)</f>
        <v>-40.725650958201072</v>
      </c>
      <c r="AC2019" s="257">
        <f>altaz((J2000_Bas+(6*0.04167)),$O2019,$M2019,DecLat,DecLong,1)</f>
        <v>-42.83790235212259</v>
      </c>
      <c r="AD2019" s="258">
        <f>1+ transit((J2000_Bas-1),$O2019,$M2019,DecLat,DecLong)/360 + (GMTOffset/24) + (IF(DST="Y", 1, 0)/24)</f>
        <v>1.5064531500151246</v>
      </c>
      <c r="AE2019" s="259">
        <f>DATE(2001,9,21)+(M2019/360)*365 - (360*((DecLong/360)- (GMTOffset/24) ))</f>
        <v>37347.446932870371</v>
      </c>
      <c r="AF2019" s="260">
        <f>IF(DecLat&gt;0,IF((90 - (DecLat-O2019))&gt;90, (90 - (O2019-DecLat)), (90 - (DecLat-O2019))),IF((90 + (DecLat-O2019))&gt;90, (90 + (O2019-DecLat)), (90 + (DecLat-O2019))))</f>
        <v>73.876666666666665</v>
      </c>
      <c r="AG2019" s="257">
        <f>angularseperation(MoonRA,MoonDec,$M2019,$O2019)</f>
        <v>75.201547491816868</v>
      </c>
      <c r="AH2019" s="261">
        <f ca="1">MIN(100,IF($O$5&gt;80,0+30*($AG2019/100),IF($O$5&gt;70,0+50*($AG2019/100),IF($O$5&gt;60,5+50*($AG2019/100),IF($O$5&gt;50,10+60*($AG2019/100),IF($O$5&gt;40,15+70*($AG2019/100),IF($O$5&gt;30,20+70*($AG2019/100),IF($O$5&gt;20,40+55*($AG2019/100),(80+(20-$O$5)+30*($AG2019/100))))))))))</f>
        <v>100</v>
      </c>
      <c r="AI2019" s="263">
        <v>4262</v>
      </c>
      <c r="AJ2019" s="263"/>
      <c r="AK2019" s="263"/>
      <c r="AL2019" s="263"/>
      <c r="AM2019" s="264"/>
      <c r="AN2019" s="263"/>
      <c r="AO2019" s="263"/>
      <c r="AP2019" s="265"/>
      <c r="AQ2019" s="265">
        <v>7365</v>
      </c>
      <c r="AR2019" s="285">
        <v>39676</v>
      </c>
      <c r="AS2019" s="263"/>
      <c r="AT2019" s="263"/>
      <c r="AU2019" s="263"/>
      <c r="AV2019" s="264"/>
      <c r="AW2019" s="263"/>
      <c r="AX2019" s="263"/>
      <c r="AY2019" s="263"/>
      <c r="AZ2019" s="263"/>
      <c r="BA2019" s="263"/>
      <c r="BB2019" s="263"/>
      <c r="BC2019" s="263"/>
      <c r="BD2019" s="264"/>
      <c r="BE2019" s="263"/>
      <c r="BF2019" s="263"/>
      <c r="BG2019" s="263"/>
      <c r="BH2019" s="263"/>
      <c r="BI2019" s="263"/>
      <c r="BJ2019" s="404">
        <f>altaz(J2000_Bas,$O2019,$M2019,DecLat,DecLong,2)</f>
        <v>288.43456312147237</v>
      </c>
      <c r="BK2019" s="378" t="s">
        <v>3170</v>
      </c>
      <c r="BL2019" s="379">
        <f>IF((2*G2019)/60&lt;0.2,0.2,(2*G2019)/60)</f>
        <v>0.2</v>
      </c>
      <c r="BM2019" s="380">
        <f>MOD((50000+AD2019-$B$3+(0/24)),1)</f>
        <v>0.72182007972151041</v>
      </c>
      <c r="BN2019" s="381"/>
      <c r="BO2019" s="382">
        <v>2010</v>
      </c>
    </row>
    <row r="2020" spans="1:67" s="24" customFormat="1" ht="15" customHeight="1" x14ac:dyDescent="0.25">
      <c r="A2020" s="288" t="s">
        <v>7820</v>
      </c>
      <c r="B2020" s="241" t="str">
        <f>HYPERLINK(CONCATENATE($AT$3,BK2020,$AU$3),$AV$3)</f>
        <v>S</v>
      </c>
      <c r="C2020" s="242" t="str">
        <f>HYPERLINK(CONCATENATE($AT$4,BK2020,$AU$4,BL2020),$AV$4)</f>
        <v>A</v>
      </c>
      <c r="D2020" s="243" t="s">
        <v>5638</v>
      </c>
      <c r="E2020" s="244" t="s">
        <v>5625</v>
      </c>
      <c r="F2020" s="269">
        <v>8</v>
      </c>
      <c r="G2020" s="282">
        <v>20</v>
      </c>
      <c r="H2020" s="283">
        <v>90</v>
      </c>
      <c r="I2020" s="284">
        <v>540</v>
      </c>
      <c r="J2020" s="246">
        <v>2</v>
      </c>
      <c r="K2020" s="247" t="s">
        <v>7821</v>
      </c>
      <c r="L2020" s="248">
        <v>121956</v>
      </c>
      <c r="M2020" s="249">
        <f>15*(LEFT(TEXT($L2020,"000000"),2)+(MID(TEXT($L2020,"000000"),3,2)/60)+(RIGHT(TEXT($L2020,"000000"),2)/3600))</f>
        <v>184.98333333333335</v>
      </c>
      <c r="N2020" s="250">
        <v>52036</v>
      </c>
      <c r="O2020" s="251">
        <f>IF($N2020&gt;0,(LEFT(TEXT($N2020,"000000"),2)+(MID(TEXT($N2020,"000000"),3,2)/60)+(RIGHT(TEXT($N2020,"000000"),2)/3600)),-(MID(TEXT($N2020,"000000"),2,2)+(MID(TEXT($N2020,"000000"),4,2)/60)+(RIGHT(TEXT($N2020,"000000"),2)/3600)))</f>
        <v>5.3433333333333328</v>
      </c>
      <c r="P2020" s="252" t="s">
        <v>61</v>
      </c>
      <c r="Q2020" s="253"/>
      <c r="R2020" s="277" t="s">
        <v>3293</v>
      </c>
      <c r="S2020" s="272" t="s">
        <v>7819</v>
      </c>
      <c r="T2020" s="273">
        <v>11.9</v>
      </c>
      <c r="U2020" s="289">
        <v>21.990000000000002</v>
      </c>
      <c r="V2020" s="280"/>
      <c r="W2020" s="244"/>
      <c r="X2020" s="244"/>
      <c r="Y2020" s="362"/>
      <c r="Z2020" s="257">
        <f>altaz(J2000_Bas,$O2020,$M2020,DecLat,DecLong,1)</f>
        <v>-6.6131068337467331</v>
      </c>
      <c r="AA2020" s="257">
        <f>altaz((J2000_Bas+(2*0.04167)),$O2020,$M2020,DecLat,DecLong,1)</f>
        <v>-30.871398087528746</v>
      </c>
      <c r="AB2020" s="257">
        <f>altaz((J2000_Bas+(4*0.04167)),$O2020,$M2020,DecLat,DecLong,1)</f>
        <v>-49.454741865036368</v>
      </c>
      <c r="AC2020" s="257">
        <f>altaz((J2000_Bas+(6*0.04167)),$O2020,$M2020,DecLat,DecLong,1)</f>
        <v>-52.093553180287593</v>
      </c>
      <c r="AD2020" s="258">
        <f>1+ transit((J2000_Bas-1),$O2020,$M2020,DecLat,DecLong)/360 + (GMTOffset/24) + (IF(DST="Y", 1, 0)/24)</f>
        <v>1.5067425018380414</v>
      </c>
      <c r="AE2020" s="259">
        <f>DATE(2001,9,21)+(M2020/360)*365 - (360*((DecLong/360)- (GMTOffset/24) ))</f>
        <v>37347.552546296298</v>
      </c>
      <c r="AF2020" s="260">
        <f>IF(DecLat&gt;0,IF((90 - (DecLat-O2020))&gt;90, (90 - (O2020-DecLat)), (90 - (DecLat-O2020))),IF((90 + (DecLat-O2020))&gt;90, (90 + (O2020-DecLat)), (90 + (DecLat-O2020))))</f>
        <v>64.343333333333334</v>
      </c>
      <c r="AG2020" s="257">
        <f>angularseperation(MoonRA,MoonDec,$M2020,$O2020)</f>
        <v>69.96437889947687</v>
      </c>
      <c r="AH2020" s="261">
        <f ca="1">MIN(100,IF($O$5&gt;80,0+30*($AG2020/100),IF($O$5&gt;70,0+50*($AG2020/100),IF($O$5&gt;60,5+50*($AG2020/100),IF($O$5&gt;50,10+60*($AG2020/100),IF($O$5&gt;40,15+70*($AG2020/100),IF($O$5&gt;30,20+70*($AG2020/100),IF($O$5&gt;20,40+55*($AG2020/100),(80+(20-$O$5)+30*($AG2020/100))))))))))</f>
        <v>100</v>
      </c>
      <c r="AI2020" s="262">
        <v>4273</v>
      </c>
      <c r="AJ2020" s="263"/>
      <c r="AK2020" s="263">
        <v>223</v>
      </c>
      <c r="AL2020" s="263"/>
      <c r="AM2020" s="264"/>
      <c r="AN2020" s="263"/>
      <c r="AO2020" s="263"/>
      <c r="AP2020" s="265"/>
      <c r="AQ2020" s="265">
        <v>7380</v>
      </c>
      <c r="AR2020" s="285">
        <v>39738</v>
      </c>
      <c r="AS2020" s="263"/>
      <c r="AT2020" s="263"/>
      <c r="AU2020" s="263"/>
      <c r="AV2020" s="264"/>
      <c r="AW2020" s="263"/>
      <c r="AX2020" s="263"/>
      <c r="AY2020" s="263"/>
      <c r="AZ2020" s="263"/>
      <c r="BA2020" s="263"/>
      <c r="BB2020" s="263"/>
      <c r="BC2020" s="263"/>
      <c r="BD2020" s="264"/>
      <c r="BE2020" s="263"/>
      <c r="BF2020" s="263"/>
      <c r="BG2020" s="263"/>
      <c r="BH2020" s="263"/>
      <c r="BI2020" s="263"/>
      <c r="BJ2020" s="404">
        <f>altaz(J2000_Bas,$O2020,$M2020,DecLat,DecLong,2)</f>
        <v>280.31326963433628</v>
      </c>
      <c r="BK2020" s="378" t="s">
        <v>1946</v>
      </c>
      <c r="BL2020" s="379">
        <f>IF((2*G2020)/60&lt;0.2,0.2,(2*G2020)/60)</f>
        <v>0.66666666666666663</v>
      </c>
      <c r="BM2020" s="380">
        <f>MOD((50000+AD2020-$B$3+(0/24)),1)</f>
        <v>0.72210943153913831</v>
      </c>
      <c r="BN2020" s="381"/>
      <c r="BO2020" s="382">
        <v>2011</v>
      </c>
    </row>
    <row r="2021" spans="1:67" s="24" customFormat="1" ht="15" customHeight="1" x14ac:dyDescent="0.25">
      <c r="A2021" s="288" t="s">
        <v>1947</v>
      </c>
      <c r="B2021" s="241" t="str">
        <f>HYPERLINK(CONCATENATE($AT$3,BK2021,$AU$3),$AV$3)</f>
        <v>S</v>
      </c>
      <c r="C2021" s="242" t="str">
        <f>HYPERLINK(CONCATENATE($AT$4,BK2021,$AU$4,BL2021),$AV$4)</f>
        <v>A</v>
      </c>
      <c r="D2021" s="243" t="s">
        <v>5638</v>
      </c>
      <c r="E2021" s="244" t="s">
        <v>5192</v>
      </c>
      <c r="F2021" s="269" t="s">
        <v>8973</v>
      </c>
      <c r="G2021" s="273">
        <v>7</v>
      </c>
      <c r="H2021" s="283">
        <v>50</v>
      </c>
      <c r="I2021" s="246">
        <v>100</v>
      </c>
      <c r="J2021" s="246">
        <v>3</v>
      </c>
      <c r="K2021" s="247" t="s">
        <v>7824</v>
      </c>
      <c r="L2021" s="248">
        <v>121951</v>
      </c>
      <c r="M2021" s="249">
        <f>15*(LEFT(TEXT($L2021,"000000"),2)+(MID(TEXT($L2021,"000000"),3,2)/60)+(RIGHT(TEXT($L2021,"000000"),2)/3600))</f>
        <v>184.96249999999998</v>
      </c>
      <c r="N2021" s="250">
        <v>293651</v>
      </c>
      <c r="O2021" s="251">
        <f>IF($N2021&gt;0,(LEFT(TEXT($N2021,"000000"),2)+(MID(TEXT($N2021,"000000"),3,2)/60)+(RIGHT(TEXT($N2021,"000000"),2)/3600)),-(MID(TEXT($N2021,"000000"),2,2)+(MID(TEXT($N2021,"000000"),4,2)/60)+(RIGHT(TEXT($N2021,"000000"),2)/3600)))</f>
        <v>29.614166666666669</v>
      </c>
      <c r="P2021" s="252" t="s">
        <v>190</v>
      </c>
      <c r="Q2021" s="253"/>
      <c r="R2021" s="247" t="s">
        <v>3293</v>
      </c>
      <c r="S2021" s="272"/>
      <c r="T2021" s="273">
        <v>10.4</v>
      </c>
      <c r="U2021" s="289">
        <v>22.19</v>
      </c>
      <c r="V2021" s="280">
        <v>70</v>
      </c>
      <c r="W2021" s="244"/>
      <c r="X2021" s="244"/>
      <c r="Y2021" s="362"/>
      <c r="Z2021" s="257">
        <f>altaz(J2000_Bas,$O2021,$M2021,DecLat,DecLong,1)</f>
        <v>6.4194829160011029</v>
      </c>
      <c r="AA2021" s="257">
        <f>altaz((J2000_Bas+(2*0.04167)),$O2021,$M2021,DecLat,DecLong,1)</f>
        <v>-13.627395841934863</v>
      </c>
      <c r="AB2021" s="257">
        <f>altaz((J2000_Bas+(4*0.04167)),$O2021,$M2021,DecLat,DecLong,1)</f>
        <v>-26.805940338794169</v>
      </c>
      <c r="AC2021" s="257">
        <f>altaz((J2000_Bas+(6*0.04167)),$O2021,$M2021,DecLat,DecLong,1)</f>
        <v>-28.441310307092738</v>
      </c>
      <c r="AD2021" s="258">
        <f>1+ transit((J2000_Bas-1),$O2021,$M2021,DecLat,DecLong)/360 + (GMTOffset/24) + (IF(DST="Y", 1, 0)/24)</f>
        <v>1.5066846314734581</v>
      </c>
      <c r="AE2021" s="259">
        <f>DATE(2001,9,21)+(M2021/360)*365 - (360*((DecLong/360)- (GMTOffset/24) ))</f>
        <v>37347.531423611108</v>
      </c>
      <c r="AF2021" s="260">
        <f>IF(DecLat&gt;0,IF((90 - (DecLat-O2021))&gt;90, (90 - (O2021-DecLat)), (90 - (DecLat-O2021))),IF((90 + (DecLat-O2021))&gt;90, (90 + (O2021-DecLat)), (90 + (DecLat-O2021))))</f>
        <v>88.614166666666677</v>
      </c>
      <c r="AG2021" s="257">
        <f>angularseperation(MoonRA,MoonDec,$M2021,$O2021)</f>
        <v>83.631062760714499</v>
      </c>
      <c r="AH2021" s="261">
        <f ca="1">MIN(100,IF($O$5&gt;80,0+30*($AG2021/100),IF($O$5&gt;70,0+50*($AG2021/100),IF($O$5&gt;60,5+50*($AG2021/100),IF($O$5&gt;50,10+60*($AG2021/100),IF($O$5&gt;40,15+70*($AG2021/100),IF($O$5&gt;30,20+70*($AG2021/100),IF($O$5&gt;20,40+55*($AG2021/100),(80+(20-$O$5)+30*($AG2021/100))))))))))</f>
        <v>100</v>
      </c>
      <c r="AI2021" s="262">
        <v>4274</v>
      </c>
      <c r="AJ2021" s="262"/>
      <c r="AK2021" s="262">
        <v>224</v>
      </c>
      <c r="AL2021" s="263"/>
      <c r="AM2021" s="264"/>
      <c r="AN2021" s="263"/>
      <c r="AO2021" s="263"/>
      <c r="AP2021" s="265"/>
      <c r="AQ2021" s="266">
        <v>7377</v>
      </c>
      <c r="AR2021" s="267">
        <v>39724</v>
      </c>
      <c r="AS2021" s="263"/>
      <c r="AT2021" s="263"/>
      <c r="AU2021" s="263"/>
      <c r="AV2021" s="264"/>
      <c r="AW2021" s="263"/>
      <c r="AX2021" s="263"/>
      <c r="AY2021" s="263"/>
      <c r="AZ2021" s="263"/>
      <c r="BA2021" s="263"/>
      <c r="BB2021" s="263"/>
      <c r="BC2021" s="263"/>
      <c r="BD2021" s="264"/>
      <c r="BE2021" s="263"/>
      <c r="BF2021" s="263"/>
      <c r="BG2021" s="263"/>
      <c r="BH2021" s="263"/>
      <c r="BI2021" s="263"/>
      <c r="BJ2021" s="404">
        <f>altaz(J2000_Bas,$O2021,$M2021,DecLat,DecLong,2)</f>
        <v>300.83270898563939</v>
      </c>
      <c r="BK2021" s="378" t="s">
        <v>1947</v>
      </c>
      <c r="BL2021" s="379">
        <f>IF((2*G2021)/60&lt;0.2,0.2,(2*G2021)/60)</f>
        <v>0.23333333333333334</v>
      </c>
      <c r="BM2021" s="380">
        <f>MOD((50000+AD2021-$B$3+(0/24)),1)</f>
        <v>0.72205156117706792</v>
      </c>
      <c r="BN2021" s="381"/>
      <c r="BO2021" s="382">
        <v>2012</v>
      </c>
    </row>
    <row r="2022" spans="1:67" s="24" customFormat="1" ht="15" customHeight="1" x14ac:dyDescent="0.25">
      <c r="A2022" s="287" t="s">
        <v>1948</v>
      </c>
      <c r="B2022" s="241" t="str">
        <f>HYPERLINK(CONCATENATE($AT$3,BK2022,$AU$3),$AV$3)</f>
        <v>S</v>
      </c>
      <c r="C2022" s="242" t="str">
        <f>HYPERLINK(CONCATENATE($AT$4,BK2022,$AU$4,BL2022),$AV$4)</f>
        <v>A</v>
      </c>
      <c r="D2022" s="243" t="s">
        <v>5638</v>
      </c>
      <c r="E2022" s="244" t="s">
        <v>5193</v>
      </c>
      <c r="F2022" s="269" t="s">
        <v>3311</v>
      </c>
      <c r="G2022" s="273">
        <v>3.8</v>
      </c>
      <c r="H2022" s="283">
        <v>29.812049999999999</v>
      </c>
      <c r="I2022" s="246">
        <v>35</v>
      </c>
      <c r="J2022" s="246">
        <v>2</v>
      </c>
      <c r="K2022" s="247" t="s">
        <v>7823</v>
      </c>
      <c r="L2022" s="248">
        <v>122007</v>
      </c>
      <c r="M2022" s="249">
        <f>15*(LEFT(TEXT($L2022,"000000"),2)+(MID(TEXT($L2022,"000000"),3,2)/60)+(RIGHT(TEXT($L2022,"000000"),2)/3600))</f>
        <v>185.02916666666667</v>
      </c>
      <c r="N2022" s="250">
        <v>291650</v>
      </c>
      <c r="O2022" s="251">
        <f>IF($N2022&gt;0,(LEFT(TEXT($N2022,"000000"),2)+(MID(TEXT($N2022,"000000"),3,2)/60)+(RIGHT(TEXT($N2022,"000000"),2)/3600)),-(MID(TEXT($N2022,"000000"),2,2)+(MID(TEXT($N2022,"000000"),4,2)/60)+(RIGHT(TEXT($N2022,"000000"),2)/3600)))</f>
        <v>29.280555555555555</v>
      </c>
      <c r="P2022" s="252" t="s">
        <v>190</v>
      </c>
      <c r="Q2022" s="253"/>
      <c r="R2022" s="277" t="s">
        <v>3293</v>
      </c>
      <c r="S2022" s="272" t="s">
        <v>7822</v>
      </c>
      <c r="T2022" s="273">
        <v>10.199999999999999</v>
      </c>
      <c r="U2022" s="289">
        <v>21.990000000000002</v>
      </c>
      <c r="V2022" s="280"/>
      <c r="W2022" s="244"/>
      <c r="X2022" s="244"/>
      <c r="Y2022" s="362"/>
      <c r="Z2022" s="257">
        <f>altaz(J2000_Bas,$O2022,$M2022,DecLat,DecLong,1)</f>
        <v>6.2910747472651227</v>
      </c>
      <c r="AA2022" s="257">
        <f>altaz((J2000_Bas+(2*0.04167)),$O2022,$M2022,DecLat,DecLong,1)</f>
        <v>-13.837935980685849</v>
      </c>
      <c r="AB2022" s="257">
        <f>altaz((J2000_Bas+(4*0.04167)),$O2022,$M2022,DecLat,DecLong,1)</f>
        <v>-27.10507180471458</v>
      </c>
      <c r="AC2022" s="257">
        <f>altaz((J2000_Bas+(6*0.04167)),$O2022,$M2022,DecLat,DecLong,1)</f>
        <v>-28.779870229561485</v>
      </c>
      <c r="AD2022" s="258">
        <f>1+ transit((J2000_Bas-1),$O2022,$M2022,DecLat,DecLong)/360 + (GMTOffset/24) + (IF(DST="Y", 1, 0)/24)</f>
        <v>1.5068698166401246</v>
      </c>
      <c r="AE2022" s="259">
        <f>DATE(2001,9,21)+(M2022/360)*365 - (360*((DecLong/360)- (GMTOffset/24) ))</f>
        <v>37347.599016203705</v>
      </c>
      <c r="AF2022" s="260">
        <f>IF(DecLat&gt;0,IF((90 - (DecLat-O2022))&gt;90, (90 - (O2022-DecLat)), (90 - (DecLat-O2022))),IF((90 + (DecLat-O2022))&gt;90, (90 + (O2022-DecLat)), (90 + (DecLat-O2022))))</f>
        <v>88.280555555555551</v>
      </c>
      <c r="AG2022" s="257">
        <f>angularseperation(MoonRA,MoonDec,$M2022,$O2022)</f>
        <v>83.387228480768911</v>
      </c>
      <c r="AH2022" s="261">
        <f ca="1">MIN(100,IF($O$5&gt;80,0+30*($AG2022/100),IF($O$5&gt;70,0+50*($AG2022/100),IF($O$5&gt;60,5+50*($AG2022/100),IF($O$5&gt;50,10+60*($AG2022/100),IF($O$5&gt;40,15+70*($AG2022/100),IF($O$5&gt;30,20+70*($AG2022/100),IF($O$5&gt;20,40+55*($AG2022/100),(80+(20-$O$5)+30*($AG2022/100))))))))))</f>
        <v>100</v>
      </c>
      <c r="AI2022" s="262">
        <v>4278</v>
      </c>
      <c r="AJ2022" s="263"/>
      <c r="AK2022" s="263">
        <v>225</v>
      </c>
      <c r="AL2022" s="263"/>
      <c r="AM2022" s="264"/>
      <c r="AN2022" s="263"/>
      <c r="AO2022" s="263"/>
      <c r="AP2022" s="265"/>
      <c r="AQ2022" s="265">
        <v>7386</v>
      </c>
      <c r="AR2022" s="285">
        <v>39764</v>
      </c>
      <c r="AS2022" s="263"/>
      <c r="AT2022" s="263"/>
      <c r="AU2022" s="263"/>
      <c r="AV2022" s="264"/>
      <c r="AW2022" s="263"/>
      <c r="AX2022" s="263"/>
      <c r="AY2022" s="263"/>
      <c r="AZ2022" s="263"/>
      <c r="BA2022" s="263"/>
      <c r="BB2022" s="263"/>
      <c r="BC2022" s="263"/>
      <c r="BD2022" s="264"/>
      <c r="BE2022" s="263"/>
      <c r="BF2022" s="263"/>
      <c r="BG2022" s="263"/>
      <c r="BH2022" s="263"/>
      <c r="BI2022" s="263"/>
      <c r="BJ2022" s="404">
        <f>altaz(J2000_Bas,$O2022,$M2022,DecLat,DecLong,2)</f>
        <v>300.51743785009643</v>
      </c>
      <c r="BK2022" s="378" t="s">
        <v>1948</v>
      </c>
      <c r="BL2022" s="379">
        <f>IF((2*G2022)/60&lt;0.2,0.2,(2*G2022)/60)</f>
        <v>0.2</v>
      </c>
      <c r="BM2022" s="380">
        <f>MOD((50000+AD2022-$B$3+(0/24)),1)</f>
        <v>0.7222367463473347</v>
      </c>
      <c r="BN2022" s="381"/>
      <c r="BO2022" s="382">
        <v>2013</v>
      </c>
    </row>
    <row r="2023" spans="1:67" s="24" customFormat="1" ht="15" customHeight="1" x14ac:dyDescent="0.25">
      <c r="A2023" s="287" t="s">
        <v>8765</v>
      </c>
      <c r="B2023" s="241" t="str">
        <f>HYPERLINK(CONCATENATE($AT$3,BK2023,$AU$3),$AV$3)</f>
        <v>S</v>
      </c>
      <c r="C2023" s="242" t="str">
        <f>HYPERLINK(CONCATENATE($AT$4,BK2023,$AU$4,BL2023),$AV$4)</f>
        <v>A</v>
      </c>
      <c r="D2023" s="243" t="s">
        <v>5638</v>
      </c>
      <c r="E2023" s="244" t="s">
        <v>5182</v>
      </c>
      <c r="F2023" s="269" t="s">
        <v>3300</v>
      </c>
      <c r="G2023" s="273">
        <v>3</v>
      </c>
      <c r="H2023" s="283">
        <v>80</v>
      </c>
      <c r="I2023" s="246">
        <v>70</v>
      </c>
      <c r="J2023" s="246">
        <v>2</v>
      </c>
      <c r="K2023" s="247" t="s">
        <v>8779</v>
      </c>
      <c r="L2023" s="248">
        <v>122021</v>
      </c>
      <c r="M2023" s="249">
        <f>15*(LEFT(TEXT($L2023,"000000"),2)+(MID(TEXT($L2023,"000000"),3,2)/60)+(RIGHT(TEXT($L2023,"000000"),2)/3600))</f>
        <v>185.08750000000001</v>
      </c>
      <c r="N2023" s="250">
        <v>52313</v>
      </c>
      <c r="O2023" s="251">
        <f>IF($N2023&gt;0,(LEFT(TEXT($N2023,"000000"),2)+(MID(TEXT($N2023,"000000"),3,2)/60)+(RIGHT(TEXT($N2023,"000000"),2)/3600)),-(MID(TEXT($N2023,"000000"),2,2)+(MID(TEXT($N2023,"000000"),4,2)/60)+(RIGHT(TEXT($N2023,"000000"),2)/3600)))</f>
        <v>5.3869444444444445</v>
      </c>
      <c r="P2023" s="252" t="s">
        <v>61</v>
      </c>
      <c r="Q2023" s="253"/>
      <c r="R2023" s="277" t="s">
        <v>3293</v>
      </c>
      <c r="S2023" s="272" t="s">
        <v>3293</v>
      </c>
      <c r="T2023" s="273">
        <v>12</v>
      </c>
      <c r="U2023" s="289"/>
      <c r="V2023" s="280"/>
      <c r="W2023" s="244"/>
      <c r="X2023" s="244"/>
      <c r="Y2023" s="362"/>
      <c r="Z2023" s="257">
        <f>altaz(J2000_Bas,$O2023,$M2023,DecLat,DecLong,1)</f>
        <v>-6.502078993793865</v>
      </c>
      <c r="AA2023" s="257">
        <f>altaz((J2000_Bas+(2*0.04167)),$O2023,$M2023,DecLat,DecLong,1)</f>
        <v>-30.764624229289694</v>
      </c>
      <c r="AB2023" s="257">
        <f>altaz((J2000_Bas+(4*0.04167)),$O2023,$M2023,DecLat,DecLong,1)</f>
        <v>-49.37110776743063</v>
      </c>
      <c r="AC2023" s="257">
        <f>altaz((J2000_Bas+(6*0.04167)),$O2023,$M2023,DecLat,DecLong,1)</f>
        <v>-52.079731669215477</v>
      </c>
      <c r="AD2023" s="258">
        <f>1+ transit((J2000_Bas-1),$O2023,$M2023,DecLat,DecLong)/360 + (GMTOffset/24) + (IF(DST="Y", 1, 0)/24)</f>
        <v>1.5070318536609582</v>
      </c>
      <c r="AE2023" s="259">
        <f>DATE(2001,9,21)+(M2023/360)*365 - (360*((DecLong/360)- (GMTOffset/24) ))</f>
        <v>37347.658159722225</v>
      </c>
      <c r="AF2023" s="260">
        <f>IF(DecLat&gt;0,IF((90 - (DecLat-O2023))&gt;90, (90 - (O2023-DecLat)), (90 - (DecLat-O2023))),IF((90 + (DecLat-O2023))&gt;90, (90 + (O2023-DecLat)), (90 + (DecLat-O2023))))</f>
        <v>64.386944444444453</v>
      </c>
      <c r="AG2023" s="257">
        <f>angularseperation(MoonRA,MoonDec,$M2023,$O2023)</f>
        <v>69.898595973407339</v>
      </c>
      <c r="AH2023" s="261">
        <f ca="1">MIN(100,IF($O$5&gt;80,0+30*($AG2023/100),IF($O$5&gt;70,0+50*($AG2023/100),IF($O$5&gt;60,5+50*($AG2023/100),IF($O$5&gt;50,10+60*($AG2023/100),IF($O$5&gt;40,15+70*($AG2023/100),IF($O$5&gt;30,20+70*($AG2023/100),IF($O$5&gt;20,40+55*($AG2023/100),(80+(20-$O$5)+30*($AG2023/100))))))))))</f>
        <v>100</v>
      </c>
      <c r="AI2023" s="263">
        <v>4281</v>
      </c>
      <c r="AJ2023" s="263"/>
      <c r="AK2023" s="263">
        <v>226</v>
      </c>
      <c r="AL2023" s="263"/>
      <c r="AM2023" s="264"/>
      <c r="AN2023" s="263"/>
      <c r="AO2023" s="263"/>
      <c r="AP2023" s="265"/>
      <c r="AQ2023" s="265">
        <v>7389</v>
      </c>
      <c r="AR2023" s="285">
        <v>39801</v>
      </c>
      <c r="AS2023" s="263"/>
      <c r="AT2023" s="263"/>
      <c r="AU2023" s="263"/>
      <c r="AV2023" s="264"/>
      <c r="AW2023" s="263"/>
      <c r="AX2023" s="263"/>
      <c r="AY2023" s="263"/>
      <c r="AZ2023" s="263"/>
      <c r="BA2023" s="263"/>
      <c r="BB2023" s="263"/>
      <c r="BC2023" s="263"/>
      <c r="BD2023" s="264"/>
      <c r="BE2023" s="263"/>
      <c r="BF2023" s="263"/>
      <c r="BG2023" s="263"/>
      <c r="BH2023" s="263"/>
      <c r="BI2023" s="263"/>
      <c r="BJ2023" s="404">
        <f>altaz(J2000_Bas,$O2023,$M2023,DecLat,DecLong,2)</f>
        <v>280.29496811868728</v>
      </c>
      <c r="BK2023" s="378" t="s">
        <v>8765</v>
      </c>
      <c r="BL2023" s="379">
        <f>IF((2*G2023)/60&lt;0.2,0.2,(2*G2023)/60)</f>
        <v>0.2</v>
      </c>
      <c r="BM2023" s="380">
        <f>MOD((50000+AD2023-$B$3+(0/24)),1)</f>
        <v>0.72239878336404217</v>
      </c>
      <c r="BN2023" s="381"/>
      <c r="BO2023" s="382">
        <v>2014</v>
      </c>
    </row>
    <row r="2024" spans="1:67" s="24" customFormat="1" ht="15" customHeight="1" x14ac:dyDescent="0.25">
      <c r="A2024" s="287" t="s">
        <v>1949</v>
      </c>
      <c r="B2024" s="241" t="str">
        <f>HYPERLINK(CONCATENATE($AT$3,BK2024,$AU$3),$AV$3)</f>
        <v>S</v>
      </c>
      <c r="C2024" s="242" t="str">
        <f>HYPERLINK(CONCATENATE($AT$4,BK2024,$AU$4,BL2024),$AV$4)</f>
        <v>A</v>
      </c>
      <c r="D2024" s="243" t="s">
        <v>5638</v>
      </c>
      <c r="E2024" s="244" t="s">
        <v>5192</v>
      </c>
      <c r="F2024" s="269" t="s">
        <v>8697</v>
      </c>
      <c r="G2024" s="273">
        <v>4.5</v>
      </c>
      <c r="H2024" s="283">
        <v>120.25340999999999</v>
      </c>
      <c r="I2024" s="246">
        <v>150</v>
      </c>
      <c r="J2024" s="246">
        <v>2</v>
      </c>
      <c r="K2024" s="247" t="s">
        <v>7825</v>
      </c>
      <c r="L2024" s="248">
        <v>122102</v>
      </c>
      <c r="M2024" s="249">
        <f>15*(LEFT(TEXT($L2024,"000000"),2)+(MID(TEXT($L2024,"000000"),3,2)/60)+(RIGHT(TEXT($L2024,"000000"),2)/3600))</f>
        <v>185.25833333333333</v>
      </c>
      <c r="N2024" s="250">
        <v>34320</v>
      </c>
      <c r="O2024" s="251">
        <f>IF($N2024&gt;0,(LEFT(TEXT($N2024,"000000"),2)+(MID(TEXT($N2024,"000000"),3,2)/60)+(RIGHT(TEXT($N2024,"000000"),2)/3600)),-(MID(TEXT($N2024,"000000"),2,2)+(MID(TEXT($N2024,"000000"),4,2)/60)+(RIGHT(TEXT($N2024,"000000"),2)/3600)))</f>
        <v>3.7222222222222223</v>
      </c>
      <c r="P2024" s="252" t="s">
        <v>61</v>
      </c>
      <c r="Q2024" s="253"/>
      <c r="R2024" s="277" t="s">
        <v>3293</v>
      </c>
      <c r="S2024" s="272" t="s">
        <v>3293</v>
      </c>
      <c r="T2024" s="273">
        <v>14</v>
      </c>
      <c r="U2024" s="289">
        <v>23.09</v>
      </c>
      <c r="V2024" s="280">
        <v>88</v>
      </c>
      <c r="W2024" s="244"/>
      <c r="X2024" s="244"/>
      <c r="Y2024" s="362"/>
      <c r="Z2024" s="257">
        <f>altaz(J2000_Bas,$O2024,$M2024,DecLat,DecLong,1)</f>
        <v>-7.2399754638549139</v>
      </c>
      <c r="AA2024" s="257">
        <f>altaz((J2000_Bas+(2*0.04167)),$O2024,$M2024,DecLat,DecLong,1)</f>
        <v>-31.722057905249027</v>
      </c>
      <c r="AB2024" s="257">
        <f>altaz((J2000_Bas+(4*0.04167)),$O2024,$M2024,DecLat,DecLong,1)</f>
        <v>-50.795974283378015</v>
      </c>
      <c r="AC2024" s="257">
        <f>altaz((J2000_Bas+(6*0.04167)),$O2024,$M2024,DecLat,DecLong,1)</f>
        <v>-53.727635753920936</v>
      </c>
      <c r="AD2024" s="258">
        <f>1+ transit((J2000_Bas-1),$O2024,$M2024,DecLat,DecLong)/360 + (GMTOffset/24) + (IF(DST="Y", 1, 0)/24)</f>
        <v>1.5075063906505413</v>
      </c>
      <c r="AE2024" s="259">
        <f>DATE(2001,9,21)+(M2024/360)*365 - (360*((DecLong/360)- (GMTOffset/24) ))</f>
        <v>37347.831365740742</v>
      </c>
      <c r="AF2024" s="260">
        <f>IF(DecLat&gt;0,IF((90 - (DecLat-O2024))&gt;90, (90 - (O2024-DecLat)), (90 - (DecLat-O2024))),IF((90 + (DecLat-O2024))&gt;90, (90 + (O2024-DecLat)), (90 + (DecLat-O2024))))</f>
        <v>62.722222222222221</v>
      </c>
      <c r="AG2024" s="257">
        <f>angularseperation(MoonRA,MoonDec,$M2024,$O2024)</f>
        <v>68.890780794034995</v>
      </c>
      <c r="AH2024" s="261">
        <f ca="1">MIN(100,IF($O$5&gt;80,0+30*($AG2024/100),IF($O$5&gt;70,0+50*($AG2024/100),IF($O$5&gt;60,5+50*($AG2024/100),IF($O$5&gt;50,10+60*($AG2024/100),IF($O$5&gt;40,15+70*($AG2024/100),IF($O$5&gt;30,20+70*($AG2024/100),IF($O$5&gt;20,40+55*($AG2024/100),(80+(20-$O$5)+30*($AG2024/100))))))))))</f>
        <v>100</v>
      </c>
      <c r="AI2024" s="262">
        <v>4289</v>
      </c>
      <c r="AJ2024" s="263"/>
      <c r="AK2024" s="263"/>
      <c r="AL2024" s="263"/>
      <c r="AM2024" s="264"/>
      <c r="AN2024" s="263"/>
      <c r="AO2024" s="263"/>
      <c r="AP2024" s="265"/>
      <c r="AQ2024" s="265">
        <v>7403</v>
      </c>
      <c r="AR2024" s="285">
        <v>39886</v>
      </c>
      <c r="AS2024" s="263"/>
      <c r="AT2024" s="263"/>
      <c r="AU2024" s="263"/>
      <c r="AV2024" s="264"/>
      <c r="AW2024" s="263"/>
      <c r="AX2024" s="263"/>
      <c r="AY2024" s="263"/>
      <c r="AZ2024" s="263"/>
      <c r="BA2024" s="263"/>
      <c r="BB2024" s="263"/>
      <c r="BC2024" s="263"/>
      <c r="BD2024" s="264"/>
      <c r="BE2024" s="263"/>
      <c r="BF2024" s="263"/>
      <c r="BG2024" s="263"/>
      <c r="BH2024" s="263"/>
      <c r="BI2024" s="263"/>
      <c r="BJ2024" s="404">
        <f>altaz(J2000_Bas,$O2024,$M2024,DecLat,DecLong,2)</f>
        <v>278.78215724879431</v>
      </c>
      <c r="BK2024" s="378" t="s">
        <v>1949</v>
      </c>
      <c r="BL2024" s="379">
        <f>IF((2*G2024)/60&lt;0.2,0.2,(2*G2024)/60)</f>
        <v>0.2</v>
      </c>
      <c r="BM2024" s="380">
        <f>MOD((50000+AD2024-$B$3+(0/24)),1)</f>
        <v>0.72287332035193685</v>
      </c>
      <c r="BN2024" s="381"/>
      <c r="BO2024" s="382">
        <v>2015</v>
      </c>
    </row>
    <row r="2025" spans="1:67" s="24" customFormat="1" ht="15" customHeight="1" x14ac:dyDescent="0.25">
      <c r="A2025" s="288" t="s">
        <v>1950</v>
      </c>
      <c r="B2025" s="241" t="str">
        <f>HYPERLINK(CONCATENATE($AT$3,BK2025,$AU$3),$AV$3)</f>
        <v>S</v>
      </c>
      <c r="C2025" s="242" t="str">
        <f>HYPERLINK(CONCATENATE($AT$4,BK2025,$AU$4,BL2025),$AV$4)</f>
        <v>A</v>
      </c>
      <c r="D2025" s="243" t="s">
        <v>5638</v>
      </c>
      <c r="E2025" s="244" t="s">
        <v>5182</v>
      </c>
      <c r="F2025" s="269" t="s">
        <v>8903</v>
      </c>
      <c r="G2025" s="273">
        <v>5.5</v>
      </c>
      <c r="H2025" s="283">
        <v>50</v>
      </c>
      <c r="I2025" s="246">
        <v>85</v>
      </c>
      <c r="J2025" s="246">
        <v>2</v>
      </c>
      <c r="K2025" s="247" t="s">
        <v>8570</v>
      </c>
      <c r="L2025" s="248">
        <v>122113</v>
      </c>
      <c r="M2025" s="249">
        <f>15*(LEFT(TEXT($L2025,"000000"),2)+(MID(TEXT($L2025,"000000"),3,2)/60)+(RIGHT(TEXT($L2025,"000000"),2)/3600))</f>
        <v>185.30416666666665</v>
      </c>
      <c r="N2025" s="250">
        <v>182258</v>
      </c>
      <c r="O2025" s="251">
        <f>IF($N2025&gt;0,(LEFT(TEXT($N2025,"000000"),2)+(MID(TEXT($N2025,"000000"),3,2)/60)+(RIGHT(TEXT($N2025,"000000"),2)/3600)),-(MID(TEXT($N2025,"000000"),2,2)+(MID(TEXT($N2025,"000000"),4,2)/60)+(RIGHT(TEXT($N2025,"000000"),2)/3600)))</f>
        <v>18.382777777777779</v>
      </c>
      <c r="P2025" s="252" t="s">
        <v>190</v>
      </c>
      <c r="Q2025" s="253" t="s">
        <v>6859</v>
      </c>
      <c r="R2025" s="277" t="s">
        <v>3293</v>
      </c>
      <c r="S2025" s="272" t="s">
        <v>3293</v>
      </c>
      <c r="T2025" s="273">
        <v>10.4</v>
      </c>
      <c r="U2025" s="289">
        <v>21.990000000000002</v>
      </c>
      <c r="V2025" s="280">
        <v>65</v>
      </c>
      <c r="W2025" s="244"/>
      <c r="X2025" s="244"/>
      <c r="Y2025" s="362"/>
      <c r="Z2025" s="257">
        <f>altaz(J2000_Bas,$O2025,$M2025,DecLat,DecLong,1)</f>
        <v>0.65431192260152959</v>
      </c>
      <c r="AA2025" s="257">
        <f>altaz((J2000_Bas+(2*0.04167)),$O2025,$M2025,DecLat,DecLong,1)</f>
        <v>-21.647964321377525</v>
      </c>
      <c r="AB2025" s="257">
        <f>altaz((J2000_Bas+(4*0.04167)),$O2025,$M2025,DecLat,DecLong,1)</f>
        <v>-37.305986023768547</v>
      </c>
      <c r="AC2025" s="257">
        <f>altaz((J2000_Bas+(6*0.04167)),$O2025,$M2025,DecLat,DecLong,1)</f>
        <v>-39.508075641788636</v>
      </c>
      <c r="AD2025" s="258">
        <f>1+ transit((J2000_Bas-1),$O2025,$M2025,DecLat,DecLong)/360 + (GMTOffset/24) + (IF(DST="Y", 1, 0)/24)</f>
        <v>1.5076337054526248</v>
      </c>
      <c r="AE2025" s="259">
        <f>DATE(2001,9,21)+(M2025/360)*365 - (360*((DecLong/360)- (GMTOffset/24) ))</f>
        <v>37347.877835648149</v>
      </c>
      <c r="AF2025" s="260">
        <f>IF(DecLat&gt;0,IF((90 - (DecLat-O2025))&gt;90, (90 - (O2025-DecLat)), (90 - (DecLat-O2025))),IF((90 + (DecLat-O2025))&gt;90, (90 + (O2025-DecLat)), (90 + (DecLat-O2025))))</f>
        <v>77.382777777777775</v>
      </c>
      <c r="AG2025" s="257">
        <f>angularseperation(MoonRA,MoonDec,$M2025,$O2025)</f>
        <v>76.842839162171373</v>
      </c>
      <c r="AH2025" s="261">
        <f ca="1">MIN(100,IF($O$5&gt;80,0+30*($AG2025/100),IF($O$5&gt;70,0+50*($AG2025/100),IF($O$5&gt;60,5+50*($AG2025/100),IF($O$5&gt;50,10+60*($AG2025/100),IF($O$5&gt;40,15+70*($AG2025/100),IF($O$5&gt;30,20+70*($AG2025/100),IF($O$5&gt;20,40+55*($AG2025/100),(80+(20-$O$5)+30*($AG2025/100))))))))))</f>
        <v>100</v>
      </c>
      <c r="AI2025" s="262">
        <v>4293</v>
      </c>
      <c r="AJ2025" s="262"/>
      <c r="AK2025" s="262">
        <v>227</v>
      </c>
      <c r="AL2025" s="263"/>
      <c r="AM2025" s="264"/>
      <c r="AN2025" s="263"/>
      <c r="AO2025" s="263"/>
      <c r="AP2025" s="265"/>
      <c r="AQ2025" s="266">
        <v>7405</v>
      </c>
      <c r="AR2025" s="267">
        <v>39907</v>
      </c>
      <c r="AS2025" s="263"/>
      <c r="AT2025" s="263"/>
      <c r="AU2025" s="263"/>
      <c r="AV2025" s="264"/>
      <c r="AW2025" s="263"/>
      <c r="AX2025" s="263"/>
      <c r="AY2025" s="263"/>
      <c r="AZ2025" s="263"/>
      <c r="BA2025" s="263"/>
      <c r="BB2025" s="263"/>
      <c r="BC2025" s="263"/>
      <c r="BD2025" s="264"/>
      <c r="BE2025" s="263"/>
      <c r="BF2025" s="263">
        <v>53</v>
      </c>
      <c r="BG2025" s="263"/>
      <c r="BH2025" s="263"/>
      <c r="BI2025" s="263"/>
      <c r="BJ2025" s="404">
        <f>altaz(J2000_Bas,$O2025,$M2025,DecLat,DecLong,2)</f>
        <v>291.1662838635267</v>
      </c>
      <c r="BK2025" s="378" t="s">
        <v>1950</v>
      </c>
      <c r="BL2025" s="379">
        <f>IF((2*G2025)/60&lt;0.2,0.2,(2*G2025)/60)</f>
        <v>0.2</v>
      </c>
      <c r="BM2025" s="380">
        <f>MOD((50000+AD2025-$B$3+(0/24)),1)</f>
        <v>0.72300063516013324</v>
      </c>
      <c r="BN2025" s="381"/>
      <c r="BO2025" s="382">
        <v>2016</v>
      </c>
    </row>
    <row r="2026" spans="1:67" s="24" customFormat="1" ht="15" customHeight="1" x14ac:dyDescent="0.25">
      <c r="A2026" s="288" t="s">
        <v>7826</v>
      </c>
      <c r="B2026" s="241" t="str">
        <f>HYPERLINK(CONCATENATE($AT$3,BK2026,$AU$3),$AV$3)</f>
        <v>S</v>
      </c>
      <c r="C2026" s="242" t="str">
        <f>HYPERLINK(CONCATENATE($AT$4,BK2026,$AU$4,BL2026),$AV$4)</f>
        <v>A</v>
      </c>
      <c r="D2026" s="243" t="s">
        <v>5638</v>
      </c>
      <c r="E2026" s="244" t="s">
        <v>5178</v>
      </c>
      <c r="F2026" s="269" t="s">
        <v>8666</v>
      </c>
      <c r="G2026" s="273">
        <v>6</v>
      </c>
      <c r="H2026" s="283">
        <v>40</v>
      </c>
      <c r="I2026" s="246">
        <v>70</v>
      </c>
      <c r="J2026" s="246">
        <v>3</v>
      </c>
      <c r="K2026" s="247" t="s">
        <v>7828</v>
      </c>
      <c r="L2026" s="248">
        <v>122133</v>
      </c>
      <c r="M2026" s="249">
        <f>15*(LEFT(TEXT($L2026,"000000"),2)+(MID(TEXT($L2026,"000000"),3,2)/60)+(RIGHT(TEXT($L2026,"000000"),2)/3600))</f>
        <v>185.38749999999999</v>
      </c>
      <c r="N2026" s="250">
        <v>143555</v>
      </c>
      <c r="O2026" s="251">
        <f>IF($N2026&gt;0,(LEFT(TEXT($N2026,"000000"),2)+(MID(TEXT($N2026,"000000"),3,2)/60)+(RIGHT(TEXT($N2026,"000000"),2)/3600)),-(MID(TEXT($N2026,"000000"),2,2)+(MID(TEXT($N2026,"000000"),4,2)/60)+(RIGHT(TEXT($N2026,"000000"),2)/3600)))</f>
        <v>14.598611111111111</v>
      </c>
      <c r="P2026" s="252" t="s">
        <v>190</v>
      </c>
      <c r="Q2026" s="253"/>
      <c r="R2026" s="247" t="s">
        <v>3293</v>
      </c>
      <c r="S2026" s="272" t="s">
        <v>7827</v>
      </c>
      <c r="T2026" s="273">
        <v>11.3</v>
      </c>
      <c r="U2026" s="289">
        <v>21.990000000000002</v>
      </c>
      <c r="V2026" s="280"/>
      <c r="W2026" s="244"/>
      <c r="X2026" s="244"/>
      <c r="Y2026" s="362"/>
      <c r="Z2026" s="257">
        <f>altaz(J2000_Bas,$O2026,$M2026,DecLat,DecLong,1)</f>
        <v>-1.3172625681889292</v>
      </c>
      <c r="AA2026" s="257">
        <f>altaz((J2000_Bas+(2*0.04167)),$O2026,$M2026,DecLat,DecLong,1)</f>
        <v>-24.273626776630412</v>
      </c>
      <c r="AB2026" s="257">
        <f>altaz((J2000_Bas+(4*0.04167)),$O2026,$M2026,DecLat,DecLong,1)</f>
        <v>-40.803436988432203</v>
      </c>
      <c r="AC2026" s="257">
        <f>altaz((J2000_Bas+(6*0.04167)),$O2026,$M2026,DecLat,DecLong,1)</f>
        <v>-43.219953264360967</v>
      </c>
      <c r="AD2026" s="258">
        <f>1+ transit((J2000_Bas-1),$O2026,$M2026,DecLat,DecLong)/360 + (GMTOffset/24) + (IF(DST="Y", 1, 0)/24)</f>
        <v>1.5078651869109581</v>
      </c>
      <c r="AE2026" s="259">
        <f>DATE(2001,9,21)+(M2026/360)*365 - (360*((DecLong/360)- (GMTOffset/24) ))</f>
        <v>37347.962326388886</v>
      </c>
      <c r="AF2026" s="260">
        <f>IF(DecLat&gt;0,IF((90 - (DecLat-O2026))&gt;90, (90 - (O2026-DecLat)), (90 - (DecLat-O2026))),IF((90 + (DecLat-O2026))&gt;90, (90 + (O2026-DecLat)), (90 + (DecLat-O2026))))</f>
        <v>73.598611111111111</v>
      </c>
      <c r="AG2026" s="257">
        <f>angularseperation(MoonRA,MoonDec,$M2026,$O2026)</f>
        <v>74.638459181910491</v>
      </c>
      <c r="AH2026" s="261">
        <f ca="1">MIN(100,IF($O$5&gt;80,0+30*($AG2026/100),IF($O$5&gt;70,0+50*($AG2026/100),IF($O$5&gt;60,5+50*($AG2026/100),IF($O$5&gt;50,10+60*($AG2026/100),IF($O$5&gt;40,15+70*($AG2026/100),IF($O$5&gt;30,20+70*($AG2026/100),IF($O$5&gt;20,40+55*($AG2026/100),(80+(20-$O$5)+30*($AG2026/100))))))))))</f>
        <v>100</v>
      </c>
      <c r="AI2026" s="262">
        <v>4298</v>
      </c>
      <c r="AJ2026" s="262"/>
      <c r="AK2026" s="262"/>
      <c r="AL2026" s="263"/>
      <c r="AM2026" s="264"/>
      <c r="AN2026" s="263"/>
      <c r="AO2026" s="263"/>
      <c r="AP2026" s="265"/>
      <c r="AQ2026" s="266">
        <v>7412</v>
      </c>
      <c r="AR2026" s="267">
        <v>39950</v>
      </c>
      <c r="AS2026" s="263"/>
      <c r="AT2026" s="263"/>
      <c r="AU2026" s="263"/>
      <c r="AV2026" s="264"/>
      <c r="AW2026" s="263"/>
      <c r="AX2026" s="263"/>
      <c r="AY2026" s="263"/>
      <c r="AZ2026" s="263"/>
      <c r="BA2026" s="263"/>
      <c r="BB2026" s="263"/>
      <c r="BC2026" s="263"/>
      <c r="BD2026" s="264"/>
      <c r="BE2026" s="263"/>
      <c r="BF2026" s="263"/>
      <c r="BG2026" s="263"/>
      <c r="BH2026" s="263"/>
      <c r="BI2026" s="263"/>
      <c r="BJ2026" s="404">
        <f>altaz(J2000_Bas,$O2026,$M2026,DecLat,DecLong,2)</f>
        <v>287.93509627538094</v>
      </c>
      <c r="BK2026" s="378" t="s">
        <v>1951</v>
      </c>
      <c r="BL2026" s="379">
        <f>IF((2*G2026)/60&lt;0.2,0.2,(2*G2026)/60)</f>
        <v>0.2</v>
      </c>
      <c r="BM2026" s="380">
        <f>MOD((50000+AD2026-$B$3+(0/24)),1)</f>
        <v>0.72323211661569076</v>
      </c>
      <c r="BN2026" s="381"/>
      <c r="BO2026" s="382">
        <v>2017</v>
      </c>
    </row>
    <row r="2027" spans="1:67" s="24" customFormat="1" ht="15" customHeight="1" x14ac:dyDescent="0.25">
      <c r="A2027" s="298" t="s">
        <v>1952</v>
      </c>
      <c r="B2027" s="241" t="str">
        <f>HYPERLINK(CONCATENATE($AT$3,BK2027,$AU$3),$AV$3)</f>
        <v>S</v>
      </c>
      <c r="C2027" s="242" t="str">
        <f>HYPERLINK(CONCATENATE($AT$4,BK2027,$AU$4,BL2027),$AV$4)</f>
        <v>A</v>
      </c>
      <c r="D2027" s="243" t="s">
        <v>5638</v>
      </c>
      <c r="E2027" s="244" t="s">
        <v>5182</v>
      </c>
      <c r="F2027" s="269" t="s">
        <v>8815</v>
      </c>
      <c r="G2027" s="273">
        <v>4.5999999999999996</v>
      </c>
      <c r="H2027" s="283">
        <v>35</v>
      </c>
      <c r="I2027" s="246">
        <v>50</v>
      </c>
      <c r="J2027" s="246">
        <v>2</v>
      </c>
      <c r="K2027" s="247" t="s">
        <v>7829</v>
      </c>
      <c r="L2027" s="248">
        <v>122231</v>
      </c>
      <c r="M2027" s="249">
        <f>15*(LEFT(TEXT($L2027,"000000"),2)+(MID(TEXT($L2027,"000000"),3,2)/60)+(RIGHT(TEXT($L2027,"000000"),2)/3600))</f>
        <v>185.62916666666669</v>
      </c>
      <c r="N2027" s="250">
        <v>153217</v>
      </c>
      <c r="O2027" s="251">
        <f>IF($N2027&gt;0,(LEFT(TEXT($N2027,"000000"),2)+(MID(TEXT($N2027,"000000"),3,2)/60)+(RIGHT(TEXT($N2027,"000000"),2)/3600)),-(MID(TEXT($N2027,"000000"),2,2)+(MID(TEXT($N2027,"000000"),4,2)/60)+(RIGHT(TEXT($N2027,"000000"),2)/3600)))</f>
        <v>15.538055555555555</v>
      </c>
      <c r="P2027" s="252" t="s">
        <v>190</v>
      </c>
      <c r="Q2027" s="253"/>
      <c r="R2027" s="247" t="s">
        <v>3293</v>
      </c>
      <c r="S2027" s="272" t="s">
        <v>3293</v>
      </c>
      <c r="T2027" s="273">
        <v>11.7</v>
      </c>
      <c r="U2027" s="289">
        <v>22.19</v>
      </c>
      <c r="V2027" s="280">
        <v>86</v>
      </c>
      <c r="W2027" s="244"/>
      <c r="X2027" s="244"/>
      <c r="Y2027" s="362"/>
      <c r="Z2027" s="257">
        <f>altaz(J2000_Bas,$O2027,$M2027,DecLat,DecLong,1)</f>
        <v>-0.61514773540439938</v>
      </c>
      <c r="AA2027" s="257">
        <f>altaz((J2000_Bas+(2*0.04167)),$O2027,$M2027,DecLat,DecLong,1)</f>
        <v>-23.447732075593912</v>
      </c>
      <c r="AB2027" s="257">
        <f>altaz((J2000_Bas+(4*0.04167)),$O2027,$M2027,DecLat,DecLong,1)</f>
        <v>-39.84464637702623</v>
      </c>
      <c r="AC2027" s="257">
        <f>altaz((J2000_Bas+(6*0.04167)),$O2027,$M2027,DecLat,DecLong,1)</f>
        <v>-42.353902074626951</v>
      </c>
      <c r="AD2027" s="258">
        <f>1+ transit((J2000_Bas-1),$O2027,$M2027,DecLat,DecLong)/360 + (GMTOffset/24) + (IF(DST="Y", 1, 0)/24)</f>
        <v>1.5085364831401249</v>
      </c>
      <c r="AE2027" s="259">
        <f>DATE(2001,9,21)+(M2027/360)*365 - (360*((DecLong/360)- (GMTOffset/24) ))</f>
        <v>37348.207349537035</v>
      </c>
      <c r="AF2027" s="260">
        <f>IF(DecLat&gt;0,IF((90 - (DecLat-O2027))&gt;90, (90 - (O2027-DecLat)), (90 - (DecLat-O2027))),IF((90 + (DecLat-O2027))&gt;90, (90 + (O2027-DecLat)), (90 + (DecLat-O2027))))</f>
        <v>74.538055555555559</v>
      </c>
      <c r="AG2027" s="257">
        <f>angularseperation(MoonRA,MoonDec,$M2027,$O2027)</f>
        <v>74.973093528287919</v>
      </c>
      <c r="AH2027" s="261">
        <f ca="1">MIN(100,IF($O$5&gt;80,0+30*($AG2027/100),IF($O$5&gt;70,0+50*($AG2027/100),IF($O$5&gt;60,5+50*($AG2027/100),IF($O$5&gt;50,10+60*($AG2027/100),IF($O$5&gt;40,15+70*($AG2027/100),IF($O$5&gt;30,20+70*($AG2027/100),IF($O$5&gt;20,40+55*($AG2027/100),(80+(20-$O$5)+30*($AG2027/100))))))))))</f>
        <v>100</v>
      </c>
      <c r="AI2027" s="262">
        <v>4312</v>
      </c>
      <c r="AJ2027" s="263"/>
      <c r="AK2027" s="263"/>
      <c r="AL2027" s="263"/>
      <c r="AM2027" s="264"/>
      <c r="AN2027" s="263"/>
      <c r="AO2027" s="263"/>
      <c r="AP2027" s="265"/>
      <c r="AQ2027" s="265">
        <v>7442</v>
      </c>
      <c r="AR2027" s="285">
        <v>40095</v>
      </c>
      <c r="AS2027" s="263"/>
      <c r="AT2027" s="263"/>
      <c r="AU2027" s="263"/>
      <c r="AV2027" s="264"/>
      <c r="AW2027" s="263"/>
      <c r="AX2027" s="263"/>
      <c r="AY2027" s="263"/>
      <c r="AZ2027" s="263"/>
      <c r="BA2027" s="263"/>
      <c r="BB2027" s="263"/>
      <c r="BC2027" s="263"/>
      <c r="BD2027" s="264"/>
      <c r="BE2027" s="263"/>
      <c r="BF2027" s="263"/>
      <c r="BG2027" s="263"/>
      <c r="BH2027" s="263"/>
      <c r="BI2027" s="263"/>
      <c r="BJ2027" s="404">
        <f>altaz(J2000_Bas,$O2027,$M2027,DecLat,DecLong,2)</f>
        <v>288.60156205403626</v>
      </c>
      <c r="BK2027" s="378" t="s">
        <v>1952</v>
      </c>
      <c r="BL2027" s="379">
        <f>IF((2*G2027)/60&lt;0.2,0.2,(2*G2027)/60)</f>
        <v>0.2</v>
      </c>
      <c r="BM2027" s="380">
        <f>MOD((50000+AD2027-$B$3+(0/24)),1)</f>
        <v>0.72390341284335591</v>
      </c>
      <c r="BN2027" s="381"/>
      <c r="BO2027" s="382">
        <v>2018</v>
      </c>
    </row>
    <row r="2028" spans="1:67" s="24" customFormat="1" ht="15" customHeight="1" x14ac:dyDescent="0.25">
      <c r="A2028" s="288" t="s">
        <v>1953</v>
      </c>
      <c r="B2028" s="241" t="str">
        <f>HYPERLINK(CONCATENATE($AT$3,BK2028,$AU$3),$AV$3)</f>
        <v>S</v>
      </c>
      <c r="C2028" s="242" t="str">
        <f>HYPERLINK(CONCATENATE($AT$4,BK2028,$AU$4,BL2028),$AV$4)</f>
        <v>A</v>
      </c>
      <c r="D2028" s="243" t="s">
        <v>5638</v>
      </c>
      <c r="E2028" s="244" t="s">
        <v>5192</v>
      </c>
      <c r="F2028" s="269" t="s">
        <v>8947</v>
      </c>
      <c r="G2028" s="273">
        <v>3</v>
      </c>
      <c r="H2028" s="283">
        <v>50</v>
      </c>
      <c r="I2028" s="246">
        <v>45</v>
      </c>
      <c r="J2028" s="246">
        <v>3</v>
      </c>
      <c r="K2028" s="247" t="s">
        <v>7830</v>
      </c>
      <c r="L2028" s="248">
        <v>122232</v>
      </c>
      <c r="M2028" s="249">
        <f>15*(LEFT(TEXT($L2028,"000000"),2)+(MID(TEXT($L2028,"000000"),3,2)/60)+(RIGHT(TEXT($L2028,"000000"),2)/3600))</f>
        <v>185.63333333333333</v>
      </c>
      <c r="N2028" s="250">
        <v>295344</v>
      </c>
      <c r="O2028" s="251">
        <f>IF($N2028&gt;0,(LEFT(TEXT($N2028,"000000"),2)+(MID(TEXT($N2028,"000000"),3,2)/60)+(RIGHT(TEXT($N2028,"000000"),2)/3600)),-(MID(TEXT($N2028,"000000"),2,2)+(MID(TEXT($N2028,"000000"),4,2)/60)+(RIGHT(TEXT($N2028,"000000"),2)/3600)))</f>
        <v>29.895555555555553</v>
      </c>
      <c r="P2028" s="252" t="s">
        <v>190</v>
      </c>
      <c r="Q2028" s="253"/>
      <c r="R2028" s="247" t="s">
        <v>3293</v>
      </c>
      <c r="S2028" s="272" t="s">
        <v>3293</v>
      </c>
      <c r="T2028" s="273">
        <v>10.6</v>
      </c>
      <c r="U2028" s="289">
        <v>22.29</v>
      </c>
      <c r="V2028" s="280">
        <v>20</v>
      </c>
      <c r="W2028" s="244"/>
      <c r="X2028" s="244"/>
      <c r="Y2028" s="362"/>
      <c r="Z2028" s="257">
        <f>altaz(J2000_Bas,$O2028,$M2028,DecLat,DecLong,1)</f>
        <v>7.0624967684500772</v>
      </c>
      <c r="AA2028" s="257">
        <f>altaz((J2000_Bas+(2*0.04167)),$O2028,$M2028,DecLat,DecLong,1)</f>
        <v>-13.029313802000699</v>
      </c>
      <c r="AB2028" s="257">
        <f>altaz((J2000_Bas+(4*0.04167)),$O2028,$M2028,DecLat,DecLong,1)</f>
        <v>-26.355895793643455</v>
      </c>
      <c r="AC2028" s="257">
        <f>altaz((J2000_Bas+(6*0.04167)),$O2028,$M2028,DecLat,DecLong,1)</f>
        <v>-28.272627410555454</v>
      </c>
      <c r="AD2028" s="258">
        <f>1+ transit((J2000_Bas-1),$O2028,$M2028,DecLat,DecLong)/360 + (GMTOffset/24) + (IF(DST="Y", 1, 0)/24)</f>
        <v>1.5085480572130414</v>
      </c>
      <c r="AE2028" s="259">
        <f>DATE(2001,9,21)+(M2028/360)*365 - (360*((DecLong/360)- (GMTOffset/24) ))</f>
        <v>37348.211574074077</v>
      </c>
      <c r="AF2028" s="260">
        <f>IF(DecLat&gt;0,IF((90 - (DecLat-O2028))&gt;90, (90 - (O2028-DecLat)), (90 - (DecLat-O2028))),IF((90 + (DecLat-O2028))&gt;90, (90 + (O2028-DecLat)), (90 + (DecLat-O2028))))</f>
        <v>88.895555555555546</v>
      </c>
      <c r="AG2028" s="257">
        <f>angularseperation(MoonRA,MoonDec,$M2028,$O2028)</f>
        <v>83.329128562214649</v>
      </c>
      <c r="AH2028" s="261">
        <f ca="1">MIN(100,IF($O$5&gt;80,0+30*($AG2028/100),IF($O$5&gt;70,0+50*($AG2028/100),IF($O$5&gt;60,5+50*($AG2028/100),IF($O$5&gt;50,10+60*($AG2028/100),IF($O$5&gt;40,15+70*($AG2028/100),IF($O$5&gt;30,20+70*($AG2028/100),IF($O$5&gt;20,40+55*($AG2028/100),(80+(20-$O$5)+30*($AG2028/100))))))))))</f>
        <v>100</v>
      </c>
      <c r="AI2028" s="262">
        <v>4314</v>
      </c>
      <c r="AJ2028" s="262"/>
      <c r="AK2028" s="262">
        <v>229</v>
      </c>
      <c r="AL2028" s="263"/>
      <c r="AM2028" s="264"/>
      <c r="AN2028" s="263"/>
      <c r="AO2028" s="263"/>
      <c r="AP2028" s="265"/>
      <c r="AQ2028" s="266">
        <v>7443</v>
      </c>
      <c r="AR2028" s="267">
        <v>40097</v>
      </c>
      <c r="AS2028" s="263"/>
      <c r="AT2028" s="263"/>
      <c r="AU2028" s="263"/>
      <c r="AV2028" s="264"/>
      <c r="AW2028" s="263"/>
      <c r="AX2028" s="263"/>
      <c r="AY2028" s="263"/>
      <c r="AZ2028" s="263"/>
      <c r="BA2028" s="263"/>
      <c r="BB2028" s="263"/>
      <c r="BC2028" s="263"/>
      <c r="BD2028" s="264"/>
      <c r="BE2028" s="263"/>
      <c r="BF2028" s="263"/>
      <c r="BG2028" s="263"/>
      <c r="BH2028" s="263">
        <v>95</v>
      </c>
      <c r="BI2028" s="263"/>
      <c r="BJ2028" s="404">
        <f>altaz(J2000_Bas,$O2028,$M2028,DecLat,DecLong,2)</f>
        <v>300.76231555440364</v>
      </c>
      <c r="BK2028" s="378" t="s">
        <v>1953</v>
      </c>
      <c r="BL2028" s="379">
        <f>IF((2*G2028)/60&lt;0.2,0.2,(2*G2028)/60)</f>
        <v>0.2</v>
      </c>
      <c r="BM2028" s="380">
        <f>MOD((50000+AD2028-$B$3+(0/24)),1)</f>
        <v>0.72391498692013556</v>
      </c>
      <c r="BN2028" s="381"/>
      <c r="BO2028" s="382">
        <v>2019</v>
      </c>
    </row>
    <row r="2029" spans="1:67" s="24" customFormat="1" ht="15" customHeight="1" x14ac:dyDescent="0.25">
      <c r="A2029" s="288" t="s">
        <v>1954</v>
      </c>
      <c r="B2029" s="241" t="str">
        <f>HYPERLINK(CONCATENATE($AT$3,BK2029,$AU$3),$AV$3)</f>
        <v>S</v>
      </c>
      <c r="C2029" s="242" t="str">
        <f>HYPERLINK(CONCATENATE($AT$4,BK2029,$AU$4,BL2029),$AV$4)</f>
        <v>A</v>
      </c>
      <c r="D2029" s="243" t="s">
        <v>5638</v>
      </c>
      <c r="E2029" s="244" t="s">
        <v>5192</v>
      </c>
      <c r="F2029" s="269" t="s">
        <v>8974</v>
      </c>
      <c r="G2029" s="273">
        <v>3</v>
      </c>
      <c r="H2029" s="283">
        <v>54</v>
      </c>
      <c r="I2029" s="246">
        <v>50</v>
      </c>
      <c r="J2029" s="246">
        <v>2</v>
      </c>
      <c r="K2029" s="247" t="s">
        <v>7831</v>
      </c>
      <c r="L2029" s="248">
        <v>122144</v>
      </c>
      <c r="M2029" s="249">
        <f>15*(LEFT(TEXT($L2029,"000000"),2)+(MID(TEXT($L2029,"000000"),3,2)/60)+(RIGHT(TEXT($L2029,"000000"),2)/3600))</f>
        <v>185.43333333333334</v>
      </c>
      <c r="N2029" s="250">
        <v>751919</v>
      </c>
      <c r="O2029" s="251">
        <f>IF($N2029&gt;0,(LEFT(TEXT($N2029,"000000"),2)+(MID(TEXT($N2029,"000000"),3,2)/60)+(RIGHT(TEXT($N2029,"000000"),2)/3600)),-(MID(TEXT($N2029,"000000"),2,2)+(MID(TEXT($N2029,"000000"),4,2)/60)+(RIGHT(TEXT($N2029,"000000"),2)/3600)))</f>
        <v>75.321944444444441</v>
      </c>
      <c r="P2029" s="252" t="s">
        <v>34</v>
      </c>
      <c r="Q2029" s="253"/>
      <c r="R2029" s="247" t="s">
        <v>3293</v>
      </c>
      <c r="S2029" s="272" t="s">
        <v>3293</v>
      </c>
      <c r="T2029" s="273">
        <v>10.5</v>
      </c>
      <c r="U2029" s="289">
        <v>22.69</v>
      </c>
      <c r="V2029" s="280">
        <v>15</v>
      </c>
      <c r="W2029" s="244"/>
      <c r="X2029" s="244"/>
      <c r="Y2029" s="362"/>
      <c r="Z2029" s="257">
        <f>altaz(J2000_Bas,$O2029,$M2029,DecLat,DecLong,1)</f>
        <v>27.283315246306305</v>
      </c>
      <c r="AA2029" s="257">
        <f>altaz((J2000_Bas+(2*0.04167)),$O2029,$M2029,DecLat,DecLong,1)</f>
        <v>20.899488027077346</v>
      </c>
      <c r="AB2029" s="257">
        <f>altaz((J2000_Bas+(4*0.04167)),$O2029,$M2029,DecLat,DecLong,1)</f>
        <v>17.049179260912396</v>
      </c>
      <c r="AC2029" s="257">
        <f>altaz((J2000_Bas+(6*0.04167)),$O2029,$M2029,DecLat,DecLong,1)</f>
        <v>16.552735289446041</v>
      </c>
      <c r="AD2029" s="258">
        <f>1+ transit((J2000_Bas-1),$O2029,$M2029,DecLat,DecLong)/360 + (GMTOffset/24) + (IF(DST="Y", 1, 0)/24)</f>
        <v>1.5079925017130413</v>
      </c>
      <c r="AE2029" s="259">
        <f>DATE(2001,9,21)+(M2029/360)*365 - (360*((DecLong/360)- (GMTOffset/24) ))</f>
        <v>37348.008796296293</v>
      </c>
      <c r="AF2029" s="260">
        <f>IF(DecLat&gt;0,IF((90 - (DecLat-O2029))&gt;90, (90 - (O2029-DecLat)), (90 - (DecLat-O2029))),IF((90 + (DecLat-O2029))&gt;90, (90 + (O2029-DecLat)), (90 + (DecLat-O2029))))</f>
        <v>45.678055555555559</v>
      </c>
      <c r="AG2029" s="257">
        <f>angularseperation(MoonRA,MoonDec,$M2029,$O2029)</f>
        <v>109.92960028247532</v>
      </c>
      <c r="AH2029" s="261">
        <f ca="1">MIN(100,IF($O$5&gt;80,0+30*($AG2029/100),IF($O$5&gt;70,0+50*($AG2029/100),IF($O$5&gt;60,5+50*($AG2029/100),IF($O$5&gt;50,10+60*($AG2029/100),IF($O$5&gt;40,15+70*($AG2029/100),IF($O$5&gt;30,20+70*($AG2029/100),IF($O$5&gt;20,40+55*($AG2029/100),(80+(20-$O$5)+30*($AG2029/100))))))))))</f>
        <v>100</v>
      </c>
      <c r="AI2029" s="262">
        <v>4319</v>
      </c>
      <c r="AJ2029" s="262"/>
      <c r="AK2029" s="262"/>
      <c r="AL2029" s="263"/>
      <c r="AM2029" s="264"/>
      <c r="AN2029" s="263"/>
      <c r="AO2029" s="263"/>
      <c r="AP2029" s="265"/>
      <c r="AQ2029" s="266"/>
      <c r="AR2029" s="267">
        <v>39981</v>
      </c>
      <c r="AS2029" s="263"/>
      <c r="AT2029" s="263"/>
      <c r="AU2029" s="263"/>
      <c r="AV2029" s="264"/>
      <c r="AW2029" s="263"/>
      <c r="AX2029" s="263"/>
      <c r="AY2029" s="263"/>
      <c r="AZ2029" s="263"/>
      <c r="BA2029" s="263"/>
      <c r="BB2029" s="263"/>
      <c r="BC2029" s="263"/>
      <c r="BD2029" s="264"/>
      <c r="BE2029" s="263"/>
      <c r="BF2029" s="263"/>
      <c r="BG2029" s="263"/>
      <c r="BH2029" s="263"/>
      <c r="BI2029" s="263"/>
      <c r="BJ2029" s="404">
        <f>altaz(J2000_Bas,$O2029,$M2029,DecLat,DecLong,2)</f>
        <v>343.72379696530203</v>
      </c>
      <c r="BK2029" s="378" t="s">
        <v>1954</v>
      </c>
      <c r="BL2029" s="379">
        <f>IF((2*G2029)/60&lt;0.2,0.2,(2*G2029)/60)</f>
        <v>0.2</v>
      </c>
      <c r="BM2029" s="380">
        <f>MOD((50000+AD2029-$B$3+(0/24)),1)</f>
        <v>0.72335943141661119</v>
      </c>
      <c r="BN2029" s="381"/>
      <c r="BO2029" s="382">
        <v>2020</v>
      </c>
    </row>
    <row r="2030" spans="1:67" s="24" customFormat="1" ht="15" customHeight="1" x14ac:dyDescent="0.25">
      <c r="A2030" s="287" t="s">
        <v>1955</v>
      </c>
      <c r="B2030" s="241" t="str">
        <f>HYPERLINK(CONCATENATE($AT$3,BK2030,$AU$3),$AV$3)</f>
        <v>S</v>
      </c>
      <c r="C2030" s="242" t="str">
        <f>HYPERLINK(CONCATENATE($AT$4,BK2030,$AU$4,BL2030),$AV$4)</f>
        <v>A</v>
      </c>
      <c r="D2030" s="243" t="s">
        <v>5638</v>
      </c>
      <c r="E2030" s="244" t="s">
        <v>5192</v>
      </c>
      <c r="F2030" s="269" t="s">
        <v>8668</v>
      </c>
      <c r="G2030" s="273">
        <v>6</v>
      </c>
      <c r="H2030" s="283">
        <v>60</v>
      </c>
      <c r="I2030" s="246">
        <v>100</v>
      </c>
      <c r="J2030" s="246">
        <v>2</v>
      </c>
      <c r="K2030" s="247" t="s">
        <v>7832</v>
      </c>
      <c r="L2030" s="248">
        <v>122317</v>
      </c>
      <c r="M2030" s="249">
        <f>15*(LEFT(TEXT($L2030,"000000"),2)+(MID(TEXT($L2030,"000000"),3,2)/60)+(RIGHT(TEXT($L2030,"000000"),2)/3600))</f>
        <v>185.82083333333333</v>
      </c>
      <c r="N2030" s="250">
        <v>112204</v>
      </c>
      <c r="O2030" s="251">
        <f>IF($N2030&gt;0,(LEFT(TEXT($N2030,"000000"),2)+(MID(TEXT($N2030,"000000"),3,2)/60)+(RIGHT(TEXT($N2030,"000000"),2)/3600)),-(MID(TEXT($N2030,"000000"),2,2)+(MID(TEXT($N2030,"000000"),4,2)/60)+(RIGHT(TEXT($N2030,"000000"),2)/3600)))</f>
        <v>11.367777777777778</v>
      </c>
      <c r="P2030" s="252" t="s">
        <v>61</v>
      </c>
      <c r="Q2030" s="253"/>
      <c r="R2030" s="277" t="s">
        <v>3293</v>
      </c>
      <c r="S2030" s="272" t="s">
        <v>3293</v>
      </c>
      <c r="T2030" s="273">
        <v>12.4</v>
      </c>
      <c r="U2030" s="289">
        <v>22.69</v>
      </c>
      <c r="V2030" s="280">
        <v>87</v>
      </c>
      <c r="W2030" s="244"/>
      <c r="X2030" s="244"/>
      <c r="Y2030" s="362"/>
      <c r="Z2030" s="257">
        <f>altaz(J2000_Bas,$O2030,$M2030,DecLat,DecLong,1)</f>
        <v>-2.6958162629405136</v>
      </c>
      <c r="AA2030" s="257">
        <f>altaz((J2000_Bas+(2*0.04167)),$O2030,$M2030,DecLat,DecLong,1)</f>
        <v>-26.208377692503912</v>
      </c>
      <c r="AB2030" s="257">
        <f>altaz((J2000_Bas+(4*0.04167)),$O2030,$M2030,DecLat,DecLong,1)</f>
        <v>-43.622223207005241</v>
      </c>
      <c r="AC2030" s="257">
        <f>altaz((J2000_Bas+(6*0.04167)),$O2030,$M2030,DecLat,DecLong,1)</f>
        <v>-46.463419991320052</v>
      </c>
      <c r="AD2030" s="258">
        <f>1+ transit((J2000_Bas-1),$O2030,$M2030,DecLat,DecLong)/360 + (GMTOffset/24) + (IF(DST="Y", 1, 0)/24)</f>
        <v>1.5090688904942915</v>
      </c>
      <c r="AE2030" s="259">
        <f>DATE(2001,9,21)+(M2030/360)*365 - (360*((DecLong/360)- (GMTOffset/24) ))</f>
        <v>37348.401678240742</v>
      </c>
      <c r="AF2030" s="260">
        <f>IF(DecLat&gt;0,IF((90 - (DecLat-O2030))&gt;90, (90 - (O2030-DecLat)), (90 - (DecLat-O2030))),IF((90 + (DecLat-O2030))&gt;90, (90 + (O2030-DecLat)), (90 + (DecLat-O2030))))</f>
        <v>70.367777777777775</v>
      </c>
      <c r="AG2030" s="257">
        <f>angularseperation(MoonRA,MoonDec,$M2030,$O2030)</f>
        <v>72.493883730598242</v>
      </c>
      <c r="AH2030" s="261">
        <f ca="1">MIN(100,IF($O$5&gt;80,0+30*($AG2030/100),IF($O$5&gt;70,0+50*($AG2030/100),IF($O$5&gt;60,5+50*($AG2030/100),IF($O$5&gt;50,10+60*($AG2030/100),IF($O$5&gt;40,15+70*($AG2030/100),IF($O$5&gt;30,20+70*($AG2030/100),IF($O$5&gt;20,40+55*($AG2030/100),(80+(20-$O$5)+30*($AG2030/100))))))))))</f>
        <v>100</v>
      </c>
      <c r="AI2030" s="262">
        <v>4330</v>
      </c>
      <c r="AJ2030" s="263"/>
      <c r="AK2030" s="263"/>
      <c r="AL2030" s="263"/>
      <c r="AM2030" s="264"/>
      <c r="AN2030" s="263"/>
      <c r="AO2030" s="263"/>
      <c r="AP2030" s="265"/>
      <c r="AQ2030" s="265">
        <v>7456</v>
      </c>
      <c r="AR2030" s="285">
        <v>40201</v>
      </c>
      <c r="AS2030" s="263"/>
      <c r="AT2030" s="263"/>
      <c r="AU2030" s="263"/>
      <c r="AV2030" s="264"/>
      <c r="AW2030" s="263"/>
      <c r="AX2030" s="263"/>
      <c r="AY2030" s="263"/>
      <c r="AZ2030" s="263"/>
      <c r="BA2030" s="263"/>
      <c r="BB2030" s="263"/>
      <c r="BC2030" s="263"/>
      <c r="BD2030" s="264"/>
      <c r="BE2030" s="263"/>
      <c r="BF2030" s="263"/>
      <c r="BG2030" s="263"/>
      <c r="BH2030" s="263"/>
      <c r="BI2030" s="263"/>
      <c r="BJ2030" s="404">
        <f>altaz(J2000_Bas,$O2030,$M2030,DecLat,DecLong,2)</f>
        <v>284.98090564141467</v>
      </c>
      <c r="BK2030" s="378" t="s">
        <v>1955</v>
      </c>
      <c r="BL2030" s="379">
        <f>IF((2*G2030)/60&lt;0.2,0.2,(2*G2030)/60)</f>
        <v>0.2</v>
      </c>
      <c r="BM2030" s="380">
        <f>MOD((50000+AD2030-$B$3+(0/24)),1)</f>
        <v>0.72443582020059694</v>
      </c>
      <c r="BN2030" s="381"/>
      <c r="BO2030" s="382">
        <v>2021</v>
      </c>
    </row>
    <row r="2031" spans="1:67" s="24" customFormat="1" ht="15" customHeight="1" x14ac:dyDescent="0.25">
      <c r="A2031" s="288" t="s">
        <v>1956</v>
      </c>
      <c r="B2031" s="241" t="str">
        <f>HYPERLINK(CONCATENATE($AT$3,BK2031,$AU$3),$AV$3)</f>
        <v>S</v>
      </c>
      <c r="C2031" s="242" t="str">
        <f>HYPERLINK(CONCATENATE($AT$4,BK2031,$AU$4,BL2031),$AV$4)</f>
        <v>A</v>
      </c>
      <c r="D2031" s="243" t="s">
        <v>5638</v>
      </c>
      <c r="E2031" s="244" t="s">
        <v>3259</v>
      </c>
      <c r="F2031" s="269"/>
      <c r="G2031" s="273">
        <v>2.2000000000000002</v>
      </c>
      <c r="H2031" s="283">
        <v>70</v>
      </c>
      <c r="I2031" s="246">
        <v>45</v>
      </c>
      <c r="J2031" s="246">
        <v>2</v>
      </c>
      <c r="K2031" s="247" t="s">
        <v>8052</v>
      </c>
      <c r="L2031" s="248">
        <v>122236</v>
      </c>
      <c r="M2031" s="249">
        <f>15*(LEFT(TEXT($L2031,"000000"),2)+(MID(TEXT($L2031,"000000"),3,2)/60)+(RIGHT(TEXT($L2031,"000000"),2)/3600))</f>
        <v>185.65</v>
      </c>
      <c r="N2031" s="250">
        <v>761021</v>
      </c>
      <c r="O2031" s="251">
        <f>IF($N2031&gt;0,(LEFT(TEXT($N2031,"000000"),2)+(MID(TEXT($N2031,"000000"),3,2)/60)+(RIGHT(TEXT($N2031,"000000"),2)/3600)),-(MID(TEXT($N2031,"000000"),2,2)+(MID(TEXT($N2031,"000000"),4,2)/60)+(RIGHT(TEXT($N2031,"000000"),2)/3600)))</f>
        <v>76.172499999999999</v>
      </c>
      <c r="P2031" s="252" t="s">
        <v>34</v>
      </c>
      <c r="Q2031" s="253"/>
      <c r="R2031" s="247" t="s">
        <v>3293</v>
      </c>
      <c r="S2031" s="272" t="s">
        <v>3293</v>
      </c>
      <c r="T2031" s="273">
        <v>14</v>
      </c>
      <c r="U2031" s="289">
        <v>22.69</v>
      </c>
      <c r="V2031" s="280">
        <v>78</v>
      </c>
      <c r="W2031" s="244"/>
      <c r="X2031" s="244"/>
      <c r="Y2031" s="362"/>
      <c r="Z2031" s="257">
        <f>altaz(J2000_Bas,$O2031,$M2031,DecLat,DecLong,1)</f>
        <v>27.600068870503602</v>
      </c>
      <c r="AA2031" s="257">
        <f>altaz((J2000_Bas+(2*0.04167)),$O2031,$M2031,DecLat,DecLong,1)</f>
        <v>21.545217935628958</v>
      </c>
      <c r="AB2031" s="257">
        <f>altaz((J2000_Bas+(4*0.04167)),$O2031,$M2031,DecLat,DecLong,1)</f>
        <v>17.876977493880631</v>
      </c>
      <c r="AC2031" s="257">
        <f>altaz((J2000_Bas+(6*0.04167)),$O2031,$M2031,DecLat,DecLong,1)</f>
        <v>17.382513165102846</v>
      </c>
      <c r="AD2031" s="258">
        <f>1+ transit((J2000_Bas-1),$O2031,$M2031,DecLat,DecLong)/360 + (GMTOffset/24) + (IF(DST="Y", 1, 0)/24)</f>
        <v>1.5085943535047079</v>
      </c>
      <c r="AE2031" s="259">
        <f>DATE(2001,9,21)+(M2031/360)*365 - (360*((DecLong/360)- (GMTOffset/24) ))</f>
        <v>37348.228472222225</v>
      </c>
      <c r="AF2031" s="260">
        <f>IF(DecLat&gt;0,IF((90 - (DecLat-O2031))&gt;90, (90 - (O2031-DecLat)), (90 - (DecLat-O2031))),IF((90 + (DecLat-O2031))&gt;90, (90 + (O2031-DecLat)), (90 + (DecLat-O2031))))</f>
        <v>44.827500000000001</v>
      </c>
      <c r="AG2031" s="257">
        <f>angularseperation(MoonRA,MoonDec,$M2031,$O2031)</f>
        <v>110.33215477535154</v>
      </c>
      <c r="AH2031" s="261">
        <f ca="1">MIN(100,IF($O$5&gt;80,0+30*($AG2031/100),IF($O$5&gt;70,0+50*($AG2031/100),IF($O$5&gt;60,5+50*($AG2031/100),IF($O$5&gt;50,10+60*($AG2031/100),IF($O$5&gt;40,15+70*($AG2031/100),IF($O$5&gt;30,20+70*($AG2031/100),IF($O$5&gt;20,40+55*($AG2031/100),(80+(20-$O$5)+30*($AG2031/100))))))))))</f>
        <v>100</v>
      </c>
      <c r="AI2031" s="262">
        <v>4331</v>
      </c>
      <c r="AJ2031" s="262"/>
      <c r="AK2031" s="262"/>
      <c r="AL2031" s="263"/>
      <c r="AM2031" s="264"/>
      <c r="AN2031" s="263"/>
      <c r="AO2031" s="263"/>
      <c r="AP2031" s="265"/>
      <c r="AQ2031" s="266">
        <v>7449</v>
      </c>
      <c r="AR2031" s="267">
        <v>40085</v>
      </c>
      <c r="AS2031" s="263"/>
      <c r="AT2031" s="263"/>
      <c r="AU2031" s="263"/>
      <c r="AV2031" s="264"/>
      <c r="AW2031" s="263"/>
      <c r="AX2031" s="263"/>
      <c r="AY2031" s="263"/>
      <c r="AZ2031" s="263"/>
      <c r="BA2031" s="263"/>
      <c r="BB2031" s="263"/>
      <c r="BC2031" s="263"/>
      <c r="BD2031" s="264"/>
      <c r="BE2031" s="263"/>
      <c r="BF2031" s="263"/>
      <c r="BG2031" s="263"/>
      <c r="BH2031" s="263"/>
      <c r="BI2031" s="263"/>
      <c r="BJ2031" s="404">
        <f>altaz(J2000_Bas,$O2031,$M2031,DecLat,DecLong,2)</f>
        <v>344.61528342364488</v>
      </c>
      <c r="BK2031" s="378" t="s">
        <v>1956</v>
      </c>
      <c r="BL2031" s="379">
        <f>IF((2*G2031)/60&lt;0.2,0.2,(2*G2031)/60)</f>
        <v>0.2</v>
      </c>
      <c r="BM2031" s="380">
        <f>MOD((50000+AD2031-$B$3+(0/24)),1)</f>
        <v>0.7239612832054263</v>
      </c>
      <c r="BN2031" s="381"/>
      <c r="BO2031" s="382">
        <v>2022</v>
      </c>
    </row>
    <row r="2032" spans="1:67" s="24" customFormat="1" ht="15" customHeight="1" x14ac:dyDescent="0.25">
      <c r="A2032" s="288" t="s">
        <v>7834</v>
      </c>
      <c r="B2032" s="241" t="str">
        <f>HYPERLINK(CONCATENATE($AT$3,BK2032,$AU$3),$AV$3)</f>
        <v>S</v>
      </c>
      <c r="C2032" s="242" t="str">
        <f>HYPERLINK(CONCATENATE($AT$4,BK2032,$AU$4,BL2032),$AV$4)</f>
        <v>A</v>
      </c>
      <c r="D2032" s="243" t="s">
        <v>5638</v>
      </c>
      <c r="E2032" s="244" t="s">
        <v>5178</v>
      </c>
      <c r="F2032" s="269" t="s">
        <v>8807</v>
      </c>
      <c r="G2032" s="273">
        <v>3.2</v>
      </c>
      <c r="H2032" s="283">
        <v>60</v>
      </c>
      <c r="I2032" s="246">
        <v>60</v>
      </c>
      <c r="J2032" s="246">
        <v>2</v>
      </c>
      <c r="K2032" s="247" t="s">
        <v>7835</v>
      </c>
      <c r="L2032" s="248">
        <v>122335</v>
      </c>
      <c r="M2032" s="249">
        <f>15*(LEFT(TEXT($L2032,"000000"),2)+(MID(TEXT($L2032,"000000"),3,2)/60)+(RIGHT(TEXT($L2032,"000000"),2)/3600))</f>
        <v>185.89583333333334</v>
      </c>
      <c r="N2032" s="286">
        <v>164320</v>
      </c>
      <c r="O2032" s="251">
        <f>IF($N2032&gt;0,(LEFT(TEXT($N2032,"000000"),2)+(MID(TEXT($N2032,"000000"),3,2)/60)+(RIGHT(TEXT($N2032,"000000"),2)/3600)),-(MID(TEXT($N2032,"000000"),2,2)+(MID(TEXT($N2032,"000000"),4,2)/60)+(RIGHT(TEXT($N2032,"000000"),2)/3600)))</f>
        <v>16.722222222222221</v>
      </c>
      <c r="P2032" s="252" t="s">
        <v>190</v>
      </c>
      <c r="Q2032" s="253"/>
      <c r="R2032" s="247" t="s">
        <v>1958</v>
      </c>
      <c r="S2032" s="272" t="s">
        <v>7833</v>
      </c>
      <c r="T2032" s="273">
        <v>11.2</v>
      </c>
      <c r="U2032" s="289">
        <v>22.39</v>
      </c>
      <c r="V2032" s="280"/>
      <c r="W2032" s="244"/>
      <c r="X2032" s="244"/>
      <c r="Y2032" s="362"/>
      <c r="Z2032" s="257">
        <f>altaz(J2000_Bas,$O2032,$M2032,DecLat,DecLong,1)</f>
        <v>0.2369363844450274</v>
      </c>
      <c r="AA2032" s="257">
        <f>altaz((J2000_Bas+(2*0.04167)),$O2032,$M2032,DecLat,DecLong,1)</f>
        <v>-22.431613130315402</v>
      </c>
      <c r="AB2032" s="257">
        <f>altaz((J2000_Bas+(4*0.04167)),$O2032,$M2032,DecLat,DecLong,1)</f>
        <v>-38.649982447782442</v>
      </c>
      <c r="AC2032" s="257">
        <f>altaz((J2000_Bas+(6*0.04167)),$O2032,$M2032,DecLat,DecLong,1)</f>
        <v>-41.249654176879034</v>
      </c>
      <c r="AD2032" s="258">
        <f>1+ transit((J2000_Bas-1),$O2032,$M2032,DecLat,DecLong)/360 + (GMTOffset/24) + (IF(DST="Y", 1, 0)/24)</f>
        <v>1.5092772238067915</v>
      </c>
      <c r="AE2032" s="259">
        <f>DATE(2001,9,21)+(M2032/360)*365 - (360*((DecLong/360)- (GMTOffset/24) ))</f>
        <v>37348.477719907409</v>
      </c>
      <c r="AF2032" s="260">
        <f>IF(DecLat&gt;0,IF((90 - (DecLat-O2032))&gt;90, (90 - (O2032-DecLat)), (90 - (DecLat-O2032))),IF((90 + (DecLat-O2032))&gt;90, (90 + (O2032-DecLat)), (90 + (DecLat-O2032))))</f>
        <v>75.722222222222229</v>
      </c>
      <c r="AG2032" s="257">
        <f>angularseperation(MoonRA,MoonDec,$M2032,$O2032)</f>
        <v>75.432980775542376</v>
      </c>
      <c r="AH2032" s="261">
        <f ca="1">MIN(100,IF($O$5&gt;80,0+30*($AG2032/100),IF($O$5&gt;70,0+50*($AG2032/100),IF($O$5&gt;60,5+50*($AG2032/100),IF($O$5&gt;50,10+60*($AG2032/100),IF($O$5&gt;40,15+70*($AG2032/100),IF($O$5&gt;30,20+70*($AG2032/100),IF($O$5&gt;20,40+55*($AG2032/100),(80+(20-$O$5)+30*($AG2032/100))))))))))</f>
        <v>100</v>
      </c>
      <c r="AI2032" s="262">
        <v>4340</v>
      </c>
      <c r="AJ2032" s="262"/>
      <c r="AK2032" s="262"/>
      <c r="AL2032" s="263"/>
      <c r="AM2032" s="264"/>
      <c r="AN2032" s="263"/>
      <c r="AO2032" s="263"/>
      <c r="AP2032" s="265"/>
      <c r="AQ2032" s="266">
        <v>7467</v>
      </c>
      <c r="AR2032" s="267">
        <v>40245</v>
      </c>
      <c r="AS2032" s="263"/>
      <c r="AT2032" s="263"/>
      <c r="AU2032" s="263"/>
      <c r="AV2032" s="264"/>
      <c r="AW2032" s="263"/>
      <c r="AX2032" s="263"/>
      <c r="AY2032" s="263"/>
      <c r="AZ2032" s="263"/>
      <c r="BA2032" s="263"/>
      <c r="BB2032" s="263"/>
      <c r="BC2032" s="263"/>
      <c r="BD2032" s="264"/>
      <c r="BE2032" s="263"/>
      <c r="BF2032" s="263"/>
      <c r="BG2032" s="263"/>
      <c r="BH2032" s="263"/>
      <c r="BI2032" s="263"/>
      <c r="BJ2032" s="404">
        <f>altaz(J2000_Bas,$O2032,$M2032,DecLat,DecLong,2)</f>
        <v>289.46286609126111</v>
      </c>
      <c r="BK2032" s="378" t="s">
        <v>1957</v>
      </c>
      <c r="BL2032" s="379">
        <f>IF((2*G2032)/60&lt;0.2,0.2,(2*G2032)/60)</f>
        <v>0.2</v>
      </c>
      <c r="BM2032" s="380">
        <f>MOD((50000+AD2032-$B$3+(0/24)),1)</f>
        <v>0.7246441535098711</v>
      </c>
      <c r="BN2032" s="381"/>
      <c r="BO2032" s="382">
        <v>2023</v>
      </c>
    </row>
    <row r="2033" spans="1:67" s="24" customFormat="1" ht="15" customHeight="1" x14ac:dyDescent="0.25">
      <c r="A2033" s="287" t="s">
        <v>3004</v>
      </c>
      <c r="B2033" s="241" t="str">
        <f>HYPERLINK(CONCATENATE($AT$3,BK2033,$AU$3),$AV$3)</f>
        <v>S</v>
      </c>
      <c r="C2033" s="242" t="str">
        <f>HYPERLINK(CONCATENATE($AT$4,BK2033,$AU$4,BL2033),$AV$4)</f>
        <v>A</v>
      </c>
      <c r="D2033" s="243" t="s">
        <v>5638</v>
      </c>
      <c r="E2033" s="244" t="s">
        <v>5182</v>
      </c>
      <c r="F2033" s="269" t="s">
        <v>3300</v>
      </c>
      <c r="G2033" s="273">
        <v>3.2</v>
      </c>
      <c r="H2033" s="283">
        <v>45</v>
      </c>
      <c r="I2033" s="246">
        <v>42</v>
      </c>
      <c r="J2033" s="246">
        <v>2</v>
      </c>
      <c r="K2033" s="247" t="s">
        <v>8058</v>
      </c>
      <c r="L2033" s="248">
        <v>122324</v>
      </c>
      <c r="M2033" s="249">
        <f>15*(LEFT(TEXT($L2033,"000000"),2)+(MID(TEXT($L2033,"000000"),3,2)/60)+(RIGHT(TEXT($L2033,"000000"),2)/3600))</f>
        <v>185.85</v>
      </c>
      <c r="N2033" s="250">
        <v>470000</v>
      </c>
      <c r="O2033" s="251">
        <f>IF($N2033&gt;0,(LEFT(TEXT($N2033,"000000"),2)+(MID(TEXT($N2033,"000000"),3,2)/60)+(RIGHT(TEXT($N2033,"000000"),2)/3600)),-(MID(TEXT($N2033,"000000"),2,2)+(MID(TEXT($N2033,"000000"),4,2)/60)+(RIGHT(TEXT($N2033,"000000"),2)/3600)))</f>
        <v>47</v>
      </c>
      <c r="P2033" s="252" t="s">
        <v>242</v>
      </c>
      <c r="Q2033" s="253"/>
      <c r="R2033" s="277" t="s">
        <v>3293</v>
      </c>
      <c r="S2033" s="272" t="s">
        <v>3293</v>
      </c>
      <c r="T2033" s="273">
        <v>11.2</v>
      </c>
      <c r="U2033" s="289">
        <v>21.59</v>
      </c>
      <c r="V2033" s="280">
        <v>75</v>
      </c>
      <c r="W2033" s="244"/>
      <c r="X2033" s="244"/>
      <c r="Y2033" s="362"/>
      <c r="Z2033" s="257">
        <f>altaz(J2000_Bas,$O2033,$M2033,DecLat,DecLong,1)</f>
        <v>15.880349700699162</v>
      </c>
      <c r="AA2033" s="257">
        <f>altaz((J2000_Bas+(2*0.04167)),$O2033,$M2033,DecLat,DecLong,1)</f>
        <v>-5.3890406264310096E-2</v>
      </c>
      <c r="AB2033" s="257">
        <f>altaz((J2000_Bas+(4*0.04167)),$O2033,$M2033,DecLat,DecLong,1)</f>
        <v>-10.007133935844097</v>
      </c>
      <c r="AC2033" s="257">
        <f>altaz((J2000_Bas+(6*0.04167)),$O2033,$M2033,DecLat,DecLong,1)</f>
        <v>-11.437346652256556</v>
      </c>
      <c r="AD2033" s="258">
        <f>1+ transit((J2000_Bas-1),$O2033,$M2033,DecLat,DecLong)/360 + (GMTOffset/24) + (IF(DST="Y", 1, 0)/24)</f>
        <v>1.509149909004708</v>
      </c>
      <c r="AE2033" s="259">
        <f>DATE(2001,9,21)+(M2033/360)*365 - (360*((DecLong/360)- (GMTOffset/24) ))</f>
        <v>37348.431250000001</v>
      </c>
      <c r="AF2033" s="260">
        <f>IF(DecLat&gt;0,IF((90 - (DecLat-O2033))&gt;90, (90 - (O2033-DecLat)), (90 - (DecLat-O2033))),IF((90 + (DecLat-O2033))&gt;90, (90 + (O2033-DecLat)), (90 + (DecLat-O2033))))</f>
        <v>74</v>
      </c>
      <c r="AG2033" s="257">
        <f>angularseperation(MoonRA,MoonDec,$M2033,$O2033)</f>
        <v>93.498551139144936</v>
      </c>
      <c r="AH2033" s="261">
        <f ca="1">MIN(100,IF($O$5&gt;80,0+30*($AG2033/100),IF($O$5&gt;70,0+50*($AG2033/100),IF($O$5&gt;60,5+50*($AG2033/100),IF($O$5&gt;50,10+60*($AG2033/100),IF($O$5&gt;40,15+70*($AG2033/100),IF($O$5&gt;30,20+70*($AG2033/100),IF($O$5&gt;20,40+55*($AG2033/100),(80+(20-$O$5)+30*($AG2033/100))))))))))</f>
        <v>100</v>
      </c>
      <c r="AI2033" s="262">
        <v>4346</v>
      </c>
      <c r="AJ2033" s="263"/>
      <c r="AK2033" s="263">
        <v>230</v>
      </c>
      <c r="AL2033" s="263"/>
      <c r="AM2033" s="264"/>
      <c r="AN2033" s="263"/>
      <c r="AO2033" s="263"/>
      <c r="AP2033" s="265"/>
      <c r="AQ2033" s="265">
        <v>7463</v>
      </c>
      <c r="AR2033" s="285">
        <v>40228</v>
      </c>
      <c r="AS2033" s="263"/>
      <c r="AT2033" s="263"/>
      <c r="AU2033" s="263"/>
      <c r="AV2033" s="264"/>
      <c r="AW2033" s="263"/>
      <c r="AX2033" s="263"/>
      <c r="AY2033" s="263"/>
      <c r="AZ2033" s="263"/>
      <c r="BA2033" s="263"/>
      <c r="BB2033" s="263"/>
      <c r="BC2033" s="263"/>
      <c r="BD2033" s="264"/>
      <c r="BE2033" s="263"/>
      <c r="BF2033" s="263"/>
      <c r="BG2033" s="263"/>
      <c r="BH2033" s="263"/>
      <c r="BI2033" s="263"/>
      <c r="BJ2033" s="404">
        <f>altaz(J2000_Bas,$O2033,$M2033,DecLat,DecLong,2)</f>
        <v>315.73669396449054</v>
      </c>
      <c r="BK2033" s="378" t="s">
        <v>3004</v>
      </c>
      <c r="BL2033" s="379">
        <f>IF((2*G2033)/60&lt;0.2,0.2,(2*G2033)/60)</f>
        <v>0.2</v>
      </c>
      <c r="BM2033" s="380">
        <f>MOD((50000+AD2033-$B$3+(0/24)),1)</f>
        <v>0.72451683870895067</v>
      </c>
      <c r="BN2033" s="381"/>
      <c r="BO2033" s="382">
        <v>2024</v>
      </c>
    </row>
    <row r="2034" spans="1:67" s="24" customFormat="1" ht="15" customHeight="1" x14ac:dyDescent="0.25">
      <c r="A2034" s="288" t="s">
        <v>8766</v>
      </c>
      <c r="B2034" s="241" t="str">
        <f>HYPERLINK(CONCATENATE($AT$3,BK2034,$AU$3),$AV$3)</f>
        <v>S</v>
      </c>
      <c r="C2034" s="242" t="str">
        <f>HYPERLINK(CONCATENATE($AT$4,BK2034,$AU$4,BL2034),$AV$4)</f>
        <v>A</v>
      </c>
      <c r="D2034" s="243" t="s">
        <v>5638</v>
      </c>
      <c r="E2034" s="244" t="s">
        <v>5182</v>
      </c>
      <c r="F2034" s="269" t="s">
        <v>8673</v>
      </c>
      <c r="G2034" s="273">
        <v>2.2000000000000002</v>
      </c>
      <c r="H2034" s="283">
        <v>50</v>
      </c>
      <c r="I2034" s="246">
        <v>34</v>
      </c>
      <c r="J2034" s="246">
        <v>2</v>
      </c>
      <c r="K2034" s="247" t="s">
        <v>8781</v>
      </c>
      <c r="L2034" s="248">
        <v>122357</v>
      </c>
      <c r="M2034" s="249">
        <f>15*(LEFT(TEXT($L2034,"000000"),2)+(MID(TEXT($L2034,"000000"),3,2)/60)+(RIGHT(TEXT($L2034,"000000"),2)/3600))</f>
        <v>185.98749999999998</v>
      </c>
      <c r="N2034" s="250">
        <v>164137</v>
      </c>
      <c r="O2034" s="251">
        <f>IF($N2034&gt;0,(LEFT(TEXT($N2034,"000000"),2)+(MID(TEXT($N2034,"000000"),3,2)/60)+(RIGHT(TEXT($N2034,"000000"),2)/3600)),-(MID(TEXT($N2034,"000000"),2,2)+(MID(TEXT($N2034,"000000"),4,2)/60)+(RIGHT(TEXT($N2034,"000000"),2)/3600)))</f>
        <v>16.69361111111111</v>
      </c>
      <c r="P2034" s="252" t="s">
        <v>190</v>
      </c>
      <c r="Q2034" s="253"/>
      <c r="R2034" s="277" t="s">
        <v>3293</v>
      </c>
      <c r="S2034" s="272" t="s">
        <v>8780</v>
      </c>
      <c r="T2034" s="273">
        <v>11</v>
      </c>
      <c r="U2034" s="289"/>
      <c r="V2034" s="280">
        <v>90</v>
      </c>
      <c r="W2034" s="244"/>
      <c r="X2034" s="244"/>
      <c r="Y2034" s="362"/>
      <c r="Z2034" s="257">
        <f>altaz(J2000_Bas,$O2034,$M2034,DecLat,DecLong,1)</f>
        <v>0.29569083704188581</v>
      </c>
      <c r="AA2034" s="257">
        <f>altaz((J2000_Bas+(2*0.04167)),$O2034,$M2034,DecLat,DecLong,1)</f>
        <v>-22.389570558044635</v>
      </c>
      <c r="AB2034" s="257">
        <f>altaz((J2000_Bas+(4*0.04167)),$O2034,$M2034,DecLat,DecLong,1)</f>
        <v>-38.64395646934279</v>
      </c>
      <c r="AC2034" s="257">
        <f>altaz((J2000_Bas+(6*0.04167)),$O2034,$M2034,DecLat,DecLong,1)</f>
        <v>-41.295591131809033</v>
      </c>
      <c r="AD2034" s="258">
        <f>1+ transit((J2000_Bas-1),$O2034,$M2034,DecLat,DecLong)/360 + (GMTOffset/24) + (IF(DST="Y", 1, 0)/24)</f>
        <v>1.5095318534109581</v>
      </c>
      <c r="AE2034" s="259">
        <f>DATE(2001,9,21)+(M2034/360)*365 - (360*((DecLong/360)- (GMTOffset/24) ))</f>
        <v>37348.570659722223</v>
      </c>
      <c r="AF2034" s="260">
        <f>IF(DecLat&gt;0,IF((90 - (DecLat-O2034))&gt;90, (90 - (O2034-DecLat)), (90 - (DecLat-O2034))),IF((90 + (DecLat-O2034))&gt;90, (90 + (O2034-DecLat)), (90 + (DecLat-O2034))))</f>
        <v>75.69361111111111</v>
      </c>
      <c r="AG2034" s="257">
        <f>angularseperation(MoonRA,MoonDec,$M2034,$O2034)</f>
        <v>75.344518700433056</v>
      </c>
      <c r="AH2034" s="261">
        <f ca="1">MIN(100,IF($O$5&gt;80,0+30*($AG2034/100),IF($O$5&gt;70,0+50*($AG2034/100),IF($O$5&gt;60,5+50*($AG2034/100),IF($O$5&gt;50,10+60*($AG2034/100),IF($O$5&gt;40,15+70*($AG2034/100),IF($O$5&gt;30,20+70*($AG2034/100),IF($O$5&gt;20,40+55*($AG2034/100),(80+(20-$O$5)+30*($AG2034/100))))))))))</f>
        <v>100</v>
      </c>
      <c r="AI2034" s="263">
        <v>4350</v>
      </c>
      <c r="AJ2034" s="263"/>
      <c r="AK2034" s="263">
        <v>231</v>
      </c>
      <c r="AL2034" s="263"/>
      <c r="AM2034" s="264"/>
      <c r="AN2034" s="263"/>
      <c r="AO2034" s="263"/>
      <c r="AP2034" s="265"/>
      <c r="AQ2034" s="265">
        <v>7473</v>
      </c>
      <c r="AR2034" s="285">
        <v>40295</v>
      </c>
      <c r="AS2034" s="263"/>
      <c r="AT2034" s="263"/>
      <c r="AU2034" s="263"/>
      <c r="AV2034" s="264"/>
      <c r="AW2034" s="263"/>
      <c r="AX2034" s="263"/>
      <c r="AY2034" s="263"/>
      <c r="AZ2034" s="263"/>
      <c r="BA2034" s="263"/>
      <c r="BB2034" s="263"/>
      <c r="BC2034" s="263"/>
      <c r="BD2034" s="264"/>
      <c r="BE2034" s="263"/>
      <c r="BF2034" s="263"/>
      <c r="BG2034" s="263"/>
      <c r="BH2034" s="263"/>
      <c r="BI2034" s="263"/>
      <c r="BJ2034" s="404">
        <f>altaz(J2000_Bas,$O2034,$M2034,DecLat,DecLong,2)</f>
        <v>289.39162782983107</v>
      </c>
      <c r="BK2034" s="378" t="s">
        <v>8766</v>
      </c>
      <c r="BL2034" s="379">
        <f>IF((2*G2034)/60&lt;0.2,0.2,(2*G2034)/60)</f>
        <v>0.2</v>
      </c>
      <c r="BM2034" s="380">
        <f>MOD((50000+AD2034-$B$3+(0/24)),1)</f>
        <v>0.72489878311171196</v>
      </c>
      <c r="BN2034" s="381"/>
      <c r="BO2034" s="382">
        <v>2025</v>
      </c>
    </row>
    <row r="2035" spans="1:67" s="24" customFormat="1" ht="15" customHeight="1" x14ac:dyDescent="0.25">
      <c r="A2035" s="287" t="s">
        <v>1959</v>
      </c>
      <c r="B2035" s="241" t="str">
        <f>HYPERLINK(CONCATENATE($AT$3,BK2035,$AU$3),$AV$3)</f>
        <v>S</v>
      </c>
      <c r="C2035" s="242" t="str">
        <f>HYPERLINK(CONCATENATE($AT$4,BK2035,$AU$4,BL2035),$AV$4)</f>
        <v>A</v>
      </c>
      <c r="D2035" s="243" t="s">
        <v>5638</v>
      </c>
      <c r="E2035" s="244" t="s">
        <v>5192</v>
      </c>
      <c r="F2035" s="269" t="s">
        <v>8906</v>
      </c>
      <c r="G2035" s="273">
        <v>3.8</v>
      </c>
      <c r="H2035" s="283">
        <v>42</v>
      </c>
      <c r="I2035" s="246">
        <v>50</v>
      </c>
      <c r="J2035" s="246">
        <v>2</v>
      </c>
      <c r="K2035" s="247" t="s">
        <v>7836</v>
      </c>
      <c r="L2035" s="248">
        <v>122412</v>
      </c>
      <c r="M2035" s="249">
        <f>15*(LEFT(TEXT($L2035,"000000"),2)+(MID(TEXT($L2035,"000000"),3,2)/60)+(RIGHT(TEXT($L2035,"000000"),2)/3600))</f>
        <v>186.05</v>
      </c>
      <c r="N2035" s="250">
        <v>313117</v>
      </c>
      <c r="O2035" s="251">
        <f>IF($N2035&gt;0,(LEFT(TEXT($N2035,"000000"),2)+(MID(TEXT($N2035,"000000"),3,2)/60)+(RIGHT(TEXT($N2035,"000000"),2)/3600)),-(MID(TEXT($N2035,"000000"),2,2)+(MID(TEXT($N2035,"000000"),4,2)/60)+(RIGHT(TEXT($N2035,"000000"),2)/3600)))</f>
        <v>31.52138888888889</v>
      </c>
      <c r="P2035" s="252" t="s">
        <v>190</v>
      </c>
      <c r="Q2035" s="253"/>
      <c r="R2035" s="277" t="s">
        <v>3293</v>
      </c>
      <c r="S2035" s="272" t="s">
        <v>3293</v>
      </c>
      <c r="T2035" s="273">
        <v>13</v>
      </c>
      <c r="U2035" s="289">
        <v>22.89</v>
      </c>
      <c r="V2035" s="280">
        <v>84</v>
      </c>
      <c r="W2035" s="244"/>
      <c r="X2035" s="244"/>
      <c r="Y2035" s="362"/>
      <c r="Z2035" s="257">
        <f>altaz(J2000_Bas,$O2035,$M2035,DecLat,DecLong,1)</f>
        <v>8.220492874978591</v>
      </c>
      <c r="AA2035" s="257">
        <f>altaz((J2000_Bas+(2*0.04167)),$O2035,$M2035,DecLat,DecLong,1)</f>
        <v>-11.581970958109181</v>
      </c>
      <c r="AB2035" s="257">
        <f>altaz((J2000_Bas+(4*0.04167)),$O2035,$M2035,DecLat,DecLong,1)</f>
        <v>-24.700872841353682</v>
      </c>
      <c r="AC2035" s="257">
        <f>altaz((J2000_Bas+(6*0.04167)),$O2035,$M2035,DecLat,DecLong,1)</f>
        <v>-26.734396418867544</v>
      </c>
      <c r="AD2035" s="258">
        <f>1+ transit((J2000_Bas-1),$O2035,$M2035,DecLat,DecLong)/360 + (GMTOffset/24) + (IF(DST="Y", 1, 0)/24)</f>
        <v>1.5097054645047081</v>
      </c>
      <c r="AE2035" s="259">
        <f>DATE(2001,9,21)+(M2035/360)*365 - (360*((DecLong/360)- (GMTOffset/24) ))</f>
        <v>37348.634027777778</v>
      </c>
      <c r="AF2035" s="260">
        <f>IF(DecLat&gt;0,IF((90 - (DecLat-O2035))&gt;90, (90 - (O2035-DecLat)), (90 - (DecLat-O2035))),IF((90 + (DecLat-O2035))&gt;90, (90 + (O2035-DecLat)), (90 + (DecLat-O2035))))</f>
        <v>89.478611111111107</v>
      </c>
      <c r="AG2035" s="257">
        <f>angularseperation(MoonRA,MoonDec,$M2035,$O2035)</f>
        <v>84.015541040176174</v>
      </c>
      <c r="AH2035" s="261">
        <f ca="1">MIN(100,IF($O$5&gt;80,0+30*($AG2035/100),IF($O$5&gt;70,0+50*($AG2035/100),IF($O$5&gt;60,5+50*($AG2035/100),IF($O$5&gt;50,10+60*($AG2035/100),IF($O$5&gt;40,15+70*($AG2035/100),IF($O$5&gt;30,20+70*($AG2035/100),IF($O$5&gt;20,40+55*($AG2035/100),(80+(20-$O$5)+30*($AG2035/100))))))))))</f>
        <v>100</v>
      </c>
      <c r="AI2035" s="262">
        <v>4359</v>
      </c>
      <c r="AJ2035" s="263"/>
      <c r="AK2035" s="263"/>
      <c r="AL2035" s="263"/>
      <c r="AM2035" s="264"/>
      <c r="AN2035" s="263"/>
      <c r="AO2035" s="263"/>
      <c r="AP2035" s="265"/>
      <c r="AQ2035" s="265">
        <v>7483</v>
      </c>
      <c r="AR2035" s="285">
        <v>40330</v>
      </c>
      <c r="AS2035" s="263"/>
      <c r="AT2035" s="263"/>
      <c r="AU2035" s="263"/>
      <c r="AV2035" s="264"/>
      <c r="AW2035" s="263"/>
      <c r="AX2035" s="263"/>
      <c r="AY2035" s="263"/>
      <c r="AZ2035" s="263"/>
      <c r="BA2035" s="263"/>
      <c r="BB2035" s="263"/>
      <c r="BC2035" s="263"/>
      <c r="BD2035" s="264"/>
      <c r="BE2035" s="263"/>
      <c r="BF2035" s="263"/>
      <c r="BG2035" s="263"/>
      <c r="BH2035" s="263"/>
      <c r="BI2035" s="263"/>
      <c r="BJ2035" s="404">
        <f>altaz(J2000_Bas,$O2035,$M2035,DecLat,DecLong,2)</f>
        <v>301.96917249370227</v>
      </c>
      <c r="BK2035" s="378" t="s">
        <v>1959</v>
      </c>
      <c r="BL2035" s="379">
        <f>IF((2*G2035)/60&lt;0.2,0.2,(2*G2035)/60)</f>
        <v>0.2</v>
      </c>
      <c r="BM2035" s="380">
        <f>MOD((50000+AD2035-$B$3+(0/24)),1)</f>
        <v>0.72507239420519909</v>
      </c>
      <c r="BN2035" s="381"/>
      <c r="BO2035" s="382">
        <v>2026</v>
      </c>
    </row>
    <row r="2036" spans="1:67" s="24" customFormat="1" ht="15" customHeight="1" x14ac:dyDescent="0.25">
      <c r="A2036" s="288" t="s">
        <v>1960</v>
      </c>
      <c r="B2036" s="241" t="str">
        <f>HYPERLINK(CONCATENATE($AT$3,BK2036,$AU$3),$AV$3)</f>
        <v>S</v>
      </c>
      <c r="C2036" s="242" t="str">
        <f>HYPERLINK(CONCATENATE($AT$4,BK2036,$AU$4,BL2036),$AV$4)</f>
        <v>A</v>
      </c>
      <c r="D2036" s="243" t="s">
        <v>5187</v>
      </c>
      <c r="E2036" s="244" t="s">
        <v>5181</v>
      </c>
      <c r="F2036" s="293" t="s">
        <v>7838</v>
      </c>
      <c r="G2036" s="273">
        <v>1.8</v>
      </c>
      <c r="H2036" s="283">
        <v>1250</v>
      </c>
      <c r="I2036" s="309">
        <v>0.7</v>
      </c>
      <c r="J2036" s="246">
        <v>3</v>
      </c>
      <c r="K2036" s="247" t="s">
        <v>7837</v>
      </c>
      <c r="L2036" s="248">
        <v>122431</v>
      </c>
      <c r="M2036" s="249">
        <f>15*(LEFT(TEXT($L2036,"000000"),2)+(MID(TEXT($L2036,"000000"),3,2)/60)+(RIGHT(TEXT($L2036,"000000"),2)/3600))</f>
        <v>186.12916666666669</v>
      </c>
      <c r="N2036" s="250">
        <v>-184706</v>
      </c>
      <c r="O2036" s="251">
        <f>IF($N2036&gt;0,(LEFT(TEXT($N2036,"000000"),2)+(MID(TEXT($N2036,"000000"),3,2)/60)+(RIGHT(TEXT($N2036,"000000"),2)/3600)),-(MID(TEXT($N2036,"000000"),2,2)+(MID(TEXT($N2036,"000000"),4,2)/60)+(RIGHT(TEXT($N2036,"000000"),2)/3600)))</f>
        <v>-18.785</v>
      </c>
      <c r="P2036" s="252" t="s">
        <v>192</v>
      </c>
      <c r="Q2036" s="253"/>
      <c r="R2036" s="247" t="s">
        <v>3293</v>
      </c>
      <c r="S2036" s="272" t="s">
        <v>3293</v>
      </c>
      <c r="T2036" s="273">
        <v>10.9</v>
      </c>
      <c r="U2036" s="274"/>
      <c r="V2036" s="280"/>
      <c r="W2036" s="244"/>
      <c r="X2036" s="244"/>
      <c r="Y2036" s="362"/>
      <c r="Z2036" s="257">
        <f>altaz(J2000_Bas,$O2036,$M2036,DecLat,DecLong,1)</f>
        <v>-17.758354498227835</v>
      </c>
      <c r="AA2036" s="257">
        <f>altaz((J2000_Bas+(2*0.04167)),$O2036,$M2036,DecLat,DecLong,1)</f>
        <v>-43.394964115935373</v>
      </c>
      <c r="AB2036" s="257">
        <f>altaz((J2000_Bas+(4*0.04167)),$O2036,$M2036,DecLat,DecLong,1)</f>
        <v>-68.221706218223716</v>
      </c>
      <c r="AC2036" s="257">
        <f>altaz((J2000_Bas+(6*0.04167)),$O2036,$M2036,DecLat,DecLong,1)</f>
        <v>-74.734764165705926</v>
      </c>
      <c r="AD2036" s="258">
        <f>1+ transit((J2000_Bas-1),$O2036,$M2036,DecLat,DecLong)/360 + (GMTOffset/24) + (IF(DST="Y", 1, 0)/24)</f>
        <v>1.5099253718901249</v>
      </c>
      <c r="AE2036" s="259">
        <f>DATE(2001,9,21)+(M2036/360)*365 - (360*((DecLong/360)- (GMTOffset/24) ))</f>
        <v>37348.71429398148</v>
      </c>
      <c r="AF2036" s="260">
        <f>IF(DecLat&gt;0,IF((90 - (DecLat-O2036))&gt;90, (90 - (O2036-DecLat)), (90 - (DecLat-O2036))),IF((90 + (DecLat-O2036))&gt;90, (90 + (O2036-DecLat)), (90 + (DecLat-O2036))))</f>
        <v>40.215000000000003</v>
      </c>
      <c r="AG2036" s="257">
        <f>angularseperation(MoonRA,MoonDec,$M2036,$O2036)</f>
        <v>58.142371591023007</v>
      </c>
      <c r="AH2036" s="261">
        <f ca="1">MIN(100,IF($O$5&gt;80,0+30*($AG2036/100),IF($O$5&gt;70,0+50*($AG2036/100),IF($O$5&gt;60,5+50*($AG2036/100),IF($O$5&gt;50,10+60*($AG2036/100),IF($O$5&gt;40,15+70*($AG2036/100),IF($O$5&gt;30,20+70*($AG2036/100),IF($O$5&gt;20,40+55*($AG2036/100),(80+(20-$O$5)+30*($AG2036/100))))))))))</f>
        <v>100</v>
      </c>
      <c r="AI2036" s="262">
        <v>4361</v>
      </c>
      <c r="AJ2036" s="262"/>
      <c r="AK2036" s="262">
        <v>232</v>
      </c>
      <c r="AL2036" s="263"/>
      <c r="AM2036" s="264"/>
      <c r="AN2036" s="263"/>
      <c r="AO2036" s="263"/>
      <c r="AP2036" s="265"/>
      <c r="AQ2036" s="266"/>
      <c r="AR2036" s="267"/>
      <c r="AS2036" s="263"/>
      <c r="AT2036" s="263">
        <v>18</v>
      </c>
      <c r="AU2036" s="263"/>
      <c r="AV2036" s="264"/>
      <c r="AW2036" s="263"/>
      <c r="AX2036" s="263"/>
      <c r="AY2036" s="263"/>
      <c r="AZ2036" s="263"/>
      <c r="BA2036" s="263"/>
      <c r="BB2036" s="263"/>
      <c r="BC2036" s="263"/>
      <c r="BD2036" s="264"/>
      <c r="BE2036" s="263">
        <v>61</v>
      </c>
      <c r="BF2036" s="263"/>
      <c r="BG2036" s="263"/>
      <c r="BH2036" s="263"/>
      <c r="BI2036" s="263"/>
      <c r="BJ2036" s="404">
        <f>altaz(J2000_Bas,$O2036,$M2036,DecLat,DecLong,2)</f>
        <v>258.3437634131534</v>
      </c>
      <c r="BK2036" s="378" t="s">
        <v>1960</v>
      </c>
      <c r="BL2036" s="379">
        <f>IF((2*G2036)/60&lt;0.2,0.2,(2*G2036)/60)</f>
        <v>0.2</v>
      </c>
      <c r="BM2036" s="380">
        <f>MOD((50000+AD2036-$B$3+(0/24)),1)</f>
        <v>0.72529230159125291</v>
      </c>
      <c r="BN2036" s="381" t="s">
        <v>9121</v>
      </c>
      <c r="BO2036" s="382">
        <v>2027</v>
      </c>
    </row>
    <row r="2037" spans="1:67" s="24" customFormat="1" ht="15" customHeight="1" x14ac:dyDescent="0.25">
      <c r="A2037" s="287" t="s">
        <v>1961</v>
      </c>
      <c r="B2037" s="241" t="str">
        <f>HYPERLINK(CONCATENATE($AT$3,BK2037,$AU$3),$AV$3)</f>
        <v>S</v>
      </c>
      <c r="C2037" s="242" t="str">
        <f>HYPERLINK(CONCATENATE($AT$4,BK2037,$AU$4,BL2037),$AV$4)</f>
        <v>A</v>
      </c>
      <c r="D2037" s="243" t="s">
        <v>5638</v>
      </c>
      <c r="E2037" s="244" t="s">
        <v>5193</v>
      </c>
      <c r="F2037" s="269" t="s">
        <v>3303</v>
      </c>
      <c r="G2037" s="273">
        <v>5.5</v>
      </c>
      <c r="H2037" s="283">
        <v>75</v>
      </c>
      <c r="I2037" s="246">
        <v>120</v>
      </c>
      <c r="J2037" s="246">
        <v>2</v>
      </c>
      <c r="K2037" s="247" t="s">
        <v>7839</v>
      </c>
      <c r="L2037" s="248">
        <v>122428</v>
      </c>
      <c r="M2037" s="249">
        <f>15*(LEFT(TEXT($L2037,"000000"),2)+(MID(TEXT($L2037,"000000"),3,2)/60)+(RIGHT(TEXT($L2037,"000000"),2)/3600))</f>
        <v>186.11666666666667</v>
      </c>
      <c r="N2037" s="250">
        <v>71903</v>
      </c>
      <c r="O2037" s="251">
        <f>IF($N2037&gt;0,(LEFT(TEXT($N2037,"000000"),2)+(MID(TEXT($N2037,"000000"),3,2)/60)+(RIGHT(TEXT($N2037,"000000"),2)/3600)),-(MID(TEXT($N2037,"000000"),2,2)+(MID(TEXT($N2037,"000000"),4,2)/60)+(RIGHT(TEXT($N2037,"000000"),2)/3600)))</f>
        <v>7.3174999999999999</v>
      </c>
      <c r="P2037" s="252" t="s">
        <v>61</v>
      </c>
      <c r="Q2037" s="253"/>
      <c r="R2037" s="277" t="s">
        <v>3293</v>
      </c>
      <c r="S2037" s="272" t="s">
        <v>3293</v>
      </c>
      <c r="T2037" s="273">
        <v>9.6</v>
      </c>
      <c r="U2037" s="289">
        <v>22.29</v>
      </c>
      <c r="V2037" s="280"/>
      <c r="W2037" s="244"/>
      <c r="X2037" s="244"/>
      <c r="Y2037" s="362"/>
      <c r="Z2037" s="257">
        <f>altaz(J2000_Bas,$O2037,$M2037,DecLat,DecLong,1)</f>
        <v>-4.6096825104629291</v>
      </c>
      <c r="AA2037" s="257">
        <f>altaz((J2000_Bas+(2*0.04167)),$O2037,$M2037,DecLat,DecLong,1)</f>
        <v>-28.721633064419564</v>
      </c>
      <c r="AB2037" s="257">
        <f>altaz((J2000_Bas+(4*0.04167)),$O2037,$M2037,DecLat,DecLong,1)</f>
        <v>-47.188505086074258</v>
      </c>
      <c r="AC2037" s="257">
        <f>altaz((J2000_Bas+(6*0.04167)),$O2037,$M2037,DecLat,DecLong,1)</f>
        <v>-50.4715481746804</v>
      </c>
      <c r="AD2037" s="258">
        <f>1+ transit((J2000_Bas-1),$O2037,$M2037,DecLat,DecLong)/360 + (GMTOffset/24) + (IF(DST="Y", 1, 0)/24)</f>
        <v>1.5098906496713747</v>
      </c>
      <c r="AE2037" s="259">
        <f>DATE(2001,9,21)+(M2037/360)*365 - (360*((DecLong/360)- (GMTOffset/24) ))</f>
        <v>37348.701620370368</v>
      </c>
      <c r="AF2037" s="260">
        <f>IF(DecLat&gt;0,IF((90 - (DecLat-O2037))&gt;90, (90 - (O2037-DecLat)), (90 - (DecLat-O2037))),IF((90 + (DecLat-O2037))&gt;90, (90 + (O2037-DecLat)), (90 + (DecLat-O2037))))</f>
        <v>66.317499999999995</v>
      </c>
      <c r="AG2037" s="257">
        <f>angularseperation(MoonRA,MoonDec,$M2037,$O2037)</f>
        <v>70.049850061472227</v>
      </c>
      <c r="AH2037" s="261">
        <f ca="1">MIN(100,IF($O$5&gt;80,0+30*($AG2037/100),IF($O$5&gt;70,0+50*($AG2037/100),IF($O$5&gt;60,5+50*($AG2037/100),IF($O$5&gt;50,10+60*($AG2037/100),IF($O$5&gt;40,15+70*($AG2037/100),IF($O$5&gt;30,20+70*($AG2037/100),IF($O$5&gt;20,40+55*($AG2037/100),(80+(20-$O$5)+30*($AG2037/100))))))))))</f>
        <v>100</v>
      </c>
      <c r="AI2037" s="262">
        <v>4365</v>
      </c>
      <c r="AJ2037" s="263"/>
      <c r="AK2037" s="263">
        <v>233</v>
      </c>
      <c r="AL2037" s="263"/>
      <c r="AM2037" s="264"/>
      <c r="AN2037" s="263"/>
      <c r="AO2037" s="263"/>
      <c r="AP2037" s="265"/>
      <c r="AQ2037" s="265">
        <v>7488</v>
      </c>
      <c r="AR2037" s="285">
        <v>40375</v>
      </c>
      <c r="AS2037" s="263"/>
      <c r="AT2037" s="263"/>
      <c r="AU2037" s="263"/>
      <c r="AV2037" s="264"/>
      <c r="AW2037" s="263"/>
      <c r="AX2037" s="263"/>
      <c r="AY2037" s="263"/>
      <c r="AZ2037" s="263"/>
      <c r="BA2037" s="263"/>
      <c r="BB2037" s="263"/>
      <c r="BC2037" s="263"/>
      <c r="BD2037" s="264"/>
      <c r="BE2037" s="263"/>
      <c r="BF2037" s="263"/>
      <c r="BG2037" s="263"/>
      <c r="BH2037" s="263"/>
      <c r="BI2037" s="263"/>
      <c r="BJ2037" s="404">
        <f>altaz(J2000_Bas,$O2037,$M2037,DecLat,DecLong,2)</f>
        <v>281.39195820313921</v>
      </c>
      <c r="BK2037" s="378" t="s">
        <v>1961</v>
      </c>
      <c r="BL2037" s="379">
        <f>IF((2*G2037)/60&lt;0.2,0.2,(2*G2037)/60)</f>
        <v>0.2</v>
      </c>
      <c r="BM2037" s="380">
        <f>MOD((50000+AD2037-$B$3+(0/24)),1)</f>
        <v>0.72525757937546587</v>
      </c>
      <c r="BN2037" s="381"/>
      <c r="BO2037" s="382">
        <v>2028</v>
      </c>
    </row>
    <row r="2038" spans="1:67" s="24" customFormat="1" ht="15" customHeight="1" x14ac:dyDescent="0.25">
      <c r="A2038" s="287" t="s">
        <v>1962</v>
      </c>
      <c r="B2038" s="241" t="str">
        <f>HYPERLINK(CONCATENATE($AT$3,BK2038,$AU$3),$AV$3)</f>
        <v>S</v>
      </c>
      <c r="C2038" s="242" t="str">
        <f>HYPERLINK(CONCATENATE($AT$4,BK2038,$AU$4,BL2038),$AV$4)</f>
        <v>A</v>
      </c>
      <c r="D2038" s="243" t="s">
        <v>5638</v>
      </c>
      <c r="E2038" s="244" t="s">
        <v>5182</v>
      </c>
      <c r="F2038" s="269" t="s">
        <v>8944</v>
      </c>
      <c r="G2038" s="273">
        <v>5</v>
      </c>
      <c r="H2038" s="283">
        <v>55</v>
      </c>
      <c r="I2038" s="246">
        <v>80</v>
      </c>
      <c r="J2038" s="246">
        <v>2</v>
      </c>
      <c r="K2038" s="247" t="s">
        <v>7840</v>
      </c>
      <c r="L2038" s="248">
        <v>122455</v>
      </c>
      <c r="M2038" s="249">
        <f>15*(LEFT(TEXT($L2038,"000000"),2)+(MID(TEXT($L2038,"000000"),3,2)/60)+(RIGHT(TEXT($L2038,"000000"),2)/3600))</f>
        <v>186.22916666666666</v>
      </c>
      <c r="N2038" s="250">
        <v>114214</v>
      </c>
      <c r="O2038" s="251">
        <f>IF($N2038&gt;0,(LEFT(TEXT($N2038,"000000"),2)+(MID(TEXT($N2038,"000000"),3,2)/60)+(RIGHT(TEXT($N2038,"000000"),2)/3600)),-(MID(TEXT($N2038,"000000"),2,2)+(MID(TEXT($N2038,"000000"),4,2)/60)+(RIGHT(TEXT($N2038,"000000"),2)/3600)))</f>
        <v>11.703888888888889</v>
      </c>
      <c r="P2038" s="252" t="s">
        <v>61</v>
      </c>
      <c r="Q2038" s="253"/>
      <c r="R2038" s="277" t="s">
        <v>3293</v>
      </c>
      <c r="S2038" s="272" t="s">
        <v>3293</v>
      </c>
      <c r="T2038" s="273">
        <v>10.8</v>
      </c>
      <c r="U2038" s="289">
        <v>21.990000000000002</v>
      </c>
      <c r="V2038" s="280">
        <v>75</v>
      </c>
      <c r="W2038" s="244"/>
      <c r="X2038" s="244"/>
      <c r="Y2038" s="362"/>
      <c r="Z2038" s="257">
        <f>altaz(J2000_Bas,$O2038,$M2038,DecLat,DecLong,1)</f>
        <v>-2.1780000055568141</v>
      </c>
      <c r="AA2038" s="257">
        <f>altaz((J2000_Bas+(2*0.04167)),$O2038,$M2038,DecLat,DecLong,1)</f>
        <v>-25.686619593865721</v>
      </c>
      <c r="AB2038" s="257">
        <f>altaz((J2000_Bas+(4*0.04167)),$O2038,$M2038,DecLat,DecLong,1)</f>
        <v>-43.15399402477906</v>
      </c>
      <c r="AC2038" s="257">
        <f>altaz((J2000_Bas+(6*0.04167)),$O2038,$M2038,DecLat,DecLong,1)</f>
        <v>-46.223827261431744</v>
      </c>
      <c r="AD2038" s="258">
        <f>1+ transit((J2000_Bas-1),$O2038,$M2038,DecLat,DecLong)/360 + (GMTOffset/24) + (IF(DST="Y", 1, 0)/24)</f>
        <v>1.5102031496401247</v>
      </c>
      <c r="AE2038" s="259">
        <f>DATE(2001,9,21)+(M2038/360)*365 - (360*((DecLong/360)- (GMTOffset/24) ))</f>
        <v>37348.815682870372</v>
      </c>
      <c r="AF2038" s="260">
        <f>IF(DecLat&gt;0,IF((90 - (DecLat-O2038))&gt;90, (90 - (O2038-DecLat)), (90 - (DecLat-O2038))),IF((90 + (DecLat-O2038))&gt;90, (90 + (O2038-DecLat)), (90 + (DecLat-O2038))))</f>
        <v>70.703888888888883</v>
      </c>
      <c r="AG2038" s="257">
        <f>angularseperation(MoonRA,MoonDec,$M2038,$O2038)</f>
        <v>72.345882744256699</v>
      </c>
      <c r="AH2038" s="261">
        <f ca="1">MIN(100,IF($O$5&gt;80,0+30*($AG2038/100),IF($O$5&gt;70,0+50*($AG2038/100),IF($O$5&gt;60,5+50*($AG2038/100),IF($O$5&gt;50,10+60*($AG2038/100),IF($O$5&gt;40,15+70*($AG2038/100),IF($O$5&gt;30,20+70*($AG2038/100),IF($O$5&gt;20,40+55*($AG2038/100),(80+(20-$O$5)+30*($AG2038/100))))))))))</f>
        <v>100</v>
      </c>
      <c r="AI2038" s="262">
        <v>4371</v>
      </c>
      <c r="AJ2038" s="263"/>
      <c r="AK2038" s="263">
        <v>234</v>
      </c>
      <c r="AL2038" s="263"/>
      <c r="AM2038" s="264"/>
      <c r="AN2038" s="263"/>
      <c r="AO2038" s="263"/>
      <c r="AP2038" s="265"/>
      <c r="AQ2038" s="265">
        <v>7493</v>
      </c>
      <c r="AR2038" s="285">
        <v>40442</v>
      </c>
      <c r="AS2038" s="263"/>
      <c r="AT2038" s="263"/>
      <c r="AU2038" s="263"/>
      <c r="AV2038" s="264"/>
      <c r="AW2038" s="263"/>
      <c r="AX2038" s="263"/>
      <c r="AY2038" s="263"/>
      <c r="AZ2038" s="263"/>
      <c r="BA2038" s="263"/>
      <c r="BB2038" s="263"/>
      <c r="BC2038" s="263"/>
      <c r="BD2038" s="264"/>
      <c r="BE2038" s="263"/>
      <c r="BF2038" s="263"/>
      <c r="BG2038" s="263"/>
      <c r="BH2038" s="263"/>
      <c r="BI2038" s="263"/>
      <c r="BJ2038" s="404">
        <f>altaz(J2000_Bas,$O2038,$M2038,DecLat,DecLong,2)</f>
        <v>285.05100076175182</v>
      </c>
      <c r="BK2038" s="378" t="s">
        <v>1962</v>
      </c>
      <c r="BL2038" s="379">
        <f>IF((2*G2038)/60&lt;0.2,0.2,(2*G2038)/60)</f>
        <v>0.2</v>
      </c>
      <c r="BM2038" s="380">
        <f>MOD((50000+AD2038-$B$3+(0/24)),1)</f>
        <v>0.72557007934665307</v>
      </c>
      <c r="BN2038" s="381"/>
      <c r="BO2038" s="382">
        <v>2029</v>
      </c>
    </row>
    <row r="2039" spans="1:67" s="24" customFormat="1" ht="15" customHeight="1" x14ac:dyDescent="0.25">
      <c r="A2039" s="298" t="s">
        <v>1963</v>
      </c>
      <c r="B2039" s="241" t="str">
        <f>HYPERLINK(CONCATENATE($AT$3,BK2039,$AU$3),$AV$3)</f>
        <v>S</v>
      </c>
      <c r="C2039" s="242" t="str">
        <f>HYPERLINK(CONCATENATE($AT$4,BK2039,$AU$4,BL2039),$AV$4)</f>
        <v>A</v>
      </c>
      <c r="D2039" s="243" t="s">
        <v>5335</v>
      </c>
      <c r="E2039" s="244" t="s">
        <v>5184</v>
      </c>
      <c r="F2039" s="269" t="s">
        <v>3308</v>
      </c>
      <c r="G2039" s="276">
        <v>20</v>
      </c>
      <c r="H2039" s="283">
        <v>23000</v>
      </c>
      <c r="I2039" s="246">
        <v>140</v>
      </c>
      <c r="J2039" s="246">
        <v>4</v>
      </c>
      <c r="K2039" s="247" t="s">
        <v>5484</v>
      </c>
      <c r="L2039" s="248">
        <v>122548</v>
      </c>
      <c r="M2039" s="249">
        <f>15*(LEFT(TEXT($L2039,"000000"),2)+(MID(TEXT($L2039,"000000"),3,2)/60)+(RIGHT(TEXT($L2039,"000000"),2)/3600))</f>
        <v>186.45</v>
      </c>
      <c r="N2039" s="286">
        <v>-724000</v>
      </c>
      <c r="O2039" s="251">
        <f>IF($N2039&gt;0,(LEFT(TEXT($N2039,"000000"),2)+(MID(TEXT($N2039,"000000"),3,2)/60)+(RIGHT(TEXT($N2039,"000000"),2)/3600)),-(MID(TEXT($N2039,"000000"),2,2)+(MID(TEXT($N2039,"000000"),4,2)/60)+(RIGHT(TEXT($N2039,"000000"),2)/3600)))</f>
        <v>-72.666666666666671</v>
      </c>
      <c r="P2039" s="252" t="s">
        <v>1964</v>
      </c>
      <c r="Q2039" s="253"/>
      <c r="R2039" s="247" t="s">
        <v>7420</v>
      </c>
      <c r="S2039" s="272" t="s">
        <v>3293</v>
      </c>
      <c r="T2039" s="273">
        <v>7.2</v>
      </c>
      <c r="U2039" s="274"/>
      <c r="V2039" s="280"/>
      <c r="W2039" s="244"/>
      <c r="X2039" s="244"/>
      <c r="Y2039" s="362"/>
      <c r="Z2039" s="257">
        <f>altaz(J2000_Bas,$O2039,$M2039,DecLat,DecLong,1)</f>
        <v>-32.278119843349579</v>
      </c>
      <c r="AA2039" s="257">
        <f>altaz((J2000_Bas+(2*0.04167)),$O2039,$M2039,DecLat,DecLong,1)</f>
        <v>-40.88625332933438</v>
      </c>
      <c r="AB2039" s="257">
        <f>altaz((J2000_Bas+(4*0.04167)),$O2039,$M2039,DecLat,DecLong,1)</f>
        <v>-46.98683275843689</v>
      </c>
      <c r="AC2039" s="257">
        <f>altaz((J2000_Bas+(6*0.04167)),$O2039,$M2039,DecLat,DecLong,1)</f>
        <v>-48.012761944021733</v>
      </c>
      <c r="AD2039" s="258">
        <f>1+ transit((J2000_Bas-1),$O2039,$M2039,DecLat,DecLong)/360 + (GMTOffset/24) + (IF(DST="Y", 1, 0)/24)</f>
        <v>1.5108165755047078</v>
      </c>
      <c r="AE2039" s="259">
        <f>DATE(2001,9,21)+(M2039/360)*365 - (360*((DecLong/360)- (GMTOffset/24) ))</f>
        <v>37349.039583333331</v>
      </c>
      <c r="AF2039" s="260">
        <f>IF(DecLat&gt;0,IF((90 - (DecLat-O2039))&gt;90, (90 - (O2039-DecLat)), (90 - (DecLat-O2039))),IF((90 + (DecLat-O2039))&gt;90, (90 + (O2039-DecLat)), (90 + (DecLat-O2039))))</f>
        <v>-13.666666666666671</v>
      </c>
      <c r="AG2039" s="257">
        <f>angularseperation(MoonRA,MoonDec,$M2039,$O2039)</f>
        <v>56.226980563627087</v>
      </c>
      <c r="AH2039" s="261">
        <f ca="1">MIN(100,IF($O$5&gt;80,0+30*($AG2039/100),IF($O$5&gt;70,0+50*($AG2039/100),IF($O$5&gt;60,5+50*($AG2039/100),IF($O$5&gt;50,10+60*($AG2039/100),IF($O$5&gt;40,15+70*($AG2039/100),IF($O$5&gt;30,20+70*($AG2039/100),IF($O$5&gt;20,40+55*($AG2039/100),(80+(20-$O$5)+30*($AG2039/100))))))))))</f>
        <v>100</v>
      </c>
      <c r="AI2039" s="262">
        <v>4372</v>
      </c>
      <c r="AJ2039" s="262"/>
      <c r="AK2039" s="262"/>
      <c r="AL2039" s="263"/>
      <c r="AM2039" s="264">
        <v>108</v>
      </c>
      <c r="AN2039" s="263"/>
      <c r="AO2039" s="263"/>
      <c r="AP2039" s="265"/>
      <c r="AQ2039" s="266"/>
      <c r="AR2039" s="267"/>
      <c r="AS2039" s="263"/>
      <c r="AT2039" s="263"/>
      <c r="AU2039" s="263"/>
      <c r="AV2039" s="264"/>
      <c r="AW2039" s="263"/>
      <c r="AX2039" s="263"/>
      <c r="AY2039" s="263"/>
      <c r="AZ2039" s="263"/>
      <c r="BA2039" s="263"/>
      <c r="BB2039" s="263"/>
      <c r="BC2039" s="263"/>
      <c r="BD2039" s="264"/>
      <c r="BE2039" s="263"/>
      <c r="BF2039" s="263"/>
      <c r="BG2039" s="263"/>
      <c r="BH2039" s="263"/>
      <c r="BI2039" s="263"/>
      <c r="BJ2039" s="404">
        <f>altaz(J2000_Bas,$O2039,$M2039,DecLat,DecLong,2)</f>
        <v>200.33445689068012</v>
      </c>
      <c r="BK2039" s="378" t="s">
        <v>1963</v>
      </c>
      <c r="BL2039" s="379">
        <f>IF((2*G2039)/60&lt;0.2,0.2,(2*G2039)/60)</f>
        <v>0.66666666666666663</v>
      </c>
      <c r="BM2039" s="380">
        <f>MOD((50000+AD2039-$B$3+(0/24)),1)</f>
        <v>0.72618350521224784</v>
      </c>
      <c r="BN2039" s="381"/>
      <c r="BO2039" s="382">
        <v>2030</v>
      </c>
    </row>
    <row r="2040" spans="1:67" s="24" customFormat="1" ht="15" customHeight="1" x14ac:dyDescent="0.25">
      <c r="A2040" s="288" t="s">
        <v>1965</v>
      </c>
      <c r="B2040" s="241" t="str">
        <f>HYPERLINK(CONCATENATE($AT$3,BK2040,$AU$3),$AV$3)</f>
        <v>S</v>
      </c>
      <c r="C2040" s="242" t="str">
        <f>HYPERLINK(CONCATENATE($AT$4,BK2040,$AU$4,BL2040),$AV$4)</f>
        <v>A</v>
      </c>
      <c r="D2040" s="243" t="s">
        <v>5638</v>
      </c>
      <c r="E2040" s="244" t="s">
        <v>5192</v>
      </c>
      <c r="F2040" s="269" t="s">
        <v>8688</v>
      </c>
      <c r="G2040" s="273">
        <v>6</v>
      </c>
      <c r="H2040" s="283">
        <v>55</v>
      </c>
      <c r="I2040" s="246">
        <v>100</v>
      </c>
      <c r="J2040" s="246">
        <v>2</v>
      </c>
      <c r="K2040" s="247" t="s">
        <v>7841</v>
      </c>
      <c r="L2040" s="248">
        <v>122547</v>
      </c>
      <c r="M2040" s="249">
        <f>15*(LEFT(TEXT($L2040,"000000"),2)+(MID(TEXT($L2040,"000000"),3,2)/60)+(RIGHT(TEXT($L2040,"000000"),2)/3600))</f>
        <v>186.44583333333333</v>
      </c>
      <c r="N2040" s="250">
        <v>123942</v>
      </c>
      <c r="O2040" s="251">
        <f>IF($N2040&gt;0,(LEFT(TEXT($N2040,"000000"),2)+(MID(TEXT($N2040,"000000"),3,2)/60)+(RIGHT(TEXT($N2040,"000000"),2)/3600)),-(MID(TEXT($N2040,"000000"),2,2)+(MID(TEXT($N2040,"000000"),4,2)/60)+(RIGHT(TEXT($N2040,"000000"),2)/3600)))</f>
        <v>12.661666666666667</v>
      </c>
      <c r="P2040" s="252" t="s">
        <v>61</v>
      </c>
      <c r="Q2040" s="253"/>
      <c r="R2040" s="277" t="s">
        <v>3293</v>
      </c>
      <c r="S2040" s="272" t="s">
        <v>3293</v>
      </c>
      <c r="T2040" s="273">
        <v>11</v>
      </c>
      <c r="U2040" s="289">
        <v>21.89</v>
      </c>
      <c r="V2040" s="280">
        <v>80</v>
      </c>
      <c r="W2040" s="244"/>
      <c r="X2040" s="244"/>
      <c r="Y2040" s="362"/>
      <c r="Z2040" s="257">
        <f>altaz(J2000_Bas,$O2040,$M2040,DecLat,DecLong,1)</f>
        <v>-1.4874248033724262</v>
      </c>
      <c r="AA2040" s="257">
        <f>altaz((J2000_Bas+(2*0.04167)),$O2040,$M2040,DecLat,DecLong,1)</f>
        <v>-24.876491963828325</v>
      </c>
      <c r="AB2040" s="257">
        <f>altaz((J2000_Bas+(4*0.04167)),$O2040,$M2040,DecLat,DecLong,1)</f>
        <v>-42.191859950807128</v>
      </c>
      <c r="AC2040" s="257">
        <f>altaz((J2000_Bas+(6*0.04167)),$O2040,$M2040,DecLat,DecLong,1)</f>
        <v>-45.33260214740789</v>
      </c>
      <c r="AD2040" s="258">
        <f>1+ transit((J2000_Bas-1),$O2040,$M2040,DecLat,DecLong)/360 + (GMTOffset/24) + (IF(DST="Y", 1, 0)/24)</f>
        <v>1.5108050014317913</v>
      </c>
      <c r="AE2040" s="259">
        <f>DATE(2001,9,21)+(M2040/360)*365 - (360*((DecLong/360)- (GMTOffset/24) ))</f>
        <v>37349.035358796296</v>
      </c>
      <c r="AF2040" s="260">
        <f>IF(DecLat&gt;0,IF((90 - (DecLat-O2040))&gt;90, (90 - (O2040-DecLat)), (90 - (DecLat-O2040))),IF((90 + (DecLat-O2040))&gt;90, (90 + (O2040-DecLat)), (90 + (DecLat-O2040))))</f>
        <v>71.661666666666662</v>
      </c>
      <c r="AG2040" s="257">
        <f>angularseperation(MoonRA,MoonDec,$M2040,$O2040)</f>
        <v>72.702704330431459</v>
      </c>
      <c r="AH2040" s="261">
        <f ca="1">MIN(100,IF($O$5&gt;80,0+30*($AG2040/100),IF($O$5&gt;70,0+50*($AG2040/100),IF($O$5&gt;60,5+50*($AG2040/100),IF($O$5&gt;50,10+60*($AG2040/100),IF($O$5&gt;40,15+70*($AG2040/100),IF($O$5&gt;30,20+70*($AG2040/100),IF($O$5&gt;20,40+55*($AG2040/100),(80+(20-$O$5)+30*($AG2040/100))))))))))</f>
        <v>100</v>
      </c>
      <c r="AI2040" s="262">
        <v>4388</v>
      </c>
      <c r="AJ2040" s="263"/>
      <c r="AK2040" s="263"/>
      <c r="AL2040" s="263"/>
      <c r="AM2040" s="264"/>
      <c r="AN2040" s="263"/>
      <c r="AO2040" s="263"/>
      <c r="AP2040" s="265"/>
      <c r="AQ2040" s="265">
        <v>7520</v>
      </c>
      <c r="AR2040" s="285">
        <v>40581</v>
      </c>
      <c r="AS2040" s="263"/>
      <c r="AT2040" s="263"/>
      <c r="AU2040" s="263"/>
      <c r="AV2040" s="264"/>
      <c r="AW2040" s="263"/>
      <c r="AX2040" s="263"/>
      <c r="AY2040" s="263"/>
      <c r="AZ2040" s="263"/>
      <c r="BA2040" s="263"/>
      <c r="BB2040" s="263"/>
      <c r="BC2040" s="263"/>
      <c r="BD2040" s="264"/>
      <c r="BE2040" s="263"/>
      <c r="BF2040" s="263"/>
      <c r="BG2040" s="263"/>
      <c r="BH2040" s="263"/>
      <c r="BI2040" s="263"/>
      <c r="BJ2040" s="404">
        <f>altaz(J2000_Bas,$O2040,$M2040,DecLat,DecLong,2)</f>
        <v>285.74799399402252</v>
      </c>
      <c r="BK2040" s="378" t="s">
        <v>1965</v>
      </c>
      <c r="BL2040" s="379">
        <f>IF((2*G2040)/60&lt;0.2,0.2,(2*G2040)/60)</f>
        <v>0.2</v>
      </c>
      <c r="BM2040" s="380">
        <f>MOD((50000+AD2040-$B$3+(0/24)),1)</f>
        <v>0.72617193113546818</v>
      </c>
      <c r="BN2040" s="381"/>
      <c r="BO2040" s="382">
        <v>2031</v>
      </c>
    </row>
    <row r="2041" spans="1:67" s="24" customFormat="1" ht="15" customHeight="1" x14ac:dyDescent="0.25">
      <c r="A2041" s="288" t="s">
        <v>1966</v>
      </c>
      <c r="B2041" s="241" t="str">
        <f>HYPERLINK(CONCATENATE($AT$3,BK2041,$AU$3),$AV$3)</f>
        <v>S</v>
      </c>
      <c r="C2041" s="242" t="str">
        <f>HYPERLINK(CONCATENATE($AT$4,BK2041,$AU$4,BL2041),$AV$4)</f>
        <v>A</v>
      </c>
      <c r="D2041" s="243" t="s">
        <v>5638</v>
      </c>
      <c r="E2041" s="244" t="s">
        <v>5192</v>
      </c>
      <c r="F2041" s="269" t="s">
        <v>8975</v>
      </c>
      <c r="G2041" s="273">
        <v>3.8</v>
      </c>
      <c r="H2041" s="283">
        <v>55</v>
      </c>
      <c r="I2041" s="246">
        <v>60</v>
      </c>
      <c r="J2041" s="246">
        <v>2</v>
      </c>
      <c r="K2041" s="247" t="s">
        <v>7842</v>
      </c>
      <c r="L2041" s="248">
        <v>122556</v>
      </c>
      <c r="M2041" s="249">
        <f>15*(LEFT(TEXT($L2041,"000000"),2)+(MID(TEXT($L2041,"000000"),3,2)/60)+(RIGHT(TEXT($L2041,"000000"),2)/3600))</f>
        <v>186.48333333333335</v>
      </c>
      <c r="N2041" s="250">
        <v>181250</v>
      </c>
      <c r="O2041" s="251">
        <f>IF($N2041&gt;0,(LEFT(TEXT($N2041,"000000"),2)+(MID(TEXT($N2041,"000000"),3,2)/60)+(RIGHT(TEXT($N2041,"000000"),2)/3600)),-(MID(TEXT($N2041,"000000"),2,2)+(MID(TEXT($N2041,"000000"),4,2)/60)+(RIGHT(TEXT($N2041,"000000"),2)/3600)))</f>
        <v>18.213888888888889</v>
      </c>
      <c r="P2041" s="252" t="s">
        <v>190</v>
      </c>
      <c r="Q2041" s="253"/>
      <c r="R2041" s="277" t="s">
        <v>3293</v>
      </c>
      <c r="S2041" s="272" t="s">
        <v>3293</v>
      </c>
      <c r="T2041" s="273">
        <v>10.9</v>
      </c>
      <c r="U2041" s="289">
        <v>22.29</v>
      </c>
      <c r="V2041" s="280">
        <v>5</v>
      </c>
      <c r="W2041" s="244"/>
      <c r="X2041" s="244"/>
      <c r="Y2041" s="362"/>
      <c r="Z2041" s="257">
        <f>altaz(J2000_Bas,$O2041,$M2041,DecLat,DecLong,1)</f>
        <v>1.5086284736707998</v>
      </c>
      <c r="AA2041" s="257">
        <f>altaz((J2000_Bas+(2*0.04167)),$O2041,$M2041,DecLat,DecLong,1)</f>
        <v>-20.981251540581471</v>
      </c>
      <c r="AB2041" s="257">
        <f>altaz((J2000_Bas+(4*0.04167)),$O2041,$M2041,DecLat,DecLong,1)</f>
        <v>-37.056890322241152</v>
      </c>
      <c r="AC2041" s="257">
        <f>altaz((J2000_Bas+(6*0.04167)),$O2041,$M2041,DecLat,DecLong,1)</f>
        <v>-39.897884215688727</v>
      </c>
      <c r="AD2041" s="258">
        <f>1+ transit((J2000_Bas-1),$O2041,$M2041,DecLat,DecLong)/360 + (GMTOffset/24) + (IF(DST="Y", 1, 0)/24)</f>
        <v>1.5109091680880413</v>
      </c>
      <c r="AE2041" s="259">
        <f>DATE(2001,9,21)+(M2041/360)*365 - (360*((DecLong/360)- (GMTOffset/24) ))</f>
        <v>37349.073379629626</v>
      </c>
      <c r="AF2041" s="260">
        <f>IF(DecLat&gt;0,IF((90 - (DecLat-O2041))&gt;90, (90 - (O2041-DecLat)), (90 - (DecLat-O2041))),IF((90 + (DecLat-O2041))&gt;90, (90 + (O2041-DecLat)), (90 + (DecLat-O2041))))</f>
        <v>77.213888888888889</v>
      </c>
      <c r="AG2041" s="257">
        <f>angularseperation(MoonRA,MoonDec,$M2041,$O2041)</f>
        <v>75.829105896270704</v>
      </c>
      <c r="AH2041" s="261">
        <f ca="1">MIN(100,IF($O$5&gt;80,0+30*($AG2041/100),IF($O$5&gt;70,0+50*($AG2041/100),IF($O$5&gt;60,5+50*($AG2041/100),IF($O$5&gt;50,10+60*($AG2041/100),IF($O$5&gt;40,15+70*($AG2041/100),IF($O$5&gt;30,20+70*($AG2041/100),IF($O$5&gt;20,40+55*($AG2041/100),(80+(20-$O$5)+30*($AG2041/100))))))))))</f>
        <v>100</v>
      </c>
      <c r="AI2041" s="262">
        <v>4394</v>
      </c>
      <c r="AJ2041" s="263"/>
      <c r="AK2041" s="263">
        <v>235</v>
      </c>
      <c r="AL2041" s="263"/>
      <c r="AM2041" s="264"/>
      <c r="AN2041" s="263"/>
      <c r="AO2041" s="263"/>
      <c r="AP2041" s="265"/>
      <c r="AQ2041" s="265">
        <v>7523</v>
      </c>
      <c r="AR2041" s="285">
        <v>40614</v>
      </c>
      <c r="AS2041" s="263"/>
      <c r="AT2041" s="263"/>
      <c r="AU2041" s="263"/>
      <c r="AV2041" s="264"/>
      <c r="AW2041" s="263"/>
      <c r="AX2041" s="263"/>
      <c r="AY2041" s="263"/>
      <c r="AZ2041" s="263"/>
      <c r="BA2041" s="263"/>
      <c r="BB2041" s="263"/>
      <c r="BC2041" s="263"/>
      <c r="BD2041" s="264"/>
      <c r="BE2041" s="263"/>
      <c r="BF2041" s="263"/>
      <c r="BG2041" s="263"/>
      <c r="BH2041" s="263"/>
      <c r="BI2041" s="263"/>
      <c r="BJ2041" s="404">
        <f>altaz(J2000_Bas,$O2041,$M2041,DecLat,DecLong,2)</f>
        <v>290.42315427569378</v>
      </c>
      <c r="BK2041" s="378" t="s">
        <v>1966</v>
      </c>
      <c r="BL2041" s="379">
        <f>IF((2*G2041)/60&lt;0.2,0.2,(2*G2041)/60)</f>
        <v>0.2</v>
      </c>
      <c r="BM2041" s="380">
        <f>MOD((50000+AD2041-$B$3+(0/24)),1)</f>
        <v>0.72627609779010527</v>
      </c>
      <c r="BN2041" s="381"/>
      <c r="BO2041" s="382">
        <v>2032</v>
      </c>
    </row>
    <row r="2042" spans="1:67" s="24" customFormat="1" ht="15" customHeight="1" x14ac:dyDescent="0.25">
      <c r="A2042" s="288" t="s">
        <v>1967</v>
      </c>
      <c r="B2042" s="241" t="str">
        <f>HYPERLINK(CONCATENATE($AT$3,BK2042,$AU$3),$AV$3)</f>
        <v>S</v>
      </c>
      <c r="C2042" s="242" t="str">
        <f>HYPERLINK(CONCATENATE($AT$4,BK2042,$AU$4,BL2042),$AV$4)</f>
        <v>A</v>
      </c>
      <c r="D2042" s="243" t="s">
        <v>5638</v>
      </c>
      <c r="E2042" s="244" t="s">
        <v>3259</v>
      </c>
      <c r="F2042" s="269"/>
      <c r="G2042" s="276">
        <v>10</v>
      </c>
      <c r="H2042" s="283">
        <v>14.65128</v>
      </c>
      <c r="I2042" s="246">
        <v>44</v>
      </c>
      <c r="J2042" s="246">
        <v>2</v>
      </c>
      <c r="K2042" s="247" t="s">
        <v>8571</v>
      </c>
      <c r="L2042" s="248">
        <v>122549</v>
      </c>
      <c r="M2042" s="249">
        <f>15*(LEFT(TEXT($L2042,"000000"),2)+(MID(TEXT($L2042,"000000"),3,2)/60)+(RIGHT(TEXT($L2042,"000000"),2)/3600))</f>
        <v>186.45416666666665</v>
      </c>
      <c r="N2042" s="250">
        <v>333249</v>
      </c>
      <c r="O2042" s="251">
        <f>IF($N2042&gt;0,(LEFT(TEXT($N2042,"000000"),2)+(MID(TEXT($N2042,"000000"),3,2)/60)+(RIGHT(TEXT($N2042,"000000"),2)/3600)),-(MID(TEXT($N2042,"000000"),2,2)+(MID(TEXT($N2042,"000000"),4,2)/60)+(RIGHT(TEXT($N2042,"000000"),2)/3600)))</f>
        <v>33.546944444444442</v>
      </c>
      <c r="P2042" s="252" t="s">
        <v>242</v>
      </c>
      <c r="Q2042" s="253"/>
      <c r="R2042" s="247" t="s">
        <v>3293</v>
      </c>
      <c r="S2042" s="272" t="s">
        <v>3293</v>
      </c>
      <c r="T2042" s="273">
        <v>10.199999999999999</v>
      </c>
      <c r="U2042" s="289">
        <v>24.29</v>
      </c>
      <c r="V2042" s="280">
        <v>20</v>
      </c>
      <c r="W2042" s="244"/>
      <c r="X2042" s="244"/>
      <c r="Y2042" s="362"/>
      <c r="Z2042" s="257">
        <f>altaz(J2000_Bas,$O2042,$M2042,DecLat,DecLong,1)</f>
        <v>9.5620599778540516</v>
      </c>
      <c r="AA2042" s="257">
        <f>altaz((J2000_Bas+(2*0.04167)),$O2042,$M2042,DecLat,DecLong,1)</f>
        <v>-9.8498687193443608</v>
      </c>
      <c r="AB2042" s="257">
        <f>altaz((J2000_Bas+(4*0.04167)),$O2042,$M2042,DecLat,DecLong,1)</f>
        <v>-22.673273885950852</v>
      </c>
      <c r="AC2042" s="257">
        <f>altaz((J2000_Bas+(6*0.04167)),$O2042,$M2042,DecLat,DecLong,1)</f>
        <v>-24.793084682346084</v>
      </c>
      <c r="AD2042" s="258">
        <f>1+ transit((J2000_Bas-1),$O2042,$M2042,DecLat,DecLong)/360 + (GMTOffset/24) + (IF(DST="Y", 1, 0)/24)</f>
        <v>1.5108281495776248</v>
      </c>
      <c r="AE2042" s="259">
        <f>DATE(2001,9,21)+(M2042/360)*365 - (360*((DecLong/360)- (GMTOffset/24) ))</f>
        <v>37349.043807870374</v>
      </c>
      <c r="AF2042" s="260">
        <f>IF(DecLat&gt;0,IF((90 - (DecLat-O2042))&gt;90, (90 - (O2042-DecLat)), (90 - (DecLat-O2042))),IF((90 + (DecLat-O2042))&gt;90, (90 + (O2042-DecLat)), (90 + (DecLat-O2042))))</f>
        <v>87.453055555555551</v>
      </c>
      <c r="AG2042" s="257">
        <f>angularseperation(MoonRA,MoonDec,$M2042,$O2042)</f>
        <v>84.967620536165427</v>
      </c>
      <c r="AH2042" s="261">
        <f ca="1">MIN(100,IF($O$5&gt;80,0+30*($AG2042/100),IF($O$5&gt;70,0+50*($AG2042/100),IF($O$5&gt;60,5+50*($AG2042/100),IF($O$5&gt;50,10+60*($AG2042/100),IF($O$5&gt;40,15+70*($AG2042/100),IF($O$5&gt;30,20+70*($AG2042/100),IF($O$5&gt;20,40+55*($AG2042/100),(80+(20-$O$5)+30*($AG2042/100))))))))))</f>
        <v>100</v>
      </c>
      <c r="AI2042" s="262">
        <v>4395</v>
      </c>
      <c r="AJ2042" s="262"/>
      <c r="AK2042" s="262"/>
      <c r="AL2042" s="263"/>
      <c r="AM2042" s="264"/>
      <c r="AN2042" s="263"/>
      <c r="AO2042" s="263"/>
      <c r="AP2042" s="265"/>
      <c r="AQ2042" s="266">
        <v>7524</v>
      </c>
      <c r="AR2042" s="267">
        <v>40596</v>
      </c>
      <c r="AS2042" s="263"/>
      <c r="AT2042" s="263"/>
      <c r="AU2042" s="263"/>
      <c r="AV2042" s="264"/>
      <c r="AW2042" s="263"/>
      <c r="AX2042" s="263"/>
      <c r="AY2042" s="263"/>
      <c r="AZ2042" s="263"/>
      <c r="BA2042" s="263"/>
      <c r="BB2042" s="263"/>
      <c r="BC2042" s="263"/>
      <c r="BD2042" s="264"/>
      <c r="BE2042" s="263"/>
      <c r="BF2042" s="263"/>
      <c r="BG2042" s="263">
        <v>55</v>
      </c>
      <c r="BH2042" s="263"/>
      <c r="BI2042" s="263"/>
      <c r="BJ2042" s="404">
        <f>altaz(J2000_Bas,$O2042,$M2042,DecLat,DecLong,2)</f>
        <v>303.54349162458021</v>
      </c>
      <c r="BK2042" s="378" t="s">
        <v>1967</v>
      </c>
      <c r="BL2042" s="379">
        <f>IF((2*G2042)/60&lt;0.2,0.2,(2*G2042)/60)</f>
        <v>0.33333333333333331</v>
      </c>
      <c r="BM2042" s="380">
        <f>MOD((50000+AD2042-$B$3+(0/24)),1)</f>
        <v>0.72619507928175153</v>
      </c>
      <c r="BN2042" s="381"/>
      <c r="BO2042" s="382">
        <v>2033</v>
      </c>
    </row>
    <row r="2043" spans="1:67" s="24" customFormat="1" ht="15" customHeight="1" x14ac:dyDescent="0.25">
      <c r="A2043" s="288" t="s">
        <v>1968</v>
      </c>
      <c r="B2043" s="241" t="str">
        <f>HYPERLINK(CONCATENATE($AT$3,BK2043,$AU$3),$AV$3)</f>
        <v>S</v>
      </c>
      <c r="C2043" s="242" t="str">
        <f>HYPERLINK(CONCATENATE($AT$4,BK2043,$AU$4,BL2043),$AV$4)</f>
        <v>A</v>
      </c>
      <c r="D2043" s="243" t="s">
        <v>5638</v>
      </c>
      <c r="E2043" s="244" t="s">
        <v>5192</v>
      </c>
      <c r="F2043" s="269" t="s">
        <v>8701</v>
      </c>
      <c r="G2043" s="273">
        <v>5</v>
      </c>
      <c r="H2043" s="283">
        <v>40</v>
      </c>
      <c r="I2043" s="246">
        <v>60</v>
      </c>
      <c r="J2043" s="246">
        <v>2</v>
      </c>
      <c r="K2043" s="247" t="s">
        <v>7843</v>
      </c>
      <c r="L2043" s="248">
        <v>122608</v>
      </c>
      <c r="M2043" s="249">
        <f>15*(LEFT(TEXT($L2043,"000000"),2)+(MID(TEXT($L2043,"000000"),3,2)/60)+(RIGHT(TEXT($L2043,"000000"),2)/3600))</f>
        <v>186.53333333333333</v>
      </c>
      <c r="N2043" s="250">
        <v>130645</v>
      </c>
      <c r="O2043" s="251">
        <f>IF($N2043&gt;0,(LEFT(TEXT($N2043,"000000"),2)+(MID(TEXT($N2043,"000000"),3,2)/60)+(RIGHT(TEXT($N2043,"000000"),2)/3600)),-(MID(TEXT($N2043,"000000"),2,2)+(MID(TEXT($N2043,"000000"),4,2)/60)+(RIGHT(TEXT($N2043,"000000"),2)/3600)))</f>
        <v>13.112499999999999</v>
      </c>
      <c r="P2043" s="252" t="s">
        <v>61</v>
      </c>
      <c r="Q2043" s="253"/>
      <c r="R2043" s="277" t="s">
        <v>3293</v>
      </c>
      <c r="S2043" s="272" t="s">
        <v>3293</v>
      </c>
      <c r="T2043" s="273">
        <v>11.8</v>
      </c>
      <c r="U2043" s="289">
        <v>22.09</v>
      </c>
      <c r="V2043" s="280">
        <v>85</v>
      </c>
      <c r="W2043" s="244"/>
      <c r="X2043" s="244"/>
      <c r="Y2043" s="362"/>
      <c r="Z2043" s="257">
        <f>altaz(J2000_Bas,$O2043,$M2043,DecLat,DecLong,1)</f>
        <v>-1.1746416200794081</v>
      </c>
      <c r="AA2043" s="257">
        <f>altaz((J2000_Bas+(2*0.04167)),$O2043,$M2043,DecLat,DecLong,1)</f>
        <v>-24.50490074489916</v>
      </c>
      <c r="AB2043" s="257">
        <f>altaz((J2000_Bas+(4*0.04167)),$O2043,$M2043,DecLat,DecLong,1)</f>
        <v>-41.744580214671082</v>
      </c>
      <c r="AC2043" s="257">
        <f>altaz((J2000_Bas+(6*0.04167)),$O2043,$M2043,DecLat,DecLong,1)</f>
        <v>-44.909022799983568</v>
      </c>
      <c r="AD2043" s="258">
        <f>1+ transit((J2000_Bas-1),$O2043,$M2043,DecLat,DecLong)/360 + (GMTOffset/24) + (IF(DST="Y", 1, 0)/24)</f>
        <v>1.5110480569630413</v>
      </c>
      <c r="AE2043" s="259">
        <f>DATE(2001,9,21)+(M2043/360)*365 - (360*((DecLong/360)- (GMTOffset/24) ))</f>
        <v>37349.124074074076</v>
      </c>
      <c r="AF2043" s="260">
        <f>IF(DecLat&gt;0,IF((90 - (DecLat-O2043))&gt;90, (90 - (O2043-DecLat)), (90 - (DecLat-O2043))),IF((90 + (DecLat-O2043))&gt;90, (90 + (O2043-DecLat)), (90 + (DecLat-O2043))))</f>
        <v>72.112499999999997</v>
      </c>
      <c r="AG2043" s="257">
        <f>angularseperation(MoonRA,MoonDec,$M2043,$O2043)</f>
        <v>72.884400835935182</v>
      </c>
      <c r="AH2043" s="261">
        <f ca="1">MIN(100,IF($O$5&gt;80,0+30*($AG2043/100),IF($O$5&gt;70,0+50*($AG2043/100),IF($O$5&gt;60,5+50*($AG2043/100),IF($O$5&gt;50,10+60*($AG2043/100),IF($O$5&gt;40,15+70*($AG2043/100),IF($O$5&gt;30,20+70*($AG2043/100),IF($O$5&gt;20,40+55*($AG2043/100),(80+(20-$O$5)+30*($AG2043/100))))))))))</f>
        <v>100</v>
      </c>
      <c r="AI2043" s="262">
        <v>4402</v>
      </c>
      <c r="AJ2043" s="263"/>
      <c r="AK2043" s="263"/>
      <c r="AL2043" s="263"/>
      <c r="AM2043" s="264"/>
      <c r="AN2043" s="263"/>
      <c r="AO2043" s="263"/>
      <c r="AP2043" s="265"/>
      <c r="AQ2043" s="265">
        <v>7528</v>
      </c>
      <c r="AR2043" s="285">
        <v>40644</v>
      </c>
      <c r="AS2043" s="263"/>
      <c r="AT2043" s="263"/>
      <c r="AU2043" s="263"/>
      <c r="AV2043" s="264"/>
      <c r="AW2043" s="263"/>
      <c r="AX2043" s="263"/>
      <c r="AY2043" s="263"/>
      <c r="AZ2043" s="263"/>
      <c r="BA2043" s="263"/>
      <c r="BB2043" s="263"/>
      <c r="BC2043" s="263"/>
      <c r="BD2043" s="264"/>
      <c r="BE2043" s="263"/>
      <c r="BF2043" s="263"/>
      <c r="BG2043" s="263"/>
      <c r="BH2043" s="263"/>
      <c r="BI2043" s="263"/>
      <c r="BJ2043" s="404">
        <f>altaz(J2000_Bas,$O2043,$M2043,DecLat,DecLong,2)</f>
        <v>286.08378240935917</v>
      </c>
      <c r="BK2043" s="378" t="s">
        <v>1968</v>
      </c>
      <c r="BL2043" s="379">
        <f>IF((2*G2043)/60&lt;0.2,0.2,(2*G2043)/60)</f>
        <v>0.2</v>
      </c>
      <c r="BM2043" s="380">
        <f>MOD((50000+AD2043-$B$3+(0/24)),1)</f>
        <v>0.72641498666780535</v>
      </c>
      <c r="BN2043" s="381"/>
      <c r="BO2043" s="382">
        <v>2034</v>
      </c>
    </row>
    <row r="2044" spans="1:67" s="24" customFormat="1" ht="15" customHeight="1" x14ac:dyDescent="0.25">
      <c r="A2044" s="288" t="s">
        <v>1969</v>
      </c>
      <c r="B2044" s="241" t="str">
        <f>HYPERLINK(CONCATENATE($AT$3,BK2044,$AU$3),$AV$3)</f>
        <v>S</v>
      </c>
      <c r="C2044" s="242" t="str">
        <f>HYPERLINK(CONCATENATE($AT$4,BK2044,$AU$4,BL2044),$AV$4)</f>
        <v>A</v>
      </c>
      <c r="D2044" s="243" t="s">
        <v>5638</v>
      </c>
      <c r="E2044" s="244" t="s">
        <v>5337</v>
      </c>
      <c r="F2044" s="269" t="s">
        <v>3319</v>
      </c>
      <c r="G2044" s="291">
        <v>5</v>
      </c>
      <c r="H2044" s="283">
        <v>330</v>
      </c>
      <c r="I2044" s="284">
        <v>500</v>
      </c>
      <c r="J2044" s="246">
        <v>2</v>
      </c>
      <c r="K2044" s="247" t="s">
        <v>7844</v>
      </c>
      <c r="L2044" s="248">
        <v>122630</v>
      </c>
      <c r="M2044" s="249">
        <f>15*(LEFT(TEXT($L2044,"000000"),2)+(MID(TEXT($L2044,"000000"),3,2)/60)+(RIGHT(TEXT($L2044,"000000"),2)/3600))</f>
        <v>186.625</v>
      </c>
      <c r="N2044" s="250">
        <v>90109</v>
      </c>
      <c r="O2044" s="251">
        <f>IF($N2044&gt;0,(LEFT(TEXT($N2044,"000000"),2)+(MID(TEXT($N2044,"000000"),3,2)/60)+(RIGHT(TEXT($N2044,"000000"),2)/3600)),-(MID(TEXT($N2044,"000000"),2,2)+(MID(TEXT($N2044,"000000"),4,2)/60)+(RIGHT(TEXT($N2044,"000000"),2)/3600)))</f>
        <v>9.019166666666667</v>
      </c>
      <c r="P2044" s="252" t="s">
        <v>61</v>
      </c>
      <c r="Q2044" s="253"/>
      <c r="R2044" s="247" t="s">
        <v>3293</v>
      </c>
      <c r="S2044" s="272" t="s">
        <v>3293</v>
      </c>
      <c r="T2044" s="273">
        <v>12.8</v>
      </c>
      <c r="U2044" s="289">
        <v>20.69</v>
      </c>
      <c r="V2044" s="280"/>
      <c r="W2044" s="244"/>
      <c r="X2044" s="244"/>
      <c r="Y2044" s="362"/>
      <c r="Z2044" s="257">
        <f>altaz(J2000_Bas,$O2044,$M2044,DecLat,DecLong,1)</f>
        <v>-3.2791498359880227</v>
      </c>
      <c r="AA2044" s="257">
        <f>altaz((J2000_Bas+(2*0.04167)),$O2044,$M2044,DecLat,DecLong,1)</f>
        <v>-27.213854260922663</v>
      </c>
      <c r="AB2044" s="257">
        <f>altaz((J2000_Bas+(4*0.04167)),$O2044,$M2044,DecLat,DecLong,1)</f>
        <v>-45.435377448625786</v>
      </c>
      <c r="AC2044" s="257">
        <f>altaz((J2000_Bas+(6*0.04167)),$O2044,$M2044,DecLat,DecLong,1)</f>
        <v>-48.929076636385261</v>
      </c>
      <c r="AD2044" s="258">
        <f>1+ transit((J2000_Bas-1),$O2044,$M2044,DecLat,DecLong)/360 + (GMTOffset/24) + (IF(DST="Y", 1, 0)/24)</f>
        <v>1.5113026865672079</v>
      </c>
      <c r="AE2044" s="259">
        <f>DATE(2001,9,21)+(M2044/360)*365 - (360*((DecLong/360)- (GMTOffset/24) ))</f>
        <v>37349.217013888891</v>
      </c>
      <c r="AF2044" s="260">
        <f>IF(DecLat&gt;0,IF((90 - (DecLat-O2044))&gt;90, (90 - (O2044-DecLat)), (90 - (DecLat-O2044))),IF((90 + (DecLat-O2044))&gt;90, (90 + (O2044-DecLat)), (90 + (DecLat-O2044))))</f>
        <v>68.019166666666663</v>
      </c>
      <c r="AG2044" s="257">
        <f>angularseperation(MoonRA,MoonDec,$M2044,$O2044)</f>
        <v>70.54521819109199</v>
      </c>
      <c r="AH2044" s="261">
        <f ca="1">MIN(100,IF($O$5&gt;80,0+30*($AG2044/100),IF($O$5&gt;70,0+50*($AG2044/100),IF($O$5&gt;60,5+50*($AG2044/100),IF($O$5&gt;50,10+60*($AG2044/100),IF($O$5&gt;40,15+70*($AG2044/100),IF($O$5&gt;30,20+70*($AG2044/100),IF($O$5&gt;20,40+55*($AG2044/100),(80+(20-$O$5)+30*($AG2044/100))))))))))</f>
        <v>100</v>
      </c>
      <c r="AI2044" s="262">
        <v>4410</v>
      </c>
      <c r="AJ2044" s="262"/>
      <c r="AK2044" s="262"/>
      <c r="AL2044" s="263"/>
      <c r="AM2044" s="264"/>
      <c r="AN2044" s="263"/>
      <c r="AO2044" s="263"/>
      <c r="AP2044" s="265"/>
      <c r="AQ2044" s="266">
        <v>7535</v>
      </c>
      <c r="AR2044" s="267">
        <v>40694</v>
      </c>
      <c r="AS2044" s="263"/>
      <c r="AT2044" s="263"/>
      <c r="AU2044" s="263"/>
      <c r="AV2044" s="264"/>
      <c r="AW2044" s="263"/>
      <c r="AX2044" s="263"/>
      <c r="AY2044" s="263"/>
      <c r="AZ2044" s="263"/>
      <c r="BA2044" s="263"/>
      <c r="BB2044" s="263"/>
      <c r="BC2044" s="263"/>
      <c r="BD2044" s="264"/>
      <c r="BE2044" s="263"/>
      <c r="BF2044" s="263"/>
      <c r="BG2044" s="263"/>
      <c r="BH2044" s="263"/>
      <c r="BI2044" s="263"/>
      <c r="BJ2044" s="404">
        <f>altaz(J2000_Bas,$O2044,$M2044,DecLat,DecLong,2)</f>
        <v>282.56887627764354</v>
      </c>
      <c r="BK2044" s="378" t="s">
        <v>1969</v>
      </c>
      <c r="BL2044" s="379">
        <f>IF((2*G2044)/60&lt;0.2,0.2,(2*G2044)/60)</f>
        <v>0.2</v>
      </c>
      <c r="BM2044" s="380">
        <f>MOD((50000+AD2044-$B$3+(0/24)),1)</f>
        <v>0.72666961626964621</v>
      </c>
      <c r="BN2044" s="381"/>
      <c r="BO2044" s="382">
        <v>2035</v>
      </c>
    </row>
    <row r="2045" spans="1:67" s="24" customFormat="1" ht="15" customHeight="1" x14ac:dyDescent="0.25">
      <c r="A2045" s="288" t="s">
        <v>7846</v>
      </c>
      <c r="B2045" s="241" t="str">
        <f>HYPERLINK(CONCATENATE($AT$3,BK2045,$AU$3),$AV$3)</f>
        <v>S</v>
      </c>
      <c r="C2045" s="242" t="str">
        <f>HYPERLINK(CONCATENATE($AT$4,BK2045,$AU$4,BL2045),$AV$4)</f>
        <v>A</v>
      </c>
      <c r="D2045" s="243" t="s">
        <v>5638</v>
      </c>
      <c r="E2045" s="244" t="s">
        <v>5178</v>
      </c>
      <c r="F2045" s="269"/>
      <c r="G2045" s="273">
        <v>2</v>
      </c>
      <c r="H2045" s="283">
        <v>55</v>
      </c>
      <c r="I2045" s="246">
        <v>35</v>
      </c>
      <c r="J2045" s="246">
        <v>2</v>
      </c>
      <c r="K2045" s="247" t="s">
        <v>8482</v>
      </c>
      <c r="L2045" s="248">
        <v>122630</v>
      </c>
      <c r="M2045" s="249">
        <f>15*(LEFT(TEXT($L2045,"000000"),2)+(MID(TEXT($L2045,"000000"),3,2)/60)+(RIGHT(TEXT($L2045,"000000"),2)/3600))</f>
        <v>186.625</v>
      </c>
      <c r="N2045" s="250">
        <v>85219</v>
      </c>
      <c r="O2045" s="251">
        <f>IF($N2045&gt;0,(LEFT(TEXT($N2045,"000000"),2)+(MID(TEXT($N2045,"000000"),3,2)/60)+(RIGHT(TEXT($N2045,"000000"),2)/3600)),-(MID(TEXT($N2045,"000000"),2,2)+(MID(TEXT($N2045,"000000"),4,2)/60)+(RIGHT(TEXT($N2045,"000000"),2)/3600)))</f>
        <v>8.8719444444444449</v>
      </c>
      <c r="P2045" s="252" t="s">
        <v>61</v>
      </c>
      <c r="Q2045" s="253"/>
      <c r="R2045" s="247" t="s">
        <v>3293</v>
      </c>
      <c r="S2045" s="272" t="s">
        <v>7845</v>
      </c>
      <c r="T2045" s="273">
        <v>12.7</v>
      </c>
      <c r="U2045" s="289">
        <v>22.89</v>
      </c>
      <c r="V2045" s="280">
        <v>80</v>
      </c>
      <c r="W2045" s="244"/>
      <c r="X2045" s="244"/>
      <c r="Y2045" s="362"/>
      <c r="Z2045" s="257">
        <f>altaz(J2000_Bas,$O2045,$M2045,DecLat,DecLong,1)</f>
        <v>-3.3573810666574309</v>
      </c>
      <c r="AA2045" s="257">
        <f>altaz((J2000_Bas+(2*0.04167)),$O2045,$M2045,DecLat,DecLong,1)</f>
        <v>-27.3121476422718</v>
      </c>
      <c r="AB2045" s="257">
        <f>altaz((J2000_Bas+(4*0.04167)),$O2045,$M2045,DecLat,DecLong,1)</f>
        <v>-45.568478183047709</v>
      </c>
      <c r="AC2045" s="257">
        <f>altaz((J2000_Bas+(6*0.04167)),$O2045,$M2045,DecLat,DecLong,1)</f>
        <v>-49.072738319256729</v>
      </c>
      <c r="AD2045" s="258">
        <f>1+ transit((J2000_Bas-1),$O2045,$M2045,DecLat,DecLong)/360 + (GMTOffset/24) + (IF(DST="Y", 1, 0)/24)</f>
        <v>1.5113026865672079</v>
      </c>
      <c r="AE2045" s="259">
        <f>DATE(2001,9,21)+(M2045/360)*365 - (360*((DecLong/360)- (GMTOffset/24) ))</f>
        <v>37349.217013888891</v>
      </c>
      <c r="AF2045" s="260">
        <f>IF(DecLat&gt;0,IF((90 - (DecLat-O2045))&gt;90, (90 - (O2045-DecLat)), (90 - (DecLat-O2045))),IF((90 + (DecLat-O2045))&gt;90, (90 + (O2045-DecLat)), (90 + (DecLat-O2045))))</f>
        <v>67.871944444444438</v>
      </c>
      <c r="AG2045" s="257">
        <f>angularseperation(MoonRA,MoonDec,$M2045,$O2045)</f>
        <v>70.465032148278723</v>
      </c>
      <c r="AH2045" s="261">
        <f ca="1">MIN(100,IF($O$5&gt;80,0+30*($AG2045/100),IF($O$5&gt;70,0+50*($AG2045/100),IF($O$5&gt;60,5+50*($AG2045/100),IF($O$5&gt;50,10+60*($AG2045/100),IF($O$5&gt;40,15+70*($AG2045/100),IF($O$5&gt;30,20+70*($AG2045/100),IF($O$5&gt;20,40+55*($AG2045/100),(80+(20-$O$5)+30*($AG2045/100))))))))))</f>
        <v>100</v>
      </c>
      <c r="AI2045" s="262">
        <v>4411</v>
      </c>
      <c r="AJ2045" s="262"/>
      <c r="AK2045" s="262"/>
      <c r="AL2045" s="263"/>
      <c r="AM2045" s="264"/>
      <c r="AN2045" s="263"/>
      <c r="AO2045" s="263"/>
      <c r="AP2045" s="265"/>
      <c r="AQ2045" s="266"/>
      <c r="AR2045" s="267">
        <v>40695</v>
      </c>
      <c r="AS2045" s="263"/>
      <c r="AT2045" s="263"/>
      <c r="AU2045" s="263"/>
      <c r="AV2045" s="264"/>
      <c r="AW2045" s="263"/>
      <c r="AX2045" s="263"/>
      <c r="AY2045" s="263"/>
      <c r="AZ2045" s="263"/>
      <c r="BA2045" s="263"/>
      <c r="BB2045" s="263"/>
      <c r="BC2045" s="263"/>
      <c r="BD2045" s="264"/>
      <c r="BE2045" s="263"/>
      <c r="BF2045" s="263"/>
      <c r="BG2045" s="263"/>
      <c r="BH2045" s="263"/>
      <c r="BI2045" s="263"/>
      <c r="BJ2045" s="404">
        <f>altaz(J2000_Bas,$O2045,$M2045,DecLat,DecLong,2)</f>
        <v>282.44395011038813</v>
      </c>
      <c r="BK2045" s="378" t="s">
        <v>1970</v>
      </c>
      <c r="BL2045" s="379">
        <f>IF((2*G2045)/60&lt;0.2,0.2,(2*G2045)/60)</f>
        <v>0.2</v>
      </c>
      <c r="BM2045" s="380">
        <f>MOD((50000+AD2045-$B$3+(0/24)),1)</f>
        <v>0.72666961626964621</v>
      </c>
      <c r="BN2045" s="381"/>
      <c r="BO2045" s="382">
        <v>2036</v>
      </c>
    </row>
    <row r="2046" spans="1:67" s="24" customFormat="1" ht="15" customHeight="1" x14ac:dyDescent="0.25">
      <c r="A2046" s="288" t="s">
        <v>1971</v>
      </c>
      <c r="B2046" s="241" t="str">
        <f>HYPERLINK(CONCATENATE($AT$3,BK2046,$AU$3),$AV$3)</f>
        <v>S</v>
      </c>
      <c r="C2046" s="242" t="str">
        <f>HYPERLINK(CONCATENATE($AT$4,BK2046,$AU$4,BL2046),$AV$4)</f>
        <v>A</v>
      </c>
      <c r="D2046" s="243" t="s">
        <v>5638</v>
      </c>
      <c r="E2046" s="244" t="s">
        <v>4292</v>
      </c>
      <c r="F2046" s="269" t="s">
        <v>8643</v>
      </c>
      <c r="G2046" s="273">
        <v>5</v>
      </c>
      <c r="H2046" s="283">
        <v>60</v>
      </c>
      <c r="I2046" s="246">
        <v>90</v>
      </c>
      <c r="J2046" s="246">
        <v>2</v>
      </c>
      <c r="K2046" s="247" t="s">
        <v>8483</v>
      </c>
      <c r="L2046" s="248">
        <v>122627</v>
      </c>
      <c r="M2046" s="249">
        <f>15*(LEFT(TEXT($L2046,"000000"),2)+(MID(TEXT($L2046,"000000"),3,2)/60)+(RIGHT(TEXT($L2046,"000000"),2)/3600))</f>
        <v>186.61250000000001</v>
      </c>
      <c r="N2046" s="250">
        <v>311322</v>
      </c>
      <c r="O2046" s="251">
        <f>IF($N2046&gt;0,(LEFT(TEXT($N2046,"000000"),2)+(MID(TEXT($N2046,"000000"),3,2)/60)+(RIGHT(TEXT($N2046,"000000"),2)/3600)),-(MID(TEXT($N2046,"000000"),2,2)+(MID(TEXT($N2046,"000000"),4,2)/60)+(RIGHT(TEXT($N2046,"000000"),2)/3600)))</f>
        <v>31.222777777777775</v>
      </c>
      <c r="P2046" s="252" t="s">
        <v>190</v>
      </c>
      <c r="Q2046" s="253" t="s">
        <v>6871</v>
      </c>
      <c r="R2046" s="247" t="s">
        <v>3293</v>
      </c>
      <c r="S2046" s="272" t="s">
        <v>3293</v>
      </c>
      <c r="T2046" s="273">
        <v>10.1</v>
      </c>
      <c r="U2046" s="289">
        <v>20.990000000000002</v>
      </c>
      <c r="V2046" s="280">
        <v>60</v>
      </c>
      <c r="W2046" s="244"/>
      <c r="X2046" s="244"/>
      <c r="Y2046" s="362"/>
      <c r="Z2046" s="257">
        <f>altaz(J2000_Bas,$O2046,$M2046,DecLat,DecLong,1)</f>
        <v>8.4753094893503569</v>
      </c>
      <c r="AA2046" s="257">
        <f>altaz((J2000_Bas+(2*0.04167)),$O2046,$M2046,DecLat,DecLong,1)</f>
        <v>-11.479961417817229</v>
      </c>
      <c r="AB2046" s="257">
        <f>altaz((J2000_Bas+(4*0.04167)),$O2046,$M2046,DecLat,DecLong,1)</f>
        <v>-24.826994318163639</v>
      </c>
      <c r="AC2046" s="257">
        <f>altaz((J2000_Bas+(6*0.04167)),$O2046,$M2046,DecLat,DecLong,1)</f>
        <v>-27.108455216724131</v>
      </c>
      <c r="AD2046" s="258">
        <f>1+ transit((J2000_Bas-1),$O2046,$M2046,DecLat,DecLong)/360 + (GMTOffset/24) + (IF(DST="Y", 1, 0)/24)</f>
        <v>1.5112679643484579</v>
      </c>
      <c r="AE2046" s="259">
        <f>DATE(2001,9,21)+(M2046/360)*365 - (360*((DecLong/360)- (GMTOffset/24) ))</f>
        <v>37349.204340277778</v>
      </c>
      <c r="AF2046" s="260">
        <f>IF(DecLat&gt;0,IF((90 - (DecLat-O2046))&gt;90, (90 - (O2046-DecLat)), (90 - (DecLat-O2046))),IF((90 + (DecLat-O2046))&gt;90, (90 + (O2046-DecLat)), (90 + (DecLat-O2046))))</f>
        <v>89.777222222222221</v>
      </c>
      <c r="AG2046" s="257">
        <f>angularseperation(MoonRA,MoonDec,$M2046,$O2046)</f>
        <v>83.452379259453792</v>
      </c>
      <c r="AH2046" s="261">
        <f ca="1">MIN(100,IF($O$5&gt;80,0+30*($AG2046/100),IF($O$5&gt;70,0+50*($AG2046/100),IF($O$5&gt;60,5+50*($AG2046/100),IF($O$5&gt;50,10+60*($AG2046/100),IF($O$5&gt;40,15+70*($AG2046/100),IF($O$5&gt;30,20+70*($AG2046/100),IF($O$5&gt;20,40+55*($AG2046/100),(80+(20-$O$5)+30*($AG2046/100))))))))))</f>
        <v>100</v>
      </c>
      <c r="AI2046" s="262">
        <v>4414</v>
      </c>
      <c r="AJ2046" s="262"/>
      <c r="AK2046" s="262">
        <v>236</v>
      </c>
      <c r="AL2046" s="263"/>
      <c r="AM2046" s="264"/>
      <c r="AN2046" s="263"/>
      <c r="AO2046" s="263"/>
      <c r="AP2046" s="265"/>
      <c r="AQ2046" s="266">
        <v>7539</v>
      </c>
      <c r="AR2046" s="267">
        <v>40692</v>
      </c>
      <c r="AS2046" s="263"/>
      <c r="AT2046" s="263"/>
      <c r="AU2046" s="263"/>
      <c r="AV2046" s="264"/>
      <c r="AW2046" s="263"/>
      <c r="AX2046" s="263"/>
      <c r="AY2046" s="263"/>
      <c r="AZ2046" s="263"/>
      <c r="BA2046" s="263"/>
      <c r="BB2046" s="263"/>
      <c r="BC2046" s="263"/>
      <c r="BD2046" s="264"/>
      <c r="BE2046" s="263"/>
      <c r="BF2046" s="263">
        <v>54</v>
      </c>
      <c r="BG2046" s="263"/>
      <c r="BH2046" s="263"/>
      <c r="BI2046" s="263"/>
      <c r="BJ2046" s="404">
        <f>altaz(J2000_Bas,$O2046,$M2046,DecLat,DecLong,2)</f>
        <v>301.45889921690036</v>
      </c>
      <c r="BK2046" s="378" t="s">
        <v>1971</v>
      </c>
      <c r="BL2046" s="379">
        <f>IF((2*G2046)/60&lt;0.2,0.2,(2*G2046)/60)</f>
        <v>0.2</v>
      </c>
      <c r="BM2046" s="380">
        <f>MOD((50000+AD2046-$B$3+(0/24)),1)</f>
        <v>0.72663489405385917</v>
      </c>
      <c r="BN2046" s="381"/>
      <c r="BO2046" s="382">
        <v>2037</v>
      </c>
    </row>
    <row r="2047" spans="1:67" s="24" customFormat="1" ht="15" customHeight="1" x14ac:dyDescent="0.25">
      <c r="A2047" s="288" t="s">
        <v>1972</v>
      </c>
      <c r="B2047" s="241" t="str">
        <f>HYPERLINK(CONCATENATE($AT$3,BK2047,$AU$3),$AV$3)</f>
        <v>S</v>
      </c>
      <c r="C2047" s="242" t="str">
        <f>HYPERLINK(CONCATENATE($AT$4,BK2047,$AU$4,BL2047),$AV$4)</f>
        <v>A</v>
      </c>
      <c r="D2047" s="243" t="s">
        <v>5638</v>
      </c>
      <c r="E2047" s="244" t="s">
        <v>5182</v>
      </c>
      <c r="F2047" s="269" t="s">
        <v>3300</v>
      </c>
      <c r="G2047" s="273">
        <v>3.8</v>
      </c>
      <c r="H2047" s="283">
        <v>32</v>
      </c>
      <c r="I2047" s="246">
        <v>35</v>
      </c>
      <c r="J2047" s="246">
        <v>2</v>
      </c>
      <c r="K2047" s="247" t="s">
        <v>7847</v>
      </c>
      <c r="L2047" s="248">
        <v>122657</v>
      </c>
      <c r="M2047" s="249">
        <f>15*(LEFT(TEXT($L2047,"000000"),2)+(MID(TEXT($L2047,"000000"),3,2)/60)+(RIGHT(TEXT($L2047,"000000"),2)/3600))</f>
        <v>186.73750000000001</v>
      </c>
      <c r="N2047" s="250">
        <v>150249</v>
      </c>
      <c r="O2047" s="251">
        <f>IF($N2047&gt;0,(LEFT(TEXT($N2047,"000000"),2)+(MID(TEXT($N2047,"000000"),3,2)/60)+(RIGHT(TEXT($N2047,"000000"),2)/3600)),-(MID(TEXT($N2047,"000000"),2,2)+(MID(TEXT($N2047,"000000"),4,2)/60)+(RIGHT(TEXT($N2047,"000000"),2)/3600)))</f>
        <v>15.046944444444444</v>
      </c>
      <c r="P2047" s="252" t="s">
        <v>190</v>
      </c>
      <c r="Q2047" s="253"/>
      <c r="R2047" s="277" t="s">
        <v>3293</v>
      </c>
      <c r="S2047" s="272" t="s">
        <v>3293</v>
      </c>
      <c r="T2047" s="273">
        <v>11.2</v>
      </c>
      <c r="U2047" s="289">
        <v>21.39</v>
      </c>
      <c r="V2047" s="280">
        <v>80</v>
      </c>
      <c r="W2047" s="244"/>
      <c r="X2047" s="244"/>
      <c r="Y2047" s="362"/>
      <c r="Z2047" s="257">
        <f>altaz(J2000_Bas,$O2047,$M2047,DecLat,DecLong,1)</f>
        <v>2.4887641743854192E-2</v>
      </c>
      <c r="AA2047" s="257">
        <f>altaz((J2000_Bas+(2*0.04167)),$O2047,$M2047,DecLat,DecLong,1)</f>
        <v>-23.025740890446084</v>
      </c>
      <c r="AB2047" s="257">
        <f>altaz((J2000_Bas+(4*0.04167)),$O2047,$M2047,DecLat,DecLong,1)</f>
        <v>-39.889873387166595</v>
      </c>
      <c r="AC2047" s="257">
        <f>altaz((J2000_Bas+(6*0.04167)),$O2047,$M2047,DecLat,DecLong,1)</f>
        <v>-43.052758328478049</v>
      </c>
      <c r="AD2047" s="258">
        <f>1+ transit((J2000_Bas-1),$O2047,$M2047,DecLat,DecLong)/360 + (GMTOffset/24) + (IF(DST="Y", 1, 0)/24)</f>
        <v>1.5116151865359579</v>
      </c>
      <c r="AE2047" s="259">
        <f>DATE(2001,9,21)+(M2047/360)*365 - (360*((DecLong/360)- (GMTOffset/24) ))</f>
        <v>37349.331076388888</v>
      </c>
      <c r="AF2047" s="260">
        <f>IF(DecLat&gt;0,IF((90 - (DecLat-O2047))&gt;90, (90 - (O2047-DecLat)), (90 - (DecLat-O2047))),IF((90 + (DecLat-O2047))&gt;90, (90 + (O2047-DecLat)), (90 + (DecLat-O2047))))</f>
        <v>74.046944444444449</v>
      </c>
      <c r="AG2047" s="257">
        <f>angularseperation(MoonRA,MoonDec,$M2047,$O2047)</f>
        <v>73.81387709888179</v>
      </c>
      <c r="AH2047" s="261">
        <f ca="1">MIN(100,IF($O$5&gt;80,0+30*($AG2047/100),IF($O$5&gt;70,0+50*($AG2047/100),IF($O$5&gt;60,5+50*($AG2047/100),IF($O$5&gt;50,10+60*($AG2047/100),IF($O$5&gt;40,15+70*($AG2047/100),IF($O$5&gt;30,20+70*($AG2047/100),IF($O$5&gt;20,40+55*($AG2047/100),(80+(20-$O$5)+30*($AG2047/100))))))))))</f>
        <v>100</v>
      </c>
      <c r="AI2047" s="262">
        <v>4419</v>
      </c>
      <c r="AJ2047" s="263"/>
      <c r="AK2047" s="263">
        <v>237</v>
      </c>
      <c r="AL2047" s="263"/>
      <c r="AM2047" s="264"/>
      <c r="AN2047" s="263"/>
      <c r="AO2047" s="263"/>
      <c r="AP2047" s="265"/>
      <c r="AQ2047" s="265">
        <v>7551</v>
      </c>
      <c r="AR2047" s="285">
        <v>40772</v>
      </c>
      <c r="AS2047" s="263"/>
      <c r="AT2047" s="263"/>
      <c r="AU2047" s="263"/>
      <c r="AV2047" s="264"/>
      <c r="AW2047" s="263"/>
      <c r="AX2047" s="263"/>
      <c r="AY2047" s="263"/>
      <c r="AZ2047" s="263"/>
      <c r="BA2047" s="263"/>
      <c r="BB2047" s="263"/>
      <c r="BC2047" s="263"/>
      <c r="BD2047" s="264"/>
      <c r="BE2047" s="263"/>
      <c r="BF2047" s="263"/>
      <c r="BG2047" s="263"/>
      <c r="BH2047" s="263"/>
      <c r="BI2047" s="263"/>
      <c r="BJ2047" s="404">
        <f>altaz(J2000_Bas,$O2047,$M2047,DecLat,DecLong,2)</f>
        <v>287.61438326773566</v>
      </c>
      <c r="BK2047" s="378" t="s">
        <v>1972</v>
      </c>
      <c r="BL2047" s="379">
        <f>IF((2*G2047)/60&lt;0.2,0.2,(2*G2047)/60)</f>
        <v>0.2</v>
      </c>
      <c r="BM2047" s="380">
        <f>MOD((50000+AD2047-$B$3+(0/24)),1)</f>
        <v>0.72698211624083342</v>
      </c>
      <c r="BN2047" s="381"/>
      <c r="BO2047" s="382">
        <v>2038</v>
      </c>
    </row>
    <row r="2048" spans="1:67" s="24" customFormat="1" ht="15" customHeight="1" x14ac:dyDescent="0.25">
      <c r="A2048" s="288" t="s">
        <v>1973</v>
      </c>
      <c r="B2048" s="241" t="str">
        <f>HYPERLINK(CONCATENATE($AT$3,BK2048,$AU$3),$AV$3)</f>
        <v>S</v>
      </c>
      <c r="C2048" s="242" t="str">
        <f>HYPERLINK(CONCATENATE($AT$4,BK2048,$AU$4,BL2048),$AV$4)</f>
        <v>A</v>
      </c>
      <c r="D2048" s="243" t="s">
        <v>5638</v>
      </c>
      <c r="E2048" s="244" t="s">
        <v>5192</v>
      </c>
      <c r="F2048" s="269" t="s">
        <v>8911</v>
      </c>
      <c r="G2048" s="273">
        <v>3</v>
      </c>
      <c r="H2048" s="283">
        <v>50</v>
      </c>
      <c r="I2048" s="246">
        <v>44</v>
      </c>
      <c r="J2048" s="246">
        <v>2</v>
      </c>
      <c r="K2048" s="247" t="s">
        <v>8484</v>
      </c>
      <c r="L2048" s="248">
        <v>122712</v>
      </c>
      <c r="M2048" s="249">
        <f>15*(LEFT(TEXT($L2048,"000000"),2)+(MID(TEXT($L2048,"000000"),3,2)/60)+(RIGHT(TEXT($L2048,"000000"),2)/3600))</f>
        <v>186.8</v>
      </c>
      <c r="N2048" s="250">
        <v>92513</v>
      </c>
      <c r="O2048" s="251">
        <f>IF($N2048&gt;0,(LEFT(TEXT($N2048,"000000"),2)+(MID(TEXT($N2048,"000000"),3,2)/60)+(RIGHT(TEXT($N2048,"000000"),2)/3600)),-(MID(TEXT($N2048,"000000"),2,2)+(MID(TEXT($N2048,"000000"),4,2)/60)+(RIGHT(TEXT($N2048,"000000"),2)/3600)))</f>
        <v>9.4202777777777769</v>
      </c>
      <c r="P2048" s="252" t="s">
        <v>61</v>
      </c>
      <c r="Q2048" s="253"/>
      <c r="R2048" s="247" t="s">
        <v>3293</v>
      </c>
      <c r="S2048" s="272" t="s">
        <v>3293</v>
      </c>
      <c r="T2048" s="273">
        <v>11.7</v>
      </c>
      <c r="U2048" s="289">
        <v>22.490000000000002</v>
      </c>
      <c r="V2048" s="280">
        <v>65</v>
      </c>
      <c r="W2048" s="244"/>
      <c r="X2048" s="244"/>
      <c r="Y2048" s="362"/>
      <c r="Z2048" s="257">
        <f>altaz(J2000_Bas,$O2048,$M2048,DecLat,DecLong,1)</f>
        <v>-2.9196890001284297</v>
      </c>
      <c r="AA2048" s="257">
        <f>altaz((J2000_Bas+(2*0.04167)),$O2048,$M2048,DecLat,DecLong,1)</f>
        <v>-26.817256730994501</v>
      </c>
      <c r="AB2048" s="257">
        <f>altaz((J2000_Bas+(4*0.04167)),$O2048,$M2048,DecLat,DecLong,1)</f>
        <v>-44.998911882302181</v>
      </c>
      <c r="AC2048" s="257">
        <f>altaz((J2000_Bas+(6*0.04167)),$O2048,$M2048,DecLat,DecLong,1)</f>
        <v>-48.574630948361261</v>
      </c>
      <c r="AD2048" s="258">
        <f>1+ transit((J2000_Bas-1),$O2048,$M2048,DecLat,DecLong)/360 + (GMTOffset/24) + (IF(DST="Y", 1, 0)/24)</f>
        <v>1.511788797629708</v>
      </c>
      <c r="AE2048" s="259">
        <f>DATE(2001,9,21)+(M2048/360)*365 - (360*((DecLong/360)- (GMTOffset/24) ))</f>
        <v>37349.394444444442</v>
      </c>
      <c r="AF2048" s="260">
        <f>IF(DecLat&gt;0,IF((90 - (DecLat-O2048))&gt;90, (90 - (O2048-DecLat)), (90 - (DecLat-O2048))),IF((90 + (DecLat-O2048))&gt;90, (90 + (O2048-DecLat)), (90 + (DecLat-O2048))))</f>
        <v>68.420277777777784</v>
      </c>
      <c r="AG2048" s="257">
        <f>angularseperation(MoonRA,MoonDec,$M2048,$O2048)</f>
        <v>70.619657462011901</v>
      </c>
      <c r="AH2048" s="261">
        <f ca="1">MIN(100,IF($O$5&gt;80,0+30*($AG2048/100),IF($O$5&gt;70,0+50*($AG2048/100),IF($O$5&gt;60,5+50*($AG2048/100),IF($O$5&gt;50,10+60*($AG2048/100),IF($O$5&gt;40,15+70*($AG2048/100),IF($O$5&gt;30,20+70*($AG2048/100),IF($O$5&gt;20,40+55*($AG2048/100),(80+(20-$O$5)+30*($AG2048/100))))))))))</f>
        <v>100</v>
      </c>
      <c r="AI2048" s="262">
        <v>4424</v>
      </c>
      <c r="AJ2048" s="262"/>
      <c r="AK2048" s="262"/>
      <c r="AL2048" s="263"/>
      <c r="AM2048" s="264"/>
      <c r="AN2048" s="263"/>
      <c r="AO2048" s="263"/>
      <c r="AP2048" s="265"/>
      <c r="AQ2048" s="266">
        <v>7561</v>
      </c>
      <c r="AR2048" s="267">
        <v>40809</v>
      </c>
      <c r="AS2048" s="263"/>
      <c r="AT2048" s="263"/>
      <c r="AU2048" s="263"/>
      <c r="AV2048" s="264"/>
      <c r="AW2048" s="263"/>
      <c r="AX2048" s="263"/>
      <c r="AY2048" s="263"/>
      <c r="AZ2048" s="263"/>
      <c r="BA2048" s="263"/>
      <c r="BB2048" s="263"/>
      <c r="BC2048" s="263"/>
      <c r="BD2048" s="264"/>
      <c r="BE2048" s="263"/>
      <c r="BF2048" s="263"/>
      <c r="BG2048" s="263"/>
      <c r="BH2048" s="263"/>
      <c r="BI2048" s="263"/>
      <c r="BJ2048" s="404">
        <f>altaz(J2000_Bas,$O2048,$M2048,DecLat,DecLong,2)</f>
        <v>282.81726569581213</v>
      </c>
      <c r="BK2048" s="378" t="s">
        <v>1973</v>
      </c>
      <c r="BL2048" s="379">
        <f>IF((2*G2048)/60&lt;0.2,0.2,(2*G2048)/60)</f>
        <v>0.2</v>
      </c>
      <c r="BM2048" s="380">
        <f>MOD((50000+AD2048-$B$3+(0/24)),1)</f>
        <v>0.72715572733432055</v>
      </c>
      <c r="BN2048" s="381"/>
      <c r="BO2048" s="382">
        <v>2039</v>
      </c>
    </row>
    <row r="2049" spans="1:67" s="24" customFormat="1" ht="15" customHeight="1" x14ac:dyDescent="0.25">
      <c r="A2049" s="288" t="s">
        <v>1974</v>
      </c>
      <c r="B2049" s="241" t="str">
        <f>HYPERLINK(CONCATENATE($AT$3,BK2049,$AU$3),$AV$3)</f>
        <v>S</v>
      </c>
      <c r="C2049" s="242" t="str">
        <f>HYPERLINK(CONCATENATE($AT$4,BK2049,$AU$4,BL2049),$AV$4)</f>
        <v>A</v>
      </c>
      <c r="D2049" s="243" t="s">
        <v>5638</v>
      </c>
      <c r="E2049" s="244" t="s">
        <v>5182</v>
      </c>
      <c r="F2049" s="269" t="s">
        <v>3300</v>
      </c>
      <c r="G2049" s="273">
        <v>5</v>
      </c>
      <c r="H2049" s="283">
        <v>50</v>
      </c>
      <c r="I2049" s="246">
        <v>80</v>
      </c>
      <c r="J2049" s="246">
        <v>2</v>
      </c>
      <c r="K2049" s="247" t="s">
        <v>7848</v>
      </c>
      <c r="L2049" s="248">
        <v>122727</v>
      </c>
      <c r="M2049" s="249">
        <f>15*(LEFT(TEXT($L2049,"000000"),2)+(MID(TEXT($L2049,"000000"),3,2)/60)+(RIGHT(TEXT($L2049,"000000"),2)/3600))</f>
        <v>186.86249999999998</v>
      </c>
      <c r="N2049" s="250">
        <v>110627</v>
      </c>
      <c r="O2049" s="251">
        <f>IF($N2049&gt;0,(LEFT(TEXT($N2049,"000000"),2)+(MID(TEXT($N2049,"000000"),3,2)/60)+(RIGHT(TEXT($N2049,"000000"),2)/3600)),-(MID(TEXT($N2049,"000000"),2,2)+(MID(TEXT($N2049,"000000"),4,2)/60)+(RIGHT(TEXT($N2049,"000000"),2)/3600)))</f>
        <v>11.1075</v>
      </c>
      <c r="P2049" s="252" t="s">
        <v>61</v>
      </c>
      <c r="Q2049" s="253"/>
      <c r="R2049" s="247" t="s">
        <v>3293</v>
      </c>
      <c r="S2049" s="272" t="s">
        <v>3293</v>
      </c>
      <c r="T2049" s="273">
        <v>10</v>
      </c>
      <c r="U2049" s="289">
        <v>21.69</v>
      </c>
      <c r="V2049" s="280">
        <v>65</v>
      </c>
      <c r="W2049" s="244"/>
      <c r="X2049" s="244"/>
      <c r="Y2049" s="362"/>
      <c r="Z2049" s="257">
        <f>altaz(J2000_Bas,$O2049,$M2049,DecLat,DecLong,1)</f>
        <v>-1.9706594464726888</v>
      </c>
      <c r="AA2049" s="257">
        <f>altaz((J2000_Bas+(2*0.04167)),$O2049,$M2049,DecLat,DecLong,1)</f>
        <v>-25.6367890820149</v>
      </c>
      <c r="AB2049" s="257">
        <f>altaz((J2000_Bas+(4*0.04167)),$O2049,$M2049,DecLat,DecLong,1)</f>
        <v>-43.443361455740131</v>
      </c>
      <c r="AC2049" s="257">
        <f>altaz((J2000_Bas+(6*0.04167)),$O2049,$M2049,DecLat,DecLong,1)</f>
        <v>-46.937451322751713</v>
      </c>
      <c r="AD2049" s="258">
        <f>1+ transit((J2000_Bas-1),$O2049,$M2049,DecLat,DecLong)/360 + (GMTOffset/24) + (IF(DST="Y", 1, 0)/24)</f>
        <v>1.511962408723458</v>
      </c>
      <c r="AE2049" s="259">
        <f>DATE(2001,9,21)+(M2049/360)*365 - (360*((DecLong/360)- (GMTOffset/24) ))</f>
        <v>37349.457812499997</v>
      </c>
      <c r="AF2049" s="260">
        <f>IF(DecLat&gt;0,IF((90 - (DecLat-O2049))&gt;90, (90 - (O2049-DecLat)), (90 - (DecLat-O2049))),IF((90 + (DecLat-O2049))&gt;90, (90 + (O2049-DecLat)), (90 + (DecLat-O2049))))</f>
        <v>70.107500000000002</v>
      </c>
      <c r="AG2049" s="257">
        <f>angularseperation(MoonRA,MoonDec,$M2049,$O2049)</f>
        <v>71.498558258426726</v>
      </c>
      <c r="AH2049" s="261">
        <f ca="1">MIN(100,IF($O$5&gt;80,0+30*($AG2049/100),IF($O$5&gt;70,0+50*($AG2049/100),IF($O$5&gt;60,5+50*($AG2049/100),IF($O$5&gt;50,10+60*($AG2049/100),IF($O$5&gt;40,15+70*($AG2049/100),IF($O$5&gt;30,20+70*($AG2049/100),IF($O$5&gt;20,40+55*($AG2049/100),(80+(20-$O$5)+30*($AG2049/100))))))))))</f>
        <v>100</v>
      </c>
      <c r="AI2049" s="262">
        <v>4429</v>
      </c>
      <c r="AJ2049" s="262"/>
      <c r="AK2049" s="262">
        <v>238</v>
      </c>
      <c r="AL2049" s="263"/>
      <c r="AM2049" s="264"/>
      <c r="AN2049" s="263"/>
      <c r="AO2049" s="263"/>
      <c r="AP2049" s="265"/>
      <c r="AQ2049" s="266">
        <v>7568</v>
      </c>
      <c r="AR2049" s="267">
        <v>40850</v>
      </c>
      <c r="AS2049" s="263"/>
      <c r="AT2049" s="263"/>
      <c r="AU2049" s="263"/>
      <c r="AV2049" s="264"/>
      <c r="AW2049" s="263"/>
      <c r="AX2049" s="263"/>
      <c r="AY2049" s="263"/>
      <c r="AZ2049" s="263"/>
      <c r="BA2049" s="263"/>
      <c r="BB2049" s="263"/>
      <c r="BC2049" s="263"/>
      <c r="BD2049" s="264"/>
      <c r="BE2049" s="263"/>
      <c r="BF2049" s="263"/>
      <c r="BG2049" s="263"/>
      <c r="BH2049" s="263"/>
      <c r="BI2049" s="263"/>
      <c r="BJ2049" s="404">
        <f>altaz(J2000_Bas,$O2049,$M2049,DecLat,DecLong,2)</f>
        <v>284.21492239733431</v>
      </c>
      <c r="BK2049" s="378" t="s">
        <v>1974</v>
      </c>
      <c r="BL2049" s="379">
        <f>IF((2*G2049)/60&lt;0.2,0.2,(2*G2049)/60)</f>
        <v>0.2</v>
      </c>
      <c r="BM2049" s="380">
        <f>MOD((50000+AD2049-$B$3+(0/24)),1)</f>
        <v>0.72732933842780767</v>
      </c>
      <c r="BN2049" s="381"/>
      <c r="BO2049" s="382">
        <v>2040</v>
      </c>
    </row>
    <row r="2050" spans="1:67" s="24" customFormat="1" ht="15" customHeight="1" x14ac:dyDescent="0.25">
      <c r="A2050" s="288" t="s">
        <v>8767</v>
      </c>
      <c r="B2050" s="241" t="str">
        <f>HYPERLINK(CONCATENATE($AT$3,BK2050,$AU$3),$AV$3)</f>
        <v>S</v>
      </c>
      <c r="C2050" s="242" t="str">
        <f>HYPERLINK(CONCATENATE($AT$4,BK2050,$AU$4,BL2050),$AV$4)</f>
        <v>A</v>
      </c>
      <c r="D2050" s="243" t="s">
        <v>5638</v>
      </c>
      <c r="E2050" s="244" t="s">
        <v>5192</v>
      </c>
      <c r="F2050" s="269" t="s">
        <v>8709</v>
      </c>
      <c r="G2050" s="273">
        <v>2.2000000000000002</v>
      </c>
      <c r="H2050" s="283">
        <v>54</v>
      </c>
      <c r="I2050" s="246">
        <v>35</v>
      </c>
      <c r="J2050" s="246">
        <v>2</v>
      </c>
      <c r="K2050" s="247" t="s">
        <v>8782</v>
      </c>
      <c r="L2050" s="248">
        <v>122740</v>
      </c>
      <c r="M2050" s="249">
        <f>15*(LEFT(TEXT($L2050,"000000"),2)+(MID(TEXT($L2050,"000000"),3,2)/60)+(RIGHT(TEXT($L2050,"000000"),2)/3600))</f>
        <v>186.91666666666666</v>
      </c>
      <c r="N2050" s="250">
        <v>130445</v>
      </c>
      <c r="O2050" s="251">
        <f>IF($N2050&gt;0,(LEFT(TEXT($N2050,"000000"),2)+(MID(TEXT($N2050,"000000"),3,2)/60)+(RIGHT(TEXT($N2050,"000000"),2)/3600)),-(MID(TEXT($N2050,"000000"),2,2)+(MID(TEXT($N2050,"000000"),4,2)/60)+(RIGHT(TEXT($N2050,"000000"),2)/3600)))</f>
        <v>13.079166666666666</v>
      </c>
      <c r="P2050" s="252" t="s">
        <v>61</v>
      </c>
      <c r="Q2050" s="253"/>
      <c r="R2050" s="277" t="s">
        <v>3293</v>
      </c>
      <c r="S2050" s="272" t="s">
        <v>3293</v>
      </c>
      <c r="T2050" s="273">
        <v>10.8</v>
      </c>
      <c r="U2050" s="289"/>
      <c r="V2050" s="280">
        <v>80</v>
      </c>
      <c r="W2050" s="244"/>
      <c r="X2050" s="244"/>
      <c r="Y2050" s="362"/>
      <c r="Z2050" s="257">
        <f>altaz(J2000_Bas,$O2050,$M2050,DecLat,DecLong,1)</f>
        <v>-0.87651052128702966</v>
      </c>
      <c r="AA2050" s="257">
        <f>altaz((J2000_Bas+(2*0.04167)),$O2050,$M2050,DecLat,DecLong,1)</f>
        <v>-24.256105829064936</v>
      </c>
      <c r="AB2050" s="257">
        <f>altaz((J2000_Bas+(4*0.04167)),$O2050,$M2050,DecLat,DecLong,1)</f>
        <v>-41.624639152002977</v>
      </c>
      <c r="AC2050" s="257">
        <f>altaz((J2000_Bas+(6*0.04167)),$O2050,$M2050,DecLat,DecLong,1)</f>
        <v>-45.016573370156742</v>
      </c>
      <c r="AD2050" s="258">
        <f>1+ transit((J2000_Bas-1),$O2050,$M2050,DecLat,DecLong)/360 + (GMTOffset/24) + (IF(DST="Y", 1, 0)/24)</f>
        <v>1.5121128716713745</v>
      </c>
      <c r="AE2050" s="259">
        <f>DATE(2001,9,21)+(M2050/360)*365 - (360*((DecLong/360)- (GMTOffset/24) ))</f>
        <v>37349.512731481482</v>
      </c>
      <c r="AF2050" s="260">
        <f>IF(DecLat&gt;0,IF((90 - (DecLat-O2050))&gt;90, (90 - (O2050-DecLat)), (90 - (DecLat-O2050))),IF((90 + (DecLat-O2050))&gt;90, (90 + (O2050-DecLat)), (90 + (DecLat-O2050))))</f>
        <v>72.079166666666666</v>
      </c>
      <c r="AG2050" s="257">
        <f>angularseperation(MoonRA,MoonDec,$M2050,$O2050)</f>
        <v>72.55682584932012</v>
      </c>
      <c r="AH2050" s="261">
        <f ca="1">MIN(100,IF($O$5&gt;80,0+30*($AG2050/100),IF($O$5&gt;70,0+50*($AG2050/100),IF($O$5&gt;60,5+50*($AG2050/100),IF($O$5&gt;50,10+60*($AG2050/100),IF($O$5&gt;40,15+70*($AG2050/100),IF($O$5&gt;30,20+70*($AG2050/100),IF($O$5&gt;20,40+55*($AG2050/100),(80+(20-$O$5)+30*($AG2050/100))))))))))</f>
        <v>100</v>
      </c>
      <c r="AI2050" s="263">
        <v>4435</v>
      </c>
      <c r="AJ2050" s="263"/>
      <c r="AK2050" s="263">
        <v>239</v>
      </c>
      <c r="AL2050" s="263"/>
      <c r="AM2050" s="264"/>
      <c r="AN2050" s="263"/>
      <c r="AO2050" s="263"/>
      <c r="AP2050" s="265"/>
      <c r="AQ2050" s="265">
        <v>7575</v>
      </c>
      <c r="AR2050" s="285">
        <v>40898</v>
      </c>
      <c r="AS2050" s="263"/>
      <c r="AT2050" s="263"/>
      <c r="AU2050" s="263"/>
      <c r="AV2050" s="264"/>
      <c r="AW2050" s="263"/>
      <c r="AX2050" s="263"/>
      <c r="AY2050" s="263"/>
      <c r="AZ2050" s="263"/>
      <c r="BA2050" s="263"/>
      <c r="BB2050" s="263"/>
      <c r="BC2050" s="263"/>
      <c r="BD2050" s="264"/>
      <c r="BE2050" s="263"/>
      <c r="BF2050" s="263">
        <v>55</v>
      </c>
      <c r="BG2050" s="263"/>
      <c r="BH2050" s="263"/>
      <c r="BI2050" s="263"/>
      <c r="BJ2050" s="404">
        <f>altaz(J2000_Bas,$O2050,$M2050,DecLat,DecLong,2)</f>
        <v>285.85652463546484</v>
      </c>
      <c r="BK2050" s="378" t="s">
        <v>8767</v>
      </c>
      <c r="BL2050" s="379">
        <f>IF((2*G2050)/60&lt;0.2,0.2,(2*G2050)/60)</f>
        <v>0.2</v>
      </c>
      <c r="BM2050" s="380">
        <f>MOD((50000+AD2050-$B$3+(0/24)),1)</f>
        <v>0.72747980137501145</v>
      </c>
      <c r="BN2050" s="381"/>
      <c r="BO2050" s="382">
        <v>2041</v>
      </c>
    </row>
    <row r="2051" spans="1:67" s="24" customFormat="1" ht="15" customHeight="1" x14ac:dyDescent="0.25">
      <c r="A2051" s="288" t="s">
        <v>1975</v>
      </c>
      <c r="B2051" s="241" t="str">
        <f>HYPERLINK(CONCATENATE($AT$3,BK2051,$AU$3),$AV$3)</f>
        <v>S</v>
      </c>
      <c r="C2051" s="242" t="str">
        <f>HYPERLINK(CONCATENATE($AT$4,BK2051,$AU$4,BL2051),$AV$4)</f>
        <v>A</v>
      </c>
      <c r="D2051" s="243" t="s">
        <v>5638</v>
      </c>
      <c r="E2051" s="244" t="s">
        <v>5193</v>
      </c>
      <c r="F2051" s="269" t="s">
        <v>4287</v>
      </c>
      <c r="G2051" s="273">
        <v>4</v>
      </c>
      <c r="H2051" s="283">
        <v>60</v>
      </c>
      <c r="I2051" s="246">
        <v>70</v>
      </c>
      <c r="J2051" s="246">
        <v>3</v>
      </c>
      <c r="K2051" s="247" t="s">
        <v>7850</v>
      </c>
      <c r="L2051" s="248">
        <v>122721</v>
      </c>
      <c r="M2051" s="249">
        <f>15*(LEFT(TEXT($L2051,"000000"),2)+(MID(TEXT($L2051,"000000"),3,2)/60)+(RIGHT(TEXT($L2051,"000000"),2)/3600))</f>
        <v>186.83749999999998</v>
      </c>
      <c r="N2051" s="250">
        <v>644805</v>
      </c>
      <c r="O2051" s="251">
        <f>IF($N2051&gt;0,(LEFT(TEXT($N2051,"000000"),2)+(MID(TEXT($N2051,"000000"),3,2)/60)+(RIGHT(TEXT($N2051,"000000"),2)/3600)),-(MID(TEXT($N2051,"000000"),2,2)+(MID(TEXT($N2051,"000000"),4,2)/60)+(RIGHT(TEXT($N2051,"000000"),2)/3600)))</f>
        <v>64.80138888888888</v>
      </c>
      <c r="P2051" s="252" t="s">
        <v>34</v>
      </c>
      <c r="Q2051" s="253"/>
      <c r="R2051" s="247" t="s">
        <v>3293</v>
      </c>
      <c r="S2051" s="272" t="s">
        <v>3293</v>
      </c>
      <c r="T2051" s="273">
        <v>12.7</v>
      </c>
      <c r="U2051" s="289">
        <v>23.69</v>
      </c>
      <c r="V2051" s="280"/>
      <c r="W2051" s="244"/>
      <c r="X2051" s="244"/>
      <c r="Y2051" s="362"/>
      <c r="Z2051" s="257">
        <f>altaz(J2000_Bas,$O2051,$M2051,DecLat,DecLong,1)</f>
        <v>24.072801593958815</v>
      </c>
      <c r="AA2051" s="257">
        <f>altaz((J2000_Bas+(2*0.04167)),$O2051,$M2051,DecLat,DecLong,1)</f>
        <v>13.598961501513456</v>
      </c>
      <c r="AB2051" s="257">
        <f>altaz((J2000_Bas+(4*0.04167)),$O2051,$M2051,DecLat,DecLong,1)</f>
        <v>7.1555109564913595</v>
      </c>
      <c r="AC2051" s="257">
        <f>altaz((J2000_Bas+(6*0.04167)),$O2051,$M2051,DecLat,DecLong,1)</f>
        <v>6.0848054320715024</v>
      </c>
      <c r="AD2051" s="258">
        <f>1+ transit((J2000_Bas-1),$O2051,$M2051,DecLat,DecLong)/360 + (GMTOffset/24) + (IF(DST="Y", 1, 0)/24)</f>
        <v>1.511892964285958</v>
      </c>
      <c r="AE2051" s="259">
        <f>DATE(2001,9,21)+(M2051/360)*365 - (360*((DecLong/360)- (GMTOffset/24) ))</f>
        <v>37349.43246527778</v>
      </c>
      <c r="AF2051" s="260">
        <f>IF(DecLat&gt;0,IF((90 - (DecLat-O2051))&gt;90, (90 - (O2051-DecLat)), (90 - (DecLat-O2051))),IF((90 + (DecLat-O2051))&gt;90, (90 + (O2051-DecLat)), (90 + (DecLat-O2051))))</f>
        <v>56.19861111111112</v>
      </c>
      <c r="AG2051" s="257">
        <f>angularseperation(MoonRA,MoonDec,$M2051,$O2051)</f>
        <v>103.67270927647618</v>
      </c>
      <c r="AH2051" s="261">
        <f ca="1">MIN(100,IF($O$5&gt;80,0+30*($AG2051/100),IF($O$5&gt;70,0+50*($AG2051/100),IF($O$5&gt;60,5+50*($AG2051/100),IF($O$5&gt;50,10+60*($AG2051/100),IF($O$5&gt;40,15+70*($AG2051/100),IF($O$5&gt;30,20+70*($AG2051/100),IF($O$5&gt;20,40+55*($AG2051/100),(80+(20-$O$5)+30*($AG2051/100))))))))))</f>
        <v>100</v>
      </c>
      <c r="AI2051" s="262">
        <v>4441</v>
      </c>
      <c r="AJ2051" s="262"/>
      <c r="AK2051" s="262"/>
      <c r="AL2051" s="263"/>
      <c r="AM2051" s="264"/>
      <c r="AN2051" s="263"/>
      <c r="AO2051" s="263"/>
      <c r="AP2051" s="265"/>
      <c r="AQ2051" s="266">
        <v>7572</v>
      </c>
      <c r="AR2051" s="267">
        <v>40836</v>
      </c>
      <c r="AS2051" s="263"/>
      <c r="AT2051" s="263"/>
      <c r="AU2051" s="263"/>
      <c r="AV2051" s="264"/>
      <c r="AW2051" s="263"/>
      <c r="AX2051" s="263"/>
      <c r="AY2051" s="263"/>
      <c r="AZ2051" s="263"/>
      <c r="BA2051" s="263"/>
      <c r="BB2051" s="263"/>
      <c r="BC2051" s="263"/>
      <c r="BD2051" s="264"/>
      <c r="BE2051" s="263"/>
      <c r="BF2051" s="263"/>
      <c r="BG2051" s="263"/>
      <c r="BH2051" s="263"/>
      <c r="BI2051" s="263"/>
      <c r="BJ2051" s="404">
        <f>altaz(J2000_Bas,$O2051,$M2051,DecLat,DecLong,2)</f>
        <v>332.58963497387373</v>
      </c>
      <c r="BK2051" s="378" t="s">
        <v>1975</v>
      </c>
      <c r="BL2051" s="379">
        <f>IF((2*G2051)/60&lt;0.2,0.2,(2*G2051)/60)</f>
        <v>0.2</v>
      </c>
      <c r="BM2051" s="380">
        <f>MOD((50000+AD2051-$B$3+(0/24)),1)</f>
        <v>0.72725989398895763</v>
      </c>
      <c r="BN2051" s="381"/>
      <c r="BO2051" s="382">
        <v>2042</v>
      </c>
    </row>
    <row r="2052" spans="1:67" s="24" customFormat="1" ht="15" customHeight="1" x14ac:dyDescent="0.25">
      <c r="A2052" s="287" t="s">
        <v>1976</v>
      </c>
      <c r="B2052" s="241" t="str">
        <f>HYPERLINK(CONCATENATE($AT$3,BK2052,$AU$3),$AV$3)</f>
        <v>S</v>
      </c>
      <c r="C2052" s="242" t="str">
        <f>HYPERLINK(CONCATENATE($AT$4,BK2052,$AU$4,BL2052),$AV$4)</f>
        <v>A</v>
      </c>
      <c r="D2052" s="243" t="s">
        <v>5638</v>
      </c>
      <c r="E2052" s="244" t="s">
        <v>5182</v>
      </c>
      <c r="F2052" s="269" t="s">
        <v>8903</v>
      </c>
      <c r="G2052" s="273">
        <v>5</v>
      </c>
      <c r="H2052" s="283">
        <v>48</v>
      </c>
      <c r="I2052" s="246">
        <v>70</v>
      </c>
      <c r="J2052" s="246">
        <v>2</v>
      </c>
      <c r="K2052" s="247" t="s">
        <v>8572</v>
      </c>
      <c r="L2052" s="248">
        <v>122804</v>
      </c>
      <c r="M2052" s="249">
        <f>15*(LEFT(TEXT($L2052,"000000"),2)+(MID(TEXT($L2052,"000000"),3,2)/60)+(RIGHT(TEXT($L2052,"000000"),2)/3600))</f>
        <v>187.01666666666668</v>
      </c>
      <c r="N2052" s="250">
        <v>94814</v>
      </c>
      <c r="O2052" s="251">
        <f>IF($N2052&gt;0,(LEFT(TEXT($N2052,"000000"),2)+(MID(TEXT($N2052,"000000"),3,2)/60)+(RIGHT(TEXT($N2052,"000000"),2)/3600)),-(MID(TEXT($N2052,"000000"),2,2)+(MID(TEXT($N2052,"000000"),4,2)/60)+(RIGHT(TEXT($N2052,"000000"),2)/3600)))</f>
        <v>9.8038888888888902</v>
      </c>
      <c r="P2052" s="252" t="s">
        <v>61</v>
      </c>
      <c r="Q2052" s="253"/>
      <c r="R2052" s="277" t="s">
        <v>3293</v>
      </c>
      <c r="S2052" s="272" t="s">
        <v>3293</v>
      </c>
      <c r="T2052" s="273">
        <v>10.4</v>
      </c>
      <c r="U2052" s="289">
        <v>21.490000000000002</v>
      </c>
      <c r="V2052" s="280">
        <v>75</v>
      </c>
      <c r="W2052" s="244"/>
      <c r="X2052" s="244"/>
      <c r="Y2052" s="362"/>
      <c r="Z2052" s="257">
        <f>altaz(J2000_Bas,$O2052,$M2052,DecLat,DecLong,1)</f>
        <v>-2.5349647471929626</v>
      </c>
      <c r="AA2052" s="257">
        <f>altaz((J2000_Bas+(2*0.04167)),$O2052,$M2052,DecLat,DecLong,1)</f>
        <v>-26.401823443279767</v>
      </c>
      <c r="AB2052" s="257">
        <f>altaz((J2000_Bas+(4*0.04167)),$O2052,$M2052,DecLat,DecLong,1)</f>
        <v>-44.560794775012717</v>
      </c>
      <c r="AC2052" s="257">
        <f>altaz((J2000_Bas+(6*0.04167)),$O2052,$M2052,DecLat,DecLong,1)</f>
        <v>-48.244361420435766</v>
      </c>
      <c r="AD2052" s="258">
        <f>1+ transit((J2000_Bas-1),$O2052,$M2052,DecLat,DecLong)/360 + (GMTOffset/24) + (IF(DST="Y", 1, 0)/24)</f>
        <v>1.5123906494213746</v>
      </c>
      <c r="AE2052" s="259">
        <f>DATE(2001,9,21)+(M2052/360)*365 - (360*((DecLong/360)- (GMTOffset/24) ))</f>
        <v>37349.614120370374</v>
      </c>
      <c r="AF2052" s="260">
        <f>IF(DecLat&gt;0,IF((90 - (DecLat-O2052))&gt;90, (90 - (O2052-DecLat)), (90 - (DecLat-O2052))),IF((90 + (DecLat-O2052))&gt;90, (90 + (O2052-DecLat)), (90 + (DecLat-O2052))))</f>
        <v>68.803888888888892</v>
      </c>
      <c r="AG2052" s="257">
        <f>angularseperation(MoonRA,MoonDec,$M2052,$O2052)</f>
        <v>70.65170411128733</v>
      </c>
      <c r="AH2052" s="261">
        <f ca="1">MIN(100,IF($O$5&gt;80,0+30*($AG2052/100),IF($O$5&gt;70,0+50*($AG2052/100),IF($O$5&gt;60,5+50*($AG2052/100),IF($O$5&gt;50,10+60*($AG2052/100),IF($O$5&gt;40,15+70*($AG2052/100),IF($O$5&gt;30,20+70*($AG2052/100),IF($O$5&gt;20,40+55*($AG2052/100),(80+(20-$O$5)+30*($AG2052/100))))))))))</f>
        <v>100</v>
      </c>
      <c r="AI2052" s="262">
        <v>4442</v>
      </c>
      <c r="AJ2052" s="263"/>
      <c r="AK2052" s="263">
        <v>241</v>
      </c>
      <c r="AL2052" s="263"/>
      <c r="AM2052" s="264"/>
      <c r="AN2052" s="263"/>
      <c r="AO2052" s="263"/>
      <c r="AP2052" s="265"/>
      <c r="AQ2052" s="265">
        <v>7583</v>
      </c>
      <c r="AR2052" s="285">
        <v>40950</v>
      </c>
      <c r="AS2052" s="263"/>
      <c r="AT2052" s="263"/>
      <c r="AU2052" s="263"/>
      <c r="AV2052" s="264"/>
      <c r="AW2052" s="263"/>
      <c r="AX2052" s="263"/>
      <c r="AY2052" s="263"/>
      <c r="AZ2052" s="263"/>
      <c r="BA2052" s="263"/>
      <c r="BB2052" s="263"/>
      <c r="BC2052" s="263"/>
      <c r="BD2052" s="264"/>
      <c r="BE2052" s="263"/>
      <c r="BF2052" s="263"/>
      <c r="BG2052" s="263"/>
      <c r="BH2052" s="263"/>
      <c r="BI2052" s="263"/>
      <c r="BJ2052" s="404">
        <f>altaz(J2000_Bas,$O2052,$M2052,DecLat,DecLong,2)</f>
        <v>283.02911920991494</v>
      </c>
      <c r="BK2052" s="378" t="s">
        <v>1976</v>
      </c>
      <c r="BL2052" s="379">
        <f>IF((2*G2052)/60&lt;0.2,0.2,(2*G2052)/60)</f>
        <v>0.2</v>
      </c>
      <c r="BM2052" s="380">
        <f>MOD((50000+AD2052-$B$3+(0/24)),1)</f>
        <v>0.72775757912313566</v>
      </c>
      <c r="BN2052" s="381"/>
      <c r="BO2052" s="382">
        <v>2043</v>
      </c>
    </row>
    <row r="2053" spans="1:67" s="24" customFormat="1" ht="15" customHeight="1" x14ac:dyDescent="0.25">
      <c r="A2053" s="287" t="s">
        <v>1977</v>
      </c>
      <c r="B2053" s="241" t="str">
        <f>HYPERLINK(CONCATENATE($AT$3,BK2053,$AU$3),$AV$3)</f>
        <v>S</v>
      </c>
      <c r="C2053" s="242" t="str">
        <f>HYPERLINK(CONCATENATE($AT$4,BK2053,$AU$4,BL2053),$AV$4)</f>
        <v>A</v>
      </c>
      <c r="D2053" s="243" t="s">
        <v>5638</v>
      </c>
      <c r="E2053" s="244" t="s">
        <v>5192</v>
      </c>
      <c r="F2053" s="269" t="s">
        <v>8914</v>
      </c>
      <c r="G2053" s="273">
        <v>4.5999999999999996</v>
      </c>
      <c r="H2053" s="283">
        <v>52</v>
      </c>
      <c r="I2053" s="246">
        <v>70</v>
      </c>
      <c r="J2053" s="246">
        <v>2</v>
      </c>
      <c r="K2053" s="247" t="s">
        <v>7851</v>
      </c>
      <c r="L2053" s="248">
        <v>122815</v>
      </c>
      <c r="M2053" s="249">
        <f>15*(LEFT(TEXT($L2053,"000000"),2)+(MID(TEXT($L2053,"000000"),3,2)/60)+(RIGHT(TEXT($L2053,"000000"),2)/3600))</f>
        <v>187.0625</v>
      </c>
      <c r="N2053" s="250">
        <v>283714</v>
      </c>
      <c r="O2053" s="251">
        <f>IF($N2053&gt;0,(LEFT(TEXT($N2053,"000000"),2)+(MID(TEXT($N2053,"000000"),3,2)/60)+(RIGHT(TEXT($N2053,"000000"),2)/3600)),-(MID(TEXT($N2053,"000000"),2,2)+(MID(TEXT($N2053,"000000"),4,2)/60)+(RIGHT(TEXT($N2053,"000000"),2)/3600)))</f>
        <v>28.620555555555555</v>
      </c>
      <c r="P2053" s="252" t="s">
        <v>190</v>
      </c>
      <c r="Q2053" s="253"/>
      <c r="R2053" s="277" t="s">
        <v>3293</v>
      </c>
      <c r="S2053" s="272" t="s">
        <v>6395</v>
      </c>
      <c r="T2053" s="273">
        <v>11.1</v>
      </c>
      <c r="U2053" s="289">
        <v>21.69</v>
      </c>
      <c r="V2053" s="280">
        <v>70</v>
      </c>
      <c r="W2053" s="244"/>
      <c r="X2053" s="244"/>
      <c r="Y2053" s="362"/>
      <c r="Z2053" s="257">
        <f>altaz(J2000_Bas,$O2053,$M2053,DecLat,DecLong,1)</f>
        <v>7.4567212370690932</v>
      </c>
      <c r="AA2053" s="257">
        <f>altaz((J2000_Bas+(2*0.04167)),$O2053,$M2053,DecLat,DecLong,1)</f>
        <v>-13.124348618888618</v>
      </c>
      <c r="AB2053" s="257">
        <f>altaz((J2000_Bas+(4*0.04167)),$O2053,$M2053,DecLat,DecLong,1)</f>
        <v>-27.146089462623369</v>
      </c>
      <c r="AC2053" s="257">
        <f>altaz((J2000_Bas+(6*0.04167)),$O2053,$M2053,DecLat,DecLong,1)</f>
        <v>-29.739561474083931</v>
      </c>
      <c r="AD2053" s="258">
        <f>1+ transit((J2000_Bas-1),$O2053,$M2053,DecLat,DecLong)/360 + (GMTOffset/24) + (IF(DST="Y", 1, 0)/24)</f>
        <v>1.5125179642234581</v>
      </c>
      <c r="AE2053" s="259">
        <f>DATE(2001,9,21)+(M2053/360)*365 - (360*((DecLong/360)- (GMTOffset/24) ))</f>
        <v>37349.660590277781</v>
      </c>
      <c r="AF2053" s="260">
        <f>IF(DecLat&gt;0,IF((90 - (DecLat-O2053))&gt;90, (90 - (O2053-DecLat)), (90 - (DecLat-O2053))),IF((90 + (DecLat-O2053))&gt;90, (90 + (O2053-DecLat)), (90 + (DecLat-O2053))))</f>
        <v>87.620555555555555</v>
      </c>
      <c r="AG2053" s="257">
        <f>angularseperation(MoonRA,MoonDec,$M2053,$O2053)</f>
        <v>81.56646441948709</v>
      </c>
      <c r="AH2053" s="261">
        <f ca="1">MIN(100,IF($O$5&gt;80,0+30*($AG2053/100),IF($O$5&gt;70,0+50*($AG2053/100),IF($O$5&gt;60,5+50*($AG2053/100),IF($O$5&gt;50,10+60*($AG2053/100),IF($O$5&gt;40,15+70*($AG2053/100),IF($O$5&gt;30,20+70*($AG2053/100),IF($O$5&gt;20,40+55*($AG2053/100),(80+(20-$O$5)+30*($AG2053/100))))))))))</f>
        <v>100</v>
      </c>
      <c r="AI2053" s="262">
        <v>4448</v>
      </c>
      <c r="AJ2053" s="263"/>
      <c r="AK2053" s="263">
        <v>242</v>
      </c>
      <c r="AL2053" s="263"/>
      <c r="AM2053" s="264"/>
      <c r="AN2053" s="263"/>
      <c r="AO2053" s="263"/>
      <c r="AP2053" s="265"/>
      <c r="AQ2053" s="265">
        <v>7591</v>
      </c>
      <c r="AR2053" s="285">
        <v>40988</v>
      </c>
      <c r="AS2053" s="263"/>
      <c r="AT2053" s="263"/>
      <c r="AU2053" s="263"/>
      <c r="AV2053" s="264"/>
      <c r="AW2053" s="263"/>
      <c r="AX2053" s="263"/>
      <c r="AY2053" s="263"/>
      <c r="AZ2053" s="263"/>
      <c r="BA2053" s="263"/>
      <c r="BB2053" s="263"/>
      <c r="BC2053" s="263"/>
      <c r="BD2053" s="264"/>
      <c r="BE2053" s="263"/>
      <c r="BF2053" s="263"/>
      <c r="BG2053" s="263"/>
      <c r="BH2053" s="263"/>
      <c r="BI2053" s="263"/>
      <c r="BJ2053" s="404">
        <f>altaz(J2000_Bas,$O2053,$M2053,DecLat,DecLong,2)</f>
        <v>299.00909355332402</v>
      </c>
      <c r="BK2053" s="378" t="s">
        <v>1977</v>
      </c>
      <c r="BL2053" s="379">
        <f>IF((2*G2053)/60&lt;0.2,0.2,(2*G2053)/60)</f>
        <v>0.2</v>
      </c>
      <c r="BM2053" s="380">
        <f>MOD((50000+AD2053-$B$3+(0/24)),1)</f>
        <v>0.72788489392405609</v>
      </c>
      <c r="BN2053" s="381"/>
      <c r="BO2053" s="382">
        <v>2044</v>
      </c>
    </row>
    <row r="2054" spans="1:67" s="24" customFormat="1" ht="15" customHeight="1" x14ac:dyDescent="0.25">
      <c r="A2054" s="288" t="s">
        <v>1978</v>
      </c>
      <c r="B2054" s="241" t="str">
        <f>HYPERLINK(CONCATENATE($AT$3,BK2054,$AU$3),$AV$3)</f>
        <v>S</v>
      </c>
      <c r="C2054" s="242" t="str">
        <f>HYPERLINK(CONCATENATE($AT$4,BK2054,$AU$4,BL2054),$AV$4)</f>
        <v>A</v>
      </c>
      <c r="D2054" s="243" t="s">
        <v>5638</v>
      </c>
      <c r="E2054" s="244" t="s">
        <v>29</v>
      </c>
      <c r="F2054" s="269"/>
      <c r="G2054" s="273">
        <v>5</v>
      </c>
      <c r="H2054" s="283">
        <v>12</v>
      </c>
      <c r="I2054" s="246">
        <v>17</v>
      </c>
      <c r="J2054" s="246">
        <v>3</v>
      </c>
      <c r="K2054" s="247" t="s">
        <v>8573</v>
      </c>
      <c r="L2054" s="248">
        <v>122811</v>
      </c>
      <c r="M2054" s="249">
        <f>15*(LEFT(TEXT($L2054,"000000"),2)+(MID(TEXT($L2054,"000000"),3,2)/60)+(RIGHT(TEXT($L2054,"000000"),2)/3600))</f>
        <v>187.04583333333332</v>
      </c>
      <c r="N2054" s="250">
        <v>440538</v>
      </c>
      <c r="O2054" s="251">
        <f>IF($N2054&gt;0,(LEFT(TEXT($N2054,"000000"),2)+(MID(TEXT($N2054,"000000"),3,2)/60)+(RIGHT(TEXT($N2054,"000000"),2)/3600)),-(MID(TEXT($N2054,"000000"),2,2)+(MID(TEXT($N2054,"000000"),4,2)/60)+(RIGHT(TEXT($N2054,"000000"),2)/3600)))</f>
        <v>44.093888888888891</v>
      </c>
      <c r="P2054" s="252" t="s">
        <v>242</v>
      </c>
      <c r="Q2054" s="253"/>
      <c r="R2054" s="247" t="s">
        <v>7345</v>
      </c>
      <c r="S2054" s="272" t="s">
        <v>3293</v>
      </c>
      <c r="T2054" s="273">
        <v>9.6</v>
      </c>
      <c r="U2054" s="289">
        <v>21.89</v>
      </c>
      <c r="V2054" s="280"/>
      <c r="W2054" s="244"/>
      <c r="X2054" s="244"/>
      <c r="Y2054" s="362"/>
      <c r="Z2054" s="257">
        <f>altaz(J2000_Bas,$O2054,$M2054,DecLat,DecLong,1)</f>
        <v>15.220640796611036</v>
      </c>
      <c r="AA2054" s="257">
        <f>altaz((J2000_Bas+(2*0.04167)),$O2054,$M2054,DecLat,DecLong,1)</f>
        <v>-1.6838155739877163</v>
      </c>
      <c r="AB2054" s="257">
        <f>altaz((J2000_Bas+(4*0.04167)),$O2054,$M2054,DecLat,DecLong,1)</f>
        <v>-12.522917357491115</v>
      </c>
      <c r="AC2054" s="257">
        <f>altaz((J2000_Bas+(6*0.04167)),$O2054,$M2054,DecLat,DecLong,1)</f>
        <v>-14.436022592071298</v>
      </c>
      <c r="AD2054" s="258">
        <f>1+ transit((J2000_Bas-1),$O2054,$M2054,DecLat,DecLong)/360 + (GMTOffset/24) + (IF(DST="Y", 1, 0)/24)</f>
        <v>1.5124716679317911</v>
      </c>
      <c r="AE2054" s="259">
        <f>DATE(2001,9,21)+(M2054/360)*365 - (360*((DecLong/360)- (GMTOffset/24) ))</f>
        <v>37349.643692129626</v>
      </c>
      <c r="AF2054" s="260">
        <f>IF(DecLat&gt;0,IF((90 - (DecLat-O2054))&gt;90, (90 - (O2054-DecLat)), (90 - (DecLat-O2054))),IF((90 + (DecLat-O2054))&gt;90, (90 + (O2054-DecLat)), (90 + (DecLat-O2054))))</f>
        <v>76.906111111111102</v>
      </c>
      <c r="AG2054" s="257">
        <f>angularseperation(MoonRA,MoonDec,$M2054,$O2054)</f>
        <v>91.062707716425038</v>
      </c>
      <c r="AH2054" s="261">
        <f ca="1">MIN(100,IF($O$5&gt;80,0+30*($AG2054/100),IF($O$5&gt;70,0+50*($AG2054/100),IF($O$5&gt;60,5+50*($AG2054/100),IF($O$5&gt;50,10+60*($AG2054/100),IF($O$5&gt;40,15+70*($AG2054/100),IF($O$5&gt;30,20+70*($AG2054/100),IF($O$5&gt;20,40+55*($AG2054/100),(80+(20-$O$5)+30*($AG2054/100))))))))))</f>
        <v>100</v>
      </c>
      <c r="AI2054" s="262">
        <v>4449</v>
      </c>
      <c r="AJ2054" s="262"/>
      <c r="AK2054" s="262">
        <v>243</v>
      </c>
      <c r="AL2054" s="263"/>
      <c r="AM2054" s="264">
        <v>21</v>
      </c>
      <c r="AN2054" s="263"/>
      <c r="AO2054" s="263"/>
      <c r="AP2054" s="265"/>
      <c r="AQ2054" s="266">
        <v>7592</v>
      </c>
      <c r="AR2054" s="267">
        <v>40973</v>
      </c>
      <c r="AS2054" s="263"/>
      <c r="AT2054" s="263"/>
      <c r="AU2054" s="263"/>
      <c r="AV2054" s="264"/>
      <c r="AW2054" s="263"/>
      <c r="AX2054" s="263"/>
      <c r="AY2054" s="263"/>
      <c r="AZ2054" s="263"/>
      <c r="BA2054" s="263"/>
      <c r="BB2054" s="263"/>
      <c r="BC2054" s="263"/>
      <c r="BD2054" s="264"/>
      <c r="BE2054" s="263"/>
      <c r="BF2054" s="263"/>
      <c r="BG2054" s="263"/>
      <c r="BH2054" s="263"/>
      <c r="BI2054" s="263"/>
      <c r="BJ2054" s="404">
        <f>altaz(J2000_Bas,$O2054,$M2054,DecLat,DecLong,2)</f>
        <v>312.67306402266576</v>
      </c>
      <c r="BK2054" s="378" t="s">
        <v>1978</v>
      </c>
      <c r="BL2054" s="379">
        <f>IF((2*G2054)/60&lt;0.2,0.2,(2*G2054)/60)</f>
        <v>0.2</v>
      </c>
      <c r="BM2054" s="380">
        <f>MOD((50000+AD2054-$B$3+(0/24)),1)</f>
        <v>0.72783859763876535</v>
      </c>
      <c r="BN2054" s="381"/>
      <c r="BO2054" s="382">
        <v>2045</v>
      </c>
    </row>
    <row r="2055" spans="1:67" s="24" customFormat="1" ht="15" customHeight="1" x14ac:dyDescent="0.25">
      <c r="A2055" s="288" t="s">
        <v>1979</v>
      </c>
      <c r="B2055" s="241" t="str">
        <f>HYPERLINK(CONCATENATE($AT$3,BK2055,$AU$3),$AV$3)</f>
        <v>S</v>
      </c>
      <c r="C2055" s="242" t="str">
        <f>HYPERLINK(CONCATENATE($AT$4,BK2055,$AU$4,BL2055),$AV$4)</f>
        <v>A</v>
      </c>
      <c r="D2055" s="243" t="s">
        <v>5638</v>
      </c>
      <c r="E2055" s="244" t="s">
        <v>5192</v>
      </c>
      <c r="F2055" s="269" t="s">
        <v>8690</v>
      </c>
      <c r="G2055" s="273">
        <v>4.3</v>
      </c>
      <c r="H2055" s="283">
        <v>50</v>
      </c>
      <c r="I2055" s="246">
        <v>65</v>
      </c>
      <c r="J2055" s="246">
        <v>2</v>
      </c>
      <c r="K2055" s="247" t="s">
        <v>7852</v>
      </c>
      <c r="L2055" s="248">
        <v>122829</v>
      </c>
      <c r="M2055" s="249">
        <f>15*(LEFT(TEXT($L2055,"000000"),2)+(MID(TEXT($L2055,"000000"),3,2)/60)+(RIGHT(TEXT($L2055,"000000"),2)/3600))</f>
        <v>187.12083333333334</v>
      </c>
      <c r="N2055" s="250">
        <v>170506</v>
      </c>
      <c r="O2055" s="251">
        <f>IF($N2055&gt;0,(LEFT(TEXT($N2055,"000000"),2)+(MID(TEXT($N2055,"000000"),3,2)/60)+(RIGHT(TEXT($N2055,"000000"),2)/3600)),-(MID(TEXT($N2055,"000000"),2,2)+(MID(TEXT($N2055,"000000"),4,2)/60)+(RIGHT(TEXT($N2055,"000000"),2)/3600)))</f>
        <v>17.084999999999997</v>
      </c>
      <c r="P2055" s="252" t="s">
        <v>190</v>
      </c>
      <c r="Q2055" s="253"/>
      <c r="R2055" s="247" t="s">
        <v>3293</v>
      </c>
      <c r="S2055" s="272" t="s">
        <v>3293</v>
      </c>
      <c r="T2055" s="273">
        <v>10.1</v>
      </c>
      <c r="U2055" s="289">
        <v>22.09</v>
      </c>
      <c r="V2055" s="280">
        <v>55</v>
      </c>
      <c r="W2055" s="244"/>
      <c r="X2055" s="244"/>
      <c r="Y2055" s="362"/>
      <c r="Z2055" s="257">
        <f>altaz(J2000_Bas,$O2055,$M2055,DecLat,DecLong,1)</f>
        <v>1.4216442357462076</v>
      </c>
      <c r="AA2055" s="257">
        <f>altaz((J2000_Bas+(2*0.04167)),$O2055,$M2055,DecLat,DecLong,1)</f>
        <v>-21.342387301105649</v>
      </c>
      <c r="AB2055" s="257">
        <f>altaz((J2000_Bas+(4*0.04167)),$O2055,$M2055,DecLat,DecLong,1)</f>
        <v>-37.869684052635996</v>
      </c>
      <c r="AC2055" s="257">
        <f>altaz((J2000_Bas+(6*0.04167)),$O2055,$M2055,DecLat,DecLong,1)</f>
        <v>-41.119733113393337</v>
      </c>
      <c r="AD2055" s="258">
        <f>1+ transit((J2000_Bas-1),$O2055,$M2055,DecLat,DecLong)/360 + (GMTOffset/24) + (IF(DST="Y", 1, 0)/24)</f>
        <v>1.5126800012442916</v>
      </c>
      <c r="AE2055" s="259">
        <f>DATE(2001,9,21)+(M2055/360)*365 - (360*((DecLong/360)- (GMTOffset/24) ))</f>
        <v>37349.719733796293</v>
      </c>
      <c r="AF2055" s="260">
        <f>IF(DecLat&gt;0,IF((90 - (DecLat-O2055))&gt;90, (90 - (O2055-DecLat)), (90 - (DecLat-O2055))),IF((90 + (DecLat-O2055))&gt;90, (90 + (O2055-DecLat)), (90 + (DecLat-O2055))))</f>
        <v>76.084999999999994</v>
      </c>
      <c r="AG2055" s="257">
        <f>angularseperation(MoonRA,MoonDec,$M2055,$O2055)</f>
        <v>74.681036069950551</v>
      </c>
      <c r="AH2055" s="261">
        <f ca="1">MIN(100,IF($O$5&gt;80,0+30*($AG2055/100),IF($O$5&gt;70,0+50*($AG2055/100),IF($O$5&gt;60,5+50*($AG2055/100),IF($O$5&gt;50,10+60*($AG2055/100),IF($O$5&gt;40,15+70*($AG2055/100),IF($O$5&gt;30,20+70*($AG2055/100),IF($O$5&gt;20,40+55*($AG2055/100),(80+(20-$O$5)+30*($AG2055/100))))))))))</f>
        <v>100</v>
      </c>
      <c r="AI2055" s="262">
        <v>4450</v>
      </c>
      <c r="AJ2055" s="262"/>
      <c r="AK2055" s="262">
        <v>244</v>
      </c>
      <c r="AL2055" s="263"/>
      <c r="AM2055" s="264"/>
      <c r="AN2055" s="263"/>
      <c r="AO2055" s="263"/>
      <c r="AP2055" s="265"/>
      <c r="AQ2055" s="266">
        <v>7594</v>
      </c>
      <c r="AR2055" s="267">
        <v>41024</v>
      </c>
      <c r="AS2055" s="263"/>
      <c r="AT2055" s="263"/>
      <c r="AU2055" s="263"/>
      <c r="AV2055" s="264"/>
      <c r="AW2055" s="263"/>
      <c r="AX2055" s="263"/>
      <c r="AY2055" s="263"/>
      <c r="AZ2055" s="263"/>
      <c r="BA2055" s="263"/>
      <c r="BB2055" s="263"/>
      <c r="BC2055" s="263"/>
      <c r="BD2055" s="264"/>
      <c r="BE2055" s="263"/>
      <c r="BF2055" s="263">
        <v>57</v>
      </c>
      <c r="BG2055" s="263"/>
      <c r="BH2055" s="263"/>
      <c r="BI2055" s="263"/>
      <c r="BJ2055" s="404">
        <f>altaz(J2000_Bas,$O2055,$M2055,DecLat,DecLong,2)</f>
        <v>289.14373035364662</v>
      </c>
      <c r="BK2055" s="378" t="s">
        <v>1979</v>
      </c>
      <c r="BL2055" s="379">
        <f>IF((2*G2055)/60&lt;0.2,0.2,(2*G2055)/60)</f>
        <v>0.2</v>
      </c>
      <c r="BM2055" s="380">
        <f>MOD((50000+AD2055-$B$3+(0/24)),1)</f>
        <v>0.72804693094803952</v>
      </c>
      <c r="BN2055" s="381"/>
      <c r="BO2055" s="382">
        <v>2046</v>
      </c>
    </row>
    <row r="2056" spans="1:67" s="24" customFormat="1" ht="15" customHeight="1" x14ac:dyDescent="0.25">
      <c r="A2056" s="287" t="s">
        <v>3171</v>
      </c>
      <c r="B2056" s="241" t="str">
        <f>HYPERLINK(CONCATENATE($AT$3,BK2056,$AU$3),$AV$3)</f>
        <v>S</v>
      </c>
      <c r="C2056" s="242" t="str">
        <f>HYPERLINK(CONCATENATE($AT$4,BK2056,$AU$4,BL2056),$AV$4)</f>
        <v>A</v>
      </c>
      <c r="D2056" s="243" t="s">
        <v>5638</v>
      </c>
      <c r="E2056" s="244" t="s">
        <v>5182</v>
      </c>
      <c r="F2056" s="269" t="s">
        <v>8971</v>
      </c>
      <c r="G2056" s="273">
        <v>5</v>
      </c>
      <c r="H2056" s="283">
        <v>35</v>
      </c>
      <c r="I2056" s="246">
        <v>50</v>
      </c>
      <c r="J2056" s="246">
        <v>3</v>
      </c>
      <c r="K2056" s="247" t="s">
        <v>7853</v>
      </c>
      <c r="L2056" s="248">
        <v>122900</v>
      </c>
      <c r="M2056" s="249">
        <f>15*(LEFT(TEXT($L2056,"000000"),2)+(MID(TEXT($L2056,"000000"),3,2)/60)+(RIGHT(TEXT($L2056,"000000"),2)/3600))</f>
        <v>187.25</v>
      </c>
      <c r="N2056" s="250">
        <v>33412</v>
      </c>
      <c r="O2056" s="251">
        <f>IF($N2056&gt;0,(LEFT(TEXT($N2056,"000000"),2)+(MID(TEXT($N2056,"000000"),3,2)/60)+(RIGHT(TEXT($N2056,"000000"),2)/3600)),-(MID(TEXT($N2056,"000000"),2,2)+(MID(TEXT($N2056,"000000"),4,2)/60)+(RIGHT(TEXT($N2056,"000000"),2)/3600)))</f>
        <v>3.57</v>
      </c>
      <c r="P2056" s="252" t="s">
        <v>61</v>
      </c>
      <c r="Q2056" s="253"/>
      <c r="R2056" s="277" t="s">
        <v>3293</v>
      </c>
      <c r="S2056" s="272" t="s">
        <v>3293</v>
      </c>
      <c r="T2056" s="273">
        <v>10.9</v>
      </c>
      <c r="U2056" s="289">
        <v>21.59</v>
      </c>
      <c r="V2056" s="280"/>
      <c r="W2056" s="244"/>
      <c r="X2056" s="244"/>
      <c r="Y2056" s="362"/>
      <c r="Z2056" s="257">
        <f>altaz(J2000_Bas,$O2056,$M2056,DecLat,DecLong,1)</f>
        <v>-5.6303785401653679</v>
      </c>
      <c r="AA2056" s="257">
        <f>altaz((J2000_Bas+(2*0.04167)),$O2056,$M2056,DecLat,DecLong,1)</f>
        <v>-30.29312998764253</v>
      </c>
      <c r="AB2056" s="257">
        <f>altaz((J2000_Bas+(4*0.04167)),$O2056,$M2056,DecLat,DecLong,1)</f>
        <v>-50.013130155955565</v>
      </c>
      <c r="AC2056" s="257">
        <f>altaz((J2000_Bas+(6*0.04167)),$O2056,$M2056,DecLat,DecLong,1)</f>
        <v>-54.378895137781704</v>
      </c>
      <c r="AD2056" s="258">
        <f>1+ transit((J2000_Bas-1),$O2056,$M2056,DecLat,DecLong)/360 + (GMTOffset/24) + (IF(DST="Y", 1, 0)/24)</f>
        <v>1.5130387975047082</v>
      </c>
      <c r="AE2056" s="259">
        <f>DATE(2001,9,21)+(M2056/360)*365 - (360*((DecLong/360)- (GMTOffset/24) ))</f>
        <v>37349.850694444445</v>
      </c>
      <c r="AF2056" s="260">
        <f>IF(DecLat&gt;0,IF((90 - (DecLat-O2056))&gt;90, (90 - (O2056-DecLat)), (90 - (DecLat-O2056))),IF((90 + (DecLat-O2056))&gt;90, (90 + (O2056-DecLat)), (90 + (DecLat-O2056))))</f>
        <v>62.57</v>
      </c>
      <c r="AG2056" s="257">
        <f>angularseperation(MoonRA,MoonDec,$M2056,$O2056)</f>
        <v>67.111557272693958</v>
      </c>
      <c r="AH2056" s="261">
        <f ca="1">MIN(100,IF($O$5&gt;80,0+30*($AG2056/100),IF($O$5&gt;70,0+50*($AG2056/100),IF($O$5&gt;60,5+50*($AG2056/100),IF($O$5&gt;50,10+60*($AG2056/100),IF($O$5&gt;40,15+70*($AG2056/100),IF($O$5&gt;30,20+70*($AG2056/100),IF($O$5&gt;20,40+55*($AG2056/100),(80+(20-$O$5)+30*($AG2056/100))))))))))</f>
        <v>100</v>
      </c>
      <c r="AI2056" s="263">
        <v>4457</v>
      </c>
      <c r="AJ2056" s="263"/>
      <c r="AK2056" s="263"/>
      <c r="AL2056" s="263"/>
      <c r="AM2056" s="264"/>
      <c r="AN2056" s="263"/>
      <c r="AO2056" s="263"/>
      <c r="AP2056" s="265"/>
      <c r="AQ2056" s="265">
        <v>7609</v>
      </c>
      <c r="AR2056" s="285">
        <v>41101</v>
      </c>
      <c r="AS2056" s="263"/>
      <c r="AT2056" s="263"/>
      <c r="AU2056" s="263"/>
      <c r="AV2056" s="264"/>
      <c r="AW2056" s="263"/>
      <c r="AX2056" s="263"/>
      <c r="AY2056" s="263"/>
      <c r="AZ2056" s="263"/>
      <c r="BA2056" s="263"/>
      <c r="BB2056" s="263"/>
      <c r="BC2056" s="263"/>
      <c r="BD2056" s="264"/>
      <c r="BE2056" s="263"/>
      <c r="BF2056" s="263"/>
      <c r="BG2056" s="263"/>
      <c r="BH2056" s="263"/>
      <c r="BI2056" s="263"/>
      <c r="BJ2056" s="404">
        <f>altaz(J2000_Bas,$O2056,$M2056,DecLat,DecLong,2)</f>
        <v>277.59862428998832</v>
      </c>
      <c r="BK2056" s="378" t="s">
        <v>3171</v>
      </c>
      <c r="BL2056" s="379">
        <f>IF((2*G2056)/60&lt;0.2,0.2,(2*G2056)/60)</f>
        <v>0.2</v>
      </c>
      <c r="BM2056" s="380">
        <f>MOD((50000+AD2056-$B$3+(0/24)),1)</f>
        <v>0.72840572721179342</v>
      </c>
      <c r="BN2056" s="381"/>
      <c r="BO2056" s="382">
        <v>2047</v>
      </c>
    </row>
    <row r="2057" spans="1:67" s="24" customFormat="1" ht="15" customHeight="1" x14ac:dyDescent="0.25">
      <c r="A2057" s="288" t="s">
        <v>3005</v>
      </c>
      <c r="B2057" s="241" t="str">
        <f>HYPERLINK(CONCATENATE($AT$3,BK2057,$AU$3),$AV$3)</f>
        <v>S</v>
      </c>
      <c r="C2057" s="242" t="str">
        <f>HYPERLINK(CONCATENATE($AT$4,BK2057,$AU$4,BL2057),$AV$4)</f>
        <v>A</v>
      </c>
      <c r="D2057" s="243" t="s">
        <v>5638</v>
      </c>
      <c r="E2057" s="244" t="s">
        <v>5182</v>
      </c>
      <c r="F2057" s="269" t="s">
        <v>6572</v>
      </c>
      <c r="G2057" s="273">
        <v>3.5</v>
      </c>
      <c r="H2057" s="283">
        <v>52</v>
      </c>
      <c r="I2057" s="246">
        <v>55</v>
      </c>
      <c r="J2057" s="246">
        <v>2</v>
      </c>
      <c r="K2057" s="247" t="s">
        <v>7854</v>
      </c>
      <c r="L2057" s="248">
        <v>122906</v>
      </c>
      <c r="M2057" s="249">
        <f>15*(LEFT(TEXT($L2057,"000000"),2)+(MID(TEXT($L2057,"000000"),3,2)/60)+(RIGHT(TEXT($L2057,"000000"),2)/3600))</f>
        <v>187.27499999999998</v>
      </c>
      <c r="N2057" s="250">
        <v>135900</v>
      </c>
      <c r="O2057" s="251">
        <f>IF($N2057&gt;0,(LEFT(TEXT($N2057,"000000"),2)+(MID(TEXT($N2057,"000000"),3,2)/60)+(RIGHT(TEXT($N2057,"000000"),2)/3600)),-(MID(TEXT($N2057,"000000"),2,2)+(MID(TEXT($N2057,"000000"),4,2)/60)+(RIGHT(TEXT($N2057,"000000"),2)/3600)))</f>
        <v>13.983333333333333</v>
      </c>
      <c r="P2057" s="252" t="s">
        <v>190</v>
      </c>
      <c r="Q2057" s="253"/>
      <c r="R2057" s="277" t="s">
        <v>3293</v>
      </c>
      <c r="S2057" s="272" t="s">
        <v>3293</v>
      </c>
      <c r="T2057" s="273">
        <v>10.4</v>
      </c>
      <c r="U2057" s="289">
        <v>21.59</v>
      </c>
      <c r="V2057" s="280">
        <v>5</v>
      </c>
      <c r="W2057" s="244"/>
      <c r="X2057" s="244"/>
      <c r="Y2057" s="362"/>
      <c r="Z2057" s="257">
        <f>altaz(J2000_Bas,$O2057,$M2057,DecLat,DecLong,1)</f>
        <v>-0.10063634060032194</v>
      </c>
      <c r="AA2057" s="257">
        <f>altaz((J2000_Bas+(2*0.04167)),$O2057,$M2057,DecLat,DecLong,1)</f>
        <v>-23.382767853914775</v>
      </c>
      <c r="AB2057" s="257">
        <f>altaz((J2000_Bas+(4*0.04167)),$O2057,$M2057,DecLat,DecLong,1)</f>
        <v>-40.656928171986053</v>
      </c>
      <c r="AC2057" s="257">
        <f>altaz((J2000_Bas+(6*0.04167)),$O2057,$M2057,DecLat,DecLong,1)</f>
        <v>-44.195958918202187</v>
      </c>
      <c r="AD2057" s="258">
        <f>1+ transit((J2000_Bas-1),$O2057,$M2057,DecLat,DecLong)/360 + (GMTOffset/24) + (IF(DST="Y", 1, 0)/24)</f>
        <v>1.5131082419422082</v>
      </c>
      <c r="AE2057" s="259">
        <f>DATE(2001,9,21)+(M2057/360)*365 - (360*((DecLong/360)- (GMTOffset/24) ))</f>
        <v>37349.87604166667</v>
      </c>
      <c r="AF2057" s="260">
        <f>IF(DecLat&gt;0,IF((90 - (DecLat-O2057))&gt;90, (90 - (O2057-DecLat)), (90 - (DecLat-O2057))),IF((90 + (DecLat-O2057))&gt;90, (90 + (O2057-DecLat)), (90 + (DecLat-O2057))))</f>
        <v>72.983333333333334</v>
      </c>
      <c r="AG2057" s="257">
        <f>angularseperation(MoonRA,MoonDec,$M2057,$O2057)</f>
        <v>72.781002729257665</v>
      </c>
      <c r="AH2057" s="261">
        <f ca="1">MIN(100,IF($O$5&gt;80,0+30*($AG2057/100),IF($O$5&gt;70,0+50*($AG2057/100),IF($O$5&gt;60,5+50*($AG2057/100),IF($O$5&gt;50,10+60*($AG2057/100),IF($O$5&gt;40,15+70*($AG2057/100),IF($O$5&gt;30,20+70*($AG2057/100),IF($O$5&gt;20,40+55*($AG2057/100),(80+(20-$O$5)+30*($AG2057/100))))))))))</f>
        <v>100</v>
      </c>
      <c r="AI2057" s="262">
        <v>4459</v>
      </c>
      <c r="AJ2057" s="263"/>
      <c r="AK2057" s="263">
        <v>245</v>
      </c>
      <c r="AL2057" s="263"/>
      <c r="AM2057" s="264"/>
      <c r="AN2057" s="263"/>
      <c r="AO2057" s="263"/>
      <c r="AP2057" s="265"/>
      <c r="AQ2057" s="265">
        <v>7614</v>
      </c>
      <c r="AR2057" s="285">
        <v>41104</v>
      </c>
      <c r="AS2057" s="263"/>
      <c r="AT2057" s="263"/>
      <c r="AU2057" s="263"/>
      <c r="AV2057" s="264"/>
      <c r="AW2057" s="263"/>
      <c r="AX2057" s="263"/>
      <c r="AY2057" s="263"/>
      <c r="AZ2057" s="263"/>
      <c r="BA2057" s="263"/>
      <c r="BB2057" s="263"/>
      <c r="BC2057" s="263"/>
      <c r="BD2057" s="264"/>
      <c r="BE2057" s="263"/>
      <c r="BF2057" s="263"/>
      <c r="BG2057" s="263"/>
      <c r="BH2057" s="263"/>
      <c r="BI2057" s="263"/>
      <c r="BJ2057" s="404">
        <f>altaz(J2000_Bas,$O2057,$M2057,DecLat,DecLong,2)</f>
        <v>286.4369871275336</v>
      </c>
      <c r="BK2057" s="378" t="s">
        <v>3005</v>
      </c>
      <c r="BL2057" s="379">
        <f>IF((2*G2057)/60&lt;0.2,0.2,(2*G2057)/60)</f>
        <v>0.2</v>
      </c>
      <c r="BM2057" s="380">
        <f>MOD((50000+AD2057-$B$3+(0/24)),1)</f>
        <v>0.7284751716433675</v>
      </c>
      <c r="BN2057" s="381"/>
      <c r="BO2057" s="382">
        <v>2048</v>
      </c>
    </row>
    <row r="2058" spans="1:67" s="24" customFormat="1" ht="15" customHeight="1" x14ac:dyDescent="0.25">
      <c r="A2058" s="288" t="s">
        <v>1980</v>
      </c>
      <c r="B2058" s="241" t="str">
        <f>HYPERLINK(CONCATENATE($AT$3,BK2058,$AU$3),$AV$3)</f>
        <v>S</v>
      </c>
      <c r="C2058" s="242" t="str">
        <f>HYPERLINK(CONCATENATE($AT$4,BK2058,$AU$4,BL2058),$AV$4)</f>
        <v>A</v>
      </c>
      <c r="D2058" s="243" t="s">
        <v>5638</v>
      </c>
      <c r="E2058" s="244" t="s">
        <v>5182</v>
      </c>
      <c r="F2058" s="269" t="s">
        <v>8903</v>
      </c>
      <c r="G2058" s="273">
        <v>4</v>
      </c>
      <c r="H2058" s="283">
        <v>65</v>
      </c>
      <c r="I2058" s="246">
        <v>80</v>
      </c>
      <c r="J2058" s="246">
        <v>2</v>
      </c>
      <c r="K2058" s="247" t="s">
        <v>7856</v>
      </c>
      <c r="L2058" s="248">
        <v>122903</v>
      </c>
      <c r="M2058" s="249">
        <f>15*(LEFT(TEXT($L2058,"000000"),2)+(MID(TEXT($L2058,"000000"),3,2)/60)+(RIGHT(TEXT($L2058,"000000"),2)/3600))</f>
        <v>187.26249999999999</v>
      </c>
      <c r="N2058" s="250">
        <v>131102</v>
      </c>
      <c r="O2058" s="251">
        <f>IF($N2058&gt;0,(LEFT(TEXT($N2058,"000000"),2)+(MID(TEXT($N2058,"000000"),3,2)/60)+(RIGHT(TEXT($N2058,"000000"),2)/3600)),-(MID(TEXT($N2058,"000000"),2,2)+(MID(TEXT($N2058,"000000"),4,2)/60)+(RIGHT(TEXT($N2058,"000000"),2)/3600)))</f>
        <v>13.183888888888889</v>
      </c>
      <c r="P2058" s="252" t="s">
        <v>61</v>
      </c>
      <c r="Q2058" s="253" t="s">
        <v>3255</v>
      </c>
      <c r="R2058" s="247" t="s">
        <v>3293</v>
      </c>
      <c r="S2058" s="272" t="s">
        <v>7855</v>
      </c>
      <c r="T2058" s="273">
        <v>11.2</v>
      </c>
      <c r="U2058" s="289">
        <v>21.69</v>
      </c>
      <c r="V2058" s="280">
        <v>80</v>
      </c>
      <c r="W2058" s="244"/>
      <c r="X2058" s="244"/>
      <c r="Y2058" s="362"/>
      <c r="Z2058" s="257">
        <f>altaz(J2000_Bas,$O2058,$M2058,DecLat,DecLong,1)</f>
        <v>-0.53559995796589488</v>
      </c>
      <c r="AA2058" s="257">
        <f>altaz((J2000_Bas+(2*0.04167)),$O2058,$M2058,DecLat,DecLong,1)</f>
        <v>-23.938730212213599</v>
      </c>
      <c r="AB2058" s="257">
        <f>altaz((J2000_Bas+(4*0.04167)),$O2058,$M2058,DecLat,DecLong,1)</f>
        <v>-41.391427052694382</v>
      </c>
      <c r="AC2058" s="257">
        <f>altaz((J2000_Bas+(6*0.04167)),$O2058,$M2058,DecLat,DecLong,1)</f>
        <v>-44.978859462567172</v>
      </c>
      <c r="AD2058" s="258">
        <f>1+ transit((J2000_Bas-1),$O2058,$M2058,DecLat,DecLong)/360 + (GMTOffset/24) + (IF(DST="Y", 1, 0)/24)</f>
        <v>1.5130735197234582</v>
      </c>
      <c r="AE2058" s="259">
        <f>DATE(2001,9,21)+(M2058/360)*365 - (360*((DecLong/360)- (GMTOffset/24) ))</f>
        <v>37349.863368055558</v>
      </c>
      <c r="AF2058" s="260">
        <f>IF(DecLat&gt;0,IF((90 - (DecLat-O2058))&gt;90, (90 - (O2058-DecLat)), (90 - (DecLat-O2058))),IF((90 + (DecLat-O2058))&gt;90, (90 + (O2058-DecLat)), (90 + (DecLat-O2058))))</f>
        <v>72.183888888888887</v>
      </c>
      <c r="AG2058" s="257">
        <f>angularseperation(MoonRA,MoonDec,$M2058,$O2058)</f>
        <v>72.337825618574001</v>
      </c>
      <c r="AH2058" s="261">
        <f ca="1">MIN(100,IF($O$5&gt;80,0+30*($AG2058/100),IF($O$5&gt;70,0+50*($AG2058/100),IF($O$5&gt;60,5+50*($AG2058/100),IF($O$5&gt;50,10+60*($AG2058/100),IF($O$5&gt;40,15+70*($AG2058/100),IF($O$5&gt;30,20+70*($AG2058/100),IF($O$5&gt;20,40+55*($AG2058/100),(80+(20-$O$5)+30*($AG2058/100))))))))))</f>
        <v>100</v>
      </c>
      <c r="AI2058" s="262">
        <v>4461</v>
      </c>
      <c r="AJ2058" s="262"/>
      <c r="AK2058" s="262"/>
      <c r="AL2058" s="263"/>
      <c r="AM2058" s="264"/>
      <c r="AN2058" s="263"/>
      <c r="AO2058" s="263"/>
      <c r="AP2058" s="265"/>
      <c r="AQ2058" s="266"/>
      <c r="AR2058" s="267">
        <v>41111</v>
      </c>
      <c r="AS2058" s="263"/>
      <c r="AT2058" s="263"/>
      <c r="AU2058" s="263"/>
      <c r="AV2058" s="264"/>
      <c r="AW2058" s="263"/>
      <c r="AX2058" s="263"/>
      <c r="AY2058" s="263"/>
      <c r="AZ2058" s="263"/>
      <c r="BA2058" s="263"/>
      <c r="BB2058" s="263"/>
      <c r="BC2058" s="263"/>
      <c r="BD2058" s="264"/>
      <c r="BE2058" s="263"/>
      <c r="BF2058" s="263">
        <v>58</v>
      </c>
      <c r="BG2058" s="263"/>
      <c r="BH2058" s="263"/>
      <c r="BI2058" s="263"/>
      <c r="BJ2058" s="404">
        <f>altaz(J2000_Bas,$O2058,$M2058,DecLat,DecLong,2)</f>
        <v>285.76610581463711</v>
      </c>
      <c r="BK2058" s="378" t="s">
        <v>1980</v>
      </c>
      <c r="BL2058" s="379">
        <f>IF((2*G2058)/60&lt;0.2,0.2,(2*G2058)/60)</f>
        <v>0.2</v>
      </c>
      <c r="BM2058" s="380">
        <f>MOD((50000+AD2058-$B$3+(0/24)),1)</f>
        <v>0.72844044942758046</v>
      </c>
      <c r="BN2058" s="381"/>
      <c r="BO2058" s="382">
        <v>2049</v>
      </c>
    </row>
    <row r="2059" spans="1:67" s="24" customFormat="1" ht="15" customHeight="1" x14ac:dyDescent="0.25">
      <c r="A2059" s="288" t="s">
        <v>1981</v>
      </c>
      <c r="B2059" s="241" t="str">
        <f>HYPERLINK(CONCATENATE($AT$3,BK2059,$AU$3),$AV$3)</f>
        <v>S</v>
      </c>
      <c r="C2059" s="242" t="str">
        <f>HYPERLINK(CONCATENATE($AT$4,BK2059,$AU$4,BL2059),$AV$4)</f>
        <v>A</v>
      </c>
      <c r="D2059" s="243" t="s">
        <v>5638</v>
      </c>
      <c r="E2059" s="244" t="s">
        <v>5193</v>
      </c>
      <c r="F2059" s="269" t="s">
        <v>3309</v>
      </c>
      <c r="G2059" s="273">
        <v>5</v>
      </c>
      <c r="H2059" s="283">
        <v>50</v>
      </c>
      <c r="I2059" s="246">
        <v>75</v>
      </c>
      <c r="J2059" s="246">
        <v>1</v>
      </c>
      <c r="K2059" s="247" t="s">
        <v>7857</v>
      </c>
      <c r="L2059" s="248">
        <v>122949</v>
      </c>
      <c r="M2059" s="249">
        <f>15*(LEFT(TEXT($L2059,"000000"),2)+(MID(TEXT($L2059,"000000"),3,2)/60)+(RIGHT(TEXT($L2059,"000000"),2)/3600))</f>
        <v>187.45416666666665</v>
      </c>
      <c r="N2059" s="250">
        <v>132547</v>
      </c>
      <c r="O2059" s="251">
        <f>IF($N2059&gt;0,(LEFT(TEXT($N2059,"000000"),2)+(MID(TEXT($N2059,"000000"),3,2)/60)+(RIGHT(TEXT($N2059,"000000"),2)/3600)),-(MID(TEXT($N2059,"000000"),2,2)+(MID(TEXT($N2059,"000000"),4,2)/60)+(RIGHT(TEXT($N2059,"000000"),2)/3600)))</f>
        <v>13.429722222222221</v>
      </c>
      <c r="P2059" s="252" t="s">
        <v>190</v>
      </c>
      <c r="Q2059" s="253" t="s">
        <v>3255</v>
      </c>
      <c r="R2059" s="247" t="s">
        <v>3293</v>
      </c>
      <c r="S2059" s="272" t="s">
        <v>3293</v>
      </c>
      <c r="T2059" s="273">
        <v>10.199999999999999</v>
      </c>
      <c r="U2059" s="289">
        <v>21.69</v>
      </c>
      <c r="V2059" s="280"/>
      <c r="W2059" s="244"/>
      <c r="X2059" s="244"/>
      <c r="Y2059" s="362"/>
      <c r="Z2059" s="257">
        <f>altaz(J2000_Bas,$O2059,$M2059,DecLat,DecLong,1)</f>
        <v>-0.24702640945967871</v>
      </c>
      <c r="AA2059" s="257">
        <f>altaz((J2000_Bas+(2*0.04167)),$O2059,$M2059,DecLat,DecLong,1)</f>
        <v>-23.634614596494234</v>
      </c>
      <c r="AB2059" s="257">
        <f>altaz((J2000_Bas+(4*0.04167)),$O2059,$M2059,DecLat,DecLong,1)</f>
        <v>-41.090582761844658</v>
      </c>
      <c r="AC2059" s="257">
        <f>altaz((J2000_Bas+(6*0.04167)),$O2059,$M2059,DecLat,DecLong,1)</f>
        <v>-44.772264497042038</v>
      </c>
      <c r="AD2059" s="258">
        <f>1+ transit((J2000_Bas-1),$O2059,$M2059,DecLat,DecLong)/360 + (GMTOffset/24) + (IF(DST="Y", 1, 0)/24)</f>
        <v>1.5136059270776245</v>
      </c>
      <c r="AE2059" s="259">
        <f>DATE(2001,9,21)+(M2059/360)*365 - (360*((DecLong/360)- (GMTOffset/24) ))</f>
        <v>37350.057696759257</v>
      </c>
      <c r="AF2059" s="260">
        <f>IF(DecLat&gt;0,IF((90 - (DecLat-O2059))&gt;90, (90 - (O2059-DecLat)), (90 - (DecLat-O2059))),IF((90 + (DecLat-O2059))&gt;90, (90 + (O2059-DecLat)), (90 + (DecLat-O2059))))</f>
        <v>72.429722222222225</v>
      </c>
      <c r="AG2059" s="257">
        <f>angularseperation(MoonRA,MoonDec,$M2059,$O2059)</f>
        <v>72.32333624864161</v>
      </c>
      <c r="AH2059" s="261">
        <f ca="1">MIN(100,IF($O$5&gt;80,0+30*($AG2059/100),IF($O$5&gt;70,0+50*($AG2059/100),IF($O$5&gt;60,5+50*($AG2059/100),IF($O$5&gt;50,10+60*($AG2059/100),IF($O$5&gt;40,15+70*($AG2059/100),IF($O$5&gt;30,20+70*($AG2059/100),IF($O$5&gt;20,40+55*($AG2059/100),(80+(20-$O$5)+30*($AG2059/100))))))))))</f>
        <v>100</v>
      </c>
      <c r="AI2059" s="262">
        <v>4473</v>
      </c>
      <c r="AJ2059" s="262"/>
      <c r="AK2059" s="262">
        <v>246</v>
      </c>
      <c r="AL2059" s="263"/>
      <c r="AM2059" s="264"/>
      <c r="AN2059" s="263"/>
      <c r="AO2059" s="263"/>
      <c r="AP2059" s="265"/>
      <c r="AQ2059" s="266">
        <v>7631</v>
      </c>
      <c r="AR2059" s="267">
        <v>41228</v>
      </c>
      <c r="AS2059" s="263"/>
      <c r="AT2059" s="263"/>
      <c r="AU2059" s="263"/>
      <c r="AV2059" s="264"/>
      <c r="AW2059" s="263"/>
      <c r="AX2059" s="263"/>
      <c r="AY2059" s="263"/>
      <c r="AZ2059" s="263"/>
      <c r="BA2059" s="263"/>
      <c r="BB2059" s="263"/>
      <c r="BC2059" s="263"/>
      <c r="BD2059" s="264"/>
      <c r="BE2059" s="263"/>
      <c r="BF2059" s="263">
        <v>60</v>
      </c>
      <c r="BG2059" s="263"/>
      <c r="BH2059" s="263"/>
      <c r="BI2059" s="263"/>
      <c r="BJ2059" s="404">
        <f>altaz(J2000_Bas,$O2059,$M2059,DecLat,DecLong,2)</f>
        <v>285.87542109025208</v>
      </c>
      <c r="BK2059" s="378" t="s">
        <v>1981</v>
      </c>
      <c r="BL2059" s="379">
        <f>IF((2*G2059)/60&lt;0.2,0.2,(2*G2059)/60)</f>
        <v>0.2</v>
      </c>
      <c r="BM2059" s="380">
        <f>MOD((50000+AD2059-$B$3+(0/24)),1)</f>
        <v>0.72897285678482149</v>
      </c>
      <c r="BN2059" s="381"/>
      <c r="BO2059" s="382">
        <v>2050</v>
      </c>
    </row>
    <row r="2060" spans="1:67" s="24" customFormat="1" ht="15" customHeight="1" x14ac:dyDescent="0.25">
      <c r="A2060" s="288" t="s">
        <v>1982</v>
      </c>
      <c r="B2060" s="241" t="str">
        <f>HYPERLINK(CONCATENATE($AT$3,BK2060,$AU$3),$AV$3)</f>
        <v>S</v>
      </c>
      <c r="C2060" s="242" t="str">
        <f>HYPERLINK(CONCATENATE($AT$4,BK2060,$AU$4,BL2060),$AV$4)</f>
        <v>A</v>
      </c>
      <c r="D2060" s="243" t="s">
        <v>5638</v>
      </c>
      <c r="E2060" s="244" t="s">
        <v>5182</v>
      </c>
      <c r="F2060" s="269" t="s">
        <v>8933</v>
      </c>
      <c r="G2060" s="273">
        <v>3</v>
      </c>
      <c r="H2060" s="283">
        <v>65</v>
      </c>
      <c r="I2060" s="246">
        <v>60</v>
      </c>
      <c r="J2060" s="246">
        <v>2</v>
      </c>
      <c r="K2060" s="247" t="s">
        <v>7858</v>
      </c>
      <c r="L2060" s="248">
        <v>123002</v>
      </c>
      <c r="M2060" s="249">
        <f>15*(LEFT(TEXT($L2060,"000000"),2)+(MID(TEXT($L2060,"000000"),3,2)/60)+(RIGHT(TEXT($L2060,"000000"),2)/3600))</f>
        <v>187.50833333333333</v>
      </c>
      <c r="N2060" s="250">
        <v>133811</v>
      </c>
      <c r="O2060" s="251">
        <f>IF($N2060&gt;0,(LEFT(TEXT($N2060,"000000"),2)+(MID(TEXT($N2060,"000000"),3,2)/60)+(RIGHT(TEXT($N2060,"000000"),2)/3600)),-(MID(TEXT($N2060,"000000"),2,2)+(MID(TEXT($N2060,"000000"),4,2)/60)+(RIGHT(TEXT($N2060,"000000"),2)/3600)))</f>
        <v>13.636388888888888</v>
      </c>
      <c r="P2060" s="252" t="s">
        <v>190</v>
      </c>
      <c r="Q2060" s="253" t="s">
        <v>3255</v>
      </c>
      <c r="R2060" s="247" t="s">
        <v>3293</v>
      </c>
      <c r="S2060" s="272" t="s">
        <v>7859</v>
      </c>
      <c r="T2060" s="273">
        <v>10.4</v>
      </c>
      <c r="U2060" s="289">
        <v>21.990000000000002</v>
      </c>
      <c r="V2060" s="280">
        <v>20</v>
      </c>
      <c r="W2060" s="244"/>
      <c r="X2060" s="244"/>
      <c r="Y2060" s="362"/>
      <c r="Z2060" s="257">
        <f>altaz(J2000_Bas,$O2060,$M2060,DecLat,DecLong,1)</f>
        <v>-9.2754953304682947E-2</v>
      </c>
      <c r="AA2060" s="257">
        <f>altaz((J2000_Bas+(2*0.04167)),$O2060,$M2060,DecLat,DecLong,1)</f>
        <v>-23.455037604440722</v>
      </c>
      <c r="AB2060" s="257">
        <f>altaz((J2000_Bas+(4*0.04167)),$O2060,$M2060,DecLat,DecLong,1)</f>
        <v>-40.880601032922172</v>
      </c>
      <c r="AC2060" s="257">
        <f>altaz((J2000_Bas+(6*0.04167)),$O2060,$M2060,DecLat,DecLong,1)</f>
        <v>-44.578806493521633</v>
      </c>
      <c r="AD2060" s="258">
        <f>1+ transit((J2000_Bas-1),$O2060,$M2060,DecLat,DecLong)/360 + (GMTOffset/24) + (IF(DST="Y", 1, 0)/24)</f>
        <v>1.5137563900255413</v>
      </c>
      <c r="AE2060" s="259">
        <f>DATE(2001,9,21)+(M2060/360)*365 - (360*((DecLong/360)- (GMTOffset/24) ))</f>
        <v>37350.112615740742</v>
      </c>
      <c r="AF2060" s="260">
        <f>IF(DecLat&gt;0,IF((90 - (DecLat-O2060))&gt;90, (90 - (O2060-DecLat)), (90 - (DecLat-O2060))),IF((90 + (DecLat-O2060))&gt;90, (90 + (O2060-DecLat)), (90 + (DecLat-O2060))))</f>
        <v>72.636388888888888</v>
      </c>
      <c r="AG2060" s="257">
        <f>angularseperation(MoonRA,MoonDec,$M2060,$O2060)</f>
        <v>72.397365407667991</v>
      </c>
      <c r="AH2060" s="261">
        <f ca="1">MIN(100,IF($O$5&gt;80,0+30*($AG2060/100),IF($O$5&gt;70,0+50*($AG2060/100),IF($O$5&gt;60,5+50*($AG2060/100),IF($O$5&gt;50,10+60*($AG2060/100),IF($O$5&gt;40,15+70*($AG2060/100),IF($O$5&gt;30,20+70*($AG2060/100),IF($O$5&gt;20,40+55*($AG2060/100),(80+(20-$O$5)+30*($AG2060/100))))))))))</f>
        <v>100</v>
      </c>
      <c r="AI2060" s="262">
        <v>4477</v>
      </c>
      <c r="AJ2060" s="262"/>
      <c r="AK2060" s="262">
        <v>247</v>
      </c>
      <c r="AL2060" s="263"/>
      <c r="AM2060" s="264"/>
      <c r="AN2060" s="263"/>
      <c r="AO2060" s="263"/>
      <c r="AP2060" s="265"/>
      <c r="AQ2060" s="266">
        <v>7638</v>
      </c>
      <c r="AR2060" s="267">
        <v>41260</v>
      </c>
      <c r="AS2060" s="263"/>
      <c r="AT2060" s="263"/>
      <c r="AU2060" s="263"/>
      <c r="AV2060" s="264"/>
      <c r="AW2060" s="263"/>
      <c r="AX2060" s="263"/>
      <c r="AY2060" s="263"/>
      <c r="AZ2060" s="263"/>
      <c r="BA2060" s="263"/>
      <c r="BB2060" s="263"/>
      <c r="BC2060" s="263"/>
      <c r="BD2060" s="264"/>
      <c r="BE2060" s="263"/>
      <c r="BF2060" s="263">
        <v>61</v>
      </c>
      <c r="BG2060" s="263"/>
      <c r="BH2060" s="263"/>
      <c r="BI2060" s="263"/>
      <c r="BJ2060" s="404">
        <f>altaz(J2000_Bas,$O2060,$M2060,DecLat,DecLong,2)</f>
        <v>286.02267934173096</v>
      </c>
      <c r="BK2060" s="378" t="s">
        <v>1982</v>
      </c>
      <c r="BL2060" s="379">
        <f>IF((2*G2060)/60&lt;0.2,0.2,(2*G2060)/60)</f>
        <v>0.2</v>
      </c>
      <c r="BM2060" s="380">
        <f>MOD((50000+AD2060-$B$3+(0/24)),1)</f>
        <v>0.72912331973202527</v>
      </c>
      <c r="BN2060" s="381"/>
      <c r="BO2060" s="382">
        <v>2051</v>
      </c>
    </row>
    <row r="2061" spans="1:67" s="24" customFormat="1" ht="15" customHeight="1" x14ac:dyDescent="0.25">
      <c r="A2061" s="288" t="s">
        <v>8768</v>
      </c>
      <c r="B2061" s="241" t="str">
        <f>HYPERLINK(CONCATENATE($AT$3,BK2061,$AU$3),$AV$3)</f>
        <v>S</v>
      </c>
      <c r="C2061" s="242" t="str">
        <f>HYPERLINK(CONCATENATE($AT$4,BK2061,$AU$4,BL2061),$AV$4)</f>
        <v>A</v>
      </c>
      <c r="D2061" s="243" t="s">
        <v>5638</v>
      </c>
      <c r="E2061" s="244" t="s">
        <v>5193</v>
      </c>
      <c r="F2061" s="269" t="s">
        <v>4287</v>
      </c>
      <c r="G2061" s="273">
        <v>1.8</v>
      </c>
      <c r="H2061" s="283">
        <v>55</v>
      </c>
      <c r="I2061" s="246">
        <v>30</v>
      </c>
      <c r="J2061" s="246">
        <v>2</v>
      </c>
      <c r="K2061" s="247" t="s">
        <v>8783</v>
      </c>
      <c r="L2061" s="248">
        <v>123017</v>
      </c>
      <c r="M2061" s="249">
        <f>15*(LEFT(TEXT($L2061,"000000"),2)+(MID(TEXT($L2061,"000000"),3,2)/60)+(RIGHT(TEXT($L2061,"000000"),2)/3600))</f>
        <v>187.57083333333333</v>
      </c>
      <c r="N2061" s="250">
        <v>121943</v>
      </c>
      <c r="O2061" s="251">
        <f>IF($N2061&gt;0,(LEFT(TEXT($N2061,"000000"),2)+(MID(TEXT($N2061,"000000"),3,2)/60)+(RIGHT(TEXT($N2061,"000000"),2)/3600)),-(MID(TEXT($N2061,"000000"),2,2)+(MID(TEXT($N2061,"000000"),4,2)/60)+(RIGHT(TEXT($N2061,"000000"),2)/3600)))</f>
        <v>12.32861111111111</v>
      </c>
      <c r="P2061" s="252" t="s">
        <v>190</v>
      </c>
      <c r="Q2061" s="253"/>
      <c r="R2061" s="277" t="s">
        <v>3293</v>
      </c>
      <c r="S2061" s="272" t="s">
        <v>3293</v>
      </c>
      <c r="T2061" s="273">
        <v>11.5</v>
      </c>
      <c r="U2061" s="289"/>
      <c r="V2061" s="280"/>
      <c r="W2061" s="244"/>
      <c r="X2061" s="244"/>
      <c r="Y2061" s="362"/>
      <c r="Z2061" s="257">
        <f>altaz(J2000_Bas,$O2061,$M2061,DecLat,DecLong,1)</f>
        <v>-0.73452926607473634</v>
      </c>
      <c r="AA2061" s="257">
        <f>altaz((J2000_Bas+(2*0.04167)),$O2061,$M2061,DecLat,DecLong,1)</f>
        <v>-24.299771077624595</v>
      </c>
      <c r="AB2061" s="257">
        <f>altaz((J2000_Bas+(4*0.04167)),$O2061,$M2061,DecLat,DecLong,1)</f>
        <v>-42.043993753159747</v>
      </c>
      <c r="AC2061" s="257">
        <f>altaz((J2000_Bas+(6*0.04167)),$O2061,$M2061,DecLat,DecLong,1)</f>
        <v>-45.875377757664836</v>
      </c>
      <c r="AD2061" s="258">
        <f>1+ transit((J2000_Bas-1),$O2061,$M2061,DecLat,DecLong)/360 + (GMTOffset/24) + (IF(DST="Y", 1, 0)/24)</f>
        <v>1.5139300011192913</v>
      </c>
      <c r="AE2061" s="259">
        <f>DATE(2001,9,21)+(M2061/360)*365 - (360*((DecLong/360)- (GMTOffset/24) ))</f>
        <v>37350.175983796296</v>
      </c>
      <c r="AF2061" s="260">
        <f>IF(DecLat&gt;0,IF((90 - (DecLat-O2061))&gt;90, (90 - (O2061-DecLat)), (90 - (DecLat-O2061))),IF((90 + (DecLat-O2061))&gt;90, (90 + (O2061-DecLat)), (90 + (DecLat-O2061))))</f>
        <v>71.328611111111115</v>
      </c>
      <c r="AG2061" s="257">
        <f>angularseperation(MoonRA,MoonDec,$M2061,$O2061)</f>
        <v>71.606736139120301</v>
      </c>
      <c r="AH2061" s="261">
        <f ca="1">MIN(100,IF($O$5&gt;80,0+30*($AG2061/100),IF($O$5&gt;70,0+50*($AG2061/100),IF($O$5&gt;60,5+50*($AG2061/100),IF($O$5&gt;50,10+60*($AG2061/100),IF($O$5&gt;40,15+70*($AG2061/100),IF($O$5&gt;30,20+70*($AG2061/100),IF($O$5&gt;20,40+55*($AG2061/100),(80+(20-$O$5)+30*($AG2061/100))))))))))</f>
        <v>100</v>
      </c>
      <c r="AI2061" s="263">
        <v>4478</v>
      </c>
      <c r="AJ2061" s="263"/>
      <c r="AK2061" s="263">
        <v>248</v>
      </c>
      <c r="AL2061" s="263"/>
      <c r="AM2061" s="264"/>
      <c r="AN2061" s="263"/>
      <c r="AO2061" s="263"/>
      <c r="AP2061" s="265"/>
      <c r="AQ2061" s="265">
        <v>7645</v>
      </c>
      <c r="AR2061" s="285">
        <v>41297</v>
      </c>
      <c r="AS2061" s="263"/>
      <c r="AT2061" s="263"/>
      <c r="AU2061" s="263"/>
      <c r="AV2061" s="264"/>
      <c r="AW2061" s="263"/>
      <c r="AX2061" s="263"/>
      <c r="AY2061" s="263"/>
      <c r="AZ2061" s="263"/>
      <c r="BA2061" s="263"/>
      <c r="BB2061" s="263"/>
      <c r="BC2061" s="263"/>
      <c r="BD2061" s="264"/>
      <c r="BE2061" s="263"/>
      <c r="BF2061" s="263"/>
      <c r="BG2061" s="263"/>
      <c r="BH2061" s="263"/>
      <c r="BI2061" s="263"/>
      <c r="BJ2061" s="404">
        <f>altaz(J2000_Bas,$O2061,$M2061,DecLat,DecLong,2)</f>
        <v>284.88154006289142</v>
      </c>
      <c r="BK2061" s="378" t="s">
        <v>8768</v>
      </c>
      <c r="BL2061" s="379">
        <f>IF((2*G2061)/60&lt;0.2,0.2,(2*G2061)/60)</f>
        <v>0.2</v>
      </c>
      <c r="BM2061" s="380">
        <f>MOD((50000+AD2061-$B$3+(0/24)),1)</f>
        <v>0.72929693082551239</v>
      </c>
      <c r="BN2061" s="381"/>
      <c r="BO2061" s="382">
        <v>2052</v>
      </c>
    </row>
    <row r="2062" spans="1:67" s="24" customFormat="1" ht="15" customHeight="1" x14ac:dyDescent="0.25">
      <c r="A2062" s="288" t="s">
        <v>8769</v>
      </c>
      <c r="B2062" s="241" t="str">
        <f>HYPERLINK(CONCATENATE($AT$3,BK2062,$AU$3),$AV$3)</f>
        <v>S</v>
      </c>
      <c r="C2062" s="242" t="str">
        <f>HYPERLINK(CONCATENATE($AT$4,BK2062,$AU$4,BL2062),$AV$4)</f>
        <v>A</v>
      </c>
      <c r="D2062" s="243" t="s">
        <v>5638</v>
      </c>
      <c r="E2062" s="244" t="s">
        <v>5192</v>
      </c>
      <c r="F2062" s="269" t="s">
        <v>3306</v>
      </c>
      <c r="G2062" s="273">
        <v>2</v>
      </c>
      <c r="H2062" s="283">
        <v>25</v>
      </c>
      <c r="I2062" s="246">
        <v>14</v>
      </c>
      <c r="J2062" s="246">
        <v>2</v>
      </c>
      <c r="K2062" s="247" t="s">
        <v>8784</v>
      </c>
      <c r="L2062" s="248">
        <v>123031</v>
      </c>
      <c r="M2062" s="249">
        <f>15*(LEFT(TEXT($L2062,"000000"),2)+(MID(TEXT($L2062,"000000"),3,2)/60)+(RIGHT(TEXT($L2062,"000000"),2)/3600))</f>
        <v>187.62916666666666</v>
      </c>
      <c r="N2062" s="250">
        <v>414205</v>
      </c>
      <c r="O2062" s="251">
        <f>IF($N2062&gt;0,(LEFT(TEXT($N2062,"000000"),2)+(MID(TEXT($N2062,"000000"),3,2)/60)+(RIGHT(TEXT($N2062,"000000"),2)/3600)),-(MID(TEXT($N2062,"000000"),2,2)+(MID(TEXT($N2062,"000000"),4,2)/60)+(RIGHT(TEXT($N2062,"000000"),2)/3600)))</f>
        <v>41.701388888888893</v>
      </c>
      <c r="P2062" s="252" t="s">
        <v>242</v>
      </c>
      <c r="Q2062" s="253"/>
      <c r="R2062" s="277" t="s">
        <v>3293</v>
      </c>
      <c r="S2062" s="272" t="s">
        <v>3293</v>
      </c>
      <c r="T2062" s="273">
        <v>11.9</v>
      </c>
      <c r="U2062" s="289"/>
      <c r="V2062" s="280">
        <v>55</v>
      </c>
      <c r="W2062" s="244"/>
      <c r="X2062" s="244"/>
      <c r="Y2062" s="362"/>
      <c r="Z2062" s="257">
        <f>altaz(J2000_Bas,$O2062,$M2062,DecLat,DecLong,1)</f>
        <v>14.443864160073451</v>
      </c>
      <c r="AA2062" s="257">
        <f>altaz((J2000_Bas+(2*0.04167)),$O2062,$M2062,DecLat,DecLong,1)</f>
        <v>-3.1758939816579459</v>
      </c>
      <c r="AB2062" s="257">
        <f>altaz((J2000_Bas+(4*0.04167)),$O2062,$M2062,DecLat,DecLong,1)</f>
        <v>-14.654775188765862</v>
      </c>
      <c r="AC2062" s="257">
        <f>altaz((J2000_Bas+(6*0.04167)),$O2062,$M2062,DecLat,DecLong,1)</f>
        <v>-16.86458460242963</v>
      </c>
      <c r="AD2062" s="258">
        <f>1+ transit((J2000_Bas-1),$O2062,$M2062,DecLat,DecLong)/360 + (GMTOffset/24) + (IF(DST="Y", 1, 0)/24)</f>
        <v>1.5140920381401246</v>
      </c>
      <c r="AE2062" s="259">
        <f>DATE(2001,9,21)+(M2062/360)*365 - (360*((DecLong/360)- (GMTOffset/24) ))</f>
        <v>37350.235127314816</v>
      </c>
      <c r="AF2062" s="260">
        <f>IF(DecLat&gt;0,IF((90 - (DecLat-O2062))&gt;90, (90 - (O2062-DecLat)), (90 - (DecLat-O2062))),IF((90 + (DecLat-O2062))&gt;90, (90 + (O2062-DecLat)), (90 + (DecLat-O2062))))</f>
        <v>79.298611111111114</v>
      </c>
      <c r="AG2062" s="257">
        <f>angularseperation(MoonRA,MoonDec,$M2062,$O2062)</f>
        <v>89.246336980975258</v>
      </c>
      <c r="AH2062" s="261">
        <f ca="1">MIN(100,IF($O$5&gt;80,0+30*($AG2062/100),IF($O$5&gt;70,0+50*($AG2062/100),IF($O$5&gt;60,5+50*($AG2062/100),IF($O$5&gt;50,10+60*($AG2062/100),IF($O$5&gt;40,15+70*($AG2062/100),IF($O$5&gt;30,20+70*($AG2062/100),IF($O$5&gt;20,40+55*($AG2062/100),(80+(20-$O$5)+30*($AG2062/100))))))))))</f>
        <v>100</v>
      </c>
      <c r="AI2062" s="263">
        <v>4485</v>
      </c>
      <c r="AJ2062" s="263"/>
      <c r="AK2062" s="263">
        <v>249</v>
      </c>
      <c r="AL2062" s="263"/>
      <c r="AM2062" s="264"/>
      <c r="AN2062" s="263"/>
      <c r="AO2062" s="263"/>
      <c r="AP2062" s="265"/>
      <c r="AQ2062" s="265"/>
      <c r="AR2062" s="285">
        <v>41326</v>
      </c>
      <c r="AS2062" s="263"/>
      <c r="AT2062" s="263"/>
      <c r="AU2062" s="263"/>
      <c r="AV2062" s="264"/>
      <c r="AW2062" s="263"/>
      <c r="AX2062" s="263"/>
      <c r="AY2062" s="263"/>
      <c r="AZ2062" s="263"/>
      <c r="BA2062" s="263"/>
      <c r="BB2062" s="263"/>
      <c r="BC2062" s="263"/>
      <c r="BD2062" s="264"/>
      <c r="BE2062" s="263"/>
      <c r="BF2062" s="263"/>
      <c r="BG2062" s="263"/>
      <c r="BH2062" s="263"/>
      <c r="BI2062" s="263"/>
      <c r="BJ2062" s="404">
        <f>altaz(J2000_Bas,$O2062,$M2062,DecLat,DecLong,2)</f>
        <v>310.29078699653127</v>
      </c>
      <c r="BK2062" s="378" t="s">
        <v>8769</v>
      </c>
      <c r="BL2062" s="379">
        <f>IF((2*G2062)/60&lt;0.2,0.2,(2*G2062)/60)</f>
        <v>0.2</v>
      </c>
      <c r="BM2062" s="380">
        <f>MOD((50000+AD2062-$B$3+(0/24)),1)</f>
        <v>0.72945896784221986</v>
      </c>
      <c r="BN2062" s="381"/>
      <c r="BO2062" s="382">
        <v>2053</v>
      </c>
    </row>
    <row r="2063" spans="1:67" s="24" customFormat="1" ht="15" customHeight="1" x14ac:dyDescent="0.25">
      <c r="A2063" s="287" t="s">
        <v>1983</v>
      </c>
      <c r="B2063" s="241" t="str">
        <f>HYPERLINK(CONCATENATE($AT$3,BK2063,$AU$3),$AV$3)</f>
        <v>S</v>
      </c>
      <c r="C2063" s="242" t="str">
        <f>HYPERLINK(CONCATENATE($AT$4,BK2063,$AU$4,BL2063),$AV$4)</f>
        <v>A</v>
      </c>
      <c r="D2063" s="243" t="s">
        <v>5638</v>
      </c>
      <c r="E2063" s="244" t="s">
        <v>5193</v>
      </c>
      <c r="F2063" s="269" t="s">
        <v>3311</v>
      </c>
      <c r="G2063" s="273">
        <v>4</v>
      </c>
      <c r="H2063" s="283">
        <v>55</v>
      </c>
      <c r="I2063" s="246">
        <v>65</v>
      </c>
      <c r="J2063" s="246">
        <v>2</v>
      </c>
      <c r="K2063" s="247" t="s">
        <v>7860</v>
      </c>
      <c r="L2063" s="248">
        <v>123124</v>
      </c>
      <c r="M2063" s="249">
        <f>15*(LEFT(TEXT($L2063,"000000"),2)+(MID(TEXT($L2063,"000000"),3,2)/60)+(RIGHT(TEXT($L2063,"000000"),2)/3600))</f>
        <v>187.85</v>
      </c>
      <c r="N2063" s="250">
        <v>254629</v>
      </c>
      <c r="O2063" s="251">
        <f>IF($N2063&gt;0,(LEFT(TEXT($N2063,"000000"),2)+(MID(TEXT($N2063,"000000"),3,2)/60)+(RIGHT(TEXT($N2063,"000000"),2)/3600)),-(MID(TEXT($N2063,"000000"),2,2)+(MID(TEXT($N2063,"000000"),4,2)/60)+(RIGHT(TEXT($N2063,"000000"),2)/3600)))</f>
        <v>25.77472222222222</v>
      </c>
      <c r="P2063" s="252" t="s">
        <v>190</v>
      </c>
      <c r="Q2063" s="253"/>
      <c r="R2063" s="277" t="s">
        <v>3293</v>
      </c>
      <c r="S2063" s="272" t="s">
        <v>3293</v>
      </c>
      <c r="T2063" s="273">
        <v>9.8000000000000007</v>
      </c>
      <c r="U2063" s="289">
        <v>21.79</v>
      </c>
      <c r="V2063" s="280"/>
      <c r="W2063" s="244"/>
      <c r="X2063" s="244"/>
      <c r="Y2063" s="362"/>
      <c r="Z2063" s="257">
        <f>altaz(J2000_Bas,$O2063,$M2063,DecLat,DecLong,1)</f>
        <v>6.5744466214400648</v>
      </c>
      <c r="AA2063" s="257">
        <f>altaz((J2000_Bas+(2*0.04167)),$O2063,$M2063,DecLat,DecLong,1)</f>
        <v>-14.701286230703024</v>
      </c>
      <c r="AB2063" s="257">
        <f>altaz((J2000_Bas+(4*0.04167)),$O2063,$M2063,DecLat,DecLong,1)</f>
        <v>-29.560262385816213</v>
      </c>
      <c r="AC2063" s="257">
        <f>altaz((J2000_Bas+(6*0.04167)),$O2063,$M2063,DecLat,DecLong,1)</f>
        <v>-32.659098141479205</v>
      </c>
      <c r="AD2063" s="258">
        <f>1+ transit((J2000_Bas-1),$O2063,$M2063,DecLat,DecLong)/360 + (GMTOffset/24) + (IF(DST="Y", 1, 0)/24)</f>
        <v>1.514705464004708</v>
      </c>
      <c r="AE2063" s="259">
        <f>DATE(2001,9,21)+(M2063/360)*365 - (360*((DecLong/360)- (GMTOffset/24) ))</f>
        <v>37350.459027777775</v>
      </c>
      <c r="AF2063" s="260">
        <f>IF(DecLat&gt;0,IF((90 - (DecLat-O2063))&gt;90, (90 - (O2063-DecLat)), (90 - (DecLat-O2063))),IF((90 + (DecLat-O2063))&gt;90, (90 + (O2063-DecLat)), (90 + (DecLat-O2063))))</f>
        <v>84.774722222222223</v>
      </c>
      <c r="AG2063" s="257">
        <f>angularseperation(MoonRA,MoonDec,$M2063,$O2063)</f>
        <v>79.285430128958154</v>
      </c>
      <c r="AH2063" s="261">
        <f ca="1">MIN(100,IF($O$5&gt;80,0+30*($AG2063/100),IF($O$5&gt;70,0+50*($AG2063/100),IF($O$5&gt;60,5+50*($AG2063/100),IF($O$5&gt;50,10+60*($AG2063/100),IF($O$5&gt;40,15+70*($AG2063/100),IF($O$5&gt;30,20+70*($AG2063/100),IF($O$5&gt;20,40+55*($AG2063/100),(80+(20-$O$5)+30*($AG2063/100))))))))))</f>
        <v>100</v>
      </c>
      <c r="AI2063" s="262">
        <v>4494</v>
      </c>
      <c r="AJ2063" s="263"/>
      <c r="AK2063" s="263">
        <v>251</v>
      </c>
      <c r="AL2063" s="263"/>
      <c r="AM2063" s="264"/>
      <c r="AN2063" s="263"/>
      <c r="AO2063" s="263"/>
      <c r="AP2063" s="265"/>
      <c r="AQ2063" s="265">
        <v>7662</v>
      </c>
      <c r="AR2063" s="285">
        <v>41441</v>
      </c>
      <c r="AS2063" s="263"/>
      <c r="AT2063" s="263"/>
      <c r="AU2063" s="263"/>
      <c r="AV2063" s="264"/>
      <c r="AW2063" s="263"/>
      <c r="AX2063" s="263"/>
      <c r="AY2063" s="263"/>
      <c r="AZ2063" s="263"/>
      <c r="BA2063" s="263"/>
      <c r="BB2063" s="263"/>
      <c r="BC2063" s="263"/>
      <c r="BD2063" s="264"/>
      <c r="BE2063" s="263"/>
      <c r="BF2063" s="263"/>
      <c r="BG2063" s="263"/>
      <c r="BH2063" s="263"/>
      <c r="BI2063" s="263"/>
      <c r="BJ2063" s="404">
        <f>altaz(J2000_Bas,$O2063,$M2063,DecLat,DecLong,2)</f>
        <v>296.19320071951773</v>
      </c>
      <c r="BK2063" s="378" t="s">
        <v>1983</v>
      </c>
      <c r="BL2063" s="379">
        <f>IF((2*G2063)/60&lt;0.2,0.2,(2*G2063)/60)</f>
        <v>0.2</v>
      </c>
      <c r="BM2063" s="380">
        <f>MOD((50000+AD2063-$B$3+(0/24)),1)</f>
        <v>0.73007239370781463</v>
      </c>
      <c r="BN2063" s="381"/>
      <c r="BO2063" s="382">
        <v>2054</v>
      </c>
    </row>
    <row r="2064" spans="1:67" s="24" customFormat="1" ht="15" customHeight="1" x14ac:dyDescent="0.25">
      <c r="A2064" s="287" t="s">
        <v>1984</v>
      </c>
      <c r="B2064" s="241" t="str">
        <f>HYPERLINK(CONCATENATE($AT$3,BK2064,$AU$3),$AV$3)</f>
        <v>S</v>
      </c>
      <c r="C2064" s="242" t="str">
        <f>HYPERLINK(CONCATENATE($AT$4,BK2064,$AU$4,BL2064),$AV$4)</f>
        <v>A</v>
      </c>
      <c r="D2064" s="243" t="s">
        <v>5638</v>
      </c>
      <c r="E2064" s="244" t="s">
        <v>5192</v>
      </c>
      <c r="F2064" s="269" t="s">
        <v>8895</v>
      </c>
      <c r="G2064" s="273">
        <v>3.8</v>
      </c>
      <c r="H2064" s="283">
        <v>52</v>
      </c>
      <c r="I2064" s="246">
        <v>60</v>
      </c>
      <c r="J2064" s="246">
        <v>2</v>
      </c>
      <c r="K2064" s="247" t="s">
        <v>7861</v>
      </c>
      <c r="L2064" s="248">
        <v>123139</v>
      </c>
      <c r="M2064" s="249">
        <f>15*(LEFT(TEXT($L2064,"000000"),2)+(MID(TEXT($L2064,"000000"),3,2)/60)+(RIGHT(TEXT($L2064,"000000"),2)/3600))</f>
        <v>187.91250000000002</v>
      </c>
      <c r="N2064" s="250">
        <v>35623</v>
      </c>
      <c r="O2064" s="251">
        <f>IF($N2064&gt;0,(LEFT(TEXT($N2064,"000000"),2)+(MID(TEXT($N2064,"000000"),3,2)/60)+(RIGHT(TEXT($N2064,"000000"),2)/3600)),-(MID(TEXT($N2064,"000000"),2,2)+(MID(TEXT($N2064,"000000"),4,2)/60)+(RIGHT(TEXT($N2064,"000000"),2)/3600)))</f>
        <v>3.9397222222222226</v>
      </c>
      <c r="P2064" s="252" t="s">
        <v>61</v>
      </c>
      <c r="Q2064" s="253"/>
      <c r="R2064" s="277" t="s">
        <v>3293</v>
      </c>
      <c r="S2064" s="272" t="s">
        <v>3293</v>
      </c>
      <c r="T2064" s="273">
        <v>11.4</v>
      </c>
      <c r="U2064" s="289">
        <v>22.89</v>
      </c>
      <c r="V2064" s="280">
        <v>25</v>
      </c>
      <c r="W2064" s="244"/>
      <c r="X2064" s="244"/>
      <c r="Y2064" s="362"/>
      <c r="Z2064" s="257">
        <f>altaz(J2000_Bas,$O2064,$M2064,DecLat,DecLong,1)</f>
        <v>-4.8736061210432231</v>
      </c>
      <c r="AA2064" s="257">
        <f>altaz((J2000_Bas+(2*0.04167)),$O2064,$M2064,DecLat,DecLong,1)</f>
        <v>-29.547370951556935</v>
      </c>
      <c r="AB2064" s="257">
        <f>altaz((J2000_Bas+(4*0.04167)),$O2064,$M2064,DecLat,DecLong,1)</f>
        <v>-49.369788113191241</v>
      </c>
      <c r="AC2064" s="257">
        <f>altaz((J2000_Bas+(6*0.04167)),$O2064,$M2064,DecLat,DecLong,1)</f>
        <v>-54.164728123575358</v>
      </c>
      <c r="AD2064" s="258">
        <f>1+ transit((J2000_Bas-1),$O2064,$M2064,DecLat,DecLong)/360 + (GMTOffset/24) + (IF(DST="Y", 1, 0)/24)</f>
        <v>1.514879075098458</v>
      </c>
      <c r="AE2064" s="259">
        <f>DATE(2001,9,21)+(M2064/360)*365 - (360*((DecLong/360)- (GMTOffset/24) ))</f>
        <v>37350.52239583333</v>
      </c>
      <c r="AF2064" s="260">
        <f>IF(DecLat&gt;0,IF((90 - (DecLat-O2064))&gt;90, (90 - (O2064-DecLat)), (90 - (DecLat-O2064))),IF((90 + (DecLat-O2064))&gt;90, (90 + (O2064-DecLat)), (90 + (DecLat-O2064))))</f>
        <v>62.939722222222223</v>
      </c>
      <c r="AG2064" s="257">
        <f>angularseperation(MoonRA,MoonDec,$M2064,$O2064)</f>
        <v>66.742175826425452</v>
      </c>
      <c r="AH2064" s="261">
        <f ca="1">MIN(100,IF($O$5&gt;80,0+30*($AG2064/100),IF($O$5&gt;70,0+50*($AG2064/100),IF($O$5&gt;60,5+50*($AG2064/100),IF($O$5&gt;50,10+60*($AG2064/100),IF($O$5&gt;40,15+70*($AG2064/100),IF($O$5&gt;30,20+70*($AG2064/100),IF($O$5&gt;20,40+55*($AG2064/100),(80+(20-$O$5)+30*($AG2064/100))))))))))</f>
        <v>100</v>
      </c>
      <c r="AI2064" s="262">
        <v>4496</v>
      </c>
      <c r="AJ2064" s="263"/>
      <c r="AK2064" s="263"/>
      <c r="AL2064" s="263"/>
      <c r="AM2064" s="264"/>
      <c r="AN2064" s="263"/>
      <c r="AO2064" s="263"/>
      <c r="AP2064" s="265"/>
      <c r="AQ2064" s="265"/>
      <c r="AR2064" s="285">
        <v>41471</v>
      </c>
      <c r="AS2064" s="263"/>
      <c r="AT2064" s="263"/>
      <c r="AU2064" s="263"/>
      <c r="AV2064" s="264"/>
      <c r="AW2064" s="263"/>
      <c r="AX2064" s="263"/>
      <c r="AY2064" s="263"/>
      <c r="AZ2064" s="263"/>
      <c r="BA2064" s="263"/>
      <c r="BB2064" s="263"/>
      <c r="BC2064" s="263"/>
      <c r="BD2064" s="264"/>
      <c r="BE2064" s="263"/>
      <c r="BF2064" s="263"/>
      <c r="BG2064" s="263"/>
      <c r="BH2064" s="263"/>
      <c r="BI2064" s="263"/>
      <c r="BJ2064" s="404">
        <f>altaz(J2000_Bas,$O2064,$M2064,DecLat,DecLong,2)</f>
        <v>277.56667159858296</v>
      </c>
      <c r="BK2064" s="378" t="s">
        <v>1984</v>
      </c>
      <c r="BL2064" s="379">
        <f>IF((2*G2064)/60&lt;0.2,0.2,(2*G2064)/60)</f>
        <v>0.2</v>
      </c>
      <c r="BM2064" s="380">
        <f>MOD((50000+AD2064-$B$3+(0/24)),1)</f>
        <v>0.73024600480130175</v>
      </c>
      <c r="BN2064" s="381"/>
      <c r="BO2064" s="382">
        <v>2055</v>
      </c>
    </row>
    <row r="2065" spans="1:67" s="24" customFormat="1" ht="15" customHeight="1" x14ac:dyDescent="0.25">
      <c r="A2065" s="288" t="s">
        <v>1985</v>
      </c>
      <c r="B2065" s="241" t="str">
        <f>HYPERLINK(CONCATENATE($AT$3,BK2065,$AU$3),$AV$3)</f>
        <v>S</v>
      </c>
      <c r="C2065" s="242" t="str">
        <f>HYPERLINK(CONCATENATE($AT$4,BK2065,$AU$4,BL2065),$AV$4)</f>
        <v>A</v>
      </c>
      <c r="D2065" s="243" t="s">
        <v>5638</v>
      </c>
      <c r="E2065" s="244" t="s">
        <v>5192</v>
      </c>
      <c r="F2065" s="269" t="s">
        <v>8936</v>
      </c>
      <c r="G2065" s="273">
        <v>6</v>
      </c>
      <c r="H2065" s="283">
        <v>45</v>
      </c>
      <c r="I2065" s="246">
        <v>80</v>
      </c>
      <c r="J2065" s="246">
        <v>2</v>
      </c>
      <c r="K2065" s="247" t="s">
        <v>7862</v>
      </c>
      <c r="L2065" s="248">
        <v>123217</v>
      </c>
      <c r="M2065" s="249">
        <f>15*(LEFT(TEXT($L2065,"000000"),2)+(MID(TEXT($L2065,"000000"),3,2)/60)+(RIGHT(TEXT($L2065,"000000"),2)/3600))</f>
        <v>188.07083333333333</v>
      </c>
      <c r="N2065" s="250">
        <v>-73351</v>
      </c>
      <c r="O2065" s="251">
        <f>IF($N2065&gt;0,(LEFT(TEXT($N2065,"000000"),2)+(MID(TEXT($N2065,"000000"),3,2)/60)+(RIGHT(TEXT($N2065,"000000"),2)/3600)),-(MID(TEXT($N2065,"000000"),2,2)+(MID(TEXT($N2065,"000000"),4,2)/60)+(RIGHT(TEXT($N2065,"000000"),2)/3600)))</f>
        <v>-7.5641666666666669</v>
      </c>
      <c r="P2065" s="252" t="s">
        <v>61</v>
      </c>
      <c r="Q2065" s="253"/>
      <c r="R2065" s="277" t="s">
        <v>3293</v>
      </c>
      <c r="S2065" s="272" t="s">
        <v>3293</v>
      </c>
      <c r="T2065" s="273">
        <v>13.2</v>
      </c>
      <c r="U2065" s="289">
        <v>24.09</v>
      </c>
      <c r="V2065" s="280">
        <v>65</v>
      </c>
      <c r="W2065" s="244"/>
      <c r="X2065" s="244"/>
      <c r="Y2065" s="362"/>
      <c r="Z2065" s="257">
        <f>altaz(J2000_Bas,$O2065,$M2065,DecLat,DecLong,1)</f>
        <v>-10.664197099683649</v>
      </c>
      <c r="AA2065" s="257">
        <f>altaz((J2000_Bas+(2*0.04167)),$O2065,$M2065,DecLat,DecLong,1)</f>
        <v>-36.236622517000775</v>
      </c>
      <c r="AB2065" s="257">
        <f>altaz((J2000_Bas+(4*0.04167)),$O2065,$M2065,DecLat,DecLong,1)</f>
        <v>-58.89176197928829</v>
      </c>
      <c r="AC2065" s="257">
        <f>altaz((J2000_Bas+(6*0.04167)),$O2065,$M2065,DecLat,DecLong,1)</f>
        <v>-65.34686213623695</v>
      </c>
      <c r="AD2065" s="258">
        <f>1+ transit((J2000_Bas-1),$O2065,$M2065,DecLat,DecLong)/360 + (GMTOffset/24) + (IF(DST="Y", 1, 0)/24)</f>
        <v>1.5153188898692913</v>
      </c>
      <c r="AE2065" s="259">
        <f>DATE(2001,9,21)+(M2065/360)*365 - (360*((DecLong/360)- (GMTOffset/24) ))</f>
        <v>37350.682928240742</v>
      </c>
      <c r="AF2065" s="260">
        <f>IF(DecLat&gt;0,IF((90 - (DecLat-O2065))&gt;90, (90 - (O2065-DecLat)), (90 - (DecLat-O2065))),IF((90 + (DecLat-O2065))&gt;90, (90 + (O2065-DecLat)), (90 + (DecLat-O2065))))</f>
        <v>51.435833333333335</v>
      </c>
      <c r="AG2065" s="257">
        <f>angularseperation(MoonRA,MoonDec,$M2065,$O2065)</f>
        <v>60.953724939179857</v>
      </c>
      <c r="AH2065" s="261">
        <f ca="1">MIN(100,IF($O$5&gt;80,0+30*($AG2065/100),IF($O$5&gt;70,0+50*($AG2065/100),IF($O$5&gt;60,5+50*($AG2065/100),IF($O$5&gt;50,10+60*($AG2065/100),IF($O$5&gt;40,15+70*($AG2065/100),IF($O$5&gt;30,20+70*($AG2065/100),IF($O$5&gt;20,40+55*($AG2065/100),(80+(20-$O$5)+30*($AG2065/100))))))))))</f>
        <v>100</v>
      </c>
      <c r="AI2065" s="262">
        <v>4504</v>
      </c>
      <c r="AJ2065" s="263"/>
      <c r="AK2065" s="263"/>
      <c r="AL2065" s="263"/>
      <c r="AM2065" s="264"/>
      <c r="AN2065" s="263"/>
      <c r="AO2065" s="263"/>
      <c r="AP2065" s="265"/>
      <c r="AQ2065" s="265"/>
      <c r="AR2065" s="285">
        <v>41555</v>
      </c>
      <c r="AS2065" s="263"/>
      <c r="AT2065" s="263"/>
      <c r="AU2065" s="263"/>
      <c r="AV2065" s="264"/>
      <c r="AW2065" s="263"/>
      <c r="AX2065" s="263"/>
      <c r="AY2065" s="263"/>
      <c r="AZ2065" s="263"/>
      <c r="BA2065" s="263"/>
      <c r="BB2065" s="263"/>
      <c r="BC2065" s="263"/>
      <c r="BD2065" s="264"/>
      <c r="BE2065" s="263"/>
      <c r="BF2065" s="263"/>
      <c r="BG2065" s="263"/>
      <c r="BH2065" s="263"/>
      <c r="BI2065" s="263"/>
      <c r="BJ2065" s="404">
        <f>altaz(J2000_Bas,$O2065,$M2065,DecLat,DecLong,2)</f>
        <v>267.52832344391186</v>
      </c>
      <c r="BK2065" s="378" t="s">
        <v>1985</v>
      </c>
      <c r="BL2065" s="379">
        <f>IF((2*G2065)/60&lt;0.2,0.2,(2*G2065)/60)</f>
        <v>0.2</v>
      </c>
      <c r="BM2065" s="380">
        <f>MOD((50000+AD2065-$B$3+(0/24)),1)</f>
        <v>0.73068581957340939</v>
      </c>
      <c r="BN2065" s="381"/>
      <c r="BO2065" s="382">
        <v>2056</v>
      </c>
    </row>
    <row r="2066" spans="1:67" s="24" customFormat="1" ht="15" customHeight="1" x14ac:dyDescent="0.25">
      <c r="A2066" s="288" t="s">
        <v>1986</v>
      </c>
      <c r="B2066" s="241" t="str">
        <f>HYPERLINK(CONCATENATE($AT$3,BK2066,$AU$3),$AV$3)</f>
        <v>S</v>
      </c>
      <c r="C2066" s="242" t="str">
        <f>HYPERLINK(CONCATENATE($AT$4,BK2066,$AU$4,BL2066),$AV$4)</f>
        <v>A</v>
      </c>
      <c r="D2066" s="243" t="s">
        <v>5638</v>
      </c>
      <c r="E2066" s="244" t="s">
        <v>5182</v>
      </c>
      <c r="F2066" s="269" t="s">
        <v>5639</v>
      </c>
      <c r="G2066" s="273">
        <v>3</v>
      </c>
      <c r="H2066" s="283">
        <v>110</v>
      </c>
      <c r="I2066" s="246">
        <v>100</v>
      </c>
      <c r="J2066" s="246">
        <v>2</v>
      </c>
      <c r="K2066" s="247" t="s">
        <v>7863</v>
      </c>
      <c r="L2066" s="248">
        <v>123202</v>
      </c>
      <c r="M2066" s="249">
        <f>15*(LEFT(TEXT($L2066,"000000"),2)+(MID(TEXT($L2066,"000000"),3,2)/60)+(RIGHT(TEXT($L2066,"000000"),2)/3600))</f>
        <v>188.00833333333333</v>
      </c>
      <c r="N2066" s="250">
        <v>661956</v>
      </c>
      <c r="O2066" s="251">
        <f>IF($N2066&gt;0,(LEFT(TEXT($N2066,"000000"),2)+(MID(TEXT($N2066,"000000"),3,2)/60)+(RIGHT(TEXT($N2066,"000000"),2)/3600)),-(MID(TEXT($N2066,"000000"),2,2)+(MID(TEXT($N2066,"000000"),4,2)/60)+(RIGHT(TEXT($N2066,"000000"),2)/3600)))</f>
        <v>66.332222222222214</v>
      </c>
      <c r="P2066" s="252" t="s">
        <v>34</v>
      </c>
      <c r="Q2066" s="253"/>
      <c r="R2066" s="247" t="s">
        <v>3293</v>
      </c>
      <c r="S2066" s="272" t="s">
        <v>2938</v>
      </c>
      <c r="T2066" s="273">
        <v>13</v>
      </c>
      <c r="U2066" s="289">
        <v>21.89</v>
      </c>
      <c r="V2066" s="280">
        <v>60</v>
      </c>
      <c r="W2066" s="244"/>
      <c r="X2066" s="244"/>
      <c r="Y2066" s="362"/>
      <c r="Z2066" s="257">
        <f>altaz(J2000_Bas,$O2066,$M2066,DecLat,DecLong,1)</f>
        <v>25.078691702802537</v>
      </c>
      <c r="AA2066" s="257">
        <f>altaz((J2000_Bas+(2*0.04167)),$O2066,$M2066,DecLat,DecLong,1)</f>
        <v>15.040306790342688</v>
      </c>
      <c r="AB2066" s="257">
        <f>altaz((J2000_Bas+(4*0.04167)),$O2066,$M2066,DecLat,DecLong,1)</f>
        <v>8.7609238170659118</v>
      </c>
      <c r="AC2066" s="257">
        <f>altaz((J2000_Bas+(6*0.04167)),$O2066,$M2066,DecLat,DecLong,1)</f>
        <v>7.5378738885401475</v>
      </c>
      <c r="AD2066" s="258">
        <f>1+ transit((J2000_Bas-1),$O2066,$M2066,DecLat,DecLong)/360 + (GMTOffset/24) + (IF(DST="Y", 1, 0)/24)</f>
        <v>1.5151452787755413</v>
      </c>
      <c r="AE2066" s="259">
        <f>DATE(2001,9,21)+(M2066/360)*365 - (360*((DecLong/360)- (GMTOffset/24) ))</f>
        <v>37350.619560185187</v>
      </c>
      <c r="AF2066" s="260">
        <f>IF(DecLat&gt;0,IF((90 - (DecLat-O2066))&gt;90, (90 - (O2066-DecLat)), (90 - (DecLat-O2066))),IF((90 + (DecLat-O2066))&gt;90, (90 + (O2066-DecLat)), (90 + (DecLat-O2066))))</f>
        <v>54.667777777777786</v>
      </c>
      <c r="AG2066" s="257">
        <f>angularseperation(MoonRA,MoonDec,$M2066,$O2066)</f>
        <v>104.18191202363589</v>
      </c>
      <c r="AH2066" s="261">
        <f ca="1">MIN(100,IF($O$5&gt;80,0+30*($AG2066/100),IF($O$5&gt;70,0+50*($AG2066/100),IF($O$5&gt;60,5+50*($AG2066/100),IF($O$5&gt;50,10+60*($AG2066/100),IF($O$5&gt;40,15+70*($AG2066/100),IF($O$5&gt;30,20+70*($AG2066/100),IF($O$5&gt;20,40+55*($AG2066/100),(80+(20-$O$5)+30*($AG2066/100))))))))))</f>
        <v>100</v>
      </c>
      <c r="AI2066" s="262">
        <v>4513</v>
      </c>
      <c r="AJ2066" s="262"/>
      <c r="AK2066" s="262"/>
      <c r="AL2066" s="263"/>
      <c r="AM2066" s="264"/>
      <c r="AN2066" s="263"/>
      <c r="AO2066" s="263"/>
      <c r="AP2066" s="265"/>
      <c r="AQ2066" s="266">
        <v>7683</v>
      </c>
      <c r="AR2066" s="267">
        <v>41527</v>
      </c>
      <c r="AS2066" s="263"/>
      <c r="AT2066" s="263"/>
      <c r="AU2066" s="263"/>
      <c r="AV2066" s="264"/>
      <c r="AW2066" s="263"/>
      <c r="AX2066" s="263"/>
      <c r="AY2066" s="263"/>
      <c r="AZ2066" s="263"/>
      <c r="BA2066" s="263"/>
      <c r="BB2066" s="263"/>
      <c r="BC2066" s="263"/>
      <c r="BD2066" s="264"/>
      <c r="BE2066" s="263"/>
      <c r="BF2066" s="263"/>
      <c r="BG2066" s="263"/>
      <c r="BH2066" s="263"/>
      <c r="BI2066" s="263"/>
      <c r="BJ2066" s="404">
        <f>altaz(J2000_Bas,$O2066,$M2066,DecLat,DecLong,2)</f>
        <v>333.96570157691735</v>
      </c>
      <c r="BK2066" s="378" t="s">
        <v>1986</v>
      </c>
      <c r="BL2066" s="379">
        <f>IF((2*G2066)/60&lt;0.2,0.2,(2*G2066)/60)</f>
        <v>0.2</v>
      </c>
      <c r="BM2066" s="380">
        <f>MOD((50000+AD2066-$B$3+(0/24)),1)</f>
        <v>0.73051220847992226</v>
      </c>
      <c r="BN2066" s="381"/>
      <c r="BO2066" s="382">
        <v>2057</v>
      </c>
    </row>
    <row r="2067" spans="1:67" s="24" customFormat="1" ht="15" customHeight="1" x14ac:dyDescent="0.25">
      <c r="A2067" s="288" t="s">
        <v>1987</v>
      </c>
      <c r="B2067" s="241" t="str">
        <f>HYPERLINK(CONCATENATE($AT$3,BK2067,$AU$3),$AV$3)</f>
        <v>S</v>
      </c>
      <c r="C2067" s="242" t="str">
        <f>HYPERLINK(CONCATENATE($AT$4,BK2067,$AU$4,BL2067),$AV$4)</f>
        <v>A</v>
      </c>
      <c r="D2067" s="243" t="s">
        <v>5638</v>
      </c>
      <c r="E2067" s="244" t="s">
        <v>5192</v>
      </c>
      <c r="F2067" s="269" t="s">
        <v>8697</v>
      </c>
      <c r="G2067" s="276">
        <v>10</v>
      </c>
      <c r="H2067" s="283">
        <v>30</v>
      </c>
      <c r="I2067" s="246">
        <v>85</v>
      </c>
      <c r="J2067" s="246">
        <v>2</v>
      </c>
      <c r="K2067" s="247" t="s">
        <v>7865</v>
      </c>
      <c r="L2067" s="248">
        <v>123246</v>
      </c>
      <c r="M2067" s="249">
        <f>15*(LEFT(TEXT($L2067,"000000"),2)+(MID(TEXT($L2067,"000000"),3,2)/60)+(RIGHT(TEXT($L2067,"000000"),2)/3600))</f>
        <v>188.19166666666666</v>
      </c>
      <c r="N2067" s="250">
        <v>649</v>
      </c>
      <c r="O2067" s="251">
        <f>IF($N2067&gt;0,(LEFT(TEXT($N2067,"000000"),2)+(MID(TEXT($N2067,"000000"),3,2)/60)+(RIGHT(TEXT($N2067,"000000"),2)/3600)),-(MID(TEXT($N2067,"000000"),2,2)+(MID(TEXT($N2067,"000000"),4,2)/60)+(RIGHT(TEXT($N2067,"000000"),2)/3600)))</f>
        <v>0.11361111111111112</v>
      </c>
      <c r="P2067" s="252" t="s">
        <v>61</v>
      </c>
      <c r="Q2067" s="253"/>
      <c r="R2067" s="247" t="s">
        <v>7864</v>
      </c>
      <c r="S2067" s="272" t="s">
        <v>3293</v>
      </c>
      <c r="T2067" s="273">
        <v>10.4</v>
      </c>
      <c r="U2067" s="289">
        <v>22.09</v>
      </c>
      <c r="V2067" s="280">
        <v>89</v>
      </c>
      <c r="W2067" s="244"/>
      <c r="X2067" s="244"/>
      <c r="Y2067" s="362"/>
      <c r="Z2067" s="257">
        <f>altaz(J2000_Bas,$O2067,$M2067,DecLat,DecLong,1)</f>
        <v>-6.6308448829013544</v>
      </c>
      <c r="AA2067" s="257">
        <f>altaz((J2000_Bas+(2*0.04167)),$O2067,$M2067,DecLat,DecLong,1)</f>
        <v>-31.699876317924424</v>
      </c>
      <c r="AB2067" s="257">
        <f>altaz((J2000_Bas+(4*0.04167)),$O2067,$M2067,DecLat,DecLong,1)</f>
        <v>-52.524821646978076</v>
      </c>
      <c r="AC2067" s="257">
        <f>altaz((J2000_Bas+(6*0.04167)),$O2067,$M2067,DecLat,DecLong,1)</f>
        <v>-57.958867708997914</v>
      </c>
      <c r="AD2067" s="258">
        <f>1+ transit((J2000_Bas-1),$O2067,$M2067,DecLat,DecLong)/360 + (GMTOffset/24) + (IF(DST="Y", 1, 0)/24)</f>
        <v>1.5156545379838746</v>
      </c>
      <c r="AE2067" s="259">
        <f>DATE(2001,9,21)+(M2067/360)*365 - (360*((DecLong/360)- (GMTOffset/24) ))</f>
        <v>37350.805439814816</v>
      </c>
      <c r="AF2067" s="260">
        <f>IF(DecLat&gt;0,IF((90 - (DecLat-O2067))&gt;90, (90 - (O2067-DecLat)), (90 - (DecLat-O2067))),IF((90 + (DecLat-O2067))&gt;90, (90 + (O2067-DecLat)), (90 + (DecLat-O2067))))</f>
        <v>59.113611111111112</v>
      </c>
      <c r="AG2067" s="257">
        <f>angularseperation(MoonRA,MoonDec,$M2067,$O2067)</f>
        <v>64.528738416719705</v>
      </c>
      <c r="AH2067" s="261">
        <f ca="1">MIN(100,IF($O$5&gt;80,0+30*($AG2067/100),IF($O$5&gt;70,0+50*($AG2067/100),IF($O$5&gt;60,5+50*($AG2067/100),IF($O$5&gt;50,10+60*($AG2067/100),IF($O$5&gt;40,15+70*($AG2067/100),IF($O$5&gt;30,20+70*($AG2067/100),IF($O$5&gt;20,40+55*($AG2067/100),(80+(20-$O$5)+30*($AG2067/100))))))))))</f>
        <v>100</v>
      </c>
      <c r="AI2067" s="262">
        <v>4517</v>
      </c>
      <c r="AJ2067" s="262"/>
      <c r="AK2067" s="262"/>
      <c r="AL2067" s="263"/>
      <c r="AM2067" s="264"/>
      <c r="AN2067" s="263"/>
      <c r="AO2067" s="263"/>
      <c r="AP2067" s="265"/>
      <c r="AQ2067" s="266"/>
      <c r="AR2067" s="267">
        <v>41618</v>
      </c>
      <c r="AS2067" s="263"/>
      <c r="AT2067" s="263"/>
      <c r="AU2067" s="263"/>
      <c r="AV2067" s="264"/>
      <c r="AW2067" s="263"/>
      <c r="AX2067" s="263"/>
      <c r="AY2067" s="263"/>
      <c r="AZ2067" s="263"/>
      <c r="BA2067" s="263"/>
      <c r="BB2067" s="263"/>
      <c r="BC2067" s="263"/>
      <c r="BD2067" s="264"/>
      <c r="BE2067" s="263"/>
      <c r="BF2067" s="263"/>
      <c r="BG2067" s="263"/>
      <c r="BH2067" s="263"/>
      <c r="BI2067" s="263"/>
      <c r="BJ2067" s="404">
        <f>altaz(J2000_Bas,$O2067,$M2067,DecLat,DecLong,2)</f>
        <v>274.13913113773526</v>
      </c>
      <c r="BK2067" s="378" t="s">
        <v>1987</v>
      </c>
      <c r="BL2067" s="379">
        <f>IF((2*G2067)/60&lt;0.2,0.2,(2*G2067)/60)</f>
        <v>0.33333333333333331</v>
      </c>
      <c r="BM2067" s="380">
        <f>MOD((50000+AD2067-$B$3+(0/24)),1)</f>
        <v>0.73102146769087994</v>
      </c>
      <c r="BN2067" s="381"/>
      <c r="BO2067" s="382">
        <v>2058</v>
      </c>
    </row>
    <row r="2068" spans="1:67" s="24" customFormat="1" ht="15" customHeight="1" x14ac:dyDescent="0.25">
      <c r="A2068" s="287" t="s">
        <v>1988</v>
      </c>
      <c r="B2068" s="241" t="str">
        <f>HYPERLINK(CONCATENATE($AT$3,BK2068,$AU$3),$AV$3)</f>
        <v>S</v>
      </c>
      <c r="C2068" s="242" t="str">
        <f>HYPERLINK(CONCATENATE($AT$4,BK2068,$AU$4,BL2068),$AV$4)</f>
        <v>A</v>
      </c>
      <c r="D2068" s="243" t="s">
        <v>5638</v>
      </c>
      <c r="E2068" s="244" t="s">
        <v>5192</v>
      </c>
      <c r="F2068" s="269" t="s">
        <v>8895</v>
      </c>
      <c r="G2068" s="273">
        <v>4</v>
      </c>
      <c r="H2068" s="283">
        <v>45</v>
      </c>
      <c r="I2068" s="246">
        <v>55</v>
      </c>
      <c r="J2068" s="246">
        <v>2</v>
      </c>
      <c r="K2068" s="247" t="s">
        <v>8060</v>
      </c>
      <c r="L2068" s="248">
        <v>123340</v>
      </c>
      <c r="M2068" s="249">
        <f>15*(LEFT(TEXT($L2068,"000000"),2)+(MID(TEXT($L2068,"000000"),3,2)/60)+(RIGHT(TEXT($L2068,"000000"),2)/3600))</f>
        <v>188.41666666666669</v>
      </c>
      <c r="N2068" s="250">
        <v>91027</v>
      </c>
      <c r="O2068" s="251">
        <f>IF($N2068&gt;0,(LEFT(TEXT($N2068,"000000"),2)+(MID(TEXT($N2068,"000000"),3,2)/60)+(RIGHT(TEXT($N2068,"000000"),2)/3600)),-(MID(TEXT($N2068,"000000"),2,2)+(MID(TEXT($N2068,"000000"),4,2)/60)+(RIGHT(TEXT($N2068,"000000"),2)/3600)))</f>
        <v>9.1741666666666664</v>
      </c>
      <c r="P2068" s="252" t="s">
        <v>61</v>
      </c>
      <c r="Q2068" s="253"/>
      <c r="R2068" s="277" t="s">
        <v>3293</v>
      </c>
      <c r="S2068" s="272" t="s">
        <v>3293</v>
      </c>
      <c r="T2068" s="273">
        <v>12.3</v>
      </c>
      <c r="U2068" s="289">
        <v>22.490000000000002</v>
      </c>
      <c r="V2068" s="280">
        <v>80</v>
      </c>
      <c r="W2068" s="244"/>
      <c r="X2068" s="244"/>
      <c r="Y2068" s="362"/>
      <c r="Z2068" s="257">
        <f>altaz(J2000_Bas,$O2068,$M2068,DecLat,DecLong,1)</f>
        <v>-1.6958882304485239</v>
      </c>
      <c r="AA2068" s="257">
        <f>altaz((J2000_Bas+(2*0.04167)),$O2068,$M2068,DecLat,DecLong,1)</f>
        <v>-25.786272949055157</v>
      </c>
      <c r="AB2068" s="257">
        <f>altaz((J2000_Bas+(4*0.04167)),$O2068,$M2068,DecLat,DecLong,1)</f>
        <v>-44.515916756033455</v>
      </c>
      <c r="AC2068" s="257">
        <f>altaz((J2000_Bas+(6*0.04167)),$O2068,$M2068,DecLat,DecLong,1)</f>
        <v>-49.128426232665987</v>
      </c>
      <c r="AD2068" s="258">
        <f>1+ transit((J2000_Bas-1),$O2068,$M2068,DecLat,DecLong)/360 + (GMTOffset/24) + (IF(DST="Y", 1, 0)/24)</f>
        <v>1.5162795379213747</v>
      </c>
      <c r="AE2068" s="259">
        <f>DATE(2001,9,21)+(M2068/360)*365 - (360*((DecLong/360)- (GMTOffset/24) ))</f>
        <v>37351.033564814818</v>
      </c>
      <c r="AF2068" s="260">
        <f>IF(DecLat&gt;0,IF((90 - (DecLat-O2068))&gt;90, (90 - (O2068-DecLat)), (90 - (DecLat-O2068))),IF((90 + (DecLat-O2068))&gt;90, (90 + (O2068-DecLat)), (90 + (DecLat-O2068))))</f>
        <v>68.174166666666665</v>
      </c>
      <c r="AG2068" s="257">
        <f>angularseperation(MoonRA,MoonDec,$M2068,$O2068)</f>
        <v>69.152896976647256</v>
      </c>
      <c r="AH2068" s="261">
        <f ca="1">MIN(100,IF($O$5&gt;80,0+30*($AG2068/100),IF($O$5&gt;70,0+50*($AG2068/100),IF($O$5&gt;60,5+50*($AG2068/100),IF($O$5&gt;50,10+60*($AG2068/100),IF($O$5&gt;40,15+70*($AG2068/100),IF($O$5&gt;30,20+70*($AG2068/100),IF($O$5&gt;20,40+55*($AG2068/100),(80+(20-$O$5)+30*($AG2068/100))))))))))</f>
        <v>100</v>
      </c>
      <c r="AI2068" s="262">
        <v>4522</v>
      </c>
      <c r="AJ2068" s="263"/>
      <c r="AK2068" s="263"/>
      <c r="AL2068" s="263"/>
      <c r="AM2068" s="264"/>
      <c r="AN2068" s="263"/>
      <c r="AO2068" s="263"/>
      <c r="AP2068" s="265"/>
      <c r="AQ2068" s="265">
        <v>7711</v>
      </c>
      <c r="AR2068" s="285">
        <v>41729</v>
      </c>
      <c r="AS2068" s="263"/>
      <c r="AT2068" s="263"/>
      <c r="AU2068" s="263"/>
      <c r="AV2068" s="264"/>
      <c r="AW2068" s="263"/>
      <c r="AX2068" s="263"/>
      <c r="AY2068" s="263"/>
      <c r="AZ2068" s="263"/>
      <c r="BA2068" s="263"/>
      <c r="BB2068" s="263"/>
      <c r="BC2068" s="263"/>
      <c r="BD2068" s="264"/>
      <c r="BE2068" s="263"/>
      <c r="BF2068" s="263"/>
      <c r="BG2068" s="263"/>
      <c r="BH2068" s="263"/>
      <c r="BI2068" s="263"/>
      <c r="BJ2068" s="404">
        <f>altaz(J2000_Bas,$O2068,$M2068,DecLat,DecLong,2)</f>
        <v>281.76364758432135</v>
      </c>
      <c r="BK2068" s="378" t="s">
        <v>1988</v>
      </c>
      <c r="BL2068" s="379">
        <f>IF((2*G2068)/60&lt;0.2,0.2,(2*G2068)/60)</f>
        <v>0.2</v>
      </c>
      <c r="BM2068" s="380">
        <f>MOD((50000+AD2068-$B$3+(0/24)),1)</f>
        <v>0.7316464676259784</v>
      </c>
      <c r="BN2068" s="381"/>
      <c r="BO2068" s="382">
        <v>2059</v>
      </c>
    </row>
    <row r="2069" spans="1:67" s="24" customFormat="1" ht="15" customHeight="1" x14ac:dyDescent="0.25">
      <c r="A2069" s="288" t="s">
        <v>1989</v>
      </c>
      <c r="B2069" s="241" t="str">
        <f>HYPERLINK(CONCATENATE($AT$3,BK2069,$AU$3),$AV$3)</f>
        <v>S</v>
      </c>
      <c r="C2069" s="242" t="str">
        <f>HYPERLINK(CONCATENATE($AT$4,BK2069,$AU$4,BL2069),$AV$4)</f>
        <v>A</v>
      </c>
      <c r="D2069" s="243" t="s">
        <v>5638</v>
      </c>
      <c r="E2069" s="244" t="s">
        <v>5182</v>
      </c>
      <c r="F2069" s="269" t="s">
        <v>8976</v>
      </c>
      <c r="G2069" s="273">
        <v>6</v>
      </c>
      <c r="H2069" s="283">
        <v>50</v>
      </c>
      <c r="I2069" s="246">
        <v>90</v>
      </c>
      <c r="J2069" s="246">
        <v>2</v>
      </c>
      <c r="K2069" s="247" t="s">
        <v>8485</v>
      </c>
      <c r="L2069" s="248">
        <v>123403</v>
      </c>
      <c r="M2069" s="249">
        <f>15*(LEFT(TEXT($L2069,"000000"),2)+(MID(TEXT($L2069,"000000"),3,2)/60)+(RIGHT(TEXT($L2069,"000000"),2)/3600))</f>
        <v>188.51249999999999</v>
      </c>
      <c r="N2069" s="250">
        <v>74158</v>
      </c>
      <c r="O2069" s="251">
        <v>9.9</v>
      </c>
      <c r="P2069" s="252" t="s">
        <v>61</v>
      </c>
      <c r="Q2069" s="253"/>
      <c r="R2069" s="247" t="s">
        <v>3293</v>
      </c>
      <c r="S2069" s="272" t="s">
        <v>3293</v>
      </c>
      <c r="T2069" s="273">
        <v>9.3000000000000007</v>
      </c>
      <c r="U2069" s="289">
        <v>21.59</v>
      </c>
      <c r="V2069" s="280">
        <v>80</v>
      </c>
      <c r="W2069" s="244"/>
      <c r="X2069" s="244"/>
      <c r="Y2069" s="362"/>
      <c r="Z2069" s="257">
        <f>altaz(J2000_Bas,$O2069,$M2069,DecLat,DecLong,1)</f>
        <v>-1.2332424372898072</v>
      </c>
      <c r="AA2069" s="257">
        <f>altaz((J2000_Bas+(2*0.04167)),$O2069,$M2069,DecLat,DecLong,1)</f>
        <v>-25.236959464176948</v>
      </c>
      <c r="AB2069" s="257">
        <f>altaz((J2000_Bas+(4*0.04167)),$O2069,$M2069,DecLat,DecLong,1)</f>
        <v>-43.826110032626367</v>
      </c>
      <c r="AC2069" s="257">
        <f>altaz((J2000_Bas+(6*0.04167)),$O2069,$M2069,DecLat,DecLong,1)</f>
        <v>-48.430637370192137</v>
      </c>
      <c r="AD2069" s="258">
        <f>1+ transit((J2000_Bas-1),$O2069,$M2069,DecLat,DecLong)/360 + (GMTOffset/24) + (IF(DST="Y", 1, 0)/24)</f>
        <v>1.516545741598458</v>
      </c>
      <c r="AE2069" s="259">
        <f>DATE(2001,9,21)+(M2069/360)*365 - (360*((DecLong/360)- (GMTOffset/24) ))</f>
        <v>37351.130729166667</v>
      </c>
      <c r="AF2069" s="260">
        <f>IF(DecLat&gt;0,IF((90 - (DecLat-O2069))&gt;90, (90 - (O2069-DecLat)), (90 - (DecLat-O2069))),IF((90 + (DecLat-O2069))&gt;90, (90 + (O2069-DecLat)), (90 + (DecLat-O2069))))</f>
        <v>68.900000000000006</v>
      </c>
      <c r="AG2069" s="257">
        <f>angularseperation(MoonRA,MoonDec,$M2069,$O2069)</f>
        <v>69.47863325222292</v>
      </c>
      <c r="AH2069" s="261">
        <f ca="1">MIN(100,IF($O$5&gt;80,0+30*($AG2069/100),IF($O$5&gt;70,0+50*($AG2069/100),IF($O$5&gt;60,5+50*($AG2069/100),IF($O$5&gt;50,10+60*($AG2069/100),IF($O$5&gt;40,15+70*($AG2069/100),IF($O$5&gt;30,20+70*($AG2069/100),IF($O$5&gt;20,40+55*($AG2069/100),(80+(20-$O$5)+30*($AG2069/100))))))))))</f>
        <v>100</v>
      </c>
      <c r="AI2069" s="262">
        <v>4526</v>
      </c>
      <c r="AJ2069" s="262"/>
      <c r="AK2069" s="262">
        <v>252</v>
      </c>
      <c r="AL2069" s="263"/>
      <c r="AM2069" s="264"/>
      <c r="AN2069" s="263"/>
      <c r="AO2069" s="263"/>
      <c r="AP2069" s="265"/>
      <c r="AQ2069" s="266"/>
      <c r="AR2069" s="267">
        <v>41772</v>
      </c>
      <c r="AS2069" s="263"/>
      <c r="AT2069" s="263"/>
      <c r="AU2069" s="263"/>
      <c r="AV2069" s="264"/>
      <c r="AW2069" s="263"/>
      <c r="AX2069" s="263"/>
      <c r="AY2069" s="263"/>
      <c r="AZ2069" s="263"/>
      <c r="BA2069" s="263"/>
      <c r="BB2069" s="263"/>
      <c r="BC2069" s="263"/>
      <c r="BD2069" s="264"/>
      <c r="BE2069" s="263">
        <v>65</v>
      </c>
      <c r="BF2069" s="263"/>
      <c r="BG2069" s="263"/>
      <c r="BH2069" s="263"/>
      <c r="BI2069" s="263"/>
      <c r="BJ2069" s="404">
        <f>altaz(J2000_Bas,$O2069,$M2069,DecLat,DecLong,2)</f>
        <v>282.33104227517947</v>
      </c>
      <c r="BK2069" s="378" t="s">
        <v>1989</v>
      </c>
      <c r="BL2069" s="379">
        <f>IF((2*G2069)/60&lt;0.2,0.2,(2*G2069)/60)</f>
        <v>0.2</v>
      </c>
      <c r="BM2069" s="380">
        <f>MOD((50000+AD2069-$B$3+(0/24)),1)</f>
        <v>0.73191267130459892</v>
      </c>
      <c r="BN2069" s="381"/>
      <c r="BO2069" s="382">
        <v>2060</v>
      </c>
    </row>
    <row r="2070" spans="1:67" s="24" customFormat="1" ht="15" customHeight="1" x14ac:dyDescent="0.25">
      <c r="A2070" s="288" t="s">
        <v>1990</v>
      </c>
      <c r="B2070" s="241" t="str">
        <f>HYPERLINK(CONCATENATE($AT$3,BK2070,$AU$3),$AV$3)</f>
        <v>S</v>
      </c>
      <c r="C2070" s="242" t="str">
        <f>HYPERLINK(CONCATENATE($AT$4,BK2070,$AU$4,BL2070),$AV$4)</f>
        <v>A</v>
      </c>
      <c r="D2070" s="243" t="s">
        <v>5638</v>
      </c>
      <c r="E2070" s="244" t="s">
        <v>4292</v>
      </c>
      <c r="F2070" s="269"/>
      <c r="G2070" s="273">
        <v>6</v>
      </c>
      <c r="H2070" s="283">
        <v>40</v>
      </c>
      <c r="I2070" s="246">
        <v>70</v>
      </c>
      <c r="J2070" s="246">
        <v>3</v>
      </c>
      <c r="K2070" s="247" t="s">
        <v>7866</v>
      </c>
      <c r="L2070" s="248">
        <v>123408</v>
      </c>
      <c r="M2070" s="249">
        <f>15*(LEFT(TEXT($L2070,"000000"),2)+(MID(TEXT($L2070,"000000"),3,2)/60)+(RIGHT(TEXT($L2070,"000000"),2)/3600))</f>
        <v>188.53333333333333</v>
      </c>
      <c r="N2070" s="250">
        <v>23911</v>
      </c>
      <c r="O2070" s="251">
        <f>IF($N2070&gt;0,(LEFT(TEXT($N2070,"000000"),2)+(MID(TEXT($N2070,"000000"),3,2)/60)+(RIGHT(TEXT($N2070,"000000"),2)/3600)),-(MID(TEXT($N2070,"000000"),2,2)+(MID(TEXT($N2070,"000000"),4,2)/60)+(RIGHT(TEXT($N2070,"000000"),2)/3600)))</f>
        <v>2.6530555555555555</v>
      </c>
      <c r="P2070" s="252" t="s">
        <v>61</v>
      </c>
      <c r="Q2070" s="253"/>
      <c r="R2070" s="277" t="s">
        <v>3293</v>
      </c>
      <c r="S2070" s="272" t="s">
        <v>3293</v>
      </c>
      <c r="T2070" s="273">
        <v>11.4</v>
      </c>
      <c r="U2070" s="289">
        <v>22.09</v>
      </c>
      <c r="V2070" s="280">
        <v>75</v>
      </c>
      <c r="W2070" s="244"/>
      <c r="X2070" s="244"/>
      <c r="Y2070" s="362"/>
      <c r="Z2070" s="257">
        <f>altaz(J2000_Bas,$O2070,$M2070,DecLat,DecLong,1)</f>
        <v>-5.0179478926247496</v>
      </c>
      <c r="AA2070" s="257">
        <f>altaz((J2000_Bas+(2*0.04167)),$O2070,$M2070,DecLat,DecLong,1)</f>
        <v>-29.871011159321085</v>
      </c>
      <c r="AB2070" s="257">
        <f>altaz((J2000_Bas+(4*0.04167)),$O2070,$M2070,DecLat,DecLong,1)</f>
        <v>-50.176372974108439</v>
      </c>
      <c r="AC2070" s="257">
        <f>altaz((J2000_Bas+(6*0.04167)),$O2070,$M2070,DecLat,DecLong,1)</f>
        <v>-55.552197448690144</v>
      </c>
      <c r="AD2070" s="258">
        <f>1+ transit((J2000_Bas-1),$O2070,$M2070,DecLat,DecLong)/360 + (GMTOffset/24) + (IF(DST="Y", 1, 0)/24)</f>
        <v>1.5166036119630413</v>
      </c>
      <c r="AE2070" s="259">
        <f>DATE(2001,9,21)+(M2070/360)*365 - (360*((DecLong/360)- (GMTOffset/24) ))</f>
        <v>37351.15185185185</v>
      </c>
      <c r="AF2070" s="260">
        <f>IF(DecLat&gt;0,IF((90 - (DecLat-O2070))&gt;90, (90 - (O2070-DecLat)), (90 - (DecLat-O2070))),IF((90 + (DecLat-O2070))&gt;90, (90 + (O2070-DecLat)), (90 + (DecLat-O2070))))</f>
        <v>61.653055555555554</v>
      </c>
      <c r="AG2070" s="257">
        <f>angularseperation(MoonRA,MoonDec,$M2070,$O2070)</f>
        <v>65.539965966607895</v>
      </c>
      <c r="AH2070" s="261">
        <f ca="1">MIN(100,IF($O$5&gt;80,0+30*($AG2070/100),IF($O$5&gt;70,0+50*($AG2070/100),IF($O$5&gt;60,5+50*($AG2070/100),IF($O$5&gt;50,10+60*($AG2070/100),IF($O$5&gt;40,15+70*($AG2070/100),IF($O$5&gt;30,20+70*($AG2070/100),IF($O$5&gt;20,40+55*($AG2070/100),(80+(20-$O$5)+30*($AG2070/100))))))))))</f>
        <v>100</v>
      </c>
      <c r="AI2070" s="262">
        <v>4527</v>
      </c>
      <c r="AJ2070" s="263"/>
      <c r="AK2070" s="263">
        <v>253</v>
      </c>
      <c r="AL2070" s="263"/>
      <c r="AM2070" s="264"/>
      <c r="AN2070" s="263"/>
      <c r="AO2070" s="263"/>
      <c r="AP2070" s="265"/>
      <c r="AQ2070" s="265">
        <v>7721</v>
      </c>
      <c r="AR2070" s="285">
        <v>41789</v>
      </c>
      <c r="AS2070" s="263"/>
      <c r="AT2070" s="263"/>
      <c r="AU2070" s="263"/>
      <c r="AV2070" s="264"/>
      <c r="AW2070" s="263"/>
      <c r="AX2070" s="263"/>
      <c r="AY2070" s="263"/>
      <c r="AZ2070" s="263"/>
      <c r="BA2070" s="263"/>
      <c r="BB2070" s="263"/>
      <c r="BC2070" s="263"/>
      <c r="BD2070" s="264"/>
      <c r="BE2070" s="263"/>
      <c r="BF2070" s="263"/>
      <c r="BG2070" s="263"/>
      <c r="BH2070" s="263"/>
      <c r="BI2070" s="263"/>
      <c r="BJ2070" s="404">
        <f>altaz(J2000_Bas,$O2070,$M2070,DecLat,DecLong,2)</f>
        <v>276.14050914253482</v>
      </c>
      <c r="BK2070" s="378" t="s">
        <v>1990</v>
      </c>
      <c r="BL2070" s="379">
        <f>IF((2*G2070)/60&lt;0.2,0.2,(2*G2070)/60)</f>
        <v>0.2</v>
      </c>
      <c r="BM2070" s="380">
        <f>MOD((50000+AD2070-$B$3+(0/24)),1)</f>
        <v>0.73197054166666931</v>
      </c>
      <c r="BN2070" s="381"/>
      <c r="BO2070" s="382">
        <v>2061</v>
      </c>
    </row>
    <row r="2071" spans="1:67" s="24" customFormat="1" ht="15" customHeight="1" x14ac:dyDescent="0.25">
      <c r="A2071" s="287" t="s">
        <v>1991</v>
      </c>
      <c r="B2071" s="241" t="str">
        <f>HYPERLINK(CONCATENATE($AT$3,BK2071,$AU$3),$AV$3)</f>
        <v>S</v>
      </c>
      <c r="C2071" s="242" t="str">
        <f>HYPERLINK(CONCATENATE($AT$4,BK2071,$AU$4,BL2071),$AV$4)</f>
        <v>A</v>
      </c>
      <c r="D2071" s="243" t="s">
        <v>5638</v>
      </c>
      <c r="E2071" s="244" t="s">
        <v>5182</v>
      </c>
      <c r="F2071" s="269" t="s">
        <v>3300</v>
      </c>
      <c r="G2071" s="273">
        <v>3</v>
      </c>
      <c r="H2071" s="283">
        <v>50</v>
      </c>
      <c r="I2071" s="246">
        <v>45</v>
      </c>
      <c r="J2071" s="246">
        <v>2</v>
      </c>
      <c r="K2071" s="247" t="s">
        <v>7867</v>
      </c>
      <c r="L2071" s="248">
        <v>123416</v>
      </c>
      <c r="M2071" s="249">
        <f>15*(LEFT(TEXT($L2071,"000000"),2)+(MID(TEXT($L2071,"000000"),3,2)/60)+(RIGHT(TEXT($L2071,"000000"),2)/3600))</f>
        <v>188.56666666666666</v>
      </c>
      <c r="N2071" s="250">
        <v>130431</v>
      </c>
      <c r="O2071" s="251">
        <f>IF($N2071&gt;0,(LEFT(TEXT($N2071,"000000"),2)+(MID(TEXT($N2071,"000000"),3,2)/60)+(RIGHT(TEXT($N2071,"000000"),2)/3600)),-(MID(TEXT($N2071,"000000"),2,2)+(MID(TEXT($N2071,"000000"),4,2)/60)+(RIGHT(TEXT($N2071,"000000"),2)/3600)))</f>
        <v>13.075277777777778</v>
      </c>
      <c r="P2071" s="252" t="s">
        <v>61</v>
      </c>
      <c r="Q2071" s="253"/>
      <c r="R2071" s="277" t="s">
        <v>3293</v>
      </c>
      <c r="S2071" s="272" t="s">
        <v>3293</v>
      </c>
      <c r="T2071" s="273">
        <v>11.4</v>
      </c>
      <c r="U2071" s="289">
        <v>22.19</v>
      </c>
      <c r="V2071" s="280">
        <v>50</v>
      </c>
      <c r="W2071" s="244"/>
      <c r="X2071" s="244"/>
      <c r="Y2071" s="362"/>
      <c r="Z2071" s="257">
        <f>altaz(J2000_Bas,$O2071,$M2071,DecLat,DecLong,1)</f>
        <v>0.48477533079524837</v>
      </c>
      <c r="AA2071" s="257">
        <f>altaz((J2000_Bas+(2*0.04167)),$O2071,$M2071,DecLat,DecLong,1)</f>
        <v>-23.079076631231892</v>
      </c>
      <c r="AB2071" s="257">
        <f>altaz((J2000_Bas+(4*0.04167)),$O2071,$M2071,DecLat,DecLong,1)</f>
        <v>-40.954136066072472</v>
      </c>
      <c r="AC2071" s="257">
        <f>altaz((J2000_Bas+(6*0.04167)),$O2071,$M2071,DecLat,DecLong,1)</f>
        <v>-45.309679162818725</v>
      </c>
      <c r="AD2071" s="258">
        <f>1+ transit((J2000_Bas-1),$O2071,$M2071,DecLat,DecLong)/360 + (GMTOffset/24) + (IF(DST="Y", 1, 0)/24)</f>
        <v>1.5166962045463748</v>
      </c>
      <c r="AE2071" s="259">
        <f>DATE(2001,9,21)+(M2071/360)*365 - (360*((DecLong/360)- (GMTOffset/24) ))</f>
        <v>37351.185648148145</v>
      </c>
      <c r="AF2071" s="260">
        <f>IF(DecLat&gt;0,IF((90 - (DecLat-O2071))&gt;90, (90 - (O2071-DecLat)), (90 - (DecLat-O2071))),IF((90 + (DecLat-O2071))&gt;90, (90 + (O2071-DecLat)), (90 + (DecLat-O2071))))</f>
        <v>72.075277777777785</v>
      </c>
      <c r="AG2071" s="257">
        <f>angularseperation(MoonRA,MoonDec,$M2071,$O2071)</f>
        <v>71.231565437483766</v>
      </c>
      <c r="AH2071" s="261">
        <f ca="1">MIN(100,IF($O$5&gt;80,0+30*($AG2071/100),IF($O$5&gt;70,0+50*($AG2071/100),IF($O$5&gt;60,5+50*($AG2071/100),IF($O$5&gt;50,10+60*($AG2071/100),IF($O$5&gt;40,15+70*($AG2071/100),IF($O$5&gt;30,20+70*($AG2071/100),IF($O$5&gt;20,40+55*($AG2071/100),(80+(20-$O$5)+30*($AG2071/100))))))))))</f>
        <v>100</v>
      </c>
      <c r="AI2071" s="262">
        <v>4531</v>
      </c>
      <c r="AJ2071" s="263"/>
      <c r="AK2071" s="263"/>
      <c r="AL2071" s="263"/>
      <c r="AM2071" s="264"/>
      <c r="AN2071" s="263"/>
      <c r="AO2071" s="263"/>
      <c r="AP2071" s="265"/>
      <c r="AQ2071" s="265">
        <v>7729</v>
      </c>
      <c r="AR2071" s="285">
        <v>41806</v>
      </c>
      <c r="AS2071" s="263"/>
      <c r="AT2071" s="263"/>
      <c r="AU2071" s="263"/>
      <c r="AV2071" s="264"/>
      <c r="AW2071" s="263"/>
      <c r="AX2071" s="263"/>
      <c r="AY2071" s="263"/>
      <c r="AZ2071" s="263"/>
      <c r="BA2071" s="263"/>
      <c r="BB2071" s="263"/>
      <c r="BC2071" s="263"/>
      <c r="BD2071" s="264"/>
      <c r="BE2071" s="263"/>
      <c r="BF2071" s="263"/>
      <c r="BG2071" s="263"/>
      <c r="BH2071" s="263"/>
      <c r="BI2071" s="263"/>
      <c r="BJ2071" s="404">
        <f>altaz(J2000_Bas,$O2071,$M2071,DecLat,DecLong,2)</f>
        <v>285.00208323402541</v>
      </c>
      <c r="BK2071" s="378" t="s">
        <v>1991</v>
      </c>
      <c r="BL2071" s="379">
        <f>IF((2*G2071)/60&lt;0.2,0.2,(2*G2071)/60)</f>
        <v>0.2</v>
      </c>
      <c r="BM2071" s="380">
        <f>MOD((50000+AD2071-$B$3+(0/24)),1)</f>
        <v>0.73206313425180269</v>
      </c>
      <c r="BN2071" s="381"/>
      <c r="BO2071" s="382">
        <v>2062</v>
      </c>
    </row>
    <row r="2072" spans="1:67" s="24" customFormat="1" ht="15" customHeight="1" x14ac:dyDescent="0.25">
      <c r="A2072" s="287" t="s">
        <v>1992</v>
      </c>
      <c r="B2072" s="241" t="str">
        <f>HYPERLINK(CONCATENATE($AT$3,BK2072,$AU$3),$AV$3)</f>
        <v>S</v>
      </c>
      <c r="C2072" s="242" t="str">
        <f>HYPERLINK(CONCATENATE($AT$4,BK2072,$AU$4,BL2072),$AV$4)</f>
        <v>A</v>
      </c>
      <c r="D2072" s="243" t="s">
        <v>5638</v>
      </c>
      <c r="E2072" s="244" t="s">
        <v>29</v>
      </c>
      <c r="F2072" s="269"/>
      <c r="G2072" s="273">
        <v>2.6</v>
      </c>
      <c r="H2072" s="283">
        <v>36</v>
      </c>
      <c r="I2072" s="246">
        <v>26</v>
      </c>
      <c r="J2072" s="246">
        <v>2</v>
      </c>
      <c r="K2072" s="247" t="s">
        <v>8269</v>
      </c>
      <c r="L2072" s="248">
        <v>123419</v>
      </c>
      <c r="M2072" s="249">
        <f>15*(LEFT(TEXT($L2072,"000000"),2)+(MID(TEXT($L2072,"000000"),3,2)/60)+(RIGHT(TEXT($L2072,"000000"),2)/3600))</f>
        <v>188.57916666666665</v>
      </c>
      <c r="N2072" s="250">
        <v>62809</v>
      </c>
      <c r="O2072" s="251">
        <f>IF($N2072&gt;0,(LEFT(TEXT($N2072,"000000"),2)+(MID(TEXT($N2072,"000000"),3,2)/60)+(RIGHT(TEXT($N2072,"000000"),2)/3600)),-(MID(TEXT($N2072,"000000"),2,2)+(MID(TEXT($N2072,"000000"),4,2)/60)+(RIGHT(TEXT($N2072,"000000"),2)/3600)))</f>
        <v>6.4691666666666672</v>
      </c>
      <c r="P2072" s="252" t="s">
        <v>61</v>
      </c>
      <c r="Q2072" s="253"/>
      <c r="R2072" s="277" t="s">
        <v>3293</v>
      </c>
      <c r="S2072" s="272" t="s">
        <v>3293</v>
      </c>
      <c r="T2072" s="273">
        <v>11.9</v>
      </c>
      <c r="U2072" s="289">
        <v>21.89</v>
      </c>
      <c r="V2072" s="280"/>
      <c r="W2072" s="244"/>
      <c r="X2072" s="244"/>
      <c r="Y2072" s="362"/>
      <c r="Z2072" s="257">
        <f>altaz(J2000_Bas,$O2072,$M2072,DecLat,DecLong,1)</f>
        <v>-2.9815093262815049</v>
      </c>
      <c r="AA2072" s="257">
        <f>altaz((J2000_Bas+(2*0.04167)),$O2072,$M2072,DecLat,DecLong,1)</f>
        <v>-27.422839149985137</v>
      </c>
      <c r="AB2072" s="257">
        <f>altaz((J2000_Bas+(4*0.04167)),$O2072,$M2072,DecLat,DecLong,1)</f>
        <v>-46.833919307903145</v>
      </c>
      <c r="AC2072" s="257">
        <f>altaz((J2000_Bas+(6*0.04167)),$O2072,$M2072,DecLat,DecLong,1)</f>
        <v>-51.817588353225325</v>
      </c>
      <c r="AD2072" s="258">
        <f>1+ transit((J2000_Bas-1),$O2072,$M2072,DecLat,DecLong)/360 + (GMTOffset/24) + (IF(DST="Y", 1, 0)/24)</f>
        <v>1.5167309267651246</v>
      </c>
      <c r="AE2072" s="259">
        <f>DATE(2001,9,21)+(M2072/360)*365 - (360*((DecLong/360)- (GMTOffset/24) ))</f>
        <v>37351.198321759257</v>
      </c>
      <c r="AF2072" s="260">
        <f>IF(DecLat&gt;0,IF((90 - (DecLat-O2072))&gt;90, (90 - (O2072-DecLat)), (90 - (DecLat-O2072))),IF((90 + (DecLat-O2072))&gt;90, (90 + (O2072-DecLat)), (90 + (DecLat-O2072))))</f>
        <v>65.469166666666666</v>
      </c>
      <c r="AG2072" s="257">
        <f>angularseperation(MoonRA,MoonDec,$M2072,$O2072)</f>
        <v>67.533334505547316</v>
      </c>
      <c r="AH2072" s="261">
        <f ca="1">MIN(100,IF($O$5&gt;80,0+30*($AG2072/100),IF($O$5&gt;70,0+50*($AG2072/100),IF($O$5&gt;60,5+50*($AG2072/100),IF($O$5&gt;50,10+60*($AG2072/100),IF($O$5&gt;40,15+70*($AG2072/100),IF($O$5&gt;30,20+70*($AG2072/100),IF($O$5&gt;20,40+55*($AG2072/100),(80+(20-$O$5)+30*($AG2072/100))))))))))</f>
        <v>100</v>
      </c>
      <c r="AI2072" s="262">
        <v>4532</v>
      </c>
      <c r="AJ2072" s="263"/>
      <c r="AK2072" s="263"/>
      <c r="AL2072" s="263"/>
      <c r="AM2072" s="264"/>
      <c r="AN2072" s="263"/>
      <c r="AO2072" s="263"/>
      <c r="AP2072" s="265"/>
      <c r="AQ2072" s="265">
        <v>7726</v>
      </c>
      <c r="AR2072" s="285">
        <v>41811</v>
      </c>
      <c r="AS2072" s="263"/>
      <c r="AT2072" s="263"/>
      <c r="AU2072" s="263"/>
      <c r="AV2072" s="264"/>
      <c r="AW2072" s="263"/>
      <c r="AX2072" s="263"/>
      <c r="AY2072" s="263"/>
      <c r="AZ2072" s="263"/>
      <c r="BA2072" s="263"/>
      <c r="BB2072" s="263"/>
      <c r="BC2072" s="263"/>
      <c r="BD2072" s="264"/>
      <c r="BE2072" s="263"/>
      <c r="BF2072" s="263"/>
      <c r="BG2072" s="263"/>
      <c r="BH2072" s="263"/>
      <c r="BI2072" s="263"/>
      <c r="BJ2072" s="404">
        <f>altaz(J2000_Bas,$O2072,$M2072,DecLat,DecLong,2)</f>
        <v>279.37621211534758</v>
      </c>
      <c r="BK2072" s="378" t="s">
        <v>1992</v>
      </c>
      <c r="BL2072" s="379">
        <f>IF((2*G2072)/60&lt;0.2,0.2,(2*G2072)/60)</f>
        <v>0.2</v>
      </c>
      <c r="BM2072" s="380">
        <f>MOD((50000+AD2072-$B$3+(0/24)),1)</f>
        <v>0.73209785646758974</v>
      </c>
      <c r="BN2072" s="381"/>
      <c r="BO2072" s="382">
        <v>2063</v>
      </c>
    </row>
    <row r="2073" spans="1:67" s="24" customFormat="1" ht="15" customHeight="1" x14ac:dyDescent="0.25">
      <c r="A2073" s="288" t="s">
        <v>1993</v>
      </c>
      <c r="B2073" s="241" t="str">
        <f>HYPERLINK(CONCATENATE($AT$3,BK2073,$AU$3),$AV$3)</f>
        <v>S</v>
      </c>
      <c r="C2073" s="242" t="str">
        <f>HYPERLINK(CONCATENATE($AT$4,BK2073,$AU$4,BL2073),$AV$4)</f>
        <v>A</v>
      </c>
      <c r="D2073" s="243" t="s">
        <v>5638</v>
      </c>
      <c r="E2073" s="244" t="s">
        <v>5192</v>
      </c>
      <c r="F2073" s="269" t="s">
        <v>8891</v>
      </c>
      <c r="G2073" s="273">
        <v>7</v>
      </c>
      <c r="H2073" s="283">
        <v>50</v>
      </c>
      <c r="I2073" s="246">
        <v>100</v>
      </c>
      <c r="J2073" s="246">
        <v>2</v>
      </c>
      <c r="K2073" s="247" t="s">
        <v>8270</v>
      </c>
      <c r="L2073" s="248">
        <v>123420</v>
      </c>
      <c r="M2073" s="249">
        <f>15*(LEFT(TEXT($L2073,"000000"),2)+(MID(TEXT($L2073,"000000"),3,2)/60)+(RIGHT(TEXT($L2073,"000000"),2)/3600))</f>
        <v>188.58333333333334</v>
      </c>
      <c r="N2073" s="250">
        <v>81152</v>
      </c>
      <c r="O2073" s="251">
        <f>IF($N2073&gt;0,(LEFT(TEXT($N2073,"000000"),2)+(MID(TEXT($N2073,"000000"),3,2)/60)+(RIGHT(TEXT($N2073,"000000"),2)/3600)),-(MID(TEXT($N2073,"000000"),2,2)+(MID(TEXT($N2073,"000000"),4,2)/60)+(RIGHT(TEXT($N2073,"000000"),2)/3600)))</f>
        <v>8.1977777777777785</v>
      </c>
      <c r="P2073" s="252" t="s">
        <v>61</v>
      </c>
      <c r="Q2073" s="253" t="s">
        <v>8271</v>
      </c>
      <c r="R2073" s="247" t="s">
        <v>3293</v>
      </c>
      <c r="S2073" s="272" t="s">
        <v>3293</v>
      </c>
      <c r="T2073" s="273">
        <v>11</v>
      </c>
      <c r="U2073" s="289">
        <v>22.59</v>
      </c>
      <c r="V2073" s="280">
        <v>45</v>
      </c>
      <c r="W2073" s="244"/>
      <c r="X2073" s="244"/>
      <c r="Y2073" s="362"/>
      <c r="Z2073" s="257">
        <f>altaz(J2000_Bas,$O2073,$M2073,DecLat,DecLong,1)</f>
        <v>-2.0696889993414436</v>
      </c>
      <c r="AA2073" s="257">
        <f>altaz((J2000_Bas+(2*0.04167)),$O2073,$M2073,DecLat,DecLong,1)</f>
        <v>-26.300814075648749</v>
      </c>
      <c r="AB2073" s="257">
        <f>altaz((J2000_Bas+(4*0.04167)),$O2073,$M2073,DecLat,DecLong,1)</f>
        <v>-45.307181592621305</v>
      </c>
      <c r="AC2073" s="257">
        <f>altaz((J2000_Bas+(6*0.04167)),$O2073,$M2073,DecLat,DecLong,1)</f>
        <v>-50.118541699949539</v>
      </c>
      <c r="AD2073" s="258">
        <f>1+ transit((J2000_Bas-1),$O2073,$M2073,DecLat,DecLong)/360 + (GMTOffset/24) + (IF(DST="Y", 1, 0)/24)</f>
        <v>1.5167425008380413</v>
      </c>
      <c r="AE2073" s="259">
        <f>DATE(2001,9,21)+(M2073/360)*365 - (360*((DecLong/360)- (GMTOffset/24) ))</f>
        <v>37351.202546296299</v>
      </c>
      <c r="AF2073" s="260">
        <f>IF(DecLat&gt;0,IF((90 - (DecLat-O2073))&gt;90, (90 - (O2073-DecLat)), (90 - (DecLat-O2073))),IF((90 + (DecLat-O2073))&gt;90, (90 + (O2073-DecLat)), (90 + (DecLat-O2073))))</f>
        <v>67.197777777777787</v>
      </c>
      <c r="AG2073" s="257">
        <f>angularseperation(MoonRA,MoonDec,$M2073,$O2073)</f>
        <v>68.475536097338917</v>
      </c>
      <c r="AH2073" s="261">
        <f ca="1">MIN(100,IF($O$5&gt;80,0+30*($AG2073/100),IF($O$5&gt;70,0+50*($AG2073/100),IF($O$5&gt;60,5+50*($AG2073/100),IF($O$5&gt;50,10+60*($AG2073/100),IF($O$5&gt;40,15+70*($AG2073/100),IF($O$5&gt;30,20+70*($AG2073/100),IF($O$5&gt;20,40+55*($AG2073/100),(80+(20-$O$5)+30*($AG2073/100))))))))))</f>
        <v>100</v>
      </c>
      <c r="AI2073" s="262">
        <v>4535</v>
      </c>
      <c r="AJ2073" s="262"/>
      <c r="AK2073" s="262">
        <v>254</v>
      </c>
      <c r="AL2073" s="263"/>
      <c r="AM2073" s="264"/>
      <c r="AN2073" s="263"/>
      <c r="AO2073" s="263"/>
      <c r="AP2073" s="265"/>
      <c r="AQ2073" s="266">
        <v>7727</v>
      </c>
      <c r="AR2073" s="267">
        <v>41812</v>
      </c>
      <c r="AS2073" s="263"/>
      <c r="AT2073" s="263"/>
      <c r="AU2073" s="263"/>
      <c r="AV2073" s="264"/>
      <c r="AW2073" s="263"/>
      <c r="AX2073" s="263"/>
      <c r="AY2073" s="263"/>
      <c r="AZ2073" s="263"/>
      <c r="BA2073" s="263"/>
      <c r="BB2073" s="263"/>
      <c r="BC2073" s="263"/>
      <c r="BD2073" s="264"/>
      <c r="BE2073" s="263"/>
      <c r="BF2073" s="263"/>
      <c r="BG2073" s="263">
        <v>56</v>
      </c>
      <c r="BH2073" s="263"/>
      <c r="BI2073" s="263"/>
      <c r="BJ2073" s="404">
        <f>altaz(J2000_Bas,$O2073,$M2073,DecLat,DecLong,2)</f>
        <v>280.84622546462197</v>
      </c>
      <c r="BK2073" s="378" t="s">
        <v>1993</v>
      </c>
      <c r="BL2073" s="379">
        <f>IF((2*G2073)/60&lt;0.2,0.2,(2*G2073)/60)</f>
        <v>0.23333333333333334</v>
      </c>
      <c r="BM2073" s="380">
        <f>MOD((50000+AD2073-$B$3+(0/24)),1)</f>
        <v>0.73210943054436939</v>
      </c>
      <c r="BN2073" s="381"/>
      <c r="BO2073" s="382">
        <v>2064</v>
      </c>
    </row>
    <row r="2074" spans="1:67" s="24" customFormat="1" ht="15" customHeight="1" x14ac:dyDescent="0.25">
      <c r="A2074" s="288" t="s">
        <v>1994</v>
      </c>
      <c r="B2074" s="241" t="str">
        <f>HYPERLINK(CONCATENATE($AT$3,BK2074,$AU$3),$AV$3)</f>
        <v>S</v>
      </c>
      <c r="C2074" s="242" t="str">
        <f>HYPERLINK(CONCATENATE($AT$4,BK2074,$AU$4,BL2074),$AV$4)</f>
        <v>A</v>
      </c>
      <c r="D2074" s="243" t="s">
        <v>5638</v>
      </c>
      <c r="E2074" s="244" t="s">
        <v>5192</v>
      </c>
      <c r="F2074" s="269" t="s">
        <v>8890</v>
      </c>
      <c r="G2074" s="273">
        <v>7</v>
      </c>
      <c r="H2074" s="283">
        <v>50</v>
      </c>
      <c r="I2074" s="246">
        <v>100</v>
      </c>
      <c r="J2074" s="246">
        <v>2</v>
      </c>
      <c r="K2074" s="247" t="s">
        <v>8272</v>
      </c>
      <c r="L2074" s="248">
        <v>123427</v>
      </c>
      <c r="M2074" s="249">
        <f>15*(LEFT(TEXT($L2074,"000000"),2)+(MID(TEXT($L2074,"000000"),3,2)/60)+(RIGHT(TEXT($L2074,"000000"),2)/3600))</f>
        <v>188.61250000000001</v>
      </c>
      <c r="N2074" s="250">
        <v>21115</v>
      </c>
      <c r="O2074" s="251">
        <f>IF($N2074&gt;0,(LEFT(TEXT($N2074,"000000"),2)+(MID(TEXT($N2074,"000000"),3,2)/60)+(RIGHT(TEXT($N2074,"000000"),2)/3600)),-(MID(TEXT($N2074,"000000"),2,2)+(MID(TEXT($N2074,"000000"),4,2)/60)+(RIGHT(TEXT($N2074,"000000"),2)/3600)))</f>
        <v>2.1875</v>
      </c>
      <c r="P2074" s="252" t="s">
        <v>61</v>
      </c>
      <c r="Q2074" s="253"/>
      <c r="R2074" s="247" t="s">
        <v>3293</v>
      </c>
      <c r="S2074" s="272" t="s">
        <v>3293</v>
      </c>
      <c r="T2074" s="273">
        <v>10.6</v>
      </c>
      <c r="U2074" s="289">
        <v>22.79</v>
      </c>
      <c r="V2074" s="280">
        <v>70</v>
      </c>
      <c r="W2074" s="244"/>
      <c r="X2074" s="244"/>
      <c r="Y2074" s="362"/>
      <c r="Z2074" s="257">
        <f>altaz(J2000_Bas,$O2074,$M2074,DecLat,DecLong,1)</f>
        <v>-5.1931577517768419</v>
      </c>
      <c r="AA2074" s="257">
        <f>altaz((J2000_Bas+(2*0.04167)),$O2074,$M2074,DecLat,DecLong,1)</f>
        <v>-30.097353031442886</v>
      </c>
      <c r="AB2074" s="257">
        <f>altaz((J2000_Bas+(4*0.04167)),$O2074,$M2074,DecLat,DecLong,1)</f>
        <v>-50.535781398257946</v>
      </c>
      <c r="AC2074" s="257">
        <f>altaz((J2000_Bas+(6*0.04167)),$O2074,$M2074,DecLat,DecLong,1)</f>
        <v>-56.024101439285239</v>
      </c>
      <c r="AD2074" s="258">
        <f>1+ transit((J2000_Bas-1),$O2074,$M2074,DecLat,DecLong)/360 + (GMTOffset/24) + (IF(DST="Y", 1, 0)/24)</f>
        <v>1.516823519348458</v>
      </c>
      <c r="AE2074" s="259">
        <f>DATE(2001,9,21)+(M2074/360)*365 - (360*((DecLong/360)- (GMTOffset/24) ))</f>
        <v>37351.232118055559</v>
      </c>
      <c r="AF2074" s="260">
        <f>IF(DecLat&gt;0,IF((90 - (DecLat-O2074))&gt;90, (90 - (O2074-DecLat)), (90 - (DecLat-O2074))),IF((90 + (DecLat-O2074))&gt;90, (90 + (O2074-DecLat)), (90 + (DecLat-O2074))))</f>
        <v>61.1875</v>
      </c>
      <c r="AG2074" s="257">
        <f>angularseperation(MoonRA,MoonDec,$M2074,$O2074)</f>
        <v>65.230058304082704</v>
      </c>
      <c r="AH2074" s="261">
        <f ca="1">MIN(100,IF($O$5&gt;80,0+30*($AG2074/100),IF($O$5&gt;70,0+50*($AG2074/100),IF($O$5&gt;60,5+50*($AG2074/100),IF($O$5&gt;50,10+60*($AG2074/100),IF($O$5&gt;40,15+70*($AG2074/100),IF($O$5&gt;30,20+70*($AG2074/100),IF($O$5&gt;20,40+55*($AG2074/100),(80+(20-$O$5)+30*($AG2074/100))))))))))</f>
        <v>100</v>
      </c>
      <c r="AI2074" s="262">
        <v>4536</v>
      </c>
      <c r="AJ2074" s="262"/>
      <c r="AK2074" s="262">
        <v>255</v>
      </c>
      <c r="AL2074" s="263"/>
      <c r="AM2074" s="264"/>
      <c r="AN2074" s="263"/>
      <c r="AO2074" s="263"/>
      <c r="AP2074" s="265"/>
      <c r="AQ2074" s="266">
        <v>7732</v>
      </c>
      <c r="AR2074" s="267">
        <v>41823</v>
      </c>
      <c r="AS2074" s="263"/>
      <c r="AT2074" s="263"/>
      <c r="AU2074" s="263"/>
      <c r="AV2074" s="264"/>
      <c r="AW2074" s="263"/>
      <c r="AX2074" s="263"/>
      <c r="AY2074" s="263"/>
      <c r="AZ2074" s="263"/>
      <c r="BA2074" s="263"/>
      <c r="BB2074" s="263"/>
      <c r="BC2074" s="263"/>
      <c r="BD2074" s="264"/>
      <c r="BE2074" s="263"/>
      <c r="BF2074" s="263"/>
      <c r="BG2074" s="263"/>
      <c r="BH2074" s="263"/>
      <c r="BI2074" s="263"/>
      <c r="BJ2074" s="404">
        <f>altaz(J2000_Bas,$O2074,$M2074,DecLat,DecLong,2)</f>
        <v>275.70024235900257</v>
      </c>
      <c r="BK2074" s="378" t="s">
        <v>1994</v>
      </c>
      <c r="BL2074" s="379">
        <f>IF((2*G2074)/60&lt;0.2,0.2,(2*G2074)/60)</f>
        <v>0.23333333333333334</v>
      </c>
      <c r="BM2074" s="380">
        <f>MOD((50000+AD2074-$B$3+(0/24)),1)</f>
        <v>0.73219044905272312</v>
      </c>
      <c r="BN2074" s="381"/>
      <c r="BO2074" s="382">
        <v>2065</v>
      </c>
    </row>
    <row r="2075" spans="1:67" s="24" customFormat="1" ht="15" customHeight="1" x14ac:dyDescent="0.25">
      <c r="A2075" s="287" t="s">
        <v>3006</v>
      </c>
      <c r="B2075" s="241" t="str">
        <f>HYPERLINK(CONCATENATE($AT$3,BK2075,$AU$3),$AV$3)</f>
        <v>S</v>
      </c>
      <c r="C2075" s="242" t="str">
        <f>HYPERLINK(CONCATENATE($AT$4,BK2075,$AU$4,BL2075),$AV$4)</f>
        <v>A</v>
      </c>
      <c r="D2075" s="243" t="s">
        <v>5638</v>
      </c>
      <c r="E2075" s="244" t="s">
        <v>5182</v>
      </c>
      <c r="F2075" s="269" t="s">
        <v>8903</v>
      </c>
      <c r="G2075" s="273">
        <v>3.2</v>
      </c>
      <c r="H2075" s="283">
        <v>45</v>
      </c>
      <c r="I2075" s="246">
        <v>44</v>
      </c>
      <c r="J2075" s="246">
        <v>1</v>
      </c>
      <c r="K2075" s="247" t="s">
        <v>8273</v>
      </c>
      <c r="L2075" s="248">
        <v>123530</v>
      </c>
      <c r="M2075" s="249">
        <f>15*(LEFT(TEXT($L2075,"000000"),2)+(MID(TEXT($L2075,"000000"),3,2)/60)+(RIGHT(TEXT($L2075,"000000"),2)/3600))</f>
        <v>188.875</v>
      </c>
      <c r="N2075" s="250">
        <v>-34700</v>
      </c>
      <c r="O2075" s="251">
        <f>IF($N2075&gt;0,(LEFT(TEXT($N2075,"000000"),2)+(MID(TEXT($N2075,"000000"),3,2)/60)+(RIGHT(TEXT($N2075,"000000"),2)/3600)),-(MID(TEXT($N2075,"000000"),2,2)+(MID(TEXT($N2075,"000000"),4,2)/60)+(RIGHT(TEXT($N2075,"000000"),2)/3600)))</f>
        <v>-3.7833333333333332</v>
      </c>
      <c r="P2075" s="252" t="s">
        <v>61</v>
      </c>
      <c r="Q2075" s="253"/>
      <c r="R2075" s="277" t="s">
        <v>3293</v>
      </c>
      <c r="S2075" s="272" t="s">
        <v>3293</v>
      </c>
      <c r="T2075" s="273">
        <v>10.3</v>
      </c>
      <c r="U2075" s="289">
        <v>20.79</v>
      </c>
      <c r="V2075" s="280">
        <v>75</v>
      </c>
      <c r="W2075" s="244"/>
      <c r="X2075" s="244"/>
      <c r="Y2075" s="362"/>
      <c r="Z2075" s="257">
        <f>altaz(J2000_Bas,$O2075,$M2075,DecLat,DecLong,1)</f>
        <v>-8.0541872343512679</v>
      </c>
      <c r="AA2075" s="257">
        <f>altaz((J2000_Bas+(2*0.04167)),$O2075,$M2075,DecLat,DecLong,1)</f>
        <v>-33.452260015874344</v>
      </c>
      <c r="AB2075" s="257">
        <f>altaz((J2000_Bas+(4*0.04167)),$O2075,$M2075,DecLat,DecLong,1)</f>
        <v>-55.387385323697735</v>
      </c>
      <c r="AC2075" s="257">
        <f>altaz((J2000_Bas+(6*0.04167)),$O2075,$M2075,DecLat,DecLong,1)</f>
        <v>-61.90837561474347</v>
      </c>
      <c r="AD2075" s="258">
        <f>1+ transit((J2000_Bas-1),$O2075,$M2075,DecLat,DecLong)/360 + (GMTOffset/24) + (IF(DST="Y", 1, 0)/24)</f>
        <v>1.5175526859422079</v>
      </c>
      <c r="AE2075" s="259">
        <f>DATE(2001,9,21)+(M2075/360)*365 - (360*((DecLong/360)- (GMTOffset/24) ))</f>
        <v>37351.498263888891</v>
      </c>
      <c r="AF2075" s="260">
        <f>IF(DecLat&gt;0,IF((90 - (DecLat-O2075))&gt;90, (90 - (O2075-DecLat)), (90 - (DecLat-O2075))),IF((90 + (DecLat-O2075))&gt;90, (90 + (O2075-DecLat)), (90 + (DecLat-O2075))))</f>
        <v>55.216666666666669</v>
      </c>
      <c r="AG2075" s="257">
        <f>angularseperation(MoonRA,MoonDec,$M2075,$O2075)</f>
        <v>62.0107660616722</v>
      </c>
      <c r="AH2075" s="261">
        <f ca="1">MIN(100,IF($O$5&gt;80,0+30*($AG2075/100),IF($O$5&gt;70,0+50*($AG2075/100),IF($O$5&gt;60,5+50*($AG2075/100),IF($O$5&gt;50,10+60*($AG2075/100),IF($O$5&gt;40,15+70*($AG2075/100),IF($O$5&gt;30,20+70*($AG2075/100),IF($O$5&gt;20,40+55*($AG2075/100),(80+(20-$O$5)+30*($AG2075/100))))))))))</f>
        <v>100</v>
      </c>
      <c r="AI2075" s="262">
        <v>4546</v>
      </c>
      <c r="AJ2075" s="263"/>
      <c r="AK2075" s="263">
        <v>256</v>
      </c>
      <c r="AL2075" s="263"/>
      <c r="AM2075" s="264"/>
      <c r="AN2075" s="263"/>
      <c r="AO2075" s="263"/>
      <c r="AP2075" s="265"/>
      <c r="AQ2075" s="265"/>
      <c r="AR2075" s="285">
        <v>41939</v>
      </c>
      <c r="AS2075" s="263"/>
      <c r="AT2075" s="263"/>
      <c r="AU2075" s="263"/>
      <c r="AV2075" s="264"/>
      <c r="AW2075" s="263"/>
      <c r="AX2075" s="263"/>
      <c r="AY2075" s="263"/>
      <c r="AZ2075" s="263"/>
      <c r="BA2075" s="263"/>
      <c r="BB2075" s="263"/>
      <c r="BC2075" s="263"/>
      <c r="BD2075" s="264"/>
      <c r="BE2075" s="263"/>
      <c r="BF2075" s="263"/>
      <c r="BG2075" s="263"/>
      <c r="BH2075" s="263"/>
      <c r="BI2075" s="263"/>
      <c r="BJ2075" s="404">
        <f>altaz(J2000_Bas,$O2075,$M2075,DecLat,DecLong,2)</f>
        <v>270.41708284878138</v>
      </c>
      <c r="BK2075" s="378" t="s">
        <v>3006</v>
      </c>
      <c r="BL2075" s="379">
        <f>IF((2*G2075)/60&lt;0.2,0.2,(2*G2075)/60)</f>
        <v>0.2</v>
      </c>
      <c r="BM2075" s="380">
        <f>MOD((50000+AD2075-$B$3+(0/24)),1)</f>
        <v>0.73291961564973462</v>
      </c>
      <c r="BN2075" s="381"/>
      <c r="BO2075" s="382">
        <v>2066</v>
      </c>
    </row>
    <row r="2076" spans="1:67" s="24" customFormat="1" ht="15" customHeight="1" x14ac:dyDescent="0.25">
      <c r="A2076" s="287" t="s">
        <v>3007</v>
      </c>
      <c r="B2076" s="241" t="str">
        <f>HYPERLINK(CONCATENATE($AT$3,BK2076,$AU$3),$AV$3)</f>
        <v>S</v>
      </c>
      <c r="C2076" s="242" t="str">
        <f>HYPERLINK(CONCATENATE($AT$4,BK2076,$AU$4,BL2076),$AV$4)</f>
        <v>A</v>
      </c>
      <c r="D2076" s="243" t="s">
        <v>5638</v>
      </c>
      <c r="E2076" s="244" t="s">
        <v>5182</v>
      </c>
      <c r="F2076" s="269" t="s">
        <v>8903</v>
      </c>
      <c r="G2076" s="273">
        <v>3.3</v>
      </c>
      <c r="H2076" s="283">
        <v>50</v>
      </c>
      <c r="I2076" s="246">
        <v>50</v>
      </c>
      <c r="J2076" s="246">
        <v>2</v>
      </c>
      <c r="K2076" s="247" t="s">
        <v>8275</v>
      </c>
      <c r="L2076" s="248">
        <v>123536</v>
      </c>
      <c r="M2076" s="249">
        <f>15*(LEFT(TEXT($L2076,"000000"),2)+(MID(TEXT($L2076,"000000"),3,2)/60)+(RIGHT(TEXT($L2076,"000000"),2)/3600))</f>
        <v>188.9</v>
      </c>
      <c r="N2076" s="250">
        <v>121400</v>
      </c>
      <c r="O2076" s="251">
        <f>IF($N2076&gt;0,(LEFT(TEXT($N2076,"000000"),2)+(MID(TEXT($N2076,"000000"),3,2)/60)+(RIGHT(TEXT($N2076,"000000"),2)/3600)),-(MID(TEXT($N2076,"000000"),2,2)+(MID(TEXT($N2076,"000000"),4,2)/60)+(RIGHT(TEXT($N2076,"000000"),2)/3600)))</f>
        <v>12.233333333333333</v>
      </c>
      <c r="P2076" s="252" t="s">
        <v>61</v>
      </c>
      <c r="Q2076" s="253"/>
      <c r="R2076" s="277" t="s">
        <v>3293</v>
      </c>
      <c r="S2076" s="272" t="s">
        <v>8274</v>
      </c>
      <c r="T2076" s="273">
        <v>11.7</v>
      </c>
      <c r="U2076" s="289">
        <v>21.69</v>
      </c>
      <c r="V2076" s="280"/>
      <c r="W2076" s="244"/>
      <c r="X2076" s="244"/>
      <c r="Y2076" s="362"/>
      <c r="Z2076" s="257">
        <f>altaz(J2000_Bas,$O2076,$M2076,DecLat,DecLong,1)</f>
        <v>0.31820376979545928</v>
      </c>
      <c r="AA2076" s="257">
        <f>altaz((J2000_Bas+(2*0.04167)),$O2076,$M2076,DecLat,DecLong,1)</f>
        <v>-23.402763691197766</v>
      </c>
      <c r="AB2076" s="257">
        <f>altaz((J2000_Bas+(4*0.04167)),$O2076,$M2076,DecLat,DecLong,1)</f>
        <v>-41.568918799252764</v>
      </c>
      <c r="AC2076" s="257">
        <f>altaz((J2000_Bas+(6*0.04167)),$O2076,$M2076,DecLat,DecLong,1)</f>
        <v>-46.192968555675968</v>
      </c>
      <c r="AD2076" s="258">
        <f>1+ transit((J2000_Bas-1),$O2076,$M2076,DecLat,DecLong)/360 + (GMTOffset/24) + (IF(DST="Y", 1, 0)/24)</f>
        <v>1.5176221303797079</v>
      </c>
      <c r="AE2076" s="259">
        <f>DATE(2001,9,21)+(M2076/360)*365 - (360*((DecLong/360)- (GMTOffset/24) ))</f>
        <v>37351.523611111108</v>
      </c>
      <c r="AF2076" s="260">
        <f>IF(DecLat&gt;0,IF((90 - (DecLat-O2076))&gt;90, (90 - (O2076-DecLat)), (90 - (DecLat-O2076))),IF((90 + (DecLat-O2076))&gt;90, (90 + (O2076-DecLat)), (90 + (DecLat-O2076))))</f>
        <v>71.233333333333334</v>
      </c>
      <c r="AG2076" s="257">
        <f>angularseperation(MoonRA,MoonDec,$M2076,$O2076)</f>
        <v>70.483277888557566</v>
      </c>
      <c r="AH2076" s="261">
        <f ca="1">MIN(100,IF($O$5&gt;80,0+30*($AG2076/100),IF($O$5&gt;70,0+50*($AG2076/100),IF($O$5&gt;60,5+50*($AG2076/100),IF($O$5&gt;50,10+60*($AG2076/100),IF($O$5&gt;40,15+70*($AG2076/100),IF($O$5&gt;30,20+70*($AG2076/100),IF($O$5&gt;20,40+55*($AG2076/100),(80+(20-$O$5)+30*($AG2076/100))))))))))</f>
        <v>100</v>
      </c>
      <c r="AI2076" s="262">
        <v>4550</v>
      </c>
      <c r="AJ2076" s="263"/>
      <c r="AK2076" s="263">
        <v>258</v>
      </c>
      <c r="AL2076" s="263"/>
      <c r="AM2076" s="264"/>
      <c r="AN2076" s="263"/>
      <c r="AO2076" s="263"/>
      <c r="AP2076" s="265"/>
      <c r="AQ2076" s="265">
        <v>7757</v>
      </c>
      <c r="AR2076" s="285">
        <v>41943</v>
      </c>
      <c r="AS2076" s="263"/>
      <c r="AT2076" s="263"/>
      <c r="AU2076" s="263"/>
      <c r="AV2076" s="264"/>
      <c r="AW2076" s="263"/>
      <c r="AX2076" s="263"/>
      <c r="AY2076" s="263"/>
      <c r="AZ2076" s="263"/>
      <c r="BA2076" s="263"/>
      <c r="BB2076" s="263"/>
      <c r="BC2076" s="263"/>
      <c r="BD2076" s="264"/>
      <c r="BE2076" s="263"/>
      <c r="BF2076" s="263"/>
      <c r="BG2076" s="263"/>
      <c r="BH2076" s="263"/>
      <c r="BI2076" s="263"/>
      <c r="BJ2076" s="404">
        <f>altaz(J2000_Bas,$O2076,$M2076,DecLat,DecLong,2)</f>
        <v>284.11498676397662</v>
      </c>
      <c r="BK2076" s="378" t="s">
        <v>3007</v>
      </c>
      <c r="BL2076" s="379">
        <f>IF((2*G2076)/60&lt;0.2,0.2,(2*G2076)/60)</f>
        <v>0.2</v>
      </c>
      <c r="BM2076" s="380">
        <f>MOD((50000+AD2076-$B$3+(0/24)),1)</f>
        <v>0.73298906008130871</v>
      </c>
      <c r="BN2076" s="381"/>
      <c r="BO2076" s="382">
        <v>2067</v>
      </c>
    </row>
    <row r="2077" spans="1:67" s="24" customFormat="1" ht="15" customHeight="1" x14ac:dyDescent="0.25">
      <c r="A2077" s="288" t="s">
        <v>1995</v>
      </c>
      <c r="B2077" s="241" t="str">
        <f>HYPERLINK(CONCATENATE($AT$3,BK2077,$AU$3),$AV$3)</f>
        <v>S</v>
      </c>
      <c r="C2077" s="242" t="str">
        <f>HYPERLINK(CONCATENATE($AT$4,BK2077,$AU$4,BL2077),$AV$4)</f>
        <v>A</v>
      </c>
      <c r="D2077" s="243" t="s">
        <v>5638</v>
      </c>
      <c r="E2077" s="244" t="s">
        <v>5192</v>
      </c>
      <c r="F2077" s="269" t="s">
        <v>8895</v>
      </c>
      <c r="G2077" s="276">
        <v>10</v>
      </c>
      <c r="H2077" s="283">
        <v>23</v>
      </c>
      <c r="I2077" s="246">
        <v>70</v>
      </c>
      <c r="J2077" s="246">
        <v>2</v>
      </c>
      <c r="K2077" s="247" t="s">
        <v>8276</v>
      </c>
      <c r="L2077" s="248">
        <v>123558</v>
      </c>
      <c r="M2077" s="249">
        <f>15*(LEFT(TEXT($L2077,"000000"),2)+(MID(TEXT($L2077,"000000"),3,2)/60)+(RIGHT(TEXT($L2077,"000000"),2)/3600))</f>
        <v>188.99166666666667</v>
      </c>
      <c r="N2077" s="250">
        <v>275735</v>
      </c>
      <c r="O2077" s="251">
        <f>IF($N2077&gt;0,(LEFT(TEXT($N2077,"000000"),2)+(MID(TEXT($N2077,"000000"),3,2)/60)+(RIGHT(TEXT($N2077,"000000"),2)/3600)),-(MID(TEXT($N2077,"000000"),2,2)+(MID(TEXT($N2077,"000000"),4,2)/60)+(RIGHT(TEXT($N2077,"000000"),2)/3600)))</f>
        <v>27.959722222222222</v>
      </c>
      <c r="P2077" s="252" t="s">
        <v>190</v>
      </c>
      <c r="Q2077" s="253"/>
      <c r="R2077" s="247" t="s">
        <v>7360</v>
      </c>
      <c r="S2077" s="272" t="s">
        <v>3293</v>
      </c>
      <c r="T2077" s="273">
        <v>10</v>
      </c>
      <c r="U2077" s="289">
        <v>22.990000000000002</v>
      </c>
      <c r="V2077" s="280">
        <v>70</v>
      </c>
      <c r="W2077" s="244"/>
      <c r="X2077" s="244"/>
      <c r="Y2077" s="362"/>
      <c r="Z2077" s="257">
        <f>altaz(J2000_Bas,$O2077,$M2077,DecLat,DecLong,1)</f>
        <v>8.5726268959728067</v>
      </c>
      <c r="AA2077" s="257">
        <f>altaz((J2000_Bas+(2*0.04167)),$O2077,$M2077,DecLat,DecLong,1)</f>
        <v>-12.425814972860199</v>
      </c>
      <c r="AB2077" s="257">
        <f>altaz((J2000_Bas+(4*0.04167)),$O2077,$M2077,DecLat,DecLong,1)</f>
        <v>-27.153735990577829</v>
      </c>
      <c r="AC2077" s="257">
        <f>altaz((J2000_Bas+(6*0.04167)),$O2077,$M2077,DecLat,DecLong,1)</f>
        <v>-30.63472420436581</v>
      </c>
      <c r="AD2077" s="258">
        <f>1+ transit((J2000_Bas-1),$O2077,$M2077,DecLat,DecLong)/360 + (GMTOffset/24) + (IF(DST="Y", 1, 0)/24)</f>
        <v>1.5178767599838747</v>
      </c>
      <c r="AE2077" s="259">
        <f>DATE(2001,9,21)+(M2077/360)*365 - (360*((DecLong/360)- (GMTOffset/24) ))</f>
        <v>37351.616550925923</v>
      </c>
      <c r="AF2077" s="260">
        <f>IF(DecLat&gt;0,IF((90 - (DecLat-O2077))&gt;90, (90 - (O2077-DecLat)), (90 - (DecLat-O2077))),IF((90 + (DecLat-O2077))&gt;90, (90 + (O2077-DecLat)), (90 + (DecLat-O2077))))</f>
        <v>86.959722222222226</v>
      </c>
      <c r="AG2077" s="257">
        <f>angularseperation(MoonRA,MoonDec,$M2077,$O2077)</f>
        <v>79.818715426995198</v>
      </c>
      <c r="AH2077" s="261">
        <f ca="1">MIN(100,IF($O$5&gt;80,0+30*($AG2077/100),IF($O$5&gt;70,0+50*($AG2077/100),IF($O$5&gt;60,5+50*($AG2077/100),IF($O$5&gt;50,10+60*($AG2077/100),IF($O$5&gt;40,15+70*($AG2077/100),IF($O$5&gt;30,20+70*($AG2077/100),IF($O$5&gt;20,40+55*($AG2077/100),(80+(20-$O$5)+30*($AG2077/100))))))))))</f>
        <v>100</v>
      </c>
      <c r="AI2077" s="262">
        <v>4559</v>
      </c>
      <c r="AJ2077" s="262"/>
      <c r="AK2077" s="262">
        <v>259</v>
      </c>
      <c r="AL2077" s="263"/>
      <c r="AM2077" s="264">
        <v>36</v>
      </c>
      <c r="AN2077" s="263"/>
      <c r="AO2077" s="263"/>
      <c r="AP2077" s="265"/>
      <c r="AQ2077" s="266">
        <v>7766</v>
      </c>
      <c r="AR2077" s="267">
        <v>42002</v>
      </c>
      <c r="AS2077" s="263"/>
      <c r="AT2077" s="263"/>
      <c r="AU2077" s="263"/>
      <c r="AV2077" s="264"/>
      <c r="AW2077" s="263"/>
      <c r="AX2077" s="263"/>
      <c r="AY2077" s="263"/>
      <c r="AZ2077" s="263"/>
      <c r="BA2077" s="263"/>
      <c r="BB2077" s="263"/>
      <c r="BC2077" s="263"/>
      <c r="BD2077" s="264"/>
      <c r="BE2077" s="263"/>
      <c r="BF2077" s="263"/>
      <c r="BG2077" s="263"/>
      <c r="BH2077" s="263"/>
      <c r="BI2077" s="263"/>
      <c r="BJ2077" s="404">
        <f>altaz(J2000_Bas,$O2077,$M2077,DecLat,DecLong,2)</f>
        <v>297.55364857438735</v>
      </c>
      <c r="BK2077" s="378" t="s">
        <v>1995</v>
      </c>
      <c r="BL2077" s="379">
        <f>IF((2*G2077)/60&lt;0.2,0.2,(2*G2077)/60)</f>
        <v>0.33333333333333331</v>
      </c>
      <c r="BM2077" s="380">
        <f>MOD((50000+AD2077-$B$3+(0/24)),1)</f>
        <v>0.73324368969042553</v>
      </c>
      <c r="BN2077" s="381"/>
      <c r="BO2077" s="382">
        <v>2068</v>
      </c>
    </row>
    <row r="2078" spans="1:67" s="24" customFormat="1" ht="15" customHeight="1" x14ac:dyDescent="0.25">
      <c r="A2078" s="288" t="s">
        <v>1996</v>
      </c>
      <c r="B2078" s="241" t="str">
        <f>HYPERLINK(CONCATENATE($AT$3,BK2078,$AU$3),$AV$3)</f>
        <v>S</v>
      </c>
      <c r="C2078" s="242" t="str">
        <f>HYPERLINK(CONCATENATE($AT$4,BK2078,$AU$4,BL2078),$AV$4)</f>
        <v>A</v>
      </c>
      <c r="D2078" s="243" t="s">
        <v>5638</v>
      </c>
      <c r="E2078" s="244" t="s">
        <v>5192</v>
      </c>
      <c r="F2078" s="269" t="s">
        <v>8817</v>
      </c>
      <c r="G2078" s="276">
        <v>15</v>
      </c>
      <c r="H2078" s="283">
        <v>40</v>
      </c>
      <c r="I2078" s="246">
        <v>170</v>
      </c>
      <c r="J2078" s="246">
        <v>4</v>
      </c>
      <c r="K2078" s="247" t="s">
        <v>8278</v>
      </c>
      <c r="L2078" s="248">
        <v>123621</v>
      </c>
      <c r="M2078" s="249">
        <f>15*(LEFT(TEXT($L2078,"000000"),2)+(MID(TEXT($L2078,"000000"),3,2)/60)+(RIGHT(TEXT($L2078,"000000"),2)/3600))</f>
        <v>189.08750000000001</v>
      </c>
      <c r="N2078" s="250">
        <v>255916</v>
      </c>
      <c r="O2078" s="251">
        <f>IF($N2078&gt;0,(LEFT(TEXT($N2078,"000000"),2)+(MID(TEXT($N2078,"000000"),3,2)/60)+(RIGHT(TEXT($N2078,"000000"),2)/3600)),-(MID(TEXT($N2078,"000000"),2,2)+(MID(TEXT($N2078,"000000"),4,2)/60)+(RIGHT(TEXT($N2078,"000000"),2)/3600)))</f>
        <v>25.987777777777779</v>
      </c>
      <c r="P2078" s="252" t="s">
        <v>190</v>
      </c>
      <c r="Q2078" s="253" t="s">
        <v>6889</v>
      </c>
      <c r="R2078" s="247" t="s">
        <v>7361</v>
      </c>
      <c r="S2078" s="272" t="s">
        <v>3293</v>
      </c>
      <c r="T2078" s="273">
        <v>12.4</v>
      </c>
      <c r="U2078" s="289">
        <v>22.19</v>
      </c>
      <c r="V2078" s="280">
        <v>89</v>
      </c>
      <c r="W2078" s="244"/>
      <c r="X2078" s="244"/>
      <c r="Y2078" s="362"/>
      <c r="Z2078" s="257">
        <f>altaz(J2000_Bas,$O2078,$M2078,DecLat,DecLong,1)</f>
        <v>7.6379015860871586</v>
      </c>
      <c r="AA2078" s="257">
        <f>altaz((J2000_Bas+(2*0.04167)),$O2078,$M2078,DecLat,DecLong,1)</f>
        <v>-13.769358089455363</v>
      </c>
      <c r="AB2078" s="257">
        <f>altaz((J2000_Bas+(4*0.04167)),$O2078,$M2078,DecLat,DecLong,1)</f>
        <v>-28.947557861525279</v>
      </c>
      <c r="AC2078" s="257">
        <f>altaz((J2000_Bas+(6*0.04167)),$O2078,$M2078,DecLat,DecLong,1)</f>
        <v>-32.601638005044137</v>
      </c>
      <c r="AD2078" s="258">
        <f>1+ transit((J2000_Bas-1),$O2078,$M2078,DecLat,DecLong)/360 + (GMTOffset/24) + (IF(DST="Y", 1, 0)/24)</f>
        <v>1.518142963660958</v>
      </c>
      <c r="AE2078" s="259">
        <f>DATE(2001,9,21)+(M2078/360)*365 - (360*((DecLong/360)- (GMTOffset/24) ))</f>
        <v>37351.71371527778</v>
      </c>
      <c r="AF2078" s="260">
        <f>IF(DecLat&gt;0,IF((90 - (DecLat-O2078))&gt;90, (90 - (O2078-DecLat)), (90 - (DecLat-O2078))),IF((90 + (DecLat-O2078))&gt;90, (90 + (O2078-DecLat)), (90 + (DecLat-O2078))))</f>
        <v>84.987777777777779</v>
      </c>
      <c r="AG2078" s="257">
        <f>angularseperation(MoonRA,MoonDec,$M2078,$O2078)</f>
        <v>78.534023889541217</v>
      </c>
      <c r="AH2078" s="261">
        <f ca="1">MIN(100,IF($O$5&gt;80,0+30*($AG2078/100),IF($O$5&gt;70,0+50*($AG2078/100),IF($O$5&gt;60,5+50*($AG2078/100),IF($O$5&gt;50,10+60*($AG2078/100),IF($O$5&gt;40,15+70*($AG2078/100),IF($O$5&gt;30,20+70*($AG2078/100),IF($O$5&gt;20,40+55*($AG2078/100),(80+(20-$O$5)+30*($AG2078/100))))))))))</f>
        <v>100</v>
      </c>
      <c r="AI2078" s="262">
        <v>4565</v>
      </c>
      <c r="AJ2078" s="262"/>
      <c r="AK2078" s="262">
        <v>260</v>
      </c>
      <c r="AL2078" s="263"/>
      <c r="AM2078" s="264">
        <v>38</v>
      </c>
      <c r="AN2078" s="263"/>
      <c r="AO2078" s="263"/>
      <c r="AP2078" s="265"/>
      <c r="AQ2078" s="266">
        <v>7772</v>
      </c>
      <c r="AR2078" s="267">
        <v>42038</v>
      </c>
      <c r="AS2078" s="263"/>
      <c r="AT2078" s="263"/>
      <c r="AU2078" s="263"/>
      <c r="AV2078" s="264"/>
      <c r="AW2078" s="263"/>
      <c r="AX2078" s="263"/>
      <c r="AY2078" s="263"/>
      <c r="AZ2078" s="263"/>
      <c r="BA2078" s="263"/>
      <c r="BB2078" s="263"/>
      <c r="BC2078" s="263"/>
      <c r="BD2078" s="264"/>
      <c r="BE2078" s="263"/>
      <c r="BF2078" s="263"/>
      <c r="BG2078" s="263"/>
      <c r="BH2078" s="263"/>
      <c r="BI2078" s="263"/>
      <c r="BJ2078" s="404">
        <f>altaz(J2000_Bas,$O2078,$M2078,DecLat,DecLong,2)</f>
        <v>295.7976533545974</v>
      </c>
      <c r="BK2078" s="378" t="s">
        <v>1996</v>
      </c>
      <c r="BL2078" s="379">
        <f>IF((2*G2078)/60&lt;0.2,0.2,(2*G2078)/60)</f>
        <v>0.5</v>
      </c>
      <c r="BM2078" s="380">
        <f>MOD((50000+AD2078-$B$3+(0/24)),1)</f>
        <v>0.73350989336177008</v>
      </c>
      <c r="BN2078" s="381" t="s">
        <v>9218</v>
      </c>
      <c r="BO2078" s="382">
        <v>2069</v>
      </c>
    </row>
    <row r="2079" spans="1:67" s="24" customFormat="1" ht="15" customHeight="1" x14ac:dyDescent="0.25">
      <c r="A2079" s="288" t="s">
        <v>8279</v>
      </c>
      <c r="B2079" s="241" t="str">
        <f>HYPERLINK(CONCATENATE($AT$3,BK2079,$AU$3),$AV$3)</f>
        <v>S</v>
      </c>
      <c r="C2079" s="242" t="str">
        <f>HYPERLINK(CONCATENATE($AT$4,BK2079,$AU$4,BL2079),$AV$4)</f>
        <v>A</v>
      </c>
      <c r="D2079" s="243" t="s">
        <v>5638</v>
      </c>
      <c r="E2079" s="244" t="s">
        <v>5178</v>
      </c>
      <c r="F2079" s="269"/>
      <c r="G2079" s="273">
        <v>3.8</v>
      </c>
      <c r="H2079" s="283">
        <v>55</v>
      </c>
      <c r="I2079" s="246">
        <v>60</v>
      </c>
      <c r="J2079" s="246">
        <v>3</v>
      </c>
      <c r="K2079" s="247" t="s">
        <v>8282</v>
      </c>
      <c r="L2079" s="248">
        <v>123633</v>
      </c>
      <c r="M2079" s="249">
        <f>15*(LEFT(TEXT($L2079,"000000"),2)+(MID(TEXT($L2079,"000000"),3,2)/60)+(RIGHT(TEXT($L2079,"000000"),2)/3600))</f>
        <v>189.13749999999999</v>
      </c>
      <c r="N2079" s="250">
        <v>111528</v>
      </c>
      <c r="O2079" s="251">
        <f>IF($N2079&gt;0,(LEFT(TEXT($N2079,"000000"),2)+(MID(TEXT($N2079,"000000"),3,2)/60)+(RIGHT(TEXT($N2079,"000000"),2)/3600)),-(MID(TEXT($N2079,"000000"),2,2)+(MID(TEXT($N2079,"000000"),4,2)/60)+(RIGHT(TEXT($N2079,"000000"),2)/3600)))</f>
        <v>11.257777777777777</v>
      </c>
      <c r="P2079" s="252" t="s">
        <v>61</v>
      </c>
      <c r="Q2079" s="253" t="s">
        <v>8281</v>
      </c>
      <c r="R2079" s="247" t="s">
        <v>3293</v>
      </c>
      <c r="S2079" s="272" t="s">
        <v>8280</v>
      </c>
      <c r="T2079" s="273">
        <v>11.3</v>
      </c>
      <c r="U2079" s="289">
        <v>21.990000000000002</v>
      </c>
      <c r="V2079" s="280">
        <v>55</v>
      </c>
      <c r="W2079" s="244"/>
      <c r="X2079" s="244"/>
      <c r="Y2079" s="362"/>
      <c r="Z2079" s="257">
        <f>altaz(J2000_Bas,$O2079,$M2079,DecLat,DecLong,1)</f>
        <v>3.4115656822988542E-3</v>
      </c>
      <c r="AA2079" s="257">
        <f>altaz((J2000_Bas+(2*0.04167)),$O2079,$M2079,DecLat,DecLong,1)</f>
        <v>-23.878155704703246</v>
      </c>
      <c r="AB2079" s="257">
        <f>altaz((J2000_Bas+(4*0.04167)),$O2079,$M2079,DecLat,DecLong,1)</f>
        <v>-42.33725778755727</v>
      </c>
      <c r="AC2079" s="257">
        <f>altaz((J2000_Bas+(6*0.04167)),$O2079,$M2079,DecLat,DecLong,1)</f>
        <v>-47.192965541487702</v>
      </c>
      <c r="AD2079" s="258">
        <f>1+ transit((J2000_Bas-1),$O2079,$M2079,DecLat,DecLong)/360 + (GMTOffset/24) + (IF(DST="Y", 1, 0)/24)</f>
        <v>1.518281852535958</v>
      </c>
      <c r="AE2079" s="259">
        <f>DATE(2001,9,21)+(M2079/360)*365 - (360*((DecLong/360)- (GMTOffset/24) ))</f>
        <v>37351.764409722222</v>
      </c>
      <c r="AF2079" s="260">
        <f>IF(DecLat&gt;0,IF((90 - (DecLat-O2079))&gt;90, (90 - (O2079-DecLat)), (90 - (DecLat-O2079))),IF((90 + (DecLat-O2079))&gt;90, (90 + (O2079-DecLat)), (90 + (DecLat-O2079))))</f>
        <v>70.257777777777775</v>
      </c>
      <c r="AG2079" s="257">
        <f>angularseperation(MoonRA,MoonDec,$M2079,$O2079)</f>
        <v>69.736359456377372</v>
      </c>
      <c r="AH2079" s="261">
        <f ca="1">MIN(100,IF($O$5&gt;80,0+30*($AG2079/100),IF($O$5&gt;70,0+50*($AG2079/100),IF($O$5&gt;60,5+50*($AG2079/100),IF($O$5&gt;50,10+60*($AG2079/100),IF($O$5&gt;40,15+70*($AG2079/100),IF($O$5&gt;30,20+70*($AG2079/100),IF($O$5&gt;20,40+55*($AG2079/100),(80+(20-$O$5)+30*($AG2079/100))))))))))</f>
        <v>100</v>
      </c>
      <c r="AI2079" s="262">
        <v>4567</v>
      </c>
      <c r="AJ2079" s="262"/>
      <c r="AK2079" s="262"/>
      <c r="AL2079" s="263"/>
      <c r="AM2079" s="264"/>
      <c r="AN2079" s="263"/>
      <c r="AO2079" s="263"/>
      <c r="AP2079" s="265"/>
      <c r="AQ2079" s="266">
        <v>7777</v>
      </c>
      <c r="AR2079" s="267">
        <v>42064</v>
      </c>
      <c r="AS2079" s="263"/>
      <c r="AT2079" s="263"/>
      <c r="AU2079" s="263"/>
      <c r="AV2079" s="264"/>
      <c r="AW2079" s="263"/>
      <c r="AX2079" s="263"/>
      <c r="AY2079" s="263"/>
      <c r="AZ2079" s="263"/>
      <c r="BA2079" s="263"/>
      <c r="BB2079" s="263"/>
      <c r="BC2079" s="263"/>
      <c r="BD2079" s="264"/>
      <c r="BE2079" s="263"/>
      <c r="BF2079" s="263"/>
      <c r="BG2079" s="263"/>
      <c r="BH2079" s="263">
        <v>14</v>
      </c>
      <c r="BI2079" s="263"/>
      <c r="BJ2079" s="404">
        <f>altaz(J2000_Bas,$O2079,$M2079,DecLat,DecLong,2)</f>
        <v>283.16278338038433</v>
      </c>
      <c r="BK2079" s="378" t="s">
        <v>1997</v>
      </c>
      <c r="BL2079" s="379">
        <f>IF((2*G2079)/60&lt;0.2,0.2,(2*G2079)/60)</f>
        <v>0.2</v>
      </c>
      <c r="BM2079" s="380">
        <f>MOD((50000+AD2079-$B$3+(0/24)),1)</f>
        <v>0.73364878223947017</v>
      </c>
      <c r="BN2079" s="381"/>
      <c r="BO2079" s="382">
        <v>2070</v>
      </c>
    </row>
    <row r="2080" spans="1:67" s="24" customFormat="1" ht="15" customHeight="1" x14ac:dyDescent="0.25">
      <c r="A2080" s="287" t="s">
        <v>3008</v>
      </c>
      <c r="B2080" s="241" t="str">
        <f>HYPERLINK(CONCATENATE($AT$3,BK2080,$AU$3),$AV$3)</f>
        <v>S</v>
      </c>
      <c r="C2080" s="242" t="str">
        <f>HYPERLINK(CONCATENATE($AT$4,BK2080,$AU$4,BL2080),$AV$4)</f>
        <v>A</v>
      </c>
      <c r="D2080" s="243" t="s">
        <v>5638</v>
      </c>
      <c r="E2080" s="244" t="s">
        <v>5182</v>
      </c>
      <c r="F2080" s="269" t="s">
        <v>8673</v>
      </c>
      <c r="G2080" s="273">
        <v>3.8</v>
      </c>
      <c r="H2080" s="283">
        <v>55</v>
      </c>
      <c r="I2080" s="246">
        <v>60</v>
      </c>
      <c r="J2080" s="246">
        <v>2</v>
      </c>
      <c r="K2080" s="247" t="s">
        <v>8283</v>
      </c>
      <c r="L2080" s="248">
        <v>123654</v>
      </c>
      <c r="M2080" s="249">
        <f>15*(LEFT(TEXT($L2080,"000000"),2)+(MID(TEXT($L2080,"000000"),3,2)/60)+(RIGHT(TEXT($L2080,"000000"),2)/3600))</f>
        <v>189.22499999999999</v>
      </c>
      <c r="N2080" s="250">
        <v>71500</v>
      </c>
      <c r="O2080" s="251">
        <f>IF($N2080&gt;0,(LEFT(TEXT($N2080,"000000"),2)+(MID(TEXT($N2080,"000000"),3,2)/60)+(RIGHT(TEXT($N2080,"000000"),2)/3600)),-(MID(TEXT($N2080,"000000"),2,2)+(MID(TEXT($N2080,"000000"),4,2)/60)+(RIGHT(TEXT($N2080,"000000"),2)/3600)))</f>
        <v>7.25</v>
      </c>
      <c r="P2080" s="252" t="s">
        <v>61</v>
      </c>
      <c r="Q2080" s="253"/>
      <c r="R2080" s="277" t="s">
        <v>3293</v>
      </c>
      <c r="S2080" s="272" t="s">
        <v>3293</v>
      </c>
      <c r="T2080" s="273">
        <v>10.9</v>
      </c>
      <c r="U2080" s="289">
        <v>21.29</v>
      </c>
      <c r="V2080" s="280">
        <v>90</v>
      </c>
      <c r="W2080" s="244"/>
      <c r="X2080" s="244"/>
      <c r="Y2080" s="362"/>
      <c r="Z2080" s="257">
        <f>altaz(J2000_Bas,$O2080,$M2080,DecLat,DecLong,1)</f>
        <v>-2.0260340787840674</v>
      </c>
      <c r="AA2080" s="257">
        <f>altaz((J2000_Bas+(2*0.04167)),$O2080,$M2080,DecLat,DecLong,1)</f>
        <v>-26.429705334601131</v>
      </c>
      <c r="AB2080" s="257">
        <f>altaz((J2000_Bas+(4*0.04167)),$O2080,$M2080,DecLat,DecLong,1)</f>
        <v>-45.841201213098579</v>
      </c>
      <c r="AC2080" s="257">
        <f>altaz((J2000_Bas+(6*0.04167)),$O2080,$M2080,DecLat,DecLong,1)</f>
        <v>-51.161994762549476</v>
      </c>
      <c r="AD2080" s="258">
        <f>1+ transit((J2000_Bas-1),$O2080,$M2080,DecLat,DecLong)/360 + (GMTOffset/24) + (IF(DST="Y", 1, 0)/24)</f>
        <v>1.5185249080672081</v>
      </c>
      <c r="AE2080" s="259">
        <f>DATE(2001,9,21)+(M2080/360)*365 - (360*((DecLong/360)- (GMTOffset/24) ))</f>
        <v>37351.853125000001</v>
      </c>
      <c r="AF2080" s="260">
        <f>IF(DecLat&gt;0,IF((90 - (DecLat-O2080))&gt;90, (90 - (O2080-DecLat)), (90 - (DecLat-O2080))),IF((90 + (DecLat-O2080))&gt;90, (90 + (O2080-DecLat)), (90 + (DecLat-O2080))))</f>
        <v>66.25</v>
      </c>
      <c r="AG2080" s="257">
        <f>angularseperation(MoonRA,MoonDec,$M2080,$O2080)</f>
        <v>67.422883676595845</v>
      </c>
      <c r="AH2080" s="261">
        <f ca="1">MIN(100,IF($O$5&gt;80,0+30*($AG2080/100),IF($O$5&gt;70,0+50*($AG2080/100),IF($O$5&gt;60,5+50*($AG2080/100),IF($O$5&gt;50,10+60*($AG2080/100),IF($O$5&gt;40,15+70*($AG2080/100),IF($O$5&gt;30,20+70*($AG2080/100),IF($O$5&gt;20,40+55*($AG2080/100),(80+(20-$O$5)+30*($AG2080/100))))))))))</f>
        <v>100</v>
      </c>
      <c r="AI2080" s="262">
        <v>4570</v>
      </c>
      <c r="AJ2080" s="263"/>
      <c r="AK2080" s="263">
        <v>261</v>
      </c>
      <c r="AL2080" s="263"/>
      <c r="AM2080" s="264"/>
      <c r="AN2080" s="263"/>
      <c r="AO2080" s="263"/>
      <c r="AP2080" s="265"/>
      <c r="AQ2080" s="265">
        <v>7785</v>
      </c>
      <c r="AR2080" s="285">
        <v>42096</v>
      </c>
      <c r="AS2080" s="263"/>
      <c r="AT2080" s="263"/>
      <c r="AU2080" s="263"/>
      <c r="AV2080" s="264"/>
      <c r="AW2080" s="263"/>
      <c r="AX2080" s="263"/>
      <c r="AY2080" s="263"/>
      <c r="AZ2080" s="263"/>
      <c r="BA2080" s="263"/>
      <c r="BB2080" s="263"/>
      <c r="BC2080" s="263"/>
      <c r="BD2080" s="264"/>
      <c r="BE2080" s="263"/>
      <c r="BF2080" s="263"/>
      <c r="BG2080" s="263"/>
      <c r="BH2080" s="263"/>
      <c r="BI2080" s="263"/>
      <c r="BJ2080" s="404">
        <f>altaz(J2000_Bas,$O2080,$M2080,DecLat,DecLong,2)</f>
        <v>279.70502910959198</v>
      </c>
      <c r="BK2080" s="378" t="s">
        <v>3008</v>
      </c>
      <c r="BL2080" s="379">
        <f>IF((2*G2080)/60&lt;0.2,0.2,(2*G2080)/60)</f>
        <v>0.2</v>
      </c>
      <c r="BM2080" s="380">
        <f>MOD((50000+AD2080-$B$3+(0/24)),1)</f>
        <v>0.73389183777180733</v>
      </c>
      <c r="BN2080" s="381"/>
      <c r="BO2080" s="382">
        <v>2071</v>
      </c>
    </row>
    <row r="2081" spans="1:67" s="24" customFormat="1" ht="15" customHeight="1" x14ac:dyDescent="0.25">
      <c r="A2081" s="287" t="s">
        <v>1998</v>
      </c>
      <c r="B2081" s="241" t="str">
        <f>HYPERLINK(CONCATENATE($AT$3,BK2081,$AU$3),$AV$3)</f>
        <v>S</v>
      </c>
      <c r="C2081" s="242" t="str">
        <f>HYPERLINK(CONCATENATE($AT$4,BK2081,$AU$4,BL2081),$AV$4)</f>
        <v>A</v>
      </c>
      <c r="D2081" s="243" t="s">
        <v>5638</v>
      </c>
      <c r="E2081" s="244" t="s">
        <v>5192</v>
      </c>
      <c r="F2081" s="269" t="s">
        <v>8706</v>
      </c>
      <c r="G2081" s="273">
        <v>3.8</v>
      </c>
      <c r="H2081" s="283">
        <v>64</v>
      </c>
      <c r="I2081" s="246">
        <v>70</v>
      </c>
      <c r="J2081" s="246">
        <v>2</v>
      </c>
      <c r="K2081" s="247" t="s">
        <v>8284</v>
      </c>
      <c r="L2081" s="248">
        <v>123652</v>
      </c>
      <c r="M2081" s="249">
        <f>15*(LEFT(TEXT($L2081,"000000"),2)+(MID(TEXT($L2081,"000000"),3,2)/60)+(RIGHT(TEXT($L2081,"000000"),2)/3600))</f>
        <v>189.21666666666667</v>
      </c>
      <c r="N2081" s="250">
        <v>141302</v>
      </c>
      <c r="O2081" s="251">
        <f>IF($N2081&gt;0,(LEFT(TEXT($N2081,"000000"),2)+(MID(TEXT($N2081,"000000"),3,2)/60)+(RIGHT(TEXT($N2081,"000000"),2)/3600)),-(MID(TEXT($N2081,"000000"),2,2)+(MID(TEXT($N2081,"000000"),4,2)/60)+(RIGHT(TEXT($N2081,"000000"),2)/3600)))</f>
        <v>14.217222222222222</v>
      </c>
      <c r="P2081" s="252" t="s">
        <v>190</v>
      </c>
      <c r="Q2081" s="253"/>
      <c r="R2081" s="277" t="s">
        <v>3293</v>
      </c>
      <c r="S2081" s="272" t="s">
        <v>3293</v>
      </c>
      <c r="T2081" s="273">
        <v>11.3</v>
      </c>
      <c r="U2081" s="289">
        <v>22.79</v>
      </c>
      <c r="V2081" s="280">
        <v>0</v>
      </c>
      <c r="W2081" s="244"/>
      <c r="X2081" s="244"/>
      <c r="Y2081" s="362"/>
      <c r="Z2081" s="257">
        <f>altaz(J2000_Bas,$O2081,$M2081,DecLat,DecLong,1)</f>
        <v>1.6223421274080678</v>
      </c>
      <c r="AA2081" s="257">
        <f>altaz((J2000_Bas+(2*0.04167)),$O2081,$M2081,DecLat,DecLong,1)</f>
        <v>-21.842872343967226</v>
      </c>
      <c r="AB2081" s="257">
        <f>altaz((J2000_Bas+(4*0.04167)),$O2081,$M2081,DecLat,DecLong,1)</f>
        <v>-39.651204959301026</v>
      </c>
      <c r="AC2081" s="257">
        <f>altaz((J2000_Bas+(6*0.04167)),$O2081,$M2081,DecLat,DecLong,1)</f>
        <v>-44.279343664047552</v>
      </c>
      <c r="AD2081" s="258">
        <f>1+ transit((J2000_Bas-1),$O2081,$M2081,DecLat,DecLong)/360 + (GMTOffset/24) + (IF(DST="Y", 1, 0)/24)</f>
        <v>1.5185017599213746</v>
      </c>
      <c r="AE2081" s="259">
        <f>DATE(2001,9,21)+(M2081/360)*365 - (360*((DecLong/360)- (GMTOffset/24) ))</f>
        <v>37351.844675925924</v>
      </c>
      <c r="AF2081" s="260">
        <f>IF(DecLat&gt;0,IF((90 - (DecLat-O2081))&gt;90, (90 - (O2081-DecLat)), (90 - (DecLat-O2081))),IF((90 + (DecLat-O2081))&gt;90, (90 + (O2081-DecLat)), (90 + (DecLat-O2081))))</f>
        <v>73.217222222222219</v>
      </c>
      <c r="AG2081" s="257">
        <f>angularseperation(MoonRA,MoonDec,$M2081,$O2081)</f>
        <v>71.374273960486917</v>
      </c>
      <c r="AH2081" s="261">
        <f ca="1">MIN(100,IF($O$5&gt;80,0+30*($AG2081/100),IF($O$5&gt;70,0+50*($AG2081/100),IF($O$5&gt;60,5+50*($AG2081/100),IF($O$5&gt;50,10+60*($AG2081/100),IF($O$5&gt;40,15+70*($AG2081/100),IF($O$5&gt;30,20+70*($AG2081/100),IF($O$5&gt;20,40+55*($AG2081/100),(80+(20-$O$5)+30*($AG2081/100))))))))))</f>
        <v>100</v>
      </c>
      <c r="AI2081" s="262">
        <v>4571</v>
      </c>
      <c r="AJ2081" s="263"/>
      <c r="AK2081" s="263"/>
      <c r="AL2081" s="263"/>
      <c r="AM2081" s="264"/>
      <c r="AN2081" s="263"/>
      <c r="AO2081" s="263"/>
      <c r="AP2081" s="265"/>
      <c r="AQ2081" s="265"/>
      <c r="AR2081" s="285">
        <v>42100</v>
      </c>
      <c r="AS2081" s="263"/>
      <c r="AT2081" s="263"/>
      <c r="AU2081" s="263"/>
      <c r="AV2081" s="264"/>
      <c r="AW2081" s="263"/>
      <c r="AX2081" s="263"/>
      <c r="AY2081" s="263"/>
      <c r="AZ2081" s="263"/>
      <c r="BA2081" s="263"/>
      <c r="BB2081" s="263"/>
      <c r="BC2081" s="263"/>
      <c r="BD2081" s="264"/>
      <c r="BE2081" s="263"/>
      <c r="BF2081" s="263"/>
      <c r="BG2081" s="263"/>
      <c r="BH2081" s="263"/>
      <c r="BI2081" s="263"/>
      <c r="BJ2081" s="404">
        <f>altaz(J2000_Bas,$O2081,$M2081,DecLat,DecLong,2)</f>
        <v>285.64169088418237</v>
      </c>
      <c r="BK2081" s="378" t="s">
        <v>1998</v>
      </c>
      <c r="BL2081" s="379">
        <f>IF((2*G2081)/60&lt;0.2,0.2,(2*G2081)/60)</f>
        <v>0.2</v>
      </c>
      <c r="BM2081" s="380">
        <f>MOD((50000+AD2081-$B$3+(0/24)),1)</f>
        <v>0.73386868962552398</v>
      </c>
      <c r="BN2081" s="381"/>
      <c r="BO2081" s="382">
        <v>2072</v>
      </c>
    </row>
    <row r="2082" spans="1:67" s="24" customFormat="1" ht="15" customHeight="1" x14ac:dyDescent="0.25">
      <c r="A2082" s="288" t="s">
        <v>1999</v>
      </c>
      <c r="B2082" s="241" t="str">
        <f>HYPERLINK(CONCATENATE($AT$3,BK2082,$AU$3),$AV$3)</f>
        <v>S</v>
      </c>
      <c r="C2082" s="242" t="str">
        <f>HYPERLINK(CONCATENATE($AT$4,BK2082,$AU$4,BL2082),$AV$4)</f>
        <v>A</v>
      </c>
      <c r="D2082" s="243" t="s">
        <v>5638</v>
      </c>
      <c r="E2082" s="244" t="s">
        <v>5192</v>
      </c>
      <c r="F2082" s="269" t="s">
        <v>8977</v>
      </c>
      <c r="G2082" s="273">
        <v>4</v>
      </c>
      <c r="H2082" s="283">
        <v>145</v>
      </c>
      <c r="I2082" s="246">
        <v>170</v>
      </c>
      <c r="J2082" s="246">
        <v>2</v>
      </c>
      <c r="K2082" s="247" t="s">
        <v>8288</v>
      </c>
      <c r="L2082" s="248">
        <v>123939</v>
      </c>
      <c r="M2082" s="249">
        <f>15*(LEFT(TEXT($L2082,"000000"),2)+(MID(TEXT($L2082,"000000"),3,2)/60)+(RIGHT(TEXT($L2082,"000000"),2)/3600))</f>
        <v>189.91250000000002</v>
      </c>
      <c r="N2082" s="250">
        <v>-52040</v>
      </c>
      <c r="O2082" s="251">
        <f>IF($N2082&gt;0,(LEFT(TEXT($N2082,"000000"),2)+(MID(TEXT($N2082,"000000"),3,2)/60)+(RIGHT(TEXT($N2082,"000000"),2)/3600)),-(MID(TEXT($N2082,"000000"),2,2)+(MID(TEXT($N2082,"000000"),4,2)/60)+(RIGHT(TEXT($N2082,"000000"),2)/3600)))</f>
        <v>-5.3444444444444441</v>
      </c>
      <c r="P2082" s="252" t="s">
        <v>61</v>
      </c>
      <c r="Q2082" s="253"/>
      <c r="R2082" s="247" t="s">
        <v>3293</v>
      </c>
      <c r="S2082" s="272" t="s">
        <v>8285</v>
      </c>
      <c r="T2082" s="273">
        <v>13.1</v>
      </c>
      <c r="U2082" s="289">
        <v>22.29</v>
      </c>
      <c r="V2082" s="280">
        <v>35</v>
      </c>
      <c r="W2082" s="244"/>
      <c r="X2082" s="244"/>
      <c r="Y2082" s="362"/>
      <c r="Z2082" s="257">
        <f>altaz(J2000_Bas,$O2082,$M2082,DecLat,DecLong,1)</f>
        <v>-7.9619852588027618</v>
      </c>
      <c r="AA2082" s="257">
        <f>altaz((J2000_Bas+(2*0.04167)),$O2082,$M2082,DecLat,DecLong,1)</f>
        <v>-33.484730747636668</v>
      </c>
      <c r="AB2082" s="257">
        <f>altaz((J2000_Bas+(4*0.04167)),$O2082,$M2082,DecLat,DecLong,1)</f>
        <v>-56.01580105904403</v>
      </c>
      <c r="AC2082" s="257">
        <f>altaz((J2000_Bas+(6*0.04167)),$O2082,$M2082,DecLat,DecLong,1)</f>
        <v>-63.661357259032982</v>
      </c>
      <c r="AD2082" s="258">
        <f>1+ transit((J2000_Bas-1),$O2082,$M2082,DecLat,DecLong)/360 + (GMTOffset/24) + (IF(DST="Y", 1, 0)/24)</f>
        <v>1.5204346300984581</v>
      </c>
      <c r="AE2082" s="259">
        <f>DATE(2001,9,21)+(M2082/360)*365 - (360*((DecLong/360)- (GMTOffset/24) ))</f>
        <v>37352.550173611111</v>
      </c>
      <c r="AF2082" s="260">
        <f>IF(DecLat&gt;0,IF((90 - (DecLat-O2082))&gt;90, (90 - (O2082-DecLat)), (90 - (DecLat-O2082))),IF((90 + (DecLat-O2082))&gt;90, (90 + (O2082-DecLat)), (90 + (DecLat-O2082))))</f>
        <v>53.655555555555559</v>
      </c>
      <c r="AG2082" s="257">
        <f>angularseperation(MoonRA,MoonDec,$M2082,$O2082)</f>
        <v>60.356836845371454</v>
      </c>
      <c r="AH2082" s="261">
        <f ca="1">MIN(100,IF($O$5&gt;80,0+30*($AG2082/100),IF($O$5&gt;70,0+50*($AG2082/100),IF($O$5&gt;60,5+50*($AG2082/100),IF($O$5&gt;50,10+60*($AG2082/100),IF($O$5&gt;40,15+70*($AG2082/100),IF($O$5&gt;30,20+70*($AG2082/100),IF($O$5&gt;20,40+55*($AG2082/100),(80+(20-$O$5)+30*($AG2082/100))))))))))</f>
        <v>100</v>
      </c>
      <c r="AI2082" s="262">
        <v>4593</v>
      </c>
      <c r="AJ2082" s="262"/>
      <c r="AK2082" s="262"/>
      <c r="AL2082" s="263"/>
      <c r="AM2082" s="264"/>
      <c r="AN2082" s="263"/>
      <c r="AO2082" s="263"/>
      <c r="AP2082" s="265"/>
      <c r="AQ2082" s="266"/>
      <c r="AR2082" s="267">
        <v>42375</v>
      </c>
      <c r="AS2082" s="263"/>
      <c r="AT2082" s="263"/>
      <c r="AU2082" s="263"/>
      <c r="AV2082" s="264"/>
      <c r="AW2082" s="263"/>
      <c r="AX2082" s="263"/>
      <c r="AY2082" s="263"/>
      <c r="AZ2082" s="263"/>
      <c r="BA2082" s="263"/>
      <c r="BB2082" s="263"/>
      <c r="BC2082" s="263"/>
      <c r="BD2082" s="264"/>
      <c r="BE2082" s="263"/>
      <c r="BF2082" s="263"/>
      <c r="BG2082" s="263"/>
      <c r="BH2082" s="263"/>
      <c r="BI2082" s="263"/>
      <c r="BJ2082" s="404">
        <f>altaz(J2000_Bas,$O2082,$M2082,DecLat,DecLong,2)</f>
        <v>268.52834463133166</v>
      </c>
      <c r="BK2082" s="378" t="s">
        <v>1999</v>
      </c>
      <c r="BL2082" s="379">
        <f>IF((2*G2082)/60&lt;0.2,0.2,(2*G2082)/60)</f>
        <v>0.2</v>
      </c>
      <c r="BM2082" s="380">
        <f>MOD((50000+AD2082-$B$3+(0/24)),1)</f>
        <v>0.73580155980016571</v>
      </c>
      <c r="BN2082" s="381"/>
      <c r="BO2082" s="382">
        <v>2073</v>
      </c>
    </row>
    <row r="2083" spans="1:67" s="24" customFormat="1" ht="15" customHeight="1" x14ac:dyDescent="0.25">
      <c r="A2083" s="287" t="s">
        <v>2000</v>
      </c>
      <c r="B2083" s="241" t="str">
        <f>HYPERLINK(CONCATENATE($AT$3,BK2083,$AU$3),$AV$3)</f>
        <v>S</v>
      </c>
      <c r="C2083" s="242" t="str">
        <f>HYPERLINK(CONCATENATE($AT$4,BK2083,$AU$4,BL2083),$AV$4)</f>
        <v>A</v>
      </c>
      <c r="D2083" s="243" t="s">
        <v>5638</v>
      </c>
      <c r="E2083" s="244" t="s">
        <v>5182</v>
      </c>
      <c r="F2083" s="269" t="s">
        <v>8978</v>
      </c>
      <c r="G2083" s="273">
        <v>4.5999999999999996</v>
      </c>
      <c r="H2083" s="283">
        <v>38</v>
      </c>
      <c r="I2083" s="246">
        <v>50</v>
      </c>
      <c r="J2083" s="246">
        <v>2</v>
      </c>
      <c r="K2083" s="247" t="s">
        <v>8289</v>
      </c>
      <c r="L2083" s="248">
        <v>123956</v>
      </c>
      <c r="M2083" s="249">
        <f>15*(LEFT(TEXT($L2083,"000000"),2)+(MID(TEXT($L2083,"000000"),3,2)/60)+(RIGHT(TEXT($L2083,"000000"),2)/3600))</f>
        <v>189.98333333333335</v>
      </c>
      <c r="N2083" s="250">
        <v>101033</v>
      </c>
      <c r="O2083" s="251">
        <f>IF($N2083&gt;0,(LEFT(TEXT($N2083,"000000"),2)+(MID(TEXT($N2083,"000000"),3,2)/60)+(RIGHT(TEXT($N2083,"000000"),2)/3600)),-(MID(TEXT($N2083,"000000"),2,2)+(MID(TEXT($N2083,"000000"),4,2)/60)+(RIGHT(TEXT($N2083,"000000"),2)/3600)))</f>
        <v>10.175833333333333</v>
      </c>
      <c r="P2083" s="252" t="s">
        <v>61</v>
      </c>
      <c r="Q2083" s="253"/>
      <c r="R2083" s="277" t="s">
        <v>3293</v>
      </c>
      <c r="S2083" s="272" t="s">
        <v>3293</v>
      </c>
      <c r="T2083" s="273">
        <v>10.4</v>
      </c>
      <c r="U2083" s="289">
        <v>21.79</v>
      </c>
      <c r="V2083" s="280">
        <v>20</v>
      </c>
      <c r="W2083" s="244"/>
      <c r="X2083" s="244"/>
      <c r="Y2083" s="362"/>
      <c r="Z2083" s="257">
        <f>altaz(J2000_Bas,$O2083,$M2083,DecLat,DecLong,1)</f>
        <v>0.14438644723693567</v>
      </c>
      <c r="AA2083" s="257">
        <f>altaz((J2000_Bas+(2*0.04167)),$O2083,$M2083,DecLat,DecLong,1)</f>
        <v>-23.963197463134833</v>
      </c>
      <c r="AB2083" s="257">
        <f>altaz((J2000_Bas+(4*0.04167)),$O2083,$M2083,DecLat,DecLong,1)</f>
        <v>-42.912167956554541</v>
      </c>
      <c r="AC2083" s="257">
        <f>altaz((J2000_Bas+(6*0.04167)),$O2083,$M2083,DecLat,DecLong,1)</f>
        <v>-48.386469092336739</v>
      </c>
      <c r="AD2083" s="258">
        <f>1+ transit((J2000_Bas-1),$O2083,$M2083,DecLat,DecLong)/360 + (GMTOffset/24) + (IF(DST="Y", 1, 0)/24)</f>
        <v>1.5206313893380414</v>
      </c>
      <c r="AE2083" s="259">
        <f>DATE(2001,9,21)+(M2083/360)*365 - (360*((DecLong/360)- (GMTOffset/24) ))</f>
        <v>37352.621990740743</v>
      </c>
      <c r="AF2083" s="260">
        <f>IF(DecLat&gt;0,IF((90 - (DecLat-O2083))&gt;90, (90 - (O2083-DecLat)), (90 - (DecLat-O2083))),IF((90 + (DecLat-O2083))&gt;90, (90 + (O2083-DecLat)), (90 + (DecLat-O2083))))</f>
        <v>69.17583333333333</v>
      </c>
      <c r="AG2083" s="257">
        <f>angularseperation(MoonRA,MoonDec,$M2083,$O2083)</f>
        <v>68.43763933284626</v>
      </c>
      <c r="AH2083" s="261">
        <f ca="1">MIN(100,IF($O$5&gt;80,0+30*($AG2083/100),IF($O$5&gt;70,0+50*($AG2083/100),IF($O$5&gt;60,5+50*($AG2083/100),IF($O$5&gt;50,10+60*($AG2083/100),IF($O$5&gt;40,15+70*($AG2083/100),IF($O$5&gt;30,20+70*($AG2083/100),IF($O$5&gt;20,40+55*($AG2083/100),(80+(20-$O$5)+30*($AG2083/100))))))))))</f>
        <v>100</v>
      </c>
      <c r="AI2083" s="262">
        <v>4596</v>
      </c>
      <c r="AJ2083" s="263"/>
      <c r="AK2083" s="263">
        <v>263</v>
      </c>
      <c r="AL2083" s="263"/>
      <c r="AM2083" s="264"/>
      <c r="AN2083" s="263"/>
      <c r="AO2083" s="263"/>
      <c r="AP2083" s="265"/>
      <c r="AQ2083" s="265">
        <v>7828</v>
      </c>
      <c r="AR2083" s="285">
        <v>42401</v>
      </c>
      <c r="AS2083" s="263"/>
      <c r="AT2083" s="263"/>
      <c r="AU2083" s="263"/>
      <c r="AV2083" s="264"/>
      <c r="AW2083" s="263"/>
      <c r="AX2083" s="263"/>
      <c r="AY2083" s="263"/>
      <c r="AZ2083" s="263"/>
      <c r="BA2083" s="263"/>
      <c r="BB2083" s="263"/>
      <c r="BC2083" s="263"/>
      <c r="BD2083" s="264"/>
      <c r="BE2083" s="263"/>
      <c r="BF2083" s="263"/>
      <c r="BG2083" s="263"/>
      <c r="BH2083" s="263"/>
      <c r="BI2083" s="263"/>
      <c r="BJ2083" s="404">
        <f>altaz(J2000_Bas,$O2083,$M2083,DecLat,DecLong,2)</f>
        <v>281.80579937634758</v>
      </c>
      <c r="BK2083" s="378" t="s">
        <v>2000</v>
      </c>
      <c r="BL2083" s="379">
        <f>IF((2*G2083)/60&lt;0.2,0.2,(2*G2083)/60)</f>
        <v>0.2</v>
      </c>
      <c r="BM2083" s="380">
        <f>MOD((50000+AD2083-$B$3+(0/24)),1)</f>
        <v>0.73599831903993618</v>
      </c>
      <c r="BN2083" s="381"/>
      <c r="BO2083" s="382">
        <v>2074</v>
      </c>
    </row>
    <row r="2084" spans="1:67" s="24" customFormat="1" ht="15" customHeight="1" x14ac:dyDescent="0.25">
      <c r="A2084" s="288" t="s">
        <v>2001</v>
      </c>
      <c r="B2084" s="241" t="str">
        <f>HYPERLINK(CONCATENATE($AT$3,BK2084,$AU$3),$AV$3)</f>
        <v>S</v>
      </c>
      <c r="C2084" s="242" t="str">
        <f>HYPERLINK(CONCATENATE($AT$4,BK2084,$AU$4,BL2084),$AV$4)</f>
        <v>A</v>
      </c>
      <c r="D2084" s="243" t="s">
        <v>5638</v>
      </c>
      <c r="E2084" s="244" t="s">
        <v>5192</v>
      </c>
      <c r="F2084" s="269" t="s">
        <v>8886</v>
      </c>
      <c r="G2084" s="273">
        <v>3.8</v>
      </c>
      <c r="H2084" s="283">
        <v>102</v>
      </c>
      <c r="I2084" s="246">
        <v>110</v>
      </c>
      <c r="J2084" s="246">
        <v>2</v>
      </c>
      <c r="K2084" s="247" t="s">
        <v>8287</v>
      </c>
      <c r="L2084" s="248">
        <v>124037</v>
      </c>
      <c r="M2084" s="249">
        <f>15*(LEFT(TEXT($L2084,"000000"),2)+(MID(TEXT($L2084,"000000"),3,2)/60)+(RIGHT(TEXT($L2084,"000000"),2)/3600))</f>
        <v>190.15416666666667</v>
      </c>
      <c r="N2084" s="286">
        <v>-50750</v>
      </c>
      <c r="O2084" s="251">
        <f>IF($N2084&gt;0,(LEFT(TEXT($N2084,"000000"),2)+(MID(TEXT($N2084,"000000"),3,2)/60)+(RIGHT(TEXT($N2084,"000000"),2)/3600)),-(MID(TEXT($N2084,"000000"),2,2)+(MID(TEXT($N2084,"000000"),4,2)/60)+(RIGHT(TEXT($N2084,"000000"),2)/3600)))</f>
        <v>-5.1305555555555555</v>
      </c>
      <c r="P2084" s="252" t="s">
        <v>61</v>
      </c>
      <c r="Q2084" s="253"/>
      <c r="R2084" s="247" t="s">
        <v>3293</v>
      </c>
      <c r="S2084" s="272" t="s">
        <v>8286</v>
      </c>
      <c r="T2084" s="273">
        <v>11.5</v>
      </c>
      <c r="U2084" s="289">
        <v>21.79</v>
      </c>
      <c r="V2084" s="280">
        <v>75</v>
      </c>
      <c r="W2084" s="244"/>
      <c r="X2084" s="244"/>
      <c r="Y2084" s="362"/>
      <c r="Z2084" s="257">
        <f>altaz(J2000_Bas,$O2084,$M2084,DecLat,DecLong,1)</f>
        <v>-7.6459323990063419</v>
      </c>
      <c r="AA2084" s="257">
        <f>altaz((J2000_Bas+(2*0.04167)),$O2084,$M2084,DecLat,DecLong,1)</f>
        <v>-33.165636625917649</v>
      </c>
      <c r="AB2084" s="257">
        <f>altaz((J2000_Bas+(4*0.04167)),$O2084,$M2084,DecLat,DecLong,1)</f>
        <v>-55.698933726367301</v>
      </c>
      <c r="AC2084" s="257">
        <f>altaz((J2000_Bas+(6*0.04167)),$O2084,$M2084,DecLat,DecLong,1)</f>
        <v>-63.502444564308419</v>
      </c>
      <c r="AD2084" s="258">
        <f>1+ transit((J2000_Bas-1),$O2084,$M2084,DecLat,DecLong)/360 + (GMTOffset/24) + (IF(DST="Y", 1, 0)/24)</f>
        <v>1.5211059263276248</v>
      </c>
      <c r="AE2084" s="259">
        <f>DATE(2001,9,21)+(M2084/360)*365 - (360*((DecLong/360)- (GMTOffset/24) ))</f>
        <v>37352.79519675926</v>
      </c>
      <c r="AF2084" s="260">
        <f>IF(DecLat&gt;0,IF((90 - (DecLat-O2084))&gt;90, (90 - (O2084-DecLat)), (90 - (DecLat-O2084))),IF((90 + (DecLat-O2084))&gt;90, (90 + (O2084-DecLat)), (90 + (DecLat-O2084))))</f>
        <v>53.869444444444447</v>
      </c>
      <c r="AG2084" s="257">
        <f>angularseperation(MoonRA,MoonDec,$M2084,$O2084)</f>
        <v>60.246337037134595</v>
      </c>
      <c r="AH2084" s="261">
        <f ca="1">MIN(100,IF($O$5&gt;80,0+30*($AG2084/100),IF($O$5&gt;70,0+50*($AG2084/100),IF($O$5&gt;60,5+50*($AG2084/100),IF($O$5&gt;50,10+60*($AG2084/100),IF($O$5&gt;40,15+70*($AG2084/100),IF($O$5&gt;30,20+70*($AG2084/100),IF($O$5&gt;20,40+55*($AG2084/100),(80+(20-$O$5)+30*($AG2084/100))))))))))</f>
        <v>100</v>
      </c>
      <c r="AI2084" s="262">
        <v>4602</v>
      </c>
      <c r="AJ2084" s="262"/>
      <c r="AK2084" s="262"/>
      <c r="AL2084" s="263"/>
      <c r="AM2084" s="264"/>
      <c r="AN2084" s="263"/>
      <c r="AO2084" s="263"/>
      <c r="AP2084" s="265"/>
      <c r="AQ2084" s="266"/>
      <c r="AR2084" s="267">
        <v>42476</v>
      </c>
      <c r="AS2084" s="263"/>
      <c r="AT2084" s="263"/>
      <c r="AU2084" s="263"/>
      <c r="AV2084" s="264"/>
      <c r="AW2084" s="263"/>
      <c r="AX2084" s="263"/>
      <c r="AY2084" s="263"/>
      <c r="AZ2084" s="263"/>
      <c r="BA2084" s="263"/>
      <c r="BB2084" s="263"/>
      <c r="BC2084" s="263"/>
      <c r="BD2084" s="264"/>
      <c r="BE2084" s="263"/>
      <c r="BF2084" s="263"/>
      <c r="BG2084" s="263"/>
      <c r="BH2084" s="263"/>
      <c r="BI2084" s="263"/>
      <c r="BJ2084" s="404">
        <f>altaz(J2000_Bas,$O2084,$M2084,DecLat,DecLong,2)</f>
        <v>268.5903608729426</v>
      </c>
      <c r="BK2084" s="378" t="s">
        <v>2001</v>
      </c>
      <c r="BL2084" s="379">
        <f>IF((2*G2084)/60&lt;0.2,0.2,(2*G2084)/60)</f>
        <v>0.2</v>
      </c>
      <c r="BM2084" s="380">
        <f>MOD((50000+AD2084-$B$3+(0/24)),1)</f>
        <v>0.73647285603510682</v>
      </c>
      <c r="BN2084" s="381"/>
      <c r="BO2084" s="382">
        <v>2075</v>
      </c>
    </row>
    <row r="2085" spans="1:67" s="24" customFormat="1" ht="15" customHeight="1" x14ac:dyDescent="0.25">
      <c r="A2085" s="288" t="s">
        <v>2002</v>
      </c>
      <c r="B2085" s="241" t="str">
        <f>HYPERLINK(CONCATENATE($AT$3,BK2085,$AU$3),$AV$3)</f>
        <v>S</v>
      </c>
      <c r="C2085" s="242" t="str">
        <f>HYPERLINK(CONCATENATE($AT$4,BK2085,$AU$4,BL2085),$AV$4)</f>
        <v>A</v>
      </c>
      <c r="D2085" s="243" t="s">
        <v>5638</v>
      </c>
      <c r="E2085" s="244" t="s">
        <v>3259</v>
      </c>
      <c r="F2085" s="269"/>
      <c r="G2085" s="273">
        <v>5.5</v>
      </c>
      <c r="H2085" s="283">
        <v>13</v>
      </c>
      <c r="I2085" s="246">
        <v>22</v>
      </c>
      <c r="J2085" s="246">
        <v>2</v>
      </c>
      <c r="K2085" s="247" t="s">
        <v>8486</v>
      </c>
      <c r="L2085" s="248">
        <v>124000</v>
      </c>
      <c r="M2085" s="249">
        <f>15*(LEFT(TEXT($L2085,"000000"),2)+(MID(TEXT($L2085,"000000"),3,2)/60)+(RIGHT(TEXT($L2085,"000000"),2)/3600))</f>
        <v>190</v>
      </c>
      <c r="N2085" s="250">
        <v>613630</v>
      </c>
      <c r="O2085" s="251">
        <f>IF($N2085&gt;0,(LEFT(TEXT($N2085,"000000"),2)+(MID(TEXT($N2085,"000000"),3,2)/60)+(RIGHT(TEXT($N2085,"000000"),2)/3600)),-(MID(TEXT($N2085,"000000"),2,2)+(MID(TEXT($N2085,"000000"),4,2)/60)+(RIGHT(TEXT($N2085,"000000"),2)/3600)))</f>
        <v>61.608333333333334</v>
      </c>
      <c r="P2085" s="252" t="s">
        <v>37</v>
      </c>
      <c r="Q2085" s="253" t="s">
        <v>8290</v>
      </c>
      <c r="R2085" s="247" t="s">
        <v>3293</v>
      </c>
      <c r="S2085" s="272" t="s">
        <v>3293</v>
      </c>
      <c r="T2085" s="273">
        <v>10.3</v>
      </c>
      <c r="U2085" s="289">
        <v>21.79</v>
      </c>
      <c r="V2085" s="280">
        <v>80</v>
      </c>
      <c r="W2085" s="244"/>
      <c r="X2085" s="244"/>
      <c r="Y2085" s="362"/>
      <c r="Z2085" s="257">
        <f>altaz(J2000_Bas,$O2085,$M2085,DecLat,DecLong,1)</f>
        <v>24.234102212549043</v>
      </c>
      <c r="AA2085" s="257">
        <f>altaz((J2000_Bas+(2*0.04167)),$O2085,$M2085,DecLat,DecLong,1)</f>
        <v>12.299233388600308</v>
      </c>
      <c r="AB2085" s="257">
        <f>altaz((J2000_Bas+(4*0.04167)),$O2085,$M2085,DecLat,DecLong,1)</f>
        <v>4.6029503069444671</v>
      </c>
      <c r="AC2085" s="257">
        <f>altaz((J2000_Bas+(6*0.04167)),$O2085,$M2085,DecLat,DecLong,1)</f>
        <v>2.7475632441389699</v>
      </c>
      <c r="AD2085" s="258">
        <f>1+ transit((J2000_Bas-1),$O2085,$M2085,DecLat,DecLong)/360 + (GMTOffset/24) + (IF(DST="Y", 1, 0)/24)</f>
        <v>1.520677685629708</v>
      </c>
      <c r="AE2085" s="259">
        <f>DATE(2001,9,21)+(M2085/360)*365 - (360*((DecLong/360)- (GMTOffset/24) ))</f>
        <v>37352.638888888891</v>
      </c>
      <c r="AF2085" s="260">
        <f>IF(DecLat&gt;0,IF((90 - (DecLat-O2085))&gt;90, (90 - (O2085-DecLat)), (90 - (DecLat-O2085))),IF((90 + (DecLat-O2085))&gt;90, (90 + (O2085-DecLat)), (90 + (DecLat-O2085))))</f>
        <v>59.391666666666666</v>
      </c>
      <c r="AG2085" s="257">
        <f>angularseperation(MoonRA,MoonDec,$M2085,$O2085)</f>
        <v>100.60427511738223</v>
      </c>
      <c r="AH2085" s="261">
        <f ca="1">MIN(100,IF($O$5&gt;80,0+30*($AG2085/100),IF($O$5&gt;70,0+50*($AG2085/100),IF($O$5&gt;60,5+50*($AG2085/100),IF($O$5&gt;50,10+60*($AG2085/100),IF($O$5&gt;40,15+70*($AG2085/100),IF($O$5&gt;30,20+70*($AG2085/100),IF($O$5&gt;20,40+55*($AG2085/100),(80+(20-$O$5)+30*($AG2085/100))))))))))</f>
        <v>100</v>
      </c>
      <c r="AI2085" s="262">
        <v>4605</v>
      </c>
      <c r="AJ2085" s="262"/>
      <c r="AK2085" s="262"/>
      <c r="AL2085" s="263"/>
      <c r="AM2085" s="264"/>
      <c r="AN2085" s="263"/>
      <c r="AO2085" s="263"/>
      <c r="AP2085" s="265"/>
      <c r="AQ2085" s="266">
        <v>7831</v>
      </c>
      <c r="AR2085" s="267">
        <v>42408</v>
      </c>
      <c r="AS2085" s="263"/>
      <c r="AT2085" s="263"/>
      <c r="AU2085" s="263"/>
      <c r="AV2085" s="264"/>
      <c r="AW2085" s="263"/>
      <c r="AX2085" s="263"/>
      <c r="AY2085" s="263"/>
      <c r="AZ2085" s="263"/>
      <c r="BA2085" s="263"/>
      <c r="BB2085" s="263"/>
      <c r="BC2085" s="263"/>
      <c r="BD2085" s="264"/>
      <c r="BE2085" s="263">
        <v>66</v>
      </c>
      <c r="BF2085" s="263"/>
      <c r="BG2085" s="263"/>
      <c r="BH2085" s="263"/>
      <c r="BI2085" s="263"/>
      <c r="BJ2085" s="404">
        <f>altaz(J2000_Bas,$O2085,$M2085,DecLat,DecLong,2)</f>
        <v>328.76232462441135</v>
      </c>
      <c r="BK2085" s="378" t="s">
        <v>2002</v>
      </c>
      <c r="BL2085" s="379">
        <f>IF((2*G2085)/60&lt;0.2,0.2,(2*G2085)/60)</f>
        <v>0.2</v>
      </c>
      <c r="BM2085" s="380">
        <f>MOD((50000+AD2085-$B$3+(0/24)),1)</f>
        <v>0.73604461533250287</v>
      </c>
      <c r="BN2085" s="381"/>
      <c r="BO2085" s="382">
        <v>2076</v>
      </c>
    </row>
    <row r="2086" spans="1:67" s="24" customFormat="1" ht="15" customHeight="1" x14ac:dyDescent="0.25">
      <c r="A2086" s="287" t="s">
        <v>3249</v>
      </c>
      <c r="B2086" s="241" t="str">
        <f>HYPERLINK(CONCATENATE($AT$3,BK2086,$AU$3),$AV$3)</f>
        <v>S</v>
      </c>
      <c r="C2086" s="242" t="str">
        <f>HYPERLINK(CONCATENATE($AT$4,BK2086,$AU$4,BL2086),$AV$4)</f>
        <v>A</v>
      </c>
      <c r="D2086" s="243" t="s">
        <v>5638</v>
      </c>
      <c r="E2086" s="244" t="s">
        <v>5182</v>
      </c>
      <c r="F2086" s="269" t="s">
        <v>8979</v>
      </c>
      <c r="G2086" s="273">
        <v>3.8</v>
      </c>
      <c r="H2086" s="283">
        <v>68</v>
      </c>
      <c r="I2086" s="246">
        <v>75</v>
      </c>
      <c r="J2086" s="246">
        <v>2</v>
      </c>
      <c r="K2086" s="247" t="s">
        <v>8300</v>
      </c>
      <c r="L2086" s="248">
        <v>124113</v>
      </c>
      <c r="M2086" s="249">
        <f>15*(LEFT(TEXT($L2086,"000000"),2)+(MID(TEXT($L2086,"000000"),3,2)/60)+(RIGHT(TEXT($L2086,"000000"),2)/3600))</f>
        <v>190.30416666666667</v>
      </c>
      <c r="N2086" s="250">
        <v>100920</v>
      </c>
      <c r="O2086" s="251">
        <f>IF($N2086&gt;0,(LEFT(TEXT($N2086,"000000"),2)+(MID(TEXT($N2086,"000000"),3,2)/60)+(RIGHT(TEXT($N2086,"000000"),2)/3600)),-(MID(TEXT($N2086,"000000"),2,2)+(MID(TEXT($N2086,"000000"),4,2)/60)+(RIGHT(TEXT($N2086,"000000"),2)/3600)))</f>
        <v>10.155555555555557</v>
      </c>
      <c r="P2086" s="252" t="s">
        <v>61</v>
      </c>
      <c r="Q2086" s="253"/>
      <c r="R2086" s="277" t="s">
        <v>3293</v>
      </c>
      <c r="S2086" s="272" t="s">
        <v>3293</v>
      </c>
      <c r="T2086" s="273">
        <v>11</v>
      </c>
      <c r="U2086" s="289">
        <v>22.09</v>
      </c>
      <c r="V2086" s="280">
        <v>5</v>
      </c>
      <c r="W2086" s="244"/>
      <c r="X2086" s="244"/>
      <c r="Y2086" s="362"/>
      <c r="Z2086" s="257">
        <f>altaz(J2000_Bas,$O2086,$M2086,DecLat,DecLong,1)</f>
        <v>0.40307286297616701</v>
      </c>
      <c r="AA2086" s="257">
        <f>altaz((J2000_Bas+(2*0.04167)),$O2086,$M2086,DecLat,DecLong,1)</f>
        <v>-23.736794719367186</v>
      </c>
      <c r="AB2086" s="257">
        <f>altaz((J2000_Bas+(4*0.04167)),$O2086,$M2086,DecLat,DecLong,1)</f>
        <v>-42.78001001866064</v>
      </c>
      <c r="AC2086" s="257">
        <f>altaz((J2000_Bas+(6*0.04167)),$O2086,$M2086,DecLat,DecLong,1)</f>
        <v>-48.44998321461059</v>
      </c>
      <c r="AD2086" s="258">
        <f>1+ transit((J2000_Bas-1),$O2086,$M2086,DecLat,DecLong)/360 + (GMTOffset/24) + (IF(DST="Y", 1, 0)/24)</f>
        <v>1.5215225929526246</v>
      </c>
      <c r="AE2086" s="259">
        <f>DATE(2001,9,21)+(M2086/360)*365 - (360*((DecLong/360)- (GMTOffset/24) ))</f>
        <v>37352.947280092594</v>
      </c>
      <c r="AF2086" s="260">
        <f>IF(DecLat&gt;0,IF((90 - (DecLat-O2086))&gt;90, (90 - (O2086-DecLat)), (90 - (DecLat-O2086))),IF((90 + (DecLat-O2086))&gt;90, (90 + (O2086-DecLat)), (90 + (DecLat-O2086))))</f>
        <v>69.155555555555566</v>
      </c>
      <c r="AG2086" s="257">
        <f>angularseperation(MoonRA,MoonDec,$M2086,$O2086)</f>
        <v>68.166446039114049</v>
      </c>
      <c r="AH2086" s="261">
        <f ca="1">MIN(100,IF($O$5&gt;80,0+30*($AG2086/100),IF($O$5&gt;70,0+50*($AG2086/100),IF($O$5&gt;60,5+50*($AG2086/100),IF($O$5&gt;50,10+60*($AG2086/100),IF($O$5&gt;40,15+70*($AG2086/100),IF($O$5&gt;30,20+70*($AG2086/100),IF($O$5&gt;20,40+55*($AG2086/100),(80+(20-$O$5)+30*($AG2086/100))))))))))</f>
        <v>100</v>
      </c>
      <c r="AI2086" s="263">
        <v>4608</v>
      </c>
      <c r="AJ2086" s="263"/>
      <c r="AK2086" s="263"/>
      <c r="AL2086" s="263"/>
      <c r="AM2086" s="264"/>
      <c r="AN2086" s="263"/>
      <c r="AO2086" s="263"/>
      <c r="AP2086" s="265"/>
      <c r="AQ2086" s="265">
        <v>7842</v>
      </c>
      <c r="AR2086" s="285">
        <v>42545</v>
      </c>
      <c r="AS2086" s="263"/>
      <c r="AT2086" s="263"/>
      <c r="AU2086" s="263"/>
      <c r="AV2086" s="264"/>
      <c r="AW2086" s="263"/>
      <c r="AX2086" s="263"/>
      <c r="AY2086" s="263"/>
      <c r="AZ2086" s="263"/>
      <c r="BA2086" s="263"/>
      <c r="BB2086" s="263"/>
      <c r="BC2086" s="263"/>
      <c r="BD2086" s="264"/>
      <c r="BE2086" s="263"/>
      <c r="BF2086" s="263"/>
      <c r="BG2086" s="263"/>
      <c r="BH2086" s="263"/>
      <c r="BI2086" s="263"/>
      <c r="BJ2086" s="404">
        <f>altaz(J2000_Bas,$O2086,$M2086,DecLat,DecLong,2)</f>
        <v>281.62353336363469</v>
      </c>
      <c r="BK2086" s="378" t="s">
        <v>3249</v>
      </c>
      <c r="BL2086" s="379">
        <f>IF((2*G2086)/60&lt;0.2,0.2,(2*G2086)/60)</f>
        <v>0.2</v>
      </c>
      <c r="BM2086" s="380">
        <f>MOD((50000+AD2086-$B$3+(0/24)),1)</f>
        <v>0.73688952265365515</v>
      </c>
      <c r="BN2086" s="381"/>
      <c r="BO2086" s="382">
        <v>2077</v>
      </c>
    </row>
    <row r="2087" spans="1:67" s="24" customFormat="1" ht="15" customHeight="1" x14ac:dyDescent="0.25">
      <c r="A2087" s="298" t="s">
        <v>2003</v>
      </c>
      <c r="B2087" s="241" t="str">
        <f>HYPERLINK(CONCATENATE($AT$3,BK2087,$AU$3),$AV$3)</f>
        <v>S</v>
      </c>
      <c r="C2087" s="242" t="str">
        <f>HYPERLINK(CONCATENATE($AT$4,BK2087,$AU$4,BL2087),$AV$4)</f>
        <v>A</v>
      </c>
      <c r="D2087" s="243" t="s">
        <v>5335</v>
      </c>
      <c r="E2087" s="244" t="s">
        <v>5185</v>
      </c>
      <c r="F2087" s="269" t="s">
        <v>8645</v>
      </c>
      <c r="G2087" s="273">
        <v>6</v>
      </c>
      <c r="H2087" s="283">
        <v>4600</v>
      </c>
      <c r="I2087" s="279">
        <v>8</v>
      </c>
      <c r="J2087" s="246">
        <v>2</v>
      </c>
      <c r="K2087" s="247" t="s">
        <v>8301</v>
      </c>
      <c r="L2087" s="248">
        <v>124218</v>
      </c>
      <c r="M2087" s="249">
        <f>15*(LEFT(TEXT($L2087,"000000"),2)+(MID(TEXT($L2087,"000000"),3,2)/60)+(RIGHT(TEXT($L2087,"000000"),2)/3600))</f>
        <v>190.57499999999999</v>
      </c>
      <c r="N2087" s="286">
        <v>-630000</v>
      </c>
      <c r="O2087" s="251">
        <f>IF($N2087&gt;0,(LEFT(TEXT($N2087,"000000"),2)+(MID(TEXT($N2087,"000000"),3,2)/60)+(RIGHT(TEXT($N2087,"000000"),2)/3600)),-(MID(TEXT($N2087,"000000"),2,2)+(MID(TEXT($N2087,"000000"),4,2)/60)+(RIGHT(TEXT($N2087,"000000"),2)/3600)))</f>
        <v>-63</v>
      </c>
      <c r="P2087" s="252" t="s">
        <v>928</v>
      </c>
      <c r="Q2087" s="253"/>
      <c r="R2087" s="247" t="s">
        <v>7410</v>
      </c>
      <c r="S2087" s="272" t="s">
        <v>3293</v>
      </c>
      <c r="T2087" s="273">
        <v>6.9</v>
      </c>
      <c r="U2087" s="274"/>
      <c r="V2087" s="280"/>
      <c r="W2087" s="244"/>
      <c r="X2087" s="244"/>
      <c r="Y2087" s="362"/>
      <c r="Z2087" s="257">
        <f>altaz(J2000_Bas,$O2087,$M2087,DecLat,DecLong,1)</f>
        <v>-29.716641638330213</v>
      </c>
      <c r="AA2087" s="257">
        <f>altaz((J2000_Bas+(2*0.04167)),$O2087,$M2087,DecLat,DecLong,1)</f>
        <v>-43.231494155464205</v>
      </c>
      <c r="AB2087" s="257">
        <f>altaz((J2000_Bas+(4*0.04167)),$O2087,$M2087,DecLat,DecLong,1)</f>
        <v>-54.417822581442735</v>
      </c>
      <c r="AC2087" s="257">
        <f>altaz((J2000_Bas+(6*0.04167)),$O2087,$M2087,DecLat,DecLong,1)</f>
        <v>-57.793919886139861</v>
      </c>
      <c r="AD2087" s="258">
        <f>1+ transit((J2000_Bas-1),$O2087,$M2087,DecLat,DecLong)/360 + (GMTOffset/24) + (IF(DST="Y", 1, 0)/24)</f>
        <v>1.522274907692208</v>
      </c>
      <c r="AE2087" s="259">
        <f>DATE(2001,9,21)+(M2087/360)*365 - (360*((DecLong/360)- (GMTOffset/24) ))</f>
        <v>37353.221875000003</v>
      </c>
      <c r="AF2087" s="260">
        <f>IF(DecLat&gt;0,IF((90 - (DecLat-O2087))&gt;90, (90 - (O2087-DecLat)), (90 - (DecLat-O2087))),IF((90 + (DecLat-O2087))&gt;90, (90 + (O2087-DecLat)), (90 + (DecLat-O2087))))</f>
        <v>-4</v>
      </c>
      <c r="AG2087" s="257">
        <f>angularseperation(MoonRA,MoonDec,$M2087,$O2087)</f>
        <v>51.985186709776023</v>
      </c>
      <c r="AH2087" s="261">
        <f ca="1">MIN(100,IF($O$5&gt;80,0+30*($AG2087/100),IF($O$5&gt;70,0+50*($AG2087/100),IF($O$5&gt;60,5+50*($AG2087/100),IF($O$5&gt;50,10+60*($AG2087/100),IF($O$5&gt;40,15+70*($AG2087/100),IF($O$5&gt;30,20+70*($AG2087/100),IF($O$5&gt;20,40+55*($AG2087/100),(80+(20-$O$5)+30*($AG2087/100))))))))))</f>
        <v>98.866616357083231</v>
      </c>
      <c r="AI2087" s="262">
        <v>4609</v>
      </c>
      <c r="AJ2087" s="262"/>
      <c r="AK2087" s="262"/>
      <c r="AL2087" s="263"/>
      <c r="AM2087" s="264">
        <v>98</v>
      </c>
      <c r="AN2087" s="263"/>
      <c r="AO2087" s="263"/>
      <c r="AP2087" s="265"/>
      <c r="AQ2087" s="266"/>
      <c r="AR2087" s="267"/>
      <c r="AS2087" s="263"/>
      <c r="AT2087" s="263"/>
      <c r="AU2087" s="263"/>
      <c r="AV2087" s="264"/>
      <c r="AW2087" s="263"/>
      <c r="AX2087" s="263"/>
      <c r="AY2087" s="263"/>
      <c r="AZ2087" s="263"/>
      <c r="BA2087" s="263"/>
      <c r="BB2087" s="263"/>
      <c r="BC2087" s="263"/>
      <c r="BD2087" s="264"/>
      <c r="BE2087" s="263"/>
      <c r="BF2087" s="263"/>
      <c r="BG2087" s="263"/>
      <c r="BH2087" s="263"/>
      <c r="BI2087" s="263"/>
      <c r="BJ2087" s="404">
        <f>altaz(J2000_Bas,$O2087,$M2087,DecLat,DecLong,2)</f>
        <v>211.35862981808097</v>
      </c>
      <c r="BK2087" s="378" t="s">
        <v>2003</v>
      </c>
      <c r="BL2087" s="379">
        <f>IF((2*G2087)/60&lt;0.2,0.2,(2*G2087)/60)</f>
        <v>0.2</v>
      </c>
      <c r="BM2087" s="380">
        <f>MOD((50000+AD2087-$B$3+(0/24)),1)</f>
        <v>0.73764183739695</v>
      </c>
      <c r="BN2087" s="381"/>
      <c r="BO2087" s="382">
        <v>2078</v>
      </c>
    </row>
    <row r="2088" spans="1:67" s="24" customFormat="1" ht="15" customHeight="1" x14ac:dyDescent="0.25">
      <c r="A2088" s="287" t="s">
        <v>2004</v>
      </c>
      <c r="B2088" s="241" t="str">
        <f>HYPERLINK(CONCATENATE($AT$3,BK2088,$AU$3),$AV$3)</f>
        <v>S</v>
      </c>
      <c r="C2088" s="242" t="str">
        <f>HYPERLINK(CONCATENATE($AT$4,BK2088,$AU$4,BL2088),$AV$4)</f>
        <v>A</v>
      </c>
      <c r="D2088" s="243" t="s">
        <v>5638</v>
      </c>
      <c r="E2088" s="244" t="s">
        <v>5182</v>
      </c>
      <c r="F2088" s="269" t="s">
        <v>8905</v>
      </c>
      <c r="G2088" s="273">
        <v>2.6</v>
      </c>
      <c r="H2088" s="283">
        <v>57</v>
      </c>
      <c r="I2088" s="246">
        <v>44</v>
      </c>
      <c r="J2088" s="246">
        <v>2</v>
      </c>
      <c r="K2088" s="247" t="s">
        <v>8283</v>
      </c>
      <c r="L2088" s="248">
        <v>124211</v>
      </c>
      <c r="M2088" s="249">
        <f>15*(LEFT(TEXT($L2088,"000000"),2)+(MID(TEXT($L2088,"000000"),3,2)/60)+(RIGHT(TEXT($L2088,"000000"),2)/3600))</f>
        <v>190.54583333333332</v>
      </c>
      <c r="N2088" s="250">
        <v>74036</v>
      </c>
      <c r="O2088" s="251">
        <f>IF($N2088&gt;0,(LEFT(TEXT($N2088,"000000"),2)+(MID(TEXT($N2088,"000000"),3,2)/60)+(RIGHT(TEXT($N2088,"000000"),2)/3600)),-(MID(TEXT($N2088,"000000"),2,2)+(MID(TEXT($N2088,"000000"),4,2)/60)+(RIGHT(TEXT($N2088,"000000"),2)/3600)))</f>
        <v>7.6766666666666667</v>
      </c>
      <c r="P2088" s="252" t="s">
        <v>61</v>
      </c>
      <c r="Q2088" s="253"/>
      <c r="R2088" s="277" t="s">
        <v>3293</v>
      </c>
      <c r="S2088" s="272" t="s">
        <v>3293</v>
      </c>
      <c r="T2088" s="273">
        <v>12.3</v>
      </c>
      <c r="U2088" s="289">
        <v>21.59</v>
      </c>
      <c r="V2088" s="280">
        <v>90</v>
      </c>
      <c r="W2088" s="244"/>
      <c r="X2088" s="244"/>
      <c r="Y2088" s="362"/>
      <c r="Z2088" s="257">
        <f>altaz(J2000_Bas,$O2088,$M2088,DecLat,DecLong,1)</f>
        <v>-0.68651993340034523</v>
      </c>
      <c r="AA2088" s="257">
        <f>altaz((J2000_Bas+(2*0.04167)),$O2088,$M2088,DecLat,DecLong,1)</f>
        <v>-25.150486665038034</v>
      </c>
      <c r="AB2088" s="257">
        <f>altaz((J2000_Bas+(4*0.04167)),$O2088,$M2088,DecLat,DecLong,1)</f>
        <v>-44.827161579012632</v>
      </c>
      <c r="AC2088" s="257">
        <f>altaz((J2000_Bas+(6*0.04167)),$O2088,$M2088,DecLat,DecLong,1)</f>
        <v>-50.938442526378303</v>
      </c>
      <c r="AD2088" s="258">
        <f>1+ transit((J2000_Bas-1),$O2088,$M2088,DecLat,DecLong)/360 + (GMTOffset/24) + (IF(DST="Y", 1, 0)/24)</f>
        <v>1.5221938891817912</v>
      </c>
      <c r="AE2088" s="259">
        <f>DATE(2001,9,21)+(M2088/360)*365 - (360*((DecLong/360)- (GMTOffset/24) ))</f>
        <v>37353.192303240743</v>
      </c>
      <c r="AF2088" s="260">
        <f>IF(DecLat&gt;0,IF((90 - (DecLat-O2088))&gt;90, (90 - (O2088-DecLat)), (90 - (DecLat-O2088))),IF((90 + (DecLat-O2088))&gt;90, (90 + (O2088-DecLat)), (90 + (DecLat-O2088))))</f>
        <v>66.676666666666662</v>
      </c>
      <c r="AG2088" s="257">
        <f>angularseperation(MoonRA,MoonDec,$M2088,$O2088)</f>
        <v>66.569618177975968</v>
      </c>
      <c r="AH2088" s="261">
        <f ca="1">MIN(100,IF($O$5&gt;80,0+30*($AG2088/100),IF($O$5&gt;70,0+50*($AG2088/100),IF($O$5&gt;60,5+50*($AG2088/100),IF($O$5&gt;50,10+60*($AG2088/100),IF($O$5&gt;40,15+70*($AG2088/100),IF($O$5&gt;30,20+70*($AG2088/100),IF($O$5&gt;20,40+55*($AG2088/100),(80+(20-$O$5)+30*($AG2088/100))))))))))</f>
        <v>100</v>
      </c>
      <c r="AI2088" s="262">
        <v>4623</v>
      </c>
      <c r="AJ2088" s="263"/>
      <c r="AK2088" s="263"/>
      <c r="AL2088" s="263"/>
      <c r="AM2088" s="264"/>
      <c r="AN2088" s="263"/>
      <c r="AO2088" s="263"/>
      <c r="AP2088" s="265"/>
      <c r="AQ2088" s="265">
        <v>7862</v>
      </c>
      <c r="AR2088" s="285">
        <v>42647</v>
      </c>
      <c r="AS2088" s="263"/>
      <c r="AT2088" s="263"/>
      <c r="AU2088" s="263"/>
      <c r="AV2088" s="264"/>
      <c r="AW2088" s="263"/>
      <c r="AX2088" s="263"/>
      <c r="AY2088" s="263"/>
      <c r="AZ2088" s="263"/>
      <c r="BA2088" s="263"/>
      <c r="BB2088" s="263"/>
      <c r="BC2088" s="263"/>
      <c r="BD2088" s="264"/>
      <c r="BE2088" s="263"/>
      <c r="BF2088" s="263"/>
      <c r="BG2088" s="263"/>
      <c r="BH2088" s="263"/>
      <c r="BI2088" s="263"/>
      <c r="BJ2088" s="404">
        <f>altaz(J2000_Bas,$O2088,$M2088,DecLat,DecLong,2)</f>
        <v>279.38414733106288</v>
      </c>
      <c r="BK2088" s="378" t="s">
        <v>2004</v>
      </c>
      <c r="BL2088" s="379">
        <f>IF((2*G2088)/60&lt;0.2,0.2,(2*G2088)/60)</f>
        <v>0.2</v>
      </c>
      <c r="BM2088" s="380">
        <f>MOD((50000+AD2088-$B$3+(0/24)),1)</f>
        <v>0.73756081888859626</v>
      </c>
      <c r="BN2088" s="381"/>
      <c r="BO2088" s="382">
        <v>2079</v>
      </c>
    </row>
    <row r="2089" spans="1:67" s="24" customFormat="1" ht="15" customHeight="1" x14ac:dyDescent="0.25">
      <c r="A2089" s="288" t="s">
        <v>8299</v>
      </c>
      <c r="B2089" s="241" t="str">
        <f>HYPERLINK(CONCATENATE($AT$3,BK2089,$AU$3),$AV$3)</f>
        <v>S</v>
      </c>
      <c r="C2089" s="242" t="str">
        <f>HYPERLINK(CONCATENATE($AT$4,BK2089,$AU$4,BL2089),$AV$4)</f>
        <v>A</v>
      </c>
      <c r="D2089" s="243" t="s">
        <v>5638</v>
      </c>
      <c r="E2089" s="244" t="s">
        <v>5192</v>
      </c>
      <c r="F2089" s="269" t="s">
        <v>8906</v>
      </c>
      <c r="G2089" s="276">
        <v>17</v>
      </c>
      <c r="H2089" s="283">
        <v>24</v>
      </c>
      <c r="I2089" s="246">
        <v>120</v>
      </c>
      <c r="J2089" s="246">
        <v>4</v>
      </c>
      <c r="K2089" s="247" t="s">
        <v>8487</v>
      </c>
      <c r="L2089" s="248">
        <v>124159</v>
      </c>
      <c r="M2089" s="249">
        <f>15*(LEFT(TEXT($L2089,"000000"),2)+(MID(TEXT($L2089,"000000"),3,2)/60)+(RIGHT(TEXT($L2089,"000000"),2)/3600))</f>
        <v>190.49583333333334</v>
      </c>
      <c r="N2089" s="250">
        <v>323400</v>
      </c>
      <c r="O2089" s="251">
        <f>IF($N2089&gt;0,(LEFT(TEXT($N2089,"000000"),2)+(MID(TEXT($N2089,"000000"),3,2)/60)+(RIGHT(TEXT($N2089,"000000"),2)/3600)),-(MID(TEXT($N2089,"000000"),2,2)+(MID(TEXT($N2089,"000000"),4,2)/60)+(RIGHT(TEXT($N2089,"000000"),2)/3600)))</f>
        <v>32.56666666666667</v>
      </c>
      <c r="P2089" s="252" t="s">
        <v>242</v>
      </c>
      <c r="Q2089" s="253" t="s">
        <v>6922</v>
      </c>
      <c r="R2089" s="247" t="s">
        <v>7356</v>
      </c>
      <c r="S2089" s="272" t="s">
        <v>3293</v>
      </c>
      <c r="T2089" s="273">
        <v>9.1999999999999993</v>
      </c>
      <c r="U2089" s="289">
        <v>21.990000000000002</v>
      </c>
      <c r="V2089" s="280">
        <v>88</v>
      </c>
      <c r="W2089" s="244"/>
      <c r="X2089" s="244"/>
      <c r="Y2089" s="362"/>
      <c r="Z2089" s="257">
        <f>altaz(J2000_Bas,$O2089,$M2089,DecLat,DecLong,1)</f>
        <v>11.999994858196446</v>
      </c>
      <c r="AA2089" s="257">
        <f>altaz((J2000_Bas+(2*0.04167)),$O2089,$M2089,DecLat,DecLong,1)</f>
        <v>-8.2328685302474192</v>
      </c>
      <c r="AB2089" s="257">
        <f>altaz((J2000_Bas+(4*0.04167)),$O2089,$M2089,DecLat,DecLong,1)</f>
        <v>-22.397467998453763</v>
      </c>
      <c r="AC2089" s="257">
        <f>altaz((J2000_Bas+(6*0.04167)),$O2089,$M2089,DecLat,DecLong,1)</f>
        <v>-26.200158119291359</v>
      </c>
      <c r="AD2089" s="258">
        <f>1+ transit((J2000_Bas-1),$O2089,$M2089,DecLat,DecLong)/360 + (GMTOffset/24) + (IF(DST="Y", 1, 0)/24)</f>
        <v>1.5220550003067914</v>
      </c>
      <c r="AE2089" s="259">
        <f>DATE(2001,9,21)+(M2089/360)*365 - (360*((DecLong/360)- (GMTOffset/24) ))</f>
        <v>37353.141608796293</v>
      </c>
      <c r="AF2089" s="260">
        <f>IF(DecLat&gt;0,IF((90 - (DecLat-O2089))&gt;90, (90 - (O2089-DecLat)), (90 - (DecLat-O2089))),IF((90 + (DecLat-O2089))&gt;90, (90 + (O2089-DecLat)), (90 + (DecLat-O2089))))</f>
        <v>88.433333333333337</v>
      </c>
      <c r="AG2089" s="257">
        <f>angularseperation(MoonRA,MoonDec,$M2089,$O2089)</f>
        <v>81.707531879569785</v>
      </c>
      <c r="AH2089" s="261">
        <f ca="1">MIN(100,IF($O$5&gt;80,0+30*($AG2089/100),IF($O$5&gt;70,0+50*($AG2089/100),IF($O$5&gt;60,5+50*($AG2089/100),IF($O$5&gt;50,10+60*($AG2089/100),IF($O$5&gt;40,15+70*($AG2089/100),IF($O$5&gt;30,20+70*($AG2089/100),IF($O$5&gt;20,40+55*($AG2089/100),(80+(20-$O$5)+30*($AG2089/100))))))))))</f>
        <v>100</v>
      </c>
      <c r="AI2089" s="262">
        <v>4631</v>
      </c>
      <c r="AJ2089" s="262"/>
      <c r="AK2089" s="262">
        <v>265</v>
      </c>
      <c r="AL2089" s="263"/>
      <c r="AM2089" s="264">
        <v>32</v>
      </c>
      <c r="AN2089" s="263">
        <v>281</v>
      </c>
      <c r="AO2089" s="263"/>
      <c r="AP2089" s="265"/>
      <c r="AQ2089" s="266">
        <v>7865</v>
      </c>
      <c r="AR2089" s="267">
        <v>42637</v>
      </c>
      <c r="AS2089" s="263"/>
      <c r="AT2089" s="263"/>
      <c r="AU2089" s="263"/>
      <c r="AV2089" s="264"/>
      <c r="AW2089" s="263"/>
      <c r="AX2089" s="263"/>
      <c r="AY2089" s="263"/>
      <c r="AZ2089" s="263"/>
      <c r="BA2089" s="263"/>
      <c r="BB2089" s="263"/>
      <c r="BC2089" s="263"/>
      <c r="BD2089" s="264"/>
      <c r="BE2089" s="263"/>
      <c r="BF2089" s="263"/>
      <c r="BG2089" s="263"/>
      <c r="BH2089" s="263"/>
      <c r="BI2089" s="263"/>
      <c r="BJ2089" s="404">
        <f>altaz(J2000_Bas,$O2089,$M2089,DecLat,DecLong,2)</f>
        <v>300.94991801919764</v>
      </c>
      <c r="BK2089" s="378" t="s">
        <v>500</v>
      </c>
      <c r="BL2089" s="379">
        <f>IF((2*G2089)/60&lt;0.2,0.2,(2*G2089)/60)</f>
        <v>0.56666666666666665</v>
      </c>
      <c r="BM2089" s="380">
        <f>MOD((50000+AD2089-$B$3+(0/24)),1)</f>
        <v>0.73742193001089618</v>
      </c>
      <c r="BN2089" s="381"/>
      <c r="BO2089" s="382">
        <v>2080</v>
      </c>
    </row>
    <row r="2090" spans="1:67" s="24" customFormat="1" ht="15" customHeight="1" x14ac:dyDescent="0.25">
      <c r="A2090" s="288" t="s">
        <v>2005</v>
      </c>
      <c r="B2090" s="241" t="str">
        <f>HYPERLINK(CONCATENATE($AT$3,BK2090,$AU$3),$AV$3)</f>
        <v>S</v>
      </c>
      <c r="C2090" s="242" t="str">
        <f>HYPERLINK(CONCATENATE($AT$4,BK2090,$AU$4,BL2090),$AV$4)</f>
        <v>A</v>
      </c>
      <c r="D2090" s="243" t="s">
        <v>5638</v>
      </c>
      <c r="E2090" s="244" t="s">
        <v>5193</v>
      </c>
      <c r="F2090" s="269" t="s">
        <v>3304</v>
      </c>
      <c r="G2090" s="273">
        <v>7</v>
      </c>
      <c r="H2090" s="283">
        <v>50</v>
      </c>
      <c r="I2090" s="246">
        <v>100</v>
      </c>
      <c r="J2090" s="246">
        <v>1</v>
      </c>
      <c r="K2090" s="247" t="s">
        <v>8291</v>
      </c>
      <c r="L2090" s="248">
        <v>124250</v>
      </c>
      <c r="M2090" s="249">
        <f>15*(LEFT(TEXT($L2090,"000000"),2)+(MID(TEXT($L2090,"000000"),3,2)/60)+(RIGHT(TEXT($L2090,"000000"),2)/3600))</f>
        <v>190.70833333333331</v>
      </c>
      <c r="N2090" s="250">
        <v>24116</v>
      </c>
      <c r="O2090" s="251">
        <f>IF($N2090&gt;0,(LEFT(TEXT($N2090,"000000"),2)+(MID(TEXT($N2090,"000000"),3,2)/60)+(RIGHT(TEXT($N2090,"000000"),2)/3600)),-(MID(TEXT($N2090,"000000"),2,2)+(MID(TEXT($N2090,"000000"),4,2)/60)+(RIGHT(TEXT($N2090,"000000"),2)/3600)))</f>
        <v>2.6877777777777778</v>
      </c>
      <c r="P2090" s="252" t="s">
        <v>61</v>
      </c>
      <c r="Q2090" s="253"/>
      <c r="R2090" s="247" t="s">
        <v>3293</v>
      </c>
      <c r="S2090" s="272" t="s">
        <v>3293</v>
      </c>
      <c r="T2090" s="273">
        <v>9.5</v>
      </c>
      <c r="U2090" s="289">
        <v>21.990000000000002</v>
      </c>
      <c r="V2090" s="280"/>
      <c r="W2090" s="244"/>
      <c r="X2090" s="244"/>
      <c r="Y2090" s="362"/>
      <c r="Z2090" s="257">
        <f>altaz(J2000_Bas,$O2090,$M2090,DecLat,DecLong,1)</f>
        <v>-3.1444329353558533</v>
      </c>
      <c r="AA2090" s="257">
        <f>altaz((J2000_Bas+(2*0.04167)),$O2090,$M2090,DecLat,DecLong,1)</f>
        <v>-28.137228045003891</v>
      </c>
      <c r="AB2090" s="257">
        <f>altaz((J2000_Bas+(4*0.04167)),$O2090,$M2090,DecLat,DecLong,1)</f>
        <v>-49.00370657892708</v>
      </c>
      <c r="AC2090" s="257">
        <f>altaz((J2000_Bas+(6*0.04167)),$O2090,$M2090,DecLat,DecLong,1)</f>
        <v>-55.900132645113857</v>
      </c>
      <c r="AD2090" s="258">
        <f>1+ transit((J2000_Bas-1),$O2090,$M2090,DecLat,DecLong)/360 + (GMTOffset/24) + (IF(DST="Y", 1, 0)/24)</f>
        <v>1.5226452780255413</v>
      </c>
      <c r="AE2090" s="259">
        <f>DATE(2001,9,21)+(M2090/360)*365 - (360*((DecLong/360)- (GMTOffset/24) ))</f>
        <v>37353.357060185182</v>
      </c>
      <c r="AF2090" s="260">
        <f>IF(DecLat&gt;0,IF((90 - (DecLat-O2090))&gt;90, (90 - (O2090-DecLat)), (90 - (DecLat-O2090))),IF((90 + (DecLat-O2090))&gt;90, (90 + (O2090-DecLat)), (90 + (DecLat-O2090))))</f>
        <v>61.687777777777782</v>
      </c>
      <c r="AG2090" s="257">
        <f>angularseperation(MoonRA,MoonDec,$M2090,$O2090)</f>
        <v>63.711306675001126</v>
      </c>
      <c r="AH2090" s="261">
        <f ca="1">MIN(100,IF($O$5&gt;80,0+30*($AG2090/100),IF($O$5&gt;70,0+50*($AG2090/100),IF($O$5&gt;60,5+50*($AG2090/100),IF($O$5&gt;50,10+60*($AG2090/100),IF($O$5&gt;40,15+70*($AG2090/100),IF($O$5&gt;30,20+70*($AG2090/100),IF($O$5&gt;20,40+55*($AG2090/100),(80+(20-$O$5)+30*($AG2090/100))))))))))</f>
        <v>100</v>
      </c>
      <c r="AI2090" s="262">
        <v>4636</v>
      </c>
      <c r="AJ2090" s="262"/>
      <c r="AK2090" s="262">
        <v>266</v>
      </c>
      <c r="AL2090" s="263"/>
      <c r="AM2090" s="264"/>
      <c r="AN2090" s="263"/>
      <c r="AO2090" s="263"/>
      <c r="AP2090" s="265"/>
      <c r="AQ2090" s="266">
        <v>7878</v>
      </c>
      <c r="AR2090" s="267">
        <v>42734</v>
      </c>
      <c r="AS2090" s="263"/>
      <c r="AT2090" s="263"/>
      <c r="AU2090" s="263"/>
      <c r="AV2090" s="264"/>
      <c r="AW2090" s="263"/>
      <c r="AX2090" s="263"/>
      <c r="AY2090" s="263"/>
      <c r="AZ2090" s="263"/>
      <c r="BA2090" s="263"/>
      <c r="BB2090" s="263"/>
      <c r="BC2090" s="263"/>
      <c r="BD2090" s="264"/>
      <c r="BE2090" s="263"/>
      <c r="BF2090" s="263">
        <v>62</v>
      </c>
      <c r="BG2090" s="263"/>
      <c r="BH2090" s="263"/>
      <c r="BI2090" s="263"/>
      <c r="BJ2090" s="404">
        <f>altaz(J2000_Bas,$O2090,$M2090,DecLat,DecLong,2)</f>
        <v>275.03697831414911</v>
      </c>
      <c r="BK2090" s="378" t="s">
        <v>2005</v>
      </c>
      <c r="BL2090" s="379">
        <f>IF((2*G2090)/60&lt;0.2,0.2,(2*G2090)/60)</f>
        <v>0.23333333333333334</v>
      </c>
      <c r="BM2090" s="380">
        <f>MOD((50000+AD2090-$B$3+(0/24)),1)</f>
        <v>0.73801220773020759</v>
      </c>
      <c r="BN2090" s="381"/>
      <c r="BO2090" s="382">
        <v>2081</v>
      </c>
    </row>
    <row r="2091" spans="1:67" s="24" customFormat="1" ht="15" customHeight="1" x14ac:dyDescent="0.25">
      <c r="A2091" s="288" t="s">
        <v>2006</v>
      </c>
      <c r="B2091" s="241" t="str">
        <f>HYPERLINK(CONCATENATE($AT$3,BK2091,$AU$3),$AV$3)</f>
        <v>S</v>
      </c>
      <c r="C2091" s="242" t="str">
        <f>HYPERLINK(CONCATENATE($AT$4,BK2091,$AU$4,BL2091),$AV$4)</f>
        <v>A</v>
      </c>
      <c r="D2091" s="243" t="s">
        <v>5638</v>
      </c>
      <c r="E2091" s="244" t="s">
        <v>5192</v>
      </c>
      <c r="F2091" s="269" t="s">
        <v>8980</v>
      </c>
      <c r="G2091" s="273">
        <v>2.6</v>
      </c>
      <c r="H2091" s="283">
        <v>80</v>
      </c>
      <c r="I2091" s="246">
        <v>65</v>
      </c>
      <c r="J2091" s="246">
        <v>2</v>
      </c>
      <c r="K2091" s="247" t="s">
        <v>8294</v>
      </c>
      <c r="L2091" s="248">
        <v>124252</v>
      </c>
      <c r="M2091" s="249">
        <f>15*(LEFT(TEXT($L2091,"000000"),2)+(MID(TEXT($L2091,"000000"),3,2)/60)+(RIGHT(TEXT($L2091,"000000"),2)/3600))</f>
        <v>190.71666666666667</v>
      </c>
      <c r="N2091" s="286">
        <v>131527</v>
      </c>
      <c r="O2091" s="251">
        <f>IF($N2091&gt;0,(LEFT(TEXT($N2091,"000000"),2)+(MID(TEXT($N2091,"000000"),3,2)/60)+(RIGHT(TEXT($N2091,"000000"),2)/3600)),-(MID(TEXT($N2091,"000000"),2,2)+(MID(TEXT($N2091,"000000"),4,2)/60)+(RIGHT(TEXT($N2091,"000000"),2)/3600)))</f>
        <v>13.2575</v>
      </c>
      <c r="P2091" s="252" t="s">
        <v>61</v>
      </c>
      <c r="Q2091" s="253"/>
      <c r="R2091" s="247" t="s">
        <v>3293</v>
      </c>
      <c r="S2091" s="272" t="s">
        <v>8292</v>
      </c>
      <c r="T2091" s="273">
        <v>12.7</v>
      </c>
      <c r="U2091" s="289">
        <v>22.09</v>
      </c>
      <c r="V2091" s="280">
        <v>50</v>
      </c>
      <c r="W2091" s="244"/>
      <c r="X2091" s="244"/>
      <c r="Y2091" s="362"/>
      <c r="Z2091" s="257">
        <f>altaz(J2000_Bas,$O2091,$M2091,DecLat,DecLong,1)</f>
        <v>2.364075888215182</v>
      </c>
      <c r="AA2091" s="257">
        <f>altaz((J2000_Bas+(2*0.04167)),$O2091,$M2091,DecLat,DecLong,1)</f>
        <v>-21.398042281293034</v>
      </c>
      <c r="AB2091" s="257">
        <f>altaz((J2000_Bas+(4*0.04167)),$O2091,$M2091,DecLat,DecLong,1)</f>
        <v>-39.852806847416197</v>
      </c>
      <c r="AC2091" s="257">
        <f>altaz((J2000_Bas+(6*0.04167)),$O2091,$M2091,DecLat,DecLong,1)</f>
        <v>-45.423508732535211</v>
      </c>
      <c r="AD2091" s="258">
        <f>1+ transit((J2000_Bas-1),$O2091,$M2091,DecLat,DecLong)/360 + (GMTOffset/24) + (IF(DST="Y", 1, 0)/24)</f>
        <v>1.5226684261713748</v>
      </c>
      <c r="AE2091" s="259">
        <f>DATE(2001,9,21)+(M2091/360)*365 - (360*((DecLong/360)- (GMTOffset/24) ))</f>
        <v>37353.36550925926</v>
      </c>
      <c r="AF2091" s="260">
        <f>IF(DecLat&gt;0,IF((90 - (DecLat-O2091))&gt;90, (90 - (O2091-DecLat)), (90 - (DecLat-O2091))),IF((90 + (DecLat-O2091))&gt;90, (90 + (O2091-DecLat)), (90 + (DecLat-O2091))))</f>
        <v>72.257499999999993</v>
      </c>
      <c r="AG2091" s="257">
        <f>angularseperation(MoonRA,MoonDec,$M2091,$O2091)</f>
        <v>69.630994465074352</v>
      </c>
      <c r="AH2091" s="261">
        <f ca="1">MIN(100,IF($O$5&gt;80,0+30*($AG2091/100),IF($O$5&gt;70,0+50*($AG2091/100),IF($O$5&gt;60,5+50*($AG2091/100),IF($O$5&gt;50,10+60*($AG2091/100),IF($O$5&gt;40,15+70*($AG2091/100),IF($O$5&gt;30,20+70*($AG2091/100),IF($O$5&gt;20,40+55*($AG2091/100),(80+(20-$O$5)+30*($AG2091/100))))))))))</f>
        <v>100</v>
      </c>
      <c r="AI2091" s="262">
        <v>4639</v>
      </c>
      <c r="AJ2091" s="262"/>
      <c r="AK2091" s="262"/>
      <c r="AL2091" s="263"/>
      <c r="AM2091" s="264"/>
      <c r="AN2091" s="263"/>
      <c r="AO2091" s="263"/>
      <c r="AP2091" s="265"/>
      <c r="AQ2091" s="266">
        <v>7884</v>
      </c>
      <c r="AR2091" s="267">
        <v>42741</v>
      </c>
      <c r="AS2091" s="263"/>
      <c r="AT2091" s="263"/>
      <c r="AU2091" s="263"/>
      <c r="AV2091" s="264"/>
      <c r="AW2091" s="263"/>
      <c r="AX2091" s="263"/>
      <c r="AY2091" s="263"/>
      <c r="AZ2091" s="263"/>
      <c r="BA2091" s="263"/>
      <c r="BB2091" s="263"/>
      <c r="BC2091" s="263"/>
      <c r="BD2091" s="264"/>
      <c r="BE2091" s="263"/>
      <c r="BF2091" s="263"/>
      <c r="BG2091" s="263"/>
      <c r="BH2091" s="263"/>
      <c r="BI2091" s="263"/>
      <c r="BJ2091" s="404">
        <f>altaz(J2000_Bas,$O2091,$M2091,DecLat,DecLong,2)</f>
        <v>284.06149960212917</v>
      </c>
      <c r="BK2091" s="378" t="s">
        <v>2006</v>
      </c>
      <c r="BL2091" s="379">
        <f>IF((2*G2091)/60&lt;0.2,0.2,(2*G2091)/60)</f>
        <v>0.2</v>
      </c>
      <c r="BM2091" s="380">
        <f>MOD((50000+AD2091-$B$3+(0/24)),1)</f>
        <v>0.73803535587649094</v>
      </c>
      <c r="BN2091" s="381"/>
      <c r="BO2091" s="382">
        <v>2082</v>
      </c>
    </row>
    <row r="2092" spans="1:67" s="24" customFormat="1" ht="15" customHeight="1" x14ac:dyDescent="0.25">
      <c r="A2092" s="288" t="s">
        <v>2007</v>
      </c>
      <c r="B2092" s="241" t="str">
        <f>HYPERLINK(CONCATENATE($AT$3,BK2092,$AU$3),$AV$3)</f>
        <v>S</v>
      </c>
      <c r="C2092" s="242" t="str">
        <f>HYPERLINK(CONCATENATE($AT$4,BK2092,$AU$4,BL2092),$AV$4)</f>
        <v>A</v>
      </c>
      <c r="D2092" s="243" t="s">
        <v>5638</v>
      </c>
      <c r="E2092" s="244" t="s">
        <v>5182</v>
      </c>
      <c r="F2092" s="269" t="s">
        <v>8978</v>
      </c>
      <c r="G2092" s="273">
        <v>4</v>
      </c>
      <c r="H2092" s="283">
        <v>40</v>
      </c>
      <c r="I2092" s="246">
        <v>50</v>
      </c>
      <c r="J2092" s="246">
        <v>3</v>
      </c>
      <c r="K2092" s="247" t="s">
        <v>8296</v>
      </c>
      <c r="L2092" s="248">
        <v>124320</v>
      </c>
      <c r="M2092" s="249">
        <f>15*(LEFT(TEXT($L2092,"000000"),2)+(MID(TEXT($L2092,"000000"),3,2)/60)+(RIGHT(TEXT($L2092,"000000"),2)/3600))</f>
        <v>190.83333333333334</v>
      </c>
      <c r="N2092" s="250">
        <v>15840</v>
      </c>
      <c r="O2092" s="251">
        <f>IF($N2092&gt;0,(LEFT(TEXT($N2092,"000000"),2)+(MID(TEXT($N2092,"000000"),3,2)/60)+(RIGHT(TEXT($N2092,"000000"),2)/3600)),-(MID(TEXT($N2092,"000000"),2,2)+(MID(TEXT($N2092,"000000"),4,2)/60)+(RIGHT(TEXT($N2092,"000000"),2)/3600)))</f>
        <v>1.9777777777777779</v>
      </c>
      <c r="P2092" s="252" t="s">
        <v>61</v>
      </c>
      <c r="Q2092" s="253"/>
      <c r="R2092" s="277" t="s">
        <v>3293</v>
      </c>
      <c r="S2092" s="272" t="s">
        <v>3293</v>
      </c>
      <c r="T2092" s="273">
        <v>10.8</v>
      </c>
      <c r="U2092" s="289">
        <v>21.69</v>
      </c>
      <c r="V2092" s="280">
        <v>20</v>
      </c>
      <c r="W2092" s="244"/>
      <c r="X2092" s="244"/>
      <c r="Y2092" s="362"/>
      <c r="Z2092" s="257">
        <f>altaz(J2000_Bas,$O2092,$M2092,DecLat,DecLong,1)</f>
        <v>-3.4058815847051833</v>
      </c>
      <c r="AA2092" s="257">
        <f>altaz((J2000_Bas+(2*0.04167)),$O2092,$M2092,DecLat,DecLong,1)</f>
        <v>-28.469260564433863</v>
      </c>
      <c r="AB2092" s="257">
        <f>altaz((J2000_Bas+(4*0.04167)),$O2092,$M2092,DecLat,DecLong,1)</f>
        <v>-49.529856391452427</v>
      </c>
      <c r="AC2092" s="257">
        <f>altaz((J2000_Bas+(6*0.04167)),$O2092,$M2092,DecLat,DecLong,1)</f>
        <v>-56.620789293899676</v>
      </c>
      <c r="AD2092" s="258">
        <f>1+ transit((J2000_Bas-1),$O2092,$M2092,DecLat,DecLong)/360 + (GMTOffset/24) + (IF(DST="Y", 1, 0)/24)</f>
        <v>1.5229925002130413</v>
      </c>
      <c r="AE2092" s="259">
        <f>DATE(2001,9,21)+(M2092/360)*365 - (360*((DecLong/360)- (GMTOffset/24) ))</f>
        <v>37353.483796296299</v>
      </c>
      <c r="AF2092" s="260">
        <f>IF(DecLat&gt;0,IF((90 - (DecLat-O2092))&gt;90, (90 - (O2092-DecLat)), (90 - (DecLat-O2092))),IF((90 + (DecLat-O2092))&gt;90, (90 + (O2092-DecLat)), (90 + (DecLat-O2092))))</f>
        <v>60.977777777777774</v>
      </c>
      <c r="AG2092" s="257">
        <f>angularseperation(MoonRA,MoonDec,$M2092,$O2092)</f>
        <v>63.22932523199502</v>
      </c>
      <c r="AH2092" s="261">
        <f ca="1">MIN(100,IF($O$5&gt;80,0+30*($AG2092/100),IF($O$5&gt;70,0+50*($AG2092/100),IF($O$5&gt;60,5+50*($AG2092/100),IF($O$5&gt;50,10+60*($AG2092/100),IF($O$5&gt;40,15+70*($AG2092/100),IF($O$5&gt;30,20+70*($AG2092/100),IF($O$5&gt;20,40+55*($AG2092/100),(80+(20-$O$5)+30*($AG2092/100))))))))))</f>
        <v>100</v>
      </c>
      <c r="AI2092" s="262">
        <v>4643</v>
      </c>
      <c r="AJ2092" s="263"/>
      <c r="AK2092" s="263">
        <v>267</v>
      </c>
      <c r="AL2092" s="263"/>
      <c r="AM2092" s="264"/>
      <c r="AN2092" s="263"/>
      <c r="AO2092" s="263"/>
      <c r="AP2092" s="265"/>
      <c r="AQ2092" s="265">
        <v>7895</v>
      </c>
      <c r="AR2092" s="285">
        <v>42797</v>
      </c>
      <c r="AS2092" s="263"/>
      <c r="AT2092" s="263"/>
      <c r="AU2092" s="263"/>
      <c r="AV2092" s="264"/>
      <c r="AW2092" s="263"/>
      <c r="AX2092" s="263"/>
      <c r="AY2092" s="263"/>
      <c r="AZ2092" s="263"/>
      <c r="BA2092" s="263"/>
      <c r="BB2092" s="263"/>
      <c r="BC2092" s="263"/>
      <c r="BD2092" s="264"/>
      <c r="BE2092" s="263"/>
      <c r="BF2092" s="263"/>
      <c r="BG2092" s="263"/>
      <c r="BH2092" s="263"/>
      <c r="BI2092" s="263"/>
      <c r="BJ2092" s="404">
        <f>altaz(J2000_Bas,$O2092,$M2092,DecLat,DecLong,2)</f>
        <v>274.36405757453713</v>
      </c>
      <c r="BK2092" s="378" t="s">
        <v>2007</v>
      </c>
      <c r="BL2092" s="379">
        <f>IF((2*G2092)/60&lt;0.2,0.2,(2*G2092)/60)</f>
        <v>0.2</v>
      </c>
      <c r="BM2092" s="380">
        <f>MOD((50000+AD2092-$B$3+(0/24)),1)</f>
        <v>0.73835942991718184</v>
      </c>
      <c r="BN2092" s="381"/>
      <c r="BO2092" s="382">
        <v>2083</v>
      </c>
    </row>
    <row r="2093" spans="1:67" s="24" customFormat="1" ht="15" customHeight="1" x14ac:dyDescent="0.25">
      <c r="A2093" s="288" t="s">
        <v>2008</v>
      </c>
      <c r="B2093" s="241" t="str">
        <f>HYPERLINK(CONCATENATE($AT$3,BK2093,$AU$3),$AV$3)</f>
        <v>S</v>
      </c>
      <c r="C2093" s="242" t="str">
        <f>HYPERLINK(CONCATENATE($AT$4,BK2093,$AU$4,BL2093),$AV$4)</f>
        <v>A</v>
      </c>
      <c r="D2093" s="243" t="s">
        <v>5638</v>
      </c>
      <c r="E2093" s="244" t="s">
        <v>5192</v>
      </c>
      <c r="F2093" s="269" t="s">
        <v>8889</v>
      </c>
      <c r="G2093" s="273">
        <v>4.5999999999999996</v>
      </c>
      <c r="H2093" s="283">
        <v>50</v>
      </c>
      <c r="I2093" s="246">
        <v>70</v>
      </c>
      <c r="J2093" s="246">
        <v>2</v>
      </c>
      <c r="K2093" s="247" t="s">
        <v>8295</v>
      </c>
      <c r="L2093" s="248">
        <v>124357</v>
      </c>
      <c r="M2093" s="249">
        <f>15*(LEFT(TEXT($L2093,"000000"),2)+(MID(TEXT($L2093,"000000"),3,2)/60)+(RIGHT(TEXT($L2093,"000000"),2)/3600))</f>
        <v>190.98750000000001</v>
      </c>
      <c r="N2093" s="250">
        <v>130734</v>
      </c>
      <c r="O2093" s="251">
        <f>IF($N2093&gt;0,(LEFT(TEXT($N2093,"000000"),2)+(MID(TEXT($N2093,"000000"),3,2)/60)+(RIGHT(TEXT($N2093,"000000"),2)/3600)),-(MID(TEXT($N2093,"000000"),2,2)+(MID(TEXT($N2093,"000000"),4,2)/60)+(RIGHT(TEXT($N2093,"000000"),2)/3600)))</f>
        <v>13.126111111111111</v>
      </c>
      <c r="P2093" s="252" t="s">
        <v>61</v>
      </c>
      <c r="Q2093" s="253"/>
      <c r="R2093" s="247" t="s">
        <v>3293</v>
      </c>
      <c r="S2093" s="272" t="s">
        <v>8293</v>
      </c>
      <c r="T2093" s="273">
        <v>10.5</v>
      </c>
      <c r="U2093" s="289">
        <v>22.09</v>
      </c>
      <c r="V2093" s="280">
        <v>60</v>
      </c>
      <c r="W2093" s="244"/>
      <c r="X2093" s="244"/>
      <c r="Y2093" s="362"/>
      <c r="Z2093" s="257">
        <f>altaz(J2000_Bas,$O2093,$M2093,DecLat,DecLong,1)</f>
        <v>2.5211372095634186</v>
      </c>
      <c r="AA2093" s="257">
        <f>altaz((J2000_Bas+(2*0.04167)),$O2093,$M2093,DecLat,DecLong,1)</f>
        <v>-21.286491334145627</v>
      </c>
      <c r="AB2093" s="257">
        <f>altaz((J2000_Bas+(4*0.04167)),$O2093,$M2093,DecLat,DecLong,1)</f>
        <v>-39.846113281038086</v>
      </c>
      <c r="AC2093" s="257">
        <f>altaz((J2000_Bas+(6*0.04167)),$O2093,$M2093,DecLat,DecLong,1)</f>
        <v>-45.584395378882746</v>
      </c>
      <c r="AD2093" s="258">
        <f>1+ transit((J2000_Bas-1),$O2093,$M2093,DecLat,DecLong)/360 + (GMTOffset/24) + (IF(DST="Y", 1, 0)/24)</f>
        <v>1.5234207409109581</v>
      </c>
      <c r="AE2093" s="259">
        <f>DATE(2001,9,21)+(M2093/360)*365 - (360*((DecLong/360)- (GMTOffset/24) ))</f>
        <v>37353.640104166669</v>
      </c>
      <c r="AF2093" s="260">
        <f>IF(DecLat&gt;0,IF((90 - (DecLat-O2093))&gt;90, (90 - (O2093-DecLat)), (90 - (DecLat-O2093))),IF((90 + (DecLat-O2093))&gt;90, (90 + (O2093-DecLat)), (90 + (DecLat-O2093))))</f>
        <v>72.126111111111115</v>
      </c>
      <c r="AG2093" s="257">
        <f>angularseperation(MoonRA,MoonDec,$M2093,$O2093)</f>
        <v>69.340392473665162</v>
      </c>
      <c r="AH2093" s="261">
        <f ca="1">MIN(100,IF($O$5&gt;80,0+30*($AG2093/100),IF($O$5&gt;70,0+50*($AG2093/100),IF($O$5&gt;60,5+50*($AG2093/100),IF($O$5&gt;50,10+60*($AG2093/100),IF($O$5&gt;40,15+70*($AG2093/100),IF($O$5&gt;30,20+70*($AG2093/100),IF($O$5&gt;20,40+55*($AG2093/100),(80+(20-$O$5)+30*($AG2093/100))))))))))</f>
        <v>100</v>
      </c>
      <c r="AI2093" s="262">
        <v>4654</v>
      </c>
      <c r="AJ2093" s="262"/>
      <c r="AK2093" s="262">
        <v>268</v>
      </c>
      <c r="AL2093" s="263"/>
      <c r="AM2093" s="264"/>
      <c r="AN2093" s="263"/>
      <c r="AO2093" s="263"/>
      <c r="AP2093" s="265"/>
      <c r="AQ2093" s="266">
        <v>7902</v>
      </c>
      <c r="AR2093" s="267">
        <v>42857</v>
      </c>
      <c r="AS2093" s="263"/>
      <c r="AT2093" s="263"/>
      <c r="AU2093" s="263"/>
      <c r="AV2093" s="264"/>
      <c r="AW2093" s="263"/>
      <c r="AX2093" s="263"/>
      <c r="AY2093" s="263"/>
      <c r="AZ2093" s="263"/>
      <c r="BA2093" s="263"/>
      <c r="BB2093" s="263"/>
      <c r="BC2093" s="263"/>
      <c r="BD2093" s="264"/>
      <c r="BE2093" s="263"/>
      <c r="BF2093" s="263"/>
      <c r="BG2093" s="263"/>
      <c r="BH2093" s="263"/>
      <c r="BI2093" s="263"/>
      <c r="BJ2093" s="404">
        <f>altaz(J2000_Bas,$O2093,$M2093,DecLat,DecLong,2)</f>
        <v>283.81202340054887</v>
      </c>
      <c r="BK2093" s="378" t="s">
        <v>2008</v>
      </c>
      <c r="BL2093" s="379">
        <f>IF((2*G2093)/60&lt;0.2,0.2,(2*G2093)/60)</f>
        <v>0.2</v>
      </c>
      <c r="BM2093" s="380">
        <f>MOD((50000+AD2093-$B$3+(0/24)),1)</f>
        <v>0.73878767061250983</v>
      </c>
      <c r="BN2093" s="381"/>
      <c r="BO2093" s="382">
        <v>2084</v>
      </c>
    </row>
    <row r="2094" spans="1:67" s="24" customFormat="1" ht="15" customHeight="1" x14ac:dyDescent="0.25">
      <c r="A2094" s="288" t="s">
        <v>2009</v>
      </c>
      <c r="B2094" s="241" t="str">
        <f>HYPERLINK(CONCATENATE($AT$3,BK2094,$AU$3),$AV$3)</f>
        <v>S</v>
      </c>
      <c r="C2094" s="242" t="str">
        <f>HYPERLINK(CONCATENATE($AT$4,BK2094,$AU$4,BL2094),$AV$4)</f>
        <v>A</v>
      </c>
      <c r="D2094" s="243" t="s">
        <v>5638</v>
      </c>
      <c r="E2094" s="244" t="s">
        <v>5192</v>
      </c>
      <c r="F2094" s="269" t="s">
        <v>8981</v>
      </c>
      <c r="G2094" s="276">
        <v>11</v>
      </c>
      <c r="H2094" s="283">
        <v>17</v>
      </c>
      <c r="I2094" s="246">
        <v>60</v>
      </c>
      <c r="J2094" s="246">
        <v>3</v>
      </c>
      <c r="K2094" s="247" t="s">
        <v>8488</v>
      </c>
      <c r="L2094" s="248">
        <v>124358</v>
      </c>
      <c r="M2094" s="249">
        <f>15*(LEFT(TEXT($L2094,"000000"),2)+(MID(TEXT($L2094,"000000"),3,2)/60)+(RIGHT(TEXT($L2094,"000000"),2)/3600))</f>
        <v>190.99166666666667</v>
      </c>
      <c r="N2094" s="250">
        <v>321017</v>
      </c>
      <c r="O2094" s="251">
        <f>IF($N2094&gt;0,(LEFT(TEXT($N2094,"000000"),2)+(MID(TEXT($N2094,"000000"),3,2)/60)+(RIGHT(TEXT($N2094,"000000"),2)/3600)),-(MID(TEXT($N2094,"000000"),2,2)+(MID(TEXT($N2094,"000000"),4,2)/60)+(RIGHT(TEXT($N2094,"000000"),2)/3600)))</f>
        <v>32.171388888888885</v>
      </c>
      <c r="P2094" s="252" t="s">
        <v>242</v>
      </c>
      <c r="Q2094" s="253" t="s">
        <v>8297</v>
      </c>
      <c r="R2094" s="247" t="s">
        <v>3293</v>
      </c>
      <c r="S2094" s="272" t="s">
        <v>3293</v>
      </c>
      <c r="T2094" s="273">
        <v>10.5</v>
      </c>
      <c r="U2094" s="289">
        <v>23.39</v>
      </c>
      <c r="V2094" s="280">
        <v>80</v>
      </c>
      <c r="W2094" s="244"/>
      <c r="X2094" s="244"/>
      <c r="Y2094" s="362"/>
      <c r="Z2094" s="257">
        <f>altaz(J2000_Bas,$O2094,$M2094,DecLat,DecLong,1)</f>
        <v>12.17270668243313</v>
      </c>
      <c r="AA2094" s="257">
        <f>altaz((J2000_Bas+(2*0.04167)),$O2094,$M2094,DecLat,DecLong,1)</f>
        <v>-8.2167720563699334</v>
      </c>
      <c r="AB2094" s="257">
        <f>altaz((J2000_Bas+(4*0.04167)),$O2094,$M2094,DecLat,DecLong,1)</f>
        <v>-22.600568305048309</v>
      </c>
      <c r="AC2094" s="257">
        <f>altaz((J2000_Bas+(6*0.04167)),$O2094,$M2094,DecLat,DecLong,1)</f>
        <v>-26.632262832572621</v>
      </c>
      <c r="AD2094" s="258">
        <f>1+ transit((J2000_Bas-1),$O2094,$M2094,DecLat,DecLong)/360 + (GMTOffset/24) + (IF(DST="Y", 1, 0)/24)</f>
        <v>1.5234323149838749</v>
      </c>
      <c r="AE2094" s="259">
        <f>DATE(2001,9,21)+(M2094/360)*365 - (360*((DecLong/360)- (GMTOffset/24) ))</f>
        <v>37353.644328703704</v>
      </c>
      <c r="AF2094" s="260">
        <f>IF(DecLat&gt;0,IF((90 - (DecLat-O2094))&gt;90, (90 - (O2094-DecLat)), (90 - (DecLat-O2094))),IF((90 + (DecLat-O2094))&gt;90, (90 + (O2094-DecLat)), (90 + (DecLat-O2094))))</f>
        <v>88.828611111111115</v>
      </c>
      <c r="AG2094" s="257">
        <f>angularseperation(MoonRA,MoonDec,$M2094,$O2094)</f>
        <v>81.132731949231726</v>
      </c>
      <c r="AH2094" s="261">
        <f ca="1">MIN(100,IF($O$5&gt;80,0+30*($AG2094/100),IF($O$5&gt;70,0+50*($AG2094/100),IF($O$5&gt;60,5+50*($AG2094/100),IF($O$5&gt;50,10+60*($AG2094/100),IF($O$5&gt;40,15+70*($AG2094/100),IF($O$5&gt;30,20+70*($AG2094/100),IF($O$5&gt;20,40+55*($AG2094/100),(80+(20-$O$5)+30*($AG2094/100))))))))))</f>
        <v>100</v>
      </c>
      <c r="AI2094" s="262">
        <v>4656</v>
      </c>
      <c r="AJ2094" s="262"/>
      <c r="AK2094" s="262">
        <v>269</v>
      </c>
      <c r="AL2094" s="263"/>
      <c r="AM2094" s="264"/>
      <c r="AN2094" s="263"/>
      <c r="AO2094" s="263"/>
      <c r="AP2094" s="265"/>
      <c r="AQ2094" s="266">
        <v>7907</v>
      </c>
      <c r="AR2094" s="267">
        <v>42863</v>
      </c>
      <c r="AS2094" s="263"/>
      <c r="AT2094" s="263"/>
      <c r="AU2094" s="263"/>
      <c r="AV2094" s="264"/>
      <c r="AW2094" s="263"/>
      <c r="AX2094" s="263"/>
      <c r="AY2094" s="263"/>
      <c r="AZ2094" s="263"/>
      <c r="BA2094" s="263"/>
      <c r="BB2094" s="263"/>
      <c r="BC2094" s="263"/>
      <c r="BD2094" s="264"/>
      <c r="BE2094" s="263">
        <v>67</v>
      </c>
      <c r="BF2094" s="263"/>
      <c r="BG2094" s="263"/>
      <c r="BH2094" s="263"/>
      <c r="BI2094" s="263"/>
      <c r="BJ2094" s="404">
        <f>altaz(J2000_Bas,$O2094,$M2094,DecLat,DecLong,2)</f>
        <v>300.38810261833913</v>
      </c>
      <c r="BK2094" s="378" t="s">
        <v>2009</v>
      </c>
      <c r="BL2094" s="379">
        <f>IF((2*G2094)/60&lt;0.2,0.2,(2*G2094)/60)</f>
        <v>0.36666666666666664</v>
      </c>
      <c r="BM2094" s="380">
        <f>MOD((50000+AD2094-$B$3+(0/24)),1)</f>
        <v>0.73879924468928948</v>
      </c>
      <c r="BN2094" s="381"/>
      <c r="BO2094" s="382">
        <v>2085</v>
      </c>
    </row>
    <row r="2095" spans="1:67" s="24" customFormat="1" ht="15" customHeight="1" x14ac:dyDescent="0.25">
      <c r="A2095" s="287" t="s">
        <v>8770</v>
      </c>
      <c r="B2095" s="241" t="str">
        <f>HYPERLINK(CONCATENATE($AT$3,BK2095,$AU$3),$AV$3)</f>
        <v>S</v>
      </c>
      <c r="C2095" s="242" t="str">
        <f>HYPERLINK(CONCATENATE($AT$4,BK2095,$AU$4,BL2095),$AV$4)</f>
        <v>A</v>
      </c>
      <c r="D2095" s="243" t="s">
        <v>5638</v>
      </c>
      <c r="E2095" s="244" t="s">
        <v>5192</v>
      </c>
      <c r="F2095" s="269" t="s">
        <v>8709</v>
      </c>
      <c r="G2095" s="273">
        <v>2</v>
      </c>
      <c r="H2095" s="283">
        <v>48</v>
      </c>
      <c r="I2095" s="246">
        <v>30</v>
      </c>
      <c r="J2095" s="246">
        <v>1</v>
      </c>
      <c r="K2095" s="247" t="s">
        <v>8785</v>
      </c>
      <c r="L2095" s="248">
        <v>124432</v>
      </c>
      <c r="M2095" s="249">
        <f>15*(LEFT(TEXT($L2095,"000000"),2)+(MID(TEXT($L2095,"000000"),3,2)/60)+(RIGHT(TEXT($L2095,"000000"),2)/3600))</f>
        <v>191.13333333333333</v>
      </c>
      <c r="N2095" s="250">
        <v>111126</v>
      </c>
      <c r="O2095" s="251">
        <f>IF($N2095&gt;0,(LEFT(TEXT($N2095,"000000"),2)+(MID(TEXT($N2095,"000000"),3,2)/60)+(RIGHT(TEXT($N2095,"000000"),2)/3600)),-(MID(TEXT($N2095,"000000"),2,2)+(MID(TEXT($N2095,"000000"),4,2)/60)+(RIGHT(TEXT($N2095,"000000"),2)/3600)))</f>
        <v>11.190555555555555</v>
      </c>
      <c r="P2095" s="252" t="s">
        <v>61</v>
      </c>
      <c r="Q2095" s="253"/>
      <c r="R2095" s="277" t="s">
        <v>3293</v>
      </c>
      <c r="S2095" s="272" t="s">
        <v>3293</v>
      </c>
      <c r="T2095" s="273">
        <v>12</v>
      </c>
      <c r="U2095" s="289"/>
      <c r="V2095" s="280">
        <v>70</v>
      </c>
      <c r="W2095" s="244"/>
      <c r="X2095" s="244"/>
      <c r="Y2095" s="362"/>
      <c r="Z2095" s="257">
        <f>altaz(J2000_Bas,$O2095,$M2095,DecLat,DecLong,1)</f>
        <v>1.6376948428993867</v>
      </c>
      <c r="AA2095" s="257">
        <f>altaz((J2000_Bas+(2*0.04167)),$O2095,$M2095,DecLat,DecLong,1)</f>
        <v>-22.444812110586835</v>
      </c>
      <c r="AB2095" s="257">
        <f>altaz((J2000_Bas+(4*0.04167)),$O2095,$M2095,DecLat,DecLong,1)</f>
        <v>-41.480890049983209</v>
      </c>
      <c r="AC2095" s="257">
        <f>altaz((J2000_Bas+(6*0.04167)),$O2095,$M2095,DecLat,DecLong,1)</f>
        <v>-47.523671005265719</v>
      </c>
      <c r="AD2095" s="258">
        <f>1+ transit((J2000_Bas-1),$O2095,$M2095,DecLat,DecLong)/360 + (GMTOffset/24) + (IF(DST="Y", 1, 0)/24)</f>
        <v>1.5238258334630415</v>
      </c>
      <c r="AE2095" s="259">
        <f>DATE(2001,9,21)+(M2095/360)*365 - (360*((DecLong/360)- (GMTOffset/24) ))</f>
        <v>37353.787962962961</v>
      </c>
      <c r="AF2095" s="260">
        <f>IF(DecLat&gt;0,IF((90 - (DecLat-O2095))&gt;90, (90 - (O2095-DecLat)), (90 - (DecLat-O2095))),IF((90 + (DecLat-O2095))&gt;90, (90 + (O2095-DecLat)), (90 + (DecLat-O2095))))</f>
        <v>70.190555555555562</v>
      </c>
      <c r="AG2095" s="257">
        <f>angularseperation(MoonRA,MoonDec,$M2095,$O2095)</f>
        <v>68.094788432618586</v>
      </c>
      <c r="AH2095" s="261">
        <f ca="1">MIN(100,IF($O$5&gt;80,0+30*($AG2095/100),IF($O$5&gt;70,0+50*($AG2095/100),IF($O$5&gt;60,5+50*($AG2095/100),IF($O$5&gt;50,10+60*($AG2095/100),IF($O$5&gt;40,15+70*($AG2095/100),IF($O$5&gt;30,20+70*($AG2095/100),IF($O$5&gt;20,40+55*($AG2095/100),(80+(20-$O$5)+30*($AG2095/100))))))))))</f>
        <v>100</v>
      </c>
      <c r="AI2095" s="263">
        <v>4660</v>
      </c>
      <c r="AJ2095" s="263"/>
      <c r="AK2095" s="263">
        <v>270</v>
      </c>
      <c r="AL2095" s="263"/>
      <c r="AM2095" s="264"/>
      <c r="AN2095" s="263"/>
      <c r="AO2095" s="263"/>
      <c r="AP2095" s="265"/>
      <c r="AQ2095" s="265">
        <v>7914</v>
      </c>
      <c r="AR2095" s="285">
        <v>42917</v>
      </c>
      <c r="AS2095" s="263"/>
      <c r="AT2095" s="263"/>
      <c r="AU2095" s="263"/>
      <c r="AV2095" s="264"/>
      <c r="AW2095" s="263"/>
      <c r="AX2095" s="263"/>
      <c r="AY2095" s="263"/>
      <c r="AZ2095" s="263"/>
      <c r="BA2095" s="263"/>
      <c r="BB2095" s="263"/>
      <c r="BC2095" s="263"/>
      <c r="BD2095" s="264"/>
      <c r="BE2095" s="263"/>
      <c r="BF2095" s="263"/>
      <c r="BG2095" s="263"/>
      <c r="BH2095" s="263"/>
      <c r="BI2095" s="263"/>
      <c r="BJ2095" s="404">
        <f>altaz(J2000_Bas,$O2095,$M2095,DecLat,DecLong,2)</f>
        <v>282.08279720604207</v>
      </c>
      <c r="BK2095" s="378" t="s">
        <v>8770</v>
      </c>
      <c r="BL2095" s="379">
        <f>IF((2*G2095)/60&lt;0.2,0.2,(2*G2095)/60)</f>
        <v>0.2</v>
      </c>
      <c r="BM2095" s="380">
        <f>MOD((50000+AD2095-$B$3+(0/24)),1)</f>
        <v>0.73919276316883042</v>
      </c>
      <c r="BN2095" s="381"/>
      <c r="BO2095" s="382">
        <v>2086</v>
      </c>
    </row>
    <row r="2096" spans="1:67" s="24" customFormat="1" ht="15" customHeight="1" x14ac:dyDescent="0.25">
      <c r="A2096" s="288" t="s">
        <v>2010</v>
      </c>
      <c r="B2096" s="241" t="str">
        <f>HYPERLINK(CONCATENATE($AT$3,BK2096,$AU$3),$AV$3)</f>
        <v>S</v>
      </c>
      <c r="C2096" s="242" t="str">
        <f>HYPERLINK(CONCATENATE($AT$4,BK2096,$AU$4,BL2096),$AV$4)</f>
        <v>A</v>
      </c>
      <c r="D2096" s="243" t="s">
        <v>5638</v>
      </c>
      <c r="E2096" s="244" t="s">
        <v>5182</v>
      </c>
      <c r="F2096" s="269" t="s">
        <v>8944</v>
      </c>
      <c r="G2096" s="273">
        <v>4</v>
      </c>
      <c r="H2096" s="283">
        <v>55</v>
      </c>
      <c r="I2096" s="246">
        <v>65</v>
      </c>
      <c r="J2096" s="246">
        <v>2</v>
      </c>
      <c r="K2096" s="247" t="s">
        <v>8303</v>
      </c>
      <c r="L2096" s="248">
        <v>124506</v>
      </c>
      <c r="M2096" s="249">
        <f>15*(LEFT(TEXT($L2096,"000000"),2)+(MID(TEXT($L2096,"000000"),3,2)/60)+(RIGHT(TEXT($L2096,"000000"),2)/3600))</f>
        <v>191.27500000000001</v>
      </c>
      <c r="N2096" s="250">
        <v>30322</v>
      </c>
      <c r="O2096" s="251">
        <f>IF($N2096&gt;0,(LEFT(TEXT($N2096,"000000"),2)+(MID(TEXT($N2096,"000000"),3,2)/60)+(RIGHT(TEXT($N2096,"000000"),2)/3600)),-(MID(TEXT($N2096,"000000"),2,2)+(MID(TEXT($N2096,"000000"),4,2)/60)+(RIGHT(TEXT($N2096,"000000"),2)/3600)))</f>
        <v>3.056111111111111</v>
      </c>
      <c r="P2096" s="252" t="s">
        <v>61</v>
      </c>
      <c r="Q2096" s="253"/>
      <c r="R2096" s="247" t="s">
        <v>8302</v>
      </c>
      <c r="S2096" s="272" t="s">
        <v>3293</v>
      </c>
      <c r="T2096" s="273">
        <v>10.5</v>
      </c>
      <c r="U2096" s="289">
        <v>21.990000000000002</v>
      </c>
      <c r="V2096" s="280">
        <v>25</v>
      </c>
      <c r="W2096" s="244"/>
      <c r="X2096" s="244"/>
      <c r="Y2096" s="362"/>
      <c r="Z2096" s="257">
        <f>altaz(J2000_Bas,$O2096,$M2096,DecLat,DecLong,1)</f>
        <v>-2.4695109672429747</v>
      </c>
      <c r="AA2096" s="257">
        <f>altaz((J2000_Bas+(2*0.04167)),$O2096,$M2096,DecLat,DecLong,1)</f>
        <v>-27.464043454778416</v>
      </c>
      <c r="AB2096" s="257">
        <f>altaz((J2000_Bas+(4*0.04167)),$O2096,$M2096,DecLat,DecLong,1)</f>
        <v>-48.386402272959941</v>
      </c>
      <c r="AC2096" s="257">
        <f>altaz((J2000_Bas+(6*0.04167)),$O2096,$M2096,DecLat,DecLong,1)</f>
        <v>-55.614531403361163</v>
      </c>
      <c r="AD2096" s="258">
        <f>1+ transit((J2000_Bas-1),$O2096,$M2096,DecLat,DecLong)/360 + (GMTOffset/24) + (IF(DST="Y", 1, 0)/24)</f>
        <v>1.524219351942208</v>
      </c>
      <c r="AE2096" s="259">
        <f>DATE(2001,9,21)+(M2096/360)*365 - (360*((DecLong/360)- (GMTOffset/24) ))</f>
        <v>37353.931597222225</v>
      </c>
      <c r="AF2096" s="260">
        <f>IF(DecLat&gt;0,IF((90 - (DecLat-O2096))&gt;90, (90 - (O2096-DecLat)), (90 - (DecLat-O2096))),IF((90 + (DecLat-O2096))&gt;90, (90 + (O2096-DecLat)), (90 + (DecLat-O2096))))</f>
        <v>62.056111111111107</v>
      </c>
      <c r="AG2096" s="257">
        <f>angularseperation(MoonRA,MoonDec,$M2096,$O2096)</f>
        <v>63.429507053217229</v>
      </c>
      <c r="AH2096" s="261">
        <f ca="1">MIN(100,IF($O$5&gt;80,0+30*($AG2096/100),IF($O$5&gt;70,0+50*($AG2096/100),IF($O$5&gt;60,5+50*($AG2096/100),IF($O$5&gt;50,10+60*($AG2096/100),IF($O$5&gt;40,15+70*($AG2096/100),IF($O$5&gt;30,20+70*($AG2096/100),IF($O$5&gt;20,40+55*($AG2096/100),(80+(20-$O$5)+30*($AG2096/100))))))))))</f>
        <v>100</v>
      </c>
      <c r="AI2096" s="262">
        <v>4665</v>
      </c>
      <c r="AJ2096" s="262"/>
      <c r="AK2096" s="262">
        <v>271</v>
      </c>
      <c r="AL2096" s="263"/>
      <c r="AM2096" s="264"/>
      <c r="AN2096" s="263"/>
      <c r="AO2096" s="263"/>
      <c r="AP2096" s="265"/>
      <c r="AQ2096" s="266"/>
      <c r="AR2096" s="267">
        <v>42970</v>
      </c>
      <c r="AS2096" s="263"/>
      <c r="AT2096" s="263"/>
      <c r="AU2096" s="263"/>
      <c r="AV2096" s="264"/>
      <c r="AW2096" s="263"/>
      <c r="AX2096" s="263"/>
      <c r="AY2096" s="263"/>
      <c r="AZ2096" s="263"/>
      <c r="BA2096" s="263"/>
      <c r="BB2096" s="263"/>
      <c r="BC2096" s="263"/>
      <c r="BD2096" s="264"/>
      <c r="BE2096" s="263"/>
      <c r="BF2096" s="263">
        <v>63</v>
      </c>
      <c r="BG2096" s="263"/>
      <c r="BH2096" s="263"/>
      <c r="BI2096" s="263"/>
      <c r="BJ2096" s="404">
        <f>altaz(J2000_Bas,$O2096,$M2096,DecLat,DecLong,2)</f>
        <v>275.05830324833886</v>
      </c>
      <c r="BK2096" s="378" t="s">
        <v>2010</v>
      </c>
      <c r="BL2096" s="379">
        <f>IF((2*G2096)/60&lt;0.2,0.2,(2*G2096)/60)</f>
        <v>0.2</v>
      </c>
      <c r="BM2096" s="380">
        <f>MOD((50000+AD2096-$B$3+(0/24)),1)</f>
        <v>0.73958628164837137</v>
      </c>
      <c r="BN2096" s="381"/>
      <c r="BO2096" s="382">
        <v>2087</v>
      </c>
    </row>
    <row r="2097" spans="1:67" s="24" customFormat="1" ht="15" customHeight="1" x14ac:dyDescent="0.25">
      <c r="A2097" s="288" t="s">
        <v>2011</v>
      </c>
      <c r="B2097" s="241" t="str">
        <f>HYPERLINK(CONCATENATE($AT$3,BK2097,$AU$3),$AV$3)</f>
        <v>S</v>
      </c>
      <c r="C2097" s="242" t="str">
        <f>HYPERLINK(CONCATENATE($AT$4,BK2097,$AU$4,BL2097),$AV$4)</f>
        <v>A</v>
      </c>
      <c r="D2097" s="243" t="s">
        <v>5638</v>
      </c>
      <c r="E2097" s="244" t="s">
        <v>5192</v>
      </c>
      <c r="F2097" s="269" t="s">
        <v>8895</v>
      </c>
      <c r="G2097" s="273">
        <v>5</v>
      </c>
      <c r="H2097" s="283">
        <v>50</v>
      </c>
      <c r="I2097" s="246">
        <v>75</v>
      </c>
      <c r="J2097" s="246">
        <v>2</v>
      </c>
      <c r="K2097" s="247" t="s">
        <v>8489</v>
      </c>
      <c r="L2097" s="248">
        <v>124508</v>
      </c>
      <c r="M2097" s="249">
        <f>15*(LEFT(TEXT($L2097,"000000"),2)+(MID(TEXT($L2097,"000000"),3,2)/60)+(RIGHT(TEXT($L2097,"000000"),2)/3600))</f>
        <v>191.28333333333333</v>
      </c>
      <c r="N2097" s="250">
        <v>-2745</v>
      </c>
      <c r="O2097" s="251">
        <f>IF($N2097&gt;0,(LEFT(TEXT($N2097,"000000"),2)+(MID(TEXT($N2097,"000000"),3,2)/60)+(RIGHT(TEXT($N2097,"000000"),2)/3600)),-(MID(TEXT($N2097,"000000"),2,2)+(MID(TEXT($N2097,"000000"),4,2)/60)+(RIGHT(TEXT($N2097,"000000"),2)/3600)))</f>
        <v>-0.46250000000000002</v>
      </c>
      <c r="P2097" s="252" t="s">
        <v>61</v>
      </c>
      <c r="Q2097" s="253"/>
      <c r="R2097" s="247" t="s">
        <v>3293</v>
      </c>
      <c r="S2097" s="272" t="s">
        <v>3293</v>
      </c>
      <c r="T2097" s="273">
        <v>10.7</v>
      </c>
      <c r="U2097" s="289">
        <v>21.39</v>
      </c>
      <c r="V2097" s="280">
        <v>80</v>
      </c>
      <c r="W2097" s="244"/>
      <c r="X2097" s="244"/>
      <c r="Y2097" s="362"/>
      <c r="Z2097" s="257">
        <f>altaz(J2000_Bas,$O2097,$M2097,DecLat,DecLong,1)</f>
        <v>-4.2827094950043794</v>
      </c>
      <c r="AA2097" s="257">
        <f>altaz((J2000_Bas+(2*0.04167)),$O2097,$M2097,DecLat,DecLong,1)</f>
        <v>-29.563353080909117</v>
      </c>
      <c r="AB2097" s="257">
        <f>altaz((J2000_Bas+(4*0.04167)),$O2097,$M2097,DecLat,DecLong,1)</f>
        <v>-51.286433867777426</v>
      </c>
      <c r="AC2097" s="257">
        <f>altaz((J2000_Bas+(6*0.04167)),$O2097,$M2097,DecLat,DecLong,1)</f>
        <v>-59.100604597297455</v>
      </c>
      <c r="AD2097" s="258">
        <f>1+ transit((J2000_Bas-1),$O2097,$M2097,DecLat,DecLong)/360 + (GMTOffset/24) + (IF(DST="Y", 1, 0)/24)</f>
        <v>1.5242425000880415</v>
      </c>
      <c r="AE2097" s="259">
        <f>DATE(2001,9,21)+(M2097/360)*365 - (360*((DecLong/360)- (GMTOffset/24) ))</f>
        <v>37353.940046296295</v>
      </c>
      <c r="AF2097" s="260">
        <f>IF(DecLat&gt;0,IF((90 - (DecLat-O2097))&gt;90, (90 - (O2097-DecLat)), (90 - (DecLat-O2097))),IF((90 + (DecLat-O2097))&gt;90, (90 + (O2097-DecLat)), (90 + (DecLat-O2097))))</f>
        <v>58.537500000000001</v>
      </c>
      <c r="AG2097" s="257">
        <f>angularseperation(MoonRA,MoonDec,$M2097,$O2097)</f>
        <v>61.574644061716675</v>
      </c>
      <c r="AH2097" s="261">
        <f ca="1">MIN(100,IF($O$5&gt;80,0+30*($AG2097/100),IF($O$5&gt;70,0+50*($AG2097/100),IF($O$5&gt;60,5+50*($AG2097/100),IF($O$5&gt;50,10+60*($AG2097/100),IF($O$5&gt;40,15+70*($AG2097/100),IF($O$5&gt;30,20+70*($AG2097/100),IF($O$5&gt;20,40+55*($AG2097/100),(80+(20-$O$5)+30*($AG2097/100))))))))))</f>
        <v>100</v>
      </c>
      <c r="AI2097" s="262">
        <v>4666</v>
      </c>
      <c r="AJ2097" s="262"/>
      <c r="AK2097" s="262">
        <v>272</v>
      </c>
      <c r="AL2097" s="263"/>
      <c r="AM2097" s="264"/>
      <c r="AN2097" s="263"/>
      <c r="AO2097" s="263"/>
      <c r="AP2097" s="265"/>
      <c r="AQ2097" s="266">
        <v>7926</v>
      </c>
      <c r="AR2097" s="267">
        <v>42975</v>
      </c>
      <c r="AS2097" s="263"/>
      <c r="AT2097" s="263"/>
      <c r="AU2097" s="263"/>
      <c r="AV2097" s="264"/>
      <c r="AW2097" s="263"/>
      <c r="AX2097" s="263"/>
      <c r="AY2097" s="263"/>
      <c r="AZ2097" s="263"/>
      <c r="BA2097" s="263"/>
      <c r="BB2097" s="263"/>
      <c r="BC2097" s="263"/>
      <c r="BD2097" s="264"/>
      <c r="BE2097" s="263"/>
      <c r="BF2097" s="263"/>
      <c r="BG2097" s="263"/>
      <c r="BH2097" s="263"/>
      <c r="BI2097" s="263"/>
      <c r="BJ2097" s="404">
        <f>altaz(J2000_Bas,$O2097,$M2097,DecLat,DecLong,2)</f>
        <v>272.03747119581362</v>
      </c>
      <c r="BK2097" s="378" t="s">
        <v>2011</v>
      </c>
      <c r="BL2097" s="379">
        <f>IF((2*G2097)/60&lt;0.2,0.2,(2*G2097)/60)</f>
        <v>0.2</v>
      </c>
      <c r="BM2097" s="380">
        <f>MOD((50000+AD2097-$B$3+(0/24)),1)</f>
        <v>0.73960942979465472</v>
      </c>
      <c r="BN2097" s="381"/>
      <c r="BO2097" s="382">
        <v>2088</v>
      </c>
    </row>
    <row r="2098" spans="1:67" s="24" customFormat="1" ht="15" customHeight="1" x14ac:dyDescent="0.25">
      <c r="A2098" s="288" t="s">
        <v>2012</v>
      </c>
      <c r="B2098" s="241" t="str">
        <f>HYPERLINK(CONCATENATE($AT$3,BK2098,$AU$3),$AV$3)</f>
        <v>S</v>
      </c>
      <c r="C2098" s="242" t="str">
        <f>HYPERLINK(CONCATENATE($AT$4,BK2098,$AU$4,BL2098),$AV$4)</f>
        <v>A</v>
      </c>
      <c r="D2098" s="243" t="s">
        <v>5638</v>
      </c>
      <c r="E2098" s="244" t="s">
        <v>5192</v>
      </c>
      <c r="F2098" s="269" t="s">
        <v>8898</v>
      </c>
      <c r="G2098" s="273">
        <v>4</v>
      </c>
      <c r="H2098" s="283">
        <v>50</v>
      </c>
      <c r="I2098" s="246">
        <v>60</v>
      </c>
      <c r="J2098" s="246">
        <v>2</v>
      </c>
      <c r="K2098" s="247" t="s">
        <v>8490</v>
      </c>
      <c r="L2098" s="248">
        <v>124746</v>
      </c>
      <c r="M2098" s="249">
        <f>15*(LEFT(TEXT($L2098,"000000"),2)+(MID(TEXT($L2098,"000000"),3,2)/60)+(RIGHT(TEXT($L2098,"000000"),2)/3600))</f>
        <v>191.94166666666666</v>
      </c>
      <c r="N2098" s="250">
        <v>134545</v>
      </c>
      <c r="O2098" s="251">
        <f>IF($N2098&gt;0,(LEFT(TEXT($N2098,"000000"),2)+(MID(TEXT($N2098,"000000"),3,2)/60)+(RIGHT(TEXT($N2098,"000000"),2)/3600)),-(MID(TEXT($N2098,"000000"),2,2)+(MID(TEXT($N2098,"000000"),4,2)/60)+(RIGHT(TEXT($N2098,"000000"),2)/3600)))</f>
        <v>13.762499999999999</v>
      </c>
      <c r="P2098" s="252" t="s">
        <v>190</v>
      </c>
      <c r="Q2098" s="253"/>
      <c r="R2098" s="247" t="s">
        <v>3293</v>
      </c>
      <c r="S2098" s="272" t="s">
        <v>3293</v>
      </c>
      <c r="T2098" s="273">
        <v>11</v>
      </c>
      <c r="U2098" s="289">
        <v>22.59</v>
      </c>
      <c r="V2098" s="280">
        <v>35</v>
      </c>
      <c r="W2098" s="244"/>
      <c r="X2098" s="244"/>
      <c r="Y2098" s="362"/>
      <c r="Z2098" s="257">
        <f>altaz(J2000_Bas,$O2098,$M2098,DecLat,DecLong,1)</f>
        <v>3.6445485795520693</v>
      </c>
      <c r="AA2098" s="257">
        <f>altaz((J2000_Bas+(2*0.04167)),$O2098,$M2098,DecLat,DecLong,1)</f>
        <v>-20.168704961678717</v>
      </c>
      <c r="AB2098" s="257">
        <f>altaz((J2000_Bas+(4*0.04167)),$O2098,$M2098,DecLat,DecLong,1)</f>
        <v>-38.846144950909611</v>
      </c>
      <c r="AC2098" s="257">
        <f>altaz((J2000_Bas+(6*0.04167)),$O2098,$M2098,DecLat,DecLong,1)</f>
        <v>-45.045841592199437</v>
      </c>
      <c r="AD2098" s="258">
        <f>1+ transit((J2000_Bas-1),$O2098,$M2098,DecLat,DecLong)/360 + (GMTOffset/24) + (IF(DST="Y", 1, 0)/24)</f>
        <v>1.5260712036088748</v>
      </c>
      <c r="AE2098" s="259">
        <f>DATE(2001,9,21)+(M2098/360)*365 - (360*((DecLong/360)- (GMTOffset/24) ))</f>
        <v>37354.607523148152</v>
      </c>
      <c r="AF2098" s="260">
        <f>IF(DecLat&gt;0,IF((90 - (DecLat-O2098))&gt;90, (90 - (O2098-DecLat)), (90 - (DecLat-O2098))),IF((90 + (DecLat-O2098))&gt;90, (90 + (O2098-DecLat)), (90 + (DecLat-O2098))))</f>
        <v>72.762500000000003</v>
      </c>
      <c r="AG2098" s="257">
        <f>angularseperation(MoonRA,MoonDec,$M2098,$O2098)</f>
        <v>68.969162186051989</v>
      </c>
      <c r="AH2098" s="261">
        <f ca="1">MIN(100,IF($O$5&gt;80,0+30*($AG2098/100),IF($O$5&gt;70,0+50*($AG2098/100),IF($O$5&gt;60,5+50*($AG2098/100),IF($O$5&gt;50,10+60*($AG2098/100),IF($O$5&gt;40,15+70*($AG2098/100),IF($O$5&gt;30,20+70*($AG2098/100),IF($O$5&gt;20,40+55*($AG2098/100),(80+(20-$O$5)+30*($AG2098/100))))))))))</f>
        <v>100</v>
      </c>
      <c r="AI2098" s="262">
        <v>4689</v>
      </c>
      <c r="AJ2098" s="262"/>
      <c r="AK2098" s="262">
        <v>273</v>
      </c>
      <c r="AL2098" s="263"/>
      <c r="AM2098" s="264"/>
      <c r="AN2098" s="263"/>
      <c r="AO2098" s="263"/>
      <c r="AP2098" s="265"/>
      <c r="AQ2098" s="266">
        <v>7965</v>
      </c>
      <c r="AR2098" s="267">
        <v>43186</v>
      </c>
      <c r="AS2098" s="263"/>
      <c r="AT2098" s="263"/>
      <c r="AU2098" s="263"/>
      <c r="AV2098" s="264"/>
      <c r="AW2098" s="263"/>
      <c r="AX2098" s="263"/>
      <c r="AY2098" s="263"/>
      <c r="AZ2098" s="263"/>
      <c r="BA2098" s="263"/>
      <c r="BB2098" s="263"/>
      <c r="BC2098" s="263"/>
      <c r="BD2098" s="264"/>
      <c r="BE2098" s="263"/>
      <c r="BF2098" s="263"/>
      <c r="BG2098" s="263"/>
      <c r="BH2098" s="263"/>
      <c r="BI2098" s="263"/>
      <c r="BJ2098" s="404">
        <f>altaz(J2000_Bas,$O2098,$M2098,DecLat,DecLong,2)</f>
        <v>283.87650422084738</v>
      </c>
      <c r="BK2098" s="378" t="s">
        <v>2012</v>
      </c>
      <c r="BL2098" s="379">
        <f>IF((2*G2098)/60&lt;0.2,0.2,(2*G2098)/60)</f>
        <v>0.2</v>
      </c>
      <c r="BM2098" s="380">
        <f>MOD((50000+AD2098-$B$3+(0/24)),1)</f>
        <v>0.74143813331465935</v>
      </c>
      <c r="BN2098" s="381" t="s">
        <v>9116</v>
      </c>
      <c r="BO2098" s="382">
        <v>2089</v>
      </c>
    </row>
    <row r="2099" spans="1:67" s="24" customFormat="1" ht="15" customHeight="1" x14ac:dyDescent="0.25">
      <c r="A2099" s="288" t="s">
        <v>2013</v>
      </c>
      <c r="B2099" s="241" t="str">
        <f>HYPERLINK(CONCATENATE($AT$3,BK2099,$AU$3),$AV$3)</f>
        <v>S</v>
      </c>
      <c r="C2099" s="242" t="str">
        <f>HYPERLINK(CONCATENATE($AT$4,BK2099,$AU$4,BL2099),$AV$4)</f>
        <v>A</v>
      </c>
      <c r="D2099" s="243" t="s">
        <v>5638</v>
      </c>
      <c r="E2099" s="244" t="s">
        <v>5182</v>
      </c>
      <c r="F2099" s="269" t="s">
        <v>8982</v>
      </c>
      <c r="G2099" s="273">
        <v>3</v>
      </c>
      <c r="H2099" s="283">
        <v>70</v>
      </c>
      <c r="I2099" s="246">
        <v>60</v>
      </c>
      <c r="J2099" s="246">
        <v>2</v>
      </c>
      <c r="K2099" s="247" t="s">
        <v>8491</v>
      </c>
      <c r="L2099" s="248">
        <v>124814</v>
      </c>
      <c r="M2099" s="249">
        <f>15*(LEFT(TEXT($L2099,"000000"),2)+(MID(TEXT($L2099,"000000"),3,2)/60)+(RIGHT(TEXT($L2099,"000000"),2)/3600))</f>
        <v>192.05833333333337</v>
      </c>
      <c r="N2099" s="250">
        <v>-31959</v>
      </c>
      <c r="O2099" s="251">
        <f>IF($N2099&gt;0,(LEFT(TEXT($N2099,"000000"),2)+(MID(TEXT($N2099,"000000"),3,2)/60)+(RIGHT(TEXT($N2099,"000000"),2)/3600)),-(MID(TEXT($N2099,"000000"),2,2)+(MID(TEXT($N2099,"000000"),4,2)/60)+(RIGHT(TEXT($N2099,"000000"),2)/3600)))</f>
        <v>-3.3330555555555552</v>
      </c>
      <c r="P2099" s="252" t="s">
        <v>61</v>
      </c>
      <c r="Q2099" s="253"/>
      <c r="R2099" s="247" t="s">
        <v>3293</v>
      </c>
      <c r="S2099" s="272" t="s">
        <v>3293</v>
      </c>
      <c r="T2099" s="273">
        <v>11.1</v>
      </c>
      <c r="U2099" s="289">
        <v>21.89</v>
      </c>
      <c r="V2099" s="280">
        <v>35</v>
      </c>
      <c r="W2099" s="244"/>
      <c r="X2099" s="244"/>
      <c r="Y2099" s="362"/>
      <c r="Z2099" s="257">
        <f>altaz(J2000_Bas,$O2099,$M2099,DecLat,DecLong,1)</f>
        <v>-5.0949296227144245</v>
      </c>
      <c r="AA2099" s="257">
        <f>altaz((J2000_Bas+(2*0.04167)),$O2099,$M2099,DecLat,DecLong,1)</f>
        <v>-30.584755022651571</v>
      </c>
      <c r="AB2099" s="257">
        <f>altaz((J2000_Bas+(4*0.04167)),$O2099,$M2099,DecLat,DecLong,1)</f>
        <v>-53.110891746971888</v>
      </c>
      <c r="AC2099" s="257">
        <f>altaz((J2000_Bas+(6*0.04167)),$O2099,$M2099,DecLat,DecLong,1)</f>
        <v>-62.051091847290081</v>
      </c>
      <c r="AD2099" s="258">
        <f>1+ transit((J2000_Bas-1),$O2099,$M2099,DecLat,DecLong)/360 + (GMTOffset/24) + (IF(DST="Y", 1, 0)/24)</f>
        <v>1.5263952776505414</v>
      </c>
      <c r="AE2099" s="259">
        <f>DATE(2001,9,21)+(M2099/360)*365 - (360*((DecLong/360)- (GMTOffset/24) ))</f>
        <v>37354.725810185184</v>
      </c>
      <c r="AF2099" s="260">
        <f>IF(DecLat&gt;0,IF((90 - (DecLat-O2099))&gt;90, (90 - (O2099-DecLat)), (90 - (DecLat-O2099))),IF((90 + (DecLat-O2099))&gt;90, (90 + (O2099-DecLat)), (90 + (DecLat-O2099))))</f>
        <v>55.666944444444447</v>
      </c>
      <c r="AG2099" s="257">
        <f>angularseperation(MoonRA,MoonDec,$M2099,$O2099)</f>
        <v>59.457766469373908</v>
      </c>
      <c r="AH2099" s="261">
        <f ca="1">MIN(100,IF($O$5&gt;80,0+30*($AG2099/100),IF($O$5&gt;70,0+50*($AG2099/100),IF($O$5&gt;60,5+50*($AG2099/100),IF($O$5&gt;50,10+60*($AG2099/100),IF($O$5&gt;40,15+70*($AG2099/100),IF($O$5&gt;30,20+70*($AG2099/100),IF($O$5&gt;20,40+55*($AG2099/100),(80+(20-$O$5)+30*($AG2099/100))))))))))</f>
        <v>100</v>
      </c>
      <c r="AI2099" s="262">
        <v>4691</v>
      </c>
      <c r="AJ2099" s="262"/>
      <c r="AK2099" s="262"/>
      <c r="AL2099" s="263"/>
      <c r="AM2099" s="264"/>
      <c r="AN2099" s="263"/>
      <c r="AO2099" s="263"/>
      <c r="AP2099" s="265"/>
      <c r="AQ2099" s="266"/>
      <c r="AR2099" s="267">
        <v>43238</v>
      </c>
      <c r="AS2099" s="263"/>
      <c r="AT2099" s="263"/>
      <c r="AU2099" s="263"/>
      <c r="AV2099" s="264"/>
      <c r="AW2099" s="263"/>
      <c r="AX2099" s="263"/>
      <c r="AY2099" s="263"/>
      <c r="AZ2099" s="263"/>
      <c r="BA2099" s="263"/>
      <c r="BB2099" s="263"/>
      <c r="BC2099" s="263"/>
      <c r="BD2099" s="264"/>
      <c r="BE2099" s="263"/>
      <c r="BF2099" s="263"/>
      <c r="BG2099" s="263"/>
      <c r="BH2099" s="263"/>
      <c r="BI2099" s="263"/>
      <c r="BJ2099" s="404">
        <f>altaz(J2000_Bas,$O2099,$M2099,DecLat,DecLong,2)</f>
        <v>269.16773097468638</v>
      </c>
      <c r="BK2099" s="378" t="s">
        <v>2013</v>
      </c>
      <c r="BL2099" s="379">
        <f>IF((2*G2099)/60&lt;0.2,0.2,(2*G2099)/60)</f>
        <v>0.2</v>
      </c>
      <c r="BM2099" s="380">
        <f>MOD((50000+AD2099-$B$3+(0/24)),1)</f>
        <v>0.74176220735535026</v>
      </c>
      <c r="BN2099" s="381"/>
      <c r="BO2099" s="382">
        <v>2090</v>
      </c>
    </row>
    <row r="2100" spans="1:67" s="24" customFormat="1" ht="15" customHeight="1" x14ac:dyDescent="0.25">
      <c r="A2100" s="288" t="s">
        <v>2014</v>
      </c>
      <c r="B2100" s="241" t="str">
        <f>HYPERLINK(CONCATENATE($AT$3,BK2100,$AU$3),$AV$3)</f>
        <v>S</v>
      </c>
      <c r="C2100" s="242" t="str">
        <f>HYPERLINK(CONCATENATE($AT$4,BK2100,$AU$4,BL2100),$AV$4)</f>
        <v>A</v>
      </c>
      <c r="D2100" s="243" t="s">
        <v>5638</v>
      </c>
      <c r="E2100" s="244" t="s">
        <v>5182</v>
      </c>
      <c r="F2100" s="269" t="s">
        <v>3300</v>
      </c>
      <c r="G2100" s="273">
        <v>4</v>
      </c>
      <c r="H2100" s="283">
        <v>40</v>
      </c>
      <c r="I2100" s="246">
        <v>46</v>
      </c>
      <c r="J2100" s="246">
        <v>2</v>
      </c>
      <c r="K2100" s="247" t="s">
        <v>8304</v>
      </c>
      <c r="L2100" s="248">
        <v>124836</v>
      </c>
      <c r="M2100" s="249">
        <f>15*(LEFT(TEXT($L2100,"000000"),2)+(MID(TEXT($L2100,"000000"),3,2)/60)+(RIGHT(TEXT($L2100,"000000"),2)/3600))</f>
        <v>192.15</v>
      </c>
      <c r="N2100" s="250">
        <v>-54802</v>
      </c>
      <c r="O2100" s="251">
        <f>IF($N2100&gt;0,(LEFT(TEXT($N2100,"000000"),2)+(MID(TEXT($N2100,"000000"),3,2)/60)+(RIGHT(TEXT($N2100,"000000"),2)/3600)),-(MID(TEXT($N2100,"000000"),2,2)+(MID(TEXT($N2100,"000000"),4,2)/60)+(RIGHT(TEXT($N2100,"000000"),2)/3600)))</f>
        <v>-5.8005555555555555</v>
      </c>
      <c r="P2100" s="252" t="s">
        <v>61</v>
      </c>
      <c r="Q2100" s="253" t="s">
        <v>6891</v>
      </c>
      <c r="R2100" s="247" t="s">
        <v>7325</v>
      </c>
      <c r="S2100" s="272" t="s">
        <v>3293</v>
      </c>
      <c r="T2100" s="273">
        <v>9.1999999999999993</v>
      </c>
      <c r="U2100" s="289">
        <v>21.89</v>
      </c>
      <c r="V2100" s="280">
        <v>70</v>
      </c>
      <c r="W2100" s="244"/>
      <c r="X2100" s="244"/>
      <c r="Y2100" s="362"/>
      <c r="Z2100" s="257">
        <f>altaz(J2000_Bas,$O2100,$M2100,DecLat,DecLong,1)</f>
        <v>-6.2779222555150209</v>
      </c>
      <c r="AA2100" s="257">
        <f>altaz((J2000_Bas+(2*0.04167)),$O2100,$M2100,DecLat,DecLong,1)</f>
        <v>-31.880196858005288</v>
      </c>
      <c r="AB2100" s="257">
        <f>altaz((J2000_Bas+(4*0.04167)),$O2100,$M2100,DecLat,DecLong,1)</f>
        <v>-54.951532951798654</v>
      </c>
      <c r="AC2100" s="257">
        <f>altaz((J2000_Bas+(6*0.04167)),$O2100,$M2100,DecLat,DecLong,1)</f>
        <v>-64.507558634507106</v>
      </c>
      <c r="AD2100" s="258">
        <f>1+ transit((J2000_Bas-1),$O2100,$M2100,DecLat,DecLong)/360 + (GMTOffset/24) + (IF(DST="Y", 1, 0)/24)</f>
        <v>1.5266499072547082</v>
      </c>
      <c r="AE2100" s="259">
        <f>DATE(2001,9,21)+(M2100/360)*365 - (360*((DecLong/360)- (GMTOffset/24) ))</f>
        <v>37354.818749999999</v>
      </c>
      <c r="AF2100" s="260">
        <f>IF(DecLat&gt;0,IF((90 - (DecLat-O2100))&gt;90, (90 - (O2100-DecLat)), (90 - (DecLat-O2100))),IF((90 + (DecLat-O2100))&gt;90, (90 + (O2100-DecLat)), (90 + (DecLat-O2100))))</f>
        <v>53.199444444444445</v>
      </c>
      <c r="AG2100" s="257">
        <f>angularseperation(MoonRA,MoonDec,$M2100,$O2100)</f>
        <v>58.179935454664864</v>
      </c>
      <c r="AH2100" s="261">
        <f ca="1">MIN(100,IF($O$5&gt;80,0+30*($AG2100/100),IF($O$5&gt;70,0+50*($AG2100/100),IF($O$5&gt;60,5+50*($AG2100/100),IF($O$5&gt;50,10+60*($AG2100/100),IF($O$5&gt;40,15+70*($AG2100/100),IF($O$5&gt;30,20+70*($AG2100/100),IF($O$5&gt;20,40+55*($AG2100/100),(80+(20-$O$5)+30*($AG2100/100))))))))))</f>
        <v>100</v>
      </c>
      <c r="AI2100" s="262">
        <v>4697</v>
      </c>
      <c r="AJ2100" s="262"/>
      <c r="AK2100" s="262">
        <v>274</v>
      </c>
      <c r="AL2100" s="263"/>
      <c r="AM2100" s="264">
        <v>52</v>
      </c>
      <c r="AN2100" s="263"/>
      <c r="AO2100" s="263"/>
      <c r="AP2100" s="265"/>
      <c r="AQ2100" s="266"/>
      <c r="AR2100" s="267">
        <v>43276</v>
      </c>
      <c r="AS2100" s="263"/>
      <c r="AT2100" s="263"/>
      <c r="AU2100" s="263"/>
      <c r="AV2100" s="264"/>
      <c r="AW2100" s="263"/>
      <c r="AX2100" s="263"/>
      <c r="AY2100" s="263"/>
      <c r="AZ2100" s="263"/>
      <c r="BA2100" s="263"/>
      <c r="BB2100" s="263"/>
      <c r="BC2100" s="263"/>
      <c r="BD2100" s="264"/>
      <c r="BE2100" s="263"/>
      <c r="BF2100" s="263"/>
      <c r="BG2100" s="263"/>
      <c r="BH2100" s="263"/>
      <c r="BI2100" s="263"/>
      <c r="BJ2100" s="404">
        <f>altaz(J2000_Bas,$O2100,$M2100,DecLat,DecLong,2)</f>
        <v>266.98961550405352</v>
      </c>
      <c r="BK2100" s="378" t="s">
        <v>2014</v>
      </c>
      <c r="BL2100" s="379">
        <f>IF((2*G2100)/60&lt;0.2,0.2,(2*G2100)/60)</f>
        <v>0.2</v>
      </c>
      <c r="BM2100" s="380">
        <f>MOD((50000+AD2100-$B$3+(0/24)),1)</f>
        <v>0.74201683695719112</v>
      </c>
      <c r="BN2100" s="381"/>
      <c r="BO2100" s="382">
        <v>2091</v>
      </c>
    </row>
    <row r="2101" spans="1:67" s="24" customFormat="1" ht="15" customHeight="1" x14ac:dyDescent="0.25">
      <c r="A2101" s="288" t="s">
        <v>2015</v>
      </c>
      <c r="B2101" s="241" t="str">
        <f>HYPERLINK(CONCATENATE($AT$3,BK2101,$AU$3),$AV$3)</f>
        <v>S</v>
      </c>
      <c r="C2101" s="242" t="str">
        <f>HYPERLINK(CONCATENATE($AT$4,BK2101,$AU$4,BL2101),$AV$4)</f>
        <v>A</v>
      </c>
      <c r="D2101" s="243" t="s">
        <v>5638</v>
      </c>
      <c r="E2101" s="244" t="s">
        <v>5192</v>
      </c>
      <c r="F2101" s="269" t="s">
        <v>8801</v>
      </c>
      <c r="G2101" s="273">
        <v>7</v>
      </c>
      <c r="H2101" s="283">
        <v>57</v>
      </c>
      <c r="I2101" s="246">
        <v>120</v>
      </c>
      <c r="J2101" s="246">
        <v>2</v>
      </c>
      <c r="K2101" s="247" t="s">
        <v>8305</v>
      </c>
      <c r="L2101" s="248">
        <v>124823</v>
      </c>
      <c r="M2101" s="249">
        <f>15*(LEFT(TEXT($L2101,"000000"),2)+(MID(TEXT($L2101,"000000"),3,2)/60)+(RIGHT(TEXT($L2101,"000000"),2)/3600))</f>
        <v>192.09583333333336</v>
      </c>
      <c r="N2101" s="250">
        <v>82915</v>
      </c>
      <c r="O2101" s="251">
        <f>IF($N2101&gt;0,(LEFT(TEXT($N2101,"000000"),2)+(MID(TEXT($N2101,"000000"),3,2)/60)+(RIGHT(TEXT($N2101,"000000"),2)/3600)),-(MID(TEXT($N2101,"000000"),2,2)+(MID(TEXT($N2101,"000000"),4,2)/60)+(RIGHT(TEXT($N2101,"000000"),2)/3600)))</f>
        <v>8.4874999999999989</v>
      </c>
      <c r="P2101" s="252" t="s">
        <v>61</v>
      </c>
      <c r="Q2101" s="253"/>
      <c r="R2101" s="247" t="s">
        <v>3293</v>
      </c>
      <c r="S2101" s="272" t="s">
        <v>3293</v>
      </c>
      <c r="T2101" s="273">
        <v>12.3</v>
      </c>
      <c r="U2101" s="289">
        <v>21.79</v>
      </c>
      <c r="V2101" s="280">
        <v>70</v>
      </c>
      <c r="W2101" s="244"/>
      <c r="X2101" s="244"/>
      <c r="Y2101" s="362"/>
      <c r="Z2101" s="257">
        <f>altaz(J2000_Bas,$O2101,$M2101,DecLat,DecLong,1)</f>
        <v>1.0459394203395758</v>
      </c>
      <c r="AA2101" s="257">
        <f>altaz((J2000_Bas+(2*0.04167)),$O2101,$M2101,DecLat,DecLong,1)</f>
        <v>-23.450071078657867</v>
      </c>
      <c r="AB2101" s="257">
        <f>altaz((J2000_Bas+(4*0.04167)),$O2101,$M2101,DecLat,DecLong,1)</f>
        <v>-43.350103871356339</v>
      </c>
      <c r="AC2101" s="257">
        <f>altaz((J2000_Bas+(6*0.04167)),$O2101,$M2101,DecLat,DecLong,1)</f>
        <v>-50.311638177125623</v>
      </c>
      <c r="AD2101" s="258">
        <f>1+ transit((J2000_Bas-1),$O2101,$M2101,DecLat,DecLong)/360 + (GMTOffset/24) + (IF(DST="Y", 1, 0)/24)</f>
        <v>1.5264994443067914</v>
      </c>
      <c r="AE2101" s="259">
        <f>DATE(2001,9,21)+(M2101/360)*365 - (360*((DecLong/360)- (GMTOffset/24) ))</f>
        <v>37354.763831018521</v>
      </c>
      <c r="AF2101" s="260">
        <f>IF(DecLat&gt;0,IF((90 - (DecLat-O2101))&gt;90, (90 - (O2101-DecLat)), (90 - (DecLat-O2101))),IF((90 + (DecLat-O2101))&gt;90, (90 + (O2101-DecLat)), (90 + (DecLat-O2101))))</f>
        <v>67.487499999999997</v>
      </c>
      <c r="AG2101" s="257">
        <f>angularseperation(MoonRA,MoonDec,$M2101,$O2101)</f>
        <v>65.762541947583685</v>
      </c>
      <c r="AH2101" s="261">
        <f ca="1">MIN(100,IF($O$5&gt;80,0+30*($AG2101/100),IF($O$5&gt;70,0+50*($AG2101/100),IF($O$5&gt;60,5+50*($AG2101/100),IF($O$5&gt;50,10+60*($AG2101/100),IF($O$5&gt;40,15+70*($AG2101/100),IF($O$5&gt;30,20+70*($AG2101/100),IF($O$5&gt;20,40+55*($AG2101/100),(80+(20-$O$5)+30*($AG2101/100))))))))))</f>
        <v>100</v>
      </c>
      <c r="AI2101" s="262">
        <v>4698</v>
      </c>
      <c r="AJ2101" s="262"/>
      <c r="AK2101" s="262">
        <v>275</v>
      </c>
      <c r="AL2101" s="263"/>
      <c r="AM2101" s="264"/>
      <c r="AN2101" s="263"/>
      <c r="AO2101" s="263"/>
      <c r="AP2101" s="265"/>
      <c r="AQ2101" s="266">
        <v>7970</v>
      </c>
      <c r="AR2101" s="267">
        <v>43254</v>
      </c>
      <c r="AS2101" s="263"/>
      <c r="AT2101" s="263"/>
      <c r="AU2101" s="263"/>
      <c r="AV2101" s="264"/>
      <c r="AW2101" s="263"/>
      <c r="AX2101" s="263"/>
      <c r="AY2101" s="263"/>
      <c r="AZ2101" s="263"/>
      <c r="BA2101" s="263"/>
      <c r="BB2101" s="263"/>
      <c r="BC2101" s="263"/>
      <c r="BD2101" s="264"/>
      <c r="BE2101" s="263"/>
      <c r="BF2101" s="263"/>
      <c r="BG2101" s="263"/>
      <c r="BH2101" s="263">
        <v>105</v>
      </c>
      <c r="BI2101" s="263"/>
      <c r="BJ2101" s="404">
        <f>altaz(J2000_Bas,$O2101,$M2101,DecLat,DecLong,2)</f>
        <v>279.27924799440427</v>
      </c>
      <c r="BK2101" s="378" t="s">
        <v>2015</v>
      </c>
      <c r="BL2101" s="379">
        <f>IF((2*G2101)/60&lt;0.2,0.2,(2*G2101)/60)</f>
        <v>0.23333333333333334</v>
      </c>
      <c r="BM2101" s="380">
        <f>MOD((50000+AD2101-$B$3+(0/24)),1)</f>
        <v>0.74186637400998734</v>
      </c>
      <c r="BN2101" s="381"/>
      <c r="BO2101" s="382">
        <v>2092</v>
      </c>
    </row>
    <row r="2102" spans="1:67" s="24" customFormat="1" ht="15" customHeight="1" x14ac:dyDescent="0.25">
      <c r="A2102" s="288" t="s">
        <v>2016</v>
      </c>
      <c r="B2102" s="241" t="str">
        <f>HYPERLINK(CONCATENATE($AT$3,BK2102,$AU$3),$AV$3)</f>
        <v>S</v>
      </c>
      <c r="C2102" s="242" t="str">
        <f>HYPERLINK(CONCATENATE($AT$4,BK2102,$AU$4,BL2102),$AV$4)</f>
        <v>A</v>
      </c>
      <c r="D2102" s="243" t="s">
        <v>5638</v>
      </c>
      <c r="E2102" s="244" t="s">
        <v>4292</v>
      </c>
      <c r="F2102" s="269" t="s">
        <v>8797</v>
      </c>
      <c r="G2102" s="273">
        <v>4</v>
      </c>
      <c r="H2102" s="283">
        <v>65</v>
      </c>
      <c r="I2102" s="246">
        <v>75</v>
      </c>
      <c r="J2102" s="246">
        <v>2</v>
      </c>
      <c r="K2102" s="247" t="s">
        <v>8306</v>
      </c>
      <c r="L2102" s="248">
        <v>124902</v>
      </c>
      <c r="M2102" s="249">
        <f>15*(LEFT(TEXT($L2102,"000000"),2)+(MID(TEXT($L2102,"000000"),3,2)/60)+(RIGHT(TEXT($L2102,"000000"),2)/3600))</f>
        <v>192.25833333333333</v>
      </c>
      <c r="N2102" s="250">
        <v>-83953</v>
      </c>
      <c r="O2102" s="251">
        <f>IF($N2102&gt;0,(LEFT(TEXT($N2102,"000000"),2)+(MID(TEXT($N2102,"000000"),3,2)/60)+(RIGHT(TEXT($N2102,"000000"),2)/3600)),-(MID(TEXT($N2102,"000000"),2,2)+(MID(TEXT($N2102,"000000"),4,2)/60)+(RIGHT(TEXT($N2102,"000000"),2)/3600)))</f>
        <v>-8.6647222222222222</v>
      </c>
      <c r="P2102" s="252" t="s">
        <v>61</v>
      </c>
      <c r="Q2102" s="253"/>
      <c r="R2102" s="247" t="s">
        <v>3293</v>
      </c>
      <c r="S2102" s="272" t="s">
        <v>3293</v>
      </c>
      <c r="T2102" s="273">
        <v>9.5</v>
      </c>
      <c r="U2102" s="289">
        <v>20.79</v>
      </c>
      <c r="V2102" s="280">
        <v>45</v>
      </c>
      <c r="W2102" s="244"/>
      <c r="X2102" s="244"/>
      <c r="Y2102" s="362"/>
      <c r="Z2102" s="257">
        <f>altaz(J2000_Bas,$O2102,$M2102,DecLat,DecLong,1)</f>
        <v>-7.6388792845300957</v>
      </c>
      <c r="AA2102" s="257">
        <f>altaz((J2000_Bas+(2*0.04167)),$O2102,$M2102,DecLat,DecLong,1)</f>
        <v>-33.32189179035074</v>
      </c>
      <c r="AB2102" s="257">
        <f>altaz((J2000_Bas+(4*0.04167)),$O2102,$M2102,DecLat,DecLong,1)</f>
        <v>-56.998164554151373</v>
      </c>
      <c r="AC2102" s="257">
        <f>altaz((J2000_Bas+(6*0.04167)),$O2102,$M2102,DecLat,DecLong,1)</f>
        <v>-67.355856226160185</v>
      </c>
      <c r="AD2102" s="258">
        <f>1+ transit((J2000_Bas-1),$O2102,$M2102,DecLat,DecLong)/360 + (GMTOffset/24) + (IF(DST="Y", 1, 0)/24)</f>
        <v>1.5269508331505415</v>
      </c>
      <c r="AE2102" s="259">
        <f>DATE(2001,9,21)+(M2102/360)*365 - (360*((DecLong/360)- (GMTOffset/24) ))</f>
        <v>37354.928587962961</v>
      </c>
      <c r="AF2102" s="260">
        <f>IF(DecLat&gt;0,IF((90 - (DecLat-O2102))&gt;90, (90 - (O2102-DecLat)), (90 - (DecLat-O2102))),IF((90 + (DecLat-O2102))&gt;90, (90 + (O2102-DecLat)), (90 + (DecLat-O2102))))</f>
        <v>50.335277777777776</v>
      </c>
      <c r="AG2102" s="257">
        <f>angularseperation(MoonRA,MoonDec,$M2102,$O2102)</f>
        <v>56.75760379991214</v>
      </c>
      <c r="AH2102" s="261">
        <f ca="1">MIN(100,IF($O$5&gt;80,0+30*($AG2102/100),IF($O$5&gt;70,0+50*($AG2102/100),IF($O$5&gt;60,5+50*($AG2102/100),IF($O$5&gt;50,10+60*($AG2102/100),IF($O$5&gt;40,15+70*($AG2102/100),IF($O$5&gt;30,20+70*($AG2102/100),IF($O$5&gt;20,40+55*($AG2102/100),(80+(20-$O$5)+30*($AG2102/100))))))))))</f>
        <v>100</v>
      </c>
      <c r="AI2102" s="262">
        <v>4699</v>
      </c>
      <c r="AJ2102" s="262"/>
      <c r="AK2102" s="262">
        <v>276</v>
      </c>
      <c r="AL2102" s="263"/>
      <c r="AM2102" s="264"/>
      <c r="AN2102" s="263"/>
      <c r="AO2102" s="263"/>
      <c r="AP2102" s="265"/>
      <c r="AQ2102" s="266"/>
      <c r="AR2102" s="267">
        <v>43321</v>
      </c>
      <c r="AS2102" s="263"/>
      <c r="AT2102" s="263"/>
      <c r="AU2102" s="263"/>
      <c r="AV2102" s="264"/>
      <c r="AW2102" s="263"/>
      <c r="AX2102" s="263"/>
      <c r="AY2102" s="263"/>
      <c r="AZ2102" s="263"/>
      <c r="BA2102" s="263"/>
      <c r="BB2102" s="263"/>
      <c r="BC2102" s="263"/>
      <c r="BD2102" s="264"/>
      <c r="BE2102" s="263">
        <v>68</v>
      </c>
      <c r="BF2102" s="263"/>
      <c r="BG2102" s="263"/>
      <c r="BH2102" s="263"/>
      <c r="BI2102" s="263"/>
      <c r="BJ2102" s="404">
        <f>altaz(J2000_Bas,$O2102,$M2102,DecLat,DecLong,2)</f>
        <v>264.44837470690527</v>
      </c>
      <c r="BK2102" s="378" t="s">
        <v>2016</v>
      </c>
      <c r="BL2102" s="379">
        <f>IF((2*G2102)/60&lt;0.2,0.2,(2*G2102)/60)</f>
        <v>0.2</v>
      </c>
      <c r="BM2102" s="380">
        <f>MOD((50000+AD2102-$B$3+(0/24)),1)</f>
        <v>0.74231776285159867</v>
      </c>
      <c r="BN2102" s="381"/>
      <c r="BO2102" s="382">
        <v>2093</v>
      </c>
    </row>
    <row r="2103" spans="1:67" s="24" customFormat="1" ht="15" customHeight="1" x14ac:dyDescent="0.25">
      <c r="A2103" s="288" t="s">
        <v>2017</v>
      </c>
      <c r="B2103" s="241" t="str">
        <f>HYPERLINK(CONCATENATE($AT$3,BK2103,$AU$3),$AV$3)</f>
        <v>S</v>
      </c>
      <c r="C2103" s="242" t="str">
        <f>HYPERLINK(CONCATENATE($AT$4,BK2103,$AU$4,BL2103),$AV$4)</f>
        <v>A</v>
      </c>
      <c r="D2103" s="243" t="s">
        <v>5638</v>
      </c>
      <c r="E2103" s="244" t="s">
        <v>5182</v>
      </c>
      <c r="F2103" s="269" t="s">
        <v>8673</v>
      </c>
      <c r="G2103" s="273">
        <v>4.5</v>
      </c>
      <c r="H2103" s="283">
        <v>55</v>
      </c>
      <c r="I2103" s="246">
        <v>75</v>
      </c>
      <c r="J2103" s="246">
        <v>3</v>
      </c>
      <c r="K2103" s="247" t="s">
        <v>8307</v>
      </c>
      <c r="L2103" s="248">
        <v>124939</v>
      </c>
      <c r="M2103" s="249">
        <f>15*(LEFT(TEXT($L2103,"000000"),2)+(MID(TEXT($L2103,"000000"),3,2)/60)+(RIGHT(TEXT($L2103,"000000"),2)/3600))</f>
        <v>192.41250000000002</v>
      </c>
      <c r="N2103" s="250">
        <v>150953</v>
      </c>
      <c r="O2103" s="251">
        <f>IF($N2103&gt;0,(LEFT(TEXT($N2103,"000000"),2)+(MID(TEXT($N2103,"000000"),3,2)/60)+(RIGHT(TEXT($N2103,"000000"),2)/3600)),-(MID(TEXT($N2103,"000000"),2,2)+(MID(TEXT($N2103,"000000"),4,2)/60)+(RIGHT(TEXT($N2103,"000000"),2)/3600)))</f>
        <v>15.164722222222222</v>
      </c>
      <c r="P2103" s="252" t="s">
        <v>190</v>
      </c>
      <c r="Q2103" s="253"/>
      <c r="R2103" s="277" t="s">
        <v>3293</v>
      </c>
      <c r="S2103" s="272" t="s">
        <v>3293</v>
      </c>
      <c r="T2103" s="273">
        <v>12</v>
      </c>
      <c r="U2103" s="289">
        <v>21.69</v>
      </c>
      <c r="V2103" s="280">
        <v>90</v>
      </c>
      <c r="W2103" s="244"/>
      <c r="X2103" s="244"/>
      <c r="Y2103" s="362"/>
      <c r="Z2103" s="257">
        <f>altaz(J2000_Bas,$O2103,$M2103,DecLat,DecLong,1)</f>
        <v>4.7567645667355816</v>
      </c>
      <c r="AA2103" s="257">
        <f>altaz((J2000_Bas+(2*0.04167)),$O2103,$M2103,DecLat,DecLong,1)</f>
        <v>-18.904852431615975</v>
      </c>
      <c r="AB2103" s="257">
        <f>altaz((J2000_Bas+(4*0.04167)),$O2103,$M2103,DecLat,DecLong,1)</f>
        <v>-37.396489073172141</v>
      </c>
      <c r="AC2103" s="257">
        <f>altaz((J2000_Bas+(6*0.04167)),$O2103,$M2103,DecLat,DecLong,1)</f>
        <v>-43.687640243213075</v>
      </c>
      <c r="AD2103" s="258">
        <f>1+ transit((J2000_Bas-1),$O2103,$M2103,DecLat,DecLong)/360 + (GMTOffset/24) + (IF(DST="Y", 1, 0)/24)</f>
        <v>1.5273790738484581</v>
      </c>
      <c r="AE2103" s="259">
        <f>DATE(2001,9,21)+(M2103/360)*365 - (360*((DecLong/360)- (GMTOffset/24) ))</f>
        <v>37355.08489583333</v>
      </c>
      <c r="AF2103" s="260">
        <f>IF(DecLat&gt;0,IF((90 - (DecLat-O2103))&gt;90, (90 - (O2103-DecLat)), (90 - (DecLat-O2103))),IF((90 + (DecLat-O2103))&gt;90, (90 + (O2103-DecLat)), (90 + (DecLat-O2103))))</f>
        <v>74.164722222222224</v>
      </c>
      <c r="AG2103" s="257">
        <f>angularseperation(MoonRA,MoonDec,$M2103,$O2103)</f>
        <v>69.447359239572961</v>
      </c>
      <c r="AH2103" s="261">
        <f ca="1">MIN(100,IF($O$5&gt;80,0+30*($AG2103/100),IF($O$5&gt;70,0+50*($AG2103/100),IF($O$5&gt;60,5+50*($AG2103/100),IF($O$5&gt;50,10+60*($AG2103/100),IF($O$5&gt;40,15+70*($AG2103/100),IF($O$5&gt;30,20+70*($AG2103/100),IF($O$5&gt;20,40+55*($AG2103/100),(80+(20-$O$5)+30*($AG2103/100))))))))))</f>
        <v>100</v>
      </c>
      <c r="AI2103" s="262">
        <v>4710</v>
      </c>
      <c r="AJ2103" s="263"/>
      <c r="AK2103" s="263"/>
      <c r="AL2103" s="263"/>
      <c r="AM2103" s="264"/>
      <c r="AN2103" s="263"/>
      <c r="AO2103" s="263"/>
      <c r="AP2103" s="265"/>
      <c r="AQ2103" s="265">
        <v>7980</v>
      </c>
      <c r="AR2103" s="285">
        <v>43375</v>
      </c>
      <c r="AS2103" s="263"/>
      <c r="AT2103" s="263"/>
      <c r="AU2103" s="263"/>
      <c r="AV2103" s="264"/>
      <c r="AW2103" s="263"/>
      <c r="AX2103" s="263"/>
      <c r="AY2103" s="263"/>
      <c r="AZ2103" s="263"/>
      <c r="BA2103" s="263"/>
      <c r="BB2103" s="263"/>
      <c r="BC2103" s="263"/>
      <c r="BD2103" s="264"/>
      <c r="BE2103" s="263"/>
      <c r="BF2103" s="263"/>
      <c r="BG2103" s="263"/>
      <c r="BH2103" s="263"/>
      <c r="BI2103" s="263"/>
      <c r="BJ2103" s="404">
        <f>altaz(J2000_Bas,$O2103,$M2103,DecLat,DecLong,2)</f>
        <v>284.84713807127787</v>
      </c>
      <c r="BK2103" s="378" t="s">
        <v>2017</v>
      </c>
      <c r="BL2103" s="379">
        <f>IF((2*G2103)/60&lt;0.2,0.2,(2*G2103)/60)</f>
        <v>0.2</v>
      </c>
      <c r="BM2103" s="380">
        <f>MOD((50000+AD2103-$B$3+(0/24)),1)</f>
        <v>0.74274600355420262</v>
      </c>
      <c r="BN2103" s="381"/>
      <c r="BO2103" s="382">
        <v>2094</v>
      </c>
    </row>
    <row r="2104" spans="1:67" s="24" customFormat="1" ht="15" customHeight="1" x14ac:dyDescent="0.25">
      <c r="A2104" s="288" t="s">
        <v>2018</v>
      </c>
      <c r="B2104" s="241" t="str">
        <f>HYPERLINK(CONCATENATE($AT$3,BK2104,$AU$3),$AV$3)</f>
        <v>S</v>
      </c>
      <c r="C2104" s="242" t="str">
        <f>HYPERLINK(CONCATENATE($AT$4,BK2104,$AU$4,BL2104),$AV$4)</f>
        <v>A</v>
      </c>
      <c r="D2104" s="243" t="s">
        <v>5638</v>
      </c>
      <c r="E2104" s="244" t="s">
        <v>5192</v>
      </c>
      <c r="F2104" s="269" t="s">
        <v>8983</v>
      </c>
      <c r="G2104" s="276">
        <v>10</v>
      </c>
      <c r="H2104" s="283">
        <v>40</v>
      </c>
      <c r="I2104" s="246">
        <v>120</v>
      </c>
      <c r="J2104" s="246">
        <v>4</v>
      </c>
      <c r="K2104" s="247" t="s">
        <v>8309</v>
      </c>
      <c r="L2104" s="248">
        <v>125027</v>
      </c>
      <c r="M2104" s="249">
        <f>15*(LEFT(TEXT($L2104,"000000"),2)+(MID(TEXT($L2104,"000000"),3,2)/60)+(RIGHT(TEXT($L2104,"000000"),2)/3600))</f>
        <v>192.61250000000001</v>
      </c>
      <c r="N2104" s="250">
        <v>253003</v>
      </c>
      <c r="O2104" s="251">
        <f>IF($N2104&gt;0,(LEFT(TEXT($N2104,"000000"),2)+(MID(TEXT($N2104,"000000"),3,2)/60)+(RIGHT(TEXT($N2104,"000000"),2)/3600)),-(MID(TEXT($N2104,"000000"),2,2)+(MID(TEXT($N2104,"000000"),4,2)/60)+(RIGHT(TEXT($N2104,"000000"),2)/3600)))</f>
        <v>25.500833333333333</v>
      </c>
      <c r="P2104" s="252" t="s">
        <v>190</v>
      </c>
      <c r="Q2104" s="253"/>
      <c r="R2104" s="247" t="s">
        <v>3293</v>
      </c>
      <c r="S2104" s="272" t="s">
        <v>8308</v>
      </c>
      <c r="T2104" s="273">
        <v>12.5</v>
      </c>
      <c r="U2104" s="289">
        <v>22.89</v>
      </c>
      <c r="V2104" s="280">
        <v>50</v>
      </c>
      <c r="W2104" s="244"/>
      <c r="X2104" s="244"/>
      <c r="Y2104" s="362"/>
      <c r="Z2104" s="257">
        <f>altaz(J2000_Bas,$O2104,$M2104,DecLat,DecLong,1)</f>
        <v>10.136066009139853</v>
      </c>
      <c r="AA2104" s="257">
        <f>altaz((J2000_Bas+(2*0.04167)),$O2104,$M2104,DecLat,DecLong,1)</f>
        <v>-11.828950553113524</v>
      </c>
      <c r="AB2104" s="257">
        <f>altaz((J2000_Bas+(4*0.04167)),$O2104,$M2104,DecLat,DecLong,1)</f>
        <v>-28.098971333980803</v>
      </c>
      <c r="AC2104" s="257">
        <f>altaz((J2000_Bas+(6*0.04167)),$O2104,$M2104,DecLat,DecLong,1)</f>
        <v>-33.39177485134384</v>
      </c>
      <c r="AD2104" s="258">
        <f>1+ transit((J2000_Bas-1),$O2104,$M2104,DecLat,DecLong)/360 + (GMTOffset/24) + (IF(DST="Y", 1, 0)/24)</f>
        <v>1.5279346293484581</v>
      </c>
      <c r="AE2104" s="259">
        <f>DATE(2001,9,21)+(M2104/360)*365 - (360*((DecLong/360)- (GMTOffset/24) ))</f>
        <v>37355.287673611114</v>
      </c>
      <c r="AF2104" s="260">
        <f>IF(DecLat&gt;0,IF((90 - (DecLat-O2104))&gt;90, (90 - (O2104-DecLat)), (90 - (DecLat-O2104))),IF((90 + (DecLat-O2104))&gt;90, (90 + (O2104-DecLat)), (90 + (DecLat-O2104))))</f>
        <v>84.500833333333333</v>
      </c>
      <c r="AG2104" s="257">
        <f>angularseperation(MoonRA,MoonDec,$M2104,$O2104)</f>
        <v>75.758706833146832</v>
      </c>
      <c r="AH2104" s="261">
        <f ca="1">MIN(100,IF($O$5&gt;80,0+30*($AG2104/100),IF($O$5&gt;70,0+50*($AG2104/100),IF($O$5&gt;60,5+50*($AG2104/100),IF($O$5&gt;50,10+60*($AG2104/100),IF($O$5&gt;40,15+70*($AG2104/100),IF($O$5&gt;30,20+70*($AG2104/100),IF($O$5&gt;20,40+55*($AG2104/100),(80+(20-$O$5)+30*($AG2104/100))))))))))</f>
        <v>100</v>
      </c>
      <c r="AI2104" s="262">
        <v>4725</v>
      </c>
      <c r="AJ2104" s="262"/>
      <c r="AK2104" s="262">
        <v>277</v>
      </c>
      <c r="AL2104" s="263"/>
      <c r="AM2104" s="264"/>
      <c r="AN2104" s="263"/>
      <c r="AO2104" s="263"/>
      <c r="AP2104" s="265"/>
      <c r="AQ2104" s="266">
        <v>7989</v>
      </c>
      <c r="AR2104" s="267">
        <v>43451</v>
      </c>
      <c r="AS2104" s="263"/>
      <c r="AT2104" s="263"/>
      <c r="AU2104" s="263"/>
      <c r="AV2104" s="264"/>
      <c r="AW2104" s="263"/>
      <c r="AX2104" s="263"/>
      <c r="AY2104" s="263"/>
      <c r="AZ2104" s="263"/>
      <c r="BA2104" s="263"/>
      <c r="BB2104" s="263"/>
      <c r="BC2104" s="263"/>
      <c r="BD2104" s="264"/>
      <c r="BE2104" s="263">
        <v>69</v>
      </c>
      <c r="BF2104" s="263"/>
      <c r="BG2104" s="263"/>
      <c r="BH2104" s="263"/>
      <c r="BI2104" s="263"/>
      <c r="BJ2104" s="404">
        <f>altaz(J2000_Bas,$O2104,$M2104,DecLat,DecLong,2)</f>
        <v>293.75380124714297</v>
      </c>
      <c r="BK2104" s="378" t="s">
        <v>2018</v>
      </c>
      <c r="BL2104" s="379">
        <f>IF((2*G2104)/60&lt;0.2,0.2,(2*G2104)/60)</f>
        <v>0.33333333333333331</v>
      </c>
      <c r="BM2104" s="380">
        <f>MOD((50000+AD2104-$B$3+(0/24)),1)</f>
        <v>0.74330155905045103</v>
      </c>
      <c r="BN2104" s="381" t="s">
        <v>9220</v>
      </c>
      <c r="BO2104" s="382">
        <v>2095</v>
      </c>
    </row>
    <row r="2105" spans="1:67" s="24" customFormat="1" ht="15" customHeight="1" x14ac:dyDescent="0.25">
      <c r="A2105" s="288" t="s">
        <v>2019</v>
      </c>
      <c r="B2105" s="241" t="str">
        <f>HYPERLINK(CONCATENATE($AT$3,BK2105,$AU$3),$AV$3)</f>
        <v>S</v>
      </c>
      <c r="C2105" s="242" t="str">
        <f>HYPERLINK(CONCATENATE($AT$4,BK2105,$AU$4,BL2105),$AV$4)</f>
        <v>A</v>
      </c>
      <c r="D2105" s="243" t="s">
        <v>5638</v>
      </c>
      <c r="E2105" s="244" t="s">
        <v>5192</v>
      </c>
      <c r="F2105" s="269" t="s">
        <v>8895</v>
      </c>
      <c r="G2105" s="273">
        <v>6</v>
      </c>
      <c r="H2105" s="283">
        <v>40</v>
      </c>
      <c r="I2105" s="246">
        <v>75</v>
      </c>
      <c r="J2105" s="246">
        <v>2</v>
      </c>
      <c r="K2105" s="247" t="s">
        <v>8492</v>
      </c>
      <c r="L2105" s="248">
        <v>125101</v>
      </c>
      <c r="M2105" s="249">
        <f>15*(LEFT(TEXT($L2105,"000000"),2)+(MID(TEXT($L2105,"000000"),3,2)/60)+(RIGHT(TEXT($L2105,"000000"),2)/3600))</f>
        <v>192.75416666666666</v>
      </c>
      <c r="N2105" s="250">
        <v>-62333</v>
      </c>
      <c r="O2105" s="251">
        <f>IF($N2105&gt;0,(LEFT(TEXT($N2105,"000000"),2)+(MID(TEXT($N2105,"000000"),3,2)/60)+(RIGHT(TEXT($N2105,"000000"),2)/3600)),-(MID(TEXT($N2105,"000000"),2,2)+(MID(TEXT($N2105,"000000"),4,2)/60)+(RIGHT(TEXT($N2105,"000000"),2)/3600)))</f>
        <v>-6.3925000000000001</v>
      </c>
      <c r="P2105" s="252" t="s">
        <v>61</v>
      </c>
      <c r="Q2105" s="253"/>
      <c r="R2105" s="247" t="s">
        <v>3293</v>
      </c>
      <c r="S2105" s="272" t="s">
        <v>3293</v>
      </c>
      <c r="T2105" s="273">
        <v>11.5</v>
      </c>
      <c r="U2105" s="289">
        <v>23.490000000000002</v>
      </c>
      <c r="V2105" s="280">
        <v>45</v>
      </c>
      <c r="W2105" s="244"/>
      <c r="X2105" s="244"/>
      <c r="Y2105" s="362"/>
      <c r="Z2105" s="257">
        <f>altaz(J2000_Bas,$O2105,$M2105,DecLat,DecLong,1)</f>
        <v>-6.0625402264857691</v>
      </c>
      <c r="AA2105" s="257">
        <f>altaz((J2000_Bas+(2*0.04167)),$O2105,$M2105,DecLat,DecLong,1)</f>
        <v>-31.697344047966233</v>
      </c>
      <c r="AB2105" s="257">
        <f>altaz((J2000_Bas+(4*0.04167)),$O2105,$M2105,DecLat,DecLong,1)</f>
        <v>-54.998293720398664</v>
      </c>
      <c r="AC2105" s="257">
        <f>altaz((J2000_Bas+(6*0.04167)),$O2105,$M2105,DecLat,DecLong,1)</f>
        <v>-65.174521012467977</v>
      </c>
      <c r="AD2105" s="258">
        <f>1+ transit((J2000_Bas-1),$O2105,$M2105,DecLat,DecLong)/360 + (GMTOffset/24) + (IF(DST="Y", 1, 0)/24)</f>
        <v>1.5283281478276247</v>
      </c>
      <c r="AE2105" s="259">
        <f>DATE(2001,9,21)+(M2105/360)*365 - (360*((DecLong/360)- (GMTOffset/24) ))</f>
        <v>37355.431307870371</v>
      </c>
      <c r="AF2105" s="260">
        <f>IF(DecLat&gt;0,IF((90 - (DecLat-O2105))&gt;90, (90 - (O2105-DecLat)), (90 - (DecLat-O2105))),IF((90 + (DecLat-O2105))&gt;90, (90 + (O2105-DecLat)), (90 + (DecLat-O2105))))</f>
        <v>52.607500000000002</v>
      </c>
      <c r="AG2105" s="257">
        <f>angularseperation(MoonRA,MoonDec,$M2105,$O2105)</f>
        <v>57.370400607616503</v>
      </c>
      <c r="AH2105" s="261">
        <f ca="1">MIN(100,IF($O$5&gt;80,0+30*($AG2105/100),IF($O$5&gt;70,0+50*($AG2105/100),IF($O$5&gt;60,5+50*($AG2105/100),IF($O$5&gt;50,10+60*($AG2105/100),IF($O$5&gt;40,15+70*($AG2105/100),IF($O$5&gt;30,20+70*($AG2105/100),IF($O$5&gt;20,40+55*($AG2105/100),(80+(20-$O$5)+30*($AG2105/100))))))))))</f>
        <v>100</v>
      </c>
      <c r="AI2105" s="262">
        <v>4731</v>
      </c>
      <c r="AJ2105" s="262"/>
      <c r="AK2105" s="262"/>
      <c r="AL2105" s="263"/>
      <c r="AM2105" s="264"/>
      <c r="AN2105" s="263"/>
      <c r="AO2105" s="263"/>
      <c r="AP2105" s="265"/>
      <c r="AQ2105" s="266"/>
      <c r="AR2105" s="267">
        <v>43507</v>
      </c>
      <c r="AS2105" s="263"/>
      <c r="AT2105" s="263"/>
      <c r="AU2105" s="263"/>
      <c r="AV2105" s="264"/>
      <c r="AW2105" s="263"/>
      <c r="AX2105" s="263"/>
      <c r="AY2105" s="263"/>
      <c r="AZ2105" s="263"/>
      <c r="BA2105" s="263"/>
      <c r="BB2105" s="263"/>
      <c r="BC2105" s="263"/>
      <c r="BD2105" s="264"/>
      <c r="BE2105" s="263"/>
      <c r="BF2105" s="263"/>
      <c r="BG2105" s="263"/>
      <c r="BH2105" s="263"/>
      <c r="BI2105" s="263"/>
      <c r="BJ2105" s="404">
        <f>altaz(J2000_Bas,$O2105,$M2105,DecLat,DecLong,2)</f>
        <v>266.16944614497368</v>
      </c>
      <c r="BK2105" s="378" t="s">
        <v>2019</v>
      </c>
      <c r="BL2105" s="379">
        <f>IF((2*G2105)/60&lt;0.2,0.2,(2*G2105)/60)</f>
        <v>0.2</v>
      </c>
      <c r="BM2105" s="380">
        <f>MOD((50000+AD2105-$B$3+(0/24)),1)</f>
        <v>0.74369507752999198</v>
      </c>
      <c r="BN2105" s="381" t="s">
        <v>9223</v>
      </c>
      <c r="BO2105" s="382">
        <v>2096</v>
      </c>
    </row>
    <row r="2106" spans="1:67" s="24" customFormat="1" ht="15" customHeight="1" x14ac:dyDescent="0.25">
      <c r="A2106" s="288" t="s">
        <v>2020</v>
      </c>
      <c r="B2106" s="241" t="str">
        <f>HYPERLINK(CONCATENATE($AT$3,BK2106,$AU$3),$AV$3)</f>
        <v>S</v>
      </c>
      <c r="C2106" s="242" t="str">
        <f>HYPERLINK(CONCATENATE($AT$4,BK2106,$AU$4,BL2106),$AV$4)</f>
        <v>A</v>
      </c>
      <c r="D2106" s="243" t="s">
        <v>5638</v>
      </c>
      <c r="E2106" s="244" t="s">
        <v>5182</v>
      </c>
      <c r="F2106" s="269" t="s">
        <v>3300</v>
      </c>
      <c r="G2106" s="273">
        <v>5</v>
      </c>
      <c r="H2106" s="283">
        <v>80</v>
      </c>
      <c r="I2106" s="246">
        <v>110</v>
      </c>
      <c r="J2106" s="246">
        <v>4</v>
      </c>
      <c r="K2106" s="247" t="s">
        <v>8310</v>
      </c>
      <c r="L2106" s="248">
        <v>125222</v>
      </c>
      <c r="M2106" s="249">
        <f>15*(LEFT(TEXT($L2106,"000000"),2)+(MID(TEXT($L2106,"000000"),3,2)/60)+(RIGHT(TEXT($L2106,"000000"),2)/3600))</f>
        <v>193.09166666666667</v>
      </c>
      <c r="N2106" s="250">
        <v>-11200</v>
      </c>
      <c r="O2106" s="251">
        <f>IF($N2106&gt;0,(LEFT(TEXT($N2106,"000000"),2)+(MID(TEXT($N2106,"000000"),3,2)/60)+(RIGHT(TEXT($N2106,"000000"),2)/3600)),-(MID(TEXT($N2106,"000000"),2,2)+(MID(TEXT($N2106,"000000"),4,2)/60)+(RIGHT(TEXT($N2106,"000000"),2)/3600)))</f>
        <v>-1.2</v>
      </c>
      <c r="P2106" s="252" t="s">
        <v>61</v>
      </c>
      <c r="Q2106" s="253"/>
      <c r="R2106" s="247" t="s">
        <v>3293</v>
      </c>
      <c r="S2106" s="272" t="s">
        <v>3293</v>
      </c>
      <c r="T2106" s="273">
        <v>10</v>
      </c>
      <c r="U2106" s="289">
        <v>21.79</v>
      </c>
      <c r="V2106" s="280">
        <v>75</v>
      </c>
      <c r="W2106" s="244"/>
      <c r="X2106" s="244"/>
      <c r="Y2106" s="362"/>
      <c r="Z2106" s="257">
        <f>altaz(J2000_Bas,$O2106,$M2106,DecLat,DecLong,1)</f>
        <v>-3.1130916777973141</v>
      </c>
      <c r="AA2106" s="257">
        <f>altaz((J2000_Bas+(2*0.04167)),$O2106,$M2106,DecLat,DecLong,1)</f>
        <v>-28.520563005754461</v>
      </c>
      <c r="AB2106" s="257">
        <f>altaz((J2000_Bas+(4*0.04167)),$O2106,$M2106,DecLat,DecLong,1)</f>
        <v>-50.796249122102509</v>
      </c>
      <c r="AC2106" s="257">
        <f>altaz((J2000_Bas+(6*0.04167)),$O2106,$M2106,DecLat,DecLong,1)</f>
        <v>-60.049680280832547</v>
      </c>
      <c r="AD2106" s="258">
        <f>1+ transit((J2000_Bas-1),$O2106,$M2106,DecLat,DecLong)/360 + (GMTOffset/24) + (IF(DST="Y", 1, 0)/24)</f>
        <v>1.5292656477338749</v>
      </c>
      <c r="AE2106" s="259">
        <f>DATE(2001,9,21)+(M2106/360)*365 - (360*((DecLong/360)- (GMTOffset/24) ))</f>
        <v>37355.773495370369</v>
      </c>
      <c r="AF2106" s="260">
        <f>IF(DecLat&gt;0,IF((90 - (DecLat-O2106))&gt;90, (90 - (O2106-DecLat)), (90 - (DecLat-O2106))),IF((90 + (DecLat-O2106))&gt;90, (90 + (O2106-DecLat)), (90 + (DecLat-O2106))))</f>
        <v>57.8</v>
      </c>
      <c r="AG2106" s="257">
        <f>angularseperation(MoonRA,MoonDec,$M2106,$O2106)</f>
        <v>59.644722121015398</v>
      </c>
      <c r="AH2106" s="261">
        <f ca="1">MIN(100,IF($O$5&gt;80,0+30*($AG2106/100),IF($O$5&gt;70,0+50*($AG2106/100),IF($O$5&gt;60,5+50*($AG2106/100),IF($O$5&gt;50,10+60*($AG2106/100),IF($O$5&gt;40,15+70*($AG2106/100),IF($O$5&gt;30,20+70*($AG2106/100),IF($O$5&gt;20,40+55*($AG2106/100),(80+(20-$O$5)+30*($AG2106/100))))))))))</f>
        <v>100</v>
      </c>
      <c r="AI2106" s="262">
        <v>4753</v>
      </c>
      <c r="AJ2106" s="262"/>
      <c r="AK2106" s="262">
        <v>278</v>
      </c>
      <c r="AL2106" s="263"/>
      <c r="AM2106" s="264"/>
      <c r="AN2106" s="263"/>
      <c r="AO2106" s="263"/>
      <c r="AP2106" s="265"/>
      <c r="AQ2106" s="266">
        <v>8009</v>
      </c>
      <c r="AR2106" s="267">
        <v>43671</v>
      </c>
      <c r="AS2106" s="263"/>
      <c r="AT2106" s="263"/>
      <c r="AU2106" s="263"/>
      <c r="AV2106" s="264"/>
      <c r="AW2106" s="263"/>
      <c r="AX2106" s="263"/>
      <c r="AY2106" s="263"/>
      <c r="AZ2106" s="263"/>
      <c r="BA2106" s="263"/>
      <c r="BB2106" s="263"/>
      <c r="BC2106" s="263"/>
      <c r="BD2106" s="264"/>
      <c r="BE2106" s="263"/>
      <c r="BF2106" s="263">
        <v>64</v>
      </c>
      <c r="BG2106" s="263"/>
      <c r="BH2106" s="263"/>
      <c r="BI2106" s="263"/>
      <c r="BJ2106" s="404">
        <f>altaz(J2000_Bas,$O2106,$M2106,DecLat,DecLong,2)</f>
        <v>270.47045578420659</v>
      </c>
      <c r="BK2106" s="378" t="s">
        <v>2020</v>
      </c>
      <c r="BL2106" s="379">
        <f>IF((2*G2106)/60&lt;0.2,0.2,(2*G2106)/60)</f>
        <v>0.2</v>
      </c>
      <c r="BM2106" s="380">
        <f>MOD((50000+AD2106-$B$3+(0/24)),1)</f>
        <v>0.74463257743627764</v>
      </c>
      <c r="BN2106" s="381"/>
      <c r="BO2106" s="382">
        <v>2097</v>
      </c>
    </row>
    <row r="2107" spans="1:67" s="24" customFormat="1" ht="15" customHeight="1" x14ac:dyDescent="0.25">
      <c r="A2107" s="288" t="s">
        <v>2021</v>
      </c>
      <c r="B2107" s="241" t="str">
        <f>HYPERLINK(CONCATENATE($AT$3,BK2107,$AU$3),$AV$3)</f>
        <v>S</v>
      </c>
      <c r="C2107" s="242" t="str">
        <f>HYPERLINK(CONCATENATE($AT$4,BK2107,$AU$4,BL2107),$AV$4)</f>
        <v>A</v>
      </c>
      <c r="D2107" s="243" t="s">
        <v>5638</v>
      </c>
      <c r="E2107" s="244" t="s">
        <v>5182</v>
      </c>
      <c r="F2107" s="269" t="s">
        <v>8903</v>
      </c>
      <c r="G2107" s="273">
        <v>4.5</v>
      </c>
      <c r="H2107" s="283">
        <v>54</v>
      </c>
      <c r="I2107" s="246">
        <v>72</v>
      </c>
      <c r="J2107" s="246">
        <v>2</v>
      </c>
      <c r="K2107" s="247" t="s">
        <v>8313</v>
      </c>
      <c r="L2107" s="248">
        <v>125218</v>
      </c>
      <c r="M2107" s="249">
        <f>15*(LEFT(TEXT($L2107,"000000"),2)+(MID(TEXT($L2107,"000000"),3,2)/60)+(RIGHT(TEXT($L2107,"000000"),2)/3600))</f>
        <v>193.07500000000002</v>
      </c>
      <c r="N2107" s="286">
        <v>111849</v>
      </c>
      <c r="O2107" s="251">
        <f>IF($N2107&gt;0,(LEFT(TEXT($N2107,"000000"),2)+(MID(TEXT($N2107,"000000"),3,2)/60)+(RIGHT(TEXT($N2107,"000000"),2)/3600)),-(MID(TEXT($N2107,"000000"),2,2)+(MID(TEXT($N2107,"000000"),4,2)/60)+(RIGHT(TEXT($N2107,"000000"),2)/3600)))</f>
        <v>11.313611111111111</v>
      </c>
      <c r="P2107" s="252" t="s">
        <v>61</v>
      </c>
      <c r="Q2107" s="253"/>
      <c r="R2107" s="247" t="s">
        <v>3293</v>
      </c>
      <c r="S2107" s="272" t="s">
        <v>8311</v>
      </c>
      <c r="T2107" s="273">
        <v>10.6</v>
      </c>
      <c r="U2107" s="289">
        <v>21.990000000000002</v>
      </c>
      <c r="V2107" s="280">
        <v>70</v>
      </c>
      <c r="W2107" s="244"/>
      <c r="X2107" s="244"/>
      <c r="Y2107" s="362"/>
      <c r="Z2107" s="257">
        <f>altaz(J2000_Bas,$O2107,$M2107,DecLat,DecLong,1)</f>
        <v>3.3313935088628588</v>
      </c>
      <c r="AA2107" s="257">
        <f>altaz((J2000_Bas+(2*0.04167)),$O2107,$M2107,DecLat,DecLong,1)</f>
        <v>-20.90902021168775</v>
      </c>
      <c r="AB2107" s="257">
        <f>altaz((J2000_Bas+(4*0.04167)),$O2107,$M2107,DecLat,DecLong,1)</f>
        <v>-40.428907067568957</v>
      </c>
      <c r="AC2107" s="257">
        <f>altaz((J2000_Bas+(6*0.04167)),$O2107,$M2107,DecLat,DecLong,1)</f>
        <v>-47.576264724442431</v>
      </c>
      <c r="AD2107" s="258">
        <f>1+ transit((J2000_Bas-1),$O2107,$M2107,DecLat,DecLong)/360 + (GMTOffset/24) + (IF(DST="Y", 1, 0)/24)</f>
        <v>1.5292193514422079</v>
      </c>
      <c r="AE2107" s="259">
        <f>DATE(2001,9,21)+(M2107/360)*365 - (360*((DecLong/360)- (GMTOffset/24) ))</f>
        <v>37355.756597222222</v>
      </c>
      <c r="AF2107" s="260">
        <f>IF(DecLat&gt;0,IF((90 - (DecLat-O2107))&gt;90, (90 - (O2107-DecLat)), (90 - (DecLat-O2107))),IF((90 + (DecLat-O2107))&gt;90, (90 + (O2107-DecLat)), (90 + (DecLat-O2107))))</f>
        <v>70.313611111111115</v>
      </c>
      <c r="AG2107" s="257">
        <f>angularseperation(MoonRA,MoonDec,$M2107,$O2107)</f>
        <v>66.623819071028976</v>
      </c>
      <c r="AH2107" s="261">
        <f ca="1">MIN(100,IF($O$5&gt;80,0+30*($AG2107/100),IF($O$5&gt;70,0+50*($AG2107/100),IF($O$5&gt;60,5+50*($AG2107/100),IF($O$5&gt;50,10+60*($AG2107/100),IF($O$5&gt;40,15+70*($AG2107/100),IF($O$5&gt;30,20+70*($AG2107/100),IF($O$5&gt;20,40+55*($AG2107/100),(80+(20-$O$5)+30*($AG2107/100))))))))))</f>
        <v>100</v>
      </c>
      <c r="AI2107" s="262">
        <v>4754</v>
      </c>
      <c r="AJ2107" s="262"/>
      <c r="AK2107" s="262">
        <v>279</v>
      </c>
      <c r="AL2107" s="263"/>
      <c r="AM2107" s="264"/>
      <c r="AN2107" s="263"/>
      <c r="AO2107" s="263"/>
      <c r="AP2107" s="265"/>
      <c r="AQ2107" s="266">
        <v>8010</v>
      </c>
      <c r="AR2107" s="267">
        <v>43656</v>
      </c>
      <c r="AS2107" s="263"/>
      <c r="AT2107" s="263"/>
      <c r="AU2107" s="263"/>
      <c r="AV2107" s="264"/>
      <c r="AW2107" s="263"/>
      <c r="AX2107" s="263"/>
      <c r="AY2107" s="263"/>
      <c r="AZ2107" s="263"/>
      <c r="BA2107" s="263"/>
      <c r="BB2107" s="263"/>
      <c r="BC2107" s="263"/>
      <c r="BD2107" s="264"/>
      <c r="BE2107" s="263"/>
      <c r="BF2107" s="263"/>
      <c r="BG2107" s="263"/>
      <c r="BH2107" s="263"/>
      <c r="BI2107" s="263"/>
      <c r="BJ2107" s="404">
        <f>altaz(J2000_Bas,$O2107,$M2107,DecLat,DecLong,2)</f>
        <v>281.20271074922738</v>
      </c>
      <c r="BK2107" s="378" t="s">
        <v>2021</v>
      </c>
      <c r="BL2107" s="379">
        <f>IF((2*G2107)/60&lt;0.2,0.2,(2*G2107)/60)</f>
        <v>0.2</v>
      </c>
      <c r="BM2107" s="380">
        <f>MOD((50000+AD2107-$B$3+(0/24)),1)</f>
        <v>0.74458628114371095</v>
      </c>
      <c r="BN2107" s="381"/>
      <c r="BO2107" s="382">
        <v>2098</v>
      </c>
    </row>
    <row r="2108" spans="1:67" s="24" customFormat="1" ht="15" customHeight="1" x14ac:dyDescent="0.25">
      <c r="A2108" s="298" t="s">
        <v>2022</v>
      </c>
      <c r="B2108" s="241" t="str">
        <f>HYPERLINK(CONCATENATE($AT$3,BK2108,$AU$3),$AV$3)</f>
        <v>S</v>
      </c>
      <c r="C2108" s="242" t="str">
        <f>HYPERLINK(CONCATENATE($AT$4,BK2108,$AU$4,BL2108),$AV$4)</f>
        <v>A</v>
      </c>
      <c r="D2108" s="243" t="s">
        <v>5335</v>
      </c>
      <c r="E2108" s="244" t="s">
        <v>5185</v>
      </c>
      <c r="F2108" s="269" t="s">
        <v>5445</v>
      </c>
      <c r="G2108" s="276">
        <v>10</v>
      </c>
      <c r="H2108" s="283">
        <v>6500</v>
      </c>
      <c r="I2108" s="246">
        <v>20</v>
      </c>
      <c r="J2108" s="246">
        <v>5</v>
      </c>
      <c r="K2108" s="247" t="s">
        <v>5480</v>
      </c>
      <c r="L2108" s="248">
        <v>125324</v>
      </c>
      <c r="M2108" s="249">
        <f>15*(LEFT(TEXT($L2108,"000000"),2)+(MID(TEXT($L2108,"000000"),3,2)/60)+(RIGHT(TEXT($L2108,"000000"),2)/3600))</f>
        <v>193.35</v>
      </c>
      <c r="N2108" s="286">
        <v>-602100</v>
      </c>
      <c r="O2108" s="251">
        <f>IF($N2108&gt;0,(LEFT(TEXT($N2108,"000000"),2)+(MID(TEXT($N2108,"000000"),3,2)/60)+(RIGHT(TEXT($N2108,"000000"),2)/3600)),-(MID(TEXT($N2108,"000000"),2,2)+(MID(TEXT($N2108,"000000"),4,2)/60)+(RIGHT(TEXT($N2108,"000000"),2)/3600)))</f>
        <v>-60.35</v>
      </c>
      <c r="P2108" s="252" t="s">
        <v>928</v>
      </c>
      <c r="Q2108" s="253" t="s">
        <v>7128</v>
      </c>
      <c r="R2108" s="247" t="s">
        <v>7406</v>
      </c>
      <c r="S2108" s="272" t="s">
        <v>3293</v>
      </c>
      <c r="T2108" s="273">
        <v>4.2</v>
      </c>
      <c r="U2108" s="274"/>
      <c r="V2108" s="280"/>
      <c r="W2108" s="244"/>
      <c r="X2108" s="244"/>
      <c r="Y2108" s="362"/>
      <c r="Z2108" s="257">
        <f>altaz(J2000_Bas,$O2108,$M2108,DecLat,DecLong,1)</f>
        <v>-27.854358754017074</v>
      </c>
      <c r="AA2108" s="257">
        <f>altaz((J2000_Bas+(2*0.04167)),$O2108,$M2108,DecLat,DecLong,1)</f>
        <v>-42.60314270896518</v>
      </c>
      <c r="AB2108" s="257">
        <f>altaz((J2000_Bas+(4*0.04167)),$O2108,$M2108,DecLat,DecLong,1)</f>
        <v>-55.570581597945264</v>
      </c>
      <c r="AC2108" s="257">
        <f>altaz((J2000_Bas+(6*0.04167)),$O2108,$M2108,DecLat,DecLong,1)</f>
        <v>-60.586308918868262</v>
      </c>
      <c r="AD2108" s="258">
        <f>1+ transit((J2000_Bas-1),$O2108,$M2108,DecLat,DecLong)/360 + (GMTOffset/24) + (IF(DST="Y", 1, 0)/24)</f>
        <v>1.529983240254708</v>
      </c>
      <c r="AE2108" s="259">
        <f>DATE(2001,9,21)+(M2108/360)*365 - (360*((DecLong/360)- (GMTOffset/24) ))</f>
        <v>37356.035416666666</v>
      </c>
      <c r="AF2108" s="260">
        <f>IF(DecLat&gt;0,IF((90 - (DecLat-O2108))&gt;90, (90 - (O2108-DecLat)), (90 - (DecLat-O2108))),IF((90 + (DecLat-O2108))&gt;90, (90 + (O2108-DecLat)), (90 + (DecLat-O2108))))</f>
        <v>-1.3499999999999943</v>
      </c>
      <c r="AG2108" s="257">
        <f>angularseperation(MoonRA,MoonDec,$M2108,$O2108)</f>
        <v>50.008923995753463</v>
      </c>
      <c r="AH2108" s="261">
        <f ca="1">MIN(100,IF($O$5&gt;80,0+30*($AG2108/100),IF($O$5&gt;70,0+50*($AG2108/100),IF($O$5&gt;60,5+50*($AG2108/100),IF($O$5&gt;50,10+60*($AG2108/100),IF($O$5&gt;40,15+70*($AG2108/100),IF($O$5&gt;30,20+70*($AG2108/100),IF($O$5&gt;20,40+55*($AG2108/100),(80+(20-$O$5)+30*($AG2108/100))))))))))</f>
        <v>98.273737542876461</v>
      </c>
      <c r="AI2108" s="262">
        <v>4755</v>
      </c>
      <c r="AJ2108" s="262"/>
      <c r="AK2108" s="262"/>
      <c r="AL2108" s="263"/>
      <c r="AM2108" s="264">
        <v>94</v>
      </c>
      <c r="AN2108" s="263"/>
      <c r="AO2108" s="263"/>
      <c r="AP2108" s="265"/>
      <c r="AQ2108" s="266"/>
      <c r="AR2108" s="267"/>
      <c r="AS2108" s="263"/>
      <c r="AT2108" s="263"/>
      <c r="AU2108" s="263"/>
      <c r="AV2108" s="264"/>
      <c r="AW2108" s="263"/>
      <c r="AX2108" s="263"/>
      <c r="AY2108" s="263"/>
      <c r="AZ2108" s="263"/>
      <c r="BA2108" s="263"/>
      <c r="BB2108" s="263"/>
      <c r="BC2108" s="263"/>
      <c r="BD2108" s="264"/>
      <c r="BE2108" s="263"/>
      <c r="BF2108" s="263"/>
      <c r="BG2108" s="263"/>
      <c r="BH2108" s="263"/>
      <c r="BI2108" s="263"/>
      <c r="BJ2108" s="404">
        <f>altaz(J2000_Bas,$O2108,$M2108,DecLat,DecLong,2)</f>
        <v>213.98175955743838</v>
      </c>
      <c r="BK2108" s="378" t="s">
        <v>2022</v>
      </c>
      <c r="BL2108" s="379">
        <f>IF((2*G2108)/60&lt;0.2,0.2,(2*G2108)/60)</f>
        <v>0.33333333333333331</v>
      </c>
      <c r="BM2108" s="380">
        <f>MOD((50000+AD2108-$B$3+(0/24)),1)</f>
        <v>0.74535016995650949</v>
      </c>
      <c r="BN2108" s="381"/>
      <c r="BO2108" s="382">
        <v>2099</v>
      </c>
    </row>
    <row r="2109" spans="1:67" s="24" customFormat="1" ht="15" customHeight="1" x14ac:dyDescent="0.25">
      <c r="A2109" s="288" t="s">
        <v>2023</v>
      </c>
      <c r="B2109" s="241" t="str">
        <f>HYPERLINK(CONCATENATE($AT$3,BK2109,$AU$3),$AV$3)</f>
        <v>S</v>
      </c>
      <c r="C2109" s="242" t="str">
        <f>HYPERLINK(CONCATENATE($AT$4,BK2109,$AU$4,BL2109),$AV$4)</f>
        <v>A</v>
      </c>
      <c r="D2109" s="243" t="s">
        <v>5638</v>
      </c>
      <c r="E2109" s="244" t="s">
        <v>5192</v>
      </c>
      <c r="F2109" s="269" t="s">
        <v>8671</v>
      </c>
      <c r="G2109" s="273">
        <v>8.5</v>
      </c>
      <c r="H2109" s="283">
        <v>35</v>
      </c>
      <c r="I2109" s="246">
        <v>90</v>
      </c>
      <c r="J2109" s="246">
        <v>3</v>
      </c>
      <c r="K2109" s="247" t="s">
        <v>8314</v>
      </c>
      <c r="L2109" s="248">
        <v>125256</v>
      </c>
      <c r="M2109" s="249">
        <f>15*(LEFT(TEXT($L2109,"000000"),2)+(MID(TEXT($L2109,"000000"),3,2)/60)+(RIGHT(TEXT($L2109,"000000"),2)/3600))</f>
        <v>193.23333333333335</v>
      </c>
      <c r="N2109" s="250">
        <v>111349</v>
      </c>
      <c r="O2109" s="251">
        <f>IF($N2109&gt;0,(LEFT(TEXT($N2109,"000000"),2)+(MID(TEXT($N2109,"000000"),3,2)/60)+(RIGHT(TEXT($N2109,"000000"),2)/3600)),-(MID(TEXT($N2109,"000000"),2,2)+(MID(TEXT($N2109,"000000"),4,2)/60)+(RIGHT(TEXT($N2109,"000000"),2)/3600)))</f>
        <v>11.230277777777777</v>
      </c>
      <c r="P2109" s="252" t="s">
        <v>61</v>
      </c>
      <c r="Q2109" s="253"/>
      <c r="R2109" s="247" t="s">
        <v>3293</v>
      </c>
      <c r="S2109" s="272" t="s">
        <v>8312</v>
      </c>
      <c r="T2109" s="273">
        <v>10.3</v>
      </c>
      <c r="U2109" s="289">
        <v>21.89</v>
      </c>
      <c r="V2109" s="280">
        <v>90</v>
      </c>
      <c r="W2109" s="244"/>
      <c r="X2109" s="244"/>
      <c r="Y2109" s="362"/>
      <c r="Z2109" s="257">
        <f>altaz(J2000_Bas,$O2109,$M2109,DecLat,DecLong,1)</f>
        <v>3.4217002001119674</v>
      </c>
      <c r="AA2109" s="257">
        <f>altaz((J2000_Bas+(2*0.04167)),$O2109,$M2109,DecLat,DecLong,1)</f>
        <v>-20.84263296705636</v>
      </c>
      <c r="AB2109" s="257">
        <f>altaz((J2000_Bas+(4*0.04167)),$O2109,$M2109,DecLat,DecLong,1)</f>
        <v>-40.421215086693266</v>
      </c>
      <c r="AC2109" s="257">
        <f>altaz((J2000_Bas+(6*0.04167)),$O2109,$M2109,DecLat,DecLong,1)</f>
        <v>-47.670086872457567</v>
      </c>
      <c r="AD2109" s="258">
        <f>1+ transit((J2000_Bas-1),$O2109,$M2109,DecLat,DecLong)/360 + (GMTOffset/24) + (IF(DST="Y", 1, 0)/24)</f>
        <v>1.5296591662130414</v>
      </c>
      <c r="AE2109" s="259">
        <f>DATE(2001,9,21)+(M2109/360)*365 - (360*((DecLong/360)- (GMTOffset/24) ))</f>
        <v>37355.917129629626</v>
      </c>
      <c r="AF2109" s="260">
        <f>IF(DecLat&gt;0,IF((90 - (DecLat-O2109))&gt;90, (90 - (O2109-DecLat)), (90 - (DecLat-O2109))),IF((90 + (DecLat-O2109))&gt;90, (90 + (O2109-DecLat)), (90 + (DecLat-O2109))))</f>
        <v>70.230277777777786</v>
      </c>
      <c r="AG2109" s="257">
        <f>angularseperation(MoonRA,MoonDec,$M2109,$O2109)</f>
        <v>66.44935922594648</v>
      </c>
      <c r="AH2109" s="261">
        <f ca="1">MIN(100,IF($O$5&gt;80,0+30*($AG2109/100),IF($O$5&gt;70,0+50*($AG2109/100),IF($O$5&gt;60,5+50*($AG2109/100),IF($O$5&gt;50,10+60*($AG2109/100),IF($O$5&gt;40,15+70*($AG2109/100),IF($O$5&gt;30,20+70*($AG2109/100),IF($O$5&gt;20,40+55*($AG2109/100),(80+(20-$O$5)+30*($AG2109/100))))))))))</f>
        <v>100</v>
      </c>
      <c r="AI2109" s="262">
        <v>4762</v>
      </c>
      <c r="AJ2109" s="262"/>
      <c r="AK2109" s="262">
        <v>280</v>
      </c>
      <c r="AL2109" s="263"/>
      <c r="AM2109" s="264"/>
      <c r="AN2109" s="263"/>
      <c r="AO2109" s="263"/>
      <c r="AP2109" s="265"/>
      <c r="AQ2109" s="266">
        <v>8016</v>
      </c>
      <c r="AR2109" s="267">
        <v>43733</v>
      </c>
      <c r="AS2109" s="263"/>
      <c r="AT2109" s="263"/>
      <c r="AU2109" s="263"/>
      <c r="AV2109" s="264"/>
      <c r="AW2109" s="263"/>
      <c r="AX2109" s="263"/>
      <c r="AY2109" s="263"/>
      <c r="AZ2109" s="263"/>
      <c r="BA2109" s="263"/>
      <c r="BB2109" s="263"/>
      <c r="BC2109" s="263"/>
      <c r="BD2109" s="264"/>
      <c r="BE2109" s="263"/>
      <c r="BF2109" s="263">
        <v>65</v>
      </c>
      <c r="BG2109" s="263"/>
      <c r="BH2109" s="263"/>
      <c r="BI2109" s="263"/>
      <c r="BJ2109" s="404">
        <f>altaz(J2000_Bas,$O2109,$M2109,DecLat,DecLong,2)</f>
        <v>281.05111760550733</v>
      </c>
      <c r="BK2109" s="378" t="s">
        <v>2023</v>
      </c>
      <c r="BL2109" s="379">
        <f>IF((2*G2109)/60&lt;0.2,0.2,(2*G2109)/60)</f>
        <v>0.28333333333333333</v>
      </c>
      <c r="BM2109" s="380">
        <f>MOD((50000+AD2109-$B$3+(0/24)),1)</f>
        <v>0.74502609591581859</v>
      </c>
      <c r="BN2109" s="381"/>
      <c r="BO2109" s="382">
        <v>2100</v>
      </c>
    </row>
    <row r="2110" spans="1:67" s="24" customFormat="1" ht="15" customHeight="1" x14ac:dyDescent="0.25">
      <c r="A2110" s="288" t="s">
        <v>2024</v>
      </c>
      <c r="B2110" s="241" t="str">
        <f>HYPERLINK(CONCATENATE($AT$3,BK2110,$AU$3),$AV$3)</f>
        <v>S</v>
      </c>
      <c r="C2110" s="242" t="str">
        <f>HYPERLINK(CONCATENATE($AT$4,BK2110,$AU$4,BL2110),$AV$4)</f>
        <v>A</v>
      </c>
      <c r="D2110" s="243" t="s">
        <v>5638</v>
      </c>
      <c r="E2110" s="244" t="s">
        <v>8641</v>
      </c>
      <c r="F2110" s="269"/>
      <c r="G2110" s="270">
        <v>0.6</v>
      </c>
      <c r="H2110" s="283">
        <v>390</v>
      </c>
      <c r="I2110" s="246">
        <v>70</v>
      </c>
      <c r="J2110" s="246">
        <v>2</v>
      </c>
      <c r="K2110" s="247" t="s">
        <v>8315</v>
      </c>
      <c r="L2110" s="248">
        <v>125306</v>
      </c>
      <c r="M2110" s="249">
        <f>15*(LEFT(TEXT($L2110,"000000"),2)+(MID(TEXT($L2110,"000000"),3,2)/60)+(RIGHT(TEXT($L2110,"000000"),2)/3600))</f>
        <v>193.27500000000001</v>
      </c>
      <c r="N2110" s="250">
        <v>364934</v>
      </c>
      <c r="O2110" s="251">
        <f>IF($N2110&gt;0,(LEFT(TEXT($N2110,"000000"),2)+(MID(TEXT($N2110,"000000"),3,2)/60)+(RIGHT(TEXT($N2110,"000000"),2)/3600)),-(MID(TEXT($N2110,"000000"),2,2)+(MID(TEXT($N2110,"000000"),4,2)/60)+(RIGHT(TEXT($N2110,"000000"),2)/3600)))</f>
        <v>36.826111111111118</v>
      </c>
      <c r="P2110" s="252" t="s">
        <v>242</v>
      </c>
      <c r="Q2110" s="253" t="s">
        <v>6880</v>
      </c>
      <c r="R2110" s="247" t="s">
        <v>3293</v>
      </c>
      <c r="S2110" s="272" t="s">
        <v>3293</v>
      </c>
      <c r="T2110" s="273">
        <v>14.3</v>
      </c>
      <c r="U2110" s="289">
        <v>21.39</v>
      </c>
      <c r="V2110" s="280">
        <v>75</v>
      </c>
      <c r="W2110" s="244"/>
      <c r="X2110" s="244"/>
      <c r="Y2110" s="362"/>
      <c r="Z2110" s="257">
        <f>altaz(J2000_Bas,$O2110,$M2110,DecLat,DecLong,1)</f>
        <v>16.024979432212781</v>
      </c>
      <c r="AA2110" s="257">
        <f>altaz((J2000_Bas+(2*0.04167)),$O2110,$M2110,DecLat,DecLong,1)</f>
        <v>-3.6174849307421995</v>
      </c>
      <c r="AB2110" s="257">
        <f>altaz((J2000_Bas+(4*0.04167)),$O2110,$M2110,DecLat,DecLong,1)</f>
        <v>-17.582152436682939</v>
      </c>
      <c r="AC2110" s="257">
        <f>altaz((J2000_Bas+(6*0.04167)),$O2110,$M2110,DecLat,DecLong,1)</f>
        <v>-22.116446390980723</v>
      </c>
      <c r="AD2110" s="258">
        <f>1+ transit((J2000_Bas-1),$O2110,$M2110,DecLat,DecLong)/360 + (GMTOffset/24) + (IF(DST="Y", 1, 0)/24)</f>
        <v>1.529774906942208</v>
      </c>
      <c r="AE2110" s="259">
        <f>DATE(2001,9,21)+(M2110/360)*365 - (360*((DecLong/360)- (GMTOffset/24) ))</f>
        <v>37355.959374999999</v>
      </c>
      <c r="AF2110" s="260">
        <f>IF(DecLat&gt;0,IF((90 - (DecLat-O2110))&gt;90, (90 - (O2110-DecLat)), (90 - (DecLat-O2110))),IF((90 + (DecLat-O2110))&gt;90, (90 + (O2110-DecLat)), (90 + (DecLat-O2110))))</f>
        <v>84.173888888888882</v>
      </c>
      <c r="AG2110" s="257">
        <f>angularseperation(MoonRA,MoonDec,$M2110,$O2110)</f>
        <v>82.763443336847629</v>
      </c>
      <c r="AH2110" s="261">
        <f ca="1">MIN(100,IF($O$5&gt;80,0+30*($AG2110/100),IF($O$5&gt;70,0+50*($AG2110/100),IF($O$5&gt;60,5+50*($AG2110/100),IF($O$5&gt;50,10+60*($AG2110/100),IF($O$5&gt;40,15+70*($AG2110/100),IF($O$5&gt;30,20+70*($AG2110/100),IF($O$5&gt;20,40+55*($AG2110/100),(80+(20-$O$5)+30*($AG2110/100))))))))))</f>
        <v>100</v>
      </c>
      <c r="AI2110" s="262">
        <v>4774</v>
      </c>
      <c r="AJ2110" s="262"/>
      <c r="AK2110" s="262"/>
      <c r="AL2110" s="263"/>
      <c r="AM2110" s="264"/>
      <c r="AN2110" s="263"/>
      <c r="AO2110" s="263"/>
      <c r="AP2110" s="265"/>
      <c r="AQ2110" s="266"/>
      <c r="AR2110" s="267">
        <v>43759</v>
      </c>
      <c r="AS2110" s="263"/>
      <c r="AT2110" s="263"/>
      <c r="AU2110" s="263"/>
      <c r="AV2110" s="264"/>
      <c r="AW2110" s="263"/>
      <c r="AX2110" s="263"/>
      <c r="AY2110" s="263"/>
      <c r="AZ2110" s="263"/>
      <c r="BA2110" s="263"/>
      <c r="BB2110" s="263"/>
      <c r="BC2110" s="263"/>
      <c r="BD2110" s="264"/>
      <c r="BE2110" s="263"/>
      <c r="BF2110" s="263"/>
      <c r="BG2110" s="263"/>
      <c r="BH2110" s="263"/>
      <c r="BI2110" s="263"/>
      <c r="BJ2110" s="404">
        <f>altaz(J2000_Bas,$O2110,$M2110,DecLat,DecLong,2)</f>
        <v>303.7079672489761</v>
      </c>
      <c r="BK2110" s="378" t="s">
        <v>2024</v>
      </c>
      <c r="BL2110" s="379">
        <f>IF((2*G2110)/60&lt;0.2,0.2,(2*G2110)/60)</f>
        <v>0.2</v>
      </c>
      <c r="BM2110" s="380">
        <f>MOD((50000+AD2110-$B$3+(0/24)),1)</f>
        <v>0.74514183664723532</v>
      </c>
      <c r="BN2110" s="381"/>
      <c r="BO2110" s="382">
        <v>2101</v>
      </c>
    </row>
    <row r="2111" spans="1:67" s="24" customFormat="1" ht="15" customHeight="1" x14ac:dyDescent="0.25">
      <c r="A2111" s="287" t="s">
        <v>2025</v>
      </c>
      <c r="B2111" s="241" t="str">
        <f>HYPERLINK(CONCATENATE($AT$3,BK2111,$AU$3),$AV$3)</f>
        <v>S</v>
      </c>
      <c r="C2111" s="242" t="str">
        <f>HYPERLINK(CONCATENATE($AT$4,BK2111,$AU$4,BL2111),$AV$4)</f>
        <v>A</v>
      </c>
      <c r="D2111" s="243" t="s">
        <v>5638</v>
      </c>
      <c r="E2111" s="244" t="s">
        <v>5192</v>
      </c>
      <c r="F2111" s="269" t="s">
        <v>8895</v>
      </c>
      <c r="G2111" s="273">
        <v>3.8</v>
      </c>
      <c r="H2111" s="283">
        <v>40</v>
      </c>
      <c r="I2111" s="246">
        <v>45</v>
      </c>
      <c r="J2111" s="246">
        <v>2</v>
      </c>
      <c r="K2111" s="247" t="s">
        <v>8318</v>
      </c>
      <c r="L2111" s="248">
        <v>125424</v>
      </c>
      <c r="M2111" s="249">
        <f>15*(LEFT(TEXT($L2111,"000000"),2)+(MID(TEXT($L2111,"000000"),3,2)/60)+(RIGHT(TEXT($L2111,"000000"),2)/3600))</f>
        <v>193.6</v>
      </c>
      <c r="N2111" s="250">
        <v>-103210</v>
      </c>
      <c r="O2111" s="251">
        <f>IF($N2111&gt;0,(LEFT(TEXT($N2111,"000000"),2)+(MID(TEXT($N2111,"000000"),3,2)/60)+(RIGHT(TEXT($N2111,"000000"),2)/3600)),-(MID(TEXT($N2111,"000000"),2,2)+(MID(TEXT($N2111,"000000"),4,2)/60)+(RIGHT(TEXT($N2111,"000000"),2)/3600)))</f>
        <v>-10.536111111111111</v>
      </c>
      <c r="P2111" s="252" t="s">
        <v>61</v>
      </c>
      <c r="Q2111" s="253"/>
      <c r="R2111" s="277" t="s">
        <v>3293</v>
      </c>
      <c r="S2111" s="272" t="s">
        <v>3293</v>
      </c>
      <c r="T2111" s="273">
        <v>11.1</v>
      </c>
      <c r="U2111" s="289">
        <v>21.490000000000002</v>
      </c>
      <c r="V2111" s="280">
        <v>70</v>
      </c>
      <c r="W2111" s="244"/>
      <c r="X2111" s="244"/>
      <c r="Y2111" s="362"/>
      <c r="Z2111" s="257">
        <f>altaz(J2000_Bas,$O2111,$M2111,DecLat,DecLong,1)</f>
        <v>-7.4410033343389346</v>
      </c>
      <c r="AA2111" s="257">
        <f>altaz((J2000_Bas+(2*0.04167)),$O2111,$M2111,DecLat,DecLong,1)</f>
        <v>-33.148361227204184</v>
      </c>
      <c r="AB2111" s="257">
        <f>altaz((J2000_Bas+(4*0.04167)),$O2111,$M2111,DecLat,DecLong,1)</f>
        <v>-57.36907565989916</v>
      </c>
      <c r="AC2111" s="257">
        <f>altaz((J2000_Bas+(6*0.04167)),$O2111,$M2111,DecLat,DecLong,1)</f>
        <v>-69.388234368142307</v>
      </c>
      <c r="AD2111" s="258">
        <f>1+ transit((J2000_Bas-1),$O2111,$M2111,DecLat,DecLong)/360 + (GMTOffset/24) + (IF(DST="Y", 1, 0)/24)</f>
        <v>1.5306776846297081</v>
      </c>
      <c r="AE2111" s="259">
        <f>DATE(2001,9,21)+(M2111/360)*365 - (360*((DecLong/360)- (GMTOffset/24) ))</f>
        <v>37356.288888888892</v>
      </c>
      <c r="AF2111" s="260">
        <f>IF(DecLat&gt;0,IF((90 - (DecLat-O2111))&gt;90, (90 - (O2111-DecLat)), (90 - (DecLat-O2111))),IF((90 + (DecLat-O2111))&gt;90, (90 + (O2111-DecLat)), (90 + (DecLat-O2111))))</f>
        <v>48.463888888888889</v>
      </c>
      <c r="AG2111" s="257">
        <f>angularseperation(MoonRA,MoonDec,$M2111,$O2111)</f>
        <v>54.742187868533961</v>
      </c>
      <c r="AH2111" s="261">
        <f ca="1">MIN(100,IF($O$5&gt;80,0+30*($AG2111/100),IF($O$5&gt;70,0+50*($AG2111/100),IF($O$5&gt;60,5+50*($AG2111/100),IF($O$5&gt;50,10+60*($AG2111/100),IF($O$5&gt;40,15+70*($AG2111/100),IF($O$5&gt;30,20+70*($AG2111/100),IF($O$5&gt;20,40+55*($AG2111/100),(80+(20-$O$5)+30*($AG2111/100))))))))))</f>
        <v>99.693716704710624</v>
      </c>
      <c r="AI2111" s="262">
        <v>4781</v>
      </c>
      <c r="AJ2111" s="263"/>
      <c r="AK2111" s="263">
        <v>281</v>
      </c>
      <c r="AL2111" s="263"/>
      <c r="AM2111" s="264"/>
      <c r="AN2111" s="263"/>
      <c r="AO2111" s="263"/>
      <c r="AP2111" s="265"/>
      <c r="AQ2111" s="265"/>
      <c r="AR2111" s="285">
        <v>43902</v>
      </c>
      <c r="AS2111" s="263"/>
      <c r="AT2111" s="263"/>
      <c r="AU2111" s="263"/>
      <c r="AV2111" s="264"/>
      <c r="AW2111" s="263"/>
      <c r="AX2111" s="263"/>
      <c r="AY2111" s="263"/>
      <c r="AZ2111" s="263"/>
      <c r="BA2111" s="263"/>
      <c r="BB2111" s="263"/>
      <c r="BC2111" s="263"/>
      <c r="BD2111" s="264"/>
      <c r="BE2111" s="263"/>
      <c r="BF2111" s="263"/>
      <c r="BG2111" s="263"/>
      <c r="BH2111" s="263"/>
      <c r="BI2111" s="263"/>
      <c r="BJ2111" s="404">
        <f>altaz(J2000_Bas,$O2111,$M2111,DecLat,DecLong,2)</f>
        <v>262.14530806164669</v>
      </c>
      <c r="BK2111" s="378" t="s">
        <v>2025</v>
      </c>
      <c r="BL2111" s="379">
        <f>IF((2*G2111)/60&lt;0.2,0.2,(2*G2111)/60)</f>
        <v>0.2</v>
      </c>
      <c r="BM2111" s="380">
        <f>MOD((50000+AD2111-$B$3+(0/24)),1)</f>
        <v>0.74604461433045799</v>
      </c>
      <c r="BN2111" s="381"/>
      <c r="BO2111" s="382">
        <v>2102</v>
      </c>
    </row>
    <row r="2112" spans="1:67" s="24" customFormat="1" ht="15" customHeight="1" x14ac:dyDescent="0.25">
      <c r="A2112" s="288" t="s">
        <v>2026</v>
      </c>
      <c r="B2112" s="241" t="str">
        <f>HYPERLINK(CONCATENATE($AT$3,BK2112,$AU$3),$AV$3)</f>
        <v>S</v>
      </c>
      <c r="C2112" s="242" t="str">
        <f>HYPERLINK(CONCATENATE($AT$4,BK2112,$AU$4,BL2112),$AV$4)</f>
        <v>A</v>
      </c>
      <c r="D2112" s="243" t="s">
        <v>5638</v>
      </c>
      <c r="E2112" s="244" t="s">
        <v>5192</v>
      </c>
      <c r="F2112" s="269" t="s">
        <v>8719</v>
      </c>
      <c r="G2112" s="273">
        <v>1.7</v>
      </c>
      <c r="H2112" s="283">
        <v>100</v>
      </c>
      <c r="I2112" s="246">
        <v>50</v>
      </c>
      <c r="J2112" s="246">
        <v>2</v>
      </c>
      <c r="K2112" s="247" t="s">
        <v>8493</v>
      </c>
      <c r="L2112" s="248">
        <v>125438</v>
      </c>
      <c r="M2112" s="249">
        <f>15*(LEFT(TEXT($L2112,"000000"),2)+(MID(TEXT($L2112,"000000"),3,2)/60)+(RIGHT(TEXT($L2112,"000000"),2)/3600))</f>
        <v>193.65833333333333</v>
      </c>
      <c r="N2112" s="250">
        <v>463151</v>
      </c>
      <c r="O2112" s="251">
        <f>IF($N2112&gt;0,(LEFT(TEXT($N2112,"000000"),2)+(MID(TEXT($N2112,"000000"),3,2)/60)+(RIGHT(TEXT($N2112,"000000"),2)/3600)),-(MID(TEXT($N2112,"000000"),2,2)+(MID(TEXT($N2112,"000000"),4,2)/60)+(RIGHT(TEXT($N2112,"000000"),2)/3600)))</f>
        <v>46.530833333333334</v>
      </c>
      <c r="P2112" s="252" t="s">
        <v>242</v>
      </c>
      <c r="Q2112" s="253"/>
      <c r="R2112" s="277" t="s">
        <v>3293</v>
      </c>
      <c r="S2112" s="272" t="s">
        <v>3293</v>
      </c>
      <c r="T2112" s="273">
        <v>11.6</v>
      </c>
      <c r="U2112" s="289">
        <v>21.09</v>
      </c>
      <c r="V2112" s="280">
        <v>40</v>
      </c>
      <c r="W2112" s="244"/>
      <c r="X2112" s="244"/>
      <c r="Y2112" s="362"/>
      <c r="Z2112" s="257">
        <f>altaz(J2000_Bas,$O2112,$M2112,DecLat,DecLong,1)</f>
        <v>20.46682123658027</v>
      </c>
      <c r="AA2112" s="257">
        <f>altaz((J2000_Bas+(2*0.04167)),$O2112,$M2112,DecLat,DecLong,1)</f>
        <v>3.2996740439383481</v>
      </c>
      <c r="AB2112" s="257">
        <f>altaz((J2000_Bas+(4*0.04167)),$O2112,$M2112,DecLat,DecLong,1)</f>
        <v>-8.5891454916209877</v>
      </c>
      <c r="AC2112" s="257">
        <f>altaz((J2000_Bas+(6*0.04167)),$O2112,$M2112,DecLat,DecLong,1)</f>
        <v>-12.433603977542422</v>
      </c>
      <c r="AD2112" s="258">
        <f>1+ transit((J2000_Bas-1),$O2112,$M2112,DecLat,DecLong)/360 + (GMTOffset/24) + (IF(DST="Y", 1, 0)/24)</f>
        <v>1.5308397216505412</v>
      </c>
      <c r="AE2112" s="259">
        <f>DATE(2001,9,21)+(M2112/360)*365 - (360*((DecLong/360)- (GMTOffset/24) ))</f>
        <v>37356.348032407404</v>
      </c>
      <c r="AF2112" s="260">
        <f>IF(DecLat&gt;0,IF((90 - (DecLat-O2112))&gt;90, (90 - (O2112-DecLat)), (90 - (DecLat-O2112))),IF((90 + (DecLat-O2112))&gt;90, (90 + (O2112-DecLat)), (90 + (DecLat-O2112))))</f>
        <v>74.469166666666666</v>
      </c>
      <c r="AG2112" s="257">
        <f>angularseperation(MoonRA,MoonDec,$M2112,$O2112)</f>
        <v>89.096446967742267</v>
      </c>
      <c r="AH2112" s="261">
        <f ca="1">MIN(100,IF($O$5&gt;80,0+30*($AG2112/100),IF($O$5&gt;70,0+50*($AG2112/100),IF($O$5&gt;60,5+50*($AG2112/100),IF($O$5&gt;50,10+60*($AG2112/100),IF($O$5&gt;40,15+70*($AG2112/100),IF($O$5&gt;30,20+70*($AG2112/100),IF($O$5&gt;20,40+55*($AG2112/100),(80+(20-$O$5)+30*($AG2112/100))))))))))</f>
        <v>100</v>
      </c>
      <c r="AI2112" s="262">
        <v>4800</v>
      </c>
      <c r="AJ2112" s="263"/>
      <c r="AK2112" s="263">
        <v>282</v>
      </c>
      <c r="AL2112" s="263"/>
      <c r="AM2112" s="264"/>
      <c r="AN2112" s="263"/>
      <c r="AO2112" s="263"/>
      <c r="AP2112" s="265"/>
      <c r="AQ2112" s="265">
        <v>8035</v>
      </c>
      <c r="AR2112" s="285">
        <v>43931</v>
      </c>
      <c r="AS2112" s="263"/>
      <c r="AT2112" s="263"/>
      <c r="AU2112" s="263"/>
      <c r="AV2112" s="264"/>
      <c r="AW2112" s="263"/>
      <c r="AX2112" s="263"/>
      <c r="AY2112" s="263"/>
      <c r="AZ2112" s="263"/>
      <c r="BA2112" s="263"/>
      <c r="BB2112" s="263"/>
      <c r="BC2112" s="263"/>
      <c r="BD2112" s="264"/>
      <c r="BE2112" s="263"/>
      <c r="BF2112" s="263"/>
      <c r="BG2112" s="263"/>
      <c r="BH2112" s="263"/>
      <c r="BI2112" s="263"/>
      <c r="BJ2112" s="404">
        <f>altaz(J2000_Bas,$O2112,$M2112,DecLat,DecLong,2)</f>
        <v>312.80222298451764</v>
      </c>
      <c r="BK2112" s="378" t="s">
        <v>2026</v>
      </c>
      <c r="BL2112" s="379">
        <f>IF((2*G2112)/60&lt;0.2,0.2,(2*G2112)/60)</f>
        <v>0.2</v>
      </c>
      <c r="BM2112" s="380">
        <f>MOD((50000+AD2112-$B$3+(0/24)),1)</f>
        <v>0.74620665135444142</v>
      </c>
      <c r="BN2112" s="381"/>
      <c r="BO2112" s="382">
        <v>2103</v>
      </c>
    </row>
    <row r="2113" spans="1:67" s="24" customFormat="1" ht="15" customHeight="1" x14ac:dyDescent="0.25">
      <c r="A2113" s="288" t="s">
        <v>2027</v>
      </c>
      <c r="B2113" s="241" t="str">
        <f>HYPERLINK(CONCATENATE($AT$3,BK2113,$AU$3),$AV$3)</f>
        <v>S</v>
      </c>
      <c r="C2113" s="242" t="str">
        <f>HYPERLINK(CONCATENATE($AT$4,BK2113,$AU$4,BL2113),$AV$4)</f>
        <v>A</v>
      </c>
      <c r="D2113" s="243" t="s">
        <v>5638</v>
      </c>
      <c r="E2113" s="244" t="s">
        <v>5192</v>
      </c>
      <c r="F2113" s="269" t="s">
        <v>8690</v>
      </c>
      <c r="G2113" s="273">
        <v>4.5</v>
      </c>
      <c r="H2113" s="283">
        <v>35</v>
      </c>
      <c r="I2113" s="246">
        <v>45</v>
      </c>
      <c r="J2113" s="246">
        <v>2</v>
      </c>
      <c r="K2113" s="247" t="s">
        <v>9585</v>
      </c>
      <c r="L2113" s="248">
        <v>125649</v>
      </c>
      <c r="M2113" s="249">
        <f>15*(LEFT(TEXT($L2113,"000000"),2)+(MID(TEXT($L2113,"000000"),3,2)/60)+(RIGHT(TEXT($L2113,"000000"),2)/3600))</f>
        <v>194.20416666666665</v>
      </c>
      <c r="N2113" s="250">
        <v>-83130</v>
      </c>
      <c r="O2113" s="251">
        <f>IF($N2113&gt;0,(LEFT(TEXT($N2113,"000000"),2)+(MID(TEXT($N2113,"000000"),3,2)/60)+(RIGHT(TEXT($N2113,"000000"),2)/3600)),-(MID(TEXT($N2113,"000000"),2,2)+(MID(TEXT($N2113,"000000"),4,2)/60)+(RIGHT(TEXT($N2113,"000000"),2)/3600)))</f>
        <v>-8.5250000000000004</v>
      </c>
      <c r="P2113" s="252" t="s">
        <v>61</v>
      </c>
      <c r="Q2113" s="253"/>
      <c r="R2113" s="277" t="s">
        <v>3293</v>
      </c>
      <c r="S2113" s="272" t="s">
        <v>3293</v>
      </c>
      <c r="T2113" s="273">
        <v>11.1</v>
      </c>
      <c r="U2113" s="289">
        <v>21.89</v>
      </c>
      <c r="V2113" s="280">
        <v>50</v>
      </c>
      <c r="W2113" s="244"/>
      <c r="X2113" s="244"/>
      <c r="Y2113" s="362"/>
      <c r="Z2113" s="257">
        <f>altaz(J2000_Bas,$O2113,$M2113,DecLat,DecLong,1)</f>
        <v>-5.9092863591771927</v>
      </c>
      <c r="AA2113" s="257">
        <f>altaz((J2000_Bas+(2*0.04167)),$O2113,$M2113,DecLat,DecLong,1)</f>
        <v>-31.607114248938021</v>
      </c>
      <c r="AB2113" s="257">
        <f>altaz((J2000_Bas+(4*0.04167)),$O2113,$M2113,DecLat,DecLong,1)</f>
        <v>-55.547548758462113</v>
      </c>
      <c r="AC2113" s="257">
        <f>altaz((J2000_Bas+(6*0.04167)),$O2113,$M2113,DecLat,DecLong,1)</f>
        <v>-67.443659140922108</v>
      </c>
      <c r="AD2113" s="258">
        <f>1+ transit((J2000_Bas-1),$O2113,$M2113,DecLat,DecLong)/360 + (GMTOffset/24) + (IF(DST="Y", 1, 0)/24)</f>
        <v>1.5323559252026246</v>
      </c>
      <c r="AE2113" s="259">
        <f>DATE(2001,9,21)+(M2113/360)*365 - (360*((DecLong/360)- (GMTOffset/24) ))</f>
        <v>37356.901446759257</v>
      </c>
      <c r="AF2113" s="260">
        <f>IF(DecLat&gt;0,IF((90 - (DecLat-O2113))&gt;90, (90 - (O2113-DecLat)), (90 - (DecLat-O2113))),IF((90 + (DecLat-O2113))&gt;90, (90 + (O2113-DecLat)), (90 + (DecLat-O2113))))</f>
        <v>50.475000000000001</v>
      </c>
      <c r="AG2113" s="257">
        <f>angularseperation(MoonRA,MoonDec,$M2113,$O2113)</f>
        <v>55.106434167252999</v>
      </c>
      <c r="AH2113" s="261">
        <f ca="1">MIN(100,IF($O$5&gt;80,0+30*($AG2113/100),IF($O$5&gt;70,0+50*($AG2113/100),IF($O$5&gt;60,5+50*($AG2113/100),IF($O$5&gt;50,10+60*($AG2113/100),IF($O$5&gt;40,15+70*($AG2113/100),IF($O$5&gt;30,20+70*($AG2113/100),IF($O$5&gt;20,40+55*($AG2113/100),(80+(20-$O$5)+30*($AG2113/100))))))))))</f>
        <v>99.802990594326332</v>
      </c>
      <c r="AI2113" s="262">
        <v>4818</v>
      </c>
      <c r="AJ2113" s="263"/>
      <c r="AK2113" s="263"/>
      <c r="AL2113" s="263"/>
      <c r="AM2113" s="264"/>
      <c r="AN2113" s="263"/>
      <c r="AO2113" s="263"/>
      <c r="AP2113" s="265"/>
      <c r="AQ2113" s="265"/>
      <c r="AR2113" s="285">
        <v>44191</v>
      </c>
      <c r="AS2113" s="263"/>
      <c r="AT2113" s="263"/>
      <c r="AU2113" s="263"/>
      <c r="AV2113" s="264"/>
      <c r="AW2113" s="263"/>
      <c r="AX2113" s="263"/>
      <c r="AY2113" s="263"/>
      <c r="AZ2113" s="263"/>
      <c r="BA2113" s="263"/>
      <c r="BB2113" s="263"/>
      <c r="BC2113" s="263"/>
      <c r="BD2113" s="264"/>
      <c r="BE2113" s="263"/>
      <c r="BF2113" s="263"/>
      <c r="BG2113" s="263"/>
      <c r="BH2113" s="263"/>
      <c r="BI2113" s="263"/>
      <c r="BJ2113" s="404">
        <f>altaz(J2000_Bas,$O2113,$M2113,DecLat,DecLong,2)</f>
        <v>263.58809606270682</v>
      </c>
      <c r="BK2113" s="378" t="s">
        <v>2027</v>
      </c>
      <c r="BL2113" s="379">
        <f>IF((2*G2113)/60&lt;0.2,0.2,(2*G2113)/60)</f>
        <v>0.2</v>
      </c>
      <c r="BM2113" s="380">
        <f>MOD((50000+AD2113-$B$3+(0/24)),1)</f>
        <v>0.74772285490325885</v>
      </c>
      <c r="BN2113" s="381"/>
      <c r="BO2113" s="382">
        <v>2104</v>
      </c>
    </row>
    <row r="2114" spans="1:67" s="24" customFormat="1" ht="15" customHeight="1" x14ac:dyDescent="0.25">
      <c r="A2114" s="298" t="s">
        <v>2028</v>
      </c>
      <c r="B2114" s="241" t="str">
        <f>HYPERLINK(CONCATENATE($AT$3,BK2114,$AU$3),$AV$3)</f>
        <v>S</v>
      </c>
      <c r="C2114" s="242" t="str">
        <f>HYPERLINK(CONCATENATE($AT$4,BK2114,$AU$4,BL2114),$AV$4)</f>
        <v>A</v>
      </c>
      <c r="D2114" s="243" t="s">
        <v>5335</v>
      </c>
      <c r="E2114" s="244" t="s">
        <v>5184</v>
      </c>
      <c r="F2114" s="269" t="s">
        <v>3314</v>
      </c>
      <c r="G2114" s="273">
        <v>9</v>
      </c>
      <c r="H2114" s="283">
        <v>21200</v>
      </c>
      <c r="I2114" s="246">
        <v>60</v>
      </c>
      <c r="J2114" s="246">
        <v>4</v>
      </c>
      <c r="K2114" s="247" t="s">
        <v>5485</v>
      </c>
      <c r="L2114" s="248">
        <v>125936</v>
      </c>
      <c r="M2114" s="249">
        <f>15*(LEFT(TEXT($L2114,"000000"),2)+(MID(TEXT($L2114,"000000"),3,2)/60)+(RIGHT(TEXT($L2114,"000000"),2)/3600))</f>
        <v>194.89999999999998</v>
      </c>
      <c r="N2114" s="286">
        <v>-705200</v>
      </c>
      <c r="O2114" s="251">
        <f>IF($N2114&gt;0,(LEFT(TEXT($N2114,"000000"),2)+(MID(TEXT($N2114,"000000"),3,2)/60)+(RIGHT(TEXT($N2114,"000000"),2)/3600)),-(MID(TEXT($N2114,"000000"),2,2)+(MID(TEXT($N2114,"000000"),4,2)/60)+(RIGHT(TEXT($N2114,"000000"),2)/3600)))</f>
        <v>-70.86666666666666</v>
      </c>
      <c r="P2114" s="252" t="s">
        <v>1964</v>
      </c>
      <c r="Q2114" s="253" t="s">
        <v>7150</v>
      </c>
      <c r="R2114" s="247" t="s">
        <v>7417</v>
      </c>
      <c r="S2114" s="272" t="s">
        <v>3293</v>
      </c>
      <c r="T2114" s="273">
        <v>8.4</v>
      </c>
      <c r="U2114" s="274"/>
      <c r="V2114" s="280"/>
      <c r="W2114" s="244"/>
      <c r="X2114" s="244"/>
      <c r="Y2114" s="362"/>
      <c r="Z2114" s="257">
        <f>altaz(J2000_Bas,$O2114,$M2114,DecLat,DecLong,1)</f>
        <v>-29.471658220997501</v>
      </c>
      <c r="AA2114" s="257">
        <f>altaz((J2000_Bas+(2*0.04167)),$O2114,$M2114,DecLat,DecLong,1)</f>
        <v>-39.203251260077103</v>
      </c>
      <c r="AB2114" s="257">
        <f>altaz((J2000_Bas+(4*0.04167)),$O2114,$M2114,DecLat,DecLong,1)</f>
        <v>-47.134746130069772</v>
      </c>
      <c r="AC2114" s="257">
        <f>altaz((J2000_Bas+(6*0.04167)),$O2114,$M2114,DecLat,DecLong,1)</f>
        <v>-50.126298536912437</v>
      </c>
      <c r="AD2114" s="258">
        <f>1+ transit((J2000_Bas-1),$O2114,$M2114,DecLat,DecLong)/360 + (GMTOffset/24) + (IF(DST="Y", 1, 0)/24)</f>
        <v>1.534288795379708</v>
      </c>
      <c r="AE2114" s="259">
        <f>DATE(2001,9,21)+(M2114/360)*365 - (360*((DecLong/360)- (GMTOffset/24) ))</f>
        <v>37357.606944444444</v>
      </c>
      <c r="AF2114" s="260">
        <f>IF(DecLat&gt;0,IF((90 - (DecLat-O2114))&gt;90, (90 - (O2114-DecLat)), (90 - (DecLat-O2114))),IF((90 + (DecLat-O2114))&gt;90, (90 + (O2114-DecLat)), (90 + (DecLat-O2114))))</f>
        <v>-11.86666666666666</v>
      </c>
      <c r="AG2114" s="257">
        <f>angularseperation(MoonRA,MoonDec,$M2114,$O2114)</f>
        <v>53.111157182416711</v>
      </c>
      <c r="AH2114" s="261">
        <f ca="1">MIN(100,IF($O$5&gt;80,0+30*($AG2114/100),IF($O$5&gt;70,0+50*($AG2114/100),IF($O$5&gt;60,5+50*($AG2114/100),IF($O$5&gt;50,10+60*($AG2114/100),IF($O$5&gt;40,15+70*($AG2114/100),IF($O$5&gt;30,20+70*($AG2114/100),IF($O$5&gt;20,40+55*($AG2114/100),(80+(20-$O$5)+30*($AG2114/100))))))))))</f>
        <v>99.20440749887544</v>
      </c>
      <c r="AI2114" s="262">
        <v>4833</v>
      </c>
      <c r="AJ2114" s="262"/>
      <c r="AK2114" s="262"/>
      <c r="AL2114" s="263"/>
      <c r="AM2114" s="264">
        <v>105</v>
      </c>
      <c r="AN2114" s="263"/>
      <c r="AO2114" s="263"/>
      <c r="AP2114" s="265"/>
      <c r="AQ2114" s="266"/>
      <c r="AR2114" s="267"/>
      <c r="AS2114" s="263"/>
      <c r="AT2114" s="263"/>
      <c r="AU2114" s="263"/>
      <c r="AV2114" s="264"/>
      <c r="AW2114" s="263"/>
      <c r="AX2114" s="263"/>
      <c r="AY2114" s="263"/>
      <c r="AZ2114" s="263"/>
      <c r="BA2114" s="263"/>
      <c r="BB2114" s="263"/>
      <c r="BC2114" s="263"/>
      <c r="BD2114" s="264"/>
      <c r="BE2114" s="263"/>
      <c r="BF2114" s="263"/>
      <c r="BG2114" s="263"/>
      <c r="BH2114" s="263"/>
      <c r="BI2114" s="263"/>
      <c r="BJ2114" s="404">
        <f>altaz(J2000_Bas,$O2114,$M2114,DecLat,DecLong,2)</f>
        <v>202.11181776946395</v>
      </c>
      <c r="BK2114" s="378" t="s">
        <v>2028</v>
      </c>
      <c r="BL2114" s="379">
        <f>IF((2*G2114)/60&lt;0.2,0.2,(2*G2114)/60)</f>
        <v>0.3</v>
      </c>
      <c r="BM2114" s="380">
        <f>MOD((50000+AD2114-$B$3+(0/24)),1)</f>
        <v>0.74965572508517653</v>
      </c>
      <c r="BN2114" s="381"/>
      <c r="BO2114" s="382">
        <v>2105</v>
      </c>
    </row>
    <row r="2115" spans="1:67" s="24" customFormat="1" ht="15" customHeight="1" x14ac:dyDescent="0.25">
      <c r="A2115" s="288" t="s">
        <v>2029</v>
      </c>
      <c r="B2115" s="241" t="str">
        <f>HYPERLINK(CONCATENATE($AT$3,BK2115,$AU$3),$AV$3)</f>
        <v>S</v>
      </c>
      <c r="C2115" s="242" t="str">
        <f>HYPERLINK(CONCATENATE($AT$4,BK2115,$AU$4,BL2115),$AV$4)</f>
        <v>A</v>
      </c>
      <c r="D2115" s="243" t="s">
        <v>5638</v>
      </c>
      <c r="E2115" s="244" t="s">
        <v>5182</v>
      </c>
      <c r="F2115" s="269" t="s">
        <v>8903</v>
      </c>
      <c r="G2115" s="273">
        <v>6</v>
      </c>
      <c r="H2115" s="283">
        <v>65</v>
      </c>
      <c r="I2115" s="246">
        <v>115</v>
      </c>
      <c r="J2115" s="246">
        <v>2</v>
      </c>
      <c r="K2115" s="247" t="s">
        <v>8319</v>
      </c>
      <c r="L2115" s="248">
        <v>125801</v>
      </c>
      <c r="M2115" s="249">
        <f>15*(LEFT(TEXT($L2115,"000000"),2)+(MID(TEXT($L2115,"000000"),3,2)/60)+(RIGHT(TEXT($L2115,"000000"),2)/3600))</f>
        <v>194.50416666666666</v>
      </c>
      <c r="N2115" s="250">
        <v>13433</v>
      </c>
      <c r="O2115" s="251">
        <f>IF($N2115&gt;0,(LEFT(TEXT($N2115,"000000"),2)+(MID(TEXT($N2115,"000000"),3,2)/60)+(RIGHT(TEXT($N2115,"000000"),2)/3600)),-(MID(TEXT($N2115,"000000"),2,2)+(MID(TEXT($N2115,"000000"),4,2)/60)+(RIGHT(TEXT($N2115,"000000"),2)/3600)))</f>
        <v>1.5758333333333334</v>
      </c>
      <c r="P2115" s="252" t="s">
        <v>61</v>
      </c>
      <c r="Q2115" s="253"/>
      <c r="R2115" s="277" t="s">
        <v>3293</v>
      </c>
      <c r="S2115" s="272" t="s">
        <v>3293</v>
      </c>
      <c r="T2115" s="273">
        <v>11.2</v>
      </c>
      <c r="U2115" s="289">
        <v>21.990000000000002</v>
      </c>
      <c r="V2115" s="280">
        <v>75</v>
      </c>
      <c r="W2115" s="244"/>
      <c r="X2115" s="244"/>
      <c r="Y2115" s="362"/>
      <c r="Z2115" s="257">
        <f>altaz(J2000_Bas,$O2115,$M2115,DecLat,DecLong,1)</f>
        <v>-0.4722925386263005</v>
      </c>
      <c r="AA2115" s="257">
        <f>altaz((J2000_Bas+(2*0.04167)),$O2115,$M2115,DecLat,DecLong,1)</f>
        <v>-25.759440934003891</v>
      </c>
      <c r="AB2115" s="257">
        <f>altaz((J2000_Bas+(4*0.04167)),$O2115,$M2115,DecLat,DecLong,1)</f>
        <v>-47.734585402249124</v>
      </c>
      <c r="AC2115" s="257">
        <f>altaz((J2000_Bas+(6*0.04167)),$O2115,$M2115,DecLat,DecLong,1)</f>
        <v>-57.381561869188943</v>
      </c>
      <c r="AD2115" s="258">
        <f>1+ transit((J2000_Bas-1),$O2115,$M2115,DecLat,DecLong)/360 + (GMTOffset/24) + (IF(DST="Y", 1, 0)/24)</f>
        <v>1.5331892584526245</v>
      </c>
      <c r="AE2115" s="259">
        <f>DATE(2001,9,21)+(M2115/360)*365 - (360*((DecLong/360)- (GMTOffset/24) ))</f>
        <v>37357.205613425926</v>
      </c>
      <c r="AF2115" s="260">
        <f>IF(DecLat&gt;0,IF((90 - (DecLat-O2115))&gt;90, (90 - (O2115-DecLat)), (90 - (DecLat-O2115))),IF((90 + (DecLat-O2115))&gt;90, (90 + (O2115-DecLat)), (90 + (DecLat-O2115))))</f>
        <v>60.575833333333335</v>
      </c>
      <c r="AG2115" s="257">
        <f>angularseperation(MoonRA,MoonDec,$M2115,$O2115)</f>
        <v>59.914258771410097</v>
      </c>
      <c r="AH2115" s="261">
        <f ca="1">MIN(100,IF($O$5&gt;80,0+30*($AG2115/100),IF($O$5&gt;70,0+50*($AG2115/100),IF($O$5&gt;60,5+50*($AG2115/100),IF($O$5&gt;50,10+60*($AG2115/100),IF($O$5&gt;40,15+70*($AG2115/100),IF($O$5&gt;30,20+70*($AG2115/100),IF($O$5&gt;20,40+55*($AG2115/100),(80+(20-$O$5)+30*($AG2115/100))))))))))</f>
        <v>100</v>
      </c>
      <c r="AI2115" s="262">
        <v>4845</v>
      </c>
      <c r="AJ2115" s="263"/>
      <c r="AK2115" s="263">
        <v>283</v>
      </c>
      <c r="AL2115" s="263"/>
      <c r="AM2115" s="264"/>
      <c r="AN2115" s="263"/>
      <c r="AO2115" s="263"/>
      <c r="AP2115" s="265"/>
      <c r="AQ2115" s="265">
        <v>8078</v>
      </c>
      <c r="AR2115" s="285">
        <v>44392</v>
      </c>
      <c r="AS2115" s="263"/>
      <c r="AT2115" s="263"/>
      <c r="AU2115" s="263"/>
      <c r="AV2115" s="264"/>
      <c r="AW2115" s="263"/>
      <c r="AX2115" s="263"/>
      <c r="AY2115" s="263"/>
      <c r="AZ2115" s="263"/>
      <c r="BA2115" s="263"/>
      <c r="BB2115" s="263"/>
      <c r="BC2115" s="263"/>
      <c r="BD2115" s="264"/>
      <c r="BE2115" s="263"/>
      <c r="BF2115" s="263"/>
      <c r="BG2115" s="263"/>
      <c r="BH2115" s="263"/>
      <c r="BI2115" s="263"/>
      <c r="BJ2115" s="404">
        <f>altaz(J2000_Bas,$O2115,$M2115,DecLat,DecLong,2)</f>
        <v>272.12252433060928</v>
      </c>
      <c r="BK2115" s="378" t="s">
        <v>2029</v>
      </c>
      <c r="BL2115" s="379">
        <f>IF((2*G2115)/60&lt;0.2,0.2,(2*G2115)/60)</f>
        <v>0.2</v>
      </c>
      <c r="BM2115" s="380">
        <f>MOD((50000+AD2115-$B$3+(0/24)),1)</f>
        <v>0.74855618815490743</v>
      </c>
      <c r="BN2115" s="381"/>
      <c r="BO2115" s="382">
        <v>2106</v>
      </c>
    </row>
    <row r="2116" spans="1:67" s="24" customFormat="1" ht="15" customHeight="1" x14ac:dyDescent="0.25">
      <c r="A2116" s="287" t="s">
        <v>2030</v>
      </c>
      <c r="B2116" s="241" t="str">
        <f>HYPERLINK(CONCATENATE($AT$3,BK2116,$AU$3),$AV$3)</f>
        <v>S</v>
      </c>
      <c r="C2116" s="242" t="str">
        <f>HYPERLINK(CONCATENATE($AT$4,BK2116,$AU$4,BL2116),$AV$4)</f>
        <v>A</v>
      </c>
      <c r="D2116" s="243" t="s">
        <v>5638</v>
      </c>
      <c r="E2116" s="244" t="s">
        <v>5182</v>
      </c>
      <c r="F2116" s="269" t="s">
        <v>8903</v>
      </c>
      <c r="G2116" s="273">
        <v>3.4</v>
      </c>
      <c r="H2116" s="283">
        <v>75</v>
      </c>
      <c r="I2116" s="246">
        <v>80</v>
      </c>
      <c r="J2116" s="246">
        <v>2</v>
      </c>
      <c r="K2116" s="247" t="s">
        <v>8320</v>
      </c>
      <c r="L2116" s="248">
        <v>125921</v>
      </c>
      <c r="M2116" s="249">
        <f>15*(LEFT(TEXT($L2116,"000000"),2)+(MID(TEXT($L2116,"000000"),3,2)/60)+(RIGHT(TEXT($L2116,"000000"),2)/3600))</f>
        <v>194.83749999999998</v>
      </c>
      <c r="N2116" s="250">
        <v>-150232</v>
      </c>
      <c r="O2116" s="251">
        <f>IF($N2116&gt;0,(LEFT(TEXT($N2116,"000000"),2)+(MID(TEXT($N2116,"000000"),3,2)/60)+(RIGHT(TEXT($N2116,"000000"),2)/3600)),-(MID(TEXT($N2116,"000000"),2,2)+(MID(TEXT($N2116,"000000"),4,2)/60)+(RIGHT(TEXT($N2116,"000000"),2)/3600)))</f>
        <v>-15.042222222222222</v>
      </c>
      <c r="P2116" s="252" t="s">
        <v>61</v>
      </c>
      <c r="Q2116" s="253"/>
      <c r="R2116" s="277" t="s">
        <v>3293</v>
      </c>
      <c r="S2116" s="272" t="s">
        <v>3293</v>
      </c>
      <c r="T2116" s="273">
        <v>10.5</v>
      </c>
      <c r="U2116" s="289">
        <v>20.990000000000002</v>
      </c>
      <c r="V2116" s="280">
        <v>75</v>
      </c>
      <c r="W2116" s="244"/>
      <c r="X2116" s="244"/>
      <c r="Y2116" s="362"/>
      <c r="Z2116" s="257">
        <f>altaz(J2000_Bas,$O2116,$M2116,DecLat,DecLong,1)</f>
        <v>-8.6559359638846605</v>
      </c>
      <c r="AA2116" s="257">
        <f>altaz((J2000_Bas+(2*0.04167)),$O2116,$M2116,DecLat,DecLong,1)</f>
        <v>-34.270647281435039</v>
      </c>
      <c r="AB2116" s="257">
        <f>altaz((J2000_Bas+(4*0.04167)),$O2116,$M2116,DecLat,DecLong,1)</f>
        <v>-59.317016310719936</v>
      </c>
      <c r="AC2116" s="257">
        <f>altaz((J2000_Bas+(6*0.04167)),$O2116,$M2116,DecLat,DecLong,1)</f>
        <v>-73.989420751057892</v>
      </c>
      <c r="AD2116" s="258">
        <f>1+ transit((J2000_Bas-1),$O2116,$M2116,DecLat,DecLong)/360 + (GMTOffset/24) + (IF(DST="Y", 1, 0)/24)</f>
        <v>1.5341151842859579</v>
      </c>
      <c r="AE2116" s="259">
        <f>DATE(2001,9,21)+(M2116/360)*365 - (360*((DecLong/360)- (GMTOffset/24) ))</f>
        <v>37357.543576388889</v>
      </c>
      <c r="AF2116" s="260">
        <f>IF(DecLat&gt;0,IF((90 - (DecLat-O2116))&gt;90, (90 - (O2116-DecLat)), (90 - (DecLat-O2116))),IF((90 + (DecLat-O2116))&gt;90, (90 + (O2116-DecLat)), (90 + (DecLat-O2116))))</f>
        <v>43.957777777777778</v>
      </c>
      <c r="AG2116" s="257">
        <f>angularseperation(MoonRA,MoonDec,$M2116,$O2116)</f>
        <v>51.783281524045783</v>
      </c>
      <c r="AH2116" s="261">
        <f ca="1">MIN(100,IF($O$5&gt;80,0+30*($AG2116/100),IF($O$5&gt;70,0+50*($AG2116/100),IF($O$5&gt;60,5+50*($AG2116/100),IF($O$5&gt;50,10+60*($AG2116/100),IF($O$5&gt;40,15+70*($AG2116/100),IF($O$5&gt;30,20+70*($AG2116/100),IF($O$5&gt;20,40+55*($AG2116/100),(80+(20-$O$5)+30*($AG2116/100))))))))))</f>
        <v>98.806044801364166</v>
      </c>
      <c r="AI2116" s="262">
        <v>4856</v>
      </c>
      <c r="AJ2116" s="263"/>
      <c r="AK2116" s="263">
        <v>284</v>
      </c>
      <c r="AL2116" s="263"/>
      <c r="AM2116" s="264"/>
      <c r="AN2116" s="263"/>
      <c r="AO2116" s="263"/>
      <c r="AP2116" s="265"/>
      <c r="AQ2116" s="265"/>
      <c r="AR2116" s="285">
        <v>44582</v>
      </c>
      <c r="AS2116" s="263"/>
      <c r="AT2116" s="263"/>
      <c r="AU2116" s="263"/>
      <c r="AV2116" s="264"/>
      <c r="AW2116" s="263"/>
      <c r="AX2116" s="263"/>
      <c r="AY2116" s="263"/>
      <c r="AZ2116" s="263"/>
      <c r="BA2116" s="263"/>
      <c r="BB2116" s="263"/>
      <c r="BC2116" s="263"/>
      <c r="BD2116" s="264"/>
      <c r="BE2116" s="263"/>
      <c r="BF2116" s="263"/>
      <c r="BG2116" s="263"/>
      <c r="BH2116" s="263"/>
      <c r="BI2116" s="263"/>
      <c r="BJ2116" s="404">
        <f>altaz(J2000_Bas,$O2116,$M2116,DecLat,DecLong,2)</f>
        <v>257.59656172706502</v>
      </c>
      <c r="BK2116" s="378" t="s">
        <v>2030</v>
      </c>
      <c r="BL2116" s="379">
        <f>IF((2*G2116)/60&lt;0.2,0.2,(2*G2116)/60)</f>
        <v>0.2</v>
      </c>
      <c r="BM2116" s="380">
        <f>MOD((50000+AD2116-$B$3+(0/24)),1)</f>
        <v>0.7494821139916894</v>
      </c>
      <c r="BN2116" s="381"/>
      <c r="BO2116" s="382">
        <v>2107</v>
      </c>
    </row>
    <row r="2117" spans="1:67" s="24" customFormat="1" ht="15" customHeight="1" x14ac:dyDescent="0.25">
      <c r="A2117" s="287" t="s">
        <v>2031</v>
      </c>
      <c r="B2117" s="241" t="str">
        <f>HYPERLINK(CONCATENATE($AT$3,BK2117,$AU$3),$AV$3)</f>
        <v>S</v>
      </c>
      <c r="C2117" s="242" t="str">
        <f>HYPERLINK(CONCATENATE($AT$4,BK2117,$AU$4,BL2117),$AV$4)</f>
        <v>A</v>
      </c>
      <c r="D2117" s="243" t="s">
        <v>5638</v>
      </c>
      <c r="E2117" s="244" t="s">
        <v>5182</v>
      </c>
      <c r="F2117" s="269" t="s">
        <v>3300</v>
      </c>
      <c r="G2117" s="273">
        <v>6</v>
      </c>
      <c r="H2117" s="283">
        <v>95</v>
      </c>
      <c r="I2117" s="246">
        <v>165</v>
      </c>
      <c r="J2117" s="246">
        <v>2</v>
      </c>
      <c r="K2117" s="247" t="s">
        <v>8574</v>
      </c>
      <c r="L2117" s="248">
        <v>125927</v>
      </c>
      <c r="M2117" s="249">
        <f>15*(LEFT(TEXT($L2117,"000000"),2)+(MID(TEXT($L2117,"000000"),3,2)/60)+(RIGHT(TEXT($L2117,"000000"),2)/3600))</f>
        <v>194.86249999999998</v>
      </c>
      <c r="N2117" s="250">
        <v>141015</v>
      </c>
      <c r="O2117" s="251">
        <f>IF($N2117&gt;0,(LEFT(TEXT($N2117,"000000"),2)+(MID(TEXT($N2117,"000000"),3,2)/60)+(RIGHT(TEXT($N2117,"000000"),2)/3600)),-(MID(TEXT($N2117,"000000"),2,2)+(MID(TEXT($N2117,"000000"),4,2)/60)+(RIGHT(TEXT($N2117,"000000"),2)/3600)))</f>
        <v>14.170833333333333</v>
      </c>
      <c r="P2117" s="252" t="s">
        <v>61</v>
      </c>
      <c r="Q2117" s="253"/>
      <c r="R2117" s="277" t="s">
        <v>3293</v>
      </c>
      <c r="S2117" s="272" t="s">
        <v>3293</v>
      </c>
      <c r="T2117" s="273">
        <v>11.2</v>
      </c>
      <c r="U2117" s="289">
        <v>22.29</v>
      </c>
      <c r="V2117" s="280">
        <v>80</v>
      </c>
      <c r="W2117" s="244"/>
      <c r="X2117" s="244"/>
      <c r="Y2117" s="362"/>
      <c r="Z2117" s="257">
        <f>altaz(J2000_Bas,$O2117,$M2117,DecLat,DecLong,1)</f>
        <v>6.2894815630892742</v>
      </c>
      <c r="AA2117" s="257">
        <f>altaz((J2000_Bas+(2*0.04167)),$O2117,$M2117,DecLat,DecLong,1)</f>
        <v>-17.742609420552295</v>
      </c>
      <c r="AB2117" s="257">
        <f>altaz((J2000_Bas+(4*0.04167)),$O2117,$M2117,DecLat,DecLong,1)</f>
        <v>-37.082020482366303</v>
      </c>
      <c r="AC2117" s="257">
        <f>altaz((J2000_Bas+(6*0.04167)),$O2117,$M2117,DecLat,DecLong,1)</f>
        <v>-44.809305946949934</v>
      </c>
      <c r="AD2117" s="258">
        <f>1+ transit((J2000_Bas-1),$O2117,$M2117,DecLat,DecLong)/360 + (GMTOffset/24) + (IF(DST="Y", 1, 0)/24)</f>
        <v>1.534184628723458</v>
      </c>
      <c r="AE2117" s="259">
        <f>DATE(2001,9,21)+(M2117/360)*365 - (360*((DecLong/360)- (GMTOffset/24) ))</f>
        <v>37357.568923611114</v>
      </c>
      <c r="AF2117" s="260">
        <f>IF(DecLat&gt;0,IF((90 - (DecLat-O2117))&gt;90, (90 - (O2117-DecLat)), (90 - (DecLat-O2117))),IF((90 + (DecLat-O2117))&gt;90, (90 + (O2117-DecLat)), (90 + (DecLat-O2117))))</f>
        <v>73.170833333333334</v>
      </c>
      <c r="AG2117" s="257">
        <f>angularseperation(MoonRA,MoonDec,$M2117,$O2117)</f>
        <v>66.964307120670995</v>
      </c>
      <c r="AH2117" s="261">
        <f ca="1">MIN(100,IF($O$5&gt;80,0+30*($AG2117/100),IF($O$5&gt;70,0+50*($AG2117/100),IF($O$5&gt;60,5+50*($AG2117/100),IF($O$5&gt;50,10+60*($AG2117/100),IF($O$5&gt;40,15+70*($AG2117/100),IF($O$5&gt;30,20+70*($AG2117/100),IF($O$5&gt;20,40+55*($AG2117/100),(80+(20-$O$5)+30*($AG2117/100))))))))))</f>
        <v>100</v>
      </c>
      <c r="AI2117" s="262">
        <v>4866</v>
      </c>
      <c r="AJ2117" s="263"/>
      <c r="AK2117" s="263">
        <v>285</v>
      </c>
      <c r="AL2117" s="263"/>
      <c r="AM2117" s="264"/>
      <c r="AN2117" s="263"/>
      <c r="AO2117" s="263"/>
      <c r="AP2117" s="265"/>
      <c r="AQ2117" s="265">
        <v>8102</v>
      </c>
      <c r="AR2117" s="285">
        <v>44600</v>
      </c>
      <c r="AS2117" s="263"/>
      <c r="AT2117" s="263"/>
      <c r="AU2117" s="263"/>
      <c r="AV2117" s="264"/>
      <c r="AW2117" s="263"/>
      <c r="AX2117" s="263"/>
      <c r="AY2117" s="263"/>
      <c r="AZ2117" s="263"/>
      <c r="BA2117" s="263"/>
      <c r="BB2117" s="263"/>
      <c r="BC2117" s="263"/>
      <c r="BD2117" s="264"/>
      <c r="BE2117" s="263"/>
      <c r="BF2117" s="263"/>
      <c r="BG2117" s="263"/>
      <c r="BH2117" s="263"/>
      <c r="BI2117" s="263"/>
      <c r="BJ2117" s="404">
        <f>altaz(J2000_Bas,$O2117,$M2117,DecLat,DecLong,2)</f>
        <v>282.77444244840615</v>
      </c>
      <c r="BK2117" s="378" t="s">
        <v>2031</v>
      </c>
      <c r="BL2117" s="379">
        <f>IF((2*G2117)/60&lt;0.2,0.2,(2*G2117)/60)</f>
        <v>0.2</v>
      </c>
      <c r="BM2117" s="380">
        <f>MOD((50000+AD2117-$B$3+(0/24)),1)</f>
        <v>0.74955155843053944</v>
      </c>
      <c r="BN2117" s="381"/>
      <c r="BO2117" s="382">
        <v>2108</v>
      </c>
    </row>
    <row r="2118" spans="1:67" s="24" customFormat="1" ht="15" customHeight="1" x14ac:dyDescent="0.25">
      <c r="A2118" s="287" t="s">
        <v>2032</v>
      </c>
      <c r="B2118" s="241" t="str">
        <f>HYPERLINK(CONCATENATE($AT$3,BK2118,$AU$3),$AV$3)</f>
        <v>S</v>
      </c>
      <c r="C2118" s="242" t="str">
        <f>HYPERLINK(CONCATENATE($AT$4,BK2118,$AU$4,BL2118),$AV$4)</f>
        <v>A</v>
      </c>
      <c r="D2118" s="243" t="s">
        <v>5638</v>
      </c>
      <c r="E2118" s="244" t="s">
        <v>5192</v>
      </c>
      <c r="F2118" s="269" t="s">
        <v>8892</v>
      </c>
      <c r="G2118" s="273">
        <v>2.2999999999999998</v>
      </c>
      <c r="H2118" s="283">
        <v>55</v>
      </c>
      <c r="I2118" s="246">
        <v>40</v>
      </c>
      <c r="J2118" s="246">
        <v>2</v>
      </c>
      <c r="K2118" s="247" t="s">
        <v>8321</v>
      </c>
      <c r="L2118" s="248">
        <v>130039</v>
      </c>
      <c r="M2118" s="249">
        <f>15*(LEFT(TEXT($L2118,"000000"),2)+(MID(TEXT($L2118,"000000"),3,2)/60)+(RIGHT(TEXT($L2118,"000000"),2)/3600))</f>
        <v>195.16250000000002</v>
      </c>
      <c r="N2118" s="250">
        <v>23001</v>
      </c>
      <c r="O2118" s="251">
        <f>IF($N2118&gt;0,(LEFT(TEXT($N2118,"000000"),2)+(MID(TEXT($N2118,"000000"),3,2)/60)+(RIGHT(TEXT($N2118,"000000"),2)/3600)),-(MID(TEXT($N2118,"000000"),2,2)+(MID(TEXT($N2118,"000000"),4,2)/60)+(RIGHT(TEXT($N2118,"000000"),2)/3600)))</f>
        <v>2.5002777777777778</v>
      </c>
      <c r="P2118" s="252" t="s">
        <v>61</v>
      </c>
      <c r="Q2118" s="253"/>
      <c r="R2118" s="277" t="s">
        <v>3293</v>
      </c>
      <c r="S2118" s="272" t="s">
        <v>3293</v>
      </c>
      <c r="T2118" s="273">
        <v>11.4</v>
      </c>
      <c r="U2118" s="289">
        <v>21.79</v>
      </c>
      <c r="V2118" s="280">
        <v>3</v>
      </c>
      <c r="W2118" s="244"/>
      <c r="X2118" s="244"/>
      <c r="Y2118" s="362"/>
      <c r="Z2118" s="257">
        <f>altaz(J2000_Bas,$O2118,$M2118,DecLat,DecLong,1)</f>
        <v>0.56792086528557606</v>
      </c>
      <c r="AA2118" s="257">
        <f>altaz((J2000_Bas+(2*0.04167)),$O2118,$M2118,DecLat,DecLong,1)</f>
        <v>-24.684414556629775</v>
      </c>
      <c r="AB2118" s="257">
        <f>altaz((J2000_Bas+(4*0.04167)),$O2118,$M2118,DecLat,DecLong,1)</f>
        <v>-46.60047201101986</v>
      </c>
      <c r="AC2118" s="257">
        <f>altaz((J2000_Bas+(6*0.04167)),$O2118,$M2118,DecLat,DecLong,1)</f>
        <v>-56.483528613254002</v>
      </c>
      <c r="AD2118" s="258">
        <f>1+ transit((J2000_Bas-1),$O2118,$M2118,DecLat,DecLong)/360 + (GMTOffset/24) + (IF(DST="Y", 1, 0)/24)</f>
        <v>1.5350179619734581</v>
      </c>
      <c r="AE2118" s="259">
        <f>DATE(2001,9,21)+(M2118/360)*365 - (360*((DecLong/360)- (GMTOffset/24) ))</f>
        <v>37357.873090277775</v>
      </c>
      <c r="AF2118" s="260">
        <f>IF(DecLat&gt;0,IF((90 - (DecLat-O2118))&gt;90, (90 - (O2118-DecLat)), (90 - (DecLat-O2118))),IF((90 + (DecLat-O2118))&gt;90, (90 + (O2118-DecLat)), (90 + (DecLat-O2118))))</f>
        <v>61.500277777777782</v>
      </c>
      <c r="AG2118" s="257">
        <f>angularseperation(MoonRA,MoonDec,$M2118,$O2118)</f>
        <v>59.8695688764601</v>
      </c>
      <c r="AH2118" s="261">
        <f ca="1">MIN(100,IF($O$5&gt;80,0+30*($AG2118/100),IF($O$5&gt;70,0+50*($AG2118/100),IF($O$5&gt;60,5+50*($AG2118/100),IF($O$5&gt;50,10+60*($AG2118/100),IF($O$5&gt;40,15+70*($AG2118/100),IF($O$5&gt;30,20+70*($AG2118/100),IF($O$5&gt;20,40+55*($AG2118/100),(80+(20-$O$5)+30*($AG2118/100))))))))))</f>
        <v>100</v>
      </c>
      <c r="AI2118" s="262">
        <v>4900</v>
      </c>
      <c r="AJ2118" s="263"/>
      <c r="AK2118" s="263">
        <v>286</v>
      </c>
      <c r="AL2118" s="263"/>
      <c r="AM2118" s="264"/>
      <c r="AN2118" s="263"/>
      <c r="AO2118" s="263"/>
      <c r="AP2118" s="265"/>
      <c r="AQ2118" s="265">
        <v>8116</v>
      </c>
      <c r="AR2118" s="285">
        <v>44797</v>
      </c>
      <c r="AS2118" s="263"/>
      <c r="AT2118" s="263"/>
      <c r="AU2118" s="263"/>
      <c r="AV2118" s="264"/>
      <c r="AW2118" s="263"/>
      <c r="AX2118" s="263"/>
      <c r="AY2118" s="263"/>
      <c r="AZ2118" s="263"/>
      <c r="BA2118" s="263"/>
      <c r="BB2118" s="263"/>
      <c r="BC2118" s="263"/>
      <c r="BD2118" s="264"/>
      <c r="BE2118" s="263"/>
      <c r="BF2118" s="263"/>
      <c r="BG2118" s="263"/>
      <c r="BH2118" s="263"/>
      <c r="BI2118" s="263"/>
      <c r="BJ2118" s="404">
        <f>altaz(J2000_Bas,$O2118,$M2118,DecLat,DecLong,2)</f>
        <v>272.57574016352123</v>
      </c>
      <c r="BK2118" s="378" t="s">
        <v>2032</v>
      </c>
      <c r="BL2118" s="379">
        <f>IF((2*G2118)/60&lt;0.2,0.2,(2*G2118)/60)</f>
        <v>0.2</v>
      </c>
      <c r="BM2118" s="380">
        <f>MOD((50000+AD2118-$B$3+(0/24)),1)</f>
        <v>0.75038489167491207</v>
      </c>
      <c r="BN2118" s="381"/>
      <c r="BO2118" s="382">
        <v>2109</v>
      </c>
    </row>
    <row r="2119" spans="1:67" s="24" customFormat="1" ht="15" customHeight="1" x14ac:dyDescent="0.25">
      <c r="A2119" s="287" t="s">
        <v>3172</v>
      </c>
      <c r="B2119" s="241" t="str">
        <f>HYPERLINK(CONCATENATE($AT$3,BK2119,$AU$3),$AV$3)</f>
        <v>S</v>
      </c>
      <c r="C2119" s="242" t="str">
        <f>HYPERLINK(CONCATENATE($AT$4,BK2119,$AU$4,BL2119),$AV$4)</f>
        <v>A</v>
      </c>
      <c r="D2119" s="243" t="s">
        <v>5638</v>
      </c>
      <c r="E2119" s="244" t="s">
        <v>5192</v>
      </c>
      <c r="F2119" s="269" t="s">
        <v>9087</v>
      </c>
      <c r="G2119" s="273">
        <v>1.8</v>
      </c>
      <c r="H2119" s="283">
        <v>162</v>
      </c>
      <c r="I2119" s="246">
        <v>85</v>
      </c>
      <c r="J2119" s="246">
        <v>2</v>
      </c>
      <c r="K2119" s="253" t="s">
        <v>8322</v>
      </c>
      <c r="L2119" s="248">
        <v>130202</v>
      </c>
      <c r="M2119" s="249">
        <f>15*(LEFT(TEXT($L2119,"000000"),2)+(MID(TEXT($L2119,"000000"),3,2)/60)+(RIGHT(TEXT($L2119,"000000"),2)/3600))</f>
        <v>195.50833333333333</v>
      </c>
      <c r="N2119" s="250">
        <v>-424618</v>
      </c>
      <c r="O2119" s="251">
        <f>IF($N2119&gt;0,(LEFT(TEXT($N2119,"000000"),2)+(MID(TEXT($N2119,"000000"),3,2)/60)+(RIGHT(TEXT($N2119,"000000"),2)/3600)),-(MID(TEXT($N2119,"000000"),2,2)+(MID(TEXT($N2119,"000000"),4,2)/60)+(RIGHT(TEXT($N2119,"000000"),2)/3600)))</f>
        <v>-42.771666666666668</v>
      </c>
      <c r="P2119" s="252" t="s">
        <v>927</v>
      </c>
      <c r="Q2119" s="253"/>
      <c r="R2119" s="277" t="s">
        <v>3293</v>
      </c>
      <c r="S2119" s="272" t="s">
        <v>3293</v>
      </c>
      <c r="T2119" s="273">
        <v>12.7</v>
      </c>
      <c r="U2119" s="289">
        <v>22.69</v>
      </c>
      <c r="V2119" s="280">
        <v>0</v>
      </c>
      <c r="W2119" s="244"/>
      <c r="X2119" s="244"/>
      <c r="Y2119" s="362"/>
      <c r="Z2119" s="257">
        <f>altaz(J2000_Bas,$O2119,$M2119,DecLat,DecLong,1)</f>
        <v>-20.804442567443122</v>
      </c>
      <c r="AA2119" s="257">
        <f>altaz((J2000_Bas+(2*0.04167)),$O2119,$M2119,DecLat,DecLong,1)</f>
        <v>-42.055393150334204</v>
      </c>
      <c r="AB2119" s="257">
        <f>altaz((J2000_Bas+(4*0.04167)),$O2119,$M2119,DecLat,DecLong,1)</f>
        <v>-63.932277217213247</v>
      </c>
      <c r="AC2119" s="257">
        <f>altaz((J2000_Bas+(6*0.04167)),$O2119,$M2119,DecLat,DecLong,1)</f>
        <v>-78.213287061773059</v>
      </c>
      <c r="AD2119" s="258">
        <f>1+ transit((J2000_Bas-1),$O2119,$M2119,DecLat,DecLong)/360 + (GMTOffset/24) + (IF(DST="Y", 1, 0)/24)</f>
        <v>1.5359786100255415</v>
      </c>
      <c r="AE2119" s="259">
        <f>DATE(2001,9,21)+(M2119/360)*365 - (360*((DecLong/360)- (GMTOffset/24) ))</f>
        <v>37358.223726851851</v>
      </c>
      <c r="AF2119" s="260">
        <f>IF(DecLat&gt;0,IF((90 - (DecLat-O2119))&gt;90, (90 - (O2119-DecLat)), (90 - (DecLat-O2119))),IF((90 + (DecLat-O2119))&gt;90, (90 + (O2119-DecLat)), (90 + (DecLat-O2119))))</f>
        <v>16.228333333333325</v>
      </c>
      <c r="AG2119" s="257">
        <f>angularseperation(MoonRA,MoonDec,$M2119,$O2119)</f>
        <v>45.909421620529052</v>
      </c>
      <c r="AH2119" s="261">
        <f ca="1">MIN(100,IF($O$5&gt;80,0+30*($AG2119/100),IF($O$5&gt;70,0+50*($AG2119/100),IF($O$5&gt;60,5+50*($AG2119/100),IF($O$5&gt;50,10+60*($AG2119/100),IF($O$5&gt;40,15+70*($AG2119/100),IF($O$5&gt;30,20+70*($AG2119/100),IF($O$5&gt;20,40+55*($AG2119/100),(80+(20-$O$5)+30*($AG2119/100))))))))))</f>
        <v>97.043886830309148</v>
      </c>
      <c r="AI2119" s="263">
        <v>4909</v>
      </c>
      <c r="AJ2119" s="263"/>
      <c r="AK2119" s="263"/>
      <c r="AL2119" s="263"/>
      <c r="AM2119" s="264"/>
      <c r="AN2119" s="263"/>
      <c r="AO2119" s="263"/>
      <c r="AP2119" s="265"/>
      <c r="AQ2119" s="265"/>
      <c r="AR2119" s="285">
        <v>44949</v>
      </c>
      <c r="AS2119" s="263"/>
      <c r="AT2119" s="263"/>
      <c r="AU2119" s="263"/>
      <c r="AV2119" s="264"/>
      <c r="AW2119" s="263"/>
      <c r="AX2119" s="263"/>
      <c r="AY2119" s="263"/>
      <c r="AZ2119" s="263"/>
      <c r="BA2119" s="263"/>
      <c r="BB2119" s="263"/>
      <c r="BC2119" s="263"/>
      <c r="BD2119" s="264"/>
      <c r="BE2119" s="263"/>
      <c r="BF2119" s="263"/>
      <c r="BG2119" s="263"/>
      <c r="BH2119" s="263"/>
      <c r="BI2119" s="263"/>
      <c r="BJ2119" s="404">
        <f>altaz(J2000_Bas,$O2119,$M2119,DecLat,DecLong,2)</f>
        <v>231.74263900908812</v>
      </c>
      <c r="BK2119" s="378" t="s">
        <v>3172</v>
      </c>
      <c r="BL2119" s="379">
        <f>IF((2*G2119)/60&lt;0.2,0.2,(2*G2119)/60)</f>
        <v>0.2</v>
      </c>
      <c r="BM2119" s="380">
        <f>MOD((50000+AD2119-$B$3+(0/24)),1)</f>
        <v>0.75134553972748108</v>
      </c>
      <c r="BN2119" s="381"/>
      <c r="BO2119" s="382">
        <v>2110</v>
      </c>
    </row>
    <row r="2120" spans="1:67" s="24" customFormat="1" ht="15" customHeight="1" x14ac:dyDescent="0.25">
      <c r="A2120" s="288" t="s">
        <v>3173</v>
      </c>
      <c r="B2120" s="241" t="str">
        <f>HYPERLINK(CONCATENATE($AT$3,BK2120,$AU$3),$AV$3)</f>
        <v>S</v>
      </c>
      <c r="C2120" s="242" t="str">
        <f>HYPERLINK(CONCATENATE($AT$4,BK2120,$AU$4,BL2120),$AV$4)</f>
        <v>A</v>
      </c>
      <c r="D2120" s="243" t="s">
        <v>5638</v>
      </c>
      <c r="E2120" s="244" t="s">
        <v>5336</v>
      </c>
      <c r="F2120" s="269">
        <v>20</v>
      </c>
      <c r="G2120" s="282">
        <v>18</v>
      </c>
      <c r="H2120" s="283">
        <v>270</v>
      </c>
      <c r="I2120" s="284">
        <v>1400</v>
      </c>
      <c r="J2120" s="246">
        <v>2</v>
      </c>
      <c r="K2120" s="247" t="s">
        <v>8323</v>
      </c>
      <c r="L2120" s="248">
        <v>130126</v>
      </c>
      <c r="M2120" s="249">
        <f>15*(LEFT(TEXT($L2120,"000000"),2)+(MID(TEXT($L2120,"000000"),3,2)/60)+(RIGHT(TEXT($L2120,"000000"),2)/3600))</f>
        <v>195.35833333333335</v>
      </c>
      <c r="N2120" s="250">
        <v>275306</v>
      </c>
      <c r="O2120" s="251">
        <f>IF($N2120&gt;0,(LEFT(TEXT($N2120,"000000"),2)+(MID(TEXT($N2120,"000000"),3,2)/60)+(RIGHT(TEXT($N2120,"000000"),2)/3600)),-(MID(TEXT($N2120,"000000"),2,2)+(MID(TEXT($N2120,"000000"),4,2)/60)+(RIGHT(TEXT($N2120,"000000"),2)/3600)))</f>
        <v>27.884999999999998</v>
      </c>
      <c r="P2120" s="252" t="s">
        <v>190</v>
      </c>
      <c r="Q2120" s="253"/>
      <c r="R2120" s="277" t="s">
        <v>3293</v>
      </c>
      <c r="S2120" s="272" t="s">
        <v>3293</v>
      </c>
      <c r="T2120" s="273">
        <v>12.2</v>
      </c>
      <c r="U2120" s="289">
        <v>22.69</v>
      </c>
      <c r="V2120" s="280"/>
      <c r="W2120" s="244"/>
      <c r="X2120" s="244"/>
      <c r="Y2120" s="362"/>
      <c r="Z2120" s="257">
        <f>altaz(J2000_Bas,$O2120,$M2120,DecLat,DecLong,1)</f>
        <v>13.436230414186902</v>
      </c>
      <c r="AA2120" s="257">
        <f>altaz((J2000_Bas+(2*0.04167)),$O2120,$M2120,DecLat,DecLong,1)</f>
        <v>-8.4098480510436779</v>
      </c>
      <c r="AB2120" s="257">
        <f>altaz((J2000_Bas+(4*0.04167)),$O2120,$M2120,DecLat,DecLong,1)</f>
        <v>-24.870230162308133</v>
      </c>
      <c r="AC2120" s="257">
        <f>altaz((J2000_Bas+(6*0.04167)),$O2120,$M2120,DecLat,DecLong,1)</f>
        <v>-31.108773746664411</v>
      </c>
      <c r="AD2120" s="258">
        <f>1+ transit((J2000_Bas-1),$O2120,$M2120,DecLat,DecLong)/360 + (GMTOffset/24) + (IF(DST="Y", 1, 0)/24)</f>
        <v>1.5355619434005414</v>
      </c>
      <c r="AE2120" s="259">
        <f>DATE(2001,9,21)+(M2120/360)*365 - (360*((DecLong/360)- (GMTOffset/24) ))</f>
        <v>37358.071643518517</v>
      </c>
      <c r="AF2120" s="260">
        <f>IF(DecLat&gt;0,IF((90 - (DecLat-O2120))&gt;90, (90 - (O2120-DecLat)), (90 - (DecLat-O2120))),IF((90 + (DecLat-O2120))&gt;90, (90 + (O2120-DecLat)), (90 + (DecLat-O2120))))</f>
        <v>86.884999999999991</v>
      </c>
      <c r="AG2120" s="257">
        <f>angularseperation(MoonRA,MoonDec,$M2120,$O2120)</f>
        <v>75.468377613686357</v>
      </c>
      <c r="AH2120" s="261">
        <f ca="1">MIN(100,IF($O$5&gt;80,0+30*($AG2120/100),IF($O$5&gt;70,0+50*($AG2120/100),IF($O$5&gt;60,5+50*($AG2120/100),IF($O$5&gt;50,10+60*($AG2120/100),IF($O$5&gt;40,15+70*($AG2120/100),IF($O$5&gt;30,20+70*($AG2120/100),IF($O$5&gt;20,40+55*($AG2120/100),(80+(20-$O$5)+30*($AG2120/100))))))))))</f>
        <v>100</v>
      </c>
      <c r="AI2120" s="263">
        <v>4921</v>
      </c>
      <c r="AJ2120" s="263"/>
      <c r="AK2120" s="263"/>
      <c r="AL2120" s="263"/>
      <c r="AM2120" s="264"/>
      <c r="AN2120" s="263"/>
      <c r="AO2120" s="263"/>
      <c r="AP2120" s="265"/>
      <c r="AQ2120" s="265">
        <v>8134</v>
      </c>
      <c r="AR2120" s="285">
        <v>44899</v>
      </c>
      <c r="AS2120" s="263"/>
      <c r="AT2120" s="263"/>
      <c r="AU2120" s="263"/>
      <c r="AV2120" s="264"/>
      <c r="AW2120" s="263"/>
      <c r="AX2120" s="263"/>
      <c r="AY2120" s="263"/>
      <c r="AZ2120" s="263"/>
      <c r="BA2120" s="263"/>
      <c r="BB2120" s="263"/>
      <c r="BC2120" s="263"/>
      <c r="BD2120" s="264"/>
      <c r="BE2120" s="263"/>
      <c r="BF2120" s="263"/>
      <c r="BG2120" s="263"/>
      <c r="BH2120" s="263"/>
      <c r="BI2120" s="263"/>
      <c r="BJ2120" s="404">
        <f>altaz(J2000_Bas,$O2120,$M2120,DecLat,DecLong,2)</f>
        <v>294.67310374200207</v>
      </c>
      <c r="BK2120" s="378" t="s">
        <v>3173</v>
      </c>
      <c r="BL2120" s="379">
        <f>IF((2*G2120)/60&lt;0.2,0.2,(2*G2120)/60)</f>
        <v>0.6</v>
      </c>
      <c r="BM2120" s="380">
        <f>MOD((50000+AD2120-$B$3+(0/24)),1)</f>
        <v>0.75092887310165679</v>
      </c>
      <c r="BN2120" s="381"/>
      <c r="BO2120" s="382">
        <v>2111</v>
      </c>
    </row>
    <row r="2121" spans="1:67" s="24" customFormat="1" ht="15" customHeight="1" x14ac:dyDescent="0.25">
      <c r="A2121" s="288" t="s">
        <v>3174</v>
      </c>
      <c r="B2121" s="241" t="str">
        <f>HYPERLINK(CONCATENATE($AT$3,BK2121,$AU$3),$AV$3)</f>
        <v>S</v>
      </c>
      <c r="C2121" s="242" t="str">
        <f>HYPERLINK(CONCATENATE($AT$4,BK2121,$AU$4,BL2121),$AV$4)</f>
        <v>A</v>
      </c>
      <c r="D2121" s="243" t="s">
        <v>5638</v>
      </c>
      <c r="E2121" s="244" t="s">
        <v>5337</v>
      </c>
      <c r="F2121" s="269" t="s">
        <v>3301</v>
      </c>
      <c r="G2121" s="273">
        <v>1.2</v>
      </c>
      <c r="H2121" s="283">
        <v>350</v>
      </c>
      <c r="I2121" s="246">
        <v>120</v>
      </c>
      <c r="J2121" s="246">
        <v>2</v>
      </c>
      <c r="K2121" s="247" t="s">
        <v>8324</v>
      </c>
      <c r="L2121" s="248">
        <v>130125</v>
      </c>
      <c r="M2121" s="249">
        <f>15*(LEFT(TEXT($L2121,"000000"),2)+(MID(TEXT($L2121,"000000"),3,2)/60)+(RIGHT(TEXT($L2121,"000000"),2)/3600))</f>
        <v>195.35416666666669</v>
      </c>
      <c r="N2121" s="250">
        <v>291836</v>
      </c>
      <c r="O2121" s="251">
        <f>IF($N2121&gt;0,(LEFT(TEXT($N2121,"000000"),2)+(MID(TEXT($N2121,"000000"),3,2)/60)+(RIGHT(TEXT($N2121,"000000"),2)/3600)),-(MID(TEXT($N2121,"000000"),2,2)+(MID(TEXT($N2121,"000000"),4,2)/60)+(RIGHT(TEXT($N2121,"000000"),2)/3600)))</f>
        <v>29.310000000000002</v>
      </c>
      <c r="P2121" s="252" t="s">
        <v>190</v>
      </c>
      <c r="Q2121" s="253"/>
      <c r="R2121" s="277" t="s">
        <v>3293</v>
      </c>
      <c r="S2121" s="272" t="s">
        <v>3293</v>
      </c>
      <c r="T2121" s="273">
        <v>14.2</v>
      </c>
      <c r="U2121" s="289">
        <v>21.59</v>
      </c>
      <c r="V2121" s="280"/>
      <c r="W2121" s="244"/>
      <c r="X2121" s="244"/>
      <c r="Y2121" s="362"/>
      <c r="Z2121" s="257">
        <f>altaz(J2000_Bas,$O2121,$M2121,DecLat,DecLong,1)</f>
        <v>14.10324002348209</v>
      </c>
      <c r="AA2121" s="257">
        <f>altaz((J2000_Bas+(2*0.04167)),$O2121,$M2121,DecLat,DecLong,1)</f>
        <v>-7.460308268580059</v>
      </c>
      <c r="AB2121" s="257">
        <f>altaz((J2000_Bas+(4*0.04167)),$O2121,$M2121,DecLat,DecLong,1)</f>
        <v>-23.605443138902462</v>
      </c>
      <c r="AC2121" s="257">
        <f>altaz((J2000_Bas+(6*0.04167)),$O2121,$M2121,DecLat,DecLong,1)</f>
        <v>-29.683890271030517</v>
      </c>
      <c r="AD2121" s="258">
        <f>1+ transit((J2000_Bas-1),$O2121,$M2121,DecLat,DecLong)/360 + (GMTOffset/24) + (IF(DST="Y", 1, 0)/24)</f>
        <v>1.5355503693276247</v>
      </c>
      <c r="AE2121" s="259">
        <f>DATE(2001,9,21)+(M2121/360)*365 - (360*((DecLong/360)- (GMTOffset/24) ))</f>
        <v>37358.067418981482</v>
      </c>
      <c r="AF2121" s="260">
        <f>IF(DecLat&gt;0,IF((90 - (DecLat-O2121))&gt;90, (90 - (O2121-DecLat)), (90 - (DecLat-O2121))),IF((90 + (DecLat-O2121))&gt;90, (90 + (O2121-DecLat)), (90 + (DecLat-O2121))))</f>
        <v>88.31</v>
      </c>
      <c r="AG2121" s="257">
        <f>angularseperation(MoonRA,MoonDec,$M2121,$O2121)</f>
        <v>76.427270930662814</v>
      </c>
      <c r="AH2121" s="261">
        <f ca="1">MIN(100,IF($O$5&gt;80,0+30*($AG2121/100),IF($O$5&gt;70,0+50*($AG2121/100),IF($O$5&gt;60,5+50*($AG2121/100),IF($O$5&gt;50,10+60*($AG2121/100),IF($O$5&gt;40,15+70*($AG2121/100),IF($O$5&gt;30,20+70*($AG2121/100),IF($O$5&gt;20,40+55*($AG2121/100),(80+(20-$O$5)+30*($AG2121/100))))))))))</f>
        <v>100</v>
      </c>
      <c r="AI2121" s="263">
        <v>4922</v>
      </c>
      <c r="AJ2121" s="263"/>
      <c r="AK2121" s="263"/>
      <c r="AL2121" s="263"/>
      <c r="AM2121" s="264"/>
      <c r="AN2121" s="263"/>
      <c r="AO2121" s="263"/>
      <c r="AP2121" s="265"/>
      <c r="AQ2121" s="265">
        <v>8135</v>
      </c>
      <c r="AR2121" s="285">
        <v>86794</v>
      </c>
      <c r="AS2121" s="263"/>
      <c r="AT2121" s="263"/>
      <c r="AU2121" s="263"/>
      <c r="AV2121" s="264"/>
      <c r="AW2121" s="263"/>
      <c r="AX2121" s="263"/>
      <c r="AY2121" s="263"/>
      <c r="AZ2121" s="263"/>
      <c r="BA2121" s="263"/>
      <c r="BB2121" s="263"/>
      <c r="BC2121" s="263"/>
      <c r="BD2121" s="264"/>
      <c r="BE2121" s="263"/>
      <c r="BF2121" s="263"/>
      <c r="BG2121" s="263"/>
      <c r="BH2121" s="263"/>
      <c r="BI2121" s="263"/>
      <c r="BJ2121" s="404">
        <f>altaz(J2000_Bas,$O2121,$M2121,DecLat,DecLong,2)</f>
        <v>295.96963613652565</v>
      </c>
      <c r="BK2121" s="378" t="s">
        <v>3174</v>
      </c>
      <c r="BL2121" s="379">
        <f>IF((2*G2121)/60&lt;0.2,0.2,(2*G2121)/60)</f>
        <v>0.2</v>
      </c>
      <c r="BM2121" s="380">
        <f>MOD((50000+AD2121-$B$3+(0/24)),1)</f>
        <v>0.7509172990321531</v>
      </c>
      <c r="BN2121" s="381" t="s">
        <v>9281</v>
      </c>
      <c r="BO2121" s="382">
        <v>2112</v>
      </c>
    </row>
    <row r="2122" spans="1:67" s="24" customFormat="1" ht="15" customHeight="1" x14ac:dyDescent="0.25">
      <c r="A2122" s="288" t="s">
        <v>2033</v>
      </c>
      <c r="B2122" s="241" t="str">
        <f>HYPERLINK(CONCATENATE($AT$3,BK2122,$AU$3),$AV$3)</f>
        <v>S</v>
      </c>
      <c r="C2122" s="242" t="str">
        <f>HYPERLINK(CONCATENATE($AT$4,BK2122,$AU$4,BL2122),$AV$4)</f>
        <v>A</v>
      </c>
      <c r="D2122" s="243" t="s">
        <v>5638</v>
      </c>
      <c r="E2122" s="244" t="s">
        <v>5192</v>
      </c>
      <c r="F2122" s="269" t="s">
        <v>8925</v>
      </c>
      <c r="G2122" s="273">
        <v>4</v>
      </c>
      <c r="H2122" s="283">
        <v>110</v>
      </c>
      <c r="I2122" s="246">
        <v>120</v>
      </c>
      <c r="J2122" s="246">
        <v>1</v>
      </c>
      <c r="K2122" s="247" t="s">
        <v>8494</v>
      </c>
      <c r="L2122" s="248">
        <v>130405</v>
      </c>
      <c r="M2122" s="249">
        <f>15*(LEFT(TEXT($L2122,"000000"),2)+(MID(TEXT($L2122,"000000"),3,2)/60)+(RIGHT(TEXT($L2122,"000000"),2)/3600))</f>
        <v>196.02083333333331</v>
      </c>
      <c r="N2122" s="250">
        <v>-412441</v>
      </c>
      <c r="O2122" s="251">
        <f>IF($N2122&gt;0,(LEFT(TEXT($N2122,"000000"),2)+(MID(TEXT($N2122,"000000"),3,2)/60)+(RIGHT(TEXT($N2122,"000000"),2)/3600)),-(MID(TEXT($N2122,"000000"),2,2)+(MID(TEXT($N2122,"000000"),4,2)/60)+(RIGHT(TEXT($N2122,"000000"),2)/3600)))</f>
        <v>-41.411388888888887</v>
      </c>
      <c r="P2122" s="252" t="s">
        <v>927</v>
      </c>
      <c r="Q2122" s="253"/>
      <c r="R2122" s="277" t="s">
        <v>3293</v>
      </c>
      <c r="S2122" s="272" t="s">
        <v>3293</v>
      </c>
      <c r="T2122" s="273">
        <v>12</v>
      </c>
      <c r="U2122" s="289">
        <v>22.89</v>
      </c>
      <c r="V2122" s="280">
        <v>10</v>
      </c>
      <c r="W2122" s="244"/>
      <c r="X2122" s="244"/>
      <c r="Y2122" s="362"/>
      <c r="Z2122" s="257">
        <f>altaz(J2000_Bas,$O2122,$M2122,DecLat,DecLong,1)</f>
        <v>-19.90571276265884</v>
      </c>
      <c r="AA2122" s="257">
        <f>altaz((J2000_Bas+(2*0.04167)),$O2122,$M2122,DecLat,DecLong,1)</f>
        <v>-41.510014488508105</v>
      </c>
      <c r="AB2122" s="257">
        <f>altaz((J2000_Bas+(4*0.04167)),$O2122,$M2122,DecLat,DecLong,1)</f>
        <v>-63.929431153697564</v>
      </c>
      <c r="AC2122" s="257">
        <f>altaz((J2000_Bas+(6*0.04167)),$O2122,$M2122,DecLat,DecLong,1)</f>
        <v>-79.586890674005886</v>
      </c>
      <c r="AD2122" s="258">
        <f>1+ transit((J2000_Bas-1),$O2122,$M2122,DecLat,DecLong)/360 + (GMTOffset/24) + (IF(DST="Y", 1, 0)/24)</f>
        <v>1.5374022209942912</v>
      </c>
      <c r="AE2122" s="259">
        <f>DATE(2001,9,21)+(M2122/360)*365 - (360*((DecLong/360)- (GMTOffset/24) ))</f>
        <v>37358.743344907409</v>
      </c>
      <c r="AF2122" s="260">
        <f>IF(DecLat&gt;0,IF((90 - (DecLat-O2122))&gt;90, (90 - (O2122-DecLat)), (90 - (DecLat-O2122))),IF((90 + (DecLat-O2122))&gt;90, (90 + (O2122-DecLat)), (90 + (DecLat-O2122))))</f>
        <v>17.588611111111106</v>
      </c>
      <c r="AG2122" s="257">
        <f>angularseperation(MoonRA,MoonDec,$M2122,$O2122)</f>
        <v>45.496347574502856</v>
      </c>
      <c r="AH2122" s="261">
        <f ca="1">MIN(100,IF($O$5&gt;80,0+30*($AG2122/100),IF($O$5&gt;70,0+50*($AG2122/100),IF($O$5&gt;60,5+50*($AG2122/100),IF($O$5&gt;50,10+60*($AG2122/100),IF($O$5&gt;40,15+70*($AG2122/100),IF($O$5&gt;30,20+70*($AG2122/100),IF($O$5&gt;20,40+55*($AG2122/100),(80+(20-$O$5)+30*($AG2122/100))))))))))</f>
        <v>96.919964616501289</v>
      </c>
      <c r="AI2122" s="262">
        <v>4930</v>
      </c>
      <c r="AJ2122" s="263"/>
      <c r="AK2122" s="263"/>
      <c r="AL2122" s="263"/>
      <c r="AM2122" s="264"/>
      <c r="AN2122" s="263"/>
      <c r="AO2122" s="263"/>
      <c r="AP2122" s="265"/>
      <c r="AQ2122" s="265"/>
      <c r="AR2122" s="285">
        <v>45155</v>
      </c>
      <c r="AS2122" s="263"/>
      <c r="AT2122" s="263"/>
      <c r="AU2122" s="263"/>
      <c r="AV2122" s="264"/>
      <c r="AW2122" s="263"/>
      <c r="AX2122" s="263"/>
      <c r="AY2122" s="263"/>
      <c r="AZ2122" s="263"/>
      <c r="BA2122" s="263"/>
      <c r="BB2122" s="263"/>
      <c r="BC2122" s="263"/>
      <c r="BD2122" s="264"/>
      <c r="BE2122" s="263"/>
      <c r="BF2122" s="263"/>
      <c r="BG2122" s="263"/>
      <c r="BH2122" s="263"/>
      <c r="BI2122" s="263"/>
      <c r="BJ2122" s="404">
        <f>altaz(J2000_Bas,$O2122,$M2122,DecLat,DecLong,2)</f>
        <v>232.90484312237231</v>
      </c>
      <c r="BK2122" s="378" t="s">
        <v>2033</v>
      </c>
      <c r="BL2122" s="379">
        <f>IF((2*G2122)/60&lt;0.2,0.2,(2*G2122)/60)</f>
        <v>0.2</v>
      </c>
      <c r="BM2122" s="380">
        <f>MOD((50000+AD2122-$B$3+(0/24)),1)</f>
        <v>0.75276915069844108</v>
      </c>
      <c r="BN2122" s="381"/>
      <c r="BO2122" s="382">
        <v>2113</v>
      </c>
    </row>
    <row r="2123" spans="1:67" s="24" customFormat="1" ht="15" customHeight="1" x14ac:dyDescent="0.25">
      <c r="A2123" s="288" t="s">
        <v>2034</v>
      </c>
      <c r="B2123" s="241" t="str">
        <f>HYPERLINK(CONCATENATE($AT$3,BK2123,$AU$3),$AV$3)</f>
        <v>S</v>
      </c>
      <c r="C2123" s="242" t="str">
        <f>HYPERLINK(CONCATENATE($AT$4,BK2123,$AU$4,BL2123),$AV$4)</f>
        <v>A</v>
      </c>
      <c r="D2123" s="243" t="s">
        <v>5638</v>
      </c>
      <c r="E2123" s="244" t="s">
        <v>5192</v>
      </c>
      <c r="F2123" s="269" t="s">
        <v>8886</v>
      </c>
      <c r="G2123" s="273">
        <v>5</v>
      </c>
      <c r="H2123" s="283">
        <v>140</v>
      </c>
      <c r="I2123" s="246">
        <v>200</v>
      </c>
      <c r="J2123" s="246">
        <v>3</v>
      </c>
      <c r="K2123" s="247" t="s">
        <v>8316</v>
      </c>
      <c r="L2123" s="248">
        <v>130414</v>
      </c>
      <c r="M2123" s="249">
        <f>15*(LEFT(TEXT($L2123,"000000"),2)+(MID(TEXT($L2123,"000000"),3,2)/60)+(RIGHT(TEXT($L2123,"000000"),2)/3600))</f>
        <v>196.05833333333334</v>
      </c>
      <c r="N2123" s="250">
        <v>-102025</v>
      </c>
      <c r="O2123" s="251">
        <f>IF($N2123&gt;0,(LEFT(TEXT($N2123,"000000"),2)+(MID(TEXT($N2123,"000000"),3,2)/60)+(RIGHT(TEXT($N2123,"000000"),2)/3600)),-(MID(TEXT($N2123,"000000"),2,2)+(MID(TEXT($N2123,"000000"),4,2)/60)+(RIGHT(TEXT($N2123,"000000"),2)/3600)))</f>
        <v>-10.340277777777779</v>
      </c>
      <c r="P2123" s="252" t="s">
        <v>61</v>
      </c>
      <c r="Q2123" s="253"/>
      <c r="R2123" s="247" t="s">
        <v>3293</v>
      </c>
      <c r="S2123" s="272" t="s">
        <v>3293</v>
      </c>
      <c r="T2123" s="273">
        <v>13.8</v>
      </c>
      <c r="U2123" s="289">
        <v>22.990000000000002</v>
      </c>
      <c r="V2123" s="280">
        <v>60</v>
      </c>
      <c r="W2123" s="244"/>
      <c r="X2123" s="244"/>
      <c r="Y2123" s="362"/>
      <c r="Z2123" s="257">
        <f>altaz(J2000_Bas,$O2123,$M2123,DecLat,DecLong,1)</f>
        <v>-5.2571737718322922</v>
      </c>
      <c r="AA2123" s="257">
        <f>altaz((J2000_Bas+(2*0.04167)),$O2123,$M2123,DecLat,DecLong,1)</f>
        <v>-30.959811885144699</v>
      </c>
      <c r="AB2123" s="257">
        <f>altaz((J2000_Bas+(4*0.04167)),$O2123,$M2123,DecLat,DecLong,1)</f>
        <v>-55.441922900171306</v>
      </c>
      <c r="AC2123" s="257">
        <f>altaz((J2000_Bas+(6*0.04167)),$O2123,$M2123,DecLat,DecLong,1)</f>
        <v>-69.33946073366711</v>
      </c>
      <c r="AD2123" s="258">
        <f>1+ transit((J2000_Bas-1),$O2123,$M2123,DecLat,DecLong)/360 + (GMTOffset/24) + (IF(DST="Y", 1, 0)/24)</f>
        <v>1.5375063876505413</v>
      </c>
      <c r="AE2123" s="259">
        <f>DATE(2001,9,21)+(M2123/360)*365 - (360*((DecLong/360)- (GMTOffset/24) ))</f>
        <v>37358.781365740739</v>
      </c>
      <c r="AF2123" s="260">
        <f>IF(DecLat&gt;0,IF((90 - (DecLat-O2123))&gt;90, (90 - (O2123-DecLat)), (90 - (DecLat-O2123))),IF((90 + (DecLat-O2123))&gt;90, (90 + (O2123-DecLat)), (90 + (DecLat-O2123))))</f>
        <v>48.659722222222221</v>
      </c>
      <c r="AG2123" s="257">
        <f>angularseperation(MoonRA,MoonDec,$M2123,$O2123)</f>
        <v>52.656187026087125</v>
      </c>
      <c r="AH2123" s="261">
        <f ca="1">MIN(100,IF($O$5&gt;80,0+30*($AG2123/100),IF($O$5&gt;70,0+50*($AG2123/100),IF($O$5&gt;60,5+50*($AG2123/100),IF($O$5&gt;50,10+60*($AG2123/100),IF($O$5&gt;40,15+70*($AG2123/100),IF($O$5&gt;30,20+70*($AG2123/100),IF($O$5&gt;20,40+55*($AG2123/100),(80+(20-$O$5)+30*($AG2123/100))))))))))</f>
        <v>99.067916451976558</v>
      </c>
      <c r="AI2123" s="262">
        <v>4939</v>
      </c>
      <c r="AJ2123" s="262"/>
      <c r="AK2123" s="262"/>
      <c r="AL2123" s="263"/>
      <c r="AM2123" s="264"/>
      <c r="AN2123" s="263"/>
      <c r="AO2123" s="263"/>
      <c r="AP2123" s="265"/>
      <c r="AQ2123" s="266"/>
      <c r="AR2123" s="267">
        <v>45170</v>
      </c>
      <c r="AS2123" s="263"/>
      <c r="AT2123" s="263"/>
      <c r="AU2123" s="263"/>
      <c r="AV2123" s="264"/>
      <c r="AW2123" s="263"/>
      <c r="AX2123" s="263"/>
      <c r="AY2123" s="263"/>
      <c r="AZ2123" s="263"/>
      <c r="BA2123" s="263"/>
      <c r="BB2123" s="263"/>
      <c r="BC2123" s="263"/>
      <c r="BD2123" s="264"/>
      <c r="BE2123" s="263"/>
      <c r="BF2123" s="263"/>
      <c r="BG2123" s="263"/>
      <c r="BH2123" s="263"/>
      <c r="BI2123" s="263"/>
      <c r="BJ2123" s="404">
        <f>altaz(J2000_Bas,$O2123,$M2123,DecLat,DecLong,2)</f>
        <v>261.083153293262</v>
      </c>
      <c r="BK2123" s="378" t="s">
        <v>2034</v>
      </c>
      <c r="BL2123" s="379">
        <f>IF((2*G2123)/60&lt;0.2,0.2,(2*G2123)/60)</f>
        <v>0.2</v>
      </c>
      <c r="BM2123" s="380">
        <f>MOD((50000+AD2123-$B$3+(0/24)),1)</f>
        <v>0.75287331735307816</v>
      </c>
      <c r="BN2123" s="381"/>
      <c r="BO2123" s="382">
        <v>2114</v>
      </c>
    </row>
    <row r="2124" spans="1:67" s="24" customFormat="1" ht="15" customHeight="1" x14ac:dyDescent="0.25">
      <c r="A2124" s="288" t="s">
        <v>2035</v>
      </c>
      <c r="B2124" s="241" t="str">
        <f>HYPERLINK(CONCATENATE($AT$3,BK2124,$AU$3),$AV$3)</f>
        <v>S</v>
      </c>
      <c r="C2124" s="242" t="str">
        <f>HYPERLINK(CONCATENATE($AT$4,BK2124,$AU$4,BL2124),$AV$4)</f>
        <v>A</v>
      </c>
      <c r="D2124" s="243" t="s">
        <v>5638</v>
      </c>
      <c r="E2124" s="244" t="s">
        <v>5192</v>
      </c>
      <c r="F2124" s="269" t="s">
        <v>8906</v>
      </c>
      <c r="G2124" s="276">
        <v>16</v>
      </c>
      <c r="H2124" s="283">
        <v>10.5</v>
      </c>
      <c r="I2124" s="246">
        <v>50</v>
      </c>
      <c r="J2124" s="246">
        <v>4</v>
      </c>
      <c r="K2124" s="247" t="s">
        <v>8317</v>
      </c>
      <c r="L2124" s="248">
        <v>130527</v>
      </c>
      <c r="M2124" s="249">
        <f>15*(LEFT(TEXT($L2124,"000000"),2)+(MID(TEXT($L2124,"000000"),3,2)/60)+(RIGHT(TEXT($L2124,"000000"),2)/3600))</f>
        <v>196.36250000000001</v>
      </c>
      <c r="N2124" s="250">
        <v>-492802</v>
      </c>
      <c r="O2124" s="251">
        <f>IF($N2124&gt;0,(LEFT(TEXT($N2124,"000000"),2)+(MID(TEXT($N2124,"000000"),3,2)/60)+(RIGHT(TEXT($N2124,"000000"),2)/3600)),-(MID(TEXT($N2124,"000000"),2,2)+(MID(TEXT($N2124,"000000"),4,2)/60)+(RIGHT(TEXT($N2124,"000000"),2)/3600)))</f>
        <v>-49.467222222222226</v>
      </c>
      <c r="P2124" s="252" t="s">
        <v>927</v>
      </c>
      <c r="Q2124" s="253" t="s">
        <v>6848</v>
      </c>
      <c r="R2124" s="247" t="s">
        <v>7395</v>
      </c>
      <c r="S2124" s="272" t="s">
        <v>3293</v>
      </c>
      <c r="T2124" s="273">
        <v>8.4</v>
      </c>
      <c r="U2124" s="289">
        <v>21.79</v>
      </c>
      <c r="V2124" s="280">
        <v>83</v>
      </c>
      <c r="W2124" s="244"/>
      <c r="X2124" s="244"/>
      <c r="Y2124" s="362"/>
      <c r="Z2124" s="257">
        <f>altaz(J2000_Bas,$O2124,$M2124,DecLat,DecLong,1)</f>
        <v>-22.826863249012309</v>
      </c>
      <c r="AA2124" s="257">
        <f>altaz((J2000_Bas+(2*0.04167)),$O2124,$M2124,DecLat,DecLong,1)</f>
        <v>-41.886283813774227</v>
      </c>
      <c r="AB2124" s="257">
        <f>altaz((J2000_Bas+(4*0.04167)),$O2124,$M2124,DecLat,DecLong,1)</f>
        <v>-60.802483010011862</v>
      </c>
      <c r="AC2124" s="257">
        <f>altaz((J2000_Bas+(6*0.04167)),$O2124,$M2124,DecLat,DecLong,1)</f>
        <v>-71.532604556566227</v>
      </c>
      <c r="AD2124" s="258">
        <f>1+ transit((J2000_Bas-1),$O2124,$M2124,DecLat,DecLong)/360 + (GMTOffset/24) + (IF(DST="Y", 1, 0)/24)</f>
        <v>1.5383512949734581</v>
      </c>
      <c r="AE2124" s="259">
        <f>DATE(2001,9,21)+(M2124/360)*365 - (360*((DecLong/360)- (GMTOffset/24) ))</f>
        <v>37359.089756944442</v>
      </c>
      <c r="AF2124" s="260">
        <f>IF(DecLat&gt;0,IF((90 - (DecLat-O2124))&gt;90, (90 - (O2124-DecLat)), (90 - (DecLat-O2124))),IF((90 + (DecLat-O2124))&gt;90, (90 + (O2124-DecLat)), (90 + (DecLat-O2124))))</f>
        <v>9.5327777777777669</v>
      </c>
      <c r="AG2124" s="257">
        <f>angularseperation(MoonRA,MoonDec,$M2124,$O2124)</f>
        <v>45.954158653121581</v>
      </c>
      <c r="AH2124" s="261">
        <f ca="1">MIN(100,IF($O$5&gt;80,0+30*($AG2124/100),IF($O$5&gt;70,0+50*($AG2124/100),IF($O$5&gt;60,5+50*($AG2124/100),IF($O$5&gt;50,10+60*($AG2124/100),IF($O$5&gt;40,15+70*($AG2124/100),IF($O$5&gt;30,20+70*($AG2124/100),IF($O$5&gt;20,40+55*($AG2124/100),(80+(20-$O$5)+30*($AG2124/100))))))))))</f>
        <v>97.057307940086901</v>
      </c>
      <c r="AI2124" s="262">
        <v>4945</v>
      </c>
      <c r="AJ2124" s="262"/>
      <c r="AK2124" s="262"/>
      <c r="AL2124" s="263"/>
      <c r="AM2124" s="264">
        <v>83</v>
      </c>
      <c r="AN2124" s="263"/>
      <c r="AO2124" s="263"/>
      <c r="AP2124" s="265"/>
      <c r="AQ2124" s="266"/>
      <c r="AR2124" s="267">
        <v>45279</v>
      </c>
      <c r="AS2124" s="263"/>
      <c r="AT2124" s="263"/>
      <c r="AU2124" s="263"/>
      <c r="AV2124" s="264"/>
      <c r="AW2124" s="263"/>
      <c r="AX2124" s="263"/>
      <c r="AY2124" s="263"/>
      <c r="AZ2124" s="263"/>
      <c r="BA2124" s="263"/>
      <c r="BB2124" s="263"/>
      <c r="BC2124" s="263"/>
      <c r="BD2124" s="264"/>
      <c r="BE2124" s="263"/>
      <c r="BF2124" s="263"/>
      <c r="BG2124" s="263"/>
      <c r="BH2124" s="263"/>
      <c r="BI2124" s="263"/>
      <c r="BJ2124" s="404">
        <f>altaz(J2000_Bas,$O2124,$M2124,DecLat,DecLong,2)</f>
        <v>224.83697537494723</v>
      </c>
      <c r="BK2124" s="378" t="s">
        <v>2035</v>
      </c>
      <c r="BL2124" s="379">
        <f>IF((2*G2124)/60&lt;0.2,0.2,(2*G2124)/60)</f>
        <v>0.53333333333333333</v>
      </c>
      <c r="BM2124" s="380">
        <f>MOD((50000+AD2124-$B$3+(0/24)),1)</f>
        <v>0.75371822467423044</v>
      </c>
      <c r="BN2124" s="381"/>
      <c r="BO2124" s="382">
        <v>2115</v>
      </c>
    </row>
    <row r="2125" spans="1:67" s="24" customFormat="1" ht="15" customHeight="1" x14ac:dyDescent="0.25">
      <c r="A2125" s="287" t="s">
        <v>2036</v>
      </c>
      <c r="B2125" s="241" t="str">
        <f>HYPERLINK(CONCATENATE($AT$3,BK2125,$AU$3),$AV$3)</f>
        <v>S</v>
      </c>
      <c r="C2125" s="242" t="str">
        <f>HYPERLINK(CONCATENATE($AT$4,BK2125,$AU$4,BL2125),$AV$4)</f>
        <v>A</v>
      </c>
      <c r="D2125" s="243" t="s">
        <v>5638</v>
      </c>
      <c r="E2125" s="244" t="s">
        <v>5182</v>
      </c>
      <c r="F2125" s="269" t="s">
        <v>8984</v>
      </c>
      <c r="G2125" s="273">
        <v>6</v>
      </c>
      <c r="H2125" s="283">
        <v>46</v>
      </c>
      <c r="I2125" s="246">
        <v>80</v>
      </c>
      <c r="J2125" s="246">
        <v>2</v>
      </c>
      <c r="K2125" s="247" t="s">
        <v>8325</v>
      </c>
      <c r="L2125" s="248">
        <v>130549</v>
      </c>
      <c r="M2125" s="249">
        <f>15*(LEFT(TEXT($L2125,"000000"),2)+(MID(TEXT($L2125,"000000"),3,2)/60)+(RIGHT(TEXT($L2125,"000000"),2)/3600))</f>
        <v>196.45416666666668</v>
      </c>
      <c r="N2125" s="250">
        <v>-80115</v>
      </c>
      <c r="O2125" s="251">
        <f>IF($N2125&gt;0,(LEFT(TEXT($N2125,"000000"),2)+(MID(TEXT($N2125,"000000"),3,2)/60)+(RIGHT(TEXT($N2125,"000000"),2)/3600)),-(MID(TEXT($N2125,"000000"),2,2)+(MID(TEXT($N2125,"000000"),4,2)/60)+(RIGHT(TEXT($N2125,"000000"),2)/3600)))</f>
        <v>-8.0208333333333339</v>
      </c>
      <c r="P2125" s="252" t="s">
        <v>61</v>
      </c>
      <c r="Q2125" s="253"/>
      <c r="R2125" s="277" t="s">
        <v>3293</v>
      </c>
      <c r="S2125" s="272" t="s">
        <v>3293</v>
      </c>
      <c r="T2125" s="273">
        <v>10.7</v>
      </c>
      <c r="U2125" s="289">
        <v>21.19</v>
      </c>
      <c r="V2125" s="280">
        <v>85</v>
      </c>
      <c r="W2125" s="244"/>
      <c r="X2125" s="244"/>
      <c r="Y2125" s="362"/>
      <c r="Z2125" s="257">
        <f>altaz(J2000_Bas,$O2125,$M2125,DecLat,DecLong,1)</f>
        <v>-3.7369490854097194</v>
      </c>
      <c r="AA2125" s="257">
        <f>altaz((J2000_Bas+(2*0.04167)),$O2125,$M2125,DecLat,DecLong,1)</f>
        <v>-29.441778803681999</v>
      </c>
      <c r="AB2125" s="257">
        <f>altaz((J2000_Bas+(4*0.04167)),$O2125,$M2125,DecLat,DecLong,1)</f>
        <v>-53.593897948060565</v>
      </c>
      <c r="AC2125" s="257">
        <f>altaz((J2000_Bas+(6*0.04167)),$O2125,$M2125,DecLat,DecLong,1)</f>
        <v>-67.020090214959509</v>
      </c>
      <c r="AD2125" s="258">
        <f>1+ transit((J2000_Bas-1),$O2125,$M2125,DecLat,DecLong)/360 + (GMTOffset/24) + (IF(DST="Y", 1, 0)/24)</f>
        <v>1.5386059245776247</v>
      </c>
      <c r="AE2125" s="259">
        <f>DATE(2001,9,21)+(M2125/360)*365 - (360*((DecLong/360)- (GMTOffset/24) ))</f>
        <v>37359.182696759257</v>
      </c>
      <c r="AF2125" s="260">
        <f>IF(DecLat&gt;0,IF((90 - (DecLat-O2125))&gt;90, (90 - (O2125-DecLat)), (90 - (DecLat-O2125))),IF((90 + (DecLat-O2125))&gt;90, (90 + (O2125-DecLat)), (90 + (DecLat-O2125))))</f>
        <v>50.979166666666664</v>
      </c>
      <c r="AG2125" s="257">
        <f>angularseperation(MoonRA,MoonDec,$M2125,$O2125)</f>
        <v>53.365249852985315</v>
      </c>
      <c r="AH2125" s="261">
        <f ca="1">MIN(100,IF($O$5&gt;80,0+30*($AG2125/100),IF($O$5&gt;70,0+50*($AG2125/100),IF($O$5&gt;60,5+50*($AG2125/100),IF($O$5&gt;50,10+60*($AG2125/100),IF($O$5&gt;40,15+70*($AG2125/100),IF($O$5&gt;30,20+70*($AG2125/100),IF($O$5&gt;20,40+55*($AG2125/100),(80+(20-$O$5)+30*($AG2125/100))))))))))</f>
        <v>99.280635300046015</v>
      </c>
      <c r="AI2125" s="262">
        <v>4958</v>
      </c>
      <c r="AJ2125" s="263"/>
      <c r="AK2125" s="263">
        <v>287</v>
      </c>
      <c r="AL2125" s="263"/>
      <c r="AM2125" s="264"/>
      <c r="AN2125" s="263"/>
      <c r="AO2125" s="263"/>
      <c r="AP2125" s="265"/>
      <c r="AQ2125" s="265"/>
      <c r="AR2125" s="285">
        <v>45313</v>
      </c>
      <c r="AS2125" s="263"/>
      <c r="AT2125" s="263"/>
      <c r="AU2125" s="263"/>
      <c r="AV2125" s="264"/>
      <c r="AW2125" s="263"/>
      <c r="AX2125" s="263"/>
      <c r="AY2125" s="263"/>
      <c r="AZ2125" s="263"/>
      <c r="BA2125" s="263"/>
      <c r="BB2125" s="263"/>
      <c r="BC2125" s="263"/>
      <c r="BD2125" s="264"/>
      <c r="BE2125" s="263"/>
      <c r="BF2125" s="263"/>
      <c r="BG2125" s="263"/>
      <c r="BH2125" s="263"/>
      <c r="BI2125" s="263"/>
      <c r="BJ2125" s="404">
        <f>altaz(J2000_Bas,$O2125,$M2125,DecLat,DecLong,2)</f>
        <v>262.88357964574732</v>
      </c>
      <c r="BK2125" s="378" t="s">
        <v>2036</v>
      </c>
      <c r="BL2125" s="379">
        <f>IF((2*G2125)/60&lt;0.2,0.2,(2*G2125)/60)</f>
        <v>0.2</v>
      </c>
      <c r="BM2125" s="380">
        <f>MOD((50000+AD2125-$B$3+(0/24)),1)</f>
        <v>0.75397285428334726</v>
      </c>
      <c r="BN2125" s="381"/>
      <c r="BO2125" s="382">
        <v>2116</v>
      </c>
    </row>
    <row r="2126" spans="1:67" s="24" customFormat="1" ht="15" customHeight="1" x14ac:dyDescent="0.25">
      <c r="A2126" s="287" t="s">
        <v>3175</v>
      </c>
      <c r="B2126" s="241" t="str">
        <f>HYPERLINK(CONCATENATE($AT$3,BK2126,$AU$3),$AV$3)</f>
        <v>S</v>
      </c>
      <c r="C2126" s="242" t="str">
        <f>HYPERLINK(CONCATENATE($AT$4,BK2126,$AU$4,BL2126),$AV$4)</f>
        <v>A</v>
      </c>
      <c r="D2126" s="243" t="s">
        <v>5638</v>
      </c>
      <c r="E2126" s="244" t="s">
        <v>5182</v>
      </c>
      <c r="F2126" s="269" t="s">
        <v>8903</v>
      </c>
      <c r="G2126" s="273">
        <v>3.2</v>
      </c>
      <c r="H2126" s="283">
        <v>50</v>
      </c>
      <c r="I2126" s="246">
        <v>50</v>
      </c>
      <c r="J2126" s="246">
        <v>2</v>
      </c>
      <c r="K2126" s="247" t="s">
        <v>8326</v>
      </c>
      <c r="L2126" s="248">
        <v>130857</v>
      </c>
      <c r="M2126" s="249">
        <f>15*(LEFT(TEXT($L2126,"000000"),2)+(MID(TEXT($L2126,"000000"),3,2)/60)+(RIGHT(TEXT($L2126,"000000"),2)/3600))</f>
        <v>197.23749999999998</v>
      </c>
      <c r="N2126" s="250">
        <v>-153100</v>
      </c>
      <c r="O2126" s="251">
        <f>IF($N2126&gt;0,(LEFT(TEXT($N2126,"000000"),2)+(MID(TEXT($N2126,"000000"),3,2)/60)+(RIGHT(TEXT($N2126,"000000"),2)/3600)),-(MID(TEXT($N2126,"000000"),2,2)+(MID(TEXT($N2126,"000000"),4,2)/60)+(RIGHT(TEXT($N2126,"000000"),2)/3600)))</f>
        <v>-15.516666666666667</v>
      </c>
      <c r="P2126" s="252" t="s">
        <v>61</v>
      </c>
      <c r="Q2126" s="253"/>
      <c r="R2126" s="277" t="s">
        <v>3293</v>
      </c>
      <c r="S2126" s="272" t="s">
        <v>3293</v>
      </c>
      <c r="T2126" s="273">
        <v>11.3</v>
      </c>
      <c r="U2126" s="289">
        <v>21.990000000000002</v>
      </c>
      <c r="V2126" s="280">
        <v>25</v>
      </c>
      <c r="W2126" s="244"/>
      <c r="X2126" s="244"/>
      <c r="Y2126" s="362"/>
      <c r="Z2126" s="257">
        <f>altaz(J2000_Bas,$O2126,$M2126,DecLat,DecLong,1)</f>
        <v>-6.8911117090574692</v>
      </c>
      <c r="AA2126" s="257">
        <f>altaz((J2000_Bas+(2*0.04167)),$O2126,$M2126,DecLat,DecLong,1)</f>
        <v>-32.432280779446003</v>
      </c>
      <c r="AB2126" s="257">
        <f>altaz((J2000_Bas+(4*0.04167)),$O2126,$M2126,DecLat,DecLong,1)</f>
        <v>-57.698736757518361</v>
      </c>
      <c r="AC2126" s="257">
        <f>altaz((J2000_Bas+(6*0.04167)),$O2126,$M2126,DecLat,DecLong,1)</f>
        <v>-74.490693112267991</v>
      </c>
      <c r="AD2126" s="258">
        <f>1+ transit((J2000_Bas-1),$O2126,$M2126,DecLat,DecLong)/360 + (GMTOffset/24) + (IF(DST="Y", 1, 0)/24)</f>
        <v>1.540781850285958</v>
      </c>
      <c r="AE2126" s="259">
        <f>DATE(2001,9,21)+(M2126/360)*365 - (360*((DecLong/360)- (GMTOffset/24) ))</f>
        <v>37359.976909722223</v>
      </c>
      <c r="AF2126" s="260">
        <f>IF(DecLat&gt;0,IF((90 - (DecLat-O2126))&gt;90, (90 - (O2126-DecLat)), (90 - (DecLat-O2126))),IF((90 + (DecLat-O2126))&gt;90, (90 + (O2126-DecLat)), (90 + (DecLat-O2126))))</f>
        <v>43.483333333333334</v>
      </c>
      <c r="AG2126" s="257">
        <f>angularseperation(MoonRA,MoonDec,$M2126,$O2126)</f>
        <v>49.464606980040365</v>
      </c>
      <c r="AH2126" s="261">
        <f ca="1">MIN(100,IF($O$5&gt;80,0+30*($AG2126/100),IF($O$5&gt;70,0+50*($AG2126/100),IF($O$5&gt;60,5+50*($AG2126/100),IF($O$5&gt;50,10+60*($AG2126/100),IF($O$5&gt;40,15+70*($AG2126/100),IF($O$5&gt;30,20+70*($AG2126/100),IF($O$5&gt;20,40+55*($AG2126/100),(80+(20-$O$5)+30*($AG2126/100))))))))))</f>
        <v>98.110442438162536</v>
      </c>
      <c r="AI2126" s="263">
        <v>4984</v>
      </c>
      <c r="AJ2126" s="263"/>
      <c r="AK2126" s="263"/>
      <c r="AL2126" s="263"/>
      <c r="AM2126" s="264"/>
      <c r="AN2126" s="263"/>
      <c r="AO2126" s="263"/>
      <c r="AP2126" s="265"/>
      <c r="AQ2126" s="265"/>
      <c r="AR2126" s="285">
        <v>45585</v>
      </c>
      <c r="AS2126" s="263"/>
      <c r="AT2126" s="263"/>
      <c r="AU2126" s="263"/>
      <c r="AV2126" s="264"/>
      <c r="AW2126" s="263"/>
      <c r="AX2126" s="263"/>
      <c r="AY2126" s="263"/>
      <c r="AZ2126" s="263"/>
      <c r="BA2126" s="263"/>
      <c r="BB2126" s="263"/>
      <c r="BC2126" s="263"/>
      <c r="BD2126" s="264"/>
      <c r="BE2126" s="263"/>
      <c r="BF2126" s="263"/>
      <c r="BG2126" s="263"/>
      <c r="BH2126" s="263"/>
      <c r="BI2126" s="263"/>
      <c r="BJ2126" s="404">
        <f>altaz(J2000_Bas,$O2126,$M2126,DecLat,DecLong,2)</f>
        <v>256.01016975803884</v>
      </c>
      <c r="BK2126" s="378" t="s">
        <v>3175</v>
      </c>
      <c r="BL2126" s="379">
        <f>IF((2*G2126)/60&lt;0.2,0.2,(2*G2126)/60)</f>
        <v>0.2</v>
      </c>
      <c r="BM2126" s="380">
        <f>MOD((50000+AD2126-$B$3+(0/24)),1)</f>
        <v>0.75614877999032615</v>
      </c>
      <c r="BN2126" s="381"/>
      <c r="BO2126" s="382">
        <v>2117</v>
      </c>
    </row>
    <row r="2127" spans="1:67" s="24" customFormat="1" ht="15" customHeight="1" x14ac:dyDescent="0.25">
      <c r="A2127" s="287" t="s">
        <v>3009</v>
      </c>
      <c r="B2127" s="241" t="str">
        <f>HYPERLINK(CONCATENATE($AT$3,BK2127,$AU$3),$AV$3)</f>
        <v>S</v>
      </c>
      <c r="C2127" s="242" t="str">
        <f>HYPERLINK(CONCATENATE($AT$4,BK2127,$AU$4,BL2127),$AV$4)</f>
        <v>A</v>
      </c>
      <c r="D2127" s="243" t="s">
        <v>5638</v>
      </c>
      <c r="E2127" s="244" t="s">
        <v>5192</v>
      </c>
      <c r="F2127" s="269" t="s">
        <v>8908</v>
      </c>
      <c r="G2127" s="273">
        <v>2.6</v>
      </c>
      <c r="H2127" s="283">
        <v>80.017470000000003</v>
      </c>
      <c r="I2127" s="246">
        <v>60</v>
      </c>
      <c r="J2127" s="246">
        <v>2</v>
      </c>
      <c r="K2127" s="247" t="s">
        <v>8327</v>
      </c>
      <c r="L2127" s="248">
        <v>130936</v>
      </c>
      <c r="M2127" s="249">
        <f>15*(LEFT(TEXT($L2127,"000000"),2)+(MID(TEXT($L2127,"000000"),3,2)/60)+(RIGHT(TEXT($L2127,"000000"),2)/3600))</f>
        <v>197.4</v>
      </c>
      <c r="N2127" s="250">
        <v>-75000</v>
      </c>
      <c r="O2127" s="251">
        <f>IF($N2127&gt;0,(LEFT(TEXT($N2127,"000000"),2)+(MID(TEXT($N2127,"000000"),3,2)/60)+(RIGHT(TEXT($N2127,"000000"),2)/3600)),-(MID(TEXT($N2127,"000000"),2,2)+(MID(TEXT($N2127,"000000"),4,2)/60)+(RIGHT(TEXT($N2127,"000000"),2)/3600)))</f>
        <v>-7.833333333333333</v>
      </c>
      <c r="P2127" s="252" t="s">
        <v>61</v>
      </c>
      <c r="Q2127" s="253"/>
      <c r="R2127" s="277" t="s">
        <v>3293</v>
      </c>
      <c r="S2127" s="272" t="s">
        <v>3293</v>
      </c>
      <c r="T2127" s="273">
        <v>11.1</v>
      </c>
      <c r="U2127" s="289">
        <v>21.29</v>
      </c>
      <c r="V2127" s="280">
        <v>70</v>
      </c>
      <c r="W2127" s="244"/>
      <c r="X2127" s="244"/>
      <c r="Y2127" s="362"/>
      <c r="Z2127" s="257">
        <f>altaz(J2000_Bas,$O2127,$M2127,DecLat,DecLong,1)</f>
        <v>-2.8365787911240692</v>
      </c>
      <c r="AA2127" s="257">
        <f>altaz((J2000_Bas+(2*0.04167)),$O2127,$M2127,DecLat,DecLong,1)</f>
        <v>-28.543091642665715</v>
      </c>
      <c r="AB2127" s="257">
        <f>altaz((J2000_Bas+(4*0.04167)),$O2127,$M2127,DecLat,DecLong,1)</f>
        <v>-52.780770305504802</v>
      </c>
      <c r="AC2127" s="257">
        <f>altaz((J2000_Bas+(6*0.04167)),$O2127,$M2127,DecLat,DecLong,1)</f>
        <v>-66.808705711293698</v>
      </c>
      <c r="AD2127" s="258">
        <f>1+ transit((J2000_Bas-1),$O2127,$M2127,DecLat,DecLong)/360 + (GMTOffset/24) + (IF(DST="Y", 1, 0)/24)</f>
        <v>1.5412332391297081</v>
      </c>
      <c r="AE2127" s="259">
        <f>DATE(2001,9,21)+(M2127/360)*365 - (360*((DecLong/360)- (GMTOffset/24) ))</f>
        <v>37360.14166666667</v>
      </c>
      <c r="AF2127" s="260">
        <f>IF(DecLat&gt;0,IF((90 - (DecLat-O2127))&gt;90, (90 - (O2127-DecLat)), (90 - (DecLat-O2127))),IF((90 + (DecLat-O2127))&gt;90, (90 + (O2127-DecLat)), (90 + (DecLat-O2127))))</f>
        <v>51.166666666666664</v>
      </c>
      <c r="AG2127" s="257">
        <f>angularseperation(MoonRA,MoonDec,$M2127,$O2127)</f>
        <v>52.626976138990848</v>
      </c>
      <c r="AH2127" s="261">
        <f ca="1">MIN(100,IF($O$5&gt;80,0+30*($AG2127/100),IF($O$5&gt;70,0+50*($AG2127/100),IF($O$5&gt;60,5+50*($AG2127/100),IF($O$5&gt;50,10+60*($AG2127/100),IF($O$5&gt;40,15+70*($AG2127/100),IF($O$5&gt;30,20+70*($AG2127/100),IF($O$5&gt;20,40+55*($AG2127/100),(80+(20-$O$5)+30*($AG2127/100))))))))))</f>
        <v>99.059153185847677</v>
      </c>
      <c r="AI2127" s="262">
        <v>4995</v>
      </c>
      <c r="AJ2127" s="263"/>
      <c r="AK2127" s="263">
        <v>288</v>
      </c>
      <c r="AL2127" s="263"/>
      <c r="AM2127" s="264"/>
      <c r="AN2127" s="263"/>
      <c r="AO2127" s="263"/>
      <c r="AP2127" s="265"/>
      <c r="AQ2127" s="265"/>
      <c r="AR2127" s="285">
        <v>45643</v>
      </c>
      <c r="AS2127" s="263"/>
      <c r="AT2127" s="263"/>
      <c r="AU2127" s="263"/>
      <c r="AV2127" s="264"/>
      <c r="AW2127" s="263"/>
      <c r="AX2127" s="263"/>
      <c r="AY2127" s="263"/>
      <c r="AZ2127" s="263"/>
      <c r="BA2127" s="263"/>
      <c r="BB2127" s="263"/>
      <c r="BC2127" s="263"/>
      <c r="BD2127" s="264"/>
      <c r="BE2127" s="263"/>
      <c r="BF2127" s="263"/>
      <c r="BG2127" s="263"/>
      <c r="BH2127" s="263"/>
      <c r="BI2127" s="263"/>
      <c r="BJ2127" s="404">
        <f>altaz(J2000_Bas,$O2127,$M2127,DecLat,DecLong,2)</f>
        <v>262.56355996229036</v>
      </c>
      <c r="BK2127" s="378" t="s">
        <v>3009</v>
      </c>
      <c r="BL2127" s="379">
        <f>IF((2*G2127)/60&lt;0.2,0.2,(2*G2127)/60)</f>
        <v>0.2</v>
      </c>
      <c r="BM2127" s="380">
        <f>MOD((50000+AD2127-$B$3+(0/24)),1)</f>
        <v>0.75660016883193748</v>
      </c>
      <c r="BN2127" s="381"/>
      <c r="BO2127" s="382">
        <v>2118</v>
      </c>
    </row>
    <row r="2128" spans="1:67" s="24" customFormat="1" ht="15" customHeight="1" x14ac:dyDescent="0.25">
      <c r="A2128" s="287" t="s">
        <v>2037</v>
      </c>
      <c r="B2128" s="241" t="str">
        <f>HYPERLINK(CONCATENATE($AT$3,BK2128,$AU$3),$AV$3)</f>
        <v>S</v>
      </c>
      <c r="C2128" s="242" t="str">
        <f>HYPERLINK(CONCATENATE($AT$4,BK2128,$AU$4,BL2128),$AV$4)</f>
        <v>A</v>
      </c>
      <c r="D2128" s="243" t="s">
        <v>5638</v>
      </c>
      <c r="E2128" s="244" t="s">
        <v>3259</v>
      </c>
      <c r="F2128" s="269"/>
      <c r="G2128" s="273">
        <v>2.2000000000000002</v>
      </c>
      <c r="H2128" s="283">
        <v>65</v>
      </c>
      <c r="I2128" s="246">
        <v>42</v>
      </c>
      <c r="J2128" s="246">
        <v>2</v>
      </c>
      <c r="K2128" s="247" t="s">
        <v>8115</v>
      </c>
      <c r="L2128" s="248">
        <v>131038</v>
      </c>
      <c r="M2128" s="249">
        <f>15*(LEFT(TEXT($L2128,"000000"),2)+(MID(TEXT($L2128,"000000"),3,2)/60)+(RIGHT(TEXT($L2128,"000000"),2)/3600))</f>
        <v>197.65833333333333</v>
      </c>
      <c r="N2128" s="250">
        <v>363803</v>
      </c>
      <c r="O2128" s="251">
        <f>IF($N2128&gt;0,(LEFT(TEXT($N2128,"000000"),2)+(MID(TEXT($N2128,"000000"),3,2)/60)+(RIGHT(TEXT($N2128,"000000"),2)/3600)),-(MID(TEXT($N2128,"000000"),2,2)+(MID(TEXT($N2128,"000000"),4,2)/60)+(RIGHT(TEXT($N2128,"000000"),2)/3600)))</f>
        <v>36.634166666666665</v>
      </c>
      <c r="P2128" s="252" t="s">
        <v>242</v>
      </c>
      <c r="Q2128" s="253"/>
      <c r="R2128" s="277" t="s">
        <v>3293</v>
      </c>
      <c r="S2128" s="272" t="s">
        <v>3293</v>
      </c>
      <c r="T2128" s="273">
        <v>13.8</v>
      </c>
      <c r="U2128" s="289">
        <v>23.09</v>
      </c>
      <c r="V2128" s="280">
        <v>65</v>
      </c>
      <c r="W2128" s="244"/>
      <c r="X2128" s="244"/>
      <c r="Y2128" s="362"/>
      <c r="Z2128" s="257">
        <f>altaz(J2000_Bas,$O2128,$M2128,DecLat,DecLong,1)</f>
        <v>19.098869232374497</v>
      </c>
      <c r="AA2128" s="257">
        <f>altaz((J2000_Bas+(2*0.04167)),$O2128,$M2128,DecLat,DecLong,1)</f>
        <v>-1.1537129167886377</v>
      </c>
      <c r="AB2128" s="257">
        <f>altaz((J2000_Bas+(4*0.04167)),$O2128,$M2128,DecLat,DecLong,1)</f>
        <v>-16.214989414409498</v>
      </c>
      <c r="AC2128" s="257">
        <f>altaz((J2000_Bas+(6*0.04167)),$O2128,$M2128,DecLat,DecLong,1)</f>
        <v>-22.353074735456481</v>
      </c>
      <c r="AD2128" s="258">
        <f>1+ transit((J2000_Bas-1),$O2128,$M2128,DecLat,DecLong)/360 + (GMTOffset/24) + (IF(DST="Y", 1, 0)/24)</f>
        <v>1.5419508316505415</v>
      </c>
      <c r="AE2128" s="259">
        <f>DATE(2001,9,21)+(M2128/360)*365 - (360*((DecLong/360)- (GMTOffset/24) ))</f>
        <v>37360.403587962966</v>
      </c>
      <c r="AF2128" s="260">
        <f>IF(DecLat&gt;0,IF((90 - (DecLat-O2128))&gt;90, (90 - (O2128-DecLat)), (90 - (DecLat-O2128))),IF((90 + (DecLat-O2128))&gt;90, (90 + (O2128-DecLat)), (90 + (DecLat-O2128))))</f>
        <v>84.365833333333342</v>
      </c>
      <c r="AG2128" s="257">
        <f>angularseperation(MoonRA,MoonDec,$M2128,$O2128)</f>
        <v>80.080175407480539</v>
      </c>
      <c r="AH2128" s="261">
        <f ca="1">MIN(100,IF($O$5&gt;80,0+30*($AG2128/100),IF($O$5&gt;70,0+50*($AG2128/100),IF($O$5&gt;60,5+50*($AG2128/100),IF($O$5&gt;50,10+60*($AG2128/100),IF($O$5&gt;40,15+70*($AG2128/100),IF($O$5&gt;30,20+70*($AG2128/100),IF($O$5&gt;20,40+55*($AG2128/100),(80+(20-$O$5)+30*($AG2128/100))))))))))</f>
        <v>100</v>
      </c>
      <c r="AI2128" s="262">
        <v>5002</v>
      </c>
      <c r="AJ2128" s="263"/>
      <c r="AK2128" s="263"/>
      <c r="AL2128" s="263"/>
      <c r="AM2128" s="264"/>
      <c r="AN2128" s="263"/>
      <c r="AO2128" s="263"/>
      <c r="AP2128" s="265"/>
      <c r="AQ2128" s="265">
        <v>8254</v>
      </c>
      <c r="AR2128" s="285">
        <v>45728</v>
      </c>
      <c r="AS2128" s="263"/>
      <c r="AT2128" s="263"/>
      <c r="AU2128" s="263"/>
      <c r="AV2128" s="264"/>
      <c r="AW2128" s="263"/>
      <c r="AX2128" s="263"/>
      <c r="AY2128" s="263"/>
      <c r="AZ2128" s="263"/>
      <c r="BA2128" s="263"/>
      <c r="BB2128" s="263"/>
      <c r="BC2128" s="263"/>
      <c r="BD2128" s="264"/>
      <c r="BE2128" s="263"/>
      <c r="BF2128" s="263"/>
      <c r="BG2128" s="263"/>
      <c r="BH2128" s="263"/>
      <c r="BI2128" s="263"/>
      <c r="BJ2128" s="404">
        <f>altaz(J2000_Bas,$O2128,$M2128,DecLat,DecLong,2)</f>
        <v>301.91303160879096</v>
      </c>
      <c r="BK2128" s="378" t="s">
        <v>2037</v>
      </c>
      <c r="BL2128" s="379">
        <f>IF((2*G2128)/60&lt;0.2,0.2,(2*G2128)/60)</f>
        <v>0.2</v>
      </c>
      <c r="BM2128" s="380">
        <f>MOD((50000+AD2128-$B$3+(0/24)),1)</f>
        <v>0.75731776135216933</v>
      </c>
      <c r="BN2128" s="381"/>
      <c r="BO2128" s="382">
        <v>2119</v>
      </c>
    </row>
    <row r="2129" spans="1:67" s="24" customFormat="1" ht="15" customHeight="1" x14ac:dyDescent="0.25">
      <c r="A2129" s="288" t="s">
        <v>2038</v>
      </c>
      <c r="B2129" s="241" t="str">
        <f>HYPERLINK(CONCATENATE($AT$3,BK2129,$AU$3),$AV$3)</f>
        <v>S</v>
      </c>
      <c r="C2129" s="242" t="str">
        <f>HYPERLINK(CONCATENATE($AT$4,BK2129,$AU$4,BL2129),$AV$4)</f>
        <v>A</v>
      </c>
      <c r="D2129" s="243" t="s">
        <v>5638</v>
      </c>
      <c r="E2129" s="244" t="s">
        <v>4292</v>
      </c>
      <c r="F2129" s="269"/>
      <c r="G2129" s="273">
        <v>5</v>
      </c>
      <c r="H2129" s="283">
        <v>70</v>
      </c>
      <c r="I2129" s="246">
        <v>105</v>
      </c>
      <c r="J2129" s="246">
        <v>2</v>
      </c>
      <c r="K2129" s="247" t="s">
        <v>8116</v>
      </c>
      <c r="L2129" s="248">
        <v>131056</v>
      </c>
      <c r="M2129" s="249">
        <f>15*(LEFT(TEXT($L2129,"000000"),2)+(MID(TEXT($L2129,"000000"),3,2)/60)+(RIGHT(TEXT($L2129,"000000"),2)/3600))</f>
        <v>197.73333333333335</v>
      </c>
      <c r="N2129" s="250">
        <v>370330</v>
      </c>
      <c r="O2129" s="251">
        <f>IF($N2129&gt;0,(LEFT(TEXT($N2129,"000000"),2)+(MID(TEXT($N2129,"000000"),3,2)/60)+(RIGHT(TEXT($N2129,"000000"),2)/3600)),-(MID(TEXT($N2129,"000000"),2,2)+(MID(TEXT($N2129,"000000"),4,2)/60)+(RIGHT(TEXT($N2129,"000000"),2)/3600)))</f>
        <v>37.05833333333333</v>
      </c>
      <c r="P2129" s="252" t="s">
        <v>242</v>
      </c>
      <c r="Q2129" s="253"/>
      <c r="R2129" s="247" t="s">
        <v>7353</v>
      </c>
      <c r="S2129" s="272" t="s">
        <v>3293</v>
      </c>
      <c r="T2129" s="273">
        <v>9.8000000000000007</v>
      </c>
      <c r="U2129" s="289">
        <v>21.490000000000002</v>
      </c>
      <c r="V2129" s="280">
        <v>70</v>
      </c>
      <c r="W2129" s="244"/>
      <c r="X2129" s="244"/>
      <c r="Y2129" s="362"/>
      <c r="Z2129" s="257">
        <f>altaz(J2000_Bas,$O2129,$M2129,DecLat,DecLong,1)</f>
        <v>19.331641578169712</v>
      </c>
      <c r="AA2129" s="257">
        <f>altaz((J2000_Bas+(2*0.04167)),$O2129,$M2129,DecLat,DecLong,1)</f>
        <v>-0.82991233716013713</v>
      </c>
      <c r="AB2129" s="257">
        <f>altaz((J2000_Bas+(4*0.04167)),$O2129,$M2129,DecLat,DecLong,1)</f>
        <v>-15.811768723870951</v>
      </c>
      <c r="AC2129" s="257">
        <f>altaz((J2000_Bas+(6*0.04167)),$O2129,$M2129,DecLat,DecLong,1)</f>
        <v>-21.927627436247544</v>
      </c>
      <c r="AD2129" s="258">
        <f>1+ transit((J2000_Bas-1),$O2129,$M2129,DecLat,DecLong)/360 + (GMTOffset/24) + (IF(DST="Y", 1, 0)/24)</f>
        <v>1.5421591649630415</v>
      </c>
      <c r="AE2129" s="259">
        <f>DATE(2001,9,21)+(M2129/360)*365 - (360*((DecLong/360)- (GMTOffset/24) ))</f>
        <v>37360.479629629626</v>
      </c>
      <c r="AF2129" s="260">
        <f>IF(DecLat&gt;0,IF((90 - (DecLat-O2129))&gt;90, (90 - (O2129-DecLat)), (90 - (DecLat-O2129))),IF((90 + (DecLat-O2129))&gt;90, (90 + (O2129-DecLat)), (90 + (DecLat-O2129))))</f>
        <v>83.941666666666663</v>
      </c>
      <c r="AG2129" s="257">
        <f>angularseperation(MoonRA,MoonDec,$M2129,$O2129)</f>
        <v>80.337457591920042</v>
      </c>
      <c r="AH2129" s="261">
        <f ca="1">MIN(100,IF($O$5&gt;80,0+30*($AG2129/100),IF($O$5&gt;70,0+50*($AG2129/100),IF($O$5&gt;60,5+50*($AG2129/100),IF($O$5&gt;50,10+60*($AG2129/100),IF($O$5&gt;40,15+70*($AG2129/100),IF($O$5&gt;30,20+70*($AG2129/100),IF($O$5&gt;20,40+55*($AG2129/100),(80+(20-$O$5)+30*($AG2129/100))))))))))</f>
        <v>100</v>
      </c>
      <c r="AI2129" s="262">
        <v>5005</v>
      </c>
      <c r="AJ2129" s="262"/>
      <c r="AK2129" s="262">
        <v>289</v>
      </c>
      <c r="AL2129" s="263"/>
      <c r="AM2129" s="264">
        <v>29</v>
      </c>
      <c r="AN2129" s="263"/>
      <c r="AO2129" s="263"/>
      <c r="AP2129" s="265"/>
      <c r="AQ2129" s="266">
        <v>8256</v>
      </c>
      <c r="AR2129" s="267">
        <v>45749</v>
      </c>
      <c r="AS2129" s="263"/>
      <c r="AT2129" s="263"/>
      <c r="AU2129" s="263"/>
      <c r="AV2129" s="264"/>
      <c r="AW2129" s="263"/>
      <c r="AX2129" s="263"/>
      <c r="AY2129" s="263"/>
      <c r="AZ2129" s="263"/>
      <c r="BA2129" s="263"/>
      <c r="BB2129" s="263"/>
      <c r="BC2129" s="263"/>
      <c r="BD2129" s="264"/>
      <c r="BE2129" s="263"/>
      <c r="BF2129" s="263"/>
      <c r="BG2129" s="263"/>
      <c r="BH2129" s="263"/>
      <c r="BI2129" s="263"/>
      <c r="BJ2129" s="404">
        <f>altaz(J2000_Bas,$O2129,$M2129,DecLat,DecLong,2)</f>
        <v>302.29388370864228</v>
      </c>
      <c r="BK2129" s="378" t="s">
        <v>2038</v>
      </c>
      <c r="BL2129" s="379">
        <f>IF((2*G2129)/60&lt;0.2,0.2,(2*G2129)/60)</f>
        <v>0.2</v>
      </c>
      <c r="BM2129" s="380">
        <f>MOD((50000+AD2129-$B$3+(0/24)),1)</f>
        <v>0.75752609466871945</v>
      </c>
      <c r="BN2129" s="381"/>
      <c r="BO2129" s="382">
        <v>2120</v>
      </c>
    </row>
    <row r="2130" spans="1:67" s="24" customFormat="1" ht="15" customHeight="1" x14ac:dyDescent="0.25">
      <c r="A2130" s="287" t="s">
        <v>2039</v>
      </c>
      <c r="B2130" s="241" t="str">
        <f>HYPERLINK(CONCATENATE($AT$3,BK2130,$AU$3),$AV$3)</f>
        <v>S</v>
      </c>
      <c r="C2130" s="242" t="str">
        <f>HYPERLINK(CONCATENATE($AT$4,BK2130,$AU$4,BL2130),$AV$4)</f>
        <v>A</v>
      </c>
      <c r="D2130" s="243" t="s">
        <v>5638</v>
      </c>
      <c r="E2130" s="244" t="s">
        <v>5192</v>
      </c>
      <c r="F2130" s="269" t="s">
        <v>8691</v>
      </c>
      <c r="G2130" s="273">
        <v>7</v>
      </c>
      <c r="H2130" s="283">
        <v>22</v>
      </c>
      <c r="I2130" s="246">
        <v>45</v>
      </c>
      <c r="J2130" s="246">
        <v>2</v>
      </c>
      <c r="K2130" s="247" t="s">
        <v>8117</v>
      </c>
      <c r="L2130" s="248">
        <v>131212</v>
      </c>
      <c r="M2130" s="249">
        <f>15*(LEFT(TEXT($L2130,"000000"),2)+(MID(TEXT($L2130,"000000"),3,2)/60)+(RIGHT(TEXT($L2130,"000000"),2)/3600))</f>
        <v>198.05</v>
      </c>
      <c r="N2130" s="250">
        <v>440217</v>
      </c>
      <c r="O2130" s="251">
        <f>IF($N2130&gt;0,(LEFT(TEXT($N2130,"000000"),2)+(MID(TEXT($N2130,"000000"),3,2)/60)+(RIGHT(TEXT($N2130,"000000"),2)/3600)),-(MID(TEXT($N2130,"000000"),2,2)+(MID(TEXT($N2130,"000000"),4,2)/60)+(RIGHT(TEXT($N2130,"000000"),2)/3600)))</f>
        <v>44.038055555555552</v>
      </c>
      <c r="P2130" s="252" t="s">
        <v>242</v>
      </c>
      <c r="Q2130" s="253"/>
      <c r="R2130" s="277" t="s">
        <v>3293</v>
      </c>
      <c r="S2130" s="272" t="s">
        <v>3293</v>
      </c>
      <c r="T2130" s="273">
        <v>12.3</v>
      </c>
      <c r="U2130" s="289">
        <v>22.79</v>
      </c>
      <c r="V2130" s="280">
        <v>90</v>
      </c>
      <c r="W2130" s="244"/>
      <c r="X2130" s="244"/>
      <c r="Y2130" s="362"/>
      <c r="Z2130" s="257">
        <f>altaz(J2000_Bas,$O2130,$M2130,DecLat,DecLong,1)</f>
        <v>22.335894283000805</v>
      </c>
      <c r="AA2130" s="257">
        <f>altaz((J2000_Bas+(2*0.04167)),$O2130,$M2130,DecLat,DecLong,1)</f>
        <v>3.9209866530893649</v>
      </c>
      <c r="AB2130" s="257">
        <f>altaz((J2000_Bas+(4*0.04167)),$O2130,$M2130,DecLat,DecLong,1)</f>
        <v>-9.5110206526956986</v>
      </c>
      <c r="AC2130" s="257">
        <f>altaz((J2000_Bas+(6*0.04167)),$O2130,$M2130,DecLat,DecLong,1)</f>
        <v>-14.944037831366403</v>
      </c>
      <c r="AD2130" s="258">
        <f>1+ transit((J2000_Bas-1),$O2130,$M2130,DecLat,DecLong)/360 + (GMTOffset/24) + (IF(DST="Y", 1, 0)/24)</f>
        <v>1.5430387945047082</v>
      </c>
      <c r="AE2130" s="259">
        <f>DATE(2001,9,21)+(M2130/360)*365 - (360*((DecLong/360)- (GMTOffset/24) ))</f>
        <v>37360.800694444442</v>
      </c>
      <c r="AF2130" s="260">
        <f>IF(DecLat&gt;0,IF((90 - (DecLat-O2130))&gt;90, (90 - (O2130-DecLat)), (90 - (DecLat-O2130))),IF((90 + (DecLat-O2130))&gt;90, (90 + (O2130-DecLat)), (90 + (DecLat-O2130))))</f>
        <v>76.961944444444441</v>
      </c>
      <c r="AG2130" s="257">
        <f>angularseperation(MoonRA,MoonDec,$M2130,$O2130)</f>
        <v>85.145163932308449</v>
      </c>
      <c r="AH2130" s="261">
        <f ca="1">MIN(100,IF($O$5&gt;80,0+30*($AG2130/100),IF($O$5&gt;70,0+50*($AG2130/100),IF($O$5&gt;60,5+50*($AG2130/100),IF($O$5&gt;50,10+60*($AG2130/100),IF($O$5&gt;40,15+70*($AG2130/100),IF($O$5&gt;30,20+70*($AG2130/100),IF($O$5&gt;20,40+55*($AG2130/100),(80+(20-$O$5)+30*($AG2130/100))))))))))</f>
        <v>100</v>
      </c>
      <c r="AI2130" s="262">
        <v>5023</v>
      </c>
      <c r="AJ2130" s="263"/>
      <c r="AK2130" s="263"/>
      <c r="AL2130" s="263"/>
      <c r="AM2130" s="264"/>
      <c r="AN2130" s="263"/>
      <c r="AO2130" s="263"/>
      <c r="AP2130" s="265"/>
      <c r="AQ2130" s="265">
        <v>8286</v>
      </c>
      <c r="AR2130" s="285">
        <v>45849</v>
      </c>
      <c r="AS2130" s="263"/>
      <c r="AT2130" s="263"/>
      <c r="AU2130" s="263"/>
      <c r="AV2130" s="264"/>
      <c r="AW2130" s="263"/>
      <c r="AX2130" s="263"/>
      <c r="AY2130" s="263"/>
      <c r="AZ2130" s="263"/>
      <c r="BA2130" s="263"/>
      <c r="BB2130" s="263"/>
      <c r="BC2130" s="263"/>
      <c r="BD2130" s="264"/>
      <c r="BE2130" s="263"/>
      <c r="BF2130" s="263"/>
      <c r="BG2130" s="263"/>
      <c r="BH2130" s="263"/>
      <c r="BI2130" s="263"/>
      <c r="BJ2130" s="404">
        <f>altaz(J2000_Bas,$O2130,$M2130,DecLat,DecLong,2)</f>
        <v>309.04120071356215</v>
      </c>
      <c r="BK2130" s="378" t="s">
        <v>2039</v>
      </c>
      <c r="BL2130" s="379">
        <f>IF((2*G2130)/60&lt;0.2,0.2,(2*G2130)/60)</f>
        <v>0.23333333333333334</v>
      </c>
      <c r="BM2130" s="380">
        <f>MOD((50000+AD2130-$B$3+(0/24)),1)</f>
        <v>0.75840572420565877</v>
      </c>
      <c r="BN2130" s="381"/>
      <c r="BO2130" s="382">
        <v>2121</v>
      </c>
    </row>
    <row r="2131" spans="1:67" s="24" customFormat="1" ht="15" customHeight="1" x14ac:dyDescent="0.25">
      <c r="A2131" s="288" t="s">
        <v>2040</v>
      </c>
      <c r="B2131" s="241" t="str">
        <f>HYPERLINK(CONCATENATE($AT$3,BK2131,$AU$3),$AV$3)</f>
        <v>S</v>
      </c>
      <c r="C2131" s="242" t="str">
        <f>HYPERLINK(CONCATENATE($AT$4,BK2131,$AU$4,BL2131),$AV$4)</f>
        <v>A</v>
      </c>
      <c r="D2131" s="243" t="s">
        <v>5638</v>
      </c>
      <c r="E2131" s="244" t="s">
        <v>5192</v>
      </c>
      <c r="F2131" s="269" t="s">
        <v>8698</v>
      </c>
      <c r="G2131" s="276">
        <v>11</v>
      </c>
      <c r="H2131" s="283">
        <v>60</v>
      </c>
      <c r="I2131" s="246">
        <v>200</v>
      </c>
      <c r="J2131" s="246">
        <v>4</v>
      </c>
      <c r="K2131" s="247" t="s">
        <v>8495</v>
      </c>
      <c r="L2131" s="248">
        <v>131328</v>
      </c>
      <c r="M2131" s="249">
        <f>15*(LEFT(TEXT($L2131,"000000"),2)+(MID(TEXT($L2131,"000000"),3,2)/60)+(RIGHT(TEXT($L2131,"000000"),2)/3600))</f>
        <v>198.36666666666667</v>
      </c>
      <c r="N2131" s="250">
        <v>363538</v>
      </c>
      <c r="O2131" s="251">
        <f>IF($N2131&gt;0,(LEFT(TEXT($N2131,"000000"),2)+(MID(TEXT($N2131,"000000"),3,2)/60)+(RIGHT(TEXT($N2131,"000000"),2)/3600)),-(MID(TEXT($N2131,"000000"),2,2)+(MID(TEXT($N2131,"000000"),4,2)/60)+(RIGHT(TEXT($N2131,"000000"),2)/3600)))</f>
        <v>36.593888888888891</v>
      </c>
      <c r="P2131" s="252" t="s">
        <v>242</v>
      </c>
      <c r="Q2131" s="253" t="s">
        <v>6850</v>
      </c>
      <c r="R2131" s="247" t="s">
        <v>3293</v>
      </c>
      <c r="S2131" s="272" t="s">
        <v>3293</v>
      </c>
      <c r="T2131" s="273">
        <v>10.199999999999999</v>
      </c>
      <c r="U2131" s="289">
        <v>23.29</v>
      </c>
      <c r="V2131" s="280">
        <v>65</v>
      </c>
      <c r="W2131" s="244"/>
      <c r="X2131" s="244"/>
      <c r="Y2131" s="362"/>
      <c r="Z2131" s="257">
        <f>altaz(J2000_Bas,$O2131,$M2131,DecLat,DecLong,1)</f>
        <v>19.59819031613689</v>
      </c>
      <c r="AA2131" s="257">
        <f>altaz((J2000_Bas+(2*0.04167)),$O2131,$M2131,DecLat,DecLong,1)</f>
        <v>-0.74999467175620338</v>
      </c>
      <c r="AB2131" s="257">
        <f>altaz((J2000_Bas+(4*0.04167)),$O2131,$M2131,DecLat,DecLong,1)</f>
        <v>-15.982927087295177</v>
      </c>
      <c r="AC2131" s="257">
        <f>altaz((J2000_Bas+(6*0.04167)),$O2131,$M2131,DecLat,DecLong,1)</f>
        <v>-22.377184779042068</v>
      </c>
      <c r="AD2131" s="258">
        <f>1+ transit((J2000_Bas-1),$O2131,$M2131,DecLat,DecLong)/360 + (GMTOffset/24) + (IF(DST="Y", 1, 0)/24)</f>
        <v>1.5439184240463748</v>
      </c>
      <c r="AE2131" s="259">
        <f>DATE(2001,9,21)+(M2131/360)*365 - (360*((DecLong/360)- (GMTOffset/24) ))</f>
        <v>37361.121759259258</v>
      </c>
      <c r="AF2131" s="260">
        <f>IF(DecLat&gt;0,IF((90 - (DecLat-O2131))&gt;90, (90 - (O2131-DecLat)), (90 - (DecLat-O2131))),IF((90 + (DecLat-O2131))&gt;90, (90 + (O2131-DecLat)), (90 + (DecLat-O2131))))</f>
        <v>84.406111111111102</v>
      </c>
      <c r="AG2131" s="257">
        <f>angularseperation(MoonRA,MoonDec,$M2131,$O2131)</f>
        <v>79.650691267501131</v>
      </c>
      <c r="AH2131" s="261">
        <f ca="1">MIN(100,IF($O$5&gt;80,0+30*($AG2131/100),IF($O$5&gt;70,0+50*($AG2131/100),IF($O$5&gt;60,5+50*($AG2131/100),IF($O$5&gt;50,10+60*($AG2131/100),IF($O$5&gt;40,15+70*($AG2131/100),IF($O$5&gt;30,20+70*($AG2131/100),IF($O$5&gt;20,40+55*($AG2131/100),(80+(20-$O$5)+30*($AG2131/100))))))))))</f>
        <v>100</v>
      </c>
      <c r="AI2131" s="262">
        <v>5033</v>
      </c>
      <c r="AJ2131" s="262"/>
      <c r="AK2131" s="262">
        <v>290</v>
      </c>
      <c r="AL2131" s="263"/>
      <c r="AM2131" s="264"/>
      <c r="AN2131" s="263"/>
      <c r="AO2131" s="263"/>
      <c r="AP2131" s="265"/>
      <c r="AQ2131" s="266">
        <v>8307</v>
      </c>
      <c r="AR2131" s="267">
        <v>45948</v>
      </c>
      <c r="AS2131" s="263"/>
      <c r="AT2131" s="263"/>
      <c r="AU2131" s="263"/>
      <c r="AV2131" s="264"/>
      <c r="AW2131" s="263"/>
      <c r="AX2131" s="263"/>
      <c r="AY2131" s="263"/>
      <c r="AZ2131" s="263"/>
      <c r="BA2131" s="263"/>
      <c r="BB2131" s="263"/>
      <c r="BC2131" s="263"/>
      <c r="BD2131" s="264"/>
      <c r="BE2131" s="263"/>
      <c r="BF2131" s="263">
        <v>66</v>
      </c>
      <c r="BG2131" s="263"/>
      <c r="BH2131" s="263"/>
      <c r="BI2131" s="263"/>
      <c r="BJ2131" s="404">
        <f>altaz(J2000_Bas,$O2131,$M2131,DecLat,DecLong,2)</f>
        <v>301.62169683750216</v>
      </c>
      <c r="BK2131" s="378" t="s">
        <v>2040</v>
      </c>
      <c r="BL2131" s="379">
        <f>IF((2*G2131)/60&lt;0.2,0.2,(2*G2131)/60)</f>
        <v>0.36666666666666664</v>
      </c>
      <c r="BM2131" s="380">
        <f>MOD((50000+AD2131-$B$3+(0/24)),1)</f>
        <v>0.75928535374987405</v>
      </c>
      <c r="BN2131" s="381" t="s">
        <v>9237</v>
      </c>
      <c r="BO2131" s="382">
        <v>2122</v>
      </c>
    </row>
    <row r="2132" spans="1:67" s="24" customFormat="1" ht="15" customHeight="1" x14ac:dyDescent="0.25">
      <c r="A2132" s="288" t="s">
        <v>3237</v>
      </c>
      <c r="B2132" s="241" t="str">
        <f>HYPERLINK(CONCATENATE($AT$3,BK2132,$AU$3),$AV$3)</f>
        <v>S</v>
      </c>
      <c r="C2132" s="242" t="str">
        <f>HYPERLINK(CONCATENATE($AT$4,BK2132,$AU$4,BL2132),$AV$4)</f>
        <v>A</v>
      </c>
      <c r="D2132" s="243" t="s">
        <v>5335</v>
      </c>
      <c r="E2132" s="244" t="s">
        <v>5184</v>
      </c>
      <c r="F2132" s="269" t="s">
        <v>3315</v>
      </c>
      <c r="G2132" s="276">
        <v>10</v>
      </c>
      <c r="H2132" s="283">
        <v>57000</v>
      </c>
      <c r="I2132" s="246">
        <v>170</v>
      </c>
      <c r="J2132" s="246">
        <v>2</v>
      </c>
      <c r="K2132" s="247" t="s">
        <v>9573</v>
      </c>
      <c r="L2132" s="248">
        <v>131627</v>
      </c>
      <c r="M2132" s="249">
        <f>15*(LEFT(TEXT($L2132,"000000"),2)+(MID(TEXT($L2132,"000000"),3,2)/60)+(RIGHT(TEXT($L2132,"000000"),2)/3600))</f>
        <v>199.11250000000001</v>
      </c>
      <c r="N2132" s="250">
        <v>174200</v>
      </c>
      <c r="O2132" s="251">
        <f>IF($N2132&gt;0,(LEFT(TEXT($N2132,"000000"),2)+(MID(TEXT($N2132,"000000"),3,2)/60)+(RIGHT(TEXT($N2132,"000000"),2)/3600)),-(MID(TEXT($N2132,"000000"),2,2)+(MID(TEXT($N2132,"000000"),4,2)/60)+(RIGHT(TEXT($N2132,"000000"),2)/3600)))</f>
        <v>17.7</v>
      </c>
      <c r="P2132" s="252" t="s">
        <v>190</v>
      </c>
      <c r="Q2132" s="253"/>
      <c r="R2132" s="277" t="s">
        <v>3293</v>
      </c>
      <c r="S2132" s="272" t="s">
        <v>3293</v>
      </c>
      <c r="T2132" s="273">
        <v>9</v>
      </c>
      <c r="U2132" s="274"/>
      <c r="V2132" s="280"/>
      <c r="W2132" s="244"/>
      <c r="X2132" s="244"/>
      <c r="Y2132" s="362"/>
      <c r="Z2132" s="257">
        <f>altaz(J2000_Bas,$O2132,$M2132,DecLat,DecLong,1)</f>
        <v>11.588970070090999</v>
      </c>
      <c r="AA2132" s="257">
        <f>altaz((J2000_Bas+(2*0.04167)),$O2132,$M2132,DecLat,DecLong,1)</f>
        <v>-12.345952855498727</v>
      </c>
      <c r="AB2132" s="257">
        <f>altaz((J2000_Bas+(4*0.04167)),$O2132,$M2132,DecLat,DecLong,1)</f>
        <v>-31.919071833640643</v>
      </c>
      <c r="AC2132" s="257">
        <f>altaz((J2000_Bas+(6*0.04167)),$O2132,$M2132,DecLat,DecLong,1)</f>
        <v>-41.222678266203054</v>
      </c>
      <c r="AD2132" s="258">
        <f>1+ transit((J2000_Bas-1),$O2132,$M2132,DecLat,DecLong)/360 + (GMTOffset/24) + (IF(DST="Y", 1, 0)/24)</f>
        <v>1.5459901830984579</v>
      </c>
      <c r="AE2132" s="259">
        <f>DATE(2001,9,21)+(M2132/360)*365 - (360*((DecLong/360)- (GMTOffset/24) ))</f>
        <v>37361.877951388888</v>
      </c>
      <c r="AF2132" s="260">
        <f>IF(DecLat&gt;0,IF((90 - (DecLat-O2132))&gt;90, (90 - (O2132-DecLat)), (90 - (DecLat-O2132))),IF((90 + (DecLat-O2132))&gt;90, (90 + (O2132-DecLat)), (90 + (DecLat-O2132))))</f>
        <v>76.7</v>
      </c>
      <c r="AG2132" s="257">
        <f>angularseperation(MoonRA,MoonDec,$M2132,$O2132)</f>
        <v>66.089275219246062</v>
      </c>
      <c r="AH2132" s="261">
        <f ca="1">MIN(100,IF($O$5&gt;80,0+30*($AG2132/100),IF($O$5&gt;70,0+50*($AG2132/100),IF($O$5&gt;60,5+50*($AG2132/100),IF($O$5&gt;50,10+60*($AG2132/100),IF($O$5&gt;40,15+70*($AG2132/100),IF($O$5&gt;30,20+70*($AG2132/100),IF($O$5&gt;20,40+55*($AG2132/100),(80+(20-$O$5)+30*($AG2132/100))))))))))</f>
        <v>100</v>
      </c>
      <c r="AI2132" s="263">
        <v>5053</v>
      </c>
      <c r="AJ2132" s="263"/>
      <c r="AK2132" s="263"/>
      <c r="AL2132" s="263"/>
      <c r="AM2132" s="264"/>
      <c r="AN2132" s="263"/>
      <c r="AO2132" s="263"/>
      <c r="AP2132" s="265"/>
      <c r="AQ2132" s="265"/>
      <c r="AR2132" s="285"/>
      <c r="AS2132" s="263"/>
      <c r="AT2132" s="263"/>
      <c r="AU2132" s="263"/>
      <c r="AV2132" s="264"/>
      <c r="AW2132" s="263"/>
      <c r="AX2132" s="263"/>
      <c r="AY2132" s="263"/>
      <c r="AZ2132" s="263"/>
      <c r="BA2132" s="263"/>
      <c r="BB2132" s="263"/>
      <c r="BC2132" s="263"/>
      <c r="BD2132" s="264"/>
      <c r="BE2132" s="263"/>
      <c r="BF2132" s="263"/>
      <c r="BG2132" s="263"/>
      <c r="BH2132" s="263"/>
      <c r="BI2132" s="263"/>
      <c r="BJ2132" s="404">
        <f>altaz(J2000_Bas,$O2132,$M2132,DecLat,DecLong,2)</f>
        <v>283.81914855422582</v>
      </c>
      <c r="BK2132" s="378" t="s">
        <v>3237</v>
      </c>
      <c r="BL2132" s="379">
        <f>IF((2*G2132)/60&lt;0.2,0.2,(2*G2132)/60)</f>
        <v>0.33333333333333331</v>
      </c>
      <c r="BM2132" s="380">
        <f>MOD((50000+AD2132-$B$3+(0/24)),1)</f>
        <v>0.76135711280221585</v>
      </c>
      <c r="BN2132" s="381"/>
      <c r="BO2132" s="382">
        <v>2123</v>
      </c>
    </row>
    <row r="2133" spans="1:67" s="24" customFormat="1" ht="15" customHeight="1" x14ac:dyDescent="0.25">
      <c r="A2133" s="288" t="s">
        <v>2041</v>
      </c>
      <c r="B2133" s="241" t="str">
        <f>HYPERLINK(CONCATENATE($AT$3,BK2133,$AU$3),$AV$3)</f>
        <v>S</v>
      </c>
      <c r="C2133" s="242" t="str">
        <f>HYPERLINK(CONCATENATE($AT$4,BK2133,$AU$4,BL2133),$AV$4)</f>
        <v>A</v>
      </c>
      <c r="D2133" s="243" t="s">
        <v>5638</v>
      </c>
      <c r="E2133" s="244" t="s">
        <v>5192</v>
      </c>
      <c r="F2133" s="269" t="s">
        <v>8699</v>
      </c>
      <c r="G2133" s="273">
        <v>5</v>
      </c>
      <c r="H2133" s="283">
        <v>48</v>
      </c>
      <c r="I2133" s="246">
        <v>70</v>
      </c>
      <c r="J2133" s="246">
        <v>3</v>
      </c>
      <c r="K2133" s="247" t="s">
        <v>8118</v>
      </c>
      <c r="L2133" s="248">
        <v>131658</v>
      </c>
      <c r="M2133" s="249">
        <f>15*(LEFT(TEXT($L2133,"000000"),2)+(MID(TEXT($L2133,"000000"),3,2)/60)+(RIGHT(TEXT($L2133,"000000"),2)/3600))</f>
        <v>199.2416666666667</v>
      </c>
      <c r="N2133" s="250">
        <v>-163805</v>
      </c>
      <c r="O2133" s="251">
        <f>IF($N2133&gt;0,(LEFT(TEXT($N2133,"000000"),2)+(MID(TEXT($N2133,"000000"),3,2)/60)+(RIGHT(TEXT($N2133,"000000"),2)/3600)),-(MID(TEXT($N2133,"000000"),2,2)+(MID(TEXT($N2133,"000000"),4,2)/60)+(RIGHT(TEXT($N2133,"000000"),2)/3600)))</f>
        <v>-16.634722222222223</v>
      </c>
      <c r="P2133" s="252" t="s">
        <v>61</v>
      </c>
      <c r="Q2133" s="253"/>
      <c r="R2133" s="277" t="s">
        <v>3293</v>
      </c>
      <c r="S2133" s="272" t="s">
        <v>3293</v>
      </c>
      <c r="T2133" s="273">
        <v>10.9</v>
      </c>
      <c r="U2133" s="289">
        <v>22.59</v>
      </c>
      <c r="V2133" s="280">
        <v>45</v>
      </c>
      <c r="W2133" s="244"/>
      <c r="X2133" s="244"/>
      <c r="Y2133" s="362"/>
      <c r="Z2133" s="257">
        <f>altaz(J2000_Bas,$O2133,$M2133,DecLat,DecLong,1)</f>
        <v>-5.7987660321860481</v>
      </c>
      <c r="AA2133" s="257">
        <f>altaz((J2000_Bas+(2*0.04167)),$O2133,$M2133,DecLat,DecLong,1)</f>
        <v>-31.219941370344635</v>
      </c>
      <c r="AB2133" s="257">
        <f>altaz((J2000_Bas+(4*0.04167)),$O2133,$M2133,DecLat,DecLong,1)</f>
        <v>-56.687559547162756</v>
      </c>
      <c r="AC2133" s="257">
        <f>altaz((J2000_Bas+(6*0.04167)),$O2133,$M2133,DecLat,DecLong,1)</f>
        <v>-75.379531454129747</v>
      </c>
      <c r="AD2133" s="258">
        <f>1+ transit((J2000_Bas-1),$O2133,$M2133,DecLat,DecLong)/360 + (GMTOffset/24) + (IF(DST="Y", 1, 0)/24)</f>
        <v>1.5463489793588747</v>
      </c>
      <c r="AE2133" s="259">
        <f>DATE(2001,9,21)+(M2133/360)*365 - (360*((DecLong/360)- (GMTOffset/24) ))</f>
        <v>37362.008912037039</v>
      </c>
      <c r="AF2133" s="260">
        <f>IF(DecLat&gt;0,IF((90 - (DecLat-O2133))&gt;90, (90 - (O2133-DecLat)), (90 - (DecLat-O2133))),IF((90 + (DecLat-O2133))&gt;90, (90 + (O2133-DecLat)), (90 + (DecLat-O2133))))</f>
        <v>42.365277777777777</v>
      </c>
      <c r="AG2133" s="257">
        <f>angularseperation(MoonRA,MoonDec,$M2133,$O2133)</f>
        <v>47.259205090728052</v>
      </c>
      <c r="AH2133" s="261">
        <f ca="1">MIN(100,IF($O$5&gt;80,0+30*($AG2133/100),IF($O$5&gt;70,0+50*($AG2133/100),IF($O$5&gt;60,5+50*($AG2133/100),IF($O$5&gt;50,10+60*($AG2133/100),IF($O$5&gt;40,15+70*($AG2133/100),IF($O$5&gt;30,20+70*($AG2133/100),IF($O$5&gt;20,40+55*($AG2133/100),(80+(20-$O$5)+30*($AG2133/100))))))))))</f>
        <v>97.448821871368835</v>
      </c>
      <c r="AI2133" s="262">
        <v>5054</v>
      </c>
      <c r="AJ2133" s="263"/>
      <c r="AK2133" s="263">
        <v>291</v>
      </c>
      <c r="AL2133" s="263"/>
      <c r="AM2133" s="264"/>
      <c r="AN2133" s="263"/>
      <c r="AO2133" s="263"/>
      <c r="AP2133" s="265"/>
      <c r="AQ2133" s="265"/>
      <c r="AR2133" s="285">
        <v>46247</v>
      </c>
      <c r="AS2133" s="263"/>
      <c r="AT2133" s="263"/>
      <c r="AU2133" s="263"/>
      <c r="AV2133" s="264"/>
      <c r="AW2133" s="263"/>
      <c r="AX2133" s="263"/>
      <c r="AY2133" s="263"/>
      <c r="AZ2133" s="263"/>
      <c r="BA2133" s="263"/>
      <c r="BB2133" s="263"/>
      <c r="BC2133" s="263"/>
      <c r="BD2133" s="264"/>
      <c r="BE2133" s="263"/>
      <c r="BF2133" s="263"/>
      <c r="BG2133" s="263"/>
      <c r="BH2133" s="263"/>
      <c r="BI2133" s="263"/>
      <c r="BJ2133" s="404">
        <f>altaz(J2000_Bas,$O2133,$M2133,DecLat,DecLong,2)</f>
        <v>254.05772819636709</v>
      </c>
      <c r="BK2133" s="378" t="s">
        <v>2041</v>
      </c>
      <c r="BL2133" s="379">
        <f>IF((2*G2133)/60&lt;0.2,0.2,(2*G2133)/60)</f>
        <v>0.2</v>
      </c>
      <c r="BM2133" s="380">
        <f>MOD((50000+AD2133-$B$3+(0/24)),1)</f>
        <v>0.76171590906596975</v>
      </c>
      <c r="BN2133" s="381"/>
      <c r="BO2133" s="382">
        <v>2124</v>
      </c>
    </row>
    <row r="2134" spans="1:67" s="24" customFormat="1" ht="15" customHeight="1" x14ac:dyDescent="0.25">
      <c r="A2134" s="288" t="s">
        <v>2042</v>
      </c>
      <c r="B2134" s="241" t="str">
        <f>HYPERLINK(CONCATENATE($AT$3,BK2134,$AU$3),$AV$3)</f>
        <v>S</v>
      </c>
      <c r="C2134" s="242" t="str">
        <f>HYPERLINK(CONCATENATE($AT$4,BK2134,$AU$4,BL2134),$AV$4)</f>
        <v>A</v>
      </c>
      <c r="D2134" s="243" t="s">
        <v>5638</v>
      </c>
      <c r="E2134" s="244" t="s">
        <v>5192</v>
      </c>
      <c r="F2134" s="269" t="s">
        <v>8892</v>
      </c>
      <c r="G2134" s="273">
        <v>7</v>
      </c>
      <c r="H2134" s="283">
        <v>20</v>
      </c>
      <c r="I2134" s="246">
        <v>42</v>
      </c>
      <c r="J2134" s="246">
        <v>2</v>
      </c>
      <c r="K2134" s="247" t="s">
        <v>8119</v>
      </c>
      <c r="L2134" s="248">
        <v>131855</v>
      </c>
      <c r="M2134" s="249">
        <f>15*(LEFT(TEXT($L2134,"000000"),2)+(MID(TEXT($L2134,"000000"),3,2)/60)+(RIGHT(TEXT($L2134,"000000"),2)/3600))</f>
        <v>199.72916666666669</v>
      </c>
      <c r="N2134" s="250">
        <v>-210220</v>
      </c>
      <c r="O2134" s="251">
        <f>IF($N2134&gt;0,(LEFT(TEXT($N2134,"000000"),2)+(MID(TEXT($N2134,"000000"),3,2)/60)+(RIGHT(TEXT($N2134,"000000"),2)/3600)),-(MID(TEXT($N2134,"000000"),2,2)+(MID(TEXT($N2134,"000000"),4,2)/60)+(RIGHT(TEXT($N2134,"000000"),2)/3600)))</f>
        <v>-21.038888888888891</v>
      </c>
      <c r="P2134" s="252" t="s">
        <v>61</v>
      </c>
      <c r="Q2134" s="253"/>
      <c r="R2134" s="247" t="s">
        <v>3293</v>
      </c>
      <c r="S2134" s="272" t="s">
        <v>3293</v>
      </c>
      <c r="T2134" s="273">
        <v>10</v>
      </c>
      <c r="U2134" s="289">
        <v>22.89</v>
      </c>
      <c r="V2134" s="280">
        <v>0</v>
      </c>
      <c r="W2134" s="244"/>
      <c r="X2134" s="244"/>
      <c r="Y2134" s="362"/>
      <c r="Z2134" s="257">
        <f>altaz(J2000_Bas,$O2134,$M2134,DecLat,DecLong,1)</f>
        <v>-7.6373280047221357</v>
      </c>
      <c r="AA2134" s="257">
        <f>altaz((J2000_Bas+(2*0.04167)),$O2134,$M2134,DecLat,DecLong,1)</f>
        <v>-32.69002411084913</v>
      </c>
      <c r="AB2134" s="257">
        <f>altaz((J2000_Bas+(4*0.04167)),$O2134,$M2134,DecLat,DecLong,1)</f>
        <v>-58.38466212446356</v>
      </c>
      <c r="AC2134" s="257">
        <f>altaz((J2000_Bas+(6*0.04167)),$O2134,$M2134,DecLat,DecLong,1)</f>
        <v>-79.563471685729098</v>
      </c>
      <c r="AD2134" s="258">
        <f>1+ transit((J2000_Bas-1),$O2134,$M2134,DecLat,DecLong)/360 + (GMTOffset/24) + (IF(DST="Y", 1, 0)/24)</f>
        <v>1.5477031458901247</v>
      </c>
      <c r="AE2134" s="259">
        <f>DATE(2001,9,21)+(M2134/360)*365 - (360*((DecLong/360)- (GMTOffset/24) ))</f>
        <v>37362.503182870372</v>
      </c>
      <c r="AF2134" s="260">
        <f>IF(DecLat&gt;0,IF((90 - (DecLat-O2134))&gt;90, (90 - (O2134-DecLat)), (90 - (DecLat-O2134))),IF((90 + (DecLat-O2134))&gt;90, (90 + (O2134-DecLat)), (90 + (DecLat-O2134))))</f>
        <v>37.961111111111109</v>
      </c>
      <c r="AG2134" s="257">
        <f>angularseperation(MoonRA,MoonDec,$M2134,$O2134)</f>
        <v>45.332243324007749</v>
      </c>
      <c r="AH2134" s="261">
        <f ca="1">MIN(100,IF($O$5&gt;80,0+30*($AG2134/100),IF($O$5&gt;70,0+50*($AG2134/100),IF($O$5&gt;60,5+50*($AG2134/100),IF($O$5&gt;50,10+60*($AG2134/100),IF($O$5&gt;40,15+70*($AG2134/100),IF($O$5&gt;30,20+70*($AG2134/100),IF($O$5&gt;20,40+55*($AG2134/100),(80+(20-$O$5)+30*($AG2134/100))))))))))</f>
        <v>96.870733341352746</v>
      </c>
      <c r="AI2134" s="262">
        <v>5068</v>
      </c>
      <c r="AJ2134" s="262"/>
      <c r="AK2134" s="262"/>
      <c r="AL2134" s="263"/>
      <c r="AM2134" s="264"/>
      <c r="AN2134" s="263"/>
      <c r="AO2134" s="263"/>
      <c r="AP2134" s="265"/>
      <c r="AQ2134" s="266"/>
      <c r="AR2134" s="267">
        <v>46400</v>
      </c>
      <c r="AS2134" s="263"/>
      <c r="AT2134" s="263"/>
      <c r="AU2134" s="263"/>
      <c r="AV2134" s="264"/>
      <c r="AW2134" s="263"/>
      <c r="AX2134" s="263"/>
      <c r="AY2134" s="263"/>
      <c r="AZ2134" s="263"/>
      <c r="BA2134" s="263"/>
      <c r="BB2134" s="263"/>
      <c r="BC2134" s="263"/>
      <c r="BD2134" s="264"/>
      <c r="BE2134" s="263"/>
      <c r="BF2134" s="263"/>
      <c r="BG2134" s="263">
        <v>58</v>
      </c>
      <c r="BH2134" s="263"/>
      <c r="BI2134" s="263"/>
      <c r="BJ2134" s="404">
        <f>altaz(J2000_Bas,$O2134,$M2134,DecLat,DecLong,2)</f>
        <v>250.00114611929678</v>
      </c>
      <c r="BK2134" s="378" t="s">
        <v>2042</v>
      </c>
      <c r="BL2134" s="379">
        <f>IF((2*G2134)/60&lt;0.2,0.2,(2*G2134)/60)</f>
        <v>0.23333333333333334</v>
      </c>
      <c r="BM2134" s="380">
        <f>MOD((50000+AD2134-$B$3+(0/24)),1)</f>
        <v>0.76307007559080375</v>
      </c>
      <c r="BN2134" s="381"/>
      <c r="BO2134" s="382">
        <v>2125</v>
      </c>
    </row>
    <row r="2135" spans="1:67" s="24" customFormat="1" ht="15" customHeight="1" x14ac:dyDescent="0.25">
      <c r="A2135" s="288" t="s">
        <v>2043</v>
      </c>
      <c r="B2135" s="241" t="str">
        <f>HYPERLINK(CONCATENATE($AT$3,BK2135,$AU$3),$AV$3)</f>
        <v>S</v>
      </c>
      <c r="C2135" s="242" t="str">
        <f>HYPERLINK(CONCATENATE($AT$4,BK2135,$AU$4,BL2135),$AV$4)</f>
        <v>A</v>
      </c>
      <c r="D2135" s="243" t="s">
        <v>5638</v>
      </c>
      <c r="E2135" s="244" t="s">
        <v>5192</v>
      </c>
      <c r="F2135" s="269" t="s">
        <v>8716</v>
      </c>
      <c r="G2135" s="273">
        <v>5</v>
      </c>
      <c r="H2135" s="283">
        <v>90</v>
      </c>
      <c r="I2135" s="246">
        <v>130</v>
      </c>
      <c r="J2135" s="246">
        <v>2</v>
      </c>
      <c r="K2135" s="247" t="s">
        <v>8120</v>
      </c>
      <c r="L2135" s="248">
        <v>131950</v>
      </c>
      <c r="M2135" s="249">
        <f>15*(LEFT(TEXT($L2135,"000000"),2)+(MID(TEXT($L2135,"000000"),3,2)/60)+(RIGHT(TEXT($L2135,"000000"),2)/3600))</f>
        <v>199.95833333333334</v>
      </c>
      <c r="N2135" s="250">
        <v>-272434</v>
      </c>
      <c r="O2135" s="251">
        <f>IF($N2135&gt;0,(LEFT(TEXT($N2135,"000000"),2)+(MID(TEXT($N2135,"000000"),3,2)/60)+(RIGHT(TEXT($N2135,"000000"),2)/3600)),-(MID(TEXT($N2135,"000000"),2,2)+(MID(TEXT($N2135,"000000"),4,2)/60)+(RIGHT(TEXT($N2135,"000000"),2)/3600)))</f>
        <v>-27.409444444444443</v>
      </c>
      <c r="P2135" s="252" t="s">
        <v>103</v>
      </c>
      <c r="Q2135" s="253"/>
      <c r="R2135" s="247" t="s">
        <v>3293</v>
      </c>
      <c r="S2135" s="272" t="s">
        <v>3293</v>
      </c>
      <c r="T2135" s="273">
        <v>11.8</v>
      </c>
      <c r="U2135" s="289">
        <v>21.89</v>
      </c>
      <c r="V2135" s="280">
        <v>88</v>
      </c>
      <c r="W2135" s="244"/>
      <c r="X2135" s="244"/>
      <c r="Y2135" s="362"/>
      <c r="Z2135" s="257">
        <f>altaz(J2000_Bas,$O2135,$M2135,DecLat,DecLong,1)</f>
        <v>-10.637931571788608</v>
      </c>
      <c r="AA2135" s="257">
        <f>altaz((J2000_Bas+(2*0.04167)),$O2135,$M2135,DecLat,DecLong,1)</f>
        <v>-34.904308814058894</v>
      </c>
      <c r="AB2135" s="257">
        <f>altaz((J2000_Bas+(4*0.04167)),$O2135,$M2135,DecLat,DecLong,1)</f>
        <v>-60.403490103539056</v>
      </c>
      <c r="AC2135" s="257">
        <f>altaz((J2000_Bas+(6*0.04167)),$O2135,$M2135,DecLat,DecLong,1)</f>
        <v>-85.170194065345527</v>
      </c>
      <c r="AD2135" s="258">
        <f>1+ transit((J2000_Bas-1),$O2135,$M2135,DecLat,DecLong)/360 + (GMTOffset/24) + (IF(DST="Y", 1, 0)/24)</f>
        <v>1.5483397199005413</v>
      </c>
      <c r="AE2135" s="259">
        <f>DATE(2001,9,21)+(M2135/360)*365 - (360*((DecLong/360)- (GMTOffset/24) ))</f>
        <v>37362.735532407409</v>
      </c>
      <c r="AF2135" s="260">
        <f>IF(DecLat&gt;0,IF((90 - (DecLat-O2135))&gt;90, (90 - (O2135-DecLat)), (90 - (DecLat-O2135))),IF((90 + (DecLat-O2135))&gt;90, (90 + (O2135-DecLat)), (90 + (DecLat-O2135))))</f>
        <v>31.590555555555554</v>
      </c>
      <c r="AG2135" s="257">
        <f>angularseperation(MoonRA,MoonDec,$M2135,$O2135)</f>
        <v>43.516352152557324</v>
      </c>
      <c r="AH2135" s="261">
        <f ca="1">MIN(100,IF($O$5&gt;80,0+30*($AG2135/100),IF($O$5&gt;70,0+50*($AG2135/100),IF($O$5&gt;60,5+50*($AG2135/100),IF($O$5&gt;50,10+60*($AG2135/100),IF($O$5&gt;40,15+70*($AG2135/100),IF($O$5&gt;30,20+70*($AG2135/100),IF($O$5&gt;20,40+55*($AG2135/100),(80+(20-$O$5)+30*($AG2135/100))))))))))</f>
        <v>96.32596598991762</v>
      </c>
      <c r="AI2135" s="262">
        <v>5078</v>
      </c>
      <c r="AJ2135" s="262"/>
      <c r="AK2135" s="262"/>
      <c r="AL2135" s="263"/>
      <c r="AM2135" s="264"/>
      <c r="AN2135" s="263"/>
      <c r="AO2135" s="263"/>
      <c r="AP2135" s="265"/>
      <c r="AQ2135" s="266"/>
      <c r="AR2135" s="267">
        <v>46490</v>
      </c>
      <c r="AS2135" s="263"/>
      <c r="AT2135" s="263"/>
      <c r="AU2135" s="263"/>
      <c r="AV2135" s="264"/>
      <c r="AW2135" s="263"/>
      <c r="AX2135" s="263"/>
      <c r="AY2135" s="263"/>
      <c r="AZ2135" s="263"/>
      <c r="BA2135" s="263"/>
      <c r="BB2135" s="263"/>
      <c r="BC2135" s="263"/>
      <c r="BD2135" s="264"/>
      <c r="BE2135" s="263"/>
      <c r="BF2135" s="263"/>
      <c r="BG2135" s="263"/>
      <c r="BH2135" s="263">
        <v>101</v>
      </c>
      <c r="BI2135" s="263"/>
      <c r="BJ2135" s="404">
        <f>altaz(J2000_Bas,$O2135,$M2135,DecLat,DecLong,2)</f>
        <v>244.30458540425752</v>
      </c>
      <c r="BK2135" s="378" t="s">
        <v>2043</v>
      </c>
      <c r="BL2135" s="379">
        <f>IF((2*G2135)/60&lt;0.2,0.2,(2*G2135)/60)</f>
        <v>0.2</v>
      </c>
      <c r="BM2135" s="380">
        <f>MOD((50000+AD2135-$B$3+(0/24)),1)</f>
        <v>0.76370664960268186</v>
      </c>
      <c r="BN2135" s="381" t="s">
        <v>9218</v>
      </c>
      <c r="BO2135" s="382">
        <v>2126</v>
      </c>
    </row>
    <row r="2136" spans="1:67" s="24" customFormat="1" ht="15" customHeight="1" x14ac:dyDescent="0.25">
      <c r="A2136" s="288" t="s">
        <v>2044</v>
      </c>
      <c r="B2136" s="241" t="str">
        <f>HYPERLINK(CONCATENATE($AT$3,BK2136,$AU$3),$AV$3)</f>
        <v>S</v>
      </c>
      <c r="C2136" s="242" t="str">
        <f>HYPERLINK(CONCATENATE($AT$4,BK2136,$AU$4,BL2136),$AV$4)</f>
        <v>A</v>
      </c>
      <c r="D2136" s="243" t="s">
        <v>5638</v>
      </c>
      <c r="E2136" s="244" t="s">
        <v>5182</v>
      </c>
      <c r="F2136" s="269" t="s">
        <v>8673</v>
      </c>
      <c r="G2136" s="273">
        <v>9</v>
      </c>
      <c r="H2136" s="283">
        <v>60</v>
      </c>
      <c r="I2136" s="246">
        <v>160</v>
      </c>
      <c r="J2136" s="246">
        <v>2</v>
      </c>
      <c r="K2136" s="247" t="s">
        <v>8124</v>
      </c>
      <c r="L2136" s="248">
        <v>132017</v>
      </c>
      <c r="M2136" s="249">
        <f>15*(LEFT(TEXT($L2136,"000000"),2)+(MID(TEXT($L2136,"000000"),3,2)/60)+(RIGHT(TEXT($L2136,"000000"),2)/3600))</f>
        <v>200.07083333333333</v>
      </c>
      <c r="N2136" s="250">
        <v>-214940</v>
      </c>
      <c r="O2136" s="251">
        <f>IF($N2136&gt;0,(LEFT(TEXT($N2136,"000000"),2)+(MID(TEXT($N2136,"000000"),3,2)/60)+(RIGHT(TEXT($N2136,"000000"),2)/3600)),-(MID(TEXT($N2136,"000000"),2,2)+(MID(TEXT($N2136,"000000"),4,2)/60)+(RIGHT(TEXT($N2136,"000000"),2)/3600)))</f>
        <v>-21.827777777777779</v>
      </c>
      <c r="P2136" s="252" t="s">
        <v>61</v>
      </c>
      <c r="Q2136" s="253"/>
      <c r="R2136" s="247" t="s">
        <v>3293</v>
      </c>
      <c r="S2136" s="272" t="s">
        <v>3293</v>
      </c>
      <c r="T2136" s="273">
        <v>10.5</v>
      </c>
      <c r="U2136" s="289">
        <v>22.29</v>
      </c>
      <c r="V2136" s="280">
        <v>90</v>
      </c>
      <c r="W2136" s="244"/>
      <c r="X2136" s="244"/>
      <c r="Y2136" s="362"/>
      <c r="Z2136" s="257">
        <f>altaz(J2000_Bas,$O2136,$M2136,DecLat,DecLong,1)</f>
        <v>-7.7614736206522243</v>
      </c>
      <c r="AA2136" s="257">
        <f>altaz((J2000_Bas+(2*0.04167)),$O2136,$M2136,DecLat,DecLong,1)</f>
        <v>-32.719183861814706</v>
      </c>
      <c r="AB2136" s="257">
        <f>altaz((J2000_Bas+(4*0.04167)),$O2136,$M2136,DecLat,DecLong,1)</f>
        <v>-58.425385500323848</v>
      </c>
      <c r="AC2136" s="257">
        <f>altaz((J2000_Bas+(6*0.04167)),$O2136,$M2136,DecLat,DecLong,1)</f>
        <v>-80.214458919032637</v>
      </c>
      <c r="AD2136" s="258">
        <f>1+ transit((J2000_Bas-1),$O2136,$M2136,DecLat,DecLong)/360 + (GMTOffset/24) + (IF(DST="Y", 1, 0)/24)</f>
        <v>1.5486522198692914</v>
      </c>
      <c r="AE2136" s="259">
        <f>DATE(2001,9,21)+(M2136/360)*365 - (360*((DecLong/360)- (GMTOffset/24) ))</f>
        <v>37362.849594907406</v>
      </c>
      <c r="AF2136" s="260">
        <f>IF(DecLat&gt;0,IF((90 - (DecLat-O2136))&gt;90, (90 - (O2136-DecLat)), (90 - (DecLat-O2136))),IF((90 + (DecLat-O2136))&gt;90, (90 + (O2136-DecLat)), (90 + (DecLat-O2136))))</f>
        <v>37.172222222222217</v>
      </c>
      <c r="AG2136" s="257">
        <f>angularseperation(MoonRA,MoonDec,$M2136,$O2136)</f>
        <v>44.792717311367952</v>
      </c>
      <c r="AH2136" s="261">
        <f ca="1">MIN(100,IF($O$5&gt;80,0+30*($AG2136/100),IF($O$5&gt;70,0+50*($AG2136/100),IF($O$5&gt;60,5+50*($AG2136/100),IF($O$5&gt;50,10+60*($AG2136/100),IF($O$5&gt;40,15+70*($AG2136/100),IF($O$5&gt;30,20+70*($AG2136/100),IF($O$5&gt;20,40+55*($AG2136/100),(80+(20-$O$5)+30*($AG2136/100))))))))))</f>
        <v>96.708875537560814</v>
      </c>
      <c r="AI2136" s="262">
        <v>5084</v>
      </c>
      <c r="AJ2136" s="262"/>
      <c r="AK2136" s="262"/>
      <c r="AL2136" s="263"/>
      <c r="AM2136" s="264"/>
      <c r="AN2136" s="263"/>
      <c r="AO2136" s="263"/>
      <c r="AP2136" s="265"/>
      <c r="AQ2136" s="266"/>
      <c r="AR2136" s="267">
        <v>46525</v>
      </c>
      <c r="AS2136" s="263"/>
      <c r="AT2136" s="263"/>
      <c r="AU2136" s="263"/>
      <c r="AV2136" s="264"/>
      <c r="AW2136" s="263"/>
      <c r="AX2136" s="263"/>
      <c r="AY2136" s="263"/>
      <c r="AZ2136" s="263"/>
      <c r="BA2136" s="263"/>
      <c r="BB2136" s="263"/>
      <c r="BC2136" s="263"/>
      <c r="BD2136" s="264"/>
      <c r="BE2136" s="263"/>
      <c r="BF2136" s="263"/>
      <c r="BG2136" s="263"/>
      <c r="BH2136" s="263"/>
      <c r="BI2136" s="263"/>
      <c r="BJ2136" s="404">
        <f>altaz(J2000_Bas,$O2136,$M2136,DecLat,DecLong,2)</f>
        <v>249.15201599963029</v>
      </c>
      <c r="BK2136" s="378" t="s">
        <v>2044</v>
      </c>
      <c r="BL2136" s="379">
        <f>IF((2*G2136)/60&lt;0.2,0.2,(2*G2136)/60)</f>
        <v>0.3</v>
      </c>
      <c r="BM2136" s="380">
        <f>MOD((50000+AD2136-$B$3+(0/24)),1)</f>
        <v>0.76401914957386907</v>
      </c>
      <c r="BN2136" s="381"/>
      <c r="BO2136" s="382">
        <v>2127</v>
      </c>
    </row>
    <row r="2137" spans="1:67" s="24" customFormat="1" ht="15" customHeight="1" x14ac:dyDescent="0.25">
      <c r="A2137" s="288" t="s">
        <v>3275</v>
      </c>
      <c r="B2137" s="241" t="str">
        <f>HYPERLINK(CONCATENATE($AT$3,BK2137,$AU$3),$AV$3)</f>
        <v>S</v>
      </c>
      <c r="C2137" s="242" t="str">
        <f>HYPERLINK(CONCATENATE($AT$4,BK2137,$AU$4,BL2137),$AV$4)</f>
        <v>A</v>
      </c>
      <c r="D2137" s="243" t="s">
        <v>5638</v>
      </c>
      <c r="E2137" s="244" t="s">
        <v>5192</v>
      </c>
      <c r="F2137" s="269" t="s">
        <v>8693</v>
      </c>
      <c r="G2137" s="273">
        <v>3</v>
      </c>
      <c r="H2137" s="283">
        <v>95</v>
      </c>
      <c r="I2137" s="246">
        <v>85</v>
      </c>
      <c r="J2137" s="246">
        <v>2</v>
      </c>
      <c r="K2137" s="247" t="s">
        <v>8125</v>
      </c>
      <c r="L2137" s="248">
        <v>132018</v>
      </c>
      <c r="M2137" s="249">
        <f>15*(LEFT(TEXT($L2137,"000000"),2)+(MID(TEXT($L2137,"000000"),3,2)/60)+(RIGHT(TEXT($L2137,"000000"),2)/3600))</f>
        <v>200.07500000000002</v>
      </c>
      <c r="N2137" s="250">
        <v>-242625</v>
      </c>
      <c r="O2137" s="251">
        <f>IF($N2137&gt;0,(LEFT(TEXT($N2137,"000000"),2)+(MID(TEXT($N2137,"000000"),3,2)/60)+(RIGHT(TEXT($N2137,"000000"),2)/3600)),-(MID(TEXT($N2137,"000000"),2,2)+(MID(TEXT($N2137,"000000"),4,2)/60)+(RIGHT(TEXT($N2137,"000000"),2)/3600)))</f>
        <v>-24.440277777777776</v>
      </c>
      <c r="P2137" s="252" t="s">
        <v>103</v>
      </c>
      <c r="Q2137" s="253"/>
      <c r="R2137" s="277" t="s">
        <v>3293</v>
      </c>
      <c r="S2137" s="272" t="s">
        <v>3293</v>
      </c>
      <c r="T2137" s="273">
        <v>11</v>
      </c>
      <c r="U2137" s="289">
        <v>22.990000000000002</v>
      </c>
      <c r="V2137" s="280">
        <v>25</v>
      </c>
      <c r="W2137" s="244"/>
      <c r="X2137" s="244"/>
      <c r="Y2137" s="362"/>
      <c r="Z2137" s="257">
        <f>altaz(J2000_Bas,$O2137,$M2137,DecLat,DecLong,1)</f>
        <v>-9.0720178872217527</v>
      </c>
      <c r="AA2137" s="257">
        <f>altaz((J2000_Bas+(2*0.04167)),$O2137,$M2137,DecLat,DecLong,1)</f>
        <v>-33.733453674044974</v>
      </c>
      <c r="AB2137" s="257">
        <f>altaz((J2000_Bas+(4*0.04167)),$O2137,$M2137,DecLat,DecLong,1)</f>
        <v>-59.403924755143088</v>
      </c>
      <c r="AC2137" s="257">
        <f>altaz((J2000_Bas+(6*0.04167)),$O2137,$M2137,DecLat,DecLong,1)</f>
        <v>-82.622077026088675</v>
      </c>
      <c r="AD2137" s="258">
        <f>1+ transit((J2000_Bas-1),$O2137,$M2137,DecLat,DecLong)/360 + (GMTOffset/24) + (IF(DST="Y", 1, 0)/24)</f>
        <v>1.5486637939422081</v>
      </c>
      <c r="AE2137" s="259">
        <f>DATE(2001,9,21)+(M2137/360)*365 - (360*((DecLong/360)- (GMTOffset/24) ))</f>
        <v>37362.853819444441</v>
      </c>
      <c r="AF2137" s="260">
        <f>IF(DecLat&gt;0,IF((90 - (DecLat-O2137))&gt;90, (90 - (O2137-DecLat)), (90 - (DecLat-O2137))),IF((90 + (DecLat-O2137))&gt;90, (90 + (O2137-DecLat)), (90 + (DecLat-O2137))))</f>
        <v>34.55972222222222</v>
      </c>
      <c r="AG2137" s="257">
        <f>angularseperation(MoonRA,MoonDec,$M2137,$O2137)</f>
        <v>44.080185904739608</v>
      </c>
      <c r="AH2137" s="261">
        <f ca="1">MIN(100,IF($O$5&gt;80,0+30*($AG2137/100),IF($O$5&gt;70,0+50*($AG2137/100),IF($O$5&gt;60,5+50*($AG2137/100),IF($O$5&gt;50,10+60*($AG2137/100),IF($O$5&gt;40,15+70*($AG2137/100),IF($O$5&gt;30,20+70*($AG2137/100),IF($O$5&gt;20,40+55*($AG2137/100),(80+(20-$O$5)+30*($AG2137/100))))))))))</f>
        <v>96.495116115572316</v>
      </c>
      <c r="AI2137" s="263">
        <v>5085</v>
      </c>
      <c r="AJ2137" s="263"/>
      <c r="AK2137" s="263"/>
      <c r="AL2137" s="263"/>
      <c r="AM2137" s="264"/>
      <c r="AN2137" s="263"/>
      <c r="AO2137" s="263"/>
      <c r="AP2137" s="265"/>
      <c r="AQ2137" s="265"/>
      <c r="AR2137" s="285">
        <v>46531</v>
      </c>
      <c r="AS2137" s="263"/>
      <c r="AT2137" s="263"/>
      <c r="AU2137" s="263"/>
      <c r="AV2137" s="264"/>
      <c r="AW2137" s="263"/>
      <c r="AX2137" s="263"/>
      <c r="AY2137" s="263"/>
      <c r="AZ2137" s="263"/>
      <c r="BA2137" s="263"/>
      <c r="BB2137" s="263"/>
      <c r="BC2137" s="263"/>
      <c r="BD2137" s="264"/>
      <c r="BE2137" s="263"/>
      <c r="BF2137" s="263"/>
      <c r="BG2137" s="263"/>
      <c r="BH2137" s="263"/>
      <c r="BI2137" s="263"/>
      <c r="BJ2137" s="404">
        <f>altaz(J2000_Bas,$O2137,$M2137,DecLat,DecLong,2)</f>
        <v>246.86734355815753</v>
      </c>
      <c r="BK2137" s="378" t="s">
        <v>3275</v>
      </c>
      <c r="BL2137" s="379">
        <f>IF((2*G2137)/60&lt;0.2,0.2,(2*G2137)/60)</f>
        <v>0.2</v>
      </c>
      <c r="BM2137" s="380">
        <f>MOD((50000+AD2137-$B$3+(0/24)),1)</f>
        <v>0.76403072364337277</v>
      </c>
      <c r="BN2137" s="381"/>
      <c r="BO2137" s="382">
        <v>2128</v>
      </c>
    </row>
    <row r="2138" spans="1:67" s="24" customFormat="1" ht="15" customHeight="1" x14ac:dyDescent="0.25">
      <c r="A2138" s="287" t="s">
        <v>8121</v>
      </c>
      <c r="B2138" s="241" t="str">
        <f>HYPERLINK(CONCATENATE($AT$3,BK2138,$AU$3),$AV$3)</f>
        <v>S</v>
      </c>
      <c r="C2138" s="242" t="str">
        <f>HYPERLINK(CONCATENATE($AT$4,BK2138,$AU$4,BL2138),$AV$4)</f>
        <v>A</v>
      </c>
      <c r="D2138" s="243" t="s">
        <v>5638</v>
      </c>
      <c r="E2138" s="244" t="s">
        <v>5625</v>
      </c>
      <c r="F2138" s="269">
        <v>5</v>
      </c>
      <c r="G2138" s="282">
        <v>22</v>
      </c>
      <c r="H2138" s="283">
        <v>285</v>
      </c>
      <c r="I2138" s="284">
        <v>1900</v>
      </c>
      <c r="J2138" s="246">
        <v>2</v>
      </c>
      <c r="K2138" s="247" t="s">
        <v>8496</v>
      </c>
      <c r="L2138" s="248">
        <v>132113</v>
      </c>
      <c r="M2138" s="249">
        <f>15*(LEFT(TEXT($L2138,"000000"),2)+(MID(TEXT($L2138,"000000"),3,2)/60)+(RIGHT(TEXT($L2138,"000000"),2)/3600))</f>
        <v>200.30416666666665</v>
      </c>
      <c r="N2138" s="250">
        <v>-434217</v>
      </c>
      <c r="O2138" s="251">
        <f>IF($N2138&gt;0,(LEFT(TEXT($N2138,"000000"),2)+(MID(TEXT($N2138,"000000"),3,2)/60)+(RIGHT(TEXT($N2138,"000000"),2)/3600)),-(MID(TEXT($N2138,"000000"),2,2)+(MID(TEXT($N2138,"000000"),4,2)/60)+(RIGHT(TEXT($N2138,"000000"),2)/3600)))</f>
        <v>-43.704722222222223</v>
      </c>
      <c r="P2138" s="252" t="s">
        <v>927</v>
      </c>
      <c r="Q2138" s="253"/>
      <c r="R2138" s="277" t="s">
        <v>3293</v>
      </c>
      <c r="S2138" s="272" t="s">
        <v>8122</v>
      </c>
      <c r="T2138" s="273">
        <v>11.5</v>
      </c>
      <c r="U2138" s="289">
        <v>21.5</v>
      </c>
      <c r="V2138" s="280"/>
      <c r="W2138" s="244"/>
      <c r="X2138" s="244"/>
      <c r="Y2138" s="362"/>
      <c r="Z2138" s="257">
        <f>altaz(J2000_Bas,$O2138,$M2138,DecLat,DecLong,1)</f>
        <v>-18.022104634553518</v>
      </c>
      <c r="AA2138" s="257">
        <f>altaz((J2000_Bas+(2*0.04167)),$O2138,$M2138,DecLat,DecLong,1)</f>
        <v>-38.710748818101528</v>
      </c>
      <c r="AB2138" s="257">
        <f>altaz((J2000_Bas+(4*0.04167)),$O2138,$M2138,DecLat,DecLong,1)</f>
        <v>-60.316747686152809</v>
      </c>
      <c r="AC2138" s="257">
        <f>altaz((J2000_Bas+(6*0.04167)),$O2138,$M2138,DecLat,DecLong,1)</f>
        <v>-76.898646807918027</v>
      </c>
      <c r="AD2138" s="258">
        <f>1+ transit((J2000_Bas-1),$O2138,$M2138,DecLat,DecLong)/360 + (GMTOffset/24) + (IF(DST="Y", 1, 0)/24)</f>
        <v>1.5493003679526247</v>
      </c>
      <c r="AE2138" s="259">
        <f>DATE(2001,9,21)+(M2138/360)*365 - (360*((DecLong/360)- (GMTOffset/24) ))</f>
        <v>37363.086168981485</v>
      </c>
      <c r="AF2138" s="260">
        <f>IF(DecLat&gt;0,IF((90 - (DecLat-O2138))&gt;90, (90 - (O2138-DecLat)), (90 - (DecLat-O2138))),IF((90 + (DecLat-O2138))&gt;90, (90 + (O2138-DecLat)), (90 + (DecLat-O2138))))</f>
        <v>15.295277777777784</v>
      </c>
      <c r="AG2138" s="257">
        <f>angularseperation(MoonRA,MoonDec,$M2138,$O2138)</f>
        <v>42.49174704810477</v>
      </c>
      <c r="AH2138" s="261">
        <f ca="1">MIN(100,IF($O$5&gt;80,0+30*($AG2138/100),IF($O$5&gt;70,0+50*($AG2138/100),IF($O$5&gt;60,5+50*($AG2138/100),IF($O$5&gt;50,10+60*($AG2138/100),IF($O$5&gt;40,15+70*($AG2138/100),IF($O$5&gt;30,20+70*($AG2138/100),IF($O$5&gt;20,40+55*($AG2138/100),(80+(20-$O$5)+30*($AG2138/100))))))))))</f>
        <v>96.018584458581856</v>
      </c>
      <c r="AI2138" s="263">
        <v>5082</v>
      </c>
      <c r="AJ2138" s="263"/>
      <c r="AK2138" s="263"/>
      <c r="AL2138" s="263"/>
      <c r="AM2138" s="264"/>
      <c r="AN2138" s="263"/>
      <c r="AO2138" s="263"/>
      <c r="AP2138" s="265"/>
      <c r="AQ2138" s="265"/>
      <c r="AR2138" s="285">
        <v>46566</v>
      </c>
      <c r="AS2138" s="263"/>
      <c r="AT2138" s="263"/>
      <c r="AU2138" s="263"/>
      <c r="AV2138" s="264"/>
      <c r="AW2138" s="263"/>
      <c r="AX2138" s="263"/>
      <c r="AY2138" s="263"/>
      <c r="AZ2138" s="263"/>
      <c r="BA2138" s="263"/>
      <c r="BB2138" s="263"/>
      <c r="BC2138" s="263"/>
      <c r="BD2138" s="264"/>
      <c r="BE2138" s="263"/>
      <c r="BF2138" s="263"/>
      <c r="BG2138" s="263"/>
      <c r="BH2138" s="263"/>
      <c r="BI2138" s="263"/>
      <c r="BJ2138" s="404">
        <f>altaz(J2000_Bas,$O2138,$M2138,DecLat,DecLong,2)</f>
        <v>229.29405794490043</v>
      </c>
      <c r="BK2138" s="378" t="s">
        <v>8123</v>
      </c>
      <c r="BL2138" s="379">
        <f>IF((2*G2138)/60&lt;0.2,0.2,(2*G2138)/60)</f>
        <v>0.73333333333333328</v>
      </c>
      <c r="BM2138" s="380">
        <f>MOD((50000+AD2138-$B$3+(0/24)),1)</f>
        <v>0.76466729765525088</v>
      </c>
      <c r="BN2138" s="381"/>
      <c r="BO2138" s="382">
        <v>2129</v>
      </c>
    </row>
    <row r="2139" spans="1:67" s="24" customFormat="1" ht="15" customHeight="1" x14ac:dyDescent="0.25">
      <c r="A2139" s="288" t="s">
        <v>3176</v>
      </c>
      <c r="B2139" s="241" t="str">
        <f>HYPERLINK(CONCATENATE($AT$3,BK2139,$AU$3),$AV$3)</f>
        <v>S</v>
      </c>
      <c r="C2139" s="242" t="str">
        <f>HYPERLINK(CONCATENATE($AT$4,BK2139,$AU$4,BL2139),$AV$4)</f>
        <v>A</v>
      </c>
      <c r="D2139" s="243" t="s">
        <v>5638</v>
      </c>
      <c r="E2139" s="244" t="s">
        <v>5337</v>
      </c>
      <c r="F2139" s="269" t="s">
        <v>3319</v>
      </c>
      <c r="G2139" s="270">
        <v>0.5</v>
      </c>
      <c r="H2139" s="283">
        <v>500</v>
      </c>
      <c r="I2139" s="246">
        <v>75</v>
      </c>
      <c r="J2139" s="246">
        <v>2</v>
      </c>
      <c r="K2139" s="247" t="s">
        <v>8126</v>
      </c>
      <c r="L2139" s="248">
        <v>132100</v>
      </c>
      <c r="M2139" s="249">
        <f>15*(LEFT(TEXT($L2139,"000000"),2)+(MID(TEXT($L2139,"000000"),3,2)/60)+(RIGHT(TEXT($L2139,"000000"),2)/3600))</f>
        <v>200.25</v>
      </c>
      <c r="N2139" s="250">
        <v>85836</v>
      </c>
      <c r="O2139" s="251">
        <f>IF($N2139&gt;0,(LEFT(TEXT($N2139,"000000"),2)+(MID(TEXT($N2139,"000000"),3,2)/60)+(RIGHT(TEXT($N2139,"000000"),2)/3600)),-(MID(TEXT($N2139,"000000"),2,2)+(MID(TEXT($N2139,"000000"),4,2)/60)+(RIGHT(TEXT($N2139,"000000"),2)/3600)))</f>
        <v>8.9766666666666666</v>
      </c>
      <c r="P2139" s="252" t="s">
        <v>61</v>
      </c>
      <c r="Q2139" s="253"/>
      <c r="R2139" s="277" t="s">
        <v>3240</v>
      </c>
      <c r="S2139" s="272" t="s">
        <v>3293</v>
      </c>
      <c r="T2139" s="273">
        <v>14.3</v>
      </c>
      <c r="U2139" s="289">
        <v>22.09</v>
      </c>
      <c r="V2139" s="280"/>
      <c r="W2139" s="244"/>
      <c r="X2139" s="244"/>
      <c r="Y2139" s="362"/>
      <c r="Z2139" s="257">
        <f>altaz(J2000_Bas,$O2139,$M2139,DecLat,DecLong,1)</f>
        <v>8.2254845315592338</v>
      </c>
      <c r="AA2139" s="257">
        <f>altaz((J2000_Bas+(2*0.04167)),$O2139,$M2139,DecLat,DecLong,1)</f>
        <v>-16.775861499730933</v>
      </c>
      <c r="AB2139" s="257">
        <f>altaz((J2000_Bas+(4*0.04167)),$O2139,$M2139,DecLat,DecLong,1)</f>
        <v>-38.382622968282305</v>
      </c>
      <c r="AC2139" s="257">
        <f>altaz((J2000_Bas+(6*0.04167)),$O2139,$M2139,DecLat,DecLong,1)</f>
        <v>-49.840328500836961</v>
      </c>
      <c r="AD2139" s="258">
        <f>1+ transit((J2000_Bas-1),$O2139,$M2139,DecLat,DecLong)/360 + (GMTOffset/24) + (IF(DST="Y", 1, 0)/24)</f>
        <v>1.5491499050047079</v>
      </c>
      <c r="AE2139" s="259">
        <f>DATE(2001,9,21)+(M2139/360)*365 - (360*((DecLong/360)- (GMTOffset/24) ))</f>
        <v>37363.03125</v>
      </c>
      <c r="AF2139" s="260">
        <f>IF(DecLat&gt;0,IF((90 - (DecLat-O2139))&gt;90, (90 - (O2139-DecLat)), (90 - (DecLat-O2139))),IF((90 + (DecLat-O2139))&gt;90, (90 + (O2139-DecLat)), (90 + (DecLat-O2139))))</f>
        <v>67.976666666666659</v>
      </c>
      <c r="AG2139" s="257">
        <f>angularseperation(MoonRA,MoonDec,$M2139,$O2139)</f>
        <v>59.601352661962522</v>
      </c>
      <c r="AH2139" s="261">
        <f ca="1">MIN(100,IF($O$5&gt;80,0+30*($AG2139/100),IF($O$5&gt;70,0+50*($AG2139/100),IF($O$5&gt;60,5+50*($AG2139/100),IF($O$5&gt;50,10+60*($AG2139/100),IF($O$5&gt;40,15+70*($AG2139/100),IF($O$5&gt;30,20+70*($AG2139/100),IF($O$5&gt;20,40+55*($AG2139/100),(80+(20-$O$5)+30*($AG2139/100))))))))))</f>
        <v>100</v>
      </c>
      <c r="AI2139" s="263">
        <v>5100</v>
      </c>
      <c r="AJ2139" s="263"/>
      <c r="AK2139" s="263"/>
      <c r="AL2139" s="263"/>
      <c r="AM2139" s="264"/>
      <c r="AN2139" s="263"/>
      <c r="AO2139" s="263"/>
      <c r="AP2139" s="265"/>
      <c r="AQ2139" s="265"/>
      <c r="AR2139" s="285">
        <v>46599</v>
      </c>
      <c r="AS2139" s="263"/>
      <c r="AT2139" s="263"/>
      <c r="AU2139" s="263"/>
      <c r="AV2139" s="264"/>
      <c r="AW2139" s="263"/>
      <c r="AX2139" s="263"/>
      <c r="AY2139" s="263"/>
      <c r="AZ2139" s="263"/>
      <c r="BA2139" s="263"/>
      <c r="BB2139" s="263"/>
      <c r="BC2139" s="263"/>
      <c r="BD2139" s="264"/>
      <c r="BE2139" s="263"/>
      <c r="BF2139" s="263"/>
      <c r="BG2139" s="263"/>
      <c r="BH2139" s="263"/>
      <c r="BI2139" s="263"/>
      <c r="BJ2139" s="404">
        <f>altaz(J2000_Bas,$O2139,$M2139,DecLat,DecLong,2)</f>
        <v>275.57026144529237</v>
      </c>
      <c r="BK2139" s="378" t="s">
        <v>3176</v>
      </c>
      <c r="BL2139" s="379">
        <f>IF((2*G2139)/60&lt;0.2,0.2,(2*G2139)/60)</f>
        <v>0.2</v>
      </c>
      <c r="BM2139" s="380">
        <f>MOD((50000+AD2139-$B$3+(0/24)),1)</f>
        <v>0.7645168347080471</v>
      </c>
      <c r="BN2139" s="381"/>
      <c r="BO2139" s="382">
        <v>2130</v>
      </c>
    </row>
    <row r="2140" spans="1:67" s="24" customFormat="1" ht="15" customHeight="1" x14ac:dyDescent="0.25">
      <c r="A2140" s="288" t="s">
        <v>2045</v>
      </c>
      <c r="B2140" s="241" t="str">
        <f>HYPERLINK(CONCATENATE($AT$3,BK2140,$AU$3),$AV$3)</f>
        <v>S</v>
      </c>
      <c r="C2140" s="242" t="str">
        <f>HYPERLINK(CONCATENATE($AT$4,BK2140,$AU$4,BL2140),$AV$4)</f>
        <v>A</v>
      </c>
      <c r="D2140" s="243" t="s">
        <v>5638</v>
      </c>
      <c r="E2140" s="244" t="s">
        <v>5182</v>
      </c>
      <c r="F2140" s="269" t="s">
        <v>8985</v>
      </c>
      <c r="G2140" s="276">
        <v>10</v>
      </c>
      <c r="H2140" s="283">
        <v>50</v>
      </c>
      <c r="I2140" s="246">
        <v>145</v>
      </c>
      <c r="J2140" s="246">
        <v>3</v>
      </c>
      <c r="K2140" s="247" t="s">
        <v>8127</v>
      </c>
      <c r="L2140" s="248">
        <v>132146</v>
      </c>
      <c r="M2140" s="249">
        <f>15*(LEFT(TEXT($L2140,"000000"),2)+(MID(TEXT($L2140,"000000"),3,2)/60)+(RIGHT(TEXT($L2140,"000000"),2)/3600))</f>
        <v>200.44166666666666</v>
      </c>
      <c r="N2140" s="250">
        <v>-272550</v>
      </c>
      <c r="O2140" s="251">
        <f>IF($N2140&gt;0,(LEFT(TEXT($N2140,"000000"),2)+(MID(TEXT($N2140,"000000"),3,2)/60)+(RIGHT(TEXT($N2140,"000000"),2)/3600)),-(MID(TEXT($N2140,"000000"),2,2)+(MID(TEXT($N2140,"000000"),4,2)/60)+(RIGHT(TEXT($N2140,"000000"),2)/3600)))</f>
        <v>-27.430555555555557</v>
      </c>
      <c r="P2140" s="252" t="s">
        <v>103</v>
      </c>
      <c r="Q2140" s="253"/>
      <c r="R2140" s="247" t="s">
        <v>3293</v>
      </c>
      <c r="S2140" s="272" t="s">
        <v>3293</v>
      </c>
      <c r="T2140" s="273">
        <v>10.7</v>
      </c>
      <c r="U2140" s="289">
        <v>22.89</v>
      </c>
      <c r="V2140" s="280">
        <v>10</v>
      </c>
      <c r="W2140" s="244"/>
      <c r="X2140" s="244"/>
      <c r="Y2140" s="362"/>
      <c r="Z2140" s="257">
        <f>altaz(J2000_Bas,$O2140,$M2140,DecLat,DecLong,1)</f>
        <v>-10.27540605858788</v>
      </c>
      <c r="AA2140" s="257">
        <f>altaz((J2000_Bas+(2*0.04167)),$O2140,$M2140,DecLat,DecLong,1)</f>
        <v>-34.509166307690442</v>
      </c>
      <c r="AB2140" s="257">
        <f>altaz((J2000_Bas+(4*0.04167)),$O2140,$M2140,DecLat,DecLong,1)</f>
        <v>-59.994927262522872</v>
      </c>
      <c r="AC2140" s="257">
        <f>altaz((J2000_Bas+(6*0.04167)),$O2140,$M2140,DecLat,DecLong,1)</f>
        <v>-84.893583242727686</v>
      </c>
      <c r="AD2140" s="258">
        <f>1+ transit((J2000_Bas-1),$O2140,$M2140,DecLat,DecLong)/360 + (GMTOffset/24) + (IF(DST="Y", 1, 0)/24)</f>
        <v>1.5496823123588748</v>
      </c>
      <c r="AE2140" s="259">
        <f>DATE(2001,9,21)+(M2140/360)*365 - (360*((DecLong/360)- (GMTOffset/24) ))</f>
        <v>37363.225578703707</v>
      </c>
      <c r="AF2140" s="260">
        <f>IF(DecLat&gt;0,IF((90 - (DecLat-O2140))&gt;90, (90 - (O2140-DecLat)), (90 - (DecLat-O2140))),IF((90 + (DecLat-O2140))&gt;90, (90 + (O2140-DecLat)), (90 + (DecLat-O2140))))</f>
        <v>31.569444444444443</v>
      </c>
      <c r="AG2140" s="257">
        <f>angularseperation(MoonRA,MoonDec,$M2140,$O2140)</f>
        <v>43.091593186939534</v>
      </c>
      <c r="AH2140" s="261">
        <f ca="1">MIN(100,IF($O$5&gt;80,0+30*($AG2140/100),IF($O$5&gt;70,0+50*($AG2140/100),IF($O$5&gt;60,5+50*($AG2140/100),IF($O$5&gt;50,10+60*($AG2140/100),IF($O$5&gt;40,15+70*($AG2140/100),IF($O$5&gt;30,20+70*($AG2140/100),IF($O$5&gt;20,40+55*($AG2140/100),(80+(20-$O$5)+30*($AG2140/100))))))))))</f>
        <v>96.198538300232286</v>
      </c>
      <c r="AI2140" s="262">
        <v>5101</v>
      </c>
      <c r="AJ2140" s="262"/>
      <c r="AK2140" s="262"/>
      <c r="AL2140" s="263"/>
      <c r="AM2140" s="264"/>
      <c r="AN2140" s="263"/>
      <c r="AO2140" s="263"/>
      <c r="AP2140" s="265"/>
      <c r="AQ2140" s="266"/>
      <c r="AR2140" s="267">
        <v>46661</v>
      </c>
      <c r="AS2140" s="263"/>
      <c r="AT2140" s="263"/>
      <c r="AU2140" s="263"/>
      <c r="AV2140" s="264"/>
      <c r="AW2140" s="263"/>
      <c r="AX2140" s="263"/>
      <c r="AY2140" s="263"/>
      <c r="AZ2140" s="263"/>
      <c r="BA2140" s="263"/>
      <c r="BB2140" s="263"/>
      <c r="BC2140" s="263"/>
      <c r="BD2140" s="264"/>
      <c r="BE2140" s="263"/>
      <c r="BF2140" s="263"/>
      <c r="BG2140" s="263"/>
      <c r="BH2140" s="263"/>
      <c r="BI2140" s="263"/>
      <c r="BJ2140" s="404">
        <f>altaz(J2000_Bas,$O2140,$M2140,DecLat,DecLong,2)</f>
        <v>244.07028086520674</v>
      </c>
      <c r="BK2140" s="378" t="s">
        <v>2045</v>
      </c>
      <c r="BL2140" s="379">
        <f>IF((2*G2140)/60&lt;0.2,0.2,(2*G2140)/60)</f>
        <v>0.33333333333333331</v>
      </c>
      <c r="BM2140" s="380">
        <f>MOD((50000+AD2140-$B$3+(0/24)),1)</f>
        <v>0.76504924206528813</v>
      </c>
      <c r="BN2140" s="381"/>
      <c r="BO2140" s="382">
        <v>2131</v>
      </c>
    </row>
    <row r="2141" spans="1:67" s="24" customFormat="1" ht="15" customHeight="1" x14ac:dyDescent="0.25">
      <c r="A2141" s="288" t="s">
        <v>2046</v>
      </c>
      <c r="B2141" s="241" t="str">
        <f>HYPERLINK(CONCATENATE($AT$3,BK2141,$AU$3),$AV$3)</f>
        <v>S</v>
      </c>
      <c r="C2141" s="242" t="str">
        <f>HYPERLINK(CONCATENATE($AT$4,BK2141,$AU$4,BL2141),$AV$4)</f>
        <v>A</v>
      </c>
      <c r="D2141" s="243" t="s">
        <v>5638</v>
      </c>
      <c r="E2141" s="244" t="s">
        <v>5182</v>
      </c>
      <c r="F2141" s="269" t="s">
        <v>3300</v>
      </c>
      <c r="G2141" s="273">
        <v>8</v>
      </c>
      <c r="H2141" s="283">
        <v>12</v>
      </c>
      <c r="I2141" s="246">
        <v>30</v>
      </c>
      <c r="J2141" s="246">
        <v>2</v>
      </c>
      <c r="K2141" s="247" t="s">
        <v>8128</v>
      </c>
      <c r="L2141" s="248">
        <v>132158</v>
      </c>
      <c r="M2141" s="249">
        <f>15*(LEFT(TEXT($L2141,"000000"),2)+(MID(TEXT($L2141,"000000"),3,2)/60)+(RIGHT(TEXT($L2141,"000000"),2)/3600))</f>
        <v>200.49166666666667</v>
      </c>
      <c r="N2141" s="250">
        <v>-363751</v>
      </c>
      <c r="O2141" s="251">
        <f>IF($N2141&gt;0,(LEFT(TEXT($N2141,"000000"),2)+(MID(TEXT($N2141,"000000"),3,2)/60)+(RIGHT(TEXT($N2141,"000000"),2)/3600)),-(MID(TEXT($N2141,"000000"),2,2)+(MID(TEXT($N2141,"000000"),4,2)/60)+(RIGHT(TEXT($N2141,"000000"),2)/3600)))</f>
        <v>-36.630833333333335</v>
      </c>
      <c r="P2141" s="252" t="s">
        <v>927</v>
      </c>
      <c r="Q2141" s="253" t="s">
        <v>8129</v>
      </c>
      <c r="R2141" s="247" t="s">
        <v>3293</v>
      </c>
      <c r="S2141" s="272" t="s">
        <v>3293</v>
      </c>
      <c r="T2141" s="273">
        <v>9.6</v>
      </c>
      <c r="U2141" s="289">
        <v>21.89</v>
      </c>
      <c r="V2141" s="280">
        <v>70</v>
      </c>
      <c r="W2141" s="244"/>
      <c r="X2141" s="244"/>
      <c r="Y2141" s="362"/>
      <c r="Z2141" s="257">
        <f>altaz(J2000_Bas,$O2141,$M2141,DecLat,DecLong,1)</f>
        <v>-14.682482796784827</v>
      </c>
      <c r="AA2141" s="257">
        <f>altaz((J2000_Bas+(2*0.04167)),$O2141,$M2141,DecLat,DecLong,1)</f>
        <v>-37.190911011265761</v>
      </c>
      <c r="AB2141" s="257">
        <f>altaz((J2000_Bas+(4*0.04167)),$O2141,$M2141,DecLat,DecLong,1)</f>
        <v>-61.094401715390809</v>
      </c>
      <c r="AC2141" s="257">
        <f>altaz((J2000_Bas+(6*0.04167)),$O2141,$M2141,DecLat,DecLong,1)</f>
        <v>-83.361930258366101</v>
      </c>
      <c r="AD2141" s="258">
        <f>1+ transit((J2000_Bas-1),$O2141,$M2141,DecLat,DecLong)/360 + (GMTOffset/24) + (IF(DST="Y", 1, 0)/24)</f>
        <v>1.5498212012338748</v>
      </c>
      <c r="AE2141" s="259">
        <f>DATE(2001,9,21)+(M2141/360)*365 - (360*((DecLong/360)- (GMTOffset/24) ))</f>
        <v>37363.276273148149</v>
      </c>
      <c r="AF2141" s="260">
        <f>IF(DecLat&gt;0,IF((90 - (DecLat-O2141))&gt;90, (90 - (O2141-DecLat)), (90 - (DecLat-O2141))),IF((90 + (DecLat-O2141))&gt;90, (90 + (O2141-DecLat)), (90 + (DecLat-O2141))))</f>
        <v>22.369166666666672</v>
      </c>
      <c r="AG2141" s="257">
        <f>angularseperation(MoonRA,MoonDec,$M2141,$O2141)</f>
        <v>42.033547342634179</v>
      </c>
      <c r="AH2141" s="261">
        <f ca="1">MIN(100,IF($O$5&gt;80,0+30*($AG2141/100),IF($O$5&gt;70,0+50*($AG2141/100),IF($O$5&gt;60,5+50*($AG2141/100),IF($O$5&gt;50,10+60*($AG2141/100),IF($O$5&gt;40,15+70*($AG2141/100),IF($O$5&gt;30,20+70*($AG2141/100),IF($O$5&gt;20,40+55*($AG2141/100),(80+(20-$O$5)+30*($AG2141/100))))))))))</f>
        <v>95.881124546940683</v>
      </c>
      <c r="AI2141" s="262">
        <v>5102</v>
      </c>
      <c r="AJ2141" s="262"/>
      <c r="AK2141" s="262"/>
      <c r="AL2141" s="263"/>
      <c r="AM2141" s="264"/>
      <c r="AN2141" s="263"/>
      <c r="AO2141" s="263"/>
      <c r="AP2141" s="265"/>
      <c r="AQ2141" s="266"/>
      <c r="AR2141" s="267">
        <v>46674</v>
      </c>
      <c r="AS2141" s="263"/>
      <c r="AT2141" s="263"/>
      <c r="AU2141" s="263"/>
      <c r="AV2141" s="264"/>
      <c r="AW2141" s="263"/>
      <c r="AX2141" s="263"/>
      <c r="AY2141" s="263"/>
      <c r="AZ2141" s="263"/>
      <c r="BA2141" s="263"/>
      <c r="BB2141" s="263"/>
      <c r="BC2141" s="263"/>
      <c r="BD2141" s="264"/>
      <c r="BE2141" s="263">
        <v>70</v>
      </c>
      <c r="BF2141" s="263"/>
      <c r="BG2141" s="263"/>
      <c r="BH2141" s="263"/>
      <c r="BI2141" s="263"/>
      <c r="BJ2141" s="404">
        <f>altaz(J2000_Bas,$O2141,$M2141,DecLat,DecLong,2)</f>
        <v>235.79601781983024</v>
      </c>
      <c r="BK2141" s="378" t="s">
        <v>2046</v>
      </c>
      <c r="BL2141" s="379">
        <f>IF((2*G2141)/60&lt;0.2,0.2,(2*G2141)/60)</f>
        <v>0.26666666666666666</v>
      </c>
      <c r="BM2141" s="380">
        <f>MOD((50000+AD2141-$B$3+(0/24)),1)</f>
        <v>0.76518813093571225</v>
      </c>
      <c r="BN2141" s="381"/>
      <c r="BO2141" s="382">
        <v>2132</v>
      </c>
    </row>
    <row r="2142" spans="1:67" s="24" customFormat="1" ht="15" customHeight="1" x14ac:dyDescent="0.25">
      <c r="A2142" s="287" t="s">
        <v>2047</v>
      </c>
      <c r="B2142" s="241" t="str">
        <f>HYPERLINK(CONCATENATE($AT$3,BK2142,$AU$3),$AV$3)</f>
        <v>S</v>
      </c>
      <c r="C2142" s="242" t="str">
        <f>HYPERLINK(CONCATENATE($AT$4,BK2142,$AU$4,BL2142),$AV$4)</f>
        <v>A</v>
      </c>
      <c r="D2142" s="243" t="s">
        <v>5638</v>
      </c>
      <c r="E2142" s="244" t="s">
        <v>5192</v>
      </c>
      <c r="F2142" s="269" t="s">
        <v>8895</v>
      </c>
      <c r="G2142" s="273">
        <v>3.5</v>
      </c>
      <c r="H2142" s="283">
        <v>55</v>
      </c>
      <c r="I2142" s="246">
        <v>55</v>
      </c>
      <c r="J2142" s="246">
        <v>2</v>
      </c>
      <c r="K2142" s="247" t="s">
        <v>8130</v>
      </c>
      <c r="L2142" s="248">
        <v>132157</v>
      </c>
      <c r="M2142" s="249">
        <f>15*(LEFT(TEXT($L2142,"000000"),2)+(MID(TEXT($L2142,"000000"),3,2)/60)+(RIGHT(TEXT($L2142,"000000"),2)/3600))</f>
        <v>200.48749999999998</v>
      </c>
      <c r="N2142" s="250">
        <v>384405</v>
      </c>
      <c r="O2142" s="251">
        <f>IF($N2142&gt;0,(LEFT(TEXT($N2142,"000000"),2)+(MID(TEXT($N2142,"000000"),3,2)/60)+(RIGHT(TEXT($N2142,"000000"),2)/3600)),-(MID(TEXT($N2142,"000000"),2,2)+(MID(TEXT($N2142,"000000"),4,2)/60)+(RIGHT(TEXT($N2142,"000000"),2)/3600)))</f>
        <v>38.734722222222224</v>
      </c>
      <c r="P2142" s="252" t="s">
        <v>242</v>
      </c>
      <c r="Q2142" s="253"/>
      <c r="R2142" s="277" t="s">
        <v>3293</v>
      </c>
      <c r="S2142" s="272" t="s">
        <v>3293</v>
      </c>
      <c r="T2142" s="273">
        <v>12.1</v>
      </c>
      <c r="U2142" s="289">
        <v>23.59</v>
      </c>
      <c r="V2142" s="280">
        <v>60</v>
      </c>
      <c r="W2142" s="244"/>
      <c r="X2142" s="244"/>
      <c r="Y2142" s="362"/>
      <c r="Z2142" s="257">
        <f>altaz(J2000_Bas,$O2142,$M2142,DecLat,DecLong,1)</f>
        <v>21.996612596913369</v>
      </c>
      <c r="AA2142" s="257">
        <f>altaz((J2000_Bas+(2*0.04167)),$O2142,$M2142,DecLat,DecLong,1)</f>
        <v>1.9119324369487902</v>
      </c>
      <c r="AB2142" s="257">
        <f>altaz((J2000_Bas+(4*0.04167)),$O2142,$M2142,DecLat,DecLong,1)</f>
        <v>-13.296288654922709</v>
      </c>
      <c r="AC2142" s="257">
        <f>altaz((J2000_Bas+(6*0.04167)),$O2142,$M2142,DecLat,DecLong,1)</f>
        <v>-20.154009766846357</v>
      </c>
      <c r="AD2142" s="258">
        <f>1+ transit((J2000_Bas-1),$O2142,$M2142,DecLat,DecLong)/360 + (GMTOffset/24) + (IF(DST="Y", 1, 0)/24)</f>
        <v>1.5498096271609578</v>
      </c>
      <c r="AE2142" s="259">
        <f>DATE(2001,9,21)+(M2142/360)*365 - (360*((DecLong/360)- (GMTOffset/24) ))</f>
        <v>37363.272048611114</v>
      </c>
      <c r="AF2142" s="260">
        <f>IF(DecLat&gt;0,IF((90 - (DecLat-O2142))&gt;90, (90 - (O2142-DecLat)), (90 - (DecLat-O2142))),IF((90 + (DecLat-O2142))&gt;90, (90 + (O2142-DecLat)), (90 + (DecLat-O2142))))</f>
        <v>82.265277777777783</v>
      </c>
      <c r="AG2142" s="257">
        <f>angularseperation(MoonRA,MoonDec,$M2142,$O2142)</f>
        <v>80.037975151926176</v>
      </c>
      <c r="AH2142" s="261">
        <f ca="1">MIN(100,IF($O$5&gt;80,0+30*($AG2142/100),IF($O$5&gt;70,0+50*($AG2142/100),IF($O$5&gt;60,5+50*($AG2142/100),IF($O$5&gt;50,10+60*($AG2142/100),IF($O$5&gt;40,15+70*($AG2142/100),IF($O$5&gt;30,20+70*($AG2142/100),IF($O$5&gt;20,40+55*($AG2142/100),(80+(20-$O$5)+30*($AG2142/100))))))))))</f>
        <v>100</v>
      </c>
      <c r="AI2142" s="262">
        <v>5112</v>
      </c>
      <c r="AJ2142" s="263"/>
      <c r="AK2142" s="263"/>
      <c r="AL2142" s="263"/>
      <c r="AM2142" s="264"/>
      <c r="AN2142" s="263"/>
      <c r="AO2142" s="263"/>
      <c r="AP2142" s="265"/>
      <c r="AQ2142" s="265">
        <v>8403</v>
      </c>
      <c r="AR2142" s="285">
        <v>46671</v>
      </c>
      <c r="AS2142" s="263"/>
      <c r="AT2142" s="263"/>
      <c r="AU2142" s="263"/>
      <c r="AV2142" s="264"/>
      <c r="AW2142" s="263"/>
      <c r="AX2142" s="263"/>
      <c r="AY2142" s="263"/>
      <c r="AZ2142" s="263"/>
      <c r="BA2142" s="263"/>
      <c r="BB2142" s="263"/>
      <c r="BC2142" s="263"/>
      <c r="BD2142" s="264"/>
      <c r="BE2142" s="263"/>
      <c r="BF2142" s="263"/>
      <c r="BG2142" s="263"/>
      <c r="BH2142" s="263"/>
      <c r="BI2142" s="263"/>
      <c r="BJ2142" s="404">
        <f>altaz(J2000_Bas,$O2142,$M2142,DecLat,DecLong,2)</f>
        <v>302.99518147100275</v>
      </c>
      <c r="BK2142" s="378" t="s">
        <v>2047</v>
      </c>
      <c r="BL2142" s="379">
        <f>IF((2*G2142)/60&lt;0.2,0.2,(2*G2142)/60)</f>
        <v>0.2</v>
      </c>
      <c r="BM2142" s="380">
        <f>MOD((50000+AD2142-$B$3+(0/24)),1)</f>
        <v>0.76517655686620856</v>
      </c>
      <c r="BN2142" s="381"/>
      <c r="BO2142" s="382">
        <v>2133</v>
      </c>
    </row>
    <row r="2143" spans="1:67" s="24" customFormat="1" ht="15" customHeight="1" x14ac:dyDescent="0.25">
      <c r="A2143" s="288" t="s">
        <v>2048</v>
      </c>
      <c r="B2143" s="241" t="str">
        <f>HYPERLINK(CONCATENATE($AT$3,BK2143,$AU$3),$AV$3)</f>
        <v>S</v>
      </c>
      <c r="C2143" s="242" t="str">
        <f>HYPERLINK(CONCATENATE($AT$4,BK2143,$AU$4,BL2143),$AV$4)</f>
        <v>A</v>
      </c>
      <c r="D2143" s="243" t="s">
        <v>5638</v>
      </c>
      <c r="E2143" s="244" t="s">
        <v>28</v>
      </c>
      <c r="F2143" s="269"/>
      <c r="G2143" s="273">
        <v>1</v>
      </c>
      <c r="H2143" s="283">
        <v>140</v>
      </c>
      <c r="I2143" s="246">
        <v>40</v>
      </c>
      <c r="J2143" s="246">
        <v>3</v>
      </c>
      <c r="K2143" s="247" t="s">
        <v>8497</v>
      </c>
      <c r="L2143" s="248">
        <v>132415</v>
      </c>
      <c r="M2143" s="249">
        <f>15*(LEFT(TEXT($L2143,"000000"),2)+(MID(TEXT($L2143,"000000"),3,2)/60)+(RIGHT(TEXT($L2143,"000000"),2)/3600))</f>
        <v>201.0625</v>
      </c>
      <c r="N2143" s="250">
        <v>-103917</v>
      </c>
      <c r="O2143" s="251">
        <f>IF($N2143&gt;0,(LEFT(TEXT($N2143,"000000"),2)+(MID(TEXT($N2143,"000000"),3,2)/60)+(RIGHT(TEXT($N2143,"000000"),2)/3600)),-(MID(TEXT($N2143,"000000"),2,2)+(MID(TEXT($N2143,"000000"),4,2)/60)+(RIGHT(TEXT($N2143,"000000"),2)/3600)))</f>
        <v>-10.654722222222222</v>
      </c>
      <c r="P2143" s="252" t="s">
        <v>61</v>
      </c>
      <c r="Q2143" s="253"/>
      <c r="R2143" s="247" t="s">
        <v>3293</v>
      </c>
      <c r="S2143" s="272" t="s">
        <v>3293</v>
      </c>
      <c r="T2143" s="273">
        <v>13.4</v>
      </c>
      <c r="U2143" s="289">
        <v>20.69</v>
      </c>
      <c r="V2143" s="280"/>
      <c r="W2143" s="244"/>
      <c r="X2143" s="244"/>
      <c r="Y2143" s="362"/>
      <c r="Z2143" s="257">
        <f>altaz(J2000_Bas,$O2143,$M2143,DecLat,DecLong,1)</f>
        <v>-1.1992584765541794</v>
      </c>
      <c r="AA2143" s="257">
        <f>altaz((J2000_Bas+(2*0.04167)),$O2143,$M2143,DecLat,DecLong,1)</f>
        <v>-26.84401649963721</v>
      </c>
      <c r="AB2143" s="257">
        <f>altaz((J2000_Bas+(4*0.04167)),$O2143,$M2143,DecLat,DecLong,1)</f>
        <v>-51.830862772972729</v>
      </c>
      <c r="AC2143" s="257">
        <f>altaz((J2000_Bas+(6*0.04167)),$O2143,$M2143,DecLat,DecLong,1)</f>
        <v>-69.172062797120233</v>
      </c>
      <c r="AD2143" s="258">
        <f>1+ transit((J2000_Bas-1),$O2143,$M2143,DecLat,DecLong)/360 + (GMTOffset/24) + (IF(DST="Y", 1, 0)/24)</f>
        <v>1.5514068492234581</v>
      </c>
      <c r="AE2143" s="259">
        <f>DATE(2001,9,21)+(M2143/360)*365 - (360*((DecLong/360)- (GMTOffset/24) ))</f>
        <v>37363.855034722219</v>
      </c>
      <c r="AF2143" s="260">
        <f>IF(DecLat&gt;0,IF((90 - (DecLat-O2143))&gt;90, (90 - (O2143-DecLat)), (90 - (DecLat-O2143))),IF((90 + (DecLat-O2143))&gt;90, (90 + (O2143-DecLat)), (90 + (DecLat-O2143))))</f>
        <v>48.345277777777781</v>
      </c>
      <c r="AG2143" s="257">
        <f>angularseperation(MoonRA,MoonDec,$M2143,$O2143)</f>
        <v>48.116128613935636</v>
      </c>
      <c r="AH2143" s="261">
        <f ca="1">MIN(100,IF($O$5&gt;80,0+30*($AG2143/100),IF($O$5&gt;70,0+50*($AG2143/100),IF($O$5&gt;60,5+50*($AG2143/100),IF($O$5&gt;50,10+60*($AG2143/100),IF($O$5&gt;40,15+70*($AG2143/100),IF($O$5&gt;30,20+70*($AG2143/100),IF($O$5&gt;20,40+55*($AG2143/100),(80+(20-$O$5)+30*($AG2143/100))))))))))</f>
        <v>97.705898928331123</v>
      </c>
      <c r="AI2143" s="262">
        <v>5122</v>
      </c>
      <c r="AJ2143" s="262"/>
      <c r="AK2143" s="262"/>
      <c r="AL2143" s="263"/>
      <c r="AM2143" s="264"/>
      <c r="AN2143" s="263"/>
      <c r="AO2143" s="263"/>
      <c r="AP2143" s="265"/>
      <c r="AQ2143" s="266"/>
      <c r="AR2143" s="267">
        <v>46848</v>
      </c>
      <c r="AS2143" s="263"/>
      <c r="AT2143" s="263"/>
      <c r="AU2143" s="263"/>
      <c r="AV2143" s="264"/>
      <c r="AW2143" s="263"/>
      <c r="AX2143" s="263"/>
      <c r="AY2143" s="263"/>
      <c r="AZ2143" s="263"/>
      <c r="BA2143" s="263"/>
      <c r="BB2143" s="263"/>
      <c r="BC2143" s="263"/>
      <c r="BD2143" s="264"/>
      <c r="BE2143" s="263"/>
      <c r="BF2143" s="263"/>
      <c r="BG2143" s="263"/>
      <c r="BH2143" s="263"/>
      <c r="BI2143" s="263"/>
      <c r="BJ2143" s="404">
        <f>altaz(J2000_Bas,$O2143,$M2143,DecLat,DecLong,2)</f>
        <v>258.27774042039835</v>
      </c>
      <c r="BK2143" s="378" t="s">
        <v>2048</v>
      </c>
      <c r="BL2143" s="379">
        <f>IF((2*G2143)/60&lt;0.2,0.2,(2*G2143)/60)</f>
        <v>0.2</v>
      </c>
      <c r="BM2143" s="380">
        <f>MOD((50000+AD2143-$B$3+(0/24)),1)</f>
        <v>0.76677377893065568</v>
      </c>
      <c r="BN2143" s="381"/>
      <c r="BO2143" s="382">
        <v>2134</v>
      </c>
    </row>
    <row r="2144" spans="1:67" s="24" customFormat="1" ht="15" customHeight="1" x14ac:dyDescent="0.25">
      <c r="A2144" s="288" t="s">
        <v>2049</v>
      </c>
      <c r="B2144" s="241" t="str">
        <f>HYPERLINK(CONCATENATE($AT$3,BK2144,$AU$3),$AV$3)</f>
        <v>S</v>
      </c>
      <c r="C2144" s="242" t="str">
        <f>HYPERLINK(CONCATENATE($AT$4,BK2144,$AU$4,BL2144),$AV$4)</f>
        <v>A</v>
      </c>
      <c r="D2144" s="243" t="s">
        <v>5638</v>
      </c>
      <c r="E2144" s="244" t="s">
        <v>5193</v>
      </c>
      <c r="F2144" s="269" t="s">
        <v>4287</v>
      </c>
      <c r="G2144" s="276">
        <v>17</v>
      </c>
      <c r="H2144" s="283">
        <v>12</v>
      </c>
      <c r="I2144" s="246">
        <v>60</v>
      </c>
      <c r="J2144" s="246">
        <v>5</v>
      </c>
      <c r="K2144" s="247" t="s">
        <v>8131</v>
      </c>
      <c r="L2144" s="248">
        <v>132528</v>
      </c>
      <c r="M2144" s="249">
        <f>15*(LEFT(TEXT($L2144,"000000"),2)+(MID(TEXT($L2144,"000000"),3,2)/60)+(RIGHT(TEXT($L2144,"000000"),2)/3600))</f>
        <v>201.36666666666665</v>
      </c>
      <c r="N2144" s="250">
        <v>-430108</v>
      </c>
      <c r="O2144" s="251">
        <f>IF($N2144&gt;0,(LEFT(TEXT($N2144,"000000"),2)+(MID(TEXT($N2144,"000000"),3,2)/60)+(RIGHT(TEXT($N2144,"000000"),2)/3600)),-(MID(TEXT($N2144,"000000"),2,2)+(MID(TEXT($N2144,"000000"),4,2)/60)+(RIGHT(TEXT($N2144,"000000"),2)/3600)))</f>
        <v>-43.018888888888888</v>
      </c>
      <c r="P2144" s="252" t="s">
        <v>927</v>
      </c>
      <c r="Q2144" s="253"/>
      <c r="R2144" s="247" t="s">
        <v>7389</v>
      </c>
      <c r="S2144" s="272" t="s">
        <v>3293</v>
      </c>
      <c r="T2144" s="273">
        <v>6.9</v>
      </c>
      <c r="U2144" s="289">
        <v>22.39</v>
      </c>
      <c r="V2144" s="280"/>
      <c r="W2144" s="244"/>
      <c r="X2144" s="244"/>
      <c r="Y2144" s="362"/>
      <c r="Z2144" s="257">
        <f>altaz(J2000_Bas,$O2144,$M2144,DecLat,DecLong,1)</f>
        <v>-17.025256733692885</v>
      </c>
      <c r="AA2144" s="257">
        <f>altaz((J2000_Bas+(2*0.04167)),$O2144,$M2144,DecLat,DecLong,1)</f>
        <v>-37.840120666272291</v>
      </c>
      <c r="AB2144" s="257">
        <f>altaz((J2000_Bas+(4*0.04167)),$O2144,$M2144,DecLat,DecLong,1)</f>
        <v>-59.713634722039963</v>
      </c>
      <c r="AC2144" s="257">
        <f>altaz((J2000_Bas+(6*0.04167)),$O2144,$M2144,DecLat,DecLong,1)</f>
        <v>-77.313889814350929</v>
      </c>
      <c r="AD2144" s="258">
        <f>1+ transit((J2000_Bas-1),$O2144,$M2144,DecLat,DecLong)/360 + (GMTOffset/24) + (IF(DST="Y", 1, 0)/24)</f>
        <v>1.5522517565463747</v>
      </c>
      <c r="AE2144" s="259">
        <f>DATE(2001,9,21)+(M2144/360)*365 - (360*((DecLong/360)- (GMTOffset/24) ))</f>
        <v>37364.163425925923</v>
      </c>
      <c r="AF2144" s="260">
        <f>IF(DecLat&gt;0,IF((90 - (DecLat-O2144))&gt;90, (90 - (O2144-DecLat)), (90 - (DecLat-O2144))),IF((90 + (DecLat-O2144))&gt;90, (90 + (O2144-DecLat)), (90 + (DecLat-O2144))))</f>
        <v>15.981111111111119</v>
      </c>
      <c r="AG2144" s="257">
        <f>angularseperation(MoonRA,MoonDec,$M2144,$O2144)</f>
        <v>41.64756076389709</v>
      </c>
      <c r="AH2144" s="261">
        <f ca="1">MIN(100,IF($O$5&gt;80,0+30*($AG2144/100),IF($O$5&gt;70,0+50*($AG2144/100),IF($O$5&gt;60,5+50*($AG2144/100),IF($O$5&gt;50,10+60*($AG2144/100),IF($O$5&gt;40,15+70*($AG2144/100),IF($O$5&gt;30,20+70*($AG2144/100),IF($O$5&gt;20,40+55*($AG2144/100),(80+(20-$O$5)+30*($AG2144/100))))))))))</f>
        <v>95.76532857331955</v>
      </c>
      <c r="AI2144" s="262">
        <v>5128</v>
      </c>
      <c r="AJ2144" s="262"/>
      <c r="AK2144" s="262"/>
      <c r="AL2144" s="263"/>
      <c r="AM2144" s="264">
        <v>77</v>
      </c>
      <c r="AN2144" s="263">
        <v>153</v>
      </c>
      <c r="AO2144" s="263"/>
      <c r="AP2144" s="265"/>
      <c r="AQ2144" s="266"/>
      <c r="AR2144" s="267">
        <v>46957</v>
      </c>
      <c r="AS2144" s="263"/>
      <c r="AT2144" s="263"/>
      <c r="AU2144" s="263"/>
      <c r="AV2144" s="264"/>
      <c r="AW2144" s="263"/>
      <c r="AX2144" s="263"/>
      <c r="AY2144" s="263"/>
      <c r="AZ2144" s="263"/>
      <c r="BA2144" s="263"/>
      <c r="BB2144" s="263"/>
      <c r="BC2144" s="263"/>
      <c r="BD2144" s="264"/>
      <c r="BE2144" s="263"/>
      <c r="BF2144" s="263"/>
      <c r="BG2144" s="263"/>
      <c r="BH2144" s="263"/>
      <c r="BI2144" s="263"/>
      <c r="BJ2144" s="404">
        <f>altaz(J2000_Bas,$O2144,$M2144,DecLat,DecLong,2)</f>
        <v>229.5780565032407</v>
      </c>
      <c r="BK2144" s="378" t="s">
        <v>2049</v>
      </c>
      <c r="BL2144" s="379">
        <f>IF((2*G2144)/60&lt;0.2,0.2,(2*G2144)/60)</f>
        <v>0.56666666666666665</v>
      </c>
      <c r="BM2144" s="380">
        <f>MOD((50000+AD2144-$B$3+(0/24)),1)</f>
        <v>0.76761868625180796</v>
      </c>
      <c r="BN2144" s="381"/>
      <c r="BO2144" s="382">
        <v>2135</v>
      </c>
    </row>
    <row r="2145" spans="1:67" s="24" customFormat="1" ht="15" customHeight="1" x14ac:dyDescent="0.25">
      <c r="A2145" s="288" t="s">
        <v>2050</v>
      </c>
      <c r="B2145" s="241" t="str">
        <f>HYPERLINK(CONCATENATE($AT$3,BK2145,$AU$3),$AV$3)</f>
        <v>S</v>
      </c>
      <c r="C2145" s="242" t="str">
        <f>HYPERLINK(CONCATENATE($AT$4,BK2145,$AU$4,BL2145),$AV$4)</f>
        <v>A</v>
      </c>
      <c r="D2145" s="243" t="s">
        <v>5335</v>
      </c>
      <c r="E2145" s="244" t="s">
        <v>5184</v>
      </c>
      <c r="F2145" s="269" t="s">
        <v>3314</v>
      </c>
      <c r="G2145" s="276">
        <v>36</v>
      </c>
      <c r="H2145" s="283">
        <v>17000</v>
      </c>
      <c r="I2145" s="246">
        <v>165</v>
      </c>
      <c r="J2145" s="246">
        <v>5</v>
      </c>
      <c r="K2145" s="247" t="s">
        <v>8132</v>
      </c>
      <c r="L2145" s="248">
        <v>132647</v>
      </c>
      <c r="M2145" s="249">
        <f>15*(LEFT(TEXT($L2145,"000000"),2)+(MID(TEXT($L2145,"000000"),3,2)/60)+(RIGHT(TEXT($L2145,"000000"),2)/3600))</f>
        <v>201.69583333333333</v>
      </c>
      <c r="N2145" s="250">
        <v>-472853</v>
      </c>
      <c r="O2145" s="251">
        <f>IF($N2145&gt;0,(LEFT(TEXT($N2145,"000000"),2)+(MID(TEXT($N2145,"000000"),3,2)/60)+(RIGHT(TEXT($N2145,"000000"),2)/3600)),-(MID(TEXT($N2145,"000000"),2,2)+(MID(TEXT($N2145,"000000"),4,2)/60)+(RIGHT(TEXT($N2145,"000000"),2)/3600)))</f>
        <v>-47.481388888888894</v>
      </c>
      <c r="P2145" s="252" t="s">
        <v>927</v>
      </c>
      <c r="Q2145" s="253" t="s">
        <v>3374</v>
      </c>
      <c r="R2145" s="247" t="s">
        <v>7392</v>
      </c>
      <c r="S2145" s="272" t="s">
        <v>3293</v>
      </c>
      <c r="T2145" s="273">
        <v>3.9</v>
      </c>
      <c r="U2145" s="274"/>
      <c r="V2145" s="280"/>
      <c r="W2145" s="244"/>
      <c r="X2145" s="244"/>
      <c r="Y2145" s="362"/>
      <c r="Z2145" s="257">
        <f>altaz(J2000_Bas,$O2145,$M2145,DecLat,DecLong,1)</f>
        <v>-18.792717172165165</v>
      </c>
      <c r="AA2145" s="257">
        <f>altaz((J2000_Bas+(2*0.04167)),$O2145,$M2145,DecLat,DecLong,1)</f>
        <v>-38.231774272432467</v>
      </c>
      <c r="AB2145" s="257">
        <f>altaz((J2000_Bas+(4*0.04167)),$O2145,$M2145,DecLat,DecLong,1)</f>
        <v>-58.330158335475573</v>
      </c>
      <c r="AC2145" s="257">
        <f>altaz((J2000_Bas+(6*0.04167)),$O2145,$M2145,DecLat,DecLong,1)</f>
        <v>-72.999694458915499</v>
      </c>
      <c r="AD2145" s="258">
        <f>1+ transit((J2000_Bas-1),$O2145,$M2145,DecLat,DecLong)/360 + (GMTOffset/24) + (IF(DST="Y", 1, 0)/24)</f>
        <v>1.5531661083067914</v>
      </c>
      <c r="AE2145" s="259">
        <f>DATE(2001,9,21)+(M2145/360)*365 - (360*((DecLong/360)- (GMTOffset/24) ))</f>
        <v>37364.497164351851</v>
      </c>
      <c r="AF2145" s="260">
        <f>IF(DecLat&gt;0,IF((90 - (DecLat-O2145))&gt;90, (90 - (O2145-DecLat)), (90 - (DecLat-O2145))),IF((90 + (DecLat-O2145))&gt;90, (90 + (O2145-DecLat)), (90 + (DecLat-O2145))))</f>
        <v>11.518611111111113</v>
      </c>
      <c r="AG2145" s="257">
        <f>angularseperation(MoonRA,MoonDec,$M2145,$O2145)</f>
        <v>42.12028612649609</v>
      </c>
      <c r="AH2145" s="261">
        <f ca="1">MIN(100,IF($O$5&gt;80,0+30*($AG2145/100),IF($O$5&gt;70,0+50*($AG2145/100),IF($O$5&gt;60,5+50*($AG2145/100),IF($O$5&gt;50,10+60*($AG2145/100),IF($O$5&gt;40,15+70*($AG2145/100),IF($O$5&gt;30,20+70*($AG2145/100),IF($O$5&gt;20,40+55*($AG2145/100),(80+(20-$O$5)+30*($AG2145/100))))))))))</f>
        <v>95.907146182099254</v>
      </c>
      <c r="AI2145" s="262">
        <v>5139</v>
      </c>
      <c r="AJ2145" s="262"/>
      <c r="AK2145" s="262"/>
      <c r="AL2145" s="263"/>
      <c r="AM2145" s="264">
        <v>80</v>
      </c>
      <c r="AN2145" s="263"/>
      <c r="AO2145" s="263"/>
      <c r="AP2145" s="265"/>
      <c r="AQ2145" s="266"/>
      <c r="AR2145" s="267"/>
      <c r="AS2145" s="263"/>
      <c r="AT2145" s="263"/>
      <c r="AU2145" s="263"/>
      <c r="AV2145" s="264"/>
      <c r="AW2145" s="263"/>
      <c r="AX2145" s="263"/>
      <c r="AY2145" s="263"/>
      <c r="AZ2145" s="263"/>
      <c r="BA2145" s="263"/>
      <c r="BB2145" s="263"/>
      <c r="BC2145" s="263"/>
      <c r="BD2145" s="264"/>
      <c r="BE2145" s="263"/>
      <c r="BF2145" s="263"/>
      <c r="BG2145" s="263"/>
      <c r="BH2145" s="263"/>
      <c r="BI2145" s="263"/>
      <c r="BJ2145" s="404">
        <f>altaz(J2000_Bas,$O2145,$M2145,DecLat,DecLong,2)</f>
        <v>225.26465704033001</v>
      </c>
      <c r="BK2145" s="378" t="s">
        <v>2050</v>
      </c>
      <c r="BL2145" s="379">
        <f>IF((2*G2145)/60&lt;0.2,0.2,(2*G2145)/60)</f>
        <v>1.2</v>
      </c>
      <c r="BM2145" s="380">
        <f>MOD((50000+AD2145-$B$3+(0/24)),1)</f>
        <v>0.76853303801181028</v>
      </c>
      <c r="BN2145" s="381"/>
      <c r="BO2145" s="382">
        <v>2136</v>
      </c>
    </row>
    <row r="2146" spans="1:67" s="24" customFormat="1" ht="15" customHeight="1" x14ac:dyDescent="0.25">
      <c r="A2146" s="288" t="s">
        <v>7654</v>
      </c>
      <c r="B2146" s="241" t="str">
        <f>HYPERLINK(CONCATENATE($AT$3,BK2146,$AU$3),$AV$3)</f>
        <v>S</v>
      </c>
      <c r="C2146" s="242" t="str">
        <f>HYPERLINK(CONCATENATE($AT$4,BK2146,$AU$4,BL2146),$AV$4)</f>
        <v>A</v>
      </c>
      <c r="D2146" s="243" t="s">
        <v>5638</v>
      </c>
      <c r="E2146" s="244" t="s">
        <v>5194</v>
      </c>
      <c r="F2146" s="269"/>
      <c r="G2146" s="273">
        <v>3</v>
      </c>
      <c r="H2146" s="283">
        <v>180</v>
      </c>
      <c r="I2146" s="246">
        <v>160</v>
      </c>
      <c r="J2146" s="246">
        <v>2</v>
      </c>
      <c r="K2146" s="247" t="s">
        <v>8133</v>
      </c>
      <c r="L2146" s="248">
        <v>132754</v>
      </c>
      <c r="M2146" s="249">
        <f>15*(LEFT(TEXT($L2146,"000000"),2)+(MID(TEXT($L2146,"000000"),3,2)/60)+(RIGHT(TEXT($L2146,"000000"),2)/3600))</f>
        <v>201.97499999999999</v>
      </c>
      <c r="N2146" s="250">
        <v>-293706</v>
      </c>
      <c r="O2146" s="251">
        <f>IF($N2146&gt;0,(LEFT(TEXT($N2146,"000000"),2)+(MID(TEXT($N2146,"000000"),3,2)/60)+(RIGHT(TEXT($N2146,"000000"),2)/3600)),-(MID(TEXT($N2146,"000000"),2,2)+(MID(TEXT($N2146,"000000"),4,2)/60)+(RIGHT(TEXT($N2146,"000000"),2)/3600)))</f>
        <v>-29.618333333333332</v>
      </c>
      <c r="P2146" s="252" t="s">
        <v>103</v>
      </c>
      <c r="Q2146" s="253"/>
      <c r="R2146" s="247" t="s">
        <v>3293</v>
      </c>
      <c r="S2146" s="272" t="s">
        <v>8134</v>
      </c>
      <c r="T2146" s="273">
        <v>11.8</v>
      </c>
      <c r="U2146" s="289">
        <v>21.89</v>
      </c>
      <c r="V2146" s="280"/>
      <c r="W2146" s="244"/>
      <c r="X2146" s="244"/>
      <c r="Y2146" s="362"/>
      <c r="Z2146" s="257">
        <f>altaz(J2000_Bas,$O2146,$M2146,DecLat,DecLong,1)</f>
        <v>-10.195551268558749</v>
      </c>
      <c r="AA2146" s="257">
        <f>altaz((J2000_Bas+(2*0.04167)),$O2146,$M2146,DecLat,DecLong,1)</f>
        <v>-33.983978613542973</v>
      </c>
      <c r="AB2146" s="257">
        <f>altaz((J2000_Bas+(4*0.04167)),$O2146,$M2146,DecLat,DecLong,1)</f>
        <v>-59.192765185521274</v>
      </c>
      <c r="AC2146" s="257">
        <f>altaz((J2000_Bas+(6*0.04167)),$O2146,$M2146,DecLat,DecLong,1)</f>
        <v>-84.873972733126976</v>
      </c>
      <c r="AD2146" s="258">
        <f>1+ transit((J2000_Bas-1),$O2146,$M2146,DecLat,DecLong)/360 + (GMTOffset/24) + (IF(DST="Y", 1, 0)/24)</f>
        <v>1.553941571192208</v>
      </c>
      <c r="AE2146" s="259">
        <f>DATE(2001,9,21)+(M2146/360)*365 - (360*((DecLong/360)- (GMTOffset/24) ))</f>
        <v>37364.78020833333</v>
      </c>
      <c r="AF2146" s="260">
        <f>IF(DecLat&gt;0,IF((90 - (DecLat-O2146))&gt;90, (90 - (O2146-DecLat)), (90 - (DecLat-O2146))),IF((90 + (DecLat-O2146))&gt;90, (90 + (O2146-DecLat)), (90 + (DecLat-O2146))))</f>
        <v>29.381666666666668</v>
      </c>
      <c r="AG2146" s="257">
        <f>angularseperation(MoonRA,MoonDec,$M2146,$O2146)</f>
        <v>41.388442412927532</v>
      </c>
      <c r="AH2146" s="261">
        <f ca="1">MIN(100,IF($O$5&gt;80,0+30*($AG2146/100),IF($O$5&gt;70,0+50*($AG2146/100),IF($O$5&gt;60,5+50*($AG2146/100),IF($O$5&gt;50,10+60*($AG2146/100),IF($O$5&gt;40,15+70*($AG2146/100),IF($O$5&gt;30,20+70*($AG2146/100),IF($O$5&gt;20,40+55*($AG2146/100),(80+(20-$O$5)+30*($AG2146/100))))))))))</f>
        <v>95.68759306802869</v>
      </c>
      <c r="AI2146" s="262">
        <v>5153</v>
      </c>
      <c r="AJ2146" s="262"/>
      <c r="AK2146" s="262"/>
      <c r="AL2146" s="263"/>
      <c r="AM2146" s="264"/>
      <c r="AN2146" s="263"/>
      <c r="AO2146" s="263"/>
      <c r="AP2146" s="265"/>
      <c r="AQ2146" s="266"/>
      <c r="AR2146" s="267">
        <v>47194</v>
      </c>
      <c r="AS2146" s="263"/>
      <c r="AT2146" s="263"/>
      <c r="AU2146" s="263"/>
      <c r="AV2146" s="264"/>
      <c r="AW2146" s="263"/>
      <c r="AX2146" s="263"/>
      <c r="AY2146" s="263"/>
      <c r="AZ2146" s="263"/>
      <c r="BA2146" s="263"/>
      <c r="BB2146" s="263"/>
      <c r="BC2146" s="263"/>
      <c r="BD2146" s="264"/>
      <c r="BE2146" s="263"/>
      <c r="BF2146" s="263"/>
      <c r="BG2146" s="263"/>
      <c r="BH2146" s="263"/>
      <c r="BI2146" s="263"/>
      <c r="BJ2146" s="404">
        <f>altaz(J2000_Bas,$O2146,$M2146,DecLat,DecLong,2)</f>
        <v>241.46076510733675</v>
      </c>
      <c r="BK2146" s="378" t="s">
        <v>2051</v>
      </c>
      <c r="BL2146" s="379">
        <f>IF((2*G2146)/60&lt;0.2,0.2,(2*G2146)/60)</f>
        <v>0.2</v>
      </c>
      <c r="BM2146" s="380">
        <f>MOD((50000+AD2146-$B$3+(0/24)),1)</f>
        <v>0.76930850089411251</v>
      </c>
      <c r="BN2146" s="381"/>
      <c r="BO2146" s="382">
        <v>2137</v>
      </c>
    </row>
    <row r="2147" spans="1:67" s="24" customFormat="1" ht="15" customHeight="1" x14ac:dyDescent="0.25">
      <c r="A2147" s="288" t="s">
        <v>3177</v>
      </c>
      <c r="B2147" s="241" t="str">
        <f>HYPERLINK(CONCATENATE($AT$3,BK2147,$AU$3),$AV$3)</f>
        <v>S</v>
      </c>
      <c r="C2147" s="242" t="str">
        <f>HYPERLINK(CONCATENATE($AT$4,BK2147,$AU$4,BL2147),$AV$4)</f>
        <v>A</v>
      </c>
      <c r="D2147" s="243" t="s">
        <v>5638</v>
      </c>
      <c r="E2147" s="244" t="s">
        <v>5192</v>
      </c>
      <c r="F2147" s="269" t="s">
        <v>8688</v>
      </c>
      <c r="G2147" s="273">
        <v>1.8</v>
      </c>
      <c r="H2147" s="283">
        <v>210</v>
      </c>
      <c r="I2147" s="246">
        <v>120</v>
      </c>
      <c r="J2147" s="246">
        <v>2</v>
      </c>
      <c r="K2147" s="247" t="s">
        <v>8135</v>
      </c>
      <c r="L2147" s="248">
        <v>133006</v>
      </c>
      <c r="M2147" s="249">
        <f>15*(LEFT(TEXT($L2147,"000000"),2)+(MID(TEXT($L2147,"000000"),3,2)/60)+(RIGHT(TEXT($L2147,"000000"),2)/3600))</f>
        <v>202.52500000000001</v>
      </c>
      <c r="N2147" s="250">
        <v>-14312</v>
      </c>
      <c r="O2147" s="251">
        <f>IF($N2147&gt;0,(LEFT(TEXT($N2147,"000000"),2)+(MID(TEXT($N2147,"000000"),3,2)/60)+(RIGHT(TEXT($N2147,"000000"),2)/3600)),-(MID(TEXT($N2147,"000000"),2,2)+(MID(TEXT($N2147,"000000"),4,2)/60)+(RIGHT(TEXT($N2147,"000000"),2)/3600)))</f>
        <v>-1.7200000000000002</v>
      </c>
      <c r="P2147" s="252" t="s">
        <v>61</v>
      </c>
      <c r="Q2147" s="253"/>
      <c r="R2147" s="277" t="s">
        <v>3293</v>
      </c>
      <c r="S2147" s="272" t="s">
        <v>3280</v>
      </c>
      <c r="T2147" s="273">
        <v>12.7</v>
      </c>
      <c r="U2147" s="289">
        <v>21.89</v>
      </c>
      <c r="V2147" s="280">
        <v>70</v>
      </c>
      <c r="W2147" s="244"/>
      <c r="X2147" s="244"/>
      <c r="Y2147" s="362"/>
      <c r="Z2147" s="257">
        <f>altaz(J2000_Bas,$O2147,$M2147,DecLat,DecLong,1)</f>
        <v>4.695706639429587</v>
      </c>
      <c r="AA2147" s="257">
        <f>altaz((J2000_Bas+(2*0.04167)),$O2147,$M2147,DecLat,DecLong,1)</f>
        <v>-20.974473535422835</v>
      </c>
      <c r="AB2147" s="257">
        <f>altaz((J2000_Bas+(4*0.04167)),$O2147,$M2147,DecLat,DecLong,1)</f>
        <v>-44.869228551530824</v>
      </c>
      <c r="AC2147" s="257">
        <f>altaz((J2000_Bas+(6*0.04167)),$O2147,$M2147,DecLat,DecLong,1)</f>
        <v>-60.125333615684951</v>
      </c>
      <c r="AD2147" s="258">
        <f>1+ transit((J2000_Bas-1),$O2147,$M2147,DecLat,DecLong)/360 + (GMTOffset/24) + (IF(DST="Y", 1, 0)/24)</f>
        <v>1.555469348817208</v>
      </c>
      <c r="AE2147" s="259">
        <f>DATE(2001,9,21)+(M2147/360)*365 - (360*((DecLong/360)- (GMTOffset/24) ))</f>
        <v>37365.337847222225</v>
      </c>
      <c r="AF2147" s="260">
        <f>IF(DecLat&gt;0,IF((90 - (DecLat-O2147))&gt;90, (90 - (O2147-DecLat)), (90 - (DecLat-O2147))),IF((90 + (DecLat-O2147))&gt;90, (90 + (O2147-DecLat)), (90 + (DecLat-O2147))))</f>
        <v>57.28</v>
      </c>
      <c r="AG2147" s="257">
        <f>angularseperation(MoonRA,MoonDec,$M2147,$O2147)</f>
        <v>51.405065013696394</v>
      </c>
      <c r="AH2147" s="261">
        <f ca="1">MIN(100,IF($O$5&gt;80,0+30*($AG2147/100),IF($O$5&gt;70,0+50*($AG2147/100),IF($O$5&gt;60,5+50*($AG2147/100),IF($O$5&gt;50,10+60*($AG2147/100),IF($O$5&gt;40,15+70*($AG2147/100),IF($O$5&gt;30,20+70*($AG2147/100),IF($O$5&gt;20,40+55*($AG2147/100),(80+(20-$O$5)+30*($AG2147/100))))))))))</f>
        <v>98.692579848259342</v>
      </c>
      <c r="AI2147" s="263">
        <v>5183</v>
      </c>
      <c r="AJ2147" s="263"/>
      <c r="AK2147" s="263"/>
      <c r="AL2147" s="263"/>
      <c r="AM2147" s="264"/>
      <c r="AN2147" s="263"/>
      <c r="AO2147" s="263"/>
      <c r="AP2147" s="265"/>
      <c r="AQ2147" s="265">
        <v>8485</v>
      </c>
      <c r="AR2147" s="285">
        <v>47432</v>
      </c>
      <c r="AS2147" s="263"/>
      <c r="AT2147" s="263"/>
      <c r="AU2147" s="263"/>
      <c r="AV2147" s="264"/>
      <c r="AW2147" s="263"/>
      <c r="AX2147" s="263"/>
      <c r="AY2147" s="263"/>
      <c r="AZ2147" s="263"/>
      <c r="BA2147" s="263"/>
      <c r="BB2147" s="263"/>
      <c r="BC2147" s="263"/>
      <c r="BD2147" s="264"/>
      <c r="BE2147" s="263"/>
      <c r="BF2147" s="263"/>
      <c r="BG2147" s="263"/>
      <c r="BH2147" s="263"/>
      <c r="BI2147" s="263"/>
      <c r="BJ2147" s="404">
        <f>altaz(J2000_Bas,$O2147,$M2147,DecLat,DecLong,2)</f>
        <v>265.15335800846265</v>
      </c>
      <c r="BK2147" s="378" t="s">
        <v>3177</v>
      </c>
      <c r="BL2147" s="379">
        <f>IF((2*G2147)/60&lt;0.2,0.2,(2*G2147)/60)</f>
        <v>0.2</v>
      </c>
      <c r="BM2147" s="380">
        <f>MOD((50000+AD2147-$B$3+(0/24)),1)</f>
        <v>0.77083627851970959</v>
      </c>
      <c r="BN2147" s="381"/>
      <c r="BO2147" s="382">
        <v>2138</v>
      </c>
    </row>
    <row r="2148" spans="1:67" s="24" customFormat="1" ht="15" customHeight="1" x14ac:dyDescent="0.25">
      <c r="A2148" s="288" t="s">
        <v>3280</v>
      </c>
      <c r="B2148" s="241" t="str">
        <f>HYPERLINK(CONCATENATE($AT$3,BK2148,$AU$3),$AV$3)</f>
        <v>S</v>
      </c>
      <c r="C2148" s="242" t="str">
        <f>HYPERLINK(CONCATENATE($AT$4,BK2148,$AU$4,BL2148),$AV$4)</f>
        <v>A</v>
      </c>
      <c r="D2148" s="243" t="s">
        <v>5638</v>
      </c>
      <c r="E2148" s="244" t="s">
        <v>5192</v>
      </c>
      <c r="F2148" s="269" t="s">
        <v>8895</v>
      </c>
      <c r="G2148" s="273">
        <v>1.8</v>
      </c>
      <c r="H2148" s="283">
        <v>210</v>
      </c>
      <c r="I2148" s="246">
        <v>120</v>
      </c>
      <c r="J2148" s="246">
        <v>2</v>
      </c>
      <c r="K2148" s="247" t="s">
        <v>8136</v>
      </c>
      <c r="L2148" s="248">
        <v>133012</v>
      </c>
      <c r="M2148" s="249">
        <f>15*(LEFT(TEXT($L2148,"000000"),2)+(MID(TEXT($L2148,"000000"),3,2)/60)+(RIGHT(TEXT($L2148,"000000"),2)/3600))</f>
        <v>202.55</v>
      </c>
      <c r="N2148" s="250">
        <v>-13947</v>
      </c>
      <c r="O2148" s="251">
        <f>IF($N2148&gt;0,(LEFT(TEXT($N2148,"000000"),2)+(MID(TEXT($N2148,"000000"),3,2)/60)+(RIGHT(TEXT($N2148,"000000"),2)/3600)),-(MID(TEXT($N2148,"000000"),2,2)+(MID(TEXT($N2148,"000000"),4,2)/60)+(RIGHT(TEXT($N2148,"000000"),2)/3600)))</f>
        <v>-1.6630555555555555</v>
      </c>
      <c r="P2148" s="252" t="s">
        <v>61</v>
      </c>
      <c r="Q2148" s="253"/>
      <c r="R2148" s="277" t="s">
        <v>3293</v>
      </c>
      <c r="S2148" s="272" t="s">
        <v>3177</v>
      </c>
      <c r="T2148" s="273">
        <v>12.8</v>
      </c>
      <c r="U2148" s="289">
        <v>22.490000000000002</v>
      </c>
      <c r="V2148" s="280">
        <v>45</v>
      </c>
      <c r="W2148" s="244"/>
      <c r="X2148" s="244"/>
      <c r="Y2148" s="362"/>
      <c r="Z2148" s="257">
        <f>altaz(J2000_Bas,$O2148,$M2148,DecLat,DecLong,1)</f>
        <v>4.7466398800873026</v>
      </c>
      <c r="AA2148" s="257">
        <f>altaz((J2000_Bas+(2*0.04167)),$O2148,$M2148,DecLat,DecLong,1)</f>
        <v>-20.922673678133602</v>
      </c>
      <c r="AB2148" s="257">
        <f>altaz((J2000_Bas+(4*0.04167)),$O2148,$M2148,DecLat,DecLong,1)</f>
        <v>-44.811609418696548</v>
      </c>
      <c r="AC2148" s="257">
        <f>altaz((J2000_Bas+(6*0.04167)),$O2148,$M2148,DecLat,DecLong,1)</f>
        <v>-60.06470513029398</v>
      </c>
      <c r="AD2148" s="258">
        <f>1+ transit((J2000_Bas-1),$O2148,$M2148,DecLat,DecLong)/360 + (GMTOffset/24) + (IF(DST="Y", 1, 0)/24)</f>
        <v>1.5555387932547082</v>
      </c>
      <c r="AE2148" s="259">
        <f>DATE(2001,9,21)+(M2148/360)*365 - (360*((DecLong/360)- (GMTOffset/24) ))</f>
        <v>37365.363194444442</v>
      </c>
      <c r="AF2148" s="260">
        <f>IF(DecLat&gt;0,IF((90 - (DecLat-O2148))&gt;90, (90 - (O2148-DecLat)), (90 - (DecLat-O2148))),IF((90 + (DecLat-O2148))&gt;90, (90 + (O2148-DecLat)), (90 + (DecLat-O2148))))</f>
        <v>57.336944444444441</v>
      </c>
      <c r="AG2148" s="257">
        <f>angularseperation(MoonRA,MoonDec,$M2148,$O2148)</f>
        <v>51.416190201221674</v>
      </c>
      <c r="AH2148" s="261">
        <f ca="1">MIN(100,IF($O$5&gt;80,0+30*($AG2148/100),IF($O$5&gt;70,0+50*($AG2148/100),IF($O$5&gt;60,5+50*($AG2148/100),IF($O$5&gt;50,10+60*($AG2148/100),IF($O$5&gt;40,15+70*($AG2148/100),IF($O$5&gt;30,20+70*($AG2148/100),IF($O$5&gt;20,40+55*($AG2148/100),(80+(20-$O$5)+30*($AG2148/100))))))))))</f>
        <v>98.695917404516933</v>
      </c>
      <c r="AI2148" s="263">
        <v>5184</v>
      </c>
      <c r="AJ2148" s="263"/>
      <c r="AK2148" s="263"/>
      <c r="AL2148" s="263"/>
      <c r="AM2148" s="264"/>
      <c r="AN2148" s="263"/>
      <c r="AO2148" s="263"/>
      <c r="AP2148" s="265"/>
      <c r="AQ2148" s="265">
        <v>8487</v>
      </c>
      <c r="AR2148" s="285">
        <v>47438</v>
      </c>
      <c r="AS2148" s="263"/>
      <c r="AT2148" s="263"/>
      <c r="AU2148" s="263"/>
      <c r="AV2148" s="264"/>
      <c r="AW2148" s="263"/>
      <c r="AX2148" s="263"/>
      <c r="AY2148" s="263"/>
      <c r="AZ2148" s="263"/>
      <c r="BA2148" s="263"/>
      <c r="BB2148" s="263"/>
      <c r="BC2148" s="263"/>
      <c r="BD2148" s="264"/>
      <c r="BE2148" s="263"/>
      <c r="BF2148" s="263"/>
      <c r="BG2148" s="263"/>
      <c r="BH2148" s="263"/>
      <c r="BI2148" s="263"/>
      <c r="BJ2148" s="404">
        <f>altaz(J2000_Bas,$O2148,$M2148,DecLat,DecLong,2)</f>
        <v>265.18915762248992</v>
      </c>
      <c r="BK2148" s="378" t="s">
        <v>3280</v>
      </c>
      <c r="BL2148" s="379">
        <f>IF((2*G2148)/60&lt;0.2,0.2,(2*G2148)/60)</f>
        <v>0.2</v>
      </c>
      <c r="BM2148" s="380">
        <f>MOD((50000+AD2148-$B$3+(0/24)),1)</f>
        <v>0.77090572295855964</v>
      </c>
      <c r="BN2148" s="381"/>
      <c r="BO2148" s="382">
        <v>2139</v>
      </c>
    </row>
    <row r="2149" spans="1:67" s="24" customFormat="1" ht="15" customHeight="1" x14ac:dyDescent="0.25">
      <c r="A2149" s="287" t="s">
        <v>3608</v>
      </c>
      <c r="B2149" s="241" t="str">
        <f>HYPERLINK(CONCATENATE($AT$3,BK2149,$AU$3),$AV$3)</f>
        <v>S</v>
      </c>
      <c r="C2149" s="242" t="str">
        <f>HYPERLINK(CONCATENATE($AT$4,BK2149,$AU$4,BL2149),$AV$4)</f>
        <v>A</v>
      </c>
      <c r="D2149" s="243" t="s">
        <v>5187</v>
      </c>
      <c r="E2149" s="244" t="s">
        <v>5181</v>
      </c>
      <c r="F2149" s="329" t="s">
        <v>5488</v>
      </c>
      <c r="G2149" s="273">
        <v>3</v>
      </c>
      <c r="H2149" s="283">
        <v>3000</v>
      </c>
      <c r="I2149" s="279">
        <v>2.5</v>
      </c>
      <c r="J2149" s="246">
        <v>4</v>
      </c>
      <c r="K2149" s="247" t="s">
        <v>5486</v>
      </c>
      <c r="L2149" s="248">
        <v>133333</v>
      </c>
      <c r="M2149" s="249">
        <f>15*(LEFT(TEXT($L2149,"000000"),2)+(MID(TEXT($L2149,"000000"),3,2)/60)+(RIGHT(TEXT($L2149,"000000"),2)/3600))</f>
        <v>203.38750000000002</v>
      </c>
      <c r="N2149" s="250">
        <v>-655827</v>
      </c>
      <c r="O2149" s="251">
        <f>IF($N2149&gt;0,(LEFT(TEXT($N2149,"000000"),2)+(MID(TEXT($N2149,"000000"),3,2)/60)+(RIGHT(TEXT($N2149,"000000"),2)/3600)),-(MID(TEXT($N2149,"000000"),2,2)+(MID(TEXT($N2149,"000000"),4,2)/60)+(RIGHT(TEXT($N2149,"000000"),2)/3600)))</f>
        <v>-65.974166666666662</v>
      </c>
      <c r="P2149" s="252" t="s">
        <v>1964</v>
      </c>
      <c r="Q2149" s="253" t="s">
        <v>7078</v>
      </c>
      <c r="R2149" s="277" t="s">
        <v>6115</v>
      </c>
      <c r="S2149" s="272" t="s">
        <v>3293</v>
      </c>
      <c r="T2149" s="273">
        <v>14.5</v>
      </c>
      <c r="U2149" s="274"/>
      <c r="V2149" s="280"/>
      <c r="W2149" s="244"/>
      <c r="X2149" s="244"/>
      <c r="Y2149" s="362"/>
      <c r="Z2149" s="257">
        <f>altaz(J2000_Bas,$O2149,$M2149,DecLat,DecLong,1)</f>
        <v>-25.186027923147776</v>
      </c>
      <c r="AA2149" s="257">
        <f>altaz((J2000_Bas+(2*0.04167)),$O2149,$M2149,DecLat,DecLong,1)</f>
        <v>-37.235562017591924</v>
      </c>
      <c r="AB2149" s="257">
        <f>altaz((J2000_Bas+(4*0.04167)),$O2149,$M2149,DecLat,DecLong,1)</f>
        <v>-48.44700474198001</v>
      </c>
      <c r="AC2149" s="257">
        <f>altaz((J2000_Bas+(6*0.04167)),$O2149,$M2149,DecLat,DecLong,1)</f>
        <v>-54.756883811465805</v>
      </c>
      <c r="AD2149" s="258">
        <f>1+ transit((J2000_Bas-1),$O2149,$M2149,DecLat,DecLong)/360 + (GMTOffset/24) + (IF(DST="Y", 1, 0)/24)</f>
        <v>1.5578651819109581</v>
      </c>
      <c r="AE2149" s="259">
        <f>DATE(2001,9,21)+(M2149/360)*365 - (360*((DecLong/360)- (GMTOffset/24) ))</f>
        <v>37366.212326388886</v>
      </c>
      <c r="AF2149" s="260">
        <f>IF(DecLat&gt;0,IF((90 - (DecLat-O2149))&gt;90, (90 - (O2149-DecLat)), (90 - (DecLat-O2149))),IF((90 + (DecLat-O2149))&gt;90, (90 + (O2149-DecLat)), (90 + (DecLat-O2149))))</f>
        <v>-6.9741666666666617</v>
      </c>
      <c r="AG2149" s="257">
        <f>angularseperation(MoonRA,MoonDec,$M2149,$O2149)</f>
        <v>48.061905693015184</v>
      </c>
      <c r="AH2149" s="261">
        <f ca="1">MIN(100,IF($O$5&gt;80,0+30*($AG2149/100),IF($O$5&gt;70,0+50*($AG2149/100),IF($O$5&gt;60,5+50*($AG2149/100),IF($O$5&gt;50,10+60*($AG2149/100),IF($O$5&gt;40,15+70*($AG2149/100),IF($O$5&gt;30,20+70*($AG2149/100),IF($O$5&gt;20,40+55*($AG2149/100),(80+(20-$O$5)+30*($AG2149/100))))))))))</f>
        <v>97.689632052054975</v>
      </c>
      <c r="AI2149" s="263">
        <v>5189</v>
      </c>
      <c r="AJ2149" s="263">
        <v>4274</v>
      </c>
      <c r="AK2149" s="263"/>
      <c r="AL2149" s="263"/>
      <c r="AM2149" s="264"/>
      <c r="AN2149" s="263"/>
      <c r="AO2149" s="263"/>
      <c r="AP2149" s="265"/>
      <c r="AQ2149" s="265"/>
      <c r="AR2149" s="285"/>
      <c r="AS2149" s="263"/>
      <c r="AT2149" s="263"/>
      <c r="AU2149" s="263"/>
      <c r="AV2149" s="264"/>
      <c r="AW2149" s="263"/>
      <c r="AX2149" s="263">
        <v>47</v>
      </c>
      <c r="AY2149" s="263"/>
      <c r="AZ2149" s="263"/>
      <c r="BA2149" s="263"/>
      <c r="BB2149" s="263"/>
      <c r="BC2149" s="263"/>
      <c r="BD2149" s="264"/>
      <c r="BE2149" s="263"/>
      <c r="BF2149" s="263"/>
      <c r="BG2149" s="263"/>
      <c r="BH2149" s="263"/>
      <c r="BI2149" s="263"/>
      <c r="BJ2149" s="404">
        <f>altaz(J2000_Bas,$O2149,$M2149,DecLat,DecLong,2)</f>
        <v>206.49951086243297</v>
      </c>
      <c r="BK2149" s="378" t="s">
        <v>3608</v>
      </c>
      <c r="BL2149" s="379">
        <f>IF((2*G2149)/60&lt;0.2,0.2,(2*G2149)/60)</f>
        <v>0.2</v>
      </c>
      <c r="BM2149" s="380">
        <f>MOD((50000+AD2149-$B$3+(0/24)),1)</f>
        <v>0.7732321116127423</v>
      </c>
      <c r="BN2149" s="381"/>
      <c r="BO2149" s="382">
        <v>2140</v>
      </c>
    </row>
    <row r="2150" spans="1:67" s="24" customFormat="1" ht="15" customHeight="1" x14ac:dyDescent="0.25">
      <c r="A2150" s="288" t="s">
        <v>2052</v>
      </c>
      <c r="B2150" s="241" t="str">
        <f>HYPERLINK(CONCATENATE($AT$3,BK2150,$AU$3),$AV$3)</f>
        <v>S</v>
      </c>
      <c r="C2150" s="242" t="str">
        <f>HYPERLINK(CONCATENATE($AT$4,BK2150,$AU$4,BL2150),$AV$4)</f>
        <v>A</v>
      </c>
      <c r="D2150" s="243" t="s">
        <v>5638</v>
      </c>
      <c r="E2150" s="244" t="s">
        <v>5182</v>
      </c>
      <c r="F2150" s="269" t="s">
        <v>8903</v>
      </c>
      <c r="G2150" s="273">
        <v>5.4</v>
      </c>
      <c r="H2150" s="283">
        <v>21.35727</v>
      </c>
      <c r="I2150" s="246">
        <v>35</v>
      </c>
      <c r="J2150" s="246">
        <v>2</v>
      </c>
      <c r="K2150" s="247" t="s">
        <v>2053</v>
      </c>
      <c r="L2150" s="248">
        <v>132959</v>
      </c>
      <c r="M2150" s="249">
        <f>15*(LEFT(TEXT($L2150,"000000"),2)+(MID(TEXT($L2150,"000000"),3,2)/60)+(RIGHT(TEXT($L2150,"000000"),2)/3600))</f>
        <v>202.49583333333331</v>
      </c>
      <c r="N2150" s="250">
        <v>471600</v>
      </c>
      <c r="O2150" s="251">
        <f>IF($N2150&gt;0,(LEFT(TEXT($N2150,"000000"),2)+(MID(TEXT($N2150,"000000"),3,2)/60)+(RIGHT(TEXT($N2150,"000000"),2)/3600)),-(MID(TEXT($N2150,"000000"),2,2)+(MID(TEXT($N2150,"000000"),4,2)/60)+(RIGHT(TEXT($N2150,"000000"),2)/3600)))</f>
        <v>47.266666666666666</v>
      </c>
      <c r="P2150" s="252" t="s">
        <v>242</v>
      </c>
      <c r="Q2150" s="253"/>
      <c r="R2150" s="247" t="s">
        <v>3293</v>
      </c>
      <c r="S2150" s="272" t="s">
        <v>4580</v>
      </c>
      <c r="T2150" s="273">
        <v>9.6</v>
      </c>
      <c r="U2150" s="289">
        <v>21.89</v>
      </c>
      <c r="V2150" s="280">
        <v>20</v>
      </c>
      <c r="W2150" s="244"/>
      <c r="X2150" s="244"/>
      <c r="Y2150" s="362"/>
      <c r="Z2150" s="257">
        <f>altaz(J2000_Bas,$O2150,$M2150,DecLat,DecLong,1)</f>
        <v>26.364702955704931</v>
      </c>
      <c r="AA2150" s="257">
        <f>altaz((J2000_Bas+(2*0.04167)),$O2150,$M2150,DecLat,DecLong,1)</f>
        <v>8.3672898381049254</v>
      </c>
      <c r="AB2150" s="257">
        <f>altaz((J2000_Bas+(4*0.04167)),$O2150,$M2150,DecLat,DecLong,1)</f>
        <v>-5.1824583994389917</v>
      </c>
      <c r="AC2150" s="257">
        <f>altaz((J2000_Bas+(6*0.04167)),$O2150,$M2150,DecLat,DecLong,1)</f>
        <v>-11.531769570500332</v>
      </c>
      <c r="AD2150" s="258">
        <f>1+ transit((J2000_Bas-1),$O2150,$M2150,DecLat,DecLong)/360 + (GMTOffset/24) + (IF(DST="Y", 1, 0)/24)</f>
        <v>1.5553883303067912</v>
      </c>
      <c r="AE2150" s="259">
        <f>DATE(2001,9,21)+(M2150/360)*365 - (360*((DecLong/360)- (GMTOffset/24) ))</f>
        <v>37365.308275462965</v>
      </c>
      <c r="AF2150" s="260">
        <f>IF(DecLat&gt;0,IF((90 - (DecLat-O2150))&gt;90, (90 - (O2150-DecLat)), (90 - (DecLat-O2150))),IF((90 + (DecLat-O2150))&gt;90, (90 + (O2150-DecLat)), (90 + (DecLat-O2150))))</f>
        <v>73.733333333333334</v>
      </c>
      <c r="AG2150" s="257">
        <f>angularseperation(MoonRA,MoonDec,$M2150,$O2150)</f>
        <v>85.435935937752845</v>
      </c>
      <c r="AH2150" s="261">
        <f ca="1">MIN(100,IF($O$5&gt;80,0+30*($AG2150/100),IF($O$5&gt;70,0+50*($AG2150/100),IF($O$5&gt;60,5+50*($AG2150/100),IF($O$5&gt;50,10+60*($AG2150/100),IF($O$5&gt;40,15+70*($AG2150/100),IF($O$5&gt;30,20+70*($AG2150/100),IF($O$5&gt;20,40+55*($AG2150/100),(80+(20-$O$5)+30*($AG2150/100))))))))))</f>
        <v>100</v>
      </c>
      <c r="AI2150" s="262">
        <v>5195</v>
      </c>
      <c r="AJ2150" s="262"/>
      <c r="AK2150" s="262">
        <v>292</v>
      </c>
      <c r="AL2150" s="263"/>
      <c r="AM2150" s="264"/>
      <c r="AN2150" s="263"/>
      <c r="AO2150" s="263"/>
      <c r="AP2150" s="265"/>
      <c r="AQ2150" s="266">
        <v>8494</v>
      </c>
      <c r="AR2150" s="267">
        <v>47413</v>
      </c>
      <c r="AS2150" s="263"/>
      <c r="AT2150" s="263"/>
      <c r="AU2150" s="263"/>
      <c r="AV2150" s="264"/>
      <c r="AW2150" s="263"/>
      <c r="AX2150" s="263"/>
      <c r="AY2150" s="263"/>
      <c r="AZ2150" s="263"/>
      <c r="BA2150" s="263"/>
      <c r="BB2150" s="263"/>
      <c r="BC2150" s="263"/>
      <c r="BD2150" s="264"/>
      <c r="BE2150" s="263"/>
      <c r="BF2150" s="263">
        <v>67</v>
      </c>
      <c r="BG2150" s="263"/>
      <c r="BH2150" s="263"/>
      <c r="BI2150" s="263"/>
      <c r="BJ2150" s="404">
        <f>altaz(J2000_Bas,$O2150,$M2150,DecLat,DecLong,2)</f>
        <v>311.19210610654835</v>
      </c>
      <c r="BK2150" s="378" t="s">
        <v>2052</v>
      </c>
      <c r="BL2150" s="379">
        <f>IF((2*G2150)/60&lt;0.2,0.2,(2*G2150)/60)</f>
        <v>0.2</v>
      </c>
      <c r="BM2150" s="380">
        <f>MOD((50000+AD2150-$B$3+(0/24)),1)</f>
        <v>0.77075526001135586</v>
      </c>
      <c r="BN2150" s="381"/>
      <c r="BO2150" s="382">
        <v>2141</v>
      </c>
    </row>
    <row r="2151" spans="1:67" s="24" customFormat="1" ht="15" customHeight="1" x14ac:dyDescent="0.25">
      <c r="A2151" s="288" t="s">
        <v>2054</v>
      </c>
      <c r="B2151" s="241" t="str">
        <f>HYPERLINK(CONCATENATE($AT$3,BK2151,$AU$3),$AV$3)</f>
        <v>S</v>
      </c>
      <c r="C2151" s="242" t="str">
        <f>HYPERLINK(CONCATENATE($AT$4,BK2151,$AU$4,BL2151),$AV$4)</f>
        <v>A</v>
      </c>
      <c r="D2151" s="243" t="s">
        <v>5638</v>
      </c>
      <c r="E2151" s="244" t="s">
        <v>5192</v>
      </c>
      <c r="F2151" s="269" t="s">
        <v>8688</v>
      </c>
      <c r="G2151" s="273">
        <v>2</v>
      </c>
      <c r="H2151" s="283">
        <v>400</v>
      </c>
      <c r="I2151" s="246">
        <v>225</v>
      </c>
      <c r="J2151" s="246">
        <v>2</v>
      </c>
      <c r="K2151" s="247" t="s">
        <v>8138</v>
      </c>
      <c r="L2151" s="248">
        <v>132916</v>
      </c>
      <c r="M2151" s="249">
        <f>15*(LEFT(TEXT($L2151,"000000"),2)+(MID(TEXT($L2151,"000000"),3,2)/60)+(RIGHT(TEXT($L2151,"000000"),2)/3600))</f>
        <v>202.31666666666666</v>
      </c>
      <c r="N2151" s="250">
        <v>530454</v>
      </c>
      <c r="O2151" s="251">
        <f>IF($N2151&gt;0,(LEFT(TEXT($N2151,"000000"),2)+(MID(TEXT($N2151,"000000"),3,2)/60)+(RIGHT(TEXT($N2151,"000000"),2)/3600)),-(MID(TEXT($N2151,"000000"),2,2)+(MID(TEXT($N2151,"000000"),4,2)/60)+(RIGHT(TEXT($N2151,"000000"),2)/3600)))</f>
        <v>53.081666666666671</v>
      </c>
      <c r="P2151" s="252" t="s">
        <v>37</v>
      </c>
      <c r="Q2151" s="253"/>
      <c r="R2151" s="247" t="s">
        <v>3293</v>
      </c>
      <c r="S2151" s="272" t="s">
        <v>3293</v>
      </c>
      <c r="T2151" s="273">
        <v>13.2</v>
      </c>
      <c r="U2151" s="289">
        <v>22.59</v>
      </c>
      <c r="V2151" s="280">
        <v>60</v>
      </c>
      <c r="W2151" s="244"/>
      <c r="X2151" s="244"/>
      <c r="Y2151" s="362"/>
      <c r="Z2151" s="257">
        <f>altaz(J2000_Bas,$O2151,$M2151,DecLat,DecLong,1)</f>
        <v>27.930128395646538</v>
      </c>
      <c r="AA2151" s="257">
        <f>altaz((J2000_Bas+(2*0.04167)),$O2151,$M2151,DecLat,DecLong,1)</f>
        <v>11.784677355469439</v>
      </c>
      <c r="AB2151" s="257">
        <f>altaz((J2000_Bas+(4*0.04167)),$O2151,$M2151,DecLat,DecLong,1)</f>
        <v>-0.22978703791900515</v>
      </c>
      <c r="AC2151" s="257">
        <f>altaz((J2000_Bas+(6*0.04167)),$O2151,$M2151,DecLat,DecLong,1)</f>
        <v>-5.7526004710398144</v>
      </c>
      <c r="AD2151" s="258">
        <f>1+ transit((J2000_Bas-1),$O2151,$M2151,DecLat,DecLong)/360 + (GMTOffset/24) + (IF(DST="Y", 1, 0)/24)</f>
        <v>1.5548906451713747</v>
      </c>
      <c r="AE2151" s="259">
        <f>DATE(2001,9,21)+(M2151/360)*365 - (360*((DecLong/360)- (GMTOffset/24) ))</f>
        <v>37365.126620370371</v>
      </c>
      <c r="AF2151" s="260">
        <f>IF(DecLat&gt;0,IF((90 - (DecLat-O2151))&gt;90, (90 - (O2151-DecLat)), (90 - (DecLat-O2151))),IF((90 + (DecLat-O2151))&gt;90, (90 + (O2151-DecLat)), (90 + (DecLat-O2151))))</f>
        <v>67.918333333333322</v>
      </c>
      <c r="AG2151" s="257">
        <f>angularseperation(MoonRA,MoonDec,$M2151,$O2151)</f>
        <v>89.928991243721029</v>
      </c>
      <c r="AH2151" s="261">
        <f ca="1">MIN(100,IF($O$5&gt;80,0+30*($AG2151/100),IF($O$5&gt;70,0+50*($AG2151/100),IF($O$5&gt;60,5+50*($AG2151/100),IF($O$5&gt;50,10+60*($AG2151/100),IF($O$5&gt;40,15+70*($AG2151/100),IF($O$5&gt;30,20+70*($AG2151/100),IF($O$5&gt;20,40+55*($AG2151/100),(80+(20-$O$5)+30*($AG2151/100))))))))))</f>
        <v>100</v>
      </c>
      <c r="AI2151" s="262">
        <v>5201</v>
      </c>
      <c r="AJ2151" s="262"/>
      <c r="AK2151" s="262"/>
      <c r="AL2151" s="263"/>
      <c r="AM2151" s="264"/>
      <c r="AN2151" s="263"/>
      <c r="AO2151" s="263"/>
      <c r="AP2151" s="265"/>
      <c r="AQ2151" s="266">
        <v>8480</v>
      </c>
      <c r="AR2151" s="267">
        <v>47324</v>
      </c>
      <c r="AS2151" s="263"/>
      <c r="AT2151" s="263"/>
      <c r="AU2151" s="263"/>
      <c r="AV2151" s="264"/>
      <c r="AW2151" s="263"/>
      <c r="AX2151" s="263"/>
      <c r="AY2151" s="263"/>
      <c r="AZ2151" s="263"/>
      <c r="BA2151" s="263"/>
      <c r="BB2151" s="263"/>
      <c r="BC2151" s="263"/>
      <c r="BD2151" s="264"/>
      <c r="BE2151" s="263"/>
      <c r="BF2151" s="263"/>
      <c r="BG2151" s="263"/>
      <c r="BH2151" s="263"/>
      <c r="BI2151" s="263"/>
      <c r="BJ2151" s="404">
        <f>altaz(J2000_Bas,$O2151,$M2151,DecLat,DecLong,2)</f>
        <v>317.48809759581434</v>
      </c>
      <c r="BK2151" s="378" t="s">
        <v>2054</v>
      </c>
      <c r="BL2151" s="379">
        <f>IF((2*G2151)/60&lt;0.2,0.2,(2*G2151)/60)</f>
        <v>0.2</v>
      </c>
      <c r="BM2151" s="380">
        <f>MOD((50000+AD2151-$B$3+(0/24)),1)</f>
        <v>0.77025757487717783</v>
      </c>
      <c r="BN2151" s="381"/>
      <c r="BO2151" s="382">
        <v>2142</v>
      </c>
    </row>
    <row r="2152" spans="1:67" s="24" customFormat="1" ht="15" customHeight="1" x14ac:dyDescent="0.25">
      <c r="A2152" s="288" t="s">
        <v>2055</v>
      </c>
      <c r="B2152" s="241" t="str">
        <f>HYPERLINK(CONCATENATE($AT$3,BK2152,$AU$3),$AV$3)</f>
        <v>S</v>
      </c>
      <c r="C2152" s="242" t="str">
        <f>HYPERLINK(CONCATENATE($AT$4,BK2152,$AU$4,BL2152),$AV$4)</f>
        <v>A</v>
      </c>
      <c r="D2152" s="243" t="s">
        <v>5638</v>
      </c>
      <c r="E2152" s="244" t="s">
        <v>3259</v>
      </c>
      <c r="F2152" s="269"/>
      <c r="G2152" s="273">
        <v>5</v>
      </c>
      <c r="H2152" s="283">
        <v>15</v>
      </c>
      <c r="I2152" s="246">
        <v>23</v>
      </c>
      <c r="J2152" s="246">
        <v>2</v>
      </c>
      <c r="K2152" s="247" t="s">
        <v>7763</v>
      </c>
      <c r="L2152" s="248">
        <v>132936</v>
      </c>
      <c r="M2152" s="249">
        <f>15*(LEFT(TEXT($L2152,"000000"),2)+(MID(TEXT($L2152,"000000"),3,2)/60)+(RIGHT(TEXT($L2152,"000000"),2)/3600))</f>
        <v>202.39999999999998</v>
      </c>
      <c r="N2152" s="250">
        <v>582509</v>
      </c>
      <c r="O2152" s="251">
        <f>IF($N2152&gt;0,(LEFT(TEXT($N2152,"000000"),2)+(MID(TEXT($N2152,"000000"),3,2)/60)+(RIGHT(TEXT($N2152,"000000"),2)/3600)),-(MID(TEXT($N2152,"000000"),2,2)+(MID(TEXT($N2152,"000000"),4,2)/60)+(RIGHT(TEXT($N2152,"000000"),2)/3600)))</f>
        <v>58.419166666666662</v>
      </c>
      <c r="P2152" s="252" t="s">
        <v>37</v>
      </c>
      <c r="Q2152" s="253"/>
      <c r="R2152" s="247" t="s">
        <v>3293</v>
      </c>
      <c r="S2152" s="272" t="s">
        <v>3293</v>
      </c>
      <c r="T2152" s="273">
        <v>11.3</v>
      </c>
      <c r="U2152" s="289">
        <v>22.990000000000002</v>
      </c>
      <c r="V2152" s="280">
        <v>55</v>
      </c>
      <c r="W2152" s="244"/>
      <c r="X2152" s="244"/>
      <c r="Y2152" s="362"/>
      <c r="Z2152" s="257">
        <f>altaz(J2000_Bas,$O2152,$M2152,DecLat,DecLong,1)</f>
        <v>29.260421432154573</v>
      </c>
      <c r="AA2152" s="257">
        <f>altaz((J2000_Bas+(2*0.04167)),$O2152,$M2152,DecLat,DecLong,1)</f>
        <v>14.976331517218206</v>
      </c>
      <c r="AB2152" s="257">
        <f>altaz((J2000_Bas+(4*0.04167)),$O2152,$M2152,DecLat,DecLong,1)</f>
        <v>4.3959778305521429</v>
      </c>
      <c r="AC2152" s="257">
        <f>altaz((J2000_Bas+(6*0.04167)),$O2152,$M2152,DecLat,DecLong,1)</f>
        <v>-0.43310521828436233</v>
      </c>
      <c r="AD2152" s="258">
        <f>1+ transit((J2000_Bas-1),$O2152,$M2152,DecLat,DecLong)/360 + (GMTOffset/24) + (IF(DST="Y", 1, 0)/24)</f>
        <v>1.5551221266297079</v>
      </c>
      <c r="AE2152" s="259">
        <f>DATE(2001,9,21)+(M2152/360)*365 - (360*((DecLong/360)- (GMTOffset/24) ))</f>
        <v>37365.211111111108</v>
      </c>
      <c r="AF2152" s="260">
        <f>IF(DecLat&gt;0,IF((90 - (DecLat-O2152))&gt;90, (90 - (O2152-DecLat)), (90 - (DecLat-O2152))),IF((90 + (DecLat-O2152))&gt;90, (90 + (O2152-DecLat)), (90 + (DecLat-O2152))))</f>
        <v>62.580833333333338</v>
      </c>
      <c r="AG2152" s="257">
        <f>angularseperation(MoonRA,MoonDec,$M2152,$O2152)</f>
        <v>93.952707066145038</v>
      </c>
      <c r="AH2152" s="261">
        <f ca="1">MIN(100,IF($O$5&gt;80,0+30*($AG2152/100),IF($O$5&gt;70,0+50*($AG2152/100),IF($O$5&gt;60,5+50*($AG2152/100),IF($O$5&gt;50,10+60*($AG2152/100),IF($O$5&gt;40,15+70*($AG2152/100),IF($O$5&gt;30,20+70*($AG2152/100),IF($O$5&gt;20,40+55*($AG2152/100),(80+(20-$O$5)+30*($AG2152/100))))))))))</f>
        <v>100</v>
      </c>
      <c r="AI2152" s="262">
        <v>5204</v>
      </c>
      <c r="AJ2152" s="262"/>
      <c r="AK2152" s="262"/>
      <c r="AL2152" s="263"/>
      <c r="AM2152" s="264"/>
      <c r="AN2152" s="263"/>
      <c r="AO2152" s="263"/>
      <c r="AP2152" s="265"/>
      <c r="AQ2152" s="266">
        <v>8490</v>
      </c>
      <c r="AR2152" s="267">
        <v>47368</v>
      </c>
      <c r="AS2152" s="263"/>
      <c r="AT2152" s="263"/>
      <c r="AU2152" s="263"/>
      <c r="AV2152" s="264"/>
      <c r="AW2152" s="263"/>
      <c r="AX2152" s="263"/>
      <c r="AY2152" s="263"/>
      <c r="AZ2152" s="263"/>
      <c r="BA2152" s="263"/>
      <c r="BB2152" s="263"/>
      <c r="BC2152" s="263"/>
      <c r="BD2152" s="264"/>
      <c r="BE2152" s="263"/>
      <c r="BF2152" s="263"/>
      <c r="BG2152" s="263"/>
      <c r="BH2152" s="263"/>
      <c r="BI2152" s="263"/>
      <c r="BJ2152" s="404">
        <f>altaz(J2000_Bas,$O2152,$M2152,DecLat,DecLong,2)</f>
        <v>323.37634944719554</v>
      </c>
      <c r="BK2152" s="378" t="s">
        <v>2055</v>
      </c>
      <c r="BL2152" s="379">
        <f>IF((2*G2152)/60&lt;0.2,0.2,(2*G2152)/60)</f>
        <v>0.2</v>
      </c>
      <c r="BM2152" s="380">
        <f>MOD((50000+AD2152-$B$3+(0/24)),1)</f>
        <v>0.77048905633273534</v>
      </c>
      <c r="BN2152" s="381"/>
      <c r="BO2152" s="382">
        <v>2143</v>
      </c>
    </row>
    <row r="2153" spans="1:67" s="24" customFormat="1" ht="15" customHeight="1" x14ac:dyDescent="0.25">
      <c r="A2153" s="288" t="s">
        <v>3139</v>
      </c>
      <c r="B2153" s="241" t="str">
        <f>HYPERLINK(CONCATENATE($AT$3,BK2153,$AU$3),$AV$3)</f>
        <v>S</v>
      </c>
      <c r="C2153" s="242" t="str">
        <f>HYPERLINK(CONCATENATE($AT$4,BK2153,$AU$4,BL2153),$AV$4)</f>
        <v>A</v>
      </c>
      <c r="D2153" s="243" t="s">
        <v>5638</v>
      </c>
      <c r="E2153" s="244" t="s">
        <v>5192</v>
      </c>
      <c r="F2153" s="269" t="s">
        <v>8914</v>
      </c>
      <c r="G2153" s="273">
        <v>1.8</v>
      </c>
      <c r="H2153" s="283">
        <v>180</v>
      </c>
      <c r="I2153" s="246">
        <v>100</v>
      </c>
      <c r="J2153" s="246">
        <v>2</v>
      </c>
      <c r="K2153" s="247" t="s">
        <v>8139</v>
      </c>
      <c r="L2153" s="248">
        <v>133305</v>
      </c>
      <c r="M2153" s="249">
        <f>15*(LEFT(TEXT($L2153,"000000"),2)+(MID(TEXT($L2153,"000000"),3,2)/60)+(RIGHT(TEXT($L2153,"000000"),2)/3600))</f>
        <v>203.27083333333334</v>
      </c>
      <c r="N2153" s="250">
        <v>-10206</v>
      </c>
      <c r="O2153" s="251">
        <f>IF($N2153&gt;0,(LEFT(TEXT($N2153,"000000"),2)+(MID(TEXT($N2153,"000000"),3,2)/60)+(RIGHT(TEXT($N2153,"000000"),2)/3600)),-(MID(TEXT($N2153,"000000"),2,2)+(MID(TEXT($N2153,"000000"),4,2)/60)+(RIGHT(TEXT($N2153,"000000"),2)/3600)))</f>
        <v>-1.0350000000000001</v>
      </c>
      <c r="P2153" s="252" t="s">
        <v>61</v>
      </c>
      <c r="Q2153" s="253"/>
      <c r="R2153" s="277" t="s">
        <v>3293</v>
      </c>
      <c r="S2153" s="272" t="s">
        <v>3293</v>
      </c>
      <c r="T2153" s="273">
        <v>12.3</v>
      </c>
      <c r="U2153" s="289">
        <v>22.39</v>
      </c>
      <c r="V2153" s="280">
        <v>20</v>
      </c>
      <c r="W2153" s="244"/>
      <c r="X2153" s="244"/>
      <c r="Y2153" s="362"/>
      <c r="Z2153" s="257">
        <f>altaz(J2000_Bas,$O2153,$M2153,DecLat,DecLong,1)</f>
        <v>5.6886657041889608</v>
      </c>
      <c r="AA2153" s="257">
        <f>altaz((J2000_Bas+(2*0.04167)),$O2153,$M2153,DecLat,DecLong,1)</f>
        <v>-19.976822390494839</v>
      </c>
      <c r="AB2153" s="257">
        <f>altaz((J2000_Bas+(4*0.04167)),$O2153,$M2153,DecLat,DecLong,1)</f>
        <v>-43.857129644863434</v>
      </c>
      <c r="AC2153" s="257">
        <f>altaz((J2000_Bas+(6*0.04167)),$O2153,$M2153,DecLat,DecLong,1)</f>
        <v>-59.307144373336229</v>
      </c>
      <c r="AD2153" s="258">
        <f>1+ transit((J2000_Bas-1),$O2153,$M2153,DecLat,DecLong)/360 + (GMTOffset/24) + (IF(DST="Y", 1, 0)/24)</f>
        <v>1.5575411078692916</v>
      </c>
      <c r="AE2153" s="259">
        <f>DATE(2001,9,21)+(M2153/360)*365 - (360*((DecLong/360)- (GMTOffset/24) ))</f>
        <v>37366.094039351854</v>
      </c>
      <c r="AF2153" s="260">
        <f>IF(DecLat&gt;0,IF((90 - (DecLat-O2153))&gt;90, (90 - (O2153-DecLat)), (90 - (DecLat-O2153))),IF((90 + (DecLat-O2153))&gt;90, (90 + (O2153-DecLat)), (90 + (DecLat-O2153))))</f>
        <v>57.965000000000003</v>
      </c>
      <c r="AG2153" s="257">
        <f>angularseperation(MoonRA,MoonDec,$M2153,$O2153)</f>
        <v>51.176164080282007</v>
      </c>
      <c r="AH2153" s="261">
        <f ca="1">MIN(100,IF($O$5&gt;80,0+30*($AG2153/100),IF($O$5&gt;70,0+50*($AG2153/100),IF($O$5&gt;60,5+50*($AG2153/100),IF($O$5&gt;50,10+60*($AG2153/100),IF($O$5&gt;40,15+70*($AG2153/100),IF($O$5&gt;30,20+70*($AG2153/100),IF($O$5&gt;20,40+55*($AG2153/100),(80+(20-$O$5)+30*($AG2153/100))))))))))</f>
        <v>98.623909568235035</v>
      </c>
      <c r="AI2153" s="263">
        <v>5211</v>
      </c>
      <c r="AJ2153" s="263"/>
      <c r="AK2153" s="263"/>
      <c r="AL2153" s="263"/>
      <c r="AM2153" s="264"/>
      <c r="AN2153" s="263"/>
      <c r="AO2153" s="263"/>
      <c r="AP2153" s="265"/>
      <c r="AQ2153" s="265">
        <v>8530</v>
      </c>
      <c r="AR2153" s="285">
        <v>47709</v>
      </c>
      <c r="AS2153" s="263"/>
      <c r="AT2153" s="263"/>
      <c r="AU2153" s="263"/>
      <c r="AV2153" s="264"/>
      <c r="AW2153" s="263"/>
      <c r="AX2153" s="263"/>
      <c r="AY2153" s="263"/>
      <c r="AZ2153" s="263"/>
      <c r="BA2153" s="263"/>
      <c r="BB2153" s="263"/>
      <c r="BC2153" s="263"/>
      <c r="BD2153" s="264"/>
      <c r="BE2153" s="263"/>
      <c r="BF2153" s="263"/>
      <c r="BG2153" s="263"/>
      <c r="BH2153" s="263"/>
      <c r="BI2153" s="263"/>
      <c r="BJ2153" s="404">
        <f>altaz(J2000_Bas,$O2153,$M2153,DecLat,DecLong,2)</f>
        <v>265.35215746003689</v>
      </c>
      <c r="BK2153" s="378" t="s">
        <v>3139</v>
      </c>
      <c r="BL2153" s="379">
        <f>IF((2*G2153)/60&lt;0.2,0.2,(2*G2153)/60)</f>
        <v>0.2</v>
      </c>
      <c r="BM2153" s="380">
        <f>MOD((50000+AD2153-$B$3+(0/24)),1)</f>
        <v>0.7729080375720514</v>
      </c>
      <c r="BN2153" s="381"/>
      <c r="BO2153" s="382">
        <v>2144</v>
      </c>
    </row>
    <row r="2154" spans="1:67" s="24" customFormat="1" ht="15" customHeight="1" x14ac:dyDescent="0.25">
      <c r="A2154" s="288" t="s">
        <v>2056</v>
      </c>
      <c r="B2154" s="241" t="str">
        <f>HYPERLINK(CONCATENATE($AT$3,BK2154,$AU$3),$AV$3)</f>
        <v>S</v>
      </c>
      <c r="C2154" s="242" t="str">
        <f>HYPERLINK(CONCATENATE($AT$4,BK2154,$AU$4,BL2154),$AV$4)</f>
        <v>A</v>
      </c>
      <c r="D2154" s="243" t="s">
        <v>5638</v>
      </c>
      <c r="E2154" s="244" t="s">
        <v>5192</v>
      </c>
      <c r="F2154" s="269" t="s">
        <v>8910</v>
      </c>
      <c r="G2154" s="273">
        <v>1.8</v>
      </c>
      <c r="H2154" s="283">
        <v>345</v>
      </c>
      <c r="I2154" s="246">
        <v>175</v>
      </c>
      <c r="J2154" s="246">
        <v>2</v>
      </c>
      <c r="K2154" s="247" t="s">
        <v>8140</v>
      </c>
      <c r="L2154" s="248">
        <v>133532</v>
      </c>
      <c r="M2154" s="249">
        <f>15*(LEFT(TEXT($L2154,"000000"),2)+(MID(TEXT($L2154,"000000"),3,2)/60)+(RIGHT(TEXT($L2154,"000000"),2)/3600))</f>
        <v>203.88333333333333</v>
      </c>
      <c r="N2154" s="250">
        <v>134032</v>
      </c>
      <c r="O2154" s="251">
        <f>IF($N2154&gt;0,(LEFT(TEXT($N2154,"000000"),2)+(MID(TEXT($N2154,"000000"),3,2)/60)+(RIGHT(TEXT($N2154,"000000"),2)/3600)),-(MID(TEXT($N2154,"000000"),2,2)+(MID(TEXT($N2154,"000000"),4,2)/60)+(RIGHT(TEXT($N2154,"000000"),2)/3600)))</f>
        <v>13.675555555555555</v>
      </c>
      <c r="P2154" s="252" t="s">
        <v>61</v>
      </c>
      <c r="Q2154" s="253"/>
      <c r="R2154" s="247" t="s">
        <v>3293</v>
      </c>
      <c r="S2154" s="272" t="s">
        <v>3293</v>
      </c>
      <c r="T2154" s="273">
        <v>12.1</v>
      </c>
      <c r="U2154" s="289">
        <v>22.19</v>
      </c>
      <c r="V2154" s="280">
        <v>10</v>
      </c>
      <c r="W2154" s="244"/>
      <c r="X2154" s="244"/>
      <c r="Y2154" s="362"/>
      <c r="Z2154" s="257">
        <f>altaz(J2000_Bas,$O2154,$M2154,DecLat,DecLong,1)</f>
        <v>13.648356740034027</v>
      </c>
      <c r="AA2154" s="257">
        <f>altaz((J2000_Bas+(2*0.04167)),$O2154,$M2154,DecLat,DecLong,1)</f>
        <v>-11.126480742386494</v>
      </c>
      <c r="AB2154" s="257">
        <f>altaz((J2000_Bas+(4*0.04167)),$O2154,$M2154,DecLat,DecLong,1)</f>
        <v>-32.487340353235155</v>
      </c>
      <c r="AC2154" s="257">
        <f>altaz((J2000_Bas+(6*0.04167)),$O2154,$M2154,DecLat,DecLong,1)</f>
        <v>-44.727120484316352</v>
      </c>
      <c r="AD2154" s="258">
        <f>1+ transit((J2000_Bas-1),$O2154,$M2154,DecLat,DecLong)/360 + (GMTOffset/24) + (IF(DST="Y", 1, 0)/24)</f>
        <v>1.5592424965880414</v>
      </c>
      <c r="AE2154" s="259">
        <f>DATE(2001,9,21)+(M2154/360)*365 - (360*((DecLong/360)- (GMTOffset/24) ))</f>
        <v>37366.715046296296</v>
      </c>
      <c r="AF2154" s="260">
        <f>IF(DecLat&gt;0,IF((90 - (DecLat-O2154))&gt;90, (90 - (O2154-DecLat)), (90 - (DecLat-O2154))),IF((90 + (DecLat-O2154))&gt;90, (90 + (O2154-DecLat)), (90 + (DecLat-O2154))))</f>
        <v>72.675555555555547</v>
      </c>
      <c r="AG2154" s="257">
        <f>angularseperation(MoonRA,MoonDec,$M2154,$O2154)</f>
        <v>59.984561032044347</v>
      </c>
      <c r="AH2154" s="261">
        <f ca="1">MIN(100,IF($O$5&gt;80,0+30*($AG2154/100),IF($O$5&gt;70,0+50*($AG2154/100),IF($O$5&gt;60,5+50*($AG2154/100),IF($O$5&gt;50,10+60*($AG2154/100),IF($O$5&gt;40,15+70*($AG2154/100),IF($O$5&gt;30,20+70*($AG2154/100),IF($O$5&gt;20,40+55*($AG2154/100),(80+(20-$O$5)+30*($AG2154/100))))))))))</f>
        <v>100</v>
      </c>
      <c r="AI2154" s="262">
        <v>5230</v>
      </c>
      <c r="AJ2154" s="262"/>
      <c r="AK2154" s="262"/>
      <c r="AL2154" s="263"/>
      <c r="AM2154" s="264"/>
      <c r="AN2154" s="263"/>
      <c r="AO2154" s="263"/>
      <c r="AP2154" s="265"/>
      <c r="AQ2154" s="266">
        <v>8573</v>
      </c>
      <c r="AR2154" s="267">
        <v>47932</v>
      </c>
      <c r="AS2154" s="263"/>
      <c r="AT2154" s="263"/>
      <c r="AU2154" s="263"/>
      <c r="AV2154" s="264"/>
      <c r="AW2154" s="263"/>
      <c r="AX2154" s="263"/>
      <c r="AY2154" s="263"/>
      <c r="AZ2154" s="263"/>
      <c r="BA2154" s="263"/>
      <c r="BB2154" s="263"/>
      <c r="BC2154" s="263"/>
      <c r="BD2154" s="264"/>
      <c r="BE2154" s="263"/>
      <c r="BF2154" s="263"/>
      <c r="BG2154" s="263"/>
      <c r="BH2154" s="263"/>
      <c r="BI2154" s="263"/>
      <c r="BJ2154" s="404">
        <f>altaz(J2000_Bas,$O2154,$M2154,DecLat,DecLong,2)</f>
        <v>277.9283233512752</v>
      </c>
      <c r="BK2154" s="378" t="s">
        <v>2056</v>
      </c>
      <c r="BL2154" s="379">
        <f>IF((2*G2154)/60&lt;0.2,0.2,(2*G2154)/60)</f>
        <v>0.2</v>
      </c>
      <c r="BM2154" s="380">
        <f>MOD((50000+AD2154-$B$3+(0/24)),1)</f>
        <v>0.77460942629113561</v>
      </c>
      <c r="BN2154" s="381" t="s">
        <v>6500</v>
      </c>
      <c r="BO2154" s="382">
        <v>2145</v>
      </c>
    </row>
    <row r="2155" spans="1:67" s="24" customFormat="1" ht="15" customHeight="1" x14ac:dyDescent="0.25">
      <c r="A2155" s="288" t="s">
        <v>2057</v>
      </c>
      <c r="B2155" s="241" t="str">
        <f>HYPERLINK(CONCATENATE($AT$3,BK2155,$AU$3),$AV$3)</f>
        <v>S</v>
      </c>
      <c r="C2155" s="242" t="str">
        <f>HYPERLINK(CONCATENATE($AT$4,BK2155,$AU$4,BL2155),$AV$4)</f>
        <v>A</v>
      </c>
      <c r="D2155" s="243" t="s">
        <v>5638</v>
      </c>
      <c r="E2155" s="244" t="s">
        <v>5192</v>
      </c>
      <c r="F2155" s="269" t="s">
        <v>8963</v>
      </c>
      <c r="G2155" s="273">
        <v>5</v>
      </c>
      <c r="H2155" s="283">
        <v>70</v>
      </c>
      <c r="I2155" s="246">
        <v>100</v>
      </c>
      <c r="J2155" s="246">
        <v>2</v>
      </c>
      <c r="K2155" s="247" t="s">
        <v>8498</v>
      </c>
      <c r="L2155" s="248">
        <v>133803</v>
      </c>
      <c r="M2155" s="249">
        <f>15*(LEFT(TEXT($L2155,"000000"),2)+(MID(TEXT($L2155,"000000"),3,2)/60)+(RIGHT(TEXT($L2155,"000000"),2)/3600))</f>
        <v>204.51249999999999</v>
      </c>
      <c r="N2155" s="250">
        <v>-175304</v>
      </c>
      <c r="O2155" s="251">
        <f>IF($N2155&gt;0,(LEFT(TEXT($N2155,"000000"),2)+(MID(TEXT($N2155,"000000"),3,2)/60)+(RIGHT(TEXT($N2155,"000000"),2)/3600)),-(MID(TEXT($N2155,"000000"),2,2)+(MID(TEXT($N2155,"000000"),4,2)/60)+(RIGHT(TEXT($N2155,"000000"),2)/3600)))</f>
        <v>-17.884444444444444</v>
      </c>
      <c r="P2155" s="252" t="s">
        <v>61</v>
      </c>
      <c r="Q2155" s="253"/>
      <c r="R2155" s="247" t="s">
        <v>3293</v>
      </c>
      <c r="S2155" s="272" t="s">
        <v>3293</v>
      </c>
      <c r="T2155" s="273">
        <v>10</v>
      </c>
      <c r="U2155" s="289">
        <v>22.29</v>
      </c>
      <c r="V2155" s="280">
        <v>5</v>
      </c>
      <c r="W2155" s="244"/>
      <c r="X2155" s="244"/>
      <c r="Y2155" s="362"/>
      <c r="Z2155" s="257">
        <f>altaz(J2000_Bas,$O2155,$M2155,DecLat,DecLong,1)</f>
        <v>-2.1464107256566463</v>
      </c>
      <c r="AA2155" s="257">
        <f>altaz((J2000_Bas+(2*0.04167)),$O2155,$M2155,DecLat,DecLong,1)</f>
        <v>-27.26640893088285</v>
      </c>
      <c r="AB2155" s="257">
        <f>altaz((J2000_Bas+(4*0.04167)),$O2155,$M2155,DecLat,DecLong,1)</f>
        <v>-52.938235066102706</v>
      </c>
      <c r="AC2155" s="257">
        <f>altaz((J2000_Bas+(6*0.04167)),$O2155,$M2155,DecLat,DecLong,1)</f>
        <v>-74.897175869842357</v>
      </c>
      <c r="AD2155" s="258">
        <f>1+ transit((J2000_Bas-1),$O2155,$M2155,DecLat,DecLong)/360 + (GMTOffset/24) + (IF(DST="Y", 1, 0)/24)</f>
        <v>1.5609901815984581</v>
      </c>
      <c r="AE2155" s="259">
        <f>DATE(2001,9,21)+(M2155/360)*365 - (360*((DecLong/360)- (GMTOffset/24) ))</f>
        <v>37367.352951388886</v>
      </c>
      <c r="AF2155" s="260">
        <f>IF(DecLat&gt;0,IF((90 - (DecLat-O2155))&gt;90, (90 - (O2155-DecLat)), (90 - (DecLat-O2155))),IF((90 + (DecLat-O2155))&gt;90, (90 + (O2155-DecLat)), (90 + (DecLat-O2155))))</f>
        <v>41.115555555555559</v>
      </c>
      <c r="AG2155" s="257">
        <f>angularseperation(MoonRA,MoonDec,$M2155,$O2155)</f>
        <v>42.116140163952956</v>
      </c>
      <c r="AH2155" s="261">
        <f ca="1">MIN(100,IF($O$5&gt;80,0+30*($AG2155/100),IF($O$5&gt;70,0+50*($AG2155/100),IF($O$5&gt;60,5+50*($AG2155/100),IF($O$5&gt;50,10+60*($AG2155/100),IF($O$5&gt;40,15+70*($AG2155/100),IF($O$5&gt;30,20+70*($AG2155/100),IF($O$5&gt;20,40+55*($AG2155/100),(80+(20-$O$5)+30*($AG2155/100))))))))))</f>
        <v>95.905902393336319</v>
      </c>
      <c r="AI2155" s="262">
        <v>5247</v>
      </c>
      <c r="AJ2155" s="262"/>
      <c r="AK2155" s="262"/>
      <c r="AL2155" s="263"/>
      <c r="AM2155" s="264"/>
      <c r="AN2155" s="263"/>
      <c r="AO2155" s="263"/>
      <c r="AP2155" s="265"/>
      <c r="AQ2155" s="266"/>
      <c r="AR2155" s="267">
        <v>48171</v>
      </c>
      <c r="AS2155" s="263"/>
      <c r="AT2155" s="263"/>
      <c r="AU2155" s="263"/>
      <c r="AV2155" s="264"/>
      <c r="AW2155" s="263"/>
      <c r="AX2155" s="263"/>
      <c r="AY2155" s="263"/>
      <c r="AZ2155" s="263"/>
      <c r="BA2155" s="263"/>
      <c r="BB2155" s="263"/>
      <c r="BC2155" s="263"/>
      <c r="BD2155" s="264"/>
      <c r="BE2155" s="263"/>
      <c r="BF2155" s="263"/>
      <c r="BG2155" s="263"/>
      <c r="BH2155" s="263"/>
      <c r="BI2155" s="263"/>
      <c r="BJ2155" s="404">
        <f>altaz(J2000_Bas,$O2155,$M2155,DecLat,DecLong,2)</f>
        <v>250.36647768589557</v>
      </c>
      <c r="BK2155" s="378" t="s">
        <v>2057</v>
      </c>
      <c r="BL2155" s="379">
        <f>IF((2*G2155)/60&lt;0.2,0.2,(2*G2155)/60)</f>
        <v>0.2</v>
      </c>
      <c r="BM2155" s="380">
        <f>MOD((50000+AD2155-$B$3+(0/24)),1)</f>
        <v>0.77635711130278651</v>
      </c>
      <c r="BN2155" s="381"/>
      <c r="BO2155" s="382">
        <v>2146</v>
      </c>
    </row>
    <row r="2156" spans="1:67" s="24" customFormat="1" ht="15" customHeight="1" x14ac:dyDescent="0.25">
      <c r="A2156" s="288" t="s">
        <v>2058</v>
      </c>
      <c r="B2156" s="241" t="str">
        <f>HYPERLINK(CONCATENATE($AT$3,BK2156,$AU$3),$AV$3)</f>
        <v>S</v>
      </c>
      <c r="C2156" s="242" t="str">
        <f>HYPERLINK(CONCATENATE($AT$4,BK2156,$AU$4,BL2156),$AV$4)</f>
        <v>A</v>
      </c>
      <c r="D2156" s="243" t="s">
        <v>5638</v>
      </c>
      <c r="E2156" s="244" t="s">
        <v>5192</v>
      </c>
      <c r="F2156" s="269" t="s">
        <v>8986</v>
      </c>
      <c r="G2156" s="273">
        <v>6</v>
      </c>
      <c r="H2156" s="283">
        <v>40</v>
      </c>
      <c r="I2156" s="246">
        <v>70</v>
      </c>
      <c r="J2156" s="246">
        <v>2</v>
      </c>
      <c r="K2156" s="247" t="s">
        <v>8141</v>
      </c>
      <c r="L2156" s="248">
        <v>133732</v>
      </c>
      <c r="M2156" s="249">
        <f>15*(LEFT(TEXT($L2156,"000000"),2)+(MID(TEXT($L2156,"000000"),3,2)/60)+(RIGHT(TEXT($L2156,"000000"),2)/3600))</f>
        <v>204.38333333333333</v>
      </c>
      <c r="N2156" s="250">
        <v>85308</v>
      </c>
      <c r="O2156" s="251">
        <f>IF($N2156&gt;0,(LEFT(TEXT($N2156,"000000"),2)+(MID(TEXT($N2156,"000000"),3,2)/60)+(RIGHT(TEXT($N2156,"000000"),2)/3600)),-(MID(TEXT($N2156,"000000"),2,2)+(MID(TEXT($N2156,"000000"),4,2)/60)+(RIGHT(TEXT($N2156,"000000"),2)/3600)))</f>
        <v>8.8855555555555554</v>
      </c>
      <c r="P2156" s="252" t="s">
        <v>260</v>
      </c>
      <c r="Q2156" s="253"/>
      <c r="R2156" s="247" t="s">
        <v>7367</v>
      </c>
      <c r="S2156" s="272" t="s">
        <v>3293</v>
      </c>
      <c r="T2156" s="273">
        <v>10.3</v>
      </c>
      <c r="U2156" s="289">
        <v>22.69</v>
      </c>
      <c r="V2156" s="280">
        <v>65</v>
      </c>
      <c r="W2156" s="244"/>
      <c r="X2156" s="244"/>
      <c r="Y2156" s="362"/>
      <c r="Z2156" s="257">
        <f>altaz(J2000_Bas,$O2156,$M2156,DecLat,DecLong,1)</f>
        <v>11.711636824695036</v>
      </c>
      <c r="AA2156" s="257">
        <f>altaz((J2000_Bas+(2*0.04167)),$O2156,$M2156,DecLat,DecLong,1)</f>
        <v>-13.510908396366432</v>
      </c>
      <c r="AB2156" s="257">
        <f>altaz((J2000_Bas+(4*0.04167)),$O2156,$M2156,DecLat,DecLong,1)</f>
        <v>-35.864266463576506</v>
      </c>
      <c r="AC2156" s="257">
        <f>altaz((J2000_Bas+(6*0.04167)),$O2156,$M2156,DecLat,DecLong,1)</f>
        <v>-49.360421755392714</v>
      </c>
      <c r="AD2156" s="258">
        <f>1+ transit((J2000_Bas-1),$O2156,$M2156,DecLat,DecLong)/360 + (GMTOffset/24) + (IF(DST="Y", 1, 0)/24)</f>
        <v>1.5606313853380411</v>
      </c>
      <c r="AE2156" s="259">
        <f>DATE(2001,9,21)+(M2156/360)*365 - (360*((DecLong/360)- (GMTOffset/24) ))</f>
        <v>37367.221990740742</v>
      </c>
      <c r="AF2156" s="260">
        <f>IF(DecLat&gt;0,IF((90 - (DecLat-O2156))&gt;90, (90 - (O2156-DecLat)), (90 - (DecLat-O2156))),IF((90 + (DecLat-O2156))&gt;90, (90 + (O2156-DecLat)), (90 + (DecLat-O2156))))</f>
        <v>67.885555555555555</v>
      </c>
      <c r="AG2156" s="257">
        <f>angularseperation(MoonRA,MoonDec,$M2156,$O2156)</f>
        <v>56.412012816893039</v>
      </c>
      <c r="AH2156" s="261">
        <f ca="1">MIN(100,IF($O$5&gt;80,0+30*($AG2156/100),IF($O$5&gt;70,0+50*($AG2156/100),IF($O$5&gt;60,5+50*($AG2156/100),IF($O$5&gt;50,10+60*($AG2156/100),IF($O$5&gt;40,15+70*($AG2156/100),IF($O$5&gt;30,20+70*($AG2156/100),IF($O$5&gt;20,40+55*($AG2156/100),(80+(20-$O$5)+30*($AG2156/100))))))))))</f>
        <v>100</v>
      </c>
      <c r="AI2156" s="262">
        <v>5248</v>
      </c>
      <c r="AJ2156" s="262"/>
      <c r="AK2156" s="262">
        <v>293</v>
      </c>
      <c r="AL2156" s="263"/>
      <c r="AM2156" s="264">
        <v>45</v>
      </c>
      <c r="AN2156" s="263"/>
      <c r="AO2156" s="263"/>
      <c r="AP2156" s="265"/>
      <c r="AQ2156" s="266">
        <v>8616</v>
      </c>
      <c r="AR2156" s="267">
        <v>48130</v>
      </c>
      <c r="AS2156" s="263"/>
      <c r="AT2156" s="263"/>
      <c r="AU2156" s="263"/>
      <c r="AV2156" s="264"/>
      <c r="AW2156" s="263"/>
      <c r="AX2156" s="263"/>
      <c r="AY2156" s="263"/>
      <c r="AZ2156" s="263"/>
      <c r="BA2156" s="263"/>
      <c r="BB2156" s="263"/>
      <c r="BC2156" s="263"/>
      <c r="BD2156" s="264"/>
      <c r="BE2156" s="263"/>
      <c r="BF2156" s="263"/>
      <c r="BG2156" s="263"/>
      <c r="BH2156" s="263"/>
      <c r="BI2156" s="263"/>
      <c r="BJ2156" s="404">
        <f>altaz(J2000_Bas,$O2156,$M2156,DecLat,DecLong,2)</f>
        <v>273.40947374302726</v>
      </c>
      <c r="BK2156" s="378" t="s">
        <v>2058</v>
      </c>
      <c r="BL2156" s="379">
        <f>IF((2*G2156)/60&lt;0.2,0.2,(2*G2156)/60)</f>
        <v>0.2</v>
      </c>
      <c r="BM2156" s="380">
        <f>MOD((50000+AD2156-$B$3+(0/24)),1)</f>
        <v>0.7759983150390326</v>
      </c>
      <c r="BN2156" s="381"/>
      <c r="BO2156" s="382">
        <v>2147</v>
      </c>
    </row>
    <row r="2157" spans="1:67" s="24" customFormat="1" ht="15" customHeight="1" x14ac:dyDescent="0.25">
      <c r="A2157" s="288" t="s">
        <v>2059</v>
      </c>
      <c r="B2157" s="241" t="str">
        <f>HYPERLINK(CONCATENATE($AT$3,BK2157,$AU$3),$AV$3)</f>
        <v>S</v>
      </c>
      <c r="C2157" s="242" t="str">
        <f>HYPERLINK(CONCATENATE($AT$4,BK2157,$AU$4,BL2157),$AV$4)</f>
        <v>A</v>
      </c>
      <c r="D2157" s="243" t="s">
        <v>5638</v>
      </c>
      <c r="E2157" s="244" t="s">
        <v>29</v>
      </c>
      <c r="F2157" s="269"/>
      <c r="G2157" s="273">
        <v>5</v>
      </c>
      <c r="H2157" s="283">
        <v>11</v>
      </c>
      <c r="I2157" s="246">
        <v>15</v>
      </c>
      <c r="J2157" s="246">
        <v>2</v>
      </c>
      <c r="K2157" s="247" t="s">
        <v>8142</v>
      </c>
      <c r="L2157" s="248">
        <v>133956</v>
      </c>
      <c r="M2157" s="249">
        <f>15*(LEFT(TEXT($L2157,"000000"),2)+(MID(TEXT($L2157,"000000"),3,2)/60)+(RIGHT(TEXT($L2157,"000000"),2)/3600))</f>
        <v>204.98333333333335</v>
      </c>
      <c r="N2157" s="250">
        <v>-313826</v>
      </c>
      <c r="O2157" s="251">
        <f>IF($N2157&gt;0,(LEFT(TEXT($N2157,"000000"),2)+(MID(TEXT($N2157,"000000"),3,2)/60)+(RIGHT(TEXT($N2157,"000000"),2)/3600)),-(MID(TEXT($N2157,"000000"),2,2)+(MID(TEXT($N2157,"000000"),4,2)/60)+(RIGHT(TEXT($N2157,"000000"),2)/3600)))</f>
        <v>-31.640555555555554</v>
      </c>
      <c r="P2157" s="252" t="s">
        <v>927</v>
      </c>
      <c r="Q2157" s="253"/>
      <c r="R2157" s="247" t="s">
        <v>3293</v>
      </c>
      <c r="S2157" s="272" t="s">
        <v>3293</v>
      </c>
      <c r="T2157" s="273">
        <v>10.4</v>
      </c>
      <c r="U2157" s="289">
        <v>21.69</v>
      </c>
      <c r="V2157" s="280"/>
      <c r="W2157" s="244"/>
      <c r="X2157" s="244"/>
      <c r="Y2157" s="362"/>
      <c r="Z2157" s="257">
        <f>altaz(J2000_Bas,$O2157,$M2157,DecLat,DecLong,1)</f>
        <v>-8.9902918521326978</v>
      </c>
      <c r="AA2157" s="257">
        <f>altaz((J2000_Bas+(2*0.04167)),$O2157,$M2157,DecLat,DecLong,1)</f>
        <v>-32.204177698176103</v>
      </c>
      <c r="AB2157" s="257">
        <f>altaz((J2000_Bas+(4*0.04167)),$O2157,$M2157,DecLat,DecLong,1)</f>
        <v>-57.015269112069305</v>
      </c>
      <c r="AC2157" s="257">
        <f>altaz((J2000_Bas+(6*0.04167)),$O2157,$M2157,DecLat,DecLong,1)</f>
        <v>-82.519236601160301</v>
      </c>
      <c r="AD2157" s="258">
        <f>1+ transit((J2000_Bas-1),$O2157,$M2157,DecLat,DecLong)/360 + (GMTOffset/24) + (IF(DST="Y", 1, 0)/24)</f>
        <v>1.5622980518380414</v>
      </c>
      <c r="AE2157" s="259">
        <f>DATE(2001,9,21)+(M2157/360)*365 - (360*((DecLong/360)- (GMTOffset/24) ))</f>
        <v>37367.830324074072</v>
      </c>
      <c r="AF2157" s="260">
        <f>IF(DecLat&gt;0,IF((90 - (DecLat-O2157))&gt;90, (90 - (O2157-DecLat)), (90 - (DecLat-O2157))),IF((90 + (DecLat-O2157))&gt;90, (90 + (O2157-DecLat)), (90 + (DecLat-O2157))))</f>
        <v>27.359444444444449</v>
      </c>
      <c r="AG2157" s="257">
        <f>angularseperation(MoonRA,MoonDec,$M2157,$O2157)</f>
        <v>38.581811911061678</v>
      </c>
      <c r="AH2157" s="261">
        <f ca="1">MIN(100,IF($O$5&gt;80,0+30*($AG2157/100),IF($O$5&gt;70,0+50*($AG2157/100),IF($O$5&gt;60,5+50*($AG2157/100),IF($O$5&gt;50,10+60*($AG2157/100),IF($O$5&gt;40,15+70*($AG2157/100),IF($O$5&gt;30,20+70*($AG2157/100),IF($O$5&gt;20,40+55*($AG2157/100),(80+(20-$O$5)+30*($AG2157/100))))))))))</f>
        <v>94.845603917468935</v>
      </c>
      <c r="AI2157" s="262">
        <v>5253</v>
      </c>
      <c r="AJ2157" s="262"/>
      <c r="AK2157" s="262"/>
      <c r="AL2157" s="263"/>
      <c r="AM2157" s="264"/>
      <c r="AN2157" s="263"/>
      <c r="AO2157" s="263"/>
      <c r="AP2157" s="265"/>
      <c r="AQ2157" s="266"/>
      <c r="AR2157" s="267">
        <v>48334</v>
      </c>
      <c r="AS2157" s="263"/>
      <c r="AT2157" s="263"/>
      <c r="AU2157" s="263"/>
      <c r="AV2157" s="264"/>
      <c r="AW2157" s="263"/>
      <c r="AX2157" s="263"/>
      <c r="AY2157" s="263"/>
      <c r="AZ2157" s="263"/>
      <c r="BA2157" s="263"/>
      <c r="BB2157" s="263"/>
      <c r="BC2157" s="263"/>
      <c r="BD2157" s="264"/>
      <c r="BE2157" s="263"/>
      <c r="BF2157" s="263"/>
      <c r="BG2157" s="263"/>
      <c r="BH2157" s="263"/>
      <c r="BI2157" s="263"/>
      <c r="BJ2157" s="404">
        <f>altaz(J2000_Bas,$O2157,$M2157,DecLat,DecLong,2)</f>
        <v>238.36190440167928</v>
      </c>
      <c r="BK2157" s="378" t="s">
        <v>2059</v>
      </c>
      <c r="BL2157" s="379">
        <f>IF((2*G2157)/60&lt;0.2,0.2,(2*G2157)/60)</f>
        <v>0.2</v>
      </c>
      <c r="BM2157" s="380">
        <f>MOD((50000+AD2157-$B$3+(0/24)),1)</f>
        <v>0.77766498154232977</v>
      </c>
      <c r="BN2157" s="381"/>
      <c r="BO2157" s="382">
        <v>2148</v>
      </c>
    </row>
    <row r="2158" spans="1:67" s="24" customFormat="1" ht="15" customHeight="1" x14ac:dyDescent="0.25">
      <c r="A2158" s="287" t="s">
        <v>3010</v>
      </c>
      <c r="B2158" s="241" t="str">
        <f>HYPERLINK(CONCATENATE($AT$3,BK2158,$AU$3),$AV$3)</f>
        <v>S</v>
      </c>
      <c r="C2158" s="242" t="str">
        <f>HYPERLINK(CONCATENATE($AT$4,BK2158,$AU$4,BL2158),$AV$4)</f>
        <v>A</v>
      </c>
      <c r="D2158" s="243" t="s">
        <v>5638</v>
      </c>
      <c r="E2158" s="244" t="s">
        <v>5182</v>
      </c>
      <c r="F2158" s="269" t="s">
        <v>3300</v>
      </c>
      <c r="G2158" s="273">
        <v>2.6</v>
      </c>
      <c r="H2158" s="283">
        <v>55</v>
      </c>
      <c r="I2158" s="246">
        <v>42</v>
      </c>
      <c r="J2158" s="246">
        <v>2</v>
      </c>
      <c r="K2158" s="247" t="s">
        <v>8145</v>
      </c>
      <c r="L2158" s="248">
        <v>134206</v>
      </c>
      <c r="M2158" s="249">
        <f>15*(LEFT(TEXT($L2158,"000000"),2)+(MID(TEXT($L2158,"000000"),3,2)/60)+(RIGHT(TEXT($L2158,"000000"),2)/3600))</f>
        <v>205.52500000000001</v>
      </c>
      <c r="N2158" s="250">
        <v>353800</v>
      </c>
      <c r="O2158" s="251">
        <f>IF($N2158&gt;0,(LEFT(TEXT($N2158,"000000"),2)+(MID(TEXT($N2158,"000000"),3,2)/60)+(RIGHT(TEXT($N2158,"000000"),2)/3600)),-(MID(TEXT($N2158,"000000"),2,2)+(MID(TEXT($N2158,"000000"),4,2)/60)+(RIGHT(TEXT($N2158,"000000"),2)/3600)))</f>
        <v>35.633333333333333</v>
      </c>
      <c r="P2158" s="252" t="s">
        <v>242</v>
      </c>
      <c r="Q2158" s="253"/>
      <c r="R2158" s="277" t="s">
        <v>3293</v>
      </c>
      <c r="S2158" s="272" t="s">
        <v>8144</v>
      </c>
      <c r="T2158" s="273">
        <v>13.1</v>
      </c>
      <c r="U2158" s="289">
        <v>22.490000000000002</v>
      </c>
      <c r="V2158" s="280">
        <v>30</v>
      </c>
      <c r="W2158" s="244"/>
      <c r="X2158" s="244"/>
      <c r="Y2158" s="362"/>
      <c r="Z2158" s="257">
        <f>altaz(J2000_Bas,$O2158,$M2158,DecLat,DecLong,1)</f>
        <v>24.538939946602881</v>
      </c>
      <c r="AA2158" s="257">
        <f>altaz((J2000_Bas+(2*0.04167)),$O2158,$M2158,DecLat,DecLong,1)</f>
        <v>3.1741552836898479</v>
      </c>
      <c r="AB2158" s="257">
        <f>altaz((J2000_Bas+(4*0.04167)),$O2158,$M2158,DecLat,DecLong,1)</f>
        <v>-13.80651462284097</v>
      </c>
      <c r="AC2158" s="257">
        <f>altaz((J2000_Bas+(6*0.04167)),$O2158,$M2158,DecLat,DecLong,1)</f>
        <v>-22.800146796253504</v>
      </c>
      <c r="AD2158" s="258">
        <f>1+ transit((J2000_Bas-1),$O2158,$M2158,DecLat,DecLong)/360 + (GMTOffset/24) + (IF(DST="Y", 1, 0)/24)</f>
        <v>1.5638026813172081</v>
      </c>
      <c r="AE2158" s="259">
        <f>DATE(2001,9,21)+(M2158/360)*365 - (360*((DecLong/360)- (GMTOffset/24) ))</f>
        <v>37368.379513888889</v>
      </c>
      <c r="AF2158" s="260">
        <f>IF(DecLat&gt;0,IF((90 - (DecLat-O2158))&gt;90, (90 - (O2158-DecLat)), (90 - (DecLat-O2158))),IF((90 + (DecLat-O2158))&gt;90, (90 + (O2158-DecLat)), (90 + (DecLat-O2158))))</f>
        <v>85.366666666666674</v>
      </c>
      <c r="AG2158" s="257">
        <f>angularseperation(MoonRA,MoonDec,$M2158,$O2158)</f>
        <v>75.062732310225798</v>
      </c>
      <c r="AH2158" s="261">
        <f ca="1">MIN(100,IF($O$5&gt;80,0+30*($AG2158/100),IF($O$5&gt;70,0+50*($AG2158/100),IF($O$5&gt;60,5+50*($AG2158/100),IF($O$5&gt;50,10+60*($AG2158/100),IF($O$5&gt;40,15+70*($AG2158/100),IF($O$5&gt;30,20+70*($AG2158/100),IF($O$5&gt;20,40+55*($AG2158/100),(80+(20-$O$5)+30*($AG2158/100))))))))))</f>
        <v>100</v>
      </c>
      <c r="AI2158" s="262">
        <v>5273</v>
      </c>
      <c r="AJ2158" s="263"/>
      <c r="AK2158" s="263">
        <v>294</v>
      </c>
      <c r="AL2158" s="263"/>
      <c r="AM2158" s="264"/>
      <c r="AN2158" s="263"/>
      <c r="AO2158" s="263"/>
      <c r="AP2158" s="265"/>
      <c r="AQ2158" s="265"/>
      <c r="AR2158" s="285">
        <v>48521</v>
      </c>
      <c r="AS2158" s="263"/>
      <c r="AT2158" s="263"/>
      <c r="AU2158" s="263"/>
      <c r="AV2158" s="264"/>
      <c r="AW2158" s="263"/>
      <c r="AX2158" s="263"/>
      <c r="AY2158" s="263"/>
      <c r="AZ2158" s="263"/>
      <c r="BA2158" s="263"/>
      <c r="BB2158" s="263"/>
      <c r="BC2158" s="263"/>
      <c r="BD2158" s="264"/>
      <c r="BE2158" s="263"/>
      <c r="BF2158" s="263"/>
      <c r="BG2158" s="263"/>
      <c r="BH2158" s="263"/>
      <c r="BI2158" s="263"/>
      <c r="BJ2158" s="404">
        <f>altaz(J2000_Bas,$O2158,$M2158,DecLat,DecLong,2)</f>
        <v>298.21871634254876</v>
      </c>
      <c r="BK2158" s="378" t="s">
        <v>3010</v>
      </c>
      <c r="BL2158" s="379">
        <f>IF((2*G2158)/60&lt;0.2,0.2,(2*G2158)/60)</f>
        <v>0.2</v>
      </c>
      <c r="BM2158" s="380">
        <f>MOD((50000+AD2158-$B$3+(0/24)),1)</f>
        <v>0.7791696110216435</v>
      </c>
      <c r="BN2158" s="381"/>
      <c r="BO2158" s="382">
        <v>2149</v>
      </c>
    </row>
    <row r="2159" spans="1:67" s="24" customFormat="1" ht="15" customHeight="1" x14ac:dyDescent="0.25">
      <c r="A2159" s="288" t="s">
        <v>7586</v>
      </c>
      <c r="B2159" s="241" t="str">
        <f>HYPERLINK(CONCATENATE($AT$3,BK2159,$AU$3),$AV$3)</f>
        <v>S</v>
      </c>
      <c r="C2159" s="242" t="str">
        <f>HYPERLINK(CONCATENATE($AT$4,BK2159,$AU$4,BL2159),$AV$4)</f>
        <v>A</v>
      </c>
      <c r="D2159" s="243" t="s">
        <v>5638</v>
      </c>
      <c r="E2159" s="244" t="s">
        <v>5625</v>
      </c>
      <c r="F2159" s="269">
        <v>6</v>
      </c>
      <c r="G2159" s="291">
        <v>8</v>
      </c>
      <c r="H2159" s="283">
        <v>410</v>
      </c>
      <c r="I2159" s="284">
        <v>970</v>
      </c>
      <c r="J2159" s="246">
        <v>2</v>
      </c>
      <c r="K2159" s="247" t="s">
        <v>8146</v>
      </c>
      <c r="L2159" s="248">
        <v>134256</v>
      </c>
      <c r="M2159" s="249">
        <f>15*(LEFT(TEXT($L2159,"000000"),2)+(MID(TEXT($L2159,"000000"),3,2)/60)+(RIGHT(TEXT($L2159,"000000"),2)/3600))</f>
        <v>205.73333333333332</v>
      </c>
      <c r="N2159" s="250">
        <v>295207</v>
      </c>
      <c r="O2159" s="251">
        <f>IF($N2159&gt;0,(LEFT(TEXT($N2159,"000000"),2)+(MID(TEXT($N2159,"000000"),3,2)/60)+(RIGHT(TEXT($N2159,"000000"),2)/3600)),-(MID(TEXT($N2159,"000000"),2,2)+(MID(TEXT($N2159,"000000"),4,2)/60)+(RIGHT(TEXT($N2159,"000000"),2)/3600)))</f>
        <v>29.868611111111111</v>
      </c>
      <c r="P2159" s="252" t="s">
        <v>242</v>
      </c>
      <c r="Q2159" s="253"/>
      <c r="R2159" s="277" t="s">
        <v>3293</v>
      </c>
      <c r="S2159" s="272" t="s">
        <v>3293</v>
      </c>
      <c r="T2159" s="273">
        <v>13.6</v>
      </c>
      <c r="U2159" s="289">
        <v>21.990000000000002</v>
      </c>
      <c r="V2159" s="280"/>
      <c r="W2159" s="244"/>
      <c r="X2159" s="244"/>
      <c r="Y2159" s="362"/>
      <c r="Z2159" s="257">
        <f>altaz(J2000_Bas,$O2159,$M2159,DecLat,DecLong,1)</f>
        <v>22.465554083426319</v>
      </c>
      <c r="AA2159" s="257">
        <f>altaz((J2000_Bas+(2*0.04167)),$O2159,$M2159,DecLat,DecLong,1)</f>
        <v>-0.11688326760166808</v>
      </c>
      <c r="AB2159" s="257">
        <f>altaz((J2000_Bas+(4*0.04167)),$O2159,$M2159,DecLat,DecLong,1)</f>
        <v>-18.454505864359021</v>
      </c>
      <c r="AC2159" s="257">
        <f>altaz((J2000_Bas+(6*0.04167)),$O2159,$M2159,DecLat,DecLong,1)</f>
        <v>-28.468072880767188</v>
      </c>
      <c r="AD2159" s="258">
        <f>1+ transit((J2000_Bas-1),$O2159,$M2159,DecLat,DecLong)/360 + (GMTOffset/24) + (IF(DST="Y", 1, 0)/24)</f>
        <v>1.5643813849630412</v>
      </c>
      <c r="AE2159" s="259">
        <f>DATE(2001,9,21)+(M2159/360)*365 - (360*((DecLong/360)- (GMTOffset/24) ))</f>
        <v>37368.590740740743</v>
      </c>
      <c r="AF2159" s="260">
        <f>IF(DecLat&gt;0,IF((90 - (DecLat-O2159))&gt;90, (90 - (O2159-DecLat)), (90 - (DecLat-O2159))),IF((90 + (DecLat-O2159))&gt;90, (90 + (O2159-DecLat)), (90 + (DecLat-O2159))))</f>
        <v>88.868611111111107</v>
      </c>
      <c r="AG2159" s="257">
        <f>angularseperation(MoonRA,MoonDec,$M2159,$O2159)</f>
        <v>70.535671594920558</v>
      </c>
      <c r="AH2159" s="261">
        <f ca="1">MIN(100,IF($O$5&gt;80,0+30*($AG2159/100),IF($O$5&gt;70,0+50*($AG2159/100),IF($O$5&gt;60,5+50*($AG2159/100),IF($O$5&gt;50,10+60*($AG2159/100),IF($O$5&gt;40,15+70*($AG2159/100),IF($O$5&gt;30,20+70*($AG2159/100),IF($O$5&gt;20,40+55*($AG2159/100),(80+(20-$O$5)+30*($AG2159/100))))))))))</f>
        <v>100</v>
      </c>
      <c r="AI2159" s="262">
        <v>5280</v>
      </c>
      <c r="AJ2159" s="263"/>
      <c r="AK2159" s="263"/>
      <c r="AL2159" s="263"/>
      <c r="AM2159" s="264"/>
      <c r="AN2159" s="263"/>
      <c r="AO2159" s="263"/>
      <c r="AP2159" s="265"/>
      <c r="AQ2159" s="265"/>
      <c r="AR2159" s="285">
        <v>48580</v>
      </c>
      <c r="AS2159" s="263"/>
      <c r="AT2159" s="263"/>
      <c r="AU2159" s="263"/>
      <c r="AV2159" s="264"/>
      <c r="AW2159" s="263"/>
      <c r="AX2159" s="263"/>
      <c r="AY2159" s="263"/>
      <c r="AZ2159" s="263"/>
      <c r="BA2159" s="263"/>
      <c r="BB2159" s="263"/>
      <c r="BC2159" s="263"/>
      <c r="BD2159" s="264"/>
      <c r="BE2159" s="263"/>
      <c r="BF2159" s="263"/>
      <c r="BG2159" s="263"/>
      <c r="BH2159" s="263"/>
      <c r="BI2159" s="263"/>
      <c r="BJ2159" s="404">
        <f>altaz(J2000_Bas,$O2159,$M2159,DecLat,DecLong,2)</f>
        <v>292.3491732980674</v>
      </c>
      <c r="BK2159" s="378" t="s">
        <v>2060</v>
      </c>
      <c r="BL2159" s="379">
        <f>IF((2*G2159)/60&lt;0.2,0.2,(2*G2159)/60)</f>
        <v>0.26666666666666666</v>
      </c>
      <c r="BM2159" s="380">
        <f>MOD((50000+AD2159-$B$3+(0/24)),1)</f>
        <v>0.77974831466417527</v>
      </c>
      <c r="BN2159" s="381"/>
      <c r="BO2159" s="382">
        <v>2150</v>
      </c>
    </row>
    <row r="2160" spans="1:67" s="24" customFormat="1" ht="15" customHeight="1" x14ac:dyDescent="0.25">
      <c r="A2160" s="298" t="s">
        <v>2061</v>
      </c>
      <c r="B2160" s="241" t="str">
        <f>HYPERLINK(CONCATENATE($AT$3,BK2160,$AU$3),$AV$3)</f>
        <v>S</v>
      </c>
      <c r="C2160" s="242" t="str">
        <f>HYPERLINK(CONCATENATE($AT$4,BK2160,$AU$4,BL2160),$AV$4)</f>
        <v>A</v>
      </c>
      <c r="D2160" s="243" t="s">
        <v>5335</v>
      </c>
      <c r="E2160" s="244" t="s">
        <v>5185</v>
      </c>
      <c r="F2160" s="269" t="s">
        <v>7897</v>
      </c>
      <c r="G2160" s="273">
        <v>5</v>
      </c>
      <c r="H2160" s="283">
        <v>5100</v>
      </c>
      <c r="I2160" s="279">
        <v>8</v>
      </c>
      <c r="J2160" s="246">
        <v>2</v>
      </c>
      <c r="K2160" s="247" t="s">
        <v>8147</v>
      </c>
      <c r="L2160" s="248">
        <v>134648</v>
      </c>
      <c r="M2160" s="249">
        <f>15*(LEFT(TEXT($L2160,"000000"),2)+(MID(TEXT($L2160,"000000"),3,2)/60)+(RIGHT(TEXT($L2160,"000000"),2)/3600))</f>
        <v>206.70000000000002</v>
      </c>
      <c r="N2160" s="286">
        <v>-625500</v>
      </c>
      <c r="O2160" s="251">
        <f>IF($N2160&gt;0,(LEFT(TEXT($N2160,"000000"),2)+(MID(TEXT($N2160,"000000"),3,2)/60)+(RIGHT(TEXT($N2160,"000000"),2)/3600)),-(MID(TEXT($N2160,"000000"),2,2)+(MID(TEXT($N2160,"000000"),4,2)/60)+(RIGHT(TEXT($N2160,"000000"),2)/3600)))</f>
        <v>-62.916666666666664</v>
      </c>
      <c r="P2160" s="252" t="s">
        <v>927</v>
      </c>
      <c r="Q2160" s="253"/>
      <c r="R2160" s="247" t="s">
        <v>3293</v>
      </c>
      <c r="S2160" s="272" t="s">
        <v>3293</v>
      </c>
      <c r="T2160" s="273">
        <v>5.9</v>
      </c>
      <c r="U2160" s="274"/>
      <c r="V2160" s="280"/>
      <c r="W2160" s="244"/>
      <c r="X2160" s="244"/>
      <c r="Y2160" s="362"/>
      <c r="Z2160" s="257">
        <f>altaz(J2000_Bas,$O2160,$M2160,DecLat,DecLong,1)</f>
        <v>-22.713397533560961</v>
      </c>
      <c r="AA2160" s="257">
        <f>altaz((J2000_Bas+(2*0.04167)),$O2160,$M2160,DecLat,DecLong,1)</f>
        <v>-36.022806988057411</v>
      </c>
      <c r="AB2160" s="257">
        <f>altaz((J2000_Bas+(4*0.04167)),$O2160,$M2160,DecLat,DecLong,1)</f>
        <v>-49.041949492145768</v>
      </c>
      <c r="AC2160" s="257">
        <f>altaz((J2000_Bas+(6*0.04167)),$O2160,$M2160,DecLat,DecLong,1)</f>
        <v>-57.38939973570502</v>
      </c>
      <c r="AD2160" s="258">
        <f>1+ transit((J2000_Bas-1),$O2160,$M2160,DecLat,DecLong)/360 + (GMTOffset/24) + (IF(DST="Y", 1, 0)/24)</f>
        <v>1.5670665698797082</v>
      </c>
      <c r="AE2160" s="259">
        <f>DATE(2001,9,21)+(M2160/360)*365 - (360*((DecLong/360)- (GMTOffset/24) ))</f>
        <v>37369.570833333331</v>
      </c>
      <c r="AF2160" s="260">
        <f>IF(DecLat&gt;0,IF((90 - (DecLat-O2160))&gt;90, (90 - (O2160-DecLat)), (90 - (DecLat-O2160))),IF((90 + (DecLat-O2160))&gt;90, (90 + (O2160-DecLat)), (90 + (DecLat-O2160))))</f>
        <v>-3.9166666666666572</v>
      </c>
      <c r="AG2160" s="257">
        <f>angularseperation(MoonRA,MoonDec,$M2160,$O2160)</f>
        <v>45.24846557947285</v>
      </c>
      <c r="AH2160" s="261">
        <f ca="1">MIN(100,IF($O$5&gt;80,0+30*($AG2160/100),IF($O$5&gt;70,0+50*($AG2160/100),IF($O$5&gt;60,5+50*($AG2160/100),IF($O$5&gt;50,10+60*($AG2160/100),IF($O$5&gt;40,15+70*($AG2160/100),IF($O$5&gt;30,20+70*($AG2160/100),IF($O$5&gt;20,40+55*($AG2160/100),(80+(20-$O$5)+30*($AG2160/100))))))))))</f>
        <v>96.845600017992282</v>
      </c>
      <c r="AI2160" s="262">
        <v>5281</v>
      </c>
      <c r="AJ2160" s="262"/>
      <c r="AK2160" s="262"/>
      <c r="AL2160" s="263"/>
      <c r="AM2160" s="264"/>
      <c r="AN2160" s="263"/>
      <c r="AO2160" s="263"/>
      <c r="AP2160" s="265"/>
      <c r="AQ2160" s="266"/>
      <c r="AR2160" s="267"/>
      <c r="AS2160" s="263"/>
      <c r="AT2160" s="263"/>
      <c r="AU2160" s="263"/>
      <c r="AV2160" s="264"/>
      <c r="AW2160" s="263"/>
      <c r="AX2160" s="263"/>
      <c r="AY2160" s="263"/>
      <c r="AZ2160" s="263"/>
      <c r="BA2160" s="263"/>
      <c r="BB2160" s="263"/>
      <c r="BC2160" s="263"/>
      <c r="BD2160" s="264"/>
      <c r="BE2160" s="263">
        <v>71</v>
      </c>
      <c r="BF2160" s="263"/>
      <c r="BG2160" s="263"/>
      <c r="BH2160" s="263"/>
      <c r="BI2160" s="263"/>
      <c r="BJ2160" s="404">
        <f>altaz(J2000_Bas,$O2160,$M2160,DecLat,DecLong,2)</f>
        <v>209.01151110447992</v>
      </c>
      <c r="BK2160" s="378" t="s">
        <v>2061</v>
      </c>
      <c r="BL2160" s="379">
        <f>IF((2*G2160)/60&lt;0.2,0.2,(2*G2160)/60)</f>
        <v>0.2</v>
      </c>
      <c r="BM2160" s="380">
        <f>MOD((50000+AD2160-$B$3+(0/24)),1)</f>
        <v>0.78243349958211184</v>
      </c>
      <c r="BN2160" s="381"/>
      <c r="BO2160" s="382">
        <v>2151</v>
      </c>
    </row>
    <row r="2161" spans="1:67" s="24" customFormat="1" ht="15" customHeight="1" x14ac:dyDescent="0.25">
      <c r="A2161" s="288" t="s">
        <v>2062</v>
      </c>
      <c r="B2161" s="241" t="str">
        <f>HYPERLINK(CONCATENATE($AT$3,BK2161,$AU$3),$AV$3)</f>
        <v>S</v>
      </c>
      <c r="C2161" s="242" t="str">
        <f>HYPERLINK(CONCATENATE($AT$4,BK2161,$AU$4,BL2161),$AV$4)</f>
        <v>A</v>
      </c>
      <c r="D2161" s="243" t="s">
        <v>5335</v>
      </c>
      <c r="E2161" s="244" t="s">
        <v>5184</v>
      </c>
      <c r="F2161" s="269" t="s">
        <v>3316</v>
      </c>
      <c r="G2161" s="273">
        <v>9</v>
      </c>
      <c r="H2161" s="283">
        <v>36000</v>
      </c>
      <c r="I2161" s="246">
        <v>95</v>
      </c>
      <c r="J2161" s="246">
        <v>2</v>
      </c>
      <c r="K2161" s="247" t="s">
        <v>8148</v>
      </c>
      <c r="L2161" s="248">
        <v>134627</v>
      </c>
      <c r="M2161" s="249">
        <f>15*(LEFT(TEXT($L2161,"000000"),2)+(MID(TEXT($L2161,"000000"),3,2)/60)+(RIGHT(TEXT($L2161,"000000"),2)/3600))</f>
        <v>206.61250000000001</v>
      </c>
      <c r="N2161" s="250">
        <v>-512230</v>
      </c>
      <c r="O2161" s="251">
        <f>IF($N2161&gt;0,(LEFT(TEXT($N2161,"000000"),2)+(MID(TEXT($N2161,"000000"),3,2)/60)+(RIGHT(TEXT($N2161,"000000"),2)/3600)),-(MID(TEXT($N2161,"000000"),2,2)+(MID(TEXT($N2161,"000000"),4,2)/60)+(RIGHT(TEXT($N2161,"000000"),2)/3600)))</f>
        <v>-51.375</v>
      </c>
      <c r="P2161" s="252" t="s">
        <v>927</v>
      </c>
      <c r="Q2161" s="253"/>
      <c r="R2161" s="247" t="s">
        <v>7396</v>
      </c>
      <c r="S2161" s="272" t="s">
        <v>3293</v>
      </c>
      <c r="T2161" s="273">
        <v>7.4</v>
      </c>
      <c r="U2161" s="274"/>
      <c r="V2161" s="280"/>
      <c r="W2161" s="244"/>
      <c r="X2161" s="244"/>
      <c r="Y2161" s="362"/>
      <c r="Z2161" s="257">
        <f>altaz(J2000_Bas,$O2161,$M2161,DecLat,DecLong,1)</f>
        <v>-17.689391010093207</v>
      </c>
      <c r="AA2161" s="257">
        <f>altaz((J2000_Bas+(2*0.04167)),$O2161,$M2161,DecLat,DecLong,1)</f>
        <v>-35.503785794262861</v>
      </c>
      <c r="AB2161" s="257">
        <f>altaz((J2000_Bas+(4*0.04167)),$O2161,$M2161,DecLat,DecLong,1)</f>
        <v>-54.056417840899677</v>
      </c>
      <c r="AC2161" s="257">
        <f>altaz((J2000_Bas+(6*0.04167)),$O2161,$M2161,DecLat,DecLong,1)</f>
        <v>-68.23574573573157</v>
      </c>
      <c r="AD2161" s="258">
        <f>1+ transit((J2000_Bas-1),$O2161,$M2161,DecLat,DecLong)/360 + (GMTOffset/24) + (IF(DST="Y", 1, 0)/24)</f>
        <v>1.5668235143484581</v>
      </c>
      <c r="AE2161" s="259">
        <f>DATE(2001,9,21)+(M2161/360)*365 - (360*((DecLong/360)- (GMTOffset/24) ))</f>
        <v>37369.482118055559</v>
      </c>
      <c r="AF2161" s="260">
        <f>IF(DecLat&gt;0,IF((90 - (DecLat-O2161))&gt;90, (90 - (O2161-DecLat)), (90 - (DecLat-O2161))),IF((90 + (DecLat-O2161))&gt;90, (90 + (O2161-DecLat)), (90 + (DecLat-O2161))))</f>
        <v>7.625</v>
      </c>
      <c r="AG2161" s="257">
        <f>angularseperation(MoonRA,MoonDec,$M2161,$O2161)</f>
        <v>40.127993580223041</v>
      </c>
      <c r="AH2161" s="261">
        <f ca="1">MIN(100,IF($O$5&gt;80,0+30*($AG2161/100),IF($O$5&gt;70,0+50*($AG2161/100),IF($O$5&gt;60,5+50*($AG2161/100),IF($O$5&gt;50,10+60*($AG2161/100),IF($O$5&gt;40,15+70*($AG2161/100),IF($O$5&gt;30,20+70*($AG2161/100),IF($O$5&gt;20,40+55*($AG2161/100),(80+(20-$O$5)+30*($AG2161/100))))))))))</f>
        <v>95.309458418217346</v>
      </c>
      <c r="AI2161" s="262">
        <v>5286</v>
      </c>
      <c r="AJ2161" s="262"/>
      <c r="AK2161" s="262"/>
      <c r="AL2161" s="263"/>
      <c r="AM2161" s="264">
        <v>84</v>
      </c>
      <c r="AN2161" s="263"/>
      <c r="AO2161" s="263"/>
      <c r="AP2161" s="265"/>
      <c r="AQ2161" s="266"/>
      <c r="AR2161" s="267"/>
      <c r="AS2161" s="263"/>
      <c r="AT2161" s="263"/>
      <c r="AU2161" s="263"/>
      <c r="AV2161" s="264"/>
      <c r="AW2161" s="263"/>
      <c r="AX2161" s="263"/>
      <c r="AY2161" s="263"/>
      <c r="AZ2161" s="263"/>
      <c r="BA2161" s="263"/>
      <c r="BB2161" s="263"/>
      <c r="BC2161" s="263"/>
      <c r="BD2161" s="264"/>
      <c r="BE2161" s="263"/>
      <c r="BF2161" s="263"/>
      <c r="BG2161" s="263"/>
      <c r="BH2161" s="263"/>
      <c r="BI2161" s="263"/>
      <c r="BJ2161" s="404">
        <f>altaz(J2000_Bas,$O2161,$M2161,DecLat,DecLong,2)</f>
        <v>220.09061456360149</v>
      </c>
      <c r="BK2161" s="378" t="s">
        <v>2062</v>
      </c>
      <c r="BL2161" s="379">
        <f>IF((2*G2161)/60&lt;0.2,0.2,(2*G2161)/60)</f>
        <v>0.3</v>
      </c>
      <c r="BM2161" s="380">
        <f>MOD((50000+AD2161-$B$3+(0/24)),1)</f>
        <v>0.78219044404977467</v>
      </c>
      <c r="BN2161" s="381"/>
      <c r="BO2161" s="382">
        <v>2152</v>
      </c>
    </row>
    <row r="2162" spans="1:67" s="24" customFormat="1" ht="15" customHeight="1" x14ac:dyDescent="0.25">
      <c r="A2162" s="288" t="s">
        <v>2063</v>
      </c>
      <c r="B2162" s="241" t="str">
        <f>HYPERLINK(CONCATENATE($AT$3,BK2162,$AU$3),$AV$3)</f>
        <v>S</v>
      </c>
      <c r="C2162" s="242" t="str">
        <f>HYPERLINK(CONCATENATE($AT$4,BK2162,$AU$4,BL2162),$AV$4)</f>
        <v>A</v>
      </c>
      <c r="D2162" s="243" t="s">
        <v>5638</v>
      </c>
      <c r="E2162" s="244" t="s">
        <v>5192</v>
      </c>
      <c r="F2162" s="269" t="s">
        <v>8895</v>
      </c>
      <c r="G2162" s="273">
        <v>5</v>
      </c>
      <c r="H2162" s="283">
        <v>100</v>
      </c>
      <c r="I2162" s="246">
        <v>150</v>
      </c>
      <c r="J2162" s="246">
        <v>3</v>
      </c>
      <c r="K2162" s="247" t="s">
        <v>8499</v>
      </c>
      <c r="L2162" s="248">
        <v>134624</v>
      </c>
      <c r="M2162" s="249">
        <f>15*(LEFT(TEXT($L2162,"000000"),2)+(MID(TEXT($L2162,"000000"),3,2)/60)+(RIGHT(TEXT($L2162,"000000"),2)/3600))</f>
        <v>206.6</v>
      </c>
      <c r="N2162" s="250">
        <v>435221</v>
      </c>
      <c r="O2162" s="251">
        <f>IF($N2162&gt;0,(LEFT(TEXT($N2162,"000000"),2)+(MID(TEXT($N2162,"000000"),3,2)/60)+(RIGHT(TEXT($N2162,"000000"),2)/3600)),-(MID(TEXT($N2162,"000000"),2,2)+(MID(TEXT($N2162,"000000"),4,2)/60)+(RIGHT(TEXT($N2162,"000000"),2)/3600)))</f>
        <v>43.872500000000002</v>
      </c>
      <c r="P2162" s="252" t="s">
        <v>242</v>
      </c>
      <c r="Q2162" s="253"/>
      <c r="R2162" s="247" t="s">
        <v>3293</v>
      </c>
      <c r="S2162" s="272" t="s">
        <v>8149</v>
      </c>
      <c r="T2162" s="273">
        <v>11.8</v>
      </c>
      <c r="U2162" s="289">
        <v>22.69</v>
      </c>
      <c r="V2162" s="280">
        <v>80</v>
      </c>
      <c r="W2162" s="244"/>
      <c r="X2162" s="244"/>
      <c r="Y2162" s="362"/>
      <c r="Z2162" s="257">
        <f>altaz(J2000_Bas,$O2162,$M2162,DecLat,DecLong,1)</f>
        <v>28.072549178381053</v>
      </c>
      <c r="AA2162" s="257">
        <f>altaz((J2000_Bas+(2*0.04167)),$O2162,$M2162,DecLat,DecLong,1)</f>
        <v>8.6741787511774806</v>
      </c>
      <c r="AB2162" s="257">
        <f>altaz((J2000_Bas+(4*0.04167)),$O2162,$M2162,DecLat,DecLong,1)</f>
        <v>-6.5125200088802684</v>
      </c>
      <c r="AC2162" s="257">
        <f>altaz((J2000_Bas+(6*0.04167)),$O2162,$M2162,DecLat,DecLong,1)</f>
        <v>-14.532292423714434</v>
      </c>
      <c r="AD2162" s="258">
        <f>1+ transit((J2000_Bas-1),$O2162,$M2162,DecLat,DecLong)/360 + (GMTOffset/24) + (IF(DST="Y", 1, 0)/24)</f>
        <v>1.5667887921297081</v>
      </c>
      <c r="AE2162" s="259">
        <f>DATE(2001,9,21)+(M2162/360)*365 - (360*((DecLong/360)- (GMTOffset/24) ))</f>
        <v>37369.469444444447</v>
      </c>
      <c r="AF2162" s="260">
        <f>IF(DecLat&gt;0,IF((90 - (DecLat-O2162))&gt;90, (90 - (O2162-DecLat)), (90 - (DecLat-O2162))),IF((90 + (DecLat-O2162))&gt;90, (90 + (O2162-DecLat)), (90 + (DecLat-O2162))))</f>
        <v>77.127499999999998</v>
      </c>
      <c r="AG2162" s="257">
        <f>angularseperation(MoonRA,MoonDec,$M2162,$O2162)</f>
        <v>80.991247536775518</v>
      </c>
      <c r="AH2162" s="261">
        <f ca="1">MIN(100,IF($O$5&gt;80,0+30*($AG2162/100),IF($O$5&gt;70,0+50*($AG2162/100),IF($O$5&gt;60,5+50*($AG2162/100),IF($O$5&gt;50,10+60*($AG2162/100),IF($O$5&gt;40,15+70*($AG2162/100),IF($O$5&gt;30,20+70*($AG2162/100),IF($O$5&gt;20,40+55*($AG2162/100),(80+(20-$O$5)+30*($AG2162/100))))))))))</f>
        <v>100</v>
      </c>
      <c r="AI2162" s="262">
        <v>5297</v>
      </c>
      <c r="AJ2162" s="262"/>
      <c r="AK2162" s="262"/>
      <c r="AL2162" s="263"/>
      <c r="AM2162" s="264"/>
      <c r="AN2162" s="263"/>
      <c r="AO2162" s="263"/>
      <c r="AP2162" s="265"/>
      <c r="AQ2162" s="266">
        <v>8709</v>
      </c>
      <c r="AR2162" s="267">
        <v>48815</v>
      </c>
      <c r="AS2162" s="263"/>
      <c r="AT2162" s="263"/>
      <c r="AU2162" s="263"/>
      <c r="AV2162" s="264"/>
      <c r="AW2162" s="263"/>
      <c r="AX2162" s="263"/>
      <c r="AY2162" s="263"/>
      <c r="AZ2162" s="263"/>
      <c r="BA2162" s="263"/>
      <c r="BB2162" s="263"/>
      <c r="BC2162" s="263"/>
      <c r="BD2162" s="264"/>
      <c r="BE2162" s="263"/>
      <c r="BF2162" s="263"/>
      <c r="BG2162" s="263">
        <v>59</v>
      </c>
      <c r="BH2162" s="263"/>
      <c r="BI2162" s="263"/>
      <c r="BJ2162" s="404">
        <f>altaz(J2000_Bas,$O2162,$M2162,DecLat,DecLong,2)</f>
        <v>306.57599630658166</v>
      </c>
      <c r="BK2162" s="378" t="s">
        <v>2063</v>
      </c>
      <c r="BL2162" s="379">
        <f>IF((2*G2162)/60&lt;0.2,0.2,(2*G2162)/60)</f>
        <v>0.2</v>
      </c>
      <c r="BM2162" s="380">
        <f>MOD((50000+AD2162-$B$3+(0/24)),1)</f>
        <v>0.78215572183398763</v>
      </c>
      <c r="BN2162" s="381"/>
      <c r="BO2162" s="382">
        <v>2153</v>
      </c>
    </row>
    <row r="2163" spans="1:67" s="24" customFormat="1" ht="15" customHeight="1" x14ac:dyDescent="0.25">
      <c r="A2163" s="287" t="s">
        <v>2064</v>
      </c>
      <c r="B2163" s="241" t="str">
        <f>HYPERLINK(CONCATENATE($AT$3,BK2163,$AU$3),$AV$3)</f>
        <v>S</v>
      </c>
      <c r="C2163" s="242" t="str">
        <f>HYPERLINK(CONCATENATE($AT$4,BK2163,$AU$4,BL2163),$AV$4)</f>
        <v>A</v>
      </c>
      <c r="D2163" s="243" t="s">
        <v>5638</v>
      </c>
      <c r="E2163" s="244" t="s">
        <v>5192</v>
      </c>
      <c r="F2163" s="269" t="s">
        <v>8895</v>
      </c>
      <c r="G2163" s="273">
        <v>3.8</v>
      </c>
      <c r="H2163" s="283">
        <v>62</v>
      </c>
      <c r="I2163" s="246">
        <v>70</v>
      </c>
      <c r="J2163" s="246">
        <v>2</v>
      </c>
      <c r="K2163" s="247" t="s">
        <v>8575</v>
      </c>
      <c r="L2163" s="248">
        <v>134816</v>
      </c>
      <c r="M2163" s="249">
        <f>15*(LEFT(TEXT($L2163,"000000"),2)+(MID(TEXT($L2163,"000000"),3,2)/60)+(RIGHT(TEXT($L2163,"000000"),2)/3600))</f>
        <v>207.06666666666669</v>
      </c>
      <c r="N2163" s="250">
        <v>35702</v>
      </c>
      <c r="O2163" s="251">
        <f>IF($N2163&gt;0,(LEFT(TEXT($N2163,"000000"),2)+(MID(TEXT($N2163,"000000"),3,2)/60)+(RIGHT(TEXT($N2163,"000000"),2)/3600)),-(MID(TEXT($N2163,"000000"),2,2)+(MID(TEXT($N2163,"000000"),4,2)/60)+(RIGHT(TEXT($N2163,"000000"),2)/3600)))</f>
        <v>3.9505555555555558</v>
      </c>
      <c r="P2163" s="252" t="s">
        <v>61</v>
      </c>
      <c r="Q2163" s="253"/>
      <c r="R2163" s="277" t="s">
        <v>3293</v>
      </c>
      <c r="S2163" s="272" t="s">
        <v>3293</v>
      </c>
      <c r="T2163" s="273">
        <v>11.4</v>
      </c>
      <c r="U2163" s="289">
        <v>22.69</v>
      </c>
      <c r="V2163" s="280">
        <v>40</v>
      </c>
      <c r="W2163" s="244"/>
      <c r="X2163" s="244"/>
      <c r="Y2163" s="362"/>
      <c r="Z2163" s="257">
        <f>altaz(J2000_Bas,$O2163,$M2163,DecLat,DecLong,1)</f>
        <v>11.512900875092852</v>
      </c>
      <c r="AA2163" s="257">
        <f>altaz((J2000_Bas+(2*0.04167)),$O2163,$M2163,DecLat,DecLong,1)</f>
        <v>-14.076001872523904</v>
      </c>
      <c r="AB2163" s="257">
        <f>altaz((J2000_Bas+(4*0.04167)),$O2163,$M2163,DecLat,DecLong,1)</f>
        <v>-37.655973858616377</v>
      </c>
      <c r="AC2163" s="257">
        <f>altaz((J2000_Bas+(6*0.04167)),$O2163,$M2163,DecLat,DecLong,1)</f>
        <v>-53.559186443731605</v>
      </c>
      <c r="AD2163" s="258">
        <f>1+ transit((J2000_Bas-1),$O2163,$M2163,DecLat,DecLong)/360 + (GMTOffset/24) + (IF(DST="Y", 1, 0)/24)</f>
        <v>1.5680850882963748</v>
      </c>
      <c r="AE2163" s="259">
        <f>DATE(2001,9,21)+(M2163/360)*365 - (360*((DecLong/360)- (GMTOffset/24) ))</f>
        <v>37369.94259259259</v>
      </c>
      <c r="AF2163" s="260">
        <f>IF(DecLat&gt;0,IF((90 - (DecLat-O2163))&gt;90, (90 - (O2163-DecLat)), (90 - (DecLat-O2163))),IF((90 + (DecLat-O2163))&gt;90, (90 + (O2163-DecLat)), (90 + (DecLat-O2163))))</f>
        <v>62.950555555555553</v>
      </c>
      <c r="AG2163" s="257">
        <f>angularseperation(MoonRA,MoonDec,$M2163,$O2163)</f>
        <v>51.178964073949778</v>
      </c>
      <c r="AH2163" s="261">
        <f ca="1">MIN(100,IF($O$5&gt;80,0+30*($AG2163/100),IF($O$5&gt;70,0+50*($AG2163/100),IF($O$5&gt;60,5+50*($AG2163/100),IF($O$5&gt;50,10+60*($AG2163/100),IF($O$5&gt;40,15+70*($AG2163/100),IF($O$5&gt;30,20+70*($AG2163/100),IF($O$5&gt;20,40+55*($AG2163/100),(80+(20-$O$5)+30*($AG2163/100))))))))))</f>
        <v>98.624749566335367</v>
      </c>
      <c r="AI2163" s="262">
        <v>5300</v>
      </c>
      <c r="AJ2163" s="263"/>
      <c r="AK2163" s="263"/>
      <c r="AL2163" s="263"/>
      <c r="AM2163" s="264"/>
      <c r="AN2163" s="263"/>
      <c r="AO2163" s="263"/>
      <c r="AP2163" s="265"/>
      <c r="AQ2163" s="265">
        <v>8727</v>
      </c>
      <c r="AR2163" s="285">
        <v>48959</v>
      </c>
      <c r="AS2163" s="263"/>
      <c r="AT2163" s="263"/>
      <c r="AU2163" s="263"/>
      <c r="AV2163" s="264"/>
      <c r="AW2163" s="263"/>
      <c r="AX2163" s="263"/>
      <c r="AY2163" s="263"/>
      <c r="AZ2163" s="263"/>
      <c r="BA2163" s="263"/>
      <c r="BB2163" s="263"/>
      <c r="BC2163" s="263"/>
      <c r="BD2163" s="264"/>
      <c r="BE2163" s="263"/>
      <c r="BF2163" s="263"/>
      <c r="BG2163" s="263"/>
      <c r="BH2163" s="263"/>
      <c r="BI2163" s="263"/>
      <c r="BJ2163" s="404">
        <f>altaz(J2000_Bas,$O2163,$M2163,DecLat,DecLong,2)</f>
        <v>267.68685098524412</v>
      </c>
      <c r="BK2163" s="378" t="s">
        <v>2064</v>
      </c>
      <c r="BL2163" s="379">
        <f>IF((2*G2163)/60&lt;0.2,0.2,(2*G2163)/60)</f>
        <v>0.2</v>
      </c>
      <c r="BM2163" s="380">
        <f>MOD((50000+AD2163-$B$3+(0/24)),1)</f>
        <v>0.7834520180040272</v>
      </c>
      <c r="BN2163" s="381"/>
      <c r="BO2163" s="382">
        <v>2154</v>
      </c>
    </row>
    <row r="2164" spans="1:67" s="24" customFormat="1" ht="15" customHeight="1" x14ac:dyDescent="0.25">
      <c r="A2164" s="288" t="s">
        <v>2065</v>
      </c>
      <c r="B2164" s="241" t="str">
        <f>HYPERLINK(CONCATENATE($AT$3,BK2164,$AU$3),$AV$3)</f>
        <v>S</v>
      </c>
      <c r="C2164" s="242" t="str">
        <f>HYPERLINK(CONCATENATE($AT$4,BK2164,$AU$4,BL2164),$AV$4)</f>
        <v>A</v>
      </c>
      <c r="D2164" s="243" t="s">
        <v>5638</v>
      </c>
      <c r="E2164" s="244" t="s">
        <v>5182</v>
      </c>
      <c r="F2164" s="269" t="s">
        <v>3300</v>
      </c>
      <c r="G2164" s="273">
        <v>2.2000000000000002</v>
      </c>
      <c r="H2164" s="283">
        <v>136</v>
      </c>
      <c r="I2164" s="246">
        <v>90</v>
      </c>
      <c r="J2164" s="246">
        <v>2</v>
      </c>
      <c r="K2164" s="247" t="s">
        <v>8152</v>
      </c>
      <c r="L2164" s="248">
        <v>134856</v>
      </c>
      <c r="M2164" s="249">
        <f>15*(LEFT(TEXT($L2164,"000000"),2)+(MID(TEXT($L2164,"000000"),3,2)/60)+(RIGHT(TEXT($L2164,"000000"),2)/3600))</f>
        <v>207.23333333333335</v>
      </c>
      <c r="N2164" s="250">
        <v>395908</v>
      </c>
      <c r="O2164" s="251">
        <f>IF($N2164&gt;0,(LEFT(TEXT($N2164,"000000"),2)+(MID(TEXT($N2164,"000000"),3,2)/60)+(RIGHT(TEXT($N2164,"000000"),2)/3600)),-(MID(TEXT($N2164,"000000"),2,2)+(MID(TEXT($N2164,"000000"),4,2)/60)+(RIGHT(TEXT($N2164,"000000"),2)/3600)))</f>
        <v>39.985555555555557</v>
      </c>
      <c r="P2164" s="252" t="s">
        <v>242</v>
      </c>
      <c r="Q2164" s="253"/>
      <c r="R2164" s="247" t="s">
        <v>3293</v>
      </c>
      <c r="S2164" s="272" t="s">
        <v>8150</v>
      </c>
      <c r="T2164" s="273">
        <v>13</v>
      </c>
      <c r="U2164" s="289">
        <v>22.89</v>
      </c>
      <c r="V2164" s="280">
        <v>75</v>
      </c>
      <c r="W2164" s="244"/>
      <c r="X2164" s="244"/>
      <c r="Y2164" s="362"/>
      <c r="Z2164" s="257">
        <f>altaz(J2000_Bas,$O2164,$M2164,DecLat,DecLong,1)</f>
        <v>27.314383131262218</v>
      </c>
      <c r="AA2164" s="257">
        <f>altaz((J2000_Bas+(2*0.04167)),$O2164,$M2164,DecLat,DecLong,1)</f>
        <v>6.8184086588857733</v>
      </c>
      <c r="AB2164" s="257">
        <f>altaz((J2000_Bas+(4*0.04167)),$O2164,$M2164,DecLat,DecLong,1)</f>
        <v>-9.4533286429916501</v>
      </c>
      <c r="AC2164" s="257">
        <f>altaz((J2000_Bas+(6*0.04167)),$O2164,$M2164,DecLat,DecLong,1)</f>
        <v>-18.287779062398716</v>
      </c>
      <c r="AD2164" s="258">
        <f>1+ transit((J2000_Bas-1),$O2164,$M2164,DecLat,DecLong)/360 + (GMTOffset/24) + (IF(DST="Y", 1, 0)/24)</f>
        <v>1.5685480512130414</v>
      </c>
      <c r="AE2164" s="259">
        <f>DATE(2001,9,21)+(M2164/360)*365 - (360*((DecLong/360)- (GMTOffset/24) ))</f>
        <v>37370.111574074072</v>
      </c>
      <c r="AF2164" s="260">
        <f>IF(DecLat&gt;0,IF((90 - (DecLat-O2164))&gt;90, (90 - (O2164-DecLat)), (90 - (DecLat-O2164))),IF((90 + (DecLat-O2164))&gt;90, (90 + (O2164-DecLat)), (90 + (DecLat-O2164))))</f>
        <v>81.01444444444445</v>
      </c>
      <c r="AG2164" s="257">
        <f>angularseperation(MoonRA,MoonDec,$M2164,$O2164)</f>
        <v>77.624298448253782</v>
      </c>
      <c r="AH2164" s="261">
        <f ca="1">MIN(100,IF($O$5&gt;80,0+30*($AG2164/100),IF($O$5&gt;70,0+50*($AG2164/100),IF($O$5&gt;60,5+50*($AG2164/100),IF($O$5&gt;50,10+60*($AG2164/100),IF($O$5&gt;40,15+70*($AG2164/100),IF($O$5&gt;30,20+70*($AG2164/100),IF($O$5&gt;20,40+55*($AG2164/100),(80+(20-$O$5)+30*($AG2164/100))))))))))</f>
        <v>100</v>
      </c>
      <c r="AI2164" s="262">
        <v>5311</v>
      </c>
      <c r="AJ2164" s="262"/>
      <c r="AK2164" s="262"/>
      <c r="AL2164" s="263"/>
      <c r="AM2164" s="264"/>
      <c r="AN2164" s="263"/>
      <c r="AO2164" s="263"/>
      <c r="AP2164" s="265"/>
      <c r="AQ2164" s="266">
        <v>8735</v>
      </c>
      <c r="AR2164" s="267">
        <v>49011</v>
      </c>
      <c r="AS2164" s="263"/>
      <c r="AT2164" s="263"/>
      <c r="AU2164" s="263"/>
      <c r="AV2164" s="264"/>
      <c r="AW2164" s="263"/>
      <c r="AX2164" s="263"/>
      <c r="AY2164" s="263"/>
      <c r="AZ2164" s="263"/>
      <c r="BA2164" s="263"/>
      <c r="BB2164" s="263"/>
      <c r="BC2164" s="263"/>
      <c r="BD2164" s="264"/>
      <c r="BE2164" s="263"/>
      <c r="BF2164" s="263"/>
      <c r="BG2164" s="263"/>
      <c r="BH2164" s="263"/>
      <c r="BI2164" s="263"/>
      <c r="BJ2164" s="404">
        <f>altaz(J2000_Bas,$O2164,$M2164,DecLat,DecLong,2)</f>
        <v>302.23750237843245</v>
      </c>
      <c r="BK2164" s="378" t="s">
        <v>2065</v>
      </c>
      <c r="BL2164" s="379">
        <f>IF((2*G2164)/60&lt;0.2,0.2,(2*G2164)/60)</f>
        <v>0.2</v>
      </c>
      <c r="BM2164" s="380">
        <f>MOD((50000+AD2164-$B$3+(0/24)),1)</f>
        <v>0.78391498091514222</v>
      </c>
      <c r="BN2164" s="381"/>
      <c r="BO2164" s="382">
        <v>2155</v>
      </c>
    </row>
    <row r="2165" spans="1:67" s="24" customFormat="1" ht="15" customHeight="1" x14ac:dyDescent="0.25">
      <c r="A2165" s="288" t="s">
        <v>2066</v>
      </c>
      <c r="B2165" s="241" t="str">
        <f>HYPERLINK(CONCATENATE($AT$3,BK2165,$AU$3),$AV$3)</f>
        <v>S</v>
      </c>
      <c r="C2165" s="242" t="str">
        <f>HYPERLINK(CONCATENATE($AT$4,BK2165,$AU$4,BL2165),$AV$4)</f>
        <v>A</v>
      </c>
      <c r="D2165" s="243" t="s">
        <v>5638</v>
      </c>
      <c r="E2165" s="244" t="s">
        <v>5192</v>
      </c>
      <c r="F2165" s="269" t="s">
        <v>8688</v>
      </c>
      <c r="G2165" s="273">
        <v>1.5</v>
      </c>
      <c r="H2165" s="283">
        <v>165</v>
      </c>
      <c r="I2165" s="246">
        <v>75</v>
      </c>
      <c r="J2165" s="246">
        <v>2</v>
      </c>
      <c r="K2165" s="247" t="s">
        <v>8153</v>
      </c>
      <c r="L2165" s="248">
        <v>134944</v>
      </c>
      <c r="M2165" s="249">
        <f>15*(LEFT(TEXT($L2165,"000000"),2)+(MID(TEXT($L2165,"000000"),3,2)/60)+(RIGHT(TEXT($L2165,"000000"),2)/3600))</f>
        <v>207.43333333333334</v>
      </c>
      <c r="N2165" s="286">
        <v>395905</v>
      </c>
      <c r="O2165" s="251">
        <f>IF($N2165&gt;0,(LEFT(TEXT($N2165,"000000"),2)+(MID(TEXT($N2165,"000000"),3,2)/60)+(RIGHT(TEXT($N2165,"000000"),2)/3600)),-(MID(TEXT($N2165,"000000"),2,2)+(MID(TEXT($N2165,"000000"),4,2)/60)+(RIGHT(TEXT($N2165,"000000"),2)/3600)))</f>
        <v>39.984722222222224</v>
      </c>
      <c r="P2165" s="252" t="s">
        <v>242</v>
      </c>
      <c r="Q2165" s="253"/>
      <c r="R2165" s="247" t="s">
        <v>3293</v>
      </c>
      <c r="S2165" s="272" t="s">
        <v>8151</v>
      </c>
      <c r="T2165" s="273">
        <v>12</v>
      </c>
      <c r="U2165" s="289">
        <v>21.59</v>
      </c>
      <c r="V2165" s="280">
        <v>60</v>
      </c>
      <c r="W2165" s="244"/>
      <c r="X2165" s="244"/>
      <c r="Y2165" s="362"/>
      <c r="Z2165" s="257">
        <f>altaz(J2000_Bas,$O2165,$M2165,DecLat,DecLong,1)</f>
        <v>27.459165466873369</v>
      </c>
      <c r="AA2165" s="257">
        <f>altaz((J2000_Bas+(2*0.04167)),$O2165,$M2165,DecLat,DecLong,1)</f>
        <v>6.943211529156172</v>
      </c>
      <c r="AB2165" s="257">
        <f>altaz((J2000_Bas+(4*0.04167)),$O2165,$M2165,DecLat,DecLong,1)</f>
        <v>-9.3663776732064576</v>
      </c>
      <c r="AC2165" s="257">
        <f>altaz((J2000_Bas+(6*0.04167)),$O2165,$M2165,DecLat,DecLong,1)</f>
        <v>-18.262022290850492</v>
      </c>
      <c r="AD2165" s="258">
        <f>1+ transit((J2000_Bas-1),$O2165,$M2165,DecLat,DecLong)/360 + (GMTOffset/24) + (IF(DST="Y", 1, 0)/24)</f>
        <v>1.5691036067130415</v>
      </c>
      <c r="AE2165" s="259">
        <f>DATE(2001,9,21)+(M2165/360)*365 - (360*((DecLong/360)- (GMTOffset/24) ))</f>
        <v>37370.314351851848</v>
      </c>
      <c r="AF2165" s="260">
        <f>IF(DecLat&gt;0,IF((90 - (DecLat-O2165))&gt;90, (90 - (O2165-DecLat)), (90 - (DecLat-O2165))),IF((90 + (DecLat-O2165))&gt;90, (90 + (O2165-DecLat)), (90 + (DecLat-O2165))))</f>
        <v>81.015277777777783</v>
      </c>
      <c r="AG2165" s="257">
        <f>angularseperation(MoonRA,MoonDec,$M2165,$O2165)</f>
        <v>77.530319999067459</v>
      </c>
      <c r="AH2165" s="261">
        <f ca="1">MIN(100,IF($O$5&gt;80,0+30*($AG2165/100),IF($O$5&gt;70,0+50*($AG2165/100),IF($O$5&gt;60,5+50*($AG2165/100),IF($O$5&gt;50,10+60*($AG2165/100),IF($O$5&gt;40,15+70*($AG2165/100),IF($O$5&gt;30,20+70*($AG2165/100),IF($O$5&gt;20,40+55*($AG2165/100),(80+(20-$O$5)+30*($AG2165/100))))))))))</f>
        <v>100</v>
      </c>
      <c r="AI2165" s="262">
        <v>5313</v>
      </c>
      <c r="AJ2165" s="262"/>
      <c r="AK2165" s="262"/>
      <c r="AL2165" s="263"/>
      <c r="AM2165" s="264"/>
      <c r="AN2165" s="263"/>
      <c r="AO2165" s="263"/>
      <c r="AP2165" s="265"/>
      <c r="AQ2165" s="266">
        <v>8744</v>
      </c>
      <c r="AR2165" s="267">
        <v>49069</v>
      </c>
      <c r="AS2165" s="263"/>
      <c r="AT2165" s="263"/>
      <c r="AU2165" s="263"/>
      <c r="AV2165" s="264"/>
      <c r="AW2165" s="263"/>
      <c r="AX2165" s="263"/>
      <c r="AY2165" s="263"/>
      <c r="AZ2165" s="263"/>
      <c r="BA2165" s="263"/>
      <c r="BB2165" s="263"/>
      <c r="BC2165" s="263"/>
      <c r="BD2165" s="264"/>
      <c r="BE2165" s="263"/>
      <c r="BF2165" s="263"/>
      <c r="BG2165" s="263"/>
      <c r="BH2165" s="263"/>
      <c r="BI2165" s="263"/>
      <c r="BJ2165" s="404">
        <f>altaz(J2000_Bas,$O2165,$M2165,DecLat,DecLong,2)</f>
        <v>302.18094451394745</v>
      </c>
      <c r="BK2165" s="378" t="s">
        <v>2066</v>
      </c>
      <c r="BL2165" s="379">
        <f>IF((2*G2165)/60&lt;0.2,0.2,(2*G2165)/60)</f>
        <v>0.2</v>
      </c>
      <c r="BM2165" s="380">
        <f>MOD((50000+AD2165-$B$3+(0/24)),1)</f>
        <v>0.7844705364186666</v>
      </c>
      <c r="BN2165" s="381"/>
      <c r="BO2165" s="382">
        <v>2156</v>
      </c>
    </row>
    <row r="2166" spans="1:67" s="24" customFormat="1" ht="15" customHeight="1" x14ac:dyDescent="0.25">
      <c r="A2166" s="288" t="s">
        <v>3071</v>
      </c>
      <c r="B2166" s="241" t="str">
        <f>HYPERLINK(CONCATENATE($AT$3,BK2166,$AU$3),$AV$3)</f>
        <v>S</v>
      </c>
      <c r="C2166" s="242" t="str">
        <f>HYPERLINK(CONCATENATE($AT$4,BK2166,$AU$4,BL2166),$AV$4)</f>
        <v>A</v>
      </c>
      <c r="D2166" s="243" t="s">
        <v>5638</v>
      </c>
      <c r="E2166" s="244" t="s">
        <v>5192</v>
      </c>
      <c r="F2166" s="269" t="s">
        <v>8895</v>
      </c>
      <c r="G2166" s="273">
        <v>3.8</v>
      </c>
      <c r="H2166" s="283">
        <v>100</v>
      </c>
      <c r="I2166" s="246">
        <v>110</v>
      </c>
      <c r="J2166" s="246">
        <v>2</v>
      </c>
      <c r="K2166" s="247" t="s">
        <v>8154</v>
      </c>
      <c r="L2166" s="248">
        <v>135000</v>
      </c>
      <c r="M2166" s="249">
        <f>15*(LEFT(TEXT($L2166,"000000"),2)+(MID(TEXT($L2166,"000000"),3,2)/60)+(RIGHT(TEXT($L2166,"000000"),2)/3600))</f>
        <v>207.5</v>
      </c>
      <c r="N2166" s="250">
        <v>412100</v>
      </c>
      <c r="O2166" s="251">
        <f>IF($N2166&gt;0,(LEFT(TEXT($N2166,"000000"),2)+(MID(TEXT($N2166,"000000"),3,2)/60)+(RIGHT(TEXT($N2166,"000000"),2)/3600)),-(MID(TEXT($N2166,"000000"),2,2)+(MID(TEXT($N2166,"000000"),4,2)/60)+(RIGHT(TEXT($N2166,"000000"),2)/3600)))</f>
        <v>41.35</v>
      </c>
      <c r="P2166" s="252" t="s">
        <v>242</v>
      </c>
      <c r="Q2166" s="253"/>
      <c r="R2166" s="277" t="s">
        <v>3293</v>
      </c>
      <c r="S2166" s="272" t="s">
        <v>3293</v>
      </c>
      <c r="T2166" s="273">
        <v>12.1</v>
      </c>
      <c r="U2166" s="289">
        <v>22.79</v>
      </c>
      <c r="V2166" s="280">
        <v>70</v>
      </c>
      <c r="W2166" s="244"/>
      <c r="X2166" s="244"/>
      <c r="Y2166" s="362"/>
      <c r="Z2166" s="257">
        <f>altaz(J2000_Bas,$O2166,$M2166,DecLat,DecLong,1)</f>
        <v>27.93832891875315</v>
      </c>
      <c r="AA2166" s="257">
        <f>altaz((J2000_Bas+(2*0.04167)),$O2166,$M2166,DecLat,DecLong,1)</f>
        <v>7.7679235163168459</v>
      </c>
      <c r="AB2166" s="257">
        <f>altaz((J2000_Bas+(4*0.04167)),$O2166,$M2166,DecLat,DecLong,1)</f>
        <v>-8.2179507899695778</v>
      </c>
      <c r="AC2166" s="257">
        <f>altaz((J2000_Bas+(6*0.04167)),$O2166,$M2166,DecLat,DecLong,1)</f>
        <v>-16.908928869025853</v>
      </c>
      <c r="AD2166" s="258">
        <f>1+ transit((J2000_Bas-1),$O2166,$M2166,DecLat,DecLong)/360 + (GMTOffset/24) + (IF(DST="Y", 1, 0)/24)</f>
        <v>1.569288791879708</v>
      </c>
      <c r="AE2166" s="259">
        <f>DATE(2001,9,21)+(M2166/360)*365 - (360*((DecLong/360)- (GMTOffset/24) ))</f>
        <v>37370.381944444445</v>
      </c>
      <c r="AF2166" s="260">
        <f>IF(DecLat&gt;0,IF((90 - (DecLat-O2166))&gt;90, (90 - (O2166-DecLat)), (90 - (DecLat-O2166))),IF((90 + (DecLat-O2166))&gt;90, (90 + (O2166-DecLat)), (90 + (DecLat-O2166))))</f>
        <v>79.650000000000006</v>
      </c>
      <c r="AG2166" s="257">
        <f>angularseperation(MoonRA,MoonDec,$M2166,$O2166)</f>
        <v>78.585394859146419</v>
      </c>
      <c r="AH2166" s="261">
        <f ca="1">MIN(100,IF($O$5&gt;80,0+30*($AG2166/100),IF($O$5&gt;70,0+50*($AG2166/100),IF($O$5&gt;60,5+50*($AG2166/100),IF($O$5&gt;50,10+60*($AG2166/100),IF($O$5&gt;40,15+70*($AG2166/100),IF($O$5&gt;30,20+70*($AG2166/100),IF($O$5&gt;20,40+55*($AG2166/100),(80+(20-$O$5)+30*($AG2166/100))))))))))</f>
        <v>100</v>
      </c>
      <c r="AI2166" s="262">
        <v>5320</v>
      </c>
      <c r="AJ2166" s="263"/>
      <c r="AK2166" s="263"/>
      <c r="AL2166" s="263"/>
      <c r="AM2166" s="264"/>
      <c r="AN2166" s="263"/>
      <c r="AO2166" s="263"/>
      <c r="AP2166" s="265"/>
      <c r="AQ2166" s="265">
        <v>8749</v>
      </c>
      <c r="AR2166" s="285">
        <v>49112</v>
      </c>
      <c r="AS2166" s="263"/>
      <c r="AT2166" s="263"/>
      <c r="AU2166" s="263"/>
      <c r="AV2166" s="264"/>
      <c r="AW2166" s="263"/>
      <c r="AX2166" s="263"/>
      <c r="AY2166" s="263"/>
      <c r="AZ2166" s="263"/>
      <c r="BA2166" s="263"/>
      <c r="BB2166" s="263"/>
      <c r="BC2166" s="263"/>
      <c r="BD2166" s="264"/>
      <c r="BE2166" s="263"/>
      <c r="BF2166" s="263"/>
      <c r="BG2166" s="263"/>
      <c r="BH2166" s="263"/>
      <c r="BI2166" s="263"/>
      <c r="BJ2166" s="404">
        <f>altaz(J2000_Bas,$O2166,$M2166,DecLat,DecLong,2)</f>
        <v>303.62598536983398</v>
      </c>
      <c r="BK2166" s="378" t="s">
        <v>3071</v>
      </c>
      <c r="BL2166" s="379">
        <f>IF((2*G2166)/60&lt;0.2,0.2,(2*G2166)/60)</f>
        <v>0.2</v>
      </c>
      <c r="BM2166" s="380">
        <f>MOD((50000+AD2166-$B$3+(0/24)),1)</f>
        <v>0.78465572158165742</v>
      </c>
      <c r="BN2166" s="381"/>
      <c r="BO2166" s="382">
        <v>2157</v>
      </c>
    </row>
    <row r="2167" spans="1:67" s="24" customFormat="1" ht="15" customHeight="1" x14ac:dyDescent="0.25">
      <c r="A2167" s="288" t="s">
        <v>2067</v>
      </c>
      <c r="B2167" s="241" t="str">
        <f>HYPERLINK(CONCATENATE($AT$3,BK2167,$AU$3),$AV$3)</f>
        <v>S</v>
      </c>
      <c r="C2167" s="242" t="str">
        <f>HYPERLINK(CONCATENATE($AT$4,BK2167,$AU$4,BL2167),$AV$4)</f>
        <v>A</v>
      </c>
      <c r="D2167" s="243" t="s">
        <v>5638</v>
      </c>
      <c r="E2167" s="244" t="s">
        <v>5193</v>
      </c>
      <c r="F2167" s="269" t="s">
        <v>8254</v>
      </c>
      <c r="G2167" s="273">
        <v>4</v>
      </c>
      <c r="H2167" s="283">
        <v>100</v>
      </c>
      <c r="I2167" s="246">
        <v>120</v>
      </c>
      <c r="J2167" s="246">
        <v>1</v>
      </c>
      <c r="K2167" s="247" t="s">
        <v>8155</v>
      </c>
      <c r="L2167" s="248">
        <v>134915</v>
      </c>
      <c r="M2167" s="249">
        <f>15*(LEFT(TEXT($L2167,"000000"),2)+(MID(TEXT($L2167,"000000"),3,2)/60)+(RIGHT(TEXT($L2167,"000000"),2)/3600))</f>
        <v>207.3125</v>
      </c>
      <c r="N2167" s="250">
        <v>601126</v>
      </c>
      <c r="O2167" s="251">
        <f>IF($N2167&gt;0,(LEFT(TEXT($N2167,"000000"),2)+(MID(TEXT($N2167,"000000"),3,2)/60)+(RIGHT(TEXT($N2167,"000000"),2)/3600)),-(MID(TEXT($N2167,"000000"),2,2)+(MID(TEXT($N2167,"000000"),4,2)/60)+(RIGHT(TEXT($N2167,"000000"),2)/3600)))</f>
        <v>60.190555555555555</v>
      </c>
      <c r="P2167" s="252" t="s">
        <v>37</v>
      </c>
      <c r="Q2167" s="253"/>
      <c r="R2167" s="247" t="s">
        <v>3293</v>
      </c>
      <c r="S2167" s="272" t="s">
        <v>3293</v>
      </c>
      <c r="T2167" s="273">
        <v>11</v>
      </c>
      <c r="U2167" s="289">
        <v>22.490000000000002</v>
      </c>
      <c r="V2167" s="280"/>
      <c r="W2167" s="244"/>
      <c r="X2167" s="244"/>
      <c r="Y2167" s="362"/>
      <c r="Z2167" s="257">
        <f>altaz(J2000_Bas,$O2167,$M2167,DecLat,DecLong,1)</f>
        <v>32.036347182769831</v>
      </c>
      <c r="AA2167" s="257">
        <f>altaz((J2000_Bas+(2*0.04167)),$O2167,$M2167,DecLat,DecLong,1)</f>
        <v>18.04398239819918</v>
      </c>
      <c r="AB2167" s="257">
        <f>altaz((J2000_Bas+(4*0.04167)),$O2167,$M2167,DecLat,DecLong,1)</f>
        <v>7.23774578235499</v>
      </c>
      <c r="AC2167" s="257">
        <f>altaz((J2000_Bas+(6*0.04167)),$O2167,$M2167,DecLat,DecLong,1)</f>
        <v>1.6438418123553158</v>
      </c>
      <c r="AD2167" s="258">
        <f>1+ transit((J2000_Bas-1),$O2167,$M2167,DecLat,DecLong)/360 + (GMTOffset/24) + (IF(DST="Y", 1, 0)/24)</f>
        <v>1.568767958598458</v>
      </c>
      <c r="AE2167" s="259">
        <f>DATE(2001,9,21)+(M2167/360)*365 - (360*((DecLong/360)- (GMTOffset/24) ))</f>
        <v>37370.191840277781</v>
      </c>
      <c r="AF2167" s="260">
        <f>IF(DecLat&gt;0,IF((90 - (DecLat-O2167))&gt;90, (90 - (O2167-DecLat)), (90 - (DecLat-O2167))),IF((90 + (DecLat-O2167))&gt;90, (90 + (O2167-DecLat)), (90 + (DecLat-O2167))))</f>
        <v>60.809444444444445</v>
      </c>
      <c r="AG2167" s="257">
        <f>angularseperation(MoonRA,MoonDec,$M2167,$O2167)</f>
        <v>93.771167544507875</v>
      </c>
      <c r="AH2167" s="261">
        <f ca="1">MIN(100,IF($O$5&gt;80,0+30*($AG2167/100),IF($O$5&gt;70,0+50*($AG2167/100),IF($O$5&gt;60,5+50*($AG2167/100),IF($O$5&gt;50,10+60*($AG2167/100),IF($O$5&gt;40,15+70*($AG2167/100),IF($O$5&gt;30,20+70*($AG2167/100),IF($O$5&gt;20,40+55*($AG2167/100),(80+(20-$O$5)+30*($AG2167/100))))))))))</f>
        <v>100</v>
      </c>
      <c r="AI2167" s="262">
        <v>5322</v>
      </c>
      <c r="AJ2167" s="262"/>
      <c r="AK2167" s="262">
        <v>295</v>
      </c>
      <c r="AL2167" s="263"/>
      <c r="AM2167" s="264"/>
      <c r="AN2167" s="263"/>
      <c r="AO2167" s="263"/>
      <c r="AP2167" s="265"/>
      <c r="AQ2167" s="266">
        <v>8745</v>
      </c>
      <c r="AR2167" s="267">
        <v>49044</v>
      </c>
      <c r="AS2167" s="263"/>
      <c r="AT2167" s="263"/>
      <c r="AU2167" s="263"/>
      <c r="AV2167" s="264"/>
      <c r="AW2167" s="263"/>
      <c r="AX2167" s="263"/>
      <c r="AY2167" s="263"/>
      <c r="AZ2167" s="263"/>
      <c r="BA2167" s="263"/>
      <c r="BB2167" s="263"/>
      <c r="BC2167" s="263"/>
      <c r="BD2167" s="264"/>
      <c r="BE2167" s="263"/>
      <c r="BF2167" s="263"/>
      <c r="BG2167" s="263"/>
      <c r="BH2167" s="263"/>
      <c r="BI2167" s="263"/>
      <c r="BJ2167" s="404">
        <f>altaz(J2000_Bas,$O2167,$M2167,DecLat,DecLong,2)</f>
        <v>324.89795891281346</v>
      </c>
      <c r="BK2167" s="378" t="s">
        <v>2067</v>
      </c>
      <c r="BL2167" s="379">
        <f>IF((2*G2167)/60&lt;0.2,0.2,(2*G2167)/60)</f>
        <v>0.2</v>
      </c>
      <c r="BM2167" s="380">
        <f>MOD((50000+AD2167-$B$3+(0/24)),1)</f>
        <v>0.78413488830119604</v>
      </c>
      <c r="BN2167" s="381"/>
      <c r="BO2167" s="382">
        <v>2158</v>
      </c>
    </row>
    <row r="2168" spans="1:67" s="24" customFormat="1" ht="15" customHeight="1" x14ac:dyDescent="0.25">
      <c r="A2168" s="287" t="s">
        <v>3072</v>
      </c>
      <c r="B2168" s="241" t="str">
        <f>HYPERLINK(CONCATENATE($AT$3,BK2168,$AU$3),$AV$3)</f>
        <v>S</v>
      </c>
      <c r="C2168" s="242" t="str">
        <f>HYPERLINK(CONCATENATE($AT$4,BK2168,$AU$4,BL2168),$AV$4)</f>
        <v>A</v>
      </c>
      <c r="D2168" s="243" t="s">
        <v>5638</v>
      </c>
      <c r="E2168" s="244" t="s">
        <v>5192</v>
      </c>
      <c r="F2168" s="269" t="s">
        <v>8895</v>
      </c>
      <c r="G2168" s="273">
        <v>3.8</v>
      </c>
      <c r="H2168" s="283">
        <v>110</v>
      </c>
      <c r="I2168" s="246">
        <v>120</v>
      </c>
      <c r="J2168" s="246">
        <v>2</v>
      </c>
      <c r="K2168" s="247" t="s">
        <v>8156</v>
      </c>
      <c r="L2168" s="248">
        <v>135255</v>
      </c>
      <c r="M2168" s="249">
        <f>15*(LEFT(TEXT($L2168,"000000"),2)+(MID(TEXT($L2168,"000000"),3,2)/60)+(RIGHT(TEXT($L2168,"000000"),2)/3600))</f>
        <v>208.22916666666666</v>
      </c>
      <c r="N2168" s="250">
        <v>-10653</v>
      </c>
      <c r="O2168" s="251">
        <f>IF($N2168&gt;0,(LEFT(TEXT($N2168,"000000"),2)+(MID(TEXT($N2168,"000000"),3,2)/60)+(RIGHT(TEXT($N2168,"000000"),2)/3600)),-(MID(TEXT($N2168,"000000"),2,2)+(MID(TEXT($N2168,"000000"),4,2)/60)+(RIGHT(TEXT($N2168,"000000"),2)/3600)))</f>
        <v>-1.1147222222222224</v>
      </c>
      <c r="P2168" s="252" t="s">
        <v>61</v>
      </c>
      <c r="Q2168" s="253"/>
      <c r="R2168" s="277" t="s">
        <v>3293</v>
      </c>
      <c r="S2168" s="272" t="s">
        <v>3293</v>
      </c>
      <c r="T2168" s="273">
        <v>11.3</v>
      </c>
      <c r="U2168" s="289">
        <v>22.79</v>
      </c>
      <c r="V2168" s="280">
        <v>40</v>
      </c>
      <c r="W2168" s="244"/>
      <c r="X2168" s="244"/>
      <c r="Y2168" s="362"/>
      <c r="Z2168" s="257">
        <f>altaz(J2000_Bas,$O2168,$M2168,DecLat,DecLong,1)</f>
        <v>9.8735711199600278</v>
      </c>
      <c r="AA2168" s="257">
        <f>altaz((J2000_Bas+(2*0.04167)),$O2168,$M2168,DecLat,DecLong,1)</f>
        <v>-15.832624298589458</v>
      </c>
      <c r="AB2168" s="257">
        <f>altaz((J2000_Bas+(4*0.04167)),$O2168,$M2168,DecLat,DecLong,1)</f>
        <v>-40.264963588666625</v>
      </c>
      <c r="AC2168" s="257">
        <f>altaz((J2000_Bas+(6*0.04167)),$O2168,$M2168,DecLat,DecLong,1)</f>
        <v>-58.03604992749456</v>
      </c>
      <c r="AD2168" s="258">
        <f>1+ transit((J2000_Bas-1),$O2168,$M2168,DecLat,DecLong)/360 + (GMTOffset/24) + (IF(DST="Y", 1, 0)/24)</f>
        <v>1.5713142546401246</v>
      </c>
      <c r="AE2168" s="259">
        <f>DATE(2001,9,21)+(M2168/360)*365 - (360*((DecLong/360)- (GMTOffset/24) ))</f>
        <v>37371.121238425927</v>
      </c>
      <c r="AF2168" s="260">
        <f>IF(DecLat&gt;0,IF((90 - (DecLat-O2168))&gt;90, (90 - (O2168-DecLat)), (90 - (DecLat-O2168))),IF((90 + (DecLat-O2168))&gt;90, (90 + (O2168-DecLat)), (90 + (DecLat-O2168))))</f>
        <v>57.88527777777778</v>
      </c>
      <c r="AG2168" s="257">
        <f>angularseperation(MoonRA,MoonDec,$M2168,$O2168)</f>
        <v>47.113521256710413</v>
      </c>
      <c r="AH2168" s="261">
        <f ca="1">MIN(100,IF($O$5&gt;80,0+30*($AG2168/100),IF($O$5&gt;70,0+50*($AG2168/100),IF($O$5&gt;60,5+50*($AG2168/100),IF($O$5&gt;50,10+60*($AG2168/100),IF($O$5&gt;40,15+70*($AG2168/100),IF($O$5&gt;30,20+70*($AG2168/100),IF($O$5&gt;20,40+55*($AG2168/100),(80+(20-$O$5)+30*($AG2168/100))))))))))</f>
        <v>97.405116721163552</v>
      </c>
      <c r="AI2168" s="262">
        <v>5334</v>
      </c>
      <c r="AJ2168" s="263">
        <v>4338</v>
      </c>
      <c r="AK2168" s="263"/>
      <c r="AL2168" s="263"/>
      <c r="AM2168" s="264"/>
      <c r="AN2168" s="263"/>
      <c r="AO2168" s="263"/>
      <c r="AP2168" s="265"/>
      <c r="AQ2168" s="265"/>
      <c r="AR2168" s="285">
        <v>49308</v>
      </c>
      <c r="AS2168" s="263"/>
      <c r="AT2168" s="263"/>
      <c r="AU2168" s="263"/>
      <c r="AV2168" s="264"/>
      <c r="AW2168" s="263"/>
      <c r="AX2168" s="263"/>
      <c r="AY2168" s="263"/>
      <c r="AZ2168" s="263"/>
      <c r="BA2168" s="263"/>
      <c r="BB2168" s="263"/>
      <c r="BC2168" s="263"/>
      <c r="BD2168" s="264"/>
      <c r="BE2168" s="263"/>
      <c r="BF2168" s="263"/>
      <c r="BG2168" s="263"/>
      <c r="BH2168" s="263"/>
      <c r="BI2168" s="263"/>
      <c r="BJ2168" s="404">
        <f>altaz(J2000_Bas,$O2168,$M2168,DecLat,DecLong,2)</f>
        <v>262.66799276709861</v>
      </c>
      <c r="BK2168" s="378" t="s">
        <v>3072</v>
      </c>
      <c r="BL2168" s="379">
        <f>IF((2*G2168)/60&lt;0.2,0.2,(2*G2168)/60)</f>
        <v>0.2</v>
      </c>
      <c r="BM2168" s="380">
        <f>MOD((50000+AD2168-$B$3+(0/24)),1)</f>
        <v>0.78668118434143253</v>
      </c>
      <c r="BN2168" s="381"/>
      <c r="BO2168" s="382">
        <v>2159</v>
      </c>
    </row>
    <row r="2169" spans="1:67" s="24" customFormat="1" ht="15" customHeight="1" x14ac:dyDescent="0.25">
      <c r="A2169" s="287" t="s">
        <v>3073</v>
      </c>
      <c r="B2169" s="241" t="str">
        <f>HYPERLINK(CONCATENATE($AT$3,BK2169,$AU$3),$AV$3)</f>
        <v>S</v>
      </c>
      <c r="C2169" s="242" t="str">
        <f>HYPERLINK(CONCATENATE($AT$4,BK2169,$AU$4,BL2169),$AV$4)</f>
        <v>A</v>
      </c>
      <c r="D2169" s="243" t="s">
        <v>5638</v>
      </c>
      <c r="E2169" s="244" t="s">
        <v>5192</v>
      </c>
      <c r="F2169" s="269" t="s">
        <v>8987</v>
      </c>
      <c r="G2169" s="273">
        <v>4</v>
      </c>
      <c r="H2169" s="283">
        <v>50</v>
      </c>
      <c r="I2169" s="246">
        <v>60</v>
      </c>
      <c r="J2169" s="246">
        <v>2</v>
      </c>
      <c r="K2169" s="247" t="s">
        <v>8157</v>
      </c>
      <c r="L2169" s="248">
        <v>135400</v>
      </c>
      <c r="M2169" s="249">
        <f>15*(LEFT(TEXT($L2169,"000000"),2)+(MID(TEXT($L2169,"000000"),3,2)/60)+(RIGHT(TEXT($L2169,"000000"),2)/3600))</f>
        <v>208.5</v>
      </c>
      <c r="N2169" s="250">
        <v>51300</v>
      </c>
      <c r="O2169" s="251">
        <f>IF($N2169&gt;0,(LEFT(TEXT($N2169,"000000"),2)+(MID(TEXT($N2169,"000000"),3,2)/60)+(RIGHT(TEXT($N2169,"000000"),2)/3600)),-(MID(TEXT($N2169,"000000"),2,2)+(MID(TEXT($N2169,"000000"),4,2)/60)+(RIGHT(TEXT($N2169,"000000"),2)/3600)))</f>
        <v>5.2166666666666668</v>
      </c>
      <c r="P2169" s="252" t="s">
        <v>61</v>
      </c>
      <c r="Q2169" s="253"/>
      <c r="R2169" s="277" t="s">
        <v>3293</v>
      </c>
      <c r="S2169" s="272" t="s">
        <v>3293</v>
      </c>
      <c r="T2169" s="273">
        <v>13.1</v>
      </c>
      <c r="U2169" s="289">
        <v>22.490000000000002</v>
      </c>
      <c r="V2169" s="280">
        <v>90</v>
      </c>
      <c r="W2169" s="244"/>
      <c r="X2169" s="244"/>
      <c r="Y2169" s="362"/>
      <c r="Z2169" s="257">
        <f>altaz(J2000_Bas,$O2169,$M2169,DecLat,DecLong,1)</f>
        <v>13.388151520293578</v>
      </c>
      <c r="AA2169" s="257">
        <f>altaz((J2000_Bas+(2*0.04167)),$O2169,$M2169,DecLat,DecLong,1)</f>
        <v>-12.186672027708511</v>
      </c>
      <c r="AB2169" s="257">
        <f>altaz((J2000_Bas+(4*0.04167)),$O2169,$M2169,DecLat,DecLong,1)</f>
        <v>-35.74998754637393</v>
      </c>
      <c r="AC2169" s="257">
        <f>altaz((J2000_Bas+(6*0.04167)),$O2169,$M2169,DecLat,DecLong,1)</f>
        <v>-51.940626576817301</v>
      </c>
      <c r="AD2169" s="258">
        <f>1+ transit((J2000_Bas-1),$O2169,$M2169,DecLat,DecLong)/360 + (GMTOffset/24) + (IF(DST="Y", 1, 0)/24)</f>
        <v>1.572066569379708</v>
      </c>
      <c r="AE2169" s="259">
        <f>DATE(2001,9,21)+(M2169/360)*365 - (360*((DecLong/360)- (GMTOffset/24) ))</f>
        <v>37371.395833333336</v>
      </c>
      <c r="AF2169" s="260">
        <f>IF(DecLat&gt;0,IF((90 - (DecLat-O2169))&gt;90, (90 - (O2169-DecLat)), (90 - (DecLat-O2169))),IF((90 + (DecLat-O2169))&gt;90, (90 + (O2169-DecLat)), (90 + (DecLat-O2169))))</f>
        <v>64.216666666666669</v>
      </c>
      <c r="AG2169" s="257">
        <f>angularseperation(MoonRA,MoonDec,$M2169,$O2169)</f>
        <v>50.921756449959844</v>
      </c>
      <c r="AH2169" s="261">
        <f ca="1">MIN(100,IF($O$5&gt;80,0+30*($AG2169/100),IF($O$5&gt;70,0+50*($AG2169/100),IF($O$5&gt;60,5+50*($AG2169/100),IF($O$5&gt;50,10+60*($AG2169/100),IF($O$5&gt;40,15+70*($AG2169/100),IF($O$5&gt;30,20+70*($AG2169/100),IF($O$5&gt;20,40+55*($AG2169/100),(80+(20-$O$5)+30*($AG2169/100))))))))))</f>
        <v>98.547587279138384</v>
      </c>
      <c r="AI2169" s="262">
        <v>5348</v>
      </c>
      <c r="AJ2169" s="263"/>
      <c r="AK2169" s="263"/>
      <c r="AL2169" s="263"/>
      <c r="AM2169" s="264"/>
      <c r="AN2169" s="263"/>
      <c r="AO2169" s="263"/>
      <c r="AP2169" s="265"/>
      <c r="AQ2169" s="265">
        <v>8821</v>
      </c>
      <c r="AR2169" s="285">
        <v>49411</v>
      </c>
      <c r="AS2169" s="263"/>
      <c r="AT2169" s="263"/>
      <c r="AU2169" s="263"/>
      <c r="AV2169" s="264"/>
      <c r="AW2169" s="263"/>
      <c r="AX2169" s="263"/>
      <c r="AY2169" s="263"/>
      <c r="AZ2169" s="263"/>
      <c r="BA2169" s="263"/>
      <c r="BB2169" s="263"/>
      <c r="BC2169" s="263"/>
      <c r="BD2169" s="264"/>
      <c r="BE2169" s="263"/>
      <c r="BF2169" s="263"/>
      <c r="BG2169" s="263"/>
      <c r="BH2169" s="263"/>
      <c r="BI2169" s="263"/>
      <c r="BJ2169" s="404">
        <f>altaz(J2000_Bas,$O2169,$M2169,DecLat,DecLong,2)</f>
        <v>268.05284374338208</v>
      </c>
      <c r="BK2169" s="378" t="s">
        <v>3073</v>
      </c>
      <c r="BL2169" s="379">
        <f>IF((2*G2169)/60&lt;0.2,0.2,(2*G2169)/60)</f>
        <v>0.2</v>
      </c>
      <c r="BM2169" s="380">
        <f>MOD((50000+AD2169-$B$3+(0/24)),1)</f>
        <v>0.78743349908472737</v>
      </c>
      <c r="BN2169" s="381"/>
      <c r="BO2169" s="382">
        <v>2160</v>
      </c>
    </row>
    <row r="2170" spans="1:67" s="24" customFormat="1" ht="15" customHeight="1" x14ac:dyDescent="0.25">
      <c r="A2170" s="288" t="s">
        <v>2068</v>
      </c>
      <c r="B2170" s="241" t="str">
        <f>HYPERLINK(CONCATENATE($AT$3,BK2170,$AU$3),$AV$3)</f>
        <v>S</v>
      </c>
      <c r="C2170" s="242" t="str">
        <f>HYPERLINK(CONCATENATE($AT$4,BK2170,$AU$4,BL2170),$AV$4)</f>
        <v>A</v>
      </c>
      <c r="D2170" s="243" t="s">
        <v>5638</v>
      </c>
      <c r="E2170" s="244" t="s">
        <v>5182</v>
      </c>
      <c r="F2170" s="269" t="s">
        <v>3300</v>
      </c>
      <c r="G2170" s="273">
        <v>4</v>
      </c>
      <c r="H2170" s="283">
        <v>60</v>
      </c>
      <c r="I2170" s="246">
        <v>70</v>
      </c>
      <c r="J2170" s="246">
        <v>2</v>
      </c>
      <c r="K2170" s="247" t="s">
        <v>8158</v>
      </c>
      <c r="L2170" s="248">
        <v>135607</v>
      </c>
      <c r="M2170" s="249">
        <f>15*(LEFT(TEXT($L2170,"000000"),2)+(MID(TEXT($L2170,"000000"),3,2)/60)+(RIGHT(TEXT($L2170,"000000"),2)/3600))</f>
        <v>209.02916666666667</v>
      </c>
      <c r="N2170" s="250">
        <v>51516</v>
      </c>
      <c r="O2170" s="251">
        <f>IF($N2170&gt;0,(LEFT(TEXT($N2170,"000000"),2)+(MID(TEXT($N2170,"000000"),3,2)/60)+(RIGHT(TEXT($N2170,"000000"),2)/3600)),-(MID(TEXT($N2170,"000000"),2,2)+(MID(TEXT($N2170,"000000"),4,2)/60)+(RIGHT(TEXT($N2170,"000000"),2)/3600)))</f>
        <v>5.2544444444444443</v>
      </c>
      <c r="P2170" s="252" t="s">
        <v>61</v>
      </c>
      <c r="Q2170" s="253" t="s">
        <v>6843</v>
      </c>
      <c r="R2170" s="247" t="s">
        <v>3293</v>
      </c>
      <c r="S2170" s="272" t="s">
        <v>3293</v>
      </c>
      <c r="T2170" s="273">
        <v>10.1</v>
      </c>
      <c r="U2170" s="289">
        <v>21.39</v>
      </c>
      <c r="V2170" s="280"/>
      <c r="W2170" s="244"/>
      <c r="X2170" s="244"/>
      <c r="Y2170" s="362"/>
      <c r="Z2170" s="257">
        <f>altaz(J2000_Bas,$O2170,$M2170,DecLat,DecLong,1)</f>
        <v>13.860705178438645</v>
      </c>
      <c r="AA2170" s="257">
        <f>altaz((J2000_Bas+(2*0.04167)),$O2170,$M2170,DecLat,DecLong,1)</f>
        <v>-11.725201329483779</v>
      </c>
      <c r="AB2170" s="257">
        <f>altaz((J2000_Bas+(4*0.04167)),$O2170,$M2170,DecLat,DecLong,1)</f>
        <v>-35.347774193470862</v>
      </c>
      <c r="AC2170" s="257">
        <f>altaz((J2000_Bas+(6*0.04167)),$O2170,$M2170,DecLat,DecLong,1)</f>
        <v>-51.746249887589414</v>
      </c>
      <c r="AD2170" s="258">
        <f>1+ transit((J2000_Bas-1),$O2170,$M2170,DecLat,DecLong)/360 + (GMTOffset/24) + (IF(DST="Y", 1, 0)/24)</f>
        <v>1.5735364766401247</v>
      </c>
      <c r="AE2170" s="259">
        <f>DATE(2001,9,21)+(M2170/360)*365 - (360*((DecLong/360)- (GMTOffset/24) ))</f>
        <v>37371.932349537034</v>
      </c>
      <c r="AF2170" s="260">
        <f>IF(DecLat&gt;0,IF((90 - (DecLat-O2170))&gt;90, (90 - (O2170-DecLat)), (90 - (DecLat-O2170))),IF((90 + (DecLat-O2170))&gt;90, (90 + (O2170-DecLat)), (90 + (DecLat-O2170))))</f>
        <v>64.254444444444445</v>
      </c>
      <c r="AG2170" s="257">
        <f>angularseperation(MoonRA,MoonDec,$M2170,$O2170)</f>
        <v>50.553534391903348</v>
      </c>
      <c r="AH2170" s="261">
        <f ca="1">MIN(100,IF($O$5&gt;80,0+30*($AG2170/100),IF($O$5&gt;70,0+50*($AG2170/100),IF($O$5&gt;60,5+50*($AG2170/100),IF($O$5&gt;50,10+60*($AG2170/100),IF($O$5&gt;40,15+70*($AG2170/100),IF($O$5&gt;30,20+70*($AG2170/100),IF($O$5&gt;20,40+55*($AG2170/100),(80+(20-$O$5)+30*($AG2170/100))))))))))</f>
        <v>98.437120661721423</v>
      </c>
      <c r="AI2170" s="262">
        <v>5363</v>
      </c>
      <c r="AJ2170" s="262"/>
      <c r="AK2170" s="262">
        <v>296</v>
      </c>
      <c r="AL2170" s="263"/>
      <c r="AM2170" s="264"/>
      <c r="AN2170" s="263"/>
      <c r="AO2170" s="263"/>
      <c r="AP2170" s="265"/>
      <c r="AQ2170" s="266">
        <v>8847</v>
      </c>
      <c r="AR2170" s="267">
        <v>49547</v>
      </c>
      <c r="AS2170" s="263"/>
      <c r="AT2170" s="263"/>
      <c r="AU2170" s="263"/>
      <c r="AV2170" s="264"/>
      <c r="AW2170" s="263"/>
      <c r="AX2170" s="263"/>
      <c r="AY2170" s="263"/>
      <c r="AZ2170" s="263"/>
      <c r="BA2170" s="263"/>
      <c r="BB2170" s="263"/>
      <c r="BC2170" s="263"/>
      <c r="BD2170" s="264"/>
      <c r="BE2170" s="263">
        <v>72</v>
      </c>
      <c r="BF2170" s="263"/>
      <c r="BG2170" s="263"/>
      <c r="BH2170" s="263"/>
      <c r="BI2170" s="263"/>
      <c r="BJ2170" s="404">
        <f>altaz(J2000_Bas,$O2170,$M2170,DecLat,DecLong,2)</f>
        <v>267.80977024300495</v>
      </c>
      <c r="BK2170" s="378" t="s">
        <v>2068</v>
      </c>
      <c r="BL2170" s="379">
        <f>IF((2*G2170)/60&lt;0.2,0.2,(2*G2170)/60)</f>
        <v>0.2</v>
      </c>
      <c r="BM2170" s="380">
        <f>MOD((50000+AD2170-$B$3+(0/24)),1)</f>
        <v>0.78890340634097811</v>
      </c>
      <c r="BN2170" s="381"/>
      <c r="BO2170" s="382">
        <v>2161</v>
      </c>
    </row>
    <row r="2171" spans="1:67" s="24" customFormat="1" ht="15" customHeight="1" x14ac:dyDescent="0.25">
      <c r="A2171" s="288" t="s">
        <v>2069</v>
      </c>
      <c r="B2171" s="241" t="str">
        <f>HYPERLINK(CONCATENATE($AT$3,BK2171,$AU$3),$AV$3)</f>
        <v>S</v>
      </c>
      <c r="C2171" s="242" t="str">
        <f>HYPERLINK(CONCATENATE($AT$4,BK2171,$AU$4,BL2171),$AV$4)</f>
        <v>A</v>
      </c>
      <c r="D2171" s="243" t="s">
        <v>5638</v>
      </c>
      <c r="E2171" s="244" t="s">
        <v>5192</v>
      </c>
      <c r="F2171" s="269" t="s">
        <v>8720</v>
      </c>
      <c r="G2171" s="273">
        <v>6</v>
      </c>
      <c r="H2171" s="283">
        <v>45</v>
      </c>
      <c r="I2171" s="246">
        <v>80</v>
      </c>
      <c r="J2171" s="246">
        <v>2</v>
      </c>
      <c r="K2171" s="247" t="s">
        <v>8500</v>
      </c>
      <c r="L2171" s="248">
        <v>135612</v>
      </c>
      <c r="M2171" s="249">
        <f>15*(LEFT(TEXT($L2171,"000000"),2)+(MID(TEXT($L2171,"000000"),3,2)/60)+(RIGHT(TEXT($L2171,"000000"),2)/3600))</f>
        <v>209.05</v>
      </c>
      <c r="N2171" s="250">
        <v>50055</v>
      </c>
      <c r="O2171" s="251">
        <f>IF($N2171&gt;0,(LEFT(TEXT($N2171,"000000"),2)+(MID(TEXT($N2171,"000000"),3,2)/60)+(RIGHT(TEXT($N2171,"000000"),2)/3600)),-(MID(TEXT($N2171,"000000"),2,2)+(MID(TEXT($N2171,"000000"),4,2)/60)+(RIGHT(TEXT($N2171,"000000"),2)/3600)))</f>
        <v>5.0152777777777775</v>
      </c>
      <c r="P2171" s="252" t="s">
        <v>61</v>
      </c>
      <c r="Q2171" s="253"/>
      <c r="R2171" s="247" t="s">
        <v>3293</v>
      </c>
      <c r="S2171" s="272" t="s">
        <v>8159</v>
      </c>
      <c r="T2171" s="273">
        <v>10.5</v>
      </c>
      <c r="U2171" s="289">
        <v>22.990000000000002</v>
      </c>
      <c r="V2171" s="280">
        <v>50</v>
      </c>
      <c r="W2171" s="244"/>
      <c r="X2171" s="244"/>
      <c r="Y2171" s="362"/>
      <c r="Z2171" s="257">
        <f>altaz(J2000_Bas,$O2171,$M2171,DecLat,DecLong,1)</f>
        <v>13.756473673522137</v>
      </c>
      <c r="AA2171" s="257">
        <f>altaz((J2000_Bas+(2*0.04167)),$O2171,$M2171,DecLat,DecLong,1)</f>
        <v>-11.838651607842229</v>
      </c>
      <c r="AB2171" s="257">
        <f>altaz((J2000_Bas+(4*0.04167)),$O2171,$M2171,DecLat,DecLong,1)</f>
        <v>-35.49998357170729</v>
      </c>
      <c r="AC2171" s="257">
        <f>altaz((J2000_Bas+(6*0.04167)),$O2171,$M2171,DecLat,DecLong,1)</f>
        <v>-51.967488988688963</v>
      </c>
      <c r="AD2171" s="258">
        <f>1+ transit((J2000_Bas-1),$O2171,$M2171,DecLat,DecLong)/360 + (GMTOffset/24) + (IF(DST="Y", 1, 0)/24)</f>
        <v>1.5735943470047082</v>
      </c>
      <c r="AE2171" s="259">
        <f>DATE(2001,9,21)+(M2171/360)*365 - (360*((DecLong/360)- (GMTOffset/24) ))</f>
        <v>37371.953472222223</v>
      </c>
      <c r="AF2171" s="260">
        <f>IF(DecLat&gt;0,IF((90 - (DecLat-O2171))&gt;90, (90 - (O2171-DecLat)), (90 - (DecLat-O2171))),IF((90 + (DecLat-O2171))&gt;90, (90 + (O2171-DecLat)), (90 + (DecLat-O2171))))</f>
        <v>64.015277777777783</v>
      </c>
      <c r="AG2171" s="257">
        <f>angularseperation(MoonRA,MoonDec,$M2171,$O2171)</f>
        <v>50.378576362581022</v>
      </c>
      <c r="AH2171" s="261">
        <f ca="1">MIN(100,IF($O$5&gt;80,0+30*($AG2171/100),IF($O$5&gt;70,0+50*($AG2171/100),IF($O$5&gt;60,5+50*($AG2171/100),IF($O$5&gt;50,10+60*($AG2171/100),IF($O$5&gt;40,15+70*($AG2171/100),IF($O$5&gt;30,20+70*($AG2171/100),IF($O$5&gt;20,40+55*($AG2171/100),(80+(20-$O$5)+30*($AG2171/100))))))))))</f>
        <v>98.384633252924729</v>
      </c>
      <c r="AI2171" s="262">
        <v>5364</v>
      </c>
      <c r="AJ2171" s="262"/>
      <c r="AK2171" s="262">
        <v>297</v>
      </c>
      <c r="AL2171" s="263"/>
      <c r="AM2171" s="264"/>
      <c r="AN2171" s="263"/>
      <c r="AO2171" s="263"/>
      <c r="AP2171" s="265"/>
      <c r="AQ2171" s="266"/>
      <c r="AR2171" s="267">
        <v>49555</v>
      </c>
      <c r="AS2171" s="263"/>
      <c r="AT2171" s="263"/>
      <c r="AU2171" s="263"/>
      <c r="AV2171" s="264"/>
      <c r="AW2171" s="263"/>
      <c r="AX2171" s="263"/>
      <c r="AY2171" s="263"/>
      <c r="AZ2171" s="263"/>
      <c r="BA2171" s="263"/>
      <c r="BB2171" s="263"/>
      <c r="BC2171" s="263"/>
      <c r="BD2171" s="264"/>
      <c r="BE2171" s="263"/>
      <c r="BF2171" s="263"/>
      <c r="BG2171" s="263">
        <v>61</v>
      </c>
      <c r="BH2171" s="263"/>
      <c r="BI2171" s="263"/>
      <c r="BJ2171" s="404">
        <f>altaz(J2000_Bas,$O2171,$M2171,DecLat,DecLong,2)</f>
        <v>267.58707715766405</v>
      </c>
      <c r="BK2171" s="378" t="s">
        <v>2069</v>
      </c>
      <c r="BL2171" s="379">
        <f>IF((2*G2171)/60&lt;0.2,0.2,(2*G2171)/60)</f>
        <v>0.2</v>
      </c>
      <c r="BM2171" s="380">
        <f>MOD((50000+AD2171-$B$3+(0/24)),1)</f>
        <v>0.78896127671032446</v>
      </c>
      <c r="BN2171" s="381"/>
      <c r="BO2171" s="382">
        <v>2162</v>
      </c>
    </row>
    <row r="2172" spans="1:67" s="24" customFormat="1" ht="15" customHeight="1" x14ac:dyDescent="0.25">
      <c r="A2172" s="288" t="s">
        <v>2070</v>
      </c>
      <c r="B2172" s="241" t="str">
        <f>HYPERLINK(CONCATENATE($AT$3,BK2172,$AU$3),$AV$3)</f>
        <v>S</v>
      </c>
      <c r="C2172" s="242" t="str">
        <f>HYPERLINK(CONCATENATE($AT$4,BK2172,$AU$4,BL2172),$AV$4)</f>
        <v>A</v>
      </c>
      <c r="D2172" s="243" t="s">
        <v>5187</v>
      </c>
      <c r="E2172" s="244" t="s">
        <v>5186</v>
      </c>
      <c r="F2172" s="269"/>
      <c r="G2172" s="273">
        <v>6</v>
      </c>
      <c r="H2172" s="283">
        <v>2050</v>
      </c>
      <c r="I2172" s="279">
        <v>3.8</v>
      </c>
      <c r="J2172" s="246">
        <v>4</v>
      </c>
      <c r="K2172" s="247" t="s">
        <v>5515</v>
      </c>
      <c r="L2172" s="248">
        <v>135743</v>
      </c>
      <c r="M2172" s="249">
        <f>15*(LEFT(TEXT($L2172,"000000"),2)+(MID(TEXT($L2172,"000000"),3,2)/60)+(RIGHT(TEXT($L2172,"000000"),2)/3600))</f>
        <v>209.42916666666665</v>
      </c>
      <c r="N2172" s="286">
        <v>-395849</v>
      </c>
      <c r="O2172" s="251">
        <f>IF($N2172&gt;0,(LEFT(TEXT($N2172,"000000"),2)+(MID(TEXT($N2172,"000000"),3,2)/60)+(RIGHT(TEXT($N2172,"000000"),2)/3600)),-(MID(TEXT($N2172,"000000"),2,2)+(MID(TEXT($N2172,"000000"),4,2)/60)+(RIGHT(TEXT($N2172,"000000"),2)/3600)))</f>
        <v>-39.980277777777779</v>
      </c>
      <c r="P2172" s="252" t="s">
        <v>927</v>
      </c>
      <c r="Q2172" s="253"/>
      <c r="R2172" s="247" t="s">
        <v>3293</v>
      </c>
      <c r="S2172" s="272" t="s">
        <v>5514</v>
      </c>
      <c r="T2172" s="273"/>
      <c r="U2172" s="274"/>
      <c r="V2172" s="280"/>
      <c r="W2172" s="244"/>
      <c r="X2172" s="244"/>
      <c r="Y2172" s="362"/>
      <c r="Z2172" s="257">
        <f>altaz(J2000_Bas,$O2172,$M2172,DecLat,DecLong,1)</f>
        <v>-10.277286237684166</v>
      </c>
      <c r="AA2172" s="257">
        <f>altaz((J2000_Bas+(2*0.04167)),$O2172,$M2172,DecLat,DecLong,1)</f>
        <v>-31.279048011106678</v>
      </c>
      <c r="AB2172" s="257">
        <f>altaz((J2000_Bas+(4*0.04167)),$O2172,$M2172,DecLat,DecLong,1)</f>
        <v>-54.024942050155232</v>
      </c>
      <c r="AC2172" s="257">
        <f>altaz((J2000_Bas+(6*0.04167)),$O2172,$M2172,DecLat,DecLong,1)</f>
        <v>-76.038752114677536</v>
      </c>
      <c r="AD2172" s="258">
        <f>1+ transit((J2000_Bas-1),$O2172,$M2172,DecLat,DecLong)/360 + (GMTOffset/24) + (IF(DST="Y", 1, 0)/24)</f>
        <v>1.5746475876401245</v>
      </c>
      <c r="AE2172" s="259">
        <f>DATE(2001,9,21)+(M2172/360)*365 - (360*((DecLong/360)- (GMTOffset/24) ))</f>
        <v>37372.337905092594</v>
      </c>
      <c r="AF2172" s="260">
        <f>IF(DecLat&gt;0,IF((90 - (DecLat-O2172))&gt;90, (90 - (O2172-DecLat)), (90 - (DecLat-O2172))),IF((90 + (DecLat-O2172))&gt;90, (90 + (O2172-DecLat)), (90 + (DecLat-O2172))))</f>
        <v>19.019722222222214</v>
      </c>
      <c r="AG2172" s="257">
        <f>angularseperation(MoonRA,MoonDec,$M2172,$O2172)</f>
        <v>35.254771565432833</v>
      </c>
      <c r="AH2172" s="261">
        <f ca="1">MIN(100,IF($O$5&gt;80,0+30*($AG2172/100),IF($O$5&gt;70,0+50*($AG2172/100),IF($O$5&gt;60,5+50*($AG2172/100),IF($O$5&gt;50,10+60*($AG2172/100),IF($O$5&gt;40,15+70*($AG2172/100),IF($O$5&gt;30,20+70*($AG2172/100),IF($O$5&gt;20,40+55*($AG2172/100),(80+(20-$O$5)+30*($AG2172/100))))))))))</f>
        <v>93.84749181378028</v>
      </c>
      <c r="AI2172" s="262">
        <v>5367</v>
      </c>
      <c r="AJ2172" s="262"/>
      <c r="AK2172" s="262"/>
      <c r="AL2172" s="263"/>
      <c r="AM2172" s="264"/>
      <c r="AN2172" s="263"/>
      <c r="AO2172" s="263"/>
      <c r="AP2172" s="265"/>
      <c r="AQ2172" s="266"/>
      <c r="AR2172" s="267"/>
      <c r="AS2172" s="263"/>
      <c r="AT2172" s="263"/>
      <c r="AU2172" s="263"/>
      <c r="AV2172" s="264"/>
      <c r="AW2172" s="263"/>
      <c r="AX2172" s="263"/>
      <c r="AY2172" s="263"/>
      <c r="AZ2172" s="263"/>
      <c r="BA2172" s="263"/>
      <c r="BB2172" s="263"/>
      <c r="BC2172" s="263"/>
      <c r="BD2172" s="264"/>
      <c r="BE2172" s="263"/>
      <c r="BF2172" s="263"/>
      <c r="BG2172" s="263"/>
      <c r="BH2172" s="263"/>
      <c r="BI2172" s="263"/>
      <c r="BJ2172" s="404">
        <f>altaz(J2000_Bas,$O2172,$M2172,DecLat,DecLong,2)</f>
        <v>229.24214318302529</v>
      </c>
      <c r="BK2172" s="378" t="s">
        <v>2070</v>
      </c>
      <c r="BL2172" s="379">
        <f>IF((2*G2172)/60&lt;0.2,0.2,(2*G2172)/60)</f>
        <v>0.2</v>
      </c>
      <c r="BM2172" s="380">
        <f>MOD((50000+AD2172-$B$3+(0/24)),1)</f>
        <v>0.7900145173407509</v>
      </c>
      <c r="BN2172" s="381"/>
      <c r="BO2172" s="382">
        <v>2163</v>
      </c>
    </row>
    <row r="2173" spans="1:67" s="24" customFormat="1" ht="15" customHeight="1" x14ac:dyDescent="0.25">
      <c r="A2173" s="288" t="s">
        <v>2071</v>
      </c>
      <c r="B2173" s="241" t="str">
        <f>HYPERLINK(CONCATENATE($AT$3,BK2173,$AU$3),$AV$3)</f>
        <v>S</v>
      </c>
      <c r="C2173" s="242" t="str">
        <f>HYPERLINK(CONCATENATE($AT$4,BK2173,$AU$4,BL2173),$AV$4)</f>
        <v>A</v>
      </c>
      <c r="D2173" s="243" t="s">
        <v>5638</v>
      </c>
      <c r="E2173" s="244" t="s">
        <v>5192</v>
      </c>
      <c r="F2173" s="269" t="s">
        <v>8890</v>
      </c>
      <c r="G2173" s="273">
        <v>4</v>
      </c>
      <c r="H2173" s="283">
        <v>130</v>
      </c>
      <c r="I2173" s="246">
        <v>150</v>
      </c>
      <c r="J2173" s="246">
        <v>2</v>
      </c>
      <c r="K2173" s="247" t="s">
        <v>8501</v>
      </c>
      <c r="L2173" s="248">
        <v>135540</v>
      </c>
      <c r="M2173" s="249">
        <f>15*(LEFT(TEXT($L2173,"000000"),2)+(MID(TEXT($L2173,"000000"),3,2)/60)+(RIGHT(TEXT($L2173,"000000"),2)/3600))</f>
        <v>208.91666666666666</v>
      </c>
      <c r="N2173" s="250">
        <v>402742</v>
      </c>
      <c r="O2173" s="251">
        <f>IF($N2173&gt;0,(LEFT(TEXT($N2173,"000000"),2)+(MID(TEXT($N2173,"000000"),3,2)/60)+(RIGHT(TEXT($N2173,"000000"),2)/3600)),-(MID(TEXT($N2173,"000000"),2,2)+(MID(TEXT($N2173,"000000"),4,2)/60)+(RIGHT(TEXT($N2173,"000000"),2)/3600)))</f>
        <v>40.461666666666666</v>
      </c>
      <c r="P2173" s="252" t="s">
        <v>242</v>
      </c>
      <c r="Q2173" s="253"/>
      <c r="R2173" s="247" t="s">
        <v>3293</v>
      </c>
      <c r="S2173" s="272" t="s">
        <v>3293</v>
      </c>
      <c r="T2173" s="273">
        <v>11.9</v>
      </c>
      <c r="U2173" s="289">
        <v>22.29</v>
      </c>
      <c r="V2173" s="280">
        <v>45</v>
      </c>
      <c r="W2173" s="244"/>
      <c r="X2173" s="244"/>
      <c r="Y2173" s="362"/>
      <c r="Z2173" s="257">
        <f>altaz(J2000_Bas,$O2173,$M2173,DecLat,DecLong,1)</f>
        <v>28.684134861298983</v>
      </c>
      <c r="AA2173" s="257">
        <f>altaz((J2000_Bas+(2*0.04167)),$O2173,$M2173,DecLat,DecLong,1)</f>
        <v>8.1461119584090174</v>
      </c>
      <c r="AB2173" s="257">
        <f>altaz((J2000_Bas+(4*0.04167)),$O2173,$M2173,DecLat,DecLong,1)</f>
        <v>-8.3205933949053517</v>
      </c>
      <c r="AC2173" s="257">
        <f>altaz((J2000_Bas+(6*0.04167)),$O2173,$M2173,DecLat,DecLong,1)</f>
        <v>-17.582720115677013</v>
      </c>
      <c r="AD2173" s="258">
        <f>1+ transit((J2000_Bas-1),$O2173,$M2173,DecLat,DecLong)/360 + (GMTOffset/24) + (IF(DST="Y", 1, 0)/24)</f>
        <v>1.5732239766713747</v>
      </c>
      <c r="AE2173" s="259">
        <f>DATE(2001,9,21)+(M2173/360)*365 - (360*((DecLong/360)- (GMTOffset/24) ))</f>
        <v>37371.818287037036</v>
      </c>
      <c r="AF2173" s="260">
        <f>IF(DecLat&gt;0,IF((90 - (DecLat-O2173))&gt;90, (90 - (O2173-DecLat)), (90 - (DecLat-O2173))),IF((90 + (DecLat-O2173))&gt;90, (90 + (O2173-DecLat)), (90 + (DecLat-O2173))))</f>
        <v>80.538333333333327</v>
      </c>
      <c r="AG2173" s="257">
        <f>angularseperation(MoonRA,MoonDec,$M2173,$O2173)</f>
        <v>77.233256400566916</v>
      </c>
      <c r="AH2173" s="261">
        <f ca="1">MIN(100,IF($O$5&gt;80,0+30*($AG2173/100),IF($O$5&gt;70,0+50*($AG2173/100),IF($O$5&gt;60,5+50*($AG2173/100),IF($O$5&gt;50,10+60*($AG2173/100),IF($O$5&gt;40,15+70*($AG2173/100),IF($O$5&gt;30,20+70*($AG2173/100),IF($O$5&gt;20,40+55*($AG2173/100),(80+(20-$O$5)+30*($AG2173/100))))))))))</f>
        <v>100</v>
      </c>
      <c r="AI2173" s="262">
        <v>5371</v>
      </c>
      <c r="AJ2173" s="262"/>
      <c r="AK2173" s="262"/>
      <c r="AL2173" s="263"/>
      <c r="AM2173" s="264"/>
      <c r="AN2173" s="263"/>
      <c r="AO2173" s="263"/>
      <c r="AP2173" s="265"/>
      <c r="AQ2173" s="266"/>
      <c r="AR2173" s="267">
        <v>49514</v>
      </c>
      <c r="AS2173" s="263"/>
      <c r="AT2173" s="263"/>
      <c r="AU2173" s="263"/>
      <c r="AV2173" s="264"/>
      <c r="AW2173" s="263"/>
      <c r="AX2173" s="263"/>
      <c r="AY2173" s="263"/>
      <c r="AZ2173" s="263"/>
      <c r="BA2173" s="263"/>
      <c r="BB2173" s="263"/>
      <c r="BC2173" s="263"/>
      <c r="BD2173" s="264"/>
      <c r="BE2173" s="263"/>
      <c r="BF2173" s="263"/>
      <c r="BG2173" s="263">
        <v>60</v>
      </c>
      <c r="BH2173" s="263"/>
      <c r="BI2173" s="263"/>
      <c r="BJ2173" s="404">
        <f>altaz(J2000_Bas,$O2173,$M2173,DecLat,DecLong,2)</f>
        <v>302.29200369623192</v>
      </c>
      <c r="BK2173" s="378" t="s">
        <v>2071</v>
      </c>
      <c r="BL2173" s="379">
        <f>IF((2*G2173)/60&lt;0.2,0.2,(2*G2173)/60)</f>
        <v>0.2</v>
      </c>
      <c r="BM2173" s="380">
        <f>MOD((50000+AD2173-$B$3+(0/24)),1)</f>
        <v>0.78859090637706686</v>
      </c>
      <c r="BN2173" s="381"/>
      <c r="BO2173" s="382">
        <v>2164</v>
      </c>
    </row>
    <row r="2174" spans="1:67" s="24" customFormat="1" ht="15" customHeight="1" x14ac:dyDescent="0.25">
      <c r="A2174" s="288" t="s">
        <v>2072</v>
      </c>
      <c r="B2174" s="241" t="str">
        <f>HYPERLINK(CONCATENATE($AT$3,BK2174,$AU$3),$AV$3)</f>
        <v>S</v>
      </c>
      <c r="C2174" s="242" t="str">
        <f>HYPERLINK(CONCATENATE($AT$4,BK2174,$AU$4,BL2174),$AV$4)</f>
        <v>A</v>
      </c>
      <c r="D2174" s="243" t="s">
        <v>5638</v>
      </c>
      <c r="E2174" s="244" t="s">
        <v>5192</v>
      </c>
      <c r="F2174" s="269" t="s">
        <v>8988</v>
      </c>
      <c r="G2174" s="273">
        <v>3.2</v>
      </c>
      <c r="H2174" s="283">
        <v>125</v>
      </c>
      <c r="I2174" s="246">
        <v>120</v>
      </c>
      <c r="J2174" s="246">
        <v>3</v>
      </c>
      <c r="K2174" s="247" t="s">
        <v>8160</v>
      </c>
      <c r="L2174" s="248">
        <v>135656</v>
      </c>
      <c r="M2174" s="249">
        <f>15*(LEFT(TEXT($L2174,"000000"),2)+(MID(TEXT($L2174,"000000"),3,2)/60)+(RIGHT(TEXT($L2174,"000000"),2)/3600))</f>
        <v>209.23333333333335</v>
      </c>
      <c r="N2174" s="250">
        <v>290950</v>
      </c>
      <c r="O2174" s="251">
        <f>IF($N2174&gt;0,(LEFT(TEXT($N2174,"000000"),2)+(MID(TEXT($N2174,"000000"),3,2)/60)+(RIGHT(TEXT($N2174,"000000"),2)/3600)),-(MID(TEXT($N2174,"000000"),2,2)+(MID(TEXT($N2174,"000000"),4,2)/60)+(RIGHT(TEXT($N2174,"000000"),2)/3600)))</f>
        <v>29.163888888888888</v>
      </c>
      <c r="P2174" s="252" t="s">
        <v>242</v>
      </c>
      <c r="Q2174" s="253"/>
      <c r="R2174" s="277" t="s">
        <v>3293</v>
      </c>
      <c r="S2174" s="272" t="s">
        <v>3293</v>
      </c>
      <c r="T2174" s="273">
        <v>11.5</v>
      </c>
      <c r="U2174" s="289">
        <v>22.59</v>
      </c>
      <c r="V2174" s="280">
        <v>15</v>
      </c>
      <c r="W2174" s="244"/>
      <c r="X2174" s="244"/>
      <c r="Y2174" s="362"/>
      <c r="Z2174" s="257">
        <f>altaz(J2000_Bas,$O2174,$M2174,DecLat,DecLong,1)</f>
        <v>24.979557761379031</v>
      </c>
      <c r="AA2174" s="257">
        <f>altaz((J2000_Bas+(2*0.04167)),$O2174,$M2174,DecLat,DecLong,1)</f>
        <v>1.9466159065553073</v>
      </c>
      <c r="AB2174" s="257">
        <f>altaz((J2000_Bas+(4*0.04167)),$O2174,$M2174,DecLat,DecLong,1)</f>
        <v>-17.210837031070895</v>
      </c>
      <c r="AC2174" s="257">
        <f>altaz((J2000_Bas+(6*0.04167)),$O2174,$M2174,DecLat,DecLong,1)</f>
        <v>-28.5812158786038</v>
      </c>
      <c r="AD2174" s="258">
        <f>1+ transit((J2000_Bas-1),$O2174,$M2174,DecLat,DecLong)/360 + (GMTOffset/24) + (IF(DST="Y", 1, 0)/24)</f>
        <v>1.5741036062130414</v>
      </c>
      <c r="AE2174" s="259">
        <f>DATE(2001,9,21)+(M2174/360)*365 - (360*((DecLong/360)- (GMTOffset/24) ))</f>
        <v>37372.139351851853</v>
      </c>
      <c r="AF2174" s="260">
        <f>IF(DecLat&gt;0,IF((90 - (DecLat-O2174))&gt;90, (90 - (O2174-DecLat)), (90 - (DecLat-O2174))),IF((90 + (DecLat-O2174))&gt;90, (90 + (O2174-DecLat)), (90 + (DecLat-O2174))))</f>
        <v>88.163888888888891</v>
      </c>
      <c r="AG2174" s="257">
        <f>angularseperation(MoonRA,MoonDec,$M2174,$O2174)</f>
        <v>68.060264192930006</v>
      </c>
      <c r="AH2174" s="261">
        <f ca="1">MIN(100,IF($O$5&gt;80,0+30*($AG2174/100),IF($O$5&gt;70,0+50*($AG2174/100),IF($O$5&gt;60,5+50*($AG2174/100),IF($O$5&gt;50,10+60*($AG2174/100),IF($O$5&gt;40,15+70*($AG2174/100),IF($O$5&gt;30,20+70*($AG2174/100),IF($O$5&gt;20,40+55*($AG2174/100),(80+(20-$O$5)+30*($AG2174/100))))))))))</f>
        <v>100</v>
      </c>
      <c r="AI2174" s="262">
        <v>5375</v>
      </c>
      <c r="AJ2174" s="263"/>
      <c r="AK2174" s="263"/>
      <c r="AL2174" s="263"/>
      <c r="AM2174" s="264"/>
      <c r="AN2174" s="263"/>
      <c r="AO2174" s="263"/>
      <c r="AP2174" s="265"/>
      <c r="AQ2174" s="265"/>
      <c r="AR2174" s="285">
        <v>49604</v>
      </c>
      <c r="AS2174" s="263"/>
      <c r="AT2174" s="263"/>
      <c r="AU2174" s="263"/>
      <c r="AV2174" s="264"/>
      <c r="AW2174" s="263"/>
      <c r="AX2174" s="263"/>
      <c r="AY2174" s="263"/>
      <c r="AZ2174" s="263"/>
      <c r="BA2174" s="263"/>
      <c r="BB2174" s="263"/>
      <c r="BC2174" s="263"/>
      <c r="BD2174" s="264"/>
      <c r="BE2174" s="263"/>
      <c r="BF2174" s="263"/>
      <c r="BG2174" s="263"/>
      <c r="BH2174" s="263"/>
      <c r="BI2174" s="263"/>
      <c r="BJ2174" s="404">
        <f>altaz(J2000_Bas,$O2174,$M2174,DecLat,DecLong,2)</f>
        <v>290.31942963282683</v>
      </c>
      <c r="BK2174" s="378" t="s">
        <v>2072</v>
      </c>
      <c r="BL2174" s="379">
        <f>IF((2*G2174)/60&lt;0.2,0.2,(2*G2174)/60)</f>
        <v>0.2</v>
      </c>
      <c r="BM2174" s="380">
        <f>MOD((50000+AD2174-$B$3+(0/24)),1)</f>
        <v>0.78947053591400618</v>
      </c>
      <c r="BN2174" s="381"/>
      <c r="BO2174" s="382">
        <v>2165</v>
      </c>
    </row>
    <row r="2175" spans="1:67" s="24" customFormat="1" ht="15" customHeight="1" x14ac:dyDescent="0.25">
      <c r="A2175" s="288" t="s">
        <v>2073</v>
      </c>
      <c r="B2175" s="241" t="str">
        <f>HYPERLINK(CONCATENATE($AT$3,BK2175,$AU$3),$AV$3)</f>
        <v>S</v>
      </c>
      <c r="C2175" s="242" t="str">
        <f>HYPERLINK(CONCATENATE($AT$4,BK2175,$AU$4,BL2175),$AV$4)</f>
        <v>A</v>
      </c>
      <c r="D2175" s="243" t="s">
        <v>5638</v>
      </c>
      <c r="E2175" s="244" t="s">
        <v>5192</v>
      </c>
      <c r="F2175" s="269" t="s">
        <v>8953</v>
      </c>
      <c r="G2175" s="273">
        <v>4</v>
      </c>
      <c r="H2175" s="283">
        <v>85</v>
      </c>
      <c r="I2175" s="246">
        <v>100</v>
      </c>
      <c r="J2175" s="246">
        <v>3</v>
      </c>
      <c r="K2175" s="247" t="s">
        <v>8842</v>
      </c>
      <c r="L2175" s="248">
        <v>135617</v>
      </c>
      <c r="M2175" s="249">
        <f>15*(LEFT(TEXT($L2175,"000000"),2)+(MID(TEXT($L2175,"000000"),3,2)/60)+(RIGHT(TEXT($L2175,"000000"),2)/3600))</f>
        <v>209.07083333333333</v>
      </c>
      <c r="N2175" s="250">
        <v>471407</v>
      </c>
      <c r="O2175" s="251">
        <f>IF($N2175&gt;0,(LEFT(TEXT($N2175,"000000"),2)+(MID(TEXT($N2175,"000000"),3,2)/60)+(RIGHT(TEXT($N2175,"000000"),2)/3600)),-(MID(TEXT($N2175,"000000"),2,2)+(MID(TEXT($N2175,"000000"),4,2)/60)+(RIGHT(TEXT($N2175,"000000"),2)/3600)))</f>
        <v>47.235277777777782</v>
      </c>
      <c r="P2175" s="252" t="s">
        <v>242</v>
      </c>
      <c r="Q2175" s="253"/>
      <c r="R2175" s="277" t="s">
        <v>3293</v>
      </c>
      <c r="S2175" s="272" t="s">
        <v>3293</v>
      </c>
      <c r="T2175" s="273">
        <v>11.3</v>
      </c>
      <c r="U2175" s="289">
        <v>22.29</v>
      </c>
      <c r="V2175" s="280">
        <v>65</v>
      </c>
      <c r="W2175" s="244"/>
      <c r="X2175" s="244"/>
      <c r="Y2175" s="362"/>
      <c r="Z2175" s="257">
        <f>altaz(J2000_Bas,$O2175,$M2175,DecLat,DecLong,1)</f>
        <v>30.644674629841084</v>
      </c>
      <c r="AA2175" s="257">
        <f>altaz((J2000_Bas+(2*0.04167)),$O2175,$M2175,DecLat,DecLong,1)</f>
        <v>11.99304649142662</v>
      </c>
      <c r="AB2175" s="257">
        <f>altaz((J2000_Bas+(4*0.04167)),$O2175,$M2175,DecLat,DecLong,1)</f>
        <v>-2.7648701893312295</v>
      </c>
      <c r="AC2175" s="257">
        <f>altaz((J2000_Bas+(6*0.04167)),$O2175,$M2175,DecLat,DecLong,1)</f>
        <v>-10.917609333706542</v>
      </c>
      <c r="AD2175" s="258">
        <f>1+ transit((J2000_Bas-1),$O2175,$M2175,DecLat,DecLong)/360 + (GMTOffset/24) + (IF(DST="Y", 1, 0)/24)</f>
        <v>1.5736522173692913</v>
      </c>
      <c r="AE2175" s="259">
        <f>DATE(2001,9,21)+(M2175/360)*365 - (360*((DecLong/360)- (GMTOffset/24) ))</f>
        <v>37371.974594907406</v>
      </c>
      <c r="AF2175" s="260">
        <f>IF(DecLat&gt;0,IF((90 - (DecLat-O2175))&gt;90, (90 - (O2175-DecLat)), (90 - (DecLat-O2175))),IF((90 + (DecLat-O2175))&gt;90, (90 + (O2175-DecLat)), (90 + (DecLat-O2175))))</f>
        <v>73.764722222222218</v>
      </c>
      <c r="AG2175" s="257">
        <f>angularseperation(MoonRA,MoonDec,$M2175,$O2175)</f>
        <v>82.664494081590874</v>
      </c>
      <c r="AH2175" s="261">
        <f ca="1">MIN(100,IF($O$5&gt;80,0+30*($AG2175/100),IF($O$5&gt;70,0+50*($AG2175/100),IF($O$5&gt;60,5+50*($AG2175/100),IF($O$5&gt;50,10+60*($AG2175/100),IF($O$5&gt;40,15+70*($AG2175/100),IF($O$5&gt;30,20+70*($AG2175/100),IF($O$5&gt;20,40+55*($AG2175/100),(80+(20-$O$5)+30*($AG2175/100))))))))))</f>
        <v>100</v>
      </c>
      <c r="AI2175" s="262">
        <v>5377</v>
      </c>
      <c r="AJ2175" s="263"/>
      <c r="AK2175" s="263"/>
      <c r="AL2175" s="263"/>
      <c r="AM2175" s="264"/>
      <c r="AN2175" s="263"/>
      <c r="AO2175" s="263"/>
      <c r="AP2175" s="265"/>
      <c r="AQ2175" s="265">
        <v>8863</v>
      </c>
      <c r="AR2175" s="285">
        <v>49563</v>
      </c>
      <c r="AS2175" s="263"/>
      <c r="AT2175" s="263"/>
      <c r="AU2175" s="263"/>
      <c r="AV2175" s="264"/>
      <c r="AW2175" s="263"/>
      <c r="AX2175" s="263"/>
      <c r="AY2175" s="263"/>
      <c r="AZ2175" s="263"/>
      <c r="BA2175" s="263"/>
      <c r="BB2175" s="263"/>
      <c r="BC2175" s="263"/>
      <c r="BD2175" s="264"/>
      <c r="BE2175" s="263"/>
      <c r="BF2175" s="263"/>
      <c r="BG2175" s="263"/>
      <c r="BH2175" s="263"/>
      <c r="BI2175" s="263"/>
      <c r="BJ2175" s="404">
        <f>altaz(J2000_Bas,$O2175,$M2175,DecLat,DecLong,2)</f>
        <v>309.75671240884628</v>
      </c>
      <c r="BK2175" s="378" t="s">
        <v>2073</v>
      </c>
      <c r="BL2175" s="379">
        <f>IF((2*G2175)/60&lt;0.2,0.2,(2*G2175)/60)</f>
        <v>0.2</v>
      </c>
      <c r="BM2175" s="380">
        <f>MOD((50000+AD2175-$B$3+(0/24)),1)</f>
        <v>0.78901914707239484</v>
      </c>
      <c r="BN2175" s="381"/>
      <c r="BO2175" s="382">
        <v>2166</v>
      </c>
    </row>
    <row r="2176" spans="1:67" s="24" customFormat="1" ht="15" customHeight="1" x14ac:dyDescent="0.25">
      <c r="A2176" s="288" t="s">
        <v>2074</v>
      </c>
      <c r="B2176" s="241" t="str">
        <f>HYPERLINK(CONCATENATE($AT$3,BK2176,$AU$3),$AV$3)</f>
        <v>S</v>
      </c>
      <c r="C2176" s="242" t="str">
        <f>HYPERLINK(CONCATENATE($AT$4,BK2176,$AU$4,BL2176),$AV$4)</f>
        <v>A</v>
      </c>
      <c r="D2176" s="243" t="s">
        <v>5638</v>
      </c>
      <c r="E2176" s="244" t="s">
        <v>5192</v>
      </c>
      <c r="F2176" s="269" t="s">
        <v>8942</v>
      </c>
      <c r="G2176" s="273">
        <v>2.2999999999999998</v>
      </c>
      <c r="H2176" s="283">
        <v>120</v>
      </c>
      <c r="I2176" s="246">
        <v>80</v>
      </c>
      <c r="J2176" s="246">
        <v>3</v>
      </c>
      <c r="K2176" s="247" t="s">
        <v>8161</v>
      </c>
      <c r="L2176" s="248">
        <v>135705</v>
      </c>
      <c r="M2176" s="249">
        <f>15*(LEFT(TEXT($L2176,"000000"),2)+(MID(TEXT($L2176,"000000"),3,2)/60)+(RIGHT(TEXT($L2176,"000000"),2)/3600))</f>
        <v>209.27083333333331</v>
      </c>
      <c r="N2176" s="250">
        <v>415046</v>
      </c>
      <c r="O2176" s="251">
        <f>IF($N2176&gt;0,(LEFT(TEXT($N2176,"000000"),2)+(MID(TEXT($N2176,"000000"),3,2)/60)+(RIGHT(TEXT($N2176,"000000"),2)/3600)),-(MID(TEXT($N2176,"000000"),2,2)+(MID(TEXT($N2176,"000000"),4,2)/60)+(RIGHT(TEXT($N2176,"000000"),2)/3600)))</f>
        <v>41.846111111111114</v>
      </c>
      <c r="P2176" s="252" t="s">
        <v>242</v>
      </c>
      <c r="Q2176" s="253"/>
      <c r="R2176" s="247" t="s">
        <v>3293</v>
      </c>
      <c r="S2176" s="272"/>
      <c r="T2176" s="273">
        <v>11.4</v>
      </c>
      <c r="U2176" s="289">
        <v>22.490000000000002</v>
      </c>
      <c r="V2176" s="280">
        <v>15</v>
      </c>
      <c r="W2176" s="244"/>
      <c r="X2176" s="244"/>
      <c r="Y2176" s="362"/>
      <c r="Z2176" s="257">
        <f>altaz(J2000_Bas,$O2176,$M2176,DecLat,DecLong,1)</f>
        <v>29.350379212570118</v>
      </c>
      <c r="AA2176" s="257">
        <f>altaz((J2000_Bas+(2*0.04167)),$O2176,$M2176,DecLat,DecLong,1)</f>
        <v>9.1411104947956279</v>
      </c>
      <c r="AB2176" s="257">
        <f>altaz((J2000_Bas+(4*0.04167)),$O2176,$M2176,DecLat,DecLong,1)</f>
        <v>-7.0447386436356467</v>
      </c>
      <c r="AC2176" s="257">
        <f>altaz((J2000_Bas+(6*0.04167)),$O2176,$M2176,DecLat,DecLong,1)</f>
        <v>-16.172902787780082</v>
      </c>
      <c r="AD2176" s="258">
        <f>1+ transit((J2000_Bas-1),$O2176,$M2176,DecLat,DecLong)/360 + (GMTOffset/24) + (IF(DST="Y", 1, 0)/24)</f>
        <v>1.5742077728692914</v>
      </c>
      <c r="AE2176" s="259">
        <f>DATE(2001,9,21)+(M2176/360)*365 - (360*((DecLong/360)- (GMTOffset/24) ))</f>
        <v>37372.177372685182</v>
      </c>
      <c r="AF2176" s="260">
        <f>IF(DecLat&gt;0,IF((90 - (DecLat-O2176))&gt;90, (90 - (O2176-DecLat)), (90 - (DecLat-O2176))),IF((90 + (DecLat-O2176))&gt;90, (90 + (O2176-DecLat)), (90 + (DecLat-O2176))))</f>
        <v>79.153888888888886</v>
      </c>
      <c r="AG2176" s="257">
        <f>angularseperation(MoonRA,MoonDec,$M2176,$O2176)</f>
        <v>78.196880514482785</v>
      </c>
      <c r="AH2176" s="261">
        <f ca="1">MIN(100,IF($O$5&gt;80,0+30*($AG2176/100),IF($O$5&gt;70,0+50*($AG2176/100),IF($O$5&gt;60,5+50*($AG2176/100),IF($O$5&gt;50,10+60*($AG2176/100),IF($O$5&gt;40,15+70*($AG2176/100),IF($O$5&gt;30,20+70*($AG2176/100),IF($O$5&gt;20,40+55*($AG2176/100),(80+(20-$O$5)+30*($AG2176/100))))))))))</f>
        <v>100</v>
      </c>
      <c r="AI2176" s="262">
        <v>5383</v>
      </c>
      <c r="AJ2176" s="262"/>
      <c r="AK2176" s="262"/>
      <c r="AL2176" s="263"/>
      <c r="AM2176" s="264"/>
      <c r="AN2176" s="263"/>
      <c r="AO2176" s="263"/>
      <c r="AP2176" s="265"/>
      <c r="AQ2176" s="266">
        <v>8875</v>
      </c>
      <c r="AR2176" s="267">
        <v>49618</v>
      </c>
      <c r="AS2176" s="263"/>
      <c r="AT2176" s="263"/>
      <c r="AU2176" s="263"/>
      <c r="AV2176" s="264"/>
      <c r="AW2176" s="263"/>
      <c r="AX2176" s="263"/>
      <c r="AY2176" s="263"/>
      <c r="AZ2176" s="263"/>
      <c r="BA2176" s="263"/>
      <c r="BB2176" s="263"/>
      <c r="BC2176" s="263"/>
      <c r="BD2176" s="264"/>
      <c r="BE2176" s="263"/>
      <c r="BF2176" s="263"/>
      <c r="BG2176" s="263"/>
      <c r="BH2176" s="263"/>
      <c r="BI2176" s="263"/>
      <c r="BJ2176" s="404">
        <f>altaz(J2000_Bas,$O2176,$M2176,DecLat,DecLong,2)</f>
        <v>303.71292789837185</v>
      </c>
      <c r="BK2176" s="378" t="s">
        <v>2074</v>
      </c>
      <c r="BL2176" s="379">
        <f>IF((2*G2176)/60&lt;0.2,0.2,(2*G2176)/60)</f>
        <v>0.2</v>
      </c>
      <c r="BM2176" s="380">
        <f>MOD((50000+AD2176-$B$3+(0/24)),1)</f>
        <v>0.78957470257591922</v>
      </c>
      <c r="BN2176" s="381"/>
      <c r="BO2176" s="382">
        <v>2167</v>
      </c>
    </row>
    <row r="2177" spans="1:67" s="24" customFormat="1" ht="15" customHeight="1" x14ac:dyDescent="0.25">
      <c r="A2177" s="288" t="s">
        <v>3074</v>
      </c>
      <c r="B2177" s="241" t="str">
        <f>HYPERLINK(CONCATENATE($AT$3,BK2177,$AU$3),$AV$3)</f>
        <v>S</v>
      </c>
      <c r="C2177" s="242" t="str">
        <f>HYPERLINK(CONCATENATE($AT$4,BK2177,$AU$4,BL2177),$AV$4)</f>
        <v>A</v>
      </c>
      <c r="D2177" s="243" t="s">
        <v>5638</v>
      </c>
      <c r="E2177" s="244" t="s">
        <v>5182</v>
      </c>
      <c r="F2177" s="269" t="s">
        <v>8905</v>
      </c>
      <c r="G2177" s="273">
        <v>4.5999999999999996</v>
      </c>
      <c r="H2177" s="283">
        <v>100</v>
      </c>
      <c r="I2177" s="246">
        <v>135</v>
      </c>
      <c r="J2177" s="246">
        <v>3</v>
      </c>
      <c r="K2177" s="247" t="s">
        <v>8163</v>
      </c>
      <c r="L2177" s="248">
        <v>135600</v>
      </c>
      <c r="M2177" s="249">
        <f>15*(LEFT(TEXT($L2177,"000000"),2)+(MID(TEXT($L2177,"000000"),3,2)/60)+(RIGHT(TEXT($L2177,"000000"),2)/3600))</f>
        <v>209</v>
      </c>
      <c r="N2177" s="250">
        <v>594400</v>
      </c>
      <c r="O2177" s="251">
        <f>IF($N2177&gt;0,(LEFT(TEXT($N2177,"000000"),2)+(MID(TEXT($N2177,"000000"),3,2)/60)+(RIGHT(TEXT($N2177,"000000"),2)/3600)),-(MID(TEXT($N2177,"000000"),2,2)+(MID(TEXT($N2177,"000000"),4,2)/60)+(RIGHT(TEXT($N2177,"000000"),2)/3600)))</f>
        <v>59.733333333333334</v>
      </c>
      <c r="P2177" s="252" t="s">
        <v>37</v>
      </c>
      <c r="Q2177" s="253"/>
      <c r="R2177" s="277" t="s">
        <v>3293</v>
      </c>
      <c r="S2177" s="272" t="s">
        <v>8162</v>
      </c>
      <c r="T2177" s="273">
        <v>12</v>
      </c>
      <c r="U2177" s="289">
        <v>21.990000000000002</v>
      </c>
      <c r="V2177" s="280">
        <v>82</v>
      </c>
      <c r="W2177" s="244"/>
      <c r="X2177" s="244"/>
      <c r="Y2177" s="362"/>
      <c r="Z2177" s="257">
        <f>altaz(J2000_Bas,$O2177,$M2177,DecLat,DecLong,1)</f>
        <v>32.819882981592293</v>
      </c>
      <c r="AA2177" s="257">
        <f>altaz((J2000_Bas+(2*0.04167)),$O2177,$M2177,DecLat,DecLong,1)</f>
        <v>18.535353387545086</v>
      </c>
      <c r="AB2177" s="257">
        <f>altaz((J2000_Bas+(4*0.04167)),$O2177,$M2177,DecLat,DecLong,1)</f>
        <v>7.3529619571491303</v>
      </c>
      <c r="AC2177" s="257">
        <f>altaz((J2000_Bas+(6*0.04167)),$O2177,$M2177,DecLat,DecLong,1)</f>
        <v>1.3432090891529886</v>
      </c>
      <c r="AD2177" s="258">
        <f>1+ transit((J2000_Bas-1),$O2177,$M2177,DecLat,DecLong)/360 + (GMTOffset/24) + (IF(DST="Y", 1, 0)/24)</f>
        <v>1.5734554581297082</v>
      </c>
      <c r="AE2177" s="259">
        <f>DATE(2001,9,21)+(M2177/360)*365 - (360*((DecLong/360)- (GMTOffset/24) ))</f>
        <v>37371.902777777781</v>
      </c>
      <c r="AF2177" s="260">
        <f>IF(DecLat&gt;0,IF((90 - (DecLat-O2177))&gt;90, (90 - (O2177-DecLat)), (90 - (DecLat-O2177))),IF((90 + (DecLat-O2177))&gt;90, (90 + (O2177-DecLat)), (90 + (DecLat-O2177))))</f>
        <v>61.266666666666666</v>
      </c>
      <c r="AG2177" s="257">
        <f>angularseperation(MoonRA,MoonDec,$M2177,$O2177)</f>
        <v>92.90565385937839</v>
      </c>
      <c r="AH2177" s="261">
        <f ca="1">MIN(100,IF($O$5&gt;80,0+30*($AG2177/100),IF($O$5&gt;70,0+50*($AG2177/100),IF($O$5&gt;60,5+50*($AG2177/100),IF($O$5&gt;50,10+60*($AG2177/100),IF($O$5&gt;40,15+70*($AG2177/100),IF($O$5&gt;30,20+70*($AG2177/100),IF($O$5&gt;20,40+55*($AG2177/100),(80+(20-$O$5)+30*($AG2177/100))))))))))</f>
        <v>100</v>
      </c>
      <c r="AI2177" s="262">
        <v>5389</v>
      </c>
      <c r="AJ2177" s="263"/>
      <c r="AK2177" s="263"/>
      <c r="AL2177" s="263"/>
      <c r="AM2177" s="264"/>
      <c r="AN2177" s="263"/>
      <c r="AO2177" s="263"/>
      <c r="AP2177" s="265"/>
      <c r="AQ2177" s="265">
        <v>8866</v>
      </c>
      <c r="AR2177" s="285">
        <v>49548</v>
      </c>
      <c r="AS2177" s="263"/>
      <c r="AT2177" s="263"/>
      <c r="AU2177" s="263"/>
      <c r="AV2177" s="264"/>
      <c r="AW2177" s="263"/>
      <c r="AX2177" s="263"/>
      <c r="AY2177" s="263"/>
      <c r="AZ2177" s="263"/>
      <c r="BA2177" s="263"/>
      <c r="BB2177" s="263"/>
      <c r="BC2177" s="263"/>
      <c r="BD2177" s="264"/>
      <c r="BE2177" s="263"/>
      <c r="BF2177" s="263"/>
      <c r="BG2177" s="263"/>
      <c r="BH2177" s="263"/>
      <c r="BI2177" s="263"/>
      <c r="BJ2177" s="404">
        <f>altaz(J2000_Bas,$O2177,$M2177,DecLat,DecLong,2)</f>
        <v>324.23980062879917</v>
      </c>
      <c r="BK2177" s="378" t="s">
        <v>3074</v>
      </c>
      <c r="BL2177" s="379">
        <f>IF((2*G2177)/60&lt;0.2,0.2,(2*G2177)/60)</f>
        <v>0.2</v>
      </c>
      <c r="BM2177" s="380">
        <f>MOD((50000+AD2177-$B$3+(0/24)),1)</f>
        <v>0.78882238783262437</v>
      </c>
      <c r="BN2177" s="381"/>
      <c r="BO2177" s="382">
        <v>2168</v>
      </c>
    </row>
    <row r="2178" spans="1:67" s="24" customFormat="1" ht="15" customHeight="1" x14ac:dyDescent="0.25">
      <c r="A2178" s="288" t="s">
        <v>2075</v>
      </c>
      <c r="B2178" s="241" t="str">
        <f>HYPERLINK(CONCATENATE($AT$3,BK2178,$AU$3),$AV$3)</f>
        <v>S</v>
      </c>
      <c r="C2178" s="242" t="str">
        <f>HYPERLINK(CONCATENATE($AT$4,BK2178,$AU$4,BL2178),$AV$4)</f>
        <v>A</v>
      </c>
      <c r="D2178" s="243" t="s">
        <v>5638</v>
      </c>
      <c r="E2178" s="244" t="s">
        <v>5192</v>
      </c>
      <c r="F2178" s="269" t="s">
        <v>8989</v>
      </c>
      <c r="G2178" s="273">
        <v>3.8</v>
      </c>
      <c r="H2178" s="283">
        <v>150</v>
      </c>
      <c r="I2178" s="246">
        <v>165</v>
      </c>
      <c r="J2178" s="246">
        <v>3</v>
      </c>
      <c r="K2178" s="247" t="s">
        <v>8164</v>
      </c>
      <c r="L2178" s="248">
        <v>135951</v>
      </c>
      <c r="M2178" s="249">
        <f>15*(LEFT(TEXT($L2178,"000000"),2)+(MID(TEXT($L2178,"000000"),3,2)/60)+(RIGHT(TEXT($L2178,"000000"),2)/3600))</f>
        <v>209.96249999999998</v>
      </c>
      <c r="N2178" s="250">
        <v>381056</v>
      </c>
      <c r="O2178" s="251">
        <f>IF($N2178&gt;0,(LEFT(TEXT($N2178,"000000"),2)+(MID(TEXT($N2178,"000000"),3,2)/60)+(RIGHT(TEXT($N2178,"000000"),2)/3600)),-(MID(TEXT($N2178,"000000"),2,2)+(MID(TEXT($N2178,"000000"),4,2)/60)+(RIGHT(TEXT($N2178,"000000"),2)/3600)))</f>
        <v>38.182222222222222</v>
      </c>
      <c r="P2178" s="252" t="s">
        <v>242</v>
      </c>
      <c r="Q2178" s="253"/>
      <c r="R2178" s="277" t="s">
        <v>3293</v>
      </c>
      <c r="S2178" s="272" t="s">
        <v>8165</v>
      </c>
      <c r="T2178" s="273">
        <v>13.6</v>
      </c>
      <c r="U2178" s="289">
        <v>23.490000000000002</v>
      </c>
      <c r="V2178" s="280">
        <v>90</v>
      </c>
      <c r="W2178" s="244"/>
      <c r="X2178" s="244"/>
      <c r="Y2178" s="362"/>
      <c r="Z2178" s="257">
        <f>altaz(J2000_Bas,$O2178,$M2178,DecLat,DecLong,1)</f>
        <v>28.745594810889976</v>
      </c>
      <c r="AA2178" s="257">
        <f>altaz((J2000_Bas+(2*0.04167)),$O2178,$M2178,DecLat,DecLong,1)</f>
        <v>7.5419344621039857</v>
      </c>
      <c r="AB2178" s="257">
        <f>altaz((J2000_Bas+(4*0.04167)),$O2178,$M2178,DecLat,DecLong,1)</f>
        <v>-9.6716086347885764</v>
      </c>
      <c r="AC2178" s="257">
        <f>altaz((J2000_Bas+(6*0.04167)),$O2178,$M2178,DecLat,DecLong,1)</f>
        <v>-19.646141347223665</v>
      </c>
      <c r="AD2178" s="258">
        <f>1+ transit((J2000_Bas-1),$O2178,$M2178,DecLat,DecLong)/360 + (GMTOffset/24) + (IF(DST="Y", 1, 0)/24)</f>
        <v>1.5761290689734582</v>
      </c>
      <c r="AE2178" s="259">
        <f>DATE(2001,9,21)+(M2178/360)*365 - (360*((DecLong/360)- (GMTOffset/24) ))</f>
        <v>37372.878645833334</v>
      </c>
      <c r="AF2178" s="260">
        <f>IF(DecLat&gt;0,IF((90 - (DecLat-O2178))&gt;90, (90 - (O2178-DecLat)), (90 - (DecLat-O2178))),IF((90 + (DecLat-O2178))&gt;90, (90 + (O2178-DecLat)), (90 + (DecLat-O2178))))</f>
        <v>82.817777777777778</v>
      </c>
      <c r="AG2178" s="257">
        <f>angularseperation(MoonRA,MoonDec,$M2178,$O2178)</f>
        <v>74.913178983222977</v>
      </c>
      <c r="AH2178" s="261">
        <f ca="1">MIN(100,IF($O$5&gt;80,0+30*($AG2178/100),IF($O$5&gt;70,0+50*($AG2178/100),IF($O$5&gt;60,5+50*($AG2178/100),IF($O$5&gt;50,10+60*($AG2178/100),IF($O$5&gt;40,15+70*($AG2178/100),IF($O$5&gt;30,20+70*($AG2178/100),IF($O$5&gt;20,40+55*($AG2178/100),(80+(20-$O$5)+30*($AG2178/100))))))))))</f>
        <v>100</v>
      </c>
      <c r="AI2178" s="262">
        <v>5403</v>
      </c>
      <c r="AJ2178" s="263"/>
      <c r="AK2178" s="263"/>
      <c r="AL2178" s="263"/>
      <c r="AM2178" s="264"/>
      <c r="AN2178" s="263"/>
      <c r="AO2178" s="263"/>
      <c r="AP2178" s="265"/>
      <c r="AQ2178" s="265">
        <v>8919</v>
      </c>
      <c r="AR2178" s="285">
        <v>49820</v>
      </c>
      <c r="AS2178" s="263"/>
      <c r="AT2178" s="263"/>
      <c r="AU2178" s="263"/>
      <c r="AV2178" s="264"/>
      <c r="AW2178" s="263"/>
      <c r="AX2178" s="263"/>
      <c r="AY2178" s="263"/>
      <c r="AZ2178" s="263"/>
      <c r="BA2178" s="263"/>
      <c r="BB2178" s="263"/>
      <c r="BC2178" s="263"/>
      <c r="BD2178" s="264"/>
      <c r="BE2178" s="263"/>
      <c r="BF2178" s="263"/>
      <c r="BG2178" s="263"/>
      <c r="BH2178" s="263"/>
      <c r="BI2178" s="263"/>
      <c r="BJ2178" s="404">
        <f>altaz(J2000_Bas,$O2178,$M2178,DecLat,DecLong,2)</f>
        <v>299.5349617652268</v>
      </c>
      <c r="BK2178" s="378" t="s">
        <v>2075</v>
      </c>
      <c r="BL2178" s="379">
        <f>IF((2*G2178)/60&lt;0.2,0.2,(2*G2178)/60)</f>
        <v>0.2</v>
      </c>
      <c r="BM2178" s="380">
        <f>MOD((50000+AD2178-$B$3+(0/24)),1)</f>
        <v>0.79149599868105724</v>
      </c>
      <c r="BN2178" s="381"/>
      <c r="BO2178" s="382">
        <v>2169</v>
      </c>
    </row>
    <row r="2179" spans="1:67" s="24" customFormat="1" ht="15" customHeight="1" x14ac:dyDescent="0.25">
      <c r="A2179" s="288" t="s">
        <v>2076</v>
      </c>
      <c r="B2179" s="241" t="str">
        <f>HYPERLINK(CONCATENATE($AT$3,BK2179,$AU$3),$AV$3)</f>
        <v>S</v>
      </c>
      <c r="C2179" s="242" t="str">
        <f>HYPERLINK(CONCATENATE($AT$4,BK2179,$AU$4,BL2179),$AV$4)</f>
        <v>A</v>
      </c>
      <c r="D2179" s="243" t="s">
        <v>5638</v>
      </c>
      <c r="E2179" s="244" t="s">
        <v>5337</v>
      </c>
      <c r="F2179" s="269" t="s">
        <v>3319</v>
      </c>
      <c r="G2179" s="273">
        <v>1.6</v>
      </c>
      <c r="H2179" s="283">
        <v>180</v>
      </c>
      <c r="I2179" s="246">
        <v>80</v>
      </c>
      <c r="J2179" s="246">
        <v>3</v>
      </c>
      <c r="K2179" s="247" t="s">
        <v>8167</v>
      </c>
      <c r="L2179" s="248">
        <v>140055</v>
      </c>
      <c r="M2179" s="249">
        <f>15*(LEFT(TEXT($L2179,"000000"),2)+(MID(TEXT($L2179,"000000"),3,2)/60)+(RIGHT(TEXT($L2179,"000000"),2)/3600))</f>
        <v>210.22916666666666</v>
      </c>
      <c r="N2179" s="250">
        <v>405918</v>
      </c>
      <c r="O2179" s="251">
        <f>IF($N2179&gt;0,(LEFT(TEXT($N2179,"000000"),2)+(MID(TEXT($N2179,"000000"),3,2)/60)+(RIGHT(TEXT($N2179,"000000"),2)/3600)),-(MID(TEXT($N2179,"000000"),2,2)+(MID(TEXT($N2179,"000000"),4,2)/60)+(RIGHT(TEXT($N2179,"000000"),2)/3600)))</f>
        <v>40.988333333333337</v>
      </c>
      <c r="P2179" s="252" t="s">
        <v>242</v>
      </c>
      <c r="Q2179" s="253"/>
      <c r="R2179" s="247" t="s">
        <v>3293</v>
      </c>
      <c r="S2179" s="272" t="s">
        <v>8166</v>
      </c>
      <c r="T2179" s="273">
        <v>13.1</v>
      </c>
      <c r="U2179" s="289">
        <v>22.09</v>
      </c>
      <c r="V2179" s="280">
        <v>70</v>
      </c>
      <c r="W2179" s="244"/>
      <c r="X2179" s="244"/>
      <c r="Y2179" s="362"/>
      <c r="Z2179" s="257">
        <f>altaz(J2000_Bas,$O2179,$M2179,DecLat,DecLong,1)</f>
        <v>29.790311952563272</v>
      </c>
      <c r="AA2179" s="257">
        <f>altaz((J2000_Bas+(2*0.04167)),$O2179,$M2179,DecLat,DecLong,1)</f>
        <v>9.2657225043341196</v>
      </c>
      <c r="AB2179" s="257">
        <f>altaz((J2000_Bas+(4*0.04167)),$O2179,$M2179,DecLat,DecLong,1)</f>
        <v>-7.305800888890368</v>
      </c>
      <c r="AC2179" s="257">
        <f>altaz((J2000_Bas+(6*0.04167)),$O2179,$M2179,DecLat,DecLong,1)</f>
        <v>-16.861854960983162</v>
      </c>
      <c r="AD2179" s="258">
        <f>1+ transit((J2000_Bas-1),$O2179,$M2179,DecLat,DecLong)/360 + (GMTOffset/24) + (IF(DST="Y", 1, 0)/24)</f>
        <v>1.5768698096401248</v>
      </c>
      <c r="AE2179" s="259">
        <f>DATE(2001,9,21)+(M2179/360)*365 - (360*((DecLong/360)- (GMTOffset/24) ))</f>
        <v>37373.149016203701</v>
      </c>
      <c r="AF2179" s="260">
        <f>IF(DecLat&gt;0,IF((90 - (DecLat-O2179))&gt;90, (90 - (O2179-DecLat)), (90 - (DecLat-O2179))),IF((90 + (DecLat-O2179))&gt;90, (90 + (O2179-DecLat)), (90 + (DecLat-O2179))))</f>
        <v>80.011666666666656</v>
      </c>
      <c r="AG2179" s="257">
        <f>angularseperation(MoonRA,MoonDec,$M2179,$O2179)</f>
        <v>77.081347662397675</v>
      </c>
      <c r="AH2179" s="261">
        <f ca="1">MIN(100,IF($O$5&gt;80,0+30*($AG2179/100),IF($O$5&gt;70,0+50*($AG2179/100),IF($O$5&gt;60,5+50*($AG2179/100),IF($O$5&gt;50,10+60*($AG2179/100),IF($O$5&gt;40,15+70*($AG2179/100),IF($O$5&gt;30,20+70*($AG2179/100),IF($O$5&gt;20,40+55*($AG2179/100),(80+(20-$O$5)+30*($AG2179/100))))))))))</f>
        <v>100</v>
      </c>
      <c r="AI2179" s="262">
        <v>5410</v>
      </c>
      <c r="AJ2179" s="262"/>
      <c r="AK2179" s="262"/>
      <c r="AL2179" s="263"/>
      <c r="AM2179" s="264"/>
      <c r="AN2179" s="263"/>
      <c r="AO2179" s="263"/>
      <c r="AP2179" s="265"/>
      <c r="AQ2179" s="266">
        <v>8931</v>
      </c>
      <c r="AR2179" s="267">
        <v>49893</v>
      </c>
      <c r="AS2179" s="263"/>
      <c r="AT2179" s="263"/>
      <c r="AU2179" s="263"/>
      <c r="AV2179" s="264"/>
      <c r="AW2179" s="263"/>
      <c r="AX2179" s="263"/>
      <c r="AY2179" s="263"/>
      <c r="AZ2179" s="263"/>
      <c r="BA2179" s="263"/>
      <c r="BB2179" s="263"/>
      <c r="BC2179" s="263"/>
      <c r="BD2179" s="264"/>
      <c r="BE2179" s="263"/>
      <c r="BF2179" s="263"/>
      <c r="BG2179" s="263"/>
      <c r="BH2179" s="263"/>
      <c r="BI2179" s="263"/>
      <c r="BJ2179" s="404">
        <f>altaz(J2000_Bas,$O2179,$M2179,DecLat,DecLong,2)</f>
        <v>302.52990617313401</v>
      </c>
      <c r="BK2179" s="378" t="s">
        <v>2076</v>
      </c>
      <c r="BL2179" s="379">
        <f>IF((2*G2179)/60&lt;0.2,0.2,(2*G2179)/60)</f>
        <v>0.2</v>
      </c>
      <c r="BM2179" s="380">
        <f>MOD((50000+AD2179-$B$3+(0/24)),1)</f>
        <v>0.79223673934757244</v>
      </c>
      <c r="BN2179" s="381"/>
      <c r="BO2179" s="382">
        <v>2170</v>
      </c>
    </row>
    <row r="2180" spans="1:67" s="24" customFormat="1" ht="15" customHeight="1" x14ac:dyDescent="0.25">
      <c r="A2180" s="287" t="s">
        <v>3075</v>
      </c>
      <c r="B2180" s="241" t="str">
        <f>HYPERLINK(CONCATENATE($AT$3,BK2180,$AU$3),$AV$3)</f>
        <v>S</v>
      </c>
      <c r="C2180" s="242" t="str">
        <f>HYPERLINK(CONCATENATE($AT$4,BK2180,$AU$4,BL2180),$AV$4)</f>
        <v>A</v>
      </c>
      <c r="D2180" s="243" t="s">
        <v>5638</v>
      </c>
      <c r="E2180" s="244" t="s">
        <v>5182</v>
      </c>
      <c r="F2180" s="269" t="s">
        <v>8673</v>
      </c>
      <c r="G2180" s="273">
        <v>3.4</v>
      </c>
      <c r="H2180" s="283">
        <v>100</v>
      </c>
      <c r="I2180" s="246">
        <v>100</v>
      </c>
      <c r="J2180" s="246">
        <v>3</v>
      </c>
      <c r="K2180" s="247" t="s">
        <v>8168</v>
      </c>
      <c r="L2180" s="248">
        <v>140000</v>
      </c>
      <c r="M2180" s="249">
        <f>15*(LEFT(TEXT($L2180,"000000"),2)+(MID(TEXT($L2180,"000000"),3,2)/60)+(RIGHT(TEXT($L2180,"000000"),2)/3600))</f>
        <v>210</v>
      </c>
      <c r="N2180" s="250">
        <v>550900</v>
      </c>
      <c r="O2180" s="251">
        <f>IF($N2180&gt;0,(LEFT(TEXT($N2180,"000000"),2)+(MID(TEXT($N2180,"000000"),3,2)/60)+(RIGHT(TEXT($N2180,"000000"),2)/3600)),-(MID(TEXT($N2180,"000000"),2,2)+(MID(TEXT($N2180,"000000"),4,2)/60)+(RIGHT(TEXT($N2180,"000000"),2)/3600)))</f>
        <v>55.15</v>
      </c>
      <c r="P2180" s="252" t="s">
        <v>37</v>
      </c>
      <c r="Q2180" s="253"/>
      <c r="R2180" s="277" t="s">
        <v>3293</v>
      </c>
      <c r="S2180" s="272" t="s">
        <v>3293</v>
      </c>
      <c r="T2180" s="273">
        <v>11.9</v>
      </c>
      <c r="U2180" s="289">
        <v>21.79</v>
      </c>
      <c r="V2180" s="280">
        <v>90</v>
      </c>
      <c r="W2180" s="244"/>
      <c r="X2180" s="244"/>
      <c r="Y2180" s="362"/>
      <c r="Z2180" s="257">
        <f>altaz(J2000_Bas,$O2180,$M2180,DecLat,DecLong,1)</f>
        <v>32.76132270226384</v>
      </c>
      <c r="AA2180" s="257">
        <f>altaz((J2000_Bas+(2*0.04167)),$O2180,$M2180,DecLat,DecLong,1)</f>
        <v>16.674848410867661</v>
      </c>
      <c r="AB2180" s="257">
        <f>altaz((J2000_Bas+(4*0.04167)),$O2180,$M2180,DecLat,DecLong,1)</f>
        <v>3.9742249683621194</v>
      </c>
      <c r="AC2180" s="257">
        <f>altaz((J2000_Bas+(6*0.04167)),$O2180,$M2180,DecLat,DecLong,1)</f>
        <v>-3.0450058657055696</v>
      </c>
      <c r="AD2180" s="258">
        <f>1+ transit((J2000_Bas-1),$O2180,$M2180,DecLat,DecLong)/360 + (GMTOffset/24) + (IF(DST="Y", 1, 0)/24)</f>
        <v>1.5762332356297082</v>
      </c>
      <c r="AE2180" s="259">
        <f>DATE(2001,9,21)+(M2180/360)*365 - (360*((DecLong/360)- (GMTOffset/24) ))</f>
        <v>37372.916666666664</v>
      </c>
      <c r="AF2180" s="260">
        <f>IF(DecLat&gt;0,IF((90 - (DecLat-O2180))&gt;90, (90 - (O2180-DecLat)), (90 - (DecLat-O2180))),IF((90 + (DecLat-O2180))&gt;90, (90 + (O2180-DecLat)), (90 + (DecLat-O2180))))</f>
        <v>65.849999999999994</v>
      </c>
      <c r="AG2180" s="257">
        <f>angularseperation(MoonRA,MoonDec,$M2180,$O2180)</f>
        <v>88.831658832244827</v>
      </c>
      <c r="AH2180" s="261">
        <f ca="1">MIN(100,IF($O$5&gt;80,0+30*($AG2180/100),IF($O$5&gt;70,0+50*($AG2180/100),IF($O$5&gt;60,5+50*($AG2180/100),IF($O$5&gt;50,10+60*($AG2180/100),IF($O$5&gt;40,15+70*($AG2180/100),IF($O$5&gt;30,20+70*($AG2180/100),IF($O$5&gt;20,40+55*($AG2180/100),(80+(20-$O$5)+30*($AG2180/100))))))))))</f>
        <v>100</v>
      </c>
      <c r="AI2180" s="262">
        <v>5422</v>
      </c>
      <c r="AJ2180" s="263"/>
      <c r="AK2180" s="263"/>
      <c r="AL2180" s="263"/>
      <c r="AM2180" s="264"/>
      <c r="AN2180" s="263"/>
      <c r="AO2180" s="263"/>
      <c r="AP2180" s="265"/>
      <c r="AQ2180" s="265">
        <v>8935</v>
      </c>
      <c r="AR2180" s="285">
        <v>49874</v>
      </c>
      <c r="AS2180" s="263"/>
      <c r="AT2180" s="263"/>
      <c r="AU2180" s="263"/>
      <c r="AV2180" s="264"/>
      <c r="AW2180" s="263"/>
      <c r="AX2180" s="263"/>
      <c r="AY2180" s="263"/>
      <c r="AZ2180" s="263"/>
      <c r="BA2180" s="263"/>
      <c r="BB2180" s="263"/>
      <c r="BC2180" s="263"/>
      <c r="BD2180" s="264"/>
      <c r="BE2180" s="263"/>
      <c r="BF2180" s="263"/>
      <c r="BG2180" s="263"/>
      <c r="BH2180" s="263"/>
      <c r="BI2180" s="263"/>
      <c r="BJ2180" s="404">
        <f>altaz(J2000_Bas,$O2180,$M2180,DecLat,DecLong,2)</f>
        <v>318.7502437576112</v>
      </c>
      <c r="BK2180" s="378" t="s">
        <v>3075</v>
      </c>
      <c r="BL2180" s="379">
        <f>IF((2*G2180)/60&lt;0.2,0.2,(2*G2180)/60)</f>
        <v>0.2</v>
      </c>
      <c r="BM2180" s="380">
        <f>MOD((50000+AD2180-$B$3+(0/24)),1)</f>
        <v>0.79160016533569433</v>
      </c>
      <c r="BN2180" s="381"/>
      <c r="BO2180" s="382">
        <v>2171</v>
      </c>
    </row>
    <row r="2181" spans="1:67" s="24" customFormat="1" ht="15" customHeight="1" x14ac:dyDescent="0.25">
      <c r="A2181" s="288" t="s">
        <v>7587</v>
      </c>
      <c r="B2181" s="241" t="str">
        <f>HYPERLINK(CONCATENATE($AT$3,BK2181,$AU$3),$AV$3)</f>
        <v>S</v>
      </c>
      <c r="C2181" s="242" t="str">
        <f>HYPERLINK(CONCATENATE($AT$4,BK2181,$AU$4,BL2181),$AV$4)</f>
        <v>A</v>
      </c>
      <c r="D2181" s="243" t="s">
        <v>5638</v>
      </c>
      <c r="E2181" s="244" t="s">
        <v>5625</v>
      </c>
      <c r="F2181" s="269">
        <v>10</v>
      </c>
      <c r="G2181" s="282">
        <v>30</v>
      </c>
      <c r="H2181" s="283">
        <v>250</v>
      </c>
      <c r="I2181" s="284">
        <v>2200</v>
      </c>
      <c r="J2181" s="246">
        <v>2</v>
      </c>
      <c r="K2181" s="247" t="s">
        <v>8169</v>
      </c>
      <c r="L2181" s="248">
        <v>140256</v>
      </c>
      <c r="M2181" s="249">
        <f>15*(LEFT(TEXT($L2181,"000000"),2)+(MID(TEXT($L2181,"000000"),3,2)/60)+(RIGHT(TEXT($L2181,"000000"),2)/3600))</f>
        <v>210.73333333333335</v>
      </c>
      <c r="N2181" s="250">
        <v>92514</v>
      </c>
      <c r="O2181" s="251">
        <f>IF($N2181&gt;0,(LEFT(TEXT($N2181,"000000"),2)+(MID(TEXT($N2181,"000000"),3,2)/60)+(RIGHT(TEXT($N2181,"000000"),2)/3600)),-(MID(TEXT($N2181,"000000"),2,2)+(MID(TEXT($N2181,"000000"),4,2)/60)+(RIGHT(TEXT($N2181,"000000"),2)/3600)))</f>
        <v>9.4205555555555556</v>
      </c>
      <c r="P2181" s="252" t="s">
        <v>260</v>
      </c>
      <c r="Q2181" s="253"/>
      <c r="R2181" s="247" t="s">
        <v>3293</v>
      </c>
      <c r="S2181" s="272" t="s">
        <v>3293</v>
      </c>
      <c r="T2181" s="273">
        <v>12.8</v>
      </c>
      <c r="U2181" s="289">
        <v>21.89</v>
      </c>
      <c r="V2181" s="280"/>
      <c r="W2181" s="244"/>
      <c r="X2181" s="244"/>
      <c r="Y2181" s="362"/>
      <c r="Z2181" s="257">
        <f>altaz(J2000_Bas,$O2181,$M2181,DecLat,DecLong,1)</f>
        <v>17.416718612684633</v>
      </c>
      <c r="AA2181" s="257">
        <f>altaz((J2000_Bas+(2*0.04167)),$O2181,$M2181,DecLat,DecLong,1)</f>
        <v>-8.0245766604891262</v>
      </c>
      <c r="AB2181" s="257">
        <f>altaz((J2000_Bas+(4*0.04167)),$O2181,$M2181,DecLat,DecLong,1)</f>
        <v>-31.210952998093635</v>
      </c>
      <c r="AC2181" s="257">
        <f>altaz((J2000_Bas+(6*0.04167)),$O2181,$M2181,DecLat,DecLong,1)</f>
        <v>-47.261252304813851</v>
      </c>
      <c r="AD2181" s="258">
        <f>1+ transit((J2000_Bas-1),$O2181,$M2181,DecLat,DecLong)/360 + (GMTOffset/24) + (IF(DST="Y", 1, 0)/24)</f>
        <v>1.5782702724630413</v>
      </c>
      <c r="AE2181" s="259">
        <f>DATE(2001,9,21)+(M2181/360)*365 - (360*((DecLong/360)- (GMTOffset/24) ))</f>
        <v>37373.660185185188</v>
      </c>
      <c r="AF2181" s="260">
        <f>IF(DecLat&gt;0,IF((90 - (DecLat-O2181))&gt;90, (90 - (O2181-DecLat)), (90 - (DecLat-O2181))),IF((90 + (DecLat-O2181))&gt;90, (90 + (O2181-DecLat)), (90 + (DecLat-O2181))))</f>
        <v>68.420555555555552</v>
      </c>
      <c r="AG2181" s="257">
        <f>angularseperation(MoonRA,MoonDec,$M2181,$O2181)</f>
        <v>52.208880501147028</v>
      </c>
      <c r="AH2181" s="261">
        <f ca="1">MIN(100,IF($O$5&gt;80,0+30*($AG2181/100),IF($O$5&gt;70,0+50*($AG2181/100),IF($O$5&gt;60,5+50*($AG2181/100),IF($O$5&gt;50,10+60*($AG2181/100),IF($O$5&gt;40,15+70*($AG2181/100),IF($O$5&gt;30,20+70*($AG2181/100),IF($O$5&gt;20,40+55*($AG2181/100),(80+(20-$O$5)+30*($AG2181/100))))))))))</f>
        <v>98.933724494494541</v>
      </c>
      <c r="AI2181" s="262">
        <v>5423</v>
      </c>
      <c r="AJ2181" s="262"/>
      <c r="AK2181" s="262"/>
      <c r="AL2181" s="263"/>
      <c r="AM2181" s="264"/>
      <c r="AN2181" s="263"/>
      <c r="AO2181" s="263"/>
      <c r="AP2181" s="265"/>
      <c r="AQ2181" s="266">
        <v>8952</v>
      </c>
      <c r="AR2181" s="267">
        <v>50028</v>
      </c>
      <c r="AS2181" s="263"/>
      <c r="AT2181" s="263"/>
      <c r="AU2181" s="263"/>
      <c r="AV2181" s="264"/>
      <c r="AW2181" s="263"/>
      <c r="AX2181" s="263"/>
      <c r="AY2181" s="263"/>
      <c r="AZ2181" s="263"/>
      <c r="BA2181" s="263"/>
      <c r="BB2181" s="263"/>
      <c r="BC2181" s="263"/>
      <c r="BD2181" s="264"/>
      <c r="BE2181" s="263"/>
      <c r="BF2181" s="263"/>
      <c r="BG2181" s="263"/>
      <c r="BH2181" s="263"/>
      <c r="BI2181" s="263"/>
      <c r="BJ2181" s="404">
        <f>altaz(J2000_Bas,$O2181,$M2181,DecLat,DecLong,2)</f>
        <v>270.6668754444969</v>
      </c>
      <c r="BK2181" s="378" t="s">
        <v>2077</v>
      </c>
      <c r="BL2181" s="379">
        <f>IF((2*G2181)/60&lt;0.2,0.2,(2*G2181)/60)</f>
        <v>1</v>
      </c>
      <c r="BM2181" s="380">
        <f>MOD((50000+AD2181-$B$3+(0/24)),1)</f>
        <v>0.79363720216497313</v>
      </c>
      <c r="BN2181" s="381"/>
      <c r="BO2181" s="382">
        <v>2172</v>
      </c>
    </row>
    <row r="2182" spans="1:67" s="24" customFormat="1" ht="15" customHeight="1" x14ac:dyDescent="0.25">
      <c r="A2182" s="288" t="s">
        <v>2078</v>
      </c>
      <c r="B2182" s="241" t="str">
        <f>HYPERLINK(CONCATENATE($AT$3,BK2182,$AU$3),$AV$3)</f>
        <v>S</v>
      </c>
      <c r="C2182" s="242" t="str">
        <f>HYPERLINK(CONCATENATE($AT$4,BK2182,$AU$4,BL2182),$AV$4)</f>
        <v>A</v>
      </c>
      <c r="D2182" s="243" t="s">
        <v>5638</v>
      </c>
      <c r="E2182" s="244" t="s">
        <v>5192</v>
      </c>
      <c r="F2182" s="269" t="s">
        <v>8900</v>
      </c>
      <c r="G2182" s="273">
        <v>2.2999999999999998</v>
      </c>
      <c r="H2182" s="283">
        <v>140</v>
      </c>
      <c r="I2182" s="246">
        <v>100</v>
      </c>
      <c r="J2182" s="246">
        <v>2</v>
      </c>
      <c r="K2182" s="247" t="s">
        <v>8170</v>
      </c>
      <c r="L2182" s="248">
        <v>140046</v>
      </c>
      <c r="M2182" s="249">
        <f>15*(LEFT(TEXT($L2182,"000000"),2)+(MID(TEXT($L2182,"000000"),3,2)/60)+(RIGHT(TEXT($L2182,"000000"),2)/3600))</f>
        <v>210.19166666666666</v>
      </c>
      <c r="N2182" s="250">
        <v>591943</v>
      </c>
      <c r="O2182" s="251">
        <f>IF($N2182&gt;0,(LEFT(TEXT($N2182,"000000"),2)+(MID(TEXT($N2182,"000000"),3,2)/60)+(RIGHT(TEXT($N2182,"000000"),2)/3600)),-(MID(TEXT($N2182,"000000"),2,2)+(MID(TEXT($N2182,"000000"),4,2)/60)+(RIGHT(TEXT($N2182,"000000"),2)/3600)))</f>
        <v>59.328611111111115</v>
      </c>
      <c r="P2182" s="252" t="s">
        <v>37</v>
      </c>
      <c r="Q2182" s="253"/>
      <c r="R2182" s="247" t="s">
        <v>3293</v>
      </c>
      <c r="S2182" s="272" t="s">
        <v>3293</v>
      </c>
      <c r="T2182" s="273">
        <v>12</v>
      </c>
      <c r="U2182" s="289">
        <v>21.89</v>
      </c>
      <c r="V2182" s="280">
        <v>55</v>
      </c>
      <c r="W2182" s="244"/>
      <c r="X2182" s="244"/>
      <c r="Y2182" s="362"/>
      <c r="Z2182" s="257">
        <f>altaz(J2000_Bas,$O2182,$M2182,DecLat,DecLong,1)</f>
        <v>33.378546811836408</v>
      </c>
      <c r="AA2182" s="257">
        <f>altaz((J2000_Bas+(2*0.04167)),$O2182,$M2182,DecLat,DecLong,1)</f>
        <v>18.858467008288848</v>
      </c>
      <c r="AB2182" s="257">
        <f>altaz((J2000_Bas+(4*0.04167)),$O2182,$M2182,DecLat,DecLong,1)</f>
        <v>7.3864173379839393</v>
      </c>
      <c r="AC2182" s="257">
        <f>altaz((J2000_Bas+(6*0.04167)),$O2182,$M2182,DecLat,DecLong,1)</f>
        <v>1.0660267701519373</v>
      </c>
      <c r="AD2182" s="258">
        <f>1+ transit((J2000_Bas-1),$O2182,$M2182,DecLat,DecLong)/360 + (GMTOffset/24) + (IF(DST="Y", 1, 0)/24)</f>
        <v>1.5767656429838748</v>
      </c>
      <c r="AE2182" s="259">
        <f>DATE(2001,9,21)+(M2182/360)*365 - (360*((DecLong/360)- (GMTOffset/24) ))</f>
        <v>37373.110995370371</v>
      </c>
      <c r="AF2182" s="260">
        <f>IF(DecLat&gt;0,IF((90 - (DecLat-O2182))&gt;90, (90 - (O2182-DecLat)), (90 - (DecLat-O2182))),IF((90 + (DecLat-O2182))&gt;90, (90 + (O2182-DecLat)), (90 + (DecLat-O2182))))</f>
        <v>61.671388888888885</v>
      </c>
      <c r="AG2182" s="257">
        <f>angularseperation(MoonRA,MoonDec,$M2182,$O2182)</f>
        <v>92.229143701924613</v>
      </c>
      <c r="AH2182" s="261">
        <f ca="1">MIN(100,IF($O$5&gt;80,0+30*($AG2182/100),IF($O$5&gt;70,0+50*($AG2182/100),IF($O$5&gt;60,5+50*($AG2182/100),IF($O$5&gt;50,10+60*($AG2182/100),IF($O$5&gt;40,15+70*($AG2182/100),IF($O$5&gt;30,20+70*($AG2182/100),IF($O$5&gt;20,40+55*($AG2182/100),(80+(20-$O$5)+30*($AG2182/100))))))))))</f>
        <v>100</v>
      </c>
      <c r="AI2182" s="262">
        <v>5430</v>
      </c>
      <c r="AJ2182" s="262"/>
      <c r="AK2182" s="262"/>
      <c r="AL2182" s="263"/>
      <c r="AM2182" s="264"/>
      <c r="AN2182" s="263"/>
      <c r="AO2182" s="263"/>
      <c r="AP2182" s="265"/>
      <c r="AQ2182" s="266">
        <v>8937</v>
      </c>
      <c r="AR2182" s="267">
        <v>49881</v>
      </c>
      <c r="AS2182" s="263"/>
      <c r="AT2182" s="263"/>
      <c r="AU2182" s="263"/>
      <c r="AV2182" s="264"/>
      <c r="AW2182" s="263"/>
      <c r="AX2182" s="263"/>
      <c r="AY2182" s="263"/>
      <c r="AZ2182" s="263"/>
      <c r="BA2182" s="263"/>
      <c r="BB2182" s="263"/>
      <c r="BC2182" s="263"/>
      <c r="BD2182" s="264"/>
      <c r="BE2182" s="263"/>
      <c r="BF2182" s="263"/>
      <c r="BG2182" s="263"/>
      <c r="BH2182" s="263"/>
      <c r="BI2182" s="263"/>
      <c r="BJ2182" s="404">
        <f>altaz(J2000_Bas,$O2182,$M2182,DecLat,DecLong,2)</f>
        <v>323.68398062073044</v>
      </c>
      <c r="BK2182" s="378" t="s">
        <v>2078</v>
      </c>
      <c r="BL2182" s="379">
        <f>IF((2*G2182)/60&lt;0.2,0.2,(2*G2182)/60)</f>
        <v>0.2</v>
      </c>
      <c r="BM2182" s="380">
        <f>MOD((50000+AD2182-$B$3+(0/24)),1)</f>
        <v>0.7921325726856594</v>
      </c>
      <c r="BN2182" s="381" t="s">
        <v>9221</v>
      </c>
      <c r="BO2182" s="382">
        <v>2173</v>
      </c>
    </row>
    <row r="2183" spans="1:67" s="24" customFormat="1" ht="15" customHeight="1" x14ac:dyDescent="0.25">
      <c r="A2183" s="288" t="s">
        <v>2079</v>
      </c>
      <c r="B2183" s="241" t="str">
        <f>HYPERLINK(CONCATENATE($AT$3,BK2183,$AU$3),$AV$3)</f>
        <v>S</v>
      </c>
      <c r="C2183" s="242" t="str">
        <f>HYPERLINK(CONCATENATE($AT$4,BK2183,$AU$4,BL2183),$AV$4)</f>
        <v>A</v>
      </c>
      <c r="D2183" s="243" t="s">
        <v>5638</v>
      </c>
      <c r="E2183" s="244" t="s">
        <v>5192</v>
      </c>
      <c r="F2183" s="269" t="s">
        <v>8912</v>
      </c>
      <c r="G2183" s="273">
        <v>4</v>
      </c>
      <c r="H2183" s="283">
        <v>110</v>
      </c>
      <c r="I2183" s="246">
        <v>120</v>
      </c>
      <c r="J2183" s="246">
        <v>2</v>
      </c>
      <c r="K2183" s="247" t="s">
        <v>8171</v>
      </c>
      <c r="L2183" s="248">
        <v>140250</v>
      </c>
      <c r="M2183" s="249">
        <f>15*(LEFT(TEXT($L2183,"000000"),2)+(MID(TEXT($L2183,"000000"),3,2)/60)+(RIGHT(TEXT($L2183,"000000"),2)/3600))</f>
        <v>210.70833333333334</v>
      </c>
      <c r="N2183" s="250">
        <v>491021</v>
      </c>
      <c r="O2183" s="251">
        <f>IF($N2183&gt;0,(LEFT(TEXT($N2183,"000000"),2)+(MID(TEXT($N2183,"000000"),3,2)/60)+(RIGHT(TEXT($N2183,"000000"),2)/3600)),-(MID(TEXT($N2183,"000000"),2,2)+(MID(TEXT($N2183,"000000"),4,2)/60)+(RIGHT(TEXT($N2183,"000000"),2)/3600)))</f>
        <v>49.172499999999999</v>
      </c>
      <c r="P2183" s="252" t="s">
        <v>37</v>
      </c>
      <c r="Q2183" s="253"/>
      <c r="R2183" s="247" t="s">
        <v>3293</v>
      </c>
      <c r="S2183" s="272" t="s">
        <v>3293</v>
      </c>
      <c r="T2183" s="273">
        <v>11</v>
      </c>
      <c r="U2183" s="289">
        <v>21.89</v>
      </c>
      <c r="V2183" s="280">
        <v>70</v>
      </c>
      <c r="W2183" s="244"/>
      <c r="X2183" s="244"/>
      <c r="Y2183" s="362"/>
      <c r="Z2183" s="257">
        <f>altaz(J2000_Bas,$O2183,$M2183,DecLat,DecLong,1)</f>
        <v>32.139346032998688</v>
      </c>
      <c r="AA2183" s="257">
        <f>altaz((J2000_Bas+(2*0.04167)),$O2183,$M2183,DecLat,DecLong,1)</f>
        <v>13.951534508908884</v>
      </c>
      <c r="AB2183" s="257">
        <f>altaz((J2000_Bas+(4*0.04167)),$O2183,$M2183,DecLat,DecLong,1)</f>
        <v>-0.55785523220946442</v>
      </c>
      <c r="AC2183" s="257">
        <f>altaz((J2000_Bas+(6*0.04167)),$O2183,$M2183,DecLat,DecLong,1)</f>
        <v>-8.7978925020159249</v>
      </c>
      <c r="AD2183" s="258">
        <f>1+ transit((J2000_Bas-1),$O2183,$M2183,DecLat,DecLong)/360 + (GMTOffset/24) + (IF(DST="Y", 1, 0)/24)</f>
        <v>1.5782008280255413</v>
      </c>
      <c r="AE2183" s="259">
        <f>DATE(2001,9,21)+(M2183/360)*365 - (360*((DecLong/360)- (GMTOffset/24) ))</f>
        <v>37373.634837962964</v>
      </c>
      <c r="AF2183" s="260">
        <f>IF(DecLat&gt;0,IF((90 - (DecLat-O2183))&gt;90, (90 - (O2183-DecLat)), (90 - (DecLat-O2183))),IF((90 + (DecLat-O2183))&gt;90, (90 + (O2183-DecLat)), (90 + (DecLat-O2183))))</f>
        <v>71.827500000000001</v>
      </c>
      <c r="AG2183" s="257">
        <f>angularseperation(MoonRA,MoonDec,$M2183,$O2183)</f>
        <v>83.637402489625799</v>
      </c>
      <c r="AH2183" s="261">
        <f ca="1">MIN(100,IF($O$5&gt;80,0+30*($AG2183/100),IF($O$5&gt;70,0+50*($AG2183/100),IF($O$5&gt;60,5+50*($AG2183/100),IF($O$5&gt;50,10+60*($AG2183/100),IF($O$5&gt;40,15+70*($AG2183/100),IF($O$5&gt;30,20+70*($AG2183/100),IF($O$5&gt;20,40+55*($AG2183/100),(80+(20-$O$5)+30*($AG2183/100))))))))))</f>
        <v>100</v>
      </c>
      <c r="AI2183" s="262">
        <v>5448</v>
      </c>
      <c r="AJ2183" s="262"/>
      <c r="AK2183" s="262"/>
      <c r="AL2183" s="263"/>
      <c r="AM2183" s="264"/>
      <c r="AN2183" s="263"/>
      <c r="AO2183" s="263"/>
      <c r="AP2183" s="265"/>
      <c r="AQ2183" s="266">
        <v>8969</v>
      </c>
      <c r="AR2183" s="267">
        <v>50031</v>
      </c>
      <c r="AS2183" s="263"/>
      <c r="AT2183" s="263"/>
      <c r="AU2183" s="263"/>
      <c r="AV2183" s="264"/>
      <c r="AW2183" s="263"/>
      <c r="AX2183" s="263"/>
      <c r="AY2183" s="263"/>
      <c r="AZ2183" s="263"/>
      <c r="BA2183" s="263"/>
      <c r="BB2183" s="263"/>
      <c r="BC2183" s="263"/>
      <c r="BD2183" s="264"/>
      <c r="BE2183" s="263"/>
      <c r="BF2183" s="263"/>
      <c r="BG2183" s="263"/>
      <c r="BH2183" s="263"/>
      <c r="BI2183" s="263"/>
      <c r="BJ2183" s="404">
        <f>altaz(J2000_Bas,$O2183,$M2183,DecLat,DecLong,2)</f>
        <v>311.68509018467739</v>
      </c>
      <c r="BK2183" s="378" t="s">
        <v>2079</v>
      </c>
      <c r="BL2183" s="379">
        <f>IF((2*G2183)/60&lt;0.2,0.2,(2*G2183)/60)</f>
        <v>0.2</v>
      </c>
      <c r="BM2183" s="380">
        <f>MOD((50000+AD2183-$B$3+(0/24)),1)</f>
        <v>0.79356775772612309</v>
      </c>
      <c r="BN2183" s="381"/>
      <c r="BO2183" s="382">
        <v>2174</v>
      </c>
    </row>
    <row r="2184" spans="1:67" s="24" customFormat="1" ht="15" customHeight="1" x14ac:dyDescent="0.25">
      <c r="A2184" s="298" t="s">
        <v>8627</v>
      </c>
      <c r="B2184" s="241" t="str">
        <f>HYPERLINK(CONCATENATE($AT$3,BK2184,$AU$3),$AV$3)</f>
        <v>S</v>
      </c>
      <c r="C2184" s="242" t="str">
        <f>HYPERLINK(CONCATENATE($AT$4,BK2184,$AU$4,BL2184),$AV$4)</f>
        <v>A</v>
      </c>
      <c r="D2184" s="243" t="s">
        <v>5335</v>
      </c>
      <c r="E2184" s="244" t="s">
        <v>5185</v>
      </c>
      <c r="F2184" s="269" t="s">
        <v>4679</v>
      </c>
      <c r="G2184" s="276">
        <v>20</v>
      </c>
      <c r="H2184" s="283">
        <v>2430</v>
      </c>
      <c r="I2184" s="246">
        <v>14</v>
      </c>
      <c r="J2184" s="246">
        <v>2</v>
      </c>
      <c r="K2184" s="247" t="s">
        <v>8628</v>
      </c>
      <c r="L2184" s="248">
        <v>140800</v>
      </c>
      <c r="M2184" s="249">
        <f>15*(LEFT(TEXT($L2184,"000000"),2)+(MID(TEXT($L2184,"000000"),3,2)/60)+(RIGHT(TEXT($L2184,"000000"),2)/3600))</f>
        <v>212</v>
      </c>
      <c r="N2184" s="286">
        <v>-481900</v>
      </c>
      <c r="O2184" s="251">
        <f>IF($N2184&gt;0,(LEFT(TEXT($N2184,"000000"),2)+(MID(TEXT($N2184,"000000"),3,2)/60)+(RIGHT(TEXT($N2184,"000000"),2)/3600)),-(MID(TEXT($N2184,"000000"),2,2)+(MID(TEXT($N2184,"000000"),4,2)/60)+(RIGHT(TEXT($N2184,"000000"),2)/3600)))</f>
        <v>-48.31666666666667</v>
      </c>
      <c r="P2184" s="252" t="s">
        <v>927</v>
      </c>
      <c r="Q2184" s="253"/>
      <c r="R2184" s="247" t="s">
        <v>3293</v>
      </c>
      <c r="S2184" s="272" t="s">
        <v>3293</v>
      </c>
      <c r="T2184" s="273">
        <v>5.6</v>
      </c>
      <c r="U2184" s="274"/>
      <c r="V2184" s="280"/>
      <c r="W2184" s="244"/>
      <c r="X2184" s="244"/>
      <c r="Y2184" s="362"/>
      <c r="Z2184" s="257">
        <f>altaz(J2000_Bas,$O2184,$M2184,DecLat,DecLong,1)</f>
        <v>-13.15293075710529</v>
      </c>
      <c r="AA2184" s="257">
        <f>altaz((J2000_Bas+(2*0.04167)),$O2184,$M2184,DecLat,DecLong,1)</f>
        <v>-31.559935799659577</v>
      </c>
      <c r="AB2184" s="257">
        <f>altaz((J2000_Bas+(4*0.04167)),$O2184,$M2184,DecLat,DecLong,1)</f>
        <v>-51.430111391872472</v>
      </c>
      <c r="AC2184" s="257">
        <f>altaz((J2000_Bas+(6*0.04167)),$O2184,$M2184,DecLat,DecLong,1)</f>
        <v>-68.953552718802371</v>
      </c>
      <c r="AD2184" s="258">
        <f>1+ transit((J2000_Bas-1),$O2184,$M2184,DecLat,DecLong)/360 + (GMTOffset/24) + (IF(DST="Y", 1, 0)/24)</f>
        <v>1.5817887906297081</v>
      </c>
      <c r="AE2184" s="259">
        <f>DATE(2001,9,21)+(M2184/360)*365 - (360*((DecLong/360)- (GMTOffset/24) ))</f>
        <v>37374.944444444445</v>
      </c>
      <c r="AF2184" s="260">
        <f>IF(DecLat&gt;0,IF((90 - (DecLat-O2184))&gt;90, (90 - (O2184-DecLat)), (90 - (DecLat-O2184))),IF((90 + (DecLat-O2184))&gt;90, (90 + (O2184-DecLat)), (90 + (DecLat-O2184))))</f>
        <v>10.683333333333337</v>
      </c>
      <c r="AG2184" s="257">
        <f>angularseperation(MoonRA,MoonDec,$M2184,$O2184)</f>
        <v>35.768624512268339</v>
      </c>
      <c r="AH2184" s="261">
        <f ca="1">MIN(100,IF($O$5&gt;80,0+30*($AG2184/100),IF($O$5&gt;70,0+50*($AG2184/100),IF($O$5&gt;60,5+50*($AG2184/100),IF($O$5&gt;50,10+60*($AG2184/100),IF($O$5&gt;40,15+70*($AG2184/100),IF($O$5&gt;30,20+70*($AG2184/100),IF($O$5&gt;20,40+55*($AG2184/100),(80+(20-$O$5)+30*($AG2184/100))))))))))</f>
        <v>94.001647697830933</v>
      </c>
      <c r="AI2184" s="262">
        <v>5460</v>
      </c>
      <c r="AJ2184" s="262"/>
      <c r="AK2184" s="262"/>
      <c r="AL2184" s="263"/>
      <c r="AM2184" s="264"/>
      <c r="AN2184" s="263"/>
      <c r="AO2184" s="263"/>
      <c r="AP2184" s="265"/>
      <c r="AQ2184" s="266"/>
      <c r="AR2184" s="267"/>
      <c r="AS2184" s="263"/>
      <c r="AT2184" s="263"/>
      <c r="AU2184" s="263"/>
      <c r="AV2184" s="264"/>
      <c r="AW2184" s="263"/>
      <c r="AX2184" s="263"/>
      <c r="AY2184" s="263"/>
      <c r="AZ2184" s="263"/>
      <c r="BA2184" s="263"/>
      <c r="BB2184" s="263"/>
      <c r="BC2184" s="263"/>
      <c r="BD2184" s="264"/>
      <c r="BE2184" s="263"/>
      <c r="BF2184" s="263"/>
      <c r="BG2184" s="263"/>
      <c r="BH2184" s="263"/>
      <c r="BI2184" s="263"/>
      <c r="BJ2184" s="404">
        <f>altaz(J2000_Bas,$O2184,$M2184,DecLat,DecLong,2)</f>
        <v>221.0321265519454</v>
      </c>
      <c r="BK2184" s="378" t="s">
        <v>8627</v>
      </c>
      <c r="BL2184" s="379">
        <f>IF((2*G2184)/60&lt;0.2,0.2,(2*G2184)/60)</f>
        <v>0.66666666666666663</v>
      </c>
      <c r="BM2184" s="380">
        <f>MOD((50000+AD2184-$B$3+(0/24)),1)</f>
        <v>0.79715572033455828</v>
      </c>
      <c r="BN2184" s="381"/>
      <c r="BO2184" s="382">
        <v>2175</v>
      </c>
    </row>
    <row r="2185" spans="1:67" s="24" customFormat="1" ht="15" customHeight="1" x14ac:dyDescent="0.25">
      <c r="A2185" s="288" t="s">
        <v>2080</v>
      </c>
      <c r="B2185" s="241" t="str">
        <f>HYPERLINK(CONCATENATE($AT$3,BK2185,$AU$3),$AV$3)</f>
        <v>S</v>
      </c>
      <c r="C2185" s="242" t="str">
        <f>HYPERLINK(CONCATENATE($AT$4,BK2185,$AU$4,BL2185),$AV$4)</f>
        <v>A</v>
      </c>
      <c r="D2185" s="243" t="s">
        <v>5335</v>
      </c>
      <c r="E2185" s="244" t="s">
        <v>5184</v>
      </c>
      <c r="F2185" s="269" t="s">
        <v>3308</v>
      </c>
      <c r="G2185" s="276">
        <v>12</v>
      </c>
      <c r="H2185" s="283">
        <v>50000</v>
      </c>
      <c r="I2185" s="246">
        <v>180</v>
      </c>
      <c r="J2185" s="246">
        <v>1</v>
      </c>
      <c r="K2185" s="247" t="s">
        <v>8172</v>
      </c>
      <c r="L2185" s="248">
        <v>140528</v>
      </c>
      <c r="M2185" s="249">
        <f>15*(LEFT(TEXT($L2185,"000000"),2)+(MID(TEXT($L2185,"000000"),3,2)/60)+(RIGHT(TEXT($L2185,"000000"),2)/3600))</f>
        <v>211.36666666666667</v>
      </c>
      <c r="N2185" s="250">
        <v>283157</v>
      </c>
      <c r="O2185" s="251">
        <f>IF($N2185&gt;0,(LEFT(TEXT($N2185,"000000"),2)+(MID(TEXT($N2185,"000000"),3,2)/60)+(RIGHT(TEXT($N2185,"000000"),2)/3600)),-(MID(TEXT($N2185,"000000"),2,2)+(MID(TEXT($N2185,"000000"),4,2)/60)+(RIGHT(TEXT($N2185,"000000"),2)/3600)))</f>
        <v>28.532499999999999</v>
      </c>
      <c r="P2185" s="252" t="s">
        <v>260</v>
      </c>
      <c r="Q2185" s="253" t="s">
        <v>7148</v>
      </c>
      <c r="R2185" s="247" t="s">
        <v>3293</v>
      </c>
      <c r="S2185" s="272" t="s">
        <v>3293</v>
      </c>
      <c r="T2185" s="273">
        <v>9.1999999999999993</v>
      </c>
      <c r="U2185" s="274"/>
      <c r="V2185" s="280"/>
      <c r="W2185" s="244"/>
      <c r="X2185" s="244"/>
      <c r="Y2185" s="362"/>
      <c r="Z2185" s="257">
        <f>altaz(J2000_Bas,$O2185,$M2185,DecLat,DecLong,1)</f>
        <v>26.457632097951365</v>
      </c>
      <c r="AA2185" s="257">
        <f>altaz((J2000_Bas+(2*0.04167)),$O2185,$M2185,DecLat,DecLong,1)</f>
        <v>3.1331031384801906</v>
      </c>
      <c r="AB2185" s="257">
        <f>altaz((J2000_Bas+(4*0.04167)),$O2185,$M2185,DecLat,DecLong,1)</f>
        <v>-16.539010748557093</v>
      </c>
      <c r="AC2185" s="257">
        <f>altaz((J2000_Bas+(6*0.04167)),$O2185,$M2185,DecLat,DecLong,1)</f>
        <v>-28.751561868504751</v>
      </c>
      <c r="AD2185" s="258">
        <f>1+ transit((J2000_Bas-1),$O2185,$M2185,DecLat,DecLong)/360 + (GMTOffset/24) + (IF(DST="Y", 1, 0)/24)</f>
        <v>1.5800295315463748</v>
      </c>
      <c r="AE2185" s="259">
        <f>DATE(2001,9,21)+(M2185/360)*365 - (360*((DecLong/360)- (GMTOffset/24) ))</f>
        <v>37374.302314814813</v>
      </c>
      <c r="AF2185" s="260">
        <f>IF(DecLat&gt;0,IF((90 - (DecLat-O2185))&gt;90, (90 - (O2185-DecLat)), (90 - (DecLat-O2185))),IF((90 + (DecLat-O2185))&gt;90, (90 + (O2185-DecLat)), (90 + (DecLat-O2185))))</f>
        <v>87.532499999999999</v>
      </c>
      <c r="AG2185" s="257">
        <f>angularseperation(MoonRA,MoonDec,$M2185,$O2185)</f>
        <v>66.424557427988489</v>
      </c>
      <c r="AH2185" s="261">
        <f ca="1">MIN(100,IF($O$5&gt;80,0+30*($AG2185/100),IF($O$5&gt;70,0+50*($AG2185/100),IF($O$5&gt;60,5+50*($AG2185/100),IF($O$5&gt;50,10+60*($AG2185/100),IF($O$5&gt;40,15+70*($AG2185/100),IF($O$5&gt;30,20+70*($AG2185/100),IF($O$5&gt;20,40+55*($AG2185/100),(80+(20-$O$5)+30*($AG2185/100))))))))))</f>
        <v>100</v>
      </c>
      <c r="AI2185" s="262">
        <v>5466</v>
      </c>
      <c r="AJ2185" s="262"/>
      <c r="AK2185" s="262">
        <v>298</v>
      </c>
      <c r="AL2185" s="263"/>
      <c r="AM2185" s="264"/>
      <c r="AN2185" s="263"/>
      <c r="AO2185" s="263"/>
      <c r="AP2185" s="265"/>
      <c r="AQ2185" s="266"/>
      <c r="AR2185" s="267"/>
      <c r="AS2185" s="263"/>
      <c r="AT2185" s="263"/>
      <c r="AU2185" s="263"/>
      <c r="AV2185" s="264"/>
      <c r="AW2185" s="263"/>
      <c r="AX2185" s="263"/>
      <c r="AY2185" s="263"/>
      <c r="AZ2185" s="263"/>
      <c r="BA2185" s="263"/>
      <c r="BB2185" s="263"/>
      <c r="BC2185" s="263"/>
      <c r="BD2185" s="264"/>
      <c r="BE2185" s="263"/>
      <c r="BF2185" s="263">
        <v>68</v>
      </c>
      <c r="BG2185" s="263"/>
      <c r="BH2185" s="263"/>
      <c r="BI2185" s="263"/>
      <c r="BJ2185" s="404">
        <f>altaz(J2000_Bas,$O2185,$M2185,DecLat,DecLong,2)</f>
        <v>288.86984621528774</v>
      </c>
      <c r="BK2185" s="378" t="s">
        <v>2080</v>
      </c>
      <c r="BL2185" s="379">
        <f>IF((2*G2185)/60&lt;0.2,0.2,(2*G2185)/60)</f>
        <v>0.4</v>
      </c>
      <c r="BM2185" s="380">
        <f>MOD((50000+AD2185-$B$3+(0/24)),1)</f>
        <v>0.79539646125340369</v>
      </c>
      <c r="BN2185" s="381"/>
      <c r="BO2185" s="382">
        <v>2176</v>
      </c>
    </row>
    <row r="2186" spans="1:67" s="24" customFormat="1" ht="15" customHeight="1" x14ac:dyDescent="0.25">
      <c r="A2186" s="287" t="s">
        <v>3011</v>
      </c>
      <c r="B2186" s="241" t="str">
        <f>HYPERLINK(CONCATENATE($AT$3,BK2186,$AU$3),$AV$3)</f>
        <v>S</v>
      </c>
      <c r="C2186" s="242" t="str">
        <f>HYPERLINK(CONCATENATE($AT$4,BK2186,$AU$4,BL2186),$AV$4)</f>
        <v>A</v>
      </c>
      <c r="D2186" s="243" t="s">
        <v>5638</v>
      </c>
      <c r="E2186" s="244" t="s">
        <v>5182</v>
      </c>
      <c r="F2186" s="269" t="s">
        <v>8903</v>
      </c>
      <c r="G2186" s="273">
        <v>2.6</v>
      </c>
      <c r="H2186" s="283">
        <v>110</v>
      </c>
      <c r="I2186" s="246">
        <v>90</v>
      </c>
      <c r="J2186" s="246">
        <v>1</v>
      </c>
      <c r="K2186" s="247" t="s">
        <v>8175</v>
      </c>
      <c r="L2186" s="248">
        <v>140448</v>
      </c>
      <c r="M2186" s="249">
        <f>15*(LEFT(TEXT($L2186,"000000"),2)+(MID(TEXT($L2186,"000000"),3,2)/60)+(RIGHT(TEXT($L2186,"000000"),2)/3600))</f>
        <v>211.2</v>
      </c>
      <c r="N2186" s="250">
        <v>545334</v>
      </c>
      <c r="O2186" s="251">
        <f>IF($N2186&gt;0,(LEFT(TEXT($N2186,"000000"),2)+(MID(TEXT($N2186,"000000"),3,2)/60)+(RIGHT(TEXT($N2186,"000000"),2)/3600)),-(MID(TEXT($N2186,"000000"),2,2)+(MID(TEXT($N2186,"000000"),4,2)/60)+(RIGHT(TEXT($N2186,"000000"),2)/3600)))</f>
        <v>54.892777777777781</v>
      </c>
      <c r="P2186" s="252" t="s">
        <v>37</v>
      </c>
      <c r="Q2186" s="253"/>
      <c r="R2186" s="277" t="s">
        <v>3293</v>
      </c>
      <c r="S2186" s="272" t="s">
        <v>3293</v>
      </c>
      <c r="T2186" s="273">
        <v>11.5</v>
      </c>
      <c r="U2186" s="289">
        <v>21.69</v>
      </c>
      <c r="V2186" s="280">
        <v>30</v>
      </c>
      <c r="W2186" s="244"/>
      <c r="X2186" s="244"/>
      <c r="Y2186" s="362"/>
      <c r="Z2186" s="257">
        <f>altaz(J2000_Bas,$O2186,$M2186,DecLat,DecLong,1)</f>
        <v>33.406054875962084</v>
      </c>
      <c r="AA2186" s="257">
        <f>altaz((J2000_Bas+(2*0.04167)),$O2186,$M2186,DecLat,DecLong,1)</f>
        <v>17.138970906109471</v>
      </c>
      <c r="AB2186" s="257">
        <f>altaz((J2000_Bas+(4*0.04167)),$O2186,$M2186,DecLat,DecLong,1)</f>
        <v>4.1825696426016385</v>
      </c>
      <c r="AC2186" s="257">
        <f>altaz((J2000_Bas+(6*0.04167)),$O2186,$M2186,DecLat,DecLong,1)</f>
        <v>-3.1500400379603688</v>
      </c>
      <c r="AD2186" s="258">
        <f>1+ transit((J2000_Bas-1),$O2186,$M2186,DecLat,DecLong)/360 + (GMTOffset/24) + (IF(DST="Y", 1, 0)/24)</f>
        <v>1.579566568629708</v>
      </c>
      <c r="AE2186" s="259">
        <f>DATE(2001,9,21)+(M2186/360)*365 - (360*((DecLong/360)- (GMTOffset/24) ))</f>
        <v>37374.133333333331</v>
      </c>
      <c r="AF2186" s="260">
        <f>IF(DecLat&gt;0,IF((90 - (DecLat-O2186))&gt;90, (90 - (O2186-DecLat)), (90 - (DecLat-O2186))),IF((90 + (DecLat-O2186))&gt;90, (90 + (O2186-DecLat)), (90 + (DecLat-O2186))))</f>
        <v>66.107222222222219</v>
      </c>
      <c r="AG2186" s="257">
        <f>angularseperation(MoonRA,MoonDec,$M2186,$O2186)</f>
        <v>88.235307487927912</v>
      </c>
      <c r="AH2186" s="261">
        <f ca="1">MIN(100,IF($O$5&gt;80,0+30*($AG2186/100),IF($O$5&gt;70,0+50*($AG2186/100),IF($O$5&gt;60,5+50*($AG2186/100),IF($O$5&gt;50,10+60*($AG2186/100),IF($O$5&gt;40,15+70*($AG2186/100),IF($O$5&gt;30,20+70*($AG2186/100),IF($O$5&gt;20,40+55*($AG2186/100),(80+(20-$O$5)+30*($AG2186/100))))))))))</f>
        <v>100</v>
      </c>
      <c r="AI2186" s="262">
        <v>5473</v>
      </c>
      <c r="AJ2186" s="263"/>
      <c r="AK2186" s="263">
        <v>299</v>
      </c>
      <c r="AL2186" s="263"/>
      <c r="AM2186" s="264"/>
      <c r="AN2186" s="263"/>
      <c r="AO2186" s="263"/>
      <c r="AP2186" s="265"/>
      <c r="AQ2186" s="265">
        <v>9011</v>
      </c>
      <c r="AR2186" s="285">
        <v>50191</v>
      </c>
      <c r="AS2186" s="263"/>
      <c r="AT2186" s="263"/>
      <c r="AU2186" s="263"/>
      <c r="AV2186" s="264"/>
      <c r="AW2186" s="263"/>
      <c r="AX2186" s="263"/>
      <c r="AY2186" s="263"/>
      <c r="AZ2186" s="263"/>
      <c r="BA2186" s="263"/>
      <c r="BB2186" s="263"/>
      <c r="BC2186" s="263"/>
      <c r="BD2186" s="264"/>
      <c r="BE2186" s="263"/>
      <c r="BF2186" s="263"/>
      <c r="BG2186" s="263"/>
      <c r="BH2186" s="263"/>
      <c r="BI2186" s="263"/>
      <c r="BJ2186" s="404">
        <f>altaz(J2000_Bas,$O2186,$M2186,DecLat,DecLong,2)</f>
        <v>318.33046199965094</v>
      </c>
      <c r="BK2186" s="378" t="s">
        <v>3011</v>
      </c>
      <c r="BL2186" s="379">
        <f>IF((2*G2186)/60&lt;0.2,0.2,(2*G2186)/60)</f>
        <v>0.2</v>
      </c>
      <c r="BM2186" s="380">
        <f>MOD((50000+AD2186-$B$3+(0/24)),1)</f>
        <v>0.7949334983350127</v>
      </c>
      <c r="BN2186" s="381"/>
      <c r="BO2186" s="382">
        <v>2177</v>
      </c>
    </row>
    <row r="2187" spans="1:67" s="24" customFormat="1" ht="15" customHeight="1" x14ac:dyDescent="0.25">
      <c r="A2187" s="288" t="s">
        <v>2081</v>
      </c>
      <c r="B2187" s="241" t="str">
        <f>HYPERLINK(CONCATENATE($AT$3,BK2187,$AU$3),$AV$3)</f>
        <v>S</v>
      </c>
      <c r="C2187" s="242" t="str">
        <f>HYPERLINK(CONCATENATE($AT$4,BK2187,$AU$4,BL2187),$AV$4)</f>
        <v>A</v>
      </c>
      <c r="D2187" s="243" t="s">
        <v>5638</v>
      </c>
      <c r="E2187" s="244" t="s">
        <v>3259</v>
      </c>
      <c r="F2187" s="269"/>
      <c r="G2187" s="273">
        <v>4</v>
      </c>
      <c r="H2187" s="283">
        <v>23</v>
      </c>
      <c r="I2187" s="246">
        <v>30</v>
      </c>
      <c r="J2187" s="246">
        <v>2</v>
      </c>
      <c r="K2187" s="247" t="s">
        <v>8176</v>
      </c>
      <c r="L2187" s="248">
        <v>140502</v>
      </c>
      <c r="M2187" s="249">
        <f>15*(LEFT(TEXT($L2187,"000000"),2)+(MID(TEXT($L2187,"000000"),3,2)/60)+(RIGHT(TEXT($L2187,"000000"),2)/3600))</f>
        <v>211.25833333333335</v>
      </c>
      <c r="N2187" s="250">
        <v>533945</v>
      </c>
      <c r="O2187" s="251">
        <f>IF($N2187&gt;0,(LEFT(TEXT($N2187,"000000"),2)+(MID(TEXT($N2187,"000000"),3,2)/60)+(RIGHT(TEXT($N2187,"000000"),2)/3600)),-(MID(TEXT($N2187,"000000"),2,2)+(MID(TEXT($N2187,"000000"),4,2)/60)+(RIGHT(TEXT($N2187,"000000"),2)/3600)))</f>
        <v>53.662500000000001</v>
      </c>
      <c r="P2187" s="252" t="s">
        <v>37</v>
      </c>
      <c r="Q2187" s="253" t="s">
        <v>2082</v>
      </c>
      <c r="R2187" s="247" t="s">
        <v>3293</v>
      </c>
      <c r="S2187" s="272" t="s">
        <v>3293</v>
      </c>
      <c r="T2187" s="273">
        <v>10.8</v>
      </c>
      <c r="U2187" s="289">
        <v>22.79</v>
      </c>
      <c r="V2187" s="280">
        <v>25</v>
      </c>
      <c r="W2187" s="244"/>
      <c r="X2187" s="244"/>
      <c r="Y2187" s="362"/>
      <c r="Z2187" s="257">
        <f>altaz(J2000_Bas,$O2187,$M2187,DecLat,DecLong,1)</f>
        <v>33.266095098458379</v>
      </c>
      <c r="AA2187" s="257">
        <f>altaz((J2000_Bas+(2*0.04167)),$O2187,$M2187,DecLat,DecLong,1)</f>
        <v>16.552538632311631</v>
      </c>
      <c r="AB2187" s="257">
        <f>altaz((J2000_Bas+(4*0.04167)),$O2187,$M2187,DecLat,DecLong,1)</f>
        <v>3.2265074658126034</v>
      </c>
      <c r="AC2187" s="257">
        <f>altaz((J2000_Bas+(6*0.04167)),$O2187,$M2187,DecLat,DecLong,1)</f>
        <v>-4.3420767658488861</v>
      </c>
      <c r="AD2187" s="258">
        <f>1+ transit((J2000_Bas-1),$O2187,$M2187,DecLat,DecLong)/360 + (GMTOffset/24) + (IF(DST="Y", 1, 0)/24)</f>
        <v>1.5797286056505413</v>
      </c>
      <c r="AE2187" s="259">
        <f>DATE(2001,9,21)+(M2187/360)*365 - (360*((DecLong/360)- (GMTOffset/24) ))</f>
        <v>37374.192476851851</v>
      </c>
      <c r="AF2187" s="260">
        <f>IF(DecLat&gt;0,IF((90 - (DecLat-O2187))&gt;90, (90 - (O2187-DecLat)), (90 - (DecLat-O2187))),IF((90 + (DecLat-O2187))&gt;90, (90 + (O2187-DecLat)), (90 + (DecLat-O2187))))</f>
        <v>67.337500000000006</v>
      </c>
      <c r="AG2187" s="257">
        <f>angularseperation(MoonRA,MoonDec,$M2187,$O2187)</f>
        <v>87.188121774611048</v>
      </c>
      <c r="AH2187" s="261">
        <f ca="1">MIN(100,IF($O$5&gt;80,0+30*($AG2187/100),IF($O$5&gt;70,0+50*($AG2187/100),IF($O$5&gt;60,5+50*($AG2187/100),IF($O$5&gt;50,10+60*($AG2187/100),IF($O$5&gt;40,15+70*($AG2187/100),IF($O$5&gt;30,20+70*($AG2187/100),IF($O$5&gt;20,40+55*($AG2187/100),(80+(20-$O$5)+30*($AG2187/100))))))))))</f>
        <v>100</v>
      </c>
      <c r="AI2187" s="262">
        <v>5474</v>
      </c>
      <c r="AJ2187" s="262"/>
      <c r="AK2187" s="262">
        <v>300</v>
      </c>
      <c r="AL2187" s="263"/>
      <c r="AM2187" s="264"/>
      <c r="AN2187" s="263"/>
      <c r="AO2187" s="263"/>
      <c r="AP2187" s="265"/>
      <c r="AQ2187" s="266">
        <v>9013</v>
      </c>
      <c r="AR2187" s="267">
        <v>50216</v>
      </c>
      <c r="AS2187" s="263"/>
      <c r="AT2187" s="263"/>
      <c r="AU2187" s="263"/>
      <c r="AV2187" s="264"/>
      <c r="AW2187" s="263"/>
      <c r="AX2187" s="263"/>
      <c r="AY2187" s="263"/>
      <c r="AZ2187" s="263"/>
      <c r="BA2187" s="263"/>
      <c r="BB2187" s="263"/>
      <c r="BC2187" s="263"/>
      <c r="BD2187" s="264"/>
      <c r="BE2187" s="263"/>
      <c r="BF2187" s="263"/>
      <c r="BG2187" s="263"/>
      <c r="BH2187" s="263"/>
      <c r="BI2187" s="263"/>
      <c r="BJ2187" s="404">
        <f>altaz(J2000_Bas,$O2187,$M2187,DecLat,DecLong,2)</f>
        <v>316.86686881734624</v>
      </c>
      <c r="BK2187" s="378" t="s">
        <v>2081</v>
      </c>
      <c r="BL2187" s="379">
        <f>IF((2*G2187)/60&lt;0.2,0.2,(2*G2187)/60)</f>
        <v>0.2</v>
      </c>
      <c r="BM2187" s="380">
        <f>MOD((50000+AD2187-$B$3+(0/24)),1)</f>
        <v>0.79509553535172017</v>
      </c>
      <c r="BN2187" s="381"/>
      <c r="BO2187" s="382">
        <v>2178</v>
      </c>
    </row>
    <row r="2188" spans="1:67" s="24" customFormat="1" ht="15" customHeight="1" x14ac:dyDescent="0.25">
      <c r="A2188" s="288" t="s">
        <v>2083</v>
      </c>
      <c r="B2188" s="241" t="str">
        <f>HYPERLINK(CONCATENATE($AT$3,BK2188,$AU$3),$AV$3)</f>
        <v>S</v>
      </c>
      <c r="C2188" s="242" t="str">
        <f>HYPERLINK(CONCATENATE($AT$4,BK2188,$AU$4,BL2188),$AV$4)</f>
        <v>A</v>
      </c>
      <c r="D2188" s="243" t="s">
        <v>5638</v>
      </c>
      <c r="E2188" s="244" t="s">
        <v>5193</v>
      </c>
      <c r="F2188" s="269" t="s">
        <v>3309</v>
      </c>
      <c r="G2188" s="273">
        <v>2.2999999999999998</v>
      </c>
      <c r="H2188" s="283">
        <v>90</v>
      </c>
      <c r="I2188" s="246">
        <v>60</v>
      </c>
      <c r="J2188" s="246">
        <v>2</v>
      </c>
      <c r="K2188" s="247" t="s">
        <v>8179</v>
      </c>
      <c r="L2188" s="248">
        <v>140711</v>
      </c>
      <c r="M2188" s="249">
        <f>15*(LEFT(TEXT($L2188,"000000"),2)+(MID(TEXT($L2188,"000000"),3,2)/60)+(RIGHT(TEXT($L2188,"000000"),2)/3600))</f>
        <v>211.79583333333335</v>
      </c>
      <c r="N2188" s="250">
        <v>550005</v>
      </c>
      <c r="O2188" s="251">
        <f>IF($N2188&gt;0,(LEFT(TEXT($N2188,"000000"),2)+(MID(TEXT($N2188,"000000"),3,2)/60)+(RIGHT(TEXT($N2188,"000000"),2)/3600)),-(MID(TEXT($N2188,"000000"),2,2)+(MID(TEXT($N2188,"000000"),4,2)/60)+(RIGHT(TEXT($N2188,"000000"),2)/3600)))</f>
        <v>55.00138888888889</v>
      </c>
      <c r="P2188" s="252" t="s">
        <v>37</v>
      </c>
      <c r="Q2188" s="253"/>
      <c r="R2188" s="247" t="s">
        <v>3293</v>
      </c>
      <c r="S2188" s="272" t="s">
        <v>8177</v>
      </c>
      <c r="T2188" s="273">
        <v>12.2</v>
      </c>
      <c r="U2188" s="289">
        <v>21.79</v>
      </c>
      <c r="V2188" s="280"/>
      <c r="W2188" s="244"/>
      <c r="X2188" s="244"/>
      <c r="Y2188" s="362"/>
      <c r="Z2188" s="257">
        <f>altaz(J2000_Bas,$O2188,$M2188,DecLat,DecLong,1)</f>
        <v>33.759478254407348</v>
      </c>
      <c r="AA2188" s="257">
        <f>altaz((J2000_Bas+(2*0.04167)),$O2188,$M2188,DecLat,DecLong,1)</f>
        <v>17.490074618884481</v>
      </c>
      <c r="AB2188" s="257">
        <f>altaz((J2000_Bas+(4*0.04167)),$O2188,$M2188,DecLat,DecLong,1)</f>
        <v>4.4777124406598245</v>
      </c>
      <c r="AC2188" s="257">
        <f>altaz((J2000_Bas+(6*0.04167)),$O2188,$M2188,DecLat,DecLong,1)</f>
        <v>-2.9670085526416465</v>
      </c>
      <c r="AD2188" s="258">
        <f>1+ transit((J2000_Bas-1),$O2188,$M2188,DecLat,DecLong)/360 + (GMTOffset/24) + (IF(DST="Y", 1, 0)/24)</f>
        <v>1.5812216610567915</v>
      </c>
      <c r="AE2188" s="259">
        <f>DATE(2001,9,21)+(M2188/360)*365 - (360*((DecLong/360)- (GMTOffset/24) ))</f>
        <v>37374.737442129626</v>
      </c>
      <c r="AF2188" s="260">
        <f>IF(DecLat&gt;0,IF((90 - (DecLat-O2188))&gt;90, (90 - (O2188-DecLat)), (90 - (DecLat-O2188))),IF((90 + (DecLat-O2188))&gt;90, (90 + (O2188-DecLat)), (90 + (DecLat-O2188))))</f>
        <v>65.998611111111103</v>
      </c>
      <c r="AG2188" s="257">
        <f>angularseperation(MoonRA,MoonDec,$M2188,$O2188)</f>
        <v>88.139752757469907</v>
      </c>
      <c r="AH2188" s="261">
        <f ca="1">MIN(100,IF($O$5&gt;80,0+30*($AG2188/100),IF($O$5&gt;70,0+50*($AG2188/100),IF($O$5&gt;60,5+50*($AG2188/100),IF($O$5&gt;50,10+60*($AG2188/100),IF($O$5&gt;40,15+70*($AG2188/100),IF($O$5&gt;30,20+70*($AG2188/100),IF($O$5&gt;20,40+55*($AG2188/100),(80+(20-$O$5)+30*($AG2188/100))))))))))</f>
        <v>100</v>
      </c>
      <c r="AI2188" s="262">
        <v>5485</v>
      </c>
      <c r="AJ2188" s="262"/>
      <c r="AK2188" s="262"/>
      <c r="AL2188" s="263"/>
      <c r="AM2188" s="264"/>
      <c r="AN2188" s="263"/>
      <c r="AO2188" s="263"/>
      <c r="AP2188" s="265"/>
      <c r="AQ2188" s="266">
        <v>9033</v>
      </c>
      <c r="AR2188" s="267">
        <v>50369</v>
      </c>
      <c r="AS2188" s="263"/>
      <c r="AT2188" s="263"/>
      <c r="AU2188" s="263"/>
      <c r="AV2188" s="264"/>
      <c r="AW2188" s="263"/>
      <c r="AX2188" s="263"/>
      <c r="AY2188" s="263"/>
      <c r="AZ2188" s="263"/>
      <c r="BA2188" s="263"/>
      <c r="BB2188" s="263"/>
      <c r="BC2188" s="263"/>
      <c r="BD2188" s="264"/>
      <c r="BE2188" s="263"/>
      <c r="BF2188" s="263"/>
      <c r="BG2188" s="263"/>
      <c r="BH2188" s="263"/>
      <c r="BI2188" s="263"/>
      <c r="BJ2188" s="404">
        <f>altaz(J2000_Bas,$O2188,$M2188,DecLat,DecLong,2)</f>
        <v>318.40630985108066</v>
      </c>
      <c r="BK2188" s="378" t="s">
        <v>2083</v>
      </c>
      <c r="BL2188" s="379">
        <f>IF((2*G2188)/60&lt;0.2,0.2,(2*G2188)/60)</f>
        <v>0.2</v>
      </c>
      <c r="BM2188" s="380">
        <f>MOD((50000+AD2188-$B$3+(0/24)),1)</f>
        <v>0.79658859076153021</v>
      </c>
      <c r="BN2188" s="381"/>
      <c r="BO2188" s="382">
        <v>2179</v>
      </c>
    </row>
    <row r="2189" spans="1:67" s="24" customFormat="1" ht="15" customHeight="1" x14ac:dyDescent="0.25">
      <c r="A2189" s="288" t="s">
        <v>2084</v>
      </c>
      <c r="B2189" s="241" t="str">
        <f>HYPERLINK(CONCATENATE($AT$3,BK2189,$AU$3),$AV$3)</f>
        <v>S</v>
      </c>
      <c r="C2189" s="242" t="str">
        <f>HYPERLINK(CONCATENATE($AT$4,BK2189,$AU$4,BL2189),$AV$4)</f>
        <v>A</v>
      </c>
      <c r="D2189" s="243" t="s">
        <v>5638</v>
      </c>
      <c r="E2189" s="244" t="s">
        <v>3259</v>
      </c>
      <c r="F2189" s="269"/>
      <c r="G2189" s="273">
        <v>1.8</v>
      </c>
      <c r="H2189" s="283">
        <v>70</v>
      </c>
      <c r="I2189" s="246">
        <v>40</v>
      </c>
      <c r="J2189" s="246">
        <v>2</v>
      </c>
      <c r="K2189" s="247" t="s">
        <v>8180</v>
      </c>
      <c r="L2189" s="248">
        <v>140725</v>
      </c>
      <c r="M2189" s="249">
        <f>15*(LEFT(TEXT($L2189,"000000"),2)+(MID(TEXT($L2189,"000000"),3,2)/60)+(RIGHT(TEXT($L2189,"000000"),2)/3600))</f>
        <v>211.85416666666669</v>
      </c>
      <c r="N2189" s="286">
        <v>550611</v>
      </c>
      <c r="O2189" s="251">
        <f>IF($N2189&gt;0,(LEFT(TEXT($N2189,"000000"),2)+(MID(TEXT($N2189,"000000"),3,2)/60)+(RIGHT(TEXT($N2189,"000000"),2)/3600)),-(MID(TEXT($N2189,"000000"),2,2)+(MID(TEXT($N2189,"000000"),4,2)/60)+(RIGHT(TEXT($N2189,"000000"),2)/3600)))</f>
        <v>55.103055555555557</v>
      </c>
      <c r="P2189" s="252" t="s">
        <v>37</v>
      </c>
      <c r="Q2189" s="253"/>
      <c r="R2189" s="247" t="s">
        <v>3293</v>
      </c>
      <c r="S2189" s="272" t="s">
        <v>8178</v>
      </c>
      <c r="T2189" s="273">
        <v>13.2</v>
      </c>
      <c r="U2189" s="289">
        <v>22.490000000000002</v>
      </c>
      <c r="V2189" s="280">
        <v>40</v>
      </c>
      <c r="W2189" s="244"/>
      <c r="X2189" s="244"/>
      <c r="Y2189" s="362"/>
      <c r="Z2189" s="257">
        <f>altaz(J2000_Bas,$O2189,$M2189,DecLat,DecLong,1)</f>
        <v>33.80528876670148</v>
      </c>
      <c r="AA2189" s="257">
        <f>altaz((J2000_Bas+(2*0.04167)),$O2189,$M2189,DecLat,DecLong,1)</f>
        <v>17.569095990179893</v>
      </c>
      <c r="AB2189" s="257">
        <f>altaz((J2000_Bas+(4*0.04167)),$O2189,$M2189,DecLat,DecLong,1)</f>
        <v>4.5784342265143261</v>
      </c>
      <c r="AC2189" s="257">
        <f>altaz((J2000_Bas+(6*0.04167)),$O2189,$M2189,DecLat,DecLong,1)</f>
        <v>-2.8603787107250631</v>
      </c>
      <c r="AD2189" s="258">
        <f>1+ transit((J2000_Bas-1),$O2189,$M2189,DecLat,DecLong)/360 + (GMTOffset/24) + (IF(DST="Y", 1, 0)/24)</f>
        <v>1.5813836980776246</v>
      </c>
      <c r="AE2189" s="259">
        <f>DATE(2001,9,21)+(M2189/360)*365 - (360*((DecLong/360)- (GMTOffset/24) ))</f>
        <v>37374.796585648146</v>
      </c>
      <c r="AF2189" s="260">
        <f>IF(DecLat&gt;0,IF((90 - (DecLat-O2189))&gt;90, (90 - (O2189-DecLat)), (90 - (DecLat-O2189))),IF((90 + (DecLat-O2189))&gt;90, (90 + (O2189-DecLat)), (90 + (DecLat-O2189))))</f>
        <v>65.896944444444443</v>
      </c>
      <c r="AG2189" s="257">
        <f>angularseperation(MoonRA,MoonDec,$M2189,$O2189)</f>
        <v>88.207154031251008</v>
      </c>
      <c r="AH2189" s="261">
        <f ca="1">MIN(100,IF($O$5&gt;80,0+30*($AG2189/100),IF($O$5&gt;70,0+50*($AG2189/100),IF($O$5&gt;60,5+50*($AG2189/100),IF($O$5&gt;50,10+60*($AG2189/100),IF($O$5&gt;40,15+70*($AG2189/100),IF($O$5&gt;30,20+70*($AG2189/100),IF($O$5&gt;20,40+55*($AG2189/100),(80+(20-$O$5)+30*($AG2189/100))))))))))</f>
        <v>100</v>
      </c>
      <c r="AI2189" s="262">
        <v>5486</v>
      </c>
      <c r="AJ2189" s="262"/>
      <c r="AK2189" s="262"/>
      <c r="AL2189" s="263"/>
      <c r="AM2189" s="264"/>
      <c r="AN2189" s="263"/>
      <c r="AO2189" s="263"/>
      <c r="AP2189" s="265"/>
      <c r="AQ2189" s="266">
        <v>9036</v>
      </c>
      <c r="AR2189" s="267">
        <v>50383</v>
      </c>
      <c r="AS2189" s="263"/>
      <c r="AT2189" s="263"/>
      <c r="AU2189" s="263"/>
      <c r="AV2189" s="264"/>
      <c r="AW2189" s="263"/>
      <c r="AX2189" s="263"/>
      <c r="AY2189" s="263"/>
      <c r="AZ2189" s="263"/>
      <c r="BA2189" s="263"/>
      <c r="BB2189" s="263"/>
      <c r="BC2189" s="263"/>
      <c r="BD2189" s="264"/>
      <c r="BE2189" s="263"/>
      <c r="BF2189" s="263"/>
      <c r="BG2189" s="263"/>
      <c r="BH2189" s="263"/>
      <c r="BI2189" s="263"/>
      <c r="BJ2189" s="404">
        <f>altaz(J2000_Bas,$O2189,$M2189,DecLat,DecLong,2)</f>
        <v>318.52267371611907</v>
      </c>
      <c r="BK2189" s="378" t="s">
        <v>2084</v>
      </c>
      <c r="BL2189" s="379">
        <f>IF((2*G2189)/60&lt;0.2,0.2,(2*G2189)/60)</f>
        <v>0.2</v>
      </c>
      <c r="BM2189" s="380">
        <f>MOD((50000+AD2189-$B$3+(0/24)),1)</f>
        <v>0.79675062777823769</v>
      </c>
      <c r="BN2189" s="381"/>
      <c r="BO2189" s="382">
        <v>2180</v>
      </c>
    </row>
    <row r="2190" spans="1:67" s="24" customFormat="1" ht="15" customHeight="1" x14ac:dyDescent="0.25">
      <c r="A2190" s="288" t="s">
        <v>2085</v>
      </c>
      <c r="B2190" s="241" t="str">
        <f>HYPERLINK(CONCATENATE($AT$3,BK2190,$AU$3),$AV$3)</f>
        <v>S</v>
      </c>
      <c r="C2190" s="242" t="str">
        <f>HYPERLINK(CONCATENATE($AT$4,BK2190,$AU$4,BL2190),$AV$4)</f>
        <v>A</v>
      </c>
      <c r="D2190" s="243" t="s">
        <v>5638</v>
      </c>
      <c r="E2190" s="244" t="s">
        <v>5337</v>
      </c>
      <c r="F2190" s="269" t="s">
        <v>9128</v>
      </c>
      <c r="G2190" s="273">
        <v>1</v>
      </c>
      <c r="H2190" s="283">
        <v>350</v>
      </c>
      <c r="I2190" s="246">
        <v>100</v>
      </c>
      <c r="J2190" s="246">
        <v>2</v>
      </c>
      <c r="K2190" s="247" t="s">
        <v>8181</v>
      </c>
      <c r="L2190" s="248">
        <v>141339</v>
      </c>
      <c r="M2190" s="249">
        <f>15*(LEFT(TEXT($L2190,"000000"),2)+(MID(TEXT($L2190,"000000"),3,2)/60)+(RIGHT(TEXT($L2190,"000000"),2)/3600))</f>
        <v>213.41250000000002</v>
      </c>
      <c r="N2190" s="250">
        <v>73933</v>
      </c>
      <c r="O2190" s="251">
        <f>IF($N2190&gt;0,(LEFT(TEXT($N2190,"000000"),2)+(MID(TEXT($N2190,"000000"),3,2)/60)+(RIGHT(TEXT($N2190,"000000"),2)/3600)),-(MID(TEXT($N2190,"000000"),2,2)+(MID(TEXT($N2190,"000000"),4,2)/60)+(RIGHT(TEXT($N2190,"000000"),2)/3600)))</f>
        <v>7.6591666666666667</v>
      </c>
      <c r="P2190" s="252" t="s">
        <v>260</v>
      </c>
      <c r="Q2190" s="253"/>
      <c r="R2190" s="247" t="s">
        <v>3293</v>
      </c>
      <c r="S2190" s="272" t="s">
        <v>3293</v>
      </c>
      <c r="T2190" s="273">
        <v>13.3</v>
      </c>
      <c r="U2190" s="289">
        <v>22.19</v>
      </c>
      <c r="V2190" s="280"/>
      <c r="W2190" s="244"/>
      <c r="X2190" s="244"/>
      <c r="Y2190" s="362"/>
      <c r="Z2190" s="257">
        <f>altaz(J2000_Bas,$O2190,$M2190,DecLat,DecLong,1)</f>
        <v>18.833858290934149</v>
      </c>
      <c r="AA2190" s="257">
        <f>altaz((J2000_Bas+(2*0.04167)),$O2190,$M2190,DecLat,DecLong,1)</f>
        <v>-6.7624479191998441</v>
      </c>
      <c r="AB2190" s="257">
        <f>altaz((J2000_Bas+(4*0.04167)),$O2190,$M2190,DecLat,DecLong,1)</f>
        <v>-30.538081083176845</v>
      </c>
      <c r="AC2190" s="257">
        <f>altaz((J2000_Bas+(6*0.04167)),$O2190,$M2190,DecLat,DecLong,1)</f>
        <v>-47.99406397525582</v>
      </c>
      <c r="AD2190" s="258">
        <f>1+ transit((J2000_Bas-1),$O2190,$M2190,DecLat,DecLong)/360 + (GMTOffset/24) + (IF(DST="Y", 1, 0)/24)</f>
        <v>1.585712401348458</v>
      </c>
      <c r="AE2190" s="259">
        <f>DATE(2001,9,21)+(M2190/360)*365 - (360*((DecLong/360)- (GMTOffset/24) ))</f>
        <v>37376.376562500001</v>
      </c>
      <c r="AF2190" s="260">
        <f>IF(DecLat&gt;0,IF((90 - (DecLat-O2190))&gt;90, (90 - (O2190-DecLat)), (90 - (DecLat-O2190))),IF((90 + (DecLat-O2190))&gt;90, (90 + (O2190-DecLat)), (90 + (DecLat-O2190))))</f>
        <v>66.659166666666664</v>
      </c>
      <c r="AG2190" s="257">
        <f>angularseperation(MoonRA,MoonDec,$M2190,$O2190)</f>
        <v>49.100638634993423</v>
      </c>
      <c r="AH2190" s="261">
        <f ca="1">MIN(100,IF($O$5&gt;80,0+30*($AG2190/100),IF($O$5&gt;70,0+50*($AG2190/100),IF($O$5&gt;60,5+50*($AG2190/100),IF($O$5&gt;50,10+60*($AG2190/100),IF($O$5&gt;40,15+70*($AG2190/100),IF($O$5&gt;30,20+70*($AG2190/100),IF($O$5&gt;20,40+55*($AG2190/100),(80+(20-$O$5)+30*($AG2190/100))))))))))</f>
        <v>98.001251934648451</v>
      </c>
      <c r="AI2190" s="262">
        <v>5514</v>
      </c>
      <c r="AJ2190" s="262"/>
      <c r="AK2190" s="262"/>
      <c r="AL2190" s="263"/>
      <c r="AM2190" s="264"/>
      <c r="AN2190" s="263"/>
      <c r="AO2190" s="263"/>
      <c r="AP2190" s="265"/>
      <c r="AQ2190" s="266">
        <v>9102</v>
      </c>
      <c r="AR2190" s="267">
        <v>50809</v>
      </c>
      <c r="AS2190" s="263"/>
      <c r="AT2190" s="263"/>
      <c r="AU2190" s="263"/>
      <c r="AV2190" s="264"/>
      <c r="AW2190" s="263"/>
      <c r="AX2190" s="263"/>
      <c r="AY2190" s="263"/>
      <c r="AZ2190" s="263"/>
      <c r="BA2190" s="263"/>
      <c r="BB2190" s="263"/>
      <c r="BC2190" s="263"/>
      <c r="BD2190" s="264"/>
      <c r="BE2190" s="263"/>
      <c r="BF2190" s="263"/>
      <c r="BG2190" s="263"/>
      <c r="BH2190" s="263"/>
      <c r="BI2190" s="263"/>
      <c r="BJ2190" s="404">
        <f>altaz(J2000_Bas,$O2190,$M2190,DecLat,DecLong,2)</f>
        <v>267.66964659339089</v>
      </c>
      <c r="BK2190" s="378" t="s">
        <v>2085</v>
      </c>
      <c r="BL2190" s="379">
        <f>IF((2*G2190)/60&lt;0.2,0.2,(2*G2190)/60)</f>
        <v>0.2</v>
      </c>
      <c r="BM2190" s="380">
        <f>MOD((50000+AD2190-$B$3+(0/24)),1)</f>
        <v>0.80107933105318807</v>
      </c>
      <c r="BN2190" s="381" t="s">
        <v>9283</v>
      </c>
      <c r="BO2190" s="382">
        <v>2181</v>
      </c>
    </row>
    <row r="2191" spans="1:67" s="24" customFormat="1" ht="15" customHeight="1" x14ac:dyDescent="0.25">
      <c r="A2191" s="287" t="s">
        <v>2086</v>
      </c>
      <c r="B2191" s="241" t="str">
        <f>HYPERLINK(CONCATENATE($AT$3,BK2191,$AU$3),$AV$3)</f>
        <v>S</v>
      </c>
      <c r="C2191" s="242" t="str">
        <f>HYPERLINK(CONCATENATE($AT$4,BK2191,$AU$4,BL2191),$AV$4)</f>
        <v>A</v>
      </c>
      <c r="D2191" s="243" t="s">
        <v>5638</v>
      </c>
      <c r="E2191" s="244" t="s">
        <v>5192</v>
      </c>
      <c r="F2191" s="269" t="s">
        <v>8689</v>
      </c>
      <c r="G2191" s="273">
        <v>4.5999999999999996</v>
      </c>
      <c r="H2191" s="283">
        <v>65</v>
      </c>
      <c r="I2191" s="246">
        <v>90</v>
      </c>
      <c r="J2191" s="246">
        <v>2</v>
      </c>
      <c r="K2191" s="247" t="s">
        <v>8182</v>
      </c>
      <c r="L2191" s="248">
        <v>141451</v>
      </c>
      <c r="M2191" s="249">
        <f>15*(LEFT(TEXT($L2191,"000000"),2)+(MID(TEXT($L2191,"000000"),3,2)/60)+(RIGHT(TEXT($L2191,"000000"),2)/3600))</f>
        <v>213.71249999999998</v>
      </c>
      <c r="N2191" s="250">
        <v>251902</v>
      </c>
      <c r="O2191" s="251">
        <f>IF($N2191&gt;0,(LEFT(TEXT($N2191,"000000"),2)+(MID(TEXT($N2191,"000000"),3,2)/60)+(RIGHT(TEXT($N2191,"000000"),2)/3600)),-(MID(TEXT($N2191,"000000"),2,2)+(MID(TEXT($N2191,"000000"),4,2)/60)+(RIGHT(TEXT($N2191,"000000"),2)/3600)))</f>
        <v>25.31722222222222</v>
      </c>
      <c r="P2191" s="252" t="s">
        <v>260</v>
      </c>
      <c r="Q2191" s="253"/>
      <c r="R2191" s="277" t="s">
        <v>3293</v>
      </c>
      <c r="S2191" s="272" t="s">
        <v>3293</v>
      </c>
      <c r="T2191" s="273">
        <v>12.2</v>
      </c>
      <c r="U2191" s="289">
        <v>22.69</v>
      </c>
      <c r="V2191" s="280">
        <v>80</v>
      </c>
      <c r="W2191" s="244"/>
      <c r="X2191" s="244"/>
      <c r="Y2191" s="362"/>
      <c r="Z2191" s="257">
        <f>altaz(J2000_Bas,$O2191,$M2191,DecLat,DecLong,1)</f>
        <v>27.126053123796257</v>
      </c>
      <c r="AA2191" s="257">
        <f>altaz((J2000_Bas+(2*0.04167)),$O2191,$M2191,DecLat,DecLong,1)</f>
        <v>3.1066438452772629</v>
      </c>
      <c r="AB2191" s="257">
        <f>altaz((J2000_Bas+(4*0.04167)),$O2191,$M2191,DecLat,DecLong,1)</f>
        <v>-17.627172544568435</v>
      </c>
      <c r="AC2191" s="257">
        <f>altaz((J2000_Bas+(6*0.04167)),$O2191,$M2191,DecLat,DecLong,1)</f>
        <v>-31.259172287300526</v>
      </c>
      <c r="AD2191" s="258">
        <f>1+ transit((J2000_Bas-1),$O2191,$M2191,DecLat,DecLong)/360 + (GMTOffset/24) + (IF(DST="Y", 1, 0)/24)</f>
        <v>1.5865457345984579</v>
      </c>
      <c r="AE2191" s="259">
        <f>DATE(2001,9,21)+(M2191/360)*365 - (360*((DecLong/360)- (GMTOffset/24) ))</f>
        <v>37376.68072916667</v>
      </c>
      <c r="AF2191" s="260">
        <f>IF(DecLat&gt;0,IF((90 - (DecLat-O2191))&gt;90, (90 - (O2191-DecLat)), (90 - (DecLat-O2191))),IF((90 + (DecLat-O2191))&gt;90, (90 + (O2191-DecLat)), (90 + (DecLat-O2191))))</f>
        <v>84.317222222222227</v>
      </c>
      <c r="AG2191" s="257">
        <f>angularseperation(MoonRA,MoonDec,$M2191,$O2191)</f>
        <v>62.594671378789123</v>
      </c>
      <c r="AH2191" s="261">
        <f ca="1">MIN(100,IF($O$5&gt;80,0+30*($AG2191/100),IF($O$5&gt;70,0+50*($AG2191/100),IF($O$5&gt;60,5+50*($AG2191/100),IF($O$5&gt;50,10+60*($AG2191/100),IF($O$5&gt;40,15+70*($AG2191/100),IF($O$5&gt;30,20+70*($AG2191/100),IF($O$5&gt;20,40+55*($AG2191/100),(80+(20-$O$5)+30*($AG2191/100))))))))))</f>
        <v>100</v>
      </c>
      <c r="AI2191" s="262">
        <v>5523</v>
      </c>
      <c r="AJ2191" s="263"/>
      <c r="AK2191" s="263"/>
      <c r="AL2191" s="263"/>
      <c r="AM2191" s="264"/>
      <c r="AN2191" s="263"/>
      <c r="AO2191" s="263"/>
      <c r="AP2191" s="265"/>
      <c r="AQ2191" s="265">
        <v>9119</v>
      </c>
      <c r="AR2191" s="285">
        <v>50895</v>
      </c>
      <c r="AS2191" s="263"/>
      <c r="AT2191" s="263"/>
      <c r="AU2191" s="263"/>
      <c r="AV2191" s="264"/>
      <c r="AW2191" s="263"/>
      <c r="AX2191" s="263"/>
      <c r="AY2191" s="263"/>
      <c r="AZ2191" s="263"/>
      <c r="BA2191" s="263"/>
      <c r="BB2191" s="263"/>
      <c r="BC2191" s="263"/>
      <c r="BD2191" s="264"/>
      <c r="BE2191" s="263"/>
      <c r="BF2191" s="263"/>
      <c r="BG2191" s="263"/>
      <c r="BH2191" s="263"/>
      <c r="BI2191" s="263"/>
      <c r="BJ2191" s="404">
        <f>altaz(J2000_Bas,$O2191,$M2191,DecLat,DecLong,2)</f>
        <v>284.63869749573178</v>
      </c>
      <c r="BK2191" s="378" t="s">
        <v>2086</v>
      </c>
      <c r="BL2191" s="379">
        <f>IF((2*G2191)/60&lt;0.2,0.2,(2*G2191)/60)</f>
        <v>0.2</v>
      </c>
      <c r="BM2191" s="380">
        <f>MOD((50000+AD2191-$B$3+(0/24)),1)</f>
        <v>0.80191266430483665</v>
      </c>
      <c r="BN2191" s="381"/>
      <c r="BO2191" s="382">
        <v>2182</v>
      </c>
    </row>
    <row r="2192" spans="1:67" s="24" customFormat="1" ht="15" customHeight="1" x14ac:dyDescent="0.25">
      <c r="A2192" s="288" t="s">
        <v>2087</v>
      </c>
      <c r="B2192" s="241" t="str">
        <f>HYPERLINK(CONCATENATE($AT$3,BK2192,$AU$3),$AV$3)</f>
        <v>S</v>
      </c>
      <c r="C2192" s="242" t="str">
        <f>HYPERLINK(CONCATENATE($AT$4,BK2192,$AU$4,BL2192),$AV$4)</f>
        <v>A</v>
      </c>
      <c r="D2192" s="243" t="s">
        <v>5638</v>
      </c>
      <c r="E2192" s="244" t="s">
        <v>5192</v>
      </c>
      <c r="F2192" s="269" t="s">
        <v>8721</v>
      </c>
      <c r="G2192" s="273">
        <v>6</v>
      </c>
      <c r="H2192" s="283">
        <v>150</v>
      </c>
      <c r="I2192" s="246">
        <v>250</v>
      </c>
      <c r="J2192" s="246">
        <v>3</v>
      </c>
      <c r="K2192" s="247" t="s">
        <v>8183</v>
      </c>
      <c r="L2192" s="248">
        <v>141535</v>
      </c>
      <c r="M2192" s="249">
        <f>15*(LEFT(TEXT($L2192,"000000"),2)+(MID(TEXT($L2192,"000000"),3,2)/60)+(RIGHT(TEXT($L2192,"000000"),2)/3600))</f>
        <v>213.89583333333334</v>
      </c>
      <c r="N2192" s="286">
        <v>361338</v>
      </c>
      <c r="O2192" s="251">
        <f>IF($N2192&gt;0,(LEFT(TEXT($N2192,"000000"),2)+(MID(TEXT($N2192,"000000"),3,2)/60)+(RIGHT(TEXT($N2192,"000000"),2)/3600)),-(MID(TEXT($N2192,"000000"),2,2)+(MID(TEXT($N2192,"000000"),4,2)/60)+(RIGHT(TEXT($N2192,"000000"),2)/3600)))</f>
        <v>36.227222222222224</v>
      </c>
      <c r="P2192" s="252" t="s">
        <v>260</v>
      </c>
      <c r="Q2192" s="253"/>
      <c r="R2192" s="247" t="s">
        <v>3293</v>
      </c>
      <c r="S2192" s="272" t="s">
        <v>3293</v>
      </c>
      <c r="T2192" s="273">
        <v>11.9</v>
      </c>
      <c r="U2192" s="289">
        <v>22.39</v>
      </c>
      <c r="V2192" s="280">
        <v>88</v>
      </c>
      <c r="W2192" s="244"/>
      <c r="X2192" s="244"/>
      <c r="Y2192" s="362"/>
      <c r="Z2192" s="257">
        <f>altaz(J2000_Bas,$O2192,$M2192,DecLat,DecLong,1)</f>
        <v>31.119748715697384</v>
      </c>
      <c r="AA2192" s="257">
        <f>altaz((J2000_Bas+(2*0.04167)),$O2192,$M2192,DecLat,DecLong,1)</f>
        <v>9.1118049309320206</v>
      </c>
      <c r="AB2192" s="257">
        <f>altaz((J2000_Bas+(4*0.04167)),$O2192,$M2192,DecLat,DecLong,1)</f>
        <v>-9.2512243617729162</v>
      </c>
      <c r="AC2192" s="257">
        <f>altaz((J2000_Bas+(6*0.04167)),$O2192,$M2192,DecLat,DecLong,1)</f>
        <v>-20.766861889088162</v>
      </c>
      <c r="AD2192" s="258">
        <f>1+ transit((J2000_Bas-1),$O2192,$M2192,DecLat,DecLong)/360 + (GMTOffset/24) + (IF(DST="Y", 1, 0)/24)</f>
        <v>1.5870549938067915</v>
      </c>
      <c r="AE2192" s="259">
        <f>DATE(2001,9,21)+(M2192/360)*365 - (360*((DecLong/360)- (GMTOffset/24) ))</f>
        <v>37376.866608796299</v>
      </c>
      <c r="AF2192" s="260">
        <f>IF(DecLat&gt;0,IF((90 - (DecLat-O2192))&gt;90, (90 - (O2192-DecLat)), (90 - (DecLat-O2192))),IF((90 + (DecLat-O2192))&gt;90, (90 + (O2192-DecLat)), (90 + (DecLat-O2192))))</f>
        <v>84.772777777777776</v>
      </c>
      <c r="AG2192" s="257">
        <f>angularseperation(MoonRA,MoonDec,$M2192,$O2192)</f>
        <v>71.533193590552116</v>
      </c>
      <c r="AH2192" s="261">
        <f ca="1">MIN(100,IF($O$5&gt;80,0+30*($AG2192/100),IF($O$5&gt;70,0+50*($AG2192/100),IF($O$5&gt;60,5+50*($AG2192/100),IF($O$5&gt;50,10+60*($AG2192/100),IF($O$5&gt;40,15+70*($AG2192/100),IF($O$5&gt;30,20+70*($AG2192/100),IF($O$5&gt;20,40+55*($AG2192/100),(80+(20-$O$5)+30*($AG2192/100))))))))))</f>
        <v>100</v>
      </c>
      <c r="AI2192" s="262">
        <v>5529</v>
      </c>
      <c r="AJ2192" s="262"/>
      <c r="AK2192" s="262"/>
      <c r="AL2192" s="263"/>
      <c r="AM2192" s="264"/>
      <c r="AN2192" s="263"/>
      <c r="AO2192" s="263"/>
      <c r="AP2192" s="265"/>
      <c r="AQ2192" s="266">
        <v>9127</v>
      </c>
      <c r="AR2192" s="267">
        <v>50942</v>
      </c>
      <c r="AS2192" s="263"/>
      <c r="AT2192" s="263"/>
      <c r="AU2192" s="263"/>
      <c r="AV2192" s="264"/>
      <c r="AW2192" s="263"/>
      <c r="AX2192" s="263"/>
      <c r="AY2192" s="263"/>
      <c r="AZ2192" s="263"/>
      <c r="BA2192" s="263"/>
      <c r="BB2192" s="263"/>
      <c r="BC2192" s="263"/>
      <c r="BD2192" s="264"/>
      <c r="BE2192" s="263"/>
      <c r="BF2192" s="263"/>
      <c r="BG2192" s="263"/>
      <c r="BH2192" s="263"/>
      <c r="BI2192" s="263"/>
      <c r="BJ2192" s="404">
        <f>altaz(J2000_Bas,$O2192,$M2192,DecLat,DecLong,2)</f>
        <v>296.27143165230427</v>
      </c>
      <c r="BK2192" s="378" t="s">
        <v>2087</v>
      </c>
      <c r="BL2192" s="379">
        <f>IF((2*G2192)/60&lt;0.2,0.2,(2*G2192)/60)</f>
        <v>0.2</v>
      </c>
      <c r="BM2192" s="380">
        <f>MOD((50000+AD2192-$B$3+(0/24)),1)</f>
        <v>0.80242192350851838</v>
      </c>
      <c r="BN2192" s="381" t="s">
        <v>9218</v>
      </c>
      <c r="BO2192" s="382">
        <v>2183</v>
      </c>
    </row>
    <row r="2193" spans="1:67" s="24" customFormat="1" ht="15" customHeight="1" x14ac:dyDescent="0.25">
      <c r="A2193" s="288" t="s">
        <v>2088</v>
      </c>
      <c r="B2193" s="241" t="str">
        <f>HYPERLINK(CONCATENATE($AT$3,BK2193,$AU$3),$AV$3)</f>
        <v>S</v>
      </c>
      <c r="C2193" s="242" t="str">
        <f>HYPERLINK(CONCATENATE($AT$4,BK2193,$AU$4,BL2193),$AV$4)</f>
        <v>A</v>
      </c>
      <c r="D2193" s="243" t="s">
        <v>5638</v>
      </c>
      <c r="E2193" s="244" t="s">
        <v>5192</v>
      </c>
      <c r="F2193" s="269" t="s">
        <v>8690</v>
      </c>
      <c r="G2193" s="273">
        <v>3.8</v>
      </c>
      <c r="H2193" s="283">
        <v>145</v>
      </c>
      <c r="I2193" s="246">
        <v>160</v>
      </c>
      <c r="J2193" s="246">
        <v>2</v>
      </c>
      <c r="K2193" s="247" t="s">
        <v>8184</v>
      </c>
      <c r="L2193" s="248">
        <v>141608</v>
      </c>
      <c r="M2193" s="249">
        <f>15*(LEFT(TEXT($L2193,"000000"),2)+(MID(TEXT($L2193,"000000"),3,2)/60)+(RIGHT(TEXT($L2193,"000000"),2)/3600))</f>
        <v>214.03333333333336</v>
      </c>
      <c r="N2193" s="250">
        <v>352038</v>
      </c>
      <c r="O2193" s="251">
        <f>IF($N2193&gt;0,(LEFT(TEXT($N2193,"000000"),2)+(MID(TEXT($N2193,"000000"),3,2)/60)+(RIGHT(TEXT($N2193,"000000"),2)/3600)),-(MID(TEXT($N2193,"000000"),2,2)+(MID(TEXT($N2193,"000000"),4,2)/60)+(RIGHT(TEXT($N2193,"000000"),2)/3600)))</f>
        <v>35.343888888888891</v>
      </c>
      <c r="P2193" s="252" t="s">
        <v>260</v>
      </c>
      <c r="Q2193" s="253"/>
      <c r="R2193" s="277" t="s">
        <v>3293</v>
      </c>
      <c r="S2193" s="272" t="s">
        <v>3293</v>
      </c>
      <c r="T2193" s="273">
        <v>11.8</v>
      </c>
      <c r="U2193" s="289">
        <v>22.490000000000002</v>
      </c>
      <c r="V2193" s="280">
        <v>25</v>
      </c>
      <c r="W2193" s="244"/>
      <c r="X2193" s="244"/>
      <c r="Y2193" s="362"/>
      <c r="Z2193" s="257">
        <f>altaz(J2000_Bas,$O2193,$M2193,DecLat,DecLong,1)</f>
        <v>30.954521129777469</v>
      </c>
      <c r="AA2193" s="257">
        <f>altaz((J2000_Bas+(2*0.04167)),$O2193,$M2193,DecLat,DecLong,1)</f>
        <v>8.7387254362959261</v>
      </c>
      <c r="AB2193" s="257">
        <f>altaz((J2000_Bas+(4*0.04167)),$O2193,$M2193,DecLat,DecLong,1)</f>
        <v>-9.8552883910113049</v>
      </c>
      <c r="AC2193" s="257">
        <f>altaz((J2000_Bas+(6*0.04167)),$O2193,$M2193,DecLat,DecLong,1)</f>
        <v>-21.583773852150156</v>
      </c>
      <c r="AD2193" s="258">
        <f>1+ transit((J2000_Bas-1),$O2193,$M2193,DecLat,DecLong)/360 + (GMTOffset/24) + (IF(DST="Y", 1, 0)/24)</f>
        <v>1.5874369382130415</v>
      </c>
      <c r="AE2193" s="259">
        <f>DATE(2001,9,21)+(M2193/360)*365 - (360*((DecLong/360)- (GMTOffset/24) ))</f>
        <v>37377.006018518521</v>
      </c>
      <c r="AF2193" s="260">
        <f>IF(DecLat&gt;0,IF((90 - (DecLat-O2193))&gt;90, (90 - (O2193-DecLat)), (90 - (DecLat-O2193))),IF((90 + (DecLat-O2193))&gt;90, (90 + (O2193-DecLat)), (90 + (DecLat-O2193))))</f>
        <v>85.656111111111102</v>
      </c>
      <c r="AG2193" s="257">
        <f>angularseperation(MoonRA,MoonDec,$M2193,$O2193)</f>
        <v>70.731049450382741</v>
      </c>
      <c r="AH2193" s="261">
        <f ca="1">MIN(100,IF($O$5&gt;80,0+30*($AG2193/100),IF($O$5&gt;70,0+50*($AG2193/100),IF($O$5&gt;60,5+50*($AG2193/100),IF($O$5&gt;50,10+60*($AG2193/100),IF($O$5&gt;40,15+70*($AG2193/100),IF($O$5&gt;30,20+70*($AG2193/100),IF($O$5&gt;20,40+55*($AG2193/100),(80+(20-$O$5)+30*($AG2193/100))))))))))</f>
        <v>100</v>
      </c>
      <c r="AI2193" s="262">
        <v>5533</v>
      </c>
      <c r="AJ2193" s="263"/>
      <c r="AK2193" s="263"/>
      <c r="AL2193" s="263"/>
      <c r="AM2193" s="264"/>
      <c r="AN2193" s="263"/>
      <c r="AO2193" s="263"/>
      <c r="AP2193" s="265"/>
      <c r="AQ2193" s="265">
        <v>9133</v>
      </c>
      <c r="AR2193" s="285">
        <v>50973</v>
      </c>
      <c r="AS2193" s="263"/>
      <c r="AT2193" s="263"/>
      <c r="AU2193" s="263"/>
      <c r="AV2193" s="264"/>
      <c r="AW2193" s="263"/>
      <c r="AX2193" s="263"/>
      <c r="AY2193" s="263"/>
      <c r="AZ2193" s="263"/>
      <c r="BA2193" s="263"/>
      <c r="BB2193" s="263"/>
      <c r="BC2193" s="263"/>
      <c r="BD2193" s="264"/>
      <c r="BE2193" s="263"/>
      <c r="BF2193" s="263"/>
      <c r="BG2193" s="263"/>
      <c r="BH2193" s="263"/>
      <c r="BI2193" s="263"/>
      <c r="BJ2193" s="404">
        <f>altaz(J2000_Bas,$O2193,$M2193,DecLat,DecLong,2)</f>
        <v>295.2503629155168</v>
      </c>
      <c r="BK2193" s="378" t="s">
        <v>2088</v>
      </c>
      <c r="BL2193" s="379">
        <f>IF((2*G2193)/60&lt;0.2,0.2,(2*G2193)/60)</f>
        <v>0.2</v>
      </c>
      <c r="BM2193" s="380">
        <f>MOD((50000+AD2193-$B$3+(0/24)),1)</f>
        <v>0.80280386791855562</v>
      </c>
      <c r="BN2193" s="381"/>
      <c r="BO2193" s="382">
        <v>2184</v>
      </c>
    </row>
    <row r="2194" spans="1:67" s="24" customFormat="1" ht="15" customHeight="1" x14ac:dyDescent="0.25">
      <c r="A2194" s="288" t="s">
        <v>2089</v>
      </c>
      <c r="B2194" s="241" t="str">
        <f>HYPERLINK(CONCATENATE($AT$3,BK2194,$AU$3),$AV$3)</f>
        <v>S</v>
      </c>
      <c r="C2194" s="242" t="str">
        <f>HYPERLINK(CONCATENATE($AT$4,BK2194,$AU$4,BL2194),$AV$4)</f>
        <v>A</v>
      </c>
      <c r="D2194" s="243" t="s">
        <v>5638</v>
      </c>
      <c r="E2194" s="244" t="s">
        <v>5192</v>
      </c>
      <c r="F2194" s="269" t="s">
        <v>8990</v>
      </c>
      <c r="G2194" s="273">
        <v>1.5</v>
      </c>
      <c r="H2194" s="283">
        <v>120.45996000000001</v>
      </c>
      <c r="I2194" s="246">
        <v>55</v>
      </c>
      <c r="J2194" s="246">
        <v>2</v>
      </c>
      <c r="K2194" s="247" t="s">
        <v>8185</v>
      </c>
      <c r="L2194" s="248">
        <v>141740</v>
      </c>
      <c r="M2194" s="249">
        <f>15*(LEFT(TEXT($L2194,"000000"),2)+(MID(TEXT($L2194,"000000"),3,2)/60)+(RIGHT(TEXT($L2194,"000000"),2)/3600))</f>
        <v>214.41666666666666</v>
      </c>
      <c r="N2194" s="250">
        <v>-72502</v>
      </c>
      <c r="O2194" s="251">
        <f>IF($N2194&gt;0,(LEFT(TEXT($N2194,"000000"),2)+(MID(TEXT($N2194,"000000"),3,2)/60)+(RIGHT(TEXT($N2194,"000000"),2)/3600)),-(MID(TEXT($N2194,"000000"),2,2)+(MID(TEXT($N2194,"000000"),4,2)/60)+(RIGHT(TEXT($N2194,"000000"),2)/3600)))</f>
        <v>-7.4172222222222226</v>
      </c>
      <c r="P2194" s="252" t="s">
        <v>61</v>
      </c>
      <c r="Q2194" s="253"/>
      <c r="R2194" s="247" t="s">
        <v>3293</v>
      </c>
      <c r="S2194" s="272" t="s">
        <v>3293</v>
      </c>
      <c r="T2194" s="273">
        <v>12.3</v>
      </c>
      <c r="U2194" s="289">
        <v>21.29</v>
      </c>
      <c r="V2194" s="280">
        <v>45</v>
      </c>
      <c r="W2194" s="244"/>
      <c r="X2194" s="244"/>
      <c r="Y2194" s="362"/>
      <c r="Z2194" s="257">
        <f>altaz(J2000_Bas,$O2194,$M2194,DecLat,DecLong,1)</f>
        <v>11.654495642517633</v>
      </c>
      <c r="AA2194" s="257">
        <f>altaz((J2000_Bas+(2*0.04167)),$O2194,$M2194,DecLat,DecLong,1)</f>
        <v>-13.793766924355786</v>
      </c>
      <c r="AB2194" s="257">
        <f>altaz((J2000_Bas+(4*0.04167)),$O2194,$M2194,DecLat,DecLong,1)</f>
        <v>-39.237770612466413</v>
      </c>
      <c r="AC2194" s="257">
        <f>altaz((J2000_Bas+(6*0.04167)),$O2194,$M2194,DecLat,DecLong,1)</f>
        <v>-60.943686348648995</v>
      </c>
      <c r="AD2194" s="258">
        <f>1+ transit((J2000_Bas-1),$O2194,$M2194,DecLat,DecLong)/360 + (GMTOffset/24) + (IF(DST="Y", 1, 0)/24)</f>
        <v>1.5885017529213747</v>
      </c>
      <c r="AE2194" s="259">
        <f>DATE(2001,9,21)+(M2194/360)*365 - (360*((DecLong/360)- (GMTOffset/24) ))</f>
        <v>37377.394675925927</v>
      </c>
      <c r="AF2194" s="260">
        <f>IF(DecLat&gt;0,IF((90 - (DecLat-O2194))&gt;90, (90 - (O2194-DecLat)), (90 - (DecLat-O2194))),IF((90 + (DecLat-O2194))&gt;90, (90 + (O2194-DecLat)), (90 + (DecLat-O2194))))</f>
        <v>51.582777777777778</v>
      </c>
      <c r="AG2194" s="257">
        <f>angularseperation(MoonRA,MoonDec,$M2194,$O2194)</f>
        <v>38.414358355176688</v>
      </c>
      <c r="AH2194" s="261">
        <f ca="1">MIN(100,IF($O$5&gt;80,0+30*($AG2194/100),IF($O$5&gt;70,0+50*($AG2194/100),IF($O$5&gt;60,5+50*($AG2194/100),IF($O$5&gt;50,10+60*($AG2194/100),IF($O$5&gt;40,15+70*($AG2194/100),IF($O$5&gt;30,20+70*($AG2194/100),IF($O$5&gt;20,40+55*($AG2194/100),(80+(20-$O$5)+30*($AG2194/100))))))))))</f>
        <v>94.795367850703428</v>
      </c>
      <c r="AI2194" s="262">
        <v>5534</v>
      </c>
      <c r="AJ2194" s="262"/>
      <c r="AK2194" s="262"/>
      <c r="AL2194" s="263"/>
      <c r="AM2194" s="264"/>
      <c r="AN2194" s="263"/>
      <c r="AO2194" s="263"/>
      <c r="AP2194" s="265"/>
      <c r="AQ2194" s="266"/>
      <c r="AR2194" s="267">
        <v>51055</v>
      </c>
      <c r="AS2194" s="263"/>
      <c r="AT2194" s="263"/>
      <c r="AU2194" s="263"/>
      <c r="AV2194" s="264"/>
      <c r="AW2194" s="263"/>
      <c r="AX2194" s="263"/>
      <c r="AY2194" s="263"/>
      <c r="AZ2194" s="263"/>
      <c r="BA2194" s="263"/>
      <c r="BB2194" s="263"/>
      <c r="BC2194" s="263"/>
      <c r="BD2194" s="264"/>
      <c r="BE2194" s="263"/>
      <c r="BF2194" s="263"/>
      <c r="BG2194" s="263"/>
      <c r="BH2194" s="263"/>
      <c r="BI2194" s="263"/>
      <c r="BJ2194" s="404">
        <f>altaz(J2000_Bas,$O2194,$M2194,DecLat,DecLong,2)</f>
        <v>253.87642502117046</v>
      </c>
      <c r="BK2194" s="378" t="s">
        <v>2089</v>
      </c>
      <c r="BL2194" s="379">
        <f>IF((2*G2194)/60&lt;0.2,0.2,(2*G2194)/60)</f>
        <v>0.2</v>
      </c>
      <c r="BM2194" s="380">
        <f>MOD((50000+AD2194-$B$3+(0/24)),1)</f>
        <v>0.80386868262576172</v>
      </c>
      <c r="BN2194" s="381"/>
      <c r="BO2194" s="382">
        <v>2185</v>
      </c>
    </row>
    <row r="2195" spans="1:67" s="24" customFormat="1" ht="15" customHeight="1" x14ac:dyDescent="0.25">
      <c r="A2195" s="287" t="s">
        <v>3012</v>
      </c>
      <c r="B2195" s="241" t="str">
        <f>HYPERLINK(CONCATENATE($AT$3,BK2195,$AU$3),$AV$3)</f>
        <v>S</v>
      </c>
      <c r="C2195" s="242" t="str">
        <f>HYPERLINK(CONCATENATE($AT$4,BK2195,$AU$4,BL2195),$AV$4)</f>
        <v>A</v>
      </c>
      <c r="D2195" s="243" t="s">
        <v>5638</v>
      </c>
      <c r="E2195" s="244" t="s">
        <v>5182</v>
      </c>
      <c r="F2195" s="269" t="s">
        <v>3300</v>
      </c>
      <c r="G2195" s="273">
        <v>3.8</v>
      </c>
      <c r="H2195" s="283">
        <v>130</v>
      </c>
      <c r="I2195" s="246">
        <v>150</v>
      </c>
      <c r="J2195" s="246">
        <v>2</v>
      </c>
      <c r="K2195" s="247" t="s">
        <v>8186</v>
      </c>
      <c r="L2195" s="248">
        <v>141818</v>
      </c>
      <c r="M2195" s="249">
        <f>15*(LEFT(TEXT($L2195,"000000"),2)+(MID(TEXT($L2195,"000000"),3,2)/60)+(RIGHT(TEXT($L2195,"000000"),2)/3600))</f>
        <v>214.57500000000002</v>
      </c>
      <c r="N2195" s="250">
        <v>362900</v>
      </c>
      <c r="O2195" s="251">
        <f>IF($N2195&gt;0,(LEFT(TEXT($N2195,"000000"),2)+(MID(TEXT($N2195,"000000"),3,2)/60)+(RIGHT(TEXT($N2195,"000000"),2)/3600)),-(MID(TEXT($N2195,"000000"),2,2)+(MID(TEXT($N2195,"000000"),4,2)/60)+(RIGHT(TEXT($N2195,"000000"),2)/3600)))</f>
        <v>36.483333333333334</v>
      </c>
      <c r="P2195" s="252" t="s">
        <v>260</v>
      </c>
      <c r="Q2195" s="253"/>
      <c r="R2195" s="277" t="s">
        <v>3293</v>
      </c>
      <c r="S2195" s="272" t="s">
        <v>3293</v>
      </c>
      <c r="T2195" s="273">
        <v>11</v>
      </c>
      <c r="U2195" s="289">
        <v>21.490000000000002</v>
      </c>
      <c r="V2195" s="280">
        <v>20</v>
      </c>
      <c r="W2195" s="244"/>
      <c r="X2195" s="244"/>
      <c r="Y2195" s="362"/>
      <c r="Z2195" s="257">
        <f>altaz(J2000_Bas,$O2195,$M2195,DecLat,DecLong,1)</f>
        <v>31.718336792883349</v>
      </c>
      <c r="AA2195" s="257">
        <f>altaz((J2000_Bas+(2*0.04167)),$O2195,$M2195,DecLat,DecLong,1)</f>
        <v>9.7116891698377898</v>
      </c>
      <c r="AB2195" s="257">
        <f>altaz((J2000_Bas+(4*0.04167)),$O2195,$M2195,DecLat,DecLong,1)</f>
        <v>-8.70253498774081</v>
      </c>
      <c r="AC2195" s="257">
        <f>altaz((J2000_Bas+(6*0.04167)),$O2195,$M2195,DecLat,DecLong,1)</f>
        <v>-20.366622880957987</v>
      </c>
      <c r="AD2195" s="258">
        <f>1+ transit((J2000_Bas-1),$O2195,$M2195,DecLat,DecLong)/360 + (GMTOffset/24) + (IF(DST="Y", 1, 0)/24)</f>
        <v>1.5889415676922081</v>
      </c>
      <c r="AE2195" s="259">
        <f>DATE(2001,9,21)+(M2195/360)*365 - (360*((DecLong/360)- (GMTOffset/24) ))</f>
        <v>37377.555208333331</v>
      </c>
      <c r="AF2195" s="260">
        <f>IF(DecLat&gt;0,IF((90 - (DecLat-O2195))&gt;90, (90 - (O2195-DecLat)), (90 - (DecLat-O2195))),IF((90 + (DecLat-O2195))&gt;90, (90 + (O2195-DecLat)), (90 + (DecLat-O2195))))</f>
        <v>84.516666666666666</v>
      </c>
      <c r="AG2195" s="257">
        <f>angularseperation(MoonRA,MoonDec,$M2195,$O2195)</f>
        <v>71.454373981889674</v>
      </c>
      <c r="AH2195" s="261">
        <f ca="1">MIN(100,IF($O$5&gt;80,0+30*($AG2195/100),IF($O$5&gt;70,0+50*($AG2195/100),IF($O$5&gt;60,5+50*($AG2195/100),IF($O$5&gt;50,10+60*($AG2195/100),IF($O$5&gt;40,15+70*($AG2195/100),IF($O$5&gt;30,20+70*($AG2195/100),IF($O$5&gt;20,40+55*($AG2195/100),(80+(20-$O$5)+30*($AG2195/100))))))))))</f>
        <v>100</v>
      </c>
      <c r="AI2195" s="262">
        <v>5557</v>
      </c>
      <c r="AJ2195" s="263"/>
      <c r="AK2195" s="263">
        <v>301</v>
      </c>
      <c r="AL2195" s="263"/>
      <c r="AM2195" s="264"/>
      <c r="AN2195" s="263"/>
      <c r="AO2195" s="263"/>
      <c r="AP2195" s="265"/>
      <c r="AQ2195" s="265">
        <v>9161</v>
      </c>
      <c r="AR2195" s="285">
        <v>51104</v>
      </c>
      <c r="AS2195" s="263"/>
      <c r="AT2195" s="263"/>
      <c r="AU2195" s="263"/>
      <c r="AV2195" s="264"/>
      <c r="AW2195" s="263"/>
      <c r="AX2195" s="263"/>
      <c r="AY2195" s="263"/>
      <c r="AZ2195" s="263"/>
      <c r="BA2195" s="263"/>
      <c r="BB2195" s="263"/>
      <c r="BC2195" s="263"/>
      <c r="BD2195" s="264"/>
      <c r="BE2195" s="263"/>
      <c r="BF2195" s="263"/>
      <c r="BG2195" s="263"/>
      <c r="BH2195" s="263"/>
      <c r="BI2195" s="263"/>
      <c r="BJ2195" s="404">
        <f>altaz(J2000_Bas,$O2195,$M2195,DecLat,DecLong,2)</f>
        <v>296.36561938756296</v>
      </c>
      <c r="BK2195" s="378" t="s">
        <v>3012</v>
      </c>
      <c r="BL2195" s="379">
        <f>IF((2*G2195)/60&lt;0.2,0.2,(2*G2195)/60)</f>
        <v>0.2</v>
      </c>
      <c r="BM2195" s="380">
        <f>MOD((50000+AD2195-$B$3+(0/24)),1)</f>
        <v>0.80430849739786936</v>
      </c>
      <c r="BN2195" s="381"/>
      <c r="BO2195" s="382">
        <v>2186</v>
      </c>
    </row>
    <row r="2196" spans="1:67" s="24" customFormat="1" ht="15" customHeight="1" x14ac:dyDescent="0.25">
      <c r="A2196" s="288" t="s">
        <v>8187</v>
      </c>
      <c r="B2196" s="241" t="str">
        <f>HYPERLINK(CONCATENATE($AT$3,BK2196,$AU$3),$AV$3)</f>
        <v>S</v>
      </c>
      <c r="C2196" s="242" t="str">
        <f>HYPERLINK(CONCATENATE($AT$4,BK2196,$AU$4,BL2196),$AV$4)</f>
        <v>A</v>
      </c>
      <c r="D2196" s="243" t="s">
        <v>5638</v>
      </c>
      <c r="E2196" s="244" t="s">
        <v>5194</v>
      </c>
      <c r="F2196" s="269"/>
      <c r="G2196" s="273">
        <v>4</v>
      </c>
      <c r="H2196" s="283">
        <v>80</v>
      </c>
      <c r="I2196" s="246">
        <v>100</v>
      </c>
      <c r="J2196" s="246">
        <v>2</v>
      </c>
      <c r="K2196" s="247" t="s">
        <v>8576</v>
      </c>
      <c r="L2196" s="248">
        <v>142104</v>
      </c>
      <c r="M2196" s="249">
        <f>15*(LEFT(TEXT($L2196,"000000"),2)+(MID(TEXT($L2196,"000000"),3,2)/60)+(RIGHT(TEXT($L2196,"000000"),2)/3600))</f>
        <v>215.26666666666665</v>
      </c>
      <c r="N2196" s="250">
        <v>31615</v>
      </c>
      <c r="O2196" s="251">
        <f>IF($N2196&gt;0,(LEFT(TEXT($N2196,"000000"),2)+(MID(TEXT($N2196,"000000"),3,2)/60)+(RIGHT(TEXT($N2196,"000000"),2)/3600)),-(MID(TEXT($N2196,"000000"),2,2)+(MID(TEXT($N2196,"000000"),4,2)/60)+(RIGHT(TEXT($N2196,"000000"),2)/3600)))</f>
        <v>3.2708333333333335</v>
      </c>
      <c r="P2196" s="252" t="s">
        <v>61</v>
      </c>
      <c r="Q2196" s="253"/>
      <c r="R2196" s="277" t="s">
        <v>3293</v>
      </c>
      <c r="S2196" s="272" t="s">
        <v>3293</v>
      </c>
      <c r="T2196" s="273">
        <v>11</v>
      </c>
      <c r="U2196" s="289">
        <v>22.09</v>
      </c>
      <c r="V2196" s="280"/>
      <c r="W2196" s="244"/>
      <c r="X2196" s="244"/>
      <c r="Y2196" s="362"/>
      <c r="Z2196" s="257">
        <f>altaz(J2000_Bas,$O2196,$M2196,DecLat,DecLong,1)</f>
        <v>18.1631310148423</v>
      </c>
      <c r="AA2196" s="257">
        <f>altaz((J2000_Bas+(2*0.04167)),$O2196,$M2196,DecLat,DecLong,1)</f>
        <v>-7.5430094646534238</v>
      </c>
      <c r="AB2196" s="257">
        <f>altaz((J2000_Bas+(4*0.04167)),$O2196,$M2196,DecLat,DecLong,1)</f>
        <v>-32.071642847080795</v>
      </c>
      <c r="AC2196" s="257">
        <f>altaz((J2000_Bas+(6*0.04167)),$O2196,$M2196,DecLat,DecLong,1)</f>
        <v>-51.234104750648363</v>
      </c>
      <c r="AD2196" s="258">
        <f>1+ transit((J2000_Bas-1),$O2196,$M2196,DecLat,DecLong)/360 + (GMTOffset/24) + (IF(DST="Y", 1, 0)/24)</f>
        <v>1.5908628637963746</v>
      </c>
      <c r="AE2196" s="259">
        <f>DATE(2001,9,21)+(M2196/360)*365 - (360*((DecLong/360)- (GMTOffset/24) ))</f>
        <v>37378.256481481483</v>
      </c>
      <c r="AF2196" s="260">
        <f>IF(DecLat&gt;0,IF((90 - (DecLat-O2196))&gt;90, (90 - (O2196-DecLat)), (90 - (DecLat-O2196))),IF((90 + (DecLat-O2196))&gt;90, (90 + (O2196-DecLat)), (90 + (DecLat-O2196))))</f>
        <v>62.270833333333329</v>
      </c>
      <c r="AG2196" s="257">
        <f>angularseperation(MoonRA,MoonDec,$M2196,$O2196)</f>
        <v>44.670659986221523</v>
      </c>
      <c r="AH2196" s="261">
        <f ca="1">MIN(100,IF($O$5&gt;80,0+30*($AG2196/100),IF($O$5&gt;70,0+50*($AG2196/100),IF($O$5&gt;60,5+50*($AG2196/100),IF($O$5&gt;50,10+60*($AG2196/100),IF($O$5&gt;40,15+70*($AG2196/100),IF($O$5&gt;30,20+70*($AG2196/100),IF($O$5&gt;20,40+55*($AG2196/100),(80+(20-$O$5)+30*($AG2196/100))))))))))</f>
        <v>96.672258340016882</v>
      </c>
      <c r="AI2196" s="262">
        <v>5576</v>
      </c>
      <c r="AJ2196" s="263"/>
      <c r="AK2196" s="263">
        <v>303</v>
      </c>
      <c r="AL2196" s="263"/>
      <c r="AM2196" s="264"/>
      <c r="AN2196" s="263"/>
      <c r="AO2196" s="263"/>
      <c r="AP2196" s="265"/>
      <c r="AQ2196" s="265">
        <v>9183</v>
      </c>
      <c r="AR2196" s="285">
        <v>51275</v>
      </c>
      <c r="AS2196" s="263"/>
      <c r="AT2196" s="263"/>
      <c r="AU2196" s="263"/>
      <c r="AV2196" s="264"/>
      <c r="AW2196" s="263"/>
      <c r="AX2196" s="263"/>
      <c r="AY2196" s="263"/>
      <c r="AZ2196" s="263"/>
      <c r="BA2196" s="263"/>
      <c r="BB2196" s="263"/>
      <c r="BC2196" s="263"/>
      <c r="BD2196" s="264"/>
      <c r="BE2196" s="263"/>
      <c r="BF2196" s="263"/>
      <c r="BG2196" s="263"/>
      <c r="BH2196" s="263"/>
      <c r="BI2196" s="263"/>
      <c r="BJ2196" s="404">
        <f>altaz(J2000_Bas,$O2196,$M2196,DecLat,DecLong,2)</f>
        <v>262.69964378384492</v>
      </c>
      <c r="BK2196" s="378" t="s">
        <v>2090</v>
      </c>
      <c r="BL2196" s="379">
        <f>IF((2*G2196)/60&lt;0.2,0.2,(2*G2196)/60)</f>
        <v>0.2</v>
      </c>
      <c r="BM2196" s="380">
        <f>MOD((50000+AD2196-$B$3+(0/24)),1)</f>
        <v>0.80622979350300739</v>
      </c>
      <c r="BN2196" s="381"/>
      <c r="BO2196" s="382">
        <v>2187</v>
      </c>
    </row>
    <row r="2197" spans="1:67" s="24" customFormat="1" ht="15" customHeight="1" x14ac:dyDescent="0.25">
      <c r="A2197" s="288" t="s">
        <v>3150</v>
      </c>
      <c r="B2197" s="241" t="str">
        <f>HYPERLINK(CONCATENATE($AT$3,BK2197,$AU$3),$AV$3)</f>
        <v>S</v>
      </c>
      <c r="C2197" s="242" t="str">
        <f>HYPERLINK(CONCATENATE($AT$4,BK2197,$AU$4,BL2197),$AV$4)</f>
        <v>A</v>
      </c>
      <c r="D2197" s="243" t="s">
        <v>5638</v>
      </c>
      <c r="E2197" s="244" t="s">
        <v>5192</v>
      </c>
      <c r="F2197" s="269" t="s">
        <v>8895</v>
      </c>
      <c r="G2197" s="273">
        <v>3.5</v>
      </c>
      <c r="H2197" s="283">
        <v>90</v>
      </c>
      <c r="I2197" s="246">
        <v>90</v>
      </c>
      <c r="J2197" s="246">
        <v>2</v>
      </c>
      <c r="K2197" s="247" t="s">
        <v>8188</v>
      </c>
      <c r="L2197" s="248">
        <v>142224</v>
      </c>
      <c r="M2197" s="249">
        <f>15*(LEFT(TEXT($L2197,"000000"),2)+(MID(TEXT($L2197,"000000"),3,2)/60)+(RIGHT(TEXT($L2197,"000000"),2)/3600))</f>
        <v>215.6</v>
      </c>
      <c r="N2197" s="250">
        <v>-2312</v>
      </c>
      <c r="O2197" s="251">
        <f>IF($N2197&gt;0,(LEFT(TEXT($N2197,"000000"),2)+(MID(TEXT($N2197,"000000"),3,2)/60)+(RIGHT(TEXT($N2197,"000000"),2)/3600)),-(MID(TEXT($N2197,"000000"),2,2)+(MID(TEXT($N2197,"000000"),4,2)/60)+(RIGHT(TEXT($N2197,"000000"),2)/3600)))</f>
        <v>-0.38666666666666671</v>
      </c>
      <c r="P2197" s="252" t="s">
        <v>61</v>
      </c>
      <c r="Q2197" s="253"/>
      <c r="R2197" s="277" t="s">
        <v>3293</v>
      </c>
      <c r="S2197" s="272" t="s">
        <v>3293</v>
      </c>
      <c r="T2197" s="273">
        <v>11.4</v>
      </c>
      <c r="U2197" s="289">
        <v>22.39</v>
      </c>
      <c r="V2197" s="280">
        <v>40</v>
      </c>
      <c r="W2197" s="244"/>
      <c r="X2197" s="244"/>
      <c r="Y2197" s="362"/>
      <c r="Z2197" s="257">
        <f>altaz(J2000_Bas,$O2197,$M2197,DecLat,DecLong,1)</f>
        <v>16.500205476139236</v>
      </c>
      <c r="AA2197" s="257">
        <f>altaz((J2000_Bas+(2*0.04167)),$O2197,$M2197,DecLat,DecLong,1)</f>
        <v>-9.1772850250118552</v>
      </c>
      <c r="AB2197" s="257">
        <f>altaz((J2000_Bas+(4*0.04167)),$O2197,$M2197,DecLat,DecLong,1)</f>
        <v>-34.12249695244855</v>
      </c>
      <c r="AC2197" s="257">
        <f>altaz((J2000_Bas+(6*0.04167)),$O2197,$M2197,DecLat,DecLong,1)</f>
        <v>-54.314987122914779</v>
      </c>
      <c r="AD2197" s="258">
        <f>1+ transit((J2000_Bas-1),$O2197,$M2197,DecLat,DecLong)/360 + (GMTOffset/24) + (IF(DST="Y", 1, 0)/24)</f>
        <v>1.5917887896297078</v>
      </c>
      <c r="AE2197" s="259">
        <f>DATE(2001,9,21)+(M2197/360)*365 - (360*((DecLong/360)- (GMTOffset/24) ))</f>
        <v>37378.594444444447</v>
      </c>
      <c r="AF2197" s="260">
        <f>IF(DecLat&gt;0,IF((90 - (DecLat-O2197))&gt;90, (90 - (O2197-DecLat)), (90 - (DecLat-O2197))),IF((90 + (DecLat-O2197))&gt;90, (90 + (O2197-DecLat)), (90 + (DecLat-O2197))))</f>
        <v>58.61333333333333</v>
      </c>
      <c r="AG2197" s="257">
        <f>angularseperation(MoonRA,MoonDec,$M2197,$O2197)</f>
        <v>41.902914615006594</v>
      </c>
      <c r="AH2197" s="261">
        <f ca="1">MIN(100,IF($O$5&gt;80,0+30*($AG2197/100),IF($O$5&gt;70,0+50*($AG2197/100),IF($O$5&gt;60,5+50*($AG2197/100),IF($O$5&gt;50,10+60*($AG2197/100),IF($O$5&gt;40,15+70*($AG2197/100),IF($O$5&gt;30,20+70*($AG2197/100),IF($O$5&gt;20,40+55*($AG2197/100),(80+(20-$O$5)+30*($AG2197/100))))))))))</f>
        <v>95.841934728652404</v>
      </c>
      <c r="AI2197" s="263">
        <v>5584</v>
      </c>
      <c r="AJ2197" s="263"/>
      <c r="AK2197" s="263"/>
      <c r="AL2197" s="263"/>
      <c r="AM2197" s="264"/>
      <c r="AN2197" s="263"/>
      <c r="AO2197" s="263"/>
      <c r="AP2197" s="265"/>
      <c r="AQ2197" s="265">
        <v>9201</v>
      </c>
      <c r="AR2197" s="285">
        <v>51344</v>
      </c>
      <c r="AS2197" s="263"/>
      <c r="AT2197" s="263"/>
      <c r="AU2197" s="263"/>
      <c r="AV2197" s="264"/>
      <c r="AW2197" s="263"/>
      <c r="AX2197" s="263"/>
      <c r="AY2197" s="263"/>
      <c r="AZ2197" s="263"/>
      <c r="BA2197" s="263"/>
      <c r="BB2197" s="263"/>
      <c r="BC2197" s="263"/>
      <c r="BD2197" s="264"/>
      <c r="BE2197" s="263"/>
      <c r="BF2197" s="263"/>
      <c r="BG2197" s="263"/>
      <c r="BH2197" s="263"/>
      <c r="BI2197" s="263"/>
      <c r="BJ2197" s="404">
        <f>altaz(J2000_Bas,$O2197,$M2197,DecLat,DecLong,2)</f>
        <v>259.26909480666836</v>
      </c>
      <c r="BK2197" s="378" t="s">
        <v>3150</v>
      </c>
      <c r="BL2197" s="379">
        <f>IF((2*G2197)/60&lt;0.2,0.2,(2*G2197)/60)</f>
        <v>0.2</v>
      </c>
      <c r="BM2197" s="380">
        <f>MOD((50000+AD2197-$B$3+(0/24)),1)</f>
        <v>0.8071557193325134</v>
      </c>
      <c r="BN2197" s="381"/>
      <c r="BO2197" s="382">
        <v>2188</v>
      </c>
    </row>
    <row r="2198" spans="1:67" s="24" customFormat="1" ht="15" customHeight="1" x14ac:dyDescent="0.25">
      <c r="A2198" s="288" t="s">
        <v>2091</v>
      </c>
      <c r="B2198" s="241" t="str">
        <f>HYPERLINK(CONCATENATE($AT$3,BK2198,$AU$3),$AV$3)</f>
        <v>S</v>
      </c>
      <c r="C2198" s="242" t="str">
        <f>HYPERLINK(CONCATENATE($AT$4,BK2198,$AU$4,BL2198),$AV$4)</f>
        <v>A</v>
      </c>
      <c r="D2198" s="243" t="s">
        <v>5638</v>
      </c>
      <c r="E2198" s="244" t="s">
        <v>3259</v>
      </c>
      <c r="F2198" s="269"/>
      <c r="G2198" s="273">
        <v>5</v>
      </c>
      <c r="H2198" s="283">
        <v>25</v>
      </c>
      <c r="I2198" s="246">
        <v>35</v>
      </c>
      <c r="J2198" s="246">
        <v>2</v>
      </c>
      <c r="K2198" s="247" t="s">
        <v>8189</v>
      </c>
      <c r="L2198" s="248">
        <v>141948</v>
      </c>
      <c r="M2198" s="249">
        <f>15*(LEFT(TEXT($L2198,"000000"),2)+(MID(TEXT($L2198,"000000"),3,2)/60)+(RIGHT(TEXT($L2198,"000000"),2)/3600))</f>
        <v>214.95</v>
      </c>
      <c r="N2198" s="250">
        <v>564345</v>
      </c>
      <c r="O2198" s="251">
        <f>IF($N2198&gt;0,(LEFT(TEXT($N2198,"000000"),2)+(MID(TEXT($N2198,"000000"),3,2)/60)+(RIGHT(TEXT($N2198,"000000"),2)/3600)),-(MID(TEXT($N2198,"000000"),2,2)+(MID(TEXT($N2198,"000000"),4,2)/60)+(RIGHT(TEXT($N2198,"000000"),2)/3600)))</f>
        <v>56.729166666666671</v>
      </c>
      <c r="P2198" s="252" t="s">
        <v>37</v>
      </c>
      <c r="Q2198" s="253" t="s">
        <v>2092</v>
      </c>
      <c r="R2198" s="247" t="s">
        <v>3293</v>
      </c>
      <c r="S2198" s="272" t="s">
        <v>3293</v>
      </c>
      <c r="T2198" s="273">
        <v>10.7</v>
      </c>
      <c r="U2198" s="289">
        <v>22.79</v>
      </c>
      <c r="V2198" s="280">
        <v>25</v>
      </c>
      <c r="W2198" s="244"/>
      <c r="X2198" s="244"/>
      <c r="Y2198" s="362"/>
      <c r="Z2198" s="257">
        <f>altaz(J2000_Bas,$O2198,$M2198,DecLat,DecLong,1)</f>
        <v>35.683202187420214</v>
      </c>
      <c r="AA2198" s="257">
        <f>altaz((J2000_Bas+(2*0.04167)),$O2198,$M2198,DecLat,DecLong,1)</f>
        <v>19.863818180328717</v>
      </c>
      <c r="AB2198" s="257">
        <f>altaz((J2000_Bas+(4*0.04167)),$O2198,$M2198,DecLat,DecLong,1)</f>
        <v>6.9348427697797455</v>
      </c>
      <c r="AC2198" s="257">
        <f>altaz((J2000_Bas+(6*0.04167)),$O2198,$M2198,DecLat,DecLong,1)</f>
        <v>-0.84891320742719534</v>
      </c>
      <c r="AD2198" s="258">
        <f>1+ transit((J2000_Bas-1),$O2198,$M2198,DecLat,DecLong)/360 + (GMTOffset/24) + (IF(DST="Y", 1, 0)/24)</f>
        <v>1.589983234254708</v>
      </c>
      <c r="AE2198" s="259">
        <f>DATE(2001,9,21)+(M2198/360)*365 - (360*((DecLong/360)- (GMTOffset/24) ))</f>
        <v>37377.935416666667</v>
      </c>
      <c r="AF2198" s="260">
        <f>IF(DecLat&gt;0,IF((90 - (DecLat-O2198))&gt;90, (90 - (O2198-DecLat)), (90 - (DecLat-O2198))),IF((90 + (DecLat-O2198))&gt;90, (90 + (O2198-DecLat)), (90 + (DecLat-O2198))))</f>
        <v>64.270833333333329</v>
      </c>
      <c r="AG2198" s="257">
        <f>angularseperation(MoonRA,MoonDec,$M2198,$O2198)</f>
        <v>88.689646867974417</v>
      </c>
      <c r="AH2198" s="261">
        <f ca="1">MIN(100,IF($O$5&gt;80,0+30*($AG2198/100),IF($O$5&gt;70,0+50*($AG2198/100),IF($O$5&gt;60,5+50*($AG2198/100),IF($O$5&gt;50,10+60*($AG2198/100),IF($O$5&gt;40,15+70*($AG2198/100),IF($O$5&gt;30,20+70*($AG2198/100),IF($O$5&gt;20,40+55*($AG2198/100),(80+(20-$O$5)+30*($AG2198/100))))))))))</f>
        <v>100</v>
      </c>
      <c r="AI2198" s="262">
        <v>5585</v>
      </c>
      <c r="AJ2198" s="262"/>
      <c r="AK2198" s="262"/>
      <c r="AL2198" s="263"/>
      <c r="AM2198" s="264"/>
      <c r="AN2198" s="263"/>
      <c r="AO2198" s="263"/>
      <c r="AP2198" s="265"/>
      <c r="AQ2198" s="266">
        <v>9179</v>
      </c>
      <c r="AR2198" s="267">
        <v>51210</v>
      </c>
      <c r="AS2198" s="263"/>
      <c r="AT2198" s="263"/>
      <c r="AU2198" s="263"/>
      <c r="AV2198" s="264"/>
      <c r="AW2198" s="263"/>
      <c r="AX2198" s="263"/>
      <c r="AY2198" s="263"/>
      <c r="AZ2198" s="263"/>
      <c r="BA2198" s="263"/>
      <c r="BB2198" s="263"/>
      <c r="BC2198" s="263"/>
      <c r="BD2198" s="264"/>
      <c r="BE2198" s="263"/>
      <c r="BF2198" s="263"/>
      <c r="BG2198" s="263"/>
      <c r="BH2198" s="263"/>
      <c r="BI2198" s="263"/>
      <c r="BJ2198" s="404">
        <f>altaz(J2000_Bas,$O2198,$M2198,DecLat,DecLong,2)</f>
        <v>320.29718839054203</v>
      </c>
      <c r="BK2198" s="378" t="s">
        <v>2091</v>
      </c>
      <c r="BL2198" s="379">
        <f>IF((2*G2198)/60&lt;0.2,0.2,(2*G2198)/60)</f>
        <v>0.2</v>
      </c>
      <c r="BM2198" s="380">
        <f>MOD((50000+AD2198-$B$3+(0/24)),1)</f>
        <v>0.80535016395879211</v>
      </c>
      <c r="BN2198" s="381"/>
      <c r="BO2198" s="382">
        <v>2189</v>
      </c>
    </row>
    <row r="2199" spans="1:67" s="24" customFormat="1" ht="15" customHeight="1" x14ac:dyDescent="0.25">
      <c r="A2199" s="288" t="s">
        <v>2093</v>
      </c>
      <c r="B2199" s="241" t="str">
        <f>HYPERLINK(CONCATENATE($AT$3,BK2199,$AU$3),$AV$3)</f>
        <v>S</v>
      </c>
      <c r="C2199" s="242" t="str">
        <f>HYPERLINK(CONCATENATE($AT$4,BK2199,$AU$4,BL2199),$AV$4)</f>
        <v>A</v>
      </c>
      <c r="D2199" s="243" t="s">
        <v>5638</v>
      </c>
      <c r="E2199" s="244" t="s">
        <v>5337</v>
      </c>
      <c r="F2199" s="269" t="s">
        <v>3310</v>
      </c>
      <c r="G2199" s="273">
        <v>1.3</v>
      </c>
      <c r="H2199" s="283">
        <v>380</v>
      </c>
      <c r="I2199" s="246">
        <v>140</v>
      </c>
      <c r="J2199" s="246">
        <v>2</v>
      </c>
      <c r="K2199" s="247" t="s">
        <v>8190</v>
      </c>
      <c r="L2199" s="248">
        <v>142234</v>
      </c>
      <c r="M2199" s="249">
        <f>15*(LEFT(TEXT($L2199,"000000"),2)+(MID(TEXT($L2199,"000000"),3,2)/60)+(RIGHT(TEXT($L2199,"000000"),2)/3600))</f>
        <v>215.64166666666668</v>
      </c>
      <c r="N2199" s="250">
        <v>134302</v>
      </c>
      <c r="O2199" s="251">
        <f>IF($N2199&gt;0,(LEFT(TEXT($N2199,"000000"),2)+(MID(TEXT($N2199,"000000"),3,2)/60)+(RIGHT(TEXT($N2199,"000000"),2)/3600)),-(MID(TEXT($N2199,"000000"),2,2)+(MID(TEXT($N2199,"000000"),4,2)/60)+(RIGHT(TEXT($N2199,"000000"),2)/3600)))</f>
        <v>13.717222222222222</v>
      </c>
      <c r="P2199" s="252" t="s">
        <v>260</v>
      </c>
      <c r="Q2199" s="253"/>
      <c r="R2199" s="247" t="s">
        <v>3293</v>
      </c>
      <c r="S2199" s="272" t="s">
        <v>3293</v>
      </c>
      <c r="T2199" s="273">
        <v>13.8</v>
      </c>
      <c r="U2199" s="289">
        <v>22.29</v>
      </c>
      <c r="V2199" s="280"/>
      <c r="W2199" s="244"/>
      <c r="X2199" s="244"/>
      <c r="Y2199" s="362"/>
      <c r="Z2199" s="257">
        <f>altaz(J2000_Bas,$O2199,$M2199,DecLat,DecLong,1)</f>
        <v>23.70342030093504</v>
      </c>
      <c r="AA2199" s="257">
        <f>altaz((J2000_Bas+(2*0.04167)),$O2199,$M2199,DecLat,DecLong,1)</f>
        <v>-1.6527025778791828</v>
      </c>
      <c r="AB2199" s="257">
        <f>altaz((J2000_Bas+(4*0.04167)),$O2199,$M2199,DecLat,DecLong,1)</f>
        <v>-24.772019374856271</v>
      </c>
      <c r="AC2199" s="257">
        <f>altaz((J2000_Bas+(6*0.04167)),$O2199,$M2199,DecLat,DecLong,1)</f>
        <v>-41.558075323456755</v>
      </c>
      <c r="AD2199" s="258">
        <f>1+ transit((J2000_Bas-1),$O2199,$M2199,DecLat,DecLong)/360 + (GMTOffset/24) + (IF(DST="Y", 1, 0)/24)</f>
        <v>1.5919045303588748</v>
      </c>
      <c r="AE2199" s="259">
        <f>DATE(2001,9,21)+(M2199/360)*365 - (360*((DecLong/360)- (GMTOffset/24) ))</f>
        <v>37378.636689814812</v>
      </c>
      <c r="AF2199" s="260">
        <f>IF(DecLat&gt;0,IF((90 - (DecLat-O2199))&gt;90, (90 - (O2199-DecLat)), (90 - (DecLat-O2199))),IF((90 + (DecLat-O2199))&gt;90, (90 + (O2199-DecLat)), (90 + (DecLat-O2199))))</f>
        <v>72.717222222222219</v>
      </c>
      <c r="AG2199" s="257">
        <f>angularseperation(MoonRA,MoonDec,$M2199,$O2199)</f>
        <v>52.232113595266782</v>
      </c>
      <c r="AH2199" s="261">
        <f ca="1">MIN(100,IF($O$5&gt;80,0+30*($AG2199/100),IF($O$5&gt;70,0+50*($AG2199/100),IF($O$5&gt;60,5+50*($AG2199/100),IF($O$5&gt;50,10+60*($AG2199/100),IF($O$5&gt;40,15+70*($AG2199/100),IF($O$5&gt;30,20+70*($AG2199/100),IF($O$5&gt;20,40+55*($AG2199/100),(80+(20-$O$5)+30*($AG2199/100))))))))))</f>
        <v>98.940694422730459</v>
      </c>
      <c r="AI2199" s="262">
        <v>5591</v>
      </c>
      <c r="AJ2199" s="262"/>
      <c r="AK2199" s="262"/>
      <c r="AL2199" s="263"/>
      <c r="AM2199" s="264"/>
      <c r="AN2199" s="263"/>
      <c r="AO2199" s="263"/>
      <c r="AP2199" s="265"/>
      <c r="AQ2199" s="266">
        <v>9207</v>
      </c>
      <c r="AR2199" s="267">
        <v>51360</v>
      </c>
      <c r="AS2199" s="263"/>
      <c r="AT2199" s="263"/>
      <c r="AU2199" s="263"/>
      <c r="AV2199" s="264"/>
      <c r="AW2199" s="263"/>
      <c r="AX2199" s="263"/>
      <c r="AY2199" s="263"/>
      <c r="AZ2199" s="263"/>
      <c r="BA2199" s="263"/>
      <c r="BB2199" s="263"/>
      <c r="BC2199" s="263"/>
      <c r="BD2199" s="264"/>
      <c r="BE2199" s="263"/>
      <c r="BF2199" s="263"/>
      <c r="BG2199" s="263"/>
      <c r="BH2199" s="263"/>
      <c r="BI2199" s="263"/>
      <c r="BJ2199" s="404">
        <f>altaz(J2000_Bas,$O2199,$M2199,DecLat,DecLong,2)</f>
        <v>272.19669241416739</v>
      </c>
      <c r="BK2199" s="378" t="s">
        <v>2093</v>
      </c>
      <c r="BL2199" s="379">
        <f>IF((2*G2199)/60&lt;0.2,0.2,(2*G2199)/60)</f>
        <v>0.2</v>
      </c>
      <c r="BM2199" s="380">
        <f>MOD((50000+AD2199-$B$3+(0/24)),1)</f>
        <v>0.80727146006393014</v>
      </c>
      <c r="BN2199" s="381"/>
      <c r="BO2199" s="382">
        <v>2190</v>
      </c>
    </row>
    <row r="2200" spans="1:67" s="24" customFormat="1" ht="15" customHeight="1" x14ac:dyDescent="0.25">
      <c r="A2200" s="288" t="s">
        <v>7588</v>
      </c>
      <c r="B2200" s="241" t="str">
        <f>HYPERLINK(CONCATENATE($AT$3,BK2200,$AU$3),$AV$3)</f>
        <v>S</v>
      </c>
      <c r="C2200" s="242" t="str">
        <f>HYPERLINK(CONCATENATE($AT$4,BK2200,$AU$4,BL2200),$AV$4)</f>
        <v>A</v>
      </c>
      <c r="D2200" s="243" t="s">
        <v>5638</v>
      </c>
      <c r="E2200" s="244" t="s">
        <v>5625</v>
      </c>
      <c r="F2200" s="269">
        <v>9</v>
      </c>
      <c r="G2200" s="291">
        <v>2.4</v>
      </c>
      <c r="H2200" s="283">
        <v>300</v>
      </c>
      <c r="I2200" s="284">
        <v>220</v>
      </c>
      <c r="J2200" s="246">
        <v>2</v>
      </c>
      <c r="K2200" s="247" t="s">
        <v>8191</v>
      </c>
      <c r="L2200" s="248">
        <v>142351</v>
      </c>
      <c r="M2200" s="249">
        <f>15*(LEFT(TEXT($L2200,"000000"),2)+(MID(TEXT($L2200,"000000"),3,2)/60)+(RIGHT(TEXT($L2200,"000000"),2)/3600))</f>
        <v>215.96249999999998</v>
      </c>
      <c r="N2200" s="250">
        <v>63433</v>
      </c>
      <c r="O2200" s="251">
        <f>IF($N2200&gt;0,(LEFT(TEXT($N2200,"000000"),2)+(MID(TEXT($N2200,"000000"),3,2)/60)+(RIGHT(TEXT($N2200,"000000"),2)/3600)),-(MID(TEXT($N2200,"000000"),2,2)+(MID(TEXT($N2200,"000000"),4,2)/60)+(RIGHT(TEXT($N2200,"000000"),2)/3600)))</f>
        <v>6.5758333333333328</v>
      </c>
      <c r="P2200" s="252" t="s">
        <v>61</v>
      </c>
      <c r="Q2200" s="253"/>
      <c r="R2200" s="247" t="s">
        <v>3293</v>
      </c>
      <c r="S2200" s="272" t="s">
        <v>3293</v>
      </c>
      <c r="T2200" s="273">
        <v>13.8</v>
      </c>
      <c r="U2200" s="289">
        <v>22.19</v>
      </c>
      <c r="V2200" s="280"/>
      <c r="W2200" s="244"/>
      <c r="X2200" s="244"/>
      <c r="Y2200" s="362"/>
      <c r="Z2200" s="257">
        <f>altaz(J2000_Bas,$O2200,$M2200,DecLat,DecLong,1)</f>
        <v>20.466551674481501</v>
      </c>
      <c r="AA2200" s="257">
        <f>altaz((J2000_Bas+(2*0.04167)),$O2200,$M2200,DecLat,DecLong,1)</f>
        <v>-5.2044228315043801</v>
      </c>
      <c r="AB2200" s="257">
        <f>altaz((J2000_Bas+(4*0.04167)),$O2200,$M2200,DecLat,DecLong,1)</f>
        <v>-29.389807643540685</v>
      </c>
      <c r="AC2200" s="257">
        <f>altaz((J2000_Bas+(6*0.04167)),$O2200,$M2200,DecLat,DecLong,1)</f>
        <v>-47.959886208422738</v>
      </c>
      <c r="AD2200" s="258">
        <f>1+ transit((J2000_Bas-1),$O2200,$M2200,DecLat,DecLong)/360 + (GMTOffset/24) + (IF(DST="Y", 1, 0)/24)</f>
        <v>1.592795733973458</v>
      </c>
      <c r="AE2200" s="259">
        <f>DATE(2001,9,21)+(M2200/360)*365 - (360*((DecLong/360)- (GMTOffset/24) ))</f>
        <v>37378.96197916667</v>
      </c>
      <c r="AF2200" s="260">
        <f>IF(DecLat&gt;0,IF((90 - (DecLat-O2200))&gt;90, (90 - (O2200-DecLat)), (90 - (DecLat-O2200))),IF((90 + (DecLat-O2200))&gt;90, (90 + (O2200-DecLat)), (90 + (DecLat-O2200))))</f>
        <v>65.575833333333335</v>
      </c>
      <c r="AG2200" s="257">
        <f>angularseperation(MoonRA,MoonDec,$M2200,$O2200)</f>
        <v>46.583949783284723</v>
      </c>
      <c r="AH2200" s="261">
        <f ca="1">MIN(100,IF($O$5&gt;80,0+30*($AG2200/100),IF($O$5&gt;70,0+50*($AG2200/100),IF($O$5&gt;60,5+50*($AG2200/100),IF($O$5&gt;50,10+60*($AG2200/100),IF($O$5&gt;40,15+70*($AG2200/100),IF($O$5&gt;30,20+70*($AG2200/100),IF($O$5&gt;20,40+55*($AG2200/100),(80+(20-$O$5)+30*($AG2200/100))))))))))</f>
        <v>97.246245279135849</v>
      </c>
      <c r="AI2200" s="262">
        <v>5599</v>
      </c>
      <c r="AJ2200" s="262"/>
      <c r="AK2200" s="262"/>
      <c r="AL2200" s="263"/>
      <c r="AM2200" s="264"/>
      <c r="AN2200" s="263"/>
      <c r="AO2200" s="263"/>
      <c r="AP2200" s="265"/>
      <c r="AQ2200" s="266">
        <v>9218</v>
      </c>
      <c r="AR2200" s="267">
        <v>51423</v>
      </c>
      <c r="AS2200" s="263"/>
      <c r="AT2200" s="263"/>
      <c r="AU2200" s="263"/>
      <c r="AV2200" s="264"/>
      <c r="AW2200" s="263"/>
      <c r="AX2200" s="263"/>
      <c r="AY2200" s="263"/>
      <c r="AZ2200" s="263"/>
      <c r="BA2200" s="263"/>
      <c r="BB2200" s="263"/>
      <c r="BC2200" s="263"/>
      <c r="BD2200" s="264"/>
      <c r="BE2200" s="263"/>
      <c r="BF2200" s="263"/>
      <c r="BG2200" s="263"/>
      <c r="BH2200" s="263"/>
      <c r="BI2200" s="263"/>
      <c r="BJ2200" s="404">
        <f>altaz(J2000_Bas,$O2200,$M2200,DecLat,DecLong,2)</f>
        <v>265.31655096241025</v>
      </c>
      <c r="BK2200" s="378" t="s">
        <v>2094</v>
      </c>
      <c r="BL2200" s="379">
        <f>IF((2*G2200)/60&lt;0.2,0.2,(2*G2200)/60)</f>
        <v>0.2</v>
      </c>
      <c r="BM2200" s="380">
        <f>MOD((50000+AD2200-$B$3+(0/24)),1)</f>
        <v>0.80816266367764911</v>
      </c>
      <c r="BN2200" s="381"/>
      <c r="BO2200" s="382">
        <v>2191</v>
      </c>
    </row>
    <row r="2201" spans="1:67" s="24" customFormat="1" ht="15" customHeight="1" x14ac:dyDescent="0.25">
      <c r="A2201" s="288" t="s">
        <v>2095</v>
      </c>
      <c r="B2201" s="241" t="str">
        <f>HYPERLINK(CONCATENATE($AT$3,BK2201,$AU$3),$AV$3)</f>
        <v>S</v>
      </c>
      <c r="C2201" s="242" t="str">
        <f>HYPERLINK(CONCATENATE($AT$4,BK2201,$AU$4,BL2201),$AV$4)</f>
        <v>A</v>
      </c>
      <c r="D2201" s="243" t="s">
        <v>5638</v>
      </c>
      <c r="E2201" s="244" t="s">
        <v>5182</v>
      </c>
      <c r="F2201" s="269" t="s">
        <v>3300</v>
      </c>
      <c r="G2201" s="273">
        <v>1.7</v>
      </c>
      <c r="H2201" s="283">
        <v>120</v>
      </c>
      <c r="I2201" s="246">
        <v>60</v>
      </c>
      <c r="J2201" s="246">
        <v>2</v>
      </c>
      <c r="K2201" s="247" t="s">
        <v>8192</v>
      </c>
      <c r="L2201" s="248">
        <v>142219</v>
      </c>
      <c r="M2201" s="249">
        <f>15*(LEFT(TEXT($L2201,"000000"),2)+(MID(TEXT($L2201,"000000"),3,2)/60)+(RIGHT(TEXT($L2201,"000000"),2)/3600))</f>
        <v>215.57916666666668</v>
      </c>
      <c r="N2201" s="250">
        <v>503007</v>
      </c>
      <c r="O2201" s="251">
        <f>IF($N2201&gt;0,(LEFT(TEXT($N2201,"000000"),2)+(MID(TEXT($N2201,"000000"),3,2)/60)+(RIGHT(TEXT($N2201,"000000"),2)/3600)),-(MID(TEXT($N2201,"000000"),2,2)+(MID(TEXT($N2201,"000000"),4,2)/60)+(RIGHT(TEXT($N2201,"000000"),2)/3600)))</f>
        <v>50.501944444444447</v>
      </c>
      <c r="P2201" s="252" t="s">
        <v>260</v>
      </c>
      <c r="Q2201" s="253"/>
      <c r="R2201" s="247" t="s">
        <v>3293</v>
      </c>
      <c r="S2201" s="272" t="s">
        <v>3293</v>
      </c>
      <c r="T2201" s="273">
        <v>11.4</v>
      </c>
      <c r="U2201" s="289">
        <v>21.59</v>
      </c>
      <c r="V2201" s="280">
        <v>70</v>
      </c>
      <c r="W2201" s="244"/>
      <c r="X2201" s="244"/>
      <c r="Y2201" s="362"/>
      <c r="Z2201" s="257">
        <f>altaz(J2000_Bas,$O2201,$M2201,DecLat,DecLong,1)</f>
        <v>35.458001451679586</v>
      </c>
      <c r="AA2201" s="257">
        <f>altaz((J2000_Bas+(2*0.04167)),$O2201,$M2201,DecLat,DecLong,1)</f>
        <v>17.337332775932623</v>
      </c>
      <c r="AB2201" s="257">
        <f>altaz((J2000_Bas+(4*0.04167)),$O2201,$M2201,DecLat,DecLong,1)</f>
        <v>2.4459515313148494</v>
      </c>
      <c r="AC2201" s="257">
        <f>altaz((J2000_Bas+(6*0.04167)),$O2201,$M2201,DecLat,DecLong,1)</f>
        <v>-6.72268019493373</v>
      </c>
      <c r="AD2201" s="258">
        <f>1+ transit((J2000_Bas-1),$O2201,$M2201,DecLat,DecLong)/360 + (GMTOffset/24) + (IF(DST="Y", 1, 0)/24)</f>
        <v>1.5917309192651248</v>
      </c>
      <c r="AE2201" s="259">
        <f>DATE(2001,9,21)+(M2201/360)*365 - (360*((DecLong/360)- (GMTOffset/24) ))</f>
        <v>37378.573321759257</v>
      </c>
      <c r="AF2201" s="260">
        <f>IF(DecLat&gt;0,IF((90 - (DecLat-O2201))&gt;90, (90 - (O2201-DecLat)), (90 - (DecLat-O2201))),IF((90 + (DecLat-O2201))&gt;90, (90 + (O2201-DecLat)), (90 + (DecLat-O2201))))</f>
        <v>70.498055555555553</v>
      </c>
      <c r="AG2201" s="257">
        <f>angularseperation(MoonRA,MoonDec,$M2201,$O2201)</f>
        <v>83.10715876108452</v>
      </c>
      <c r="AH2201" s="261">
        <f ca="1">MIN(100,IF($O$5&gt;80,0+30*($AG2201/100),IF($O$5&gt;70,0+50*($AG2201/100),IF($O$5&gt;60,5+50*($AG2201/100),IF($O$5&gt;50,10+60*($AG2201/100),IF($O$5&gt;40,15+70*($AG2201/100),IF($O$5&gt;30,20+70*($AG2201/100),IF($O$5&gt;20,40+55*($AG2201/100),(80+(20-$O$5)+30*($AG2201/100))))))))))</f>
        <v>100</v>
      </c>
      <c r="AI2201" s="262">
        <v>5602</v>
      </c>
      <c r="AJ2201" s="262"/>
      <c r="AK2201" s="262"/>
      <c r="AL2201" s="263"/>
      <c r="AM2201" s="264"/>
      <c r="AN2201" s="263"/>
      <c r="AO2201" s="263"/>
      <c r="AP2201" s="265"/>
      <c r="AQ2201" s="266">
        <v>9210</v>
      </c>
      <c r="AR2201" s="267">
        <v>51340</v>
      </c>
      <c r="AS2201" s="263"/>
      <c r="AT2201" s="263"/>
      <c r="AU2201" s="263"/>
      <c r="AV2201" s="264"/>
      <c r="AW2201" s="263"/>
      <c r="AX2201" s="263"/>
      <c r="AY2201" s="263"/>
      <c r="AZ2201" s="263"/>
      <c r="BA2201" s="263"/>
      <c r="BB2201" s="263"/>
      <c r="BC2201" s="263"/>
      <c r="BD2201" s="264"/>
      <c r="BE2201" s="263"/>
      <c r="BF2201" s="263"/>
      <c r="BG2201" s="263"/>
      <c r="BH2201" s="263"/>
      <c r="BI2201" s="263"/>
      <c r="BJ2201" s="404">
        <f>altaz(J2000_Bas,$O2201,$M2201,DecLat,DecLong,2)</f>
        <v>312.63078857845585</v>
      </c>
      <c r="BK2201" s="378" t="s">
        <v>2095</v>
      </c>
      <c r="BL2201" s="379">
        <f>IF((2*G2201)/60&lt;0.2,0.2,(2*G2201)/60)</f>
        <v>0.2</v>
      </c>
      <c r="BM2201" s="380">
        <f>MOD((50000+AD2201-$B$3+(0/24)),1)</f>
        <v>0.80709784897044301</v>
      </c>
      <c r="BN2201" s="381"/>
      <c r="BO2201" s="382">
        <v>2192</v>
      </c>
    </row>
    <row r="2202" spans="1:67" s="24" customFormat="1" ht="15" customHeight="1" x14ac:dyDescent="0.25">
      <c r="A2202" s="287" t="s">
        <v>5510</v>
      </c>
      <c r="B2202" s="241" t="str">
        <f>HYPERLINK(CONCATENATE($AT$3,BK2202,$AU$3),$AV$3)</f>
        <v>S</v>
      </c>
      <c r="C2202" s="242" t="str">
        <f>HYPERLINK(CONCATENATE($AT$4,BK2202,$AU$4,BL2202),$AV$4)</f>
        <v>A</v>
      </c>
      <c r="D2202" s="243" t="s">
        <v>5335</v>
      </c>
      <c r="E2202" s="244" t="s">
        <v>5185</v>
      </c>
      <c r="F2202" s="269" t="s">
        <v>6500</v>
      </c>
      <c r="G2202" s="276">
        <v>10</v>
      </c>
      <c r="H2202" s="283">
        <v>3800</v>
      </c>
      <c r="I2202" s="246">
        <v>12</v>
      </c>
      <c r="J2202" s="246">
        <v>2</v>
      </c>
      <c r="K2202" s="247" t="s">
        <v>5513</v>
      </c>
      <c r="L2202" s="248">
        <v>142948</v>
      </c>
      <c r="M2202" s="249">
        <f>15*(LEFT(TEXT($L2202,"000000"),2)+(MID(TEXT($L2202,"000000"),3,2)/60)+(RIGHT(TEXT($L2202,"000000"),2)/3600))</f>
        <v>217.45</v>
      </c>
      <c r="N2202" s="250">
        <v>-604312</v>
      </c>
      <c r="O2202" s="251">
        <f>IF($N2202&gt;0,(LEFT(TEXT($N2202,"000000"),2)+(MID(TEXT($N2202,"000000"),3,2)/60)+(RIGHT(TEXT($N2202,"000000"),2)/3600)),-(MID(TEXT($N2202,"000000"),2,2)+(MID(TEXT($N2202,"000000"),4,2)/60)+(RIGHT(TEXT($N2202,"000000"),2)/3600)))</f>
        <v>-60.72</v>
      </c>
      <c r="P2202" s="252" t="s">
        <v>5511</v>
      </c>
      <c r="Q2202" s="253"/>
      <c r="R2202" s="277" t="s">
        <v>3293</v>
      </c>
      <c r="S2202" s="272" t="s">
        <v>5512</v>
      </c>
      <c r="T2202" s="273"/>
      <c r="U2202" s="274"/>
      <c r="V2202" s="280"/>
      <c r="W2202" s="244"/>
      <c r="X2202" s="244"/>
      <c r="Y2202" s="362"/>
      <c r="Z2202" s="257">
        <f>altaz(J2000_Bas,$O2202,$M2202,DecLat,DecLong,1)</f>
        <v>-17.214506656092301</v>
      </c>
      <c r="AA2202" s="257">
        <f>altaz((J2000_Bas+(2*0.04167)),$O2202,$M2202,DecLat,DecLong,1)</f>
        <v>-30.81009461882876</v>
      </c>
      <c r="AB2202" s="257">
        <f>altaz((J2000_Bas+(4*0.04167)),$O2202,$M2202,DecLat,DecLong,1)</f>
        <v>-45.355141170861373</v>
      </c>
      <c r="AC2202" s="257">
        <f>altaz((J2000_Bas+(6*0.04167)),$O2202,$M2202,DecLat,DecLong,1)</f>
        <v>-57.151076076297308</v>
      </c>
      <c r="AD2202" s="258">
        <f>1+ transit((J2000_Bas-1),$O2202,$M2202,DecLat,DecLong)/360 + (GMTOffset/24) + (IF(DST="Y", 1, 0)/24)</f>
        <v>1.5969276780047079</v>
      </c>
      <c r="AE2202" s="259">
        <f>DATE(2001,9,21)+(M2202/360)*365 - (360*((DecLong/360)- (GMTOffset/24) ))</f>
        <v>37380.470138888886</v>
      </c>
      <c r="AF2202" s="260">
        <f>IF(DecLat&gt;0,IF((90 - (DecLat-O2202))&gt;90, (90 - (O2202-DecLat)), (90 - (DecLat-O2202))),IF((90 + (DecLat-O2202))&gt;90, (90 + (O2202-DecLat)), (90 + (DecLat-O2202))))</f>
        <v>-1.7199999999999989</v>
      </c>
      <c r="AG2202" s="257">
        <f>angularseperation(MoonRA,MoonDec,$M2202,$O2202)</f>
        <v>39.893034445916776</v>
      </c>
      <c r="AH2202" s="261">
        <f ca="1">MIN(100,IF($O$5&gt;80,0+30*($AG2202/100),IF($O$5&gt;70,0+50*($AG2202/100),IF($O$5&gt;60,5+50*($AG2202/100),IF($O$5&gt;50,10+60*($AG2202/100),IF($O$5&gt;40,15+70*($AG2202/100),IF($O$5&gt;30,20+70*($AG2202/100),IF($O$5&gt;20,40+55*($AG2202/100),(80+(20-$O$5)+30*($AG2202/100))))))))))</f>
        <v>95.238970677925465</v>
      </c>
      <c r="AI2202" s="263"/>
      <c r="AJ2202" s="263"/>
      <c r="AK2202" s="263"/>
      <c r="AL2202" s="263"/>
      <c r="AM2202" s="264"/>
      <c r="AN2202" s="263"/>
      <c r="AO2202" s="263"/>
      <c r="AP2202" s="265"/>
      <c r="AQ2202" s="265"/>
      <c r="AR2202" s="285"/>
      <c r="AS2202" s="263"/>
      <c r="AT2202" s="263"/>
      <c r="AU2202" s="263"/>
      <c r="AV2202" s="264"/>
      <c r="AW2202" s="263"/>
      <c r="AX2202" s="263"/>
      <c r="AY2202" s="263"/>
      <c r="AZ2202" s="263"/>
      <c r="BA2202" s="263"/>
      <c r="BB2202" s="263"/>
      <c r="BC2202" s="263"/>
      <c r="BD2202" s="264"/>
      <c r="BE2202" s="263"/>
      <c r="BF2202" s="263"/>
      <c r="BG2202" s="263"/>
      <c r="BH2202" s="263"/>
      <c r="BI2202" s="263"/>
      <c r="BJ2202" s="404">
        <f>altaz(J2000_Bas,$O2202,$M2202,DecLat,DecLong,2)</f>
        <v>208.46093349410862</v>
      </c>
      <c r="BK2202" s="378" t="s">
        <v>5510</v>
      </c>
      <c r="BL2202" s="379">
        <f>IF((2*G2202)/60&lt;0.2,0.2,(2*G2202)/60)</f>
        <v>0.33333333333333331</v>
      </c>
      <c r="BM2202" s="380">
        <f>MOD((50000+AD2202-$B$3+(0/24)),1)</f>
        <v>0.81229460770555306</v>
      </c>
      <c r="BN2202" s="381"/>
      <c r="BO2202" s="382">
        <v>2193</v>
      </c>
    </row>
    <row r="2203" spans="1:67" s="24" customFormat="1" ht="15" customHeight="1" x14ac:dyDescent="0.25">
      <c r="A2203" s="288" t="s">
        <v>2096</v>
      </c>
      <c r="B2203" s="241" t="str">
        <f>HYPERLINK(CONCATENATE($AT$3,BK2203,$AU$3),$AV$3)</f>
        <v>S</v>
      </c>
      <c r="C2203" s="242" t="str">
        <f>HYPERLINK(CONCATENATE($AT$4,BK2203,$AU$4,BL2203),$AV$4)</f>
        <v>A</v>
      </c>
      <c r="D2203" s="243" t="s">
        <v>5638</v>
      </c>
      <c r="E2203" s="244" t="s">
        <v>5192</v>
      </c>
      <c r="F2203" s="269" t="s">
        <v>8688</v>
      </c>
      <c r="G2203" s="273">
        <v>2</v>
      </c>
      <c r="H2203" s="283">
        <v>350</v>
      </c>
      <c r="I2203" s="246">
        <v>200</v>
      </c>
      <c r="J2203" s="246">
        <v>2</v>
      </c>
      <c r="K2203" s="247" t="s">
        <v>8193</v>
      </c>
      <c r="L2203" s="248">
        <v>142718</v>
      </c>
      <c r="M2203" s="249">
        <f>15*(LEFT(TEXT($L2203,"000000"),2)+(MID(TEXT($L2203,"000000"),3,2)/60)+(RIGHT(TEXT($L2203,"000000"),2)/3600))</f>
        <v>216.82499999999999</v>
      </c>
      <c r="N2203" s="250">
        <v>44809</v>
      </c>
      <c r="O2203" s="251">
        <f>IF($N2203&gt;0,(LEFT(TEXT($N2203,"000000"),2)+(MID(TEXT($N2203,"000000"),3,2)/60)+(RIGHT(TEXT($N2203,"000000"),2)/3600)),-(MID(TEXT($N2203,"000000"),2,2)+(MID(TEXT($N2203,"000000"),4,2)/60)+(RIGHT(TEXT($N2203,"000000"),2)/3600)))</f>
        <v>4.8025000000000002</v>
      </c>
      <c r="P2203" s="252" t="s">
        <v>61</v>
      </c>
      <c r="Q2203" s="253"/>
      <c r="R2203" s="277" t="s">
        <v>3293</v>
      </c>
      <c r="S2203" s="272" t="s">
        <v>3293</v>
      </c>
      <c r="T2203" s="273">
        <v>12.6</v>
      </c>
      <c r="U2203" s="289">
        <v>22.39</v>
      </c>
      <c r="V2203" s="280">
        <v>65</v>
      </c>
      <c r="W2203" s="244"/>
      <c r="X2203" s="244"/>
      <c r="Y2203" s="362"/>
      <c r="Z2203" s="257">
        <f>altaz(J2000_Bas,$O2203,$M2203,DecLat,DecLong,1)</f>
        <v>20.288590671685821</v>
      </c>
      <c r="AA2203" s="257">
        <f>altaz((J2000_Bas+(2*0.04167)),$O2203,$M2203,DecLat,DecLong,1)</f>
        <v>-5.4144247087682622</v>
      </c>
      <c r="AB2203" s="257">
        <f>altaz((J2000_Bas+(4*0.04167)),$O2203,$M2203,DecLat,DecLong,1)</f>
        <v>-29.895944778042654</v>
      </c>
      <c r="AC2203" s="257">
        <f>altaz((J2000_Bas+(6*0.04167)),$O2203,$M2203,DecLat,DecLong,1)</f>
        <v>-49.164221364342325</v>
      </c>
      <c r="AD2203" s="258">
        <f>1+ transit((J2000_Bas-1),$O2203,$M2203,DecLat,DecLong)/360 + (GMTOffset/24) + (IF(DST="Y", 1, 0)/24)</f>
        <v>1.5951915670672079</v>
      </c>
      <c r="AE2203" s="259">
        <f>DATE(2001,9,21)+(M2203/360)*365 - (360*((DecLong/360)- (GMTOffset/24) ))</f>
        <v>37379.836458333331</v>
      </c>
      <c r="AF2203" s="260">
        <f>IF(DecLat&gt;0,IF((90 - (DecLat-O2203))&gt;90, (90 - (O2203-DecLat)), (90 - (DecLat-O2203))),IF((90 + (DecLat-O2203))&gt;90, (90 + (O2203-DecLat)), (90 + (DecLat-O2203))))</f>
        <v>63.802500000000002</v>
      </c>
      <c r="AG2203" s="257">
        <f>angularseperation(MoonRA,MoonDec,$M2203,$O2203)</f>
        <v>44.696649771838096</v>
      </c>
      <c r="AH2203" s="261">
        <f ca="1">MIN(100,IF($O$5&gt;80,0+30*($AG2203/100),IF($O$5&gt;70,0+50*($AG2203/100),IF($O$5&gt;60,5+50*($AG2203/100),IF($O$5&gt;50,10+60*($AG2203/100),IF($O$5&gt;40,15+70*($AG2203/100),IF($O$5&gt;30,20+70*($AG2203/100),IF($O$5&gt;20,40+55*($AG2203/100),(80+(20-$O$5)+30*($AG2203/100))))))))))</f>
        <v>96.680055275701861</v>
      </c>
      <c r="AI2203" s="262">
        <v>5619</v>
      </c>
      <c r="AJ2203" s="263"/>
      <c r="AK2203" s="263"/>
      <c r="AL2203" s="263"/>
      <c r="AM2203" s="264"/>
      <c r="AN2203" s="263"/>
      <c r="AO2203" s="263"/>
      <c r="AP2203" s="265"/>
      <c r="AQ2203" s="265"/>
      <c r="AR2203" s="285">
        <v>51610</v>
      </c>
      <c r="AS2203" s="263"/>
      <c r="AT2203" s="263"/>
      <c r="AU2203" s="263"/>
      <c r="AV2203" s="264"/>
      <c r="AW2203" s="263"/>
      <c r="AX2203" s="263"/>
      <c r="AY2203" s="263"/>
      <c r="AZ2203" s="263"/>
      <c r="BA2203" s="263"/>
      <c r="BB2203" s="263"/>
      <c r="BC2203" s="263"/>
      <c r="BD2203" s="264"/>
      <c r="BE2203" s="263"/>
      <c r="BF2203" s="263"/>
      <c r="BG2203" s="263"/>
      <c r="BH2203" s="263"/>
      <c r="BI2203" s="263"/>
      <c r="BJ2203" s="404">
        <f>altaz(J2000_Bas,$O2203,$M2203,DecLat,DecLong,2)</f>
        <v>263.2235174973739</v>
      </c>
      <c r="BK2203" s="378" t="s">
        <v>2096</v>
      </c>
      <c r="BL2203" s="379">
        <f>IF((2*G2203)/60&lt;0.2,0.2,(2*G2203)/60)</f>
        <v>0.2</v>
      </c>
      <c r="BM2203" s="380">
        <f>MOD((50000+AD2203-$B$3+(0/24)),1)</f>
        <v>0.81055849677068181</v>
      </c>
      <c r="BN2203" s="381"/>
      <c r="BO2203" s="382">
        <v>2194</v>
      </c>
    </row>
    <row r="2204" spans="1:67" s="24" customFormat="1" ht="15" customHeight="1" x14ac:dyDescent="0.25">
      <c r="A2204" s="287" t="s">
        <v>3013</v>
      </c>
      <c r="B2204" s="241" t="str">
        <f>HYPERLINK(CONCATENATE($AT$3,BK2204,$AU$3),$AV$3)</f>
        <v>S</v>
      </c>
      <c r="C2204" s="242" t="str">
        <f>HYPERLINK(CONCATENATE($AT$4,BK2204,$AU$4,BL2204),$AV$4)</f>
        <v>A</v>
      </c>
      <c r="D2204" s="243" t="s">
        <v>5638</v>
      </c>
      <c r="E2204" s="244" t="s">
        <v>5182</v>
      </c>
      <c r="F2204" s="269" t="s">
        <v>6572</v>
      </c>
      <c r="G2204" s="273">
        <v>3</v>
      </c>
      <c r="H2204" s="283">
        <v>95</v>
      </c>
      <c r="I2204" s="246">
        <v>85</v>
      </c>
      <c r="J2204" s="246">
        <v>2</v>
      </c>
      <c r="K2204" s="247" t="s">
        <v>8194</v>
      </c>
      <c r="L2204" s="248">
        <v>142636</v>
      </c>
      <c r="M2204" s="249">
        <f>15*(LEFT(TEXT($L2204,"000000"),2)+(MID(TEXT($L2204,"000000"),3,2)/60)+(RIGHT(TEXT($L2204,"000000"),2)/3600))</f>
        <v>216.65</v>
      </c>
      <c r="N2204" s="250">
        <v>563500</v>
      </c>
      <c r="O2204" s="251">
        <f>IF($N2204&gt;0,(LEFT(TEXT($N2204,"000000"),2)+(MID(TEXT($N2204,"000000"),3,2)/60)+(RIGHT(TEXT($N2204,"000000"),2)/3600)),-(MID(TEXT($N2204,"000000"),2,2)+(MID(TEXT($N2204,"000000"),4,2)/60)+(RIGHT(TEXT($N2204,"000000"),2)/3600)))</f>
        <v>56.583333333333336</v>
      </c>
      <c r="P2204" s="252" t="s">
        <v>37</v>
      </c>
      <c r="Q2204" s="253"/>
      <c r="R2204" s="277" t="s">
        <v>3293</v>
      </c>
      <c r="S2204" s="272" t="s">
        <v>3293</v>
      </c>
      <c r="T2204" s="273">
        <v>11.5</v>
      </c>
      <c r="U2204" s="289">
        <v>21.39</v>
      </c>
      <c r="V2204" s="280">
        <v>5</v>
      </c>
      <c r="W2204" s="244"/>
      <c r="X2204" s="244"/>
      <c r="Y2204" s="362"/>
      <c r="Z2204" s="257">
        <f>altaz(J2000_Bas,$O2204,$M2204,DecLat,DecLong,1)</f>
        <v>36.609101398342212</v>
      </c>
      <c r="AA2204" s="257">
        <f>altaz((J2000_Bas+(2*0.04167)),$O2204,$M2204,DecLat,DecLong,1)</f>
        <v>20.639923413801878</v>
      </c>
      <c r="AB2204" s="257">
        <f>altaz((J2000_Bas+(4*0.04167)),$O2204,$M2204,DecLat,DecLong,1)</f>
        <v>7.4400885089453963</v>
      </c>
      <c r="AC2204" s="257">
        <f>altaz((J2000_Bas+(6*0.04167)),$O2204,$M2204,DecLat,DecLong,1)</f>
        <v>-0.72065393118678522</v>
      </c>
      <c r="AD2204" s="258">
        <f>1+ transit((J2000_Bas-1),$O2204,$M2204,DecLat,DecLong)/360 + (GMTOffset/24) + (IF(DST="Y", 1, 0)/24)</f>
        <v>1.594705456004708</v>
      </c>
      <c r="AE2204" s="259">
        <f>DATE(2001,9,21)+(M2204/360)*365 - (360*((DecLong/360)- (GMTOffset/24) ))</f>
        <v>37379.65902777778</v>
      </c>
      <c r="AF2204" s="260">
        <f>IF(DecLat&gt;0,IF((90 - (DecLat-O2204))&gt;90, (90 - (O2204-DecLat)), (90 - (DecLat-O2204))),IF((90 + (DecLat-O2204))&gt;90, (90 + (O2204-DecLat)), (90 + (DecLat-O2204))))</f>
        <v>64.416666666666657</v>
      </c>
      <c r="AG2204" s="257">
        <f>angularseperation(MoonRA,MoonDec,$M2204,$O2204)</f>
        <v>88.103953200844657</v>
      </c>
      <c r="AH2204" s="261">
        <f ca="1">MIN(100,IF($O$5&gt;80,0+30*($AG2204/100),IF($O$5&gt;70,0+50*($AG2204/100),IF($O$5&gt;60,5+50*($AG2204/100),IF($O$5&gt;50,10+60*($AG2204/100),IF($O$5&gt;40,15+70*($AG2204/100),IF($O$5&gt;30,20+70*($AG2204/100),IF($O$5&gt;20,40+55*($AG2204/100),(80+(20-$O$5)+30*($AG2204/100))))))))))</f>
        <v>100</v>
      </c>
      <c r="AI2204" s="262">
        <v>5631</v>
      </c>
      <c r="AJ2204" s="263"/>
      <c r="AK2204" s="263">
        <v>304</v>
      </c>
      <c r="AL2204" s="263"/>
      <c r="AM2204" s="264"/>
      <c r="AN2204" s="263"/>
      <c r="AO2204" s="263"/>
      <c r="AP2204" s="265"/>
      <c r="AQ2204" s="265">
        <v>9261</v>
      </c>
      <c r="AR2204" s="285">
        <v>51564</v>
      </c>
      <c r="AS2204" s="263"/>
      <c r="AT2204" s="263"/>
      <c r="AU2204" s="263"/>
      <c r="AV2204" s="264"/>
      <c r="AW2204" s="263"/>
      <c r="AX2204" s="263"/>
      <c r="AY2204" s="263"/>
      <c r="AZ2204" s="263"/>
      <c r="BA2204" s="263"/>
      <c r="BB2204" s="263"/>
      <c r="BC2204" s="263"/>
      <c r="BD2204" s="264"/>
      <c r="BE2204" s="263"/>
      <c r="BF2204" s="263"/>
      <c r="BG2204" s="263"/>
      <c r="BH2204" s="263"/>
      <c r="BI2204" s="263"/>
      <c r="BJ2204" s="404">
        <f>altaz(J2000_Bas,$O2204,$M2204,DecLat,DecLong,2)</f>
        <v>320.05872985504357</v>
      </c>
      <c r="BK2204" s="378" t="s">
        <v>3013</v>
      </c>
      <c r="BL2204" s="379">
        <f>IF((2*G2204)/60&lt;0.2,0.2,(2*G2204)/60)</f>
        <v>0.2</v>
      </c>
      <c r="BM2204" s="380">
        <f>MOD((50000+AD2204-$B$3+(0/24)),1)</f>
        <v>0.81007238570600748</v>
      </c>
      <c r="BN2204" s="381"/>
      <c r="BO2204" s="382">
        <v>2195</v>
      </c>
    </row>
    <row r="2205" spans="1:67" s="24" customFormat="1" ht="15" customHeight="1" x14ac:dyDescent="0.25">
      <c r="A2205" s="288" t="s">
        <v>2097</v>
      </c>
      <c r="B2205" s="241" t="str">
        <f>HYPERLINK(CONCATENATE($AT$3,BK2205,$AU$3),$AV$3)</f>
        <v>S</v>
      </c>
      <c r="C2205" s="242" t="str">
        <f>HYPERLINK(CONCATENATE($AT$4,BK2205,$AU$4,BL2205),$AV$4)</f>
        <v>A</v>
      </c>
      <c r="D2205" s="243" t="s">
        <v>5335</v>
      </c>
      <c r="E2205" s="244" t="s">
        <v>5184</v>
      </c>
      <c r="F2205" s="269" t="s">
        <v>3317</v>
      </c>
      <c r="G2205" s="273">
        <v>4.5999999999999996</v>
      </c>
      <c r="H2205" s="283">
        <v>82000</v>
      </c>
      <c r="I2205" s="246">
        <v>110</v>
      </c>
      <c r="J2205" s="246">
        <v>2</v>
      </c>
      <c r="K2205" s="247" t="s">
        <v>8195</v>
      </c>
      <c r="L2205" s="248">
        <v>142937</v>
      </c>
      <c r="M2205" s="249">
        <f>15*(LEFT(TEXT($L2205,"000000"),2)+(MID(TEXT($L2205,"000000"),3,2)/60)+(RIGHT(TEXT($L2205,"000000"),2)/3600))</f>
        <v>217.40416666666667</v>
      </c>
      <c r="N2205" s="250">
        <v>-55837</v>
      </c>
      <c r="O2205" s="251">
        <f>IF($N2205&gt;0,(LEFT(TEXT($N2205,"000000"),2)+(MID(TEXT($N2205,"000000"),3,2)/60)+(RIGHT(TEXT($N2205,"000000"),2)/3600)),-(MID(TEXT($N2205,"000000"),2,2)+(MID(TEXT($N2205,"000000"),4,2)/60)+(RIGHT(TEXT($N2205,"000000"),2)/3600)))</f>
        <v>-5.9769444444444444</v>
      </c>
      <c r="P2205" s="252" t="s">
        <v>61</v>
      </c>
      <c r="Q2205" s="253"/>
      <c r="R2205" s="247" t="s">
        <v>3293</v>
      </c>
      <c r="S2205" s="272" t="s">
        <v>3293</v>
      </c>
      <c r="T2205" s="273">
        <v>10</v>
      </c>
      <c r="U2205" s="274"/>
      <c r="V2205" s="280"/>
      <c r="W2205" s="244"/>
      <c r="X2205" s="244"/>
      <c r="Y2205" s="362"/>
      <c r="Z2205" s="257">
        <f>altaz(J2000_Bas,$O2205,$M2205,DecLat,DecLong,1)</f>
        <v>14.91889989465683</v>
      </c>
      <c r="AA2205" s="257">
        <f>altaz((J2000_Bas+(2*0.04167)),$O2205,$M2205,DecLat,DecLong,1)</f>
        <v>-10.505566181337546</v>
      </c>
      <c r="AB2205" s="257">
        <f>altaz((J2000_Bas+(4*0.04167)),$O2205,$M2205,DecLat,DecLong,1)</f>
        <v>-35.975422216961114</v>
      </c>
      <c r="AC2205" s="257">
        <f>altaz((J2000_Bas+(6*0.04167)),$O2205,$M2205,DecLat,DecLong,1)</f>
        <v>-58.073061107862785</v>
      </c>
      <c r="AD2205" s="258">
        <f>1+ transit((J2000_Bas-1),$O2205,$M2205,DecLat,DecLong)/360 + (GMTOffset/24) + (IF(DST="Y", 1, 0)/24)</f>
        <v>1.5968003632026246</v>
      </c>
      <c r="AE2205" s="259">
        <f>DATE(2001,9,21)+(M2205/360)*365 - (360*((DecLong/360)- (GMTOffset/24) ))</f>
        <v>37380.423668981479</v>
      </c>
      <c r="AF2205" s="260">
        <f>IF(DecLat&gt;0,IF((90 - (DecLat-O2205))&gt;90, (90 - (O2205-DecLat)), (90 - (DecLat-O2205))),IF((90 + (DecLat-O2205))&gt;90, (90 + (O2205-DecLat)), (90 + (DecLat-O2205))))</f>
        <v>53.023055555555558</v>
      </c>
      <c r="AG2205" s="257">
        <f>angularseperation(MoonRA,MoonDec,$M2205,$O2205)</f>
        <v>36.900335822941635</v>
      </c>
      <c r="AH2205" s="261">
        <f ca="1">MIN(100,IF($O$5&gt;80,0+30*($AG2205/100),IF($O$5&gt;70,0+50*($AG2205/100),IF($O$5&gt;60,5+50*($AG2205/100),IF($O$5&gt;50,10+60*($AG2205/100),IF($O$5&gt;40,15+70*($AG2205/100),IF($O$5&gt;30,20+70*($AG2205/100),IF($O$5&gt;20,40+55*($AG2205/100),(80+(20-$O$5)+30*($AG2205/100))))))))))</f>
        <v>94.341161091032916</v>
      </c>
      <c r="AI2205" s="262">
        <v>5634</v>
      </c>
      <c r="AJ2205" s="262"/>
      <c r="AK2205" s="262">
        <v>305</v>
      </c>
      <c r="AL2205" s="263"/>
      <c r="AM2205" s="264"/>
      <c r="AN2205" s="263"/>
      <c r="AO2205" s="263"/>
      <c r="AP2205" s="265"/>
      <c r="AQ2205" s="266"/>
      <c r="AR2205" s="267"/>
      <c r="AS2205" s="263"/>
      <c r="AT2205" s="263"/>
      <c r="AU2205" s="263"/>
      <c r="AV2205" s="264"/>
      <c r="AW2205" s="263"/>
      <c r="AX2205" s="263"/>
      <c r="AY2205" s="263"/>
      <c r="AZ2205" s="263"/>
      <c r="BA2205" s="263"/>
      <c r="BB2205" s="263"/>
      <c r="BC2205" s="263"/>
      <c r="BD2205" s="264"/>
      <c r="BE2205" s="263"/>
      <c r="BF2205" s="263"/>
      <c r="BG2205" s="263">
        <v>62</v>
      </c>
      <c r="BH2205" s="263"/>
      <c r="BI2205" s="263"/>
      <c r="BJ2205" s="404">
        <f>altaz(J2000_Bas,$O2205,$M2205,DecLat,DecLong,2)</f>
        <v>253.39295546181387</v>
      </c>
      <c r="BK2205" s="378" t="s">
        <v>2097</v>
      </c>
      <c r="BL2205" s="379">
        <f>IF((2*G2205)/60&lt;0.2,0.2,(2*G2205)/60)</f>
        <v>0.2</v>
      </c>
      <c r="BM2205" s="380">
        <f>MOD((50000+AD2205-$B$3+(0/24)),1)</f>
        <v>0.81216729290463263</v>
      </c>
      <c r="BN2205" s="381" t="s">
        <v>8646</v>
      </c>
      <c r="BO2205" s="382">
        <v>2196</v>
      </c>
    </row>
    <row r="2206" spans="1:67" s="24" customFormat="1" ht="15" customHeight="1" x14ac:dyDescent="0.25">
      <c r="A2206" s="288" t="s">
        <v>7661</v>
      </c>
      <c r="B2206" s="241" t="str">
        <f>HYPERLINK(CONCATENATE($AT$3,BK2206,$AU$3),$AV$3)</f>
        <v>S</v>
      </c>
      <c r="C2206" s="242" t="str">
        <f>HYPERLINK(CONCATENATE($AT$4,BK2206,$AU$4,BL2206),$AV$4)</f>
        <v>A</v>
      </c>
      <c r="D2206" s="243" t="s">
        <v>5638</v>
      </c>
      <c r="E2206" s="244" t="s">
        <v>5178</v>
      </c>
      <c r="F2206" s="269"/>
      <c r="G2206" s="273">
        <v>2.2000000000000002</v>
      </c>
      <c r="H2206" s="283">
        <v>85</v>
      </c>
      <c r="I2206" s="246">
        <v>56</v>
      </c>
      <c r="J2206" s="246">
        <v>2</v>
      </c>
      <c r="K2206" s="247" t="s">
        <v>8196</v>
      </c>
      <c r="L2206" s="248">
        <v>142940</v>
      </c>
      <c r="M2206" s="249">
        <f>15*(LEFT(TEXT($L2206,"000000"),2)+(MID(TEXT($L2206,"000000"),3,2)/60)+(RIGHT(TEXT($L2206,"000000"),2)/3600))</f>
        <v>217.41666666666666</v>
      </c>
      <c r="N2206" s="250">
        <v>31400</v>
      </c>
      <c r="O2206" s="251">
        <f>IF($N2206&gt;0,(LEFT(TEXT($N2206,"000000"),2)+(MID(TEXT($N2206,"000000"),3,2)/60)+(RIGHT(TEXT($N2206,"000000"),2)/3600)),-(MID(TEXT($N2206,"000000"),2,2)+(MID(TEXT($N2206,"000000"),4,2)/60)+(RIGHT(TEXT($N2206,"000000"),2)/3600)))</f>
        <v>3.2333333333333334</v>
      </c>
      <c r="P2206" s="252" t="s">
        <v>61</v>
      </c>
      <c r="Q2206" s="253"/>
      <c r="R2206" s="277" t="s">
        <v>3293</v>
      </c>
      <c r="S2206" s="272" t="s">
        <v>9207</v>
      </c>
      <c r="T2206" s="273">
        <v>11.2</v>
      </c>
      <c r="U2206" s="289">
        <v>22.09</v>
      </c>
      <c r="V2206" s="280"/>
      <c r="W2206" s="244"/>
      <c r="X2206" s="244"/>
      <c r="Y2206" s="362"/>
      <c r="Z2206" s="257">
        <f>altaz(J2000_Bas,$O2206,$M2206,DecLat,DecLong,1)</f>
        <v>19.968725897166493</v>
      </c>
      <c r="AA2206" s="257">
        <f>altaz((J2000_Bas+(2*0.04167)),$O2206,$M2206,DecLat,DecLong,1)</f>
        <v>-5.737129230436393</v>
      </c>
      <c r="AB2206" s="257">
        <f>altaz((J2000_Bas+(4*0.04167)),$O2206,$M2206,DecLat,DecLong,1)</f>
        <v>-30.442704959684363</v>
      </c>
      <c r="AC2206" s="257">
        <f>altaz((J2000_Bas+(6*0.04167)),$O2206,$M2206,DecLat,DecLong,1)</f>
        <v>-50.268621184135718</v>
      </c>
      <c r="AD2206" s="258">
        <f>1+ transit((J2000_Bas-1),$O2206,$M2206,DecLat,DecLong)/360 + (GMTOffset/24) + (IF(DST="Y", 1, 0)/24)</f>
        <v>1.5968350854213746</v>
      </c>
      <c r="AE2206" s="259">
        <f>DATE(2001,9,21)+(M2206/360)*365 - (360*((DecLong/360)- (GMTOffset/24) ))</f>
        <v>37380.436342592591</v>
      </c>
      <c r="AF2206" s="260">
        <f>IF(DecLat&gt;0,IF((90 - (DecLat-O2206))&gt;90, (90 - (O2206-DecLat)), (90 - (DecLat-O2206))),IF((90 + (DecLat-O2206))&gt;90, (90 + (O2206-DecLat)), (90 + (DecLat-O2206))))</f>
        <v>62.233333333333334</v>
      </c>
      <c r="AG2206" s="257">
        <f>angularseperation(MoonRA,MoonDec,$M2206,$O2206)</f>
        <v>43.146968582415674</v>
      </c>
      <c r="AH2206" s="261">
        <f ca="1">MIN(100,IF($O$5&gt;80,0+30*($AG2206/100),IF($O$5&gt;70,0+50*($AG2206/100),IF($O$5&gt;60,5+50*($AG2206/100),IF($O$5&gt;50,10+60*($AG2206/100),IF($O$5&gt;40,15+70*($AG2206/100),IF($O$5&gt;30,20+70*($AG2206/100),IF($O$5&gt;20,40+55*($AG2206/100),(80+(20-$O$5)+30*($AG2206/100))))))))))</f>
        <v>96.215150918875125</v>
      </c>
      <c r="AI2206" s="262">
        <v>5638</v>
      </c>
      <c r="AJ2206" s="263"/>
      <c r="AK2206" s="263"/>
      <c r="AL2206" s="263"/>
      <c r="AM2206" s="264"/>
      <c r="AN2206" s="263"/>
      <c r="AO2206" s="263"/>
      <c r="AP2206" s="265"/>
      <c r="AQ2206" s="265">
        <v>9308</v>
      </c>
      <c r="AR2206" s="285">
        <v>51787</v>
      </c>
      <c r="AS2206" s="263"/>
      <c r="AT2206" s="263"/>
      <c r="AU2206" s="263"/>
      <c r="AV2206" s="264"/>
      <c r="AW2206" s="263"/>
      <c r="AX2206" s="263"/>
      <c r="AY2206" s="263"/>
      <c r="AZ2206" s="263"/>
      <c r="BA2206" s="263"/>
      <c r="BB2206" s="263"/>
      <c r="BC2206" s="263"/>
      <c r="BD2206" s="264"/>
      <c r="BE2206" s="263"/>
      <c r="BF2206" s="263"/>
      <c r="BG2206" s="263"/>
      <c r="BH2206" s="263"/>
      <c r="BI2206" s="263"/>
      <c r="BJ2206" s="404">
        <f>altaz(J2000_Bas,$O2206,$M2206,DecLat,DecLong,2)</f>
        <v>261.4707613875039</v>
      </c>
      <c r="BK2206" s="378" t="s">
        <v>2098</v>
      </c>
      <c r="BL2206" s="379">
        <f>IF((2*G2206)/60&lt;0.2,0.2,(2*G2206)/60)</f>
        <v>0.2</v>
      </c>
      <c r="BM2206" s="380">
        <f>MOD((50000+AD2206-$B$3+(0/24)),1)</f>
        <v>0.81220201512769563</v>
      </c>
      <c r="BN2206" s="381"/>
      <c r="BO2206" s="382">
        <v>2197</v>
      </c>
    </row>
    <row r="2207" spans="1:67" s="24" customFormat="1" ht="15" customHeight="1" x14ac:dyDescent="0.25">
      <c r="A2207" s="288" t="s">
        <v>2099</v>
      </c>
      <c r="B2207" s="241" t="str">
        <f>HYPERLINK(CONCATENATE($AT$3,BK2207,$AU$3),$AV$3)</f>
        <v>S</v>
      </c>
      <c r="C2207" s="242" t="str">
        <f>HYPERLINK(CONCATENATE($AT$4,BK2207,$AU$4,BL2207),$AV$4)</f>
        <v>A</v>
      </c>
      <c r="D2207" s="243" t="s">
        <v>5638</v>
      </c>
      <c r="E2207" s="244" t="s">
        <v>5192</v>
      </c>
      <c r="F2207" s="269" t="s">
        <v>8889</v>
      </c>
      <c r="G2207" s="273">
        <v>4</v>
      </c>
      <c r="H2207" s="283">
        <v>50</v>
      </c>
      <c r="I2207" s="246">
        <v>60</v>
      </c>
      <c r="J2207" s="246">
        <v>2</v>
      </c>
      <c r="K2207" s="247" t="s">
        <v>8197</v>
      </c>
      <c r="L2207" s="248">
        <v>143241</v>
      </c>
      <c r="M2207" s="249">
        <f>15*(LEFT(TEXT($L2207,"000000"),2)+(MID(TEXT($L2207,"000000"),3,2)/60)+(RIGHT(TEXT($L2207,"000000"),2)/3600))</f>
        <v>218.17083333333332</v>
      </c>
      <c r="N2207" s="250">
        <v>-441026</v>
      </c>
      <c r="O2207" s="251">
        <f>IF($N2207&gt;0,(LEFT(TEXT($N2207,"000000"),2)+(MID(TEXT($N2207,"000000"),3,2)/60)+(RIGHT(TEXT($N2207,"000000"),2)/3600)),-(MID(TEXT($N2207,"000000"),2,2)+(MID(TEXT($N2207,"000000"),4,2)/60)+(RIGHT(TEXT($N2207,"000000"),2)/3600)))</f>
        <v>-44.173888888888889</v>
      </c>
      <c r="P2207" s="252" t="s">
        <v>767</v>
      </c>
      <c r="Q2207" s="253"/>
      <c r="R2207" s="247" t="s">
        <v>3293</v>
      </c>
      <c r="S2207" s="272" t="s">
        <v>3293</v>
      </c>
      <c r="T2207" s="273">
        <v>10</v>
      </c>
      <c r="U2207" s="289">
        <v>21.89</v>
      </c>
      <c r="V2207" s="280">
        <v>30</v>
      </c>
      <c r="W2207" s="244"/>
      <c r="X2207" s="244"/>
      <c r="Y2207" s="362"/>
      <c r="Z2207" s="257">
        <f>altaz(J2000_Bas,$O2207,$M2207,DecLat,DecLong,1)</f>
        <v>-7.2918467824952184</v>
      </c>
      <c r="AA2207" s="257">
        <f>altaz((J2000_Bas+(2*0.04167)),$O2207,$M2207,DecLat,DecLong,1)</f>
        <v>-26.331928122042626</v>
      </c>
      <c r="AB2207" s="257">
        <f>altaz((J2000_Bas+(4*0.04167)),$O2207,$M2207,DecLat,DecLong,1)</f>
        <v>-47.51082057324512</v>
      </c>
      <c r="AC2207" s="257">
        <f>altaz((J2000_Bas+(6*0.04167)),$O2207,$M2207,DecLat,DecLong,1)</f>
        <v>-68.319655203644714</v>
      </c>
      <c r="AD2207" s="258">
        <f>1+ transit((J2000_Bas-1),$O2207,$M2207,DecLat,DecLong)/360 + (GMTOffset/24) + (IF(DST="Y", 1, 0)/24)</f>
        <v>1.5989299926192913</v>
      </c>
      <c r="AE2207" s="259">
        <f>DATE(2001,9,21)+(M2207/360)*365 - (360*((DecLong/360)- (GMTOffset/24) ))</f>
        <v>37381.200983796298</v>
      </c>
      <c r="AF2207" s="260">
        <f>IF(DecLat&gt;0,IF((90 - (DecLat-O2207))&gt;90, (90 - (O2207-DecLat)), (90 - (DecLat-O2207))),IF((90 + (DecLat-O2207))&gt;90, (90 + (O2207-DecLat)), (90 + (DecLat-O2207))))</f>
        <v>14.826111111111118</v>
      </c>
      <c r="AG2207" s="257">
        <f>angularseperation(MoonRA,MoonDec,$M2207,$O2207)</f>
        <v>30.205405896533396</v>
      </c>
      <c r="AH2207" s="261">
        <f ca="1">MIN(100,IF($O$5&gt;80,0+30*($AG2207/100),IF($O$5&gt;70,0+50*($AG2207/100),IF($O$5&gt;60,5+50*($AG2207/100),IF($O$5&gt;50,10+60*($AG2207/100),IF($O$5&gt;40,15+70*($AG2207/100),IF($O$5&gt;30,20+70*($AG2207/100),IF($O$5&gt;20,40+55*($AG2207/100),(80+(20-$O$5)+30*($AG2207/100))))))))))</f>
        <v>92.332682113110451</v>
      </c>
      <c r="AI2207" s="262">
        <v>5643</v>
      </c>
      <c r="AJ2207" s="262"/>
      <c r="AK2207" s="262"/>
      <c r="AL2207" s="263"/>
      <c r="AM2207" s="264"/>
      <c r="AN2207" s="263"/>
      <c r="AO2207" s="263"/>
      <c r="AP2207" s="265"/>
      <c r="AQ2207" s="266"/>
      <c r="AR2207" s="267">
        <v>51969</v>
      </c>
      <c r="AS2207" s="263"/>
      <c r="AT2207" s="263"/>
      <c r="AU2207" s="263"/>
      <c r="AV2207" s="264"/>
      <c r="AW2207" s="263"/>
      <c r="AX2207" s="263"/>
      <c r="AY2207" s="263"/>
      <c r="AZ2207" s="263"/>
      <c r="BA2207" s="263"/>
      <c r="BB2207" s="263"/>
      <c r="BC2207" s="263"/>
      <c r="BD2207" s="264"/>
      <c r="BE2207" s="263"/>
      <c r="BF2207" s="263"/>
      <c r="BG2207" s="263"/>
      <c r="BH2207" s="263"/>
      <c r="BI2207" s="263"/>
      <c r="BJ2207" s="404">
        <f>altaz(J2000_Bas,$O2207,$M2207,DecLat,DecLong,2)</f>
        <v>222.03823732692592</v>
      </c>
      <c r="BK2207" s="378" t="s">
        <v>2099</v>
      </c>
      <c r="BL2207" s="379">
        <f>IF((2*G2207)/60&lt;0.2,0.2,(2*G2207)/60)</f>
        <v>0.2</v>
      </c>
      <c r="BM2207" s="380">
        <f>MOD((50000+AD2207-$B$3+(0/24)),1)</f>
        <v>0.81429692232632078</v>
      </c>
      <c r="BN2207" s="381"/>
      <c r="BO2207" s="382">
        <v>2198</v>
      </c>
    </row>
    <row r="2208" spans="1:67" s="24" customFormat="1" ht="15" customHeight="1" x14ac:dyDescent="0.25">
      <c r="A2208" s="298" t="s">
        <v>2100</v>
      </c>
      <c r="B2208" s="241" t="str">
        <f>HYPERLINK(CONCATENATE($AT$3,BK2208,$AU$3),$AV$3)</f>
        <v>S</v>
      </c>
      <c r="C2208" s="242" t="str">
        <f>HYPERLINK(CONCATENATE($AT$4,BK2208,$AU$4,BL2208),$AV$4)</f>
        <v>A</v>
      </c>
      <c r="D2208" s="243" t="s">
        <v>5335</v>
      </c>
      <c r="E2208" s="244" t="s">
        <v>5185</v>
      </c>
      <c r="F2208" s="269" t="s">
        <v>4700</v>
      </c>
      <c r="G2208" s="273">
        <v>6</v>
      </c>
      <c r="H2208" s="283">
        <v>2500</v>
      </c>
      <c r="I2208" s="279">
        <v>4.4000000000000004</v>
      </c>
      <c r="J2208" s="246">
        <v>2</v>
      </c>
      <c r="K2208" s="247" t="s">
        <v>8198</v>
      </c>
      <c r="L2208" s="248">
        <v>143530</v>
      </c>
      <c r="M2208" s="249">
        <f>15*(LEFT(TEXT($L2208,"000000"),2)+(MID(TEXT($L2208,"000000"),3,2)/60)+(RIGHT(TEXT($L2208,"000000"),2)/3600))</f>
        <v>218.875</v>
      </c>
      <c r="N2208" s="286">
        <v>-564000</v>
      </c>
      <c r="O2208" s="251">
        <f>IF($N2208&gt;0,(LEFT(TEXT($N2208,"000000"),2)+(MID(TEXT($N2208,"000000"),3,2)/60)+(RIGHT(TEXT($N2208,"000000"),2)/3600)),-(MID(TEXT($N2208,"000000"),2,2)+(MID(TEXT($N2208,"000000"),4,2)/60)+(RIGHT(TEXT($N2208,"000000"),2)/3600)))</f>
        <v>-56.666666666666664</v>
      </c>
      <c r="P2208" s="252" t="s">
        <v>927</v>
      </c>
      <c r="Q2208" s="253"/>
      <c r="R2208" s="247" t="s">
        <v>3293</v>
      </c>
      <c r="S2208" s="272" t="s">
        <v>3293</v>
      </c>
      <c r="T2208" s="273">
        <v>5.5</v>
      </c>
      <c r="U2208" s="274"/>
      <c r="V2208" s="280"/>
      <c r="W2208" s="244"/>
      <c r="X2208" s="244"/>
      <c r="Y2208" s="362"/>
      <c r="Z2208" s="257">
        <f>altaz(J2000_Bas,$O2208,$M2208,DecLat,DecLong,1)</f>
        <v>-14.313756998831964</v>
      </c>
      <c r="AA2208" s="257">
        <f>altaz((J2000_Bas+(2*0.04167)),$O2208,$M2208,DecLat,DecLong,1)</f>
        <v>-29.303905838876382</v>
      </c>
      <c r="AB2208" s="257">
        <f>altaz((J2000_Bas+(4*0.04167)),$O2208,$M2208,DecLat,DecLong,1)</f>
        <v>-45.702227750552026</v>
      </c>
      <c r="AC2208" s="257">
        <f>altaz((J2000_Bas+(6*0.04167)),$O2208,$M2208,DecLat,DecLong,1)</f>
        <v>-59.89416236700081</v>
      </c>
      <c r="AD2208" s="258">
        <f>1+ transit((J2000_Bas-1),$O2208,$M2208,DecLat,DecLong)/360 + (GMTOffset/24) + (IF(DST="Y", 1, 0)/24)</f>
        <v>1.6008860109422081</v>
      </c>
      <c r="AE2208" s="259">
        <f>DATE(2001,9,21)+(M2208/360)*365 - (360*((DecLong/360)- (GMTOffset/24) ))</f>
        <v>37381.914930555555</v>
      </c>
      <c r="AF2208" s="260">
        <f>IF(DecLat&gt;0,IF((90 - (DecLat-O2208))&gt;90, (90 - (O2208-DecLat)), (90 - (DecLat-O2208))),IF((90 + (DecLat-O2208))&gt;90, (90 + (O2208-DecLat)), (90 + (DecLat-O2208))))</f>
        <v>2.3333333333333428</v>
      </c>
      <c r="AG2208" s="257">
        <f>angularseperation(MoonRA,MoonDec,$M2208,$O2208)</f>
        <v>36.628296830634788</v>
      </c>
      <c r="AH2208" s="261">
        <f ca="1">MIN(100,IF($O$5&gt;80,0+30*($AG2208/100),IF($O$5&gt;70,0+50*($AG2208/100),IF($O$5&gt;60,5+50*($AG2208/100),IF($O$5&gt;50,10+60*($AG2208/100),IF($O$5&gt;40,15+70*($AG2208/100),IF($O$5&gt;30,20+70*($AG2208/100),IF($O$5&gt;20,40+55*($AG2208/100),(80+(20-$O$5)+30*($AG2208/100))))))))))</f>
        <v>94.259549393340862</v>
      </c>
      <c r="AI2208" s="262">
        <v>5662</v>
      </c>
      <c r="AJ2208" s="262"/>
      <c r="AK2208" s="262"/>
      <c r="AL2208" s="263"/>
      <c r="AM2208" s="264"/>
      <c r="AN2208" s="263"/>
      <c r="AO2208" s="263"/>
      <c r="AP2208" s="265"/>
      <c r="AQ2208" s="266"/>
      <c r="AR2208" s="267"/>
      <c r="AS2208" s="263"/>
      <c r="AT2208" s="263"/>
      <c r="AU2208" s="263"/>
      <c r="AV2208" s="264"/>
      <c r="AW2208" s="263"/>
      <c r="AX2208" s="263"/>
      <c r="AY2208" s="263"/>
      <c r="AZ2208" s="263"/>
      <c r="BA2208" s="263"/>
      <c r="BB2208" s="263"/>
      <c r="BC2208" s="263"/>
      <c r="BD2208" s="264"/>
      <c r="BE2208" s="263">
        <v>73</v>
      </c>
      <c r="BF2208" s="263"/>
      <c r="BG2208" s="263"/>
      <c r="BH2208" s="263"/>
      <c r="BI2208" s="263"/>
      <c r="BJ2208" s="404">
        <f>altaz(J2000_Bas,$O2208,$M2208,DecLat,DecLong,2)</f>
        <v>211.50168998199484</v>
      </c>
      <c r="BK2208" s="378" t="s">
        <v>2100</v>
      </c>
      <c r="BL2208" s="379">
        <f>IF((2*G2208)/60&lt;0.2,0.2,(2*G2208)/60)</f>
        <v>0.2</v>
      </c>
      <c r="BM2208" s="380">
        <f>MOD((50000+AD2208-$B$3+(0/24)),1)</f>
        <v>0.81625294064724585</v>
      </c>
      <c r="BN2208" s="381"/>
      <c r="BO2208" s="382">
        <v>2199</v>
      </c>
    </row>
    <row r="2209" spans="1:67" s="24" customFormat="1" ht="15" customHeight="1" x14ac:dyDescent="0.25">
      <c r="A2209" s="288" t="s">
        <v>2101</v>
      </c>
      <c r="B2209" s="241" t="str">
        <f>HYPERLINK(CONCATENATE($AT$3,BK2209,$AU$3),$AV$3)</f>
        <v>S</v>
      </c>
      <c r="C2209" s="242" t="str">
        <f>HYPERLINK(CONCATENATE($AT$4,BK2209,$AU$4,BL2209),$AV$4)</f>
        <v>A</v>
      </c>
      <c r="D2209" s="243" t="s">
        <v>5638</v>
      </c>
      <c r="E2209" s="244" t="s">
        <v>5192</v>
      </c>
      <c r="F2209" s="269" t="s">
        <v>8689</v>
      </c>
      <c r="G2209" s="273">
        <v>3</v>
      </c>
      <c r="H2209" s="283">
        <v>90</v>
      </c>
      <c r="I2209" s="246">
        <v>80</v>
      </c>
      <c r="J2209" s="246">
        <v>2</v>
      </c>
      <c r="K2209" s="247" t="s">
        <v>8199</v>
      </c>
      <c r="L2209" s="248">
        <v>143324</v>
      </c>
      <c r="M2209" s="249">
        <f>15*(LEFT(TEXT($L2209,"000000"),2)+(MID(TEXT($L2209,"000000"),3,2)/60)+(RIGHT(TEXT($L2209,"000000"),2)/3600))</f>
        <v>218.35</v>
      </c>
      <c r="N2209" s="250">
        <v>42701</v>
      </c>
      <c r="O2209" s="251">
        <f>IF($N2209&gt;0,(LEFT(TEXT($N2209,"000000"),2)+(MID(TEXT($N2209,"000000"),3,2)/60)+(RIGHT(TEXT($N2209,"000000"),2)/3600)),-(MID(TEXT($N2209,"000000"),2,2)+(MID(TEXT($N2209,"000000"),4,2)/60)+(RIGHT(TEXT($N2209,"000000"),2)/3600)))</f>
        <v>4.450277777777778</v>
      </c>
      <c r="P2209" s="252" t="s">
        <v>61</v>
      </c>
      <c r="Q2209" s="253"/>
      <c r="R2209" s="277" t="s">
        <v>3293</v>
      </c>
      <c r="S2209" s="272" t="s">
        <v>3293</v>
      </c>
      <c r="T2209" s="273">
        <v>11.5</v>
      </c>
      <c r="U2209" s="289">
        <v>22.79</v>
      </c>
      <c r="V2209" s="280">
        <v>25</v>
      </c>
      <c r="W2209" s="244"/>
      <c r="X2209" s="244"/>
      <c r="Y2209" s="362"/>
      <c r="Z2209" s="257">
        <f>altaz(J2000_Bas,$O2209,$M2209,DecLat,DecLong,1)</f>
        <v>21.401073447921213</v>
      </c>
      <c r="AA2209" s="257">
        <f>altaz((J2000_Bas+(2*0.04167)),$O2209,$M2209,DecLat,DecLong,1)</f>
        <v>-4.3062715911200513</v>
      </c>
      <c r="AB2209" s="257">
        <f>altaz((J2000_Bas+(4*0.04167)),$O2209,$M2209,DecLat,DecLong,1)</f>
        <v>-28.951689560040695</v>
      </c>
      <c r="AC2209" s="257">
        <f>altaz((J2000_Bas+(6*0.04167)),$O2209,$M2209,DecLat,DecLong,1)</f>
        <v>-48.752353346767407</v>
      </c>
      <c r="AD2209" s="258">
        <f>1+ transit((J2000_Bas-1),$O2209,$M2209,DecLat,DecLong)/360 + (GMTOffset/24) + (IF(DST="Y", 1, 0)/24)</f>
        <v>1.5994276777547081</v>
      </c>
      <c r="AE2209" s="259">
        <f>DATE(2001,9,21)+(M2209/360)*365 - (360*((DecLong/360)- (GMTOffset/24) ))</f>
        <v>37381.382638888892</v>
      </c>
      <c r="AF2209" s="260">
        <f>IF(DecLat&gt;0,IF((90 - (DecLat-O2209))&gt;90, (90 - (O2209-DecLat)), (90 - (DecLat-O2209))),IF((90 + (DecLat-O2209))&gt;90, (90 + (O2209-DecLat)), (90 + (DecLat-O2209))))</f>
        <v>63.450277777777778</v>
      </c>
      <c r="AG2209" s="257">
        <f>angularseperation(MoonRA,MoonDec,$M2209,$O2209)</f>
        <v>43.414436423907446</v>
      </c>
      <c r="AH2209" s="261">
        <f ca="1">MIN(100,IF($O$5&gt;80,0+30*($AG2209/100),IF($O$5&gt;70,0+50*($AG2209/100),IF($O$5&gt;60,5+50*($AG2209/100),IF($O$5&gt;50,10+60*($AG2209/100),IF($O$5&gt;40,15+70*($AG2209/100),IF($O$5&gt;30,20+70*($AG2209/100),IF($O$5&gt;20,40+55*($AG2209/100),(80+(20-$O$5)+30*($AG2209/100))))))))))</f>
        <v>96.295391271322657</v>
      </c>
      <c r="AI2209" s="262">
        <v>5668</v>
      </c>
      <c r="AJ2209" s="263"/>
      <c r="AK2209" s="263"/>
      <c r="AL2209" s="263"/>
      <c r="AM2209" s="264"/>
      <c r="AN2209" s="263"/>
      <c r="AO2209" s="263"/>
      <c r="AP2209" s="265"/>
      <c r="AQ2209" s="265">
        <v>9363</v>
      </c>
      <c r="AR2209" s="285">
        <v>52018</v>
      </c>
      <c r="AS2209" s="263"/>
      <c r="AT2209" s="263"/>
      <c r="AU2209" s="263"/>
      <c r="AV2209" s="264"/>
      <c r="AW2209" s="263"/>
      <c r="AX2209" s="263"/>
      <c r="AY2209" s="263"/>
      <c r="AZ2209" s="263"/>
      <c r="BA2209" s="263"/>
      <c r="BB2209" s="263"/>
      <c r="BC2209" s="263"/>
      <c r="BD2209" s="264"/>
      <c r="BE2209" s="263"/>
      <c r="BF2209" s="263"/>
      <c r="BG2209" s="263"/>
      <c r="BH2209" s="263"/>
      <c r="BI2209" s="263"/>
      <c r="BJ2209" s="404">
        <f>altaz(J2000_Bas,$O2209,$M2209,DecLat,DecLong,2)</f>
        <v>262.05282288183446</v>
      </c>
      <c r="BK2209" s="378" t="s">
        <v>2101</v>
      </c>
      <c r="BL2209" s="379">
        <f>IF((2*G2209)/60&lt;0.2,0.2,(2*G2209)/60)</f>
        <v>0.2</v>
      </c>
      <c r="BM2209" s="380">
        <f>MOD((50000+AD2209-$B$3+(0/24)),1)</f>
        <v>0.81479460746049881</v>
      </c>
      <c r="BN2209" s="381"/>
      <c r="BO2209" s="382">
        <v>2200</v>
      </c>
    </row>
    <row r="2210" spans="1:67" s="24" customFormat="1" ht="15" customHeight="1" x14ac:dyDescent="0.25">
      <c r="A2210" s="288" t="s">
        <v>2102</v>
      </c>
      <c r="B2210" s="241" t="str">
        <f>HYPERLINK(CONCATENATE($AT$3,BK2210,$AU$3),$AV$3)</f>
        <v>S</v>
      </c>
      <c r="C2210" s="242" t="str">
        <f>HYPERLINK(CONCATENATE($AT$4,BK2210,$AU$4,BL2210),$AV$4)</f>
        <v>A</v>
      </c>
      <c r="D2210" s="243" t="s">
        <v>5638</v>
      </c>
      <c r="E2210" s="244" t="s">
        <v>5192</v>
      </c>
      <c r="F2210" s="269" t="s">
        <v>8906</v>
      </c>
      <c r="G2210" s="273">
        <v>2.6</v>
      </c>
      <c r="H2210" s="283">
        <v>115</v>
      </c>
      <c r="I2210" s="246">
        <v>85</v>
      </c>
      <c r="J2210" s="246">
        <v>2</v>
      </c>
      <c r="K2210" s="247" t="s">
        <v>8201</v>
      </c>
      <c r="L2210" s="248">
        <v>143131</v>
      </c>
      <c r="M2210" s="249">
        <f>15*(LEFT(TEXT($L2210,"000000"),2)+(MID(TEXT($L2210,"000000"),3,2)/60)+(RIGHT(TEXT($L2210,"000000"),2)/3600))</f>
        <v>217.87916666666669</v>
      </c>
      <c r="N2210" s="250">
        <v>495731</v>
      </c>
      <c r="O2210" s="251">
        <f>IF($N2210&gt;0,(LEFT(TEXT($N2210,"000000"),2)+(MID(TEXT($N2210,"000000"),3,2)/60)+(RIGHT(TEXT($N2210,"000000"),2)/3600)),-(MID(TEXT($N2210,"000000"),2,2)+(MID(TEXT($N2210,"000000"),4,2)/60)+(RIGHT(TEXT($N2210,"000000"),2)/3600)))</f>
        <v>49.958611111111111</v>
      </c>
      <c r="P2210" s="252" t="s">
        <v>260</v>
      </c>
      <c r="Q2210" s="253"/>
      <c r="R2210" s="247" t="s">
        <v>3293</v>
      </c>
      <c r="S2210" s="272" t="s">
        <v>8200</v>
      </c>
      <c r="T2210" s="273">
        <v>13</v>
      </c>
      <c r="U2210" s="289">
        <v>21.39</v>
      </c>
      <c r="V2210" s="280">
        <v>83</v>
      </c>
      <c r="W2210" s="244"/>
      <c r="X2210" s="244"/>
      <c r="Y2210" s="362"/>
      <c r="Z2210" s="257">
        <f>altaz(J2000_Bas,$O2210,$M2210,DecLat,DecLong,1)</f>
        <v>36.853975403073903</v>
      </c>
      <c r="AA2210" s="257">
        <f>altaz((J2000_Bas+(2*0.04167)),$O2210,$M2210,DecLat,DecLong,1)</f>
        <v>18.395452746221018</v>
      </c>
      <c r="AB2210" s="257">
        <f>altaz((J2000_Bas+(4*0.04167)),$O2210,$M2210,DecLat,DecLong,1)</f>
        <v>3.0140884700378061</v>
      </c>
      <c r="AC2210" s="257">
        <f>altaz((J2000_Bas+(6*0.04167)),$O2210,$M2210,DecLat,DecLong,1)</f>
        <v>-6.7964180180795104</v>
      </c>
      <c r="AD2210" s="258">
        <f>1+ transit((J2000_Bas-1),$O2210,$M2210,DecLat,DecLong)/360 + (GMTOffset/24) + (IF(DST="Y", 1, 0)/24)</f>
        <v>1.5981198075151248</v>
      </c>
      <c r="AE2210" s="259">
        <f>DATE(2001,9,21)+(M2210/360)*365 - (360*((DecLong/360)- (GMTOffset/24) ))</f>
        <v>37380.905266203707</v>
      </c>
      <c r="AF2210" s="260">
        <f>IF(DecLat&gt;0,IF((90 - (DecLat-O2210))&gt;90, (90 - (O2210-DecLat)), (90 - (DecLat-O2210))),IF((90 + (DecLat-O2210))&gt;90, (90 + (O2210-DecLat)), (90 + (DecLat-O2210))))</f>
        <v>71.041388888888889</v>
      </c>
      <c r="AG2210" s="257">
        <f>angularseperation(MoonRA,MoonDec,$M2210,$O2210)</f>
        <v>81.921261796870596</v>
      </c>
      <c r="AH2210" s="261">
        <f ca="1">MIN(100,IF($O$5&gt;80,0+30*($AG2210/100),IF($O$5&gt;70,0+50*($AG2210/100),IF($O$5&gt;60,5+50*($AG2210/100),IF($O$5&gt;50,10+60*($AG2210/100),IF($O$5&gt;40,15+70*($AG2210/100),IF($O$5&gt;30,20+70*($AG2210/100),IF($O$5&gt;20,40+55*($AG2210/100),(80+(20-$O$5)+30*($AG2210/100))))))))))</f>
        <v>100</v>
      </c>
      <c r="AI2210" s="262">
        <v>5673</v>
      </c>
      <c r="AJ2210" s="262"/>
      <c r="AK2210" s="262"/>
      <c r="AL2210" s="263"/>
      <c r="AM2210" s="264"/>
      <c r="AN2210" s="263"/>
      <c r="AO2210" s="263"/>
      <c r="AP2210" s="265"/>
      <c r="AQ2210" s="266">
        <v>9347</v>
      </c>
      <c r="AR2210" s="267">
        <v>51901</v>
      </c>
      <c r="AS2210" s="263"/>
      <c r="AT2210" s="263"/>
      <c r="AU2210" s="263"/>
      <c r="AV2210" s="264"/>
      <c r="AW2210" s="263"/>
      <c r="AX2210" s="263"/>
      <c r="AY2210" s="263"/>
      <c r="AZ2210" s="263"/>
      <c r="BA2210" s="263"/>
      <c r="BB2210" s="263"/>
      <c r="BC2210" s="263"/>
      <c r="BD2210" s="264"/>
      <c r="BE2210" s="263"/>
      <c r="BF2210" s="263"/>
      <c r="BG2210" s="263"/>
      <c r="BH2210" s="263"/>
      <c r="BI2210" s="263"/>
      <c r="BJ2210" s="404">
        <f>altaz(J2000_Bas,$O2210,$M2210,DecLat,DecLong,2)</f>
        <v>311.74539101951859</v>
      </c>
      <c r="BK2210" s="378" t="s">
        <v>2102</v>
      </c>
      <c r="BL2210" s="379">
        <f>IF((2*G2210)/60&lt;0.2,0.2,(2*G2210)/60)</f>
        <v>0.2</v>
      </c>
      <c r="BM2210" s="380">
        <f>MOD((50000+AD2210-$B$3+(0/24)),1)</f>
        <v>0.81348673722095555</v>
      </c>
      <c r="BN2210" s="381"/>
      <c r="BO2210" s="382">
        <v>2201</v>
      </c>
    </row>
    <row r="2211" spans="1:67" s="24" customFormat="1" ht="15" customHeight="1" x14ac:dyDescent="0.25">
      <c r="A2211" s="288" t="s">
        <v>2103</v>
      </c>
      <c r="B2211" s="241" t="str">
        <f>HYPERLINK(CONCATENATE($AT$3,BK2211,$AU$3),$AV$3)</f>
        <v>S</v>
      </c>
      <c r="C2211" s="242" t="str">
        <f>HYPERLINK(CONCATENATE($AT$4,BK2211,$AU$4,BL2211),$AV$4)</f>
        <v>A</v>
      </c>
      <c r="D2211" s="243" t="s">
        <v>5638</v>
      </c>
      <c r="E2211" s="244" t="s">
        <v>5192</v>
      </c>
      <c r="F2211" s="269" t="s">
        <v>8895</v>
      </c>
      <c r="G2211" s="273">
        <v>3</v>
      </c>
      <c r="H2211" s="283">
        <v>100</v>
      </c>
      <c r="I2211" s="246">
        <v>90</v>
      </c>
      <c r="J2211" s="246">
        <v>2</v>
      </c>
      <c r="K2211" s="247" t="s">
        <v>8577</v>
      </c>
      <c r="L2211" s="248">
        <v>143247</v>
      </c>
      <c r="M2211" s="249">
        <f>15*(LEFT(TEXT($L2211,"000000"),2)+(MID(TEXT($L2211,"000000"),3,2)/60)+(RIGHT(TEXT($L2211,"000000"),2)/3600))</f>
        <v>218.19583333333333</v>
      </c>
      <c r="N2211" s="250">
        <v>492728</v>
      </c>
      <c r="O2211" s="251">
        <f>IF($N2211&gt;0,(LEFT(TEXT($N2211,"000000"),2)+(MID(TEXT($N2211,"000000"),3,2)/60)+(RIGHT(TEXT($N2211,"000000"),2)/3600)),-(MID(TEXT($N2211,"000000"),2,2)+(MID(TEXT($N2211,"000000"),4,2)/60)+(RIGHT(TEXT($N2211,"000000"),2)/3600)))</f>
        <v>49.457777777777778</v>
      </c>
      <c r="P2211" s="252" t="s">
        <v>260</v>
      </c>
      <c r="Q2211" s="253"/>
      <c r="R2211" s="277" t="s">
        <v>3293</v>
      </c>
      <c r="S2211" s="272" t="s">
        <v>3293</v>
      </c>
      <c r="T2211" s="273">
        <v>12.3</v>
      </c>
      <c r="U2211" s="289">
        <v>22.09</v>
      </c>
      <c r="V2211" s="280">
        <v>65</v>
      </c>
      <c r="W2211" s="244"/>
      <c r="X2211" s="244"/>
      <c r="Y2211" s="362"/>
      <c r="Z2211" s="257">
        <f>altaz(J2000_Bas,$O2211,$M2211,DecLat,DecLong,1)</f>
        <v>37.002525298179222</v>
      </c>
      <c r="AA2211" s="257">
        <f>altaz((J2000_Bas+(2*0.04167)),$O2211,$M2211,DecLat,DecLong,1)</f>
        <v>18.354503262038143</v>
      </c>
      <c r="AB2211" s="257">
        <f>altaz((J2000_Bas+(4*0.04167)),$O2211,$M2211,DecLat,DecLong,1)</f>
        <v>2.7828475970188657</v>
      </c>
      <c r="AC2211" s="257">
        <f>altaz((J2000_Bas+(6*0.04167)),$O2211,$M2211,DecLat,DecLong,1)</f>
        <v>-7.2052151078647046</v>
      </c>
      <c r="AD2211" s="258">
        <f>1+ transit((J2000_Bas-1),$O2211,$M2211,DecLat,DecLong)/360 + (GMTOffset/24) + (IF(DST="Y", 1, 0)/24)</f>
        <v>1.5989994370567913</v>
      </c>
      <c r="AE2211" s="259">
        <f>DATE(2001,9,21)+(M2211/360)*365 - (360*((DecLong/360)- (GMTOffset/24) ))</f>
        <v>37381.226331018515</v>
      </c>
      <c r="AF2211" s="260">
        <f>IF(DecLat&gt;0,IF((90 - (DecLat-O2211))&gt;90, (90 - (O2211-DecLat)), (90 - (DecLat-O2211))),IF((90 + (DecLat-O2211))&gt;90, (90 + (O2211-DecLat)), (90 + (DecLat-O2211))))</f>
        <v>71.542222222222222</v>
      </c>
      <c r="AG2211" s="257">
        <f>angularseperation(MoonRA,MoonDec,$M2211,$O2211)</f>
        <v>81.382717862008519</v>
      </c>
      <c r="AH2211" s="261">
        <f ca="1">MIN(100,IF($O$5&gt;80,0+30*($AG2211/100),IF($O$5&gt;70,0+50*($AG2211/100),IF($O$5&gt;60,5+50*($AG2211/100),IF($O$5&gt;50,10+60*($AG2211/100),IF($O$5&gt;40,15+70*($AG2211/100),IF($O$5&gt;30,20+70*($AG2211/100),IF($O$5&gt;20,40+55*($AG2211/100),(80+(20-$O$5)+30*($AG2211/100))))))))))</f>
        <v>100</v>
      </c>
      <c r="AI2211" s="262">
        <v>5676</v>
      </c>
      <c r="AJ2211" s="263"/>
      <c r="AK2211" s="263">
        <v>306</v>
      </c>
      <c r="AL2211" s="263"/>
      <c r="AM2211" s="264"/>
      <c r="AN2211" s="263"/>
      <c r="AO2211" s="263"/>
      <c r="AP2211" s="265"/>
      <c r="AQ2211" s="265">
        <v>9366</v>
      </c>
      <c r="AR2211" s="285">
        <v>51978</v>
      </c>
      <c r="AS2211" s="263"/>
      <c r="AT2211" s="263"/>
      <c r="AU2211" s="263"/>
      <c r="AV2211" s="264"/>
      <c r="AW2211" s="263"/>
      <c r="AX2211" s="263"/>
      <c r="AY2211" s="263"/>
      <c r="AZ2211" s="263"/>
      <c r="BA2211" s="263"/>
      <c r="BB2211" s="263"/>
      <c r="BC2211" s="263"/>
      <c r="BD2211" s="264"/>
      <c r="BE2211" s="263"/>
      <c r="BF2211" s="263"/>
      <c r="BG2211" s="263"/>
      <c r="BH2211" s="263"/>
      <c r="BI2211" s="263"/>
      <c r="BJ2211" s="404">
        <f>altaz(J2000_Bas,$O2211,$M2211,DecLat,DecLong,2)</f>
        <v>311.09452977488962</v>
      </c>
      <c r="BK2211" s="378" t="s">
        <v>2103</v>
      </c>
      <c r="BL2211" s="379">
        <f>IF((2*G2211)/60&lt;0.2,0.2,(2*G2211)/60)</f>
        <v>0.2</v>
      </c>
      <c r="BM2211" s="380">
        <f>MOD((50000+AD2211-$B$3+(0/24)),1)</f>
        <v>0.81436636675789487</v>
      </c>
      <c r="BN2211" s="381" t="s">
        <v>9271</v>
      </c>
      <c r="BO2211" s="382">
        <v>2202</v>
      </c>
    </row>
    <row r="2212" spans="1:67" s="24" customFormat="1" ht="15" customHeight="1" x14ac:dyDescent="0.25">
      <c r="A2212" s="288" t="s">
        <v>7589</v>
      </c>
      <c r="B2212" s="241" t="str">
        <f>HYPERLINK(CONCATENATE($AT$3,BK2212,$AU$3),$AV$3)</f>
        <v>S</v>
      </c>
      <c r="C2212" s="242" t="str">
        <f>HYPERLINK(CONCATENATE($AT$4,BK2212,$AU$4,BL2212),$AV$4)</f>
        <v>A</v>
      </c>
      <c r="D2212" s="243" t="s">
        <v>5638</v>
      </c>
      <c r="E2212" s="244" t="s">
        <v>5625</v>
      </c>
      <c r="F2212" s="269">
        <v>4</v>
      </c>
      <c r="G2212" s="282">
        <v>16</v>
      </c>
      <c r="H2212" s="283">
        <v>120</v>
      </c>
      <c r="I2212" s="284">
        <v>580</v>
      </c>
      <c r="J2212" s="246">
        <v>2</v>
      </c>
      <c r="K2212" s="247" t="s">
        <v>8202</v>
      </c>
      <c r="L2212" s="248">
        <v>143530</v>
      </c>
      <c r="M2212" s="249">
        <f>15*(LEFT(TEXT($L2212,"000000"),2)+(MID(TEXT($L2212,"000000"),3,2)/60)+(RIGHT(TEXT($L2212,"000000"),2)/3600))</f>
        <v>218.875</v>
      </c>
      <c r="N2212" s="250">
        <v>484431</v>
      </c>
      <c r="O2212" s="251">
        <f>IF($N2212&gt;0,(LEFT(TEXT($N2212,"000000"),2)+(MID(TEXT($N2212,"000000"),3,2)/60)+(RIGHT(TEXT($N2212,"000000"),2)/3600)),-(MID(TEXT($N2212,"000000"),2,2)+(MID(TEXT($N2212,"000000"),4,2)/60)+(RIGHT(TEXT($N2212,"000000"),2)/3600)))</f>
        <v>48.741944444444442</v>
      </c>
      <c r="P2212" s="252" t="s">
        <v>260</v>
      </c>
      <c r="Q2212" s="253"/>
      <c r="R2212" s="277" t="s">
        <v>3293</v>
      </c>
      <c r="S2212" s="272" t="s">
        <v>3293</v>
      </c>
      <c r="T2212" s="273">
        <v>12.5</v>
      </c>
      <c r="U2212" s="289">
        <v>21.89</v>
      </c>
      <c r="V2212" s="280"/>
      <c r="W2212" s="244"/>
      <c r="X2212" s="244"/>
      <c r="Y2212" s="362"/>
      <c r="Z2212" s="257">
        <f>altaz(J2000_Bas,$O2212,$M2212,DecLat,DecLong,1)</f>
        <v>37.364505551756011</v>
      </c>
      <c r="AA2212" s="257">
        <f>altaz((J2000_Bas+(2*0.04167)),$O2212,$M2212,DecLat,DecLong,1)</f>
        <v>18.434078526703018</v>
      </c>
      <c r="AB2212" s="257">
        <f>altaz((J2000_Bas+(4*0.04167)),$O2212,$M2212,DecLat,DecLong,1)</f>
        <v>2.5598525125156799</v>
      </c>
      <c r="AC2212" s="257">
        <f>altaz((J2000_Bas+(6*0.04167)),$O2212,$M2212,DecLat,DecLong,1)</f>
        <v>-7.7357564034758974</v>
      </c>
      <c r="AD2212" s="258">
        <f>1+ transit((J2000_Bas-1),$O2212,$M2212,DecLat,DecLong)/360 + (GMTOffset/24) + (IF(DST="Y", 1, 0)/24)</f>
        <v>1.6008860109422081</v>
      </c>
      <c r="AE2212" s="259">
        <f>DATE(2001,9,21)+(M2212/360)*365 - (360*((DecLong/360)- (GMTOffset/24) ))</f>
        <v>37381.914930555555</v>
      </c>
      <c r="AF2212" s="260">
        <f>IF(DecLat&gt;0,IF((90 - (DecLat-O2212))&gt;90, (90 - (O2212-DecLat)), (90 - (DecLat-O2212))),IF((90 + (DecLat-O2212))&gt;90, (90 + (O2212-DecLat)), (90 + (DecLat-O2212))))</f>
        <v>72.258055555555558</v>
      </c>
      <c r="AG2212" s="257">
        <f>angularseperation(MoonRA,MoonDec,$M2212,$O2212)</f>
        <v>80.542545527803696</v>
      </c>
      <c r="AH2212" s="261">
        <f ca="1">MIN(100,IF($O$5&gt;80,0+30*($AG2212/100),IF($O$5&gt;70,0+50*($AG2212/100),IF($O$5&gt;60,5+50*($AG2212/100),IF($O$5&gt;50,10+60*($AG2212/100),IF($O$5&gt;40,15+70*($AG2212/100),IF($O$5&gt;30,20+70*($AG2212/100),IF($O$5&gt;20,40+55*($AG2212/100),(80+(20-$O$5)+30*($AG2212/100))))))))))</f>
        <v>100</v>
      </c>
      <c r="AI2212" s="262">
        <v>5689</v>
      </c>
      <c r="AJ2212" s="263"/>
      <c r="AK2212" s="263">
        <v>307</v>
      </c>
      <c r="AL2212" s="263"/>
      <c r="AM2212" s="264"/>
      <c r="AN2212" s="263"/>
      <c r="AO2212" s="263"/>
      <c r="AP2212" s="265"/>
      <c r="AQ2212" s="265">
        <v>9399</v>
      </c>
      <c r="AR2212" s="285">
        <v>52154</v>
      </c>
      <c r="AS2212" s="263"/>
      <c r="AT2212" s="263"/>
      <c r="AU2212" s="263"/>
      <c r="AV2212" s="264"/>
      <c r="AW2212" s="263"/>
      <c r="AX2212" s="263"/>
      <c r="AY2212" s="263"/>
      <c r="AZ2212" s="263"/>
      <c r="BA2212" s="263"/>
      <c r="BB2212" s="263"/>
      <c r="BC2212" s="263"/>
      <c r="BD2212" s="264"/>
      <c r="BE2212" s="263"/>
      <c r="BF2212" s="263"/>
      <c r="BG2212" s="263"/>
      <c r="BH2212" s="263"/>
      <c r="BI2212" s="263"/>
      <c r="BJ2212" s="404">
        <f>altaz(J2000_Bas,$O2212,$M2212,DecLat,DecLong,2)</f>
        <v>310.1393422491189</v>
      </c>
      <c r="BK2212" s="378" t="s">
        <v>2104</v>
      </c>
      <c r="BL2212" s="379">
        <f>IF((2*G2212)/60&lt;0.2,0.2,(2*G2212)/60)</f>
        <v>0.53333333333333333</v>
      </c>
      <c r="BM2212" s="380">
        <f>MOD((50000+AD2212-$B$3+(0/24)),1)</f>
        <v>0.81625294064724585</v>
      </c>
      <c r="BN2212" s="381"/>
      <c r="BO2212" s="382">
        <v>2203</v>
      </c>
    </row>
    <row r="2213" spans="1:67" s="24" customFormat="1" ht="15" customHeight="1" x14ac:dyDescent="0.25">
      <c r="A2213" s="288" t="s">
        <v>2105</v>
      </c>
      <c r="B2213" s="241" t="str">
        <f>HYPERLINK(CONCATENATE($AT$3,BK2213,$AU$3),$AV$3)</f>
        <v>S</v>
      </c>
      <c r="C2213" s="242" t="str">
        <f>HYPERLINK(CONCATENATE($AT$4,BK2213,$AU$4,BL2213),$AV$4)</f>
        <v>A</v>
      </c>
      <c r="D2213" s="243" t="s">
        <v>5335</v>
      </c>
      <c r="E2213" s="244" t="s">
        <v>5184</v>
      </c>
      <c r="F2213" s="269" t="s">
        <v>3318</v>
      </c>
      <c r="G2213" s="273">
        <v>3.6</v>
      </c>
      <c r="H2213" s="283">
        <v>100000</v>
      </c>
      <c r="I2213" s="246">
        <v>100</v>
      </c>
      <c r="J2213" s="246">
        <v>2</v>
      </c>
      <c r="K2213" s="247" t="s">
        <v>8203</v>
      </c>
      <c r="L2213" s="248">
        <v>143937</v>
      </c>
      <c r="M2213" s="249">
        <f>15*(LEFT(TEXT($L2213,"000000"),2)+(MID(TEXT($L2213,"000000"),3,2)/60)+(RIGHT(TEXT($L2213,"000000"),2)/3600))</f>
        <v>219.9041666666667</v>
      </c>
      <c r="N2213" s="250">
        <v>-263218</v>
      </c>
      <c r="O2213" s="251">
        <f>IF($N2213&gt;0,(LEFT(TEXT($N2213,"000000"),2)+(MID(TEXT($N2213,"000000"),3,2)/60)+(RIGHT(TEXT($N2213,"000000"),2)/3600)),-(MID(TEXT($N2213,"000000"),2,2)+(MID(TEXT($N2213,"000000"),4,2)/60)+(RIGHT(TEXT($N2213,"000000"),2)/3600)))</f>
        <v>-26.538333333333334</v>
      </c>
      <c r="P2213" s="252" t="s">
        <v>103</v>
      </c>
      <c r="Q2213" s="253"/>
      <c r="R2213" s="247" t="s">
        <v>7378</v>
      </c>
      <c r="S2213" s="272" t="s">
        <v>3293</v>
      </c>
      <c r="T2213" s="273">
        <v>10.199999999999999</v>
      </c>
      <c r="U2213" s="274"/>
      <c r="V2213" s="280"/>
      <c r="W2213" s="244"/>
      <c r="X2213" s="244"/>
      <c r="Y2213" s="362"/>
      <c r="Z2213" s="257">
        <f>altaz(J2000_Bas,$O2213,$M2213,DecLat,DecLong,1)</f>
        <v>4.6222184273594173</v>
      </c>
      <c r="AA2213" s="257">
        <f>altaz((J2000_Bas+(2*0.04167)),$O2213,$M2213,DecLat,DecLong,1)</f>
        <v>-18.222660552827442</v>
      </c>
      <c r="AB2213" s="257">
        <f>altaz((J2000_Bas+(4*0.04167)),$O2213,$M2213,DecLat,DecLong,1)</f>
        <v>-43.137679572775205</v>
      </c>
      <c r="AC2213" s="257">
        <f>altaz((J2000_Bas+(6*0.04167)),$O2213,$M2213,DecLat,DecLong,1)</f>
        <v>-68.839868651684384</v>
      </c>
      <c r="AD2213" s="258">
        <f>1+ transit((J2000_Bas-1),$O2213,$M2213,DecLat,DecLong)/360 + (GMTOffset/24) + (IF(DST="Y", 1, 0)/24)</f>
        <v>1.6037448069526248</v>
      </c>
      <c r="AE2213" s="259">
        <f>DATE(2001,9,21)+(M2213/360)*365 - (360*((DecLong/360)- (GMTOffset/24) ))</f>
        <v>37382.958391203705</v>
      </c>
      <c r="AF2213" s="260">
        <f>IF(DecLat&gt;0,IF((90 - (DecLat-O2213))&gt;90, (90 - (O2213-DecLat)), (90 - (DecLat-O2213))),IF((90 + (DecLat-O2213))&gt;90, (90 + (O2213-DecLat)), (90 + (DecLat-O2213))))</f>
        <v>32.461666666666666</v>
      </c>
      <c r="AG2213" s="257">
        <f>angularseperation(MoonRA,MoonDec,$M2213,$O2213)</f>
        <v>26.129997170624463</v>
      </c>
      <c r="AH2213" s="261">
        <f ca="1">MIN(100,IF($O$5&gt;80,0+30*($AG2213/100),IF($O$5&gt;70,0+50*($AG2213/100),IF($O$5&gt;60,5+50*($AG2213/100),IF($O$5&gt;50,10+60*($AG2213/100),IF($O$5&gt;40,15+70*($AG2213/100),IF($O$5&gt;30,20+70*($AG2213/100),IF($O$5&gt;20,40+55*($AG2213/100),(80+(20-$O$5)+30*($AG2213/100))))))))))</f>
        <v>91.110059495337765</v>
      </c>
      <c r="AI2213" s="262">
        <v>5694</v>
      </c>
      <c r="AJ2213" s="262"/>
      <c r="AK2213" s="262">
        <v>308</v>
      </c>
      <c r="AL2213" s="263"/>
      <c r="AM2213" s="264">
        <v>66</v>
      </c>
      <c r="AN2213" s="263"/>
      <c r="AO2213" s="263"/>
      <c r="AP2213" s="265"/>
      <c r="AQ2213" s="266"/>
      <c r="AR2213" s="267"/>
      <c r="AS2213" s="263"/>
      <c r="AT2213" s="263"/>
      <c r="AU2213" s="263"/>
      <c r="AV2213" s="264"/>
      <c r="AW2213" s="263"/>
      <c r="AX2213" s="263"/>
      <c r="AY2213" s="263"/>
      <c r="AZ2213" s="263"/>
      <c r="BA2213" s="263"/>
      <c r="BB2213" s="263"/>
      <c r="BC2213" s="263"/>
      <c r="BD2213" s="264"/>
      <c r="BE2213" s="263"/>
      <c r="BF2213" s="263"/>
      <c r="BG2213" s="263"/>
      <c r="BH2213" s="263"/>
      <c r="BI2213" s="263"/>
      <c r="BJ2213" s="404">
        <f>altaz(J2000_Bas,$O2213,$M2213,DecLat,DecLong,2)</f>
        <v>235.14321778089609</v>
      </c>
      <c r="BK2213" s="378" t="s">
        <v>2105</v>
      </c>
      <c r="BL2213" s="379">
        <f>IF((2*G2213)/60&lt;0.2,0.2,(2*G2213)/60)</f>
        <v>0.2</v>
      </c>
      <c r="BM2213" s="380">
        <f>MOD((50000+AD2213-$B$3+(0/24)),1)</f>
        <v>0.81911173665866954</v>
      </c>
      <c r="BN2213" s="381"/>
      <c r="BO2213" s="382">
        <v>2204</v>
      </c>
    </row>
    <row r="2214" spans="1:67" s="24" customFormat="1" ht="15" customHeight="1" x14ac:dyDescent="0.25">
      <c r="A2214" s="288" t="s">
        <v>2106</v>
      </c>
      <c r="B2214" s="241" t="str">
        <f>HYPERLINK(CONCATENATE($AT$3,BK2214,$AU$3),$AV$3)</f>
        <v>S</v>
      </c>
      <c r="C2214" s="242" t="str">
        <f>HYPERLINK(CONCATENATE($AT$4,BK2214,$AU$4,BL2214),$AV$4)</f>
        <v>A</v>
      </c>
      <c r="D2214" s="243" t="s">
        <v>5638</v>
      </c>
      <c r="E2214" s="244" t="s">
        <v>5182</v>
      </c>
      <c r="F2214" s="269" t="s">
        <v>8933</v>
      </c>
      <c r="G2214" s="273">
        <v>4.7</v>
      </c>
      <c r="H2214" s="283">
        <v>85</v>
      </c>
      <c r="I2214" s="246">
        <v>120</v>
      </c>
      <c r="J2214" s="246">
        <v>2</v>
      </c>
      <c r="K2214" s="247" t="s">
        <v>8204</v>
      </c>
      <c r="L2214" s="248">
        <v>143911</v>
      </c>
      <c r="M2214" s="249">
        <f>15*(LEFT(TEXT($L2214,"000000"),2)+(MID(TEXT($L2214,"000000"),3,2)/60)+(RIGHT(TEXT($L2214,"000000"),2)/3600))</f>
        <v>219.79583333333332</v>
      </c>
      <c r="N2214" s="250">
        <v>52151</v>
      </c>
      <c r="O2214" s="251">
        <f>IF($N2214&gt;0,(LEFT(TEXT($N2214,"000000"),2)+(MID(TEXT($N2214,"000000"),3,2)/60)+(RIGHT(TEXT($N2214,"000000"),2)/3600)),-(MID(TEXT($N2214,"000000"),2,2)+(MID(TEXT($N2214,"000000"),4,2)/60)+(RIGHT(TEXT($N2214,"000000"),2)/3600)))</f>
        <v>5.3641666666666667</v>
      </c>
      <c r="P2214" s="252" t="s">
        <v>61</v>
      </c>
      <c r="Q2214" s="253"/>
      <c r="R2214" s="247" t="s">
        <v>3293</v>
      </c>
      <c r="S2214" s="272" t="s">
        <v>3293</v>
      </c>
      <c r="T2214" s="273">
        <v>10.9</v>
      </c>
      <c r="U2214" s="289">
        <v>22.79</v>
      </c>
      <c r="V2214" s="280">
        <v>25</v>
      </c>
      <c r="W2214" s="244"/>
      <c r="X2214" s="244"/>
      <c r="Y2214" s="362"/>
      <c r="Z2214" s="257">
        <f>altaz(J2000_Bas,$O2214,$M2214,DecLat,DecLong,1)</f>
        <v>23.106849111059137</v>
      </c>
      <c r="AA2214" s="257">
        <f>altaz((J2000_Bas+(2*0.04167)),$O2214,$M2214,DecLat,DecLong,1)</f>
        <v>-2.600506125174296</v>
      </c>
      <c r="AB2214" s="257">
        <f>altaz((J2000_Bas+(4*0.04167)),$O2214,$M2214,DecLat,DecLong,1)</f>
        <v>-27.257725552324221</v>
      </c>
      <c r="AC2214" s="257">
        <f>altaz((J2000_Bas+(6*0.04167)),$O2214,$M2214,DecLat,DecLong,1)</f>
        <v>-47.24366802889157</v>
      </c>
      <c r="AD2214" s="258">
        <f>1+ transit((J2000_Bas-1),$O2214,$M2214,DecLat,DecLong)/360 + (GMTOffset/24) + (IF(DST="Y", 1, 0)/24)</f>
        <v>1.6034438810567913</v>
      </c>
      <c r="AE2214" s="259">
        <f>DATE(2001,9,21)+(M2214/360)*365 - (360*((DecLong/360)- (GMTOffset/24) ))</f>
        <v>37382.848553240743</v>
      </c>
      <c r="AF2214" s="260">
        <f>IF(DecLat&gt;0,IF((90 - (DecLat-O2214))&gt;90, (90 - (O2214-DecLat)), (90 - (DecLat-O2214))),IF((90 + (DecLat-O2214))&gt;90, (90 + (O2214-DecLat)), (90 + (DecLat-O2214))))</f>
        <v>64.364166666666662</v>
      </c>
      <c r="AG2214" s="257">
        <f>angularseperation(MoonRA,MoonDec,$M2214,$O2214)</f>
        <v>43.166826904931</v>
      </c>
      <c r="AH2214" s="261">
        <f ca="1">MIN(100,IF($O$5&gt;80,0+30*($AG2214/100),IF($O$5&gt;70,0+50*($AG2214/100),IF($O$5&gt;60,5+50*($AG2214/100),IF($O$5&gt;50,10+60*($AG2214/100),IF($O$5&gt;40,15+70*($AG2214/100),IF($O$5&gt;30,20+70*($AG2214/100),IF($O$5&gt;20,40+55*($AG2214/100),(80+(20-$O$5)+30*($AG2214/100))))))))))</f>
        <v>96.221108415629729</v>
      </c>
      <c r="AI2214" s="262">
        <v>5701</v>
      </c>
      <c r="AJ2214" s="262"/>
      <c r="AK2214" s="262"/>
      <c r="AL2214" s="263"/>
      <c r="AM2214" s="264"/>
      <c r="AN2214" s="263"/>
      <c r="AO2214" s="263"/>
      <c r="AP2214" s="265"/>
      <c r="AQ2214" s="266">
        <v>9436</v>
      </c>
      <c r="AR2214" s="267">
        <v>52365</v>
      </c>
      <c r="AS2214" s="263"/>
      <c r="AT2214" s="263"/>
      <c r="AU2214" s="263"/>
      <c r="AV2214" s="264"/>
      <c r="AW2214" s="263"/>
      <c r="AX2214" s="263"/>
      <c r="AY2214" s="263"/>
      <c r="AZ2214" s="263"/>
      <c r="BA2214" s="263"/>
      <c r="BB2214" s="263"/>
      <c r="BC2214" s="263"/>
      <c r="BD2214" s="264"/>
      <c r="BE2214" s="263"/>
      <c r="BF2214" s="263"/>
      <c r="BG2214" s="263">
        <v>63</v>
      </c>
      <c r="BH2214" s="263"/>
      <c r="BI2214" s="263"/>
      <c r="BJ2214" s="404">
        <f>altaz(J2000_Bas,$O2214,$M2214,DecLat,DecLong,2)</f>
        <v>262.07959205543114</v>
      </c>
      <c r="BK2214" s="378" t="s">
        <v>2106</v>
      </c>
      <c r="BL2214" s="379">
        <f>IF((2*G2214)/60&lt;0.2,0.2,(2*G2214)/60)</f>
        <v>0.2</v>
      </c>
      <c r="BM2214" s="380">
        <f>MOD((50000+AD2214-$B$3+(0/24)),1)</f>
        <v>0.81881081076426199</v>
      </c>
      <c r="BN2214" s="381"/>
      <c r="BO2214" s="382">
        <v>2205</v>
      </c>
    </row>
    <row r="2215" spans="1:67" s="24" customFormat="1" ht="15" customHeight="1" x14ac:dyDescent="0.25">
      <c r="A2215" s="288" t="s">
        <v>2107</v>
      </c>
      <c r="B2215" s="241" t="str">
        <f>HYPERLINK(CONCATENATE($AT$3,BK2215,$AU$3),$AV$3)</f>
        <v>S</v>
      </c>
      <c r="C2215" s="242" t="str">
        <f>HYPERLINK(CONCATENATE($AT$4,BK2215,$AU$4,BL2215),$AV$4)</f>
        <v>A</v>
      </c>
      <c r="D2215" s="243" t="s">
        <v>5638</v>
      </c>
      <c r="E2215" s="244" t="s">
        <v>5192</v>
      </c>
      <c r="F2215" s="269" t="s">
        <v>8965</v>
      </c>
      <c r="G2215" s="273">
        <v>2.5</v>
      </c>
      <c r="H2215" s="283">
        <v>95</v>
      </c>
      <c r="I2215" s="246">
        <v>70</v>
      </c>
      <c r="J2215" s="246">
        <v>2</v>
      </c>
      <c r="K2215" s="247" t="s">
        <v>8578</v>
      </c>
      <c r="L2215" s="248">
        <v>144011</v>
      </c>
      <c r="M2215" s="249">
        <f>15*(LEFT(TEXT($L2215,"000000"),2)+(MID(TEXT($L2215,"000000"),3,2)/60)+(RIGHT(TEXT($L2215,"000000"),2)/3600))</f>
        <v>220.04583333333332</v>
      </c>
      <c r="N2215" s="250">
        <v>-1725</v>
      </c>
      <c r="O2215" s="251">
        <f>IF($N2215&gt;0,(LEFT(TEXT($N2215,"000000"),2)+(MID(TEXT($N2215,"000000"),3,2)/60)+(RIGHT(TEXT($N2215,"000000"),2)/3600)),-(MID(TEXT($N2215,"000000"),2,2)+(MID(TEXT($N2215,"000000"),4,2)/60)+(RIGHT(TEXT($N2215,"000000"),2)/3600)))</f>
        <v>-0.29027777777777775</v>
      </c>
      <c r="P2215" s="252" t="s">
        <v>61</v>
      </c>
      <c r="Q2215" s="253"/>
      <c r="R2215" s="247" t="s">
        <v>3293</v>
      </c>
      <c r="S2215" s="272" t="s">
        <v>8205</v>
      </c>
      <c r="T2215" s="273">
        <v>11.2</v>
      </c>
      <c r="U2215" s="289">
        <v>22.09</v>
      </c>
      <c r="V2215" s="280">
        <v>15</v>
      </c>
      <c r="W2215" s="244"/>
      <c r="X2215" s="244"/>
      <c r="Y2215" s="362"/>
      <c r="Z2215" s="257">
        <f>altaz(J2000_Bas,$O2215,$M2215,DecLat,DecLong,1)</f>
        <v>20.280592346828474</v>
      </c>
      <c r="AA2215" s="257">
        <f>altaz((J2000_Bas+(2*0.04167)),$O2215,$M2215,DecLat,DecLong,1)</f>
        <v>-5.3259505674736829</v>
      </c>
      <c r="AB2215" s="257">
        <f>altaz((J2000_Bas+(4*0.04167)),$O2215,$M2215,DecLat,DecLong,1)</f>
        <v>-30.527741762255534</v>
      </c>
      <c r="AC2215" s="257">
        <f>altaz((J2000_Bas+(6*0.04167)),$O2215,$M2215,DecLat,DecLong,1)</f>
        <v>-51.900062632899662</v>
      </c>
      <c r="AD2215" s="258">
        <f>1+ transit((J2000_Bas-1),$O2215,$M2215,DecLat,DecLong)/360 + (GMTOffset/24) + (IF(DST="Y", 1, 0)/24)</f>
        <v>1.6041383254317914</v>
      </c>
      <c r="AE2215" s="259">
        <f>DATE(2001,9,21)+(M2215/360)*365 - (360*((DecLong/360)- (GMTOffset/24) ))</f>
        <v>37383.102025462962</v>
      </c>
      <c r="AF2215" s="260">
        <f>IF(DecLat&gt;0,IF((90 - (DecLat-O2215))&gt;90, (90 - (O2215-DecLat)), (90 - (DecLat-O2215))),IF((90 + (DecLat-O2215))&gt;90, (90 + (O2215-DecLat)), (90 + (DecLat-O2215))))</f>
        <v>58.709722222222226</v>
      </c>
      <c r="AG2215" s="257">
        <f>angularseperation(MoonRA,MoonDec,$M2215,$O2215)</f>
        <v>38.783059575523268</v>
      </c>
      <c r="AH2215" s="261">
        <f ca="1">MIN(100,IF($O$5&gt;80,0+30*($AG2215/100),IF($O$5&gt;70,0+50*($AG2215/100),IF($O$5&gt;60,5+50*($AG2215/100),IF($O$5&gt;50,10+60*($AG2215/100),IF($O$5&gt;40,15+70*($AG2215/100),IF($O$5&gt;30,20+70*($AG2215/100),IF($O$5&gt;20,40+55*($AG2215/100),(80+(20-$O$5)+30*($AG2215/100))))))))))</f>
        <v>94.905978216807412</v>
      </c>
      <c r="AI2215" s="262">
        <v>5713</v>
      </c>
      <c r="AJ2215" s="262"/>
      <c r="AK2215" s="262"/>
      <c r="AL2215" s="263"/>
      <c r="AM2215" s="264"/>
      <c r="AN2215" s="263"/>
      <c r="AO2215" s="263"/>
      <c r="AP2215" s="265"/>
      <c r="AQ2215" s="266"/>
      <c r="AR2215" s="267">
        <v>52412</v>
      </c>
      <c r="AS2215" s="263"/>
      <c r="AT2215" s="263"/>
      <c r="AU2215" s="263"/>
      <c r="AV2215" s="264"/>
      <c r="AW2215" s="263"/>
      <c r="AX2215" s="263"/>
      <c r="AY2215" s="263"/>
      <c r="AZ2215" s="263"/>
      <c r="BA2215" s="263"/>
      <c r="BB2215" s="263"/>
      <c r="BC2215" s="263"/>
      <c r="BD2215" s="264"/>
      <c r="BE2215" s="263"/>
      <c r="BF2215" s="263"/>
      <c r="BG2215" s="263"/>
      <c r="BH2215" s="263"/>
      <c r="BI2215" s="263"/>
      <c r="BJ2215" s="404">
        <f>altaz(J2000_Bas,$O2215,$M2215,DecLat,DecLong,2)</f>
        <v>256.80094187226319</v>
      </c>
      <c r="BK2215" s="378" t="s">
        <v>2107</v>
      </c>
      <c r="BL2215" s="379">
        <f>IF((2*G2215)/60&lt;0.2,0.2,(2*G2215)/60)</f>
        <v>0.2</v>
      </c>
      <c r="BM2215" s="380">
        <f>MOD((50000+AD2215-$B$3+(0/24)),1)</f>
        <v>0.81950525513821049</v>
      </c>
      <c r="BN2215" s="381"/>
      <c r="BO2215" s="382">
        <v>2206</v>
      </c>
    </row>
    <row r="2216" spans="1:67" s="24" customFormat="1" ht="15" customHeight="1" x14ac:dyDescent="0.25">
      <c r="A2216" s="288" t="s">
        <v>2108</v>
      </c>
      <c r="B2216" s="241" t="str">
        <f>HYPERLINK(CONCATENATE($AT$3,BK2216,$AU$3),$AV$3)</f>
        <v>S</v>
      </c>
      <c r="C2216" s="242" t="str">
        <f>HYPERLINK(CONCATENATE($AT$4,BK2216,$AU$4,BL2216),$AV$4)</f>
        <v>A</v>
      </c>
      <c r="D2216" s="243" t="s">
        <v>5638</v>
      </c>
      <c r="E2216" s="244" t="s">
        <v>5192</v>
      </c>
      <c r="F2216" s="269" t="s">
        <v>8914</v>
      </c>
      <c r="G2216" s="273">
        <v>3.3</v>
      </c>
      <c r="H2216" s="283">
        <v>90</v>
      </c>
      <c r="I2216" s="246">
        <v>90</v>
      </c>
      <c r="J2216" s="246">
        <v>2</v>
      </c>
      <c r="K2216" s="247" t="s">
        <v>8207</v>
      </c>
      <c r="L2216" s="248">
        <v>144056</v>
      </c>
      <c r="M2216" s="249">
        <f>15*(LEFT(TEXT($L2216,"000000"),2)+(MID(TEXT($L2216,"000000"),3,2)/60)+(RIGHT(TEXT($L2216,"000000"),2)/3600))</f>
        <v>220.23333333333335</v>
      </c>
      <c r="N2216" s="286">
        <v>-1906</v>
      </c>
      <c r="O2216" s="251">
        <f>IF($N2216&gt;0,(LEFT(TEXT($N2216,"000000"),2)+(MID(TEXT($N2216,"000000"),3,2)/60)+(RIGHT(TEXT($N2216,"000000"),2)/3600)),-(MID(TEXT($N2216,"000000"),2,2)+(MID(TEXT($N2216,"000000"),4,2)/60)+(RIGHT(TEXT($N2216,"000000"),2)/3600)))</f>
        <v>-0.3183333333333333</v>
      </c>
      <c r="P2216" s="252" t="s">
        <v>61</v>
      </c>
      <c r="Q2216" s="253"/>
      <c r="R2216" s="247" t="s">
        <v>3293</v>
      </c>
      <c r="S2216" s="272" t="s">
        <v>8206</v>
      </c>
      <c r="T2216" s="273">
        <v>12.2</v>
      </c>
      <c r="U2216" s="289">
        <v>22.39</v>
      </c>
      <c r="V2216" s="280">
        <v>75</v>
      </c>
      <c r="W2216" s="244"/>
      <c r="X2216" s="244"/>
      <c r="Y2216" s="362"/>
      <c r="Z2216" s="257">
        <f>altaz(J2000_Bas,$O2216,$M2216,DecLat,DecLong,1)</f>
        <v>20.421554830691843</v>
      </c>
      <c r="AA2216" s="257">
        <f>altaz((J2000_Bas+(2*0.04167)),$O2216,$M2216,DecLat,DecLong,1)</f>
        <v>-5.1799220795670298</v>
      </c>
      <c r="AB2216" s="257">
        <f>altaz((J2000_Bas+(4*0.04167)),$O2216,$M2216,DecLat,DecLong,1)</f>
        <v>-30.393637184142335</v>
      </c>
      <c r="AC2216" s="257">
        <f>altaz((J2000_Bas+(6*0.04167)),$O2216,$M2216,DecLat,DecLong,1)</f>
        <v>-51.817909820259125</v>
      </c>
      <c r="AD2216" s="258">
        <f>1+ transit((J2000_Bas-1),$O2216,$M2216,DecLat,DecLong)/360 + (GMTOffset/24) + (IF(DST="Y", 1, 0)/24)</f>
        <v>1.6046591587130414</v>
      </c>
      <c r="AE2216" s="259">
        <f>DATE(2001,9,21)+(M2216/360)*365 - (360*((DecLong/360)- (GMTOffset/24) ))</f>
        <v>37383.292129629626</v>
      </c>
      <c r="AF2216" s="260">
        <f>IF(DecLat&gt;0,IF((90 - (DecLat-O2216))&gt;90, (90 - (O2216-DecLat)), (90 - (DecLat-O2216))),IF((90 + (DecLat-O2216))&gt;90, (90 + (O2216-DecLat)), (90 + (DecLat-O2216))))</f>
        <v>58.681666666666672</v>
      </c>
      <c r="AG2216" s="257">
        <f>angularseperation(MoonRA,MoonDec,$M2216,$O2216)</f>
        <v>38.632983345708531</v>
      </c>
      <c r="AH2216" s="261">
        <f ca="1">MIN(100,IF($O$5&gt;80,0+30*($AG2216/100),IF($O$5&gt;70,0+50*($AG2216/100),IF($O$5&gt;60,5+50*($AG2216/100),IF($O$5&gt;50,10+60*($AG2216/100),IF($O$5&gt;40,15+70*($AG2216/100),IF($O$5&gt;30,20+70*($AG2216/100),IF($O$5&gt;20,40+55*($AG2216/100),(80+(20-$O$5)+30*($AG2216/100))))))))))</f>
        <v>94.860955347862983</v>
      </c>
      <c r="AI2216" s="262">
        <v>5719</v>
      </c>
      <c r="AJ2216" s="262"/>
      <c r="AK2216" s="262"/>
      <c r="AL2216" s="263"/>
      <c r="AM2216" s="264"/>
      <c r="AN2216" s="263"/>
      <c r="AO2216" s="263"/>
      <c r="AP2216" s="265"/>
      <c r="AQ2216" s="266"/>
      <c r="AR2216" s="267">
        <v>52455</v>
      </c>
      <c r="AS2216" s="263"/>
      <c r="AT2216" s="263"/>
      <c r="AU2216" s="263"/>
      <c r="AV2216" s="264"/>
      <c r="AW2216" s="263"/>
      <c r="AX2216" s="263"/>
      <c r="AY2216" s="263"/>
      <c r="AZ2216" s="263"/>
      <c r="BA2216" s="263"/>
      <c r="BB2216" s="263"/>
      <c r="BC2216" s="263"/>
      <c r="BD2216" s="264"/>
      <c r="BE2216" s="263"/>
      <c r="BF2216" s="263"/>
      <c r="BG2216" s="263"/>
      <c r="BH2216" s="263">
        <v>107</v>
      </c>
      <c r="BI2216" s="263"/>
      <c r="BJ2216" s="404">
        <f>altaz(J2000_Bas,$O2216,$M2216,DecLat,DecLong,2)</f>
        <v>256.66572638392716</v>
      </c>
      <c r="BK2216" s="378" t="s">
        <v>2108</v>
      </c>
      <c r="BL2216" s="379">
        <f>IF((2*G2216)/60&lt;0.2,0.2,(2*G2216)/60)</f>
        <v>0.2</v>
      </c>
      <c r="BM2216" s="380">
        <f>MOD((50000+AD2216-$B$3+(0/24)),1)</f>
        <v>0.82002608841867186</v>
      </c>
      <c r="BN2216" s="381"/>
      <c r="BO2216" s="382">
        <v>2207</v>
      </c>
    </row>
    <row r="2217" spans="1:67" s="24" customFormat="1" ht="15" customHeight="1" x14ac:dyDescent="0.25">
      <c r="A2217" s="288" t="s">
        <v>2109</v>
      </c>
      <c r="B2217" s="241" t="str">
        <f>HYPERLINK(CONCATENATE($AT$3,BK2217,$AU$3),$AV$3)</f>
        <v>S</v>
      </c>
      <c r="C2217" s="242" t="str">
        <f>HYPERLINK(CONCATENATE($AT$4,BK2217,$AU$4,BL2217),$AV$4)</f>
        <v>A</v>
      </c>
      <c r="D2217" s="243" t="s">
        <v>5638</v>
      </c>
      <c r="E2217" s="244" t="s">
        <v>5192</v>
      </c>
      <c r="F2217" s="269" t="s">
        <v>8722</v>
      </c>
      <c r="G2217" s="273">
        <v>4.5</v>
      </c>
      <c r="H2217" s="283">
        <v>90</v>
      </c>
      <c r="I2217" s="246">
        <v>120</v>
      </c>
      <c r="J2217" s="246">
        <v>3</v>
      </c>
      <c r="K2217" s="247" t="s">
        <v>8208</v>
      </c>
      <c r="L2217" s="248">
        <v>144224</v>
      </c>
      <c r="M2217" s="249">
        <f>15*(LEFT(TEXT($L2217,"000000"),2)+(MID(TEXT($L2217,"000000"),3,2)/60)+(RIGHT(TEXT($L2217,"000000"),2)/3600))</f>
        <v>220.59999999999997</v>
      </c>
      <c r="N2217" s="250">
        <v>-171512</v>
      </c>
      <c r="O2217" s="251">
        <f>IF($N2217&gt;0,(LEFT(TEXT($N2217,"000000"),2)+(MID(TEXT($N2217,"000000"),3,2)/60)+(RIGHT(TEXT($N2217,"000000"),2)/3600)),-(MID(TEXT($N2217,"000000"),2,2)+(MID(TEXT($N2217,"000000"),4,2)/60)+(RIGHT(TEXT($N2217,"000000"),2)/3600)))</f>
        <v>-17.253333333333334</v>
      </c>
      <c r="P2217" s="252" t="s">
        <v>473</v>
      </c>
      <c r="Q2217" s="253"/>
      <c r="R2217" s="277" t="s">
        <v>3293</v>
      </c>
      <c r="S2217" s="272" t="s">
        <v>3293</v>
      </c>
      <c r="T2217" s="273">
        <v>11.4</v>
      </c>
      <c r="U2217" s="289">
        <v>21.990000000000002</v>
      </c>
      <c r="V2217" s="280">
        <v>50</v>
      </c>
      <c r="W2217" s="244"/>
      <c r="X2217" s="244"/>
      <c r="Y2217" s="362"/>
      <c r="Z2217" s="257">
        <f>altaz(J2000_Bas,$O2217,$M2217,DecLat,DecLong,1)</f>
        <v>10.834531700975541</v>
      </c>
      <c r="AA2217" s="257">
        <f>altaz((J2000_Bas+(2*0.04167)),$O2217,$M2217,DecLat,DecLong,1)</f>
        <v>-13.358038854804951</v>
      </c>
      <c r="AB2217" s="257">
        <f>altaz((J2000_Bas+(4*0.04167)),$O2217,$M2217,DecLat,DecLong,1)</f>
        <v>-38.973017196047905</v>
      </c>
      <c r="AC2217" s="257">
        <f>altaz((J2000_Bas+(6*0.04167)),$O2217,$M2217,DecLat,DecLong,1)</f>
        <v>-63.971187344218144</v>
      </c>
      <c r="AD2217" s="258">
        <f>1+ transit((J2000_Bas-1),$O2217,$M2217,DecLat,DecLong)/360 + (GMTOffset/24) + (IF(DST="Y", 1, 0)/24)</f>
        <v>1.6056776771297081</v>
      </c>
      <c r="AE2217" s="259">
        <f>DATE(2001,9,21)+(M2217/360)*365 - (360*((DecLong/360)- (GMTOffset/24) ))</f>
        <v>37383.663888888892</v>
      </c>
      <c r="AF2217" s="260">
        <f>IF(DecLat&gt;0,IF((90 - (DecLat-O2217))&gt;90, (90 - (O2217-DecLat)), (90 - (DecLat-O2217))),IF((90 + (DecLat-O2217))&gt;90, (90 + (O2217-DecLat)), (90 + (DecLat-O2217))))</f>
        <v>41.74666666666667</v>
      </c>
      <c r="AG2217" s="257">
        <f>angularseperation(MoonRA,MoonDec,$M2217,$O2217)</f>
        <v>28.204025776642869</v>
      </c>
      <c r="AH2217" s="261">
        <f ca="1">MIN(100,IF($O$5&gt;80,0+30*($AG2217/100),IF($O$5&gt;70,0+50*($AG2217/100),IF($O$5&gt;60,5+50*($AG2217/100),IF($O$5&gt;50,10+60*($AG2217/100),IF($O$5&gt;40,15+70*($AG2217/100),IF($O$5&gt;30,20+70*($AG2217/100),IF($O$5&gt;20,40+55*($AG2217/100),(80+(20-$O$5)+30*($AG2217/100))))))))))</f>
        <v>91.732268077143289</v>
      </c>
      <c r="AI2217" s="262">
        <v>5728</v>
      </c>
      <c r="AJ2217" s="263"/>
      <c r="AK2217" s="263"/>
      <c r="AL2217" s="263"/>
      <c r="AM2217" s="264"/>
      <c r="AN2217" s="263"/>
      <c r="AO2217" s="263"/>
      <c r="AP2217" s="265"/>
      <c r="AQ2217" s="265"/>
      <c r="AR2217" s="285">
        <v>52521</v>
      </c>
      <c r="AS2217" s="263"/>
      <c r="AT2217" s="263"/>
      <c r="AU2217" s="263"/>
      <c r="AV2217" s="264"/>
      <c r="AW2217" s="263"/>
      <c r="AX2217" s="263"/>
      <c r="AY2217" s="263"/>
      <c r="AZ2217" s="263"/>
      <c r="BA2217" s="263"/>
      <c r="BB2217" s="263"/>
      <c r="BC2217" s="263"/>
      <c r="BD2217" s="264"/>
      <c r="BE2217" s="263"/>
      <c r="BF2217" s="263"/>
      <c r="BG2217" s="263"/>
      <c r="BH2217" s="263"/>
      <c r="BI2217" s="263"/>
      <c r="BJ2217" s="404">
        <f>altaz(J2000_Bas,$O2217,$M2217,DecLat,DecLong,2)</f>
        <v>242.14109458856137</v>
      </c>
      <c r="BK2217" s="378" t="s">
        <v>2109</v>
      </c>
      <c r="BL2217" s="379">
        <f>IF((2*G2217)/60&lt;0.2,0.2,(2*G2217)/60)</f>
        <v>0.2</v>
      </c>
      <c r="BM2217" s="380">
        <f>MOD((50000+AD2217-$B$3+(0/24)),1)</f>
        <v>0.82104460683331126</v>
      </c>
      <c r="BN2217" s="381"/>
      <c r="BO2217" s="382">
        <v>2208</v>
      </c>
    </row>
    <row r="2218" spans="1:67" s="24" customFormat="1" ht="15" customHeight="1" x14ac:dyDescent="0.25">
      <c r="A2218" s="288" t="s">
        <v>2110</v>
      </c>
      <c r="B2218" s="241" t="str">
        <f>HYPERLINK(CONCATENATE($AT$3,BK2218,$AU$3),$AV$3)</f>
        <v>S</v>
      </c>
      <c r="C2218" s="242" t="str">
        <f>HYPERLINK(CONCATENATE($AT$4,BK2218,$AU$4,BL2218),$AV$4)</f>
        <v>A</v>
      </c>
      <c r="D2218" s="243" t="s">
        <v>5638</v>
      </c>
      <c r="E2218" s="244" t="s">
        <v>5192</v>
      </c>
      <c r="F2218" s="269" t="s">
        <v>8991</v>
      </c>
      <c r="G2218" s="273">
        <v>7</v>
      </c>
      <c r="H2218" s="283">
        <v>75</v>
      </c>
      <c r="I2218" s="246">
        <v>150</v>
      </c>
      <c r="J2218" s="246">
        <v>3</v>
      </c>
      <c r="K2218" s="247" t="s">
        <v>8209</v>
      </c>
      <c r="L2218" s="248">
        <v>144456</v>
      </c>
      <c r="M2218" s="249">
        <f>15*(LEFT(TEXT($L2218,"000000"),2)+(MID(TEXT($L2218,"000000"),3,2)/60)+(RIGHT(TEXT($L2218,"000000"),2)/3600))</f>
        <v>221.23333333333332</v>
      </c>
      <c r="N2218" s="250">
        <v>15718</v>
      </c>
      <c r="O2218" s="251">
        <f>IF($N2218&gt;0,(LEFT(TEXT($N2218,"000000"),2)+(MID(TEXT($N2218,"000000"),3,2)/60)+(RIGHT(TEXT($N2218,"000000"),2)/3600)),-(MID(TEXT($N2218,"000000"),2,2)+(MID(TEXT($N2218,"000000"),4,2)/60)+(RIGHT(TEXT($N2218,"000000"),2)/3600)))</f>
        <v>1.9549999999999998</v>
      </c>
      <c r="P2218" s="252" t="s">
        <v>61</v>
      </c>
      <c r="Q2218" s="253" t="s">
        <v>6860</v>
      </c>
      <c r="R2218" s="247" t="s">
        <v>3293</v>
      </c>
      <c r="S2218" s="272" t="s">
        <v>3293</v>
      </c>
      <c r="T2218" s="273">
        <v>10.3</v>
      </c>
      <c r="U2218" s="289">
        <v>21.59</v>
      </c>
      <c r="V2218" s="280">
        <v>86</v>
      </c>
      <c r="W2218" s="244"/>
      <c r="X2218" s="244"/>
      <c r="Y2218" s="362"/>
      <c r="Z2218" s="257">
        <f>altaz(J2000_Bas,$O2218,$M2218,DecLat,DecLong,1)</f>
        <v>22.503341716577722</v>
      </c>
      <c r="AA2218" s="257">
        <f>altaz((J2000_Bas+(2*0.04167)),$O2218,$M2218,DecLat,DecLong,1)</f>
        <v>-3.1480367828350886</v>
      </c>
      <c r="AB2218" s="257">
        <f>altaz((J2000_Bas+(4*0.04167)),$O2218,$M2218,DecLat,DecLong,1)</f>
        <v>-28.231779822564473</v>
      </c>
      <c r="AC2218" s="257">
        <f>altaz((J2000_Bas+(6*0.04167)),$O2218,$M2218,DecLat,DecLong,1)</f>
        <v>-49.37433386505954</v>
      </c>
      <c r="AD2218" s="258">
        <f>1+ transit((J2000_Bas-1),$O2218,$M2218,DecLat,DecLong)/360 + (GMTOffset/24) + (IF(DST="Y", 1, 0)/24)</f>
        <v>1.6074369362130414</v>
      </c>
      <c r="AE2218" s="259">
        <f>DATE(2001,9,21)+(M2218/360)*365 - (360*((DecLong/360)- (GMTOffset/24) ))</f>
        <v>37384.306018518517</v>
      </c>
      <c r="AF2218" s="260">
        <f>IF(DecLat&gt;0,IF((90 - (DecLat-O2218))&gt;90, (90 - (O2218-DecLat)), (90 - (DecLat-O2218))),IF((90 + (DecLat-O2218))&gt;90, (90 + (O2218-DecLat)), (90 + (DecLat-O2218))))</f>
        <v>60.954999999999998</v>
      </c>
      <c r="AG2218" s="257">
        <f>angularseperation(MoonRA,MoonDec,$M2218,$O2218)</f>
        <v>39.639782751989117</v>
      </c>
      <c r="AH2218" s="261">
        <f ca="1">MIN(100,IF($O$5&gt;80,0+30*($AG2218/100),IF($O$5&gt;70,0+50*($AG2218/100),IF($O$5&gt;60,5+50*($AG2218/100),IF($O$5&gt;50,10+60*($AG2218/100),IF($O$5&gt;40,15+70*($AG2218/100),IF($O$5&gt;30,20+70*($AG2218/100),IF($O$5&gt;20,40+55*($AG2218/100),(80+(20-$O$5)+30*($AG2218/100))))))))))</f>
        <v>95.162995169747163</v>
      </c>
      <c r="AI2218" s="262">
        <v>5746</v>
      </c>
      <c r="AJ2218" s="262"/>
      <c r="AK2218" s="262">
        <v>309</v>
      </c>
      <c r="AL2218" s="263"/>
      <c r="AM2218" s="264"/>
      <c r="AN2218" s="263"/>
      <c r="AO2218" s="263"/>
      <c r="AP2218" s="265"/>
      <c r="AQ2218" s="266">
        <v>9499</v>
      </c>
      <c r="AR2218" s="267">
        <v>52665</v>
      </c>
      <c r="AS2218" s="263"/>
      <c r="AT2218" s="263"/>
      <c r="AU2218" s="263"/>
      <c r="AV2218" s="264"/>
      <c r="AW2218" s="263"/>
      <c r="AX2218" s="263"/>
      <c r="AY2218" s="263"/>
      <c r="AZ2218" s="263"/>
      <c r="BA2218" s="263"/>
      <c r="BB2218" s="263"/>
      <c r="BC2218" s="263"/>
      <c r="BD2218" s="264"/>
      <c r="BE2218" s="263">
        <v>74</v>
      </c>
      <c r="BF2218" s="263"/>
      <c r="BG2218" s="263"/>
      <c r="BH2218" s="263"/>
      <c r="BI2218" s="263"/>
      <c r="BJ2218" s="404">
        <f>altaz(J2000_Bas,$O2218,$M2218,DecLat,DecLong,2)</f>
        <v>258.1209549015374</v>
      </c>
      <c r="BK2218" s="378" t="s">
        <v>2110</v>
      </c>
      <c r="BL2218" s="379">
        <f>IF((2*G2218)/60&lt;0.2,0.2,(2*G2218)/60)</f>
        <v>0.23333333333333334</v>
      </c>
      <c r="BM2218" s="380">
        <f>MOD((50000+AD2218-$B$3+(0/24)),1)</f>
        <v>0.82280386591446586</v>
      </c>
      <c r="BN2218" s="381" t="s">
        <v>9218</v>
      </c>
      <c r="BO2218" s="382">
        <v>2209</v>
      </c>
    </row>
    <row r="2219" spans="1:67" s="24" customFormat="1" ht="15" customHeight="1" x14ac:dyDescent="0.25">
      <c r="A2219" s="298" t="s">
        <v>9590</v>
      </c>
      <c r="B2219" s="241" t="str">
        <f>HYPERLINK(CONCATENATE($AT$3,BK2219,$AU$3),$AV$3)</f>
        <v>S</v>
      </c>
      <c r="C2219" s="242" t="str">
        <f>HYPERLINK(CONCATENATE($AT$4,BK2219,$AU$4,BL2219),$AV$4)</f>
        <v>A</v>
      </c>
      <c r="D2219" s="243" t="s">
        <v>5335</v>
      </c>
      <c r="E2219" s="244" t="s">
        <v>5185</v>
      </c>
      <c r="F2219" s="269" t="s">
        <v>5108</v>
      </c>
      <c r="G2219" s="276">
        <v>8</v>
      </c>
      <c r="H2219" s="283">
        <v>2800</v>
      </c>
      <c r="I2219" s="246">
        <v>32</v>
      </c>
      <c r="J2219" s="246">
        <v>1</v>
      </c>
      <c r="K2219" s="247" t="s">
        <v>8629</v>
      </c>
      <c r="L2219" s="248">
        <v>144849</v>
      </c>
      <c r="M2219" s="249">
        <f>15*(LEFT(TEXT($L2219,"000000"),2)+(MID(TEXT($L2219,"000000"),3,2)/60)+(RIGHT(TEXT($L2219,"000000"),2)/3600))</f>
        <v>222.20416666666668</v>
      </c>
      <c r="N2219" s="286">
        <v>-543007</v>
      </c>
      <c r="O2219" s="251">
        <f>IF($N2219&gt;0,(LEFT(TEXT($N2219,"000000"),2)+(MID(TEXT($N2219,"000000"),3,2)/60)+(RIGHT(TEXT($N2219,"000000"),2)/3600)),-(MID(TEXT($N2219,"000000"),2,2)+(MID(TEXT($N2219,"000000"),4,2)/60)+(RIGHT(TEXT($N2219,"000000"),2)/3600)))</f>
        <v>-54.501944444444447</v>
      </c>
      <c r="P2219" s="252" t="s">
        <v>767</v>
      </c>
      <c r="Q2219" s="253"/>
      <c r="R2219" s="247" t="s">
        <v>3293</v>
      </c>
      <c r="S2219" s="272" t="s">
        <v>3293</v>
      </c>
      <c r="T2219" s="273">
        <v>8.8000000000000007</v>
      </c>
      <c r="U2219" s="274"/>
      <c r="V2219" s="280"/>
      <c r="W2219" s="244"/>
      <c r="X2219" s="244"/>
      <c r="Y2219" s="362"/>
      <c r="Z2219" s="257">
        <f>altaz(J2000_Bas,$O2219,$M2219,DecLat,DecLong,1)</f>
        <v>-11.510372067751279</v>
      </c>
      <c r="AA2219" s="257">
        <f>altaz((J2000_Bas+(2*0.04167)),$O2219,$M2219,DecLat,DecLong,1)</f>
        <v>-26.937416059209909</v>
      </c>
      <c r="AB2219" s="257">
        <f>altaz((J2000_Bas+(4*0.04167)),$O2219,$M2219,DecLat,DecLong,1)</f>
        <v>-44.219356552909701</v>
      </c>
      <c r="AC2219" s="257">
        <f>altaz((J2000_Bas+(6*0.04167)),$O2219,$M2219,DecLat,DecLong,1)</f>
        <v>-60.097028553055303</v>
      </c>
      <c r="AD2219" s="258">
        <f>1+ transit((J2000_Bas-1),$O2219,$M2219,DecLat,DecLong)/360 + (GMTOffset/24) + (IF(DST="Y", 1, 0)/24)</f>
        <v>1.6101336952026246</v>
      </c>
      <c r="AE2219" s="259">
        <f>DATE(2001,9,21)+(M2219/360)*365 - (360*((DecLong/360)- (GMTOffset/24) ))</f>
        <v>37385.290335648147</v>
      </c>
      <c r="AF2219" s="260">
        <f>IF(DecLat&gt;0,IF((90 - (DecLat-O2219))&gt;90, (90 - (O2219-DecLat)), (90 - (DecLat-O2219))),IF((90 + (DecLat-O2219))&gt;90, (90 + (O2219-DecLat)), (90 + (DecLat-O2219))))</f>
        <v>4.4980555555555526</v>
      </c>
      <c r="AG2219" s="257">
        <f>angularseperation(MoonRA,MoonDec,$M2219,$O2219)</f>
        <v>33.78111079470149</v>
      </c>
      <c r="AH2219" s="261">
        <f ca="1">MIN(100,IF($O$5&gt;80,0+30*($AG2219/100),IF($O$5&gt;70,0+50*($AG2219/100),IF($O$5&gt;60,5+50*($AG2219/100),IF($O$5&gt;50,10+60*($AG2219/100),IF($O$5&gt;40,15+70*($AG2219/100),IF($O$5&gt;30,20+70*($AG2219/100),IF($O$5&gt;20,40+55*($AG2219/100),(80+(20-$O$5)+30*($AG2219/100))))))))))</f>
        <v>93.405393582560876</v>
      </c>
      <c r="AI2219" s="262">
        <v>5822</v>
      </c>
      <c r="AJ2219" s="262"/>
      <c r="AK2219" s="262"/>
      <c r="AL2219" s="263"/>
      <c r="AM2219" s="264"/>
      <c r="AN2219" s="263"/>
      <c r="AO2219" s="263"/>
      <c r="AP2219" s="265"/>
      <c r="AQ2219" s="266"/>
      <c r="AR2219" s="267"/>
      <c r="AS2219" s="263"/>
      <c r="AT2219" s="263"/>
      <c r="AU2219" s="263"/>
      <c r="AV2219" s="264"/>
      <c r="AW2219" s="263"/>
      <c r="AX2219" s="263"/>
      <c r="AY2219" s="263"/>
      <c r="AZ2219" s="263"/>
      <c r="BA2219" s="263"/>
      <c r="BB2219" s="263"/>
      <c r="BC2219" s="263"/>
      <c r="BD2219" s="264"/>
      <c r="BE2219" s="263"/>
      <c r="BF2219" s="263"/>
      <c r="BG2219" s="263"/>
      <c r="BH2219" s="263"/>
      <c r="BI2219" s="263"/>
      <c r="BJ2219" s="404">
        <f>altaz(J2000_Bas,$O2219,$M2219,DecLat,DecLong,2)</f>
        <v>212.12053684008981</v>
      </c>
      <c r="BK2219" s="378" t="s">
        <v>9590</v>
      </c>
      <c r="BL2219" s="379">
        <f>IF((2*G2219)/60&lt;0.2,0.2,(2*G2219)/60)</f>
        <v>0.26666666666666666</v>
      </c>
      <c r="BM2219" s="380">
        <f>MOD((50000+AD2219-$B$3+(0/24)),1)</f>
        <v>0.82550062490918208</v>
      </c>
      <c r="BN2219" s="381"/>
      <c r="BO2219" s="382">
        <v>2217</v>
      </c>
    </row>
    <row r="2220" spans="1:67" s="24" customFormat="1" ht="15" customHeight="1" x14ac:dyDescent="0.25">
      <c r="A2220" s="288" t="s">
        <v>2111</v>
      </c>
      <c r="B2220" s="241" t="str">
        <f>HYPERLINK(CONCATENATE($AT$3,BK2220,$AU$3),$AV$3)</f>
        <v>S</v>
      </c>
      <c r="C2220" s="242" t="str">
        <f>HYPERLINK(CONCATENATE($AT$4,BK2220,$AU$4,BL2220),$AV$4)</f>
        <v>A</v>
      </c>
      <c r="D2220" s="243" t="s">
        <v>5638</v>
      </c>
      <c r="E2220" s="244" t="s">
        <v>5182</v>
      </c>
      <c r="F2220" s="269" t="s">
        <v>9126</v>
      </c>
      <c r="G2220" s="273">
        <v>3</v>
      </c>
      <c r="H2220" s="283">
        <v>100</v>
      </c>
      <c r="I2220" s="246">
        <v>85</v>
      </c>
      <c r="J2220" s="246">
        <v>2</v>
      </c>
      <c r="K2220" s="247" t="s">
        <v>8210</v>
      </c>
      <c r="L2220" s="248">
        <v>144611</v>
      </c>
      <c r="M2220" s="249">
        <f>15*(LEFT(TEXT($L2220,"000000"),2)+(MID(TEXT($L2220,"000000"),3,2)/60)+(RIGHT(TEXT($L2220,"000000"),2)/3600))</f>
        <v>221.54583333333335</v>
      </c>
      <c r="N2220" s="250">
        <v>-1323</v>
      </c>
      <c r="O2220" s="251">
        <f>IF($N2220&gt;0,(LEFT(TEXT($N2220,"000000"),2)+(MID(TEXT($N2220,"000000"),3,2)/60)+(RIGHT(TEXT($N2220,"000000"),2)/3600)),-(MID(TEXT($N2220,"000000"),2,2)+(MID(TEXT($N2220,"000000"),4,2)/60)+(RIGHT(TEXT($N2220,"000000"),2)/3600)))</f>
        <v>-0.22305555555555556</v>
      </c>
      <c r="P2220" s="252" t="s">
        <v>61</v>
      </c>
      <c r="Q2220" s="253"/>
      <c r="R2220" s="247" t="s">
        <v>3293</v>
      </c>
      <c r="S2220" s="272" t="s">
        <v>3293</v>
      </c>
      <c r="T2220" s="273">
        <v>11.6</v>
      </c>
      <c r="U2220" s="289">
        <v>22.09</v>
      </c>
      <c r="V2220" s="280">
        <v>65</v>
      </c>
      <c r="W2220" s="244"/>
      <c r="X2220" s="244"/>
      <c r="Y2220" s="362"/>
      <c r="Z2220" s="257">
        <f>altaz(J2000_Bas,$O2220,$M2220,DecLat,DecLong,1)</f>
        <v>21.56740052963109</v>
      </c>
      <c r="AA2220" s="257">
        <f>altaz((J2000_Bas+(2*0.04167)),$O2220,$M2220,DecLat,DecLong,1)</f>
        <v>-4.0067286235702042</v>
      </c>
      <c r="AB2220" s="257">
        <f>altaz((J2000_Bas+(4*0.04167)),$O2220,$M2220,DecLat,DecLong,1)</f>
        <v>-29.278628269118876</v>
      </c>
      <c r="AC2220" s="257">
        <f>altaz((J2000_Bas+(6*0.04167)),$O2220,$M2220,DecLat,DecLong,1)</f>
        <v>-50.988153979398255</v>
      </c>
      <c r="AD2220" s="258">
        <f>1+ transit((J2000_Bas-1),$O2220,$M2220,DecLat,DecLong)/360 + (GMTOffset/24) + (IF(DST="Y", 1, 0)/24)</f>
        <v>1.6083049916817915</v>
      </c>
      <c r="AE2220" s="259">
        <f>DATE(2001,9,21)+(M2220/360)*365 - (360*((DecLong/360)- (GMTOffset/24) ))</f>
        <v>37384.622858796298</v>
      </c>
      <c r="AF2220" s="260">
        <f>IF(DecLat&gt;0,IF((90 - (DecLat-O2220))&gt;90, (90 - (O2220-DecLat)), (90 - (DecLat-O2220))),IF((90 + (DecLat-O2220))&gt;90, (90 + (O2220-DecLat)), (90 + (DecLat-O2220))))</f>
        <v>58.776944444444446</v>
      </c>
      <c r="AG2220" s="257">
        <f>angularseperation(MoonRA,MoonDec,$M2220,$O2220)</f>
        <v>37.805560049255803</v>
      </c>
      <c r="AH2220" s="261">
        <f ca="1">MIN(100,IF($O$5&gt;80,0+30*($AG2220/100),IF($O$5&gt;70,0+50*($AG2220/100),IF($O$5&gt;60,5+50*($AG2220/100),IF($O$5&gt;50,10+60*($AG2220/100),IF($O$5&gt;40,15+70*($AG2220/100),IF($O$5&gt;30,20+70*($AG2220/100),IF($O$5&gt;20,40+55*($AG2220/100),(80+(20-$O$5)+30*($AG2220/100))))))))))</f>
        <v>94.612728358927171</v>
      </c>
      <c r="AI2220" s="262">
        <v>5750</v>
      </c>
      <c r="AJ2220" s="262"/>
      <c r="AK2220" s="262"/>
      <c r="AL2220" s="263"/>
      <c r="AM2220" s="264"/>
      <c r="AN2220" s="263"/>
      <c r="AO2220" s="263"/>
      <c r="AP2220" s="265"/>
      <c r="AQ2220" s="266">
        <v>9512</v>
      </c>
      <c r="AR2220" s="267">
        <v>52735</v>
      </c>
      <c r="AS2220" s="263"/>
      <c r="AT2220" s="263"/>
      <c r="AU2220" s="263"/>
      <c r="AV2220" s="264"/>
      <c r="AW2220" s="263"/>
      <c r="AX2220" s="263"/>
      <c r="AY2220" s="263"/>
      <c r="AZ2220" s="263"/>
      <c r="BA2220" s="263"/>
      <c r="BB2220" s="263"/>
      <c r="BC2220" s="263"/>
      <c r="BD2220" s="264"/>
      <c r="BE2220" s="263"/>
      <c r="BF2220" s="263"/>
      <c r="BG2220" s="263"/>
      <c r="BH2220" s="263"/>
      <c r="BI2220" s="263"/>
      <c r="BJ2220" s="404">
        <f>altaz(J2000_Bas,$O2220,$M2220,DecLat,DecLong,2)</f>
        <v>255.97260147116049</v>
      </c>
      <c r="BK2220" s="378" t="s">
        <v>2111</v>
      </c>
      <c r="BL2220" s="379">
        <f>IF((2*G2220)/60&lt;0.2,0.2,(2*G2220)/60)</f>
        <v>0.2</v>
      </c>
      <c r="BM2220" s="380">
        <f>MOD((50000+AD2220-$B$3+(0/24)),1)</f>
        <v>0.82367192138917744</v>
      </c>
      <c r="BN2220" s="381"/>
      <c r="BO2220" s="382">
        <v>2210</v>
      </c>
    </row>
    <row r="2221" spans="1:67" s="24" customFormat="1" ht="15" customHeight="1" x14ac:dyDescent="0.25">
      <c r="A2221" s="288" t="s">
        <v>2112</v>
      </c>
      <c r="B2221" s="241" t="str">
        <f>HYPERLINK(CONCATENATE($AT$3,BK2221,$AU$3),$AV$3)</f>
        <v>S</v>
      </c>
      <c r="C2221" s="242" t="str">
        <f>HYPERLINK(CONCATENATE($AT$4,BK2221,$AU$4,BL2221),$AV$4)</f>
        <v>A</v>
      </c>
      <c r="D2221" s="243" t="s">
        <v>5638</v>
      </c>
      <c r="E2221" s="244" t="s">
        <v>5337</v>
      </c>
      <c r="F2221" s="269" t="s">
        <v>3310</v>
      </c>
      <c r="G2221" s="270">
        <v>0.7</v>
      </c>
      <c r="H2221" s="283">
        <v>400</v>
      </c>
      <c r="I2221" s="246">
        <v>80</v>
      </c>
      <c r="J2221" s="246">
        <v>2</v>
      </c>
      <c r="K2221" s="247" t="s">
        <v>8211</v>
      </c>
      <c r="L2221" s="248">
        <v>144715</v>
      </c>
      <c r="M2221" s="249">
        <f>15*(LEFT(TEXT($L2221,"000000"),2)+(MID(TEXT($L2221,"000000"),3,2)/60)+(RIGHT(TEXT($L2221,"000000"),2)/3600))</f>
        <v>221.8125</v>
      </c>
      <c r="N2221" s="250">
        <v>132723</v>
      </c>
      <c r="O2221" s="251">
        <f>IF($N2221&gt;0,(LEFT(TEXT($N2221,"000000"),2)+(MID(TEXT($N2221,"000000"),3,2)/60)+(RIGHT(TEXT($N2221,"000000"),2)/3600)),-(MID(TEXT($N2221,"000000"),2,2)+(MID(TEXT($N2221,"000000"),4,2)/60)+(RIGHT(TEXT($N2221,"000000"),2)/3600)))</f>
        <v>13.456388888888888</v>
      </c>
      <c r="P2221" s="252" t="s">
        <v>260</v>
      </c>
      <c r="Q2221" s="253"/>
      <c r="R2221" s="247" t="s">
        <v>3293</v>
      </c>
      <c r="S2221" s="272" t="s">
        <v>3293</v>
      </c>
      <c r="T2221" s="273">
        <v>14.4</v>
      </c>
      <c r="U2221" s="289">
        <v>22.89</v>
      </c>
      <c r="V2221" s="280"/>
      <c r="W2221" s="244"/>
      <c r="X2221" s="244"/>
      <c r="Y2221" s="362"/>
      <c r="Z2221" s="257">
        <f>altaz(J2000_Bas,$O2221,$M2221,DecLat,DecLong,1)</f>
        <v>28.868798392520706</v>
      </c>
      <c r="AA2221" s="257">
        <f>altaz((J2000_Bas+(2*0.04167)),$O2221,$M2221,DecLat,DecLong,1)</f>
        <v>3.3086401113220298</v>
      </c>
      <c r="AB2221" s="257">
        <f>altaz((J2000_Bas+(4*0.04167)),$O2221,$M2221,DecLat,DecLong,1)</f>
        <v>-20.526154919588482</v>
      </c>
      <c r="AC2221" s="257">
        <f>altaz((J2000_Bas+(6*0.04167)),$O2221,$M2221,DecLat,DecLong,1)</f>
        <v>-39.214300766172904</v>
      </c>
      <c r="AD2221" s="258">
        <f>1+ transit((J2000_Bas-1),$O2221,$M2221,DecLat,DecLong)/360 + (GMTOffset/24) + (IF(DST="Y", 1, 0)/24)</f>
        <v>1.6090457323484582</v>
      </c>
      <c r="AE2221" s="259">
        <f>DATE(2001,9,21)+(M2221/360)*365 - (360*((DecLong/360)- (GMTOffset/24) ))</f>
        <v>37384.893229166664</v>
      </c>
      <c r="AF2221" s="260">
        <f>IF(DecLat&gt;0,IF((90 - (DecLat-O2221))&gt;90, (90 - (O2221-DecLat)), (90 - (DecLat-O2221))),IF((90 + (DecLat-O2221))&gt;90, (90 + (O2221-DecLat)), (90 + (DecLat-O2221))))</f>
        <v>72.456388888888881</v>
      </c>
      <c r="AG2221" s="257">
        <f>angularseperation(MoonRA,MoonDec,$M2221,$O2221)</f>
        <v>48.501386442317383</v>
      </c>
      <c r="AH2221" s="261">
        <f ca="1">MIN(100,IF($O$5&gt;80,0+30*($AG2221/100),IF($O$5&gt;70,0+50*($AG2221/100),IF($O$5&gt;60,5+50*($AG2221/100),IF($O$5&gt;50,10+60*($AG2221/100),IF($O$5&gt;40,15+70*($AG2221/100),IF($O$5&gt;30,20+70*($AG2221/100),IF($O$5&gt;20,40+55*($AG2221/100),(80+(20-$O$5)+30*($AG2221/100))))))))))</f>
        <v>97.821476276845644</v>
      </c>
      <c r="AI2221" s="262">
        <v>5759</v>
      </c>
      <c r="AJ2221" s="262"/>
      <c r="AK2221" s="262"/>
      <c r="AL2221" s="263"/>
      <c r="AM2221" s="264"/>
      <c r="AN2221" s="263"/>
      <c r="AO2221" s="263"/>
      <c r="AP2221" s="265"/>
      <c r="AQ2221" s="266">
        <v>9525</v>
      </c>
      <c r="AR2221" s="267">
        <v>52797</v>
      </c>
      <c r="AS2221" s="263"/>
      <c r="AT2221" s="263"/>
      <c r="AU2221" s="263"/>
      <c r="AV2221" s="264"/>
      <c r="AW2221" s="263"/>
      <c r="AX2221" s="263"/>
      <c r="AY2221" s="263"/>
      <c r="AZ2221" s="263"/>
      <c r="BA2221" s="263"/>
      <c r="BB2221" s="263"/>
      <c r="BC2221" s="263"/>
      <c r="BD2221" s="264"/>
      <c r="BE2221" s="263"/>
      <c r="BF2221" s="263"/>
      <c r="BG2221" s="263"/>
      <c r="BH2221" s="263"/>
      <c r="BI2221" s="263"/>
      <c r="BJ2221" s="404">
        <f>altaz(J2000_Bas,$O2221,$M2221,DecLat,DecLong,2)</f>
        <v>268.78184862101085</v>
      </c>
      <c r="BK2221" s="378" t="s">
        <v>2112</v>
      </c>
      <c r="BL2221" s="379">
        <f>IF((2*G2221)/60&lt;0.2,0.2,(2*G2221)/60)</f>
        <v>0.2</v>
      </c>
      <c r="BM2221" s="380">
        <f>MOD((50000+AD2221-$B$3+(0/24)),1)</f>
        <v>0.82441266205569264</v>
      </c>
      <c r="BN2221" s="381"/>
      <c r="BO2221" s="382">
        <v>2211</v>
      </c>
    </row>
    <row r="2222" spans="1:67" s="24" customFormat="1" ht="15" customHeight="1" x14ac:dyDescent="0.25">
      <c r="A2222" s="288" t="s">
        <v>2113</v>
      </c>
      <c r="B2222" s="241" t="str">
        <f>HYPERLINK(CONCATENATE($AT$3,BK2222,$AU$3),$AV$3)</f>
        <v>S</v>
      </c>
      <c r="C2222" s="242" t="str">
        <f>HYPERLINK(CONCATENATE($AT$4,BK2222,$AU$4,BL2222),$AV$4)</f>
        <v>A</v>
      </c>
      <c r="D2222" s="243" t="s">
        <v>5638</v>
      </c>
      <c r="E2222" s="244" t="s">
        <v>5337</v>
      </c>
      <c r="F2222" s="269" t="s">
        <v>3301</v>
      </c>
      <c r="G2222" s="270">
        <v>0.5</v>
      </c>
      <c r="H2222" s="283">
        <v>400</v>
      </c>
      <c r="I2222" s="246">
        <v>60</v>
      </c>
      <c r="J2222" s="246">
        <v>2</v>
      </c>
      <c r="K2222" s="247" t="s">
        <v>8212</v>
      </c>
      <c r="L2222" s="248">
        <v>145051</v>
      </c>
      <c r="M2222" s="249">
        <f>15*(LEFT(TEXT($L2222,"000000"),2)+(MID(TEXT($L2222,"000000"),3,2)/60)+(RIGHT(TEXT($L2222,"000000"),2)/3600))</f>
        <v>222.71250000000001</v>
      </c>
      <c r="N2222" s="250">
        <v>50651</v>
      </c>
      <c r="O2222" s="251">
        <f>IF($N2222&gt;0,(LEFT(TEXT($N2222,"000000"),2)+(MID(TEXT($N2222,"000000"),3,2)/60)+(RIGHT(TEXT($N2222,"000000"),2)/3600)),-(MID(TEXT($N2222,"000000"),2,2)+(MID(TEXT($N2222,"000000"),4,2)/60)+(RIGHT(TEXT($N2222,"000000"),2)/3600)))</f>
        <v>5.1141666666666667</v>
      </c>
      <c r="P2222" s="252" t="s">
        <v>61</v>
      </c>
      <c r="Q2222" s="253"/>
      <c r="R2222" s="247" t="s">
        <v>3293</v>
      </c>
      <c r="S2222" s="272" t="s">
        <v>3293</v>
      </c>
      <c r="T2222" s="273">
        <v>14.6</v>
      </c>
      <c r="U2222" s="289">
        <v>21.69</v>
      </c>
      <c r="V2222" s="280"/>
      <c r="W2222" s="244"/>
      <c r="X2222" s="244"/>
      <c r="Y2222" s="362"/>
      <c r="Z2222" s="257">
        <f>altaz(J2000_Bas,$O2222,$M2222,DecLat,DecLong,1)</f>
        <v>25.445384434668021</v>
      </c>
      <c r="AA2222" s="257">
        <f>altaz((J2000_Bas+(2*0.04167)),$O2222,$M2222,DecLat,DecLong,1)</f>
        <v>-0.24898283459868098</v>
      </c>
      <c r="AB2222" s="257">
        <f>altaz((J2000_Bas+(4*0.04167)),$O2222,$M2222,DecLat,DecLong,1)</f>
        <v>-25.138083998600507</v>
      </c>
      <c r="AC2222" s="257">
        <f>altaz((J2000_Bas+(6*0.04167)),$O2222,$M2222,DecLat,DecLong,1)</f>
        <v>-45.925387436748345</v>
      </c>
      <c r="AD2222" s="258">
        <f>1+ transit((J2000_Bas-1),$O2222,$M2222,DecLat,DecLong)/360 + (GMTOffset/24) + (IF(DST="Y", 1, 0)/24)</f>
        <v>1.6115457320984581</v>
      </c>
      <c r="AE2222" s="259">
        <f>DATE(2001,9,21)+(M2222/360)*365 - (360*((DecLong/360)- (GMTOffset/24) ))</f>
        <v>37385.80572916667</v>
      </c>
      <c r="AF2222" s="260">
        <f>IF(DecLat&gt;0,IF((90 - (DecLat-O2222))&gt;90, (90 - (O2222-DecLat)), (90 - (DecLat-O2222))),IF((90 + (DecLat-O2222))&gt;90, (90 + (O2222-DecLat)), (90 + (DecLat-O2222))))</f>
        <v>64.114166666666662</v>
      </c>
      <c r="AG2222" s="257">
        <f>angularseperation(MoonRA,MoonDec,$M2222,$O2222)</f>
        <v>41.163492509678917</v>
      </c>
      <c r="AH2222" s="261">
        <f ca="1">MIN(100,IF($O$5&gt;80,0+30*($AG2222/100),IF($O$5&gt;70,0+50*($AG2222/100),IF($O$5&gt;60,5+50*($AG2222/100),IF($O$5&gt;50,10+60*($AG2222/100),IF($O$5&gt;40,15+70*($AG2222/100),IF($O$5&gt;30,20+70*($AG2222/100),IF($O$5&gt;20,40+55*($AG2222/100),(80+(20-$O$5)+30*($AG2222/100))))))))))</f>
        <v>95.6201080970541</v>
      </c>
      <c r="AI2222" s="262">
        <v>5765</v>
      </c>
      <c r="AJ2222" s="262"/>
      <c r="AK2222" s="262"/>
      <c r="AL2222" s="263"/>
      <c r="AM2222" s="264"/>
      <c r="AN2222" s="263"/>
      <c r="AO2222" s="263"/>
      <c r="AP2222" s="265"/>
      <c r="AQ2222" s="266"/>
      <c r="AR2222" s="267">
        <v>53012</v>
      </c>
      <c r="AS2222" s="263"/>
      <c r="AT2222" s="263"/>
      <c r="AU2222" s="263"/>
      <c r="AV2222" s="264"/>
      <c r="AW2222" s="263"/>
      <c r="AX2222" s="263"/>
      <c r="AY2222" s="263"/>
      <c r="AZ2222" s="263"/>
      <c r="BA2222" s="263"/>
      <c r="BB2222" s="263"/>
      <c r="BC2222" s="263"/>
      <c r="BD2222" s="264"/>
      <c r="BE2222" s="263"/>
      <c r="BF2222" s="263"/>
      <c r="BG2222" s="263"/>
      <c r="BH2222" s="263"/>
      <c r="BI2222" s="263"/>
      <c r="BJ2222" s="404">
        <f>altaz(J2000_Bas,$O2222,$M2222,DecLat,DecLong,2)</f>
        <v>260.16990558227371</v>
      </c>
      <c r="BK2222" s="378" t="s">
        <v>2113</v>
      </c>
      <c r="BL2222" s="379">
        <f>IF((2*G2222)/60&lt;0.2,0.2,(2*G2222)/60)</f>
        <v>0.2</v>
      </c>
      <c r="BM2222" s="380">
        <f>MOD((50000+AD2222-$B$3+(0/24)),1)</f>
        <v>0.82691266180336243</v>
      </c>
      <c r="BN2222" s="381" t="s">
        <v>9281</v>
      </c>
      <c r="BO2222" s="382">
        <v>2212</v>
      </c>
    </row>
    <row r="2223" spans="1:67" s="24" customFormat="1" ht="15" customHeight="1" x14ac:dyDescent="0.25">
      <c r="A2223" s="288" t="s">
        <v>8213</v>
      </c>
      <c r="B2223" s="241" t="str">
        <f>HYPERLINK(CONCATENATE($AT$3,BK2223,$AU$3),$AV$3)</f>
        <v>S</v>
      </c>
      <c r="C2223" s="242" t="str">
        <f>HYPERLINK(CONCATENATE($AT$4,BK2223,$AU$4,BL2223),$AV$4)</f>
        <v>A</v>
      </c>
      <c r="D2223" s="243" t="s">
        <v>5638</v>
      </c>
      <c r="E2223" s="244" t="s">
        <v>5178</v>
      </c>
      <c r="F2223" s="269" t="s">
        <v>8665</v>
      </c>
      <c r="G2223" s="273">
        <v>4</v>
      </c>
      <c r="H2223" s="283">
        <v>80</v>
      </c>
      <c r="I2223" s="246">
        <v>95</v>
      </c>
      <c r="J2223" s="246">
        <v>2</v>
      </c>
      <c r="K2223" s="247" t="s">
        <v>8214</v>
      </c>
      <c r="L2223" s="248">
        <v>145358</v>
      </c>
      <c r="M2223" s="249">
        <f>15*(LEFT(TEXT($L2223,"000000"),2)+(MID(TEXT($L2223,"000000"),3,2)/60)+(RIGHT(TEXT($L2223,"000000"),2)/3600))</f>
        <v>223.49166666666667</v>
      </c>
      <c r="N2223" s="286">
        <v>33240</v>
      </c>
      <c r="O2223" s="251">
        <f>IF($N2223&gt;0,(LEFT(TEXT($N2223,"000000"),2)+(MID(TEXT($N2223,"000000"),3,2)/60)+(RIGHT(TEXT($N2223,"000000"),2)/3600)),-(MID(TEXT($N2223,"000000"),2,2)+(MID(TEXT($N2223,"000000"),4,2)/60)+(RIGHT(TEXT($N2223,"000000"),2)/3600)))</f>
        <v>3.5444444444444443</v>
      </c>
      <c r="P2223" s="252" t="s">
        <v>61</v>
      </c>
      <c r="Q2223" s="253"/>
      <c r="R2223" s="247" t="s">
        <v>3293</v>
      </c>
      <c r="S2223" s="272" t="s">
        <v>2114</v>
      </c>
      <c r="T2223" s="273">
        <v>11.4</v>
      </c>
      <c r="U2223" s="289">
        <v>21.69</v>
      </c>
      <c r="V2223" s="280">
        <v>87</v>
      </c>
      <c r="W2223" s="244"/>
      <c r="X2223" s="244"/>
      <c r="Y2223" s="362"/>
      <c r="Z2223" s="257">
        <f>altaz(J2000_Bas,$O2223,$M2223,DecLat,DecLong,1)</f>
        <v>25.260508859679089</v>
      </c>
      <c r="AA2223" s="257">
        <f>altaz((J2000_Bas+(2*0.04167)),$O2223,$M2223,DecLat,DecLong,1)</f>
        <v>-0.395409648574223</v>
      </c>
      <c r="AB2223" s="257">
        <f>altaz((J2000_Bas+(4*0.04167)),$O2223,$M2223,DecLat,DecLong,1)</f>
        <v>-25.473825626788262</v>
      </c>
      <c r="AC2223" s="257">
        <f>altaz((J2000_Bas+(6*0.04167)),$O2223,$M2223,DecLat,DecLong,1)</f>
        <v>-46.789018444876739</v>
      </c>
      <c r="AD2223" s="258">
        <f>1+ transit((J2000_Bas-1),$O2223,$M2223,DecLat,DecLong)/360 + (GMTOffset/24) + (IF(DST="Y", 1, 0)/24)</f>
        <v>1.6137100837338747</v>
      </c>
      <c r="AE2223" s="259">
        <f>DATE(2001,9,21)+(M2223/360)*365 - (360*((DecLong/360)- (GMTOffset/24) ))</f>
        <v>37386.595717592594</v>
      </c>
      <c r="AF2223" s="260">
        <f>IF(DecLat&gt;0,IF((90 - (DecLat-O2223))&gt;90, (90 - (O2223-DecLat)), (90 - (DecLat-O2223))),IF((90 + (DecLat-O2223))&gt;90, (90 + (O2223-DecLat)), (90 + (DecLat-O2223))))</f>
        <v>62.544444444444444</v>
      </c>
      <c r="AG2223" s="257">
        <f>angularseperation(MoonRA,MoonDec,$M2223,$O2223)</f>
        <v>39.444208952605592</v>
      </c>
      <c r="AH2223" s="261">
        <f ca="1">MIN(100,IF($O$5&gt;80,0+30*($AG2223/100),IF($O$5&gt;70,0+50*($AG2223/100),IF($O$5&gt;60,5+50*($AG2223/100),IF($O$5&gt;50,10+60*($AG2223/100),IF($O$5&gt;40,15+70*($AG2223/100),IF($O$5&gt;30,20+70*($AG2223/100),IF($O$5&gt;20,40+55*($AG2223/100),(80+(20-$O$5)+30*($AG2223/100))))))))))</f>
        <v>95.104323029932104</v>
      </c>
      <c r="AI2223" s="262">
        <v>5775</v>
      </c>
      <c r="AJ2223" s="262"/>
      <c r="AK2223" s="262"/>
      <c r="AL2223" s="263"/>
      <c r="AM2223" s="264"/>
      <c r="AN2223" s="263"/>
      <c r="AO2223" s="263"/>
      <c r="AP2223" s="265"/>
      <c r="AQ2223" s="266">
        <v>9579</v>
      </c>
      <c r="AR2223" s="267">
        <v>53247</v>
      </c>
      <c r="AS2223" s="263"/>
      <c r="AT2223" s="263"/>
      <c r="AU2223" s="263"/>
      <c r="AV2223" s="264"/>
      <c r="AW2223" s="263"/>
      <c r="AX2223" s="263"/>
      <c r="AY2223" s="263"/>
      <c r="AZ2223" s="263"/>
      <c r="BA2223" s="263"/>
      <c r="BB2223" s="263"/>
      <c r="BC2223" s="263"/>
      <c r="BD2223" s="264"/>
      <c r="BE2223" s="263"/>
      <c r="BF2223" s="263"/>
      <c r="BG2223" s="263"/>
      <c r="BH2223" s="263">
        <v>13</v>
      </c>
      <c r="BI2223" s="263"/>
      <c r="BJ2223" s="404">
        <f>altaz(J2000_Bas,$O2223,$M2223,DecLat,DecLong,2)</f>
        <v>258.24258283918812</v>
      </c>
      <c r="BK2223" s="378" t="s">
        <v>2115</v>
      </c>
      <c r="BL2223" s="379">
        <f>IF((2*G2223)/60&lt;0.2,0.2,(2*G2223)/60)</f>
        <v>0.2</v>
      </c>
      <c r="BM2223" s="380">
        <f>MOD((50000+AD2223-$B$3+(0/24)),1)</f>
        <v>0.82907701344083762</v>
      </c>
      <c r="BN2223" s="381"/>
      <c r="BO2223" s="382">
        <v>2213</v>
      </c>
    </row>
    <row r="2224" spans="1:67" s="24" customFormat="1" ht="15" customHeight="1" x14ac:dyDescent="0.25">
      <c r="A2224" s="288" t="s">
        <v>2116</v>
      </c>
      <c r="B2224" s="241" t="str">
        <f>HYPERLINK(CONCATENATE($AT$3,BK2224,$AU$3),$AV$3)</f>
        <v>S</v>
      </c>
      <c r="C2224" s="242" t="str">
        <f>HYPERLINK(CONCATENATE($AT$4,BK2224,$AU$4,BL2224),$AV$4)</f>
        <v>A</v>
      </c>
      <c r="D2224" s="243" t="s">
        <v>5638</v>
      </c>
      <c r="E2224" s="244" t="s">
        <v>5192</v>
      </c>
      <c r="F2224" s="269" t="s">
        <v>8908</v>
      </c>
      <c r="G2224" s="273">
        <v>8</v>
      </c>
      <c r="H2224" s="283">
        <v>85</v>
      </c>
      <c r="I2224" s="246">
        <v>200</v>
      </c>
      <c r="J2224" s="246">
        <v>2</v>
      </c>
      <c r="K2224" s="247" t="s">
        <v>8215</v>
      </c>
      <c r="L2224" s="248">
        <v>145823</v>
      </c>
      <c r="M2224" s="249">
        <f>15*(LEFT(TEXT($L2224,"000000"),2)+(MID(TEXT($L2224,"000000"),3,2)/60)+(RIGHT(TEXT($L2224,"000000"),2)/3600))</f>
        <v>224.59583333333333</v>
      </c>
      <c r="N2224" s="250">
        <v>-10526</v>
      </c>
      <c r="O2224" s="251">
        <f>IF($N2224&gt;0,(LEFT(TEXT($N2224,"000000"),2)+(MID(TEXT($N2224,"000000"),3,2)/60)+(RIGHT(TEXT($N2224,"000000"),2)/3600)),-(MID(TEXT($N2224,"000000"),2,2)+(MID(TEXT($N2224,"000000"),4,2)/60)+(RIGHT(TEXT($N2224,"000000"),2)/3600)))</f>
        <v>-1.0905555555555555</v>
      </c>
      <c r="P2224" s="252" t="s">
        <v>473</v>
      </c>
      <c r="Q2224" s="253"/>
      <c r="R2224" s="247" t="s">
        <v>3293</v>
      </c>
      <c r="S2224" s="272" t="s">
        <v>3293</v>
      </c>
      <c r="T2224" s="273">
        <v>11.3</v>
      </c>
      <c r="U2224" s="289">
        <v>22.69</v>
      </c>
      <c r="V2224" s="280">
        <v>80</v>
      </c>
      <c r="W2224" s="244"/>
      <c r="X2224" s="244"/>
      <c r="Y2224" s="362"/>
      <c r="Z2224" s="257">
        <f>altaz(J2000_Bas,$O2224,$M2224,DecLat,DecLong,1)</f>
        <v>23.600243740168839</v>
      </c>
      <c r="AA2224" s="257">
        <f>altaz((J2000_Bas+(2*0.04167)),$O2224,$M2224,DecLat,DecLong,1)</f>
        <v>-1.8399097840079925</v>
      </c>
      <c r="AB2224" s="257">
        <f>altaz((J2000_Bas+(4*0.04167)),$O2224,$M2224,DecLat,DecLong,1)</f>
        <v>-27.29406162468597</v>
      </c>
      <c r="AC2224" s="257">
        <f>altaz((J2000_Bas+(6*0.04167)),$O2224,$M2224,DecLat,DecLong,1)</f>
        <v>-49.827115249575641</v>
      </c>
      <c r="AD2224" s="258">
        <f>1+ transit((J2000_Bas-1),$O2224,$M2224,DecLat,DecLong)/360 + (GMTOffset/24) + (IF(DST="Y", 1, 0)/24)</f>
        <v>1.6167772130567915</v>
      </c>
      <c r="AE2224" s="259">
        <f>DATE(2001,9,21)+(M2224/360)*365 - (360*((DecLong/360)- (GMTOffset/24) ))</f>
        <v>37387.715219907404</v>
      </c>
      <c r="AF2224" s="260">
        <f>IF(DecLat&gt;0,IF((90 - (DecLat-O2224))&gt;90, (90 - (O2224-DecLat)), (90 - (DecLat-O2224))),IF((90 + (DecLat-O2224))&gt;90, (90 + (O2224-DecLat)), (90 + (DecLat-O2224))))</f>
        <v>57.909444444444446</v>
      </c>
      <c r="AG2224" s="257">
        <f>angularseperation(MoonRA,MoonDec,$M2224,$O2224)</f>
        <v>35.139890489413268</v>
      </c>
      <c r="AH2224" s="261">
        <f ca="1">MIN(100,IF($O$5&gt;80,0+30*($AG2224/100),IF($O$5&gt;70,0+50*($AG2224/100),IF($O$5&gt;60,5+50*($AG2224/100),IF($O$5&gt;50,10+60*($AG2224/100),IF($O$5&gt;40,15+70*($AG2224/100),IF($O$5&gt;30,20+70*($AG2224/100),IF($O$5&gt;20,40+55*($AG2224/100),(80+(20-$O$5)+30*($AG2224/100))))))))))</f>
        <v>93.813027490974406</v>
      </c>
      <c r="AI2224" s="262">
        <v>5792</v>
      </c>
      <c r="AJ2224" s="262"/>
      <c r="AK2224" s="262"/>
      <c r="AL2224" s="263"/>
      <c r="AM2224" s="264"/>
      <c r="AN2224" s="263"/>
      <c r="AO2224" s="263"/>
      <c r="AP2224" s="265"/>
      <c r="AQ2224" s="266">
        <v>9631</v>
      </c>
      <c r="AR2224" s="267">
        <v>53499</v>
      </c>
      <c r="AS2224" s="263"/>
      <c r="AT2224" s="263"/>
      <c r="AU2224" s="263"/>
      <c r="AV2224" s="264"/>
      <c r="AW2224" s="263"/>
      <c r="AX2224" s="263"/>
      <c r="AY2224" s="263"/>
      <c r="AZ2224" s="263"/>
      <c r="BA2224" s="263"/>
      <c r="BB2224" s="263"/>
      <c r="BC2224" s="263"/>
      <c r="BD2224" s="264"/>
      <c r="BE2224" s="263"/>
      <c r="BF2224" s="263"/>
      <c r="BG2224" s="263"/>
      <c r="BH2224" s="263"/>
      <c r="BI2224" s="263"/>
      <c r="BJ2224" s="404">
        <f>altaz(J2000_Bas,$O2224,$M2224,DecLat,DecLong,2)</f>
        <v>253.33691557287966</v>
      </c>
      <c r="BK2224" s="378" t="s">
        <v>2116</v>
      </c>
      <c r="BL2224" s="379">
        <f>IF((2*G2224)/60&lt;0.2,0.2,(2*G2224)/60)</f>
        <v>0.26666666666666666</v>
      </c>
      <c r="BM2224" s="380">
        <f>MOD((50000+AD2224-$B$3+(0/24)),1)</f>
        <v>0.83214414276153548</v>
      </c>
      <c r="BN2224" s="381"/>
      <c r="BO2224" s="382">
        <v>2214</v>
      </c>
    </row>
    <row r="2225" spans="1:67" s="24" customFormat="1" ht="15" customHeight="1" x14ac:dyDescent="0.25">
      <c r="A2225" s="288" t="s">
        <v>2117</v>
      </c>
      <c r="B2225" s="241" t="str">
        <f>HYPERLINK(CONCATENATE($AT$3,BK2225,$AU$3),$AV$3)</f>
        <v>S</v>
      </c>
      <c r="C2225" s="242" t="str">
        <f>HYPERLINK(CONCATENATE($AT$4,BK2225,$AU$4,BL2225),$AV$4)</f>
        <v>A</v>
      </c>
      <c r="D2225" s="243" t="s">
        <v>5638</v>
      </c>
      <c r="E2225" s="244" t="s">
        <v>5193</v>
      </c>
      <c r="F2225" s="269" t="s">
        <v>3311</v>
      </c>
      <c r="G2225" s="273">
        <v>4</v>
      </c>
      <c r="H2225" s="283">
        <v>100</v>
      </c>
      <c r="I2225" s="246">
        <v>120</v>
      </c>
      <c r="J2225" s="246">
        <v>1</v>
      </c>
      <c r="K2225" s="247" t="s">
        <v>8216</v>
      </c>
      <c r="L2225" s="248">
        <v>150111</v>
      </c>
      <c r="M2225" s="249">
        <f>15*(LEFT(TEXT($L2225,"000000"),2)+(MID(TEXT($L2225,"000000"),3,2)/60)+(RIGHT(TEXT($L2225,"000000"),2)/3600))</f>
        <v>225.29583333333335</v>
      </c>
      <c r="N2225" s="250">
        <v>14207</v>
      </c>
      <c r="O2225" s="251">
        <f>IF($N2225&gt;0,(LEFT(TEXT($N2225,"000000"),2)+(MID(TEXT($N2225,"000000"),3,2)/60)+(RIGHT(TEXT($N2225,"000000"),2)/3600)),-(MID(TEXT($N2225,"000000"),2,2)+(MID(TEXT($N2225,"000000"),4,2)/60)+(RIGHT(TEXT($N2225,"000000"),2)/3600)))</f>
        <v>1.7019444444444445</v>
      </c>
      <c r="P2225" s="252" t="s">
        <v>61</v>
      </c>
      <c r="Q2225" s="253"/>
      <c r="R2225" s="277" t="s">
        <v>3293</v>
      </c>
      <c r="S2225" s="272" t="s">
        <v>3293</v>
      </c>
      <c r="T2225" s="273">
        <v>10.5</v>
      </c>
      <c r="U2225" s="289">
        <v>22.09</v>
      </c>
      <c r="V2225" s="280"/>
      <c r="W2225" s="244"/>
      <c r="X2225" s="244"/>
      <c r="Y2225" s="362"/>
      <c r="Z2225" s="257">
        <f>altaz(J2000_Bas,$O2225,$M2225,DecLat,DecLong,1)</f>
        <v>25.75384504020127</v>
      </c>
      <c r="AA2225" s="257">
        <f>altaz((J2000_Bas+(2*0.04167)),$O2225,$M2225,DecLat,DecLong,1)</f>
        <v>0.19844986291482467</v>
      </c>
      <c r="AB2225" s="257">
        <f>altaz((J2000_Bas+(4*0.04167)),$O2225,$M2225,DecLat,DecLong,1)</f>
        <v>-25.112080663807827</v>
      </c>
      <c r="AC2225" s="257">
        <f>altaz((J2000_Bas+(6*0.04167)),$O2225,$M2225,DecLat,DecLong,1)</f>
        <v>-47.204302631644751</v>
      </c>
      <c r="AD2225" s="258">
        <f>1+ transit((J2000_Bas-1),$O2225,$M2225,DecLat,DecLong)/360 + (GMTOffset/24) + (IF(DST="Y", 1, 0)/24)</f>
        <v>1.6187216573067913</v>
      </c>
      <c r="AE2225" s="259">
        <f>DATE(2001,9,21)+(M2225/360)*365 - (360*((DecLong/360)- (GMTOffset/24) ))</f>
        <v>37388.424942129626</v>
      </c>
      <c r="AF2225" s="260">
        <f>IF(DecLat&gt;0,IF((90 - (DecLat-O2225))&gt;90, (90 - (O2225-DecLat)), (90 - (DecLat-O2225))),IF((90 + (DecLat-O2225))&gt;90, (90 + (O2225-DecLat)), (90 + (DecLat-O2225))))</f>
        <v>60.701944444444443</v>
      </c>
      <c r="AG2225" s="257">
        <f>angularseperation(MoonRA,MoonDec,$M2225,$O2225)</f>
        <v>36.88665992500767</v>
      </c>
      <c r="AH2225" s="261">
        <f ca="1">MIN(100,IF($O$5&gt;80,0+30*($AG2225/100),IF($O$5&gt;70,0+50*($AG2225/100),IF($O$5&gt;60,5+50*($AG2225/100),IF($O$5&gt;50,10+60*($AG2225/100),IF($O$5&gt;40,15+70*($AG2225/100),IF($O$5&gt;30,20+70*($AG2225/100),IF($O$5&gt;20,40+55*($AG2225/100),(80+(20-$O$5)+30*($AG2225/100))))))))))</f>
        <v>94.337058321652734</v>
      </c>
      <c r="AI2225" s="262">
        <v>5813</v>
      </c>
      <c r="AJ2225" s="263"/>
      <c r="AK2225" s="263"/>
      <c r="AL2225" s="263"/>
      <c r="AM2225" s="264"/>
      <c r="AN2225" s="263"/>
      <c r="AO2225" s="263"/>
      <c r="AP2225" s="265"/>
      <c r="AQ2225" s="265">
        <v>9655</v>
      </c>
      <c r="AR2225" s="285">
        <v>53643</v>
      </c>
      <c r="AS2225" s="263"/>
      <c r="AT2225" s="263"/>
      <c r="AU2225" s="263"/>
      <c r="AV2225" s="264"/>
      <c r="AW2225" s="263"/>
      <c r="AX2225" s="263"/>
      <c r="AY2225" s="263"/>
      <c r="AZ2225" s="263"/>
      <c r="BA2225" s="263"/>
      <c r="BB2225" s="263"/>
      <c r="BC2225" s="263"/>
      <c r="BD2225" s="264"/>
      <c r="BE2225" s="263"/>
      <c r="BF2225" s="263"/>
      <c r="BG2225" s="263"/>
      <c r="BH2225" s="263"/>
      <c r="BI2225" s="263"/>
      <c r="BJ2225" s="404">
        <f>altaz(J2000_Bas,$O2225,$M2225,DecLat,DecLong,2)</f>
        <v>255.4396307422885</v>
      </c>
      <c r="BK2225" s="378" t="s">
        <v>2117</v>
      </c>
      <c r="BL2225" s="379">
        <f>IF((2*G2225)/60&lt;0.2,0.2,(2*G2225)/60)</f>
        <v>0.2</v>
      </c>
      <c r="BM2225" s="380">
        <f>MOD((50000+AD2225-$B$3+(0/24)),1)</f>
        <v>0.83408858701295685</v>
      </c>
      <c r="BN2225" s="381"/>
      <c r="BO2225" s="382">
        <v>2215</v>
      </c>
    </row>
    <row r="2226" spans="1:67" s="24" customFormat="1" ht="15" customHeight="1" x14ac:dyDescent="0.25">
      <c r="A2226" s="287" t="s">
        <v>5507</v>
      </c>
      <c r="B2226" s="241" t="str">
        <f>HYPERLINK(CONCATENATE($AT$3,BK2226,$AU$3),$AV$3)</f>
        <v>S</v>
      </c>
      <c r="C2226" s="242" t="str">
        <f>HYPERLINK(CONCATENATE($AT$4,BK2226,$AU$4,BL2226),$AV$4)</f>
        <v>A</v>
      </c>
      <c r="D2226" s="243" t="s">
        <v>5335</v>
      </c>
      <c r="E2226" s="244" t="s">
        <v>5185</v>
      </c>
      <c r="F2226" s="269" t="s">
        <v>5508</v>
      </c>
      <c r="G2226" s="276">
        <v>40</v>
      </c>
      <c r="H2226" s="283">
        <v>3000</v>
      </c>
      <c r="I2226" s="246">
        <v>35</v>
      </c>
      <c r="J2226" s="246">
        <v>2</v>
      </c>
      <c r="K2226" s="247" t="s">
        <v>5509</v>
      </c>
      <c r="L2226" s="248">
        <v>150424</v>
      </c>
      <c r="M2226" s="249">
        <f>15*(LEFT(TEXT($L2226,"000000"),2)+(MID(TEXT($L2226,"000000"),3,2)/60)+(RIGHT(TEXT($L2226,"000000"),2)/3600))</f>
        <v>226.1</v>
      </c>
      <c r="N2226" s="250">
        <v>-542405</v>
      </c>
      <c r="O2226" s="251">
        <f>IF($N2226&gt;0,(LEFT(TEXT($N2226,"000000"),2)+(MID(TEXT($N2226,"000000"),3,2)/60)+(RIGHT(TEXT($N2226,"000000"),2)/3600)),-(MID(TEXT($N2226,"000000"),2,2)+(MID(TEXT($N2226,"000000"),4,2)/60)+(RIGHT(TEXT($N2226,"000000"),2)/3600)))</f>
        <v>-54.401388888888889</v>
      </c>
      <c r="P2226" s="252" t="s">
        <v>767</v>
      </c>
      <c r="Q2226" s="253"/>
      <c r="R2226" s="277" t="s">
        <v>3293</v>
      </c>
      <c r="S2226" s="272" t="s">
        <v>3293</v>
      </c>
      <c r="T2226" s="273"/>
      <c r="U2226" s="274"/>
      <c r="V2226" s="280"/>
      <c r="W2226" s="244"/>
      <c r="X2226" s="244"/>
      <c r="Y2226" s="362"/>
      <c r="Z2226" s="257">
        <f>altaz(J2000_Bas,$O2226,$M2226,DecLat,DecLong,1)</f>
        <v>-9.7047544401672745</v>
      </c>
      <c r="AA2226" s="257">
        <f>altaz((J2000_Bas+(2*0.04167)),$O2226,$M2226,DecLat,DecLong,1)</f>
        <v>-24.750861693499669</v>
      </c>
      <c r="AB2226" s="257">
        <f>altaz((J2000_Bas+(4*0.04167)),$O2226,$M2226,DecLat,DecLong,1)</f>
        <v>-41.974956385812703</v>
      </c>
      <c r="AC2226" s="257">
        <f>altaz((J2000_Bas+(6*0.04167)),$O2226,$M2226,DecLat,DecLong,1)</f>
        <v>-58.38348124251322</v>
      </c>
      <c r="AD2226" s="258">
        <f>1+ transit((J2000_Bas-1),$O2226,$M2226,DecLat,DecLong)/360 + (GMTOffset/24) + (IF(DST="Y", 1, 0)/24)</f>
        <v>1.6209554533797081</v>
      </c>
      <c r="AE2226" s="259">
        <f>DATE(2001,9,21)+(M2226/360)*365 - (360*((DecLong/360)- (GMTOffset/24) ))</f>
        <v>37389.240277777775</v>
      </c>
      <c r="AF2226" s="260">
        <f>IF(DecLat&gt;0,IF((90 - (DecLat-O2226))&gt;90, (90 - (O2226-DecLat)), (90 - (DecLat-O2226))),IF((90 + (DecLat-O2226))&gt;90, (90 + (O2226-DecLat)), (90 + (DecLat-O2226))))</f>
        <v>4.5986111111111114</v>
      </c>
      <c r="AG2226" s="257">
        <f>angularseperation(MoonRA,MoonDec,$M2226,$O2226)</f>
        <v>32.137298793416861</v>
      </c>
      <c r="AH2226" s="261">
        <f ca="1">MIN(100,IF($O$5&gt;80,0+30*($AG2226/100),IF($O$5&gt;70,0+50*($AG2226/100),IF($O$5&gt;60,5+50*($AG2226/100),IF($O$5&gt;50,10+60*($AG2226/100),IF($O$5&gt;40,15+70*($AG2226/100),IF($O$5&gt;30,20+70*($AG2226/100),IF($O$5&gt;20,40+55*($AG2226/100),(80+(20-$O$5)+30*($AG2226/100))))))))))</f>
        <v>92.912249982175481</v>
      </c>
      <c r="AI2226" s="263"/>
      <c r="AJ2226" s="263"/>
      <c r="AK2226" s="263"/>
      <c r="AL2226" s="263"/>
      <c r="AM2226" s="264"/>
      <c r="AN2226" s="263"/>
      <c r="AO2226" s="263"/>
      <c r="AP2226" s="265"/>
      <c r="AQ2226" s="265"/>
      <c r="AR2226" s="285"/>
      <c r="AS2226" s="263"/>
      <c r="AT2226" s="263"/>
      <c r="AU2226" s="263"/>
      <c r="AV2226" s="264"/>
      <c r="AW2226" s="263"/>
      <c r="AX2226" s="263"/>
      <c r="AY2226" s="263"/>
      <c r="AZ2226" s="263"/>
      <c r="BA2226" s="263"/>
      <c r="BB2226" s="263"/>
      <c r="BC2226" s="263"/>
      <c r="BD2226" s="264"/>
      <c r="BE2226" s="263"/>
      <c r="BF2226" s="263"/>
      <c r="BG2226" s="263"/>
      <c r="BH2226" s="263"/>
      <c r="BI2226" s="263"/>
      <c r="BJ2226" s="404">
        <f>altaz(J2000_Bas,$O2226,$M2226,DecLat,DecLong,2)</f>
        <v>210.72596673094847</v>
      </c>
      <c r="BK2226" s="378" t="s">
        <v>5507</v>
      </c>
      <c r="BL2226" s="379">
        <f>IF((2*G2226)/60&lt;0.2,0.2,(2*G2226)/60)</f>
        <v>1.3333333333333333</v>
      </c>
      <c r="BM2226" s="380">
        <f>MOD((50000+AD2226-$B$3+(0/24)),1)</f>
        <v>0.83632238308200613</v>
      </c>
      <c r="BN2226" s="381"/>
      <c r="BO2226" s="382">
        <v>2216</v>
      </c>
    </row>
    <row r="2227" spans="1:67" s="24" customFormat="1" ht="15" customHeight="1" x14ac:dyDescent="0.25">
      <c r="A2227" s="298" t="s">
        <v>2118</v>
      </c>
      <c r="B2227" s="241" t="str">
        <f>HYPERLINK(CONCATENATE($AT$3,BK2227,$AU$3),$AV$3)</f>
        <v>S</v>
      </c>
      <c r="C2227" s="242" t="str">
        <f>HYPERLINK(CONCATENATE($AT$4,BK2227,$AU$4,BL2227),$AV$4)</f>
        <v>A</v>
      </c>
      <c r="D2227" s="243" t="s">
        <v>5335</v>
      </c>
      <c r="E2227" s="244" t="s">
        <v>5185</v>
      </c>
      <c r="F2227" s="269" t="s">
        <v>7203</v>
      </c>
      <c r="G2227" s="276">
        <v>10</v>
      </c>
      <c r="H2227" s="283">
        <v>6500</v>
      </c>
      <c r="I2227" s="246">
        <v>19</v>
      </c>
      <c r="J2227" s="246">
        <v>2</v>
      </c>
      <c r="K2227" s="247" t="s">
        <v>8217</v>
      </c>
      <c r="L2227" s="248">
        <v>150524</v>
      </c>
      <c r="M2227" s="249">
        <f>15*(LEFT(TEXT($L2227,"000000"),2)+(MID(TEXT($L2227,"000000"),3,2)/60)+(RIGHT(TEXT($L2227,"000000"),2)/3600))</f>
        <v>226.35</v>
      </c>
      <c r="N2227" s="286">
        <v>-553600</v>
      </c>
      <c r="O2227" s="251">
        <f>IF($N2227&gt;0,(LEFT(TEXT($N2227,"000000"),2)+(MID(TEXT($N2227,"000000"),3,2)/60)+(RIGHT(TEXT($N2227,"000000"),2)/3600)),-(MID(TEXT($N2227,"000000"),2,2)+(MID(TEXT($N2227,"000000"),4,2)/60)+(RIGHT(TEXT($N2227,"000000"),2)/3600)))</f>
        <v>-55.6</v>
      </c>
      <c r="P2227" s="252" t="s">
        <v>2119</v>
      </c>
      <c r="Q2227" s="253"/>
      <c r="R2227" s="247" t="s">
        <v>7400</v>
      </c>
      <c r="S2227" s="272" t="s">
        <v>3293</v>
      </c>
      <c r="T2227" s="273">
        <v>7.9</v>
      </c>
      <c r="U2227" s="274"/>
      <c r="V2227" s="280"/>
      <c r="W2227" s="244"/>
      <c r="X2227" s="244"/>
      <c r="Y2227" s="362"/>
      <c r="Z2227" s="257">
        <f>altaz(J2000_Bas,$O2227,$M2227,DecLat,DecLong,1)</f>
        <v>-10.386711728980661</v>
      </c>
      <c r="AA2227" s="257">
        <f>altaz((J2000_Bas+(2*0.04167)),$O2227,$M2227,DecLat,DecLong,1)</f>
        <v>-25.007911970456892</v>
      </c>
      <c r="AB2227" s="257">
        <f>altaz((J2000_Bas+(4*0.04167)),$O2227,$M2227,DecLat,DecLong,1)</f>
        <v>-41.743291799139257</v>
      </c>
      <c r="AC2227" s="257">
        <f>altaz((J2000_Bas+(6*0.04167)),$O2227,$M2227,DecLat,DecLong,1)</f>
        <v>-57.560609294256629</v>
      </c>
      <c r="AD2227" s="258">
        <f>1+ transit((J2000_Bas-1),$O2227,$M2227,DecLat,DecLong)/360 + (GMTOffset/24) + (IF(DST="Y", 1, 0)/24)</f>
        <v>1.621649897754708</v>
      </c>
      <c r="AE2227" s="259">
        <f>DATE(2001,9,21)+(M2227/360)*365 - (360*((DecLong/360)- (GMTOffset/24) ))</f>
        <v>37389.493750000001</v>
      </c>
      <c r="AF2227" s="260">
        <f>IF(DecLat&gt;0,IF((90 - (DecLat-O2227))&gt;90, (90 - (O2227-DecLat)), (90 - (DecLat-O2227))),IF((90 + (DecLat-O2227))&gt;90, (90 + (O2227-DecLat)), (90 + (DecLat-O2227))))</f>
        <v>3.4000000000000057</v>
      </c>
      <c r="AG2227" s="257">
        <f>angularseperation(MoonRA,MoonDec,$M2227,$O2227)</f>
        <v>32.958217234401381</v>
      </c>
      <c r="AH2227" s="261">
        <f ca="1">MIN(100,IF($O$5&gt;80,0+30*($AG2227/100),IF($O$5&gt;70,0+50*($AG2227/100),IF($O$5&gt;60,5+50*($AG2227/100),IF($O$5&gt;50,10+60*($AG2227/100),IF($O$5&gt;40,15+70*($AG2227/100),IF($O$5&gt;30,20+70*($AG2227/100),IF($O$5&gt;20,40+55*($AG2227/100),(80+(20-$O$5)+30*($AG2227/100))))))))))</f>
        <v>93.158525514470838</v>
      </c>
      <c r="AI2227" s="262">
        <v>5823</v>
      </c>
      <c r="AJ2227" s="262"/>
      <c r="AK2227" s="262"/>
      <c r="AL2227" s="263"/>
      <c r="AM2227" s="264">
        <v>88</v>
      </c>
      <c r="AN2227" s="263"/>
      <c r="AO2227" s="263"/>
      <c r="AP2227" s="265"/>
      <c r="AQ2227" s="266"/>
      <c r="AR2227" s="267"/>
      <c r="AS2227" s="263"/>
      <c r="AT2227" s="263"/>
      <c r="AU2227" s="263"/>
      <c r="AV2227" s="264"/>
      <c r="AW2227" s="263"/>
      <c r="AX2227" s="263"/>
      <c r="AY2227" s="263"/>
      <c r="AZ2227" s="263"/>
      <c r="BA2227" s="263"/>
      <c r="BB2227" s="263"/>
      <c r="BC2227" s="263"/>
      <c r="BD2227" s="264"/>
      <c r="BE2227" s="263"/>
      <c r="BF2227" s="263"/>
      <c r="BG2227" s="263"/>
      <c r="BH2227" s="263"/>
      <c r="BI2227" s="263"/>
      <c r="BJ2227" s="404">
        <f>altaz(J2000_Bas,$O2227,$M2227,DecLat,DecLong,2)</f>
        <v>209.71437948359144</v>
      </c>
      <c r="BK2227" s="378" t="s">
        <v>2118</v>
      </c>
      <c r="BL2227" s="379">
        <f>IF((2*G2227)/60&lt;0.2,0.2,(2*G2227)/60)</f>
        <v>0.33333333333333331</v>
      </c>
      <c r="BM2227" s="380">
        <f>MOD((50000+AD2227-$B$3+(0/24)),1)</f>
        <v>0.83701682745595463</v>
      </c>
      <c r="BN2227" s="381"/>
      <c r="BO2227" s="382">
        <v>2218</v>
      </c>
    </row>
    <row r="2228" spans="1:67" s="24" customFormat="1" ht="15" customHeight="1" x14ac:dyDescent="0.25">
      <c r="A2228" s="287" t="s">
        <v>2120</v>
      </c>
      <c r="B2228" s="241" t="str">
        <f>HYPERLINK(CONCATENATE($AT$3,BK2228,$AU$3),$AV$3)</f>
        <v>S</v>
      </c>
      <c r="C2228" s="242" t="str">
        <f>HYPERLINK(CONCATENATE($AT$4,BK2228,$AU$4,BL2228),$AV$4)</f>
        <v>A</v>
      </c>
      <c r="D2228" s="243" t="s">
        <v>5335</v>
      </c>
      <c r="E2228" s="244" t="s">
        <v>5184</v>
      </c>
      <c r="F2228" s="269" t="s">
        <v>3319</v>
      </c>
      <c r="G2228" s="273">
        <v>5</v>
      </c>
      <c r="H2228" s="283">
        <v>105000</v>
      </c>
      <c r="I2228" s="246">
        <v>150</v>
      </c>
      <c r="J2228" s="246">
        <v>2</v>
      </c>
      <c r="K2228" s="247" t="s">
        <v>8218</v>
      </c>
      <c r="L2228" s="248">
        <v>150359</v>
      </c>
      <c r="M2228" s="249">
        <f>15*(LEFT(TEXT($L2228,"000000"),2)+(MID(TEXT($L2228,"000000"),3,2)/60)+(RIGHT(TEXT($L2228,"000000"),2)/3600))</f>
        <v>225.99583333333334</v>
      </c>
      <c r="N2228" s="250">
        <v>-330407</v>
      </c>
      <c r="O2228" s="251">
        <f>IF($N2228&gt;0,(LEFT(TEXT($N2228,"000000"),2)+(MID(TEXT($N2228,"000000"),3,2)/60)+(RIGHT(TEXT($N2228,"000000"),2)/3600)),-(MID(TEXT($N2228,"000000"),2,2)+(MID(TEXT($N2228,"000000"),4,2)/60)+(RIGHT(TEXT($N2228,"000000"),2)/3600)))</f>
        <v>-33.068611111111117</v>
      </c>
      <c r="P2228" s="252" t="s">
        <v>767</v>
      </c>
      <c r="Q2228" s="253"/>
      <c r="R2228" s="277" t="s">
        <v>3293</v>
      </c>
      <c r="S2228" s="272" t="s">
        <v>3293</v>
      </c>
      <c r="T2228" s="273">
        <v>9.6</v>
      </c>
      <c r="U2228" s="274"/>
      <c r="V2228" s="280"/>
      <c r="W2228" s="244"/>
      <c r="X2228" s="244"/>
      <c r="Y2228" s="362"/>
      <c r="Z2228" s="257">
        <f>altaz(J2000_Bas,$O2228,$M2228,DecLat,DecLong,1)</f>
        <v>4.4770665159218739</v>
      </c>
      <c r="AA2228" s="257">
        <f>altaz((J2000_Bas+(2*0.04167)),$O2228,$M2228,DecLat,DecLong,1)</f>
        <v>-16.389879056193752</v>
      </c>
      <c r="AB2228" s="257">
        <f>altaz((J2000_Bas+(4*0.04167)),$O2228,$M2228,DecLat,DecLong,1)</f>
        <v>-39.948255821392927</v>
      </c>
      <c r="AC2228" s="257">
        <f>altaz((J2000_Bas+(6*0.04167)),$O2228,$M2228,DecLat,DecLong,1)</f>
        <v>-64.787958462282702</v>
      </c>
      <c r="AD2228" s="258">
        <f>1+ transit((J2000_Bas-1),$O2228,$M2228,DecLat,DecLong)/360 + (GMTOffset/24) + (IF(DST="Y", 1, 0)/24)</f>
        <v>1.6206661015567914</v>
      </c>
      <c r="AE2228" s="259">
        <f>DATE(2001,9,21)+(M2228/360)*365 - (360*((DecLong/360)- (GMTOffset/24) ))</f>
        <v>37389.134664351855</v>
      </c>
      <c r="AF2228" s="260">
        <f>IF(DecLat&gt;0,IF((90 - (DecLat-O2228))&gt;90, (90 - (O2228-DecLat)), (90 - (DecLat-O2228))),IF((90 + (DecLat-O2228))&gt;90, (90 + (O2228-DecLat)), (90 + (DecLat-O2228))))</f>
        <v>25.931388888888875</v>
      </c>
      <c r="AG2228" s="257">
        <f>angularseperation(MoonRA,MoonDec,$M2228,$O2228)</f>
        <v>20.936224026078659</v>
      </c>
      <c r="AH2228" s="261">
        <f ca="1">MIN(100,IF($O$5&gt;80,0+30*($AG2228/100),IF($O$5&gt;70,0+50*($AG2228/100),IF($O$5&gt;60,5+50*($AG2228/100),IF($O$5&gt;50,10+60*($AG2228/100),IF($O$5&gt;40,15+70*($AG2228/100),IF($O$5&gt;30,20+70*($AG2228/100),IF($O$5&gt;20,40+55*($AG2228/100),(80+(20-$O$5)+30*($AG2228/100))))))))))</f>
        <v>89.551927551974032</v>
      </c>
      <c r="AI2228" s="262">
        <v>5824</v>
      </c>
      <c r="AJ2228" s="263"/>
      <c r="AK2228" s="263"/>
      <c r="AL2228" s="263"/>
      <c r="AM2228" s="264"/>
      <c r="AN2228" s="263"/>
      <c r="AO2228" s="263"/>
      <c r="AP2228" s="265"/>
      <c r="AQ2228" s="265"/>
      <c r="AR2228" s="285"/>
      <c r="AS2228" s="263"/>
      <c r="AT2228" s="263"/>
      <c r="AU2228" s="263"/>
      <c r="AV2228" s="264"/>
      <c r="AW2228" s="263"/>
      <c r="AX2228" s="263"/>
      <c r="AY2228" s="263"/>
      <c r="AZ2228" s="263"/>
      <c r="BA2228" s="263"/>
      <c r="BB2228" s="263"/>
      <c r="BC2228" s="263"/>
      <c r="BD2228" s="264"/>
      <c r="BE2228" s="263"/>
      <c r="BF2228" s="263"/>
      <c r="BG2228" s="263"/>
      <c r="BH2228" s="263"/>
      <c r="BI2228" s="263"/>
      <c r="BJ2228" s="404">
        <f>altaz(J2000_Bas,$O2228,$M2228,DecLat,DecLong,2)</f>
        <v>226.7203065720868</v>
      </c>
      <c r="BK2228" s="378" t="s">
        <v>2120</v>
      </c>
      <c r="BL2228" s="379">
        <f>IF((2*G2228)/60&lt;0.2,0.2,(2*G2228)/60)</f>
        <v>0.2</v>
      </c>
      <c r="BM2228" s="380">
        <f>MOD((50000+AD2228-$B$3+(0/24)),1)</f>
        <v>0.83603303126437822</v>
      </c>
      <c r="BN2228" s="381"/>
      <c r="BO2228" s="382">
        <v>2219</v>
      </c>
    </row>
    <row r="2229" spans="1:67" s="24" customFormat="1" ht="15" customHeight="1" x14ac:dyDescent="0.25">
      <c r="A2229" s="287" t="s">
        <v>5487</v>
      </c>
      <c r="B2229" s="241" t="str">
        <f>HYPERLINK(CONCATENATE($AT$3,BK2229,$AU$3),$AV$3)</f>
        <v>S</v>
      </c>
      <c r="C2229" s="242" t="str">
        <f>HYPERLINK(CONCATENATE($AT$4,BK2229,$AU$4,BL2229),$AV$4)</f>
        <v>A</v>
      </c>
      <c r="D2229" s="243" t="s">
        <v>5187</v>
      </c>
      <c r="E2229" s="244" t="s">
        <v>5181</v>
      </c>
      <c r="F2229" s="329" t="s">
        <v>4813</v>
      </c>
      <c r="G2229" s="273">
        <v>1.1000000000000001</v>
      </c>
      <c r="H2229" s="283">
        <v>4500</v>
      </c>
      <c r="I2229" s="279">
        <v>1.6</v>
      </c>
      <c r="J2229" s="246">
        <v>4</v>
      </c>
      <c r="K2229" s="247" t="s">
        <v>5489</v>
      </c>
      <c r="L2229" s="248">
        <v>151041</v>
      </c>
      <c r="M2229" s="249">
        <f>15*(LEFT(TEXT($L2229,"000000"),2)+(MID(TEXT($L2229,"000000"),3,2)/60)+(RIGHT(TEXT($L2229,"000000"),2)/3600))</f>
        <v>227.67083333333332</v>
      </c>
      <c r="N2229" s="250">
        <v>-644028</v>
      </c>
      <c r="O2229" s="251">
        <f>IF($N2229&gt;0,(LEFT(TEXT($N2229,"000000"),2)+(MID(TEXT($N2229,"000000"),3,2)/60)+(RIGHT(TEXT($N2229,"000000"),2)/3600)),-(MID(TEXT($N2229,"000000"),2,2)+(MID(TEXT($N2229,"000000"),4,2)/60)+(RIGHT(TEXT($N2229,"000000"),2)/3600)))</f>
        <v>-64.674444444444447</v>
      </c>
      <c r="P2229" s="252" t="s">
        <v>2150</v>
      </c>
      <c r="Q2229" s="253"/>
      <c r="R2229" s="277" t="s">
        <v>3293</v>
      </c>
      <c r="S2229" s="272"/>
      <c r="T2229" s="273">
        <v>12.7</v>
      </c>
      <c r="U2229" s="274"/>
      <c r="V2229" s="280"/>
      <c r="W2229" s="244"/>
      <c r="X2229" s="244"/>
      <c r="Y2229" s="362"/>
      <c r="Z2229" s="257">
        <f>altaz(J2000_Bas,$O2229,$M2229,DecLat,DecLong,1)</f>
        <v>-15.845301374147086</v>
      </c>
      <c r="AA2229" s="257">
        <f>altaz((J2000_Bas+(2*0.04167)),$O2229,$M2229,DecLat,DecLong,1)</f>
        <v>-27.091021470930887</v>
      </c>
      <c r="AB2229" s="257">
        <f>altaz((J2000_Bas+(4*0.04167)),$O2229,$M2229,DecLat,DecLong,1)</f>
        <v>-39.829116312793637</v>
      </c>
      <c r="AC2229" s="257">
        <f>altaz((J2000_Bas+(6*0.04167)),$O2229,$M2229,DecLat,DecLong,1)</f>
        <v>-51.119373303545352</v>
      </c>
      <c r="AD2229" s="258">
        <f>1+ transit((J2000_Bas-1),$O2229,$M2229,DecLat,DecLong)/360 + (GMTOffset/24) + (IF(DST="Y", 1, 0)/24)</f>
        <v>1.6253188788692914</v>
      </c>
      <c r="AE2229" s="259">
        <f>DATE(2001,9,21)+(M2229/360)*365 - (360*((DecLong/360)- (GMTOffset/24) ))</f>
        <v>37390.832928240743</v>
      </c>
      <c r="AF2229" s="260">
        <f>IF(DecLat&gt;0,IF((90 - (DecLat-O2229))&gt;90, (90 - (O2229-DecLat)), (90 - (DecLat-O2229))),IF((90 + (DecLat-O2229))&gt;90, (90 + (O2229-DecLat)), (90 + (DecLat-O2229))))</f>
        <v>-5.6744444444444468</v>
      </c>
      <c r="AG2229" s="257">
        <f>angularseperation(MoonRA,MoonDec,$M2229,$O2229)</f>
        <v>40.029061849614884</v>
      </c>
      <c r="AH2229" s="261">
        <f ca="1">MIN(100,IF($O$5&gt;80,0+30*($AG2229/100),IF($O$5&gt;70,0+50*($AG2229/100),IF($O$5&gt;60,5+50*($AG2229/100),IF($O$5&gt;50,10+60*($AG2229/100),IF($O$5&gt;40,15+70*($AG2229/100),IF($O$5&gt;30,20+70*($AG2229/100),IF($O$5&gt;20,40+55*($AG2229/100),(80+(20-$O$5)+30*($AG2229/100))))))))))</f>
        <v>95.279778899034895</v>
      </c>
      <c r="AI2229" s="263">
        <v>5844</v>
      </c>
      <c r="AJ2229" s="263"/>
      <c r="AK2229" s="263"/>
      <c r="AL2229" s="263"/>
      <c r="AM2229" s="264"/>
      <c r="AN2229" s="263"/>
      <c r="AO2229" s="263"/>
      <c r="AP2229" s="265"/>
      <c r="AQ2229" s="265"/>
      <c r="AR2229" s="285"/>
      <c r="AS2229" s="263"/>
      <c r="AT2229" s="263"/>
      <c r="AU2229" s="263"/>
      <c r="AV2229" s="264"/>
      <c r="AW2229" s="263"/>
      <c r="AX2229" s="263"/>
      <c r="AY2229" s="263"/>
      <c r="AZ2229" s="263"/>
      <c r="BA2229" s="263"/>
      <c r="BB2229" s="263"/>
      <c r="BC2229" s="263"/>
      <c r="BD2229" s="264"/>
      <c r="BE2229" s="263"/>
      <c r="BF2229" s="263"/>
      <c r="BG2229" s="263"/>
      <c r="BH2229" s="263"/>
      <c r="BI2229" s="263"/>
      <c r="BJ2229" s="404">
        <f>altaz(J2000_Bas,$O2229,$M2229,DecLat,DecLong,2)</f>
        <v>202.23762328643139</v>
      </c>
      <c r="BK2229" s="378" t="s">
        <v>5487</v>
      </c>
      <c r="BL2229" s="379">
        <f>IF((2*G2229)/60&lt;0.2,0.2,(2*G2229)/60)</f>
        <v>0.2</v>
      </c>
      <c r="BM2229" s="380">
        <f>MOD((50000+AD2229-$B$3+(0/24)),1)</f>
        <v>0.84068580857274355</v>
      </c>
      <c r="BN2229" s="381"/>
      <c r="BO2229" s="382">
        <v>2220</v>
      </c>
    </row>
    <row r="2230" spans="1:67" s="24" customFormat="1" ht="15" customHeight="1" x14ac:dyDescent="0.25">
      <c r="A2230" s="288" t="s">
        <v>2121</v>
      </c>
      <c r="B2230" s="241" t="str">
        <f>HYPERLINK(CONCATENATE($AT$3,BK2230,$AU$3),$AV$3)</f>
        <v>S</v>
      </c>
      <c r="C2230" s="242" t="str">
        <f>HYPERLINK(CONCATENATE($AT$4,BK2230,$AU$4,BL2230),$AV$4)</f>
        <v>A</v>
      </c>
      <c r="D2230" s="243" t="s">
        <v>5638</v>
      </c>
      <c r="E2230" s="244" t="s">
        <v>5193</v>
      </c>
      <c r="F2230" s="269" t="s">
        <v>3311</v>
      </c>
      <c r="G2230" s="273">
        <v>3.8</v>
      </c>
      <c r="H2230" s="283">
        <v>82</v>
      </c>
      <c r="I2230" s="246">
        <v>95</v>
      </c>
      <c r="J2230" s="246">
        <v>2</v>
      </c>
      <c r="K2230" s="247" t="s">
        <v>8221</v>
      </c>
      <c r="L2230" s="248">
        <v>150629</v>
      </c>
      <c r="M2230" s="249">
        <f>15*(LEFT(TEXT($L2230,"000000"),2)+(MID(TEXT($L2230,"000000"),3,2)/60)+(RIGHT(TEXT($L2230,"000000"),2)/3600))</f>
        <v>226.62083333333334</v>
      </c>
      <c r="N2230" s="250">
        <v>13620</v>
      </c>
      <c r="O2230" s="251">
        <f>IF($N2230&gt;0,(LEFT(TEXT($N2230,"000000"),2)+(MID(TEXT($N2230,"000000"),3,2)/60)+(RIGHT(TEXT($N2230,"000000"),2)/3600)),-(MID(TEXT($N2230,"000000"),2,2)+(MID(TEXT($N2230,"000000"),4,2)/60)+(RIGHT(TEXT($N2230,"000000"),2)/3600)))</f>
        <v>1.6055555555555556</v>
      </c>
      <c r="P2230" s="252" t="s">
        <v>61</v>
      </c>
      <c r="Q2230" s="253"/>
      <c r="R2230" s="247" t="s">
        <v>3293</v>
      </c>
      <c r="S2230" s="272" t="s">
        <v>8219</v>
      </c>
      <c r="T2230" s="273">
        <v>10</v>
      </c>
      <c r="U2230" s="289">
        <v>21.79</v>
      </c>
      <c r="V2230" s="280"/>
      <c r="W2230" s="244"/>
      <c r="X2230" s="244"/>
      <c r="Y2230" s="362"/>
      <c r="Z2230" s="257">
        <f>altaz(J2000_Bas,$O2230,$M2230,DecLat,DecLong,1)</f>
        <v>26.796775704062167</v>
      </c>
      <c r="AA2230" s="257">
        <f>altaz((J2000_Bas+(2*0.04167)),$O2230,$M2230,DecLat,DecLong,1)</f>
        <v>1.2841733991426301</v>
      </c>
      <c r="AB2230" s="257">
        <f>altaz((J2000_Bas+(4*0.04167)),$O2230,$M2230,DecLat,DecLong,1)</f>
        <v>-24.088995402349877</v>
      </c>
      <c r="AC2230" s="257">
        <f>altaz((J2000_Bas+(6*0.04167)),$O2230,$M2230,DecLat,DecLong,1)</f>
        <v>-46.457666064716058</v>
      </c>
      <c r="AD2230" s="258">
        <f>1+ transit((J2000_Bas-1),$O2230,$M2230,DecLat,DecLong)/360 + (GMTOffset/24) + (IF(DST="Y", 1, 0)/24)</f>
        <v>1.6224022124942914</v>
      </c>
      <c r="AE2230" s="259">
        <f>DATE(2001,9,21)+(M2230/360)*365 - (360*((DecLong/360)- (GMTOffset/24) ))</f>
        <v>37389.76834490741</v>
      </c>
      <c r="AF2230" s="260">
        <f>IF(DecLat&gt;0,IF((90 - (DecLat-O2230))&gt;90, (90 - (O2230-DecLat)), (90 - (DecLat-O2230))),IF((90 + (DecLat-O2230))&gt;90, (90 + (O2230-DecLat)), (90 + (DecLat-O2230))))</f>
        <v>60.605555555555554</v>
      </c>
      <c r="AG2230" s="257">
        <f>angularseperation(MoonRA,MoonDec,$M2230,$O2230)</f>
        <v>36.024565276869204</v>
      </c>
      <c r="AH2230" s="261">
        <f ca="1">MIN(100,IF($O$5&gt;80,0+30*($AG2230/100),IF($O$5&gt;70,0+50*($AG2230/100),IF($O$5&gt;60,5+50*($AG2230/100),IF($O$5&gt;50,10+60*($AG2230/100),IF($O$5&gt;40,15+70*($AG2230/100),IF($O$5&gt;30,20+70*($AG2230/100),IF($O$5&gt;20,40+55*($AG2230/100),(80+(20-$O$5)+30*($AG2230/100))))))))))</f>
        <v>94.078429927211189</v>
      </c>
      <c r="AI2230" s="262">
        <v>5846</v>
      </c>
      <c r="AJ2230" s="262"/>
      <c r="AK2230" s="262">
        <v>310</v>
      </c>
      <c r="AL2230" s="263"/>
      <c r="AM2230" s="264"/>
      <c r="AN2230" s="263"/>
      <c r="AO2230" s="263"/>
      <c r="AP2230" s="265"/>
      <c r="AQ2230" s="266">
        <v>9706</v>
      </c>
      <c r="AR2230" s="267">
        <v>53932</v>
      </c>
      <c r="AS2230" s="263"/>
      <c r="AT2230" s="263"/>
      <c r="AU2230" s="263"/>
      <c r="AV2230" s="264"/>
      <c r="AW2230" s="263"/>
      <c r="AX2230" s="263"/>
      <c r="AY2230" s="263"/>
      <c r="AZ2230" s="263"/>
      <c r="BA2230" s="263"/>
      <c r="BB2230" s="263"/>
      <c r="BC2230" s="263"/>
      <c r="BD2230" s="264"/>
      <c r="BE2230" s="263"/>
      <c r="BF2230" s="263">
        <v>69</v>
      </c>
      <c r="BG2230" s="263"/>
      <c r="BH2230" s="263"/>
      <c r="BI2230" s="263"/>
      <c r="BJ2230" s="404">
        <f>altaz(J2000_Bas,$O2230,$M2230,DecLat,DecLong,2)</f>
        <v>254.52284519463518</v>
      </c>
      <c r="BK2230" s="378" t="s">
        <v>2121</v>
      </c>
      <c r="BL2230" s="379">
        <f>IF((2*G2230)/60&lt;0.2,0.2,(2*G2230)/60)</f>
        <v>0.2</v>
      </c>
      <c r="BM2230" s="380">
        <f>MOD((50000+AD2230-$B$3+(0/24)),1)</f>
        <v>0.83776914219924947</v>
      </c>
      <c r="BN2230" s="381"/>
      <c r="BO2230" s="382">
        <v>2221</v>
      </c>
    </row>
    <row r="2231" spans="1:67" s="24" customFormat="1" ht="15" customHeight="1" x14ac:dyDescent="0.25">
      <c r="A2231" s="288" t="s">
        <v>2122</v>
      </c>
      <c r="B2231" s="241" t="str">
        <f>HYPERLINK(CONCATENATE($AT$3,BK2231,$AU$3),$AV$3)</f>
        <v>S</v>
      </c>
      <c r="C2231" s="242" t="str">
        <f>HYPERLINK(CONCATENATE($AT$4,BK2231,$AU$4,BL2231),$AV$4)</f>
        <v>A</v>
      </c>
      <c r="D2231" s="243" t="s">
        <v>5638</v>
      </c>
      <c r="E2231" s="244" t="s">
        <v>5192</v>
      </c>
      <c r="F2231" s="269" t="s">
        <v>8992</v>
      </c>
      <c r="G2231" s="273">
        <v>4.5999999999999996</v>
      </c>
      <c r="H2231" s="283">
        <v>44</v>
      </c>
      <c r="I2231" s="246">
        <v>60</v>
      </c>
      <c r="J2231" s="246">
        <v>2</v>
      </c>
      <c r="K2231" s="247" t="s">
        <v>8222</v>
      </c>
      <c r="L2231" s="248">
        <v>150708</v>
      </c>
      <c r="M2231" s="249">
        <f>15*(LEFT(TEXT($L2231,"000000"),2)+(MID(TEXT($L2231,"000000"),3,2)/60)+(RIGHT(TEXT($L2231,"000000"),2)/3600))</f>
        <v>226.78333333333336</v>
      </c>
      <c r="N2231" s="250">
        <v>13239</v>
      </c>
      <c r="O2231" s="251">
        <f>IF($N2231&gt;0,(LEFT(TEXT($N2231,"000000"),2)+(MID(TEXT($N2231,"000000"),3,2)/60)+(RIGHT(TEXT($N2231,"000000"),2)/3600)),-(MID(TEXT($N2231,"000000"),2,2)+(MID(TEXT($N2231,"000000"),4,2)/60)+(RIGHT(TEXT($N2231,"000000"),2)/3600)))</f>
        <v>1.5441666666666665</v>
      </c>
      <c r="P2231" s="252" t="s">
        <v>61</v>
      </c>
      <c r="Q2231" s="253"/>
      <c r="R2231" s="247" t="s">
        <v>3293</v>
      </c>
      <c r="S2231" s="272" t="s">
        <v>8220</v>
      </c>
      <c r="T2231" s="273">
        <v>10.8</v>
      </c>
      <c r="U2231" s="289">
        <v>22.490000000000002</v>
      </c>
      <c r="V2231" s="280">
        <v>45</v>
      </c>
      <c r="W2231" s="244"/>
      <c r="X2231" s="244"/>
      <c r="Y2231" s="362"/>
      <c r="Z2231" s="257">
        <f>altaz(J2000_Bas,$O2231,$M2231,DecLat,DecLong,1)</f>
        <v>26.896366261204513</v>
      </c>
      <c r="AA2231" s="257">
        <f>altaz((J2000_Bas+(2*0.04167)),$O2231,$M2231,DecLat,DecLong,1)</f>
        <v>1.3918416086152767</v>
      </c>
      <c r="AB2231" s="257">
        <f>altaz((J2000_Bas+(4*0.04167)),$O2231,$M2231,DecLat,DecLong,1)</f>
        <v>-23.991646322364698</v>
      </c>
      <c r="AC2231" s="257">
        <f>altaz((J2000_Bas+(6*0.04167)),$O2231,$M2231,DecLat,DecLong,1)</f>
        <v>-46.402964610015985</v>
      </c>
      <c r="AD2231" s="258">
        <f>1+ transit((J2000_Bas-1),$O2231,$M2231,DecLat,DecLong)/360 + (GMTOffset/24) + (IF(DST="Y", 1, 0)/24)</f>
        <v>1.6228536013380415</v>
      </c>
      <c r="AE2231" s="259">
        <f>DATE(2001,9,21)+(M2231/360)*365 - (360*((DecLong/360)- (GMTOffset/24) ))</f>
        <v>37389.93310185185</v>
      </c>
      <c r="AF2231" s="260">
        <f>IF(DecLat&gt;0,IF((90 - (DecLat-O2231))&gt;90, (90 - (O2231-DecLat)), (90 - (DecLat-O2231))),IF((90 + (DecLat-O2231))&gt;90, (90 + (O2231-DecLat)), (90 + (DecLat-O2231))))</f>
        <v>60.544166666666669</v>
      </c>
      <c r="AG2231" s="257">
        <f>angularseperation(MoonRA,MoonDec,$M2231,$O2231)</f>
        <v>35.880188037775227</v>
      </c>
      <c r="AH2231" s="261">
        <f ca="1">MIN(100,IF($O$5&gt;80,0+30*($AG2231/100),IF($O$5&gt;70,0+50*($AG2231/100),IF($O$5&gt;60,5+50*($AG2231/100),IF($O$5&gt;50,10+60*($AG2231/100),IF($O$5&gt;40,15+70*($AG2231/100),IF($O$5&gt;30,20+70*($AG2231/100),IF($O$5&gt;20,40+55*($AG2231/100),(80+(20-$O$5)+30*($AG2231/100))))))))))</f>
        <v>94.035116755482989</v>
      </c>
      <c r="AI2231" s="262">
        <v>5850</v>
      </c>
      <c r="AJ2231" s="262"/>
      <c r="AK2231" s="262"/>
      <c r="AL2231" s="263"/>
      <c r="AM2231" s="264"/>
      <c r="AN2231" s="263"/>
      <c r="AO2231" s="263"/>
      <c r="AP2231" s="265"/>
      <c r="AQ2231" s="266">
        <v>9715</v>
      </c>
      <c r="AR2231" s="267">
        <v>53979</v>
      </c>
      <c r="AS2231" s="263"/>
      <c r="AT2231" s="263"/>
      <c r="AU2231" s="263"/>
      <c r="AV2231" s="264"/>
      <c r="AW2231" s="263"/>
      <c r="AX2231" s="263"/>
      <c r="AY2231" s="263"/>
      <c r="AZ2231" s="263"/>
      <c r="BA2231" s="263"/>
      <c r="BB2231" s="263"/>
      <c r="BC2231" s="263"/>
      <c r="BD2231" s="264"/>
      <c r="BE2231" s="263"/>
      <c r="BF2231" s="263"/>
      <c r="BG2231" s="263"/>
      <c r="BH2231" s="263"/>
      <c r="BI2231" s="263"/>
      <c r="BJ2231" s="404">
        <f>altaz(J2000_Bas,$O2231,$M2231,DecLat,DecLong,2)</f>
        <v>254.36340507407277</v>
      </c>
      <c r="BK2231" s="378" t="s">
        <v>2122</v>
      </c>
      <c r="BL2231" s="379">
        <f>IF((2*G2231)/60&lt;0.2,0.2,(2*G2231)/60)</f>
        <v>0.2</v>
      </c>
      <c r="BM2231" s="380">
        <f>MOD((50000+AD2231-$B$3+(0/24)),1)</f>
        <v>0.83822053104086081</v>
      </c>
      <c r="BN2231" s="381"/>
      <c r="BO2231" s="382">
        <v>2222</v>
      </c>
    </row>
    <row r="2232" spans="1:67" s="24" customFormat="1" ht="15" customHeight="1" x14ac:dyDescent="0.25">
      <c r="A2232" s="288" t="s">
        <v>8224</v>
      </c>
      <c r="B2232" s="241" t="str">
        <f>HYPERLINK(CONCATENATE($AT$3,BK2232,$AU$3),$AV$3)</f>
        <v>S</v>
      </c>
      <c r="C2232" s="242" t="str">
        <f>HYPERLINK(CONCATENATE($AT$4,BK2232,$AU$4,BL2232),$AV$4)</f>
        <v>A</v>
      </c>
      <c r="D2232" s="243" t="s">
        <v>5638</v>
      </c>
      <c r="E2232" s="244" t="s">
        <v>5194</v>
      </c>
      <c r="F2232" s="269"/>
      <c r="G2232" s="273">
        <v>1.4</v>
      </c>
      <c r="H2232" s="283">
        <v>320</v>
      </c>
      <c r="I2232" s="246">
        <v>120</v>
      </c>
      <c r="J2232" s="246">
        <v>2</v>
      </c>
      <c r="K2232" s="247" t="s">
        <v>8226</v>
      </c>
      <c r="L2232" s="248">
        <v>150653</v>
      </c>
      <c r="M2232" s="249">
        <f>15*(LEFT(TEXT($L2232,"000000"),2)+(MID(TEXT($L2232,"000000"),3,2)/60)+(RIGHT(TEXT($L2232,"000000"),2)/3600))</f>
        <v>226.72083333333333</v>
      </c>
      <c r="N2232" s="250">
        <v>125130</v>
      </c>
      <c r="O2232" s="251">
        <f>IF($N2232&gt;0,(LEFT(TEXT($N2232,"000000"),2)+(MID(TEXT($N2232,"000000"),3,2)/60)+(RIGHT(TEXT($N2232,"000000"),2)/3600)),-(MID(TEXT($N2232,"000000"),2,2)+(MID(TEXT($N2232,"000000"),4,2)/60)+(RIGHT(TEXT($N2232,"000000"),2)/3600)))</f>
        <v>12.858333333333333</v>
      </c>
      <c r="P2232" s="252" t="s">
        <v>260</v>
      </c>
      <c r="Q2232" s="253"/>
      <c r="R2232" s="277" t="s">
        <v>3293</v>
      </c>
      <c r="S2232" s="272" t="s">
        <v>8225</v>
      </c>
      <c r="T2232" s="273">
        <v>14.1</v>
      </c>
      <c r="U2232" s="289">
        <v>21.59</v>
      </c>
      <c r="V2232" s="280"/>
      <c r="W2232" s="244"/>
      <c r="X2232" s="244"/>
      <c r="Y2232" s="362"/>
      <c r="Z2232" s="257">
        <f>altaz(J2000_Bas,$O2232,$M2232,DecLat,DecLong,1)</f>
        <v>32.785270474869193</v>
      </c>
      <c r="AA2232" s="257">
        <f>altaz((J2000_Bas+(2*0.04167)),$O2232,$M2232,DecLat,DecLong,1)</f>
        <v>7.1148758531207168</v>
      </c>
      <c r="AB2232" s="257">
        <f>altaz((J2000_Bas+(4*0.04167)),$O2232,$M2232,DecLat,DecLong,1)</f>
        <v>-17.233341445959663</v>
      </c>
      <c r="AC2232" s="257">
        <f>altaz((J2000_Bas+(6*0.04167)),$O2232,$M2232,DecLat,DecLong,1)</f>
        <v>-37.278120574668442</v>
      </c>
      <c r="AD2232" s="258">
        <f>1+ transit((J2000_Bas-1),$O2232,$M2232,DecLat,DecLong)/360 + (GMTOffset/24) + (IF(DST="Y", 1, 0)/24)</f>
        <v>1.6226799902442914</v>
      </c>
      <c r="AE2232" s="259">
        <f>DATE(2001,9,21)+(M2232/360)*365 - (360*((DecLong/360)- (GMTOffset/24) ))</f>
        <v>37389.869733796295</v>
      </c>
      <c r="AF2232" s="260">
        <f>IF(DecLat&gt;0,IF((90 - (DecLat-O2232))&gt;90, (90 - (O2232-DecLat)), (90 - (DecLat-O2232))),IF((90 + (DecLat-O2232))&gt;90, (90 + (O2232-DecLat)), (90 + (DecLat-O2232))))</f>
        <v>71.858333333333334</v>
      </c>
      <c r="AG2232" s="257">
        <f>angularseperation(MoonRA,MoonDec,$M2232,$O2232)</f>
        <v>45.533333940650024</v>
      </c>
      <c r="AH2232" s="261">
        <f ca="1">MIN(100,IF($O$5&gt;80,0+30*($AG2232/100),IF($O$5&gt;70,0+50*($AG2232/100),IF($O$5&gt;60,5+50*($AG2232/100),IF($O$5&gt;50,10+60*($AG2232/100),IF($O$5&gt;40,15+70*($AG2232/100),IF($O$5&gt;30,20+70*($AG2232/100),IF($O$5&gt;20,40+55*($AG2232/100),(80+(20-$O$5)+30*($AG2232/100))))))))))</f>
        <v>96.931060526345433</v>
      </c>
      <c r="AI2232" s="262">
        <v>5851</v>
      </c>
      <c r="AJ2232" s="263"/>
      <c r="AK2232" s="263"/>
      <c r="AL2232" s="263"/>
      <c r="AM2232" s="264"/>
      <c r="AN2232" s="263"/>
      <c r="AO2232" s="263"/>
      <c r="AP2232" s="265"/>
      <c r="AQ2232" s="265">
        <v>9714</v>
      </c>
      <c r="AR2232" s="285">
        <v>53965</v>
      </c>
      <c r="AS2232" s="263"/>
      <c r="AT2232" s="263"/>
      <c r="AU2232" s="263"/>
      <c r="AV2232" s="264"/>
      <c r="AW2232" s="263"/>
      <c r="AX2232" s="263"/>
      <c r="AY2232" s="263"/>
      <c r="AZ2232" s="263"/>
      <c r="BA2232" s="263"/>
      <c r="BB2232" s="263"/>
      <c r="BC2232" s="263"/>
      <c r="BD2232" s="264"/>
      <c r="BE2232" s="263"/>
      <c r="BF2232" s="263"/>
      <c r="BG2232" s="263"/>
      <c r="BH2232" s="263"/>
      <c r="BI2232" s="263"/>
      <c r="BJ2232" s="404">
        <f>altaz(J2000_Bas,$O2232,$M2232,DecLat,DecLong,2)</f>
        <v>265.51529438287309</v>
      </c>
      <c r="BK2232" s="378" t="s">
        <v>8223</v>
      </c>
      <c r="BL2232" s="379">
        <f>IF((2*G2232)/60&lt;0.2,0.2,(2*G2232)/60)</f>
        <v>0.2</v>
      </c>
      <c r="BM2232" s="380">
        <f>MOD((50000+AD2232-$B$3+(0/24)),1)</f>
        <v>0.83804691994737368</v>
      </c>
      <c r="BN2232" s="381"/>
      <c r="BO2232" s="382">
        <v>2223</v>
      </c>
    </row>
    <row r="2233" spans="1:67" s="24" customFormat="1" ht="15" customHeight="1" x14ac:dyDescent="0.25">
      <c r="A2233" s="288" t="s">
        <v>8227</v>
      </c>
      <c r="B2233" s="241" t="str">
        <f>HYPERLINK(CONCATENATE($AT$3,BK2233,$AU$3),$AV$3)</f>
        <v>S</v>
      </c>
      <c r="C2233" s="242" t="str">
        <f>HYPERLINK(CONCATENATE($AT$4,BK2233,$AU$4,BL2233),$AV$4)</f>
        <v>A</v>
      </c>
      <c r="D2233" s="243" t="s">
        <v>5638</v>
      </c>
      <c r="E2233" s="244" t="s">
        <v>5178</v>
      </c>
      <c r="F2233" s="269" t="s">
        <v>8993</v>
      </c>
      <c r="G2233" s="273">
        <v>2.6</v>
      </c>
      <c r="H2233" s="283">
        <v>160</v>
      </c>
      <c r="I2233" s="246">
        <v>120</v>
      </c>
      <c r="J2233" s="246">
        <v>2</v>
      </c>
      <c r="K2233" s="247" t="s">
        <v>8228</v>
      </c>
      <c r="L2233" s="248">
        <v>150735</v>
      </c>
      <c r="M2233" s="249">
        <f>15*(LEFT(TEXT($L2233,"000000"),2)+(MID(TEXT($L2233,"000000"),3,2)/60)+(RIGHT(TEXT($L2233,"000000"),2)/3600))</f>
        <v>226.89583333333334</v>
      </c>
      <c r="N2233" s="250">
        <v>193456</v>
      </c>
      <c r="O2233" s="251">
        <f>IF($N2233&gt;0,(LEFT(TEXT($N2233,"000000"),2)+(MID(TEXT($N2233,"000000"),3,2)/60)+(RIGHT(TEXT($N2233,"000000"),2)/3600)),-(MID(TEXT($N2233,"000000"),2,2)+(MID(TEXT($N2233,"000000"),4,2)/60)+(RIGHT(TEXT($N2233,"000000"),2)/3600)))</f>
        <v>19.582222222222221</v>
      </c>
      <c r="P2233" s="252" t="s">
        <v>260</v>
      </c>
      <c r="Q2233" s="253"/>
      <c r="R2233" s="247" t="s">
        <v>3293</v>
      </c>
      <c r="S2233" s="272" t="s">
        <v>9208</v>
      </c>
      <c r="T2233" s="273">
        <v>12.5</v>
      </c>
      <c r="U2233" s="289">
        <v>22.29</v>
      </c>
      <c r="V2233" s="280">
        <v>75</v>
      </c>
      <c r="W2233" s="244"/>
      <c r="X2233" s="244"/>
      <c r="Y2233" s="362"/>
      <c r="Z2233" s="257">
        <f>altaz(J2000_Bas,$O2233,$M2233,DecLat,DecLong,1)</f>
        <v>35.963404130424721</v>
      </c>
      <c r="AA2233" s="257">
        <f>altaz((J2000_Bas+(2*0.04167)),$O2233,$M2233,DecLat,DecLong,1)</f>
        <v>10.603860580138738</v>
      </c>
      <c r="AB2233" s="257">
        <f>altaz((J2000_Bas+(4*0.04167)),$O2233,$M2233,DecLat,DecLong,1)</f>
        <v>-12.844400613324742</v>
      </c>
      <c r="AC2233" s="257">
        <f>altaz((J2000_Bas+(6*0.04167)),$O2233,$M2233,DecLat,DecLong,1)</f>
        <v>-31.481469811925667</v>
      </c>
      <c r="AD2233" s="258">
        <f>1+ transit((J2000_Bas-1),$O2233,$M2233,DecLat,DecLong)/360 + (GMTOffset/24) + (IF(DST="Y", 1, 0)/24)</f>
        <v>1.6231661013067915</v>
      </c>
      <c r="AE2233" s="259">
        <f>DATE(2001,9,21)+(M2233/360)*365 - (360*((DecLong/360)- (GMTOffset/24) ))</f>
        <v>37390.047164351854</v>
      </c>
      <c r="AF2233" s="260">
        <f>IF(DecLat&gt;0,IF((90 - (DecLat-O2233))&gt;90, (90 - (O2233-DecLat)), (90 - (DecLat-O2233))),IF((90 + (DecLat-O2233))&gt;90, (90 + (O2233-DecLat)), (90 + (DecLat-O2233))))</f>
        <v>78.582222222222214</v>
      </c>
      <c r="AG2233" s="257">
        <f>angularseperation(MoonRA,MoonDec,$M2233,$O2233)</f>
        <v>51.445957763333645</v>
      </c>
      <c r="AH2233" s="261">
        <f ca="1">MIN(100,IF($O$5&gt;80,0+30*($AG2233/100),IF($O$5&gt;70,0+50*($AG2233/100),IF($O$5&gt;60,5+50*($AG2233/100),IF($O$5&gt;50,10+60*($AG2233/100),IF($O$5&gt;40,15+70*($AG2233/100),IF($O$5&gt;30,20+70*($AG2233/100),IF($O$5&gt;20,40+55*($AG2233/100),(80+(20-$O$5)+30*($AG2233/100))))))))))</f>
        <v>98.704847673150525</v>
      </c>
      <c r="AI2233" s="262">
        <v>5859</v>
      </c>
      <c r="AJ2233" s="262"/>
      <c r="AK2233" s="262"/>
      <c r="AL2233" s="263"/>
      <c r="AM2233" s="264"/>
      <c r="AN2233" s="263"/>
      <c r="AO2233" s="263"/>
      <c r="AP2233" s="265"/>
      <c r="AQ2233" s="266">
        <v>9728</v>
      </c>
      <c r="AR2233" s="267">
        <v>54001</v>
      </c>
      <c r="AS2233" s="263"/>
      <c r="AT2233" s="263"/>
      <c r="AU2233" s="263"/>
      <c r="AV2233" s="264"/>
      <c r="AW2233" s="263"/>
      <c r="AX2233" s="263"/>
      <c r="AY2233" s="263"/>
      <c r="AZ2233" s="263"/>
      <c r="BA2233" s="263"/>
      <c r="BB2233" s="263"/>
      <c r="BC2233" s="263"/>
      <c r="BD2233" s="264"/>
      <c r="BE2233" s="263"/>
      <c r="BF2233" s="263"/>
      <c r="BG2233" s="263"/>
      <c r="BH2233" s="263"/>
      <c r="BI2233" s="263"/>
      <c r="BJ2233" s="404">
        <f>altaz(J2000_Bas,$O2233,$M2233,DecLat,DecLong,2)</f>
        <v>272.70098690175206</v>
      </c>
      <c r="BK2233" s="378" t="s">
        <v>3076</v>
      </c>
      <c r="BL2233" s="379">
        <f>IF((2*G2233)/60&lt;0.2,0.2,(2*G2233)/60)</f>
        <v>0.2</v>
      </c>
      <c r="BM2233" s="380">
        <f>MOD((50000+AD2233-$B$3+(0/24)),1)</f>
        <v>0.83853303101204801</v>
      </c>
      <c r="BN2233" s="381"/>
      <c r="BO2233" s="382">
        <v>2224</v>
      </c>
    </row>
    <row r="2234" spans="1:67" s="24" customFormat="1" ht="15" customHeight="1" x14ac:dyDescent="0.25">
      <c r="A2234" s="288" t="s">
        <v>2123</v>
      </c>
      <c r="B2234" s="241" t="str">
        <f>HYPERLINK(CONCATENATE($AT$3,BK2234,$AU$3),$AV$3)</f>
        <v>S</v>
      </c>
      <c r="C2234" s="242" t="str">
        <f>HYPERLINK(CONCATENATE($AT$4,BK2234,$AU$4,BL2234),$AV$4)</f>
        <v>A</v>
      </c>
      <c r="D2234" s="243" t="s">
        <v>5638</v>
      </c>
      <c r="E2234" s="244" t="s">
        <v>5337</v>
      </c>
      <c r="F2234" s="269" t="s">
        <v>3301</v>
      </c>
      <c r="G2234" s="273">
        <v>1</v>
      </c>
      <c r="H2234" s="283">
        <v>250</v>
      </c>
      <c r="I2234" s="246">
        <v>80</v>
      </c>
      <c r="J2234" s="246">
        <v>2</v>
      </c>
      <c r="K2234" s="247" t="s">
        <v>8229</v>
      </c>
      <c r="L2234" s="248">
        <v>150634</v>
      </c>
      <c r="M2234" s="249">
        <f>15*(LEFT(TEXT($L2234,"000000"),2)+(MID(TEXT($L2234,"000000"),3,2)/60)+(RIGHT(TEXT($L2234,"000000"),2)/3600))</f>
        <v>226.64166666666665</v>
      </c>
      <c r="N2234" s="250">
        <v>423831</v>
      </c>
      <c r="O2234" s="251">
        <f>IF($N2234&gt;0,(LEFT(TEXT($N2234,"000000"),2)+(MID(TEXT($N2234,"000000"),3,2)/60)+(RIGHT(TEXT($N2234,"000000"),2)/3600)),-(MID(TEXT($N2234,"000000"),2,2)+(MID(TEXT($N2234,"000000"),4,2)/60)+(RIGHT(TEXT($N2234,"000000"),2)/3600)))</f>
        <v>42.641944444444441</v>
      </c>
      <c r="P2234" s="252" t="s">
        <v>260</v>
      </c>
      <c r="Q2234" s="253"/>
      <c r="R2234" s="247" t="s">
        <v>3293</v>
      </c>
      <c r="S2234" s="272" t="s">
        <v>3293</v>
      </c>
      <c r="T2234" s="273">
        <v>13.2</v>
      </c>
      <c r="U2234" s="289">
        <v>21.490000000000002</v>
      </c>
      <c r="V2234" s="280"/>
      <c r="W2234" s="244"/>
      <c r="X2234" s="244"/>
      <c r="Y2234" s="362"/>
      <c r="Z2234" s="257">
        <f>altaz(J2000_Bas,$O2234,$M2234,DecLat,DecLong,1)</f>
        <v>42.084950243546679</v>
      </c>
      <c r="AA2234" s="257">
        <f>altaz((J2000_Bas+(2*0.04167)),$O2234,$M2234,DecLat,DecLong,1)</f>
        <v>20.793224418046371</v>
      </c>
      <c r="AB2234" s="257">
        <f>altaz((J2000_Bas+(4*0.04167)),$O2234,$M2234,DecLat,DecLong,1)</f>
        <v>2.1844758389663168</v>
      </c>
      <c r="AC2234" s="257">
        <f>altaz((J2000_Bas+(6*0.04167)),$O2234,$M2234,DecLat,DecLong,1)</f>
        <v>-11.246511772483803</v>
      </c>
      <c r="AD2234" s="258">
        <f>1+ transit((J2000_Bas-1),$O2234,$M2234,DecLat,DecLong)/360 + (GMTOffset/24) + (IF(DST="Y", 1, 0)/24)</f>
        <v>1.6224600828588744</v>
      </c>
      <c r="AE2234" s="259">
        <f>DATE(2001,9,21)+(M2234/360)*365 - (360*((DecLong/360)- (GMTOffset/24) ))</f>
        <v>37389.789467592593</v>
      </c>
      <c r="AF2234" s="260">
        <f>IF(DecLat&gt;0,IF((90 - (DecLat-O2234))&gt;90, (90 - (O2234-DecLat)), (90 - (DecLat-O2234))),IF((90 + (DecLat-O2234))&gt;90, (90 + (O2234-DecLat)), (90 + (DecLat-O2234))))</f>
        <v>78.358055555555552</v>
      </c>
      <c r="AG2234" s="257">
        <f>angularseperation(MoonRA,MoonDec,$M2234,$O2234)</f>
        <v>72.769530228488719</v>
      </c>
      <c r="AH2234" s="261">
        <f ca="1">MIN(100,IF($O$5&gt;80,0+30*($AG2234/100),IF($O$5&gt;70,0+50*($AG2234/100),IF($O$5&gt;60,5+50*($AG2234/100),IF($O$5&gt;50,10+60*($AG2234/100),IF($O$5&gt;40,15+70*($AG2234/100),IF($O$5&gt;30,20+70*($AG2234/100),IF($O$5&gt;20,40+55*($AG2234/100),(80+(20-$O$5)+30*($AG2234/100))))))))))</f>
        <v>100</v>
      </c>
      <c r="AI2234" s="262">
        <v>5860</v>
      </c>
      <c r="AJ2234" s="262"/>
      <c r="AK2234" s="262"/>
      <c r="AL2234" s="263"/>
      <c r="AM2234" s="264"/>
      <c r="AN2234" s="263"/>
      <c r="AO2234" s="263"/>
      <c r="AP2234" s="265"/>
      <c r="AQ2234" s="266">
        <v>9717</v>
      </c>
      <c r="AR2234" s="267">
        <v>53939</v>
      </c>
      <c r="AS2234" s="263"/>
      <c r="AT2234" s="263"/>
      <c r="AU2234" s="263"/>
      <c r="AV2234" s="264"/>
      <c r="AW2234" s="263"/>
      <c r="AX2234" s="263"/>
      <c r="AY2234" s="263"/>
      <c r="AZ2234" s="263"/>
      <c r="BA2234" s="263"/>
      <c r="BB2234" s="263"/>
      <c r="BC2234" s="263"/>
      <c r="BD2234" s="264"/>
      <c r="BE2234" s="263"/>
      <c r="BF2234" s="263"/>
      <c r="BG2234" s="263"/>
      <c r="BH2234" s="263"/>
      <c r="BI2234" s="263"/>
      <c r="BJ2234" s="404">
        <f>altaz(J2000_Bas,$O2234,$M2234,DecLat,DecLong,2)</f>
        <v>301.48238363192149</v>
      </c>
      <c r="BK2234" s="378" t="s">
        <v>2123</v>
      </c>
      <c r="BL2234" s="379">
        <f>IF((2*G2234)/60&lt;0.2,0.2,(2*G2234)/60)</f>
        <v>0.2</v>
      </c>
      <c r="BM2234" s="380">
        <f>MOD((50000+AD2234-$B$3+(0/24)),1)</f>
        <v>0.83782701256131986</v>
      </c>
      <c r="BN2234" s="381" t="s">
        <v>9281</v>
      </c>
      <c r="BO2234" s="382">
        <v>2225</v>
      </c>
    </row>
    <row r="2235" spans="1:67" s="24" customFormat="1" ht="15" customHeight="1" x14ac:dyDescent="0.25">
      <c r="A2235" s="288" t="s">
        <v>3235</v>
      </c>
      <c r="B2235" s="241" t="str">
        <f>HYPERLINK(CONCATENATE($AT$3,BK2235,$AU$3),$AV$3)</f>
        <v>S</v>
      </c>
      <c r="C2235" s="242" t="str">
        <f>HYPERLINK(CONCATENATE($AT$4,BK2235,$AU$4,BL2235),$AV$4)</f>
        <v>A</v>
      </c>
      <c r="D2235" s="243" t="s">
        <v>5638</v>
      </c>
      <c r="E2235" s="244" t="s">
        <v>5192</v>
      </c>
      <c r="F2235" s="269" t="s">
        <v>8936</v>
      </c>
      <c r="G2235" s="273">
        <v>3</v>
      </c>
      <c r="H2235" s="283">
        <v>85.015979999999999</v>
      </c>
      <c r="I2235" s="246">
        <v>70</v>
      </c>
      <c r="J2235" s="246">
        <v>2</v>
      </c>
      <c r="K2235" s="247" t="s">
        <v>8231</v>
      </c>
      <c r="L2235" s="248">
        <v>150916</v>
      </c>
      <c r="M2235" s="249">
        <f>15*(LEFT(TEXT($L2235,"000000"),2)+(MID(TEXT($L2235,"000000"),3,2)/60)+(RIGHT(TEXT($L2235,"000000"),2)/3600))</f>
        <v>227.31666666666669</v>
      </c>
      <c r="N2235" s="250">
        <v>-111918</v>
      </c>
      <c r="O2235" s="251">
        <f>IF($N2235&gt;0,(LEFT(TEXT($N2235,"000000"),2)+(MID(TEXT($N2235,"000000"),3,2)/60)+(RIGHT(TEXT($N2235,"000000"),2)/3600)),-(MID(TEXT($N2235,"000000"),2,2)+(MID(TEXT($N2235,"000000"),4,2)/60)+(RIGHT(TEXT($N2235,"000000"),2)/3600)))</f>
        <v>-11.321666666666667</v>
      </c>
      <c r="P2235" s="252" t="s">
        <v>473</v>
      </c>
      <c r="Q2235" s="253"/>
      <c r="R2235" s="277" t="s">
        <v>3293</v>
      </c>
      <c r="S2235" s="272" t="s">
        <v>8230</v>
      </c>
      <c r="T2235" s="273">
        <v>11.6</v>
      </c>
      <c r="U2235" s="289">
        <v>22.09</v>
      </c>
      <c r="V2235" s="280">
        <v>55</v>
      </c>
      <c r="W2235" s="244"/>
      <c r="X2235" s="244"/>
      <c r="Y2235" s="362"/>
      <c r="Z2235" s="257">
        <f>altaz(J2000_Bas,$O2235,$M2235,DecLat,DecLong,1)</f>
        <v>19.615988867094739</v>
      </c>
      <c r="AA2235" s="257">
        <f>altaz((J2000_Bas+(2*0.04167)),$O2235,$M2235,DecLat,DecLong,1)</f>
        <v>-4.7654127580894521</v>
      </c>
      <c r="AB2235" s="257">
        <f>altaz((J2000_Bas+(4*0.04167)),$O2235,$M2235,DecLat,DecLong,1)</f>
        <v>-30.445993106836553</v>
      </c>
      <c r="AC2235" s="257">
        <f>altaz((J2000_Bas+(6*0.04167)),$O2235,$M2235,DecLat,DecLong,1)</f>
        <v>-55.194266209464516</v>
      </c>
      <c r="AD2235" s="258">
        <f>1+ transit((J2000_Bas-1),$O2235,$M2235,DecLat,DecLong)/360 + (GMTOffset/24) + (IF(DST="Y", 1, 0)/24)</f>
        <v>1.6243350826713747</v>
      </c>
      <c r="AE2235" s="259">
        <f>DATE(2001,9,21)+(M2235/360)*365 - (360*((DecLong/360)- (GMTOffset/24) ))</f>
        <v>37390.47384259259</v>
      </c>
      <c r="AF2235" s="260">
        <f>IF(DecLat&gt;0,IF((90 - (DecLat-O2235))&gt;90, (90 - (O2235-DecLat)), (90 - (DecLat-O2235))),IF((90 + (DecLat-O2235))&gt;90, (90 + (O2235-DecLat)), (90 + (DecLat-O2235))))</f>
        <v>47.678333333333335</v>
      </c>
      <c r="AG2235" s="257">
        <f>angularseperation(MoonRA,MoonDec,$M2235,$O2235)</f>
        <v>25.939968976957729</v>
      </c>
      <c r="AH2235" s="261">
        <f ca="1">MIN(100,IF($O$5&gt;80,0+30*($AG2235/100),IF($O$5&gt;70,0+50*($AG2235/100),IF($O$5&gt;60,5+50*($AG2235/100),IF($O$5&gt;50,10+60*($AG2235/100),IF($O$5&gt;40,15+70*($AG2235/100),IF($O$5&gt;30,20+70*($AG2235/100),IF($O$5&gt;20,40+55*($AG2235/100),(80+(20-$O$5)+30*($AG2235/100))))))))))</f>
        <v>91.053051037237751</v>
      </c>
      <c r="AI2235" s="263">
        <v>5861</v>
      </c>
      <c r="AJ2235" s="263"/>
      <c r="AK2235" s="263"/>
      <c r="AL2235" s="263"/>
      <c r="AM2235" s="264"/>
      <c r="AN2235" s="263"/>
      <c r="AO2235" s="263"/>
      <c r="AP2235" s="265"/>
      <c r="AQ2235" s="265"/>
      <c r="AR2235" s="285">
        <v>54097</v>
      </c>
      <c r="AS2235" s="263"/>
      <c r="AT2235" s="263"/>
      <c r="AU2235" s="263"/>
      <c r="AV2235" s="264"/>
      <c r="AW2235" s="263"/>
      <c r="AX2235" s="263"/>
      <c r="AY2235" s="263"/>
      <c r="AZ2235" s="263"/>
      <c r="BA2235" s="263"/>
      <c r="BB2235" s="263"/>
      <c r="BC2235" s="263"/>
      <c r="BD2235" s="264"/>
      <c r="BE2235" s="263"/>
      <c r="BF2235" s="263"/>
      <c r="BG2235" s="263"/>
      <c r="BH2235" s="263"/>
      <c r="BI2235" s="263"/>
      <c r="BJ2235" s="404">
        <f>altaz(J2000_Bas,$O2235,$M2235,DecLat,DecLong,2)</f>
        <v>242.7878397157221</v>
      </c>
      <c r="BK2235" s="378" t="s">
        <v>3235</v>
      </c>
      <c r="BL2235" s="379">
        <f>IF((2*G2235)/60&lt;0.2,0.2,(2*G2235)/60)</f>
        <v>0.2</v>
      </c>
      <c r="BM2235" s="380">
        <f>MOD((50000+AD2235-$B$3+(0/24)),1)</f>
        <v>0.83970201237389119</v>
      </c>
      <c r="BN2235" s="381"/>
      <c r="BO2235" s="382">
        <v>2226</v>
      </c>
    </row>
    <row r="2236" spans="1:67" s="24" customFormat="1" ht="15" customHeight="1" x14ac:dyDescent="0.25">
      <c r="A2236" s="288" t="s">
        <v>2124</v>
      </c>
      <c r="B2236" s="241" t="str">
        <f>HYPERLINK(CONCATENATE($AT$3,BK2236,$AU$3),$AV$3)</f>
        <v>S</v>
      </c>
      <c r="C2236" s="242" t="str">
        <f>HYPERLINK(CONCATENATE($AT$4,BK2236,$AU$4,BL2236),$AV$4)</f>
        <v>A</v>
      </c>
      <c r="D2236" s="243" t="s">
        <v>5638</v>
      </c>
      <c r="E2236" s="244" t="s">
        <v>5192</v>
      </c>
      <c r="F2236" s="269" t="s">
        <v>8794</v>
      </c>
      <c r="G2236" s="273">
        <v>4</v>
      </c>
      <c r="H2236" s="283">
        <v>100</v>
      </c>
      <c r="I2236" s="246">
        <v>120</v>
      </c>
      <c r="J2236" s="246">
        <v>2</v>
      </c>
      <c r="K2236" s="247" t="s">
        <v>8232</v>
      </c>
      <c r="L2236" s="248">
        <v>151346</v>
      </c>
      <c r="M2236" s="249">
        <f>15*(LEFT(TEXT($L2236,"000000"),2)+(MID(TEXT($L2236,"000000"),3,2)/60)+(RIGHT(TEXT($L2236,"000000"),2)/3600))</f>
        <v>228.44166666666666</v>
      </c>
      <c r="N2236" s="250">
        <v>-141614</v>
      </c>
      <c r="O2236" s="251">
        <f>IF($N2236&gt;0,(LEFT(TEXT($N2236,"000000"),2)+(MID(TEXT($N2236,"000000"),3,2)/60)+(RIGHT(TEXT($N2236,"000000"),2)/3600)),-(MID(TEXT($N2236,"000000"),2,2)+(MID(TEXT($N2236,"000000"),4,2)/60)+(RIGHT(TEXT($N2236,"000000"),2)/3600)))</f>
        <v>-14.270555555555557</v>
      </c>
      <c r="P2236" s="252" t="s">
        <v>473</v>
      </c>
      <c r="Q2236" s="253"/>
      <c r="R2236" s="277" t="s">
        <v>3293</v>
      </c>
      <c r="S2236" s="272" t="s">
        <v>3293</v>
      </c>
      <c r="T2236" s="273">
        <v>11.5</v>
      </c>
      <c r="U2236" s="289">
        <v>21.990000000000002</v>
      </c>
      <c r="V2236" s="280">
        <v>70</v>
      </c>
      <c r="W2236" s="244"/>
      <c r="X2236" s="244"/>
      <c r="Y2236" s="362"/>
      <c r="Z2236" s="257">
        <f>altaz(J2000_Bas,$O2236,$M2236,DecLat,DecLong,1)</f>
        <v>18.580757771222746</v>
      </c>
      <c r="AA2236" s="257">
        <f>altaz((J2000_Bas+(2*0.04167)),$O2236,$M2236,DecLat,DecLong,1)</f>
        <v>-5.3264219807140591</v>
      </c>
      <c r="AB2236" s="257">
        <f>altaz((J2000_Bas+(4*0.04167)),$O2236,$M2236,DecLat,DecLong,1)</f>
        <v>-30.896938523363342</v>
      </c>
      <c r="AC2236" s="257">
        <f>altaz((J2000_Bas+(6*0.04167)),$O2236,$M2236,DecLat,DecLong,1)</f>
        <v>-56.10052656986678</v>
      </c>
      <c r="AD2236" s="258">
        <f>1+ transit((J2000_Bas-1),$O2236,$M2236,DecLat,DecLong)/360 + (GMTOffset/24) + (IF(DST="Y", 1, 0)/24)</f>
        <v>1.6274600823588747</v>
      </c>
      <c r="AE2236" s="259">
        <f>DATE(2001,9,21)+(M2236/360)*365 - (360*((DecLong/360)- (GMTOffset/24) ))</f>
        <v>37391.61446759259</v>
      </c>
      <c r="AF2236" s="260">
        <f>IF(DecLat&gt;0,IF((90 - (DecLat-O2236))&gt;90, (90 - (O2236-DecLat)), (90 - (DecLat-O2236))),IF((90 + (DecLat-O2236))&gt;90, (90 + (O2236-DecLat)), (90 + (DecLat-O2236))))</f>
        <v>44.729444444444439</v>
      </c>
      <c r="AG2236" s="257">
        <f>angularseperation(MoonRA,MoonDec,$M2236,$O2236)</f>
        <v>23.240160963409863</v>
      </c>
      <c r="AH2236" s="261">
        <f ca="1">MIN(100,IF($O$5&gt;80,0+30*($AG2236/100),IF($O$5&gt;70,0+50*($AG2236/100),IF($O$5&gt;60,5+50*($AG2236/100),IF($O$5&gt;50,10+60*($AG2236/100),IF($O$5&gt;40,15+70*($AG2236/100),IF($O$5&gt;30,20+70*($AG2236/100),IF($O$5&gt;20,40+55*($AG2236/100),(80+(20-$O$5)+30*($AG2236/100))))))))))</f>
        <v>90.243108633173392</v>
      </c>
      <c r="AI2236" s="262">
        <v>5878</v>
      </c>
      <c r="AJ2236" s="263"/>
      <c r="AK2236" s="263"/>
      <c r="AL2236" s="263"/>
      <c r="AM2236" s="264"/>
      <c r="AN2236" s="263"/>
      <c r="AO2236" s="263"/>
      <c r="AP2236" s="265"/>
      <c r="AQ2236" s="265"/>
      <c r="AR2236" s="285">
        <v>54364</v>
      </c>
      <c r="AS2236" s="263"/>
      <c r="AT2236" s="263"/>
      <c r="AU2236" s="263"/>
      <c r="AV2236" s="264"/>
      <c r="AW2236" s="263"/>
      <c r="AX2236" s="263"/>
      <c r="AY2236" s="263"/>
      <c r="AZ2236" s="263"/>
      <c r="BA2236" s="263"/>
      <c r="BB2236" s="263"/>
      <c r="BC2236" s="263"/>
      <c r="BD2236" s="264"/>
      <c r="BE2236" s="263"/>
      <c r="BF2236" s="263"/>
      <c r="BG2236" s="263"/>
      <c r="BH2236" s="263"/>
      <c r="BI2236" s="263"/>
      <c r="BJ2236" s="404">
        <f>altaz(J2000_Bas,$O2236,$M2236,DecLat,DecLong,2)</f>
        <v>239.64357215692701</v>
      </c>
      <c r="BK2236" s="378" t="s">
        <v>2124</v>
      </c>
      <c r="BL2236" s="379">
        <f>IF((2*G2236)/60&lt;0.2,0.2,(2*G2236)/60)</f>
        <v>0.2</v>
      </c>
      <c r="BM2236" s="380">
        <f>MOD((50000+AD2236-$B$3+(0/24)),1)</f>
        <v>0.8428270120639354</v>
      </c>
      <c r="BN2236" s="381"/>
      <c r="BO2236" s="382">
        <v>2227</v>
      </c>
    </row>
    <row r="2237" spans="1:67" s="24" customFormat="1" ht="15" customHeight="1" x14ac:dyDescent="0.25">
      <c r="A2237" s="288" t="s">
        <v>2125</v>
      </c>
      <c r="B2237" s="241" t="str">
        <f>HYPERLINK(CONCATENATE($AT$3,BK2237,$AU$3),$AV$3)</f>
        <v>S</v>
      </c>
      <c r="C2237" s="242" t="str">
        <f>HYPERLINK(CONCATENATE($AT$4,BK2237,$AU$4,BL2237),$AV$4)</f>
        <v>A</v>
      </c>
      <c r="D2237" s="243" t="s">
        <v>5638</v>
      </c>
      <c r="E2237" s="244" t="s">
        <v>5192</v>
      </c>
      <c r="F2237" s="269" t="s">
        <v>8895</v>
      </c>
      <c r="G2237" s="273">
        <v>3.5</v>
      </c>
      <c r="H2237" s="283">
        <v>55</v>
      </c>
      <c r="I2237" s="246">
        <v>55</v>
      </c>
      <c r="J2237" s="246">
        <v>1</v>
      </c>
      <c r="K2237" s="247" t="s">
        <v>8233</v>
      </c>
      <c r="L2237" s="248">
        <v>150947</v>
      </c>
      <c r="M2237" s="249">
        <f>15*(LEFT(TEXT($L2237,"000000"),2)+(MID(TEXT($L2237,"000000"),3,2)/60)+(RIGHT(TEXT($L2237,"000000"),2)/3600))</f>
        <v>227.44583333333333</v>
      </c>
      <c r="N2237" s="250">
        <v>570003</v>
      </c>
      <c r="O2237" s="251">
        <f>IF($N2237&gt;0,(LEFT(TEXT($N2237,"000000"),2)+(MID(TEXT($N2237,"000000"),3,2)/60)+(RIGHT(TEXT($N2237,"000000"),2)/3600)),-(MID(TEXT($N2237,"000000"),2,2)+(MID(TEXT($N2237,"000000"),4,2)/60)+(RIGHT(TEXT($N2237,"000000"),2)/3600)))</f>
        <v>57.000833333333333</v>
      </c>
      <c r="P2237" s="252" t="s">
        <v>34</v>
      </c>
      <c r="Q2237" s="253"/>
      <c r="R2237" s="247" t="s">
        <v>3293</v>
      </c>
      <c r="S2237" s="272" t="s">
        <v>3293</v>
      </c>
      <c r="T2237" s="273">
        <v>11.6</v>
      </c>
      <c r="U2237" s="289">
        <v>22.19</v>
      </c>
      <c r="V2237" s="280">
        <v>70</v>
      </c>
      <c r="W2237" s="244"/>
      <c r="X2237" s="244"/>
      <c r="Y2237" s="362"/>
      <c r="Z2237" s="257">
        <f>altaz(J2000_Bas,$O2237,$M2237,DecLat,DecLong,1)</f>
        <v>42.491279483551061</v>
      </c>
      <c r="AA2237" s="257">
        <f>altaz((J2000_Bas+(2*0.04167)),$O2237,$M2237,DecLat,DecLong,1)</f>
        <v>26.296758366859951</v>
      </c>
      <c r="AB2237" s="257">
        <f>altaz((J2000_Bas+(4*0.04167)),$O2237,$M2237,DecLat,DecLong,1)</f>
        <v>11.980609100517412</v>
      </c>
      <c r="AC2237" s="257">
        <f>altaz((J2000_Bas+(6*0.04167)),$O2237,$M2237,DecLat,DecLong,1)</f>
        <v>1.8677296409343749</v>
      </c>
      <c r="AD2237" s="258">
        <f>1+ transit((J2000_Bas-1),$O2237,$M2237,DecLat,DecLong)/360 + (GMTOffset/24) + (IF(DST="Y", 1, 0)/24)</f>
        <v>1.6246938789317913</v>
      </c>
      <c r="AE2237" s="259">
        <f>DATE(2001,9,21)+(M2237/360)*365 - (360*((DecLong/360)- (GMTOffset/24) ))</f>
        <v>37390.604803240742</v>
      </c>
      <c r="AF2237" s="260">
        <f>IF(DecLat&gt;0,IF((90 - (DecLat-O2237))&gt;90, (90 - (O2237-DecLat)), (90 - (DecLat-O2237))),IF((90 + (DecLat-O2237))&gt;90, (90 + (O2237-DecLat)), (90 + (DecLat-O2237))))</f>
        <v>63.999166666666667</v>
      </c>
      <c r="AG2237" s="257">
        <f>angularseperation(MoonRA,MoonDec,$M2237,$O2237)</f>
        <v>86.078530376869296</v>
      </c>
      <c r="AH2237" s="261">
        <f ca="1">MIN(100,IF($O$5&gt;80,0+30*($AG2237/100),IF($O$5&gt;70,0+50*($AG2237/100),IF($O$5&gt;60,5+50*($AG2237/100),IF($O$5&gt;50,10+60*($AG2237/100),IF($O$5&gt;40,15+70*($AG2237/100),IF($O$5&gt;30,20+70*($AG2237/100),IF($O$5&gt;20,40+55*($AG2237/100),(80+(20-$O$5)+30*($AG2237/100))))))))))</f>
        <v>100</v>
      </c>
      <c r="AI2237" s="262">
        <v>5879</v>
      </c>
      <c r="AJ2237" s="262"/>
      <c r="AK2237" s="262"/>
      <c r="AL2237" s="263"/>
      <c r="AM2237" s="264"/>
      <c r="AN2237" s="263"/>
      <c r="AO2237" s="263"/>
      <c r="AP2237" s="265"/>
      <c r="AQ2237" s="266">
        <v>9753</v>
      </c>
      <c r="AR2237" s="267">
        <v>54117</v>
      </c>
      <c r="AS2237" s="263"/>
      <c r="AT2237" s="263"/>
      <c r="AU2237" s="263"/>
      <c r="AV2237" s="264"/>
      <c r="AW2237" s="263"/>
      <c r="AX2237" s="263"/>
      <c r="AY2237" s="263"/>
      <c r="AZ2237" s="263"/>
      <c r="BA2237" s="263"/>
      <c r="BB2237" s="263"/>
      <c r="BC2237" s="263"/>
      <c r="BD2237" s="264"/>
      <c r="BE2237" s="263"/>
      <c r="BF2237" s="263"/>
      <c r="BG2237" s="263"/>
      <c r="BH2237" s="263"/>
      <c r="BI2237" s="263"/>
      <c r="BJ2237" s="404">
        <f>altaz(J2000_Bas,$O2237,$M2237,DecLat,DecLong,2)</f>
        <v>320.93956477859763</v>
      </c>
      <c r="BK2237" s="378" t="s">
        <v>2125</v>
      </c>
      <c r="BL2237" s="379">
        <f>IF((2*G2237)/60&lt;0.2,0.2,(2*G2237)/60)</f>
        <v>0.2</v>
      </c>
      <c r="BM2237" s="380">
        <f>MOD((50000+AD2237-$B$3+(0/24)),1)</f>
        <v>0.8400608086376451</v>
      </c>
      <c r="BN2237" s="381"/>
      <c r="BO2237" s="382">
        <v>2228</v>
      </c>
    </row>
    <row r="2238" spans="1:67" s="24" customFormat="1" ht="15" customHeight="1" x14ac:dyDescent="0.25">
      <c r="A2238" s="288" t="s">
        <v>2126</v>
      </c>
      <c r="B2238" s="241" t="str">
        <f>HYPERLINK(CONCATENATE($AT$3,BK2238,$AU$3),$AV$3)</f>
        <v>S</v>
      </c>
      <c r="C2238" s="242" t="str">
        <f>HYPERLINK(CONCATENATE($AT$4,BK2238,$AU$4,BL2238),$AV$4)</f>
        <v>A</v>
      </c>
      <c r="D2238" s="243" t="s">
        <v>5335</v>
      </c>
      <c r="E2238" s="244" t="s">
        <v>5184</v>
      </c>
      <c r="F2238" s="269" t="s">
        <v>3315</v>
      </c>
      <c r="G2238" s="276">
        <v>13</v>
      </c>
      <c r="H2238" s="283">
        <v>41000</v>
      </c>
      <c r="I2238" s="246">
        <v>160</v>
      </c>
      <c r="J2238" s="246">
        <v>2</v>
      </c>
      <c r="K2238" s="247" t="s">
        <v>8234</v>
      </c>
      <c r="L2238" s="248">
        <v>151724</v>
      </c>
      <c r="M2238" s="249">
        <f>15*(LEFT(TEXT($L2238,"000000"),2)+(MID(TEXT($L2238,"000000"),3,2)/60)+(RIGHT(TEXT($L2238,"000000"),2)/3600))</f>
        <v>229.35</v>
      </c>
      <c r="N2238" s="250">
        <v>-210037</v>
      </c>
      <c r="O2238" s="251">
        <f>IF($N2238&gt;0,(LEFT(TEXT($N2238,"000000"),2)+(MID(TEXT($N2238,"000000"),3,2)/60)+(RIGHT(TEXT($N2238,"000000"),2)/3600)),-(MID(TEXT($N2238,"000000"),2,2)+(MID(TEXT($N2238,"000000"),4,2)/60)+(RIGHT(TEXT($N2238,"000000"),2)/3600)))</f>
        <v>-21.010277777777777</v>
      </c>
      <c r="P2238" s="252" t="s">
        <v>473</v>
      </c>
      <c r="Q2238" s="253" t="s">
        <v>3373</v>
      </c>
      <c r="R2238" s="247" t="s">
        <v>3293</v>
      </c>
      <c r="S2238" s="272" t="s">
        <v>3293</v>
      </c>
      <c r="T2238" s="273">
        <v>8.4</v>
      </c>
      <c r="U2238" s="274"/>
      <c r="V2238" s="280"/>
      <c r="W2238" s="244"/>
      <c r="X2238" s="244"/>
      <c r="Y2238" s="362"/>
      <c r="Z2238" s="257">
        <f>altaz(J2000_Bas,$O2238,$M2238,DecLat,DecLong,1)</f>
        <v>14.786042995528012</v>
      </c>
      <c r="AA2238" s="257">
        <f>altaz((J2000_Bas+(2*0.04167)),$O2238,$M2238,DecLat,DecLong,1)</f>
        <v>-7.9967020669252191</v>
      </c>
      <c r="AB2238" s="257">
        <f>altaz((J2000_Bas+(4*0.04167)),$O2238,$M2238,DecLat,DecLong,1)</f>
        <v>-33.073401955110242</v>
      </c>
      <c r="AC2238" s="257">
        <f>altaz((J2000_Bas+(6*0.04167)),$O2238,$M2238,DecLat,DecLong,1)</f>
        <v>-58.763320833178419</v>
      </c>
      <c r="AD2238" s="258">
        <f>1+ transit((J2000_Bas-1),$O2238,$M2238,DecLat,DecLong)/360 + (GMTOffset/24) + (IF(DST="Y", 1, 0)/24)</f>
        <v>1.6299832302547079</v>
      </c>
      <c r="AE2238" s="259">
        <f>DATE(2001,9,21)+(M2238/360)*365 - (360*((DecLong/360)- (GMTOffset/24) ))</f>
        <v>37392.535416666666</v>
      </c>
      <c r="AF2238" s="260">
        <f>IF(DecLat&gt;0,IF((90 - (DecLat-O2238))&gt;90, (90 - (O2238-DecLat)), (90 - (DecLat-O2238))),IF((90 + (DecLat-O2238))&gt;90, (90 + (O2238-DecLat)), (90 + (DecLat-O2238))))</f>
        <v>37.989722222222227</v>
      </c>
      <c r="AG2238" s="257">
        <f>angularseperation(MoonRA,MoonDec,$M2238,$O2238)</f>
        <v>19.126574369324675</v>
      </c>
      <c r="AH2238" s="261">
        <f ca="1">MIN(100,IF($O$5&gt;80,0+30*($AG2238/100),IF($O$5&gt;70,0+50*($AG2238/100),IF($O$5&gt;60,5+50*($AG2238/100),IF($O$5&gt;50,10+60*($AG2238/100),IF($O$5&gt;40,15+70*($AG2238/100),IF($O$5&gt;30,20+70*($AG2238/100),IF($O$5&gt;20,40+55*($AG2238/100),(80+(20-$O$5)+30*($AG2238/100))))))))))</f>
        <v>89.009032654947831</v>
      </c>
      <c r="AI2238" s="262">
        <v>5897</v>
      </c>
      <c r="AJ2238" s="262"/>
      <c r="AK2238" s="262">
        <v>312</v>
      </c>
      <c r="AL2238" s="263"/>
      <c r="AM2238" s="264"/>
      <c r="AN2238" s="263"/>
      <c r="AO2238" s="263"/>
      <c r="AP2238" s="265"/>
      <c r="AQ2238" s="266"/>
      <c r="AR2238" s="267"/>
      <c r="AS2238" s="263"/>
      <c r="AT2238" s="263"/>
      <c r="AU2238" s="263"/>
      <c r="AV2238" s="264"/>
      <c r="AW2238" s="263"/>
      <c r="AX2238" s="263"/>
      <c r="AY2238" s="263"/>
      <c r="AZ2238" s="263"/>
      <c r="BA2238" s="263"/>
      <c r="BB2238" s="263"/>
      <c r="BC2238" s="263"/>
      <c r="BD2238" s="264"/>
      <c r="BE2238" s="263">
        <v>76</v>
      </c>
      <c r="BF2238" s="263"/>
      <c r="BG2238" s="263"/>
      <c r="BH2238" s="263"/>
      <c r="BI2238" s="263"/>
      <c r="BJ2238" s="404">
        <f>altaz(J2000_Bas,$O2238,$M2238,DecLat,DecLong,2)</f>
        <v>233.75761303485842</v>
      </c>
      <c r="BK2238" s="378" t="s">
        <v>2126</v>
      </c>
      <c r="BL2238" s="379">
        <f>IF((2*G2238)/60&lt;0.2,0.2,(2*G2238)/60)</f>
        <v>0.43333333333333335</v>
      </c>
      <c r="BM2238" s="380">
        <f>MOD((50000+AD2238-$B$3+(0/24)),1)</f>
        <v>0.84535015995788854</v>
      </c>
      <c r="BN2238" s="381"/>
      <c r="BO2238" s="382">
        <v>2229</v>
      </c>
    </row>
    <row r="2239" spans="1:67" s="24" customFormat="1" ht="15" customHeight="1" x14ac:dyDescent="0.25">
      <c r="A2239" s="288" t="s">
        <v>2127</v>
      </c>
      <c r="B2239" s="241" t="str">
        <f>HYPERLINK(CONCATENATE($AT$3,BK2239,$AU$3),$AV$3)</f>
        <v>S</v>
      </c>
      <c r="C2239" s="242" t="str">
        <f>HYPERLINK(CONCATENATE($AT$4,BK2239,$AU$4,BL2239),$AV$4)</f>
        <v>A</v>
      </c>
      <c r="D2239" s="243" t="s">
        <v>5638</v>
      </c>
      <c r="E2239" s="244" t="s">
        <v>5192</v>
      </c>
      <c r="F2239" s="269" t="s">
        <v>8895</v>
      </c>
      <c r="G2239" s="273">
        <v>3.5</v>
      </c>
      <c r="H2239" s="283">
        <v>150</v>
      </c>
      <c r="I2239" s="246">
        <v>150</v>
      </c>
      <c r="J2239" s="246">
        <v>2</v>
      </c>
      <c r="K2239" s="247" t="s">
        <v>8237</v>
      </c>
      <c r="L2239" s="248">
        <v>151503</v>
      </c>
      <c r="M2239" s="249">
        <f>15*(LEFT(TEXT($L2239,"000000"),2)+(MID(TEXT($L2239,"000000"),3,2)/60)+(RIGHT(TEXT($L2239,"000000"),2)/3600))</f>
        <v>228.76249999999999</v>
      </c>
      <c r="N2239" s="250">
        <v>420257</v>
      </c>
      <c r="O2239" s="251">
        <f>IF($N2239&gt;0,(LEFT(TEXT($N2239,"000000"),2)+(MID(TEXT($N2239,"000000"),3,2)/60)+(RIGHT(TEXT($N2239,"000000"),2)/3600)),-(MID(TEXT($N2239,"000000"),2,2)+(MID(TEXT($N2239,"000000"),4,2)/60)+(RIGHT(TEXT($N2239,"000000"),2)/3600)))</f>
        <v>42.049166666666665</v>
      </c>
      <c r="P2239" s="252" t="s">
        <v>260</v>
      </c>
      <c r="Q2239" s="253"/>
      <c r="R2239" s="247" t="s">
        <v>3293</v>
      </c>
      <c r="S2239" s="272" t="s">
        <v>8235</v>
      </c>
      <c r="T2239" s="273">
        <v>13.2</v>
      </c>
      <c r="U2239" s="289">
        <v>21.89</v>
      </c>
      <c r="V2239" s="280">
        <v>70</v>
      </c>
      <c r="W2239" s="244"/>
      <c r="X2239" s="244"/>
      <c r="Y2239" s="362"/>
      <c r="Z2239" s="257">
        <f>altaz(J2000_Bas,$O2239,$M2239,DecLat,DecLong,1)</f>
        <v>43.581236423483034</v>
      </c>
      <c r="AA2239" s="257">
        <f>altaz((J2000_Bas+(2*0.04167)),$O2239,$M2239,DecLat,DecLong,1)</f>
        <v>22.003663257686846</v>
      </c>
      <c r="AB2239" s="257">
        <f>altaz((J2000_Bas+(4*0.04167)),$O2239,$M2239,DecLat,DecLong,1)</f>
        <v>2.9775566772381445</v>
      </c>
      <c r="AC2239" s="257">
        <f>altaz((J2000_Bas+(6*0.04167)),$O2239,$M2239,DecLat,DecLong,1)</f>
        <v>-11.059674289236506</v>
      </c>
      <c r="AD2239" s="258">
        <f>1+ transit((J2000_Bas-1),$O2239,$M2239,DecLat,DecLong)/360 + (GMTOffset/24) + (IF(DST="Y", 1, 0)/24)</f>
        <v>1.6283512859734579</v>
      </c>
      <c r="AE2239" s="259">
        <f>DATE(2001,9,21)+(M2239/360)*365 - (360*((DecLong/360)- (GMTOffset/24) ))</f>
        <v>37391.939756944441</v>
      </c>
      <c r="AF2239" s="260">
        <f>IF(DecLat&gt;0,IF((90 - (DecLat-O2239))&gt;90, (90 - (O2239-DecLat)), (90 - (DecLat-O2239))),IF((90 + (DecLat-O2239))&gt;90, (90 + (O2239-DecLat)), (90 + (DecLat-O2239))))</f>
        <v>78.950833333333335</v>
      </c>
      <c r="AG2239" s="257">
        <f>angularseperation(MoonRA,MoonDec,$M2239,$O2239)</f>
        <v>71.674783513023812</v>
      </c>
      <c r="AH2239" s="261">
        <f ca="1">MIN(100,IF($O$5&gt;80,0+30*($AG2239/100),IF($O$5&gt;70,0+50*($AG2239/100),IF($O$5&gt;60,5+50*($AG2239/100),IF($O$5&gt;50,10+60*($AG2239/100),IF($O$5&gt;40,15+70*($AG2239/100),IF($O$5&gt;30,20+70*($AG2239/100),IF($O$5&gt;20,40+55*($AG2239/100),(80+(20-$O$5)+30*($AG2239/100))))))))))</f>
        <v>100</v>
      </c>
      <c r="AI2239" s="262">
        <v>5899</v>
      </c>
      <c r="AJ2239" s="262"/>
      <c r="AK2239" s="262"/>
      <c r="AL2239" s="263"/>
      <c r="AM2239" s="264"/>
      <c r="AN2239" s="263"/>
      <c r="AO2239" s="263"/>
      <c r="AP2239" s="265"/>
      <c r="AQ2239" s="266">
        <v>9789</v>
      </c>
      <c r="AR2239" s="267">
        <v>54428</v>
      </c>
      <c r="AS2239" s="263"/>
      <c r="AT2239" s="263"/>
      <c r="AU2239" s="263"/>
      <c r="AV2239" s="264"/>
      <c r="AW2239" s="263"/>
      <c r="AX2239" s="263"/>
      <c r="AY2239" s="263"/>
      <c r="AZ2239" s="263"/>
      <c r="BA2239" s="263"/>
      <c r="BB2239" s="263"/>
      <c r="BC2239" s="263"/>
      <c r="BD2239" s="264"/>
      <c r="BE2239" s="263"/>
      <c r="BF2239" s="263"/>
      <c r="BG2239" s="263"/>
      <c r="BH2239" s="263"/>
      <c r="BI2239" s="263"/>
      <c r="BJ2239" s="404">
        <f>altaz(J2000_Bas,$O2239,$M2239,DecLat,DecLong,2)</f>
        <v>300.45333146939669</v>
      </c>
      <c r="BK2239" s="378" t="s">
        <v>2127</v>
      </c>
      <c r="BL2239" s="379">
        <f>IF((2*G2239)/60&lt;0.2,0.2,(2*G2239)/60)</f>
        <v>0.2</v>
      </c>
      <c r="BM2239" s="380">
        <f>MOD((50000+AD2239-$B$3+(0/24)),1)</f>
        <v>0.84371821567765437</v>
      </c>
      <c r="BN2239" s="381" t="s">
        <v>9271</v>
      </c>
      <c r="BO2239" s="382">
        <v>2230</v>
      </c>
    </row>
    <row r="2240" spans="1:67" s="24" customFormat="1" ht="15" customHeight="1" x14ac:dyDescent="0.25">
      <c r="A2240" s="288" t="s">
        <v>2128</v>
      </c>
      <c r="B2240" s="241" t="str">
        <f>HYPERLINK(CONCATENATE($AT$3,BK2240,$AU$3),$AV$3)</f>
        <v>S</v>
      </c>
      <c r="C2240" s="242" t="str">
        <f>HYPERLINK(CONCATENATE($AT$4,BK2240,$AU$4,BL2240),$AV$4)</f>
        <v>A</v>
      </c>
      <c r="D2240" s="243" t="s">
        <v>5638</v>
      </c>
      <c r="E2240" s="244" t="s">
        <v>5192</v>
      </c>
      <c r="F2240" s="269" t="s">
        <v>8701</v>
      </c>
      <c r="G2240" s="273">
        <v>2</v>
      </c>
      <c r="H2240" s="283">
        <v>200</v>
      </c>
      <c r="I2240" s="246">
        <v>110</v>
      </c>
      <c r="J2240" s="246">
        <v>2</v>
      </c>
      <c r="K2240" s="247" t="s">
        <v>8238</v>
      </c>
      <c r="L2240" s="248">
        <v>151505</v>
      </c>
      <c r="M2240" s="249">
        <f>15*(LEFT(TEXT($L2240,"000000"),2)+(MID(TEXT($L2240,"000000"),3,2)/60)+(RIGHT(TEXT($L2240,"000000"),2)/3600))</f>
        <v>228.77083333333331</v>
      </c>
      <c r="N2240" s="286">
        <v>421235</v>
      </c>
      <c r="O2240" s="251">
        <f>IF($N2240&gt;0,(LEFT(TEXT($N2240,"000000"),2)+(MID(TEXT($N2240,"000000"),3,2)/60)+(RIGHT(TEXT($N2240,"000000"),2)/3600)),-(MID(TEXT($N2240,"000000"),2,2)+(MID(TEXT($N2240,"000000"),4,2)/60)+(RIGHT(TEXT($N2240,"000000"),2)/3600)))</f>
        <v>42.209722222222226</v>
      </c>
      <c r="P2240" s="252" t="s">
        <v>260</v>
      </c>
      <c r="Q2240" s="253"/>
      <c r="R2240" s="247" t="s">
        <v>3293</v>
      </c>
      <c r="S2240" s="272" t="s">
        <v>8236</v>
      </c>
      <c r="T2240" s="273">
        <v>13.4</v>
      </c>
      <c r="U2240" s="289">
        <v>22.490000000000002</v>
      </c>
      <c r="V2240" s="280">
        <v>86</v>
      </c>
      <c r="W2240" s="244"/>
      <c r="X2240" s="244"/>
      <c r="Y2240" s="362"/>
      <c r="Z2240" s="257">
        <f>altaz(J2000_Bas,$O2240,$M2240,DecLat,DecLong,1)</f>
        <v>43.603080365557034</v>
      </c>
      <c r="AA2240" s="257">
        <f>altaz((J2000_Bas+(2*0.04167)),$O2240,$M2240,DecLat,DecLong,1)</f>
        <v>22.070876929770275</v>
      </c>
      <c r="AB2240" s="257">
        <f>altaz((J2000_Bas+(4*0.04167)),$O2240,$M2240,DecLat,DecLong,1)</f>
        <v>3.0862311146346504</v>
      </c>
      <c r="AC2240" s="257">
        <f>altaz((J2000_Bas+(6*0.04167)),$O2240,$M2240,DecLat,DecLong,1)</f>
        <v>-10.914996278043004</v>
      </c>
      <c r="AD2240" s="258">
        <f>1+ transit((J2000_Bas-1),$O2240,$M2240,DecLat,DecLong)/360 + (GMTOffset/24) + (IF(DST="Y", 1, 0)/24)</f>
        <v>1.6283744341192914</v>
      </c>
      <c r="AE2240" s="259">
        <f>DATE(2001,9,21)+(M2240/360)*365 - (360*((DecLong/360)- (GMTOffset/24) ))</f>
        <v>37391.948206018518</v>
      </c>
      <c r="AF2240" s="260">
        <f>IF(DecLat&gt;0,IF((90 - (DecLat-O2240))&gt;90, (90 - (O2240-DecLat)), (90 - (DecLat-O2240))),IF((90 + (DecLat-O2240))&gt;90, (90 + (O2240-DecLat)), (90 + (DecLat-O2240))))</f>
        <v>78.790277777777774</v>
      </c>
      <c r="AG2240" s="257">
        <f>angularseperation(MoonRA,MoonDec,$M2240,$O2240)</f>
        <v>71.824433389061298</v>
      </c>
      <c r="AH2240" s="261">
        <f ca="1">MIN(100,IF($O$5&gt;80,0+30*($AG2240/100),IF($O$5&gt;70,0+50*($AG2240/100),IF($O$5&gt;60,5+50*($AG2240/100),IF($O$5&gt;50,10+60*($AG2240/100),IF($O$5&gt;40,15+70*($AG2240/100),IF($O$5&gt;30,20+70*($AG2240/100),IF($O$5&gt;20,40+55*($AG2240/100),(80+(20-$O$5)+30*($AG2240/100))))))))))</f>
        <v>100</v>
      </c>
      <c r="AI2240" s="262">
        <v>5900</v>
      </c>
      <c r="AJ2240" s="262"/>
      <c r="AK2240" s="262"/>
      <c r="AL2240" s="263"/>
      <c r="AM2240" s="264"/>
      <c r="AN2240" s="263"/>
      <c r="AO2240" s="263"/>
      <c r="AP2240" s="265"/>
      <c r="AQ2240" s="266">
        <v>9790</v>
      </c>
      <c r="AR2240" s="267">
        <v>54431</v>
      </c>
      <c r="AS2240" s="263"/>
      <c r="AT2240" s="263"/>
      <c r="AU2240" s="263"/>
      <c r="AV2240" s="264"/>
      <c r="AW2240" s="263"/>
      <c r="AX2240" s="263"/>
      <c r="AY2240" s="263"/>
      <c r="AZ2240" s="263"/>
      <c r="BA2240" s="263"/>
      <c r="BB2240" s="263"/>
      <c r="BC2240" s="263"/>
      <c r="BD2240" s="264"/>
      <c r="BE2240" s="263"/>
      <c r="BF2240" s="263"/>
      <c r="BG2240" s="263"/>
      <c r="BH2240" s="263"/>
      <c r="BI2240" s="263"/>
      <c r="BJ2240" s="404">
        <f>altaz(J2000_Bas,$O2240,$M2240,DecLat,DecLong,2)</f>
        <v>300.67311629048078</v>
      </c>
      <c r="BK2240" s="378" t="s">
        <v>2128</v>
      </c>
      <c r="BL2240" s="379">
        <f>IF((2*G2240)/60&lt;0.2,0.2,(2*G2240)/60)</f>
        <v>0.2</v>
      </c>
      <c r="BM2240" s="380">
        <f>MOD((50000+AD2240-$B$3+(0/24)),1)</f>
        <v>0.84374136382393772</v>
      </c>
      <c r="BN2240" s="381" t="s">
        <v>9218</v>
      </c>
      <c r="BO2240" s="382">
        <v>2231</v>
      </c>
    </row>
    <row r="2241" spans="1:67" s="24" customFormat="1" ht="15" customHeight="1" x14ac:dyDescent="0.25">
      <c r="A2241" s="288" t="s">
        <v>2129</v>
      </c>
      <c r="B2241" s="241" t="str">
        <f>HYPERLINK(CONCATENATE($AT$3,BK2241,$AU$3),$AV$3)</f>
        <v>S</v>
      </c>
      <c r="C2241" s="242" t="str">
        <f>HYPERLINK(CONCATENATE($AT$4,BK2241,$AU$4,BL2241),$AV$4)</f>
        <v>A</v>
      </c>
      <c r="D2241" s="243" t="s">
        <v>5638</v>
      </c>
      <c r="E2241" s="244" t="s">
        <v>5192</v>
      </c>
      <c r="F2241" s="269" t="s">
        <v>8908</v>
      </c>
      <c r="G2241" s="273">
        <v>3.8</v>
      </c>
      <c r="H2241" s="283">
        <v>150</v>
      </c>
      <c r="I2241" s="246">
        <v>170</v>
      </c>
      <c r="J2241" s="246">
        <v>2</v>
      </c>
      <c r="K2241" s="247" t="s">
        <v>8241</v>
      </c>
      <c r="L2241" s="248">
        <v>151523</v>
      </c>
      <c r="M2241" s="249">
        <f>15*(LEFT(TEXT($L2241,"000000"),2)+(MID(TEXT($L2241,"000000"),3,2)/60)+(RIGHT(TEXT($L2241,"000000"),2)/3600))</f>
        <v>228.84583333333333</v>
      </c>
      <c r="N2241" s="250">
        <v>553102</v>
      </c>
      <c r="O2241" s="251">
        <f>IF($N2241&gt;0,(LEFT(TEXT($N2241,"000000"),2)+(MID(TEXT($N2241,"000000"),3,2)/60)+(RIGHT(TEXT($N2241,"000000"),2)/3600)),-(MID(TEXT($N2241,"000000"),2,2)+(MID(TEXT($N2241,"000000"),4,2)/60)+(RIGHT(TEXT($N2241,"000000"),2)/3600)))</f>
        <v>55.517222222222223</v>
      </c>
      <c r="P2241" s="252" t="s">
        <v>34</v>
      </c>
      <c r="Q2241" s="253"/>
      <c r="R2241" s="247" t="s">
        <v>3293</v>
      </c>
      <c r="S2241" s="272" t="s">
        <v>8239</v>
      </c>
      <c r="T2241" s="273">
        <v>11.7</v>
      </c>
      <c r="U2241" s="289">
        <v>22.990000000000002</v>
      </c>
      <c r="V2241" s="280">
        <v>30</v>
      </c>
      <c r="W2241" s="244"/>
      <c r="X2241" s="244"/>
      <c r="Y2241" s="362"/>
      <c r="Z2241" s="257">
        <f>altaz(J2000_Bas,$O2241,$M2241,DecLat,DecLong,1)</f>
        <v>43.451359087732769</v>
      </c>
      <c r="AA2241" s="257">
        <f>altaz((J2000_Bas+(2*0.04167)),$O2241,$M2241,DecLat,DecLong,1)</f>
        <v>26.609077670558815</v>
      </c>
      <c r="AB2241" s="257">
        <f>altaz((J2000_Bas+(4*0.04167)),$O2241,$M2241,DecLat,DecLong,1)</f>
        <v>11.640485785436388</v>
      </c>
      <c r="AC2241" s="257">
        <f>altaz((J2000_Bas+(6*0.04167)),$O2241,$M2241,DecLat,DecLong,1)</f>
        <v>0.89732281228697341</v>
      </c>
      <c r="AD2241" s="258">
        <f>1+ transit((J2000_Bas-1),$O2241,$M2241,DecLat,DecLong)/360 + (GMTOffset/24) + (IF(DST="Y", 1, 0)/24)</f>
        <v>1.6285827674317914</v>
      </c>
      <c r="AE2241" s="259">
        <f>DATE(2001,9,21)+(M2241/360)*365 - (360*((DecLong/360)- (GMTOffset/24) ))</f>
        <v>37392.024247685185</v>
      </c>
      <c r="AF2241" s="260">
        <f>IF(DecLat&gt;0,IF((90 - (DecLat-O2241))&gt;90, (90 - (O2241-DecLat)), (90 - (DecLat-O2241))),IF((90 + (DecLat-O2241))&gt;90, (90 + (O2241-DecLat)), (90 + (DecLat-O2241))))</f>
        <v>65.482777777777784</v>
      </c>
      <c r="AG2241" s="257">
        <f>angularseperation(MoonRA,MoonDec,$M2241,$O2241)</f>
        <v>84.423747875160899</v>
      </c>
      <c r="AH2241" s="261">
        <f ca="1">MIN(100,IF($O$5&gt;80,0+30*($AG2241/100),IF($O$5&gt;70,0+50*($AG2241/100),IF($O$5&gt;60,5+50*($AG2241/100),IF($O$5&gt;50,10+60*($AG2241/100),IF($O$5&gt;40,15+70*($AG2241/100),IF($O$5&gt;30,20+70*($AG2241/100),IF($O$5&gt;20,40+55*($AG2241/100),(80+(20-$O$5)+30*($AG2241/100))))))))))</f>
        <v>100</v>
      </c>
      <c r="AI2241" s="262">
        <v>5905</v>
      </c>
      <c r="AJ2241" s="262"/>
      <c r="AK2241" s="262"/>
      <c r="AL2241" s="263"/>
      <c r="AM2241" s="264"/>
      <c r="AN2241" s="263"/>
      <c r="AO2241" s="263"/>
      <c r="AP2241" s="265"/>
      <c r="AQ2241" s="266">
        <v>9797</v>
      </c>
      <c r="AR2241" s="267">
        <v>54445</v>
      </c>
      <c r="AS2241" s="263"/>
      <c r="AT2241" s="263"/>
      <c r="AU2241" s="263"/>
      <c r="AV2241" s="264"/>
      <c r="AW2241" s="263"/>
      <c r="AX2241" s="263"/>
      <c r="AY2241" s="263"/>
      <c r="AZ2241" s="263"/>
      <c r="BA2241" s="263"/>
      <c r="BB2241" s="263"/>
      <c r="BC2241" s="263"/>
      <c r="BD2241" s="264"/>
      <c r="BE2241" s="263"/>
      <c r="BF2241" s="263"/>
      <c r="BG2241" s="263"/>
      <c r="BH2241" s="263"/>
      <c r="BI2241" s="263"/>
      <c r="BJ2241" s="404">
        <f>altaz(J2000_Bas,$O2241,$M2241,DecLat,DecLong,2)</f>
        <v>319.06366717962152</v>
      </c>
      <c r="BK2241" s="378" t="s">
        <v>2129</v>
      </c>
      <c r="BL2241" s="379">
        <f>IF((2*G2241)/60&lt;0.2,0.2,(2*G2241)/60)</f>
        <v>0.2</v>
      </c>
      <c r="BM2241" s="380">
        <f>MOD((50000+AD2241-$B$3+(0/24)),1)</f>
        <v>0.84394969713321188</v>
      </c>
      <c r="BN2241" s="381"/>
      <c r="BO2241" s="382">
        <v>2232</v>
      </c>
    </row>
    <row r="2242" spans="1:67" s="24" customFormat="1" ht="15" customHeight="1" x14ac:dyDescent="0.25">
      <c r="A2242" s="288" t="s">
        <v>2130</v>
      </c>
      <c r="B2242" s="241" t="str">
        <f>HYPERLINK(CONCATENATE($AT$3,BK2242,$AU$3),$AV$3)</f>
        <v>S</v>
      </c>
      <c r="C2242" s="242" t="str">
        <f>HYPERLINK(CONCATENATE($AT$4,BK2242,$AU$4,BL2242),$AV$4)</f>
        <v>A</v>
      </c>
      <c r="D2242" s="243" t="s">
        <v>5638</v>
      </c>
      <c r="E2242" s="244" t="s">
        <v>5192</v>
      </c>
      <c r="F2242" s="269" t="s">
        <v>8723</v>
      </c>
      <c r="G2242" s="276">
        <v>11</v>
      </c>
      <c r="H2242" s="283">
        <v>45</v>
      </c>
      <c r="I2242" s="246">
        <v>150</v>
      </c>
      <c r="J2242" s="246">
        <v>3</v>
      </c>
      <c r="K2242" s="247" t="s">
        <v>8243</v>
      </c>
      <c r="L2242" s="248">
        <v>151554</v>
      </c>
      <c r="M2242" s="249">
        <f>15*(LEFT(TEXT($L2242,"000000"),2)+(MID(TEXT($L2242,"000000"),3,2)/60)+(RIGHT(TEXT($L2242,"000000"),2)/3600))</f>
        <v>228.97500000000002</v>
      </c>
      <c r="N2242" s="250">
        <v>561945</v>
      </c>
      <c r="O2242" s="251">
        <f>IF($N2242&gt;0,(LEFT(TEXT($N2242,"000000"),2)+(MID(TEXT($N2242,"000000"),3,2)/60)+(RIGHT(TEXT($N2242,"000000"),2)/3600)),-(MID(TEXT($N2242,"000000"),2,2)+(MID(TEXT($N2242,"000000"),4,2)/60)+(RIGHT(TEXT($N2242,"000000"),2)/3600)))</f>
        <v>56.329166666666673</v>
      </c>
      <c r="P2242" s="252" t="s">
        <v>34</v>
      </c>
      <c r="Q2242" s="253" t="s">
        <v>8242</v>
      </c>
      <c r="R2242" s="247" t="s">
        <v>3293</v>
      </c>
      <c r="S2242" s="272" t="s">
        <v>3293</v>
      </c>
      <c r="T2242" s="273">
        <v>11</v>
      </c>
      <c r="U2242" s="289">
        <v>22.19</v>
      </c>
      <c r="V2242" s="280">
        <v>89</v>
      </c>
      <c r="W2242" s="244"/>
      <c r="X2242" s="244"/>
      <c r="Y2242" s="362"/>
      <c r="Z2242" s="257">
        <f>altaz(J2000_Bas,$O2242,$M2242,DecLat,DecLong,1)</f>
        <v>43.414458324493388</v>
      </c>
      <c r="AA2242" s="257">
        <f>altaz((J2000_Bas+(2*0.04167)),$O2242,$M2242,DecLat,DecLong,1)</f>
        <v>26.909077866842114</v>
      </c>
      <c r="AB2242" s="257">
        <f>altaz((J2000_Bas+(4*0.04167)),$O2242,$M2242,DecLat,DecLong,1)</f>
        <v>12.206190764085854</v>
      </c>
      <c r="AC2242" s="257">
        <f>altaz((J2000_Bas+(6*0.04167)),$O2242,$M2242,DecLat,DecLong,1)</f>
        <v>1.6506390724792952</v>
      </c>
      <c r="AD2242" s="258">
        <f>1+ transit((J2000_Bas-1),$O2242,$M2242,DecLat,DecLong)/360 + (GMTOffset/24) + (IF(DST="Y", 1, 0)/24)</f>
        <v>1.628941563692208</v>
      </c>
      <c r="AE2242" s="259">
        <f>DATE(2001,9,21)+(M2242/360)*365 - (360*((DecLong/360)- (GMTOffset/24) ))</f>
        <v>37392.15520833333</v>
      </c>
      <c r="AF2242" s="260">
        <f>IF(DecLat&gt;0,IF((90 - (DecLat-O2242))&gt;90, (90 - (O2242-DecLat)), (90 - (DecLat-O2242))),IF((90 + (DecLat-O2242))&gt;90, (90 + (O2242-DecLat)), (90 + (DecLat-O2242))))</f>
        <v>64.67083333333332</v>
      </c>
      <c r="AG2242" s="257">
        <f>angularseperation(MoonRA,MoonDec,$M2242,$O2242)</f>
        <v>85.173044425180123</v>
      </c>
      <c r="AH2242" s="261">
        <f ca="1">MIN(100,IF($O$5&gt;80,0+30*($AG2242/100),IF($O$5&gt;70,0+50*($AG2242/100),IF($O$5&gt;60,5+50*($AG2242/100),IF($O$5&gt;50,10+60*($AG2242/100),IF($O$5&gt;40,15+70*($AG2242/100),IF($O$5&gt;30,20+70*($AG2242/100),IF($O$5&gt;20,40+55*($AG2242/100),(80+(20-$O$5)+30*($AG2242/100))))))))))</f>
        <v>100</v>
      </c>
      <c r="AI2242" s="262">
        <v>5907</v>
      </c>
      <c r="AJ2242" s="262"/>
      <c r="AK2242" s="262">
        <v>313</v>
      </c>
      <c r="AL2242" s="263"/>
      <c r="AM2242" s="264"/>
      <c r="AN2242" s="263"/>
      <c r="AO2242" s="263"/>
      <c r="AP2242" s="265"/>
      <c r="AQ2242" s="266">
        <v>9801</v>
      </c>
      <c r="AR2242" s="267">
        <v>54470</v>
      </c>
      <c r="AS2242" s="263"/>
      <c r="AT2242" s="263"/>
      <c r="AU2242" s="263"/>
      <c r="AV2242" s="264"/>
      <c r="AW2242" s="263"/>
      <c r="AX2242" s="263"/>
      <c r="AY2242" s="263"/>
      <c r="AZ2242" s="263"/>
      <c r="BA2242" s="263"/>
      <c r="BB2242" s="263"/>
      <c r="BC2242" s="263"/>
      <c r="BD2242" s="264"/>
      <c r="BE2242" s="263"/>
      <c r="BF2242" s="263">
        <v>70</v>
      </c>
      <c r="BG2242" s="263"/>
      <c r="BH2242" s="263"/>
      <c r="BI2242" s="263"/>
      <c r="BJ2242" s="404">
        <f>altaz(J2000_Bas,$O2242,$M2242,DecLat,DecLong,2)</f>
        <v>320.185061008594</v>
      </c>
      <c r="BK2242" s="378" t="s">
        <v>2130</v>
      </c>
      <c r="BL2242" s="379">
        <f>IF((2*G2242)/60&lt;0.2,0.2,(2*G2242)/60)</f>
        <v>0.36666666666666664</v>
      </c>
      <c r="BM2242" s="380">
        <f>MOD((50000+AD2242-$B$3+(0/24)),1)</f>
        <v>0.84430849339696579</v>
      </c>
      <c r="BN2242" s="381"/>
      <c r="BO2242" s="382">
        <v>2233</v>
      </c>
    </row>
    <row r="2243" spans="1:67" s="24" customFormat="1" ht="15" customHeight="1" x14ac:dyDescent="0.25">
      <c r="A2243" s="288" t="s">
        <v>2131</v>
      </c>
      <c r="B2243" s="241" t="str">
        <f>HYPERLINK(CONCATENATE($AT$3,BK2243,$AU$3),$AV$3)</f>
        <v>S</v>
      </c>
      <c r="C2243" s="242" t="str">
        <f>HYPERLINK(CONCATENATE($AT$4,BK2243,$AU$4,BL2243),$AV$4)</f>
        <v>A</v>
      </c>
      <c r="D2243" s="243" t="s">
        <v>5638</v>
      </c>
      <c r="E2243" s="244" t="s">
        <v>5192</v>
      </c>
      <c r="F2243" s="269" t="s">
        <v>8701</v>
      </c>
      <c r="G2243" s="273">
        <v>3</v>
      </c>
      <c r="H2243" s="283">
        <v>150</v>
      </c>
      <c r="I2243" s="246">
        <v>130</v>
      </c>
      <c r="J2243" s="246">
        <v>2</v>
      </c>
      <c r="K2243" s="247" t="s">
        <v>8244</v>
      </c>
      <c r="L2243" s="248">
        <v>151643</v>
      </c>
      <c r="M2243" s="249">
        <f>15*(LEFT(TEXT($L2243,"000000"),2)+(MID(TEXT($L2243,"000000"),3,2)/60)+(RIGHT(TEXT($L2243,"000000"),2)/3600))</f>
        <v>229.17916666666667</v>
      </c>
      <c r="N2243" s="286">
        <v>552433</v>
      </c>
      <c r="O2243" s="251">
        <f>IF($N2243&gt;0,(LEFT(TEXT($N2243,"000000"),2)+(MID(TEXT($N2243,"000000"),3,2)/60)+(RIGHT(TEXT($N2243,"000000"),2)/3600)),-(MID(TEXT($N2243,"000000"),2,2)+(MID(TEXT($N2243,"000000"),4,2)/60)+(RIGHT(TEXT($N2243,"000000"),2)/3600)))</f>
        <v>55.409166666666664</v>
      </c>
      <c r="P2243" s="252" t="s">
        <v>34</v>
      </c>
      <c r="Q2243" s="253"/>
      <c r="R2243" s="247" t="s">
        <v>3293</v>
      </c>
      <c r="S2243" s="272" t="s">
        <v>8240</v>
      </c>
      <c r="T2243" s="273">
        <v>11.8</v>
      </c>
      <c r="U2243" s="289">
        <v>22.09</v>
      </c>
      <c r="V2243" s="280">
        <v>87</v>
      </c>
      <c r="W2243" s="244"/>
      <c r="X2243" s="244"/>
      <c r="Y2243" s="362"/>
      <c r="Z2243" s="257">
        <f>altaz(J2000_Bas,$O2243,$M2243,DecLat,DecLong,1)</f>
        <v>43.652603799749038</v>
      </c>
      <c r="AA2243" s="257">
        <f>altaz((J2000_Bas+(2*0.04167)),$O2243,$M2243,DecLat,DecLong,1)</f>
        <v>26.759181529409986</v>
      </c>
      <c r="AB2243" s="257">
        <f>altaz((J2000_Bas+(4*0.04167)),$O2243,$M2243,DecLat,DecLong,1)</f>
        <v>11.719876518724719</v>
      </c>
      <c r="AC2243" s="257">
        <f>altaz((J2000_Bas+(6*0.04167)),$O2243,$M2243,DecLat,DecLong,1)</f>
        <v>0.88925038215840091</v>
      </c>
      <c r="AD2243" s="258">
        <f>1+ transit((J2000_Bas-1),$O2243,$M2243,DecLat,DecLong)/360 + (GMTOffset/24) + (IF(DST="Y", 1, 0)/24)</f>
        <v>1.6295086932651246</v>
      </c>
      <c r="AE2243" s="259">
        <f>DATE(2001,9,21)+(M2243/360)*365 - (360*((DecLong/360)- (GMTOffset/24) ))</f>
        <v>37392.362210648149</v>
      </c>
      <c r="AF2243" s="260">
        <f>IF(DecLat&gt;0,IF((90 - (DecLat-O2243))&gt;90, (90 - (O2243-DecLat)), (90 - (DecLat-O2243))),IF((90 + (DecLat-O2243))&gt;90, (90 + (O2243-DecLat)), (90 + (DecLat-O2243))))</f>
        <v>65.590833333333336</v>
      </c>
      <c r="AG2243" s="257">
        <f>angularseperation(MoonRA,MoonDec,$M2243,$O2243)</f>
        <v>84.262529759190301</v>
      </c>
      <c r="AH2243" s="261">
        <f ca="1">MIN(100,IF($O$5&gt;80,0+30*($AG2243/100),IF($O$5&gt;70,0+50*($AG2243/100),IF($O$5&gt;60,5+50*($AG2243/100),IF($O$5&gt;50,10+60*($AG2243/100),IF($O$5&gt;40,15+70*($AG2243/100),IF($O$5&gt;30,20+70*($AG2243/100),IF($O$5&gt;20,40+55*($AG2243/100),(80+(20-$O$5)+30*($AG2243/100))))))))))</f>
        <v>100</v>
      </c>
      <c r="AI2243" s="262">
        <v>5908</v>
      </c>
      <c r="AJ2243" s="262"/>
      <c r="AK2243" s="262"/>
      <c r="AL2243" s="263"/>
      <c r="AM2243" s="264"/>
      <c r="AN2243" s="263"/>
      <c r="AO2243" s="263"/>
      <c r="AP2243" s="265"/>
      <c r="AQ2243" s="266">
        <v>9805</v>
      </c>
      <c r="AR2243" s="267">
        <v>54522</v>
      </c>
      <c r="AS2243" s="263"/>
      <c r="AT2243" s="263"/>
      <c r="AU2243" s="263"/>
      <c r="AV2243" s="264"/>
      <c r="AW2243" s="263"/>
      <c r="AX2243" s="263"/>
      <c r="AY2243" s="263"/>
      <c r="AZ2243" s="263"/>
      <c r="BA2243" s="263"/>
      <c r="BB2243" s="263"/>
      <c r="BC2243" s="263"/>
      <c r="BD2243" s="264"/>
      <c r="BE2243" s="263"/>
      <c r="BF2243" s="263"/>
      <c r="BG2243" s="263"/>
      <c r="BH2243" s="263"/>
      <c r="BI2243" s="263"/>
      <c r="BJ2243" s="404">
        <f>altaz(J2000_Bas,$O2243,$M2243,DecLat,DecLong,2)</f>
        <v>318.94914214852213</v>
      </c>
      <c r="BK2243" s="378" t="s">
        <v>2131</v>
      </c>
      <c r="BL2243" s="379">
        <f>IF((2*G2243)/60&lt;0.2,0.2,(2*G2243)/60)</f>
        <v>0.2</v>
      </c>
      <c r="BM2243" s="380">
        <f>MOD((50000+AD2243-$B$3+(0/24)),1)</f>
        <v>0.84487562296999386</v>
      </c>
      <c r="BN2243" s="381" t="s">
        <v>9218</v>
      </c>
      <c r="BO2243" s="382">
        <v>2234</v>
      </c>
    </row>
    <row r="2244" spans="1:67" s="24" customFormat="1" ht="15" customHeight="1" x14ac:dyDescent="0.25">
      <c r="A2244" s="288" t="s">
        <v>2132</v>
      </c>
      <c r="B2244" s="241" t="str">
        <f>HYPERLINK(CONCATENATE($AT$3,BK2244,$AU$3),$AV$3)</f>
        <v>S</v>
      </c>
      <c r="C2244" s="242" t="str">
        <f>HYPERLINK(CONCATENATE($AT$4,BK2244,$AU$4,BL2244),$AV$4)</f>
        <v>A</v>
      </c>
      <c r="D2244" s="243" t="s">
        <v>5638</v>
      </c>
      <c r="E2244" s="244" t="s">
        <v>5192</v>
      </c>
      <c r="F2244" s="269" t="s">
        <v>8919</v>
      </c>
      <c r="G2244" s="273">
        <v>1.7</v>
      </c>
      <c r="H2244" s="283">
        <v>110</v>
      </c>
      <c r="I2244" s="246">
        <v>55</v>
      </c>
      <c r="J2244" s="246">
        <v>2</v>
      </c>
      <c r="K2244" s="247" t="s">
        <v>8352</v>
      </c>
      <c r="L2244" s="248">
        <v>152133</v>
      </c>
      <c r="M2244" s="249">
        <f>15*(LEFT(TEXT($L2244,"000000"),2)+(MID(TEXT($L2244,"000000"),3,2)/60)+(RIGHT(TEXT($L2244,"000000"),2)/3600))</f>
        <v>230.38749999999999</v>
      </c>
      <c r="N2244" s="250">
        <v>-130530</v>
      </c>
      <c r="O2244" s="251">
        <f>IF($N2244&gt;0,(LEFT(TEXT($N2244,"000000"),2)+(MID(TEXT($N2244,"000000"),3,2)/60)+(RIGHT(TEXT($N2244,"000000"),2)/3600)),-(MID(TEXT($N2244,"000000"),2,2)+(MID(TEXT($N2244,"000000"),4,2)/60)+(RIGHT(TEXT($N2244,"000000"),2)/3600)))</f>
        <v>-13.091666666666667</v>
      </c>
      <c r="P2244" s="252" t="s">
        <v>473</v>
      </c>
      <c r="Q2244" s="253"/>
      <c r="R2244" s="247" t="s">
        <v>3293</v>
      </c>
      <c r="S2244" s="272" t="s">
        <v>8245</v>
      </c>
      <c r="T2244" s="273">
        <v>12.3</v>
      </c>
      <c r="U2244" s="289">
        <v>21.89</v>
      </c>
      <c r="V2244" s="280">
        <v>30</v>
      </c>
      <c r="W2244" s="244"/>
      <c r="X2244" s="244"/>
      <c r="Y2244" s="362"/>
      <c r="Z2244" s="257">
        <f>altaz(J2000_Bas,$O2244,$M2244,DecLat,DecLong,1)</f>
        <v>20.783732252298076</v>
      </c>
      <c r="AA2244" s="257">
        <f>altaz((J2000_Bas+(2*0.04167)),$O2244,$M2244,DecLat,DecLong,1)</f>
        <v>-3.0987727400075107</v>
      </c>
      <c r="AB2244" s="257">
        <f>altaz((J2000_Bas+(4*0.04167)),$O2244,$M2244,DecLat,DecLong,1)</f>
        <v>-28.67387335085721</v>
      </c>
      <c r="AC2244" s="257">
        <f>altaz((J2000_Bas+(6*0.04167)),$O2244,$M2244,DecLat,DecLong,1)</f>
        <v>-53.876086200850601</v>
      </c>
      <c r="AD2244" s="258">
        <f>1+ transit((J2000_Bas-1),$O2244,$M2244,DecLat,DecLong)/360 + (GMTOffset/24) + (IF(DST="Y", 1, 0)/24)</f>
        <v>1.6328651744109581</v>
      </c>
      <c r="AE2244" s="259">
        <f>DATE(2001,9,21)+(M2244/360)*365 - (360*((DecLong/360)- (GMTOffset/24) ))</f>
        <v>37393.587326388886</v>
      </c>
      <c r="AF2244" s="260">
        <f>IF(DecLat&gt;0,IF((90 - (DecLat-O2244))&gt;90, (90 - (O2244-DecLat)), (90 - (DecLat-O2244))),IF((90 + (DecLat-O2244))&gt;90, (90 + (O2244-DecLat)), (90 + (DecLat-O2244))))</f>
        <v>45.908333333333331</v>
      </c>
      <c r="AG2244" s="257">
        <f>angularseperation(MoonRA,MoonDec,$M2244,$O2244)</f>
        <v>22.512466202681289</v>
      </c>
      <c r="AH2244" s="261">
        <f ca="1">MIN(100,IF($O$5&gt;80,0+30*($AG2244/100),IF($O$5&gt;70,0+50*($AG2244/100),IF($O$5&gt;60,5+50*($AG2244/100),IF($O$5&gt;50,10+60*($AG2244/100),IF($O$5&gt;40,15+70*($AG2244/100),IF($O$5&gt;30,20+70*($AG2244/100),IF($O$5&gt;20,40+55*($AG2244/100),(80+(20-$O$5)+30*($AG2244/100))))))))))</f>
        <v>90.024800204954815</v>
      </c>
      <c r="AI2244" s="262">
        <v>5915</v>
      </c>
      <c r="AJ2244" s="262"/>
      <c r="AK2244" s="262"/>
      <c r="AL2244" s="263"/>
      <c r="AM2244" s="264"/>
      <c r="AN2244" s="263"/>
      <c r="AO2244" s="263"/>
      <c r="AP2244" s="265"/>
      <c r="AQ2244" s="266"/>
      <c r="AR2244" s="267">
        <v>54816</v>
      </c>
      <c r="AS2244" s="263"/>
      <c r="AT2244" s="263"/>
      <c r="AU2244" s="263"/>
      <c r="AV2244" s="264"/>
      <c r="AW2244" s="263"/>
      <c r="AX2244" s="263"/>
      <c r="AY2244" s="263"/>
      <c r="AZ2244" s="263"/>
      <c r="BA2244" s="263"/>
      <c r="BB2244" s="263"/>
      <c r="BC2244" s="263"/>
      <c r="BD2244" s="264"/>
      <c r="BE2244" s="263"/>
      <c r="BF2244" s="263"/>
      <c r="BG2244" s="263"/>
      <c r="BH2244" s="263"/>
      <c r="BI2244" s="263"/>
      <c r="BJ2244" s="404">
        <f>altaz(J2000_Bas,$O2244,$M2244,DecLat,DecLong,2)</f>
        <v>239.28974100179391</v>
      </c>
      <c r="BK2244" s="378" t="s">
        <v>2132</v>
      </c>
      <c r="BL2244" s="379">
        <f>IF((2*G2244)/60&lt;0.2,0.2,(2*G2244)/60)</f>
        <v>0.2</v>
      </c>
      <c r="BM2244" s="380">
        <f>MOD((50000+AD2244-$B$3+(0/24)),1)</f>
        <v>0.84823210411559558</v>
      </c>
      <c r="BN2244" s="381"/>
      <c r="BO2244" s="382">
        <v>2235</v>
      </c>
    </row>
    <row r="2245" spans="1:67" s="24" customFormat="1" ht="15" customHeight="1" x14ac:dyDescent="0.25">
      <c r="A2245" s="288" t="s">
        <v>2133</v>
      </c>
      <c r="B2245" s="241" t="str">
        <f>HYPERLINK(CONCATENATE($AT$3,BK2245,$AU$3),$AV$3)</f>
        <v>S</v>
      </c>
      <c r="C2245" s="242" t="str">
        <f>HYPERLINK(CONCATENATE($AT$4,BK2245,$AU$4,BL2245),$AV$4)</f>
        <v>A</v>
      </c>
      <c r="D2245" s="243" t="s">
        <v>5638</v>
      </c>
      <c r="E2245" s="244" t="s">
        <v>5192</v>
      </c>
      <c r="F2245" s="269" t="s">
        <v>8932</v>
      </c>
      <c r="G2245" s="273">
        <v>2.7</v>
      </c>
      <c r="H2245" s="283">
        <v>110</v>
      </c>
      <c r="I2245" s="246">
        <v>90</v>
      </c>
      <c r="J2245" s="246">
        <v>2</v>
      </c>
      <c r="K2245" s="247" t="s">
        <v>8247</v>
      </c>
      <c r="L2245" s="248">
        <v>152138</v>
      </c>
      <c r="M2245" s="249">
        <f>15*(LEFT(TEXT($L2245,"000000"),2)+(MID(TEXT($L2245,"000000"),3,2)/60)+(RIGHT(TEXT($L2245,"000000"),2)/3600))</f>
        <v>230.40833333333333</v>
      </c>
      <c r="N2245" s="286">
        <v>-131010</v>
      </c>
      <c r="O2245" s="251">
        <f>IF($N2245&gt;0,(LEFT(TEXT($N2245,"000000"),2)+(MID(TEXT($N2245,"000000"),3,2)/60)+(RIGHT(TEXT($N2245,"000000"),2)/3600)),-(MID(TEXT($N2245,"000000"),2,2)+(MID(TEXT($N2245,"000000"),4,2)/60)+(RIGHT(TEXT($N2245,"000000"),2)/3600)))</f>
        <v>-13.169444444444444</v>
      </c>
      <c r="P2245" s="252" t="s">
        <v>473</v>
      </c>
      <c r="Q2245" s="253"/>
      <c r="R2245" s="247" t="s">
        <v>3293</v>
      </c>
      <c r="S2245" s="272" t="s">
        <v>8246</v>
      </c>
      <c r="T2245" s="273">
        <v>13.2</v>
      </c>
      <c r="U2245" s="289">
        <v>22.990000000000002</v>
      </c>
      <c r="V2245" s="280">
        <v>60</v>
      </c>
      <c r="W2245" s="244"/>
      <c r="X2245" s="244"/>
      <c r="Y2245" s="362"/>
      <c r="Z2245" s="257">
        <f>altaz(J2000_Bas,$O2245,$M2245,DecLat,DecLong,1)</f>
        <v>20.748207963310939</v>
      </c>
      <c r="AA2245" s="257">
        <f>altaz((J2000_Bas+(2*0.04167)),$O2245,$M2245,DecLat,DecLong,1)</f>
        <v>-3.1216144020876246</v>
      </c>
      <c r="AB2245" s="257">
        <f>altaz((J2000_Bas+(4*0.04167)),$O2245,$M2245,DecLat,DecLong,1)</f>
        <v>-28.692983553924215</v>
      </c>
      <c r="AC2245" s="257">
        <f>altaz((J2000_Bas+(6*0.04167)),$O2245,$M2245,DecLat,DecLong,1)</f>
        <v>-53.904450207223007</v>
      </c>
      <c r="AD2245" s="258">
        <f>1+ transit((J2000_Bas-1),$O2245,$M2245,DecLat,DecLong)/360 + (GMTOffset/24) + (IF(DST="Y", 1, 0)/24)</f>
        <v>1.6329230447755414</v>
      </c>
      <c r="AE2245" s="259">
        <f>DATE(2001,9,21)+(M2245/360)*365 - (360*((DecLong/360)- (GMTOffset/24) ))</f>
        <v>37393.608449074076</v>
      </c>
      <c r="AF2245" s="260">
        <f>IF(DecLat&gt;0,IF((90 - (DecLat-O2245))&gt;90, (90 - (O2245-DecLat)), (90 - (DecLat-O2245))),IF((90 + (DecLat-O2245))&gt;90, (90 + (O2245-DecLat)), (90 + (DecLat-O2245))))</f>
        <v>45.830555555555556</v>
      </c>
      <c r="AG2245" s="257">
        <f>angularseperation(MoonRA,MoonDec,$M2245,$O2245)</f>
        <v>22.445949395261838</v>
      </c>
      <c r="AH2245" s="261">
        <f ca="1">MIN(100,IF($O$5&gt;80,0+30*($AG2245/100),IF($O$5&gt;70,0+50*($AG2245/100),IF($O$5&gt;60,5+50*($AG2245/100),IF($O$5&gt;50,10+60*($AG2245/100),IF($O$5&gt;40,15+70*($AG2245/100),IF($O$5&gt;30,20+70*($AG2245/100),IF($O$5&gt;20,40+55*($AG2245/100),(80+(20-$O$5)+30*($AG2245/100))))))))))</f>
        <v>90.004845162728984</v>
      </c>
      <c r="AI2245" s="262">
        <v>5916</v>
      </c>
      <c r="AJ2245" s="262"/>
      <c r="AK2245" s="262"/>
      <c r="AL2245" s="263"/>
      <c r="AM2245" s="264"/>
      <c r="AN2245" s="263"/>
      <c r="AO2245" s="263"/>
      <c r="AP2245" s="265"/>
      <c r="AQ2245" s="266"/>
      <c r="AR2245" s="267">
        <v>54825</v>
      </c>
      <c r="AS2245" s="263"/>
      <c r="AT2245" s="263"/>
      <c r="AU2245" s="263"/>
      <c r="AV2245" s="264"/>
      <c r="AW2245" s="263"/>
      <c r="AX2245" s="263"/>
      <c r="AY2245" s="263"/>
      <c r="AZ2245" s="263"/>
      <c r="BA2245" s="263"/>
      <c r="BB2245" s="263"/>
      <c r="BC2245" s="263"/>
      <c r="BD2245" s="264"/>
      <c r="BE2245" s="263"/>
      <c r="BF2245" s="263"/>
      <c r="BG2245" s="263"/>
      <c r="BH2245" s="263"/>
      <c r="BI2245" s="263"/>
      <c r="BJ2245" s="404">
        <f>altaz(J2000_Bas,$O2245,$M2245,DecLat,DecLong,2)</f>
        <v>239.21262705603459</v>
      </c>
      <c r="BK2245" s="378" t="s">
        <v>2133</v>
      </c>
      <c r="BL2245" s="379">
        <f>IF((2*G2245)/60&lt;0.2,0.2,(2*G2245)/60)</f>
        <v>0.2</v>
      </c>
      <c r="BM2245" s="380">
        <f>MOD((50000+AD2245-$B$3+(0/24)),1)</f>
        <v>0.84828997447766596</v>
      </c>
      <c r="BN2245" s="381"/>
      <c r="BO2245" s="382">
        <v>2236</v>
      </c>
    </row>
    <row r="2246" spans="1:67" s="24" customFormat="1" ht="15" customHeight="1" x14ac:dyDescent="0.25">
      <c r="A2246" s="288" t="s">
        <v>2134</v>
      </c>
      <c r="B2246" s="241" t="str">
        <f>HYPERLINK(CONCATENATE($AT$3,BK2246,$AU$3),$AV$3)</f>
        <v>S</v>
      </c>
      <c r="C2246" s="242" t="str">
        <f>HYPERLINK(CONCATENATE($AT$4,BK2246,$AU$4,BL2246),$AV$4)</f>
        <v>A</v>
      </c>
      <c r="D2246" s="243" t="s">
        <v>5638</v>
      </c>
      <c r="E2246" s="244" t="s">
        <v>5192</v>
      </c>
      <c r="F2246" s="269" t="s">
        <v>8994</v>
      </c>
      <c r="G2246" s="273">
        <v>5</v>
      </c>
      <c r="H2246" s="283">
        <v>65</v>
      </c>
      <c r="I2246" s="246">
        <v>100</v>
      </c>
      <c r="J2246" s="246">
        <v>2</v>
      </c>
      <c r="K2246" s="247" t="s">
        <v>8248</v>
      </c>
      <c r="L2246" s="248">
        <v>152156</v>
      </c>
      <c r="M2246" s="249">
        <f>15*(LEFT(TEXT($L2246,"000000"),2)+(MID(TEXT($L2246,"000000"),3,2)/60)+(RIGHT(TEXT($L2246,"000000"),2)/3600))</f>
        <v>230.48333333333335</v>
      </c>
      <c r="N2246" s="250">
        <v>50412</v>
      </c>
      <c r="O2246" s="251">
        <f>IF($N2246&gt;0,(LEFT(TEXT($N2246,"000000"),2)+(MID(TEXT($N2246,"000000"),3,2)/60)+(RIGHT(TEXT($N2246,"000000"),2)/3600)),-(MID(TEXT($N2246,"000000"),2,2)+(MID(TEXT($N2246,"000000"),4,2)/60)+(RIGHT(TEXT($N2246,"000000"),2)/3600)))</f>
        <v>5.0699999999999994</v>
      </c>
      <c r="P2246" s="252" t="s">
        <v>115</v>
      </c>
      <c r="Q2246" s="253"/>
      <c r="R2246" s="247" t="s">
        <v>3293</v>
      </c>
      <c r="S2246" s="272" t="s">
        <v>3293</v>
      </c>
      <c r="T2246" s="273">
        <v>10.8</v>
      </c>
      <c r="U2246" s="289">
        <v>22.79</v>
      </c>
      <c r="V2246" s="280">
        <v>5</v>
      </c>
      <c r="W2246" s="244"/>
      <c r="X2246" s="244"/>
      <c r="Y2246" s="362"/>
      <c r="Z2246" s="257">
        <f>altaz(J2000_Bas,$O2246,$M2246,DecLat,DecLong,1)</f>
        <v>31.930063097722332</v>
      </c>
      <c r="AA2246" s="257">
        <f>altaz((J2000_Bas+(2*0.04167)),$O2246,$M2246,DecLat,DecLong,1)</f>
        <v>6.3707775813105503</v>
      </c>
      <c r="AB2246" s="257">
        <f>altaz((J2000_Bas+(4*0.04167)),$O2246,$M2246,DecLat,DecLong,1)</f>
        <v>-18.94089907562682</v>
      </c>
      <c r="AC2246" s="257">
        <f>altaz((J2000_Bas+(6*0.04167)),$O2246,$M2246,DecLat,DecLong,1)</f>
        <v>-41.332710112258951</v>
      </c>
      <c r="AD2246" s="258">
        <f>1+ transit((J2000_Bas-1),$O2246,$M2246,DecLat,DecLong)/360 + (GMTOffset/24) + (IF(DST="Y", 1, 0)/24)</f>
        <v>1.6331313780880414</v>
      </c>
      <c r="AE2246" s="259">
        <f>DATE(2001,9,21)+(M2246/360)*365 - (360*((DecLong/360)- (GMTOffset/24) ))</f>
        <v>37393.684490740743</v>
      </c>
      <c r="AF2246" s="260">
        <f>IF(DecLat&gt;0,IF((90 - (DecLat-O2246))&gt;90, (90 - (O2246-DecLat)), (90 - (DecLat-O2246))),IF((90 + (DecLat-O2246))&gt;90, (90 + (O2246-DecLat)), (90 + (DecLat-O2246))))</f>
        <v>64.069999999999993</v>
      </c>
      <c r="AG2246" s="257">
        <f>angularseperation(MoonRA,MoonDec,$M2246,$O2246)</f>
        <v>36.916488701311735</v>
      </c>
      <c r="AH2246" s="261">
        <f ca="1">MIN(100,IF($O$5&gt;80,0+30*($AG2246/100),IF($O$5&gt;70,0+50*($AG2246/100),IF($O$5&gt;60,5+50*($AG2246/100),IF($O$5&gt;50,10+60*($AG2246/100),IF($O$5&gt;40,15+70*($AG2246/100),IF($O$5&gt;30,20+70*($AG2246/100),IF($O$5&gt;20,40+55*($AG2246/100),(80+(20-$O$5)+30*($AG2246/100))))))))))</f>
        <v>94.346006954543952</v>
      </c>
      <c r="AI2246" s="262">
        <v>5921</v>
      </c>
      <c r="AJ2246" s="262"/>
      <c r="AK2246" s="262"/>
      <c r="AL2246" s="263"/>
      <c r="AM2246" s="264"/>
      <c r="AN2246" s="263"/>
      <c r="AO2246" s="263"/>
      <c r="AP2246" s="265"/>
      <c r="AQ2246" s="266">
        <v>9824</v>
      </c>
      <c r="AR2246" s="267">
        <v>54849</v>
      </c>
      <c r="AS2246" s="263"/>
      <c r="AT2246" s="263"/>
      <c r="AU2246" s="263"/>
      <c r="AV2246" s="264"/>
      <c r="AW2246" s="263"/>
      <c r="AX2246" s="263"/>
      <c r="AY2246" s="263"/>
      <c r="AZ2246" s="263"/>
      <c r="BA2246" s="263"/>
      <c r="BB2246" s="263"/>
      <c r="BC2246" s="263"/>
      <c r="BD2246" s="264"/>
      <c r="BE2246" s="263"/>
      <c r="BF2246" s="263"/>
      <c r="BG2246" s="263"/>
      <c r="BH2246" s="263"/>
      <c r="BI2246" s="263"/>
      <c r="BJ2246" s="404">
        <f>altaz(J2000_Bas,$O2246,$M2246,DecLat,DecLong,2)</f>
        <v>255.34718578091946</v>
      </c>
      <c r="BK2246" s="378" t="s">
        <v>2134</v>
      </c>
      <c r="BL2246" s="379">
        <f>IF((2*G2246)/60&lt;0.2,0.2,(2*G2246)/60)</f>
        <v>0.2</v>
      </c>
      <c r="BM2246" s="380">
        <f>MOD((50000+AD2246-$B$3+(0/24)),1)</f>
        <v>0.84849830779421609</v>
      </c>
      <c r="BN2246" s="381"/>
      <c r="BO2246" s="382">
        <v>2237</v>
      </c>
    </row>
    <row r="2247" spans="1:67" s="24" customFormat="1" ht="15" customHeight="1" x14ac:dyDescent="0.25">
      <c r="A2247" s="288" t="s">
        <v>7590</v>
      </c>
      <c r="B2247" s="241" t="str">
        <f>HYPERLINK(CONCATENATE($AT$3,BK2247,$AU$3),$AV$3)</f>
        <v>S</v>
      </c>
      <c r="C2247" s="242" t="str">
        <f>HYPERLINK(CONCATENATE($AT$4,BK2247,$AU$4,BL2247),$AV$4)</f>
        <v>A</v>
      </c>
      <c r="D2247" s="243" t="s">
        <v>5638</v>
      </c>
      <c r="E2247" s="244" t="s">
        <v>5625</v>
      </c>
      <c r="F2247" s="269">
        <v>7</v>
      </c>
      <c r="G2247" s="282">
        <v>30</v>
      </c>
      <c r="H2247" s="283">
        <v>250</v>
      </c>
      <c r="I2247" s="284">
        <v>2200</v>
      </c>
      <c r="J2247" s="246">
        <v>2</v>
      </c>
      <c r="K2247" s="247" t="s">
        <v>8579</v>
      </c>
      <c r="L2247" s="248">
        <v>152945</v>
      </c>
      <c r="M2247" s="249">
        <f>15*(LEFT(TEXT($L2247,"000000"),2)+(MID(TEXT($L2247,"000000"),3,2)/60)+(RIGHT(TEXT($L2247,"000000"),2)/3600))</f>
        <v>232.43749999999997</v>
      </c>
      <c r="N2247" s="250">
        <v>425508</v>
      </c>
      <c r="O2247" s="251">
        <f>IF($N2247&gt;0,(LEFT(TEXT($N2247,"000000"),2)+(MID(TEXT($N2247,"000000"),3,2)/60)+(RIGHT(TEXT($N2247,"000000"),2)/3600)),-(MID(TEXT($N2247,"000000"),2,2)+(MID(TEXT($N2247,"000000"),4,2)/60)+(RIGHT(TEXT($N2247,"000000"),2)/3600)))</f>
        <v>42.918888888888887</v>
      </c>
      <c r="P2247" s="252" t="s">
        <v>260</v>
      </c>
      <c r="Q2247" s="253"/>
      <c r="R2247" s="247" t="s">
        <v>3293</v>
      </c>
      <c r="S2247" s="272" t="s">
        <v>3293</v>
      </c>
      <c r="T2247" s="273">
        <v>12.8</v>
      </c>
      <c r="U2247" s="289">
        <v>23.29</v>
      </c>
      <c r="V2247" s="280"/>
      <c r="W2247" s="244"/>
      <c r="X2247" s="244"/>
      <c r="Y2247" s="362"/>
      <c r="Z2247" s="257">
        <f>altaz(J2000_Bas,$O2247,$M2247,DecLat,DecLong,1)</f>
        <v>46.346659908063749</v>
      </c>
      <c r="AA2247" s="257">
        <f>altaz((J2000_Bas+(2*0.04167)),$O2247,$M2247,DecLat,DecLong,1)</f>
        <v>24.844179547251677</v>
      </c>
      <c r="AB2247" s="257">
        <f>altaz((J2000_Bas+(4*0.04167)),$O2247,$M2247,DecLat,DecLong,1)</f>
        <v>5.6279231150313835</v>
      </c>
      <c r="AC2247" s="257">
        <f>altaz((J2000_Bas+(6*0.04167)),$O2247,$M2247,DecLat,DecLong,1)</f>
        <v>-8.9715773273862673</v>
      </c>
      <c r="AD2247" s="258">
        <f>1+ transit((J2000_Bas-1),$O2247,$M2247,DecLat,DecLong)/360 + (GMTOffset/24) + (IF(DST="Y", 1, 0)/24)</f>
        <v>1.6385596182859581</v>
      </c>
      <c r="AE2247" s="259">
        <f>DATE(2001,9,21)+(M2247/360)*365 - (360*((DecLong/360)- (GMTOffset/24) ))</f>
        <v>37395.665798611109</v>
      </c>
      <c r="AF2247" s="260">
        <f>IF(DecLat&gt;0,IF((90 - (DecLat-O2247))&gt;90, (90 - (O2247-DecLat)), (90 - (DecLat-O2247))),IF((90 + (DecLat-O2247))&gt;90, (90 + (O2247-DecLat)), (90 + (DecLat-O2247))))</f>
        <v>78.081111111111113</v>
      </c>
      <c r="AG2247" s="257">
        <f>angularseperation(MoonRA,MoonDec,$M2247,$O2247)</f>
        <v>71.691788129675274</v>
      </c>
      <c r="AH2247" s="261">
        <f ca="1">MIN(100,IF($O$5&gt;80,0+30*($AG2247/100),IF($O$5&gt;70,0+50*($AG2247/100),IF($O$5&gt;60,5+50*($AG2247/100),IF($O$5&gt;50,10+60*($AG2247/100),IF($O$5&gt;40,15+70*($AG2247/100),IF($O$5&gt;30,20+70*($AG2247/100),IF($O$5&gt;20,40+55*($AG2247/100),(80+(20-$O$5)+30*($AG2247/100))))))))))</f>
        <v>100</v>
      </c>
      <c r="AI2247" s="262">
        <v>5945</v>
      </c>
      <c r="AJ2247" s="262"/>
      <c r="AK2247" s="262"/>
      <c r="AL2247" s="263"/>
      <c r="AM2247" s="264"/>
      <c r="AN2247" s="263"/>
      <c r="AO2247" s="263"/>
      <c r="AP2247" s="265"/>
      <c r="AQ2247" s="266">
        <v>9871</v>
      </c>
      <c r="AR2247" s="267">
        <v>55243</v>
      </c>
      <c r="AS2247" s="263"/>
      <c r="AT2247" s="263"/>
      <c r="AU2247" s="263"/>
      <c r="AV2247" s="264"/>
      <c r="AW2247" s="263"/>
      <c r="AX2247" s="263"/>
      <c r="AY2247" s="263"/>
      <c r="AZ2247" s="263"/>
      <c r="BA2247" s="263"/>
      <c r="BB2247" s="263"/>
      <c r="BC2247" s="263"/>
      <c r="BD2247" s="264"/>
      <c r="BE2247" s="263"/>
      <c r="BF2247" s="263"/>
      <c r="BG2247" s="263"/>
      <c r="BH2247" s="263"/>
      <c r="BI2247" s="263"/>
      <c r="BJ2247" s="404">
        <f>altaz(J2000_Bas,$O2247,$M2247,DecLat,DecLong,2)</f>
        <v>301.40422735822352</v>
      </c>
      <c r="BK2247" s="378" t="s">
        <v>2135</v>
      </c>
      <c r="BL2247" s="379">
        <f>IF((2*G2247)/60&lt;0.2,0.2,(2*G2247)/60)</f>
        <v>1</v>
      </c>
      <c r="BM2247" s="380">
        <f>MOD((50000+AD2247-$B$3+(0/24)),1)</f>
        <v>0.85392654799215961</v>
      </c>
      <c r="BN2247" s="381"/>
      <c r="BO2247" s="382">
        <v>2238</v>
      </c>
    </row>
    <row r="2248" spans="1:67" s="24" customFormat="1" ht="15" customHeight="1" x14ac:dyDescent="0.25">
      <c r="A2248" s="288" t="s">
        <v>2136</v>
      </c>
      <c r="B2248" s="241" t="str">
        <f>HYPERLINK(CONCATENATE($AT$3,BK2248,$AU$3),$AV$3)</f>
        <v>S</v>
      </c>
      <c r="C2248" s="242" t="str">
        <f>HYPERLINK(CONCATENATE($AT$4,BK2248,$AU$4,BL2248),$AV$4)</f>
        <v>A</v>
      </c>
      <c r="D2248" s="243" t="s">
        <v>5638</v>
      </c>
      <c r="E2248" s="244" t="s">
        <v>5192</v>
      </c>
      <c r="F2248" s="269" t="s">
        <v>8689</v>
      </c>
      <c r="G2248" s="273">
        <v>3.7</v>
      </c>
      <c r="H2248" s="283">
        <v>95</v>
      </c>
      <c r="I2248" s="246">
        <v>100</v>
      </c>
      <c r="J2248" s="246">
        <v>2</v>
      </c>
      <c r="K2248" s="247" t="s">
        <v>8255</v>
      </c>
      <c r="L2248" s="248">
        <v>153328</v>
      </c>
      <c r="M2248" s="249">
        <f>15*(LEFT(TEXT($L2248,"000000"),2)+(MID(TEXT($L2248,"000000"),3,2)/60)+(RIGHT(TEXT($L2248,"000000"),2)/3600))</f>
        <v>233.36666666666667</v>
      </c>
      <c r="N2248" s="250">
        <v>563333</v>
      </c>
      <c r="O2248" s="251">
        <f>IF($N2248&gt;0,(LEFT(TEXT($N2248,"000000"),2)+(MID(TEXT($N2248,"000000"),3,2)/60)+(RIGHT(TEXT($N2248,"000000"),2)/3600)),-(MID(TEXT($N2248,"000000"),2,2)+(MID(TEXT($N2248,"000000"),4,2)/60)+(RIGHT(TEXT($N2248,"000000"),2)/3600)))</f>
        <v>56.559166666666663</v>
      </c>
      <c r="P2248" s="252" t="s">
        <v>34</v>
      </c>
      <c r="Q2248" s="253"/>
      <c r="R2248" s="247" t="s">
        <v>3293</v>
      </c>
      <c r="S2248" s="272" t="s">
        <v>8249</v>
      </c>
      <c r="T2248" s="273">
        <v>13.6</v>
      </c>
      <c r="U2248" s="289">
        <v>23.59</v>
      </c>
      <c r="V2248" s="280">
        <v>20</v>
      </c>
      <c r="W2248" s="244"/>
      <c r="X2248" s="244"/>
      <c r="Y2248" s="362"/>
      <c r="Z2248" s="257">
        <f>altaz(J2000_Bas,$O2248,$M2248,DecLat,DecLong,1)</f>
        <v>45.761596125893441</v>
      </c>
      <c r="AA2248" s="257">
        <f>altaz((J2000_Bas+(2*0.04167)),$O2248,$M2248,DecLat,DecLong,1)</f>
        <v>29.316221843905666</v>
      </c>
      <c r="AB2248" s="257">
        <f>altaz((J2000_Bas+(4*0.04167)),$O2248,$M2248,DecLat,DecLong,1)</f>
        <v>14.281700344599862</v>
      </c>
      <c r="AC2248" s="257">
        <f>altaz((J2000_Bas+(6*0.04167)),$O2248,$M2248,DecLat,DecLong,1)</f>
        <v>3.0425826183361302</v>
      </c>
      <c r="AD2248" s="258">
        <f>1+ transit((J2000_Bas-1),$O2248,$M2248,DecLat,DecLong)/360 + (GMTOffset/24) + (IF(DST="Y", 1, 0)/24)</f>
        <v>1.6411406365463745</v>
      </c>
      <c r="AE2248" s="259">
        <f>DATE(2001,9,21)+(M2248/360)*365 - (360*((DecLong/360)- (GMTOffset/24) ))</f>
        <v>37396.607870370368</v>
      </c>
      <c r="AF2248" s="260">
        <f>IF(DecLat&gt;0,IF((90 - (DecLat-O2248))&gt;90, (90 - (O2248-DecLat)), (90 - (DecLat-O2248))),IF((90 + (DecLat-O2248))&gt;90, (90 + (O2248-DecLat)), (90 + (DecLat-O2248))))</f>
        <v>64.44083333333333</v>
      </c>
      <c r="AG2248" s="257">
        <f>angularseperation(MoonRA,MoonDec,$M2248,$O2248)</f>
        <v>84.721024377499489</v>
      </c>
      <c r="AH2248" s="261">
        <f ca="1">MIN(100,IF($O$5&gt;80,0+30*($AG2248/100),IF($O$5&gt;70,0+50*($AG2248/100),IF($O$5&gt;60,5+50*($AG2248/100),IF($O$5&gt;50,10+60*($AG2248/100),IF($O$5&gt;40,15+70*($AG2248/100),IF($O$5&gt;30,20+70*($AG2248/100),IF($O$5&gt;20,40+55*($AG2248/100),(80+(20-$O$5)+30*($AG2248/100))))))))))</f>
        <v>100</v>
      </c>
      <c r="AI2248" s="262">
        <v>5963</v>
      </c>
      <c r="AJ2248" s="262"/>
      <c r="AK2248" s="262"/>
      <c r="AL2248" s="263"/>
      <c r="AM2248" s="264"/>
      <c r="AN2248" s="263"/>
      <c r="AO2248" s="263"/>
      <c r="AP2248" s="265"/>
      <c r="AQ2248" s="266">
        <v>9906</v>
      </c>
      <c r="AR2248" s="267">
        <v>55419</v>
      </c>
      <c r="AS2248" s="263"/>
      <c r="AT2248" s="263"/>
      <c r="AU2248" s="263"/>
      <c r="AV2248" s="264"/>
      <c r="AW2248" s="263"/>
      <c r="AX2248" s="263"/>
      <c r="AY2248" s="263"/>
      <c r="AZ2248" s="263"/>
      <c r="BA2248" s="263"/>
      <c r="BB2248" s="263"/>
      <c r="BC2248" s="263"/>
      <c r="BD2248" s="264"/>
      <c r="BE2248" s="263"/>
      <c r="BF2248" s="263"/>
      <c r="BG2248" s="263">
        <v>64</v>
      </c>
      <c r="BH2248" s="263"/>
      <c r="BI2248" s="263"/>
      <c r="BJ2248" s="404">
        <f>altaz(J2000_Bas,$O2248,$M2248,DecLat,DecLong,2)</f>
        <v>321.11087954736831</v>
      </c>
      <c r="BK2248" s="378" t="s">
        <v>2136</v>
      </c>
      <c r="BL2248" s="379">
        <f>IF((2*G2248)/60&lt;0.2,0.2,(2*G2248)/60)</f>
        <v>0.2</v>
      </c>
      <c r="BM2248" s="380">
        <f>MOD((50000+AD2248-$B$3+(0/24)),1)</f>
        <v>0.85650756624818314</v>
      </c>
      <c r="BN2248" s="381"/>
      <c r="BO2248" s="382">
        <v>2239</v>
      </c>
    </row>
    <row r="2249" spans="1:67" s="24" customFormat="1" ht="15" customHeight="1" x14ac:dyDescent="0.25">
      <c r="A2249" s="288" t="s">
        <v>2137</v>
      </c>
      <c r="B2249" s="241" t="str">
        <f>HYPERLINK(CONCATENATE($AT$3,BK2249,$AU$3),$AV$3)</f>
        <v>S</v>
      </c>
      <c r="C2249" s="242" t="str">
        <f>HYPERLINK(CONCATENATE($AT$4,BK2249,$AU$4,BL2249),$AV$4)</f>
        <v>A</v>
      </c>
      <c r="D2249" s="243" t="s">
        <v>5638</v>
      </c>
      <c r="E2249" s="244" t="s">
        <v>5192</v>
      </c>
      <c r="F2249" s="269" t="s">
        <v>8895</v>
      </c>
      <c r="G2249" s="273">
        <v>5</v>
      </c>
      <c r="H2249" s="283">
        <v>90</v>
      </c>
      <c r="I2249" s="246">
        <v>125</v>
      </c>
      <c r="J2249" s="246">
        <v>2</v>
      </c>
      <c r="K2249" s="247" t="s">
        <v>8351</v>
      </c>
      <c r="L2249" s="248">
        <v>153736</v>
      </c>
      <c r="M2249" s="249">
        <f>15*(LEFT(TEXT($L2249,"000000"),2)+(MID(TEXT($L2249,"000000"),3,2)/60)+(RIGHT(TEXT($L2249,"000000"),2)/3600))</f>
        <v>234.4</v>
      </c>
      <c r="N2249" s="250">
        <v>55826</v>
      </c>
      <c r="O2249" s="251">
        <f>IF($N2249&gt;0,(LEFT(TEXT($N2249,"000000"),2)+(MID(TEXT($N2249,"000000"),3,2)/60)+(RIGHT(TEXT($N2249,"000000"),2)/3600)),-(MID(TEXT($N2249,"000000"),2,2)+(MID(TEXT($N2249,"000000"),4,2)/60)+(RIGHT(TEXT($N2249,"000000"),2)/3600)))</f>
        <v>5.9738888888888892</v>
      </c>
      <c r="P2249" s="252" t="s">
        <v>115</v>
      </c>
      <c r="Q2249" s="253"/>
      <c r="R2249" s="247" t="s">
        <v>3293</v>
      </c>
      <c r="S2249" s="272" t="s">
        <v>3293</v>
      </c>
      <c r="T2249" s="273">
        <v>11.9</v>
      </c>
      <c r="U2249" s="289">
        <v>23.490000000000002</v>
      </c>
      <c r="V2249" s="280">
        <v>20</v>
      </c>
      <c r="W2249" s="244"/>
      <c r="X2249" s="244"/>
      <c r="Y2249" s="362"/>
      <c r="Z2249" s="257">
        <f>altaz(J2000_Bas,$O2249,$M2249,DecLat,DecLong,1)</f>
        <v>35.669458700131251</v>
      </c>
      <c r="AA2249" s="257">
        <f>altaz((J2000_Bas+(2*0.04167)),$O2249,$M2249,DecLat,DecLong,1)</f>
        <v>10.186744403892682</v>
      </c>
      <c r="AB2249" s="257">
        <f>altaz((J2000_Bas+(4*0.04167)),$O2249,$M2249,DecLat,DecLong,1)</f>
        <v>-15.224522266277148</v>
      </c>
      <c r="AC2249" s="257">
        <f>altaz((J2000_Bas+(6*0.04167)),$O2249,$M2249,DecLat,DecLong,1)</f>
        <v>-38.087732406546557</v>
      </c>
      <c r="AD2249" s="258">
        <f>1+ transit((J2000_Bas-1),$O2249,$M2249,DecLat,DecLong)/360 + (GMTOffset/24) + (IF(DST="Y", 1, 0)/24)</f>
        <v>1.644011006629708</v>
      </c>
      <c r="AE2249" s="259">
        <f>DATE(2001,9,21)+(M2249/360)*365 - (360*((DecLong/360)- (GMTOffset/24) ))</f>
        <v>37397.655555555553</v>
      </c>
      <c r="AF2249" s="260">
        <f>IF(DecLat&gt;0,IF((90 - (DecLat-O2249))&gt;90, (90 - (O2249-DecLat)), (90 - (DecLat-O2249))),IF((90 + (DecLat-O2249))&gt;90, (90 + (O2249-DecLat)), (90 + (DecLat-O2249))))</f>
        <v>64.973888888888894</v>
      </c>
      <c r="AG2249" s="257">
        <f>angularseperation(MoonRA,MoonDec,$M2249,$O2249)</f>
        <v>36.043037514152026</v>
      </c>
      <c r="AH2249" s="261">
        <f ca="1">MIN(100,IF($O$5&gt;80,0+30*($AG2249/100),IF($O$5&gt;70,0+50*($AG2249/100),IF($O$5&gt;60,5+50*($AG2249/100),IF($O$5&gt;50,10+60*($AG2249/100),IF($O$5&gt;40,15+70*($AG2249/100),IF($O$5&gt;30,20+70*($AG2249/100),IF($O$5&gt;20,40+55*($AG2249/100),(80+(20-$O$5)+30*($AG2249/100))))))))))</f>
        <v>94.083971598396033</v>
      </c>
      <c r="AI2249" s="262">
        <v>5964</v>
      </c>
      <c r="AJ2249" s="262"/>
      <c r="AK2249" s="262"/>
      <c r="AL2249" s="263"/>
      <c r="AM2249" s="264"/>
      <c r="AN2249" s="263"/>
      <c r="AO2249" s="263"/>
      <c r="AP2249" s="265"/>
      <c r="AQ2249" s="266"/>
      <c r="AR2249" s="267">
        <v>55637</v>
      </c>
      <c r="AS2249" s="263"/>
      <c r="AT2249" s="263"/>
      <c r="AU2249" s="263"/>
      <c r="AV2249" s="264"/>
      <c r="AW2249" s="263"/>
      <c r="AX2249" s="263"/>
      <c r="AY2249" s="263"/>
      <c r="AZ2249" s="263"/>
      <c r="BA2249" s="263"/>
      <c r="BB2249" s="263"/>
      <c r="BC2249" s="263"/>
      <c r="BD2249" s="264"/>
      <c r="BE2249" s="263"/>
      <c r="BF2249" s="263"/>
      <c r="BG2249" s="263"/>
      <c r="BH2249" s="263"/>
      <c r="BI2249" s="263"/>
      <c r="BJ2249" s="404">
        <f>altaz(J2000_Bas,$O2249,$M2249,DecLat,DecLong,2)</f>
        <v>253.63113136884476</v>
      </c>
      <c r="BK2249" s="378" t="s">
        <v>2137</v>
      </c>
      <c r="BL2249" s="379">
        <f>IF((2*G2249)/60&lt;0.2,0.2,(2*G2249)/60)</f>
        <v>0.2</v>
      </c>
      <c r="BM2249" s="380">
        <f>MOD((50000+AD2249-$B$3+(0/24)),1)</f>
        <v>0.85937793633638648</v>
      </c>
      <c r="BN2249" s="381"/>
      <c r="BO2249" s="382">
        <v>2240</v>
      </c>
    </row>
    <row r="2250" spans="1:67" s="24" customFormat="1" ht="15" customHeight="1" x14ac:dyDescent="0.25">
      <c r="A2250" s="288" t="s">
        <v>2138</v>
      </c>
      <c r="B2250" s="241" t="str">
        <f>HYPERLINK(CONCATENATE($AT$3,BK2250,$AU$3),$AV$3)</f>
        <v>S</v>
      </c>
      <c r="C2250" s="242" t="str">
        <f>HYPERLINK(CONCATENATE($AT$4,BK2250,$AU$4,BL2250),$AV$4)</f>
        <v>A</v>
      </c>
      <c r="D2250" s="243" t="s">
        <v>5638</v>
      </c>
      <c r="E2250" s="244" t="s">
        <v>5192</v>
      </c>
      <c r="F2250" s="269" t="s">
        <v>8995</v>
      </c>
      <c r="G2250" s="273">
        <v>5.5</v>
      </c>
      <c r="H2250" s="283">
        <v>130</v>
      </c>
      <c r="I2250" s="246">
        <v>200</v>
      </c>
      <c r="J2250" s="246">
        <v>2</v>
      </c>
      <c r="K2250" s="247" t="s">
        <v>8256</v>
      </c>
      <c r="L2250" s="248">
        <v>153402</v>
      </c>
      <c r="M2250" s="249">
        <f>15*(LEFT(TEXT($L2250,"000000"),2)+(MID(TEXT($L2250,"000000"),3,2)/60)+(RIGHT(TEXT($L2250,"000000"),2)/3600))</f>
        <v>233.50833333333333</v>
      </c>
      <c r="N2250" s="250">
        <v>564109</v>
      </c>
      <c r="O2250" s="251">
        <f>IF($N2250&gt;0,(LEFT(TEXT($N2250,"000000"),2)+(MID(TEXT($N2250,"000000"),3,2)/60)+(RIGHT(TEXT($N2250,"000000"),2)/3600)),-(MID(TEXT($N2250,"000000"),2,2)+(MID(TEXT($N2250,"000000"),4,2)/60)+(RIGHT(TEXT($N2250,"000000"),2)/3600)))</f>
        <v>56.685833333333328</v>
      </c>
      <c r="P2250" s="252" t="s">
        <v>34</v>
      </c>
      <c r="Q2250" s="253"/>
      <c r="R2250" s="247" t="s">
        <v>3293</v>
      </c>
      <c r="S2250" s="272" t="s">
        <v>2136</v>
      </c>
      <c r="T2250" s="273">
        <v>11.7</v>
      </c>
      <c r="U2250" s="289">
        <v>21.89</v>
      </c>
      <c r="V2250" s="280">
        <v>88</v>
      </c>
      <c r="W2250" s="244"/>
      <c r="X2250" s="244"/>
      <c r="Y2250" s="362"/>
      <c r="Z2250" s="257">
        <f>altaz(J2000_Bas,$O2250,$M2250,DecLat,DecLong,1)</f>
        <v>45.810102419043623</v>
      </c>
      <c r="AA2250" s="257">
        <f>altaz((J2000_Bas+(2*0.04167)),$O2250,$M2250,DecLat,DecLong,1)</f>
        <v>29.42012317676927</v>
      </c>
      <c r="AB2250" s="257">
        <f>altaz((J2000_Bas+(4*0.04167)),$O2250,$M2250,DecLat,DecLong,1)</f>
        <v>14.418514529773356</v>
      </c>
      <c r="AC2250" s="257">
        <f>altaz((J2000_Bas+(6*0.04167)),$O2250,$M2250,DecLat,DecLong,1)</f>
        <v>3.1913037132560742</v>
      </c>
      <c r="AD2250" s="258">
        <f>1+ transit((J2000_Bas-1),$O2250,$M2250,DecLat,DecLong)/360 + (GMTOffset/24) + (IF(DST="Y", 1, 0)/24)</f>
        <v>1.6415341550255416</v>
      </c>
      <c r="AE2250" s="259">
        <f>DATE(2001,9,21)+(M2250/360)*365 - (360*((DecLong/360)- (GMTOffset/24) ))</f>
        <v>37396.751504629632</v>
      </c>
      <c r="AF2250" s="260">
        <f>IF(DecLat&gt;0,IF((90 - (DecLat-O2250))&gt;90, (90 - (O2250-DecLat)), (90 - (DecLat-O2250))),IF((90 + (DecLat-O2250))&gt;90, (90 + (O2250-DecLat)), (90 + (DecLat-O2250))))</f>
        <v>64.314166666666665</v>
      </c>
      <c r="AG2250" s="257">
        <f>angularseperation(MoonRA,MoonDec,$M2250,$O2250)</f>
        <v>84.824900399483553</v>
      </c>
      <c r="AH2250" s="261">
        <f ca="1">MIN(100,IF($O$5&gt;80,0+30*($AG2250/100),IF($O$5&gt;70,0+50*($AG2250/100),IF($O$5&gt;60,5+50*($AG2250/100),IF($O$5&gt;50,10+60*($AG2250/100),IF($O$5&gt;40,15+70*($AG2250/100),IF($O$5&gt;30,20+70*($AG2250/100),IF($O$5&gt;20,40+55*($AG2250/100),(80+(20-$O$5)+30*($AG2250/100))))))))))</f>
        <v>100</v>
      </c>
      <c r="AI2250" s="262">
        <v>5965</v>
      </c>
      <c r="AJ2250" s="262"/>
      <c r="AK2250" s="262"/>
      <c r="AL2250" s="263"/>
      <c r="AM2250" s="264"/>
      <c r="AN2250" s="263"/>
      <c r="AO2250" s="263"/>
      <c r="AP2250" s="265"/>
      <c r="AQ2250" s="266">
        <v>9914</v>
      </c>
      <c r="AR2250" s="267">
        <v>55459</v>
      </c>
      <c r="AS2250" s="263"/>
      <c r="AT2250" s="263"/>
      <c r="AU2250" s="263"/>
      <c r="AV2250" s="264"/>
      <c r="AW2250" s="263"/>
      <c r="AX2250" s="263"/>
      <c r="AY2250" s="263"/>
      <c r="AZ2250" s="263"/>
      <c r="BA2250" s="263"/>
      <c r="BB2250" s="263"/>
      <c r="BC2250" s="263"/>
      <c r="BD2250" s="264"/>
      <c r="BE2250" s="263"/>
      <c r="BF2250" s="263"/>
      <c r="BG2250" s="263"/>
      <c r="BH2250" s="263"/>
      <c r="BI2250" s="263"/>
      <c r="BJ2250" s="404">
        <f>altaz(J2000_Bas,$O2250,$M2250,DecLat,DecLong,2)</f>
        <v>321.31248999752506</v>
      </c>
      <c r="BK2250" s="378" t="s">
        <v>2138</v>
      </c>
      <c r="BL2250" s="379">
        <f>IF((2*G2250)/60&lt;0.2,0.2,(2*G2250)/60)</f>
        <v>0.2</v>
      </c>
      <c r="BM2250" s="380">
        <f>MOD((50000+AD2250-$B$3+(0/24)),1)</f>
        <v>0.85690108472772408</v>
      </c>
      <c r="BN2250" s="381" t="s">
        <v>9218</v>
      </c>
      <c r="BO2250" s="382">
        <v>2241</v>
      </c>
    </row>
    <row r="2251" spans="1:67" s="24" customFormat="1" ht="15" customHeight="1" x14ac:dyDescent="0.25">
      <c r="A2251" s="288" t="s">
        <v>2139</v>
      </c>
      <c r="B2251" s="241" t="str">
        <f>HYPERLINK(CONCATENATE($AT$3,BK2251,$AU$3),$AV$3)</f>
        <v>S</v>
      </c>
      <c r="C2251" s="242" t="str">
        <f>HYPERLINK(CONCATENATE($AT$4,BK2251,$AU$4,BL2251),$AV$4)</f>
        <v>A</v>
      </c>
      <c r="D2251" s="243" t="s">
        <v>5638</v>
      </c>
      <c r="E2251" s="244" t="s">
        <v>5192</v>
      </c>
      <c r="F2251" s="269" t="s">
        <v>8895</v>
      </c>
      <c r="G2251" s="273">
        <v>3.5</v>
      </c>
      <c r="H2251" s="283">
        <v>89.87679</v>
      </c>
      <c r="I2251" s="246">
        <v>95</v>
      </c>
      <c r="J2251" s="246">
        <v>2</v>
      </c>
      <c r="K2251" s="247" t="s">
        <v>8257</v>
      </c>
      <c r="L2251" s="248">
        <v>153830</v>
      </c>
      <c r="M2251" s="249">
        <f>15*(LEFT(TEXT($L2251,"000000"),2)+(MID(TEXT($L2251,"000000"),3,2)/60)+(RIGHT(TEXT($L2251,"000000"),2)/3600))</f>
        <v>234.625</v>
      </c>
      <c r="N2251" s="250">
        <v>121111</v>
      </c>
      <c r="O2251" s="251">
        <f>IF($N2251&gt;0,(LEFT(TEXT($N2251,"000000"),2)+(MID(TEXT($N2251,"000000"),3,2)/60)+(RIGHT(TEXT($N2251,"000000"),2)/3600)),-(MID(TEXT($N2251,"000000"),2,2)+(MID(TEXT($N2251,"000000"),4,2)/60)+(RIGHT(TEXT($N2251,"000000"),2)/3600)))</f>
        <v>12.186388888888889</v>
      </c>
      <c r="P2251" s="252" t="s">
        <v>115</v>
      </c>
      <c r="Q2251" s="253"/>
      <c r="R2251" s="277" t="s">
        <v>3293</v>
      </c>
      <c r="S2251" s="272" t="s">
        <v>3293</v>
      </c>
      <c r="T2251" s="273">
        <v>11.5</v>
      </c>
      <c r="U2251" s="289">
        <v>22.19</v>
      </c>
      <c r="V2251" s="280">
        <v>60</v>
      </c>
      <c r="W2251" s="244"/>
      <c r="X2251" s="244"/>
      <c r="Y2251" s="362"/>
      <c r="Z2251" s="257">
        <f>altaz(J2000_Bas,$O2251,$M2251,DecLat,DecLong,1)</f>
        <v>39.175295722388903</v>
      </c>
      <c r="AA2251" s="257">
        <f>altaz((J2000_Bas+(2*0.04167)),$O2251,$M2251,DecLat,DecLong,1)</f>
        <v>13.480252355043071</v>
      </c>
      <c r="AB2251" s="257">
        <f>altaz((J2000_Bas+(4*0.04167)),$O2251,$M2251,DecLat,DecLong,1)</f>
        <v>-11.47781722525939</v>
      </c>
      <c r="AC2251" s="257">
        <f>altaz((J2000_Bas+(6*0.04167)),$O2251,$M2251,DecLat,DecLong,1)</f>
        <v>-33.242393329808053</v>
      </c>
      <c r="AD2251" s="258">
        <f>1+ transit((J2000_Bas-1),$O2251,$M2251,DecLat,DecLong)/360 + (GMTOffset/24) + (IF(DST="Y", 1, 0)/24)</f>
        <v>1.6446360065672081</v>
      </c>
      <c r="AE2251" s="259">
        <f>DATE(2001,9,21)+(M2251/360)*365 - (360*((DecLong/360)- (GMTOffset/24) ))</f>
        <v>37397.883680555555</v>
      </c>
      <c r="AF2251" s="260">
        <f>IF(DecLat&gt;0,IF((90 - (DecLat-O2251))&gt;90, (90 - (O2251-DecLat)), (90 - (DecLat-O2251))),IF((90 + (DecLat-O2251))&gt;90, (90 + (O2251-DecLat)), (90 + (DecLat-O2251))))</f>
        <v>71.186388888888885</v>
      </c>
      <c r="AG2251" s="257">
        <f>angularseperation(MoonRA,MoonDec,$M2251,$O2251)</f>
        <v>41.754964112455156</v>
      </c>
      <c r="AH2251" s="261">
        <f ca="1">MIN(100,IF($O$5&gt;80,0+30*($AG2251/100),IF($O$5&gt;70,0+50*($AG2251/100),IF($O$5&gt;60,5+50*($AG2251/100),IF($O$5&gt;50,10+60*($AG2251/100),IF($O$5&gt;40,15+70*($AG2251/100),IF($O$5&gt;30,20+70*($AG2251/100),IF($O$5&gt;20,40+55*($AG2251/100),(80+(20-$O$5)+30*($AG2251/100))))))))))</f>
        <v>95.797549577886969</v>
      </c>
      <c r="AI2251" s="262">
        <v>5970</v>
      </c>
      <c r="AJ2251" s="263"/>
      <c r="AK2251" s="263"/>
      <c r="AL2251" s="263"/>
      <c r="AM2251" s="264"/>
      <c r="AN2251" s="263"/>
      <c r="AO2251" s="263"/>
      <c r="AP2251" s="265"/>
      <c r="AQ2251" s="265">
        <v>9943</v>
      </c>
      <c r="AR2251" s="285">
        <v>55665</v>
      </c>
      <c r="AS2251" s="263"/>
      <c r="AT2251" s="263"/>
      <c r="AU2251" s="263"/>
      <c r="AV2251" s="264"/>
      <c r="AW2251" s="263"/>
      <c r="AX2251" s="263"/>
      <c r="AY2251" s="263"/>
      <c r="AZ2251" s="263"/>
      <c r="BA2251" s="263"/>
      <c r="BB2251" s="263"/>
      <c r="BC2251" s="263"/>
      <c r="BD2251" s="264"/>
      <c r="BE2251" s="263"/>
      <c r="BF2251" s="263"/>
      <c r="BG2251" s="263"/>
      <c r="BH2251" s="263"/>
      <c r="BI2251" s="263"/>
      <c r="BJ2251" s="404">
        <f>altaz(J2000_Bas,$O2251,$M2251,DecLat,DecLong,2)</f>
        <v>260.09919777962193</v>
      </c>
      <c r="BK2251" s="378" t="s">
        <v>2139</v>
      </c>
      <c r="BL2251" s="379">
        <f>IF((2*G2251)/60&lt;0.2,0.2,(2*G2251)/60)</f>
        <v>0.2</v>
      </c>
      <c r="BM2251" s="380">
        <f>MOD((50000+AD2251-$B$3+(0/24)),1)</f>
        <v>0.86000293627148494</v>
      </c>
      <c r="BN2251" s="381"/>
      <c r="BO2251" s="382">
        <v>2242</v>
      </c>
    </row>
    <row r="2252" spans="1:67" s="24" customFormat="1" ht="15" customHeight="1" x14ac:dyDescent="0.25">
      <c r="A2252" s="288" t="s">
        <v>2140</v>
      </c>
      <c r="B2252" s="241" t="str">
        <f>HYPERLINK(CONCATENATE($AT$3,BK2252,$AU$3),$AV$3)</f>
        <v>S</v>
      </c>
      <c r="C2252" s="242" t="str">
        <f>HYPERLINK(CONCATENATE($AT$4,BK2252,$AU$4,BL2252),$AV$4)</f>
        <v>A</v>
      </c>
      <c r="D2252" s="243" t="s">
        <v>5638</v>
      </c>
      <c r="E2252" s="244" t="s">
        <v>5182</v>
      </c>
      <c r="F2252" s="269" t="s">
        <v>3300</v>
      </c>
      <c r="G2252" s="273">
        <v>1</v>
      </c>
      <c r="H2252" s="283">
        <v>480</v>
      </c>
      <c r="I2252" s="246">
        <v>140</v>
      </c>
      <c r="J2252" s="246">
        <v>2</v>
      </c>
      <c r="K2252" s="253" t="s">
        <v>8143</v>
      </c>
      <c r="L2252" s="248">
        <v>153854</v>
      </c>
      <c r="M2252" s="249">
        <f>15*(LEFT(TEXT($L2252,"000000"),2)+(MID(TEXT($L2252,"000000"),3,2)/60)+(RIGHT(TEXT($L2252,"000000"),2)/3600))</f>
        <v>234.72499999999999</v>
      </c>
      <c r="N2252" s="250">
        <v>170133</v>
      </c>
      <c r="O2252" s="251">
        <f>IF($N2252&gt;0,(LEFT(TEXT($N2252,"000000"),2)+(MID(TEXT($N2252,"000000"),3,2)/60)+(RIGHT(TEXT($N2252,"000000"),2)/3600)),-(MID(TEXT($N2252,"000000"),2,2)+(MID(TEXT($N2252,"000000"),4,2)/60)+(RIGHT(TEXT($N2252,"000000"),2)/3600)))</f>
        <v>17.025833333333331</v>
      </c>
      <c r="P2252" s="252" t="s">
        <v>115</v>
      </c>
      <c r="Q2252" s="253"/>
      <c r="R2252" s="247" t="s">
        <v>3293</v>
      </c>
      <c r="S2252" s="272" t="s">
        <v>3293</v>
      </c>
      <c r="T2252" s="273">
        <v>13.6</v>
      </c>
      <c r="U2252" s="289">
        <v>22.29</v>
      </c>
      <c r="V2252" s="280"/>
      <c r="W2252" s="244"/>
      <c r="X2252" s="244"/>
      <c r="Y2252" s="362"/>
      <c r="Z2252" s="257">
        <f>altaz(J2000_Bas,$O2252,$M2252,DecLat,DecLong,1)</f>
        <v>41.567603519322269</v>
      </c>
      <c r="AA2252" s="257">
        <f>altaz((J2000_Bas+(2*0.04167)),$O2252,$M2252,DecLat,DecLong,1)</f>
        <v>15.896401895872547</v>
      </c>
      <c r="AB2252" s="257">
        <f>altaz((J2000_Bas+(4*0.04167)),$O2252,$M2252,DecLat,DecLong,1)</f>
        <v>-8.5614759228771202</v>
      </c>
      <c r="AC2252" s="257">
        <f>altaz((J2000_Bas+(6*0.04167)),$O2252,$M2252,DecLat,DecLong,1)</f>
        <v>-29.399710807536323</v>
      </c>
      <c r="AD2252" s="258">
        <f>1+ transit((J2000_Bas-1),$O2252,$M2252,DecLat,DecLong)/360 + (GMTOffset/24) + (IF(DST="Y", 1, 0)/24)</f>
        <v>1.6449137843172079</v>
      </c>
      <c r="AE2252" s="259">
        <f>DATE(2001,9,21)+(M2252/360)*365 - (360*((DecLong/360)- (GMTOffset/24) ))</f>
        <v>37397.985069444447</v>
      </c>
      <c r="AF2252" s="260">
        <f>IF(DecLat&gt;0,IF((90 - (DecLat-O2252))&gt;90, (90 - (O2252-DecLat)), (90 - (DecLat-O2252))),IF((90 + (DecLat-O2252))&gt;90, (90 + (O2252-DecLat)), (90 + (DecLat-O2252))))</f>
        <v>76.025833333333338</v>
      </c>
      <c r="AG2252" s="257">
        <f>angularseperation(MoonRA,MoonDec,$M2252,$O2252)</f>
        <v>46.304448742357117</v>
      </c>
      <c r="AH2252" s="261">
        <f ca="1">MIN(100,IF($O$5&gt;80,0+30*($AG2252/100),IF($O$5&gt;70,0+50*($AG2252/100),IF($O$5&gt;60,5+50*($AG2252/100),IF($O$5&gt;50,10+60*($AG2252/100),IF($O$5&gt;40,15+70*($AG2252/100),IF($O$5&gt;30,20+70*($AG2252/100),IF($O$5&gt;20,40+55*($AG2252/100),(80+(20-$O$5)+30*($AG2252/100))))))))))</f>
        <v>97.162394966857562</v>
      </c>
      <c r="AI2252" s="262">
        <v>5972</v>
      </c>
      <c r="AJ2252" s="262"/>
      <c r="AK2252" s="262"/>
      <c r="AL2252" s="263"/>
      <c r="AM2252" s="264"/>
      <c r="AN2252" s="263"/>
      <c r="AO2252" s="263"/>
      <c r="AP2252" s="265"/>
      <c r="AQ2252" s="266">
        <v>9946</v>
      </c>
      <c r="AR2252" s="267">
        <v>55684</v>
      </c>
      <c r="AS2252" s="263"/>
      <c r="AT2252" s="263"/>
      <c r="AU2252" s="263"/>
      <c r="AV2252" s="264"/>
      <c r="AW2252" s="263"/>
      <c r="AX2252" s="263"/>
      <c r="AY2252" s="263"/>
      <c r="AZ2252" s="263"/>
      <c r="BA2252" s="263"/>
      <c r="BB2252" s="263"/>
      <c r="BC2252" s="263"/>
      <c r="BD2252" s="264"/>
      <c r="BE2252" s="263"/>
      <c r="BF2252" s="263"/>
      <c r="BG2252" s="263"/>
      <c r="BH2252" s="263"/>
      <c r="BI2252" s="263"/>
      <c r="BJ2252" s="404">
        <f>altaz(J2000_Bas,$O2252,$M2252,DecLat,DecLong,2)</f>
        <v>265.62455680051806</v>
      </c>
      <c r="BK2252" s="378" t="s">
        <v>2140</v>
      </c>
      <c r="BL2252" s="379">
        <f>IF((2*G2252)/60&lt;0.2,0.2,(2*G2252)/60)</f>
        <v>0.2</v>
      </c>
      <c r="BM2252" s="380">
        <f>MOD((50000+AD2252-$B$3+(0/24)),1)</f>
        <v>0.86028071401960915</v>
      </c>
      <c r="BN2252" s="381" t="s">
        <v>9222</v>
      </c>
      <c r="BO2252" s="382">
        <v>2243</v>
      </c>
    </row>
    <row r="2253" spans="1:67" s="24" customFormat="1" ht="15" customHeight="1" x14ac:dyDescent="0.25">
      <c r="A2253" s="288" t="s">
        <v>2141</v>
      </c>
      <c r="B2253" s="241" t="str">
        <f>HYPERLINK(CONCATENATE($AT$3,BK2253,$AU$3),$AV$3)</f>
        <v>S</v>
      </c>
      <c r="C2253" s="242" t="str">
        <f>HYPERLINK(CONCATENATE($AT$4,BK2253,$AU$4,BL2253),$AV$4)</f>
        <v>A</v>
      </c>
      <c r="D2253" s="243" t="s">
        <v>5638</v>
      </c>
      <c r="E2253" s="244" t="s">
        <v>5192</v>
      </c>
      <c r="F2253" s="269" t="s">
        <v>8710</v>
      </c>
      <c r="G2253" s="273">
        <v>3.3</v>
      </c>
      <c r="H2253" s="283">
        <v>150</v>
      </c>
      <c r="I2253" s="246">
        <v>140</v>
      </c>
      <c r="J2253" s="246">
        <v>2</v>
      </c>
      <c r="K2253" s="247" t="s">
        <v>8261</v>
      </c>
      <c r="L2253" s="248">
        <v>153754</v>
      </c>
      <c r="M2253" s="249">
        <f>15*(LEFT(TEXT($L2253,"000000"),2)+(MID(TEXT($L2253,"000000"),3,2)/60)+(RIGHT(TEXT($L2253,"000000"),2)/3600))</f>
        <v>234.47500000000002</v>
      </c>
      <c r="N2253" s="286">
        <v>592331</v>
      </c>
      <c r="O2253" s="251">
        <f>IF($N2253&gt;0,(LEFT(TEXT($N2253,"000000"),2)+(MID(TEXT($N2253,"000000"),3,2)/60)+(RIGHT(TEXT($N2253,"000000"),2)/3600)),-(MID(TEXT($N2253,"000000"),2,2)+(MID(TEXT($N2253,"000000"),4,2)/60)+(RIGHT(TEXT($N2253,"000000"),2)/3600)))</f>
        <v>59.391944444444441</v>
      </c>
      <c r="P2253" s="252" t="s">
        <v>34</v>
      </c>
      <c r="Q2253" s="253" t="s">
        <v>2143</v>
      </c>
      <c r="R2253" s="247" t="s">
        <v>3293</v>
      </c>
      <c r="S2253" s="272" t="s">
        <v>3293</v>
      </c>
      <c r="T2253" s="273">
        <v>13</v>
      </c>
      <c r="U2253" s="289">
        <v>21.990000000000002</v>
      </c>
      <c r="V2253" s="280">
        <v>87</v>
      </c>
      <c r="W2253" s="244"/>
      <c r="X2253" s="244"/>
      <c r="Y2253" s="362"/>
      <c r="Z2253" s="257">
        <f>altaz(J2000_Bas,$O2253,$M2253,DecLat,DecLong,1)</f>
        <v>45.626973502224381</v>
      </c>
      <c r="AA2253" s="257">
        <f>altaz((J2000_Bas+(2*0.04167)),$O2253,$M2253,DecLat,DecLong,1)</f>
        <v>30.460380352851718</v>
      </c>
      <c r="AB2253" s="257">
        <f>altaz((J2000_Bas+(4*0.04167)),$O2253,$M2253,DecLat,DecLong,1)</f>
        <v>16.375426731804495</v>
      </c>
      <c r="AC2253" s="257">
        <f>altaz((J2000_Bas+(6*0.04167)),$O2253,$M2253,DecLat,DecLong,1)</f>
        <v>5.761572792355568</v>
      </c>
      <c r="AD2253" s="258">
        <f>1+ transit((J2000_Bas-1),$O2253,$M2253,DecLat,DecLong)/360 + (GMTOffset/24) + (IF(DST="Y", 1, 0)/24)</f>
        <v>1.644219339942208</v>
      </c>
      <c r="AE2253" s="259">
        <f>DATE(2001,9,21)+(M2253/360)*365 - (360*((DecLong/360)- (GMTOffset/24) ))</f>
        <v>37397.73159722222</v>
      </c>
      <c r="AF2253" s="260">
        <f>IF(DecLat&gt;0,IF((90 - (DecLat-O2253))&gt;90, (90 - (O2253-DecLat)), (90 - (DecLat-O2253))),IF((90 + (DecLat-O2253))&gt;90, (90 + (O2253-DecLat)), (90 + (DecLat-O2253))))</f>
        <v>61.608055555555559</v>
      </c>
      <c r="AG2253" s="257">
        <f>angularseperation(MoonRA,MoonDec,$M2253,$O2253)</f>
        <v>87.33519157123348</v>
      </c>
      <c r="AH2253" s="261">
        <f ca="1">MIN(100,IF($O$5&gt;80,0+30*($AG2253/100),IF($O$5&gt;70,0+50*($AG2253/100),IF($O$5&gt;60,5+50*($AG2253/100),IF($O$5&gt;50,10+60*($AG2253/100),IF($O$5&gt;40,15+70*($AG2253/100),IF($O$5&gt;30,20+70*($AG2253/100),IF($O$5&gt;20,40+55*($AG2253/100),(80+(20-$O$5)+30*($AG2253/100))))))))))</f>
        <v>100</v>
      </c>
      <c r="AI2253" s="262">
        <v>5981</v>
      </c>
      <c r="AJ2253" s="262"/>
      <c r="AK2253" s="262"/>
      <c r="AL2253" s="263"/>
      <c r="AM2253" s="264"/>
      <c r="AN2253" s="263"/>
      <c r="AO2253" s="263"/>
      <c r="AP2253" s="265"/>
      <c r="AQ2253" s="266">
        <v>9948</v>
      </c>
      <c r="AR2253" s="267">
        <v>55647</v>
      </c>
      <c r="AS2253" s="263"/>
      <c r="AT2253" s="263"/>
      <c r="AU2253" s="263"/>
      <c r="AV2253" s="264"/>
      <c r="AW2253" s="263"/>
      <c r="AX2253" s="263"/>
      <c r="AY2253" s="263"/>
      <c r="AZ2253" s="263"/>
      <c r="BA2253" s="263"/>
      <c r="BB2253" s="263"/>
      <c r="BC2253" s="263"/>
      <c r="BD2253" s="264"/>
      <c r="BE2253" s="263"/>
      <c r="BF2253" s="263"/>
      <c r="BG2253" s="263"/>
      <c r="BH2253" s="263"/>
      <c r="BI2253" s="263"/>
      <c r="BJ2253" s="404">
        <f>altaz(J2000_Bas,$O2253,$M2253,DecLat,DecLong,2)</f>
        <v>325.24866552103663</v>
      </c>
      <c r="BK2253" s="378" t="s">
        <v>2141</v>
      </c>
      <c r="BL2253" s="379">
        <f>IF((2*G2253)/60&lt;0.2,0.2,(2*G2253)/60)</f>
        <v>0.2</v>
      </c>
      <c r="BM2253" s="380">
        <f>MOD((50000+AD2253-$B$3+(0/24)),1)</f>
        <v>0.85958626964566065</v>
      </c>
      <c r="BN2253" s="381"/>
      <c r="BO2253" s="382">
        <v>2244</v>
      </c>
    </row>
    <row r="2254" spans="1:67" s="24" customFormat="1" ht="15" customHeight="1" x14ac:dyDescent="0.25">
      <c r="A2254" s="288" t="s">
        <v>8259</v>
      </c>
      <c r="B2254" s="241" t="str">
        <f>HYPERLINK(CONCATENATE($AT$3,BK2254,$AU$3),$AV$3)</f>
        <v>S</v>
      </c>
      <c r="C2254" s="242" t="str">
        <f>HYPERLINK(CONCATENATE($AT$4,BK2254,$AU$4,BL2254),$AV$4)</f>
        <v>A</v>
      </c>
      <c r="D2254" s="243" t="s">
        <v>5638</v>
      </c>
      <c r="E2254" s="244" t="s">
        <v>5194</v>
      </c>
      <c r="F2254" s="269"/>
      <c r="G2254" s="273">
        <v>4.5</v>
      </c>
      <c r="H2254" s="283">
        <v>130</v>
      </c>
      <c r="I2254" s="246">
        <v>180</v>
      </c>
      <c r="J2254" s="246">
        <v>4</v>
      </c>
      <c r="K2254" s="247" t="s">
        <v>8260</v>
      </c>
      <c r="L2254" s="248">
        <v>153840</v>
      </c>
      <c r="M2254" s="249">
        <f>15*(LEFT(TEXT($L2254,"000000"),2)+(MID(TEXT($L2254,"000000"),3,2)/60)+(RIGHT(TEXT($L2254,"000000"),2)/3600))</f>
        <v>234.66666666666666</v>
      </c>
      <c r="N2254" s="250">
        <v>592121</v>
      </c>
      <c r="O2254" s="251">
        <f>IF($N2254&gt;0,(LEFT(TEXT($N2254,"000000"),2)+(MID(TEXT($N2254,"000000"),3,2)/60)+(RIGHT(TEXT($N2254,"000000"),2)/3600)),-(MID(TEXT($N2254,"000000"),2,2)+(MID(TEXT($N2254,"000000"),4,2)/60)+(RIGHT(TEXT($N2254,"000000"),2)/3600)))</f>
        <v>59.355833333333337</v>
      </c>
      <c r="P2254" s="252" t="s">
        <v>34</v>
      </c>
      <c r="Q2254" s="253" t="s">
        <v>2143</v>
      </c>
      <c r="R2254" s="247" t="s">
        <v>3293</v>
      </c>
      <c r="S2254" s="272" t="s">
        <v>8258</v>
      </c>
      <c r="T2254" s="273">
        <v>11.1</v>
      </c>
      <c r="U2254" s="289">
        <v>21.79</v>
      </c>
      <c r="V2254" s="280"/>
      <c r="W2254" s="244"/>
      <c r="X2254" s="244"/>
      <c r="Y2254" s="362"/>
      <c r="Z2254" s="257">
        <f>altaz(J2000_Bas,$O2254,$M2254,DecLat,DecLong,1)</f>
        <v>45.73084014533476</v>
      </c>
      <c r="AA2254" s="257">
        <f>altaz((J2000_Bas+(2*0.04167)),$O2254,$M2254,DecLat,DecLong,1)</f>
        <v>30.550022257109152</v>
      </c>
      <c r="AB2254" s="257">
        <f>altaz((J2000_Bas+(4*0.04167)),$O2254,$M2254,DecLat,DecLong,1)</f>
        <v>16.436448082336092</v>
      </c>
      <c r="AC2254" s="257">
        <f>altaz((J2000_Bas+(6*0.04167)),$O2254,$M2254,DecLat,DecLong,1)</f>
        <v>5.7831980628165827</v>
      </c>
      <c r="AD2254" s="258">
        <f>1+ transit((J2000_Bas-1),$O2254,$M2254,DecLat,DecLong)/360 + (GMTOffset/24) + (IF(DST="Y", 1, 0)/24)</f>
        <v>1.6447517472963746</v>
      </c>
      <c r="AE2254" s="259">
        <f>DATE(2001,9,21)+(M2254/360)*365 - (360*((DecLong/360)- (GMTOffset/24) ))</f>
        <v>37397.925925925927</v>
      </c>
      <c r="AF2254" s="260">
        <f>IF(DecLat&gt;0,IF((90 - (DecLat-O2254))&gt;90, (90 - (O2254-DecLat)), (90 - (DecLat-O2254))),IF((90 + (DecLat-O2254))&gt;90, (90 + (O2254-DecLat)), (90 + (DecLat-O2254))))</f>
        <v>61.644166666666663</v>
      </c>
      <c r="AG2254" s="257">
        <f>angularseperation(MoonRA,MoonDec,$M2254,$O2254)</f>
        <v>87.277970569391783</v>
      </c>
      <c r="AH2254" s="261">
        <f ca="1">MIN(100,IF($O$5&gt;80,0+30*($AG2254/100),IF($O$5&gt;70,0+50*($AG2254/100),IF($O$5&gt;60,5+50*($AG2254/100),IF($O$5&gt;50,10+60*($AG2254/100),IF($O$5&gt;40,15+70*($AG2254/100),IF($O$5&gt;30,20+70*($AG2254/100),IF($O$5&gt;20,40+55*($AG2254/100),(80+(20-$O$5)+30*($AG2254/100))))))))))</f>
        <v>100</v>
      </c>
      <c r="AI2254" s="262">
        <v>5982</v>
      </c>
      <c r="AJ2254" s="262"/>
      <c r="AK2254" s="262">
        <v>314</v>
      </c>
      <c r="AL2254" s="263"/>
      <c r="AM2254" s="264"/>
      <c r="AN2254" s="263"/>
      <c r="AO2254" s="263"/>
      <c r="AP2254" s="265"/>
      <c r="AQ2254" s="266">
        <v>9961</v>
      </c>
      <c r="AR2254" s="267">
        <v>55674</v>
      </c>
      <c r="AS2254" s="263"/>
      <c r="AT2254" s="263"/>
      <c r="AU2254" s="263"/>
      <c r="AV2254" s="264"/>
      <c r="AW2254" s="263"/>
      <c r="AX2254" s="263"/>
      <c r="AY2254" s="263"/>
      <c r="AZ2254" s="263"/>
      <c r="BA2254" s="263"/>
      <c r="BB2254" s="263"/>
      <c r="BC2254" s="263"/>
      <c r="BD2254" s="264"/>
      <c r="BE2254" s="263"/>
      <c r="BF2254" s="263"/>
      <c r="BG2254" s="263">
        <v>65</v>
      </c>
      <c r="BH2254" s="263"/>
      <c r="BI2254" s="263"/>
      <c r="BJ2254" s="404">
        <f>altaz(J2000_Bas,$O2254,$M2254,DecLat,DecLong,2)</f>
        <v>325.23858799995401</v>
      </c>
      <c r="BK2254" s="378" t="s">
        <v>2142</v>
      </c>
      <c r="BL2254" s="379">
        <f>IF((2*G2254)/60&lt;0.2,0.2,(2*G2254)/60)</f>
        <v>0.2</v>
      </c>
      <c r="BM2254" s="380">
        <f>MOD((50000+AD2254-$B$3+(0/24)),1)</f>
        <v>0.86011867700290168</v>
      </c>
      <c r="BN2254" s="381"/>
      <c r="BO2254" s="382">
        <v>2245</v>
      </c>
    </row>
    <row r="2255" spans="1:67" s="24" customFormat="1" ht="15" customHeight="1" x14ac:dyDescent="0.25">
      <c r="A2255" s="288" t="s">
        <v>2144</v>
      </c>
      <c r="B2255" s="241" t="str">
        <f>HYPERLINK(CONCATENATE($AT$3,BK2255,$AU$3),$AV$3)</f>
        <v>S</v>
      </c>
      <c r="C2255" s="242" t="str">
        <f>HYPERLINK(CONCATENATE($AT$4,BK2255,$AU$4,BL2255),$AV$4)</f>
        <v>A</v>
      </c>
      <c r="D2255" s="243" t="s">
        <v>5638</v>
      </c>
      <c r="E2255" s="244" t="s">
        <v>5192</v>
      </c>
      <c r="F2255" s="269" t="s">
        <v>8996</v>
      </c>
      <c r="G2255" s="273">
        <v>5.6</v>
      </c>
      <c r="H2255" s="283">
        <v>115.61292</v>
      </c>
      <c r="I2255" s="246">
        <v>180</v>
      </c>
      <c r="J2255" s="246">
        <v>2</v>
      </c>
      <c r="K2255" s="247" t="s">
        <v>8262</v>
      </c>
      <c r="L2255" s="248">
        <v>153937</v>
      </c>
      <c r="M2255" s="249">
        <f>15*(LEFT(TEXT($L2256,"000000"),2)+(MID(TEXT($L2256,"000000"),3,2)/60)+(RIGHT(TEXT($L2256,"000000"),2)/3600))</f>
        <v>236.51666666666668</v>
      </c>
      <c r="N2255" s="286">
        <v>591956</v>
      </c>
      <c r="O2255" s="251">
        <f>IF($N2256&gt;0,(LEFT(TEXT($N2256,"000000"),2)+(MID(TEXT($N2256,"000000"),3,2)/60)+(RIGHT(TEXT($N2256,"000000"),2)/3600)),-(MID(TEXT($N2256,"000000"),2,2)+(MID(TEXT($N2256,"000000"),4,2)/60)+(RIGHT(TEXT($N2256,"000000"),2)/3600)))</f>
        <v>-37.785555555555554</v>
      </c>
      <c r="P2255" s="252" t="s">
        <v>34</v>
      </c>
      <c r="Q2255" s="253" t="s">
        <v>2143</v>
      </c>
      <c r="R2255" s="247" t="s">
        <v>3293</v>
      </c>
      <c r="S2255" s="272" t="s">
        <v>3293</v>
      </c>
      <c r="T2255" s="273">
        <v>14.2</v>
      </c>
      <c r="U2255" s="289">
        <v>22.89</v>
      </c>
      <c r="V2255" s="280">
        <v>60</v>
      </c>
      <c r="W2255" s="244"/>
      <c r="X2255" s="244"/>
      <c r="Y2255" s="362"/>
      <c r="Z2255" s="257">
        <f>altaz(J2000_Bas,$O2256,$M2256,DecLat,DecLong,1)</f>
        <v>7.1525921518295306</v>
      </c>
      <c r="AA2255" s="257">
        <f>altaz((J2000_Bas+(2*0.04167)),$O2256,$M2256,DecLat,DecLong,1)</f>
        <v>-11.124189772113995</v>
      </c>
      <c r="AB2255" s="257">
        <f>altaz((J2000_Bas+(4*0.04167)),$O2256,$M2256,DecLat,DecLong,1)</f>
        <v>-32.917099451654686</v>
      </c>
      <c r="AC2255" s="257">
        <f>altaz((J2000_Bas+(6*0.04167)),$O2255,$M2255,DecLat,DecLong,1)</f>
        <v>-56.358788020362077</v>
      </c>
      <c r="AD2255" s="258">
        <f>1+ transit((J2000_Bas-1),$O2255,$M2255,DecLat,DecLong)/360 + (GMTOffset/24) + (IF(DST="Y", 1, 0)/24)</f>
        <v>1.6498906356713747</v>
      </c>
      <c r="AE2255" s="259">
        <f>DATE(2001,9,21)+(M2255/360)*365 - (360*((DecLong/360)- (GMTOffset/24) ))</f>
        <v>37399.801620370374</v>
      </c>
      <c r="AF2255" s="260">
        <f>IF(DecLat&gt;0,IF((90 - (DecLat-O2255))&gt;90, (90 - (O2255-DecLat)), (90 - (DecLat-O2255))),IF((90 + (DecLat-O2255))&gt;90, (90 + (O2255-DecLat)), (90 + (DecLat-O2255))))</f>
        <v>21.214444444444439</v>
      </c>
      <c r="AG2255" s="257">
        <f>angularseperation(MoonRA,MoonDec,$M2256,$O2256)</f>
        <v>15.132464884456347</v>
      </c>
      <c r="AH2255" s="261">
        <f ca="1">MIN(100,IF($O$5&gt;80,0+30*($AG2255/100),IF($O$5&gt;70,0+50*($AG2255/100),IF($O$5&gt;60,5+50*($AG2255/100),IF($O$5&gt;50,10+60*($AG2255/100),IF($O$5&gt;40,15+70*($AG2255/100),IF($O$5&gt;30,20+70*($AG2255/100),IF($O$5&gt;20,40+55*($AG2255/100),(80+(20-$O$5)+30*($AG2255/100))))))))))</f>
        <v>87.810799809487335</v>
      </c>
      <c r="AI2255" s="262">
        <v>5985</v>
      </c>
      <c r="AJ2255" s="262"/>
      <c r="AK2255" s="262"/>
      <c r="AL2255" s="263"/>
      <c r="AM2255" s="264"/>
      <c r="AN2255" s="263"/>
      <c r="AO2255" s="263"/>
      <c r="AP2255" s="265"/>
      <c r="AQ2255" s="266">
        <v>9969</v>
      </c>
      <c r="AR2255" s="267">
        <v>55725</v>
      </c>
      <c r="AS2255" s="263"/>
      <c r="AT2255" s="263"/>
      <c r="AU2255" s="263"/>
      <c r="AV2255" s="264"/>
      <c r="AW2255" s="263"/>
      <c r="AX2255" s="263"/>
      <c r="AY2255" s="263"/>
      <c r="AZ2255" s="263"/>
      <c r="BA2255" s="263"/>
      <c r="BB2255" s="263"/>
      <c r="BC2255" s="263"/>
      <c r="BD2255" s="264"/>
      <c r="BE2255" s="263"/>
      <c r="BF2255" s="263"/>
      <c r="BG2255" s="263"/>
      <c r="BH2255" s="263"/>
      <c r="BI2255" s="263"/>
      <c r="BJ2255" s="404">
        <f>altaz(J2000_Bas,$O2255,$M2255,DecLat,DecLong,2)</f>
        <v>217.267894589902</v>
      </c>
      <c r="BK2255" s="378" t="s">
        <v>2144</v>
      </c>
      <c r="BL2255" s="379">
        <f>IF((2*G2255)/60&lt;0.2,0.2,(2*G2255)/60)</f>
        <v>0.2</v>
      </c>
      <c r="BM2255" s="380">
        <f>MOD((50000+AD2255-$B$3+(0/24)),1)</f>
        <v>0.86525756537594134</v>
      </c>
      <c r="BN2255" s="381"/>
      <c r="BO2255" s="382">
        <v>2246</v>
      </c>
    </row>
    <row r="2256" spans="1:67" s="24" customFormat="1" ht="15" customHeight="1" x14ac:dyDescent="0.25">
      <c r="A2256" s="288" t="s">
        <v>2145</v>
      </c>
      <c r="B2256" s="241" t="str">
        <f>HYPERLINK(CONCATENATE($AT$3,BK2256,$AU$3),$AV$3)</f>
        <v>S</v>
      </c>
      <c r="C2256" s="242" t="str">
        <f>HYPERLINK(CONCATENATE($AT$4,BK2256,$AU$4,BL2256),$AV$4)</f>
        <v>A</v>
      </c>
      <c r="D2256" s="243" t="s">
        <v>5335</v>
      </c>
      <c r="E2256" s="244" t="s">
        <v>5184</v>
      </c>
      <c r="F2256" s="269" t="s">
        <v>3318</v>
      </c>
      <c r="G2256" s="273">
        <v>5</v>
      </c>
      <c r="H2256" s="283">
        <v>30000</v>
      </c>
      <c r="I2256" s="246">
        <v>45</v>
      </c>
      <c r="J2256" s="246">
        <v>2</v>
      </c>
      <c r="K2256" s="247" t="s">
        <v>8263</v>
      </c>
      <c r="L2256" s="248">
        <v>154604</v>
      </c>
      <c r="M2256" s="249">
        <f>15*(LEFT(TEXT($L2256,"000000"),2)+(MID(TEXT($L2256,"000000"),3,2)/60)+(RIGHT(TEXT($L2256,"000000"),2)/3600))</f>
        <v>236.51666666666668</v>
      </c>
      <c r="N2256" s="250">
        <v>-374708</v>
      </c>
      <c r="O2256" s="251">
        <f>IF($N2256&gt;0,(LEFT(TEXT($N2256,"000000"),2)+(MID(TEXT($N2256,"000000"),3,2)/60)+(RIGHT(TEXT($N2256,"000000"),2)/3600)),-(MID(TEXT($N2256,"000000"),2,2)+(MID(TEXT($N2256,"000000"),4,2)/60)+(RIGHT(TEXT($N2256,"000000"),2)/3600)))</f>
        <v>-37.785555555555554</v>
      </c>
      <c r="P2256" s="252" t="s">
        <v>767</v>
      </c>
      <c r="Q2256" s="253"/>
      <c r="R2256" s="247" t="s">
        <v>3293</v>
      </c>
      <c r="S2256" s="272" t="s">
        <v>3293</v>
      </c>
      <c r="T2256" s="273">
        <v>7.6</v>
      </c>
      <c r="U2256" s="274"/>
      <c r="V2256" s="280"/>
      <c r="W2256" s="244"/>
      <c r="X2256" s="244"/>
      <c r="Y2256" s="362"/>
      <c r="Z2256" s="257">
        <f>altaz(J2000_Bas,$O2256,$M2256,DecLat,DecLong,1)</f>
        <v>7.1525921518295306</v>
      </c>
      <c r="AA2256" s="257">
        <f>altaz((J2000_Bas+(2*0.04167)),$O2256,$M2256,DecLat,DecLong,1)</f>
        <v>-11.124189772113995</v>
      </c>
      <c r="AB2256" s="257">
        <f>altaz((J2000_Bas+(4*0.04167)),$O2256,$M2256,DecLat,DecLong,1)</f>
        <v>-32.917099451654686</v>
      </c>
      <c r="AC2256" s="257">
        <f>altaz((J2000_Bas+(6*0.04167)),$O2256,$M2256,DecLat,DecLong,1)</f>
        <v>-56.358788020362077</v>
      </c>
      <c r="AD2256" s="258">
        <f>1+ transit((J2000_Bas-1),$O2256,$M2256,DecLat,DecLong)/360 + (GMTOffset/24) + (IF(DST="Y", 1, 0)/24)</f>
        <v>1.6498906356713747</v>
      </c>
      <c r="AE2256" s="259">
        <f>DATE(2001,9,21)+(M2256/360)*365 - (360*((DecLong/360)- (GMTOffset/24) ))</f>
        <v>37399.801620370374</v>
      </c>
      <c r="AF2256" s="260">
        <f>IF(DecLat&gt;0,IF((90 - (DecLat-O2256))&gt;90, (90 - (O2256-DecLat)), (90 - (DecLat-O2256))),IF((90 + (DecLat-O2256))&gt;90, (90 + (O2256-DecLat)), (90 + (DecLat-O2256))))</f>
        <v>21.214444444444439</v>
      </c>
      <c r="AG2256" s="257">
        <f>angularseperation(MoonRA,MoonDec,$M2256,$O2256)</f>
        <v>15.132464884456347</v>
      </c>
      <c r="AH2256" s="261">
        <f ca="1">MIN(100,IF($O$5&gt;80,0+30*($AG2256/100),IF($O$5&gt;70,0+50*($AG2256/100),IF($O$5&gt;60,5+50*($AG2256/100),IF($O$5&gt;50,10+60*($AG2256/100),IF($O$5&gt;40,15+70*($AG2256/100),IF($O$5&gt;30,20+70*($AG2256/100),IF($O$5&gt;20,40+55*($AG2256/100),(80+(20-$O$5)+30*($AG2256/100))))))))))</f>
        <v>87.810799809487335</v>
      </c>
      <c r="AI2256" s="262">
        <v>5986</v>
      </c>
      <c r="AJ2256" s="262"/>
      <c r="AK2256" s="262"/>
      <c r="AL2256" s="263"/>
      <c r="AM2256" s="264"/>
      <c r="AN2256" s="263"/>
      <c r="AO2256" s="263"/>
      <c r="AP2256" s="265"/>
      <c r="AQ2256" s="266"/>
      <c r="AR2256" s="267"/>
      <c r="AS2256" s="263"/>
      <c r="AT2256" s="263"/>
      <c r="AU2256" s="263"/>
      <c r="AV2256" s="264"/>
      <c r="AW2256" s="263"/>
      <c r="AX2256" s="263"/>
      <c r="AY2256" s="263"/>
      <c r="AZ2256" s="263"/>
      <c r="BA2256" s="263"/>
      <c r="BB2256" s="263"/>
      <c r="BC2256" s="263"/>
      <c r="BD2256" s="264"/>
      <c r="BE2256" s="263">
        <v>77</v>
      </c>
      <c r="BF2256" s="263"/>
      <c r="BG2256" s="263"/>
      <c r="BH2256" s="263"/>
      <c r="BI2256" s="263"/>
      <c r="BJ2256" s="404">
        <f>altaz(J2000_Bas,$O2256,$M2256,DecLat,DecLong,2)</f>
        <v>217.267894589902</v>
      </c>
      <c r="BK2256" s="378" t="s">
        <v>2145</v>
      </c>
      <c r="BL2256" s="379">
        <f>IF((2*G2256)/60&lt;0.2,0.2,(2*G2256)/60)</f>
        <v>0.2</v>
      </c>
      <c r="BM2256" s="380">
        <f>MOD((50000+AD2256-$B$3+(0/24)),1)</f>
        <v>0.86525756537594134</v>
      </c>
      <c r="BN2256" s="381"/>
      <c r="BO2256" s="382">
        <v>2247</v>
      </c>
    </row>
    <row r="2257" spans="1:67" s="24" customFormat="1" ht="15" customHeight="1" x14ac:dyDescent="0.25">
      <c r="A2257" s="288" t="s">
        <v>2146</v>
      </c>
      <c r="B2257" s="241" t="str">
        <f>HYPERLINK(CONCATENATE($AT$3,BK2257,$AU$3),$AV$3)</f>
        <v>S</v>
      </c>
      <c r="C2257" s="242" t="str">
        <f>HYPERLINK(CONCATENATE($AT$4,BK2257,$AU$4,BL2257),$AV$4)</f>
        <v>A</v>
      </c>
      <c r="D2257" s="243" t="s">
        <v>5638</v>
      </c>
      <c r="E2257" s="244" t="s">
        <v>5192</v>
      </c>
      <c r="F2257" s="269" t="s">
        <v>8701</v>
      </c>
      <c r="G2257" s="273">
        <v>4</v>
      </c>
      <c r="H2257" s="283">
        <v>150</v>
      </c>
      <c r="I2257" s="246">
        <v>180</v>
      </c>
      <c r="J2257" s="246">
        <v>3</v>
      </c>
      <c r="K2257" s="247" t="s">
        <v>8264</v>
      </c>
      <c r="L2257" s="248">
        <v>153957</v>
      </c>
      <c r="M2257" s="249">
        <f>15*(LEFT(TEXT($L2257,"000000"),2)+(MID(TEXT($L2257,"000000"),3,2)/60)+(RIGHT(TEXT($L2257,"000000"),2)/3600))</f>
        <v>234.98750000000001</v>
      </c>
      <c r="N2257" s="250">
        <v>580447</v>
      </c>
      <c r="O2257" s="251">
        <f>IF($N2257&gt;0,(LEFT(TEXT($N2257,"000000"),2)+(MID(TEXT($N2257,"000000"),3,2)/60)+(RIGHT(TEXT($N2257,"000000"),2)/3600)),-(MID(TEXT($N2257,"000000"),2,2)+(MID(TEXT($N2257,"000000"),4,2)/60)+(RIGHT(TEXT($N2257,"000000"),2)/3600)))</f>
        <v>58.079722222222223</v>
      </c>
      <c r="P2257" s="252" t="s">
        <v>34</v>
      </c>
      <c r="Q2257" s="253"/>
      <c r="R2257" s="247" t="s">
        <v>3293</v>
      </c>
      <c r="S2257" s="272" t="s">
        <v>3293</v>
      </c>
      <c r="T2257" s="273">
        <v>11.7</v>
      </c>
      <c r="U2257" s="289">
        <v>22.29</v>
      </c>
      <c r="V2257" s="280">
        <v>86</v>
      </c>
      <c r="W2257" s="244"/>
      <c r="X2257" s="244"/>
      <c r="Y2257" s="362"/>
      <c r="Z2257" s="257">
        <f>altaz(J2000_Bas,$O2257,$M2257,DecLat,DecLong,1)</f>
        <v>46.24324725818115</v>
      </c>
      <c r="AA2257" s="257">
        <f>altaz((J2000_Bas+(2*0.04167)),$O2257,$M2257,DecLat,DecLong,1)</f>
        <v>30.482583950843221</v>
      </c>
      <c r="AB2257" s="257">
        <f>altaz((J2000_Bas+(4*0.04167)),$O2257,$M2257,DecLat,DecLong,1)</f>
        <v>15.865388801422213</v>
      </c>
      <c r="AC2257" s="257">
        <f>altaz((J2000_Bas+(6*0.04167)),$O2257,$M2257,DecLat,DecLong,1)</f>
        <v>4.7958794415415653</v>
      </c>
      <c r="AD2257" s="258">
        <f>1+ transit((J2000_Bas-1),$O2257,$M2257,DecLat,DecLong)/360 + (GMTOffset/24) + (IF(DST="Y", 1, 0)/24)</f>
        <v>1.645642950910958</v>
      </c>
      <c r="AE2257" s="259">
        <f>DATE(2001,9,21)+(M2257/360)*365 - (360*((DecLong/360)- (GMTOffset/24) ))</f>
        <v>37398.251215277778</v>
      </c>
      <c r="AF2257" s="260">
        <f>IF(DecLat&gt;0,IF((90 - (DecLat-O2257))&gt;90, (90 - (O2257-DecLat)), (90 - (DecLat-O2257))),IF((90 + (DecLat-O2257))&gt;90, (90 + (O2257-DecLat)), (90 + (DecLat-O2257))))</f>
        <v>62.920277777777777</v>
      </c>
      <c r="AG2257" s="257">
        <f>angularseperation(MoonRA,MoonDec,$M2257,$O2257)</f>
        <v>85.996726508421446</v>
      </c>
      <c r="AH2257" s="261">
        <f ca="1">MIN(100,IF($O$5&gt;80,0+30*($AG2257/100),IF($O$5&gt;70,0+50*($AG2257/100),IF($O$5&gt;60,5+50*($AG2257/100),IF($O$5&gt;50,10+60*($AG2257/100),IF($O$5&gt;40,15+70*($AG2257/100),IF($O$5&gt;30,20+70*($AG2257/100),IF($O$5&gt;20,40+55*($AG2257/100),(80+(20-$O$5)+30*($AG2257/100))))))))))</f>
        <v>100</v>
      </c>
      <c r="AI2257" s="262">
        <v>5987</v>
      </c>
      <c r="AJ2257" s="262"/>
      <c r="AK2257" s="262"/>
      <c r="AL2257" s="263"/>
      <c r="AM2257" s="264"/>
      <c r="AN2257" s="263"/>
      <c r="AO2257" s="263"/>
      <c r="AP2257" s="265"/>
      <c r="AQ2257" s="266">
        <v>9971</v>
      </c>
      <c r="AR2257" s="267">
        <v>55740</v>
      </c>
      <c r="AS2257" s="263"/>
      <c r="AT2257" s="263"/>
      <c r="AU2257" s="263"/>
      <c r="AV2257" s="264"/>
      <c r="AW2257" s="263"/>
      <c r="AX2257" s="263"/>
      <c r="AY2257" s="263"/>
      <c r="AZ2257" s="263"/>
      <c r="BA2257" s="263"/>
      <c r="BB2257" s="263"/>
      <c r="BC2257" s="263"/>
      <c r="BD2257" s="264"/>
      <c r="BE2257" s="263"/>
      <c r="BF2257" s="263"/>
      <c r="BG2257" s="263"/>
      <c r="BH2257" s="263">
        <v>103</v>
      </c>
      <c r="BI2257" s="263"/>
      <c r="BJ2257" s="404">
        <f>altaz(J2000_Bas,$O2257,$M2257,DecLat,DecLong,2)</f>
        <v>323.53949587646105</v>
      </c>
      <c r="BK2257" s="378" t="s">
        <v>2146</v>
      </c>
      <c r="BL2257" s="379">
        <f>IF((2*G2257)/60&lt;0.2,0.2,(2*G2257)/60)</f>
        <v>0.2</v>
      </c>
      <c r="BM2257" s="380">
        <f>MOD((50000+AD2257-$B$3+(0/24)),1)</f>
        <v>0.86100988061662065</v>
      </c>
      <c r="BN2257" s="381" t="s">
        <v>9218</v>
      </c>
      <c r="BO2257" s="382">
        <v>2248</v>
      </c>
    </row>
    <row r="2258" spans="1:67" s="24" customFormat="1" ht="15" customHeight="1" x14ac:dyDescent="0.25">
      <c r="A2258" s="288" t="s">
        <v>8265</v>
      </c>
      <c r="B2258" s="241" t="str">
        <f>HYPERLINK(CONCATENATE($AT$3,BK2258,$AU$3),$AV$3)</f>
        <v>S</v>
      </c>
      <c r="C2258" s="242" t="str">
        <f>HYPERLINK(CONCATENATE($AT$4,BK2258,$AU$4,BL2258),$AV$4)</f>
        <v>A</v>
      </c>
      <c r="D2258" s="243" t="s">
        <v>5638</v>
      </c>
      <c r="E2258" s="244" t="s">
        <v>5178</v>
      </c>
      <c r="F2258" s="269" t="s">
        <v>8646</v>
      </c>
      <c r="G2258" s="273">
        <v>1.1000000000000001</v>
      </c>
      <c r="H2258" s="283">
        <v>439.33184999999997</v>
      </c>
      <c r="I2258" s="246">
        <v>140</v>
      </c>
      <c r="J2258" s="246">
        <v>2</v>
      </c>
      <c r="K2258" s="247" t="s">
        <v>8268</v>
      </c>
      <c r="L2258" s="248">
        <v>154427</v>
      </c>
      <c r="M2258" s="249">
        <f>15*(LEFT(TEXT($L2258,"000000"),2)+(MID(TEXT($L2258,"000000"),3,2)/60)+(RIGHT(TEXT($L2258,"000000"),2)/3600))</f>
        <v>236.11249999999998</v>
      </c>
      <c r="N2258" s="250">
        <v>410718</v>
      </c>
      <c r="O2258" s="251">
        <f>IF($N2258&gt;0,(LEFT(TEXT($N2258,"000000"),2)+(MID(TEXT($N2258,"000000"),3,2)/60)+(RIGHT(TEXT($N2258,"000000"),2)/3600)),-(MID(TEXT($N2258,"000000"),2,2)+(MID(TEXT($N2258,"000000"),4,2)/60)+(RIGHT(TEXT($N2258,"000000"),2)/3600)))</f>
        <v>41.12166666666667</v>
      </c>
      <c r="P2258" s="252" t="s">
        <v>260</v>
      </c>
      <c r="Q2258" s="253"/>
      <c r="R2258" s="277" t="s">
        <v>3293</v>
      </c>
      <c r="S2258" s="272" t="s">
        <v>8266</v>
      </c>
      <c r="T2258" s="273">
        <v>13.1</v>
      </c>
      <c r="U2258" s="289">
        <v>21.89</v>
      </c>
      <c r="V2258" s="280"/>
      <c r="W2258" s="244"/>
      <c r="X2258" s="244"/>
      <c r="Y2258" s="362"/>
      <c r="Z2258" s="257">
        <f>altaz(J2000_Bas,$O2258,$M2258,DecLat,DecLong,1)</f>
        <v>49.001482804283945</v>
      </c>
      <c r="AA2258" s="257">
        <f>altaz((J2000_Bas+(2*0.04167)),$O2258,$M2258,DecLat,DecLong,1)</f>
        <v>26.816121563750968</v>
      </c>
      <c r="AB2258" s="257">
        <f>altaz((J2000_Bas+(4*0.04167)),$O2258,$M2258,DecLat,DecLong,1)</f>
        <v>6.7331246260464042</v>
      </c>
      <c r="AC2258" s="257">
        <f>altaz((J2000_Bas+(6*0.04167)),$O2258,$M2258,DecLat,DecLong,1)</f>
        <v>-9.0309266402651271</v>
      </c>
      <c r="AD2258" s="258">
        <f>1+ transit((J2000_Bas-1),$O2258,$M2258,DecLat,DecLong)/360 + (GMTOffset/24) + (IF(DST="Y", 1, 0)/24)</f>
        <v>1.648767950598458</v>
      </c>
      <c r="AE2258" s="259">
        <f>DATE(2001,9,21)+(M2258/360)*365 - (360*((DecLong/360)- (GMTOffset/24) ))</f>
        <v>37399.391840277778</v>
      </c>
      <c r="AF2258" s="260">
        <f>IF(DecLat&gt;0,IF((90 - (DecLat-O2258))&gt;90, (90 - (O2258-DecLat)), (90 - (DecLat-O2258))),IF((90 + (DecLat-O2258))&gt;90, (90 + (O2258-DecLat)), (90 + (DecLat-O2258))))</f>
        <v>79.87833333333333</v>
      </c>
      <c r="AG2258" s="257">
        <f>angularseperation(MoonRA,MoonDec,$M2258,$O2258)</f>
        <v>69.283641552005307</v>
      </c>
      <c r="AH2258" s="261">
        <f ca="1">MIN(100,IF($O$5&gt;80,0+30*($AG2258/100),IF($O$5&gt;70,0+50*($AG2258/100),IF($O$5&gt;60,5+50*($AG2258/100),IF($O$5&gt;50,10+60*($AG2258/100),IF($O$5&gt;40,15+70*($AG2258/100),IF($O$5&gt;30,20+70*($AG2258/100),IF($O$5&gt;20,40+55*($AG2258/100),(80+(20-$O$5)+30*($AG2258/100))))))))))</f>
        <v>100</v>
      </c>
      <c r="AI2258" s="263">
        <v>5993</v>
      </c>
      <c r="AJ2258" s="263"/>
      <c r="AK2258" s="263"/>
      <c r="AL2258" s="263"/>
      <c r="AM2258" s="264"/>
      <c r="AN2258" s="263"/>
      <c r="AO2258" s="263"/>
      <c r="AP2258" s="265"/>
      <c r="AQ2258" s="265">
        <v>10007</v>
      </c>
      <c r="AR2258" s="285">
        <v>55918</v>
      </c>
      <c r="AS2258" s="263"/>
      <c r="AT2258" s="263"/>
      <c r="AU2258" s="263"/>
      <c r="AV2258" s="264"/>
      <c r="AW2258" s="263"/>
      <c r="AX2258" s="263"/>
      <c r="AY2258" s="263"/>
      <c r="AZ2258" s="263"/>
      <c r="BA2258" s="263"/>
      <c r="BB2258" s="263"/>
      <c r="BC2258" s="263"/>
      <c r="BD2258" s="264"/>
      <c r="BE2258" s="263"/>
      <c r="BF2258" s="263"/>
      <c r="BG2258" s="263"/>
      <c r="BH2258" s="263"/>
      <c r="BI2258" s="263"/>
      <c r="BJ2258" s="404">
        <f>altaz(J2000_Bas,$O2258,$M2258,DecLat,DecLong,2)</f>
        <v>298.57235765663791</v>
      </c>
      <c r="BK2258" s="378" t="s">
        <v>3279</v>
      </c>
      <c r="BL2258" s="379">
        <f>IF((2*G2258)/60&lt;0.2,0.2,(2*G2258)/60)</f>
        <v>0.2</v>
      </c>
      <c r="BM2258" s="380">
        <f>MOD((50000+AD2258-$B$3+(0/24)),1)</f>
        <v>0.8641348802993889</v>
      </c>
      <c r="BN2258" s="381"/>
      <c r="BO2258" s="382">
        <v>2249</v>
      </c>
    </row>
    <row r="2259" spans="1:67" s="24" customFormat="1" ht="15" customHeight="1" x14ac:dyDescent="0.25">
      <c r="A2259" s="288" t="s">
        <v>3151</v>
      </c>
      <c r="B2259" s="241" t="str">
        <f>HYPERLINK(CONCATENATE($AT$3,BK2259,$AU$3),$AV$3)</f>
        <v>S</v>
      </c>
      <c r="C2259" s="242" t="str">
        <f>HYPERLINK(CONCATENATE($AT$4,BK2259,$AU$4,BL2259),$AV$4)</f>
        <v>A</v>
      </c>
      <c r="D2259" s="243" t="s">
        <v>5638</v>
      </c>
      <c r="E2259" s="244" t="s">
        <v>5192</v>
      </c>
      <c r="F2259" s="269" t="s">
        <v>8895</v>
      </c>
      <c r="G2259" s="273">
        <v>1.5</v>
      </c>
      <c r="H2259" s="283">
        <v>130</v>
      </c>
      <c r="I2259" s="246">
        <v>60</v>
      </c>
      <c r="J2259" s="246">
        <v>2</v>
      </c>
      <c r="K2259" s="247" t="s">
        <v>8353</v>
      </c>
      <c r="L2259" s="248">
        <v>155023</v>
      </c>
      <c r="M2259" s="249">
        <f>15*(LEFT(TEXT($L2259,"000000"),2)+(MID(TEXT($L2259,"000000"),3,2)/60)+(RIGHT(TEXT($L2259,"000000"),2)/3600))</f>
        <v>237.59583333333333</v>
      </c>
      <c r="N2259" s="250">
        <v>185618</v>
      </c>
      <c r="O2259" s="251">
        <f>IF($N2259&gt;0,(LEFT(TEXT($N2259,"000000"),2)+(MID(TEXT($N2259,"000000"),3,2)/60)+(RIGHT(TEXT($N2259,"000000"),2)/3600)),-(MID(TEXT($N2259,"000000"),2,2)+(MID(TEXT($N2259,"000000"),4,2)/60)+(RIGHT(TEXT($N2259,"000000"),2)/3600)))</f>
        <v>18.938333333333333</v>
      </c>
      <c r="P2259" s="252" t="s">
        <v>115</v>
      </c>
      <c r="Q2259" s="253"/>
      <c r="R2259" s="277" t="s">
        <v>3293</v>
      </c>
      <c r="S2259" s="272" t="s">
        <v>7868</v>
      </c>
      <c r="T2259" s="273">
        <v>13</v>
      </c>
      <c r="U2259" s="289">
        <v>22.29</v>
      </c>
      <c r="V2259" s="280">
        <v>25</v>
      </c>
      <c r="W2259" s="244"/>
      <c r="X2259" s="244"/>
      <c r="Y2259" s="362"/>
      <c r="Z2259" s="257">
        <f>altaz(J2000_Bas,$O2259,$M2259,DecLat,DecLong,1)</f>
        <v>44.859740029589418</v>
      </c>
      <c r="AA2259" s="257">
        <f>altaz((J2000_Bas+(2*0.04167)),$O2259,$M2259,DecLat,DecLong,1)</f>
        <v>19.203050586644427</v>
      </c>
      <c r="AB2259" s="257">
        <f>altaz((J2000_Bas+(4*0.04167)),$O2259,$M2259,DecLat,DecLong,1)</f>
        <v>-5.2281915157276213</v>
      </c>
      <c r="AC2259" s="257">
        <f>altaz((J2000_Bas+(6*0.04167)),$O2259,$M2259,DecLat,DecLong,1)</f>
        <v>-26.204416598735627</v>
      </c>
      <c r="AD2259" s="258">
        <f>1+ transit((J2000_Bas-1),$O2259,$M2259,DecLat,DecLong)/360 + (GMTOffset/24) + (IF(DST="Y", 1, 0)/24)</f>
        <v>1.6528883205567915</v>
      </c>
      <c r="AE2259" s="259">
        <f>DATE(2001,9,21)+(M2259/360)*365 - (360*((DecLong/360)- (GMTOffset/24) ))</f>
        <v>37400.895775462966</v>
      </c>
      <c r="AF2259" s="260">
        <f>IF(DecLat&gt;0,IF((90 - (DecLat-O2259))&gt;90, (90 - (O2259-DecLat)), (90 - (DecLat-O2259))),IF((90 + (DecLat-O2259))&gt;90, (90 + (O2259-DecLat)), (90 + (DecLat-O2259))))</f>
        <v>77.938333333333333</v>
      </c>
      <c r="AG2259" s="257">
        <f>angularseperation(MoonRA,MoonDec,$M2259,$O2259)</f>
        <v>47.387252197620853</v>
      </c>
      <c r="AH2259" s="261">
        <f ca="1">MIN(100,IF($O$5&gt;80,0+30*($AG2259/100),IF($O$5&gt;70,0+50*($AG2259/100),IF($O$5&gt;60,5+50*($AG2259/100),IF($O$5&gt;50,10+60*($AG2259/100),IF($O$5&gt;40,15+70*($AG2259/100),IF($O$5&gt;30,20+70*($AG2259/100),IF($O$5&gt;20,40+55*($AG2259/100),(80+(20-$O$5)+30*($AG2259/100))))))))))</f>
        <v>97.487236003436692</v>
      </c>
      <c r="AI2259" s="263">
        <v>6004</v>
      </c>
      <c r="AJ2259" s="263"/>
      <c r="AK2259" s="263"/>
      <c r="AL2259" s="263"/>
      <c r="AM2259" s="264"/>
      <c r="AN2259" s="263"/>
      <c r="AO2259" s="263"/>
      <c r="AP2259" s="265"/>
      <c r="AQ2259" s="265">
        <v>10056</v>
      </c>
      <c r="AR2259" s="285">
        <v>56166</v>
      </c>
      <c r="AS2259" s="263"/>
      <c r="AT2259" s="263"/>
      <c r="AU2259" s="263"/>
      <c r="AV2259" s="264"/>
      <c r="AW2259" s="263"/>
      <c r="AX2259" s="263"/>
      <c r="AY2259" s="263"/>
      <c r="AZ2259" s="263"/>
      <c r="BA2259" s="263"/>
      <c r="BB2259" s="263"/>
      <c r="BC2259" s="263"/>
      <c r="BD2259" s="264"/>
      <c r="BE2259" s="263"/>
      <c r="BF2259" s="263"/>
      <c r="BG2259" s="263"/>
      <c r="BH2259" s="263"/>
      <c r="BI2259" s="263"/>
      <c r="BJ2259" s="404">
        <f>altaz(J2000_Bas,$O2259,$M2259,DecLat,DecLong,2)</f>
        <v>266.34396404420909</v>
      </c>
      <c r="BK2259" s="378" t="s">
        <v>3151</v>
      </c>
      <c r="BL2259" s="379">
        <f>IF((2*G2259)/60&lt;0.2,0.2,(2*G2259)/60)</f>
        <v>0.2</v>
      </c>
      <c r="BM2259" s="380">
        <f>MOD((50000+AD2259-$B$3+(0/24)),1)</f>
        <v>0.86825525025778916</v>
      </c>
      <c r="BN2259" s="381"/>
      <c r="BO2259" s="382">
        <v>2250</v>
      </c>
    </row>
    <row r="2260" spans="1:67" s="24" customFormat="1" ht="15" customHeight="1" x14ac:dyDescent="0.25">
      <c r="A2260" s="287" t="s">
        <v>3236</v>
      </c>
      <c r="B2260" s="241" t="str">
        <f>HYPERLINK(CONCATENATE($AT$3,BK2260,$AU$3),$AV$3)</f>
        <v>S</v>
      </c>
      <c r="C2260" s="242" t="str">
        <f>HYPERLINK(CONCATENATE($AT$4,BK2260,$AU$4,BL2260),$AV$4)</f>
        <v>A</v>
      </c>
      <c r="D2260" s="243" t="s">
        <v>5638</v>
      </c>
      <c r="E2260" s="244" t="s">
        <v>5192</v>
      </c>
      <c r="F2260" s="269" t="s">
        <v>8693</v>
      </c>
      <c r="G2260" s="273">
        <v>1.5</v>
      </c>
      <c r="H2260" s="283">
        <v>345</v>
      </c>
      <c r="I2260" s="246">
        <v>140</v>
      </c>
      <c r="J2260" s="246">
        <v>2</v>
      </c>
      <c r="K2260" s="247" t="s">
        <v>7869</v>
      </c>
      <c r="L2260" s="248">
        <v>155323</v>
      </c>
      <c r="M2260" s="249">
        <f>15*(LEFT(TEXT($L2260,"000000"),2)+(MID(TEXT($L2260,"000000"),3,2)/60)+(RIGHT(TEXT($L2260,"000000"),2)/3600))</f>
        <v>238.34583333333333</v>
      </c>
      <c r="N2260" s="250">
        <v>115733</v>
      </c>
      <c r="O2260" s="251">
        <f>IF($N2260&gt;0,(LEFT(TEXT($N2260,"000000"),2)+(MID(TEXT($N2260,"000000"),3,2)/60)+(RIGHT(TEXT($N2260,"000000"),2)/3600)),-(MID(TEXT($N2260,"000000"),2,2)+(MID(TEXT($N2260,"000000"),4,2)/60)+(RIGHT(TEXT($N2260,"000000"),2)/3600)))</f>
        <v>11.959166666666667</v>
      </c>
      <c r="P2260" s="252" t="s">
        <v>115</v>
      </c>
      <c r="Q2260" s="253"/>
      <c r="R2260" s="277" t="s">
        <v>3293</v>
      </c>
      <c r="S2260" s="272" t="s">
        <v>3293</v>
      </c>
      <c r="T2260" s="273">
        <v>13.2</v>
      </c>
      <c r="U2260" s="289">
        <v>22.69</v>
      </c>
      <c r="V2260" s="280">
        <v>25</v>
      </c>
      <c r="W2260" s="244"/>
      <c r="X2260" s="244"/>
      <c r="Y2260" s="362"/>
      <c r="Z2260" s="257">
        <f>altaz(J2000_Bas,$O2260,$M2260,DecLat,DecLong,1)</f>
        <v>42.187137977410067</v>
      </c>
      <c r="AA2260" s="257">
        <f>altaz((J2000_Bas+(2*0.04167)),$O2260,$M2260,DecLat,DecLong,1)</f>
        <v>16.545196526080012</v>
      </c>
      <c r="AB2260" s="257">
        <f>altaz((J2000_Bas+(4*0.04167)),$O2260,$M2260,DecLat,DecLong,1)</f>
        <v>-8.6258839324384358</v>
      </c>
      <c r="AC2260" s="257">
        <f>altaz((J2000_Bas+(6*0.04167)),$O2260,$M2260,DecLat,DecLong,1)</f>
        <v>-31.035719119406831</v>
      </c>
      <c r="AD2260" s="258">
        <f>1+ transit((J2000_Bas-1),$O2260,$M2260,DecLat,DecLong)/360 + (GMTOffset/24) + (IF(DST="Y", 1, 0)/24)</f>
        <v>1.6549716536817913</v>
      </c>
      <c r="AE2260" s="259">
        <f>DATE(2001,9,21)+(M2260/360)*365 - (360*((DecLong/360)- (GMTOffset/24) ))</f>
        <v>37401.656192129631</v>
      </c>
      <c r="AF2260" s="260">
        <f>IF(DecLat&gt;0,IF((90 - (DecLat-O2260))&gt;90, (90 - (O2260-DecLat)), (90 - (DecLat-O2260))),IF((90 + (DecLat-O2260))&gt;90, (90 + (O2260-DecLat)), (90 + (DecLat-O2260))))</f>
        <v>70.959166666666675</v>
      </c>
      <c r="AG2260" s="257">
        <f>angularseperation(MoonRA,MoonDec,$M2260,$O2260)</f>
        <v>40.450423864116779</v>
      </c>
      <c r="AH2260" s="261">
        <f ca="1">MIN(100,IF($O$5&gt;80,0+30*($AG2260/100),IF($O$5&gt;70,0+50*($AG2260/100),IF($O$5&gt;60,5+50*($AG2260/100),IF($O$5&gt;50,10+60*($AG2260/100),IF($O$5&gt;40,15+70*($AG2260/100),IF($O$5&gt;30,20+70*($AG2260/100),IF($O$5&gt;20,40+55*($AG2260/100),(80+(20-$O$5)+30*($AG2260/100))))))))))</f>
        <v>95.406187503385468</v>
      </c>
      <c r="AI2260" s="263">
        <v>6007</v>
      </c>
      <c r="AJ2260" s="263"/>
      <c r="AK2260" s="263"/>
      <c r="AL2260" s="263"/>
      <c r="AM2260" s="264"/>
      <c r="AN2260" s="263"/>
      <c r="AO2260" s="263"/>
      <c r="AP2260" s="265"/>
      <c r="AQ2260" s="265">
        <v>10079</v>
      </c>
      <c r="AR2260" s="285">
        <v>56309</v>
      </c>
      <c r="AS2260" s="263"/>
      <c r="AT2260" s="263"/>
      <c r="AU2260" s="263"/>
      <c r="AV2260" s="264"/>
      <c r="AW2260" s="263"/>
      <c r="AX2260" s="263"/>
      <c r="AY2260" s="263"/>
      <c r="AZ2260" s="263"/>
      <c r="BA2260" s="263"/>
      <c r="BB2260" s="263"/>
      <c r="BC2260" s="263"/>
      <c r="BD2260" s="264"/>
      <c r="BE2260" s="263"/>
      <c r="BF2260" s="263"/>
      <c r="BG2260" s="263"/>
      <c r="BH2260" s="263"/>
      <c r="BI2260" s="263"/>
      <c r="BJ2260" s="404">
        <f>altaz(J2000_Bas,$O2260,$M2260,DecLat,DecLong,2)</f>
        <v>257.38948427032739</v>
      </c>
      <c r="BK2260" s="378" t="s">
        <v>3236</v>
      </c>
      <c r="BL2260" s="379">
        <f>IF((2*G2260)/60&lt;0.2,0.2,(2*G2260)/60)</f>
        <v>0.2</v>
      </c>
      <c r="BM2260" s="380">
        <f>MOD((50000+AD2260-$B$3+(0/24)),1)</f>
        <v>0.87033858338691061</v>
      </c>
      <c r="BN2260" s="381"/>
      <c r="BO2260" s="382">
        <v>2251</v>
      </c>
    </row>
    <row r="2261" spans="1:67" s="24" customFormat="1" ht="15" customHeight="1" x14ac:dyDescent="0.25">
      <c r="A2261" s="288" t="s">
        <v>2147</v>
      </c>
      <c r="B2261" s="241" t="str">
        <f>HYPERLINK(CONCATENATE($AT$3,BK2261,$AU$3),$AV$3)</f>
        <v>S</v>
      </c>
      <c r="C2261" s="242" t="str">
        <f>HYPERLINK(CONCATENATE($AT$4,BK2261,$AU$4,BL2261),$AV$4)</f>
        <v>A</v>
      </c>
      <c r="D2261" s="243" t="s">
        <v>5638</v>
      </c>
      <c r="E2261" s="244" t="s">
        <v>5192</v>
      </c>
      <c r="F2261" s="269" t="s">
        <v>8914</v>
      </c>
      <c r="G2261" s="273">
        <v>3.3</v>
      </c>
      <c r="H2261" s="283">
        <v>90</v>
      </c>
      <c r="I2261" s="246">
        <v>90</v>
      </c>
      <c r="J2261" s="246">
        <v>3</v>
      </c>
      <c r="K2261" s="247" t="s">
        <v>7870</v>
      </c>
      <c r="L2261" s="248">
        <v>155414</v>
      </c>
      <c r="M2261" s="249">
        <f>15*(LEFT(TEXT($L2261,"000000"),2)+(MID(TEXT($L2261,"000000"),3,2)/60)+(RIGHT(TEXT($L2261,"000000"),2)/3600))</f>
        <v>238.55833333333334</v>
      </c>
      <c r="N2261" s="250">
        <v>143606</v>
      </c>
      <c r="O2261" s="251">
        <f>IF($N2261&gt;0,(LEFT(TEXT($N2261,"000000"),2)+(MID(TEXT($N2261,"000000"),3,2)/60)+(RIGHT(TEXT($N2261,"000000"),2)/3600)),-(MID(TEXT($N2261,"000000"),2,2)+(MID(TEXT($N2261,"000000"),4,2)/60)+(RIGHT(TEXT($N2261,"000000"),2)/3600)))</f>
        <v>14.601666666666667</v>
      </c>
      <c r="P2261" s="252" t="s">
        <v>115</v>
      </c>
      <c r="Q2261" s="253"/>
      <c r="R2261" s="247" t="s">
        <v>3293</v>
      </c>
      <c r="S2261" s="272" t="s">
        <v>3293</v>
      </c>
      <c r="T2261" s="273">
        <v>12.4</v>
      </c>
      <c r="U2261" s="289">
        <v>21.990000000000002</v>
      </c>
      <c r="V2261" s="280">
        <v>45</v>
      </c>
      <c r="W2261" s="244"/>
      <c r="X2261" s="244"/>
      <c r="Y2261" s="362"/>
      <c r="Z2261" s="257">
        <f>altaz(J2000_Bas,$O2261,$M2261,DecLat,DecLong,1)</f>
        <v>43.695395751718394</v>
      </c>
      <c r="AA2261" s="257">
        <f>altaz((J2000_Bas+(2*0.04167)),$O2261,$M2261,DecLat,DecLong,1)</f>
        <v>17.996870483305958</v>
      </c>
      <c r="AB2261" s="257">
        <f>altaz((J2000_Bas+(4*0.04167)),$O2261,$M2261,DecLat,DecLong,1)</f>
        <v>-6.9587845463145772</v>
      </c>
      <c r="AC2261" s="257">
        <f>altaz((J2000_Bas+(6*0.04167)),$O2261,$M2261,DecLat,DecLong,1)</f>
        <v>-28.924122379757815</v>
      </c>
      <c r="AD2261" s="258">
        <f>1+ transit((J2000_Bas-1),$O2261,$M2261,DecLat,DecLong)/360 + (GMTOffset/24) + (IF(DST="Y", 1, 0)/24)</f>
        <v>1.6555619314005414</v>
      </c>
      <c r="AE2261" s="259">
        <f>DATE(2001,9,21)+(M2261/360)*365 - (360*((DecLong/360)- (GMTOffset/24) ))</f>
        <v>37401.87164351852</v>
      </c>
      <c r="AF2261" s="260">
        <f>IF(DecLat&gt;0,IF((90 - (DecLat-O2261))&gt;90, (90 - (O2261-DecLat)), (90 - (DecLat-O2261))),IF((90 + (DecLat-O2261))&gt;90, (90 + (O2261-DecLat)), (90 + (DecLat-O2261))))</f>
        <v>73.601666666666659</v>
      </c>
      <c r="AG2261" s="257">
        <f>angularseperation(MoonRA,MoonDec,$M2261,$O2261)</f>
        <v>42.956709108833294</v>
      </c>
      <c r="AH2261" s="261">
        <f ca="1">MIN(100,IF($O$5&gt;80,0+30*($AG2261/100),IF($O$5&gt;70,0+50*($AG2261/100),IF($O$5&gt;60,5+50*($AG2261/100),IF($O$5&gt;50,10+60*($AG2261/100),IF($O$5&gt;40,15+70*($AG2261/100),IF($O$5&gt;30,20+70*($AG2261/100),IF($O$5&gt;20,40+55*($AG2261/100),(80+(20-$O$5)+30*($AG2261/100))))))))))</f>
        <v>96.15807307680042</v>
      </c>
      <c r="AI2261" s="262">
        <v>6012</v>
      </c>
      <c r="AJ2261" s="262"/>
      <c r="AK2261" s="262"/>
      <c r="AL2261" s="263"/>
      <c r="AM2261" s="264"/>
      <c r="AN2261" s="263"/>
      <c r="AO2261" s="263"/>
      <c r="AP2261" s="265"/>
      <c r="AQ2261" s="266">
        <v>10083</v>
      </c>
      <c r="AR2261" s="267">
        <v>56334</v>
      </c>
      <c r="AS2261" s="263"/>
      <c r="AT2261" s="263"/>
      <c r="AU2261" s="263"/>
      <c r="AV2261" s="264"/>
      <c r="AW2261" s="263"/>
      <c r="AX2261" s="263"/>
      <c r="AY2261" s="263"/>
      <c r="AZ2261" s="263"/>
      <c r="BA2261" s="263"/>
      <c r="BB2261" s="263"/>
      <c r="BC2261" s="263"/>
      <c r="BD2261" s="264"/>
      <c r="BE2261" s="263"/>
      <c r="BF2261" s="263"/>
      <c r="BG2261" s="263"/>
      <c r="BH2261" s="263"/>
      <c r="BI2261" s="263"/>
      <c r="BJ2261" s="404">
        <f>altaz(J2000_Bas,$O2261,$M2261,DecLat,DecLong,2)</f>
        <v>260.36735454073187</v>
      </c>
      <c r="BK2261" s="378" t="s">
        <v>2147</v>
      </c>
      <c r="BL2261" s="379">
        <f>IF((2*G2261)/60&lt;0.2,0.2,(2*G2261)/60)</f>
        <v>0.2</v>
      </c>
      <c r="BM2261" s="380">
        <f>MOD((50000+AD2261-$B$3+(0/24)),1)</f>
        <v>0.87092886110622203</v>
      </c>
      <c r="BN2261" s="381"/>
      <c r="BO2261" s="382">
        <v>2252</v>
      </c>
    </row>
    <row r="2262" spans="1:67" s="24" customFormat="1" ht="15" customHeight="1" x14ac:dyDescent="0.25">
      <c r="A2262" s="288" t="s">
        <v>2148</v>
      </c>
      <c r="B2262" s="241" t="str">
        <f>HYPERLINK(CONCATENATE($AT$3,BK2262,$AU$3),$AV$3)</f>
        <v>S</v>
      </c>
      <c r="C2262" s="242" t="str">
        <f>HYPERLINK(CONCATENATE($AT$4,BK2262,$AU$4,BL2262),$AV$4)</f>
        <v>A</v>
      </c>
      <c r="D2262" s="243" t="s">
        <v>5638</v>
      </c>
      <c r="E2262" s="244" t="s">
        <v>4292</v>
      </c>
      <c r="F2262" s="269"/>
      <c r="G2262" s="273">
        <v>5</v>
      </c>
      <c r="H2262" s="283">
        <v>40</v>
      </c>
      <c r="I2262" s="246">
        <v>60</v>
      </c>
      <c r="J2262" s="246">
        <v>2</v>
      </c>
      <c r="K2262" s="247" t="s">
        <v>7871</v>
      </c>
      <c r="L2262" s="248">
        <v>155125</v>
      </c>
      <c r="M2262" s="249">
        <f>15*(LEFT(TEXT($L2262,"000000"),2)+(MID(TEXT($L2262,"000000"),3,2)/60)+(RIGHT(TEXT($L2262,"000000"),2)/3600))</f>
        <v>237.85416666666666</v>
      </c>
      <c r="N2262" s="250">
        <v>621835</v>
      </c>
      <c r="O2262" s="251">
        <f>IF($N2262&gt;0,(LEFT(TEXT($N2262,"000000"),2)+(MID(TEXT($N2262,"000000"),3,2)/60)+(RIGHT(TEXT($N2262,"000000"),2)/3600)),-(MID(TEXT($N2262,"000000"),2,2)+(MID(TEXT($N2262,"000000"),4,2)/60)+(RIGHT(TEXT($N2262,"000000"),2)/3600)))</f>
        <v>62.30972222222222</v>
      </c>
      <c r="P2262" s="252" t="s">
        <v>34</v>
      </c>
      <c r="Q2262" s="253"/>
      <c r="R2262" s="247" t="s">
        <v>3293</v>
      </c>
      <c r="S2262" s="272" t="s">
        <v>3293</v>
      </c>
      <c r="T2262" s="273">
        <v>11.1</v>
      </c>
      <c r="U2262" s="289">
        <v>22.490000000000002</v>
      </c>
      <c r="V2262" s="280">
        <v>65</v>
      </c>
      <c r="W2262" s="244"/>
      <c r="X2262" s="244"/>
      <c r="Y2262" s="362"/>
      <c r="Z2262" s="257">
        <f>altaz(J2000_Bas,$O2262,$M2262,DecLat,DecLong,1)</f>
        <v>46.204230938304974</v>
      </c>
      <c r="AA2262" s="257">
        <f>altaz((J2000_Bas+(2*0.04167)),$O2262,$M2262,DecLat,DecLong,1)</f>
        <v>32.498805303081056</v>
      </c>
      <c r="AB2262" s="257">
        <f>altaz((J2000_Bas+(4*0.04167)),$O2262,$M2262,DecLat,DecLong,1)</f>
        <v>19.321418721963642</v>
      </c>
      <c r="AC2262" s="257">
        <f>altaz((J2000_Bas+(6*0.04167)),$O2262,$M2262,DecLat,DecLong,1)</f>
        <v>9.1013011291230779</v>
      </c>
      <c r="AD2262" s="258">
        <f>1+ transit((J2000_Bas-1),$O2262,$M2262,DecLat,DecLong)/360 + (GMTOffset/24) + (IF(DST="Y", 1, 0)/24)</f>
        <v>1.6536059130776246</v>
      </c>
      <c r="AE2262" s="259">
        <f>DATE(2001,9,21)+(M2262/360)*365 - (360*((DecLong/360)- (GMTOffset/24) ))</f>
        <v>37401.157696759263</v>
      </c>
      <c r="AF2262" s="260">
        <f>IF(DecLat&gt;0,IF((90 - (DecLat-O2262))&gt;90, (90 - (O2262-DecLat)), (90 - (DecLat-O2262))),IF((90 + (DecLat-O2262))&gt;90, (90 + (O2262-DecLat)), (90 + (DecLat-O2262))))</f>
        <v>58.69027777777778</v>
      </c>
      <c r="AG2262" s="257">
        <f>angularseperation(MoonRA,MoonDec,$M2262,$O2262)</f>
        <v>89.86050015011746</v>
      </c>
      <c r="AH2262" s="261">
        <f ca="1">MIN(100,IF($O$5&gt;80,0+30*($AG2262/100),IF($O$5&gt;70,0+50*($AG2262/100),IF($O$5&gt;60,5+50*($AG2262/100),IF($O$5&gt;50,10+60*($AG2262/100),IF($O$5&gt;40,15+70*($AG2262/100),IF($O$5&gt;30,20+70*($AG2262/100),IF($O$5&gt;20,40+55*($AG2262/100),(80+(20-$O$5)+30*($AG2262/100))))))))))</f>
        <v>100</v>
      </c>
      <c r="AI2262" s="262">
        <v>6015</v>
      </c>
      <c r="AJ2262" s="262"/>
      <c r="AK2262" s="262"/>
      <c r="AL2262" s="263"/>
      <c r="AM2262" s="264"/>
      <c r="AN2262" s="263"/>
      <c r="AO2262" s="263"/>
      <c r="AP2262" s="265"/>
      <c r="AQ2262" s="266">
        <v>10075</v>
      </c>
      <c r="AR2262" s="267">
        <v>56219</v>
      </c>
      <c r="AS2262" s="263"/>
      <c r="AT2262" s="263"/>
      <c r="AU2262" s="263"/>
      <c r="AV2262" s="264"/>
      <c r="AW2262" s="263"/>
      <c r="AX2262" s="263"/>
      <c r="AY2262" s="263"/>
      <c r="AZ2262" s="263"/>
      <c r="BA2262" s="263"/>
      <c r="BB2262" s="263"/>
      <c r="BC2262" s="263"/>
      <c r="BD2262" s="264"/>
      <c r="BE2262" s="263"/>
      <c r="BF2262" s="263"/>
      <c r="BG2262" s="263"/>
      <c r="BH2262" s="263"/>
      <c r="BI2262" s="263"/>
      <c r="BJ2262" s="404">
        <f>altaz(J2000_Bas,$O2262,$M2262,DecLat,DecLong,2)</f>
        <v>329.99111971006857</v>
      </c>
      <c r="BK2262" s="378" t="s">
        <v>2148</v>
      </c>
      <c r="BL2262" s="379">
        <f>IF((2*G2262)/60&lt;0.2,0.2,(2*G2262)/60)</f>
        <v>0.2</v>
      </c>
      <c r="BM2262" s="380">
        <f>MOD((50000+AD2262-$B$3+(0/24)),1)</f>
        <v>0.868972842778021</v>
      </c>
      <c r="BN2262" s="381"/>
      <c r="BO2262" s="382">
        <v>2253</v>
      </c>
    </row>
    <row r="2263" spans="1:67" s="24" customFormat="1" ht="15" customHeight="1" x14ac:dyDescent="0.25">
      <c r="A2263" s="298" t="s">
        <v>2149</v>
      </c>
      <c r="B2263" s="241" t="str">
        <f>HYPERLINK(CONCATENATE($AT$3,BK2263,$AU$3),$AV$3)</f>
        <v>S</v>
      </c>
      <c r="C2263" s="242" t="str">
        <f>HYPERLINK(CONCATENATE($AT$4,BK2263,$AU$4,BL2263),$AV$4)</f>
        <v>A</v>
      </c>
      <c r="D2263" s="243" t="s">
        <v>5335</v>
      </c>
      <c r="E2263" s="244" t="s">
        <v>5185</v>
      </c>
      <c r="F2263" s="269" t="s">
        <v>7872</v>
      </c>
      <c r="G2263" s="276">
        <v>12</v>
      </c>
      <c r="H2263" s="283">
        <v>2450</v>
      </c>
      <c r="I2263" s="279">
        <v>9</v>
      </c>
      <c r="J2263" s="246">
        <v>2</v>
      </c>
      <c r="K2263" s="247" t="s">
        <v>8580</v>
      </c>
      <c r="L2263" s="248">
        <v>160307</v>
      </c>
      <c r="M2263" s="249">
        <f>15*(LEFT(TEXT($L2263,"000000"),2)+(MID(TEXT($L2263,"000000"),3,2)/60)+(RIGHT(TEXT($L2263,"000000"),2)/3600))</f>
        <v>240.77916666666667</v>
      </c>
      <c r="N2263" s="286">
        <v>-602543</v>
      </c>
      <c r="O2263" s="251">
        <f>IF($N2263&gt;0,(LEFT(TEXT($N2263,"000000"),2)+(MID(TEXT($N2263,"000000"),3,2)/60)+(RIGHT(TEXT($N2263,"000000"),2)/3600)),-(MID(TEXT($N2263,"000000"),2,2)+(MID(TEXT($N2263,"000000"),4,2)/60)+(RIGHT(TEXT($N2263,"000000"),2)/3600)))</f>
        <v>-60.42861111111111</v>
      </c>
      <c r="P2263" s="252" t="s">
        <v>2150</v>
      </c>
      <c r="Q2263" s="253"/>
      <c r="R2263" s="247" t="s">
        <v>7407</v>
      </c>
      <c r="S2263" s="272" t="s">
        <v>3293</v>
      </c>
      <c r="T2263" s="273">
        <v>5.0999999999999996</v>
      </c>
      <c r="U2263" s="274"/>
      <c r="V2263" s="280"/>
      <c r="W2263" s="244"/>
      <c r="X2263" s="244"/>
      <c r="Y2263" s="362"/>
      <c r="Z2263" s="257">
        <f>altaz(J2000_Bas,$O2263,$M2263,DecLat,DecLong,1)</f>
        <v>-8.6268995164943387</v>
      </c>
      <c r="AA2263" s="257">
        <f>altaz((J2000_Bas+(2*0.04167)),$O2263,$M2263,DecLat,DecLong,1)</f>
        <v>-19.917261092399588</v>
      </c>
      <c r="AB2263" s="257">
        <f>altaz((J2000_Bas+(4*0.04167)),$O2263,$M2263,DecLat,DecLong,1)</f>
        <v>-34.071850895180901</v>
      </c>
      <c r="AC2263" s="257">
        <f>altaz((J2000_Bas+(6*0.04167)),$O2263,$M2263,DecLat,DecLong,1)</f>
        <v>-48.551378272212027</v>
      </c>
      <c r="AD2263" s="258">
        <f>1+ transit((J2000_Bas-1),$O2263,$M2263,DecLat,DecLong)/360 + (GMTOffset/24) + (IF(DST="Y", 1, 0)/24)</f>
        <v>1.6617309122651247</v>
      </c>
      <c r="AE2263" s="259">
        <f>DATE(2001,9,21)+(M2263/360)*365 - (360*((DecLong/360)- (GMTOffset/24) ))</f>
        <v>37404.12332175926</v>
      </c>
      <c r="AF2263" s="260">
        <f>IF(DecLat&gt;0,IF((90 - (DecLat-O2263))&gt;90, (90 - (O2263-DecLat)), (90 - (DecLat-O2263))),IF((90 + (DecLat-O2263))&gt;90, (90 + (O2263-DecLat)), (90 + (DecLat-O2263))))</f>
        <v>-1.4286111111111097</v>
      </c>
      <c r="AG2263" s="257">
        <f>angularseperation(MoonRA,MoonDec,$M2263,$O2263)</f>
        <v>33.83995341321117</v>
      </c>
      <c r="AH2263" s="261">
        <f ca="1">MIN(100,IF($O$5&gt;80,0+30*($AG2263/100),IF($O$5&gt;70,0+50*($AG2263/100),IF($O$5&gt;60,5+50*($AG2263/100),IF($O$5&gt;50,10+60*($AG2263/100),IF($O$5&gt;40,15+70*($AG2263/100),IF($O$5&gt;30,20+70*($AG2263/100),IF($O$5&gt;20,40+55*($AG2263/100),(80+(20-$O$5)+30*($AG2263/100))))))))))</f>
        <v>93.423046368113773</v>
      </c>
      <c r="AI2263" s="262">
        <v>6025</v>
      </c>
      <c r="AJ2263" s="262"/>
      <c r="AK2263" s="262"/>
      <c r="AL2263" s="263"/>
      <c r="AM2263" s="264">
        <v>95</v>
      </c>
      <c r="AN2263" s="263"/>
      <c r="AO2263" s="263"/>
      <c r="AP2263" s="265"/>
      <c r="AQ2263" s="266"/>
      <c r="AR2263" s="267"/>
      <c r="AS2263" s="263"/>
      <c r="AT2263" s="263"/>
      <c r="AU2263" s="263"/>
      <c r="AV2263" s="264"/>
      <c r="AW2263" s="263"/>
      <c r="AX2263" s="263"/>
      <c r="AY2263" s="263"/>
      <c r="AZ2263" s="263"/>
      <c r="BA2263" s="263"/>
      <c r="BB2263" s="263"/>
      <c r="BC2263" s="263"/>
      <c r="BD2263" s="264"/>
      <c r="BE2263" s="263"/>
      <c r="BF2263" s="263"/>
      <c r="BG2263" s="263"/>
      <c r="BH2263" s="263"/>
      <c r="BI2263" s="263"/>
      <c r="BJ2263" s="404">
        <f>altaz(J2000_Bas,$O2263,$M2263,DecLat,DecLong,2)</f>
        <v>200.75237390347314</v>
      </c>
      <c r="BK2263" s="378" t="s">
        <v>2149</v>
      </c>
      <c r="BL2263" s="379">
        <f>IF((2*G2263)/60&lt;0.2,0.2,(2*G2263)/60)</f>
        <v>0.4</v>
      </c>
      <c r="BM2263" s="380">
        <f>MOD((50000+AD2263-$B$3+(0/24)),1)</f>
        <v>0.87709784197068075</v>
      </c>
      <c r="BN2263" s="381"/>
      <c r="BO2263" s="382">
        <v>2254</v>
      </c>
    </row>
    <row r="2264" spans="1:67" s="24" customFormat="1" ht="15" customHeight="1" x14ac:dyDescent="0.25">
      <c r="A2264" s="288" t="s">
        <v>2151</v>
      </c>
      <c r="B2264" s="241" t="str">
        <f>HYPERLINK(CONCATENATE($AT$3,BK2264,$AU$3),$AV$3)</f>
        <v>S</v>
      </c>
      <c r="C2264" s="242" t="str">
        <f>HYPERLINK(CONCATENATE($AT$4,BK2264,$AU$4,BL2264),$AV$4)</f>
        <v>A</v>
      </c>
      <c r="D2264" s="243" t="s">
        <v>5187</v>
      </c>
      <c r="E2264" s="244" t="s">
        <v>5181</v>
      </c>
      <c r="F2264" s="293" t="s">
        <v>7874</v>
      </c>
      <c r="G2264" s="273">
        <v>1</v>
      </c>
      <c r="H2264" s="283">
        <v>9500</v>
      </c>
      <c r="I2264" s="279">
        <v>3</v>
      </c>
      <c r="J2264" s="246">
        <v>2</v>
      </c>
      <c r="K2264" s="247" t="s">
        <v>7873</v>
      </c>
      <c r="L2264" s="248">
        <v>160121</v>
      </c>
      <c r="M2264" s="249">
        <f>15*(LEFT(TEXT($L2264,"000000"),2)+(MID(TEXT($L2264,"000000"),3,2)/60)+(RIGHT(TEXT($L2264,"000000"),2)/3600))</f>
        <v>240.33749999999995</v>
      </c>
      <c r="N2264" s="250">
        <v>-343237</v>
      </c>
      <c r="O2264" s="251">
        <f>IF($N2264&gt;0,(LEFT(TEXT($N2264,"000000"),2)+(MID(TEXT($N2264,"000000"),3,2)/60)+(RIGHT(TEXT($N2264,"000000"),2)/3600)),-(MID(TEXT($N2264,"000000"),2,2)+(MID(TEXT($N2264,"000000"),4,2)/60)+(RIGHT(TEXT($N2264,"000000"),2)/3600)))</f>
        <v>-34.543611111111112</v>
      </c>
      <c r="P2264" s="252" t="s">
        <v>767</v>
      </c>
      <c r="Q2264" s="253"/>
      <c r="R2264" s="247" t="s">
        <v>3293</v>
      </c>
      <c r="S2264" s="272" t="s">
        <v>3293</v>
      </c>
      <c r="T2264" s="273">
        <v>12.9</v>
      </c>
      <c r="U2264" s="274"/>
      <c r="V2264" s="280"/>
      <c r="W2264" s="244"/>
      <c r="X2264" s="244"/>
      <c r="Y2264" s="362"/>
      <c r="Z2264" s="257">
        <f>altaz(J2000_Bas,$O2264,$M2264,DecLat,DecLong,1)</f>
        <v>11.617423884865136</v>
      </c>
      <c r="AA2264" s="257">
        <f>altaz((J2000_Bas+(2*0.04167)),$O2264,$M2264,DecLat,DecLong,1)</f>
        <v>-6.7908110573194298</v>
      </c>
      <c r="AB2264" s="257">
        <f>altaz((J2000_Bas+(4*0.04167)),$O2264,$M2264,DecLat,DecLong,1)</f>
        <v>-28.992251579975864</v>
      </c>
      <c r="AC2264" s="257">
        <f>altaz((J2000_Bas+(6*0.04167)),$O2264,$M2264,DecLat,DecLong,1)</f>
        <v>-53.056975648212514</v>
      </c>
      <c r="AD2264" s="258">
        <f>1+ transit((J2000_Bas-1),$O2264,$M2264,DecLat,DecLong)/360 + (GMTOffset/24) + (IF(DST="Y", 1, 0)/24)</f>
        <v>1.6605040605359578</v>
      </c>
      <c r="AE2264" s="259">
        <f>DATE(2001,9,21)+(M2264/360)*365 - (360*((DecLong/360)- (GMTOffset/24) ))</f>
        <v>37403.675520833334</v>
      </c>
      <c r="AF2264" s="260">
        <f>IF(DecLat&gt;0,IF((90 - (DecLat-O2264))&gt;90, (90 - (O2264-DecLat)), (90 - (DecLat-O2264))),IF((90 + (DecLat-O2264))&gt;90, (90 + (O2264-DecLat)), (90 + (DecLat-O2264))))</f>
        <v>24.456388888888881</v>
      </c>
      <c r="AG2264" s="257">
        <f>angularseperation(MoonRA,MoonDec,$M2264,$O2264)</f>
        <v>10.673597345770967</v>
      </c>
      <c r="AH2264" s="261">
        <f ca="1">MIN(100,IF($O$5&gt;80,0+30*($AG2264/100),IF($O$5&gt;70,0+50*($AG2264/100),IF($O$5&gt;60,5+50*($AG2264/100),IF($O$5&gt;50,10+60*($AG2264/100),IF($O$5&gt;40,15+70*($AG2264/100),IF($O$5&gt;30,20+70*($AG2264/100),IF($O$5&gt;20,40+55*($AG2264/100),(80+(20-$O$5)+30*($AG2264/100))))))))))</f>
        <v>86.473139547881715</v>
      </c>
      <c r="AI2264" s="262">
        <v>6026</v>
      </c>
      <c r="AJ2264" s="262"/>
      <c r="AK2264" s="262"/>
      <c r="AL2264" s="263"/>
      <c r="AM2264" s="264"/>
      <c r="AN2264" s="263"/>
      <c r="AO2264" s="263"/>
      <c r="AP2264" s="265"/>
      <c r="AQ2264" s="266"/>
      <c r="AR2264" s="267"/>
      <c r="AS2264" s="263"/>
      <c r="AT2264" s="263"/>
      <c r="AU2264" s="263"/>
      <c r="AV2264" s="264"/>
      <c r="AW2264" s="263"/>
      <c r="AX2264" s="263"/>
      <c r="AY2264" s="263"/>
      <c r="AZ2264" s="263"/>
      <c r="BA2264" s="263"/>
      <c r="BB2264" s="263"/>
      <c r="BC2264" s="263"/>
      <c r="BD2264" s="264"/>
      <c r="BE2264" s="263"/>
      <c r="BF2264" s="263"/>
      <c r="BG2264" s="263"/>
      <c r="BH2264" s="263"/>
      <c r="BI2264" s="263"/>
      <c r="BJ2264" s="404">
        <f>altaz(J2000_Bas,$O2264,$M2264,DecLat,DecLong,2)</f>
        <v>216.9762638781817</v>
      </c>
      <c r="BK2264" s="378" t="s">
        <v>2151</v>
      </c>
      <c r="BL2264" s="379">
        <f>IF((2*G2264)/60&lt;0.2,0.2,(2*G2264)/60)</f>
        <v>0.2</v>
      </c>
      <c r="BM2264" s="380">
        <f>MOD((50000+AD2264-$B$3+(0/24)),1)</f>
        <v>0.87587099023949122</v>
      </c>
      <c r="BN2264" s="381" t="s">
        <v>9243</v>
      </c>
      <c r="BO2264" s="382">
        <v>2255</v>
      </c>
    </row>
    <row r="2265" spans="1:67" s="24" customFormat="1" ht="15" customHeight="1" x14ac:dyDescent="0.25">
      <c r="A2265" s="288" t="s">
        <v>2152</v>
      </c>
      <c r="B2265" s="241" t="str">
        <f>HYPERLINK(CONCATENATE($AT$3,BK2265,$AU$3),$AV$3)</f>
        <v>S</v>
      </c>
      <c r="C2265" s="242" t="str">
        <f>HYPERLINK(CONCATENATE($AT$4,BK2265,$AU$4,BL2265),$AV$4)</f>
        <v>A</v>
      </c>
      <c r="D2265" s="243" t="s">
        <v>5187</v>
      </c>
      <c r="E2265" s="244" t="s">
        <v>5181</v>
      </c>
      <c r="F2265" s="293" t="s">
        <v>9089</v>
      </c>
      <c r="G2265" s="270">
        <v>0.7</v>
      </c>
      <c r="H2265" s="283">
        <v>11500</v>
      </c>
      <c r="I2265" s="279">
        <v>2.2000000000000002</v>
      </c>
      <c r="J2265" s="246">
        <v>2</v>
      </c>
      <c r="K2265" s="247" t="s">
        <v>7875</v>
      </c>
      <c r="L2265" s="248">
        <v>160427</v>
      </c>
      <c r="M2265" s="249">
        <f>15*(LEFT(TEXT($L2265,"000000"),2)+(MID(TEXT($L2265,"000000"),3,2)/60)+(RIGHT(TEXT($L2265,"000000"),2)/3600))</f>
        <v>241.11250000000001</v>
      </c>
      <c r="N2265" s="250">
        <v>404059</v>
      </c>
      <c r="O2265" s="251">
        <f>IF($N2265&gt;0,(LEFT(TEXT($N2265,"000000"),2)+(MID(TEXT($N2265,"000000"),3,2)/60)+(RIGHT(TEXT($N2265,"000000"),2)/3600)),-(MID(TEXT($N2265,"000000"),2,2)+(MID(TEXT($N2265,"000000"),4,2)/60)+(RIGHT(TEXT($N2265,"000000"),2)/3600)))</f>
        <v>40.683055555555555</v>
      </c>
      <c r="P2265" s="252" t="s">
        <v>111</v>
      </c>
      <c r="Q2265" s="253"/>
      <c r="R2265" s="247" t="s">
        <v>3293</v>
      </c>
      <c r="S2265" s="272" t="s">
        <v>3293</v>
      </c>
      <c r="T2265" s="273">
        <v>12.9</v>
      </c>
      <c r="U2265" s="274"/>
      <c r="V2265" s="280"/>
      <c r="W2265" s="244"/>
      <c r="X2265" s="244"/>
      <c r="Y2265" s="362"/>
      <c r="Z2265" s="257">
        <f>altaz(J2000_Bas,$O2265,$M2265,DecLat,DecLong,1)</f>
        <v>52.773419140867553</v>
      </c>
      <c r="AA2265" s="257">
        <f>altaz((J2000_Bas+(2*0.04167)),$O2265,$M2265,DecLat,DecLong,1)</f>
        <v>30.281801959073668</v>
      </c>
      <c r="AB2265" s="257">
        <f>altaz((J2000_Bas+(4*0.04167)),$O2265,$M2265,DecLat,DecLong,1)</f>
        <v>9.6050359043498617</v>
      </c>
      <c r="AC2265" s="257">
        <f>altaz((J2000_Bas+(6*0.04167)),$O2265,$M2265,DecLat,DecLong,1)</f>
        <v>-7.1830969318021314</v>
      </c>
      <c r="AD2265" s="258">
        <f>1+ transit((J2000_Bas-1),$O2265,$M2265,DecLat,DecLong)/360 + (GMTOffset/24) + (IF(DST="Y", 1, 0)/24)</f>
        <v>1.6626568380984581</v>
      </c>
      <c r="AE2265" s="259">
        <f>DATE(2001,9,21)+(M2265/360)*365 - (360*((DecLong/360)- (GMTOffset/24) ))</f>
        <v>37404.461284722223</v>
      </c>
      <c r="AF2265" s="260">
        <f>IF(DecLat&gt;0,IF((90 - (DecLat-O2265))&gt;90, (90 - (O2265-DecLat)), (90 - (DecLat-O2265))),IF((90 + (DecLat-O2265))&gt;90, (90 + (O2265-DecLat)), (90 + (DecLat-O2265))))</f>
        <v>80.316944444444445</v>
      </c>
      <c r="AG2265" s="257">
        <f>angularseperation(MoonRA,MoonDec,$M2265,$O2265)</f>
        <v>68.186478002874424</v>
      </c>
      <c r="AH2265" s="261">
        <f ca="1">MIN(100,IF($O$5&gt;80,0+30*($AG2265/100),IF($O$5&gt;70,0+50*($AG2265/100),IF($O$5&gt;60,5+50*($AG2265/100),IF($O$5&gt;50,10+60*($AG2265/100),IF($O$5&gt;40,15+70*($AG2265/100),IF($O$5&gt;30,20+70*($AG2265/100),IF($O$5&gt;20,40+55*($AG2265/100),(80+(20-$O$5)+30*($AG2265/100))))))))))</f>
        <v>100</v>
      </c>
      <c r="AI2265" s="262">
        <v>6058</v>
      </c>
      <c r="AJ2265" s="262"/>
      <c r="AK2265" s="262"/>
      <c r="AL2265" s="263"/>
      <c r="AM2265" s="264"/>
      <c r="AN2265" s="263"/>
      <c r="AO2265" s="263"/>
      <c r="AP2265" s="265"/>
      <c r="AQ2265" s="266"/>
      <c r="AR2265" s="267"/>
      <c r="AS2265" s="263"/>
      <c r="AT2265" s="263"/>
      <c r="AU2265" s="263"/>
      <c r="AV2265" s="264"/>
      <c r="AW2265" s="263"/>
      <c r="AX2265" s="263"/>
      <c r="AY2265" s="263"/>
      <c r="AZ2265" s="263"/>
      <c r="BA2265" s="263"/>
      <c r="BB2265" s="263"/>
      <c r="BC2265" s="263"/>
      <c r="BD2265" s="264"/>
      <c r="BE2265" s="263"/>
      <c r="BF2265" s="263"/>
      <c r="BG2265" s="263"/>
      <c r="BH2265" s="263"/>
      <c r="BI2265" s="263"/>
      <c r="BJ2265" s="404">
        <f>altaz(J2000_Bas,$O2265,$M2265,DecLat,DecLong,2)</f>
        <v>297.79079671343982</v>
      </c>
      <c r="BK2265" s="378" t="s">
        <v>2152</v>
      </c>
      <c r="BL2265" s="379">
        <f>IF((2*G2265)/60&lt;0.2,0.2,(2*G2265)/60)</f>
        <v>0.2</v>
      </c>
      <c r="BM2265" s="380">
        <f>MOD((50000+AD2265-$B$3+(0/24)),1)</f>
        <v>0.87802376780018676</v>
      </c>
      <c r="BN2265" s="381" t="s">
        <v>9242</v>
      </c>
      <c r="BO2265" s="382">
        <v>2256</v>
      </c>
    </row>
    <row r="2266" spans="1:67" s="24" customFormat="1" ht="15" customHeight="1" x14ac:dyDescent="0.25">
      <c r="A2266" s="288" t="s">
        <v>3243</v>
      </c>
      <c r="B2266" s="241" t="str">
        <f>HYPERLINK(CONCATENATE($AT$3,BK2266,$AU$3),$AV$3)</f>
        <v>S</v>
      </c>
      <c r="C2266" s="242" t="str">
        <f>HYPERLINK(CONCATENATE($AT$4,BK2266,$AU$4,BL2266),$AV$4)</f>
        <v>A</v>
      </c>
      <c r="D2266" s="243" t="s">
        <v>5638</v>
      </c>
      <c r="E2266" s="244" t="s">
        <v>5192</v>
      </c>
      <c r="F2266" s="269" t="s">
        <v>8997</v>
      </c>
      <c r="G2266" s="273">
        <v>2.5</v>
      </c>
      <c r="H2266" s="283">
        <v>170</v>
      </c>
      <c r="I2266" s="246">
        <v>130</v>
      </c>
      <c r="J2266" s="246">
        <v>2</v>
      </c>
      <c r="K2266" s="247" t="s">
        <v>7876</v>
      </c>
      <c r="L2266" s="248">
        <v>160552</v>
      </c>
      <c r="M2266" s="249">
        <f>15*(LEFT(TEXT($L2266,"000000"),2)+(MID(TEXT($L2266,"000000"),3,2)/60)+(RIGHT(TEXT($L2266,"000000"),2)/3600))</f>
        <v>241.46666666666664</v>
      </c>
      <c r="N2266" s="250">
        <v>212906</v>
      </c>
      <c r="O2266" s="251">
        <f>IF($N2266&gt;0,(LEFT(TEXT($N2266,"000000"),2)+(MID(TEXT($N2266,"000000"),3,2)/60)+(RIGHT(TEXT($N2266,"000000"),2)/3600)),-(MID(TEXT($N2266,"000000"),2,2)+(MID(TEXT($N2266,"000000"),4,2)/60)+(RIGHT(TEXT($N2266,"000000"),2)/3600)))</f>
        <v>21.484999999999999</v>
      </c>
      <c r="P2266" s="252" t="s">
        <v>111</v>
      </c>
      <c r="Q2266" s="253"/>
      <c r="R2266" s="277" t="s">
        <v>3293</v>
      </c>
      <c r="S2266" s="272" t="s">
        <v>3387</v>
      </c>
      <c r="T2266" s="273">
        <v>13.1</v>
      </c>
      <c r="U2266" s="289">
        <v>22.69</v>
      </c>
      <c r="V2266" s="280">
        <v>65</v>
      </c>
      <c r="W2266" s="244"/>
      <c r="X2266" s="244"/>
      <c r="Y2266" s="362"/>
      <c r="Z2266" s="257">
        <f>altaz(J2000_Bas,$O2266,$M2266,DecLat,DecLong,1)</f>
        <v>49.216069425304745</v>
      </c>
      <c r="AA2266" s="257">
        <f>altaz((J2000_Bas+(2*0.04167)),$O2266,$M2266,DecLat,DecLong,1)</f>
        <v>23.588838121960933</v>
      </c>
      <c r="AB2266" s="257">
        <f>altaz((J2000_Bas+(4*0.04167)),$O2266,$M2266,DecLat,DecLong,1)</f>
        <v>-0.79243376865126913</v>
      </c>
      <c r="AC2266" s="257">
        <f>altaz((J2000_Bas+(6*0.04167)),$O2266,$M2266,DecLat,DecLong,1)</f>
        <v>-21.918098101656195</v>
      </c>
      <c r="AD2266" s="258">
        <f>1+ transit((J2000_Bas-1),$O2266,$M2266,DecLat,DecLong)/360 + (GMTOffset/24) + (IF(DST="Y", 1, 0)/24)</f>
        <v>1.6636406342963748</v>
      </c>
      <c r="AE2266" s="259">
        <f>DATE(2001,9,21)+(M2266/360)*365 - (360*((DecLong/360)- (GMTOffset/24) ))</f>
        <v>37404.820370370369</v>
      </c>
      <c r="AF2266" s="260">
        <f>IF(DecLat&gt;0,IF((90 - (DecLat-O2266))&gt;90, (90 - (O2266-DecLat)), (90 - (DecLat-O2266))),IF((90 + (DecLat-O2266))&gt;90, (90 + (O2266-DecLat)), (90 + (DecLat-O2266))))</f>
        <v>80.484999999999999</v>
      </c>
      <c r="AG2266" s="257">
        <f>angularseperation(MoonRA,MoonDec,$M2266,$O2266)</f>
        <v>49.148577392595698</v>
      </c>
      <c r="AH2266" s="261">
        <f ca="1">MIN(100,IF($O$5&gt;80,0+30*($AG2266/100),IF($O$5&gt;70,0+50*($AG2266/100),IF($O$5&gt;60,5+50*($AG2266/100),IF($O$5&gt;50,10+60*($AG2266/100),IF($O$5&gt;40,15+70*($AG2266/100),IF($O$5&gt;30,20+70*($AG2266/100),IF($O$5&gt;20,40+55*($AG2266/100),(80+(20-$O$5)+30*($AG2266/100))))))))))</f>
        <v>98.015633561929135</v>
      </c>
      <c r="AI2266" s="263">
        <v>6060</v>
      </c>
      <c r="AJ2266" s="263"/>
      <c r="AK2266" s="263"/>
      <c r="AL2266" s="263"/>
      <c r="AM2266" s="264"/>
      <c r="AN2266" s="263"/>
      <c r="AO2266" s="263"/>
      <c r="AP2266" s="265"/>
      <c r="AQ2266" s="265">
        <v>10196</v>
      </c>
      <c r="AR2266" s="285">
        <v>57110</v>
      </c>
      <c r="AS2266" s="263"/>
      <c r="AT2266" s="263"/>
      <c r="AU2266" s="263"/>
      <c r="AV2266" s="264"/>
      <c r="AW2266" s="263"/>
      <c r="AX2266" s="263"/>
      <c r="AY2266" s="263"/>
      <c r="AZ2266" s="263"/>
      <c r="BA2266" s="263"/>
      <c r="BB2266" s="263"/>
      <c r="BC2266" s="263"/>
      <c r="BD2266" s="264"/>
      <c r="BE2266" s="263"/>
      <c r="BF2266" s="263"/>
      <c r="BG2266" s="263"/>
      <c r="BH2266" s="263"/>
      <c r="BI2266" s="263"/>
      <c r="BJ2266" s="404">
        <f>altaz(J2000_Bas,$O2266,$M2266,DecLat,DecLong,2)</f>
        <v>267.57219562514507</v>
      </c>
      <c r="BK2266" s="378" t="s">
        <v>3243</v>
      </c>
      <c r="BL2266" s="379">
        <f>IF((2*G2266)/60&lt;0.2,0.2,(2*G2266)/60)</f>
        <v>0.2</v>
      </c>
      <c r="BM2266" s="380">
        <f>MOD((50000+AD2266-$B$3+(0/24)),1)</f>
        <v>0.87900756399903912</v>
      </c>
      <c r="BN2266" s="381"/>
      <c r="BO2266" s="382">
        <v>2257</v>
      </c>
    </row>
    <row r="2267" spans="1:67" s="24" customFormat="1" ht="15" customHeight="1" x14ac:dyDescent="0.25">
      <c r="A2267" s="298" t="s">
        <v>8630</v>
      </c>
      <c r="B2267" s="241" t="str">
        <f>HYPERLINK(CONCATENATE($AT$3,BK2267,$AU$3),$AV$3)</f>
        <v>S</v>
      </c>
      <c r="C2267" s="242" t="str">
        <f>HYPERLINK(CONCATENATE($AT$4,BK2267,$AU$4,BL2267),$AV$4)</f>
        <v>A</v>
      </c>
      <c r="D2267" s="243" t="s">
        <v>5335</v>
      </c>
      <c r="E2267" s="244" t="s">
        <v>5185</v>
      </c>
      <c r="F2267" s="269" t="s">
        <v>4904</v>
      </c>
      <c r="G2267" s="276">
        <v>13</v>
      </c>
      <c r="H2267" s="283">
        <v>6100</v>
      </c>
      <c r="I2267" s="246">
        <v>22</v>
      </c>
      <c r="J2267" s="246">
        <v>3</v>
      </c>
      <c r="K2267" s="247" t="s">
        <v>8634</v>
      </c>
      <c r="L2267" s="248">
        <v>161300</v>
      </c>
      <c r="M2267" s="249">
        <f>15*(LEFT(TEXT($L2267,"000000"),2)+(MID(TEXT($L2267,"000000"),3,2)/60)+(RIGHT(TEXT($L2267,"000000"),2)/3600))</f>
        <v>243.24999999999997</v>
      </c>
      <c r="N2267" s="286">
        <v>-541300</v>
      </c>
      <c r="O2267" s="251">
        <f>IF($N2267&gt;0,(LEFT(TEXT($N2267,"000000"),2)+(MID(TEXT($N2267,"000000"),3,2)/60)+(RIGHT(TEXT($N2267,"000000"),2)/3600)),-(MID(TEXT($N2267,"000000"),2,2)+(MID(TEXT($N2267,"000000"),4,2)/60)+(RIGHT(TEXT($N2267,"000000"),2)/3600)))</f>
        <v>-54.216666666666669</v>
      </c>
      <c r="P2267" s="252" t="s">
        <v>1012</v>
      </c>
      <c r="Q2267" s="253"/>
      <c r="R2267" s="247"/>
      <c r="S2267" s="272" t="s">
        <v>3293</v>
      </c>
      <c r="T2267" s="273">
        <v>5.6</v>
      </c>
      <c r="U2267" s="274"/>
      <c r="V2267" s="280"/>
      <c r="W2267" s="244"/>
      <c r="X2267" s="244"/>
      <c r="Y2267" s="362"/>
      <c r="Z2267" s="257">
        <f>altaz(J2000_Bas,$O2267,$M2267,DecLat,DecLong,1)</f>
        <v>-2.853726814623387</v>
      </c>
      <c r="AA2267" s="257">
        <f>altaz((J2000_Bas+(2*0.04167)),$O2267,$M2267,DecLat,DecLong,1)</f>
        <v>-15.659319436880002</v>
      </c>
      <c r="AB2267" s="257">
        <f>altaz((J2000_Bas+(4*0.04167)),$O2267,$M2267,DecLat,DecLong,1)</f>
        <v>-31.99839075004811</v>
      </c>
      <c r="AC2267" s="257">
        <f>altaz((J2000_Bas+(6*0.04167)),$O2267,$M2267,DecLat,DecLong,1)</f>
        <v>-49.435726177184478</v>
      </c>
      <c r="AD2267" s="258">
        <f>1+ transit((J2000_Bas-1),$O2267,$M2267,DecLat,DecLong)/360 + (GMTOffset/24) + (IF(DST="Y", 1, 0)/24)</f>
        <v>1.6685943375047081</v>
      </c>
      <c r="AE2267" s="259">
        <f>DATE(2001,9,21)+(M2267/360)*365 - (360*((DecLong/360)- (GMTOffset/24) ))</f>
        <v>37406.628472222219</v>
      </c>
      <c r="AF2267" s="260">
        <f>IF(DecLat&gt;0,IF((90 - (DecLat-O2267))&gt;90, (90 - (O2267-DecLat)), (90 - (DecLat-O2267))),IF((90 + (DecLat-O2267))&gt;90, (90 + (O2267-DecLat)), (90 + (DecLat-O2267))))</f>
        <v>4.7833333333333314</v>
      </c>
      <c r="AG2267" s="257">
        <f>angularseperation(MoonRA,MoonDec,$M2267,$O2267)</f>
        <v>27.48776099322777</v>
      </c>
      <c r="AH2267" s="261">
        <f ca="1">MIN(100,IF($O$5&gt;80,0+30*($AG2267/100),IF($O$5&gt;70,0+50*($AG2267/100),IF($O$5&gt;60,5+50*($AG2267/100),IF($O$5&gt;50,10+60*($AG2267/100),IF($O$5&gt;40,15+70*($AG2267/100),IF($O$5&gt;30,20+70*($AG2267/100),IF($O$5&gt;20,40+55*($AG2267/100),(80+(20-$O$5)+30*($AG2267/100))))))))))</f>
        <v>91.51738864211876</v>
      </c>
      <c r="AI2267" s="262">
        <v>6067</v>
      </c>
      <c r="AJ2267" s="262"/>
      <c r="AK2267" s="262"/>
      <c r="AL2267" s="263"/>
      <c r="AM2267" s="264"/>
      <c r="AN2267" s="263"/>
      <c r="AO2267" s="263"/>
      <c r="AP2267" s="265"/>
      <c r="AQ2267" s="266"/>
      <c r="AR2267" s="267"/>
      <c r="AS2267" s="263"/>
      <c r="AT2267" s="263"/>
      <c r="AU2267" s="263"/>
      <c r="AV2267" s="264"/>
      <c r="AW2267" s="263"/>
      <c r="AX2267" s="263"/>
      <c r="AY2267" s="263"/>
      <c r="AZ2267" s="263"/>
      <c r="BA2267" s="263"/>
      <c r="BB2267" s="263"/>
      <c r="BC2267" s="263"/>
      <c r="BD2267" s="264"/>
      <c r="BE2267" s="263"/>
      <c r="BF2267" s="263"/>
      <c r="BG2267" s="263"/>
      <c r="BH2267" s="263"/>
      <c r="BI2267" s="263"/>
      <c r="BJ2267" s="404">
        <f>altaz(J2000_Bas,$O2267,$M2267,DecLat,DecLong,2)</f>
        <v>203.41711841653347</v>
      </c>
      <c r="BK2267" s="378" t="s">
        <v>8630</v>
      </c>
      <c r="BL2267" s="379">
        <f>IF((2*G2267)/60&lt;0.2,0.2,(2*G2267)/60)</f>
        <v>0.43333333333333335</v>
      </c>
      <c r="BM2267" s="380">
        <f>MOD((50000+AD2267-$B$3+(0/24)),1)</f>
        <v>0.88396126720908796</v>
      </c>
      <c r="BN2267" s="381"/>
      <c r="BO2267" s="382">
        <v>2258</v>
      </c>
    </row>
    <row r="2268" spans="1:67" s="24" customFormat="1" ht="15" customHeight="1" x14ac:dyDescent="0.25">
      <c r="A2268" s="288" t="s">
        <v>2153</v>
      </c>
      <c r="B2268" s="241" t="str">
        <f>HYPERLINK(CONCATENATE($AT$3,BK2268,$AU$3),$AV$3)</f>
        <v>S</v>
      </c>
      <c r="C2268" s="242" t="str">
        <f>HYPERLINK(CONCATENATE($AT$4,BK2268,$AU$4,BL2268),$AV$4)</f>
        <v>A</v>
      </c>
      <c r="D2268" s="243" t="s">
        <v>5638</v>
      </c>
      <c r="E2268" s="244" t="s">
        <v>5192</v>
      </c>
      <c r="F2268" s="269" t="s">
        <v>8724</v>
      </c>
      <c r="G2268" s="273">
        <v>3</v>
      </c>
      <c r="H2268" s="283">
        <v>100</v>
      </c>
      <c r="I2268" s="246">
        <v>90</v>
      </c>
      <c r="J2268" s="246">
        <v>2</v>
      </c>
      <c r="K2268" s="247" t="s">
        <v>7877</v>
      </c>
      <c r="L2268" s="248">
        <v>160959</v>
      </c>
      <c r="M2268" s="249">
        <f>15*(LEFT(TEXT($L2268,"000000"),2)+(MID(TEXT($L2268,"000000"),3,2)/60)+(RIGHT(TEXT($L2268,"000000"),2)/3600))</f>
        <v>242.49583333333334</v>
      </c>
      <c r="N2268" s="250">
        <v>4233</v>
      </c>
      <c r="O2268" s="251">
        <f>IF($N2268&gt;0,(LEFT(TEXT($N2268,"000000"),2)+(MID(TEXT($N2268,"000000"),3,2)/60)+(RIGHT(TEXT($N2268,"000000"),2)/3600)),-(MID(TEXT($N2268,"000000"),2,2)+(MID(TEXT($N2268,"000000"),4,2)/60)+(RIGHT(TEXT($N2268,"000000"),2)/3600)))</f>
        <v>0.70916666666666661</v>
      </c>
      <c r="P2268" s="252" t="s">
        <v>115</v>
      </c>
      <c r="Q2268" s="253"/>
      <c r="R2268" s="277" t="s">
        <v>3293</v>
      </c>
      <c r="S2268" s="272" t="s">
        <v>3293</v>
      </c>
      <c r="T2268" s="273">
        <v>11.8</v>
      </c>
      <c r="U2268" s="289">
        <v>22.59</v>
      </c>
      <c r="V2268" s="280">
        <v>65</v>
      </c>
      <c r="W2268" s="244"/>
      <c r="X2268" s="244"/>
      <c r="Y2268" s="362"/>
      <c r="Z2268" s="257">
        <f>altaz(J2000_Bas,$O2268,$M2268,DecLat,DecLong,1)</f>
        <v>38.904503036444424</v>
      </c>
      <c r="AA2268" s="257">
        <f>altaz((J2000_Bas+(2*0.04167)),$O2268,$M2268,DecLat,DecLong,1)</f>
        <v>14.38842759431509</v>
      </c>
      <c r="AB2268" s="257">
        <f>altaz((J2000_Bas+(4*0.04167)),$O2268,$M2268,DecLat,DecLong,1)</f>
        <v>-11.318876245132516</v>
      </c>
      <c r="AC2268" s="257">
        <f>altaz((J2000_Bas+(6*0.04167)),$O2268,$M2268,DecLat,DecLong,1)</f>
        <v>-35.904431503801533</v>
      </c>
      <c r="AD2268" s="258">
        <f>1+ transit((J2000_Bas-1),$O2268,$M2268,DecLat,DecLong)/360 + (GMTOffset/24) + (IF(DST="Y", 1, 0)/24)</f>
        <v>1.6664994303067913</v>
      </c>
      <c r="AE2268" s="259">
        <f>DATE(2001,9,21)+(M2268/360)*365 - (360*((DecLong/360)- (GMTOffset/24) ))</f>
        <v>37405.86383101852</v>
      </c>
      <c r="AF2268" s="260">
        <f>IF(DecLat&gt;0,IF((90 - (DecLat-O2268))&gt;90, (90 - (O2268-DecLat)), (90 - (DecLat-O2268))),IF((90 + (DecLat-O2268))&gt;90, (90 + (O2268-DecLat)), (90 + (DecLat-O2268))))</f>
        <v>59.709166666666668</v>
      </c>
      <c r="AG2268" s="257">
        <f>angularseperation(MoonRA,MoonDec,$M2268,$O2268)</f>
        <v>28.541407560951043</v>
      </c>
      <c r="AH2268" s="261">
        <f ca="1">MIN(100,IF($O$5&gt;80,0+30*($AG2268/100),IF($O$5&gt;70,0+50*($AG2268/100),IF($O$5&gt;60,5+50*($AG2268/100),IF($O$5&gt;50,10+60*($AG2268/100),IF($O$5&gt;40,15+70*($AG2268/100),IF($O$5&gt;30,20+70*($AG2268/100),IF($O$5&gt;20,40+55*($AG2268/100),(80+(20-$O$5)+30*($AG2268/100))))))))))</f>
        <v>91.833482612435745</v>
      </c>
      <c r="AI2268" s="262">
        <v>6070</v>
      </c>
      <c r="AJ2268" s="263"/>
      <c r="AK2268" s="263"/>
      <c r="AL2268" s="263"/>
      <c r="AM2268" s="264"/>
      <c r="AN2268" s="263"/>
      <c r="AO2268" s="263"/>
      <c r="AP2268" s="265"/>
      <c r="AQ2268" s="265">
        <v>10230</v>
      </c>
      <c r="AR2268" s="285">
        <v>57345</v>
      </c>
      <c r="AS2268" s="263"/>
      <c r="AT2268" s="263"/>
      <c r="AU2268" s="263"/>
      <c r="AV2268" s="264"/>
      <c r="AW2268" s="263"/>
      <c r="AX2268" s="263"/>
      <c r="AY2268" s="263"/>
      <c r="AZ2268" s="263"/>
      <c r="BA2268" s="263"/>
      <c r="BB2268" s="263"/>
      <c r="BC2268" s="263"/>
      <c r="BD2268" s="264"/>
      <c r="BE2268" s="263"/>
      <c r="BF2268" s="263"/>
      <c r="BG2268" s="263"/>
      <c r="BH2268" s="263"/>
      <c r="BI2268" s="263"/>
      <c r="BJ2268" s="404">
        <f>altaz(J2000_Bas,$O2268,$M2268,DecLat,DecLong,2)</f>
        <v>242.20196112098245</v>
      </c>
      <c r="BK2268" s="378" t="s">
        <v>2153</v>
      </c>
      <c r="BL2268" s="379">
        <f>IF((2*G2268)/60&lt;0.2,0.2,(2*G2268)/60)</f>
        <v>0.2</v>
      </c>
      <c r="BM2268" s="380">
        <f>MOD((50000+AD2268-$B$3+(0/24)),1)</f>
        <v>0.88186636001046281</v>
      </c>
      <c r="BN2268" s="381"/>
      <c r="BO2268" s="382">
        <v>2259</v>
      </c>
    </row>
    <row r="2269" spans="1:67" s="24" customFormat="1" ht="15" customHeight="1" x14ac:dyDescent="0.25">
      <c r="A2269" s="288" t="s">
        <v>2154</v>
      </c>
      <c r="B2269" s="241" t="str">
        <f>HYPERLINK(CONCATENATE($AT$3,BK2269,$AU$3),$AV$3)</f>
        <v>S</v>
      </c>
      <c r="C2269" s="242" t="str">
        <f>HYPERLINK(CONCATENATE($AT$4,BK2269,$AU$4,BL2269),$AV$4)</f>
        <v>A</v>
      </c>
      <c r="D2269" s="243" t="s">
        <v>5187</v>
      </c>
      <c r="E2269" s="244" t="s">
        <v>5181</v>
      </c>
      <c r="F2269" s="269" t="s">
        <v>7878</v>
      </c>
      <c r="G2269" s="273">
        <v>1.8</v>
      </c>
      <c r="H2269" s="283">
        <v>4000</v>
      </c>
      <c r="I2269" s="279">
        <v>2</v>
      </c>
      <c r="J2269" s="246">
        <v>2</v>
      </c>
      <c r="K2269" s="247" t="s">
        <v>7879</v>
      </c>
      <c r="L2269" s="248">
        <v>161258</v>
      </c>
      <c r="M2269" s="249">
        <f>15*(LEFT(TEXT($L2269,"000000"),2)+(MID(TEXT($L2269,"000000"),3,2)/60)+(RIGHT(TEXT($L2269,"000000"),2)/3600))</f>
        <v>243.24166666666667</v>
      </c>
      <c r="N2269" s="250">
        <v>-361347</v>
      </c>
      <c r="O2269" s="251">
        <f>IF($N2269&gt;0,(LEFT(TEXT($N2269,"000000"),2)+(MID(TEXT($N2269,"000000"),3,2)/60)+(RIGHT(TEXT($N2269,"000000"),2)/3600)),-(MID(TEXT($N2269,"000000"),2,2)+(MID(TEXT($N2269,"000000"),4,2)/60)+(RIGHT(TEXT($N2269,"000000"),2)/3600)))</f>
        <v>-36.229722222222222</v>
      </c>
      <c r="P2269" s="252" t="s">
        <v>109</v>
      </c>
      <c r="Q2269" s="253"/>
      <c r="R2269" s="247" t="s">
        <v>3293</v>
      </c>
      <c r="S2269" s="272" t="s">
        <v>3293</v>
      </c>
      <c r="T2269" s="273">
        <v>11.7</v>
      </c>
      <c r="U2269" s="274"/>
      <c r="V2269" s="280"/>
      <c r="W2269" s="244"/>
      <c r="X2269" s="244"/>
      <c r="Y2269" s="362"/>
      <c r="Z2269" s="257">
        <f>altaz(J2000_Bas,$O2269,$M2269,DecLat,DecLong,1)</f>
        <v>11.726969680493115</v>
      </c>
      <c r="AA2269" s="257">
        <f>altaz((J2000_Bas+(2*0.04167)),$O2269,$M2269,DecLat,DecLong,1)</f>
        <v>-5.7657197490309899</v>
      </c>
      <c r="AB2269" s="257">
        <f>altaz((J2000_Bas+(4*0.04167)),$O2269,$M2269,DecLat,DecLong,1)</f>
        <v>-27.330134843518621</v>
      </c>
      <c r="AC2269" s="257">
        <f>altaz((J2000_Bas+(6*0.04167)),$O2269,$M2269,DecLat,DecLong,1)</f>
        <v>-50.903763306259357</v>
      </c>
      <c r="AD2269" s="258">
        <f>1+ transit((J2000_Bas-1),$O2269,$M2269,DecLat,DecLong)/360 + (GMTOffset/24) + (IF(DST="Y", 1, 0)/24)</f>
        <v>1.6685711893588748</v>
      </c>
      <c r="AE2269" s="259">
        <f>DATE(2001,9,21)+(M2269/360)*365 - (360*((DecLong/360)- (GMTOffset/24) ))</f>
        <v>37406.620023148149</v>
      </c>
      <c r="AF2269" s="260">
        <f>IF(DecLat&gt;0,IF((90 - (DecLat-O2269))&gt;90, (90 - (O2269-DecLat)), (90 - (DecLat-O2269))),IF((90 + (DecLat-O2269))&gt;90, (90 + (O2269-DecLat)), (90 + (DecLat-O2269))))</f>
        <v>22.770277777777778</v>
      </c>
      <c r="AG2269" s="257">
        <f>angularseperation(MoonRA,MoonDec,$M2269,$O2269)</f>
        <v>10.469156004802805</v>
      </c>
      <c r="AH2269" s="261">
        <f ca="1">MIN(100,IF($O$5&gt;80,0+30*($AG2269/100),IF($O$5&gt;70,0+50*($AG2269/100),IF($O$5&gt;60,5+50*($AG2269/100),IF($O$5&gt;50,10+60*($AG2269/100),IF($O$5&gt;40,15+70*($AG2269/100),IF($O$5&gt;30,20+70*($AG2269/100),IF($O$5&gt;20,40+55*($AG2269/100),(80+(20-$O$5)+30*($AG2269/100))))))))))</f>
        <v>86.411807145591268</v>
      </c>
      <c r="AI2269" s="262">
        <v>6072</v>
      </c>
      <c r="AJ2269" s="262"/>
      <c r="AK2269" s="262"/>
      <c r="AL2269" s="263"/>
      <c r="AM2269" s="264"/>
      <c r="AN2269" s="263"/>
      <c r="AO2269" s="263"/>
      <c r="AP2269" s="265"/>
      <c r="AQ2269" s="266"/>
      <c r="AR2269" s="267"/>
      <c r="AS2269" s="263"/>
      <c r="AT2269" s="263"/>
      <c r="AU2269" s="263"/>
      <c r="AV2269" s="264"/>
      <c r="AW2269" s="263"/>
      <c r="AX2269" s="263"/>
      <c r="AY2269" s="263"/>
      <c r="AZ2269" s="263"/>
      <c r="BA2269" s="263"/>
      <c r="BB2269" s="263"/>
      <c r="BC2269" s="263"/>
      <c r="BD2269" s="264"/>
      <c r="BE2269" s="263"/>
      <c r="BF2269" s="263"/>
      <c r="BG2269" s="263"/>
      <c r="BH2269" s="263"/>
      <c r="BI2269" s="263"/>
      <c r="BJ2269" s="404">
        <f>altaz(J2000_Bas,$O2269,$M2269,DecLat,DecLong,2)</f>
        <v>214.01055384387445</v>
      </c>
      <c r="BK2269" s="378" t="s">
        <v>2154</v>
      </c>
      <c r="BL2269" s="379">
        <f>IF((2*G2269)/60&lt;0.2,0.2,(2*G2269)/60)</f>
        <v>0.2</v>
      </c>
      <c r="BM2269" s="380">
        <f>MOD((50000+AD2269-$B$3+(0/24)),1)</f>
        <v>0.88393811906280462</v>
      </c>
      <c r="BN2269" s="381"/>
      <c r="BO2269" s="382">
        <v>2260</v>
      </c>
    </row>
    <row r="2270" spans="1:67" s="24" customFormat="1" ht="15" customHeight="1" x14ac:dyDescent="0.25">
      <c r="A2270" s="298" t="s">
        <v>2155</v>
      </c>
      <c r="B2270" s="241" t="str">
        <f>HYPERLINK(CONCATENATE($AT$3,BK2270,$AU$3),$AV$3)</f>
        <v>S</v>
      </c>
      <c r="C2270" s="242" t="str">
        <f>HYPERLINK(CONCATENATE($AT$4,BK2270,$AU$4,BL2270),$AV$4)</f>
        <v>A</v>
      </c>
      <c r="D2270" s="243" t="s">
        <v>5335</v>
      </c>
      <c r="E2270" s="244" t="s">
        <v>5185</v>
      </c>
      <c r="F2270" s="269" t="s">
        <v>4418</v>
      </c>
      <c r="G2270" s="276">
        <v>15</v>
      </c>
      <c r="H2270" s="283">
        <v>3500</v>
      </c>
      <c r="I2270" s="246">
        <v>16</v>
      </c>
      <c r="J2270" s="246">
        <v>2</v>
      </c>
      <c r="K2270" s="247" t="s">
        <v>7880</v>
      </c>
      <c r="L2270" s="248">
        <v>161854</v>
      </c>
      <c r="M2270" s="249">
        <f>15*(LEFT(TEXT($L2270,"000000"),2)+(MID(TEXT($L2270,"000000"),3,2)/60)+(RIGHT(TEXT($L2270,"000000"),2)/3600))</f>
        <v>244.72500000000002</v>
      </c>
      <c r="N2270" s="286">
        <v>-575400</v>
      </c>
      <c r="O2270" s="251">
        <f>IF($N2270&gt;0,(LEFT(TEXT($N2270,"000000"),2)+(MID(TEXT($N2270,"000000"),3,2)/60)+(RIGHT(TEXT($N2270,"000000"),2)/3600)),-(MID(TEXT($N2270,"000000"),2,2)+(MID(TEXT($N2270,"000000"),4,2)/60)+(RIGHT(TEXT($N2270,"000000"),2)/3600)))</f>
        <v>-57.9</v>
      </c>
      <c r="P2270" s="252" t="s">
        <v>1012</v>
      </c>
      <c r="Q2270" s="253"/>
      <c r="R2270" s="247" t="s">
        <v>7401</v>
      </c>
      <c r="S2270" s="272" t="s">
        <v>3293</v>
      </c>
      <c r="T2270" s="273">
        <v>5.4</v>
      </c>
      <c r="U2270" s="274"/>
      <c r="V2270" s="280"/>
      <c r="W2270" s="244"/>
      <c r="X2270" s="244"/>
      <c r="Y2270" s="362"/>
      <c r="Z2270" s="257">
        <f>altaz(J2000_Bas,$O2270,$M2270,DecLat,DecLong,1)</f>
        <v>-5.3928315596486911</v>
      </c>
      <c r="AA2270" s="257">
        <f>altaz((J2000_Bas+(2*0.04167)),$O2270,$M2270,DecLat,DecLong,1)</f>
        <v>-16.901657947309804</v>
      </c>
      <c r="AB2270" s="257">
        <f>altaz((J2000_Bas+(4*0.04167)),$O2270,$M2270,DecLat,DecLong,1)</f>
        <v>-31.782520275045087</v>
      </c>
      <c r="AC2270" s="257">
        <f>altaz((J2000_Bas+(6*0.04167)),$O2270,$M2270,DecLat,DecLong,1)</f>
        <v>-47.587471924306719</v>
      </c>
      <c r="AD2270" s="258">
        <f>1+ transit((J2000_Bas-1),$O2270,$M2270,DecLat,DecLong)/360 + (GMTOffset/24) + (IF(DST="Y", 1, 0)/24)</f>
        <v>1.6726915593172083</v>
      </c>
      <c r="AE2270" s="259">
        <f>DATE(2001,9,21)+(M2270/360)*365 - (360*((DecLong/360)- (GMTOffset/24) ))</f>
        <v>37408.12395833333</v>
      </c>
      <c r="AF2270" s="260">
        <f>IF(DecLat&gt;0,IF((90 - (DecLat-O2270))&gt;90, (90 - (O2270-DecLat)), (90 - (DecLat-O2270))),IF((90 + (DecLat-O2270))&gt;90, (90 + (O2270-DecLat)), (90 + (DecLat-O2270))))</f>
        <v>1.0999999999999943</v>
      </c>
      <c r="AG2270" s="257">
        <f>angularseperation(MoonRA,MoonDec,$M2270,$O2270)</f>
        <v>30.97986512524907</v>
      </c>
      <c r="AH2270" s="261">
        <f ca="1">MIN(100,IF($O$5&gt;80,0+30*($AG2270/100),IF($O$5&gt;70,0+50*($AG2270/100),IF($O$5&gt;60,5+50*($AG2270/100),IF($O$5&gt;50,10+60*($AG2270/100),IF($O$5&gt;40,15+70*($AG2270/100),IF($O$5&gt;30,20+70*($AG2270/100),IF($O$5&gt;20,40+55*($AG2270/100),(80+(20-$O$5)+30*($AG2270/100))))))))))</f>
        <v>92.565019881725149</v>
      </c>
      <c r="AI2270" s="262">
        <v>6087</v>
      </c>
      <c r="AJ2270" s="262"/>
      <c r="AK2270" s="262"/>
      <c r="AL2270" s="263"/>
      <c r="AM2270" s="264">
        <v>89</v>
      </c>
      <c r="AN2270" s="263"/>
      <c r="AO2270" s="263"/>
      <c r="AP2270" s="265"/>
      <c r="AQ2270" s="266"/>
      <c r="AR2270" s="267"/>
      <c r="AS2270" s="263"/>
      <c r="AT2270" s="263"/>
      <c r="AU2270" s="263"/>
      <c r="AV2270" s="264"/>
      <c r="AW2270" s="263"/>
      <c r="AX2270" s="263"/>
      <c r="AY2270" s="263"/>
      <c r="AZ2270" s="263"/>
      <c r="BA2270" s="263"/>
      <c r="BB2270" s="263"/>
      <c r="BC2270" s="263"/>
      <c r="BD2270" s="264"/>
      <c r="BE2270" s="263"/>
      <c r="BF2270" s="263"/>
      <c r="BG2270" s="263"/>
      <c r="BH2270" s="263"/>
      <c r="BI2270" s="263"/>
      <c r="BJ2270" s="404">
        <f>altaz(J2000_Bas,$O2270,$M2270,DecLat,DecLong,2)</f>
        <v>200.61744522762874</v>
      </c>
      <c r="BK2270" s="378" t="s">
        <v>2155</v>
      </c>
      <c r="BL2270" s="379">
        <f>IF((2*G2270)/60&lt;0.2,0.2,(2*G2270)/60)</f>
        <v>0.5</v>
      </c>
      <c r="BM2270" s="380">
        <f>MOD((50000+AD2270-$B$3+(0/24)),1)</f>
        <v>0.88805848902120488</v>
      </c>
      <c r="BN2270" s="381"/>
      <c r="BO2270" s="382">
        <v>2261</v>
      </c>
    </row>
    <row r="2271" spans="1:67" s="24" customFormat="1" ht="15" customHeight="1" x14ac:dyDescent="0.25">
      <c r="A2271" s="288" t="s">
        <v>2156</v>
      </c>
      <c r="B2271" s="241" t="str">
        <f>HYPERLINK(CONCATENATE($AT$3,BK2271,$AU$3),$AV$3)</f>
        <v>S</v>
      </c>
      <c r="C2271" s="242" t="str">
        <f>HYPERLINK(CONCATENATE($AT$4,BK2271,$AU$4,BL2271),$AV$4)</f>
        <v>A</v>
      </c>
      <c r="D2271" s="243" t="s">
        <v>5638</v>
      </c>
      <c r="E2271" s="244" t="s">
        <v>5337</v>
      </c>
      <c r="F2271" s="269" t="s">
        <v>9128</v>
      </c>
      <c r="G2271" s="270">
        <v>0.5</v>
      </c>
      <c r="H2271" s="283">
        <v>430</v>
      </c>
      <c r="I2271" s="246">
        <v>60</v>
      </c>
      <c r="J2271" s="246">
        <v>2</v>
      </c>
      <c r="K2271" s="247" t="s">
        <v>7881</v>
      </c>
      <c r="L2271" s="248">
        <v>161141</v>
      </c>
      <c r="M2271" s="249">
        <f>15*(LEFT(TEXT($L2271,"000000"),2)+(MID(TEXT($L2271,"000000"),3,2)/60)+(RIGHT(TEXT($L2271,"000000"),2)/3600))</f>
        <v>242.92083333333332</v>
      </c>
      <c r="N2271" s="250">
        <v>522725</v>
      </c>
      <c r="O2271" s="251">
        <f>IF($N2271&gt;0,(LEFT(TEXT($N2271,"000000"),2)+(MID(TEXT($N2271,"000000"),3,2)/60)+(RIGHT(TEXT($N2271,"000000"),2)/3600)),-(MID(TEXT($N2271,"000000"),2,2)+(MID(TEXT($N2271,"000000"),4,2)/60)+(RIGHT(TEXT($N2271,"000000"),2)/3600)))</f>
        <v>52.456944444444446</v>
      </c>
      <c r="P2271" s="252" t="s">
        <v>34</v>
      </c>
      <c r="Q2271" s="253"/>
      <c r="R2271" s="247" t="s">
        <v>3293</v>
      </c>
      <c r="S2271" s="272" t="s">
        <v>3293</v>
      </c>
      <c r="T2271" s="273">
        <v>13.7</v>
      </c>
      <c r="U2271" s="289">
        <v>23.39</v>
      </c>
      <c r="V2271" s="280"/>
      <c r="W2271" s="244"/>
      <c r="X2271" s="244"/>
      <c r="Y2271" s="362"/>
      <c r="Z2271" s="257">
        <f>altaz(J2000_Bas,$O2271,$M2271,DecLat,DecLong,1)</f>
        <v>52.172815280720577</v>
      </c>
      <c r="AA2271" s="257">
        <f>altaz((J2000_Bas+(2*0.04167)),$O2271,$M2271,DecLat,DecLong,1)</f>
        <v>34.030397353685281</v>
      </c>
      <c r="AB2271" s="257">
        <f>altaz((J2000_Bas+(4*0.04167)),$O2271,$M2271,DecLat,DecLong,1)</f>
        <v>16.77699476893093</v>
      </c>
      <c r="AC2271" s="257">
        <f>altaz((J2000_Bas+(6*0.04167)),$O2271,$M2271,DecLat,DecLong,1)</f>
        <v>2.8613361558898838</v>
      </c>
      <c r="AD2271" s="258">
        <f>1+ transit((J2000_Bas-1),$O2271,$M2271,DecLat,DecLong)/360 + (GMTOffset/24) + (IF(DST="Y", 1, 0)/24)</f>
        <v>1.6676799857442914</v>
      </c>
      <c r="AE2271" s="259">
        <f>DATE(2001,9,21)+(M2271/360)*365 - (360*((DecLong/360)- (GMTOffset/24) ))</f>
        <v>37406.294733796298</v>
      </c>
      <c r="AF2271" s="260">
        <f>IF(DecLat&gt;0,IF((90 - (DecLat-O2271))&gt;90, (90 - (O2271-DecLat)), (90 - (DecLat-O2271))),IF((90 + (DecLat-O2271))&gt;90, (90 + (O2271-DecLat)), (90 + (DecLat-O2271))))</f>
        <v>68.543055555555554</v>
      </c>
      <c r="AG2271" s="257">
        <f>angularseperation(MoonRA,MoonDec,$M2271,$O2271)</f>
        <v>79.733151837815214</v>
      </c>
      <c r="AH2271" s="261">
        <f ca="1">MIN(100,IF($O$5&gt;80,0+30*($AG2271/100),IF($O$5&gt;70,0+50*($AG2271/100),IF($O$5&gt;60,5+50*($AG2271/100),IF($O$5&gt;50,10+60*($AG2271/100),IF($O$5&gt;40,15+70*($AG2271/100),IF($O$5&gt;30,20+70*($AG2271/100),IF($O$5&gt;20,40+55*($AG2271/100),(80+(20-$O$5)+30*($AG2271/100))))))))))</f>
        <v>100</v>
      </c>
      <c r="AI2271" s="262">
        <v>6090</v>
      </c>
      <c r="AJ2271" s="262"/>
      <c r="AK2271" s="262"/>
      <c r="AL2271" s="263"/>
      <c r="AM2271" s="264"/>
      <c r="AN2271" s="263"/>
      <c r="AO2271" s="263"/>
      <c r="AP2271" s="265"/>
      <c r="AQ2271" s="266">
        <v>10267</v>
      </c>
      <c r="AR2271" s="267">
        <v>57437</v>
      </c>
      <c r="AS2271" s="263"/>
      <c r="AT2271" s="263"/>
      <c r="AU2271" s="263"/>
      <c r="AV2271" s="264"/>
      <c r="AW2271" s="263"/>
      <c r="AX2271" s="263"/>
      <c r="AY2271" s="263"/>
      <c r="AZ2271" s="263"/>
      <c r="BA2271" s="263"/>
      <c r="BB2271" s="263"/>
      <c r="BC2271" s="263"/>
      <c r="BD2271" s="264"/>
      <c r="BE2271" s="263"/>
      <c r="BF2271" s="263"/>
      <c r="BG2271" s="263"/>
      <c r="BH2271" s="263"/>
      <c r="BI2271" s="263"/>
      <c r="BJ2271" s="404">
        <f>altaz(J2000_Bas,$O2271,$M2271,DecLat,DecLong,2)</f>
        <v>317.26013281654713</v>
      </c>
      <c r="BK2271" s="378" t="s">
        <v>2156</v>
      </c>
      <c r="BL2271" s="379">
        <f>IF((2*G2271)/60&lt;0.2,0.2,(2*G2271)/60)</f>
        <v>0.2</v>
      </c>
      <c r="BM2271" s="380">
        <f>MOD((50000+AD2271-$B$3+(0/24)),1)</f>
        <v>0.88304691544908565</v>
      </c>
      <c r="BN2271" s="381" t="s">
        <v>9283</v>
      </c>
      <c r="BO2271" s="382">
        <v>2262</v>
      </c>
    </row>
    <row r="2272" spans="1:67" s="24" customFormat="1" ht="15" customHeight="1" x14ac:dyDescent="0.25">
      <c r="A2272" s="298" t="s">
        <v>2157</v>
      </c>
      <c r="B2272" s="241" t="str">
        <f>HYPERLINK(CONCATENATE($AT$3,BK2272,$AU$3),$AV$3)</f>
        <v>S</v>
      </c>
      <c r="C2272" s="242" t="str">
        <f>HYPERLINK(CONCATENATE($AT$4,BK2272,$AU$4,BL2272),$AV$4)</f>
        <v>A</v>
      </c>
      <c r="D2272" s="243" t="s">
        <v>5335</v>
      </c>
      <c r="E2272" s="244" t="s">
        <v>5184</v>
      </c>
      <c r="F2272" s="269" t="s">
        <v>3179</v>
      </c>
      <c r="G2272" s="276">
        <v>12</v>
      </c>
      <c r="H2272" s="283">
        <v>50000</v>
      </c>
      <c r="I2272" s="246">
        <v>170</v>
      </c>
      <c r="J2272" s="246">
        <v>3</v>
      </c>
      <c r="K2272" s="247" t="s">
        <v>5539</v>
      </c>
      <c r="L2272" s="248">
        <v>162540</v>
      </c>
      <c r="M2272" s="249">
        <f>15*(LEFT(TEXT($L2272,"000000"),2)+(MID(TEXT($L2272,"000000"),3,2)/60)+(RIGHT(TEXT($L2272,"000000"),2)/3600))</f>
        <v>246.41666666666671</v>
      </c>
      <c r="N2272" s="286">
        <v>-721200</v>
      </c>
      <c r="O2272" s="251">
        <f>IF($N2272&gt;0,(LEFT(TEXT($N2272,"000000"),2)+(MID(TEXT($N2272,"000000"),3,2)/60)+(RIGHT(TEXT($N2272,"000000"),2)/3600)),-(MID(TEXT($N2272,"000000"),2,2)+(MID(TEXT($N2272,"000000"),4,2)/60)+(RIGHT(TEXT($N2272,"000000"),2)/3600)))</f>
        <v>-72.2</v>
      </c>
      <c r="P2272" s="252" t="s">
        <v>2158</v>
      </c>
      <c r="Q2272" s="253"/>
      <c r="R2272" s="247" t="s">
        <v>7419</v>
      </c>
      <c r="S2272" s="272" t="s">
        <v>3293</v>
      </c>
      <c r="T2272" s="273">
        <v>9.1999999999999993</v>
      </c>
      <c r="U2272" s="274"/>
      <c r="V2272" s="280"/>
      <c r="W2272" s="244"/>
      <c r="X2272" s="244"/>
      <c r="Y2272" s="362"/>
      <c r="Z2272" s="257">
        <f>altaz(J2000_Bas,$O2272,$M2272,DecLat,DecLong,1)</f>
        <v>-16.764753281207692</v>
      </c>
      <c r="AA2272" s="257">
        <f>altaz((J2000_Bas+(2*0.04167)),$O2272,$M2272,DecLat,DecLong,1)</f>
        <v>-23.537433671902679</v>
      </c>
      <c r="AB2272" s="257">
        <f>altaz((J2000_Bas+(4*0.04167)),$O2272,$M2272,DecLat,DecLong,1)</f>
        <v>-32.329035807978642</v>
      </c>
      <c r="AC2272" s="257">
        <f>altaz((J2000_Bas+(6*0.04167)),$O2272,$M2272,DecLat,DecLong,1)</f>
        <v>-41.166635114329026</v>
      </c>
      <c r="AD2272" s="258">
        <f>1+ transit((J2000_Bas-1),$O2272,$M2272,DecLat,DecLong)/360 + (GMTOffset/24) + (IF(DST="Y", 1, 0)/24)</f>
        <v>1.6773906329213748</v>
      </c>
      <c r="AE2272" s="259">
        <f>DATE(2001,9,21)+(M2272/360)*365 - (360*((DecLong/360)- (GMTOffset/24) ))</f>
        <v>37409.839120370372</v>
      </c>
      <c r="AF2272" s="260">
        <f>IF(DecLat&gt;0,IF((90 - (DecLat-O2272))&gt;90, (90 - (O2272-DecLat)), (90 - (DecLat-O2272))),IF((90 + (DecLat-O2272))&gt;90, (90 + (O2272-DecLat)), (90 + (DecLat-O2272))))</f>
        <v>-13.200000000000003</v>
      </c>
      <c r="AG2272" s="257">
        <f>angularseperation(MoonRA,MoonDec,$M2272,$O2272)</f>
        <v>45.142652552447046</v>
      </c>
      <c r="AH2272" s="261">
        <f ca="1">MIN(100,IF($O$5&gt;80,0+30*($AG2272/100),IF($O$5&gt;70,0+50*($AG2272/100),IF($O$5&gt;60,5+50*($AG2272/100),IF($O$5&gt;50,10+60*($AG2272/100),IF($O$5&gt;40,15+70*($AG2272/100),IF($O$5&gt;30,20+70*($AG2272/100),IF($O$5&gt;20,40+55*($AG2272/100),(80+(20-$O$5)+30*($AG2272/100))))))))))</f>
        <v>96.81385610988454</v>
      </c>
      <c r="AI2272" s="262">
        <v>6101</v>
      </c>
      <c r="AJ2272" s="262"/>
      <c r="AK2272" s="262"/>
      <c r="AL2272" s="263"/>
      <c r="AM2272" s="264">
        <v>107</v>
      </c>
      <c r="AN2272" s="263"/>
      <c r="AO2272" s="263"/>
      <c r="AP2272" s="265"/>
      <c r="AQ2272" s="266"/>
      <c r="AR2272" s="267"/>
      <c r="AS2272" s="263"/>
      <c r="AT2272" s="263"/>
      <c r="AU2272" s="263"/>
      <c r="AV2272" s="264"/>
      <c r="AW2272" s="263"/>
      <c r="AX2272" s="263"/>
      <c r="AY2272" s="263"/>
      <c r="AZ2272" s="263"/>
      <c r="BA2272" s="263"/>
      <c r="BB2272" s="263"/>
      <c r="BC2272" s="263"/>
      <c r="BD2272" s="264"/>
      <c r="BE2272" s="263"/>
      <c r="BF2272" s="263"/>
      <c r="BG2272" s="263"/>
      <c r="BH2272" s="263"/>
      <c r="BI2272" s="263"/>
      <c r="BJ2272" s="404">
        <f>altaz(J2000_Bas,$O2272,$M2272,DecLat,DecLong,2)</f>
        <v>191.73859574258375</v>
      </c>
      <c r="BK2272" s="378" t="s">
        <v>2157</v>
      </c>
      <c r="BL2272" s="379">
        <f>IF((2*G2272)/60&lt;0.2,0.2,(2*G2272)/60)</f>
        <v>0.4</v>
      </c>
      <c r="BM2272" s="380">
        <f>MOD((50000+AD2272-$B$3+(0/24)),1)</f>
        <v>0.8927575626221369</v>
      </c>
      <c r="BN2272" s="381"/>
      <c r="BO2272" s="382">
        <v>2263</v>
      </c>
    </row>
    <row r="2273" spans="1:67" s="24" customFormat="1" ht="15" customHeight="1" x14ac:dyDescent="0.25">
      <c r="A2273" s="288" t="s">
        <v>2159</v>
      </c>
      <c r="B2273" s="241" t="str">
        <f>HYPERLINK(CONCATENATE($AT$3,BK2273,$AU$3),$AV$3)</f>
        <v>S</v>
      </c>
      <c r="C2273" s="242" t="str">
        <f>HYPERLINK(CONCATENATE($AT$4,BK2273,$AU$4,BL2273),$AV$4)</f>
        <v>A</v>
      </c>
      <c r="D2273" s="243" t="s">
        <v>5638</v>
      </c>
      <c r="E2273" s="244" t="s">
        <v>5192</v>
      </c>
      <c r="F2273" s="269" t="s">
        <v>8689</v>
      </c>
      <c r="G2273" s="273">
        <v>2.5</v>
      </c>
      <c r="H2273" s="283">
        <v>75</v>
      </c>
      <c r="I2273" s="246">
        <v>55</v>
      </c>
      <c r="J2273" s="246">
        <v>2</v>
      </c>
      <c r="K2273" s="247" t="s">
        <v>7882</v>
      </c>
      <c r="L2273" s="248">
        <v>161847</v>
      </c>
      <c r="M2273" s="249">
        <f>15*(LEFT(TEXT($L2273,"000000"),2)+(MID(TEXT($L2273,"000000"),3,2)/60)+(RIGHT(TEXT($L2273,"000000"),2)/3600))</f>
        <v>244.69583333333335</v>
      </c>
      <c r="N2273" s="250">
        <v>72441</v>
      </c>
      <c r="O2273" s="251">
        <f>IF($N2273&gt;0,(LEFT(TEXT($N2273,"000000"),2)+(MID(TEXT($N2273,"000000"),3,2)/60)+(RIGHT(TEXT($N2273,"000000"),2)/3600)),-(MID(TEXT($N2273,"000000"),2,2)+(MID(TEXT($N2273,"000000"),4,2)/60)+(RIGHT(TEXT($N2273,"000000"),2)/3600)))</f>
        <v>7.4113888888888892</v>
      </c>
      <c r="P2273" s="252" t="s">
        <v>111</v>
      </c>
      <c r="Q2273" s="253"/>
      <c r="R2273" s="277" t="s">
        <v>3293</v>
      </c>
      <c r="S2273" s="272" t="s">
        <v>5198</v>
      </c>
      <c r="T2273" s="273">
        <v>11</v>
      </c>
      <c r="U2273" s="289">
        <v>22.29</v>
      </c>
      <c r="V2273" s="280">
        <v>60</v>
      </c>
      <c r="W2273" s="244"/>
      <c r="X2273" s="244"/>
      <c r="Y2273" s="362"/>
      <c r="Z2273" s="257">
        <f>altaz(J2000_Bas,$O2273,$M2273,DecLat,DecLong,1)</f>
        <v>44.825404185074248</v>
      </c>
      <c r="AA2273" s="257">
        <f>altaz((J2000_Bas+(2*0.04167)),$O2273,$M2273,DecLat,DecLong,1)</f>
        <v>19.735305349112533</v>
      </c>
      <c r="AB2273" s="257">
        <f>altaz((J2000_Bas+(4*0.04167)),$O2273,$M2273,DecLat,DecLong,1)</f>
        <v>-5.8933546144861859</v>
      </c>
      <c r="AC2273" s="257">
        <f>altaz((J2000_Bas+(6*0.04167)),$O2273,$M2273,DecLat,DecLong,1)</f>
        <v>-29.832494412483584</v>
      </c>
      <c r="AD2273" s="258">
        <f>1+ transit((J2000_Bas-1),$O2273,$M2273,DecLat,DecLong)/360 + (GMTOffset/24) + (IF(DST="Y", 1, 0)/24)</f>
        <v>1.6726105408067913</v>
      </c>
      <c r="AE2273" s="259">
        <f>DATE(2001,9,21)+(M2273/360)*365 - (360*((DecLong/360)- (GMTOffset/24) ))</f>
        <v>37408.094386574077</v>
      </c>
      <c r="AF2273" s="260">
        <f>IF(DecLat&gt;0,IF((90 - (DecLat-O2273))&gt;90, (90 - (O2273-DecLat)), (90 - (DecLat-O2273))),IF((90 + (DecLat-O2273))&gt;90, (90 + (O2273-DecLat)), (90 + (DecLat-O2273))))</f>
        <v>66.411388888888894</v>
      </c>
      <c r="AG2273" s="257">
        <f>angularseperation(MoonRA,MoonDec,$M2273,$O2273)</f>
        <v>34.775500880821205</v>
      </c>
      <c r="AH2273" s="261">
        <f ca="1">MIN(100,IF($O$5&gt;80,0+30*($AG2273/100),IF($O$5&gt;70,0+50*($AG2273/100),IF($O$5&gt;60,5+50*($AG2273/100),IF($O$5&gt;50,10+60*($AG2273/100),IF($O$5&gt;40,15+70*($AG2273/100),IF($O$5&gt;30,20+70*($AG2273/100),IF($O$5&gt;20,40+55*($AG2273/100),(80+(20-$O$5)+30*($AG2273/100))))))))))</f>
        <v>93.70371060839679</v>
      </c>
      <c r="AI2273" s="262">
        <v>6106</v>
      </c>
      <c r="AJ2273" s="263"/>
      <c r="AK2273" s="263"/>
      <c r="AL2273" s="263"/>
      <c r="AM2273" s="264"/>
      <c r="AN2273" s="263"/>
      <c r="AO2273" s="263"/>
      <c r="AP2273" s="265"/>
      <c r="AQ2273" s="265">
        <v>10328</v>
      </c>
      <c r="AR2273" s="285">
        <v>57799</v>
      </c>
      <c r="AS2273" s="263"/>
      <c r="AT2273" s="263"/>
      <c r="AU2273" s="263"/>
      <c r="AV2273" s="264"/>
      <c r="AW2273" s="263"/>
      <c r="AX2273" s="263"/>
      <c r="AY2273" s="263"/>
      <c r="AZ2273" s="263"/>
      <c r="BA2273" s="263"/>
      <c r="BB2273" s="263"/>
      <c r="BC2273" s="263"/>
      <c r="BD2273" s="264"/>
      <c r="BE2273" s="263"/>
      <c r="BF2273" s="263"/>
      <c r="BG2273" s="263"/>
      <c r="BH2273" s="263"/>
      <c r="BI2273" s="263"/>
      <c r="BJ2273" s="404">
        <f>altaz(J2000_Bas,$O2273,$M2273,DecLat,DecLong,2)</f>
        <v>247.35413131162647</v>
      </c>
      <c r="BK2273" s="378" t="s">
        <v>2159</v>
      </c>
      <c r="BL2273" s="379">
        <f>IF((2*G2273)/60&lt;0.2,0.2,(2*G2273)/60)</f>
        <v>0.2</v>
      </c>
      <c r="BM2273" s="380">
        <f>MOD((50000+AD2273-$B$3+(0/24)),1)</f>
        <v>0.88797747051285114</v>
      </c>
      <c r="BN2273" s="381" t="s">
        <v>6500</v>
      </c>
      <c r="BO2273" s="382">
        <v>2264</v>
      </c>
    </row>
    <row r="2274" spans="1:67" s="24" customFormat="1" ht="15" customHeight="1" x14ac:dyDescent="0.25">
      <c r="A2274" s="288" t="s">
        <v>2160</v>
      </c>
      <c r="B2274" s="241" t="str">
        <f>HYPERLINK(CONCATENATE($AT$3,BK2274,$AU$3),$AV$3)</f>
        <v>S</v>
      </c>
      <c r="C2274" s="242" t="str">
        <f>HYPERLINK(CONCATENATE($AT$4,BK2274,$AU$4,BL2274),$AV$4)</f>
        <v>A</v>
      </c>
      <c r="D2274" s="243" t="s">
        <v>5638</v>
      </c>
      <c r="E2274" s="244" t="s">
        <v>5192</v>
      </c>
      <c r="F2274" s="269" t="s">
        <v>8713</v>
      </c>
      <c r="G2274" s="273">
        <v>5</v>
      </c>
      <c r="H2274" s="283">
        <v>70</v>
      </c>
      <c r="I2274" s="246">
        <v>95</v>
      </c>
      <c r="J2274" s="246">
        <v>2</v>
      </c>
      <c r="K2274" s="247" t="s">
        <v>8350</v>
      </c>
      <c r="L2274" s="248">
        <v>162149</v>
      </c>
      <c r="M2274" s="249">
        <f>15*(LEFT(TEXT($L2274,"000000"),2)+(MID(TEXT($L2274,"000000"),3,2)/60)+(RIGHT(TEXT($L2274,"000000"),2)/3600))</f>
        <v>245.45416666666668</v>
      </c>
      <c r="N2274" s="250">
        <v>-21702</v>
      </c>
      <c r="O2274" s="251">
        <f>IF($N2274&gt;0,(LEFT(TEXT($N2274,"000000"),2)+(MID(TEXT($N2274,"000000"),3,2)/60)+(RIGHT(TEXT($N2274,"000000"),2)/3600)),-(MID(TEXT($N2274,"000000"),2,2)+(MID(TEXT($N2274,"000000"),4,2)/60)+(RIGHT(TEXT($N2274,"000000"),2)/3600)))</f>
        <v>-2.2838888888888889</v>
      </c>
      <c r="P2274" s="252" t="s">
        <v>115</v>
      </c>
      <c r="Q2274" s="253"/>
      <c r="R2274" s="247" t="s">
        <v>3293</v>
      </c>
      <c r="S2274" s="272" t="s">
        <v>3293</v>
      </c>
      <c r="T2274" s="273">
        <v>11.7</v>
      </c>
      <c r="U2274" s="289">
        <v>22.79</v>
      </c>
      <c r="V2274" s="280">
        <v>70</v>
      </c>
      <c r="W2274" s="244"/>
      <c r="X2274" s="244"/>
      <c r="Y2274" s="362"/>
      <c r="Z2274" s="257">
        <f>altaz(J2000_Bas,$O2274,$M2274,DecLat,DecLong,1)</f>
        <v>39.070929410521863</v>
      </c>
      <c r="AA2274" s="257">
        <f>altaz((J2000_Bas+(2*0.04167)),$O2274,$M2274,DecLat,DecLong,1)</f>
        <v>15.277924863859489</v>
      </c>
      <c r="AB2274" s="257">
        <f>altaz((J2000_Bas+(4*0.04167)),$O2274,$M2274,DecLat,DecLong,1)</f>
        <v>-10.358306980127191</v>
      </c>
      <c r="AC2274" s="257">
        <f>altaz((J2000_Bas+(6*0.04167)),$O2274,$M2274,DecLat,DecLong,1)</f>
        <v>-35.464204564228005</v>
      </c>
      <c r="AD2274" s="258">
        <f>1+ transit((J2000_Bas-1),$O2274,$M2274,DecLat,DecLong)/360 + (GMTOffset/24) + (IF(DST="Y", 1, 0)/24)</f>
        <v>1.6747170220776246</v>
      </c>
      <c r="AE2274" s="259">
        <f>DATE(2001,9,21)+(M2274/360)*365 - (360*((DecLong/360)- (GMTOffset/24) ))</f>
        <v>37408.863252314812</v>
      </c>
      <c r="AF2274" s="260">
        <f>IF(DecLat&gt;0,IF((90 - (DecLat-O2274))&gt;90, (90 - (O2274-DecLat)), (90 - (DecLat-O2274))),IF((90 + (DecLat-O2274))&gt;90, (90 + (O2274-DecLat)), (90 + (DecLat-O2274))))</f>
        <v>56.716111111111111</v>
      </c>
      <c r="AG2274" s="257">
        <f>angularseperation(MoonRA,MoonDec,$M2274,$O2274)</f>
        <v>25.064333166624177</v>
      </c>
      <c r="AH2274" s="261">
        <f ca="1">MIN(100,IF($O$5&gt;80,0+30*($AG2274/100),IF($O$5&gt;70,0+50*($AG2274/100),IF($O$5&gt;60,5+50*($AG2274/100),IF($O$5&gt;50,10+60*($AG2274/100),IF($O$5&gt;40,15+70*($AG2274/100),IF($O$5&gt;30,20+70*($AG2274/100),IF($O$5&gt;20,40+55*($AG2274/100),(80+(20-$O$5)+30*($AG2274/100))))))))))</f>
        <v>90.790360294137685</v>
      </c>
      <c r="AI2274" s="262">
        <v>6118</v>
      </c>
      <c r="AJ2274" s="262"/>
      <c r="AK2274" s="262">
        <v>315</v>
      </c>
      <c r="AL2274" s="263"/>
      <c r="AM2274" s="264"/>
      <c r="AN2274" s="263"/>
      <c r="AO2274" s="263"/>
      <c r="AP2274" s="265"/>
      <c r="AQ2274" s="266">
        <v>10350</v>
      </c>
      <c r="AR2274" s="267">
        <v>57924</v>
      </c>
      <c r="AS2274" s="263"/>
      <c r="AT2274" s="263"/>
      <c r="AU2274" s="263"/>
      <c r="AV2274" s="264"/>
      <c r="AW2274" s="263"/>
      <c r="AX2274" s="263"/>
      <c r="AY2274" s="263"/>
      <c r="AZ2274" s="263"/>
      <c r="BA2274" s="263"/>
      <c r="BB2274" s="263"/>
      <c r="BC2274" s="263"/>
      <c r="BD2274" s="264"/>
      <c r="BE2274" s="263"/>
      <c r="BF2274" s="263"/>
      <c r="BG2274" s="263"/>
      <c r="BH2274" s="263"/>
      <c r="BI2274" s="263"/>
      <c r="BJ2274" s="404">
        <f>altaz(J2000_Bas,$O2274,$M2274,DecLat,DecLong,2)</f>
        <v>236.79177167767619</v>
      </c>
      <c r="BK2274" s="378" t="s">
        <v>2160</v>
      </c>
      <c r="BL2274" s="379">
        <f>IF((2*G2274)/60&lt;0.2,0.2,(2*G2274)/60)</f>
        <v>0.2</v>
      </c>
      <c r="BM2274" s="380">
        <f>MOD((50000+AD2274-$B$3+(0/24)),1)</f>
        <v>0.89008395178097999</v>
      </c>
      <c r="BN2274" s="381"/>
      <c r="BO2274" s="382">
        <v>2265</v>
      </c>
    </row>
    <row r="2275" spans="1:67" s="24" customFormat="1" ht="15" customHeight="1" x14ac:dyDescent="0.25">
      <c r="A2275" s="288" t="s">
        <v>2161</v>
      </c>
      <c r="B2275" s="241" t="str">
        <f>HYPERLINK(CONCATENATE($AT$3,BK2275,$AU$3),$AV$3)</f>
        <v>S</v>
      </c>
      <c r="C2275" s="242" t="str">
        <f>HYPERLINK(CONCATENATE($AT$4,BK2275,$AU$4,BL2275),$AV$4)</f>
        <v>A</v>
      </c>
      <c r="D2275" s="243" t="s">
        <v>5638</v>
      </c>
      <c r="E2275" s="244" t="s">
        <v>5337</v>
      </c>
      <c r="F2275" s="269" t="s">
        <v>3316</v>
      </c>
      <c r="G2275" s="270">
        <v>0.5</v>
      </c>
      <c r="H2275" s="283">
        <v>450</v>
      </c>
      <c r="I2275" s="246">
        <v>70</v>
      </c>
      <c r="J2275" s="246">
        <v>2</v>
      </c>
      <c r="K2275" s="247" t="s">
        <v>9156</v>
      </c>
      <c r="L2275" s="248">
        <v>161948</v>
      </c>
      <c r="M2275" s="249">
        <f>15*(LEFT(TEXT($L2275,"000000"),2)+(MID(TEXT($L2275,"000000"),3,2)/60)+(RIGHT(TEXT($L2275,"000000"),2)/3600))</f>
        <v>244.95</v>
      </c>
      <c r="N2275" s="250">
        <v>374627</v>
      </c>
      <c r="O2275" s="251">
        <f>IF($N2275&gt;0,(LEFT(TEXT($N2275,"000000"),2)+(MID(TEXT($N2275,"000000"),3,2)/60)+(RIGHT(TEXT($N2275,"000000"),2)/3600)),-(MID(TEXT($N2275,"000000"),2,2)+(MID(TEXT($N2275,"000000"),4,2)/60)+(RIGHT(TEXT($N2275,"000000"),2)/3600)))</f>
        <v>37.774166666666666</v>
      </c>
      <c r="P2275" s="252" t="s">
        <v>198</v>
      </c>
      <c r="Q2275" s="253"/>
      <c r="R2275" s="277" t="s">
        <v>3293</v>
      </c>
      <c r="S2275" s="272" t="s">
        <v>7883</v>
      </c>
      <c r="T2275" s="273">
        <v>13.9</v>
      </c>
      <c r="U2275" s="289">
        <v>22.29</v>
      </c>
      <c r="V2275" s="280"/>
      <c r="W2275" s="244"/>
      <c r="X2275" s="244"/>
      <c r="Y2275" s="362"/>
      <c r="Z2275" s="257">
        <f>altaz(J2000_Bas,$O2275,$M2275,DecLat,DecLong,1)</f>
        <v>55.732542208007509</v>
      </c>
      <c r="AA2275" s="257">
        <f>altaz((J2000_Bas+(2*0.04167)),$O2275,$M2275,DecLat,DecLong,1)</f>
        <v>32.312409903955647</v>
      </c>
      <c r="AB2275" s="257">
        <f>altaz((J2000_Bas+(4*0.04167)),$O2275,$M2275,DecLat,DecLong,1)</f>
        <v>10.581566750965083</v>
      </c>
      <c r="AC2275" s="257">
        <f>altaz((J2000_Bas+(6*0.04167)),$O2275,$M2275,DecLat,DecLong,1)</f>
        <v>-7.5701978658658531</v>
      </c>
      <c r="AD2275" s="258">
        <f>1+ transit((J2000_Bas-1),$O2275,$M2275,DecLat,DecLong)/360 + (GMTOffset/24) + (IF(DST="Y", 1, 0)/24)</f>
        <v>1.6733165592547079</v>
      </c>
      <c r="AE2275" s="259">
        <f>DATE(2001,9,21)+(M2275/360)*365 - (360*((DecLong/360)- (GMTOffset/24) ))</f>
        <v>37408.352083333331</v>
      </c>
      <c r="AF2275" s="260">
        <f>IF(DecLat&gt;0,IF((90 - (DecLat-O2275))&gt;90, (90 - (O2275-DecLat)), (90 - (DecLat-O2275))),IF((90 + (DecLat-O2275))&gt;90, (90 + (O2275-DecLat)), (90 + (DecLat-O2275))))</f>
        <v>83.225833333333327</v>
      </c>
      <c r="AG2275" s="257">
        <f>angularseperation(MoonRA,MoonDec,$M2275,$O2275)</f>
        <v>64.983104681149214</v>
      </c>
      <c r="AH2275" s="261">
        <f ca="1">MIN(100,IF($O$5&gt;80,0+30*($AG2275/100),IF($O$5&gt;70,0+50*($AG2275/100),IF($O$5&gt;60,5+50*($AG2275/100),IF($O$5&gt;50,10+60*($AG2275/100),IF($O$5&gt;40,15+70*($AG2275/100),IF($O$5&gt;30,20+70*($AG2275/100),IF($O$5&gt;20,40+55*($AG2275/100),(80+(20-$O$5)+30*($AG2275/100))))))))))</f>
        <v>100</v>
      </c>
      <c r="AI2275" s="262">
        <v>6120</v>
      </c>
      <c r="AJ2275" s="263"/>
      <c r="AK2275" s="263"/>
      <c r="AL2275" s="263"/>
      <c r="AM2275" s="264"/>
      <c r="AN2275" s="263"/>
      <c r="AO2275" s="263"/>
      <c r="AP2275" s="265"/>
      <c r="AQ2275" s="265">
        <v>10343</v>
      </c>
      <c r="AR2275" s="285">
        <v>57842</v>
      </c>
      <c r="AS2275" s="263"/>
      <c r="AT2275" s="263"/>
      <c r="AU2275" s="263"/>
      <c r="AV2275" s="264"/>
      <c r="AW2275" s="263"/>
      <c r="AX2275" s="263"/>
      <c r="AY2275" s="263"/>
      <c r="AZ2275" s="263"/>
      <c r="BA2275" s="263"/>
      <c r="BB2275" s="263"/>
      <c r="BC2275" s="263"/>
      <c r="BD2275" s="264"/>
      <c r="BE2275" s="263"/>
      <c r="BF2275" s="263"/>
      <c r="BG2275" s="263"/>
      <c r="BH2275" s="263"/>
      <c r="BI2275" s="263"/>
      <c r="BJ2275" s="404">
        <f>altaz(J2000_Bas,$O2275,$M2275,DecLat,DecLong,2)</f>
        <v>292.78528669010439</v>
      </c>
      <c r="BK2275" s="378" t="s">
        <v>2161</v>
      </c>
      <c r="BL2275" s="379">
        <f>IF((2*G2275)/60&lt;0.2,0.2,(2*G2275)/60)</f>
        <v>0.2</v>
      </c>
      <c r="BM2275" s="380">
        <f>MOD((50000+AD2275-$B$3+(0/24)),1)</f>
        <v>0.88868348895630334</v>
      </c>
      <c r="BN2275" s="381" t="s">
        <v>9285</v>
      </c>
      <c r="BO2275" s="382">
        <v>2266</v>
      </c>
    </row>
    <row r="2276" spans="1:67" s="24" customFormat="1" ht="15" customHeight="1" x14ac:dyDescent="0.25">
      <c r="A2276" s="288" t="s">
        <v>2162</v>
      </c>
      <c r="B2276" s="241" t="str">
        <f>HYPERLINK(CONCATENATE($AT$3,BK2276,$AU$3),$AV$3)</f>
        <v>S</v>
      </c>
      <c r="C2276" s="242" t="str">
        <f>HYPERLINK(CONCATENATE($AT$4,BK2276,$AU$4,BL2276),$AV$4)</f>
        <v>A</v>
      </c>
      <c r="D2276" s="243" t="s">
        <v>5335</v>
      </c>
      <c r="E2276" s="244" t="s">
        <v>5185</v>
      </c>
      <c r="F2276" s="269" t="s">
        <v>6392</v>
      </c>
      <c r="G2276" s="276">
        <v>30</v>
      </c>
      <c r="H2276" s="283">
        <v>1500</v>
      </c>
      <c r="I2276" s="246">
        <v>13</v>
      </c>
      <c r="J2276" s="246">
        <v>2</v>
      </c>
      <c r="K2276" s="247" t="s">
        <v>7884</v>
      </c>
      <c r="L2276" s="248">
        <v>162520</v>
      </c>
      <c r="M2276" s="249">
        <f>15*(LEFT(TEXT($L2276,"000000"),2)+(MID(TEXT($L2276,"000000"),3,2)/60)+(RIGHT(TEXT($L2276,"000000"),2)/3600))</f>
        <v>246.33333333333337</v>
      </c>
      <c r="N2276" s="250">
        <v>-403912</v>
      </c>
      <c r="O2276" s="251">
        <f>IF($N2276&gt;0,(LEFT(TEXT($N2276,"000000"),2)+(MID(TEXT($N2276,"000000"),3,2)/60)+(RIGHT(TEXT($N2276,"000000"),2)/3600)),-(MID(TEXT($N2276,"000000"),2,2)+(MID(TEXT($N2276,"000000"),4,2)/60)+(RIGHT(TEXT($N2276,"000000"),2)/3600)))</f>
        <v>-40.653333333333329</v>
      </c>
      <c r="P2276" s="252" t="s">
        <v>109</v>
      </c>
      <c r="Q2276" s="253"/>
      <c r="R2276" s="247" t="s">
        <v>7387</v>
      </c>
      <c r="S2276" s="272" t="s">
        <v>3293</v>
      </c>
      <c r="T2276" s="273">
        <v>5.8</v>
      </c>
      <c r="U2276" s="274"/>
      <c r="V2276" s="280"/>
      <c r="W2276" s="244"/>
      <c r="X2276" s="244"/>
      <c r="Y2276" s="362"/>
      <c r="Z2276" s="257">
        <f>altaz(J2000_Bas,$O2276,$M2276,DecLat,DecLong,1)</f>
        <v>9.4988628635763792</v>
      </c>
      <c r="AA2276" s="257">
        <f>altaz((J2000_Bas+(2*0.04167)),$O2276,$M2276,DecLat,DecLong,1)</f>
        <v>-6.3439814096135017</v>
      </c>
      <c r="AB2276" s="257">
        <f>altaz((J2000_Bas+(4*0.04167)),$O2276,$M2276,DecLat,DecLong,1)</f>
        <v>-26.529232759562436</v>
      </c>
      <c r="AC2276" s="257">
        <f>altaz((J2000_Bas+(6*0.04167)),$O2276,$M2276,DecLat,DecLong,1)</f>
        <v>-48.839912545977718</v>
      </c>
      <c r="AD2276" s="258">
        <f>1+ transit((J2000_Bas-1),$O2276,$M2276,DecLat,DecLong)/360 + (GMTOffset/24) + (IF(DST="Y", 1, 0)/24)</f>
        <v>1.6771591514630415</v>
      </c>
      <c r="AE2276" s="259">
        <f>DATE(2001,9,21)+(M2276/360)*365 - (360*((DecLong/360)- (GMTOffset/24) ))</f>
        <v>37409.754629629628</v>
      </c>
      <c r="AF2276" s="260">
        <f>IF(DecLat&gt;0,IF((90 - (DecLat-O2276))&gt;90, (90 - (O2276-DecLat)), (90 - (DecLat-O2276))),IF((90 + (DecLat-O2276))&gt;90, (90 + (O2276-DecLat)), (90 + (DecLat-O2276))))</f>
        <v>18.346666666666664</v>
      </c>
      <c r="AG2276" s="257">
        <f>angularseperation(MoonRA,MoonDec,$M2276,$O2276)</f>
        <v>13.780131183644514</v>
      </c>
      <c r="AH2276" s="261">
        <f ca="1">MIN(100,IF($O$5&gt;80,0+30*($AG2276/100),IF($O$5&gt;70,0+50*($AG2276/100),IF($O$5&gt;60,5+50*($AG2276/100),IF($O$5&gt;50,10+60*($AG2276/100),IF($O$5&gt;40,15+70*($AG2276/100),IF($O$5&gt;30,20+70*($AG2276/100),IF($O$5&gt;20,40+55*($AG2276/100),(80+(20-$O$5)+30*($AG2276/100))))))))))</f>
        <v>87.405099699243777</v>
      </c>
      <c r="AI2276" s="262">
        <v>6124</v>
      </c>
      <c r="AJ2276" s="262"/>
      <c r="AK2276" s="262"/>
      <c r="AL2276" s="263"/>
      <c r="AM2276" s="264">
        <v>75</v>
      </c>
      <c r="AN2276" s="263"/>
      <c r="AO2276" s="263"/>
      <c r="AP2276" s="265"/>
      <c r="AQ2276" s="266"/>
      <c r="AR2276" s="267"/>
      <c r="AS2276" s="263"/>
      <c r="AT2276" s="263"/>
      <c r="AU2276" s="263"/>
      <c r="AV2276" s="264"/>
      <c r="AW2276" s="263"/>
      <c r="AX2276" s="263"/>
      <c r="AY2276" s="263"/>
      <c r="AZ2276" s="263"/>
      <c r="BA2276" s="263"/>
      <c r="BB2276" s="263"/>
      <c r="BC2276" s="263"/>
      <c r="BD2276" s="264"/>
      <c r="BE2276" s="263"/>
      <c r="BF2276" s="263"/>
      <c r="BG2276" s="263"/>
      <c r="BH2276" s="263"/>
      <c r="BI2276" s="263"/>
      <c r="BJ2276" s="404">
        <f>altaz(J2000_Bas,$O2276,$M2276,DecLat,DecLong,2)</f>
        <v>209.40834260716156</v>
      </c>
      <c r="BK2276" s="378" t="s">
        <v>2162</v>
      </c>
      <c r="BL2276" s="379">
        <f>IF((2*G2276)/60&lt;0.2,0.2,(2*G2276)/60)</f>
        <v>1</v>
      </c>
      <c r="BM2276" s="380">
        <f>MOD((50000+AD2276-$B$3+(0/24)),1)</f>
        <v>0.89252608116657939</v>
      </c>
      <c r="BN2276" s="381"/>
      <c r="BO2276" s="382">
        <v>2267</v>
      </c>
    </row>
    <row r="2277" spans="1:67" s="24" customFormat="1" ht="15" customHeight="1" x14ac:dyDescent="0.25">
      <c r="A2277" s="288" t="s">
        <v>2163</v>
      </c>
      <c r="B2277" s="241" t="str">
        <f>HYPERLINK(CONCATENATE($AT$3,BK2277,$AU$3),$AV$3)</f>
        <v>S</v>
      </c>
      <c r="C2277" s="242" t="str">
        <f>HYPERLINK(CONCATENATE($AT$4,BK2277,$AU$4,BL2277),$AV$4)</f>
        <v>A</v>
      </c>
      <c r="D2277" s="243" t="s">
        <v>5638</v>
      </c>
      <c r="E2277" s="244" t="s">
        <v>5192</v>
      </c>
      <c r="F2277" s="269" t="s">
        <v>8895</v>
      </c>
      <c r="G2277" s="273">
        <v>4</v>
      </c>
      <c r="H2277" s="283">
        <v>45</v>
      </c>
      <c r="I2277" s="246">
        <v>50</v>
      </c>
      <c r="J2277" s="246">
        <v>2</v>
      </c>
      <c r="K2277" s="247" t="s">
        <v>8581</v>
      </c>
      <c r="L2277" s="248">
        <v>162057</v>
      </c>
      <c r="M2277" s="249">
        <f>15*(LEFT(TEXT($L2277,"000000"),2)+(MID(TEXT($L2277,"000000"),3,2)/60)+(RIGHT(TEXT($L2277,"000000"),2)/3600))</f>
        <v>245.23749999999998</v>
      </c>
      <c r="N2277" s="250">
        <v>652324</v>
      </c>
      <c r="O2277" s="251">
        <f>IF($N2277&gt;0,(LEFT(TEXT($N2277,"000000"),2)+(MID(TEXT($N2277,"000000"),3,2)/60)+(RIGHT(TEXT($N2277,"000000"),2)/3600)),-(MID(TEXT($N2277,"000000"),2,2)+(MID(TEXT($N2277,"000000"),4,2)/60)+(RIGHT(TEXT($N2277,"000000"),2)/3600)))</f>
        <v>65.39</v>
      </c>
      <c r="P2277" s="252" t="s">
        <v>34</v>
      </c>
      <c r="Q2277" s="253"/>
      <c r="R2277" s="247" t="s">
        <v>3293</v>
      </c>
      <c r="S2277" s="272" t="s">
        <v>3293</v>
      </c>
      <c r="T2277" s="273">
        <v>11.3</v>
      </c>
      <c r="U2277" s="289">
        <v>23.69</v>
      </c>
      <c r="V2277" s="280">
        <v>30</v>
      </c>
      <c r="W2277" s="244"/>
      <c r="X2277" s="244"/>
      <c r="Y2277" s="362"/>
      <c r="Z2277" s="257">
        <f>altaz(J2000_Bas,$O2277,$M2277,DecLat,DecLong,1)</f>
        <v>47.613259755658895</v>
      </c>
      <c r="AA2277" s="257">
        <f>altaz((J2000_Bas+(2*0.04167)),$O2277,$M2277,DecLat,DecLong,1)</f>
        <v>35.827944699112109</v>
      </c>
      <c r="AB2277" s="257">
        <f>altaz((J2000_Bas+(4*0.04167)),$O2277,$M2277,DecLat,DecLong,1)</f>
        <v>23.612272038209024</v>
      </c>
      <c r="AC2277" s="257">
        <f>altaz((J2000_Bas+(6*0.04167)),$O2277,$M2277,DecLat,DecLong,1)</f>
        <v>13.531497959003209</v>
      </c>
      <c r="AD2277" s="258">
        <f>1+ transit((J2000_Bas-1),$O2277,$M2277,DecLat,DecLong)/360 + (GMTOffset/24) + (IF(DST="Y", 1, 0)/24)</f>
        <v>1.674115170285958</v>
      </c>
      <c r="AE2277" s="259">
        <f>DATE(2001,9,21)+(M2277/360)*365 - (360*((DecLong/360)- (GMTOffset/24) ))</f>
        <v>37408.643576388888</v>
      </c>
      <c r="AF2277" s="260">
        <f>IF(DecLat&gt;0,IF((90 - (DecLat-O2277))&gt;90, (90 - (O2277-DecLat)), (90 - (DecLat-O2277))),IF((90 + (DecLat-O2277))&gt;90, (90 + (O2277-DecLat)), (90 + (DecLat-O2277))))</f>
        <v>55.61</v>
      </c>
      <c r="AG2277" s="257">
        <f>angularseperation(MoonRA,MoonDec,$M2277,$O2277)</f>
        <v>92.526005274157399</v>
      </c>
      <c r="AH2277" s="261">
        <f ca="1">MIN(100,IF($O$5&gt;80,0+30*($AG2277/100),IF($O$5&gt;70,0+50*($AG2277/100),IF($O$5&gt;60,5+50*($AG2277/100),IF($O$5&gt;50,10+60*($AG2277/100),IF($O$5&gt;40,15+70*($AG2277/100),IF($O$5&gt;30,20+70*($AG2277/100),IF($O$5&gt;20,40+55*($AG2277/100),(80+(20-$O$5)+30*($AG2277/100))))))))))</f>
        <v>100</v>
      </c>
      <c r="AI2277" s="262">
        <v>6140</v>
      </c>
      <c r="AJ2277" s="262"/>
      <c r="AK2277" s="262"/>
      <c r="AL2277" s="263"/>
      <c r="AM2277" s="264"/>
      <c r="AN2277" s="263"/>
      <c r="AO2277" s="263"/>
      <c r="AP2277" s="265"/>
      <c r="AQ2277" s="266">
        <v>10359</v>
      </c>
      <c r="AR2277" s="267">
        <v>57886</v>
      </c>
      <c r="AS2277" s="263"/>
      <c r="AT2277" s="263"/>
      <c r="AU2277" s="263"/>
      <c r="AV2277" s="264"/>
      <c r="AW2277" s="263"/>
      <c r="AX2277" s="263"/>
      <c r="AY2277" s="263"/>
      <c r="AZ2277" s="263"/>
      <c r="BA2277" s="263"/>
      <c r="BB2277" s="263"/>
      <c r="BC2277" s="263"/>
      <c r="BD2277" s="264"/>
      <c r="BE2277" s="263"/>
      <c r="BF2277" s="263"/>
      <c r="BG2277" s="263"/>
      <c r="BH2277" s="263"/>
      <c r="BI2277" s="263"/>
      <c r="BJ2277" s="404">
        <f>altaz(J2000_Bas,$O2277,$M2277,DecLat,DecLong,2)</f>
        <v>336.21155259925973</v>
      </c>
      <c r="BK2277" s="378" t="s">
        <v>2163</v>
      </c>
      <c r="BL2277" s="379">
        <f>IF((2*G2277)/60&lt;0.2,0.2,(2*G2277)/60)</f>
        <v>0.2</v>
      </c>
      <c r="BM2277" s="380">
        <f>MOD((50000+AD2277-$B$3+(0/24)),1)</f>
        <v>0.88948209999216488</v>
      </c>
      <c r="BN2277" s="381"/>
      <c r="BO2277" s="382">
        <v>2268</v>
      </c>
    </row>
    <row r="2278" spans="1:67" s="24" customFormat="1" ht="15" customHeight="1" x14ac:dyDescent="0.25">
      <c r="A2278" s="288" t="s">
        <v>2164</v>
      </c>
      <c r="B2278" s="241" t="str">
        <f>HYPERLINK(CONCATENATE($AT$3,BK2278,$AU$3),$AV$3)</f>
        <v>S</v>
      </c>
      <c r="C2278" s="242" t="str">
        <f>HYPERLINK(CONCATENATE($AT$4,BK2278,$AU$4,BL2278),$AV$4)</f>
        <v>A</v>
      </c>
      <c r="D2278" s="243" t="s">
        <v>5335</v>
      </c>
      <c r="E2278" s="244" t="s">
        <v>5184</v>
      </c>
      <c r="F2278" s="269" t="s">
        <v>3315</v>
      </c>
      <c r="G2278" s="273">
        <v>9</v>
      </c>
      <c r="H2278" s="283">
        <v>30000</v>
      </c>
      <c r="I2278" s="246">
        <v>80</v>
      </c>
      <c r="J2278" s="246">
        <v>2</v>
      </c>
      <c r="K2278" s="247" t="s">
        <v>7885</v>
      </c>
      <c r="L2278" s="248">
        <v>162714</v>
      </c>
      <c r="M2278" s="249">
        <f>15*(LEFT(TEXT($L2278,"000000"),2)+(MID(TEXT($L2278,"000000"),3,2)/60)+(RIGHT(TEXT($L2278,"000000"),2)/3600))</f>
        <v>246.80833333333331</v>
      </c>
      <c r="N2278" s="250">
        <v>-260126</v>
      </c>
      <c r="O2278" s="251">
        <f>IF($N2278&gt;0,(LEFT(TEXT($N2278,"000000"),2)+(MID(TEXT($N2278,"000000"),3,2)/60)+(RIGHT(TEXT($N2278,"000000"),2)/3600)),-(MID(TEXT($N2278,"000000"),2,2)+(MID(TEXT($N2278,"000000"),4,2)/60)+(RIGHT(TEXT($N2278,"000000"),2)/3600)))</f>
        <v>-26.023888888888887</v>
      </c>
      <c r="P2278" s="252" t="s">
        <v>109</v>
      </c>
      <c r="Q2278" s="253"/>
      <c r="R2278" s="247" t="s">
        <v>3293</v>
      </c>
      <c r="S2278" s="272" t="s">
        <v>3293</v>
      </c>
      <c r="T2278" s="273">
        <v>9</v>
      </c>
      <c r="U2278" s="274"/>
      <c r="V2278" s="280"/>
      <c r="W2278" s="244"/>
      <c r="X2278" s="244"/>
      <c r="Y2278" s="362"/>
      <c r="Z2278" s="257">
        <f>altaz(J2000_Bas,$O2278,$M2278,DecLat,DecLong,1)</f>
        <v>21.776470617693505</v>
      </c>
      <c r="AA2278" s="257">
        <f>altaz((J2000_Bas+(2*0.04167)),$O2278,$M2278,DecLat,DecLong,1)</f>
        <v>2.6688212483546629</v>
      </c>
      <c r="AB2278" s="257">
        <f>altaz((J2000_Bas+(4*0.04167)),$O2278,$M2278,DecLat,DecLong,1)</f>
        <v>-20.566151596052183</v>
      </c>
      <c r="AC2278" s="257">
        <f>altaz((J2000_Bas+(6*0.04167)),$O2278,$M2278,DecLat,DecLong,1)</f>
        <v>-45.674031838465112</v>
      </c>
      <c r="AD2278" s="258">
        <f>1+ transit((J2000_Bas-1),$O2278,$M2278,DecLat,DecLong)/360 + (GMTOffset/24) + (IF(DST="Y", 1, 0)/24)</f>
        <v>1.6784785957755413</v>
      </c>
      <c r="AE2278" s="259">
        <f>DATE(2001,9,21)+(M2278/360)*365 - (360*((DecLong/360)- (GMTOffset/24) ))</f>
        <v>37410.236226851848</v>
      </c>
      <c r="AF2278" s="260">
        <f>IF(DecLat&gt;0,IF((90 - (DecLat-O2278))&gt;90, (90 - (O2278-DecLat)), (90 - (DecLat-O2278))),IF((90 + (DecLat-O2278))&gt;90, (90 + (O2278-DecLat)), (90 + (DecLat-O2278))))</f>
        <v>32.976111111111109</v>
      </c>
      <c r="AG2278" s="257">
        <f>angularseperation(MoonRA,MoonDec,$M2278,$O2278)</f>
        <v>2.4212421634414674</v>
      </c>
      <c r="AH2278" s="261">
        <f ca="1">MIN(100,IF($O$5&gt;80,0+30*($AG2278/100),IF($O$5&gt;70,0+50*($AG2278/100),IF($O$5&gt;60,5+50*($AG2278/100),IF($O$5&gt;50,10+60*($AG2278/100),IF($O$5&gt;40,15+70*($AG2278/100),IF($O$5&gt;30,20+70*($AG2278/100),IF($O$5&gt;20,40+55*($AG2278/100),(80+(20-$O$5)+30*($AG2278/100))))))))))</f>
        <v>83.997432993182869</v>
      </c>
      <c r="AI2278" s="262">
        <v>6144</v>
      </c>
      <c r="AJ2278" s="262"/>
      <c r="AK2278" s="262">
        <v>316</v>
      </c>
      <c r="AL2278" s="263"/>
      <c r="AM2278" s="264"/>
      <c r="AN2278" s="263"/>
      <c r="AO2278" s="263"/>
      <c r="AP2278" s="265"/>
      <c r="AQ2278" s="266"/>
      <c r="AR2278" s="267"/>
      <c r="AS2278" s="263"/>
      <c r="AT2278" s="263"/>
      <c r="AU2278" s="263"/>
      <c r="AV2278" s="264"/>
      <c r="AW2278" s="263"/>
      <c r="AX2278" s="263"/>
      <c r="AY2278" s="263"/>
      <c r="AZ2278" s="263"/>
      <c r="BA2278" s="263"/>
      <c r="BB2278" s="263"/>
      <c r="BC2278" s="263"/>
      <c r="BD2278" s="264"/>
      <c r="BE2278" s="263"/>
      <c r="BF2278" s="263">
        <v>72</v>
      </c>
      <c r="BG2278" s="263"/>
      <c r="BH2278" s="263"/>
      <c r="BI2278" s="263"/>
      <c r="BJ2278" s="404">
        <f>altaz(J2000_Bas,$O2278,$M2278,DecLat,DecLong,2)</f>
        <v>217.69936398314658</v>
      </c>
      <c r="BK2278" s="378" t="s">
        <v>2164</v>
      </c>
      <c r="BL2278" s="379">
        <f>IF((2*G2278)/60&lt;0.2,0.2,(2*G2278)/60)</f>
        <v>0.3</v>
      </c>
      <c r="BM2278" s="380">
        <f>MOD((50000+AD2278-$B$3+(0/24)),1)</f>
        <v>0.8938455254829023</v>
      </c>
      <c r="BN2278" s="381"/>
      <c r="BO2278" s="382">
        <v>2269</v>
      </c>
    </row>
    <row r="2279" spans="1:67" s="24" customFormat="1" ht="15" customHeight="1" x14ac:dyDescent="0.25">
      <c r="A2279" s="287" t="s">
        <v>2165</v>
      </c>
      <c r="B2279" s="241" t="str">
        <f>HYPERLINK(CONCATENATE($AT$3,BK2279,$AU$3),$AV$3)</f>
        <v>S</v>
      </c>
      <c r="C2279" s="242" t="str">
        <f>HYPERLINK(CONCATENATE($AT$4,BK2279,$AU$4,BL2279),$AV$4)</f>
        <v>A</v>
      </c>
      <c r="D2279" s="243" t="s">
        <v>5187</v>
      </c>
      <c r="E2279" s="244" t="s">
        <v>5181</v>
      </c>
      <c r="F2279" s="269" t="s">
        <v>7886</v>
      </c>
      <c r="G2279" s="270">
        <v>0.6</v>
      </c>
      <c r="H2279" s="283">
        <v>4500</v>
      </c>
      <c r="I2279" s="309">
        <v>0.8</v>
      </c>
      <c r="J2279" s="246">
        <v>1</v>
      </c>
      <c r="K2279" s="247" t="s">
        <v>7887</v>
      </c>
      <c r="L2279" s="248">
        <v>163131</v>
      </c>
      <c r="M2279" s="249">
        <f>15*(LEFT(TEXT($L2279,"000000"),2)+(MID(TEXT($L2279,"000000"),3,2)/60)+(RIGHT(TEXT($L2279,"000000"),2)/3600))</f>
        <v>247.87916666666666</v>
      </c>
      <c r="N2279" s="250">
        <v>-401513</v>
      </c>
      <c r="O2279" s="251">
        <f>IF($N2279&gt;0,(LEFT(TEXT($N2279,"000000"),2)+(MID(TEXT($N2279,"000000"),3,2)/60)+(RIGHT(TEXT($N2279,"000000"),2)/3600)),-(MID(TEXT($N2279,"000000"),2,2)+(MID(TEXT($N2279,"000000"),4,2)/60)+(RIGHT(TEXT($N2279,"000000"),2)/3600)))</f>
        <v>-40.253611111111113</v>
      </c>
      <c r="P2279" s="252" t="s">
        <v>109</v>
      </c>
      <c r="Q2279" s="253"/>
      <c r="R2279" s="277" t="s">
        <v>3293</v>
      </c>
      <c r="S2279" s="272" t="s">
        <v>3293</v>
      </c>
      <c r="T2279" s="273">
        <v>10.9</v>
      </c>
      <c r="U2279" s="274"/>
      <c r="V2279" s="280"/>
      <c r="W2279" s="244"/>
      <c r="X2279" s="244"/>
      <c r="Y2279" s="362"/>
      <c r="Z2279" s="257">
        <f>altaz(J2000_Bas,$O2279,$M2279,DecLat,DecLong,1)</f>
        <v>10.476426945445027</v>
      </c>
      <c r="AA2279" s="257">
        <f>altaz((J2000_Bas+(2*0.04167)),$O2279,$M2279,DecLat,DecLong,1)</f>
        <v>-5.1604747660860548</v>
      </c>
      <c r="AB2279" s="257">
        <f>altaz((J2000_Bas+(4*0.04167)),$O2279,$M2279,DecLat,DecLong,1)</f>
        <v>-25.287106610447569</v>
      </c>
      <c r="AC2279" s="257">
        <f>altaz((J2000_Bas+(6*0.04167)),$O2279,$M2279,DecLat,DecLong,1)</f>
        <v>-47.641413574087224</v>
      </c>
      <c r="AD2279" s="258">
        <f>1+ transit((J2000_Bas-1),$O2279,$M2279,DecLat,DecLong)/360 + (GMTOffset/24) + (IF(DST="Y", 1, 0)/24)</f>
        <v>1.6814531325151247</v>
      </c>
      <c r="AE2279" s="259">
        <f>DATE(2001,9,21)+(M2279/360)*365 - (360*((DecLong/360)- (GMTOffset/24) ))</f>
        <v>37411.321932870371</v>
      </c>
      <c r="AF2279" s="260">
        <f>IF(DecLat&gt;0,IF((90 - (DecLat-O2279))&gt;90, (90 - (O2279-DecLat)), (90 - (DecLat-O2279))),IF((90 + (DecLat-O2279))&gt;90, (90 + (O2279-DecLat)), (90 + (DecLat-O2279))))</f>
        <v>18.746388888888887</v>
      </c>
      <c r="AG2279" s="257">
        <f>angularseperation(MoonRA,MoonDec,$M2279,$O2279)</f>
        <v>13.217762585798091</v>
      </c>
      <c r="AH2279" s="261">
        <f ca="1">MIN(100,IF($O$5&gt;80,0+30*($AG2279/100),IF($O$5&gt;70,0+50*($AG2279/100),IF($O$5&gt;60,5+50*($AG2279/100),IF($O$5&gt;50,10+60*($AG2279/100),IF($O$5&gt;40,15+70*($AG2279/100),IF($O$5&gt;30,20+70*($AG2279/100),IF($O$5&gt;20,40+55*($AG2279/100),(80+(20-$O$5)+30*($AG2279/100))))))))))</f>
        <v>87.23638911988985</v>
      </c>
      <c r="AI2279" s="262">
        <v>6153</v>
      </c>
      <c r="AJ2279" s="263"/>
      <c r="AK2279" s="263"/>
      <c r="AL2279" s="263"/>
      <c r="AM2279" s="264"/>
      <c r="AN2279" s="263"/>
      <c r="AO2279" s="263"/>
      <c r="AP2279" s="265"/>
      <c r="AQ2279" s="265"/>
      <c r="AR2279" s="285"/>
      <c r="AS2279" s="263"/>
      <c r="AT2279" s="263"/>
      <c r="AU2279" s="263"/>
      <c r="AV2279" s="264"/>
      <c r="AW2279" s="263"/>
      <c r="AX2279" s="263"/>
      <c r="AY2279" s="263"/>
      <c r="AZ2279" s="263"/>
      <c r="BA2279" s="263"/>
      <c r="BB2279" s="263"/>
      <c r="BC2279" s="263"/>
      <c r="BD2279" s="264"/>
      <c r="BE2279" s="263"/>
      <c r="BF2279" s="263"/>
      <c r="BG2279" s="263"/>
      <c r="BH2279" s="263"/>
      <c r="BI2279" s="263"/>
      <c r="BJ2279" s="404">
        <f>altaz(J2000_Bas,$O2279,$M2279,DecLat,DecLong,2)</f>
        <v>208.62990766916047</v>
      </c>
      <c r="BK2279" s="378" t="s">
        <v>2165</v>
      </c>
      <c r="BL2279" s="379">
        <f>IF((2*G2279)/60&lt;0.2,0.2,(2*G2279)/60)</f>
        <v>0.2</v>
      </c>
      <c r="BM2279" s="380">
        <f>MOD((50000+AD2279-$B$3+(0/24)),1)</f>
        <v>0.89682006221846677</v>
      </c>
      <c r="BN2279" s="381" t="s">
        <v>8665</v>
      </c>
      <c r="BO2279" s="382">
        <v>2270</v>
      </c>
    </row>
    <row r="2280" spans="1:67" s="24" customFormat="1" ht="15" customHeight="1" x14ac:dyDescent="0.25">
      <c r="A2280" s="288" t="s">
        <v>2166</v>
      </c>
      <c r="B2280" s="241" t="str">
        <f>HYPERLINK(CONCATENATE($AT$3,BK2280,$AU$3),$AV$3)</f>
        <v>S</v>
      </c>
      <c r="C2280" s="242" t="str">
        <f>HYPERLINK(CONCATENATE($AT$4,BK2280,$AU$4,BL2280),$AV$4)</f>
        <v>A</v>
      </c>
      <c r="D2280" s="243" t="s">
        <v>5638</v>
      </c>
      <c r="E2280" s="244" t="s">
        <v>5192</v>
      </c>
      <c r="F2280" s="269" t="s">
        <v>8936</v>
      </c>
      <c r="G2280" s="273">
        <v>2.5</v>
      </c>
      <c r="H2280" s="283">
        <v>110</v>
      </c>
      <c r="I2280" s="246">
        <v>80</v>
      </c>
      <c r="J2280" s="246">
        <v>2</v>
      </c>
      <c r="K2280" s="247" t="s">
        <v>8349</v>
      </c>
      <c r="L2280" s="248">
        <v>163221</v>
      </c>
      <c r="M2280" s="249">
        <f>15*(LEFT(TEXT($L2280,"000000"),2)+(MID(TEXT($L2280,"000000"),3,2)/60)+(RIGHT(TEXT($L2280,"000000"),2)/3600))</f>
        <v>248.08750000000001</v>
      </c>
      <c r="N2280" s="250">
        <v>194932</v>
      </c>
      <c r="O2280" s="251">
        <f>IF($N2280&gt;0,(LEFT(TEXT($N2280,"000000"),2)+(MID(TEXT($N2280,"000000"),3,2)/60)+(RIGHT(TEXT($N2280,"000000"),2)/3600)),-(MID(TEXT($N2280,"000000"),2,2)+(MID(TEXT($N2280,"000000"),4,2)/60)+(RIGHT(TEXT($N2280,"000000"),2)/3600)))</f>
        <v>19.825555555555557</v>
      </c>
      <c r="P2280" s="252" t="s">
        <v>111</v>
      </c>
      <c r="Q2280" s="253"/>
      <c r="R2280" s="247" t="s">
        <v>3293</v>
      </c>
      <c r="S2280" s="272" t="s">
        <v>3293</v>
      </c>
      <c r="T2280" s="273">
        <v>11.9</v>
      </c>
      <c r="U2280" s="289">
        <v>21.69</v>
      </c>
      <c r="V2280" s="280">
        <v>65</v>
      </c>
      <c r="W2280" s="244"/>
      <c r="X2280" s="244"/>
      <c r="Y2280" s="362"/>
      <c r="Z2280" s="257">
        <f>altaz(J2000_Bas,$O2280,$M2280,DecLat,DecLong,1)</f>
        <v>54.177708957097046</v>
      </c>
      <c r="AA2280" s="257">
        <f>altaz((J2000_Bas+(2*0.04167)),$O2280,$M2280,DecLat,DecLong,1)</f>
        <v>28.473491011789285</v>
      </c>
      <c r="AB2280" s="257">
        <f>altaz((J2000_Bas+(4*0.04167)),$O2280,$M2280,DecLat,DecLong,1)</f>
        <v>3.5133730241544998</v>
      </c>
      <c r="AC2280" s="257">
        <f>altaz((J2000_Bas+(6*0.04167)),$O2280,$M2280,DecLat,DecLong,1)</f>
        <v>-18.883004923115379</v>
      </c>
      <c r="AD2280" s="258">
        <f>1+ transit((J2000_Bas-1),$O2280,$M2280,DecLat,DecLong)/360 + (GMTOffset/24) + (IF(DST="Y", 1, 0)/24)</f>
        <v>1.6820318361609581</v>
      </c>
      <c r="AE2280" s="259">
        <f>DATE(2001,9,21)+(M2280/360)*365 - (360*((DecLong/360)- (GMTOffset/24) ))</f>
        <v>37411.533159722225</v>
      </c>
      <c r="AF2280" s="260">
        <f>IF(DecLat&gt;0,IF((90 - (DecLat-O2280))&gt;90, (90 - (O2280-DecLat)), (90 - (DecLat-O2280))),IF((90 + (DecLat-O2280))&gt;90, (90 + (O2280-DecLat)), (90 + (DecLat-O2280))))</f>
        <v>78.825555555555553</v>
      </c>
      <c r="AG2280" s="257">
        <f>angularseperation(MoonRA,MoonDec,$M2280,$O2280)</f>
        <v>46.922985100629035</v>
      </c>
      <c r="AH2280" s="261">
        <f ca="1">MIN(100,IF($O$5&gt;80,0+30*($AG2280/100),IF($O$5&gt;70,0+50*($AG2280/100),IF($O$5&gt;60,5+50*($AG2280/100),IF($O$5&gt;50,10+60*($AG2280/100),IF($O$5&gt;40,15+70*($AG2280/100),IF($O$5&gt;30,20+70*($AG2280/100),IF($O$5&gt;20,40+55*($AG2280/100),(80+(20-$O$5)+30*($AG2280/100))))))))))</f>
        <v>97.347955874339135</v>
      </c>
      <c r="AI2280" s="262">
        <v>6181</v>
      </c>
      <c r="AJ2280" s="262"/>
      <c r="AK2280" s="262"/>
      <c r="AL2280" s="263"/>
      <c r="AM2280" s="264"/>
      <c r="AN2280" s="263"/>
      <c r="AO2280" s="263"/>
      <c r="AP2280" s="265"/>
      <c r="AQ2280" s="266">
        <v>10439</v>
      </c>
      <c r="AR2280" s="267">
        <v>58470</v>
      </c>
      <c r="AS2280" s="263"/>
      <c r="AT2280" s="263"/>
      <c r="AU2280" s="263"/>
      <c r="AV2280" s="264"/>
      <c r="AW2280" s="263"/>
      <c r="AX2280" s="263"/>
      <c r="AY2280" s="263"/>
      <c r="AZ2280" s="263"/>
      <c r="BA2280" s="263"/>
      <c r="BB2280" s="263"/>
      <c r="BC2280" s="263"/>
      <c r="BD2280" s="264"/>
      <c r="BE2280" s="263"/>
      <c r="BF2280" s="263"/>
      <c r="BG2280" s="263"/>
      <c r="BH2280" s="263"/>
      <c r="BI2280" s="263"/>
      <c r="BJ2280" s="404">
        <f>altaz(J2000_Bas,$O2280,$M2280,DecLat,DecLong,2)</f>
        <v>261.00296241722765</v>
      </c>
      <c r="BK2280" s="378" t="s">
        <v>2166</v>
      </c>
      <c r="BL2280" s="379">
        <f>IF((2*G2280)/60&lt;0.2,0.2,(2*G2280)/60)</f>
        <v>0.2</v>
      </c>
      <c r="BM2280" s="380">
        <f>MOD((50000+AD2280-$B$3+(0/24)),1)</f>
        <v>0.8973987658682745</v>
      </c>
      <c r="BN2280" s="381"/>
      <c r="BO2280" s="382">
        <v>2271</v>
      </c>
    </row>
    <row r="2281" spans="1:67" s="24" customFormat="1" ht="15" customHeight="1" x14ac:dyDescent="0.25">
      <c r="A2281" s="288" t="s">
        <v>2167</v>
      </c>
      <c r="B2281" s="241" t="str">
        <f>HYPERLINK(CONCATENATE($AT$3,BK2281,$AU$3),$AV$3)</f>
        <v>S</v>
      </c>
      <c r="C2281" s="242" t="str">
        <f>HYPERLINK(CONCATENATE($AT$4,BK2281,$AU$4,BL2281),$AV$4)</f>
        <v>A</v>
      </c>
      <c r="D2281" s="243" t="s">
        <v>5187</v>
      </c>
      <c r="E2281" s="244" t="s">
        <v>5183</v>
      </c>
      <c r="F2281" s="269" t="s">
        <v>9184</v>
      </c>
      <c r="G2281" s="276">
        <v>30</v>
      </c>
      <c r="H2281" s="283">
        <v>4000</v>
      </c>
      <c r="I2281" s="246">
        <v>35</v>
      </c>
      <c r="J2281" s="246">
        <v>5</v>
      </c>
      <c r="K2281" s="247" t="s">
        <v>8348</v>
      </c>
      <c r="L2281" s="248">
        <v>164005</v>
      </c>
      <c r="M2281" s="249">
        <f>15*(LEFT(TEXT($L2281,"000000"),2)+(MID(TEXT($L2281,"000000"),3,2)/60)+(RIGHT(TEXT($L2281,"000000"),2)/3600))</f>
        <v>250.02083333333337</v>
      </c>
      <c r="N2281" s="250">
        <v>-483942</v>
      </c>
      <c r="O2281" s="251">
        <f>IF($N2281&gt;0,(LEFT(TEXT($N2281,"000000"),2)+(MID(TEXT($N2281,"000000"),3,2)/60)+(RIGHT(TEXT($N2281,"000000"),2)/3600)),-(MID(TEXT($N2281,"000000"),2,2)+(MID(TEXT($N2281,"000000"),4,2)/60)+(RIGHT(TEXT($N2281,"000000"),2)/3600)))</f>
        <v>-48.661666666666662</v>
      </c>
      <c r="P2281" s="252" t="s">
        <v>2168</v>
      </c>
      <c r="Q2281" s="253" t="s">
        <v>6973</v>
      </c>
      <c r="R2281" s="247" t="s">
        <v>7394</v>
      </c>
      <c r="S2281" s="272" t="s">
        <v>3293</v>
      </c>
      <c r="T2281" s="273"/>
      <c r="U2281" s="274"/>
      <c r="V2281" s="280"/>
      <c r="W2281" s="244"/>
      <c r="X2281" s="244"/>
      <c r="Y2281" s="362"/>
      <c r="Z2281" s="257">
        <f>altaz(J2000_Bas,$O2281,$M2281,DecLat,DecLong,1)</f>
        <v>4.0966273746484054</v>
      </c>
      <c r="AA2281" s="257">
        <f>altaz((J2000_Bas+(2*0.04167)),$O2281,$M2281,DecLat,DecLong,1)</f>
        <v>-9.0340875792402127</v>
      </c>
      <c r="AB2281" s="257">
        <f>altaz((J2000_Bas+(4*0.04167)),$O2281,$M2281,DecLat,DecLong,1)</f>
        <v>-26.574735498117594</v>
      </c>
      <c r="AC2281" s="257">
        <f>altaz((J2000_Bas+(6*0.04167)),$O2281,$M2281,DecLat,DecLong,1)</f>
        <v>-46.167156125601984</v>
      </c>
      <c r="AD2281" s="258">
        <f>1+ transit((J2000_Bas-1),$O2281,$M2281,DecLat,DecLong)/360 + (GMTOffset/24) + (IF(DST="Y", 1, 0)/24)</f>
        <v>1.6874022059942912</v>
      </c>
      <c r="AE2281" s="259">
        <f>DATE(2001,9,21)+(M2281/360)*365 - (360*((DecLong/360)- (GMTOffset/24) ))</f>
        <v>37413.493344907409</v>
      </c>
      <c r="AF2281" s="260">
        <f>IF(DecLat&gt;0,IF((90 - (DecLat-O2281))&gt;90, (90 - (O2281-DecLat)), (90 - (DecLat-O2281))),IF((90 + (DecLat-O2281))&gt;90, (90 + (O2281-DecLat)), (90 + (DecLat-O2281))))</f>
        <v>10.338333333333338</v>
      </c>
      <c r="AG2281" s="257">
        <f>angularseperation(MoonRA,MoonDec,$M2281,$O2281)</f>
        <v>21.58603827217717</v>
      </c>
      <c r="AH2281" s="261">
        <f ca="1">MIN(100,IF($O$5&gt;80,0+30*($AG2281/100),IF($O$5&gt;70,0+50*($AG2281/100),IF($O$5&gt;60,5+50*($AG2281/100),IF($O$5&gt;50,10+60*($AG2281/100),IF($O$5&gt;40,15+70*($AG2281/100),IF($O$5&gt;30,20+70*($AG2281/100),IF($O$5&gt;20,40+55*($AG2281/100),(80+(20-$O$5)+30*($AG2281/100))))))))))</f>
        <v>89.746871825803581</v>
      </c>
      <c r="AI2281" s="262">
        <v>6188</v>
      </c>
      <c r="AJ2281" s="262"/>
      <c r="AK2281" s="262"/>
      <c r="AL2281" s="263"/>
      <c r="AM2281" s="264">
        <v>82</v>
      </c>
      <c r="AN2281" s="263"/>
      <c r="AO2281" s="263"/>
      <c r="AP2281" s="265"/>
      <c r="AQ2281" s="266"/>
      <c r="AR2281" s="267"/>
      <c r="AS2281" s="263"/>
      <c r="AT2281" s="263"/>
      <c r="AU2281" s="263"/>
      <c r="AV2281" s="264"/>
      <c r="AW2281" s="263"/>
      <c r="AX2281" s="263">
        <v>53</v>
      </c>
      <c r="AY2281" s="263"/>
      <c r="AZ2281" s="263"/>
      <c r="BA2281" s="263"/>
      <c r="BB2281" s="263"/>
      <c r="BC2281" s="263"/>
      <c r="BD2281" s="264"/>
      <c r="BE2281" s="263"/>
      <c r="BF2281" s="263"/>
      <c r="BG2281" s="263"/>
      <c r="BH2281" s="263"/>
      <c r="BI2281" s="263"/>
      <c r="BJ2281" s="404">
        <f>altaz(J2000_Bas,$O2281,$M2281,DecLat,DecLong,2)</f>
        <v>202.89594963150915</v>
      </c>
      <c r="BK2281" s="378" t="s">
        <v>2167</v>
      </c>
      <c r="BL2281" s="379">
        <f>IF((2*G2281)/60&lt;0.2,0.2,(2*G2281)/60)</f>
        <v>1</v>
      </c>
      <c r="BM2281" s="380">
        <f>MOD((50000+AD2281-$B$3+(0/24)),1)</f>
        <v>0.90276913569687167</v>
      </c>
      <c r="BN2281" s="381"/>
      <c r="BO2281" s="382">
        <v>2272</v>
      </c>
    </row>
    <row r="2282" spans="1:67" s="24" customFormat="1" ht="15" customHeight="1" x14ac:dyDescent="0.25">
      <c r="A2282" s="288" t="s">
        <v>8631</v>
      </c>
      <c r="B2282" s="241" t="str">
        <f>HYPERLINK(CONCATENATE($AT$3,BK2282,$AU$3),$AV$3)</f>
        <v>S</v>
      </c>
      <c r="C2282" s="242" t="str">
        <f>HYPERLINK(CONCATENATE($AT$4,BK2282,$AU$4,BL2282),$AV$4)</f>
        <v>A</v>
      </c>
      <c r="D2282" s="243" t="s">
        <v>5335</v>
      </c>
      <c r="E2282" s="244" t="s">
        <v>5185</v>
      </c>
      <c r="F2282" s="269" t="s">
        <v>4679</v>
      </c>
      <c r="G2282" s="276">
        <v>15</v>
      </c>
      <c r="H2282" s="283">
        <v>3400</v>
      </c>
      <c r="I2282" s="246">
        <v>15</v>
      </c>
      <c r="J2282" s="246">
        <v>3</v>
      </c>
      <c r="K2282" s="247" t="s">
        <v>8633</v>
      </c>
      <c r="L2282" s="248">
        <v>164117</v>
      </c>
      <c r="M2282" s="249">
        <f>15*(LEFT(TEXT($L2282,"000000"),2)+(MID(TEXT($L2282,"000000"),3,2)/60)+(RIGHT(TEXT($L2282,"000000"),2)/3600))</f>
        <v>250.32083333333335</v>
      </c>
      <c r="N2282" s="286">
        <v>-484633</v>
      </c>
      <c r="O2282" s="251">
        <f>IF($N2282&gt;0,(LEFT(TEXT($N2282,"000000"),2)+(MID(TEXT($N2282,"000000"),3,2)/60)+(RIGHT(TEXT($N2282,"000000"),2)/3600)),-(MID(TEXT($N2282,"000000"),2,2)+(MID(TEXT($N2282,"000000"),4,2)/60)+(RIGHT(TEXT($N2282,"000000"),2)/3600)))</f>
        <v>-48.775833333333331</v>
      </c>
      <c r="P2282" s="252" t="s">
        <v>2168</v>
      </c>
      <c r="Q2282" s="253"/>
      <c r="R2282" s="247"/>
      <c r="S2282" s="272" t="s">
        <v>8632</v>
      </c>
      <c r="T2282" s="273">
        <v>5.2</v>
      </c>
      <c r="U2282" s="274"/>
      <c r="V2282" s="280"/>
      <c r="W2282" s="244"/>
      <c r="X2282" s="244"/>
      <c r="Y2282" s="362"/>
      <c r="Z2282" s="257">
        <f>altaz(J2000_Bas,$O2282,$M2282,DecLat,DecLong,1)</f>
        <v>4.0975325132153158</v>
      </c>
      <c r="AA2282" s="257">
        <f>altaz((J2000_Bas+(2*0.04167)),$O2282,$M2282,DecLat,DecLong,1)</f>
        <v>-8.9469322546529426</v>
      </c>
      <c r="AB2282" s="257">
        <f>altaz((J2000_Bas+(4*0.04167)),$O2282,$M2282,DecLat,DecLong,1)</f>
        <v>-26.420960878334224</v>
      </c>
      <c r="AC2282" s="257">
        <f>altaz((J2000_Bas+(6*0.04167)),$O2282,$M2282,DecLat,DecLong,1)</f>
        <v>-45.963036893023222</v>
      </c>
      <c r="AD2282" s="258">
        <f>1+ transit((J2000_Bas-1),$O2282,$M2282,DecLat,DecLong)/360 + (GMTOffset/24) + (IF(DST="Y", 1, 0)/24)</f>
        <v>1.6882355392442914</v>
      </c>
      <c r="AE2282" s="259">
        <f>DATE(2001,9,21)+(M2282/360)*365 - (360*((DecLong/360)- (GMTOffset/24) ))</f>
        <v>37413.797511574077</v>
      </c>
      <c r="AF2282" s="260">
        <f>IF(DecLat&gt;0,IF((90 - (DecLat-O2282))&gt;90, (90 - (O2282-DecLat)), (90 - (DecLat-O2282))),IF((90 + (DecLat-O2282))&gt;90, (90 + (O2282-DecLat)), (90 + (DecLat-O2282))))</f>
        <v>10.224166666666662</v>
      </c>
      <c r="AG2282" s="257">
        <f>angularseperation(MoonRA,MoonDec,$M2282,$O2282)</f>
        <v>21.707859988830887</v>
      </c>
      <c r="AH2282" s="261">
        <f ca="1">MIN(100,IF($O$5&gt;80,0+30*($AG2282/100),IF($O$5&gt;70,0+50*($AG2282/100),IF($O$5&gt;60,5+50*($AG2282/100),IF($O$5&gt;50,10+60*($AG2282/100),IF($O$5&gt;40,15+70*($AG2282/100),IF($O$5&gt;30,20+70*($AG2282/100),IF($O$5&gt;20,40+55*($AG2282/100),(80+(20-$O$5)+30*($AG2282/100))))))))))</f>
        <v>89.783418340799699</v>
      </c>
      <c r="AI2282" s="262">
        <v>6193</v>
      </c>
      <c r="AJ2282" s="262"/>
      <c r="AK2282" s="262"/>
      <c r="AL2282" s="263"/>
      <c r="AM2282" s="264"/>
      <c r="AN2282" s="263"/>
      <c r="AO2282" s="263"/>
      <c r="AP2282" s="265"/>
      <c r="AQ2282" s="266"/>
      <c r="AR2282" s="267"/>
      <c r="AS2282" s="263"/>
      <c r="AT2282" s="263"/>
      <c r="AU2282" s="263"/>
      <c r="AV2282" s="264"/>
      <c r="AW2282" s="263"/>
      <c r="AX2282" s="263"/>
      <c r="AY2282" s="263"/>
      <c r="AZ2282" s="263"/>
      <c r="BA2282" s="263"/>
      <c r="BB2282" s="263"/>
      <c r="BC2282" s="263"/>
      <c r="BD2282" s="264"/>
      <c r="BE2282" s="263"/>
      <c r="BF2282" s="263"/>
      <c r="BG2282" s="263"/>
      <c r="BH2282" s="263"/>
      <c r="BI2282" s="263"/>
      <c r="BJ2282" s="404">
        <f>altaz(J2000_Bas,$O2282,$M2282,DecLat,DecLong,2)</f>
        <v>202.66687331912729</v>
      </c>
      <c r="BK2282" s="378" t="s">
        <v>8631</v>
      </c>
      <c r="BL2282" s="379">
        <f>IF((2*G2282)/60&lt;0.2,0.2,(2*G2282)/60)</f>
        <v>0.5</v>
      </c>
      <c r="BM2282" s="380">
        <f>MOD((50000+AD2282-$B$3+(0/24)),1)</f>
        <v>0.90360246894852025</v>
      </c>
      <c r="BN2282" s="381"/>
      <c r="BO2282" s="382">
        <v>2273</v>
      </c>
    </row>
    <row r="2283" spans="1:67" s="24" customFormat="1" ht="15" customHeight="1" x14ac:dyDescent="0.25">
      <c r="A2283" s="288" t="s">
        <v>2169</v>
      </c>
      <c r="B2283" s="241" t="str">
        <f>HYPERLINK(CONCATENATE($AT$3,BK2283,$AU$3),$AV$3)</f>
        <v>S</v>
      </c>
      <c r="C2283" s="242" t="str">
        <f>HYPERLINK(CONCATENATE($AT$4,BK2283,$AU$4,BL2283),$AV$4)</f>
        <v>A</v>
      </c>
      <c r="D2283" s="243" t="s">
        <v>5638</v>
      </c>
      <c r="E2283" s="244" t="s">
        <v>5192</v>
      </c>
      <c r="F2283" s="269" t="s">
        <v>8689</v>
      </c>
      <c r="G2283" s="273">
        <v>3</v>
      </c>
      <c r="H2283" s="283">
        <v>52</v>
      </c>
      <c r="I2283" s="246">
        <v>45</v>
      </c>
      <c r="J2283" s="246">
        <v>2</v>
      </c>
      <c r="K2283" s="247" t="s">
        <v>7888</v>
      </c>
      <c r="L2283" s="248">
        <v>164304</v>
      </c>
      <c r="M2283" s="249">
        <f>15*(LEFT(TEXT($L2283,"000000"),2)+(MID(TEXT($L2283,"000000"),3,2)/60)+(RIGHT(TEXT($L2283,"000000"),2)/3600))</f>
        <v>250.76666666666665</v>
      </c>
      <c r="N2283" s="250">
        <v>364956</v>
      </c>
      <c r="O2283" s="251">
        <f>IF($N2283&gt;0,(LEFT(TEXT($N2283,"000000"),2)+(MID(TEXT($N2283,"000000"),3,2)/60)+(RIGHT(TEXT($N2283,"000000"),2)/3600)),-(MID(TEXT($N2283,"000000"),2,2)+(MID(TEXT($N2283,"000000"),4,2)/60)+(RIGHT(TEXT($N2283,"000000"),2)/3600)))</f>
        <v>36.832222222222228</v>
      </c>
      <c r="P2283" s="252" t="s">
        <v>111</v>
      </c>
      <c r="Q2283" s="253"/>
      <c r="R2283" s="247" t="s">
        <v>3293</v>
      </c>
      <c r="S2283" s="272" t="s">
        <v>3293</v>
      </c>
      <c r="T2283" s="273">
        <v>11.6</v>
      </c>
      <c r="U2283" s="289">
        <v>21.89</v>
      </c>
      <c r="V2283" s="280">
        <v>65</v>
      </c>
      <c r="W2283" s="244"/>
      <c r="X2283" s="244"/>
      <c r="Y2283" s="362"/>
      <c r="Z2283" s="257">
        <f>altaz(J2000_Bas,$O2283,$M2283,DecLat,DecLong,1)</f>
        <v>60.356961891266131</v>
      </c>
      <c r="AA2283" s="257">
        <f>altaz((J2000_Bas+(2*0.04167)),$O2283,$M2283,DecLat,DecLong,1)</f>
        <v>36.528004276481468</v>
      </c>
      <c r="AB2283" s="257">
        <f>altaz((J2000_Bas+(4*0.04167)),$O2283,$M2283,DecLat,DecLong,1)</f>
        <v>14.130224328718855</v>
      </c>
      <c r="AC2283" s="257">
        <f>altaz((J2000_Bas+(6*0.04167)),$O2283,$M2283,DecLat,DecLong,1)</f>
        <v>-5.1377570481259456</v>
      </c>
      <c r="AD2283" s="258">
        <f>1+ transit((J2000_Bas-1),$O2283,$M2283,DecLat,DecLong)/360 + (GMTOffset/24) + (IF(DST="Y", 1, 0)/24)</f>
        <v>1.6894739650463746</v>
      </c>
      <c r="AE2283" s="259">
        <f>DATE(2001,9,21)+(M2283/360)*365 - (360*((DecLong/360)- (GMTOffset/24) ))</f>
        <v>37414.249537037038</v>
      </c>
      <c r="AF2283" s="260">
        <f>IF(DecLat&gt;0,IF((90 - (DecLat-O2283))&gt;90, (90 - (O2283-DecLat)), (90 - (DecLat-O2283))),IF((90 + (DecLat-O2283))&gt;90, (90 + (O2283-DecLat)), (90 + (DecLat-O2283))))</f>
        <v>84.167777777777772</v>
      </c>
      <c r="AG2283" s="257">
        <f>angularseperation(MoonRA,MoonDec,$M2283,$O2283)</f>
        <v>63.932410702632879</v>
      </c>
      <c r="AH2283" s="261">
        <f ca="1">MIN(100,IF($O$5&gt;80,0+30*($AG2283/100),IF($O$5&gt;70,0+50*($AG2283/100),IF($O$5&gt;60,5+50*($AG2283/100),IF($O$5&gt;50,10+60*($AG2283/100),IF($O$5&gt;40,15+70*($AG2283/100),IF($O$5&gt;30,20+70*($AG2283/100),IF($O$5&gt;20,40+55*($AG2283/100),(80+(20-$O$5)+30*($AG2283/100))))))))))</f>
        <v>100</v>
      </c>
      <c r="AI2283" s="262">
        <v>6207</v>
      </c>
      <c r="AJ2283" s="262"/>
      <c r="AK2283" s="262">
        <v>318</v>
      </c>
      <c r="AL2283" s="263"/>
      <c r="AM2283" s="264"/>
      <c r="AN2283" s="263"/>
      <c r="AO2283" s="263"/>
      <c r="AP2283" s="265"/>
      <c r="AQ2283" s="266">
        <v>10521</v>
      </c>
      <c r="AR2283" s="267">
        <v>58827</v>
      </c>
      <c r="AS2283" s="263"/>
      <c r="AT2283" s="263"/>
      <c r="AU2283" s="263"/>
      <c r="AV2283" s="264"/>
      <c r="AW2283" s="263"/>
      <c r="AX2283" s="263"/>
      <c r="AY2283" s="263"/>
      <c r="AZ2283" s="263"/>
      <c r="BA2283" s="263"/>
      <c r="BB2283" s="263"/>
      <c r="BC2283" s="263"/>
      <c r="BD2283" s="264"/>
      <c r="BE2283" s="263"/>
      <c r="BF2283" s="263">
        <v>73</v>
      </c>
      <c r="BG2283" s="263"/>
      <c r="BH2283" s="263"/>
      <c r="BI2283" s="263"/>
      <c r="BJ2283" s="404">
        <f>altaz(J2000_Bas,$O2283,$M2283,DecLat,DecLong,2)</f>
        <v>290.98722714266722</v>
      </c>
      <c r="BK2283" s="378" t="s">
        <v>2169</v>
      </c>
      <c r="BL2283" s="379">
        <f>IF((2*G2283)/60&lt;0.2,0.2,(2*G2283)/60)</f>
        <v>0.2</v>
      </c>
      <c r="BM2283" s="380">
        <f>MOD((50000+AD2283-$B$3+(0/24)),1)</f>
        <v>0.90484089474921348</v>
      </c>
      <c r="BN2283" s="381"/>
      <c r="BO2283" s="382">
        <v>2274</v>
      </c>
    </row>
    <row r="2284" spans="1:67" s="24" customFormat="1" ht="15" customHeight="1" x14ac:dyDescent="0.25">
      <c r="A2284" s="288" t="s">
        <v>2170</v>
      </c>
      <c r="B2284" s="241" t="str">
        <f>HYPERLINK(CONCATENATE($AT$3,BK2284,$AU$3),$AV$3)</f>
        <v>S</v>
      </c>
      <c r="C2284" s="242" t="str">
        <f>HYPERLINK(CONCATENATE($AT$4,BK2284,$AU$4,BL2284),$AV$4)</f>
        <v>A</v>
      </c>
      <c r="D2284" s="243" t="s">
        <v>5187</v>
      </c>
      <c r="E2284" s="244" t="s">
        <v>5181</v>
      </c>
      <c r="F2284" s="293" t="s">
        <v>8686</v>
      </c>
      <c r="G2284" s="270">
        <v>0.8</v>
      </c>
      <c r="H2284" s="283">
        <v>6500</v>
      </c>
      <c r="I2284" s="279">
        <v>1.4</v>
      </c>
      <c r="J2284" s="246">
        <v>3</v>
      </c>
      <c r="K2284" s="247" t="s">
        <v>7889</v>
      </c>
      <c r="L2284" s="248">
        <v>164430</v>
      </c>
      <c r="M2284" s="249">
        <f>15*(LEFT(TEXT($L2284,"000000"),2)+(MID(TEXT($L2284,"000000"),3,2)/60)+(RIGHT(TEXT($L2284,"000000"),2)/3600))</f>
        <v>251.125</v>
      </c>
      <c r="N2284" s="250">
        <v>234759</v>
      </c>
      <c r="O2284" s="251">
        <f>IF($N2284&gt;0,(LEFT(TEXT($N2284,"000000"),2)+(MID(TEXT($N2284,"000000"),3,2)/60)+(RIGHT(TEXT($N2284,"000000"),2)/3600)),-(MID(TEXT($N2284,"000000"),2,2)+(MID(TEXT($N2284,"000000"),4,2)/60)+(RIGHT(TEXT($N2284,"000000"),2)/3600)))</f>
        <v>23.799722222222226</v>
      </c>
      <c r="P2284" s="252" t="s">
        <v>111</v>
      </c>
      <c r="Q2284" s="253" t="s">
        <v>7087</v>
      </c>
      <c r="R2284" s="247" t="s">
        <v>3293</v>
      </c>
      <c r="S2284" s="272" t="s">
        <v>3293</v>
      </c>
      <c r="T2284" s="273">
        <v>8.8000000000000007</v>
      </c>
      <c r="U2284" s="274"/>
      <c r="V2284" s="280"/>
      <c r="W2284" s="244"/>
      <c r="X2284" s="244"/>
      <c r="Y2284" s="362"/>
      <c r="Z2284" s="257">
        <f>altaz(J2000_Bas,$O2284,$M2284,DecLat,DecLong,1)</f>
        <v>58.346669311855912</v>
      </c>
      <c r="AA2284" s="257">
        <f>altaz((J2000_Bas+(2*0.04167)),$O2284,$M2284,DecLat,DecLong,1)</f>
        <v>32.667108472894256</v>
      </c>
      <c r="AB2284" s="257">
        <f>altaz((J2000_Bas+(4*0.04167)),$O2284,$M2284,DecLat,DecLong,1)</f>
        <v>7.9811811313014243</v>
      </c>
      <c r="AC2284" s="257">
        <f>altaz((J2000_Bas+(6*0.04167)),$O2284,$M2284,DecLat,DecLong,1)</f>
        <v>-14.091636679272321</v>
      </c>
      <c r="AD2284" s="258">
        <f>1+ transit((J2000_Bas-1),$O2284,$M2284,DecLat,DecLong)/360 + (GMTOffset/24) + (IF(DST="Y", 1, 0)/24)</f>
        <v>1.690469335317208</v>
      </c>
      <c r="AE2284" s="259">
        <f>DATE(2001,9,21)+(M2284/360)*365 - (360*((DecLong/360)- (GMTOffset/24) ))</f>
        <v>37414.612847222219</v>
      </c>
      <c r="AF2284" s="260">
        <f>IF(DecLat&gt;0,IF((90 - (DecLat-O2284))&gt;90, (90 - (O2284-DecLat)), (90 - (DecLat-O2284))),IF((90 + (DecLat-O2284))&gt;90, (90 + (O2284-DecLat)), (90 + (DecLat-O2284))))</f>
        <v>82.799722222222229</v>
      </c>
      <c r="AG2284" s="257">
        <f>angularseperation(MoonRA,MoonDec,$M2284,$O2284)</f>
        <v>50.916295611430719</v>
      </c>
      <c r="AH2284" s="261">
        <f ca="1">MIN(100,IF($O$5&gt;80,0+30*($AG2284/100),IF($O$5&gt;70,0+50*($AG2284/100),IF($O$5&gt;60,5+50*($AG2284/100),IF($O$5&gt;50,10+60*($AG2284/100),IF($O$5&gt;40,15+70*($AG2284/100),IF($O$5&gt;30,20+70*($AG2284/100),IF($O$5&gt;20,40+55*($AG2284/100),(80+(20-$O$5)+30*($AG2284/100))))))))))</f>
        <v>98.545949027579638</v>
      </c>
      <c r="AI2284" s="262">
        <v>6210</v>
      </c>
      <c r="AJ2284" s="262"/>
      <c r="AK2284" s="262"/>
      <c r="AL2284" s="263"/>
      <c r="AM2284" s="264"/>
      <c r="AN2284" s="263"/>
      <c r="AO2284" s="263"/>
      <c r="AP2284" s="265"/>
      <c r="AQ2284" s="266"/>
      <c r="AR2284" s="267"/>
      <c r="AS2284" s="263"/>
      <c r="AT2284" s="263">
        <v>21</v>
      </c>
      <c r="AU2284" s="263"/>
      <c r="AV2284" s="264"/>
      <c r="AW2284" s="263"/>
      <c r="AX2284" s="263"/>
      <c r="AY2284" s="263"/>
      <c r="AZ2284" s="263"/>
      <c r="BA2284" s="263"/>
      <c r="BB2284" s="263"/>
      <c r="BC2284" s="263"/>
      <c r="BD2284" s="264"/>
      <c r="BE2284" s="263">
        <v>78</v>
      </c>
      <c r="BF2284" s="263"/>
      <c r="BG2284" s="263"/>
      <c r="BH2284" s="263"/>
      <c r="BI2284" s="263"/>
      <c r="BJ2284" s="404">
        <f>altaz(J2000_Bas,$O2284,$M2284,DecLat,DecLong,2)</f>
        <v>265.55278508895339</v>
      </c>
      <c r="BK2284" s="378" t="s">
        <v>2170</v>
      </c>
      <c r="BL2284" s="379">
        <f>IF((2*G2284)/60&lt;0.2,0.2,(2*G2284)/60)</f>
        <v>0.2</v>
      </c>
      <c r="BM2284" s="380">
        <f>MOD((50000+AD2284-$B$3+(0/24)),1)</f>
        <v>0.90583626502484549</v>
      </c>
      <c r="BN2284" s="381" t="s">
        <v>9121</v>
      </c>
      <c r="BO2284" s="382">
        <v>2275</v>
      </c>
    </row>
    <row r="2285" spans="1:67" s="24" customFormat="1" ht="15" customHeight="1" x14ac:dyDescent="0.25">
      <c r="A2285" s="288" t="s">
        <v>2171</v>
      </c>
      <c r="B2285" s="241" t="str">
        <f>HYPERLINK(CONCATENATE($AT$3,BK2285,$AU$3),$AV$3)</f>
        <v>S</v>
      </c>
      <c r="C2285" s="242" t="str">
        <f>HYPERLINK(CONCATENATE($AT$4,BK2285,$AU$4,BL2285),$AV$4)</f>
        <v>A</v>
      </c>
      <c r="D2285" s="243" t="s">
        <v>5335</v>
      </c>
      <c r="E2285" s="244" t="s">
        <v>5184</v>
      </c>
      <c r="F2285" s="269" t="s">
        <v>3317</v>
      </c>
      <c r="G2285" s="273">
        <v>5</v>
      </c>
      <c r="H2285" s="283">
        <v>100000</v>
      </c>
      <c r="I2285" s="246">
        <v>160</v>
      </c>
      <c r="J2285" s="246">
        <v>2</v>
      </c>
      <c r="K2285" s="247" t="s">
        <v>7890</v>
      </c>
      <c r="L2285" s="248">
        <v>164659</v>
      </c>
      <c r="M2285" s="249">
        <f>15*(LEFT(TEXT($L2285,"000000"),2)+(MID(TEXT($L2285,"000000"),3,2)/60)+(RIGHT(TEXT($L2285,"000000"),2)/3600))</f>
        <v>251.74583333333334</v>
      </c>
      <c r="N2285" s="250">
        <v>473139</v>
      </c>
      <c r="O2285" s="251">
        <f>IF($N2285&gt;0,(LEFT(TEXT($N2285,"000000"),2)+(MID(TEXT($N2285,"000000"),3,2)/60)+(RIGHT(TEXT($N2285,"000000"),2)/3600)),-(MID(TEXT($N2285,"000000"),2,2)+(MID(TEXT($N2285,"000000"),4,2)/60)+(RIGHT(TEXT($N2285,"000000"),2)/3600)))</f>
        <v>47.527499999999996</v>
      </c>
      <c r="P2285" s="252" t="s">
        <v>111</v>
      </c>
      <c r="Q2285" s="253" t="s">
        <v>7122</v>
      </c>
      <c r="R2285" s="247" t="s">
        <v>3293</v>
      </c>
      <c r="S2285" s="272" t="s">
        <v>3293</v>
      </c>
      <c r="T2285" s="273">
        <v>9.4</v>
      </c>
      <c r="U2285" s="274"/>
      <c r="V2285" s="280"/>
      <c r="W2285" s="244"/>
      <c r="X2285" s="244"/>
      <c r="Y2285" s="362"/>
      <c r="Z2285" s="257">
        <f>altaz(J2000_Bas,$O2285,$M2285,DecLat,DecLong,1)</f>
        <v>59.123613831035414</v>
      </c>
      <c r="AA2285" s="257">
        <f>altaz((J2000_Bas+(2*0.04167)),$O2285,$M2285,DecLat,DecLong,1)</f>
        <v>39.088073701414416</v>
      </c>
      <c r="AB2285" s="257">
        <f>altaz((J2000_Bas+(4*0.04167)),$O2285,$M2285,DecLat,DecLong,1)</f>
        <v>19.586400024751757</v>
      </c>
      <c r="AC2285" s="257">
        <f>altaz((J2000_Bas+(6*0.04167)),$O2285,$M2285,DecLat,DecLong,1)</f>
        <v>2.9793226420699694</v>
      </c>
      <c r="AD2285" s="258">
        <f>1+ transit((J2000_Bas-1),$O2285,$M2285,DecLat,DecLong)/360 + (GMTOffset/24) + (IF(DST="Y", 1, 0)/24)</f>
        <v>1.6921938721817913</v>
      </c>
      <c r="AE2285" s="259">
        <f>DATE(2001,9,21)+(M2285/360)*365 - (360*((DecLong/360)- (GMTOffset/24) ))</f>
        <v>37415.242303240739</v>
      </c>
      <c r="AF2285" s="260">
        <f>IF(DecLat&gt;0,IF((90 - (DecLat-O2285))&gt;90, (90 - (O2285-DecLat)), (90 - (DecLat-O2285))),IF((90 + (DecLat-O2285))&gt;90, (90 + (O2285-DecLat)), (90 + (DecLat-O2285))))</f>
        <v>73.472499999999997</v>
      </c>
      <c r="AG2285" s="257">
        <f>angularseperation(MoonRA,MoonDec,$M2285,$O2285)</f>
        <v>74.645700700015468</v>
      </c>
      <c r="AH2285" s="261">
        <f ca="1">MIN(100,IF($O$5&gt;80,0+30*($AG2285/100),IF($O$5&gt;70,0+50*($AG2285/100),IF($O$5&gt;60,5+50*($AG2285/100),IF($O$5&gt;50,10+60*($AG2285/100),IF($O$5&gt;40,15+70*($AG2285/100),IF($O$5&gt;30,20+70*($AG2285/100),IF($O$5&gt;20,40+55*($AG2285/100),(80+(20-$O$5)+30*($AG2285/100))))))))))</f>
        <v>100</v>
      </c>
      <c r="AI2285" s="262">
        <v>6229</v>
      </c>
      <c r="AJ2285" s="262"/>
      <c r="AK2285" s="262">
        <v>320</v>
      </c>
      <c r="AL2285" s="263"/>
      <c r="AM2285" s="264"/>
      <c r="AN2285" s="263"/>
      <c r="AO2285" s="263"/>
      <c r="AP2285" s="265"/>
      <c r="AQ2285" s="266"/>
      <c r="AR2285" s="267"/>
      <c r="AS2285" s="263"/>
      <c r="AT2285" s="263"/>
      <c r="AU2285" s="263"/>
      <c r="AV2285" s="264"/>
      <c r="AW2285" s="263"/>
      <c r="AX2285" s="263"/>
      <c r="AY2285" s="263"/>
      <c r="AZ2285" s="263"/>
      <c r="BA2285" s="263"/>
      <c r="BB2285" s="263"/>
      <c r="BC2285" s="263"/>
      <c r="BD2285" s="264"/>
      <c r="BE2285" s="263"/>
      <c r="BF2285" s="263">
        <v>74</v>
      </c>
      <c r="BG2285" s="263"/>
      <c r="BH2285" s="263"/>
      <c r="BI2285" s="263"/>
      <c r="BJ2285" s="404">
        <f>altaz(J2000_Bas,$O2285,$M2285,DecLat,DecLong,2)</f>
        <v>312.21316803518482</v>
      </c>
      <c r="BK2285" s="378" t="s">
        <v>2171</v>
      </c>
      <c r="BL2285" s="379">
        <f>IF((2*G2285)/60&lt;0.2,0.2,(2*G2285)/60)</f>
        <v>0.2</v>
      </c>
      <c r="BM2285" s="380">
        <f>MOD((50000+AD2285-$B$3+(0/24)),1)</f>
        <v>0.90756080188293708</v>
      </c>
      <c r="BN2285" s="381"/>
      <c r="BO2285" s="382">
        <v>2276</v>
      </c>
    </row>
    <row r="2286" spans="1:67" s="24" customFormat="1" ht="15" customHeight="1" x14ac:dyDescent="0.25">
      <c r="A2286" s="288" t="s">
        <v>2172</v>
      </c>
      <c r="B2286" s="241" t="str">
        <f>HYPERLINK(CONCATENATE($AT$3,BK2286,$AU$3),$AV$3)</f>
        <v>S</v>
      </c>
      <c r="C2286" s="242" t="str">
        <f>HYPERLINK(CONCATENATE($AT$4,BK2286,$AU$4,BL2286),$AV$4)</f>
        <v>A</v>
      </c>
      <c r="D2286" s="243" t="s">
        <v>5335</v>
      </c>
      <c r="E2286" s="244" t="s">
        <v>5185</v>
      </c>
      <c r="F2286" s="269" t="s">
        <v>5445</v>
      </c>
      <c r="G2286" s="276">
        <v>15</v>
      </c>
      <c r="H2286" s="283">
        <v>6000</v>
      </c>
      <c r="I2286" s="246">
        <v>26</v>
      </c>
      <c r="J2286" s="246">
        <v>2</v>
      </c>
      <c r="K2286" s="247" t="s">
        <v>7892</v>
      </c>
      <c r="L2286" s="248">
        <v>165410</v>
      </c>
      <c r="M2286" s="249">
        <f>15*(LEFT(TEXT($L2286,"000000"),2)+(MID(TEXT($L2286,"000000"),3,2)/60)+(RIGHT(TEXT($L2286,"000000"),2)/3600))</f>
        <v>253.54166666666663</v>
      </c>
      <c r="N2286" s="250">
        <v>-414930</v>
      </c>
      <c r="O2286" s="251">
        <f>IF($N2286&gt;0,(LEFT(TEXT($N2286,"000000"),2)+(MID(TEXT($N2286,"000000"),3,2)/60)+(RIGHT(TEXT($N2286,"000000"),2)/3600)),-(MID(TEXT($N2286,"000000"),2,2)+(MID(TEXT($N2286,"000000"),4,2)/60)+(RIGHT(TEXT($N2286,"000000"),2)/3600)))</f>
        <v>-41.825000000000003</v>
      </c>
      <c r="P2286" s="252" t="s">
        <v>109</v>
      </c>
      <c r="Q2286" s="253" t="s">
        <v>7891</v>
      </c>
      <c r="R2286" s="247" t="s">
        <v>7388</v>
      </c>
      <c r="S2286" s="272" t="s">
        <v>3293</v>
      </c>
      <c r="T2286" s="273">
        <v>2.6</v>
      </c>
      <c r="U2286" s="274"/>
      <c r="V2286" s="280"/>
      <c r="W2286" s="244"/>
      <c r="X2286" s="244"/>
      <c r="Y2286" s="362"/>
      <c r="Z2286" s="257">
        <f>altaz(J2000_Bas,$O2286,$M2286,DecLat,DecLong,1)</f>
        <v>11.273435699644693</v>
      </c>
      <c r="AA2286" s="257">
        <f>altaz((J2000_Bas+(2*0.04167)),$O2286,$M2286,DecLat,DecLong,1)</f>
        <v>-2.8066687228150333</v>
      </c>
      <c r="AB2286" s="257">
        <f>altaz((J2000_Bas+(4*0.04167)),$O2286,$M2286,DecLat,DecLong,1)</f>
        <v>-21.886383082865461</v>
      </c>
      <c r="AC2286" s="257">
        <f>altaz((J2000_Bas+(6*0.04167)),$O2286,$M2286,DecLat,DecLong,1)</f>
        <v>-43.525043393630455</v>
      </c>
      <c r="AD2286" s="258">
        <f>1+ transit((J2000_Bas-1),$O2286,$M2286,DecLat,DecLong)/360 + (GMTOffset/24) + (IF(DST="Y", 1, 0)/24)</f>
        <v>1.6971822976088746</v>
      </c>
      <c r="AE2286" s="259">
        <f>DATE(2001,9,21)+(M2286/360)*365 - (360*((DecLong/360)- (GMTOffset/24) ))</f>
        <v>37417.063078703701</v>
      </c>
      <c r="AF2286" s="260">
        <f>IF(DecLat&gt;0,IF((90 - (DecLat-O2286))&gt;90, (90 - (O2286-DecLat)), (90 - (DecLat-O2286))),IF((90 + (DecLat-O2286))&gt;90, (90 + (O2286-DecLat)), (90 + (DecLat-O2286))))</f>
        <v>17.174999999999997</v>
      </c>
      <c r="AG2286" s="257">
        <f>angularseperation(MoonRA,MoonDec,$M2286,$O2286)</f>
        <v>15.155689414545934</v>
      </c>
      <c r="AH2286" s="261">
        <f ca="1">MIN(100,IF($O$5&gt;80,0+30*($AG2286/100),IF($O$5&gt;70,0+50*($AG2286/100),IF($O$5&gt;60,5+50*($AG2286/100),IF($O$5&gt;50,10+60*($AG2286/100),IF($O$5&gt;40,15+70*($AG2286/100),IF($O$5&gt;30,20+70*($AG2286/100),IF($O$5&gt;20,40+55*($AG2286/100),(80+(20-$O$5)+30*($AG2286/100))))))))))</f>
        <v>87.817767168514209</v>
      </c>
      <c r="AI2286" s="262">
        <v>6231</v>
      </c>
      <c r="AJ2286" s="262"/>
      <c r="AK2286" s="262"/>
      <c r="AL2286" s="263"/>
      <c r="AM2286" s="264">
        <v>76</v>
      </c>
      <c r="AN2286" s="263"/>
      <c r="AO2286" s="263"/>
      <c r="AP2286" s="265"/>
      <c r="AQ2286" s="266"/>
      <c r="AR2286" s="267"/>
      <c r="AS2286" s="263"/>
      <c r="AT2286" s="263"/>
      <c r="AU2286" s="263"/>
      <c r="AV2286" s="264"/>
      <c r="AW2286" s="263"/>
      <c r="AX2286" s="263"/>
      <c r="AY2286" s="263"/>
      <c r="AZ2286" s="263"/>
      <c r="BA2286" s="263"/>
      <c r="BB2286" s="263"/>
      <c r="BC2286" s="263"/>
      <c r="BD2286" s="264"/>
      <c r="BE2286" s="263"/>
      <c r="BF2286" s="263"/>
      <c r="BG2286" s="263"/>
      <c r="BH2286" s="263"/>
      <c r="BI2286" s="263"/>
      <c r="BJ2286" s="404">
        <f>altaz(J2000_Bas,$O2286,$M2286,DecLat,DecLong,2)</f>
        <v>204.06847986208695</v>
      </c>
      <c r="BK2286" s="378" t="s">
        <v>2172</v>
      </c>
      <c r="BL2286" s="379">
        <f>IF((2*G2286)/60&lt;0.2,0.2,(2*G2286)/60)</f>
        <v>0.5</v>
      </c>
      <c r="BM2286" s="380">
        <f>MOD((50000+AD2286-$B$3+(0/24)),1)</f>
        <v>0.91254922731604893</v>
      </c>
      <c r="BN2286" s="381"/>
      <c r="BO2286" s="382">
        <v>2277</v>
      </c>
    </row>
    <row r="2287" spans="1:67" s="24" customFormat="1" ht="15" customHeight="1" x14ac:dyDescent="0.25">
      <c r="A2287" s="288" t="s">
        <v>7893</v>
      </c>
      <c r="B2287" s="241" t="str">
        <f>HYPERLINK(CONCATENATE($AT$3,BK2287,$AU$3),$AV$3)</f>
        <v>S</v>
      </c>
      <c r="C2287" s="242" t="str">
        <f>HYPERLINK(CONCATENATE($AT$4,BK2287,$AU$4,BL2287),$AV$4)</f>
        <v>A</v>
      </c>
      <c r="D2287" s="243" t="s">
        <v>5638</v>
      </c>
      <c r="E2287" s="244" t="s">
        <v>5194</v>
      </c>
      <c r="F2287" s="269" t="s">
        <v>3287</v>
      </c>
      <c r="G2287" s="273">
        <v>1.8</v>
      </c>
      <c r="H2287" s="283">
        <v>200</v>
      </c>
      <c r="I2287" s="246">
        <v>105</v>
      </c>
      <c r="J2287" s="246">
        <v>1</v>
      </c>
      <c r="K2287" s="247" t="s">
        <v>7894</v>
      </c>
      <c r="L2287" s="248">
        <v>164320</v>
      </c>
      <c r="M2287" s="249">
        <f>15*(LEFT(TEXT($L2287,"000000"),2)+(MID(TEXT($L2287,"000000"),3,2)/60)+(RIGHT(TEXT($L2287,"000000"),2)/3600))</f>
        <v>250.83333333333331</v>
      </c>
      <c r="N2287" s="286">
        <v>703757</v>
      </c>
      <c r="O2287" s="251">
        <f>IF($N2287&gt;0,(LEFT(TEXT($N2287,"000000"),2)+(MID(TEXT($N2287,"000000"),3,2)/60)+(RIGHT(TEXT($N2287,"000000"),2)/3600)),-(MID(TEXT($N2287,"000000"),2,2)+(MID(TEXT($N2287,"000000"),4,2)/60)+(RIGHT(TEXT($N2287,"000000"),2)/3600)))</f>
        <v>70.632499999999993</v>
      </c>
      <c r="P2287" s="252" t="s">
        <v>34</v>
      </c>
      <c r="Q2287" s="253"/>
      <c r="R2287" s="247" t="s">
        <v>3293</v>
      </c>
      <c r="S2287" s="272" t="s">
        <v>7899</v>
      </c>
      <c r="T2287" s="273">
        <v>12.5</v>
      </c>
      <c r="U2287" s="289">
        <v>22.09</v>
      </c>
      <c r="V2287" s="280">
        <v>0</v>
      </c>
      <c r="W2287" s="244"/>
      <c r="X2287" s="244"/>
      <c r="Y2287" s="362"/>
      <c r="Z2287" s="257">
        <f>altaz(J2000_Bas,$O2287,$M2287,DecLat,DecLong,1)</f>
        <v>45.911101543518392</v>
      </c>
      <c r="AA2287" s="257">
        <f>altaz((J2000_Bas+(2*0.04167)),$O2287,$M2287,DecLat,DecLong,1)</f>
        <v>37.220427069896346</v>
      </c>
      <c r="AB2287" s="257">
        <f>altaz((J2000_Bas+(4*0.04167)),$O2287,$M2287,DecLat,DecLong,1)</f>
        <v>27.351349977721213</v>
      </c>
      <c r="AC2287" s="257">
        <f>altaz((J2000_Bas+(6*0.04167)),$O2287,$M2287,DecLat,DecLong,1)</f>
        <v>18.731515496620663</v>
      </c>
      <c r="AD2287" s="258">
        <f>1+ transit((J2000_Bas-1),$O2287,$M2287,DecLat,DecLong)/360 + (GMTOffset/24) + (IF(DST="Y", 1, 0)/24)</f>
        <v>1.6896591502130411</v>
      </c>
      <c r="AE2287" s="259">
        <f>DATE(2001,9,21)+(M2287/360)*365 - (360*((DecLong/360)- (GMTOffset/24) ))</f>
        <v>37414.317129629628</v>
      </c>
      <c r="AF2287" s="260">
        <f>IF(DecLat&gt;0,IF((90 - (DecLat-O2287))&gt;90, (90 - (O2287-DecLat)), (90 - (DecLat-O2287))),IF((90 + (DecLat-O2287))&gt;90, (90 + (O2287-DecLat)), (90 + (DecLat-O2287))))</f>
        <v>50.367500000000007</v>
      </c>
      <c r="AG2287" s="257">
        <f>angularseperation(MoonRA,MoonDec,$M2287,$O2287)</f>
        <v>97.723177990760178</v>
      </c>
      <c r="AH2287" s="261">
        <f ca="1">MIN(100,IF($O$5&gt;80,0+30*($AG2287/100),IF($O$5&gt;70,0+50*($AG2287/100),IF($O$5&gt;60,5+50*($AG2287/100),IF($O$5&gt;50,10+60*($AG2287/100),IF($O$5&gt;40,15+70*($AG2287/100),IF($O$5&gt;30,20+70*($AG2287/100),IF($O$5&gt;20,40+55*($AG2287/100),(80+(20-$O$5)+30*($AG2287/100))))))))))</f>
        <v>100</v>
      </c>
      <c r="AI2287" s="262">
        <v>6232</v>
      </c>
      <c r="AJ2287" s="262"/>
      <c r="AK2287" s="262"/>
      <c r="AL2287" s="263"/>
      <c r="AM2287" s="264"/>
      <c r="AN2287" s="263"/>
      <c r="AO2287" s="263"/>
      <c r="AP2287" s="265"/>
      <c r="AQ2287" s="266">
        <v>10537</v>
      </c>
      <c r="AR2287" s="267">
        <v>58841</v>
      </c>
      <c r="AS2287" s="263"/>
      <c r="AT2287" s="263"/>
      <c r="AU2287" s="263"/>
      <c r="AV2287" s="264"/>
      <c r="AW2287" s="263"/>
      <c r="AX2287" s="263"/>
      <c r="AY2287" s="263"/>
      <c r="AZ2287" s="263"/>
      <c r="BA2287" s="263"/>
      <c r="BB2287" s="263"/>
      <c r="BC2287" s="263"/>
      <c r="BD2287" s="264"/>
      <c r="BE2287" s="263"/>
      <c r="BF2287" s="263"/>
      <c r="BG2287" s="263"/>
      <c r="BH2287" s="263"/>
      <c r="BI2287" s="263"/>
      <c r="BJ2287" s="404">
        <f>altaz(J2000_Bas,$O2287,$M2287,DecLat,DecLong,2)</f>
        <v>344.0656520080484</v>
      </c>
      <c r="BK2287" s="378" t="s">
        <v>2173</v>
      </c>
      <c r="BL2287" s="379">
        <f>IF((2*G2287)/60&lt;0.2,0.2,(2*G2287)/60)</f>
        <v>0.2</v>
      </c>
      <c r="BM2287" s="380">
        <f>MOD((50000+AD2287-$B$3+(0/24)),1)</f>
        <v>0.90502607991948025</v>
      </c>
      <c r="BN2287" s="381"/>
      <c r="BO2287" s="382">
        <v>2278</v>
      </c>
    </row>
    <row r="2288" spans="1:67" s="24" customFormat="1" ht="15" customHeight="1" x14ac:dyDescent="0.25">
      <c r="A2288" s="287" t="s">
        <v>3014</v>
      </c>
      <c r="B2288" s="241" t="str">
        <f>HYPERLINK(CONCATENATE($AT$3,BK2288,$AU$3),$AV$3)</f>
        <v>S</v>
      </c>
      <c r="C2288" s="242" t="str">
        <f>HYPERLINK(CONCATENATE($AT$4,BK2288,$AU$4,BL2288),$AV$4)</f>
        <v>A</v>
      </c>
      <c r="D2288" s="243" t="s">
        <v>5335</v>
      </c>
      <c r="E2288" s="244" t="s">
        <v>5184</v>
      </c>
      <c r="F2288" s="269" t="s">
        <v>3179</v>
      </c>
      <c r="G2288" s="273">
        <v>5</v>
      </c>
      <c r="H2288" s="283">
        <v>40000</v>
      </c>
      <c r="I2288" s="246">
        <v>60</v>
      </c>
      <c r="J2288" s="246">
        <v>2</v>
      </c>
      <c r="K2288" s="247" t="s">
        <v>7895</v>
      </c>
      <c r="L2288" s="248">
        <v>165324</v>
      </c>
      <c r="M2288" s="249">
        <f>15*(LEFT(TEXT($L2288,"000000"),2)+(MID(TEXT($L2288,"000000"),3,2)/60)+(RIGHT(TEXT($L2288,"000000"),2)/3600))</f>
        <v>253.35000000000002</v>
      </c>
      <c r="N2288" s="250">
        <v>-221100</v>
      </c>
      <c r="O2288" s="251">
        <f>IF($N2288&gt;0,(LEFT(TEXT($N2288,"000000"),2)+(MID(TEXT($N2288,"000000"),3,2)/60)+(RIGHT(TEXT($N2288,"000000"),2)/3600)),-(MID(TEXT($N2288,"000000"),2,2)+(MID(TEXT($N2288,"000000"),4,2)/60)+(RIGHT(TEXT($N2288,"000000"),2)/3600)))</f>
        <v>-22.183333333333334</v>
      </c>
      <c r="P2288" s="252" t="s">
        <v>113</v>
      </c>
      <c r="Q2288" s="253"/>
      <c r="R2288" s="277" t="s">
        <v>3293</v>
      </c>
      <c r="S2288" s="272" t="s">
        <v>3293</v>
      </c>
      <c r="T2288" s="273">
        <v>8.9</v>
      </c>
      <c r="U2288" s="274"/>
      <c r="V2288" s="280"/>
      <c r="W2288" s="244"/>
      <c r="X2288" s="244"/>
      <c r="Y2288" s="362"/>
      <c r="Z2288" s="257">
        <f>altaz(J2000_Bas,$O2288,$M2288,DecLat,DecLong,1)</f>
        <v>28.282204435576077</v>
      </c>
      <c r="AA2288" s="257">
        <f>altaz((J2000_Bas+(2*0.04167)),$O2288,$M2288,DecLat,DecLong,1)</f>
        <v>9.7365463070077816</v>
      </c>
      <c r="AB2288" s="257">
        <f>altaz((J2000_Bas+(4*0.04167)),$O2288,$M2288,DecLat,DecLong,1)</f>
        <v>-13.505409640944476</v>
      </c>
      <c r="AC2288" s="257">
        <f>altaz((J2000_Bas+(6*0.04167)),$O2288,$M2288,DecLat,DecLong,1)</f>
        <v>-38.731011723398275</v>
      </c>
      <c r="AD2288" s="258">
        <f>1+ transit((J2000_Bas-1),$O2288,$M2288,DecLat,DecLong)/360 + (GMTOffset/24) + (IF(DST="Y", 1, 0)/24)</f>
        <v>1.696649890254708</v>
      </c>
      <c r="AE2288" s="259">
        <f>DATE(2001,9,21)+(M2288/360)*365 - (360*((DecLong/360)- (GMTOffset/24) ))</f>
        <v>37416.868750000001</v>
      </c>
      <c r="AF2288" s="260">
        <f>IF(DecLat&gt;0,IF((90 - (DecLat-O2288))&gt;90, (90 - (O2288-DecLat)), (90 - (DecLat-O2288))),IF((90 + (DecLat-O2288))&gt;90, (90 + (O2288-DecLat)), (90 + (DecLat-O2288))))</f>
        <v>36.816666666666663</v>
      </c>
      <c r="AG2288" s="257">
        <f>angularseperation(MoonRA,MoonDec,$M2288,$O2288)</f>
        <v>6.1601053840911542</v>
      </c>
      <c r="AH2288" s="261">
        <f ca="1">MIN(100,IF($O$5&gt;80,0+30*($AG2288/100),IF($O$5&gt;70,0+50*($AG2288/100),IF($O$5&gt;60,5+50*($AG2288/100),IF($O$5&gt;50,10+60*($AG2288/100),IF($O$5&gt;40,15+70*($AG2288/100),IF($O$5&gt;30,20+70*($AG2288/100),IF($O$5&gt;20,40+55*($AG2288/100),(80+(20-$O$5)+30*($AG2288/100))))))))))</f>
        <v>85.119091959377769</v>
      </c>
      <c r="AI2288" s="262">
        <v>6235</v>
      </c>
      <c r="AJ2288" s="263"/>
      <c r="AK2288" s="263">
        <v>321</v>
      </c>
      <c r="AL2288" s="263"/>
      <c r="AM2288" s="264"/>
      <c r="AN2288" s="263"/>
      <c r="AO2288" s="263"/>
      <c r="AP2288" s="265"/>
      <c r="AQ2288" s="265"/>
      <c r="AR2288" s="285"/>
      <c r="AS2288" s="263"/>
      <c r="AT2288" s="263"/>
      <c r="AU2288" s="263"/>
      <c r="AV2288" s="264"/>
      <c r="AW2288" s="263"/>
      <c r="AX2288" s="263"/>
      <c r="AY2288" s="263"/>
      <c r="AZ2288" s="263"/>
      <c r="BA2288" s="263"/>
      <c r="BB2288" s="263"/>
      <c r="BC2288" s="263"/>
      <c r="BD2288" s="264"/>
      <c r="BE2288" s="263"/>
      <c r="BF2288" s="263"/>
      <c r="BG2288" s="263"/>
      <c r="BH2288" s="263"/>
      <c r="BI2288" s="263"/>
      <c r="BJ2288" s="404">
        <f>altaz(J2000_Bas,$O2288,$M2288,DecLat,DecLong,2)</f>
        <v>214.56446905263758</v>
      </c>
      <c r="BK2288" s="378" t="s">
        <v>3014</v>
      </c>
      <c r="BL2288" s="379">
        <f>IF((2*G2288)/60&lt;0.2,0.2,(2*G2288)/60)</f>
        <v>0.2</v>
      </c>
      <c r="BM2288" s="380">
        <f>MOD((50000+AD2288-$B$3+(0/24)),1)</f>
        <v>0.9120168199588079</v>
      </c>
      <c r="BN2288" s="381"/>
      <c r="BO2288" s="382">
        <v>2279</v>
      </c>
    </row>
    <row r="2289" spans="1:67" s="24" customFormat="1" ht="15" customHeight="1" x14ac:dyDescent="0.25">
      <c r="A2289" s="288" t="s">
        <v>2174</v>
      </c>
      <c r="B2289" s="241" t="str">
        <f>HYPERLINK(CONCATENATE($AT$3,BK2289,$AU$3),$AV$3)</f>
        <v>S</v>
      </c>
      <c r="C2289" s="242" t="str">
        <f>HYPERLINK(CONCATENATE($AT$4,BK2289,$AU$4,BL2289),$AV$4)</f>
        <v>A</v>
      </c>
      <c r="D2289" s="243" t="s">
        <v>5638</v>
      </c>
      <c r="E2289" s="244" t="s">
        <v>5192</v>
      </c>
      <c r="F2289" s="269" t="s">
        <v>8908</v>
      </c>
      <c r="G2289" s="273">
        <v>2</v>
      </c>
      <c r="H2289" s="283">
        <v>75</v>
      </c>
      <c r="I2289" s="246">
        <v>45</v>
      </c>
      <c r="J2289" s="246">
        <v>2</v>
      </c>
      <c r="K2289" s="247" t="s">
        <v>8347</v>
      </c>
      <c r="L2289" s="248">
        <v>165005</v>
      </c>
      <c r="M2289" s="249">
        <f>15*(LEFT(TEXT($L2289,"000000"),2)+(MID(TEXT($L2289,"000000"),3,2)/60)+(RIGHT(TEXT($L2289,"000000"),2)/3600))</f>
        <v>252.52083333333334</v>
      </c>
      <c r="N2289" s="250">
        <v>424422</v>
      </c>
      <c r="O2289" s="251">
        <f>IF($N2289&gt;0,(LEFT(TEXT($N2289,"000000"),2)+(MID(TEXT($N2289,"000000"),3,2)/60)+(RIGHT(TEXT($N2289,"000000"),2)/3600)),-(MID(TEXT($N2289,"000000"),2,2)+(MID(TEXT($N2289,"000000"),4,2)/60)+(RIGHT(TEXT($N2289,"000000"),2)/3600)))</f>
        <v>42.739444444444445</v>
      </c>
      <c r="P2289" s="252" t="s">
        <v>111</v>
      </c>
      <c r="Q2289" s="253"/>
      <c r="R2289" s="247" t="s">
        <v>3293</v>
      </c>
      <c r="S2289" s="272" t="s">
        <v>3293</v>
      </c>
      <c r="T2289" s="273">
        <v>12.5</v>
      </c>
      <c r="U2289" s="289">
        <v>22.39</v>
      </c>
      <c r="V2289" s="280">
        <v>70</v>
      </c>
      <c r="W2289" s="244"/>
      <c r="X2289" s="244"/>
      <c r="Y2289" s="362"/>
      <c r="Z2289" s="257">
        <f>altaz(J2000_Bas,$O2289,$M2289,DecLat,DecLong,1)</f>
        <v>60.999692297254732</v>
      </c>
      <c r="AA2289" s="257">
        <f>altaz((J2000_Bas+(2*0.04167)),$O2289,$M2289,DecLat,DecLong,1)</f>
        <v>39.034438671877709</v>
      </c>
      <c r="AB2289" s="257">
        <f>altaz((J2000_Bas+(4*0.04167)),$O2289,$M2289,DecLat,DecLong,1)</f>
        <v>18.02615913873311</v>
      </c>
      <c r="AC2289" s="257">
        <f>altaz((J2000_Bas+(6*0.04167)),$O2289,$M2289,DecLat,DecLong,1)</f>
        <v>-4.8375477304504226E-3</v>
      </c>
      <c r="AD2289" s="258">
        <f>1+ transit((J2000_Bas-1),$O2289,$M2289,DecLat,DecLong)/360 + (GMTOffset/24) + (IF(DST="Y", 1, 0)/24)</f>
        <v>1.6943466497442914</v>
      </c>
      <c r="AE2289" s="259">
        <f>DATE(2001,9,21)+(M2289/360)*365 - (360*((DecLong/360)- (GMTOffset/24) ))</f>
        <v>37416.028067129628</v>
      </c>
      <c r="AF2289" s="260">
        <f>IF(DecLat&gt;0,IF((90 - (DecLat-O2289))&gt;90, (90 - (O2289-DecLat)), (90 - (DecLat-O2289))),IF((90 + (DecLat-O2289))&gt;90, (90 + (O2289-DecLat)), (90 + (DecLat-O2289))))</f>
        <v>78.260555555555555</v>
      </c>
      <c r="AG2289" s="257">
        <f>angularseperation(MoonRA,MoonDec,$M2289,$O2289)</f>
        <v>69.888868589575722</v>
      </c>
      <c r="AH2289" s="261">
        <f ca="1">MIN(100,IF($O$5&gt;80,0+30*($AG2289/100),IF($O$5&gt;70,0+50*($AG2289/100),IF($O$5&gt;60,5+50*($AG2289/100),IF($O$5&gt;50,10+60*($AG2289/100),IF($O$5&gt;40,15+70*($AG2289/100),IF($O$5&gt;30,20+70*($AG2289/100),IF($O$5&gt;20,40+55*($AG2289/100),(80+(20-$O$5)+30*($AG2289/100))))))))))</f>
        <v>100</v>
      </c>
      <c r="AI2289" s="262">
        <v>6239</v>
      </c>
      <c r="AJ2289" s="262"/>
      <c r="AK2289" s="262"/>
      <c r="AL2289" s="263"/>
      <c r="AM2289" s="264"/>
      <c r="AN2289" s="263"/>
      <c r="AO2289" s="263"/>
      <c r="AP2289" s="265"/>
      <c r="AQ2289" s="266">
        <v>10577</v>
      </c>
      <c r="AR2289" s="267">
        <v>59083</v>
      </c>
      <c r="AS2289" s="263"/>
      <c r="AT2289" s="263"/>
      <c r="AU2289" s="263"/>
      <c r="AV2289" s="264"/>
      <c r="AW2289" s="263"/>
      <c r="AX2289" s="263"/>
      <c r="AY2289" s="263"/>
      <c r="AZ2289" s="263"/>
      <c r="BA2289" s="263"/>
      <c r="BB2289" s="263"/>
      <c r="BC2289" s="263"/>
      <c r="BD2289" s="264"/>
      <c r="BE2289" s="263"/>
      <c r="BF2289" s="263"/>
      <c r="BG2289" s="263"/>
      <c r="BH2289" s="263"/>
      <c r="BI2289" s="263"/>
      <c r="BJ2289" s="404">
        <f>altaz(J2000_Bas,$O2289,$M2289,DecLat,DecLong,2)</f>
        <v>303.30801519171439</v>
      </c>
      <c r="BK2289" s="378" t="s">
        <v>2174</v>
      </c>
      <c r="BL2289" s="379">
        <f>IF((2*G2289)/60&lt;0.2,0.2,(2*G2289)/60)</f>
        <v>0.2</v>
      </c>
      <c r="BM2289" s="380">
        <f>MOD((50000+AD2289-$B$3+(0/24)),1)</f>
        <v>0.90971357945090858</v>
      </c>
      <c r="BN2289" s="381" t="s">
        <v>9221</v>
      </c>
      <c r="BO2289" s="382">
        <v>2280</v>
      </c>
    </row>
    <row r="2290" spans="1:67" s="24" customFormat="1" ht="15" customHeight="1" x14ac:dyDescent="0.25">
      <c r="A2290" s="288" t="s">
        <v>2175</v>
      </c>
      <c r="B2290" s="241" t="str">
        <f>HYPERLINK(CONCATENATE($AT$3,BK2290,$AU$3),$AV$3)</f>
        <v>S</v>
      </c>
      <c r="C2290" s="242" t="str">
        <f>HYPERLINK(CONCATENATE($AT$4,BK2290,$AU$4,BL2290),$AV$4)</f>
        <v>A</v>
      </c>
      <c r="D2290" s="243" t="s">
        <v>5638</v>
      </c>
      <c r="E2290" s="244" t="s">
        <v>5337</v>
      </c>
      <c r="F2290" s="269" t="s">
        <v>3317</v>
      </c>
      <c r="G2290" s="273">
        <v>1.5</v>
      </c>
      <c r="H2290" s="283">
        <v>400</v>
      </c>
      <c r="I2290" s="246">
        <v>180</v>
      </c>
      <c r="J2290" s="246">
        <v>2</v>
      </c>
      <c r="K2290" s="247" t="s">
        <v>7896</v>
      </c>
      <c r="L2290" s="248">
        <v>165259</v>
      </c>
      <c r="M2290" s="249">
        <f>15*(LEFT(TEXT($L2290,"000000"),2)+(MID(TEXT($L2290,"000000"),3,2)/60)+(RIGHT(TEXT($L2290,"000000"),2)/3600))</f>
        <v>253.24583333333337</v>
      </c>
      <c r="N2290" s="250">
        <v>22405</v>
      </c>
      <c r="O2290" s="251">
        <f>IF($N2290&gt;0,(LEFT(TEXT($N2290,"000000"),2)+(MID(TEXT($N2290,"000000"),3,2)/60)+(RIGHT(TEXT($N2290,"000000"),2)/3600)),-(MID(TEXT($N2290,"000000"),2,2)+(MID(TEXT($N2290,"000000"),4,2)/60)+(RIGHT(TEXT($N2290,"000000"),2)/3600)))</f>
        <v>2.401388888888889</v>
      </c>
      <c r="P2290" s="252" t="s">
        <v>113</v>
      </c>
      <c r="Q2290" s="253"/>
      <c r="R2290" s="247" t="s">
        <v>3293</v>
      </c>
      <c r="S2290" s="272" t="s">
        <v>3293</v>
      </c>
      <c r="T2290" s="273">
        <v>12.9</v>
      </c>
      <c r="U2290" s="289">
        <v>22.69</v>
      </c>
      <c r="V2290" s="280"/>
      <c r="W2290" s="244"/>
      <c r="X2290" s="244"/>
      <c r="Y2290" s="362"/>
      <c r="Z2290" s="257">
        <f>altaz(J2000_Bas,$O2290,$M2290,DecLat,DecLong,1)</f>
        <v>47.88524262388944</v>
      </c>
      <c r="AA2290" s="257">
        <f>altaz((J2000_Bas+(2*0.04167)),$O2290,$M2290,DecLat,DecLong,1)</f>
        <v>24.361706796096321</v>
      </c>
      <c r="AB2290" s="257">
        <f>altaz((J2000_Bas+(4*0.04167)),$O2290,$M2290,DecLat,DecLong,1)</f>
        <v>-1.2683373534393401</v>
      </c>
      <c r="AC2290" s="257">
        <f>altaz((J2000_Bas+(6*0.04167)),$O2290,$M2290,DecLat,DecLong,1)</f>
        <v>-26.422535443514935</v>
      </c>
      <c r="AD2290" s="258">
        <f>1+ transit((J2000_Bas-1),$O2290,$M2290,DecLat,DecLong)/360 + (GMTOffset/24) + (IF(DST="Y", 1, 0)/24)</f>
        <v>1.6963605384317915</v>
      </c>
      <c r="AE2290" s="259">
        <f>DATE(2001,9,21)+(M2290/360)*365 - (360*((DecLong/360)- (GMTOffset/24) ))</f>
        <v>37416.763136574074</v>
      </c>
      <c r="AF2290" s="260">
        <f>IF(DecLat&gt;0,IF((90 - (DecLat-O2290))&gt;90, (90 - (O2290-DecLat)), (90 - (DecLat-O2290))),IF((90 + (DecLat-O2290))&gt;90, (90 + (O2290-DecLat)), (90 + (DecLat-O2290))))</f>
        <v>61.401388888888889</v>
      </c>
      <c r="AG2290" s="257">
        <f>angularseperation(MoonRA,MoonDec,$M2290,$O2290)</f>
        <v>29.73724304579234</v>
      </c>
      <c r="AH2290" s="261">
        <f ca="1">MIN(100,IF($O$5&gt;80,0+30*($AG2290/100),IF($O$5&gt;70,0+50*($AG2290/100),IF($O$5&gt;60,5+50*($AG2290/100),IF($O$5&gt;50,10+60*($AG2290/100),IF($O$5&gt;40,15+70*($AG2290/100),IF($O$5&gt;30,20+70*($AG2290/100),IF($O$5&gt;20,40+55*($AG2290/100),(80+(20-$O$5)+30*($AG2290/100))))))))))</f>
        <v>92.192233257888134</v>
      </c>
      <c r="AI2290" s="262">
        <v>6240</v>
      </c>
      <c r="AJ2290" s="262"/>
      <c r="AK2290" s="262"/>
      <c r="AL2290" s="263"/>
      <c r="AM2290" s="264"/>
      <c r="AN2290" s="263"/>
      <c r="AO2290" s="263"/>
      <c r="AP2290" s="265"/>
      <c r="AQ2290" s="266"/>
      <c r="AR2290" s="267">
        <v>59186</v>
      </c>
      <c r="AS2290" s="263"/>
      <c r="AT2290" s="263"/>
      <c r="AU2290" s="263"/>
      <c r="AV2290" s="264"/>
      <c r="AW2290" s="263"/>
      <c r="AX2290" s="263"/>
      <c r="AY2290" s="263"/>
      <c r="AZ2290" s="263"/>
      <c r="BA2290" s="263"/>
      <c r="BB2290" s="263"/>
      <c r="BC2290" s="263"/>
      <c r="BD2290" s="264"/>
      <c r="BE2290" s="263"/>
      <c r="BF2290" s="263"/>
      <c r="BG2290" s="263"/>
      <c r="BH2290" s="263">
        <v>92</v>
      </c>
      <c r="BI2290" s="263"/>
      <c r="BJ2290" s="404">
        <f>altaz(J2000_Bas,$O2290,$M2290,DecLat,DecLong,2)</f>
        <v>233.71865752601417</v>
      </c>
      <c r="BK2290" s="378" t="s">
        <v>2175</v>
      </c>
      <c r="BL2290" s="379">
        <f>IF((2*G2290)/60&lt;0.2,0.2,(2*G2290)/60)</f>
        <v>0.2</v>
      </c>
      <c r="BM2290" s="380">
        <f>MOD((50000+AD2290-$B$3+(0/24)),1)</f>
        <v>0.91172746813390404</v>
      </c>
      <c r="BN2290" s="381" t="s">
        <v>9281</v>
      </c>
      <c r="BO2290" s="382">
        <v>2281</v>
      </c>
    </row>
    <row r="2291" spans="1:67" s="24" customFormat="1" ht="15" customHeight="1" x14ac:dyDescent="0.25">
      <c r="A2291" s="288" t="s">
        <v>2176</v>
      </c>
      <c r="B2291" s="241" t="str">
        <f>HYPERLINK(CONCATENATE($AT$3,BK2291,$AU$3),$AV$3)</f>
        <v>S</v>
      </c>
      <c r="C2291" s="242" t="str">
        <f>HYPERLINK(CONCATENATE($AT$4,BK2291,$AU$4,BL2291),$AV$4)</f>
        <v>A</v>
      </c>
      <c r="D2291" s="243" t="s">
        <v>5335</v>
      </c>
      <c r="E2291" s="244" t="s">
        <v>5185</v>
      </c>
      <c r="F2291" s="269" t="s">
        <v>7897</v>
      </c>
      <c r="G2291" s="276">
        <v>10</v>
      </c>
      <c r="H2291" s="283">
        <v>3600</v>
      </c>
      <c r="I2291" s="246">
        <v>11</v>
      </c>
      <c r="J2291" s="246">
        <v>2</v>
      </c>
      <c r="K2291" s="247" t="s">
        <v>7898</v>
      </c>
      <c r="L2291" s="248">
        <v>165533</v>
      </c>
      <c r="M2291" s="249">
        <f>15*(LEFT(TEXT($L2291,"000000"),2)+(MID(TEXT($L2291,"000000"),3,2)/60)+(RIGHT(TEXT($L2291,"000000"),2)/3600))</f>
        <v>253.88749999999999</v>
      </c>
      <c r="N2291" s="250">
        <v>-392742</v>
      </c>
      <c r="O2291" s="251">
        <f>IF($N2291&gt;0,(LEFT(TEXT($N2291,"000000"),2)+(MID(TEXT($N2291,"000000"),3,2)/60)+(RIGHT(TEXT($N2291,"000000"),2)/3600)),-(MID(TEXT($N2291,"000000"),2,2)+(MID(TEXT($N2291,"000000"),4,2)/60)+(RIGHT(TEXT($N2291,"000000"),2)/3600)))</f>
        <v>-39.461666666666666</v>
      </c>
      <c r="P2291" s="252" t="s">
        <v>109</v>
      </c>
      <c r="Q2291" s="253"/>
      <c r="R2291" s="247" t="s">
        <v>3293</v>
      </c>
      <c r="S2291" s="272" t="s">
        <v>3293</v>
      </c>
      <c r="T2291" s="273">
        <v>6.4</v>
      </c>
      <c r="U2291" s="274"/>
      <c r="V2291" s="280"/>
      <c r="W2291" s="244"/>
      <c r="X2291" s="244"/>
      <c r="Y2291" s="362"/>
      <c r="Z2291" s="257">
        <f>altaz(J2000_Bas,$O2291,$M2291,DecLat,DecLong,1)</f>
        <v>13.483983917860943</v>
      </c>
      <c r="AA2291" s="257">
        <f>altaz((J2000_Bas+(2*0.04167)),$O2291,$M2291,DecLat,DecLong,1)</f>
        <v>-1.0710176240832843</v>
      </c>
      <c r="AB2291" s="257">
        <f>altaz((J2000_Bas+(4*0.04167)),$O2291,$M2291,DecLat,DecLong,1)</f>
        <v>-20.714686950139694</v>
      </c>
      <c r="AC2291" s="257">
        <f>altaz((J2000_Bas+(6*0.04167)),$O2291,$M2291,DecLat,DecLong,1)</f>
        <v>-42.971236821843263</v>
      </c>
      <c r="AD2291" s="258">
        <f>1+ transit((J2000_Bas-1),$O2291,$M2291,DecLat,DecLong)/360 + (GMTOffset/24) + (IF(DST="Y", 1, 0)/24)</f>
        <v>1.698142945660958</v>
      </c>
      <c r="AE2291" s="259">
        <f>DATE(2001,9,21)+(M2291/360)*365 - (360*((DecLong/360)- (GMTOffset/24) ))</f>
        <v>37417.413715277777</v>
      </c>
      <c r="AF2291" s="260">
        <f>IF(DecLat&gt;0,IF((90 - (DecLat-O2291))&gt;90, (90 - (O2291-DecLat)), (90 - (DecLat-O2291))),IF((90 + (DecLat-O2291))&gt;90, (90 + (O2291-DecLat)), (90 + (DecLat-O2291))))</f>
        <v>19.538333333333327</v>
      </c>
      <c r="AG2291" s="257">
        <f>angularseperation(MoonRA,MoonDec,$M2291,$O2291)</f>
        <v>12.967369244276123</v>
      </c>
      <c r="AH2291" s="261">
        <f ca="1">MIN(100,IF($O$5&gt;80,0+30*($AG2291/100),IF($O$5&gt;70,0+50*($AG2291/100),IF($O$5&gt;60,5+50*($AG2291/100),IF($O$5&gt;50,10+60*($AG2291/100),IF($O$5&gt;40,15+70*($AG2291/100),IF($O$5&gt;30,20+70*($AG2291/100),IF($O$5&gt;20,40+55*($AG2291/100),(80+(20-$O$5)+30*($AG2291/100))))))))))</f>
        <v>87.161271117433259</v>
      </c>
      <c r="AI2291" s="262">
        <v>6242</v>
      </c>
      <c r="AJ2291" s="262"/>
      <c r="AK2291" s="262"/>
      <c r="AL2291" s="263"/>
      <c r="AM2291" s="264"/>
      <c r="AN2291" s="263"/>
      <c r="AO2291" s="263"/>
      <c r="AP2291" s="265"/>
      <c r="AQ2291" s="266"/>
      <c r="AR2291" s="267"/>
      <c r="AS2291" s="263"/>
      <c r="AT2291" s="263"/>
      <c r="AU2291" s="263"/>
      <c r="AV2291" s="264"/>
      <c r="AW2291" s="263"/>
      <c r="AX2291" s="263"/>
      <c r="AY2291" s="263"/>
      <c r="AZ2291" s="263"/>
      <c r="BA2291" s="263"/>
      <c r="BB2291" s="263"/>
      <c r="BC2291" s="263"/>
      <c r="BD2291" s="264"/>
      <c r="BE2291" s="263">
        <v>79</v>
      </c>
      <c r="BF2291" s="263"/>
      <c r="BG2291" s="263"/>
      <c r="BH2291" s="263"/>
      <c r="BI2291" s="263"/>
      <c r="BJ2291" s="404">
        <f>altaz(J2000_Bas,$O2291,$M2291,DecLat,DecLong,2)</f>
        <v>204.96555352639223</v>
      </c>
      <c r="BK2291" s="378" t="s">
        <v>2176</v>
      </c>
      <c r="BL2291" s="379">
        <f>IF((2*G2291)/60&lt;0.2,0.2,(2*G2291)/60)</f>
        <v>0.33333333333333331</v>
      </c>
      <c r="BM2291" s="380">
        <f>MOD((50000+AD2291-$B$3+(0/24)),1)</f>
        <v>0.91350987536861794</v>
      </c>
      <c r="BN2291" s="381"/>
      <c r="BO2291" s="382">
        <v>2282</v>
      </c>
    </row>
    <row r="2292" spans="1:67" s="24" customFormat="1" ht="15" customHeight="1" x14ac:dyDescent="0.25">
      <c r="A2292" s="288" t="s">
        <v>2177</v>
      </c>
      <c r="B2292" s="241" t="str">
        <f>HYPERLINK(CONCATENATE($AT$3,BK2292,$AU$3),$AV$3)</f>
        <v>S</v>
      </c>
      <c r="C2292" s="242" t="str">
        <f>HYPERLINK(CONCATENATE($AT$4,BK2292,$AU$4,BL2292),$AV$4)</f>
        <v>A</v>
      </c>
      <c r="D2292" s="243" t="s">
        <v>5638</v>
      </c>
      <c r="E2292" s="244" t="s">
        <v>5192</v>
      </c>
      <c r="F2292" s="269" t="s">
        <v>8895</v>
      </c>
      <c r="G2292" s="273">
        <v>3.5</v>
      </c>
      <c r="H2292" s="283">
        <v>60</v>
      </c>
      <c r="I2292" s="246">
        <v>60</v>
      </c>
      <c r="J2292" s="246">
        <v>2</v>
      </c>
      <c r="K2292" s="247" t="s">
        <v>7900</v>
      </c>
      <c r="L2292" s="248">
        <v>165447</v>
      </c>
      <c r="M2292" s="249">
        <f>15*(LEFT(TEXT($L2292,"000000"),2)+(MID(TEXT($L2292,"000000"),3,2)/60)+(RIGHT(TEXT($L2292,"000000"),2)/3600))</f>
        <v>253.69583333333333</v>
      </c>
      <c r="N2292" s="250">
        <v>363006</v>
      </c>
      <c r="O2292" s="251">
        <f>IF($N2292&gt;0,(LEFT(TEXT($N2292,"000000"),2)+(MID(TEXT($N2292,"000000"),3,2)/60)+(RIGHT(TEXT($N2292,"000000"),2)/3600)),-(MID(TEXT($N2292,"000000"),2,2)+(MID(TEXT($N2292,"000000"),4,2)/60)+(RIGHT(TEXT($N2292,"000000"),2)/3600)))</f>
        <v>36.501666666666665</v>
      </c>
      <c r="P2292" s="252" t="s">
        <v>111</v>
      </c>
      <c r="Q2292" s="253"/>
      <c r="R2292" s="247" t="s">
        <v>3293</v>
      </c>
      <c r="S2292" s="272" t="s">
        <v>3293</v>
      </c>
      <c r="T2292" s="273">
        <v>12.8</v>
      </c>
      <c r="U2292" s="289">
        <v>23.39</v>
      </c>
      <c r="V2292" s="280">
        <v>70</v>
      </c>
      <c r="W2292" s="244"/>
      <c r="X2292" s="244"/>
      <c r="Y2292" s="362"/>
      <c r="Z2292" s="257">
        <f>altaz(J2000_Bas,$O2292,$M2292,DecLat,DecLong,1)</f>
        <v>62.714251441809232</v>
      </c>
      <c r="AA2292" s="257">
        <f>altaz((J2000_Bas+(2*0.04167)),$O2292,$M2292,DecLat,DecLong,1)</f>
        <v>38.732356298754667</v>
      </c>
      <c r="AB2292" s="257">
        <f>altaz((J2000_Bas+(4*0.04167)),$O2292,$M2292,DecLat,DecLong,1)</f>
        <v>16.057586180143101</v>
      </c>
      <c r="AC2292" s="257">
        <f>altaz((J2000_Bas+(6*0.04167)),$O2292,$M2292,DecLat,DecLong,1)</f>
        <v>-3.6956807061449179</v>
      </c>
      <c r="AD2292" s="258">
        <f>1+ transit((J2000_Bas-1),$O2292,$M2292,DecLat,DecLong)/360 + (GMTOffset/24) + (IF(DST="Y", 1, 0)/24)</f>
        <v>1.6976105383067914</v>
      </c>
      <c r="AE2292" s="259">
        <f>DATE(2001,9,21)+(M2292/360)*365 - (360*((DecLong/360)- (GMTOffset/24) ))</f>
        <v>37417.219386574077</v>
      </c>
      <c r="AF2292" s="260">
        <f>IF(DecLat&gt;0,IF((90 - (DecLat-O2292))&gt;90, (90 - (O2292-DecLat)), (90 - (DecLat-O2292))),IF((90 + (DecLat-O2292))&gt;90, (90 + (O2292-DecLat)), (90 + (DecLat-O2292))))</f>
        <v>84.498333333333335</v>
      </c>
      <c r="AG2292" s="257">
        <f>angularseperation(MoonRA,MoonDec,$M2292,$O2292)</f>
        <v>63.723945848115982</v>
      </c>
      <c r="AH2292" s="261">
        <f ca="1">MIN(100,IF($O$5&gt;80,0+30*($AG2292/100),IF($O$5&gt;70,0+50*($AG2292/100),IF($O$5&gt;60,5+50*($AG2292/100),IF($O$5&gt;50,10+60*($AG2292/100),IF($O$5&gt;40,15+70*($AG2292/100),IF($O$5&gt;30,20+70*($AG2292/100),IF($O$5&gt;20,40+55*($AG2292/100),(80+(20-$O$5)+30*($AG2292/100))))))))))</f>
        <v>100</v>
      </c>
      <c r="AI2292" s="262">
        <v>6255</v>
      </c>
      <c r="AJ2292" s="262"/>
      <c r="AK2292" s="262"/>
      <c r="AL2292" s="263"/>
      <c r="AM2292" s="264"/>
      <c r="AN2292" s="263"/>
      <c r="AO2292" s="263"/>
      <c r="AP2292" s="265"/>
      <c r="AQ2292" s="266">
        <v>10606</v>
      </c>
      <c r="AR2292" s="267">
        <v>59244</v>
      </c>
      <c r="AS2292" s="263"/>
      <c r="AT2292" s="263"/>
      <c r="AU2292" s="263"/>
      <c r="AV2292" s="264"/>
      <c r="AW2292" s="263"/>
      <c r="AX2292" s="263"/>
      <c r="AY2292" s="263"/>
      <c r="AZ2292" s="263"/>
      <c r="BA2292" s="263"/>
      <c r="BB2292" s="263"/>
      <c r="BC2292" s="263"/>
      <c r="BD2292" s="264"/>
      <c r="BE2292" s="263"/>
      <c r="BF2292" s="263"/>
      <c r="BG2292" s="263"/>
      <c r="BH2292" s="263"/>
      <c r="BI2292" s="263"/>
      <c r="BJ2292" s="404">
        <f>altaz(J2000_Bas,$O2292,$M2292,DecLat,DecLong,2)</f>
        <v>290.42245874716991</v>
      </c>
      <c r="BK2292" s="378" t="s">
        <v>2177</v>
      </c>
      <c r="BL2292" s="379">
        <f>IF((2*G2292)/60&lt;0.2,0.2,(2*G2292)/60)</f>
        <v>0.2</v>
      </c>
      <c r="BM2292" s="380">
        <f>MOD((50000+AD2292-$B$3+(0/24)),1)</f>
        <v>0.91297746801137691</v>
      </c>
      <c r="BN2292" s="381"/>
      <c r="BO2292" s="382">
        <v>2283</v>
      </c>
    </row>
    <row r="2293" spans="1:67" s="24" customFormat="1" ht="15" customHeight="1" x14ac:dyDescent="0.25">
      <c r="A2293" s="288" t="s">
        <v>7901</v>
      </c>
      <c r="B2293" s="241" t="str">
        <f>HYPERLINK(CONCATENATE($AT$3,BK2293,$AU$3),$AV$3)</f>
        <v>S</v>
      </c>
      <c r="C2293" s="242" t="str">
        <f>HYPERLINK(CONCATENATE($AT$4,BK2293,$AU$4,BL2293),$AV$4)</f>
        <v>A</v>
      </c>
      <c r="D2293" s="243" t="s">
        <v>5638</v>
      </c>
      <c r="E2293" s="244" t="s">
        <v>5178</v>
      </c>
      <c r="F2293" s="269"/>
      <c r="G2293" s="270">
        <v>0.7</v>
      </c>
      <c r="H2293" s="283">
        <v>500</v>
      </c>
      <c r="I2293" s="246">
        <v>100</v>
      </c>
      <c r="J2293" s="246">
        <v>1</v>
      </c>
      <c r="K2293" s="247" t="s">
        <v>7902</v>
      </c>
      <c r="L2293" s="248">
        <v>165920</v>
      </c>
      <c r="M2293" s="249">
        <f>15*(LEFT(TEXT($L2293,"000000"),2)+(MID(TEXT($L2293,"000000"),3,2)/60)+(RIGHT(TEXT($L2293,"000000"),2)/3600))</f>
        <v>254.83333333333337</v>
      </c>
      <c r="N2293" s="250">
        <v>295647</v>
      </c>
      <c r="O2293" s="251">
        <f>IF($N2293&gt;0,(LEFT(TEXT($N2293,"000000"),2)+(MID(TEXT($N2293,"000000"),3,2)/60)+(RIGHT(TEXT($N2293,"000000"),2)/3600)),-(MID(TEXT($N2293,"000000"),2,2)+(MID(TEXT($N2293,"000000"),4,2)/60)+(RIGHT(TEXT($N2293,"000000"),2)/3600)))</f>
        <v>29.94638888888889</v>
      </c>
      <c r="P2293" s="252" t="s">
        <v>111</v>
      </c>
      <c r="Q2293" s="253"/>
      <c r="R2293" s="247" t="s">
        <v>3293</v>
      </c>
      <c r="S2293" s="272" t="s">
        <v>3293</v>
      </c>
      <c r="T2293" s="273">
        <v>13.8</v>
      </c>
      <c r="U2293" s="289">
        <v>20.990000000000002</v>
      </c>
      <c r="V2293" s="280"/>
      <c r="W2293" s="244"/>
      <c r="X2293" s="244"/>
      <c r="Y2293" s="362"/>
      <c r="Z2293" s="257">
        <f>altaz(J2000_Bas,$O2293,$M2293,DecLat,DecLong,1)</f>
        <v>63.203305205228745</v>
      </c>
      <c r="AA2293" s="257">
        <f>altaz((J2000_Bas+(2*0.04167)),$O2293,$M2293,DecLat,DecLong,1)</f>
        <v>37.90125157940237</v>
      </c>
      <c r="AB2293" s="257">
        <f>altaz((J2000_Bas+(4*0.04167)),$O2293,$M2293,DecLat,DecLong,1)</f>
        <v>13.871999064096924</v>
      </c>
      <c r="AC2293" s="257">
        <f>altaz((J2000_Bas+(6*0.04167)),$O2293,$M2293,DecLat,DecLong,1)</f>
        <v>-7.4765961849548113</v>
      </c>
      <c r="AD2293" s="258">
        <f>1+ transit((J2000_Bas-1),$O2293,$M2293,DecLat,DecLong)/360 + (GMTOffset/24) + (IF(DST="Y", 1, 0)/24)</f>
        <v>1.7007702602130415</v>
      </c>
      <c r="AE2293" s="259">
        <f>DATE(2001,9,21)+(M2293/360)*365 - (360*((DecLong/360)- (GMTOffset/24) ))</f>
        <v>37418.372685185182</v>
      </c>
      <c r="AF2293" s="260">
        <f>IF(DecLat&gt;0,IF((90 - (DecLat-O2293))&gt;90, (90 - (O2293-DecLat)), (90 - (DecLat-O2293))),IF((90 + (DecLat-O2293))&gt;90, (90 + (O2293-DecLat)), (90 + (DecLat-O2293))))</f>
        <v>88.94638888888889</v>
      </c>
      <c r="AG2293" s="257">
        <f>angularseperation(MoonRA,MoonDec,$M2293,$O2293)</f>
        <v>57.28081184980568</v>
      </c>
      <c r="AH2293" s="261">
        <f ca="1">MIN(100,IF($O$5&gt;80,0+30*($AG2293/100),IF($O$5&gt;70,0+50*($AG2293/100),IF($O$5&gt;60,5+50*($AG2293/100),IF($O$5&gt;50,10+60*($AG2293/100),IF($O$5&gt;40,15+70*($AG2293/100),IF($O$5&gt;30,20+70*($AG2293/100),IF($O$5&gt;20,40+55*($AG2293/100),(80+(20-$O$5)+30*($AG2293/100))))))))))</f>
        <v>100</v>
      </c>
      <c r="AI2293" s="262">
        <v>6274</v>
      </c>
      <c r="AJ2293" s="262"/>
      <c r="AK2293" s="262"/>
      <c r="AL2293" s="263"/>
      <c r="AM2293" s="264"/>
      <c r="AN2293" s="263"/>
      <c r="AO2293" s="263"/>
      <c r="AP2293" s="265"/>
      <c r="AQ2293" s="266">
        <v>10643</v>
      </c>
      <c r="AR2293" s="267">
        <v>59381</v>
      </c>
      <c r="AS2293" s="263"/>
      <c r="AT2293" s="263"/>
      <c r="AU2293" s="263"/>
      <c r="AV2293" s="264"/>
      <c r="AW2293" s="263"/>
      <c r="AX2293" s="263"/>
      <c r="AY2293" s="263"/>
      <c r="AZ2293" s="263"/>
      <c r="BA2293" s="263"/>
      <c r="BB2293" s="263"/>
      <c r="BC2293" s="263"/>
      <c r="BD2293" s="264"/>
      <c r="BE2293" s="263"/>
      <c r="BF2293" s="263"/>
      <c r="BG2293" s="263"/>
      <c r="BH2293" s="263"/>
      <c r="BI2293" s="263"/>
      <c r="BJ2293" s="404">
        <f>altaz(J2000_Bas,$O2293,$M2293,DecLat,DecLong,2)</f>
        <v>275.86093461012871</v>
      </c>
      <c r="BK2293" s="378" t="s">
        <v>2178</v>
      </c>
      <c r="BL2293" s="379">
        <f>IF((2*G2293)/60&lt;0.2,0.2,(2*G2293)/60)</f>
        <v>0.2</v>
      </c>
      <c r="BM2293" s="380">
        <f>MOD((50000+AD2293-$B$3+(0/24)),1)</f>
        <v>0.91613718991720816</v>
      </c>
      <c r="BN2293" s="381"/>
      <c r="BO2293" s="382">
        <v>2284</v>
      </c>
    </row>
    <row r="2294" spans="1:67" s="24" customFormat="1" ht="15" customHeight="1" x14ac:dyDescent="0.25">
      <c r="A2294" s="288" t="s">
        <v>2179</v>
      </c>
      <c r="B2294" s="241" t="str">
        <f>HYPERLINK(CONCATENATE($AT$3,BK2294,$AU$3),$AV$3)</f>
        <v>S</v>
      </c>
      <c r="C2294" s="242" t="str">
        <f>HYPERLINK(CONCATENATE($AT$4,BK2294,$AU$4,BL2294),$AV$4)</f>
        <v>A</v>
      </c>
      <c r="D2294" s="243" t="s">
        <v>5335</v>
      </c>
      <c r="E2294" s="244" t="s">
        <v>5185</v>
      </c>
      <c r="F2294" s="269" t="s">
        <v>3302</v>
      </c>
      <c r="G2294" s="276">
        <v>12</v>
      </c>
      <c r="H2294" s="283">
        <v>1800</v>
      </c>
      <c r="I2294" s="279">
        <v>7</v>
      </c>
      <c r="J2294" s="246">
        <v>2</v>
      </c>
      <c r="K2294" s="247" t="s">
        <v>7903</v>
      </c>
      <c r="L2294" s="248">
        <v>170441</v>
      </c>
      <c r="M2294" s="249">
        <f>15*(LEFT(TEXT($L2294,"000000"),2)+(MID(TEXT($L2294,"000000"),3,2)/60)+(RIGHT(TEXT($L2294,"000000"),2)/3600))</f>
        <v>256.17083333333329</v>
      </c>
      <c r="N2294" s="250">
        <v>-375906</v>
      </c>
      <c r="O2294" s="251">
        <f>IF($N2294&gt;0,(LEFT(TEXT($N2294,"000000"),2)+(MID(TEXT($N2294,"000000"),3,2)/60)+(RIGHT(TEXT($N2294,"000000"),2)/3600)),-(MID(TEXT($N2294,"000000"),2,2)+(MID(TEXT($N2294,"000000"),4,2)/60)+(RIGHT(TEXT($N2294,"000000"),2)/3600)))</f>
        <v>-37.984999999999999</v>
      </c>
      <c r="P2294" s="252" t="s">
        <v>109</v>
      </c>
      <c r="Q2294" s="253" t="s">
        <v>7134</v>
      </c>
      <c r="R2294" s="247" t="s">
        <v>3293</v>
      </c>
      <c r="S2294" s="272" t="s">
        <v>3293</v>
      </c>
      <c r="T2294" s="273">
        <v>5.4</v>
      </c>
      <c r="U2294" s="274"/>
      <c r="V2294" s="280"/>
      <c r="W2294" s="244"/>
      <c r="X2294" s="244"/>
      <c r="Y2294" s="362"/>
      <c r="Z2294" s="257">
        <f>altaz(J2000_Bas,$O2294,$M2294,DecLat,DecLong,1)</f>
        <v>15.610059728252281</v>
      </c>
      <c r="AA2294" s="257">
        <f>altaz((J2000_Bas+(2*0.04167)),$O2294,$M2294,DecLat,DecLong,1)</f>
        <v>1.2416236407544525</v>
      </c>
      <c r="AB2294" s="257">
        <f>altaz((J2000_Bas+(4*0.04167)),$O2294,$M2294,DecLat,DecLong,1)</f>
        <v>-18.48118525897279</v>
      </c>
      <c r="AC2294" s="257">
        <f>altaz((J2000_Bas+(6*0.04167)),$O2294,$M2294,DecLat,DecLong,1)</f>
        <v>-40.969135672409671</v>
      </c>
      <c r="AD2294" s="258">
        <f>1+ transit((J2000_Bas-1),$O2294,$M2294,DecLat,DecLong)/360 + (GMTOffset/24) + (IF(DST="Y", 1, 0)/24)</f>
        <v>1.7044855376192911</v>
      </c>
      <c r="AE2294" s="259">
        <f>DATE(2001,9,21)+(M2294/360)*365 - (360*((DecLong/360)- (GMTOffset/24) ))</f>
        <v>37419.728761574072</v>
      </c>
      <c r="AF2294" s="260">
        <f>IF(DecLat&gt;0,IF((90 - (DecLat-O2294))&gt;90, (90 - (O2294-DecLat)), (90 - (DecLat-O2294))),IF((90 + (DecLat-O2294))&gt;90, (90 + (O2294-DecLat)), (90 + (DecLat-O2294))))</f>
        <v>21.015000000000001</v>
      </c>
      <c r="AG2294" s="257">
        <f>angularseperation(MoonRA,MoonDec,$M2294,$O2294)</f>
        <v>12.3576825851937</v>
      </c>
      <c r="AH2294" s="261">
        <f ca="1">MIN(100,IF($O$5&gt;80,0+30*($AG2294/100),IF($O$5&gt;70,0+50*($AG2294/100),IF($O$5&gt;60,5+50*($AG2294/100),IF($O$5&gt;50,10+60*($AG2294/100),IF($O$5&gt;40,15+70*($AG2294/100),IF($O$5&gt;30,20+70*($AG2294/100),IF($O$5&gt;20,40+55*($AG2294/100),(80+(20-$O$5)+30*($AG2294/100))))))))))</f>
        <v>86.978365119708542</v>
      </c>
      <c r="AI2294" s="262">
        <v>6281</v>
      </c>
      <c r="AJ2294" s="262"/>
      <c r="AK2294" s="262"/>
      <c r="AL2294" s="263"/>
      <c r="AM2294" s="264"/>
      <c r="AN2294" s="263"/>
      <c r="AO2294" s="263"/>
      <c r="AP2294" s="265"/>
      <c r="AQ2294" s="266"/>
      <c r="AR2294" s="267"/>
      <c r="AS2294" s="263"/>
      <c r="AT2294" s="263"/>
      <c r="AU2294" s="263"/>
      <c r="AV2294" s="264"/>
      <c r="AW2294" s="263"/>
      <c r="AX2294" s="263"/>
      <c r="AY2294" s="263"/>
      <c r="AZ2294" s="263"/>
      <c r="BA2294" s="263"/>
      <c r="BB2294" s="263"/>
      <c r="BC2294" s="263"/>
      <c r="BD2294" s="264"/>
      <c r="BE2294" s="263">
        <v>80</v>
      </c>
      <c r="BF2294" s="263"/>
      <c r="BG2294" s="263"/>
      <c r="BH2294" s="263"/>
      <c r="BI2294" s="263"/>
      <c r="BJ2294" s="404">
        <f>altaz(J2000_Bas,$O2294,$M2294,DecLat,DecLong,2)</f>
        <v>204.02253872733999</v>
      </c>
      <c r="BK2294" s="378" t="s">
        <v>2179</v>
      </c>
      <c r="BL2294" s="379">
        <f>IF((2*G2294)/60&lt;0.2,0.2,(2*G2294)/60)</f>
        <v>0.4</v>
      </c>
      <c r="BM2294" s="380">
        <f>MOD((50000+AD2294-$B$3+(0/24)),1)</f>
        <v>0.91985246732656378</v>
      </c>
      <c r="BN2294" s="381"/>
      <c r="BO2294" s="382">
        <v>2285</v>
      </c>
    </row>
    <row r="2295" spans="1:67" s="24" customFormat="1" ht="15" customHeight="1" x14ac:dyDescent="0.25">
      <c r="A2295" s="287" t="s">
        <v>3015</v>
      </c>
      <c r="B2295" s="241" t="str">
        <f>HYPERLINK(CONCATENATE($AT$3,BK2295,$AU$3),$AV$3)</f>
        <v>S</v>
      </c>
      <c r="C2295" s="242" t="str">
        <f>HYPERLINK(CONCATENATE($AT$4,BK2295,$AU$4,BL2295),$AV$4)</f>
        <v>A</v>
      </c>
      <c r="D2295" s="243" t="s">
        <v>5335</v>
      </c>
      <c r="E2295" s="244" t="s">
        <v>5184</v>
      </c>
      <c r="F2295" s="269" t="s">
        <v>3320</v>
      </c>
      <c r="G2295" s="273">
        <v>6</v>
      </c>
      <c r="H2295" s="283">
        <v>50000</v>
      </c>
      <c r="I2295" s="246">
        <v>90</v>
      </c>
      <c r="J2295" s="246">
        <v>2</v>
      </c>
      <c r="K2295" s="247" t="s">
        <v>7904</v>
      </c>
      <c r="L2295" s="248">
        <v>170430</v>
      </c>
      <c r="M2295" s="249">
        <f>15*(LEFT(TEXT($L2295,"000000"),2)+(MID(TEXT($L2295,"000000"),3,2)/60)+(RIGHT(TEXT($L2295,"000000"),2)/3600))</f>
        <v>256.125</v>
      </c>
      <c r="N2295" s="250">
        <v>-244600</v>
      </c>
      <c r="O2295" s="251">
        <f>IF($N2295&gt;0,(LEFT(TEXT($N2295,"000000"),2)+(MID(TEXT($N2295,"000000"),3,2)/60)+(RIGHT(TEXT($N2295,"000000"),2)/3600)),-(MID(TEXT($N2295,"000000"),2,2)+(MID(TEXT($N2295,"000000"),4,2)/60)+(RIGHT(TEXT($N2295,"000000"),2)/3600)))</f>
        <v>-24.766666666666666</v>
      </c>
      <c r="P2295" s="252" t="s">
        <v>113</v>
      </c>
      <c r="Q2295" s="253"/>
      <c r="R2295" s="277" t="s">
        <v>3293</v>
      </c>
      <c r="S2295" s="272" t="s">
        <v>3293</v>
      </c>
      <c r="T2295" s="273">
        <v>7.4</v>
      </c>
      <c r="U2295" s="274"/>
      <c r="V2295" s="280"/>
      <c r="W2295" s="244"/>
      <c r="X2295" s="244"/>
      <c r="Y2295" s="362"/>
      <c r="Z2295" s="257">
        <f>altaz(J2000_Bas,$O2295,$M2295,DecLat,DecLong,1)</f>
        <v>27.330218615164281</v>
      </c>
      <c r="AA2295" s="257">
        <f>altaz((J2000_Bas+(2*0.04167)),$O2295,$M2295,DecLat,DecLong,1)</f>
        <v>10.011527222686059</v>
      </c>
      <c r="AB2295" s="257">
        <f>altaz((J2000_Bas+(4*0.04167)),$O2295,$M2295,DecLat,DecLong,1)</f>
        <v>-12.497460477311037</v>
      </c>
      <c r="AC2295" s="257">
        <f>altaz((J2000_Bas+(6*0.04167)),$O2295,$M2295,DecLat,DecLong,1)</f>
        <v>-37.334553148957063</v>
      </c>
      <c r="AD2295" s="258">
        <f>1+ transit((J2000_Bas-1),$O2295,$M2295,DecLat,DecLong)/360 + (GMTOffset/24) + (IF(DST="Y", 1, 0)/24)</f>
        <v>1.7043582228172081</v>
      </c>
      <c r="AE2295" s="259">
        <f>DATE(2001,9,21)+(M2295/360)*365 - (360*((DecLong/360)- (GMTOffset/24) ))</f>
        <v>37419.682291666664</v>
      </c>
      <c r="AF2295" s="260">
        <f>IF(DecLat&gt;0,IF((90 - (DecLat-O2295))&gt;90, (90 - (O2295-DecLat)), (90 - (DecLat-O2295))),IF((90 + (DecLat-O2295))&gt;90, (90 + (O2295-DecLat)), (90 + (DecLat-O2295))))</f>
        <v>34.233333333333334</v>
      </c>
      <c r="AG2295" s="257">
        <f>angularseperation(MoonRA,MoonDec,$M2295,$O2295)</f>
        <v>6.6086156928451754</v>
      </c>
      <c r="AH2295" s="261">
        <f ca="1">MIN(100,IF($O$5&gt;80,0+30*($AG2295/100),IF($O$5&gt;70,0+50*($AG2295/100),IF($O$5&gt;60,5+50*($AG2295/100),IF($O$5&gt;50,10+60*($AG2295/100),IF($O$5&gt;40,15+70*($AG2295/100),IF($O$5&gt;30,20+70*($AG2295/100),IF($O$5&gt;20,40+55*($AG2295/100),(80+(20-$O$5)+30*($AG2295/100))))))))))</f>
        <v>85.253645052003975</v>
      </c>
      <c r="AI2295" s="262">
        <v>6284</v>
      </c>
      <c r="AJ2295" s="263"/>
      <c r="AK2295" s="263">
        <v>322</v>
      </c>
      <c r="AL2295" s="263"/>
      <c r="AM2295" s="264"/>
      <c r="AN2295" s="263"/>
      <c r="AO2295" s="263"/>
      <c r="AP2295" s="265"/>
      <c r="AQ2295" s="265"/>
      <c r="AR2295" s="285"/>
      <c r="AS2295" s="263"/>
      <c r="AT2295" s="263"/>
      <c r="AU2295" s="263"/>
      <c r="AV2295" s="264"/>
      <c r="AW2295" s="263"/>
      <c r="AX2295" s="263"/>
      <c r="AY2295" s="263"/>
      <c r="AZ2295" s="263"/>
      <c r="BA2295" s="263"/>
      <c r="BB2295" s="263"/>
      <c r="BC2295" s="263"/>
      <c r="BD2295" s="264"/>
      <c r="BE2295" s="263"/>
      <c r="BF2295" s="263"/>
      <c r="BG2295" s="263"/>
      <c r="BH2295" s="263"/>
      <c r="BI2295" s="263"/>
      <c r="BJ2295" s="404">
        <f>altaz(J2000_Bas,$O2295,$M2295,DecLat,DecLong,2)</f>
        <v>210.60826725579236</v>
      </c>
      <c r="BK2295" s="378" t="s">
        <v>3015</v>
      </c>
      <c r="BL2295" s="379">
        <f>IF((2*G2295)/60&lt;0.2,0.2,(2*G2295)/60)</f>
        <v>0.2</v>
      </c>
      <c r="BM2295" s="380">
        <f>MOD((50000+AD2295-$B$3+(0/24)),1)</f>
        <v>0.91972515251836739</v>
      </c>
      <c r="BN2295" s="381"/>
      <c r="BO2295" s="382">
        <v>2286</v>
      </c>
    </row>
    <row r="2296" spans="1:67" s="24" customFormat="1" ht="15" customHeight="1" x14ac:dyDescent="0.25">
      <c r="A2296" s="287" t="s">
        <v>2180</v>
      </c>
      <c r="B2296" s="241" t="str">
        <f>HYPERLINK(CONCATENATE($AT$3,BK2296,$AU$3),$AV$3)</f>
        <v>S</v>
      </c>
      <c r="C2296" s="242" t="str">
        <f>HYPERLINK(CONCATENATE($AT$4,BK2296,$AU$4,BL2296),$AV$4)</f>
        <v>A</v>
      </c>
      <c r="D2296" s="243" t="s">
        <v>5335</v>
      </c>
      <c r="E2296" s="244" t="s">
        <v>5184</v>
      </c>
      <c r="F2296" s="269" t="s">
        <v>3318</v>
      </c>
      <c r="G2296" s="273">
        <v>5</v>
      </c>
      <c r="H2296" s="283">
        <v>30000</v>
      </c>
      <c r="I2296" s="246">
        <v>45</v>
      </c>
      <c r="J2296" s="246">
        <v>2</v>
      </c>
      <c r="K2296" s="247" t="s">
        <v>7905</v>
      </c>
      <c r="L2296" s="248">
        <v>170509</v>
      </c>
      <c r="M2296" s="249">
        <f>15*(LEFT(TEXT($L2296,"000000"),2)+(MID(TEXT($L2296,"000000"),3,2)/60)+(RIGHT(TEXT($L2296,"000000"),2)/3600))</f>
        <v>256.28750000000002</v>
      </c>
      <c r="N2296" s="250">
        <v>-224225</v>
      </c>
      <c r="O2296" s="251">
        <f>IF($N2296&gt;0,(LEFT(TEXT($N2296,"000000"),2)+(MID(TEXT($N2296,"000000"),3,2)/60)+(RIGHT(TEXT($N2296,"000000"),2)/3600)),-(MID(TEXT($N2296,"000000"),2,2)+(MID(TEXT($N2296,"000000"),4,2)/60)+(RIGHT(TEXT($N2296,"000000"),2)/3600)))</f>
        <v>-22.706944444444442</v>
      </c>
      <c r="P2296" s="252" t="s">
        <v>113</v>
      </c>
      <c r="Q2296" s="253"/>
      <c r="R2296" s="277" t="s">
        <v>3293</v>
      </c>
      <c r="S2296" s="272" t="s">
        <v>3293</v>
      </c>
      <c r="T2296" s="273">
        <v>10.3</v>
      </c>
      <c r="U2296" s="274"/>
      <c r="V2296" s="280"/>
      <c r="W2296" s="244"/>
      <c r="X2296" s="244"/>
      <c r="Y2296" s="362"/>
      <c r="Z2296" s="257">
        <f>altaz(J2000_Bas,$O2296,$M2296,DecLat,DecLong,1)</f>
        <v>29.204952673740269</v>
      </c>
      <c r="AA2296" s="257">
        <f>altaz((J2000_Bas+(2*0.04167)),$O2296,$M2296,DecLat,DecLong,1)</f>
        <v>11.475137079495592</v>
      </c>
      <c r="AB2296" s="257">
        <f>altaz((J2000_Bas+(4*0.04167)),$O2296,$M2296,DecLat,DecLong,1)</f>
        <v>-11.374202955385007</v>
      </c>
      <c r="AC2296" s="257">
        <f>altaz((J2000_Bas+(6*0.04167)),$O2296,$M2296,DecLat,DecLong,1)</f>
        <v>-36.427499499297802</v>
      </c>
      <c r="AD2296" s="258">
        <f>1+ transit((J2000_Bas-1),$O2296,$M2296,DecLat,DecLong)/360 + (GMTOffset/24) + (IF(DST="Y", 1, 0)/24)</f>
        <v>1.7048096116609581</v>
      </c>
      <c r="AE2296" s="259">
        <f>DATE(2001,9,21)+(M2296/360)*365 - (360*((DecLong/360)- (GMTOffset/24) ))</f>
        <v>37419.847048611111</v>
      </c>
      <c r="AF2296" s="260">
        <f>IF(DecLat&gt;0,IF((90 - (DecLat-O2296))&gt;90, (90 - (O2296-DecLat)), (90 - (DecLat-O2296))),IF((90 + (DecLat-O2296))&gt;90, (90 + (O2296-DecLat)), (90 + (DecLat-O2296))))</f>
        <v>36.293055555555554</v>
      </c>
      <c r="AG2296" s="257">
        <f>angularseperation(MoonRA,MoonDec,$M2296,$O2296)</f>
        <v>7.7434526239612023</v>
      </c>
      <c r="AH2296" s="261">
        <f ca="1">MIN(100,IF($O$5&gt;80,0+30*($AG2296/100),IF($O$5&gt;70,0+50*($AG2296/100),IF($O$5&gt;60,5+50*($AG2296/100),IF($O$5&gt;50,10+60*($AG2296/100),IF($O$5&gt;40,15+70*($AG2296/100),IF($O$5&gt;30,20+70*($AG2296/100),IF($O$5&gt;20,40+55*($AG2296/100),(80+(20-$O$5)+30*($AG2296/100))))))))))</f>
        <v>85.594096131338787</v>
      </c>
      <c r="AI2296" s="262">
        <v>6287</v>
      </c>
      <c r="AJ2296" s="263"/>
      <c r="AK2296" s="263">
        <v>323</v>
      </c>
      <c r="AL2296" s="263"/>
      <c r="AM2296" s="264"/>
      <c r="AN2296" s="263"/>
      <c r="AO2296" s="263"/>
      <c r="AP2296" s="265"/>
      <c r="AQ2296" s="265"/>
      <c r="AR2296" s="285"/>
      <c r="AS2296" s="263"/>
      <c r="AT2296" s="263"/>
      <c r="AU2296" s="263"/>
      <c r="AV2296" s="264"/>
      <c r="AW2296" s="263"/>
      <c r="AX2296" s="263"/>
      <c r="AY2296" s="263"/>
      <c r="AZ2296" s="263"/>
      <c r="BA2296" s="263"/>
      <c r="BB2296" s="263"/>
      <c r="BC2296" s="263"/>
      <c r="BD2296" s="264"/>
      <c r="BE2296" s="263"/>
      <c r="BF2296" s="263"/>
      <c r="BG2296" s="263"/>
      <c r="BH2296" s="263"/>
      <c r="BI2296" s="263"/>
      <c r="BJ2296" s="404">
        <f>altaz(J2000_Bas,$O2296,$M2296,DecLat,DecLong,2)</f>
        <v>211.59160701181679</v>
      </c>
      <c r="BK2296" s="378" t="s">
        <v>2180</v>
      </c>
      <c r="BL2296" s="379">
        <f>IF((2*G2296)/60&lt;0.2,0.2,(2*G2296)/60)</f>
        <v>0.2</v>
      </c>
      <c r="BM2296" s="380">
        <f>MOD((50000+AD2296-$B$3+(0/24)),1)</f>
        <v>0.92017654136725469</v>
      </c>
      <c r="BN2296" s="381"/>
      <c r="BO2296" s="382">
        <v>2287</v>
      </c>
    </row>
    <row r="2297" spans="1:67" s="24" customFormat="1" ht="15" customHeight="1" x14ac:dyDescent="0.25">
      <c r="A2297" s="288" t="s">
        <v>2181</v>
      </c>
      <c r="B2297" s="241" t="str">
        <f>HYPERLINK(CONCATENATE($AT$3,BK2297,$AU$3),$AV$3)</f>
        <v>S</v>
      </c>
      <c r="C2297" s="242" t="str">
        <f>HYPERLINK(CONCATENATE($AT$4,BK2297,$AU$4,BL2297),$AV$4)</f>
        <v>A</v>
      </c>
      <c r="D2297" s="243" t="s">
        <v>5335</v>
      </c>
      <c r="E2297" s="244" t="s">
        <v>5184</v>
      </c>
      <c r="F2297" s="269" t="s">
        <v>3317</v>
      </c>
      <c r="G2297" s="273">
        <v>8</v>
      </c>
      <c r="H2297" s="283">
        <v>30000</v>
      </c>
      <c r="I2297" s="246">
        <v>70</v>
      </c>
      <c r="J2297" s="246">
        <v>2</v>
      </c>
      <c r="K2297" s="247" t="s">
        <v>7906</v>
      </c>
      <c r="L2297" s="248">
        <v>171010</v>
      </c>
      <c r="M2297" s="249">
        <f>15*(LEFT(TEXT($L2297,"000000"),2)+(MID(TEXT($L2297,"000000"),3,2)/60)+(RIGHT(TEXT($L2297,"000000"),2)/3600))</f>
        <v>257.54166666666669</v>
      </c>
      <c r="N2297" s="250">
        <v>-263456</v>
      </c>
      <c r="O2297" s="251">
        <f>IF($N2297&gt;0,(LEFT(TEXT($N2297,"000000"),2)+(MID(TEXT($N2297,"000000"),3,2)/60)+(RIGHT(TEXT($N2297,"000000"),2)/3600)),-(MID(TEXT($N2297,"000000"),2,2)+(MID(TEXT($N2297,"000000"),4,2)/60)+(RIGHT(TEXT($N2297,"000000"),2)/3600)))</f>
        <v>-26.582222222222221</v>
      </c>
      <c r="P2297" s="252" t="s">
        <v>113</v>
      </c>
      <c r="Q2297" s="253"/>
      <c r="R2297" s="247" t="s">
        <v>3293</v>
      </c>
      <c r="S2297" s="272" t="s">
        <v>3293</v>
      </c>
      <c r="T2297" s="273">
        <v>8.3000000000000007</v>
      </c>
      <c r="U2297" s="274"/>
      <c r="V2297" s="280"/>
      <c r="W2297" s="244"/>
      <c r="X2297" s="244"/>
      <c r="Y2297" s="362"/>
      <c r="Z2297" s="257">
        <f>altaz(J2000_Bas,$O2297,$M2297,DecLat,DecLong,1)</f>
        <v>26.323829576257943</v>
      </c>
      <c r="AA2297" s="257">
        <f>altaz((J2000_Bas+(2*0.04167)),$O2297,$M2297,DecLat,DecLong,1)</f>
        <v>9.7608769085600322</v>
      </c>
      <c r="AB2297" s="257">
        <f>altaz((J2000_Bas+(4*0.04167)),$O2297,$M2297,DecLat,DecLong,1)</f>
        <v>-12.247982878284496</v>
      </c>
      <c r="AC2297" s="257">
        <f>altaz((J2000_Bas+(6*0.04167)),$O2297,$M2297,DecLat,DecLong,1)</f>
        <v>-36.781202476080594</v>
      </c>
      <c r="AD2297" s="258">
        <f>1+ transit((J2000_Bas-1),$O2297,$M2297,DecLat,DecLong)/360 + (GMTOffset/24) + (IF(DST="Y", 1, 0)/24)</f>
        <v>1.7082934076088747</v>
      </c>
      <c r="AE2297" s="259">
        <f>DATE(2001,9,21)+(M2297/360)*365 - (360*((DecLong/360)- (GMTOffset/24) ))</f>
        <v>37421.118634259263</v>
      </c>
      <c r="AF2297" s="260">
        <f>IF(DecLat&gt;0,IF((90 - (DecLat-O2297))&gt;90, (90 - (O2297-DecLat)), (90 - (DecLat-O2297))),IF((90 + (DecLat-O2297))&gt;90, (90 + (O2297-DecLat)), (90 + (DecLat-O2297))))</f>
        <v>32.417777777777779</v>
      </c>
      <c r="AG2297" s="257">
        <f>angularseperation(MoonRA,MoonDec,$M2297,$O2297)</f>
        <v>7.4217010213217032</v>
      </c>
      <c r="AH2297" s="261">
        <f ca="1">MIN(100,IF($O$5&gt;80,0+30*($AG2297/100),IF($O$5&gt;70,0+50*($AG2297/100),IF($O$5&gt;60,5+50*($AG2297/100),IF($O$5&gt;50,10+60*($AG2297/100),IF($O$5&gt;40,15+70*($AG2297/100),IF($O$5&gt;30,20+70*($AG2297/100),IF($O$5&gt;20,40+55*($AG2297/100),(80+(20-$O$5)+30*($AG2297/100))))))))))</f>
        <v>85.497570650546933</v>
      </c>
      <c r="AI2297" s="262">
        <v>6293</v>
      </c>
      <c r="AJ2297" s="262"/>
      <c r="AK2297" s="262">
        <v>324</v>
      </c>
      <c r="AL2297" s="263"/>
      <c r="AM2297" s="264"/>
      <c r="AN2297" s="263"/>
      <c r="AO2297" s="263"/>
      <c r="AP2297" s="265"/>
      <c r="AQ2297" s="266"/>
      <c r="AR2297" s="267"/>
      <c r="AS2297" s="263"/>
      <c r="AT2297" s="263"/>
      <c r="AU2297" s="263"/>
      <c r="AV2297" s="264"/>
      <c r="AW2297" s="263"/>
      <c r="AX2297" s="263"/>
      <c r="AY2297" s="263"/>
      <c r="AZ2297" s="263"/>
      <c r="BA2297" s="263"/>
      <c r="BB2297" s="263"/>
      <c r="BC2297" s="263"/>
      <c r="BD2297" s="264"/>
      <c r="BE2297" s="263"/>
      <c r="BF2297" s="263">
        <v>75</v>
      </c>
      <c r="BG2297" s="263"/>
      <c r="BH2297" s="263"/>
      <c r="BI2297" s="263"/>
      <c r="BJ2297" s="404">
        <f>altaz(J2000_Bas,$O2297,$M2297,DecLat,DecLong,2)</f>
        <v>208.39136922605277</v>
      </c>
      <c r="BK2297" s="378" t="s">
        <v>2181</v>
      </c>
      <c r="BL2297" s="379">
        <f>IF((2*G2297)/60&lt;0.2,0.2,(2*G2297)/60)</f>
        <v>0.26666666666666666</v>
      </c>
      <c r="BM2297" s="380">
        <f>MOD((50000+AD2297-$B$3+(0/24)),1)</f>
        <v>0.92366033731377684</v>
      </c>
      <c r="BN2297" s="381"/>
      <c r="BO2297" s="382">
        <v>2288</v>
      </c>
    </row>
    <row r="2298" spans="1:67" s="24" customFormat="1" ht="15" customHeight="1" x14ac:dyDescent="0.25">
      <c r="A2298" s="288" t="s">
        <v>2182</v>
      </c>
      <c r="B2298" s="241" t="str">
        <f>HYPERLINK(CONCATENATE($AT$3,BK2298,$AU$3),$AV$3)</f>
        <v>S</v>
      </c>
      <c r="C2298" s="242" t="str">
        <f>HYPERLINK(CONCATENATE($AT$4,BK2298,$AU$4,BL2298),$AV$4)</f>
        <v>A</v>
      </c>
      <c r="D2298" s="243" t="s">
        <v>5187</v>
      </c>
      <c r="E2298" s="244" t="s">
        <v>5181</v>
      </c>
      <c r="F2298" s="269" t="s">
        <v>5057</v>
      </c>
      <c r="G2298" s="273">
        <v>2.5</v>
      </c>
      <c r="H2298" s="283">
        <v>4000</v>
      </c>
      <c r="I2298" s="279">
        <v>3</v>
      </c>
      <c r="J2298" s="246">
        <v>4</v>
      </c>
      <c r="K2298" s="247" t="s">
        <v>8267</v>
      </c>
      <c r="L2298" s="248">
        <v>171344</v>
      </c>
      <c r="M2298" s="249">
        <f>15*(LEFT(TEXT($L2298,"000000"),2)+(MID(TEXT($L2298,"000000"),3,2)/60)+(RIGHT(TEXT($L2298,"000000"),2)/3600))</f>
        <v>258.43333333333328</v>
      </c>
      <c r="N2298" s="250">
        <v>-370612</v>
      </c>
      <c r="O2298" s="251">
        <f>IF($N2298&gt;0,(LEFT(TEXT($N2298,"000000"),2)+(MID(TEXT($N2298,"000000"),3,2)/60)+(RIGHT(TEXT($N2298,"000000"),2)/3600)),-(MID(TEXT($N2298,"000000"),2,2)+(MID(TEXT($N2298,"000000"),4,2)/60)+(RIGHT(TEXT($N2298,"000000"),2)/3600)))</f>
        <v>-37.103333333333332</v>
      </c>
      <c r="P2298" s="252" t="s">
        <v>109</v>
      </c>
      <c r="Q2298" s="253" t="s">
        <v>6951</v>
      </c>
      <c r="R2298" s="247" t="s">
        <v>7381</v>
      </c>
      <c r="S2298" s="272" t="s">
        <v>3293</v>
      </c>
      <c r="T2298" s="273">
        <v>9.6</v>
      </c>
      <c r="U2298" s="274"/>
      <c r="V2298" s="280"/>
      <c r="W2298" s="244"/>
      <c r="X2298" s="244"/>
      <c r="Y2298" s="362"/>
      <c r="Z2298" s="257">
        <f>altaz(J2000_Bas,$O2298,$M2298,DecLat,DecLong,1)</f>
        <v>17.176036889965875</v>
      </c>
      <c r="AA2298" s="257">
        <f>altaz((J2000_Bas+(2*0.04167)),$O2298,$M2298,DecLat,DecLong,1)</f>
        <v>3.1567178618225702</v>
      </c>
      <c r="AB2298" s="257">
        <f>altaz((J2000_Bas+(4*0.04167)),$O2298,$M2298,DecLat,DecLong,1)</f>
        <v>-16.482421294261197</v>
      </c>
      <c r="AC2298" s="257">
        <f>altaz((J2000_Bas+(6*0.04167)),$O2298,$M2298,DecLat,DecLong,1)</f>
        <v>-39.033754042528223</v>
      </c>
      <c r="AD2298" s="258">
        <f>1+ transit((J2000_Bas-1),$O2298,$M2298,DecLat,DecLong)/360 + (GMTOffset/24) + (IF(DST="Y", 1, 0)/24)</f>
        <v>1.7107702592130412</v>
      </c>
      <c r="AE2298" s="259">
        <f>DATE(2001,9,21)+(M2298/360)*365 - (360*((DecLong/360)- (GMTOffset/24) ))</f>
        <v>37422.022685185184</v>
      </c>
      <c r="AF2298" s="260">
        <f>IF(DecLat&gt;0,IF((90 - (DecLat-O2298))&gt;90, (90 - (O2298-DecLat)), (90 - (DecLat-O2298))),IF((90 + (DecLat-O2298))&gt;90, (90 + (O2298-DecLat)), (90 + (DecLat-O2298))))</f>
        <v>21.896666666666675</v>
      </c>
      <c r="AG2298" s="257">
        <f>angularseperation(MoonRA,MoonDec,$M2298,$O2298)</f>
        <v>12.674581550241015</v>
      </c>
      <c r="AH2298" s="261">
        <f ca="1">MIN(100,IF($O$5&gt;80,0+30*($AG2298/100),IF($O$5&gt;70,0+50*($AG2298/100),IF($O$5&gt;60,5+50*($AG2298/100),IF($O$5&gt;50,10+60*($AG2298/100),IF($O$5&gt;40,15+70*($AG2298/100),IF($O$5&gt;30,20+70*($AG2298/100),IF($O$5&gt;20,40+55*($AG2298/100),(80+(20-$O$5)+30*($AG2298/100))))))))))</f>
        <v>87.073434809222732</v>
      </c>
      <c r="AI2298" s="262">
        <v>6302</v>
      </c>
      <c r="AJ2298" s="262"/>
      <c r="AK2298" s="262"/>
      <c r="AL2298" s="263"/>
      <c r="AM2298" s="264">
        <v>69</v>
      </c>
      <c r="AN2298" s="263"/>
      <c r="AO2298" s="263"/>
      <c r="AP2298" s="265"/>
      <c r="AQ2298" s="266"/>
      <c r="AR2298" s="267"/>
      <c r="AS2298" s="263"/>
      <c r="AT2298" s="263"/>
      <c r="AU2298" s="263"/>
      <c r="AV2298" s="264"/>
      <c r="AW2298" s="263"/>
      <c r="AX2298" s="263">
        <v>60</v>
      </c>
      <c r="AY2298" s="263"/>
      <c r="AZ2298" s="263"/>
      <c r="BA2298" s="263">
        <v>124</v>
      </c>
      <c r="BB2298" s="263">
        <v>6</v>
      </c>
      <c r="BC2298" s="263"/>
      <c r="BD2298" s="264"/>
      <c r="BE2298" s="263"/>
      <c r="BF2298" s="263"/>
      <c r="BG2298" s="263"/>
      <c r="BH2298" s="263"/>
      <c r="BI2298" s="263"/>
      <c r="BJ2298" s="404">
        <f>altaz(J2000_Bas,$O2298,$M2298,DecLat,DecLong,2)</f>
        <v>202.72775928037908</v>
      </c>
      <c r="BK2298" s="378" t="s">
        <v>2182</v>
      </c>
      <c r="BL2298" s="379">
        <f>IF((2*G2298)/60&lt;0.2,0.2,(2*G2298)/60)</f>
        <v>0.2</v>
      </c>
      <c r="BM2298" s="380">
        <f>MOD((50000+AD2298-$B$3+(0/24)),1)</f>
        <v>0.92613718891516328</v>
      </c>
      <c r="BN2298" s="381"/>
      <c r="BO2298" s="382">
        <v>2289</v>
      </c>
    </row>
    <row r="2299" spans="1:67" s="24" customFormat="1" ht="15" customHeight="1" x14ac:dyDescent="0.25">
      <c r="A2299" s="287" t="s">
        <v>2183</v>
      </c>
      <c r="B2299" s="241" t="str">
        <f>HYPERLINK(CONCATENATE($AT$3,BK2299,$AU$3),$AV$3)</f>
        <v>S</v>
      </c>
      <c r="C2299" s="242" t="str">
        <f>HYPERLINK(CONCATENATE($AT$4,BK2299,$AU$4,BL2299),$AV$4)</f>
        <v>A</v>
      </c>
      <c r="D2299" s="243" t="s">
        <v>5335</v>
      </c>
      <c r="E2299" s="244" t="s">
        <v>5184</v>
      </c>
      <c r="F2299" s="269" t="s">
        <v>3312</v>
      </c>
      <c r="G2299" s="273">
        <v>7</v>
      </c>
      <c r="H2299" s="283">
        <v>20000</v>
      </c>
      <c r="I2299" s="246">
        <v>42</v>
      </c>
      <c r="J2299" s="246">
        <v>2</v>
      </c>
      <c r="K2299" s="247" t="s">
        <v>7907</v>
      </c>
      <c r="L2299" s="248">
        <v>171432</v>
      </c>
      <c r="M2299" s="249">
        <f>15*(LEFT(TEXT($L2299,"000000"),2)+(MID(TEXT($L2299,"000000"),3,2)/60)+(RIGHT(TEXT($L2299,"000000"),2)/3600))</f>
        <v>258.63333333333338</v>
      </c>
      <c r="N2299" s="250">
        <v>-292743</v>
      </c>
      <c r="O2299" s="251">
        <f>IF($N2299&gt;0,(LEFT(TEXT($N2299,"000000"),2)+(MID(TEXT($N2299,"000000"),3,2)/60)+(RIGHT(TEXT($N2299,"000000"),2)/3600)),-(MID(TEXT($N2299,"000000"),2,2)+(MID(TEXT($N2299,"000000"),4,2)/60)+(RIGHT(TEXT($N2299,"000000"),2)/3600)))</f>
        <v>-29.461944444444445</v>
      </c>
      <c r="P2299" s="252" t="s">
        <v>113</v>
      </c>
      <c r="Q2299" s="253"/>
      <c r="R2299" s="277" t="s">
        <v>3293</v>
      </c>
      <c r="S2299" s="272" t="s">
        <v>3293</v>
      </c>
      <c r="T2299" s="273">
        <v>8.3000000000000007</v>
      </c>
      <c r="U2299" s="274"/>
      <c r="V2299" s="280"/>
      <c r="W2299" s="244"/>
      <c r="X2299" s="244"/>
      <c r="Y2299" s="362"/>
      <c r="Z2299" s="257">
        <f>altaz(J2000_Bas,$O2299,$M2299,DecLat,DecLong,1)</f>
        <v>24.170905902907805</v>
      </c>
      <c r="AA2299" s="257">
        <f>altaz((J2000_Bas+(2*0.04167)),$O2299,$M2299,DecLat,DecLong,1)</f>
        <v>8.5217994159995989</v>
      </c>
      <c r="AB2299" s="257">
        <f>altaz((J2000_Bas+(4*0.04167)),$O2299,$M2299,DecLat,DecLong,1)</f>
        <v>-12.783315131164199</v>
      </c>
      <c r="AC2299" s="257">
        <f>altaz((J2000_Bas+(6*0.04167)),$O2299,$M2299,DecLat,DecLong,1)</f>
        <v>-36.823436761506585</v>
      </c>
      <c r="AD2299" s="258">
        <f>1+ transit((J2000_Bas-1),$O2299,$M2299,DecLat,DecLong)/360 + (GMTOffset/24) + (IF(DST="Y", 1, 0)/24)</f>
        <v>1.7113258147130415</v>
      </c>
      <c r="AE2299" s="259">
        <f>DATE(2001,9,21)+(M2299/360)*365 - (360*((DecLong/360)- (GMTOffset/24) ))</f>
        <v>37422.225462962961</v>
      </c>
      <c r="AF2299" s="260">
        <f>IF(DecLat&gt;0,IF((90 - (DecLat-O2299))&gt;90, (90 - (O2299-DecLat)), (90 - (DecLat-O2299))),IF((90 + (DecLat-O2299))&gt;90, (90 + (O2299-DecLat)), (90 + (DecLat-O2299))))</f>
        <v>29.538055555555559</v>
      </c>
      <c r="AG2299" s="257">
        <f>angularseperation(MoonRA,MoonDec,$M2299,$O2299)</f>
        <v>8.6029833894606362</v>
      </c>
      <c r="AH2299" s="261">
        <f ca="1">MIN(100,IF($O$5&gt;80,0+30*($AG2299/100),IF($O$5&gt;70,0+50*($AG2299/100),IF($O$5&gt;60,5+50*($AG2299/100),IF($O$5&gt;50,10+60*($AG2299/100),IF($O$5&gt;40,15+70*($AG2299/100),IF($O$5&gt;30,20+70*($AG2299/100),IF($O$5&gt;20,40+55*($AG2299/100),(80+(20-$O$5)+30*($AG2299/100))))))))))</f>
        <v>85.851955360988612</v>
      </c>
      <c r="AI2299" s="262">
        <v>6304</v>
      </c>
      <c r="AJ2299" s="263"/>
      <c r="AK2299" s="263">
        <v>325</v>
      </c>
      <c r="AL2299" s="263"/>
      <c r="AM2299" s="264"/>
      <c r="AN2299" s="263"/>
      <c r="AO2299" s="263"/>
      <c r="AP2299" s="265"/>
      <c r="AQ2299" s="265"/>
      <c r="AR2299" s="285"/>
      <c r="AS2299" s="263"/>
      <c r="AT2299" s="263"/>
      <c r="AU2299" s="263"/>
      <c r="AV2299" s="264"/>
      <c r="AW2299" s="263"/>
      <c r="AX2299" s="263"/>
      <c r="AY2299" s="263"/>
      <c r="AZ2299" s="263"/>
      <c r="BA2299" s="263"/>
      <c r="BB2299" s="263"/>
      <c r="BC2299" s="263"/>
      <c r="BD2299" s="264"/>
      <c r="BE2299" s="263"/>
      <c r="BF2299" s="263"/>
      <c r="BG2299" s="263"/>
      <c r="BH2299" s="263"/>
      <c r="BI2299" s="263"/>
      <c r="BJ2299" s="404">
        <f>altaz(J2000_Bas,$O2299,$M2299,DecLat,DecLong,2)</f>
        <v>206.0234280832041</v>
      </c>
      <c r="BK2299" s="378" t="s">
        <v>2183</v>
      </c>
      <c r="BL2299" s="379">
        <f>IF((2*G2299)/60&lt;0.2,0.2,(2*G2299)/60)</f>
        <v>0.23333333333333334</v>
      </c>
      <c r="BM2299" s="380">
        <f>MOD((50000+AD2299-$B$3+(0/24)),1)</f>
        <v>0.92669274441868765</v>
      </c>
      <c r="BN2299" s="381"/>
      <c r="BO2299" s="382">
        <v>2290</v>
      </c>
    </row>
    <row r="2300" spans="1:67" s="24" customFormat="1" ht="15" customHeight="1" x14ac:dyDescent="0.25">
      <c r="A2300" s="288" t="s">
        <v>7909</v>
      </c>
      <c r="B2300" s="241" t="str">
        <f>HYPERLINK(CONCATENATE($AT$3,BK2300,$AU$3),$AV$3)</f>
        <v>S</v>
      </c>
      <c r="C2300" s="242" t="str">
        <f>HYPERLINK(CONCATENATE($AT$4,BK2300,$AU$4,BL2300),$AV$4)</f>
        <v>A</v>
      </c>
      <c r="D2300" s="243" t="s">
        <v>5638</v>
      </c>
      <c r="E2300" s="244" t="s">
        <v>5178</v>
      </c>
      <c r="F2300" s="269"/>
      <c r="G2300" s="273">
        <v>1</v>
      </c>
      <c r="H2300" s="283">
        <v>150</v>
      </c>
      <c r="I2300" s="246">
        <v>45</v>
      </c>
      <c r="J2300" s="246">
        <v>1</v>
      </c>
      <c r="K2300" s="247" t="s">
        <v>7910</v>
      </c>
      <c r="L2300" s="248">
        <v>170737</v>
      </c>
      <c r="M2300" s="249">
        <f>15*(LEFT(TEXT($L2300,"000000"),2)+(MID(TEXT($L2300,"000000"),3,2)/60)+(RIGHT(TEXT($L2300,"000000"),2)/3600))</f>
        <v>256.90416666666664</v>
      </c>
      <c r="N2300" s="250">
        <v>604344</v>
      </c>
      <c r="O2300" s="251">
        <f>IF($N2300&gt;0,(LEFT(TEXT($N2300,"000000"),2)+(MID(TEXT($N2300,"000000"),3,2)/60)+(RIGHT(TEXT($N2300,"000000"),2)/3600)),-(MID(TEXT($N2300,"000000"),2,2)+(MID(TEXT($N2300,"000000"),4,2)/60)+(RIGHT(TEXT($N2300,"000000"),2)/3600)))</f>
        <v>60.728888888888889</v>
      </c>
      <c r="P2300" s="252" t="s">
        <v>34</v>
      </c>
      <c r="Q2300" s="253"/>
      <c r="R2300" s="247" t="s">
        <v>3293</v>
      </c>
      <c r="S2300" s="272" t="s">
        <v>7908</v>
      </c>
      <c r="T2300" s="273">
        <v>13.7</v>
      </c>
      <c r="U2300" s="289">
        <v>21.09</v>
      </c>
      <c r="V2300" s="280"/>
      <c r="W2300" s="244"/>
      <c r="X2300" s="244"/>
      <c r="Y2300" s="362"/>
      <c r="Z2300" s="257">
        <f>altaz(J2000_Bas,$O2300,$M2300,DecLat,DecLong,1)</f>
        <v>54.635275491808727</v>
      </c>
      <c r="AA2300" s="257">
        <f>altaz((J2000_Bas+(2*0.04167)),$O2300,$M2300,DecLat,DecLong,1)</f>
        <v>41.604332721498288</v>
      </c>
      <c r="AB2300" s="257">
        <f>altaz((J2000_Bas+(4*0.04167)),$O2300,$M2300,DecLat,DecLong,1)</f>
        <v>27.041354337473749</v>
      </c>
      <c r="AC2300" s="257">
        <f>altaz((J2000_Bas+(6*0.04167)),$O2300,$M2300,DecLat,DecLong,1)</f>
        <v>14.113334970655522</v>
      </c>
      <c r="AD2300" s="258">
        <f>1+ transit((J2000_Bas-1),$O2300,$M2300,DecLat,DecLong)/360 + (GMTOffset/24) + (IF(DST="Y", 1, 0)/24)</f>
        <v>1.7065225744526245</v>
      </c>
      <c r="AE2300" s="259">
        <f>DATE(2001,9,21)+(M2300/360)*365 - (360*((DecLong/360)- (GMTOffset/24) ))</f>
        <v>37420.472280092596</v>
      </c>
      <c r="AF2300" s="260">
        <f>IF(DecLat&gt;0,IF((90 - (DecLat-O2300))&gt;90, (90 - (O2300-DecLat)), (90 - (DecLat-O2300))),IF((90 + (DecLat-O2300))&gt;90, (90 + (O2300-DecLat)), (90 + (DecLat-O2300))))</f>
        <v>60.271111111111111</v>
      </c>
      <c r="AG2300" s="257">
        <f>angularseperation(MoonRA,MoonDec,$M2300,$O2300)</f>
        <v>88.035831637759983</v>
      </c>
      <c r="AH2300" s="261">
        <f ca="1">MIN(100,IF($O$5&gt;80,0+30*($AG2300/100),IF($O$5&gt;70,0+50*($AG2300/100),IF($O$5&gt;60,5+50*($AG2300/100),IF($O$5&gt;50,10+60*($AG2300/100),IF($O$5&gt;40,15+70*($AG2300/100),IF($O$5&gt;30,20+70*($AG2300/100),IF($O$5&gt;20,40+55*($AG2300/100),(80+(20-$O$5)+30*($AG2300/100))))))))))</f>
        <v>100</v>
      </c>
      <c r="AI2300" s="262">
        <v>6306</v>
      </c>
      <c r="AJ2300" s="262"/>
      <c r="AK2300" s="262"/>
      <c r="AL2300" s="263"/>
      <c r="AM2300" s="264"/>
      <c r="AN2300" s="263"/>
      <c r="AO2300" s="263"/>
      <c r="AP2300" s="265"/>
      <c r="AQ2300" s="266">
        <v>10724</v>
      </c>
      <c r="AR2300" s="267">
        <v>59654</v>
      </c>
      <c r="AS2300" s="263"/>
      <c r="AT2300" s="263"/>
      <c r="AU2300" s="263"/>
      <c r="AV2300" s="264"/>
      <c r="AW2300" s="263"/>
      <c r="AX2300" s="263"/>
      <c r="AY2300" s="263"/>
      <c r="AZ2300" s="263"/>
      <c r="BA2300" s="263"/>
      <c r="BB2300" s="263"/>
      <c r="BC2300" s="263"/>
      <c r="BD2300" s="264"/>
      <c r="BE2300" s="263"/>
      <c r="BF2300" s="263"/>
      <c r="BG2300" s="263"/>
      <c r="BH2300" s="263"/>
      <c r="BI2300" s="263"/>
      <c r="BJ2300" s="404">
        <f>altaz(J2000_Bas,$O2300,$M2300,DecLat,DecLong,2)</f>
        <v>335.74314727373871</v>
      </c>
      <c r="BK2300" s="378" t="s">
        <v>2184</v>
      </c>
      <c r="BL2300" s="379">
        <f>IF((2*G2300)/60&lt;0.2,0.2,(2*G2300)/60)</f>
        <v>0.2</v>
      </c>
      <c r="BM2300" s="380">
        <f>MOD((50000+AD2300-$B$3+(0/24)),1)</f>
        <v>0.92188950415584259</v>
      </c>
      <c r="BN2300" s="381"/>
      <c r="BO2300" s="382">
        <v>2291</v>
      </c>
    </row>
    <row r="2301" spans="1:67" s="24" customFormat="1" ht="15" customHeight="1" x14ac:dyDescent="0.25">
      <c r="A2301" s="288" t="s">
        <v>2185</v>
      </c>
      <c r="B2301" s="241" t="str">
        <f>HYPERLINK(CONCATENATE($AT$3,BK2301,$AU$3),$AV$3)</f>
        <v>S</v>
      </c>
      <c r="C2301" s="242" t="str">
        <f>HYPERLINK(CONCATENATE($AT$4,BK2301,$AU$4,BL2301),$AV$4)</f>
        <v>A</v>
      </c>
      <c r="D2301" s="243" t="s">
        <v>5187</v>
      </c>
      <c r="E2301" s="244" t="s">
        <v>5181</v>
      </c>
      <c r="F2301" s="293" t="s">
        <v>7912</v>
      </c>
      <c r="G2301" s="270">
        <v>0.6</v>
      </c>
      <c r="H2301" s="283">
        <v>9000</v>
      </c>
      <c r="I2301" s="279">
        <v>1.5</v>
      </c>
      <c r="J2301" s="246">
        <v>2</v>
      </c>
      <c r="K2301" s="247" t="s">
        <v>7911</v>
      </c>
      <c r="L2301" s="248">
        <v>171404</v>
      </c>
      <c r="M2301" s="249">
        <f>15*(LEFT(TEXT($L2301,"000000"),2)+(MID(TEXT($L2301,"000000"),3,2)/60)+(RIGHT(TEXT($L2301,"000000"),2)/3600))</f>
        <v>258.51666666666671</v>
      </c>
      <c r="N2301" s="250">
        <v>-125438</v>
      </c>
      <c r="O2301" s="251">
        <f>IF($N2301&gt;0,(LEFT(TEXT($N2301,"000000"),2)+(MID(TEXT($N2301,"000000"),3,2)/60)+(RIGHT(TEXT($N2301,"000000"),2)/3600)),-(MID(TEXT($N2301,"000000"),2,2)+(MID(TEXT($N2301,"000000"),4,2)/60)+(RIGHT(TEXT($N2301,"000000"),2)/3600)))</f>
        <v>-12.910555555555556</v>
      </c>
      <c r="P2301" s="252" t="s">
        <v>113</v>
      </c>
      <c r="Q2301" s="253" t="s">
        <v>6947</v>
      </c>
      <c r="R2301" s="247" t="s">
        <v>3293</v>
      </c>
      <c r="S2301" s="272" t="s">
        <v>3293</v>
      </c>
      <c r="T2301" s="273">
        <v>11.5</v>
      </c>
      <c r="U2301" s="274"/>
      <c r="V2301" s="280"/>
      <c r="W2301" s="244"/>
      <c r="X2301" s="244"/>
      <c r="Y2301" s="362"/>
      <c r="Z2301" s="257">
        <f>altaz(J2000_Bas,$O2301,$M2301,DecLat,DecLong,1)</f>
        <v>38.764118348858453</v>
      </c>
      <c r="AA2301" s="257">
        <f>altaz((J2000_Bas+(2*0.04167)),$O2301,$M2301,DecLat,DecLong,1)</f>
        <v>19.4491781747601</v>
      </c>
      <c r="AB2301" s="257">
        <f>altaz((J2000_Bas+(4*0.04167)),$O2301,$M2301,DecLat,DecLong,1)</f>
        <v>-4.6397132558693714</v>
      </c>
      <c r="AC2301" s="257">
        <f>altaz((J2000_Bas+(6*0.04167)),$O2301,$M2301,DecLat,DecLong,1)</f>
        <v>-30.262375357241922</v>
      </c>
      <c r="AD2301" s="258">
        <f>1+ transit((J2000_Bas-1),$O2301,$M2301,DecLat,DecLong)/360 + (GMTOffset/24) + (IF(DST="Y", 1, 0)/24)</f>
        <v>1.7110017406713747</v>
      </c>
      <c r="AE2301" s="259">
        <f>DATE(2001,9,21)+(M2301/360)*365 - (360*((DecLong/360)- (GMTOffset/24) ))</f>
        <v>37422.107175925928</v>
      </c>
      <c r="AF2301" s="260">
        <f>IF(DecLat&gt;0,IF((90 - (DecLat-O2301))&gt;90, (90 - (O2301-DecLat)), (90 - (DecLat-O2301))),IF((90 + (DecLat-O2301))&gt;90, (90 + (O2301-DecLat)), (90 + (DecLat-O2301))))</f>
        <v>46.089444444444446</v>
      </c>
      <c r="AG2301" s="257">
        <f>angularseperation(MoonRA,MoonDec,$M2301,$O2301)</f>
        <v>16.621915088789439</v>
      </c>
      <c r="AH2301" s="261">
        <f ca="1">MIN(100,IF($O$5&gt;80,0+30*($AG2301/100),IF($O$5&gt;70,0+50*($AG2301/100),IF($O$5&gt;60,5+50*($AG2301/100),IF($O$5&gt;50,10+60*($AG2301/100),IF($O$5&gt;40,15+70*($AG2301/100),IF($O$5&gt;30,20+70*($AG2301/100),IF($O$5&gt;20,40+55*($AG2301/100),(80+(20-$O$5)+30*($AG2301/100))))))))))</f>
        <v>88.257634870787257</v>
      </c>
      <c r="AI2301" s="262">
        <v>6309</v>
      </c>
      <c r="AJ2301" s="262"/>
      <c r="AK2301" s="262"/>
      <c r="AL2301" s="263"/>
      <c r="AM2301" s="264"/>
      <c r="AN2301" s="263"/>
      <c r="AO2301" s="263"/>
      <c r="AP2301" s="265"/>
      <c r="AQ2301" s="266"/>
      <c r="AR2301" s="267"/>
      <c r="AS2301" s="263"/>
      <c r="AT2301" s="263">
        <v>22</v>
      </c>
      <c r="AU2301" s="263"/>
      <c r="AV2301" s="264"/>
      <c r="AW2301" s="263"/>
      <c r="AX2301" s="263"/>
      <c r="AY2301" s="263"/>
      <c r="AZ2301" s="263"/>
      <c r="BA2301" s="263"/>
      <c r="BB2301" s="263"/>
      <c r="BC2301" s="263"/>
      <c r="BD2301" s="264"/>
      <c r="BE2301" s="263"/>
      <c r="BF2301" s="263">
        <v>76</v>
      </c>
      <c r="BG2301" s="263"/>
      <c r="BH2301" s="263"/>
      <c r="BI2301" s="263"/>
      <c r="BJ2301" s="404">
        <f>altaz(J2000_Bas,$O2301,$M2301,DecLat,DecLong,2)</f>
        <v>215.23616320836712</v>
      </c>
      <c r="BK2301" s="378" t="s">
        <v>2185</v>
      </c>
      <c r="BL2301" s="379">
        <f>IF((2*G2301)/60&lt;0.2,0.2,(2*G2301)/60)</f>
        <v>0.2</v>
      </c>
      <c r="BM2301" s="380">
        <f>MOD((50000+AD2301-$B$3+(0/24)),1)</f>
        <v>0.92636867037799675</v>
      </c>
      <c r="BN2301" s="381" t="s">
        <v>9121</v>
      </c>
      <c r="BO2301" s="382">
        <v>2292</v>
      </c>
    </row>
    <row r="2302" spans="1:67" s="24" customFormat="1" ht="15" customHeight="1" x14ac:dyDescent="0.25">
      <c r="A2302" s="288" t="s">
        <v>3016</v>
      </c>
      <c r="B2302" s="241" t="str">
        <f>HYPERLINK(CONCATENATE($AT$3,BK2302,$AU$3),$AV$3)</f>
        <v>S</v>
      </c>
      <c r="C2302" s="242" t="str">
        <f>HYPERLINK(CONCATENATE($AT$4,BK2302,$AU$4,BL2302),$AV$4)</f>
        <v>A</v>
      </c>
      <c r="D2302" s="243" t="s">
        <v>5335</v>
      </c>
      <c r="E2302" s="244" t="s">
        <v>5184</v>
      </c>
      <c r="F2302" s="269" t="s">
        <v>3301</v>
      </c>
      <c r="G2302" s="273">
        <v>5</v>
      </c>
      <c r="H2302" s="283">
        <v>35000</v>
      </c>
      <c r="I2302" s="246">
        <v>54</v>
      </c>
      <c r="J2302" s="246">
        <v>2</v>
      </c>
      <c r="K2302" s="247" t="s">
        <v>7913</v>
      </c>
      <c r="L2302" s="248">
        <v>171636</v>
      </c>
      <c r="M2302" s="249">
        <f>15*(LEFT(TEXT($L2302,"000000"),2)+(MID(TEXT($L2302,"000000"),3,2)/60)+(RIGHT(TEXT($L2302,"000000"),2)/3600))</f>
        <v>259.15000000000003</v>
      </c>
      <c r="N2302" s="250">
        <v>-280800</v>
      </c>
      <c r="O2302" s="251">
        <f>IF($N2302&gt;0,(LEFT(TEXT($N2302,"000000"),2)+(MID(TEXT($N2302,"000000"),3,2)/60)+(RIGHT(TEXT($N2302,"000000"),2)/3600)),-(MID(TEXT($N2302,"000000"),2,2)+(MID(TEXT($N2302,"000000"),4,2)/60)+(RIGHT(TEXT($N2302,"000000"),2)/3600)))</f>
        <v>-28.133333333333333</v>
      </c>
      <c r="P2302" s="252" t="s">
        <v>113</v>
      </c>
      <c r="Q2302" s="253"/>
      <c r="R2302" s="277" t="s">
        <v>3293</v>
      </c>
      <c r="S2302" s="272" t="s">
        <v>3293</v>
      </c>
      <c r="T2302" s="273">
        <v>9</v>
      </c>
      <c r="U2302" s="274"/>
      <c r="V2302" s="280"/>
      <c r="W2302" s="244"/>
      <c r="X2302" s="244"/>
      <c r="Y2302" s="362"/>
      <c r="Z2302" s="257">
        <f>altaz(J2000_Bas,$O2302,$M2302,DecLat,DecLong,1)</f>
        <v>25.564999367351252</v>
      </c>
      <c r="AA2302" s="257">
        <f>altaz((J2000_Bas+(2*0.04167)),$O2302,$M2302,DecLat,DecLong,1)</f>
        <v>9.7605908954632419</v>
      </c>
      <c r="AB2302" s="257">
        <f>altaz((J2000_Bas+(4*0.04167)),$O2302,$M2302,DecLat,DecLong,1)</f>
        <v>-11.74632273433048</v>
      </c>
      <c r="AC2302" s="257">
        <f>altaz((J2000_Bas+(6*0.04167)),$O2302,$M2302,DecLat,DecLong,1)</f>
        <v>-35.963594037793385</v>
      </c>
      <c r="AD2302" s="258">
        <f>1+ transit((J2000_Bas-1),$O2302,$M2302,DecLat,DecLong)/360 + (GMTOffset/24) + (IF(DST="Y", 1, 0)/24)</f>
        <v>1.7127609997547082</v>
      </c>
      <c r="AE2302" s="259">
        <f>DATE(2001,9,21)+(M2302/360)*365 - (360*((DecLong/360)- (GMTOffset/24) ))</f>
        <v>37422.749305555553</v>
      </c>
      <c r="AF2302" s="260">
        <f>IF(DecLat&gt;0,IF((90 - (DecLat-O2302))&gt;90, (90 - (O2302-DecLat)), (90 - (DecLat-O2302))),IF((90 + (DecLat-O2302))&gt;90, (90 + (O2302-DecLat)), (90 + (DecLat-O2302))))</f>
        <v>30.866666666666667</v>
      </c>
      <c r="AG2302" s="257">
        <f>angularseperation(MoonRA,MoonDec,$M2302,$O2302)</f>
        <v>8.8397969243918855</v>
      </c>
      <c r="AH2302" s="261">
        <f ca="1">MIN(100,IF($O$5&gt;80,0+30*($AG2302/100),IF($O$5&gt;70,0+50*($AG2302/100),IF($O$5&gt;60,5+50*($AG2302/100),IF($O$5&gt;50,10+60*($AG2302/100),IF($O$5&gt;40,15+70*($AG2302/100),IF($O$5&gt;30,20+70*($AG2302/100),IF($O$5&gt;20,40+55*($AG2302/100),(80+(20-$O$5)+30*($AG2302/100))))))))))</f>
        <v>85.922999421467992</v>
      </c>
      <c r="AI2302" s="262">
        <v>6316</v>
      </c>
      <c r="AJ2302" s="263"/>
      <c r="AK2302" s="263">
        <v>326</v>
      </c>
      <c r="AL2302" s="263"/>
      <c r="AM2302" s="264"/>
      <c r="AN2302" s="263"/>
      <c r="AO2302" s="263"/>
      <c r="AP2302" s="265"/>
      <c r="AQ2302" s="265"/>
      <c r="AR2302" s="285"/>
      <c r="AS2302" s="263"/>
      <c r="AT2302" s="263"/>
      <c r="AU2302" s="263"/>
      <c r="AV2302" s="264"/>
      <c r="AW2302" s="263"/>
      <c r="AX2302" s="263"/>
      <c r="AY2302" s="263"/>
      <c r="AZ2302" s="263"/>
      <c r="BA2302" s="263"/>
      <c r="BB2302" s="263"/>
      <c r="BC2302" s="263"/>
      <c r="BD2302" s="264"/>
      <c r="BE2302" s="263"/>
      <c r="BF2302" s="263"/>
      <c r="BG2302" s="263"/>
      <c r="BH2302" s="263"/>
      <c r="BI2302" s="263"/>
      <c r="BJ2302" s="404">
        <f>altaz(J2000_Bas,$O2302,$M2302,DecLat,DecLong,2)</f>
        <v>206.20351068714427</v>
      </c>
      <c r="BK2302" s="378" t="s">
        <v>3016</v>
      </c>
      <c r="BL2302" s="379">
        <f>IF((2*G2302)/60&lt;0.2,0.2,(2*G2302)/60)</f>
        <v>0.2</v>
      </c>
      <c r="BM2302" s="380">
        <f>MOD((50000+AD2302-$B$3+(0/24)),1)</f>
        <v>0.92812792945915135</v>
      </c>
      <c r="BN2302" s="381"/>
      <c r="BO2302" s="382">
        <v>2293</v>
      </c>
    </row>
    <row r="2303" spans="1:67" s="24" customFormat="1" ht="15" customHeight="1" x14ac:dyDescent="0.25">
      <c r="A2303" s="288" t="s">
        <v>2186</v>
      </c>
      <c r="B2303" s="241" t="str">
        <f>HYPERLINK(CONCATENATE($AT$3,BK2303,$AU$3),$AV$3)</f>
        <v>S</v>
      </c>
      <c r="C2303" s="242" t="str">
        <f>HYPERLINK(CONCATENATE($AT$4,BK2303,$AU$4,BL2303),$AV$4)</f>
        <v>A</v>
      </c>
      <c r="D2303" s="243" t="s">
        <v>5187</v>
      </c>
      <c r="E2303" s="244" t="s">
        <v>5183</v>
      </c>
      <c r="F2303" s="269" t="s">
        <v>9185</v>
      </c>
      <c r="G2303" s="276">
        <v>30</v>
      </c>
      <c r="H2303" s="283">
        <v>5500</v>
      </c>
      <c r="I2303" s="246">
        <v>50</v>
      </c>
      <c r="J2303" s="246">
        <v>4</v>
      </c>
      <c r="K2303" s="247" t="s">
        <v>7914</v>
      </c>
      <c r="L2303" s="248">
        <v>172049</v>
      </c>
      <c r="M2303" s="249">
        <f>15*(LEFT(TEXT($L2303,"000000"),2)+(MID(TEXT($L2303,"000000"),3,2)/60)+(RIGHT(TEXT($L2303,"000000"),2)/3600))</f>
        <v>260.20416666666665</v>
      </c>
      <c r="N2303" s="250">
        <v>-360612</v>
      </c>
      <c r="O2303" s="251">
        <f>IF($N2303&gt;0,(LEFT(TEXT($N2303,"000000"),2)+(MID(TEXT($N2303,"000000"),3,2)/60)+(RIGHT(TEXT($N2303,"000000"),2)/3600)),-(MID(TEXT($N2303,"000000"),2,2)+(MID(TEXT($N2303,"000000"),4,2)/60)+(RIGHT(TEXT($N2303,"000000"),2)/3600)))</f>
        <v>-36.103333333333332</v>
      </c>
      <c r="P2303" s="252" t="s">
        <v>109</v>
      </c>
      <c r="Q2303" s="253" t="s">
        <v>6954</v>
      </c>
      <c r="R2303" s="247" t="s">
        <v>6061</v>
      </c>
      <c r="S2303" s="272" t="s">
        <v>3293</v>
      </c>
      <c r="T2303" s="273"/>
      <c r="U2303" s="274"/>
      <c r="V2303" s="280"/>
      <c r="W2303" s="244"/>
      <c r="X2303" s="244"/>
      <c r="Y2303" s="362"/>
      <c r="Z2303" s="257">
        <f>altaz(J2000_Bas,$O2303,$M2303,DecLat,DecLong,1)</f>
        <v>18.665580431234687</v>
      </c>
      <c r="AA2303" s="257">
        <f>altaz((J2000_Bas+(2*0.04167)),$O2303,$M2303,DecLat,DecLong,1)</f>
        <v>4.8737025821832853</v>
      </c>
      <c r="AB2303" s="257">
        <f>altaz((J2000_Bas+(4*0.04167)),$O2303,$M2303,DecLat,DecLong,1)</f>
        <v>-14.760632986686765</v>
      </c>
      <c r="AC2303" s="257">
        <f>altaz((J2000_Bas+(6*0.04167)),$O2303,$M2303,DecLat,DecLong,1)</f>
        <v>-37.419334175522486</v>
      </c>
      <c r="AD2303" s="258">
        <f>1+ transit((J2000_Bas-1),$O2303,$M2303,DecLat,DecLong)/360 + (GMTOffset/24) + (IF(DST="Y", 1, 0)/24)</f>
        <v>1.7156892402026247</v>
      </c>
      <c r="AE2303" s="259">
        <f>DATE(2001,9,21)+(M2303/360)*365 - (360*((DecLong/360)- (GMTOffset/24) ))</f>
        <v>37423.818113425928</v>
      </c>
      <c r="AF2303" s="260">
        <f>IF(DecLat&gt;0,IF((90 - (DecLat-O2303))&gt;90, (90 - (O2303-DecLat)), (90 - (DecLat-O2303))),IF((90 + (DecLat-O2303))&gt;90, (90 + (O2303-DecLat)), (90 + (DecLat-O2303))))</f>
        <v>22.896666666666675</v>
      </c>
      <c r="AG2303" s="257">
        <f>angularseperation(MoonRA,MoonDec,$M2303,$O2303)</f>
        <v>12.96444913228077</v>
      </c>
      <c r="AH2303" s="261">
        <f ca="1">MIN(100,IF($O$5&gt;80,0+30*($AG2303/100),IF($O$5&gt;70,0+50*($AG2303/100),IF($O$5&gt;60,5+50*($AG2303/100),IF($O$5&gt;50,10+60*($AG2303/100),IF($O$5&gt;40,15+70*($AG2303/100),IF($O$5&gt;30,20+70*($AG2303/100),IF($O$5&gt;20,40+55*($AG2303/100),(80+(20-$O$5)+30*($AG2303/100))))))))))</f>
        <v>87.160395083834658</v>
      </c>
      <c r="AI2303" s="262">
        <v>6334</v>
      </c>
      <c r="AJ2303" s="262"/>
      <c r="AK2303" s="262"/>
      <c r="AL2303" s="263"/>
      <c r="AM2303" s="264"/>
      <c r="AN2303" s="263"/>
      <c r="AO2303" s="263"/>
      <c r="AP2303" s="265"/>
      <c r="AQ2303" s="266"/>
      <c r="AR2303" s="267"/>
      <c r="AS2303" s="263"/>
      <c r="AT2303" s="263"/>
      <c r="AU2303" s="263"/>
      <c r="AV2303" s="264"/>
      <c r="AW2303" s="263"/>
      <c r="AX2303" s="263"/>
      <c r="AY2303" s="263"/>
      <c r="AZ2303" s="263"/>
      <c r="BA2303" s="263">
        <v>127</v>
      </c>
      <c r="BB2303" s="263">
        <v>8</v>
      </c>
      <c r="BC2303" s="263"/>
      <c r="BD2303" s="264"/>
      <c r="BE2303" s="263"/>
      <c r="BF2303" s="263"/>
      <c r="BG2303" s="263">
        <v>74</v>
      </c>
      <c r="BH2303" s="263"/>
      <c r="BI2303" s="263"/>
      <c r="BJ2303" s="404">
        <f>altaz(J2000_Bas,$O2303,$M2303,DecLat,DecLong,2)</f>
        <v>201.7865154058039</v>
      </c>
      <c r="BK2303" s="378" t="s">
        <v>2186</v>
      </c>
      <c r="BL2303" s="379">
        <f>IF((2*G2303)/60&lt;0.2,0.2,(2*G2303)/60)</f>
        <v>1</v>
      </c>
      <c r="BM2303" s="380">
        <f>MOD((50000+AD2303-$B$3+(0/24)),1)</f>
        <v>0.93105616990942508</v>
      </c>
      <c r="BN2303" s="381"/>
      <c r="BO2303" s="382">
        <v>2294</v>
      </c>
    </row>
    <row r="2304" spans="1:67" s="24" customFormat="1" ht="15" customHeight="1" x14ac:dyDescent="0.25">
      <c r="A2304" s="288" t="s">
        <v>2187</v>
      </c>
      <c r="B2304" s="241" t="str">
        <f>HYPERLINK(CONCATENATE($AT$3,BK2304,$AU$3),$AV$3)</f>
        <v>S</v>
      </c>
      <c r="C2304" s="242" t="str">
        <f>HYPERLINK(CONCATENATE($AT$4,BK2304,$AU$4,BL2304),$AV$4)</f>
        <v>A</v>
      </c>
      <c r="D2304" s="243" t="s">
        <v>5187</v>
      </c>
      <c r="E2304" s="244" t="s">
        <v>5181</v>
      </c>
      <c r="F2304" s="293" t="s">
        <v>7878</v>
      </c>
      <c r="G2304" s="273">
        <v>1</v>
      </c>
      <c r="H2304" s="283">
        <v>5000</v>
      </c>
      <c r="I2304" s="279">
        <v>1.4</v>
      </c>
      <c r="J2304" s="246">
        <v>4</v>
      </c>
      <c r="K2304" s="247" t="s">
        <v>8345</v>
      </c>
      <c r="L2304" s="248">
        <v>172216</v>
      </c>
      <c r="M2304" s="249">
        <f>15*(LEFT(TEXT($L2304,"000000"),2)+(MID(TEXT($L2304,"000000"),3,2)/60)+(RIGHT(TEXT($L2304,"000000"),2)/3600))</f>
        <v>260.56666666666666</v>
      </c>
      <c r="N2304" s="250">
        <v>-382900</v>
      </c>
      <c r="O2304" s="251">
        <f>IF($N2304&gt;0,(LEFT(TEXT($N2304,"000000"),2)+(MID(TEXT($N2304,"000000"),3,2)/60)+(RIGHT(TEXT($N2304,"000000"),2)/3600)),-(MID(TEXT($N2304,"000000"),2,2)+(MID(TEXT($N2304,"000000"),4,2)/60)+(RIGHT(TEXT($N2304,"000000"),2)/3600)))</f>
        <v>-38.483333333333334</v>
      </c>
      <c r="P2304" s="252" t="s">
        <v>109</v>
      </c>
      <c r="Q2304" s="253" t="s">
        <v>6955</v>
      </c>
      <c r="R2304" s="247" t="s">
        <v>3293</v>
      </c>
      <c r="S2304" s="272" t="s">
        <v>3293</v>
      </c>
      <c r="T2304" s="273">
        <v>12.3</v>
      </c>
      <c r="U2304" s="274"/>
      <c r="V2304" s="280"/>
      <c r="W2304" s="244"/>
      <c r="X2304" s="244"/>
      <c r="Y2304" s="362"/>
      <c r="Z2304" s="257">
        <f>altaz(J2000_Bas,$O2304,$M2304,DecLat,DecLong,1)</f>
        <v>16.585083541343867</v>
      </c>
      <c r="AA2304" s="257">
        <f>altaz((J2000_Bas+(2*0.04167)),$O2304,$M2304,DecLat,DecLong,1)</f>
        <v>3.4024241161485653</v>
      </c>
      <c r="AB2304" s="257">
        <f>altaz((J2000_Bas+(4*0.04167)),$O2304,$M2304,DecLat,DecLong,1)</f>
        <v>-15.609730237503234</v>
      </c>
      <c r="AC2304" s="257">
        <f>altaz((J2000_Bas+(6*0.04167)),$O2304,$M2304,DecLat,DecLong,1)</f>
        <v>-37.688540818580179</v>
      </c>
      <c r="AD2304" s="258">
        <f>1+ transit((J2000_Bas-1),$O2304,$M2304,DecLat,DecLong)/360 + (GMTOffset/24) + (IF(DST="Y", 1, 0)/24)</f>
        <v>1.7166961845463746</v>
      </c>
      <c r="AE2304" s="259">
        <f>DATE(2001,9,21)+(M2304/360)*365 - (360*((DecLong/360)- (GMTOffset/24) ))</f>
        <v>37424.185648148145</v>
      </c>
      <c r="AF2304" s="260">
        <f>IF(DecLat&gt;0,IF((90 - (DecLat-O2304))&gt;90, (90 - (O2304-DecLat)), (90 - (DecLat-O2304))),IF((90 + (DecLat-O2304))&gt;90, (90 + (O2304-DecLat)), (90 + (DecLat-O2304))))</f>
        <v>20.516666666666666</v>
      </c>
      <c r="AG2304" s="257">
        <f>angularseperation(MoonRA,MoonDec,$M2304,$O2304)</f>
        <v>14.826720005222402</v>
      </c>
      <c r="AH2304" s="261">
        <f ca="1">MIN(100,IF($O$5&gt;80,0+30*($AG2304/100),IF($O$5&gt;70,0+50*($AG2304/100),IF($O$5&gt;60,5+50*($AG2304/100),IF($O$5&gt;50,10+60*($AG2304/100),IF($O$5&gt;40,15+70*($AG2304/100),IF($O$5&gt;30,20+70*($AG2304/100),IF($O$5&gt;20,40+55*($AG2304/100),(80+(20-$O$5)+30*($AG2304/100))))))))))</f>
        <v>87.719076345717156</v>
      </c>
      <c r="AI2304" s="262">
        <v>6337</v>
      </c>
      <c r="AJ2304" s="262"/>
      <c r="AK2304" s="262"/>
      <c r="AL2304" s="263"/>
      <c r="AM2304" s="264"/>
      <c r="AN2304" s="263"/>
      <c r="AO2304" s="263"/>
      <c r="AP2304" s="265"/>
      <c r="AQ2304" s="266"/>
      <c r="AR2304" s="267"/>
      <c r="AS2304" s="263"/>
      <c r="AT2304" s="263"/>
      <c r="AU2304" s="263"/>
      <c r="AV2304" s="264"/>
      <c r="AW2304" s="263"/>
      <c r="AX2304" s="263"/>
      <c r="AY2304" s="263"/>
      <c r="AZ2304" s="263"/>
      <c r="BA2304" s="263"/>
      <c r="BB2304" s="263"/>
      <c r="BC2304" s="263"/>
      <c r="BD2304" s="264"/>
      <c r="BE2304" s="263"/>
      <c r="BF2304" s="263"/>
      <c r="BG2304" s="263"/>
      <c r="BH2304" s="263">
        <v>36</v>
      </c>
      <c r="BI2304" s="263"/>
      <c r="BJ2304" s="404">
        <f>altaz(J2000_Bas,$O2304,$M2304,DecLat,DecLong,2)</f>
        <v>200.53650311915737</v>
      </c>
      <c r="BK2304" s="378" t="s">
        <v>2187</v>
      </c>
      <c r="BL2304" s="379">
        <f>IF((2*G2304)/60&lt;0.2,0.2,(2*G2304)/60)</f>
        <v>0.2</v>
      </c>
      <c r="BM2304" s="380">
        <f>MOD((50000+AD2304-$B$3+(0/24)),1)</f>
        <v>0.93206311424728483</v>
      </c>
      <c r="BN2304" s="381"/>
      <c r="BO2304" s="382">
        <v>2295</v>
      </c>
    </row>
    <row r="2305" spans="1:67" s="24" customFormat="1" ht="15" customHeight="1" x14ac:dyDescent="0.25">
      <c r="A2305" s="288" t="s">
        <v>7916</v>
      </c>
      <c r="B2305" s="241" t="str">
        <f>HYPERLINK(CONCATENATE($AT$3,BK2305,$AU$3),$AV$3)</f>
        <v>S</v>
      </c>
      <c r="C2305" s="242" t="str">
        <f>HYPERLINK(CONCATENATE($AT$4,BK2305,$AU$4,BL2305),$AV$4)</f>
        <v>A</v>
      </c>
      <c r="D2305" s="243" t="s">
        <v>5638</v>
      </c>
      <c r="E2305" s="244" t="s">
        <v>5625</v>
      </c>
      <c r="F2305" s="269">
        <v>6</v>
      </c>
      <c r="G2305" s="291">
        <v>7</v>
      </c>
      <c r="H2305" s="283">
        <v>400</v>
      </c>
      <c r="I2305" s="284">
        <v>800</v>
      </c>
      <c r="J2305" s="246">
        <v>2</v>
      </c>
      <c r="K2305" s="247" t="s">
        <v>8346</v>
      </c>
      <c r="L2305" s="248">
        <v>171523</v>
      </c>
      <c r="M2305" s="249">
        <f>15*(LEFT(TEXT($L2305,"000000"),2)+(MID(TEXT($L2305,"000000"),3,2)/60)+(RIGHT(TEXT($L2305,"000000"),2)/3600))</f>
        <v>258.84583333333336</v>
      </c>
      <c r="N2305" s="250">
        <v>572441</v>
      </c>
      <c r="O2305" s="251">
        <f>IF($N2305&gt;0,(LEFT(TEXT($N2305,"000000"),2)+(MID(TEXT($N2305,"000000"),3,2)/60)+(RIGHT(TEXT($N2305,"000000"),2)/3600)),-(MID(TEXT($N2305,"000000"),2,2)+(MID(TEXT($N2305,"000000"),4,2)/60)+(RIGHT(TEXT($N2305,"000000"),2)/3600)))</f>
        <v>57.411388888888887</v>
      </c>
      <c r="P2305" s="252" t="s">
        <v>34</v>
      </c>
      <c r="Q2305" s="253"/>
      <c r="R2305" s="247" t="s">
        <v>3293</v>
      </c>
      <c r="S2305" s="272" t="s">
        <v>7915</v>
      </c>
      <c r="T2305" s="273">
        <v>12.3</v>
      </c>
      <c r="U2305" s="289">
        <v>21.490000000000002</v>
      </c>
      <c r="V2305" s="280"/>
      <c r="W2305" s="244"/>
      <c r="X2305" s="244"/>
      <c r="Y2305" s="362"/>
      <c r="Z2305" s="257">
        <f>altaz(J2000_Bas,$O2305,$M2305,DecLat,DecLong,1)</f>
        <v>57.642900184761537</v>
      </c>
      <c r="AA2305" s="257">
        <f>altaz((J2000_Bas+(2*0.04167)),$O2305,$M2305,DecLat,DecLong,1)</f>
        <v>43.138346650059582</v>
      </c>
      <c r="AB2305" s="257">
        <f>altaz((J2000_Bas+(4*0.04167)),$O2305,$M2305,DecLat,DecLong,1)</f>
        <v>27.096445384386197</v>
      </c>
      <c r="AC2305" s="257">
        <f>altaz((J2000_Bas+(6*0.04167)),$O2305,$M2305,DecLat,DecLong,1)</f>
        <v>12.792082826670184</v>
      </c>
      <c r="AD2305" s="258">
        <f>1+ transit((J2000_Bas-1),$O2305,$M2305,DecLat,DecLong)/360 + (GMTOffset/24) + (IF(DST="Y", 1, 0)/24)</f>
        <v>1.7119160924317913</v>
      </c>
      <c r="AE2305" s="259">
        <f>DATE(2001,9,21)+(M2305/360)*365 - (360*((DecLong/360)- (GMTOffset/24) ))</f>
        <v>37422.44091435185</v>
      </c>
      <c r="AF2305" s="260">
        <f>IF(DecLat&gt;0,IF((90 - (DecLat-O2305))&gt;90, (90 - (O2305-DecLat)), (90 - (DecLat-O2305))),IF((90 + (DecLat-O2305))&gt;90, (90 + (O2305-DecLat)), (90 + (DecLat-O2305))))</f>
        <v>63.588611111111113</v>
      </c>
      <c r="AG2305" s="257">
        <f>angularseperation(MoonRA,MoonDec,$M2305,$O2305)</f>
        <v>84.882224038512121</v>
      </c>
      <c r="AH2305" s="261">
        <f ca="1">MIN(100,IF($O$5&gt;80,0+30*($AG2305/100),IF($O$5&gt;70,0+50*($AG2305/100),IF($O$5&gt;60,5+50*($AG2305/100),IF($O$5&gt;50,10+60*($AG2305/100),IF($O$5&gt;40,15+70*($AG2305/100),IF($O$5&gt;30,20+70*($AG2305/100),IF($O$5&gt;20,40+55*($AG2305/100),(80+(20-$O$5)+30*($AG2305/100))))))))))</f>
        <v>100</v>
      </c>
      <c r="AI2305" s="262">
        <v>6338</v>
      </c>
      <c r="AJ2305" s="262"/>
      <c r="AK2305" s="262"/>
      <c r="AL2305" s="263"/>
      <c r="AM2305" s="264"/>
      <c r="AN2305" s="263"/>
      <c r="AO2305" s="263"/>
      <c r="AP2305" s="265"/>
      <c r="AQ2305" s="266">
        <v>10784</v>
      </c>
      <c r="AR2305" s="267">
        <v>59947</v>
      </c>
      <c r="AS2305" s="263"/>
      <c r="AT2305" s="263"/>
      <c r="AU2305" s="263"/>
      <c r="AV2305" s="264"/>
      <c r="AW2305" s="263"/>
      <c r="AX2305" s="263"/>
      <c r="AY2305" s="263"/>
      <c r="AZ2305" s="263"/>
      <c r="BA2305" s="263"/>
      <c r="BB2305" s="263"/>
      <c r="BC2305" s="263"/>
      <c r="BD2305" s="264"/>
      <c r="BE2305" s="263"/>
      <c r="BF2305" s="263"/>
      <c r="BG2305" s="263"/>
      <c r="BH2305" s="263"/>
      <c r="BI2305" s="263"/>
      <c r="BJ2305" s="404">
        <f>altaz(J2000_Bas,$O2305,$M2305,DecLat,DecLong,2)</f>
        <v>332.65584337779524</v>
      </c>
      <c r="BK2305" s="378" t="s">
        <v>2188</v>
      </c>
      <c r="BL2305" s="379">
        <f>IF((2*G2305)/60&lt;0.2,0.2,(2*G2305)/60)</f>
        <v>0.23333333333333334</v>
      </c>
      <c r="BM2305" s="380">
        <f>MOD((50000+AD2305-$B$3+(0/24)),1)</f>
        <v>0.92728302213799907</v>
      </c>
      <c r="BN2305" s="381"/>
      <c r="BO2305" s="382">
        <v>2296</v>
      </c>
    </row>
    <row r="2306" spans="1:67" s="24" customFormat="1" ht="15" customHeight="1" x14ac:dyDescent="0.25">
      <c r="A2306" s="288" t="s">
        <v>2189</v>
      </c>
      <c r="B2306" s="241" t="str">
        <f>HYPERLINK(CONCATENATE($AT$3,BK2306,$AU$3),$AV$3)</f>
        <v>S</v>
      </c>
      <c r="C2306" s="242" t="str">
        <f>HYPERLINK(CONCATENATE($AT$4,BK2306,$AU$4,BL2306),$AV$4)</f>
        <v>A</v>
      </c>
      <c r="D2306" s="243" t="s">
        <v>5638</v>
      </c>
      <c r="E2306" s="244" t="s">
        <v>5192</v>
      </c>
      <c r="F2306" s="269" t="s">
        <v>8908</v>
      </c>
      <c r="G2306" s="273">
        <v>3</v>
      </c>
      <c r="H2306" s="283">
        <v>100</v>
      </c>
      <c r="I2306" s="246">
        <v>85</v>
      </c>
      <c r="J2306" s="246">
        <v>1</v>
      </c>
      <c r="K2306" s="247" t="s">
        <v>7917</v>
      </c>
      <c r="L2306" s="248">
        <v>171707</v>
      </c>
      <c r="M2306" s="249">
        <f>15*(LEFT(TEXT($L2306,"000000"),2)+(MID(TEXT($L2306,"000000"),3,2)/60)+(RIGHT(TEXT($L2306,"000000"),2)/3600))</f>
        <v>259.2791666666667</v>
      </c>
      <c r="N2306" s="250">
        <v>405042</v>
      </c>
      <c r="O2306" s="251">
        <f>IF($N2306&gt;0,(LEFT(TEXT($N2306,"000000"),2)+(MID(TEXT($N2306,"000000"),3,2)/60)+(RIGHT(TEXT($N2306,"000000"),2)/3600)),-(MID(TEXT($N2306,"000000"),2,2)+(MID(TEXT($N2306,"000000"),4,2)/60)+(RIGHT(TEXT($N2306,"000000"),2)/3600)))</f>
        <v>40.844999999999999</v>
      </c>
      <c r="P2306" s="252" t="s">
        <v>111</v>
      </c>
      <c r="Q2306" s="253"/>
      <c r="R2306" s="247" t="s">
        <v>3293</v>
      </c>
      <c r="S2306" s="272" t="s">
        <v>3293</v>
      </c>
      <c r="T2306" s="273">
        <v>12.7</v>
      </c>
      <c r="U2306" s="289">
        <v>23.19</v>
      </c>
      <c r="V2306" s="280">
        <v>55</v>
      </c>
      <c r="W2306" s="244"/>
      <c r="X2306" s="244"/>
      <c r="Y2306" s="362"/>
      <c r="Z2306" s="257">
        <f>altaz(J2000_Bas,$O2306,$M2306,DecLat,DecLong,1)</f>
        <v>66.350032241090943</v>
      </c>
      <c r="AA2306" s="257">
        <f>altaz((J2000_Bas+(2*0.04167)),$O2306,$M2306,DecLat,DecLong,1)</f>
        <v>43.77466326452894</v>
      </c>
      <c r="AB2306" s="257">
        <f>altaz((J2000_Bas+(4*0.04167)),$O2306,$M2306,DecLat,DecLong,1)</f>
        <v>21.838596115765792</v>
      </c>
      <c r="AC2306" s="257">
        <f>altaz((J2000_Bas+(6*0.04167)),$O2306,$M2306,DecLat,DecLong,1)</f>
        <v>2.4468130881618402</v>
      </c>
      <c r="AD2306" s="258">
        <f>1+ transit((J2000_Bas-1),$O2306,$M2306,DecLat,DecLong)/360 + (GMTOffset/24) + (IF(DST="Y", 1, 0)/24)</f>
        <v>1.7131197960151248</v>
      </c>
      <c r="AE2306" s="259">
        <f>DATE(2001,9,21)+(M2306/360)*365 - (360*((DecLong/360)- (GMTOffset/24) ))</f>
        <v>37422.880266203705</v>
      </c>
      <c r="AF2306" s="260">
        <f>IF(DecLat&gt;0,IF((90 - (DecLat-O2306))&gt;90, (90 - (O2306-DecLat)), (90 - (DecLat-O2306))),IF((90 + (DecLat-O2306))&gt;90, (90 + (O2306-DecLat)), (90 + (DecLat-O2306))))</f>
        <v>80.155000000000001</v>
      </c>
      <c r="AG2306" s="257">
        <f>angularseperation(MoonRA,MoonDec,$M2306,$O2306)</f>
        <v>68.565016264411994</v>
      </c>
      <c r="AH2306" s="261">
        <f ca="1">MIN(100,IF($O$5&gt;80,0+30*($AG2306/100),IF($O$5&gt;70,0+50*($AG2306/100),IF($O$5&gt;60,5+50*($AG2306/100),IF($O$5&gt;50,10+60*($AG2306/100),IF($O$5&gt;40,15+70*($AG2306/100),IF($O$5&gt;30,20+70*($AG2306/100),IF($O$5&gt;20,40+55*($AG2306/100),(80+(20-$O$5)+30*($AG2306/100))))))))))</f>
        <v>100</v>
      </c>
      <c r="AI2306" s="262">
        <v>6339</v>
      </c>
      <c r="AJ2306" s="262"/>
      <c r="AK2306" s="262"/>
      <c r="AL2306" s="263"/>
      <c r="AM2306" s="264"/>
      <c r="AN2306" s="263"/>
      <c r="AO2306" s="263"/>
      <c r="AP2306" s="265"/>
      <c r="AQ2306" s="266">
        <v>10790</v>
      </c>
      <c r="AR2306" s="267">
        <v>60003</v>
      </c>
      <c r="AS2306" s="263"/>
      <c r="AT2306" s="263"/>
      <c r="AU2306" s="263"/>
      <c r="AV2306" s="264"/>
      <c r="AW2306" s="263"/>
      <c r="AX2306" s="263"/>
      <c r="AY2306" s="263"/>
      <c r="AZ2306" s="263"/>
      <c r="BA2306" s="263"/>
      <c r="BB2306" s="263"/>
      <c r="BC2306" s="263"/>
      <c r="BD2306" s="264"/>
      <c r="BE2306" s="263"/>
      <c r="BF2306" s="263"/>
      <c r="BG2306" s="263"/>
      <c r="BH2306" s="263">
        <v>96</v>
      </c>
      <c r="BI2306" s="263"/>
      <c r="BJ2306" s="404">
        <f>altaz(J2000_Bas,$O2306,$M2306,DecLat,DecLong,2)</f>
        <v>302.00392797771457</v>
      </c>
      <c r="BK2306" s="378" t="s">
        <v>2189</v>
      </c>
      <c r="BL2306" s="379">
        <f>IF((2*G2306)/60&lt;0.2,0.2,(2*G2306)/60)</f>
        <v>0.2</v>
      </c>
      <c r="BM2306" s="380">
        <f>MOD((50000+AD2306-$B$3+(0/24)),1)</f>
        <v>0.92848672571562929</v>
      </c>
      <c r="BN2306" s="381"/>
      <c r="BO2306" s="382">
        <v>2297</v>
      </c>
    </row>
    <row r="2307" spans="1:67" s="24" customFormat="1" ht="15" customHeight="1" x14ac:dyDescent="0.25">
      <c r="A2307" s="288" t="s">
        <v>2190</v>
      </c>
      <c r="B2307" s="241" t="str">
        <f>HYPERLINK(CONCATENATE($AT$3,BK2307,$AU$3),$AV$3)</f>
        <v>S</v>
      </c>
      <c r="C2307" s="242" t="str">
        <f>HYPERLINK(CONCATENATE($AT$4,BK2307,$AU$4,BL2307),$AV$4)</f>
        <v>A</v>
      </c>
      <c r="D2307" s="243" t="s">
        <v>5638</v>
      </c>
      <c r="E2307" s="244" t="s">
        <v>5182</v>
      </c>
      <c r="F2307" s="269" t="s">
        <v>8810</v>
      </c>
      <c r="G2307" s="273">
        <v>3</v>
      </c>
      <c r="H2307" s="283">
        <v>50</v>
      </c>
      <c r="I2307" s="246">
        <v>45</v>
      </c>
      <c r="J2307" s="246">
        <v>1</v>
      </c>
      <c r="K2307" s="247" t="s">
        <v>7918</v>
      </c>
      <c r="L2307" s="248">
        <v>171025</v>
      </c>
      <c r="M2307" s="249">
        <f>15*(LEFT(TEXT($L2307,"000000"),2)+(MID(TEXT($L2307,"000000"),3,2)/60)+(RIGHT(TEXT($L2307,"000000"),2)/3600))</f>
        <v>257.60416666666669</v>
      </c>
      <c r="N2307" s="250">
        <v>721817</v>
      </c>
      <c r="O2307" s="251">
        <f>IF($N2307&gt;0,(LEFT(TEXT($N2307,"000000"),2)+(MID(TEXT($N2307,"000000"),3,2)/60)+(RIGHT(TEXT($N2307,"000000"),2)/3600)),-(MID(TEXT($N2307,"000000"),2,2)+(MID(TEXT($N2307,"000000"),4,2)/60)+(RIGHT(TEXT($N2307,"000000"),2)/3600)))</f>
        <v>72.304722222222225</v>
      </c>
      <c r="P2307" s="252" t="s">
        <v>34</v>
      </c>
      <c r="Q2307" s="253"/>
      <c r="R2307" s="247" t="s">
        <v>3293</v>
      </c>
      <c r="S2307" s="272" t="s">
        <v>7919</v>
      </c>
      <c r="T2307" s="273">
        <v>11</v>
      </c>
      <c r="U2307" s="289">
        <v>22.19</v>
      </c>
      <c r="V2307" s="280">
        <v>0</v>
      </c>
      <c r="W2307" s="244"/>
      <c r="X2307" s="244"/>
      <c r="Y2307" s="362"/>
      <c r="Z2307" s="257">
        <f>altaz(J2000_Bas,$O2307,$M2307,DecLat,DecLong,1)</f>
        <v>46.04265195281544</v>
      </c>
      <c r="AA2307" s="257">
        <f>altaz((J2000_Bas+(2*0.04167)),$O2307,$M2307,DecLat,DecLong,1)</f>
        <v>38.819385033905036</v>
      </c>
      <c r="AB2307" s="257">
        <f>altaz((J2000_Bas+(4*0.04167)),$O2307,$M2307,DecLat,DecLong,1)</f>
        <v>29.813797832147241</v>
      </c>
      <c r="AC2307" s="257">
        <f>altaz((J2000_Bas+(6*0.04167)),$O2307,$M2307,DecLat,DecLong,1)</f>
        <v>21.453351739727839</v>
      </c>
      <c r="AD2307" s="258">
        <f>1+ transit((J2000_Bas-1),$O2307,$M2307,DecLat,DecLong)/360 + (GMTOffset/24) + (IF(DST="Y", 1, 0)/24)</f>
        <v>1.7084670187026247</v>
      </c>
      <c r="AE2307" s="259">
        <f>DATE(2001,9,21)+(M2307/360)*365 - (360*((DecLong/360)- (GMTOffset/24) ))</f>
        <v>37421.182002314818</v>
      </c>
      <c r="AF2307" s="260">
        <f>IF(DecLat&gt;0,IF((90 - (DecLat-O2307))&gt;90, (90 - (O2307-DecLat)), (90 - (DecLat-O2307))),IF((90 + (DecLat-O2307))&gt;90, (90 + (O2307-DecLat)), (90 + (DecLat-O2307))))</f>
        <v>48.695277777777775</v>
      </c>
      <c r="AG2307" s="257">
        <f>angularseperation(MoonRA,MoonDec,$M2307,$O2307)</f>
        <v>99.555943521378325</v>
      </c>
      <c r="AH2307" s="261">
        <f ca="1">MIN(100,IF($O$5&gt;80,0+30*($AG2307/100),IF($O$5&gt;70,0+50*($AG2307/100),IF($O$5&gt;60,5+50*($AG2307/100),IF($O$5&gt;50,10+60*($AG2307/100),IF($O$5&gt;40,15+70*($AG2307/100),IF($O$5&gt;30,20+70*($AG2307/100),IF($O$5&gt;20,40+55*($AG2307/100),(80+(20-$O$5)+30*($AG2307/100))))))))))</f>
        <v>100</v>
      </c>
      <c r="AI2307" s="262">
        <v>6340</v>
      </c>
      <c r="AJ2307" s="262"/>
      <c r="AK2307" s="262"/>
      <c r="AL2307" s="263"/>
      <c r="AM2307" s="264"/>
      <c r="AN2307" s="263"/>
      <c r="AO2307" s="263"/>
      <c r="AP2307" s="265"/>
      <c r="AQ2307" s="266">
        <v>10762</v>
      </c>
      <c r="AR2307" s="267">
        <v>59742</v>
      </c>
      <c r="AS2307" s="263"/>
      <c r="AT2307" s="263"/>
      <c r="AU2307" s="263"/>
      <c r="AV2307" s="264"/>
      <c r="AW2307" s="263"/>
      <c r="AX2307" s="263"/>
      <c r="AY2307" s="263"/>
      <c r="AZ2307" s="263"/>
      <c r="BA2307" s="263"/>
      <c r="BB2307" s="263"/>
      <c r="BC2307" s="263"/>
      <c r="BD2307" s="264"/>
      <c r="BE2307" s="263"/>
      <c r="BF2307" s="263"/>
      <c r="BG2307" s="263"/>
      <c r="BH2307" s="263"/>
      <c r="BI2307" s="263"/>
      <c r="BJ2307" s="404">
        <f>altaz(J2000_Bas,$O2307,$M2307,DecLat,DecLong,2)</f>
        <v>347.97934669721866</v>
      </c>
      <c r="BK2307" s="378" t="s">
        <v>2190</v>
      </c>
      <c r="BL2307" s="379">
        <f>IF((2*G2307)/60&lt;0.2,0.2,(2*G2307)/60)</f>
        <v>0.2</v>
      </c>
      <c r="BM2307" s="380">
        <f>MOD((50000+AD2307-$B$3+(0/24)),1)</f>
        <v>0.92383394840726396</v>
      </c>
      <c r="BN2307" s="381"/>
      <c r="BO2307" s="382">
        <v>2298</v>
      </c>
    </row>
    <row r="2308" spans="1:67" s="24" customFormat="1" ht="15" customHeight="1" x14ac:dyDescent="0.25">
      <c r="A2308" s="287" t="s">
        <v>3017</v>
      </c>
      <c r="B2308" s="241" t="str">
        <f>HYPERLINK(CONCATENATE($AT$3,BK2308,$AU$3),$AV$3)</f>
        <v>S</v>
      </c>
      <c r="C2308" s="242" t="str">
        <f>HYPERLINK(CONCATENATE($AT$4,BK2308,$AU$4,BL2308),$AV$4)</f>
        <v>A</v>
      </c>
      <c r="D2308" s="243" t="s">
        <v>5335</v>
      </c>
      <c r="E2308" s="244" t="s">
        <v>5184</v>
      </c>
      <c r="F2308" s="269" t="s">
        <v>3317</v>
      </c>
      <c r="G2308" s="273">
        <v>5</v>
      </c>
      <c r="H2308" s="283">
        <v>30000</v>
      </c>
      <c r="I2308" s="246">
        <v>42</v>
      </c>
      <c r="J2308" s="246">
        <v>2</v>
      </c>
      <c r="K2308" s="247" t="s">
        <v>7920</v>
      </c>
      <c r="L2308" s="248">
        <v>172112</v>
      </c>
      <c r="M2308" s="249">
        <f>15*(LEFT(TEXT($L2308,"000000"),2)+(MID(TEXT($L2308,"000000"),3,2)/60)+(RIGHT(TEXT($L2308,"000000"),2)/3600))</f>
        <v>260.3</v>
      </c>
      <c r="N2308" s="250">
        <v>-193500</v>
      </c>
      <c r="O2308" s="251">
        <f>IF($N2308&gt;0,(LEFT(TEXT($N2308,"000000"),2)+(MID(TEXT($N2308,"000000"),3,2)/60)+(RIGHT(TEXT($N2308,"000000"),2)/3600)),-(MID(TEXT($N2308,"000000"),2,2)+(MID(TEXT($N2308,"000000"),4,2)/60)+(RIGHT(TEXT($N2308,"000000"),2)/3600)))</f>
        <v>-19.583333333333332</v>
      </c>
      <c r="P2308" s="252" t="s">
        <v>113</v>
      </c>
      <c r="Q2308" s="253"/>
      <c r="R2308" s="277" t="s">
        <v>3293</v>
      </c>
      <c r="S2308" s="272" t="s">
        <v>3293</v>
      </c>
      <c r="T2308" s="273">
        <v>10</v>
      </c>
      <c r="U2308" s="274"/>
      <c r="V2308" s="280"/>
      <c r="W2308" s="244"/>
      <c r="X2308" s="244"/>
      <c r="Y2308" s="362"/>
      <c r="Z2308" s="257">
        <f>altaz(J2000_Bas,$O2308,$M2308,DecLat,DecLong,1)</f>
        <v>33.714196479561103</v>
      </c>
      <c r="AA2308" s="257">
        <f>altaz((J2000_Bas+(2*0.04167)),$O2308,$M2308,DecLat,DecLong,1)</f>
        <v>16.346773745292719</v>
      </c>
      <c r="AB2308" s="257">
        <f>altaz((J2000_Bas+(4*0.04167)),$O2308,$M2308,DecLat,DecLong,1)</f>
        <v>-6.5742852821810178</v>
      </c>
      <c r="AC2308" s="257">
        <f>altaz((J2000_Bas+(6*0.04167)),$O2308,$M2308,DecLat,DecLong,1)</f>
        <v>-31.74209959990954</v>
      </c>
      <c r="AD2308" s="258">
        <f>1+ transit((J2000_Bas-1),$O2308,$M2308,DecLat,DecLong)/360 + (GMTOffset/24) + (IF(DST="Y", 1, 0)/24)</f>
        <v>1.715955443879708</v>
      </c>
      <c r="AE2308" s="259">
        <f>DATE(2001,9,21)+(M2308/360)*365 - (360*((DecLong/360)- (GMTOffset/24) ))</f>
        <v>37423.915277777778</v>
      </c>
      <c r="AF2308" s="260">
        <f>IF(DecLat&gt;0,IF((90 - (DecLat-O2308))&gt;90, (90 - (O2308-DecLat)), (90 - (DecLat-O2308))),IF((90 + (DecLat-O2308))&gt;90, (90 + (O2308-DecLat)), (90 + (DecLat-O2308))))</f>
        <v>39.416666666666671</v>
      </c>
      <c r="AG2308" s="257">
        <f>angularseperation(MoonRA,MoonDec,$M2308,$O2308)</f>
        <v>12.612636108264788</v>
      </c>
      <c r="AH2308" s="261">
        <f ca="1">MIN(100,IF($O$5&gt;80,0+30*($AG2308/100),IF($O$5&gt;70,0+50*($AG2308/100),IF($O$5&gt;60,5+50*($AG2308/100),IF($O$5&gt;50,10+60*($AG2308/100),IF($O$5&gt;40,15+70*($AG2308/100),IF($O$5&gt;30,20+70*($AG2308/100),IF($O$5&gt;20,40+55*($AG2308/100),(80+(20-$O$5)+30*($AG2308/100))))))))))</f>
        <v>87.054851176629867</v>
      </c>
      <c r="AI2308" s="262">
        <v>6342</v>
      </c>
      <c r="AJ2308" s="263"/>
      <c r="AK2308" s="263">
        <v>327</v>
      </c>
      <c r="AL2308" s="263"/>
      <c r="AM2308" s="264"/>
      <c r="AN2308" s="263"/>
      <c r="AO2308" s="263"/>
      <c r="AP2308" s="265"/>
      <c r="AQ2308" s="265"/>
      <c r="AR2308" s="285"/>
      <c r="AS2308" s="263"/>
      <c r="AT2308" s="263"/>
      <c r="AU2308" s="263"/>
      <c r="AV2308" s="264"/>
      <c r="AW2308" s="263"/>
      <c r="AX2308" s="263"/>
      <c r="AY2308" s="263"/>
      <c r="AZ2308" s="263"/>
      <c r="BA2308" s="263"/>
      <c r="BB2308" s="263"/>
      <c r="BC2308" s="263"/>
      <c r="BD2308" s="264"/>
      <c r="BE2308" s="263"/>
      <c r="BF2308" s="263"/>
      <c r="BG2308" s="263"/>
      <c r="BH2308" s="263"/>
      <c r="BI2308" s="263"/>
      <c r="BJ2308" s="404">
        <f>altaz(J2000_Bas,$O2308,$M2308,DecLat,DecLong,2)</f>
        <v>209.42143559133433</v>
      </c>
      <c r="BK2308" s="378" t="s">
        <v>3017</v>
      </c>
      <c r="BL2308" s="379">
        <f>IF((2*G2308)/60&lt;0.2,0.2,(2*G2308)/60)</f>
        <v>0.2</v>
      </c>
      <c r="BM2308" s="380">
        <f>MOD((50000+AD2308-$B$3+(0/24)),1)</f>
        <v>0.93132237358076964</v>
      </c>
      <c r="BN2308" s="381"/>
      <c r="BO2308" s="382">
        <v>2299</v>
      </c>
    </row>
    <row r="2309" spans="1:67" s="24" customFormat="1" ht="15" customHeight="1" x14ac:dyDescent="0.25">
      <c r="A2309" s="288" t="s">
        <v>7653</v>
      </c>
      <c r="B2309" s="241" t="str">
        <f>HYPERLINK(CONCATENATE($AT$3,BK2309,$AU$3),$AV$3)</f>
        <v>S</v>
      </c>
      <c r="C2309" s="242" t="str">
        <f>HYPERLINK(CONCATENATE($AT$4,BK2309,$AU$4,BL2309),$AV$4)</f>
        <v>A</v>
      </c>
      <c r="D2309" s="243" t="s">
        <v>5638</v>
      </c>
      <c r="E2309" s="244" t="s">
        <v>5194</v>
      </c>
      <c r="F2309" s="269"/>
      <c r="G2309" s="273">
        <v>1</v>
      </c>
      <c r="H2309" s="283">
        <v>450</v>
      </c>
      <c r="I2309" s="246">
        <v>130</v>
      </c>
      <c r="J2309" s="246">
        <v>2</v>
      </c>
      <c r="K2309" s="247" t="s">
        <v>7921</v>
      </c>
      <c r="L2309" s="248">
        <v>171842</v>
      </c>
      <c r="M2309" s="249">
        <f>15*(LEFT(TEXT($L2309,"000000"),2)+(MID(TEXT($L2309,"000000"),3,2)/60)+(RIGHT(TEXT($L2309,"000000"),2)/3600))</f>
        <v>259.67500000000001</v>
      </c>
      <c r="N2309" s="250">
        <v>414136</v>
      </c>
      <c r="O2309" s="251">
        <f>IF($N2309&gt;0,(LEFT(TEXT($N2309,"000000"),2)+(MID(TEXT($N2309,"000000"),3,2)/60)+(RIGHT(TEXT($N2309,"000000"),2)/3600)),-(MID(TEXT($N2309,"000000"),2,2)+(MID(TEXT($N2309,"000000"),4,2)/60)+(RIGHT(TEXT($N2309,"000000"),2)/3600)))</f>
        <v>41.693333333333328</v>
      </c>
      <c r="P2309" s="252" t="s">
        <v>111</v>
      </c>
      <c r="Q2309" s="253"/>
      <c r="R2309" s="277" t="s">
        <v>3293</v>
      </c>
      <c r="S2309" s="272" t="s">
        <v>3293</v>
      </c>
      <c r="T2309" s="273">
        <v>13.2</v>
      </c>
      <c r="U2309" s="289">
        <v>21.990000000000002</v>
      </c>
      <c r="V2309" s="280"/>
      <c r="W2309" s="244"/>
      <c r="X2309" s="244"/>
      <c r="Y2309" s="362"/>
      <c r="Z2309" s="257">
        <f>altaz(J2000_Bas,$O2309,$M2309,DecLat,DecLong,1)</f>
        <v>66.382823583768797</v>
      </c>
      <c r="AA2309" s="257">
        <f>altaz((J2000_Bas+(2*0.04167)),$O2309,$M2309,DecLat,DecLong,1)</f>
        <v>44.160033533481439</v>
      </c>
      <c r="AB2309" s="257">
        <f>altaz((J2000_Bas+(4*0.04167)),$O2309,$M2309,DecLat,DecLong,1)</f>
        <v>22.438130904949858</v>
      </c>
      <c r="AC2309" s="257">
        <f>altaz((J2000_Bas+(6*0.04167)),$O2309,$M2309,DecLat,DecLong,1)</f>
        <v>3.2199224784329221</v>
      </c>
      <c r="AD2309" s="258">
        <f>1+ transit((J2000_Bas-1),$O2309,$M2309,DecLat,DecLong)/360 + (GMTOffset/24) + (IF(DST="Y", 1, 0)/24)</f>
        <v>1.7142193329422082</v>
      </c>
      <c r="AE2309" s="259">
        <f>DATE(2001,9,21)+(M2309/360)*365 - (360*((DecLong/360)- (GMTOffset/24) ))</f>
        <v>37423.281597222223</v>
      </c>
      <c r="AF2309" s="260">
        <f>IF(DecLat&gt;0,IF((90 - (DecLat-O2309))&gt;90, (90 - (O2309-DecLat)), (90 - (DecLat-O2309))),IF((90 + (DecLat-O2309))&gt;90, (90 + (O2309-DecLat)), (90 + (DecLat-O2309))))</f>
        <v>79.306666666666672</v>
      </c>
      <c r="AG2309" s="257">
        <f>angularseperation(MoonRA,MoonDec,$M2309,$O2309)</f>
        <v>69.451492110508511</v>
      </c>
      <c r="AH2309" s="261">
        <f ca="1">MIN(100,IF($O$5&gt;80,0+30*($AG2309/100),IF($O$5&gt;70,0+50*($AG2309/100),IF($O$5&gt;60,5+50*($AG2309/100),IF($O$5&gt;50,10+60*($AG2309/100),IF($O$5&gt;40,15+70*($AG2309/100),IF($O$5&gt;30,20+70*($AG2309/100),IF($O$5&gt;20,40+55*($AG2309/100),(80+(20-$O$5)+30*($AG2309/100))))))))))</f>
        <v>100</v>
      </c>
      <c r="AI2309" s="263">
        <v>6350</v>
      </c>
      <c r="AJ2309" s="263"/>
      <c r="AK2309" s="263"/>
      <c r="AL2309" s="263"/>
      <c r="AM2309" s="264"/>
      <c r="AN2309" s="263"/>
      <c r="AO2309" s="263"/>
      <c r="AP2309" s="265"/>
      <c r="AQ2309" s="265">
        <v>10800</v>
      </c>
      <c r="AR2309" s="285">
        <v>60046</v>
      </c>
      <c r="AS2309" s="263"/>
      <c r="AT2309" s="263"/>
      <c r="AU2309" s="263"/>
      <c r="AV2309" s="264"/>
      <c r="AW2309" s="263"/>
      <c r="AX2309" s="263"/>
      <c r="AY2309" s="263"/>
      <c r="AZ2309" s="263"/>
      <c r="BA2309" s="263"/>
      <c r="BB2309" s="263"/>
      <c r="BC2309" s="263"/>
      <c r="BD2309" s="264"/>
      <c r="BE2309" s="263"/>
      <c r="BF2309" s="263"/>
      <c r="BG2309" s="263"/>
      <c r="BH2309" s="263"/>
      <c r="BI2309" s="263"/>
      <c r="BJ2309" s="404">
        <f>altaz(J2000_Bas,$O2309,$M2309,DecLat,DecLong,2)</f>
        <v>304.24505984397689</v>
      </c>
      <c r="BK2309" s="378" t="s">
        <v>3113</v>
      </c>
      <c r="BL2309" s="379">
        <f>IF((2*G2309)/60&lt;0.2,0.2,(2*G2309)/60)</f>
        <v>0.2</v>
      </c>
      <c r="BM2309" s="380">
        <f>MOD((50000+AD2309-$B$3+(0/24)),1)</f>
        <v>0.92958626264589839</v>
      </c>
      <c r="BN2309" s="381"/>
      <c r="BO2309" s="382">
        <v>2300</v>
      </c>
    </row>
    <row r="2310" spans="1:67" s="24" customFormat="1" ht="15" customHeight="1" x14ac:dyDescent="0.25">
      <c r="A2310" s="288" t="s">
        <v>7922</v>
      </c>
      <c r="B2310" s="241" t="str">
        <f>HYPERLINK(CONCATENATE($AT$3,BK2310,$AU$3),$AV$3)</f>
        <v>S</v>
      </c>
      <c r="C2310" s="242" t="str">
        <f>HYPERLINK(CONCATENATE($AT$4,BK2310,$AU$4,BL2310),$AV$4)</f>
        <v>A</v>
      </c>
      <c r="D2310" s="243" t="s">
        <v>5638</v>
      </c>
      <c r="E2310" s="244" t="s">
        <v>5178</v>
      </c>
      <c r="F2310" s="269"/>
      <c r="G2310" s="273">
        <v>1</v>
      </c>
      <c r="H2310" s="283">
        <v>500</v>
      </c>
      <c r="I2310" s="246">
        <v>150</v>
      </c>
      <c r="J2310" s="246">
        <v>2</v>
      </c>
      <c r="K2310" s="247" t="s">
        <v>7923</v>
      </c>
      <c r="L2310" s="248">
        <v>171911</v>
      </c>
      <c r="M2310" s="249">
        <f>15*(LEFT(TEXT($L2310,"000000"),2)+(MID(TEXT($L2310,"000000"),3,2)/60)+(RIGHT(TEXT($L2310,"000000"),2)/3600))</f>
        <v>259.79583333333335</v>
      </c>
      <c r="N2310" s="250">
        <v>360330</v>
      </c>
      <c r="O2310" s="251">
        <f>IF($N2310&gt;0,(LEFT(TEXT($N2310,"000000"),2)+(MID(TEXT($N2310,"000000"),3,2)/60)+(RIGHT(TEXT($N2310,"000000"),2)/3600)),-(MID(TEXT($N2310,"000000"),2,2)+(MID(TEXT($N2310,"000000"),4,2)/60)+(RIGHT(TEXT($N2310,"000000"),2)/3600)))</f>
        <v>36.05833333333333</v>
      </c>
      <c r="P2310" s="252" t="s">
        <v>111</v>
      </c>
      <c r="Q2310" s="253"/>
      <c r="R2310" s="277" t="s">
        <v>3293</v>
      </c>
      <c r="S2310" s="272" t="s">
        <v>9209</v>
      </c>
      <c r="T2310" s="273">
        <v>15.2</v>
      </c>
      <c r="U2310" s="289">
        <v>22.39</v>
      </c>
      <c r="V2310" s="280">
        <v>65</v>
      </c>
      <c r="W2310" s="244"/>
      <c r="X2310" s="244"/>
      <c r="Y2310" s="362"/>
      <c r="Z2310" s="257">
        <f>altaz(J2000_Bas,$O2310,$M2310,DecLat,DecLong,1)</f>
        <v>67.649422593378418</v>
      </c>
      <c r="AA2310" s="257">
        <f>altaz((J2000_Bas+(2*0.04167)),$O2310,$M2310,DecLat,DecLong,1)</f>
        <v>43.450072880978794</v>
      </c>
      <c r="AB2310" s="257">
        <f>altaz((J2000_Bas+(4*0.04167)),$O2310,$M2310,DecLat,DecLong,1)</f>
        <v>20.301342732645114</v>
      </c>
      <c r="AC2310" s="257">
        <f>altaz((J2000_Bas+(6*0.04167)),$O2310,$M2310,DecLat,DecLong,1)</f>
        <v>-0.32133555722214757</v>
      </c>
      <c r="AD2310" s="258">
        <f>1+ transit((J2000_Bas-1),$O2310,$M2310,DecLat,DecLong)/360 + (GMTOffset/24) + (IF(DST="Y", 1, 0)/24)</f>
        <v>1.7145549810567915</v>
      </c>
      <c r="AE2310" s="259">
        <f>DATE(2001,9,21)+(M2310/360)*365 - (360*((DecLong/360)- (GMTOffset/24) ))</f>
        <v>37423.404108796298</v>
      </c>
      <c r="AF2310" s="260">
        <f>IF(DecLat&gt;0,IF((90 - (DecLat-O2310))&gt;90, (90 - (O2310-DecLat)), (90 - (DecLat-O2310))),IF((90 + (DecLat-O2310))&gt;90, (90 + (O2310-DecLat)), (90 + (DecLat-O2310))))</f>
        <v>84.941666666666663</v>
      </c>
      <c r="AG2310" s="257">
        <f>angularseperation(MoonRA,MoonDec,$M2310,$O2310)</f>
        <v>63.921770552967999</v>
      </c>
      <c r="AH2310" s="261">
        <f ca="1">MIN(100,IF($O$5&gt;80,0+30*($AG2310/100),IF($O$5&gt;70,0+50*($AG2310/100),IF($O$5&gt;60,5+50*($AG2310/100),IF($O$5&gt;50,10+60*($AG2310/100),IF($O$5&gt;40,15+70*($AG2310/100),IF($O$5&gt;30,20+70*($AG2310/100),IF($O$5&gt;20,40+55*($AG2310/100),(80+(20-$O$5)+30*($AG2310/100))))))))))</f>
        <v>100</v>
      </c>
      <c r="AI2310" s="263">
        <v>6351</v>
      </c>
      <c r="AJ2310" s="263"/>
      <c r="AK2310" s="263"/>
      <c r="AL2310" s="263"/>
      <c r="AM2310" s="264"/>
      <c r="AN2310" s="263"/>
      <c r="AO2310" s="263"/>
      <c r="AP2310" s="265"/>
      <c r="AQ2310" s="265"/>
      <c r="AR2310" s="285">
        <v>60063</v>
      </c>
      <c r="AS2310" s="263"/>
      <c r="AT2310" s="263"/>
      <c r="AU2310" s="263"/>
      <c r="AV2310" s="264"/>
      <c r="AW2310" s="263"/>
      <c r="AX2310" s="263"/>
      <c r="AY2310" s="263"/>
      <c r="AZ2310" s="263"/>
      <c r="BA2310" s="263"/>
      <c r="BB2310" s="263"/>
      <c r="BC2310" s="263"/>
      <c r="BD2310" s="264"/>
      <c r="BE2310" s="263"/>
      <c r="BF2310" s="263"/>
      <c r="BG2310" s="263"/>
      <c r="BH2310" s="263"/>
      <c r="BI2310" s="263"/>
      <c r="BJ2310" s="404">
        <f>altaz(J2000_Bas,$O2310,$M2310,DecLat,DecLong,2)</f>
        <v>290.1458056051049</v>
      </c>
      <c r="BK2310" s="378" t="s">
        <v>3114</v>
      </c>
      <c r="BL2310" s="379">
        <f>IF((2*G2310)/60&lt;0.2,0.2,(2*G2310)/60)</f>
        <v>0.2</v>
      </c>
      <c r="BM2310" s="380">
        <f>MOD((50000+AD2310-$B$3+(0/24)),1)</f>
        <v>0.92992191076336894</v>
      </c>
      <c r="BN2310" s="381"/>
      <c r="BO2310" s="382">
        <v>2301</v>
      </c>
    </row>
    <row r="2311" spans="1:67" s="24" customFormat="1" ht="15" customHeight="1" x14ac:dyDescent="0.25">
      <c r="A2311" s="288" t="s">
        <v>2191</v>
      </c>
      <c r="B2311" s="241" t="str">
        <f>HYPERLINK(CONCATENATE($AT$3,BK2311,$AU$3),$AV$3)</f>
        <v>S</v>
      </c>
      <c r="C2311" s="242" t="str">
        <f>HYPERLINK(CONCATENATE($AT$4,BK2311,$AU$4,BL2311),$AV$4)</f>
        <v>A</v>
      </c>
      <c r="D2311" s="243" t="s">
        <v>5335</v>
      </c>
      <c r="E2311" s="244" t="s">
        <v>5184</v>
      </c>
      <c r="F2311" s="269" t="s">
        <v>3315</v>
      </c>
      <c r="G2311" s="273">
        <v>7</v>
      </c>
      <c r="H2311" s="283">
        <v>20000</v>
      </c>
      <c r="I2311" s="246">
        <v>40</v>
      </c>
      <c r="J2311" s="246">
        <v>2</v>
      </c>
      <c r="K2311" s="247" t="s">
        <v>7924</v>
      </c>
      <c r="L2311" s="248">
        <v>172529</v>
      </c>
      <c r="M2311" s="249">
        <f>15*(LEFT(TEXT($L2311,"000000"),2)+(MID(TEXT($L2311,"000000"),3,2)/60)+(RIGHT(TEXT($L2311,"000000"),2)/3600))</f>
        <v>261.37083333333334</v>
      </c>
      <c r="N2311" s="250">
        <v>-482521</v>
      </c>
      <c r="O2311" s="251">
        <f>IF($N2311&gt;0,(LEFT(TEXT($N2311,"000000"),2)+(MID(TEXT($N2311,"000000"),3,2)/60)+(RIGHT(TEXT($N2311,"000000"),2)/3600)),-(MID(TEXT($N2311,"000000"),2,2)+(MID(TEXT($N2311,"000000"),4,2)/60)+(RIGHT(TEXT($N2311,"000000"),2)/3600)))</f>
        <v>-48.422499999999999</v>
      </c>
      <c r="P2311" s="252" t="s">
        <v>2168</v>
      </c>
      <c r="Q2311" s="253"/>
      <c r="R2311" s="247" t="s">
        <v>7393</v>
      </c>
      <c r="S2311" s="272" t="s">
        <v>3293</v>
      </c>
      <c r="T2311" s="273">
        <v>7.8</v>
      </c>
      <c r="U2311" s="274"/>
      <c r="V2311" s="280"/>
      <c r="W2311" s="244"/>
      <c r="X2311" s="244"/>
      <c r="Y2311" s="362"/>
      <c r="Z2311" s="257">
        <f>altaz(J2000_Bas,$O2311,$M2311,DecLat,DecLong,1)</f>
        <v>7.573813832311032</v>
      </c>
      <c r="AA2311" s="257">
        <f>altaz((J2000_Bas+(2*0.04167)),$O2311,$M2311,DecLat,DecLong,1)</f>
        <v>-3.2504279748011311</v>
      </c>
      <c r="AB2311" s="257">
        <f>altaz((J2000_Bas+(4*0.04167)),$O2311,$M2311,DecLat,DecLong,1)</f>
        <v>-19.495428621621166</v>
      </c>
      <c r="AC2311" s="257">
        <f>altaz((J2000_Bas+(6*0.04167)),$O2311,$M2311,DecLat,DecLong,1)</f>
        <v>-38.656591997516479</v>
      </c>
      <c r="AD2311" s="258">
        <f>1+ transit((J2000_Bas-1),$O2311,$M2311,DecLat,DecLong)/360 + (GMTOffset/24) + (IF(DST="Y", 1, 0)/24)</f>
        <v>1.7189299806192915</v>
      </c>
      <c r="AE2311" s="259">
        <f>DATE(2001,9,21)+(M2311/360)*365 - (360*((DecLong/360)- (GMTOffset/24) ))</f>
        <v>37425.000983796293</v>
      </c>
      <c r="AF2311" s="260">
        <f>IF(DecLat&gt;0,IF((90 - (DecLat-O2311))&gt;90, (90 - (O2311-DecLat)), (90 - (DecLat-O2311))),IF((90 + (DecLat-O2311))&gt;90, (90 + (O2311-DecLat)), (90 + (DecLat-O2311))))</f>
        <v>10.577500000000001</v>
      </c>
      <c r="AG2311" s="257">
        <f>angularseperation(MoonRA,MoonDec,$M2311,$O2311)</f>
        <v>23.327275902005784</v>
      </c>
      <c r="AH2311" s="261">
        <f ca="1">MIN(100,IF($O$5&gt;80,0+30*($AG2311/100),IF($O$5&gt;70,0+50*($AG2311/100),IF($O$5&gt;60,5+50*($AG2311/100),IF($O$5&gt;50,10+60*($AG2311/100),IF($O$5&gt;40,15+70*($AG2311/100),IF($O$5&gt;30,20+70*($AG2311/100),IF($O$5&gt;20,40+55*($AG2311/100),(80+(20-$O$5)+30*($AG2311/100))))))))))</f>
        <v>90.269243114752157</v>
      </c>
      <c r="AI2311" s="262">
        <v>6352</v>
      </c>
      <c r="AJ2311" s="262"/>
      <c r="AK2311" s="262"/>
      <c r="AL2311" s="263"/>
      <c r="AM2311" s="264">
        <v>81</v>
      </c>
      <c r="AN2311" s="263"/>
      <c r="AO2311" s="263"/>
      <c r="AP2311" s="265"/>
      <c r="AQ2311" s="266"/>
      <c r="AR2311" s="267"/>
      <c r="AS2311" s="263"/>
      <c r="AT2311" s="263"/>
      <c r="AU2311" s="263"/>
      <c r="AV2311" s="264"/>
      <c r="AW2311" s="263"/>
      <c r="AX2311" s="263"/>
      <c r="AY2311" s="263"/>
      <c r="AZ2311" s="263"/>
      <c r="BA2311" s="263"/>
      <c r="BB2311" s="263"/>
      <c r="BC2311" s="263"/>
      <c r="BD2311" s="264"/>
      <c r="BE2311" s="263"/>
      <c r="BF2311" s="263"/>
      <c r="BG2311" s="263"/>
      <c r="BH2311" s="263"/>
      <c r="BI2311" s="263"/>
      <c r="BJ2311" s="404">
        <f>altaz(J2000_Bas,$O2311,$M2311,DecLat,DecLong,2)</f>
        <v>196.202112332496</v>
      </c>
      <c r="BK2311" s="378" t="s">
        <v>2191</v>
      </c>
      <c r="BL2311" s="379">
        <f>IF((2*G2311)/60&lt;0.2,0.2,(2*G2311)/60)</f>
        <v>0.23333333333333334</v>
      </c>
      <c r="BM2311" s="380">
        <f>MOD((50000+AD2311-$B$3+(0/24)),1)</f>
        <v>0.93429691032361006</v>
      </c>
      <c r="BN2311" s="381"/>
      <c r="BO2311" s="382">
        <v>2302</v>
      </c>
    </row>
    <row r="2312" spans="1:67" s="24" customFormat="1" ht="15" customHeight="1" x14ac:dyDescent="0.25">
      <c r="A2312" s="288" t="s">
        <v>2192</v>
      </c>
      <c r="B2312" s="241"/>
      <c r="C2312" s="242" t="str">
        <f>HYPERLINK(CONCATENATE($AT$4,BK2312,$AU$4,BL2312),$AV$4)</f>
        <v>A</v>
      </c>
      <c r="D2312" s="243" t="s">
        <v>5335</v>
      </c>
      <c r="E2312" s="244" t="s">
        <v>5185</v>
      </c>
      <c r="F2312" s="269">
        <v>5</v>
      </c>
      <c r="G2312" s="270">
        <v>0.5</v>
      </c>
      <c r="H2312" s="289" t="s">
        <v>6500</v>
      </c>
      <c r="I2312" s="244" t="s">
        <v>6500</v>
      </c>
      <c r="J2312" s="246">
        <v>2</v>
      </c>
      <c r="K2312" s="247" t="s">
        <v>7925</v>
      </c>
      <c r="L2312" s="248">
        <v>172112</v>
      </c>
      <c r="M2312" s="249">
        <f>15*(LEFT(TEXT($L2312,"000000"),2)+(MID(TEXT($L2312,"000000"),3,2)/60)+(RIGHT(TEXT($L2312,"000000"),2)/3600))</f>
        <v>260.3</v>
      </c>
      <c r="N2312" s="250">
        <v>154117</v>
      </c>
      <c r="O2312" s="251">
        <f>IF($N2312&gt;0,(LEFT(TEXT($N2312,"000000"),2)+(MID(TEXT($N2312,"000000"),3,2)/60)+(RIGHT(TEXT($N2312,"000000"),2)/3600)),-(MID(TEXT($N2312,"000000"),2,2)+(MID(TEXT($N2312,"000000"),4,2)/60)+(RIGHT(TEXT($N2312,"000000"),2)/3600)))</f>
        <v>15.688055555555556</v>
      </c>
      <c r="P2312" s="252" t="s">
        <v>111</v>
      </c>
      <c r="Q2312" s="253"/>
      <c r="R2312" s="247" t="s">
        <v>3293</v>
      </c>
      <c r="S2312" s="272" t="s">
        <v>3293</v>
      </c>
      <c r="T2312" s="273"/>
      <c r="U2312" s="274"/>
      <c r="V2312" s="280"/>
      <c r="W2312" s="244"/>
      <c r="X2312" s="244"/>
      <c r="Y2312" s="362"/>
      <c r="Z2312" s="257">
        <f>altaz(J2000_Bas,$O2312,$M2312,DecLat,DecLong,1)</f>
        <v>61.988232551093596</v>
      </c>
      <c r="AA2312" s="257">
        <f>altaz((J2000_Bas+(2*0.04167)),$O2312,$M2312,DecLat,DecLong,1)</f>
        <v>37.104494054183426</v>
      </c>
      <c r="AB2312" s="257">
        <f>altaz((J2000_Bas+(4*0.04167)),$O2312,$M2312,DecLat,DecLong,1)</f>
        <v>11.459475219449029</v>
      </c>
      <c r="AC2312" s="257">
        <f>altaz((J2000_Bas+(6*0.04167)),$O2312,$M2312,DecLat,DecLong,1)</f>
        <v>-12.822253552642248</v>
      </c>
      <c r="AD2312" s="258">
        <f>1+ transit((J2000_Bas-1),$O2312,$M2312,DecLat,DecLong)/360 + (GMTOffset/24) + (IF(DST="Y", 1, 0)/24)</f>
        <v>1.715955443879708</v>
      </c>
      <c r="AE2312" s="259">
        <f>DATE(2001,9,21)+(M2312/360)*365 - (360*((DecLong/360)- (GMTOffset/24) ))</f>
        <v>37423.915277777778</v>
      </c>
      <c r="AF2312" s="260">
        <f>IF(DecLat&gt;0,IF((90 - (DecLat-O2312))&gt;90, (90 - (O2312-DecLat)), (90 - (DecLat-O2312))),IF((90 + (DecLat-O2312))&gt;90, (90 + (O2312-DecLat)), (90 + (DecLat-O2312))))</f>
        <v>74.68805555555555</v>
      </c>
      <c r="AG2312" s="257">
        <f>angularseperation(MoonRA,MoonDec,$M2312,$O2312)</f>
        <v>44.098449399068869</v>
      </c>
      <c r="AH2312" s="261">
        <f ca="1">MIN(100,IF($O$5&gt;80,0+30*($AG2312/100),IF($O$5&gt;70,0+50*($AG2312/100),IF($O$5&gt;60,5+50*($AG2312/100),IF($O$5&gt;50,10+60*($AG2312/100),IF($O$5&gt;40,15+70*($AG2312/100),IF($O$5&gt;30,20+70*($AG2312/100),IF($O$5&gt;20,40+55*($AG2312/100),(80+(20-$O$5)+30*($AG2312/100))))))))))</f>
        <v>96.500595163871083</v>
      </c>
      <c r="AI2312" s="262">
        <v>6353</v>
      </c>
      <c r="AJ2312" s="262"/>
      <c r="AK2312" s="262"/>
      <c r="AL2312" s="263"/>
      <c r="AM2312" s="264"/>
      <c r="AN2312" s="263"/>
      <c r="AO2312" s="263"/>
      <c r="AP2312" s="265"/>
      <c r="AQ2312" s="266"/>
      <c r="AR2312" s="267"/>
      <c r="AS2312" s="263"/>
      <c r="AT2312" s="263"/>
      <c r="AU2312" s="263"/>
      <c r="AV2312" s="264"/>
      <c r="AW2312" s="263"/>
      <c r="AX2312" s="263"/>
      <c r="AY2312" s="263"/>
      <c r="AZ2312" s="263"/>
      <c r="BA2312" s="263"/>
      <c r="BB2312" s="263"/>
      <c r="BC2312" s="263"/>
      <c r="BD2312" s="264"/>
      <c r="BE2312" s="263"/>
      <c r="BF2312" s="263"/>
      <c r="BG2312" s="263"/>
      <c r="BH2312" s="263"/>
      <c r="BI2312" s="263"/>
      <c r="BJ2312" s="404">
        <f>altaz(J2000_Bas,$O2312,$M2312,DecLat,DecLong,2)</f>
        <v>242.75393757536364</v>
      </c>
      <c r="BK2312" s="378" t="s">
        <v>6487</v>
      </c>
      <c r="BL2312" s="379">
        <f>IF((2*G2312)/60&lt;0.2,0.2,(2*G2312)/60)</f>
        <v>0.2</v>
      </c>
      <c r="BM2312" s="380">
        <f>MOD((50000+AD2312-$B$3+(0/24)),1)</f>
        <v>0.93132237358076964</v>
      </c>
      <c r="BN2312" s="381"/>
      <c r="BO2312" s="382">
        <v>2303</v>
      </c>
    </row>
    <row r="2313" spans="1:67" s="24" customFormat="1" ht="15" customHeight="1" x14ac:dyDescent="0.25">
      <c r="A2313" s="287" t="s">
        <v>3018</v>
      </c>
      <c r="B2313" s="241" t="str">
        <f>HYPERLINK(CONCATENATE($AT$3,BK2313,$AU$3),$AV$3)</f>
        <v>S</v>
      </c>
      <c r="C2313" s="242" t="str">
        <f>HYPERLINK(CONCATENATE($AT$4,BK2313,$AU$4,BL2313),$AV$4)</f>
        <v>A</v>
      </c>
      <c r="D2313" s="243" t="s">
        <v>5335</v>
      </c>
      <c r="E2313" s="244" t="s">
        <v>5184</v>
      </c>
      <c r="F2313" s="269"/>
      <c r="G2313" s="273">
        <v>5</v>
      </c>
      <c r="H2313" s="283">
        <v>30000</v>
      </c>
      <c r="I2313" s="246">
        <v>45</v>
      </c>
      <c r="J2313" s="246">
        <v>2</v>
      </c>
      <c r="K2313" s="247" t="s">
        <v>7926</v>
      </c>
      <c r="L2313" s="248">
        <v>172400</v>
      </c>
      <c r="M2313" s="249">
        <f>15*(LEFT(TEXT($L2313,"000000"),2)+(MID(TEXT($L2313,"000000"),3,2)/60)+(RIGHT(TEXT($L2313,"000000"),2)/3600))</f>
        <v>261</v>
      </c>
      <c r="N2313" s="250">
        <v>-262100</v>
      </c>
      <c r="O2313" s="251">
        <f>IF($N2313&gt;0,(LEFT(TEXT($N2313,"000000"),2)+(MID(TEXT($N2313,"000000"),3,2)/60)+(RIGHT(TEXT($N2313,"000000"),2)/3600)),-(MID(TEXT($N2313,"000000"),2,2)+(MID(TEXT($N2313,"000000"),4,2)/60)+(RIGHT(TEXT($N2313,"000000"),2)/3600)))</f>
        <v>-26.35</v>
      </c>
      <c r="P2313" s="252" t="s">
        <v>113</v>
      </c>
      <c r="Q2313" s="253"/>
      <c r="R2313" s="277" t="s">
        <v>3293</v>
      </c>
      <c r="S2313" s="272" t="s">
        <v>3293</v>
      </c>
      <c r="T2313" s="273">
        <v>11</v>
      </c>
      <c r="U2313" s="274"/>
      <c r="V2313" s="280"/>
      <c r="W2313" s="244"/>
      <c r="X2313" s="244"/>
      <c r="Y2313" s="362"/>
      <c r="Z2313" s="257">
        <f>altaz(J2000_Bas,$O2313,$M2313,DecLat,DecLong,1)</f>
        <v>27.873772549289654</v>
      </c>
      <c r="AA2313" s="257">
        <f>altaz((J2000_Bas+(2*0.04167)),$O2313,$M2313,DecLat,DecLong,1)</f>
        <v>12.181488537345667</v>
      </c>
      <c r="AB2313" s="257">
        <f>altaz((J2000_Bas+(4*0.04167)),$O2313,$M2313,DecLat,DecLong,1)</f>
        <v>-9.4362417083455039</v>
      </c>
      <c r="AC2313" s="257">
        <f>altaz((J2000_Bas+(6*0.04167)),$O2313,$M2313,DecLat,DecLong,1)</f>
        <v>-33.802215892741337</v>
      </c>
      <c r="AD2313" s="258">
        <f>1+ transit((J2000_Bas-1),$O2313,$M2313,DecLat,DecLong)/360 + (GMTOffset/24) + (IF(DST="Y", 1, 0)/24)</f>
        <v>1.7178998881297081</v>
      </c>
      <c r="AE2313" s="259">
        <f>DATE(2001,9,21)+(M2313/360)*365 - (360*((DecLong/360)- (GMTOffset/24) ))</f>
        <v>37424.625</v>
      </c>
      <c r="AF2313" s="260">
        <f>IF(DecLat&gt;0,IF((90 - (DecLat-O2313))&gt;90, (90 - (O2313-DecLat)), (90 - (DecLat-O2313))),IF((90 + (DecLat-O2313))&gt;90, (90 + (O2313-DecLat)), (90 + (DecLat-O2313))))</f>
        <v>32.65</v>
      </c>
      <c r="AG2313" s="257">
        <f>angularseperation(MoonRA,MoonDec,$M2313,$O2313)</f>
        <v>10.524535932483593</v>
      </c>
      <c r="AH2313" s="261">
        <f ca="1">MIN(100,IF($O$5&gt;80,0+30*($AG2313/100),IF($O$5&gt;70,0+50*($AG2313/100),IF($O$5&gt;60,5+50*($AG2313/100),IF($O$5&gt;50,10+60*($AG2313/100),IF($O$5&gt;40,15+70*($AG2313/100),IF($O$5&gt;30,20+70*($AG2313/100),IF($O$5&gt;20,40+55*($AG2313/100),(80+(20-$O$5)+30*($AG2313/100))))))))))</f>
        <v>86.428421123895504</v>
      </c>
      <c r="AI2313" s="262">
        <v>6355</v>
      </c>
      <c r="AJ2313" s="263"/>
      <c r="AK2313" s="263">
        <v>328</v>
      </c>
      <c r="AL2313" s="263"/>
      <c r="AM2313" s="264"/>
      <c r="AN2313" s="263"/>
      <c r="AO2313" s="263"/>
      <c r="AP2313" s="265"/>
      <c r="AQ2313" s="265"/>
      <c r="AR2313" s="285"/>
      <c r="AS2313" s="263"/>
      <c r="AT2313" s="263"/>
      <c r="AU2313" s="263"/>
      <c r="AV2313" s="264"/>
      <c r="AW2313" s="263"/>
      <c r="AX2313" s="263"/>
      <c r="AY2313" s="263"/>
      <c r="AZ2313" s="263"/>
      <c r="BA2313" s="263"/>
      <c r="BB2313" s="263"/>
      <c r="BC2313" s="263"/>
      <c r="BD2313" s="264"/>
      <c r="BE2313" s="263"/>
      <c r="BF2313" s="263"/>
      <c r="BG2313" s="263"/>
      <c r="BH2313" s="263"/>
      <c r="BI2313" s="263"/>
      <c r="BJ2313" s="404">
        <f>altaz(J2000_Bas,$O2313,$M2313,DecLat,DecLong,2)</f>
        <v>205.36952782373433</v>
      </c>
      <c r="BK2313" s="378" t="s">
        <v>3018</v>
      </c>
      <c r="BL2313" s="379">
        <f>IF((2*G2313)/60&lt;0.2,0.2,(2*G2313)/60)</f>
        <v>0.2</v>
      </c>
      <c r="BM2313" s="380">
        <f>MOD((50000+AD2313-$B$3+(0/24)),1)</f>
        <v>0.93326681783219101</v>
      </c>
      <c r="BN2313" s="381"/>
      <c r="BO2313" s="382">
        <v>2304</v>
      </c>
    </row>
    <row r="2314" spans="1:67" s="24" customFormat="1" ht="15" customHeight="1" x14ac:dyDescent="0.25">
      <c r="A2314" s="288" t="s">
        <v>2193</v>
      </c>
      <c r="B2314" s="241" t="str">
        <f>HYPERLINK(CONCATENATE($AT$3,BK2314,$AU$3),$AV$3)</f>
        <v>S</v>
      </c>
      <c r="C2314" s="242" t="str">
        <f>HYPERLINK(CONCATENATE($AT$4,BK2314,$AU$4,BL2314),$AV$4)</f>
        <v>A</v>
      </c>
      <c r="D2314" s="243" t="s">
        <v>5335</v>
      </c>
      <c r="E2314" s="244" t="s">
        <v>5184</v>
      </c>
      <c r="F2314" s="269" t="s">
        <v>3310</v>
      </c>
      <c r="G2314" s="273">
        <v>8</v>
      </c>
      <c r="H2314" s="283">
        <v>50000</v>
      </c>
      <c r="I2314" s="246">
        <v>110</v>
      </c>
      <c r="J2314" s="246">
        <v>2</v>
      </c>
      <c r="K2314" s="247" t="s">
        <v>7927</v>
      </c>
      <c r="L2314" s="248">
        <v>172335</v>
      </c>
      <c r="M2314" s="249">
        <f>15*(LEFT(TEXT($L2314,"000000"),2)+(MID(TEXT($L2314,"000000"),3,2)/60)+(RIGHT(TEXT($L2314,"000000"),2)/3600))</f>
        <v>260.89583333333331</v>
      </c>
      <c r="N2314" s="250">
        <v>-174852</v>
      </c>
      <c r="O2314" s="251">
        <f>IF($N2314&gt;0,(LEFT(TEXT($N2314,"000000"),2)+(MID(TEXT($N2314,"000000"),3,2)/60)+(RIGHT(TEXT($N2314,"000000"),2)/3600)),-(MID(TEXT($N2314,"000000"),2,2)+(MID(TEXT($N2314,"000000"),4,2)/60)+(RIGHT(TEXT($N2314,"000000"),2)/3600)))</f>
        <v>-17.814444444444444</v>
      </c>
      <c r="P2314" s="252" t="s">
        <v>113</v>
      </c>
      <c r="Q2314" s="253"/>
      <c r="R2314" s="247" t="s">
        <v>3293</v>
      </c>
      <c r="S2314" s="272" t="s">
        <v>3293</v>
      </c>
      <c r="T2314" s="273">
        <v>7.4</v>
      </c>
      <c r="U2314" s="274"/>
      <c r="V2314" s="280"/>
      <c r="W2314" s="244"/>
      <c r="X2314" s="244"/>
      <c r="Y2314" s="362"/>
      <c r="Z2314" s="257">
        <f>altaz(J2000_Bas,$O2314,$M2314,DecLat,DecLong,1)</f>
        <v>35.548818798501841</v>
      </c>
      <c r="AA2314" s="257">
        <f>altaz((J2000_Bas+(2*0.04167)),$O2314,$M2314,DecLat,DecLong,1)</f>
        <v>17.955250499161732</v>
      </c>
      <c r="AB2314" s="257">
        <f>altaz((J2000_Bas+(4*0.04167)),$O2314,$M2314,DecLat,DecLong,1)</f>
        <v>-5.1842361340621288</v>
      </c>
      <c r="AC2314" s="257">
        <f>altaz((J2000_Bas+(6*0.04167)),$O2314,$M2314,DecLat,DecLong,1)</f>
        <v>-30.47081181444188</v>
      </c>
      <c r="AD2314" s="258">
        <f>1+ transit((J2000_Bas-1),$O2314,$M2314,DecLat,DecLong)/360 + (GMTOffset/24) + (IF(DST="Y", 1, 0)/24)</f>
        <v>1.7176105363067913</v>
      </c>
      <c r="AE2314" s="259">
        <f>DATE(2001,9,21)+(M2314/360)*365 - (360*((DecLong/360)- (GMTOffset/24) ))</f>
        <v>37424.519386574073</v>
      </c>
      <c r="AF2314" s="260">
        <f>IF(DecLat&gt;0,IF((90 - (DecLat-O2314))&gt;90, (90 - (O2314-DecLat)), (90 - (DecLat-O2314))),IF((90 + (DecLat-O2314))&gt;90, (90 + (O2314-DecLat)), (90 + (DecLat-O2314))))</f>
        <v>41.185555555555553</v>
      </c>
      <c r="AG2314" s="257">
        <f>angularseperation(MoonRA,MoonDec,$M2314,$O2314)</f>
        <v>14.194853018361858</v>
      </c>
      <c r="AH2314" s="261">
        <f ca="1">MIN(100,IF($O$5&gt;80,0+30*($AG2314/100),IF($O$5&gt;70,0+50*($AG2314/100),IF($O$5&gt;60,5+50*($AG2314/100),IF($O$5&gt;50,10+60*($AG2314/100),IF($O$5&gt;40,15+70*($AG2314/100),IF($O$5&gt;30,20+70*($AG2314/100),IF($O$5&gt;20,40+55*($AG2314/100),(80+(20-$O$5)+30*($AG2314/100))))))))))</f>
        <v>87.529516249658982</v>
      </c>
      <c r="AI2314" s="262">
        <v>6356</v>
      </c>
      <c r="AJ2314" s="262"/>
      <c r="AK2314" s="262">
        <v>329</v>
      </c>
      <c r="AL2314" s="263"/>
      <c r="AM2314" s="264"/>
      <c r="AN2314" s="263"/>
      <c r="AO2314" s="263"/>
      <c r="AP2314" s="265"/>
      <c r="AQ2314" s="266"/>
      <c r="AR2314" s="267"/>
      <c r="AS2314" s="263"/>
      <c r="AT2314" s="263"/>
      <c r="AU2314" s="263"/>
      <c r="AV2314" s="264"/>
      <c r="AW2314" s="263"/>
      <c r="AX2314" s="263"/>
      <c r="AY2314" s="263"/>
      <c r="AZ2314" s="263"/>
      <c r="BA2314" s="263"/>
      <c r="BB2314" s="263"/>
      <c r="BC2314" s="263"/>
      <c r="BD2314" s="264"/>
      <c r="BE2314" s="263"/>
      <c r="BF2314" s="263">
        <v>77</v>
      </c>
      <c r="BG2314" s="263"/>
      <c r="BH2314" s="263"/>
      <c r="BI2314" s="263"/>
      <c r="BJ2314" s="404">
        <f>altaz(J2000_Bas,$O2314,$M2314,DecLat,DecLong,2)</f>
        <v>209.76868732561911</v>
      </c>
      <c r="BK2314" s="378" t="s">
        <v>2193</v>
      </c>
      <c r="BL2314" s="379">
        <f>IF((2*G2314)/60&lt;0.2,0.2,(2*G2314)/60)</f>
        <v>0.26666666666666666</v>
      </c>
      <c r="BM2314" s="380">
        <f>MOD((50000+AD2314-$B$3+(0/24)),1)</f>
        <v>0.93297746600728715</v>
      </c>
      <c r="BN2314" s="381"/>
      <c r="BO2314" s="382">
        <v>2305</v>
      </c>
    </row>
    <row r="2315" spans="1:67" s="24" customFormat="1" ht="15" customHeight="1" x14ac:dyDescent="0.25">
      <c r="A2315" s="288" t="s">
        <v>2194</v>
      </c>
      <c r="B2315" s="241" t="str">
        <f>HYPERLINK(CONCATENATE($AT$3,BK2315,$AU$3),$AV$3)</f>
        <v>S</v>
      </c>
      <c r="C2315" s="242" t="str">
        <f>HYPERLINK(CONCATENATE($AT$4,BK2315,$AU$4,BL2315),$AV$4)</f>
        <v>A</v>
      </c>
      <c r="D2315" s="243" t="s">
        <v>5187</v>
      </c>
      <c r="E2315" s="244" t="s">
        <v>5183</v>
      </c>
      <c r="F2315" s="353" t="s">
        <v>9176</v>
      </c>
      <c r="G2315" s="276">
        <v>50</v>
      </c>
      <c r="H2315" s="283">
        <v>5000</v>
      </c>
      <c r="I2315" s="246">
        <v>80</v>
      </c>
      <c r="J2315" s="246">
        <v>4</v>
      </c>
      <c r="K2315" s="247" t="s">
        <v>8344</v>
      </c>
      <c r="L2315" s="248">
        <v>172443</v>
      </c>
      <c r="M2315" s="249">
        <f>15*(LEFT(TEXT($L2315,"000000"),2)+(MID(TEXT($L2315,"000000"),3,2)/60)+(RIGHT(TEXT($L2315,"000000"),2)/3600))</f>
        <v>261.17916666666667</v>
      </c>
      <c r="N2315" s="250">
        <v>-341206</v>
      </c>
      <c r="O2315" s="251">
        <f>IF($N2315&gt;0,(LEFT(TEXT($N2315,"000000"),2)+(MID(TEXT($N2315,"000000"),3,2)/60)+(RIGHT(TEXT($N2315,"000000"),2)/3600)),-(MID(TEXT($N2315,"000000"),2,2)+(MID(TEXT($N2315,"000000"),4,2)/60)+(RIGHT(TEXT($N2315,"000000"),2)/3600)))</f>
        <v>-34.201666666666668</v>
      </c>
      <c r="P2315" s="252" t="s">
        <v>109</v>
      </c>
      <c r="Q2315" s="253" t="s">
        <v>7023</v>
      </c>
      <c r="R2315" s="247" t="s">
        <v>6063</v>
      </c>
      <c r="S2315" s="272" t="s">
        <v>3293</v>
      </c>
      <c r="T2315" s="273"/>
      <c r="U2315" s="274"/>
      <c r="V2315" s="280"/>
      <c r="W2315" s="244"/>
      <c r="X2315" s="244"/>
      <c r="Y2315" s="362"/>
      <c r="Z2315" s="257">
        <f>altaz(J2000_Bas,$O2315,$M2315,DecLat,DecLong,1)</f>
        <v>20.727533438298732</v>
      </c>
      <c r="AA2315" s="257">
        <f>altaz((J2000_Bas+(2*0.04167)),$O2315,$M2315,DecLat,DecLong,1)</f>
        <v>6.7796967468293197</v>
      </c>
      <c r="AB2315" s="257">
        <f>altaz((J2000_Bas+(4*0.04167)),$O2315,$M2315,DecLat,DecLong,1)</f>
        <v>-13.157423916656827</v>
      </c>
      <c r="AC2315" s="257">
        <f>altaz((J2000_Bas+(6*0.04167)),$O2315,$M2315,DecLat,DecLong,1)</f>
        <v>-36.155499911174452</v>
      </c>
      <c r="AD2315" s="258">
        <f>1+ transit((J2000_Bas-1),$O2315,$M2315,DecLat,DecLong)/360 + (GMTOffset/24) + (IF(DST="Y", 1, 0)/24)</f>
        <v>1.7183975732651249</v>
      </c>
      <c r="AE2315" s="259">
        <f>DATE(2001,9,21)+(M2315/360)*365 - (360*((DecLong/360)- (GMTOffset/24) ))</f>
        <v>37424.806655092594</v>
      </c>
      <c r="AF2315" s="260">
        <f>IF(DecLat&gt;0,IF((90 - (DecLat-O2315))&gt;90, (90 - (O2315-DecLat)), (90 - (DecLat-O2315))),IF((90 + (DecLat-O2315))&gt;90, (90 + (O2315-DecLat)), (90 + (DecLat-O2315))))</f>
        <v>24.798333333333332</v>
      </c>
      <c r="AG2315" s="257">
        <f>angularseperation(MoonRA,MoonDec,$M2315,$O2315)</f>
        <v>12.480448215642012</v>
      </c>
      <c r="AH2315" s="261">
        <f ca="1">MIN(100,IF($O$5&gt;80,0+30*($AG2315/100),IF($O$5&gt;70,0+50*($AG2315/100),IF($O$5&gt;60,5+50*($AG2315/100),IF($O$5&gt;50,10+60*($AG2315/100),IF($O$5&gt;40,15+70*($AG2315/100),IF($O$5&gt;30,20+70*($AG2315/100),IF($O$5&gt;20,40+55*($AG2315/100),(80+(20-$O$5)+30*($AG2315/100))))))))))</f>
        <v>87.015194808843034</v>
      </c>
      <c r="AI2315" s="262">
        <v>6357</v>
      </c>
      <c r="AJ2315" s="262"/>
      <c r="AK2315" s="262"/>
      <c r="AL2315" s="263"/>
      <c r="AM2315" s="264"/>
      <c r="AN2315" s="263"/>
      <c r="AO2315" s="263"/>
      <c r="AP2315" s="265"/>
      <c r="AQ2315" s="266"/>
      <c r="AR2315" s="267"/>
      <c r="AS2315" s="263"/>
      <c r="AT2315" s="263"/>
      <c r="AU2315" s="263"/>
      <c r="AV2315" s="264"/>
      <c r="AW2315" s="263"/>
      <c r="AX2315" s="263">
        <v>66</v>
      </c>
      <c r="AY2315" s="263"/>
      <c r="AZ2315" s="263"/>
      <c r="BA2315" s="263">
        <v>131</v>
      </c>
      <c r="BB2315" s="263">
        <v>11</v>
      </c>
      <c r="BC2315" s="263"/>
      <c r="BD2315" s="264"/>
      <c r="BE2315" s="263"/>
      <c r="BF2315" s="263"/>
      <c r="BG2315" s="263">
        <v>76</v>
      </c>
      <c r="BH2315" s="263"/>
      <c r="BI2315" s="263"/>
      <c r="BJ2315" s="404">
        <f>altaz(J2000_Bas,$O2315,$M2315,DecLat,DecLong,2)</f>
        <v>201.79277519431207</v>
      </c>
      <c r="BK2315" s="378" t="s">
        <v>2194</v>
      </c>
      <c r="BL2315" s="379">
        <f>IF((2*G2315)/60&lt;0.2,0.2,(2*G2315)/60)</f>
        <v>1.6666666666666667</v>
      </c>
      <c r="BM2315" s="380">
        <f>MOD((50000+AD2315-$B$3+(0/24)),1)</f>
        <v>0.93376450296636904</v>
      </c>
      <c r="BN2315" s="381"/>
      <c r="BO2315" s="382">
        <v>2306</v>
      </c>
    </row>
    <row r="2316" spans="1:67" s="24" customFormat="1" ht="15" customHeight="1" x14ac:dyDescent="0.25">
      <c r="A2316" s="288" t="s">
        <v>3140</v>
      </c>
      <c r="B2316" s="241" t="str">
        <f>HYPERLINK(CONCATENATE($AT$3,BK2316,$AU$3),$AV$3)</f>
        <v>S</v>
      </c>
      <c r="C2316" s="242" t="str">
        <f>HYPERLINK(CONCATENATE($AT$4,BK2316,$AU$4,BL2316),$AV$4)</f>
        <v>A</v>
      </c>
      <c r="D2316" s="243" t="s">
        <v>5638</v>
      </c>
      <c r="E2316" s="244" t="s">
        <v>5337</v>
      </c>
      <c r="F2316" s="269" t="s">
        <v>3319</v>
      </c>
      <c r="G2316" s="273">
        <v>1</v>
      </c>
      <c r="H2316" s="283">
        <v>430</v>
      </c>
      <c r="I2316" s="246">
        <v>130</v>
      </c>
      <c r="J2316" s="246">
        <v>2</v>
      </c>
      <c r="K2316" s="247" t="s">
        <v>7928</v>
      </c>
      <c r="L2316" s="248">
        <v>171853</v>
      </c>
      <c r="M2316" s="249">
        <f>15*(LEFT(TEXT($L2316,"000000"),2)+(MID(TEXT($L2316,"000000"),3,2)/60)+(RIGHT(TEXT($L2316,"000000"),2)/3600))</f>
        <v>259.72083333333336</v>
      </c>
      <c r="N2316" s="250">
        <v>523654</v>
      </c>
      <c r="O2316" s="251">
        <f>IF($N2316&gt;0,(LEFT(TEXT($N2316,"000000"),2)+(MID(TEXT($N2316,"000000"),3,2)/60)+(RIGHT(TEXT($N2316,"000000"),2)/3600)),-(MID(TEXT($N2316,"000000"),2,2)+(MID(TEXT($N2316,"000000"),4,2)/60)+(RIGHT(TEXT($N2316,"000000"),2)/3600)))</f>
        <v>52.615000000000002</v>
      </c>
      <c r="P2316" s="252" t="s">
        <v>34</v>
      </c>
      <c r="Q2316" s="253"/>
      <c r="R2316" s="277" t="s">
        <v>3293</v>
      </c>
      <c r="S2316" s="272" t="s">
        <v>3293</v>
      </c>
      <c r="T2316" s="273">
        <v>15</v>
      </c>
      <c r="U2316" s="289">
        <v>21.69</v>
      </c>
      <c r="V2316" s="280"/>
      <c r="W2316" s="244"/>
      <c r="X2316" s="244"/>
      <c r="Y2316" s="362"/>
      <c r="Z2316" s="257">
        <f>altaz(J2000_Bas,$O2316,$M2316,DecLat,DecLong,1)</f>
        <v>61.149327059478267</v>
      </c>
      <c r="AA2316" s="257">
        <f>altaz((J2000_Bas+(2*0.04167)),$O2316,$M2316,DecLat,DecLong,1)</f>
        <v>44.226758227415793</v>
      </c>
      <c r="AB2316" s="257">
        <f>altaz((J2000_Bas+(4*0.04167)),$O2316,$M2316,DecLat,DecLong,1)</f>
        <v>26.196647725778828</v>
      </c>
      <c r="AC2316" s="257">
        <f>altaz((J2000_Bas+(6*0.04167)),$O2316,$M2316,DecLat,DecLong,1)</f>
        <v>10.179149295447885</v>
      </c>
      <c r="AD2316" s="258">
        <f>1+ transit((J2000_Bas-1),$O2316,$M2316,DecLat,DecLong)/360 + (GMTOffset/24) + (IF(DST="Y", 1, 0)/24)</f>
        <v>1.7143466477442915</v>
      </c>
      <c r="AE2316" s="259">
        <f>DATE(2001,9,21)+(M2316/360)*365 - (360*((DecLong/360)- (GMTOffset/24) ))</f>
        <v>37423.328067129631</v>
      </c>
      <c r="AF2316" s="260">
        <f>IF(DecLat&gt;0,IF((90 - (DecLat-O2316))&gt;90, (90 - (O2316-DecLat)), (90 - (DecLat-O2316))),IF((90 + (DecLat-O2316))&gt;90, (90 + (O2316-DecLat)), (90 + (DecLat-O2316))))</f>
        <v>68.384999999999991</v>
      </c>
      <c r="AG2316" s="257">
        <f>angularseperation(MoonRA,MoonDec,$M2316,$O2316)</f>
        <v>80.223701980921064</v>
      </c>
      <c r="AH2316" s="261">
        <f ca="1">MIN(100,IF($O$5&gt;80,0+30*($AG2316/100),IF($O$5&gt;70,0+50*($AG2316/100),IF($O$5&gt;60,5+50*($AG2316/100),IF($O$5&gt;50,10+60*($AG2316/100),IF($O$5&gt;40,15+70*($AG2316/100),IF($O$5&gt;30,20+70*($AG2316/100),IF($O$5&gt;20,40+55*($AG2316/100),(80+(20-$O$5)+30*($AG2316/100))))))))))</f>
        <v>100</v>
      </c>
      <c r="AI2316" s="263">
        <v>6358</v>
      </c>
      <c r="AJ2316" s="263"/>
      <c r="AK2316" s="263"/>
      <c r="AL2316" s="263"/>
      <c r="AM2316" s="264"/>
      <c r="AN2316" s="263"/>
      <c r="AO2316" s="263"/>
      <c r="AP2316" s="265"/>
      <c r="AQ2316" s="265">
        <v>10810</v>
      </c>
      <c r="AR2316" s="285">
        <v>60054</v>
      </c>
      <c r="AS2316" s="263"/>
      <c r="AT2316" s="263"/>
      <c r="AU2316" s="263"/>
      <c r="AV2316" s="264"/>
      <c r="AW2316" s="263"/>
      <c r="AX2316" s="263"/>
      <c r="AY2316" s="263"/>
      <c r="AZ2316" s="263"/>
      <c r="BA2316" s="263"/>
      <c r="BB2316" s="263"/>
      <c r="BC2316" s="263"/>
      <c r="BD2316" s="264"/>
      <c r="BE2316" s="263"/>
      <c r="BF2316" s="263"/>
      <c r="BG2316" s="263"/>
      <c r="BH2316" s="263"/>
      <c r="BI2316" s="263"/>
      <c r="BJ2316" s="404">
        <f>altaz(J2000_Bas,$O2316,$M2316,DecLat,DecLong,2)</f>
        <v>326.14037722606338</v>
      </c>
      <c r="BK2316" s="378" t="s">
        <v>3140</v>
      </c>
      <c r="BL2316" s="379">
        <f>IF((2*G2316)/60&lt;0.2,0.2,(2*G2316)/60)</f>
        <v>0.2</v>
      </c>
      <c r="BM2316" s="380">
        <f>MOD((50000+AD2316-$B$3+(0/24)),1)</f>
        <v>0.92971357744681882</v>
      </c>
      <c r="BN2316" s="381"/>
      <c r="BO2316" s="382">
        <v>2307</v>
      </c>
    </row>
    <row r="2317" spans="1:67" s="24" customFormat="1" ht="15" customHeight="1" x14ac:dyDescent="0.25">
      <c r="A2317" s="288" t="s">
        <v>2195</v>
      </c>
      <c r="B2317" s="241" t="str">
        <f>HYPERLINK(CONCATENATE($AT$3,BK2317,$AU$3),$AV$3)</f>
        <v>S</v>
      </c>
      <c r="C2317" s="242" t="str">
        <f>HYPERLINK(CONCATENATE($AT$4,BK2317,$AU$4,BL2317),$AV$4)</f>
        <v>A</v>
      </c>
      <c r="D2317" s="243" t="s">
        <v>5638</v>
      </c>
      <c r="E2317" s="244" t="s">
        <v>5193</v>
      </c>
      <c r="F2317" s="269" t="s">
        <v>9134</v>
      </c>
      <c r="G2317" s="273">
        <v>1</v>
      </c>
      <c r="H2317" s="283">
        <v>410</v>
      </c>
      <c r="I2317" s="246">
        <v>120</v>
      </c>
      <c r="J2317" s="246">
        <v>2</v>
      </c>
      <c r="K2317" s="247" t="s">
        <v>7929</v>
      </c>
      <c r="L2317" s="248">
        <v>172240</v>
      </c>
      <c r="M2317" s="249">
        <f>15*(LEFT(TEXT($L2317,"000000"),2)+(MID(TEXT($L2317,"000000"),3,2)/60)+(RIGHT(TEXT($L2317,"000000"),2)/3600))</f>
        <v>260.66666666666669</v>
      </c>
      <c r="N2317" s="250">
        <v>410606</v>
      </c>
      <c r="O2317" s="251">
        <f>IF($N2317&gt;0,(LEFT(TEXT($N2317,"000000"),2)+(MID(TEXT($N2317,"000000"),3,2)/60)+(RIGHT(TEXT($N2317,"000000"),2)/3600)),-(MID(TEXT($N2317,"000000"),2,2)+(MID(TEXT($N2317,"000000"),4,2)/60)+(RIGHT(TEXT($N2317,"000000"),2)/3600)))</f>
        <v>41.101666666666667</v>
      </c>
      <c r="P2317" s="252" t="s">
        <v>111</v>
      </c>
      <c r="Q2317" s="253"/>
      <c r="R2317" s="247" t="s">
        <v>3293</v>
      </c>
      <c r="S2317" s="272" t="s">
        <v>3293</v>
      </c>
      <c r="T2317" s="273">
        <v>13.3</v>
      </c>
      <c r="U2317" s="289">
        <v>22.09</v>
      </c>
      <c r="V2317" s="280"/>
      <c r="W2317" s="244"/>
      <c r="X2317" s="244"/>
      <c r="Y2317" s="362"/>
      <c r="Z2317" s="257">
        <f>altaz(J2000_Bas,$O2317,$M2317,DecLat,DecLong,1)</f>
        <v>67.275106907125476</v>
      </c>
      <c r="AA2317" s="257">
        <f>altaz((J2000_Bas+(2*0.04167)),$O2317,$M2317,DecLat,DecLong,1)</f>
        <v>44.843459495294674</v>
      </c>
      <c r="AB2317" s="257">
        <f>altaz((J2000_Bas+(4*0.04167)),$O2317,$M2317,DecLat,DecLong,1)</f>
        <v>22.905080283578513</v>
      </c>
      <c r="AC2317" s="257">
        <f>altaz((J2000_Bas+(6*0.04167)),$O2317,$M2317,DecLat,DecLong,1)</f>
        <v>3.4168745850360391</v>
      </c>
      <c r="AD2317" s="258">
        <f>1+ transit((J2000_Bas-1),$O2317,$M2317,DecLat,DecLong)/360 + (GMTOffset/24) + (IF(DST="Y", 1, 0)/24)</f>
        <v>1.7169739622963747</v>
      </c>
      <c r="AE2317" s="259">
        <f>DATE(2001,9,21)+(M2317/360)*365 - (360*((DecLong/360)- (GMTOffset/24) ))</f>
        <v>37424.287037037036</v>
      </c>
      <c r="AF2317" s="260">
        <f>IF(DecLat&gt;0,IF((90 - (DecLat-O2317))&gt;90, (90 - (O2317-DecLat)), (90 - (DecLat-O2317))),IF((90 + (DecLat-O2317))&gt;90, (90 + (O2317-DecLat)), (90 + (DecLat-O2317))))</f>
        <v>79.898333333333341</v>
      </c>
      <c r="AG2317" s="257">
        <f>angularseperation(MoonRA,MoonDec,$M2317,$O2317)</f>
        <v>69.003865332739991</v>
      </c>
      <c r="AH2317" s="261">
        <f ca="1">MIN(100,IF($O$5&gt;80,0+30*($AG2317/100),IF($O$5&gt;70,0+50*($AG2317/100),IF($O$5&gt;60,5+50*($AG2317/100),IF($O$5&gt;50,10+60*($AG2317/100),IF($O$5&gt;40,15+70*($AG2317/100),IF($O$5&gt;30,20+70*($AG2317/100),IF($O$5&gt;20,40+55*($AG2317/100),(80+(20-$O$5)+30*($AG2317/100))))))))))</f>
        <v>100</v>
      </c>
      <c r="AI2317" s="262">
        <v>6363</v>
      </c>
      <c r="AJ2317" s="262"/>
      <c r="AK2317" s="262"/>
      <c r="AL2317" s="263"/>
      <c r="AM2317" s="264"/>
      <c r="AN2317" s="263"/>
      <c r="AO2317" s="263"/>
      <c r="AP2317" s="265"/>
      <c r="AQ2317" s="266"/>
      <c r="AR2317" s="267">
        <v>60164</v>
      </c>
      <c r="AS2317" s="263"/>
      <c r="AT2317" s="263"/>
      <c r="AU2317" s="263"/>
      <c r="AV2317" s="264"/>
      <c r="AW2317" s="263"/>
      <c r="AX2317" s="263"/>
      <c r="AY2317" s="263"/>
      <c r="AZ2317" s="263"/>
      <c r="BA2317" s="263"/>
      <c r="BB2317" s="263"/>
      <c r="BC2317" s="263"/>
      <c r="BD2317" s="264"/>
      <c r="BE2317" s="263"/>
      <c r="BF2317" s="263"/>
      <c r="BG2317" s="263"/>
      <c r="BH2317" s="263"/>
      <c r="BI2317" s="263"/>
      <c r="BJ2317" s="404">
        <f>altaz(J2000_Bas,$O2317,$M2317,DecLat,DecLong,2)</f>
        <v>303.41261688197238</v>
      </c>
      <c r="BK2317" s="378" t="s">
        <v>2195</v>
      </c>
      <c r="BL2317" s="379">
        <f>IF((2*G2317)/60&lt;0.2,0.2,(2*G2317)/60)</f>
        <v>0.2</v>
      </c>
      <c r="BM2317" s="380">
        <f>MOD((50000+AD2317-$B$3+(0/24)),1)</f>
        <v>0.932340892002685</v>
      </c>
      <c r="BN2317" s="381"/>
      <c r="BO2317" s="382">
        <v>2308</v>
      </c>
    </row>
    <row r="2318" spans="1:67" s="24" customFormat="1" ht="15" customHeight="1" x14ac:dyDescent="0.25">
      <c r="A2318" s="288" t="s">
        <v>2196</v>
      </c>
      <c r="B2318" s="241" t="str">
        <f>HYPERLINK(CONCATENATE($AT$3,BK2318,$AU$3),$AV$3)</f>
        <v>S</v>
      </c>
      <c r="C2318" s="242" t="str">
        <f>HYPERLINK(CONCATENATE($AT$4,BK2318,$AU$4,BL2318),$AV$4)</f>
        <v>A</v>
      </c>
      <c r="D2318" s="243" t="s">
        <v>5638</v>
      </c>
      <c r="E2318" s="244" t="s">
        <v>5182</v>
      </c>
      <c r="F2318" s="269" t="s">
        <v>3300</v>
      </c>
      <c r="G2318" s="273">
        <v>1</v>
      </c>
      <c r="H2318" s="283">
        <v>400</v>
      </c>
      <c r="I2318" s="246">
        <v>120</v>
      </c>
      <c r="J2318" s="246">
        <v>1</v>
      </c>
      <c r="K2318" s="247" t="s">
        <v>7930</v>
      </c>
      <c r="L2318" s="248">
        <v>172509</v>
      </c>
      <c r="M2318" s="249">
        <f>15*(LEFT(TEXT($L2318,"000000"),2)+(MID(TEXT($L2318,"000000"),3,2)/60)+(RIGHT(TEXT($L2318,"000000"),2)/3600))</f>
        <v>261.28750000000002</v>
      </c>
      <c r="N2318" s="250">
        <v>374535</v>
      </c>
      <c r="O2318" s="251">
        <f>IF($N2318&gt;0,(LEFT(TEXT($N2318,"000000"),2)+(MID(TEXT($N2318,"000000"),3,2)/60)+(RIGHT(TEXT($N2318,"000000"),2)/3600)),-(MID(TEXT($N2318,"000000"),2,2)+(MID(TEXT($N2318,"000000"),4,2)/60)+(RIGHT(TEXT($N2318,"000000"),2)/3600)))</f>
        <v>37.759722222222223</v>
      </c>
      <c r="P2318" s="252" t="s">
        <v>111</v>
      </c>
      <c r="Q2318" s="253"/>
      <c r="R2318" s="247" t="s">
        <v>3293</v>
      </c>
      <c r="S2318" s="272" t="s">
        <v>3293</v>
      </c>
      <c r="T2318" s="273">
        <v>14.2</v>
      </c>
      <c r="U2318" s="289">
        <v>22.39</v>
      </c>
      <c r="V2318" s="280">
        <v>55</v>
      </c>
      <c r="W2318" s="244"/>
      <c r="X2318" s="244"/>
      <c r="Y2318" s="362"/>
      <c r="Z2318" s="257">
        <f>altaz(J2000_Bas,$O2318,$M2318,DecLat,DecLong,1)</f>
        <v>68.586996676303968</v>
      </c>
      <c r="AA2318" s="257">
        <f>altaz((J2000_Bas+(2*0.04167)),$O2318,$M2318,DecLat,DecLong,1)</f>
        <v>44.911605036169995</v>
      </c>
      <c r="AB2318" s="257">
        <f>altaz((J2000_Bas+(4*0.04167)),$O2318,$M2318,DecLat,DecLong,1)</f>
        <v>22.074430840040097</v>
      </c>
      <c r="AC2318" s="257">
        <f>altaz((J2000_Bas+(6*0.04167)),$O2318,$M2318,DecLat,DecLong,1)</f>
        <v>1.6804954669504419</v>
      </c>
      <c r="AD2318" s="258">
        <f>1+ transit((J2000_Bas-1),$O2318,$M2318,DecLat,DecLong)/360 + (GMTOffset/24) + (IF(DST="Y", 1, 0)/24)</f>
        <v>1.7186984991609582</v>
      </c>
      <c r="AE2318" s="259">
        <f>DATE(2001,9,21)+(M2318/360)*365 - (360*((DecLong/360)- (GMTOffset/24) ))</f>
        <v>37424.916493055556</v>
      </c>
      <c r="AF2318" s="260">
        <f>IF(DecLat&gt;0,IF((90 - (DecLat-O2318))&gt;90, (90 - (O2318-DecLat)), (90 - (DecLat-O2318))),IF((90 + (DecLat-O2318))&gt;90, (90 + (O2318-DecLat)), (90 + (DecLat-O2318))))</f>
        <v>83.240277777777777</v>
      </c>
      <c r="AG2318" s="257">
        <f>angularseperation(MoonRA,MoonDec,$M2318,$O2318)</f>
        <v>65.82098767479529</v>
      </c>
      <c r="AH2318" s="261">
        <f ca="1">MIN(100,IF($O$5&gt;80,0+30*($AG2318/100),IF($O$5&gt;70,0+50*($AG2318/100),IF($O$5&gt;60,5+50*($AG2318/100),IF($O$5&gt;50,10+60*($AG2318/100),IF($O$5&gt;40,15+70*($AG2318/100),IF($O$5&gt;30,20+70*($AG2318/100),IF($O$5&gt;20,40+55*($AG2318/100),(80+(20-$O$5)+30*($AG2318/100))))))))))</f>
        <v>100</v>
      </c>
      <c r="AI2318" s="262">
        <v>6367</v>
      </c>
      <c r="AJ2318" s="262"/>
      <c r="AK2318" s="262"/>
      <c r="AL2318" s="263"/>
      <c r="AM2318" s="264"/>
      <c r="AN2318" s="263"/>
      <c r="AO2318" s="263"/>
      <c r="AP2318" s="265"/>
      <c r="AQ2318" s="266"/>
      <c r="AR2318" s="267">
        <v>60251</v>
      </c>
      <c r="AS2318" s="263"/>
      <c r="AT2318" s="263"/>
      <c r="AU2318" s="263"/>
      <c r="AV2318" s="264"/>
      <c r="AW2318" s="263"/>
      <c r="AX2318" s="263"/>
      <c r="AY2318" s="263"/>
      <c r="AZ2318" s="263"/>
      <c r="BA2318" s="263"/>
      <c r="BB2318" s="263"/>
      <c r="BC2318" s="263"/>
      <c r="BD2318" s="264"/>
      <c r="BE2318" s="263"/>
      <c r="BF2318" s="263"/>
      <c r="BG2318" s="263"/>
      <c r="BH2318" s="263"/>
      <c r="BI2318" s="263"/>
      <c r="BJ2318" s="404">
        <f>altaz(J2000_Bas,$O2318,$M2318,DecLat,DecLong,2)</f>
        <v>295.12330870227805</v>
      </c>
      <c r="BK2318" s="378" t="s">
        <v>2196</v>
      </c>
      <c r="BL2318" s="379">
        <f>IF((2*G2318)/60&lt;0.2,0.2,(2*G2318)/60)</f>
        <v>0.2</v>
      </c>
      <c r="BM2318" s="380">
        <f>MOD((50000+AD2318-$B$3+(0/24)),1)</f>
        <v>0.93406542886805255</v>
      </c>
      <c r="BN2318" s="381"/>
      <c r="BO2318" s="382">
        <v>2309</v>
      </c>
    </row>
    <row r="2319" spans="1:67" s="24" customFormat="1" ht="15" customHeight="1" x14ac:dyDescent="0.25">
      <c r="A2319" s="288" t="s">
        <v>2197</v>
      </c>
      <c r="B2319" s="241" t="str">
        <f>HYPERLINK(CONCATENATE($AT$3,BK2319,$AU$3),$AV$3)</f>
        <v>S</v>
      </c>
      <c r="C2319" s="242" t="str">
        <f>HYPERLINK(CONCATENATE($AT$4,BK2319,$AU$4,BL2319),$AV$4)</f>
        <v>A</v>
      </c>
      <c r="D2319" s="243" t="s">
        <v>5187</v>
      </c>
      <c r="E2319" s="244" t="s">
        <v>5181</v>
      </c>
      <c r="F2319" s="293" t="s">
        <v>7878</v>
      </c>
      <c r="G2319" s="273">
        <v>1.2</v>
      </c>
      <c r="H2319" s="283">
        <v>3000</v>
      </c>
      <c r="I2319" s="279">
        <v>1</v>
      </c>
      <c r="J2319" s="246">
        <v>1</v>
      </c>
      <c r="K2319" s="247" t="s">
        <v>7931</v>
      </c>
      <c r="L2319" s="248">
        <v>172921</v>
      </c>
      <c r="M2319" s="249">
        <f>15*(LEFT(TEXT($L2319,"000000"),2)+(MID(TEXT($L2319,"000000"),3,2)/60)+(RIGHT(TEXT($L2319,"000000"),2)/3600))</f>
        <v>262.33749999999998</v>
      </c>
      <c r="N2319" s="250">
        <v>-234534</v>
      </c>
      <c r="O2319" s="251">
        <f>IF($N2319&gt;0,(LEFT(TEXT($N2319,"000000"),2)+(MID(TEXT($N2319,"000000"),3,2)/60)+(RIGHT(TEXT($N2319,"000000"),2)/3600)),-(MID(TEXT($N2319,"000000"),2,2)+(MID(TEXT($N2319,"000000"),4,2)/60)+(RIGHT(TEXT($N2319,"000000"),2)/3600)))</f>
        <v>-23.759444444444444</v>
      </c>
      <c r="P2319" s="252" t="s">
        <v>113</v>
      </c>
      <c r="Q2319" s="253" t="s">
        <v>7021</v>
      </c>
      <c r="R2319" s="247" t="s">
        <v>3293</v>
      </c>
      <c r="S2319" s="272" t="s">
        <v>3293</v>
      </c>
      <c r="T2319" s="273">
        <v>11.4</v>
      </c>
      <c r="U2319" s="274"/>
      <c r="V2319" s="280"/>
      <c r="W2319" s="244"/>
      <c r="X2319" s="244"/>
      <c r="Y2319" s="362"/>
      <c r="Z2319" s="257">
        <f>altaz(J2000_Bas,$O2319,$M2319,DecLat,DecLong,1)</f>
        <v>30.733004409634866</v>
      </c>
      <c r="AA2319" s="257">
        <f>altaz((J2000_Bas+(2*0.04167)),$O2319,$M2319,DecLat,DecLong,1)</f>
        <v>14.855917637948702</v>
      </c>
      <c r="AB2319" s="257">
        <f>altaz((J2000_Bas+(4*0.04167)),$O2319,$M2319,DecLat,DecLong,1)</f>
        <v>-7.0794691631020115</v>
      </c>
      <c r="AC2319" s="257">
        <f>altaz((J2000_Bas+(6*0.04167)),$O2319,$M2319,DecLat,DecLong,1)</f>
        <v>-31.70752056624201</v>
      </c>
      <c r="AD2319" s="258">
        <f>1+ transit((J2000_Bas-1),$O2319,$M2319,DecLat,DecLong)/360 + (GMTOffset/24) + (IF(DST="Y", 1, 0)/24)</f>
        <v>1.7216151655359579</v>
      </c>
      <c r="AE2319" s="259">
        <f>DATE(2001,9,21)+(M2319/360)*365 - (360*((DecLong/360)- (GMTOffset/24) ))</f>
        <v>37425.981076388889</v>
      </c>
      <c r="AF2319" s="260">
        <f>IF(DecLat&gt;0,IF((90 - (DecLat-O2319))&gt;90, (90 - (O2319-DecLat)), (90 - (DecLat-O2319))),IF((90 + (DecLat-O2319))&gt;90, (90 + (O2319-DecLat)), (90 + (DecLat-O2319))))</f>
        <v>35.240555555555559</v>
      </c>
      <c r="AG2319" s="257">
        <f>angularseperation(MoonRA,MoonDec,$M2319,$O2319)</f>
        <v>12.278686238283457</v>
      </c>
      <c r="AH2319" s="261">
        <f ca="1">MIN(100,IF($O$5&gt;80,0+30*($AG2319/100),IF($O$5&gt;70,0+50*($AG2319/100),IF($O$5&gt;60,5+50*($AG2319/100),IF($O$5&gt;50,10+60*($AG2319/100),IF($O$5&gt;40,15+70*($AG2319/100),IF($O$5&gt;30,20+70*($AG2319/100),IF($O$5&gt;20,40+55*($AG2319/100),(80+(20-$O$5)+30*($AG2319/100))))))))))</f>
        <v>86.95466621563547</v>
      </c>
      <c r="AI2319" s="262">
        <v>6369</v>
      </c>
      <c r="AJ2319" s="262"/>
      <c r="AK2319" s="262">
        <v>330</v>
      </c>
      <c r="AL2319" s="263"/>
      <c r="AM2319" s="264"/>
      <c r="AN2319" s="263"/>
      <c r="AO2319" s="263"/>
      <c r="AP2319" s="265"/>
      <c r="AQ2319" s="266"/>
      <c r="AR2319" s="267"/>
      <c r="AS2319" s="263"/>
      <c r="AT2319" s="263">
        <v>23</v>
      </c>
      <c r="AU2319" s="263"/>
      <c r="AV2319" s="264"/>
      <c r="AW2319" s="263"/>
      <c r="AX2319" s="263"/>
      <c r="AY2319" s="263"/>
      <c r="AZ2319" s="263"/>
      <c r="BA2319" s="263"/>
      <c r="BB2319" s="263"/>
      <c r="BC2319" s="263"/>
      <c r="BD2319" s="264"/>
      <c r="BE2319" s="263">
        <v>81</v>
      </c>
      <c r="BF2319" s="263"/>
      <c r="BG2319" s="263"/>
      <c r="BH2319" s="263"/>
      <c r="BI2319" s="263"/>
      <c r="BJ2319" s="404">
        <f>altaz(J2000_Bas,$O2319,$M2319,DecLat,DecLong,2)</f>
        <v>205.30233634942326</v>
      </c>
      <c r="BK2319" s="378" t="s">
        <v>2197</v>
      </c>
      <c r="BL2319" s="379">
        <f>IF((2*G2319)/60&lt;0.2,0.2,(2*G2319)/60)</f>
        <v>0.2</v>
      </c>
      <c r="BM2319" s="380">
        <f>MOD((50000+AD2319-$B$3+(0/24)),1)</f>
        <v>0.93698209524154663</v>
      </c>
      <c r="BN2319" s="381"/>
      <c r="BO2319" s="382">
        <v>2310</v>
      </c>
    </row>
    <row r="2320" spans="1:67" s="24" customFormat="1" ht="15" customHeight="1" x14ac:dyDescent="0.25">
      <c r="A2320" s="288" t="s">
        <v>7932</v>
      </c>
      <c r="B2320" s="241" t="str">
        <f>HYPERLINK(CONCATENATE($AT$3,BK2320,$AU$3),$AV$3)</f>
        <v>S</v>
      </c>
      <c r="C2320" s="242" t="str">
        <f>HYPERLINK(CONCATENATE($AT$4,BK2320,$AU$4,BL2320),$AV$4)</f>
        <v>A</v>
      </c>
      <c r="D2320" s="243" t="s">
        <v>5638</v>
      </c>
      <c r="E2320" s="244" t="s">
        <v>5625</v>
      </c>
      <c r="F2320" s="269">
        <v>10</v>
      </c>
      <c r="G2320" s="282">
        <v>16</v>
      </c>
      <c r="H2320" s="283">
        <v>400</v>
      </c>
      <c r="I2320" s="284">
        <v>1900</v>
      </c>
      <c r="J2320" s="246">
        <v>2</v>
      </c>
      <c r="K2320" s="247" t="s">
        <v>7933</v>
      </c>
      <c r="L2320" s="248">
        <v>172325</v>
      </c>
      <c r="M2320" s="249">
        <f>15*(LEFT(TEXT($L2320,"000000"),2)+(MID(TEXT($L2320,"000000"),3,2)/60)+(RIGHT(TEXT($L2320,"000000"),2)/3600))</f>
        <v>260.85416666666663</v>
      </c>
      <c r="N2320" s="250">
        <v>565829</v>
      </c>
      <c r="O2320" s="251">
        <f>IF($N2320&gt;0,(LEFT(TEXT($N2320,"000000"),2)+(MID(TEXT($N2320,"000000"),3,2)/60)+(RIGHT(TEXT($N2320,"000000"),2)/3600)),-(MID(TEXT($N2320,"000000"),2,2)+(MID(TEXT($N2320,"000000"),4,2)/60)+(RIGHT(TEXT($N2320,"000000"),2)/3600)))</f>
        <v>56.974722222222226</v>
      </c>
      <c r="P2320" s="252" t="s">
        <v>34</v>
      </c>
      <c r="Q2320" s="253"/>
      <c r="R2320" s="247" t="s">
        <v>3293</v>
      </c>
      <c r="S2320" s="272" t="s">
        <v>3293</v>
      </c>
      <c r="T2320" s="273">
        <v>12.9</v>
      </c>
      <c r="U2320" s="289">
        <v>22.59</v>
      </c>
      <c r="V2320" s="280"/>
      <c r="W2320" s="244"/>
      <c r="X2320" s="244"/>
      <c r="Y2320" s="362"/>
      <c r="Z2320" s="257">
        <f>altaz(J2000_Bas,$O2320,$M2320,DecLat,DecLong,1)</f>
        <v>58.72713221303006</v>
      </c>
      <c r="AA2320" s="257">
        <f>altaz((J2000_Bas+(2*0.04167)),$O2320,$M2320,DecLat,DecLong,1)</f>
        <v>44.284306371105046</v>
      </c>
      <c r="AB2320" s="257">
        <f>altaz((J2000_Bas+(4*0.04167)),$O2320,$M2320,DecLat,DecLong,1)</f>
        <v>28.031673465454009</v>
      </c>
      <c r="AC2320" s="257">
        <f>altaz((J2000_Bas+(6*0.04167)),$O2320,$M2320,DecLat,DecLong,1)</f>
        <v>13.380985978114262</v>
      </c>
      <c r="AD2320" s="258">
        <f>1+ transit((J2000_Bas-1),$O2320,$M2320,DecLat,DecLong)/360 + (GMTOffset/24) + (IF(DST="Y", 1, 0)/24)</f>
        <v>1.7174947955776247</v>
      </c>
      <c r="AE2320" s="259">
        <f>DATE(2001,9,21)+(M2320/360)*365 - (360*((DecLong/360)- (GMTOffset/24) ))</f>
        <v>37424.477141203701</v>
      </c>
      <c r="AF2320" s="260">
        <f>IF(DecLat&gt;0,IF((90 - (DecLat-O2320))&gt;90, (90 - (O2320-DecLat)), (90 - (DecLat-O2320))),IF((90 + (DecLat-O2320))&gt;90, (90 + (O2320-DecLat)), (90 + (DecLat-O2320))))</f>
        <v>64.025277777777774</v>
      </c>
      <c r="AG2320" s="257">
        <f>angularseperation(MoonRA,MoonDec,$M2320,$O2320)</f>
        <v>84.630653702760867</v>
      </c>
      <c r="AH2320" s="261">
        <f ca="1">MIN(100,IF($O$5&gt;80,0+30*($AG2320/100),IF($O$5&gt;70,0+50*($AG2320/100),IF($O$5&gt;60,5+50*($AG2320/100),IF($O$5&gt;50,10+60*($AG2320/100),IF($O$5&gt;40,15+70*($AG2320/100),IF($O$5&gt;30,20+70*($AG2320/100),IF($O$5&gt;20,40+55*($AG2320/100),(80+(20-$O$5)+30*($AG2320/100))))))))))</f>
        <v>100</v>
      </c>
      <c r="AI2320" s="262">
        <v>6370</v>
      </c>
      <c r="AJ2320" s="262"/>
      <c r="AK2320" s="262"/>
      <c r="AL2320" s="263"/>
      <c r="AM2320" s="264"/>
      <c r="AN2320" s="263"/>
      <c r="AO2320" s="263"/>
      <c r="AP2320" s="265"/>
      <c r="AQ2320" s="266">
        <v>10836</v>
      </c>
      <c r="AR2320" s="267">
        <v>60192</v>
      </c>
      <c r="AS2320" s="263"/>
      <c r="AT2320" s="263"/>
      <c r="AU2320" s="263"/>
      <c r="AV2320" s="264"/>
      <c r="AW2320" s="263"/>
      <c r="AX2320" s="263"/>
      <c r="AY2320" s="263"/>
      <c r="AZ2320" s="263"/>
      <c r="BA2320" s="263"/>
      <c r="BB2320" s="263"/>
      <c r="BC2320" s="263"/>
      <c r="BD2320" s="264"/>
      <c r="BE2320" s="263"/>
      <c r="BF2320" s="263"/>
      <c r="BG2320" s="263"/>
      <c r="BH2320" s="263"/>
      <c r="BI2320" s="263"/>
      <c r="BJ2320" s="404">
        <f>altaz(J2000_Bas,$O2320,$M2320,DecLat,DecLong,2)</f>
        <v>333.50220422290039</v>
      </c>
      <c r="BK2320" s="378" t="s">
        <v>2198</v>
      </c>
      <c r="BL2320" s="379">
        <f>IF((2*G2320)/60&lt;0.2,0.2,(2*G2320)/60)</f>
        <v>0.53333333333333333</v>
      </c>
      <c r="BM2320" s="380">
        <f>MOD((50000+AD2320-$B$3+(0/24)),1)</f>
        <v>0.93286172528314637</v>
      </c>
      <c r="BN2320" s="381" t="s">
        <v>9218</v>
      </c>
      <c r="BO2320" s="382">
        <v>2311</v>
      </c>
    </row>
    <row r="2321" spans="1:67" s="24" customFormat="1" ht="15" customHeight="1" x14ac:dyDescent="0.25">
      <c r="A2321" s="288" t="s">
        <v>2199</v>
      </c>
      <c r="B2321" s="241" t="str">
        <f>HYPERLINK(CONCATENATE($AT$3,BK2321,$AU$3),$AV$3)</f>
        <v>S</v>
      </c>
      <c r="C2321" s="242" t="str">
        <f>HYPERLINK(CONCATENATE($AT$4,BK2321,$AU$4,BL2321),$AV$4)</f>
        <v>A</v>
      </c>
      <c r="D2321" s="243" t="s">
        <v>5638</v>
      </c>
      <c r="E2321" s="244" t="s">
        <v>5337</v>
      </c>
      <c r="F2321" s="269" t="s">
        <v>3310</v>
      </c>
      <c r="G2321" s="270">
        <v>0.5</v>
      </c>
      <c r="H2321" s="283">
        <v>400</v>
      </c>
      <c r="I2321" s="246">
        <v>60</v>
      </c>
      <c r="J2321" s="246">
        <v>2</v>
      </c>
      <c r="K2321" s="247" t="s">
        <v>7934</v>
      </c>
      <c r="L2321" s="248">
        <v>172523</v>
      </c>
      <c r="M2321" s="249">
        <f>15*(LEFT(TEXT($L2321,"000000"),2)+(MID(TEXT($L2321,"000000"),3,2)/60)+(RIGHT(TEXT($L2321,"000000"),2)/3600))</f>
        <v>261.34583333333336</v>
      </c>
      <c r="N2321" s="250">
        <v>584921</v>
      </c>
      <c r="O2321" s="251">
        <f>IF($N2321&gt;0,(LEFT(TEXT($N2321,"000000"),2)+(MID(TEXT($N2321,"000000"),3,2)/60)+(RIGHT(TEXT($N2321,"000000"),2)/3600)),-(MID(TEXT($N2321,"000000"),2,2)+(MID(TEXT($N2321,"000000"),4,2)/60)+(RIGHT(TEXT($N2321,"000000"),2)/3600)))</f>
        <v>58.822500000000005</v>
      </c>
      <c r="P2321" s="252" t="s">
        <v>34</v>
      </c>
      <c r="Q2321" s="253"/>
      <c r="R2321" s="247" t="s">
        <v>3293</v>
      </c>
      <c r="S2321" s="272" t="s">
        <v>3293</v>
      </c>
      <c r="T2321" s="273">
        <v>14.9</v>
      </c>
      <c r="U2321" s="289">
        <v>21.79</v>
      </c>
      <c r="V2321" s="280"/>
      <c r="W2321" s="244"/>
      <c r="X2321" s="244"/>
      <c r="Y2321" s="362"/>
      <c r="Z2321" s="257">
        <f>altaz(J2000_Bas,$O2321,$M2321,DecLat,DecLong,1)</f>
        <v>57.558347691133797</v>
      </c>
      <c r="AA2321" s="257">
        <f>altaz((J2000_Bas+(2*0.04167)),$O2321,$M2321,DecLat,DecLong,1)</f>
        <v>44.17175689237029</v>
      </c>
      <c r="AB2321" s="257">
        <f>altaz((J2000_Bas+(4*0.04167)),$O2321,$M2321,DecLat,DecLong,1)</f>
        <v>28.729058064607546</v>
      </c>
      <c r="AC2321" s="257">
        <f>altaz((J2000_Bas+(6*0.04167)),$O2321,$M2321,DecLat,DecLong,1)</f>
        <v>14.699110553997574</v>
      </c>
      <c r="AD2321" s="258">
        <f>1+ transit((J2000_Bas-1),$O2321,$M2321,DecLat,DecLong)/360 + (GMTOffset/24) + (IF(DST="Y", 1, 0)/24)</f>
        <v>1.7188605361817915</v>
      </c>
      <c r="AE2321" s="259">
        <f>DATE(2001,9,21)+(M2321/360)*365 - (360*((DecLong/360)- (GMTOffset/24) ))</f>
        <v>37424.975636574076</v>
      </c>
      <c r="AF2321" s="260">
        <f>IF(DecLat&gt;0,IF((90 - (DecLat-O2321))&gt;90, (90 - (O2321-DecLat)), (90 - (DecLat-O2321))),IF((90 + (DecLat-O2321))&gt;90, (90 + (O2321-DecLat)), (90 + (DecLat-O2321))))</f>
        <v>62.177499999999995</v>
      </c>
      <c r="AG2321" s="257">
        <f>angularseperation(MoonRA,MoonDec,$M2321,$O2321)</f>
        <v>86.494985921228306</v>
      </c>
      <c r="AH2321" s="261">
        <f ca="1">MIN(100,IF($O$5&gt;80,0+30*($AG2321/100),IF($O$5&gt;70,0+50*($AG2321/100),IF($O$5&gt;60,5+50*($AG2321/100),IF($O$5&gt;50,10+60*($AG2321/100),IF($O$5&gt;40,15+70*($AG2321/100),IF($O$5&gt;30,20+70*($AG2321/100),IF($O$5&gt;20,40+55*($AG2321/100),(80+(20-$O$5)+30*($AG2321/100))))))))))</f>
        <v>100</v>
      </c>
      <c r="AI2321" s="262">
        <v>6377</v>
      </c>
      <c r="AJ2321" s="262"/>
      <c r="AK2321" s="262"/>
      <c r="AL2321" s="263"/>
      <c r="AM2321" s="264"/>
      <c r="AN2321" s="263"/>
      <c r="AO2321" s="263"/>
      <c r="AP2321" s="265"/>
      <c r="AQ2321" s="266">
        <v>10855</v>
      </c>
      <c r="AR2321" s="267">
        <v>60264</v>
      </c>
      <c r="AS2321" s="263"/>
      <c r="AT2321" s="263"/>
      <c r="AU2321" s="263"/>
      <c r="AV2321" s="264"/>
      <c r="AW2321" s="263"/>
      <c r="AX2321" s="263"/>
      <c r="AY2321" s="263"/>
      <c r="AZ2321" s="263"/>
      <c r="BA2321" s="263"/>
      <c r="BB2321" s="263"/>
      <c r="BC2321" s="263"/>
      <c r="BD2321" s="264"/>
      <c r="BE2321" s="263"/>
      <c r="BF2321" s="263"/>
      <c r="BG2321" s="263"/>
      <c r="BH2321" s="263"/>
      <c r="BI2321" s="263"/>
      <c r="BJ2321" s="404">
        <f>altaz(J2000_Bas,$O2321,$M2321,DecLat,DecLong,2)</f>
        <v>336.25913612049783</v>
      </c>
      <c r="BK2321" s="378" t="s">
        <v>2199</v>
      </c>
      <c r="BL2321" s="379">
        <f>IF((2*G2321)/60&lt;0.2,0.2,(2*G2321)/60)</f>
        <v>0.2</v>
      </c>
      <c r="BM2321" s="380">
        <f>MOD((50000+AD2321-$B$3+(0/24)),1)</f>
        <v>0.93422746588476002</v>
      </c>
      <c r="BN2321" s="381"/>
      <c r="BO2321" s="382">
        <v>2312</v>
      </c>
    </row>
    <row r="2322" spans="1:67" s="24" customFormat="1" ht="15" customHeight="1" x14ac:dyDescent="0.25">
      <c r="A2322" s="288" t="s">
        <v>2200</v>
      </c>
      <c r="B2322" s="241" t="str">
        <f>HYPERLINK(CONCATENATE($AT$3,BK2322,$AU$3),$AV$3)</f>
        <v>S</v>
      </c>
      <c r="C2322" s="242" t="str">
        <f>HYPERLINK(CONCATENATE($AT$4,BK2322,$AU$4,BL2322),$AV$4)</f>
        <v>A</v>
      </c>
      <c r="D2322" s="243" t="s">
        <v>5638</v>
      </c>
      <c r="E2322" s="244" t="s">
        <v>5192</v>
      </c>
      <c r="F2322" s="269" t="s">
        <v>8886</v>
      </c>
      <c r="G2322" s="273">
        <v>6</v>
      </c>
      <c r="H2322" s="283">
        <v>80</v>
      </c>
      <c r="I2322" s="246">
        <v>140</v>
      </c>
      <c r="J2322" s="246">
        <v>2</v>
      </c>
      <c r="K2322" s="247" t="s">
        <v>7935</v>
      </c>
      <c r="L2322" s="248">
        <v>173224</v>
      </c>
      <c r="M2322" s="249">
        <f>15*(LEFT(TEXT($L2322,"000000"),2)+(MID(TEXT($L2322,"000000"),3,2)/60)+(RIGHT(TEXT($L2322,"000000"),2)/3600))</f>
        <v>263.10000000000002</v>
      </c>
      <c r="N2322" s="250">
        <v>70337</v>
      </c>
      <c r="O2322" s="251">
        <f>IF($N2322&gt;0,(LEFT(TEXT($N2322,"000000"),2)+(MID(TEXT($N2322,"000000"),3,2)/60)+(RIGHT(TEXT($N2322,"000000"),2)/3600)),-(MID(TEXT($N2322,"000000"),2,2)+(MID(TEXT($N2322,"000000"),4,2)/60)+(RIGHT(TEXT($N2322,"000000"),2)/3600)))</f>
        <v>7.0602777777777774</v>
      </c>
      <c r="P2322" s="252" t="s">
        <v>113</v>
      </c>
      <c r="Q2322" s="253"/>
      <c r="R2322" s="247" t="s">
        <v>3293</v>
      </c>
      <c r="S2322" s="272" t="s">
        <v>3293</v>
      </c>
      <c r="T2322" s="273">
        <v>10.4</v>
      </c>
      <c r="U2322" s="289">
        <v>22.69</v>
      </c>
      <c r="V2322" s="280">
        <v>50</v>
      </c>
      <c r="W2322" s="244"/>
      <c r="X2322" s="244"/>
      <c r="Y2322" s="362"/>
      <c r="Z2322" s="257">
        <f>altaz(J2000_Bas,$O2322,$M2322,DecLat,DecLong,1)</f>
        <v>57.877443003275232</v>
      </c>
      <c r="AA2322" s="257">
        <f>altaz((J2000_Bas+(2*0.04167)),$O2322,$M2322,DecLat,DecLong,1)</f>
        <v>35.127778971465311</v>
      </c>
      <c r="AB2322" s="257">
        <f>altaz((J2000_Bas+(4*0.04167)),$O2322,$M2322,DecLat,DecLong,1)</f>
        <v>9.5505991455010975</v>
      </c>
      <c r="AC2322" s="257">
        <f>altaz((J2000_Bas+(6*0.04167)),$O2322,$M2322,DecLat,DecLong,1)</f>
        <v>-15.736373297220187</v>
      </c>
      <c r="AD2322" s="258">
        <f>1+ transit((J2000_Bas-1),$O2322,$M2322,DecLat,DecLong)/360 + (GMTOffset/24) + (IF(DST="Y", 1, 0)/24)</f>
        <v>1.723733220879708</v>
      </c>
      <c r="AE2322" s="259">
        <f>DATE(2001,9,21)+(M2322/360)*365 - (360*((DecLong/360)- (GMTOffset/24) ))</f>
        <v>37426.754166666666</v>
      </c>
      <c r="AF2322" s="260">
        <f>IF(DecLat&gt;0,IF((90 - (DecLat-O2322))&gt;90, (90 - (O2322-DecLat)), (90 - (DecLat-O2322))),IF((90 + (DecLat-O2322))&gt;90, (90 + (O2322-DecLat)), (90 + (DecLat-O2322))))</f>
        <v>66.06027777777777</v>
      </c>
      <c r="AG2322" s="257">
        <f>angularseperation(MoonRA,MoonDec,$M2322,$O2322)</f>
        <v>36.68746327400666</v>
      </c>
      <c r="AH2322" s="261">
        <f ca="1">MIN(100,IF($O$5&gt;80,0+30*($AG2322/100),IF($O$5&gt;70,0+50*($AG2322/100),IF($O$5&gt;60,5+50*($AG2322/100),IF($O$5&gt;50,10+60*($AG2322/100),IF($O$5&gt;40,15+70*($AG2322/100),IF($O$5&gt;30,20+70*($AG2322/100),IF($O$5&gt;20,40+55*($AG2322/100),(80+(20-$O$5)+30*($AG2322/100))))))))))</f>
        <v>94.27729932635242</v>
      </c>
      <c r="AI2322" s="262">
        <v>6384</v>
      </c>
      <c r="AJ2322" s="262"/>
      <c r="AK2322" s="262"/>
      <c r="AL2322" s="263"/>
      <c r="AM2322" s="264"/>
      <c r="AN2322" s="263"/>
      <c r="AO2322" s="263"/>
      <c r="AP2322" s="265"/>
      <c r="AQ2322" s="266">
        <v>10891</v>
      </c>
      <c r="AR2322" s="267">
        <v>60459</v>
      </c>
      <c r="AS2322" s="263"/>
      <c r="AT2322" s="263"/>
      <c r="AU2322" s="263"/>
      <c r="AV2322" s="264"/>
      <c r="AW2322" s="263"/>
      <c r="AX2322" s="263"/>
      <c r="AY2322" s="263"/>
      <c r="AZ2322" s="263"/>
      <c r="BA2322" s="263"/>
      <c r="BB2322" s="263"/>
      <c r="BC2322" s="263"/>
      <c r="BD2322" s="264"/>
      <c r="BE2322" s="263"/>
      <c r="BF2322" s="263"/>
      <c r="BG2322" s="263">
        <v>78</v>
      </c>
      <c r="BH2322" s="263"/>
      <c r="BI2322" s="263"/>
      <c r="BJ2322" s="404">
        <f>altaz(J2000_Bas,$O2322,$M2322,DecLat,DecLong,2)</f>
        <v>226.57996987218499</v>
      </c>
      <c r="BK2322" s="378" t="s">
        <v>2200</v>
      </c>
      <c r="BL2322" s="379">
        <f>IF((2*G2322)/60&lt;0.2,0.2,(2*G2322)/60)</f>
        <v>0.2</v>
      </c>
      <c r="BM2322" s="380">
        <f>MOD((50000+AD2322-$B$3+(0/24)),1)</f>
        <v>0.93910015058645513</v>
      </c>
      <c r="BN2322" s="381"/>
      <c r="BO2322" s="382">
        <v>2313</v>
      </c>
    </row>
    <row r="2323" spans="1:67" s="24" customFormat="1" ht="15" customHeight="1" x14ac:dyDescent="0.25">
      <c r="A2323" s="288" t="s">
        <v>2201</v>
      </c>
      <c r="B2323" s="241" t="str">
        <f>HYPERLINK(CONCATENATE($AT$3,BK2323,$AU$3),$AV$3)</f>
        <v>S</v>
      </c>
      <c r="C2323" s="242" t="str">
        <f>HYPERLINK(CONCATENATE($AT$4,BK2323,$AU$4,BL2323),$AV$4)</f>
        <v>A</v>
      </c>
      <c r="D2323" s="243" t="s">
        <v>5638</v>
      </c>
      <c r="E2323" s="244" t="s">
        <v>5192</v>
      </c>
      <c r="F2323" s="269" t="s">
        <v>8895</v>
      </c>
      <c r="G2323" s="273">
        <v>3</v>
      </c>
      <c r="H2323" s="283">
        <v>65</v>
      </c>
      <c r="I2323" s="246">
        <v>60</v>
      </c>
      <c r="J2323" s="246">
        <v>1</v>
      </c>
      <c r="K2323" s="247" t="s">
        <v>7937</v>
      </c>
      <c r="L2323" s="248">
        <v>172631</v>
      </c>
      <c r="M2323" s="249">
        <f>15*(LEFT(TEXT($L2323,"000000"),2)+(MID(TEXT($L2323,"000000"),3,2)/60)+(RIGHT(TEXT($L2323,"000000"),2)/3600))</f>
        <v>261.62916666666666</v>
      </c>
      <c r="N2323" s="286">
        <v>710546</v>
      </c>
      <c r="O2323" s="251">
        <f>IF($N2323&gt;0,(LEFT(TEXT($N2323,"000000"),2)+(MID(TEXT($N2323,"000000"),3,2)/60)+(RIGHT(TEXT($N2323,"000000"),2)/3600)),-(MID(TEXT($N2323,"000000"),2,2)+(MID(TEXT($N2323,"000000"),4,2)/60)+(RIGHT(TEXT($N2323,"000000"),2)/3600)))</f>
        <v>71.096111111111099</v>
      </c>
      <c r="P2323" s="252" t="s">
        <v>34</v>
      </c>
      <c r="Q2323" s="253"/>
      <c r="R2323" s="247" t="s">
        <v>3293</v>
      </c>
      <c r="S2323" s="272" t="s">
        <v>7936</v>
      </c>
      <c r="T2323" s="273">
        <v>12.3</v>
      </c>
      <c r="U2323" s="289">
        <v>21.59</v>
      </c>
      <c r="V2323" s="280">
        <v>75</v>
      </c>
      <c r="W2323" s="244"/>
      <c r="X2323" s="244"/>
      <c r="Y2323" s="362"/>
      <c r="Z2323" s="257">
        <f>altaz(J2000_Bas,$O2323,$M2323,DecLat,DecLong,1)</f>
        <v>47.74969143637761</v>
      </c>
      <c r="AA2323" s="257">
        <f>altaz((J2000_Bas+(2*0.04167)),$O2323,$M2323,DecLat,DecLong,1)</f>
        <v>40.442852658821849</v>
      </c>
      <c r="AB2323" s="257">
        <f>altaz((J2000_Bas+(4*0.04167)),$O2323,$M2323,DecLat,DecLong,1)</f>
        <v>30.908621255639741</v>
      </c>
      <c r="AC2323" s="257">
        <f>altaz((J2000_Bas+(6*0.04167)),$O2323,$M2323,DecLat,DecLong,1)</f>
        <v>21.810341307898074</v>
      </c>
      <c r="AD2323" s="258">
        <f>1+ transit((J2000_Bas-1),$O2323,$M2323,DecLat,DecLong)/360 + (GMTOffset/24) + (IF(DST="Y", 1, 0)/24)</f>
        <v>1.7196475731401246</v>
      </c>
      <c r="AE2323" s="259">
        <f>DATE(2001,9,21)+(M2323/360)*365 - (360*((DecLong/360)- (GMTOffset/24) ))</f>
        <v>37425.26290509259</v>
      </c>
      <c r="AF2323" s="260">
        <f>IF(DecLat&gt;0,IF((90 - (DecLat-O2323))&gt;90, (90 - (O2323-DecLat)), (90 - (DecLat-O2323))),IF((90 + (DecLat-O2323))&gt;90, (90 + (O2323-DecLat)), (90 + (DecLat-O2323))))</f>
        <v>49.903888888888901</v>
      </c>
      <c r="AG2323" s="257">
        <f>angularseperation(MoonRA,MoonDec,$M2323,$O2323)</f>
        <v>98.56910403492941</v>
      </c>
      <c r="AH2323" s="261">
        <f ca="1">MIN(100,IF($O$5&gt;80,0+30*($AG2323/100),IF($O$5&gt;70,0+50*($AG2323/100),IF($O$5&gt;60,5+50*($AG2323/100),IF($O$5&gt;50,10+60*($AG2323/100),IF($O$5&gt;40,15+70*($AG2323/100),IF($O$5&gt;30,20+70*($AG2323/100),IF($O$5&gt;20,40+55*($AG2323/100),(80+(20-$O$5)+30*($AG2323/100))))))))))</f>
        <v>100</v>
      </c>
      <c r="AI2323" s="262">
        <v>6395</v>
      </c>
      <c r="AJ2323" s="262"/>
      <c r="AK2323" s="262"/>
      <c r="AL2323" s="263"/>
      <c r="AM2323" s="264"/>
      <c r="AN2323" s="263"/>
      <c r="AO2323" s="263"/>
      <c r="AP2323" s="265"/>
      <c r="AQ2323" s="266">
        <v>10876</v>
      </c>
      <c r="AR2323" s="267">
        <v>60291</v>
      </c>
      <c r="AS2323" s="263"/>
      <c r="AT2323" s="263"/>
      <c r="AU2323" s="263"/>
      <c r="AV2323" s="264"/>
      <c r="AW2323" s="263"/>
      <c r="AX2323" s="263"/>
      <c r="AY2323" s="263"/>
      <c r="AZ2323" s="263"/>
      <c r="BA2323" s="263"/>
      <c r="BB2323" s="263"/>
      <c r="BC2323" s="263"/>
      <c r="BD2323" s="264"/>
      <c r="BE2323" s="263"/>
      <c r="BF2323" s="263"/>
      <c r="BG2323" s="263"/>
      <c r="BH2323" s="263"/>
      <c r="BI2323" s="263"/>
      <c r="BJ2323" s="404">
        <f>altaz(J2000_Bas,$O2323,$M2323,DecLat,DecLong,2)</f>
        <v>348.5302266200186</v>
      </c>
      <c r="BK2323" s="378" t="s">
        <v>2201</v>
      </c>
      <c r="BL2323" s="379">
        <f>IF((2*G2323)/60&lt;0.2,0.2,(2*G2323)/60)</f>
        <v>0.2</v>
      </c>
      <c r="BM2323" s="380">
        <f>MOD((50000+AD2323-$B$3+(0/24)),1)</f>
        <v>0.93501450284384191</v>
      </c>
      <c r="BN2323" s="381"/>
      <c r="BO2323" s="382">
        <v>2314</v>
      </c>
    </row>
    <row r="2324" spans="1:67" s="24" customFormat="1" ht="15" customHeight="1" x14ac:dyDescent="0.25">
      <c r="A2324" s="298" t="s">
        <v>2202</v>
      </c>
      <c r="B2324" s="241" t="str">
        <f>HYPERLINK(CONCATENATE($AT$3,BK2324,$AU$3),$AV$3)</f>
        <v>S</v>
      </c>
      <c r="C2324" s="242" t="str">
        <f>HYPERLINK(CONCATENATE($AT$4,BK2324,$AU$4,BL2324),$AV$4)</f>
        <v>A</v>
      </c>
      <c r="D2324" s="243" t="s">
        <v>5335</v>
      </c>
      <c r="E2324" s="244" t="s">
        <v>5184</v>
      </c>
      <c r="F2324" s="310" t="s">
        <v>3320</v>
      </c>
      <c r="G2324" s="330">
        <v>30</v>
      </c>
      <c r="H2324" s="331">
        <v>7000</v>
      </c>
      <c r="I2324" s="332">
        <v>60</v>
      </c>
      <c r="J2324" s="246">
        <v>4</v>
      </c>
      <c r="K2324" s="247" t="s">
        <v>7940</v>
      </c>
      <c r="L2324" s="312">
        <v>174042</v>
      </c>
      <c r="M2324" s="249">
        <f>15*(LEFT(TEXT($L2324,"000000"),2)+(MID(TEXT($L2324,"000000"),3,2)/60)+(RIGHT(TEXT($L2324,"000000"),2)/3600))</f>
        <v>265.17500000000001</v>
      </c>
      <c r="N2324" s="313">
        <v>-534000</v>
      </c>
      <c r="O2324" s="251">
        <f>IF($N2324&gt;0,(LEFT(TEXT($N2324,"000000"),2)+(MID(TEXT($N2324,"000000"),3,2)/60)+(RIGHT(TEXT($N2324,"000000"),2)/3600)),-(MID(TEXT($N2324,"000000"),2,2)+(MID(TEXT($N2324,"000000"),4,2)/60)+(RIGHT(TEXT($N2324,"000000"),2)/3600)))</f>
        <v>-53.666666666666664</v>
      </c>
      <c r="P2324" s="314" t="s">
        <v>2168</v>
      </c>
      <c r="Q2324" s="315" t="s">
        <v>7097</v>
      </c>
      <c r="R2324" s="247" t="s">
        <v>7398</v>
      </c>
      <c r="S2324" s="272" t="s">
        <v>3293</v>
      </c>
      <c r="T2324" s="311">
        <v>5.3</v>
      </c>
      <c r="U2324" s="316"/>
      <c r="V2324" s="333"/>
      <c r="W2324" s="318"/>
      <c r="X2324" s="318"/>
      <c r="Y2324" s="363"/>
      <c r="Z2324" s="257">
        <f>altaz(J2000_Bas,$O2324,$M2324,DecLat,DecLong,1)</f>
        <v>3.4262475026806687</v>
      </c>
      <c r="AA2324" s="257">
        <f>altaz((J2000_Bas+(2*0.04167)),$O2324,$M2324,DecLat,DecLong,1)</f>
        <v>-5.4339052650827284</v>
      </c>
      <c r="AB2324" s="257">
        <f>altaz((J2000_Bas+(4*0.04167)),$O2324,$M2324,DecLat,DecLong,1)</f>
        <v>-19.598768685118539</v>
      </c>
      <c r="AC2324" s="257">
        <f>altaz((J2000_Bas+(6*0.04167)),$O2324,$M2324,DecLat,DecLong,1)</f>
        <v>-36.696623294790641</v>
      </c>
      <c r="AD2324" s="258">
        <f>1+ transit((J2000_Bas-1),$O2324,$M2324,DecLat,DecLong)/360 + (GMTOffset/24) + (IF(DST="Y", 1, 0)/24)</f>
        <v>1.729497109192208</v>
      </c>
      <c r="AE2324" s="259">
        <f>DATE(2001,9,21)+(M2324/360)*365 - (360*((DecLong/360)- (GMTOffset/24) ))</f>
        <v>37428.857986111114</v>
      </c>
      <c r="AF2324" s="260">
        <f>IF(DecLat&gt;0,IF((90 - (DecLat-O2324))&gt;90, (90 - (O2324-DecLat)), (90 - (DecLat-O2324))),IF((90 + (DecLat-O2324))&gt;90, (90 + (O2324-DecLat)), (90 + (DecLat-O2324))))</f>
        <v>5.3333333333333428</v>
      </c>
      <c r="AG2324" s="257">
        <f>angularseperation(MoonRA,MoonDec,$M2324,$O2324)</f>
        <v>29.070206049114901</v>
      </c>
      <c r="AH2324" s="261">
        <f ca="1">MIN(100,IF($O$5&gt;80,0+30*($AG2324/100),IF($O$5&gt;70,0+50*($AG2324/100),IF($O$5&gt;60,5+50*($AG2324/100),IF($O$5&gt;50,10+60*($AG2324/100),IF($O$5&gt;40,15+70*($AG2324/100),IF($O$5&gt;30,20+70*($AG2324/100),IF($O$5&gt;20,40+55*($AG2324/100),(80+(20-$O$5)+30*($AG2324/100))))))))))</f>
        <v>91.992122158884897</v>
      </c>
      <c r="AI2324" s="334">
        <v>6397</v>
      </c>
      <c r="AJ2324" s="334"/>
      <c r="AK2324" s="334"/>
      <c r="AL2324" s="319"/>
      <c r="AM2324" s="320">
        <v>86</v>
      </c>
      <c r="AN2324" s="319"/>
      <c r="AO2324" s="319"/>
      <c r="AP2324" s="265"/>
      <c r="AQ2324" s="266"/>
      <c r="AR2324" s="267"/>
      <c r="AS2324" s="319"/>
      <c r="AT2324" s="319"/>
      <c r="AU2324" s="319"/>
      <c r="AV2324" s="320"/>
      <c r="AW2324" s="319"/>
      <c r="AX2324" s="319"/>
      <c r="AY2324" s="319"/>
      <c r="AZ2324" s="319"/>
      <c r="BA2324" s="319"/>
      <c r="BB2324" s="319"/>
      <c r="BC2324" s="319"/>
      <c r="BD2324" s="320"/>
      <c r="BE2324" s="319"/>
      <c r="BF2324" s="319"/>
      <c r="BG2324" s="319"/>
      <c r="BH2324" s="319"/>
      <c r="BI2324" s="319"/>
      <c r="BJ2324" s="404">
        <f>altaz(J2000_Bas,$O2324,$M2324,DecLat,DecLong,2)</f>
        <v>192.18323114153372</v>
      </c>
      <c r="BK2324" s="378" t="s">
        <v>2202</v>
      </c>
      <c r="BL2324" s="379">
        <f>IF((2*G2324)/60&lt;0.2,0.2,(2*G2324)/60)</f>
        <v>1</v>
      </c>
      <c r="BM2324" s="380">
        <f>MOD((50000+AD2324-$B$3+(0/24)),1)</f>
        <v>0.94486403889459325</v>
      </c>
      <c r="BN2324" s="381"/>
      <c r="BO2324" s="382">
        <v>2315</v>
      </c>
    </row>
    <row r="2325" spans="1:67" s="24" customFormat="1" ht="15" customHeight="1" x14ac:dyDescent="0.25">
      <c r="A2325" s="288" t="s">
        <v>2203</v>
      </c>
      <c r="B2325" s="241" t="str">
        <f>HYPERLINK(CONCATENATE($AT$3,BK2325,$AU$3),$AV$3)</f>
        <v>S</v>
      </c>
      <c r="C2325" s="242" t="str">
        <f>HYPERLINK(CONCATENATE($AT$4,BK2325,$AU$4,BL2325),$AV$4)</f>
        <v>A</v>
      </c>
      <c r="D2325" s="243" t="s">
        <v>5335</v>
      </c>
      <c r="E2325" s="244" t="s">
        <v>5185</v>
      </c>
      <c r="F2325" s="269" t="s">
        <v>6575</v>
      </c>
      <c r="G2325" s="276">
        <v>12</v>
      </c>
      <c r="H2325" s="283">
        <v>3000</v>
      </c>
      <c r="I2325" s="244">
        <v>10</v>
      </c>
      <c r="J2325" s="246">
        <v>2</v>
      </c>
      <c r="K2325" s="247" t="s">
        <v>7938</v>
      </c>
      <c r="L2325" s="248">
        <v>174012</v>
      </c>
      <c r="M2325" s="249">
        <f>15*(LEFT(TEXT($L2325,"000000"),2)+(MID(TEXT($L2325,"000000"),3,2)/60)+(RIGHT(TEXT($L2325,"000000"),2)/3600))</f>
        <v>265.05</v>
      </c>
      <c r="N2325" s="250">
        <v>-365654</v>
      </c>
      <c r="O2325" s="251">
        <f>IF($N2325&gt;0,(LEFT(TEXT($N2325,"000000"),2)+(MID(TEXT($N2325,"000000"),3,2)/60)+(RIGHT(TEXT($N2325,"000000"),2)/3600)),-(MID(TEXT($N2325,"000000"),2,2)+(MID(TEXT($N2325,"000000"),4,2)/60)+(RIGHT(TEXT($N2325,"000000"),2)/3600)))</f>
        <v>-36.948333333333331</v>
      </c>
      <c r="P2325" s="252" t="s">
        <v>109</v>
      </c>
      <c r="Q2325" s="253" t="s">
        <v>7137</v>
      </c>
      <c r="R2325" s="247" t="s">
        <v>3293</v>
      </c>
      <c r="S2325" s="272" t="s">
        <v>3293</v>
      </c>
      <c r="T2325" s="273">
        <v>8.8000000000000007</v>
      </c>
      <c r="U2325" s="274"/>
      <c r="V2325" s="280"/>
      <c r="W2325" s="244"/>
      <c r="X2325" s="244"/>
      <c r="Y2325" s="362"/>
      <c r="Z2325" s="257">
        <f>altaz(J2000_Bas,$O2325,$M2325,DecLat,DecLong,1)</f>
        <v>19.277634129750087</v>
      </c>
      <c r="AA2325" s="257">
        <f>altaz((J2000_Bas+(2*0.04167)),$O2325,$M2325,DecLat,DecLong,1)</f>
        <v>6.9596736700408135</v>
      </c>
      <c r="AB2325" s="257">
        <f>altaz((J2000_Bas+(4*0.04167)),$O2325,$M2325,DecLat,DecLong,1)</f>
        <v>-11.762889043436273</v>
      </c>
      <c r="AC2325" s="257">
        <f>altaz((J2000_Bas+(6*0.04167)),$O2325,$M2325,DecLat,DecLong,1)</f>
        <v>-33.874782218755257</v>
      </c>
      <c r="AD2325" s="258">
        <f>1+ transit((J2000_Bas-1),$O2325,$M2325,DecLat,DecLong)/360 + (GMTOffset/24) + (IF(DST="Y", 1, 0)/24)</f>
        <v>1.7291498870047082</v>
      </c>
      <c r="AE2325" s="259">
        <f>DATE(2001,9,21)+(M2325/360)*365 - (360*((DecLong/360)- (GMTOffset/24) ))</f>
        <v>37428.731249999997</v>
      </c>
      <c r="AF2325" s="260">
        <f>IF(DecLat&gt;0,IF((90 - (DecLat-O2325))&gt;90, (90 - (O2325-DecLat)), (90 - (DecLat-O2325))),IF((90 + (DecLat-O2325))&gt;90, (90 + (O2325-DecLat)), (90 + (DecLat-O2325))))</f>
        <v>22.051666666666677</v>
      </c>
      <c r="AG2325" s="257">
        <f>angularseperation(MoonRA,MoonDec,$M2325,$O2325)</f>
        <v>16.603384267983639</v>
      </c>
      <c r="AH2325" s="261">
        <f ca="1">MIN(100,IF($O$5&gt;80,0+30*($AG2325/100),IF($O$5&gt;70,0+50*($AG2325/100),IF($O$5&gt;60,5+50*($AG2325/100),IF($O$5&gt;50,10+60*($AG2325/100),IF($O$5&gt;40,15+70*($AG2325/100),IF($O$5&gt;30,20+70*($AG2325/100),IF($O$5&gt;20,40+55*($AG2325/100),(80+(20-$O$5)+30*($AG2325/100))))))))))</f>
        <v>88.252075624545526</v>
      </c>
      <c r="AI2325" s="262">
        <v>6400</v>
      </c>
      <c r="AJ2325" s="262"/>
      <c r="AK2325" s="262"/>
      <c r="AL2325" s="263"/>
      <c r="AM2325" s="264"/>
      <c r="AN2325" s="263"/>
      <c r="AO2325" s="263"/>
      <c r="AP2325" s="265"/>
      <c r="AQ2325" s="266"/>
      <c r="AR2325" s="267"/>
      <c r="AS2325" s="263"/>
      <c r="AT2325" s="263"/>
      <c r="AU2325" s="263"/>
      <c r="AV2325" s="264"/>
      <c r="AW2325" s="263"/>
      <c r="AX2325" s="263"/>
      <c r="AY2325" s="263"/>
      <c r="AZ2325" s="263"/>
      <c r="BA2325" s="263"/>
      <c r="BB2325" s="263"/>
      <c r="BC2325" s="263"/>
      <c r="BD2325" s="264"/>
      <c r="BE2325" s="263">
        <v>82</v>
      </c>
      <c r="BF2325" s="263"/>
      <c r="BG2325" s="263"/>
      <c r="BH2325" s="263"/>
      <c r="BI2325" s="263"/>
      <c r="BJ2325" s="404">
        <f>altaz(J2000_Bas,$O2325,$M2325,DecLat,DecLong,2)</f>
        <v>197.62335764877429</v>
      </c>
      <c r="BK2325" s="378" t="s">
        <v>2203</v>
      </c>
      <c r="BL2325" s="379">
        <f>IF((2*G2325)/60&lt;0.2,0.2,(2*G2325)/60)</f>
        <v>0.4</v>
      </c>
      <c r="BM2325" s="380">
        <f>MOD((50000+AD2325-$B$3+(0/24)),1)</f>
        <v>0.944516816707619</v>
      </c>
      <c r="BN2325" s="381"/>
      <c r="BO2325" s="382">
        <v>2316</v>
      </c>
    </row>
    <row r="2326" spans="1:67" s="24" customFormat="1" ht="15" customHeight="1" x14ac:dyDescent="0.25">
      <c r="A2326" s="287" t="s">
        <v>3019</v>
      </c>
      <c r="B2326" s="241" t="str">
        <f>HYPERLINK(CONCATENATE($AT$3,BK2326,$AU$3),$AV$3)</f>
        <v>S</v>
      </c>
      <c r="C2326" s="242" t="str">
        <f>HYPERLINK(CONCATENATE($AT$4,BK2326,$AU$4,BL2326),$AV$4)</f>
        <v>A</v>
      </c>
      <c r="D2326" s="243" t="s">
        <v>5335</v>
      </c>
      <c r="E2326" s="244" t="s">
        <v>5184</v>
      </c>
      <c r="F2326" s="269" t="s">
        <v>3314</v>
      </c>
      <c r="G2326" s="273">
        <v>5</v>
      </c>
      <c r="H2326" s="283">
        <v>24000</v>
      </c>
      <c r="I2326" s="246">
        <v>34</v>
      </c>
      <c r="J2326" s="246">
        <v>2</v>
      </c>
      <c r="K2326" s="247" t="s">
        <v>7942</v>
      </c>
      <c r="L2326" s="248">
        <v>173836</v>
      </c>
      <c r="M2326" s="249">
        <f>15*(LEFT(TEXT($L2326,"000000"),2)+(MID(TEXT($L2326,"000000"),3,2)/60)+(RIGHT(TEXT($L2326,"000000"),2)/3600))</f>
        <v>264.65000000000003</v>
      </c>
      <c r="N2326" s="250">
        <v>-235500</v>
      </c>
      <c r="O2326" s="251">
        <f>IF($N2326&gt;0,(LEFT(TEXT($N2326,"000000"),2)+(MID(TEXT($N2326,"000000"),3,2)/60)+(RIGHT(TEXT($N2326,"000000"),2)/3600)),-(MID(TEXT($N2326,"000000"),2,2)+(MID(TEXT($N2326,"000000"),4,2)/60)+(RIGHT(TEXT($N2326,"000000"),2)/3600)))</f>
        <v>-23.916666666666668</v>
      </c>
      <c r="P2326" s="252" t="s">
        <v>113</v>
      </c>
      <c r="Q2326" s="253"/>
      <c r="R2326" s="277" t="s">
        <v>3293</v>
      </c>
      <c r="S2326" s="272" t="s">
        <v>3293</v>
      </c>
      <c r="T2326" s="273">
        <v>10.7</v>
      </c>
      <c r="U2326" s="274"/>
      <c r="V2326" s="280"/>
      <c r="W2326" s="244"/>
      <c r="X2326" s="244"/>
      <c r="Y2326" s="362"/>
      <c r="Z2326" s="257">
        <f>altaz(J2000_Bas,$O2326,$M2326,DecLat,DecLong,1)</f>
        <v>31.398075005260335</v>
      </c>
      <c r="AA2326" s="257">
        <f>altaz((J2000_Bas+(2*0.04167)),$O2326,$M2326,DecLat,DecLong,1)</f>
        <v>16.239562278097331</v>
      </c>
      <c r="AB2326" s="257">
        <f>altaz((J2000_Bas+(4*0.04167)),$O2326,$M2326,DecLat,DecLong,1)</f>
        <v>-5.3520645219043379</v>
      </c>
      <c r="AC2326" s="257">
        <f>altaz((J2000_Bas+(6*0.04167)),$O2326,$M2326,DecLat,DecLong,1)</f>
        <v>-29.823533075131596</v>
      </c>
      <c r="AD2326" s="258">
        <f>1+ transit((J2000_Bas-1),$O2326,$M2326,DecLat,DecLong)/360 + (GMTOffset/24) + (IF(DST="Y", 1, 0)/24)</f>
        <v>1.728038776004708</v>
      </c>
      <c r="AE2326" s="259">
        <f>DATE(2001,9,21)+(M2326/360)*365 - (360*((DecLong/360)- (GMTOffset/24) ))</f>
        <v>37428.325694444444</v>
      </c>
      <c r="AF2326" s="260">
        <f>IF(DecLat&gt;0,IF((90 - (DecLat-O2326))&gt;90, (90 - (O2326-DecLat)), (90 - (DecLat-O2326))),IF((90 + (DecLat-O2326))&gt;90, (90 + (O2326-DecLat)), (90 + (DecLat-O2326))))</f>
        <v>35.083333333333329</v>
      </c>
      <c r="AG2326" s="257">
        <f>angularseperation(MoonRA,MoonDec,$M2326,$O2326)</f>
        <v>14.252681947060717</v>
      </c>
      <c r="AH2326" s="261">
        <f ca="1">MIN(100,IF($O$5&gt;80,0+30*($AG2326/100),IF($O$5&gt;70,0+50*($AG2326/100),IF($O$5&gt;60,5+50*($AG2326/100),IF($O$5&gt;50,10+60*($AG2326/100),IF($O$5&gt;40,15+70*($AG2326/100),IF($O$5&gt;30,20+70*($AG2326/100),IF($O$5&gt;20,40+55*($AG2326/100),(80+(20-$O$5)+30*($AG2326/100))))))))))</f>
        <v>87.546864928268647</v>
      </c>
      <c r="AI2326" s="262">
        <v>6401</v>
      </c>
      <c r="AJ2326" s="263"/>
      <c r="AK2326" s="263">
        <v>331</v>
      </c>
      <c r="AL2326" s="263"/>
      <c r="AM2326" s="264"/>
      <c r="AN2326" s="263"/>
      <c r="AO2326" s="263"/>
      <c r="AP2326" s="265"/>
      <c r="AQ2326" s="265"/>
      <c r="AR2326" s="285"/>
      <c r="AS2326" s="263"/>
      <c r="AT2326" s="263"/>
      <c r="AU2326" s="263"/>
      <c r="AV2326" s="264"/>
      <c r="AW2326" s="263"/>
      <c r="AX2326" s="263"/>
      <c r="AY2326" s="263"/>
      <c r="AZ2326" s="263"/>
      <c r="BA2326" s="263"/>
      <c r="BB2326" s="263"/>
      <c r="BC2326" s="263"/>
      <c r="BD2326" s="264"/>
      <c r="BE2326" s="263"/>
      <c r="BF2326" s="263"/>
      <c r="BG2326" s="263"/>
      <c r="BH2326" s="263"/>
      <c r="BI2326" s="263"/>
      <c r="BJ2326" s="404">
        <f>altaz(J2000_Bas,$O2326,$M2326,DecLat,DecLong,2)</f>
        <v>202.95096860758306</v>
      </c>
      <c r="BK2326" s="378" t="s">
        <v>3019</v>
      </c>
      <c r="BL2326" s="379">
        <f>IF((2*G2326)/60&lt;0.2,0.2,(2*G2326)/60)</f>
        <v>0.2</v>
      </c>
      <c r="BM2326" s="380">
        <f>MOD((50000+AD2326-$B$3+(0/24)),1)</f>
        <v>0.94340570570784621</v>
      </c>
      <c r="BN2326" s="381"/>
      <c r="BO2326" s="382">
        <v>2317</v>
      </c>
    </row>
    <row r="2327" spans="1:67" s="24" customFormat="1" ht="15" customHeight="1" x14ac:dyDescent="0.25">
      <c r="A2327" s="287" t="s">
        <v>2204</v>
      </c>
      <c r="B2327" s="241" t="str">
        <f>HYPERLINK(CONCATENATE($AT$3,BK2327,$AU$3),$AV$3)</f>
        <v>S</v>
      </c>
      <c r="C2327" s="242" t="str">
        <f>HYPERLINK(CONCATENATE($AT$4,BK2327,$AU$4,BL2327),$AV$4)</f>
        <v>A</v>
      </c>
      <c r="D2327" s="243" t="s">
        <v>5335</v>
      </c>
      <c r="E2327" s="244" t="s">
        <v>5184</v>
      </c>
      <c r="F2327" s="269" t="s">
        <v>3320</v>
      </c>
      <c r="G2327" s="273">
        <v>8</v>
      </c>
      <c r="H2327" s="283">
        <v>68000</v>
      </c>
      <c r="I2327" s="246">
        <v>150</v>
      </c>
      <c r="J2327" s="246">
        <v>2</v>
      </c>
      <c r="K2327" s="247" t="s">
        <v>7941</v>
      </c>
      <c r="L2327" s="248">
        <v>174455</v>
      </c>
      <c r="M2327" s="249">
        <f>15*(LEFT(TEXT($L2327,"000000"),2)+(MID(TEXT($L2327,"000000"),3,2)/60)+(RIGHT(TEXT($L2327,"000000"),2)/3600))</f>
        <v>266.22916666666669</v>
      </c>
      <c r="N2327" s="250">
        <v>31011</v>
      </c>
      <c r="O2327" s="251">
        <f>IF($N2327&gt;0,(LEFT(TEXT($N2327,"000000"),2)+(MID(TEXT($N2327,"000000"),3,2)/60)+(RIGHT(TEXT($N2327,"000000"),2)/3600)),-(MID(TEXT($N2327,"000000"),2,2)+(MID(TEXT($N2327,"000000"),4,2)/60)+(RIGHT(TEXT($N2327,"000000"),2)/3600)))</f>
        <v>3.1697222222222221</v>
      </c>
      <c r="P2327" s="252" t="s">
        <v>113</v>
      </c>
      <c r="Q2327" s="253"/>
      <c r="R2327" s="277" t="s">
        <v>3293</v>
      </c>
      <c r="S2327" s="272" t="s">
        <v>3293</v>
      </c>
      <c r="T2327" s="273">
        <v>10.9</v>
      </c>
      <c r="U2327" s="274"/>
      <c r="V2327" s="280"/>
      <c r="W2327" s="244"/>
      <c r="X2327" s="244"/>
      <c r="Y2327" s="362"/>
      <c r="Z2327" s="257">
        <f>altaz(J2000_Bas,$O2327,$M2327,DecLat,DecLong,1)</f>
        <v>56.49846634385478</v>
      </c>
      <c r="AA2327" s="257">
        <f>altaz((J2000_Bas+(2*0.04167)),$O2327,$M2327,DecLat,DecLong,1)</f>
        <v>35.467085840363453</v>
      </c>
      <c r="AB2327" s="257">
        <f>altaz((J2000_Bas+(4*0.04167)),$O2327,$M2327,DecLat,DecLong,1)</f>
        <v>10.249872273632135</v>
      </c>
      <c r="AC2327" s="257">
        <f>altaz((J2000_Bas+(6*0.04167)),$O2327,$M2327,DecLat,DecLong,1)</f>
        <v>-15.34447936811342</v>
      </c>
      <c r="AD2327" s="258">
        <f>1+ transit((J2000_Bas-1),$O2327,$M2327,DecLat,DecLong)/360 + (GMTOffset/24) + (IF(DST="Y", 1, 0)/24)</f>
        <v>1.7324253496401247</v>
      </c>
      <c r="AE2327" s="259">
        <f>DATE(2001,9,21)+(M2327/360)*365 - (360*((DecLong/360)- (GMTOffset/24) ))</f>
        <v>37429.926793981482</v>
      </c>
      <c r="AF2327" s="260">
        <f>IF(DecLat&gt;0,IF((90 - (DecLat-O2327))&gt;90, (90 - (O2327-DecLat)), (90 - (DecLat-O2327))),IF((90 + (DecLat-O2327))&gt;90, (90 + (O2327-DecLat)), (90 + (DecLat-O2327))))</f>
        <v>62.169722222222219</v>
      </c>
      <c r="AG2327" s="257">
        <f>angularseperation(MoonRA,MoonDec,$M2327,$O2327)</f>
        <v>34.409918809710639</v>
      </c>
      <c r="AH2327" s="261">
        <f ca="1">MIN(100,IF($O$5&gt;80,0+30*($AG2327/100),IF($O$5&gt;70,0+50*($AG2327/100),IF($O$5&gt;60,5+50*($AG2327/100),IF($O$5&gt;50,10+60*($AG2327/100),IF($O$5&gt;40,15+70*($AG2327/100),IF($O$5&gt;30,20+70*($AG2327/100),IF($O$5&gt;20,40+55*($AG2327/100),(80+(20-$O$5)+30*($AG2327/100))))))))))</f>
        <v>93.59403598706362</v>
      </c>
      <c r="AI2327" s="262">
        <v>6426</v>
      </c>
      <c r="AJ2327" s="263"/>
      <c r="AK2327" s="263">
        <v>332</v>
      </c>
      <c r="AL2327" s="263"/>
      <c r="AM2327" s="264"/>
      <c r="AN2327" s="263"/>
      <c r="AO2327" s="263"/>
      <c r="AP2327" s="265"/>
      <c r="AQ2327" s="265"/>
      <c r="AR2327" s="285"/>
      <c r="AS2327" s="263"/>
      <c r="AT2327" s="263"/>
      <c r="AU2327" s="263"/>
      <c r="AV2327" s="264"/>
      <c r="AW2327" s="263"/>
      <c r="AX2327" s="263"/>
      <c r="AY2327" s="263"/>
      <c r="AZ2327" s="263"/>
      <c r="BA2327" s="263"/>
      <c r="BB2327" s="263"/>
      <c r="BC2327" s="263"/>
      <c r="BD2327" s="264"/>
      <c r="BE2327" s="263"/>
      <c r="BF2327" s="263"/>
      <c r="BG2327" s="263"/>
      <c r="BH2327" s="263"/>
      <c r="BI2327" s="263"/>
      <c r="BJ2327" s="404">
        <f>altaz(J2000_Bas,$O2327,$M2327,DecLat,DecLong,2)</f>
        <v>217.73234156039786</v>
      </c>
      <c r="BK2327" s="378" t="s">
        <v>2204</v>
      </c>
      <c r="BL2327" s="379">
        <f>IF((2*G2327)/60&lt;0.2,0.2,(2*G2327)/60)</f>
        <v>0.26666666666666666</v>
      </c>
      <c r="BM2327" s="380">
        <f>MOD((50000+AD2327-$B$3+(0/24)),1)</f>
        <v>0.94779227934486698</v>
      </c>
      <c r="BN2327" s="381"/>
      <c r="BO2327" s="382">
        <v>2318</v>
      </c>
    </row>
    <row r="2328" spans="1:67" s="24" customFormat="1" ht="15" customHeight="1" x14ac:dyDescent="0.25">
      <c r="A2328" s="288" t="s">
        <v>2205</v>
      </c>
      <c r="B2328" s="241" t="str">
        <f>HYPERLINK(CONCATENATE($AT$3,BK2328,$AU$3),$AV$3)</f>
        <v>S</v>
      </c>
      <c r="C2328" s="242" t="str">
        <f>HYPERLINK(CONCATENATE($AT$4,BK2328,$AU$4,BL2328),$AV$4)</f>
        <v>A</v>
      </c>
      <c r="D2328" s="243" t="s">
        <v>5335</v>
      </c>
      <c r="E2328" s="244" t="s">
        <v>5184</v>
      </c>
      <c r="F2328" s="269" t="s">
        <v>3316</v>
      </c>
      <c r="G2328" s="273">
        <v>3</v>
      </c>
      <c r="H2328" s="283">
        <v>24000</v>
      </c>
      <c r="I2328" s="246">
        <v>22</v>
      </c>
      <c r="J2328" s="246">
        <v>2</v>
      </c>
      <c r="K2328" s="247" t="s">
        <v>7939</v>
      </c>
      <c r="L2328" s="248">
        <v>174853</v>
      </c>
      <c r="M2328" s="249">
        <f>15*(LEFT(TEXT($L2328,"000000"),2)+(MID(TEXT($L2328,"000000"),3,2)/60)+(RIGHT(TEXT($L2328,"000000"),2)/3600))</f>
        <v>267.22083333333336</v>
      </c>
      <c r="N2328" s="286">
        <v>-202135</v>
      </c>
      <c r="O2328" s="251">
        <f>IF($N2328&gt;0,(LEFT(TEXT($N2328,"000000"),2)+(MID(TEXT($N2328,"000000"),3,2)/60)+(RIGHT(TEXT($N2328,"000000"),2)/3600)),-(MID(TEXT($N2328,"000000"),2,2)+(MID(TEXT($N2328,"000000"),4,2)/60)+(RIGHT(TEXT($N2328,"000000"),2)/3600)))</f>
        <v>-20.359722222222224</v>
      </c>
      <c r="P2328" s="252" t="s">
        <v>119</v>
      </c>
      <c r="Q2328" s="253"/>
      <c r="R2328" s="247" t="s">
        <v>3293</v>
      </c>
      <c r="S2328" s="272" t="s">
        <v>3293</v>
      </c>
      <c r="T2328" s="273">
        <v>9.3000000000000007</v>
      </c>
      <c r="U2328" s="274"/>
      <c r="V2328" s="280"/>
      <c r="W2328" s="244"/>
      <c r="X2328" s="244"/>
      <c r="Y2328" s="362"/>
      <c r="Z2328" s="257">
        <f>altaz(J2000_Bas,$O2328,$M2328,DecLat,DecLong,1)</f>
        <v>35.565799131430431</v>
      </c>
      <c r="AA2328" s="257">
        <f>altaz((J2000_Bas+(2*0.04167)),$O2328,$M2328,DecLat,DecLong,1)</f>
        <v>20.453393956461756</v>
      </c>
      <c r="AB2328" s="257">
        <f>altaz((J2000_Bas+(4*0.04167)),$O2328,$M2328,DecLat,DecLong,1)</f>
        <v>-1.4425652227191557</v>
      </c>
      <c r="AC2328" s="257">
        <f>altaz((J2000_Bas+(6*0.04167)),$O2328,$M2328,DecLat,DecLong,1)</f>
        <v>-26.186244634896376</v>
      </c>
      <c r="AD2328" s="258">
        <f>1+ transit((J2000_Bas-1),$O2328,$M2328,DecLat,DecLong)/360 + (GMTOffset/24) + (IF(DST="Y", 1, 0)/24)</f>
        <v>1.7351799789942912</v>
      </c>
      <c r="AE2328" s="259">
        <f>DATE(2001,9,21)+(M2328/360)*365 - (360*((DecLong/360)- (GMTOffset/24) ))</f>
        <v>37430.932233796295</v>
      </c>
      <c r="AF2328" s="260">
        <f>IF(DecLat&gt;0,IF((90 - (DecLat-O2328))&gt;90, (90 - (O2328-DecLat)), (90 - (DecLat-O2328))),IF((90 + (DecLat-O2328))&gt;90, (90 + (O2328-DecLat)), (90 + (DecLat-O2328))))</f>
        <v>38.640277777777776</v>
      </c>
      <c r="AG2328" s="257">
        <f>angularseperation(MoonRA,MoonDec,$M2328,$O2328)</f>
        <v>17.756384449049957</v>
      </c>
      <c r="AH2328" s="261">
        <f ca="1">MIN(100,IF($O$5&gt;80,0+30*($AG2328/100),IF($O$5&gt;70,0+50*($AG2328/100),IF($O$5&gt;60,5+50*($AG2328/100),IF($O$5&gt;50,10+60*($AG2328/100),IF($O$5&gt;40,15+70*($AG2328/100),IF($O$5&gt;30,20+70*($AG2328/100),IF($O$5&gt;20,40+55*($AG2328/100),(80+(20-$O$5)+30*($AG2328/100))))))))))</f>
        <v>88.59797567886541</v>
      </c>
      <c r="AI2328" s="262">
        <v>6440</v>
      </c>
      <c r="AJ2328" s="262"/>
      <c r="AK2328" s="262">
        <v>333</v>
      </c>
      <c r="AL2328" s="263"/>
      <c r="AM2328" s="264"/>
      <c r="AN2328" s="263"/>
      <c r="AO2328" s="263"/>
      <c r="AP2328" s="265"/>
      <c r="AQ2328" s="266"/>
      <c r="AR2328" s="267"/>
      <c r="AS2328" s="263"/>
      <c r="AT2328" s="263"/>
      <c r="AU2328" s="263"/>
      <c r="AV2328" s="264"/>
      <c r="AW2328" s="263"/>
      <c r="AX2328" s="263"/>
      <c r="AY2328" s="263"/>
      <c r="AZ2328" s="263"/>
      <c r="BA2328" s="263"/>
      <c r="BB2328" s="263"/>
      <c r="BC2328" s="263"/>
      <c r="BD2328" s="264"/>
      <c r="BE2328" s="263"/>
      <c r="BF2328" s="263"/>
      <c r="BG2328" s="263"/>
      <c r="BH2328" s="263"/>
      <c r="BI2328" s="263"/>
      <c r="BJ2328" s="404">
        <f>altaz(J2000_Bas,$O2328,$M2328,DecLat,DecLong,2)</f>
        <v>201.78196410859238</v>
      </c>
      <c r="BK2328" s="378" t="s">
        <v>2205</v>
      </c>
      <c r="BL2328" s="379">
        <f>IF((2*G2328)/60&lt;0.2,0.2,(2*G2328)/60)</f>
        <v>0.2</v>
      </c>
      <c r="BM2328" s="380">
        <f>MOD((50000+AD2328-$B$3+(0/24)),1)</f>
        <v>0.95054690870165359</v>
      </c>
      <c r="BN2328" s="381"/>
      <c r="BO2328" s="382">
        <v>2319</v>
      </c>
    </row>
    <row r="2329" spans="1:67" s="24" customFormat="1" ht="15" customHeight="1" x14ac:dyDescent="0.25">
      <c r="A2329" s="288" t="s">
        <v>2206</v>
      </c>
      <c r="B2329" s="241" t="str">
        <f>HYPERLINK(CONCATENATE($AT$3,BK2329,$AU$3),$AV$3)</f>
        <v>S</v>
      </c>
      <c r="C2329" s="242" t="str">
        <f>HYPERLINK(CONCATENATE($AT$4,BK2329,$AU$4,BL2329),$AV$4)</f>
        <v>A</v>
      </c>
      <c r="D2329" s="243" t="s">
        <v>5335</v>
      </c>
      <c r="E2329" s="244" t="s">
        <v>5184</v>
      </c>
      <c r="F2329" s="269" t="s">
        <v>3301</v>
      </c>
      <c r="G2329" s="273">
        <v>8</v>
      </c>
      <c r="H2329" s="283">
        <v>40000</v>
      </c>
      <c r="I2329" s="246">
        <v>90</v>
      </c>
      <c r="J2329" s="246">
        <v>2</v>
      </c>
      <c r="K2329" s="247" t="s">
        <v>7943</v>
      </c>
      <c r="L2329" s="248">
        <v>175013</v>
      </c>
      <c r="M2329" s="249">
        <f>15*(LEFT(TEXT($L2329,"000000"),2)+(MID(TEXT($L2329,"000000"),3,2)/60)+(RIGHT(TEXT($L2329,"000000"),2)/3600))</f>
        <v>267.55416666666667</v>
      </c>
      <c r="N2329" s="250">
        <v>-370303</v>
      </c>
      <c r="O2329" s="251">
        <f>IF($N2329&gt;0,(LEFT(TEXT($N2329,"000000"),2)+(MID(TEXT($N2329,"000000"),3,2)/60)+(RIGHT(TEXT($N2329,"000000"),2)/3600)),-(MID(TEXT($N2329,"000000"),2,2)+(MID(TEXT($N2329,"000000"),4,2)/60)+(RIGHT(TEXT($N2329,"000000"),2)/3600)))</f>
        <v>-37.05083333333333</v>
      </c>
      <c r="P2329" s="252" t="s">
        <v>109</v>
      </c>
      <c r="Q2329" s="253" t="s">
        <v>7147</v>
      </c>
      <c r="R2329" s="247" t="s">
        <v>3293</v>
      </c>
      <c r="S2329" s="272" t="s">
        <v>3293</v>
      </c>
      <c r="T2329" s="273">
        <v>7.2</v>
      </c>
      <c r="U2329" s="274"/>
      <c r="V2329" s="280"/>
      <c r="W2329" s="244"/>
      <c r="X2329" s="244"/>
      <c r="Y2329" s="362"/>
      <c r="Z2329" s="257">
        <f>altaz(J2000_Bas,$O2329,$M2329,DecLat,DecLong,1)</f>
        <v>19.793228945814722</v>
      </c>
      <c r="AA2329" s="257">
        <f>altaz((J2000_Bas+(2*0.04167)),$O2329,$M2329,DecLat,DecLong,1)</f>
        <v>8.2032383344652047</v>
      </c>
      <c r="AB2329" s="257">
        <f>altaz((J2000_Bas+(4*0.04167)),$O2329,$M2329,DecLat,DecLong,1)</f>
        <v>-10.09665355670503</v>
      </c>
      <c r="AC2329" s="257">
        <f>altaz((J2000_Bas+(6*0.04167)),$O2329,$M2329,DecLat,DecLong,1)</f>
        <v>-31.98380168553955</v>
      </c>
      <c r="AD2329" s="258">
        <f>1+ transit((J2000_Bas-1),$O2329,$M2329,DecLat,DecLong)/360 + (GMTOffset/24) + (IF(DST="Y", 1, 0)/24)</f>
        <v>1.7361059048276248</v>
      </c>
      <c r="AE2329" s="259">
        <f>DATE(2001,9,21)+(M2329/360)*365 - (360*((DecLong/360)- (GMTOffset/24) ))</f>
        <v>37431.270196759258</v>
      </c>
      <c r="AF2329" s="260">
        <f>IF(DecLat&gt;0,IF((90 - (DecLat-O2329))&gt;90, (90 - (O2329-DecLat)), (90 - (DecLat-O2329))),IF((90 + (DecLat-O2329))&gt;90, (90 + (O2329-DecLat)), (90 + (DecLat-O2329))))</f>
        <v>21.94916666666667</v>
      </c>
      <c r="AG2329" s="257">
        <f>angularseperation(MoonRA,MoonDec,$M2329,$O2329)</f>
        <v>18.3914026481592</v>
      </c>
      <c r="AH2329" s="261">
        <f ca="1">MIN(100,IF($O$5&gt;80,0+30*($AG2329/100),IF($O$5&gt;70,0+50*($AG2329/100),IF($O$5&gt;60,5+50*($AG2329/100),IF($O$5&gt;50,10+60*($AG2329/100),IF($O$5&gt;40,15+70*($AG2329/100),IF($O$5&gt;30,20+70*($AG2329/100),IF($O$5&gt;20,40+55*($AG2329/100),(80+(20-$O$5)+30*($AG2329/100))))))))))</f>
        <v>88.788481138598186</v>
      </c>
      <c r="AI2329" s="262">
        <v>6441</v>
      </c>
      <c r="AJ2329" s="262"/>
      <c r="AK2329" s="262"/>
      <c r="AL2329" s="263"/>
      <c r="AM2329" s="264"/>
      <c r="AN2329" s="263"/>
      <c r="AO2329" s="263"/>
      <c r="AP2329" s="265"/>
      <c r="AQ2329" s="266"/>
      <c r="AR2329" s="267"/>
      <c r="AS2329" s="263"/>
      <c r="AT2329" s="263"/>
      <c r="AU2329" s="263"/>
      <c r="AV2329" s="264"/>
      <c r="AW2329" s="263"/>
      <c r="AX2329" s="263"/>
      <c r="AY2329" s="263"/>
      <c r="AZ2329" s="263"/>
      <c r="BA2329" s="263"/>
      <c r="BB2329" s="263"/>
      <c r="BC2329" s="263"/>
      <c r="BD2329" s="264"/>
      <c r="BE2329" s="263">
        <v>86</v>
      </c>
      <c r="BF2329" s="263"/>
      <c r="BG2329" s="263"/>
      <c r="BH2329" s="263"/>
      <c r="BI2329" s="263"/>
      <c r="BJ2329" s="404">
        <f>altaz(J2000_Bas,$O2329,$M2329,DecLat,DecLong,2)</f>
        <v>195.5701657069163</v>
      </c>
      <c r="BK2329" s="378" t="s">
        <v>2206</v>
      </c>
      <c r="BL2329" s="379">
        <f>IF((2*G2329)/60&lt;0.2,0.2,(2*G2329)/60)</f>
        <v>0.26666666666666666</v>
      </c>
      <c r="BM2329" s="380">
        <f>MOD((50000+AD2329-$B$3+(0/24)),1)</f>
        <v>0.95147283453115961</v>
      </c>
      <c r="BN2329" s="381"/>
      <c r="BO2329" s="382">
        <v>2320</v>
      </c>
    </row>
    <row r="2330" spans="1:67" s="24" customFormat="1" ht="15" customHeight="1" x14ac:dyDescent="0.25">
      <c r="A2330" s="288" t="s">
        <v>2207</v>
      </c>
      <c r="B2330" s="241" t="str">
        <f>HYPERLINK(CONCATENATE($AT$3,BK2330,$AU$3),$AV$3)</f>
        <v>S</v>
      </c>
      <c r="C2330" s="242" t="str">
        <f>HYPERLINK(CONCATENATE($AT$4,BK2330,$AU$4,BL2330),$AV$4)</f>
        <v>A</v>
      </c>
      <c r="D2330" s="243" t="s">
        <v>5187</v>
      </c>
      <c r="E2330" s="244" t="s">
        <v>5181</v>
      </c>
      <c r="F2330" s="269" t="s">
        <v>5057</v>
      </c>
      <c r="G2330" s="273">
        <v>2.5</v>
      </c>
      <c r="H2330" s="283">
        <v>4500</v>
      </c>
      <c r="I2330" s="279">
        <v>3.4</v>
      </c>
      <c r="J2330" s="246">
        <v>3</v>
      </c>
      <c r="K2330" s="247" t="s">
        <v>8343</v>
      </c>
      <c r="L2330" s="248">
        <v>174915</v>
      </c>
      <c r="M2330" s="249">
        <f>15*(LEFT(TEXT($L2330,"000000"),2)+(MID(TEXT($L2330,"000000"),3,2)/60)+(RIGHT(TEXT($L2330,"000000"),2)/3600))</f>
        <v>267.3125</v>
      </c>
      <c r="N2330" s="250">
        <v>-200036</v>
      </c>
      <c r="O2330" s="251">
        <f>IF($N2330&gt;0,(LEFT(TEXT($N2330,"000000"),2)+(MID(TEXT($N2330,"000000"),3,2)/60)+(RIGHT(TEXT($N2330,"000000"),2)/3600)),-(MID(TEXT($N2330,"000000"),2,2)+(MID(TEXT($N2330,"000000"),4,2)/60)+(RIGHT(TEXT($N2330,"000000"),2)/3600)))</f>
        <v>-20.010000000000002</v>
      </c>
      <c r="P2330" s="252" t="s">
        <v>119</v>
      </c>
      <c r="Q2330" s="253" t="s">
        <v>7020</v>
      </c>
      <c r="R2330" s="247" t="s">
        <v>3293</v>
      </c>
      <c r="S2330" s="272" t="s">
        <v>3293</v>
      </c>
      <c r="T2330" s="273">
        <v>11.2</v>
      </c>
      <c r="U2330" s="274"/>
      <c r="V2330" s="280"/>
      <c r="W2330" s="244"/>
      <c r="X2330" s="244"/>
      <c r="Y2330" s="362"/>
      <c r="Z2330" s="257">
        <f>altaz(J2000_Bas,$O2330,$M2330,DecLat,DecLong,1)</f>
        <v>35.923970237638088</v>
      </c>
      <c r="AA2330" s="257">
        <f>altaz((J2000_Bas+(2*0.04167)),$O2330,$M2330,DecLat,DecLong,1)</f>
        <v>20.766074038925499</v>
      </c>
      <c r="AB2330" s="257">
        <f>altaz((J2000_Bas+(4*0.04167)),$O2330,$M2330,DecLat,DecLong,1)</f>
        <v>-1.1811647291632161</v>
      </c>
      <c r="AC2330" s="257">
        <f>altaz((J2000_Bas+(6*0.04167)),$O2330,$M2330,DecLat,DecLong,1)</f>
        <v>-25.95787137895481</v>
      </c>
      <c r="AD2330" s="258">
        <f>1+ transit((J2000_Bas-1),$O2330,$M2330,DecLat,DecLong)/360 + (GMTOffset/24) + (IF(DST="Y", 1, 0)/24)</f>
        <v>1.7354346085984582</v>
      </c>
      <c r="AE2330" s="259">
        <f>DATE(2001,9,21)+(M2330/360)*365 - (360*((DecLong/360)- (GMTOffset/24) ))</f>
        <v>37431.025173611109</v>
      </c>
      <c r="AF2330" s="260">
        <f>IF(DecLat&gt;0,IF((90 - (DecLat-O2330))&gt;90, (90 - (O2330-DecLat)), (90 - (DecLat-O2330))),IF((90 + (DecLat-O2330))&gt;90, (90 + (O2330-DecLat)), (90 + (DecLat-O2330))))</f>
        <v>38.989999999999995</v>
      </c>
      <c r="AG2330" s="257">
        <f>angularseperation(MoonRA,MoonDec,$M2330,$O2330)</f>
        <v>17.987688324185555</v>
      </c>
      <c r="AH2330" s="261">
        <f ca="1">MIN(100,IF($O$5&gt;80,0+30*($AG2330/100),IF($O$5&gt;70,0+50*($AG2330/100),IF($O$5&gt;60,5+50*($AG2330/100),IF($O$5&gt;50,10+60*($AG2330/100),IF($O$5&gt;40,15+70*($AG2330/100),IF($O$5&gt;30,20+70*($AG2330/100),IF($O$5&gt;20,40+55*($AG2330/100),(80+(20-$O$5)+30*($AG2330/100))))))))))</f>
        <v>88.667366841406093</v>
      </c>
      <c r="AI2330" s="262">
        <v>6445</v>
      </c>
      <c r="AJ2330" s="262"/>
      <c r="AK2330" s="262">
        <v>334</v>
      </c>
      <c r="AL2330" s="263"/>
      <c r="AM2330" s="264"/>
      <c r="AN2330" s="263"/>
      <c r="AO2330" s="263"/>
      <c r="AP2330" s="265"/>
      <c r="AQ2330" s="266"/>
      <c r="AR2330" s="267"/>
      <c r="AS2330" s="263"/>
      <c r="AT2330" s="263">
        <v>24</v>
      </c>
      <c r="AU2330" s="263"/>
      <c r="AV2330" s="264"/>
      <c r="AW2330" s="263"/>
      <c r="AX2330" s="263"/>
      <c r="AY2330" s="263"/>
      <c r="AZ2330" s="263"/>
      <c r="BA2330" s="263"/>
      <c r="BB2330" s="263"/>
      <c r="BC2330" s="263"/>
      <c r="BD2330" s="264"/>
      <c r="BE2330" s="263">
        <v>84</v>
      </c>
      <c r="BF2330" s="263"/>
      <c r="BG2330" s="263"/>
      <c r="BH2330" s="263"/>
      <c r="BI2330" s="263"/>
      <c r="BJ2330" s="404">
        <f>altaz(J2000_Bas,$O2330,$M2330,DecLat,DecLong,2)</f>
        <v>201.8284161375006</v>
      </c>
      <c r="BK2330" s="378" t="s">
        <v>2207</v>
      </c>
      <c r="BL2330" s="379">
        <f>IF((2*G2330)/60&lt;0.2,0.2,(2*G2330)/60)</f>
        <v>0.2</v>
      </c>
      <c r="BM2330" s="380">
        <f>MOD((50000+AD2330-$B$3+(0/24)),1)</f>
        <v>0.95080153830349445</v>
      </c>
      <c r="BN2330" s="381"/>
      <c r="BO2330" s="382">
        <v>2321</v>
      </c>
    </row>
    <row r="2331" spans="1:67" s="24" customFormat="1" ht="15" customHeight="1" x14ac:dyDescent="0.25">
      <c r="A2331" s="288" t="s">
        <v>7944</v>
      </c>
      <c r="B2331" s="241" t="str">
        <f>HYPERLINK(CONCATENATE($AT$3,BK2331,$AU$3),$AV$3)</f>
        <v>S</v>
      </c>
      <c r="C2331" s="242" t="str">
        <f>HYPERLINK(CONCATENATE($AT$4,BK2331,$AU$4,BL2331),$AV$4)</f>
        <v>A</v>
      </c>
      <c r="D2331" s="243" t="s">
        <v>5638</v>
      </c>
      <c r="E2331" s="244" t="s">
        <v>5178</v>
      </c>
      <c r="F2331" s="269" t="s">
        <v>3287</v>
      </c>
      <c r="G2331" s="273">
        <v>1.2</v>
      </c>
      <c r="H2331" s="283">
        <v>310</v>
      </c>
      <c r="I2331" s="246">
        <v>110</v>
      </c>
      <c r="J2331" s="246">
        <v>2</v>
      </c>
      <c r="K2331" s="247" t="s">
        <v>7945</v>
      </c>
      <c r="L2331" s="248">
        <v>174617</v>
      </c>
      <c r="M2331" s="249">
        <f>15*(LEFT(TEXT($L2331,"000000"),2)+(MID(TEXT($L2331,"000000"),3,2)/60)+(RIGHT(TEXT($L2331,"000000"),2)/3600))</f>
        <v>266.57083333333333</v>
      </c>
      <c r="N2331" s="286">
        <v>353420</v>
      </c>
      <c r="O2331" s="251">
        <f>IF($N2331&gt;0,(LEFT(TEXT($N2331,"000000"),2)+(MID(TEXT($N2331,"000000"),3,2)/60)+(RIGHT(TEXT($N2331,"000000"),2)/3600)),-(MID(TEXT($N2331,"000000"),2,2)+(MID(TEXT($N2331,"000000"),4,2)/60)+(RIGHT(TEXT($N2331,"000000"),2)/3600)))</f>
        <v>35.572222222222223</v>
      </c>
      <c r="P2331" s="252" t="s">
        <v>111</v>
      </c>
      <c r="Q2331" s="253"/>
      <c r="R2331" s="247" t="s">
        <v>3293</v>
      </c>
      <c r="S2331" s="272" t="s">
        <v>2208</v>
      </c>
      <c r="T2331" s="273">
        <v>12.8</v>
      </c>
      <c r="U2331" s="289">
        <v>21.990000000000002</v>
      </c>
      <c r="V2331" s="280">
        <v>5</v>
      </c>
      <c r="W2331" s="244"/>
      <c r="X2331" s="244"/>
      <c r="Y2331" s="362"/>
      <c r="Z2331" s="257">
        <f>altaz(J2000_Bas,$O2331,$M2331,DecLat,DecLong,1)</f>
        <v>73.157249882143461</v>
      </c>
      <c r="AA2331" s="257">
        <f>altaz((J2000_Bas+(2*0.04167)),$O2331,$M2331,DecLat,DecLong,1)</f>
        <v>48.786510189805611</v>
      </c>
      <c r="AB2331" s="257">
        <f>altaz((J2000_Bas+(4*0.04167)),$O2331,$M2331,DecLat,DecLong,1)</f>
        <v>25.179832152947096</v>
      </c>
      <c r="AC2331" s="257">
        <f>altaz((J2000_Bas+(6*0.04167)),$O2331,$M2331,DecLat,DecLong,1)</f>
        <v>3.7127768003790758</v>
      </c>
      <c r="AD2331" s="258">
        <f>1+ transit((J2000_Bas-1),$O2331,$M2331,DecLat,DecLong)/360 + (GMTOffset/24) + (IF(DST="Y", 1, 0)/24)</f>
        <v>1.7333744236192914</v>
      </c>
      <c r="AE2331" s="259">
        <f>DATE(2001,9,21)+(M2331/360)*365 - (360*((DecLong/360)- (GMTOffset/24) ))</f>
        <v>37430.273206018515</v>
      </c>
      <c r="AF2331" s="260">
        <f>IF(DecLat&gt;0,IF((90 - (DecLat-O2331))&gt;90, (90 - (O2331-DecLat)), (90 - (DecLat-O2331))),IF((90 + (DecLat-O2331))&gt;90, (90 + (O2331-DecLat)), (90 + (DecLat-O2331))))</f>
        <v>85.427777777777777</v>
      </c>
      <c r="AG2331" s="257">
        <f>angularseperation(MoonRA,MoonDec,$M2331,$O2331)</f>
        <v>64.757108756684786</v>
      </c>
      <c r="AH2331" s="261">
        <f ca="1">MIN(100,IF($O$5&gt;80,0+30*($AG2331/100),IF($O$5&gt;70,0+50*($AG2331/100),IF($O$5&gt;60,5+50*($AG2331/100),IF($O$5&gt;50,10+60*($AG2331/100),IF($O$5&gt;40,15+70*($AG2331/100),IF($O$5&gt;30,20+70*($AG2331/100),IF($O$5&gt;20,40+55*($AG2331/100),(80+(20-$O$5)+30*($AG2331/100))))))))))</f>
        <v>100</v>
      </c>
      <c r="AI2331" s="262">
        <v>6447</v>
      </c>
      <c r="AJ2331" s="262"/>
      <c r="AK2331" s="262"/>
      <c r="AL2331" s="263"/>
      <c r="AM2331" s="264"/>
      <c r="AN2331" s="263"/>
      <c r="AO2331" s="263"/>
      <c r="AP2331" s="265"/>
      <c r="AQ2331" s="266">
        <v>10975</v>
      </c>
      <c r="AR2331" s="267">
        <v>60829</v>
      </c>
      <c r="AS2331" s="263"/>
      <c r="AT2331" s="263"/>
      <c r="AU2331" s="263"/>
      <c r="AV2331" s="264"/>
      <c r="AW2331" s="263"/>
      <c r="AX2331" s="263"/>
      <c r="AY2331" s="263"/>
      <c r="AZ2331" s="263"/>
      <c r="BA2331" s="263"/>
      <c r="BB2331" s="263"/>
      <c r="BC2331" s="263"/>
      <c r="BD2331" s="264"/>
      <c r="BE2331" s="263"/>
      <c r="BF2331" s="263"/>
      <c r="BG2331" s="263"/>
      <c r="BH2331" s="263"/>
      <c r="BI2331" s="263"/>
      <c r="BJ2331" s="404">
        <f>altaz(J2000_Bas,$O2331,$M2331,DecLat,DecLong,2)</f>
        <v>290.94548947269885</v>
      </c>
      <c r="BK2331" s="378" t="s">
        <v>2209</v>
      </c>
      <c r="BL2331" s="379">
        <f>IF((2*G2331)/60&lt;0.2,0.2,(2*G2331)/60)</f>
        <v>0.2</v>
      </c>
      <c r="BM2331" s="380">
        <f>MOD((50000+AD2331-$B$3+(0/24)),1)</f>
        <v>0.94874135332065634</v>
      </c>
      <c r="BN2331" s="381"/>
      <c r="BO2331" s="382">
        <v>2322</v>
      </c>
    </row>
    <row r="2332" spans="1:67" s="24" customFormat="1" ht="15" customHeight="1" x14ac:dyDescent="0.25">
      <c r="A2332" s="287" t="s">
        <v>3020</v>
      </c>
      <c r="B2332" s="241" t="str">
        <f>HYPERLINK(CONCATENATE($AT$3,BK2332,$AU$3),$AV$3)</f>
        <v>S</v>
      </c>
      <c r="C2332" s="242" t="str">
        <f>HYPERLINK(CONCATENATE($AT$4,BK2332,$AU$4,BL2332),$AV$4)</f>
        <v>A</v>
      </c>
      <c r="D2332" s="243" t="s">
        <v>5335</v>
      </c>
      <c r="E2332" s="244" t="s">
        <v>5185</v>
      </c>
      <c r="F2332" s="269" t="s">
        <v>7946</v>
      </c>
      <c r="G2332" s="273">
        <v>7</v>
      </c>
      <c r="H2332" s="283">
        <v>9000</v>
      </c>
      <c r="I2332" s="246">
        <v>18</v>
      </c>
      <c r="J2332" s="246">
        <v>2</v>
      </c>
      <c r="K2332" s="247" t="s">
        <v>7947</v>
      </c>
      <c r="L2332" s="248">
        <v>175042</v>
      </c>
      <c r="M2332" s="249">
        <f>15*(LEFT(TEXT($L2332,"000000"),2)+(MID(TEXT($L2332,"000000"),3,2)/60)+(RIGHT(TEXT($L2332,"000000"),2)/3600))</f>
        <v>267.67499999999995</v>
      </c>
      <c r="N2332" s="250">
        <v>-301300</v>
      </c>
      <c r="O2332" s="251">
        <f>IF($N2332&gt;0,(LEFT(TEXT($N2332,"000000"),2)+(MID(TEXT($N2332,"000000"),3,2)/60)+(RIGHT(TEXT($N2332,"000000"),2)/3600)),-(MID(TEXT($N2332,"000000"),2,2)+(MID(TEXT($N2332,"000000"),4,2)/60)+(RIGHT(TEXT($N2332,"000000"),2)/3600)))</f>
        <v>-30.216666666666665</v>
      </c>
      <c r="P2332" s="252" t="s">
        <v>109</v>
      </c>
      <c r="Q2332" s="253"/>
      <c r="R2332" s="277" t="s">
        <v>3293</v>
      </c>
      <c r="S2332" s="272" t="s">
        <v>3293</v>
      </c>
      <c r="T2332" s="273">
        <v>8.1999999999999993</v>
      </c>
      <c r="U2332" s="274"/>
      <c r="V2332" s="280"/>
      <c r="W2332" s="244"/>
      <c r="X2332" s="244"/>
      <c r="Y2332" s="362"/>
      <c r="Z2332" s="257">
        <f>altaz(J2000_Bas,$O2332,$M2332,DecLat,DecLong,1)</f>
        <v>26.354634707661862</v>
      </c>
      <c r="AA2332" s="257">
        <f>altaz((J2000_Bas+(2*0.04167)),$O2332,$M2332,DecLat,DecLong,1)</f>
        <v>13.441376152708861</v>
      </c>
      <c r="AB2332" s="257">
        <f>altaz((J2000_Bas+(4*0.04167)),$O2332,$M2332,DecLat,DecLong,1)</f>
        <v>-6.4012102333974177</v>
      </c>
      <c r="AC2332" s="257">
        <f>altaz((J2000_Bas+(6*0.04167)),$O2332,$M2332,DecLat,DecLong,1)</f>
        <v>-29.684803206254941</v>
      </c>
      <c r="AD2332" s="258">
        <f>1+ transit((J2000_Bas-1),$O2332,$M2332,DecLat,DecLong)/360 + (GMTOffset/24) + (IF(DST="Y", 1, 0)/24)</f>
        <v>1.7364415529422079</v>
      </c>
      <c r="AE2332" s="259">
        <f>DATE(2001,9,21)+(M2332/360)*365 - (360*((DecLong/360)- (GMTOffset/24) ))</f>
        <v>37431.392708333333</v>
      </c>
      <c r="AF2332" s="260">
        <f>IF(DecLat&gt;0,IF((90 - (DecLat-O2332))&gt;90, (90 - (O2332-DecLat)), (90 - (DecLat-O2332))),IF((90 + (DecLat-O2332))&gt;90, (90 + (O2332-DecLat)), (90 + (DecLat-O2332))))</f>
        <v>28.783333333333331</v>
      </c>
      <c r="AG2332" s="257">
        <f>angularseperation(MoonRA,MoonDec,$M2332,$O2332)</f>
        <v>16.457070807221069</v>
      </c>
      <c r="AH2332" s="261">
        <f ca="1">MIN(100,IF($O$5&gt;80,0+30*($AG2332/100),IF($O$5&gt;70,0+50*($AG2332/100),IF($O$5&gt;60,5+50*($AG2332/100),IF($O$5&gt;50,10+60*($AG2332/100),IF($O$5&gt;40,15+70*($AG2332/100),IF($O$5&gt;30,20+70*($AG2332/100),IF($O$5&gt;20,40+55*($AG2332/100),(80+(20-$O$5)+30*($AG2332/100))))))))))</f>
        <v>88.208181586316755</v>
      </c>
      <c r="AI2332" s="262">
        <v>6451</v>
      </c>
      <c r="AJ2332" s="263"/>
      <c r="AK2332" s="263">
        <v>335</v>
      </c>
      <c r="AL2332" s="263"/>
      <c r="AM2332" s="264"/>
      <c r="AN2332" s="263"/>
      <c r="AO2332" s="263"/>
      <c r="AP2332" s="265"/>
      <c r="AQ2332" s="265"/>
      <c r="AR2332" s="285"/>
      <c r="AS2332" s="263"/>
      <c r="AT2332" s="263"/>
      <c r="AU2332" s="263"/>
      <c r="AV2332" s="264"/>
      <c r="AW2332" s="263"/>
      <c r="AX2332" s="263"/>
      <c r="AY2332" s="263"/>
      <c r="AZ2332" s="263"/>
      <c r="BA2332" s="263"/>
      <c r="BB2332" s="263"/>
      <c r="BC2332" s="263"/>
      <c r="BD2332" s="264"/>
      <c r="BE2332" s="263"/>
      <c r="BF2332" s="263"/>
      <c r="BG2332" s="263"/>
      <c r="BH2332" s="263"/>
      <c r="BI2332" s="263"/>
      <c r="BJ2332" s="404">
        <f>altaz(J2000_Bas,$O2332,$M2332,DecLat,DecLong,2)</f>
        <v>197.65251535923809</v>
      </c>
      <c r="BK2332" s="378" t="s">
        <v>3020</v>
      </c>
      <c r="BL2332" s="379">
        <f>IF((2*G2332)/60&lt;0.2,0.2,(2*G2332)/60)</f>
        <v>0.23333333333333334</v>
      </c>
      <c r="BM2332" s="380">
        <f>MOD((50000+AD2332-$B$3+(0/24)),1)</f>
        <v>0.95180848264863016</v>
      </c>
      <c r="BN2332" s="381"/>
      <c r="BO2332" s="382">
        <v>2323</v>
      </c>
    </row>
    <row r="2333" spans="1:67" s="24" customFormat="1" ht="15" customHeight="1" x14ac:dyDescent="0.25">
      <c r="A2333" s="288" t="s">
        <v>7591</v>
      </c>
      <c r="B2333" s="241" t="str">
        <f>HYPERLINK(CONCATENATE($AT$3,BK2333,$AU$3),$AV$3)</f>
        <v>S</v>
      </c>
      <c r="C2333" s="242" t="str">
        <f>HYPERLINK(CONCATENATE($AT$4,BK2333,$AU$4,BL2333),$AV$4)</f>
        <v>A</v>
      </c>
      <c r="D2333" s="243" t="s">
        <v>5638</v>
      </c>
      <c r="E2333" s="244" t="s">
        <v>5625</v>
      </c>
      <c r="F2333" s="269">
        <v>8</v>
      </c>
      <c r="G2333" s="282">
        <v>14</v>
      </c>
      <c r="H2333" s="283">
        <v>500</v>
      </c>
      <c r="I2333" s="284">
        <v>2100</v>
      </c>
      <c r="J2333" s="246">
        <v>2</v>
      </c>
      <c r="K2333" s="247" t="s">
        <v>7948</v>
      </c>
      <c r="L2333" s="248">
        <v>174334</v>
      </c>
      <c r="M2333" s="249">
        <f>15*(LEFT(TEXT($L2333,"000000"),2)+(MID(TEXT($L2333,"000000"),3,2)/60)+(RIGHT(TEXT($L2333,"000000"),2)/3600))</f>
        <v>265.89166666666665</v>
      </c>
      <c r="N2333" s="250">
        <v>673612</v>
      </c>
      <c r="O2333" s="251">
        <f>IF($N2333&gt;0,(LEFT(TEXT($N2333,"000000"),2)+(MID(TEXT($N2333,"000000"),3,2)/60)+(RIGHT(TEXT($N2333,"000000"),2)/3600)),-(MID(TEXT($N2333,"000000"),2,2)+(MID(TEXT($N2333,"000000"),4,2)/60)+(RIGHT(TEXT($N2333,"000000"),2)/3600)))</f>
        <v>67.603333333333325</v>
      </c>
      <c r="P2333" s="252" t="s">
        <v>34</v>
      </c>
      <c r="Q2333" s="253"/>
      <c r="R2333" s="247" t="s">
        <v>3293</v>
      </c>
      <c r="S2333" s="272" t="s">
        <v>3293</v>
      </c>
      <c r="T2333" s="273">
        <v>14.1</v>
      </c>
      <c r="U2333" s="289">
        <v>21.89</v>
      </c>
      <c r="V2333" s="280"/>
      <c r="W2333" s="244"/>
      <c r="X2333" s="244"/>
      <c r="Y2333" s="362"/>
      <c r="Z2333" s="257">
        <f>altaz(J2000_Bas,$O2333,$M2333,DecLat,DecLong,1)</f>
        <v>51.524087867542264</v>
      </c>
      <c r="AA2333" s="257">
        <f>altaz((J2000_Bas+(2*0.04167)),$O2333,$M2333,DecLat,DecLong,1)</f>
        <v>43.256381975443148</v>
      </c>
      <c r="AB2333" s="257">
        <f>altaz((J2000_Bas+(4*0.04167)),$O2333,$M2333,DecLat,DecLong,1)</f>
        <v>32.095206757735312</v>
      </c>
      <c r="AC2333" s="257">
        <f>altaz((J2000_Bas+(6*0.04167)),$O2333,$M2333,DecLat,DecLong,1)</f>
        <v>21.255970012352734</v>
      </c>
      <c r="AD2333" s="258">
        <f>1+ transit((J2000_Bas-1),$O2333,$M2333,DecLat,DecLong)/360 + (GMTOffset/24) + (IF(DST="Y", 1, 0)/24)</f>
        <v>1.7314878497338746</v>
      </c>
      <c r="AE2333" s="259">
        <f>DATE(2001,9,21)+(M2333/360)*365 - (360*((DecLong/360)- (GMTOffset/24) ))</f>
        <v>37429.584606481483</v>
      </c>
      <c r="AF2333" s="260">
        <f>IF(DecLat&gt;0,IF((90 - (DecLat-O2333))&gt;90, (90 - (O2333-DecLat)), (90 - (DecLat-O2333))),IF((90 + (DecLat-O2333))&gt;90, (90 + (O2333-DecLat)), (90 + (DecLat-O2333))))</f>
        <v>53.396666666666675</v>
      </c>
      <c r="AG2333" s="257">
        <f>angularseperation(MoonRA,MoonDec,$M2333,$O2333)</f>
        <v>95.505567553851293</v>
      </c>
      <c r="AH2333" s="261">
        <f ca="1">MIN(100,IF($O$5&gt;80,0+30*($AG2333/100),IF($O$5&gt;70,0+50*($AG2333/100),IF($O$5&gt;60,5+50*($AG2333/100),IF($O$5&gt;50,10+60*($AG2333/100),IF($O$5&gt;40,15+70*($AG2333/100),IF($O$5&gt;30,20+70*($AG2333/100),IF($O$5&gt;20,40+55*($AG2333/100),(80+(20-$O$5)+30*($AG2333/100))))))))))</f>
        <v>100</v>
      </c>
      <c r="AI2333" s="262">
        <v>6463</v>
      </c>
      <c r="AJ2333" s="262"/>
      <c r="AK2333" s="262"/>
      <c r="AL2333" s="263"/>
      <c r="AM2333" s="264"/>
      <c r="AN2333" s="263"/>
      <c r="AO2333" s="263"/>
      <c r="AP2333" s="265"/>
      <c r="AQ2333" s="266"/>
      <c r="AR2333" s="267">
        <v>60755</v>
      </c>
      <c r="AS2333" s="263"/>
      <c r="AT2333" s="263"/>
      <c r="AU2333" s="263"/>
      <c r="AV2333" s="264"/>
      <c r="AW2333" s="263"/>
      <c r="AX2333" s="263"/>
      <c r="AY2333" s="263"/>
      <c r="AZ2333" s="263"/>
      <c r="BA2333" s="263"/>
      <c r="BB2333" s="263"/>
      <c r="BC2333" s="263"/>
      <c r="BD2333" s="264"/>
      <c r="BE2333" s="263"/>
      <c r="BF2333" s="263"/>
      <c r="BG2333" s="263"/>
      <c r="BH2333" s="263"/>
      <c r="BI2333" s="263"/>
      <c r="BJ2333" s="404">
        <f>altaz(J2000_Bas,$O2333,$M2333,DecLat,DecLong,2)</f>
        <v>347.84472504241415</v>
      </c>
      <c r="BK2333" s="378" t="s">
        <v>2210</v>
      </c>
      <c r="BL2333" s="379">
        <f>IF((2*G2333)/60&lt;0.2,0.2,(2*G2333)/60)</f>
        <v>0.46666666666666667</v>
      </c>
      <c r="BM2333" s="380">
        <f>MOD((50000+AD2333-$B$3+(0/24)),1)</f>
        <v>0.94685477943858132</v>
      </c>
      <c r="BN2333" s="381"/>
      <c r="BO2333" s="382">
        <v>2324</v>
      </c>
    </row>
    <row r="2334" spans="1:67" s="24" customFormat="1" ht="15" customHeight="1" x14ac:dyDescent="0.25">
      <c r="A2334" s="288" t="s">
        <v>7592</v>
      </c>
      <c r="B2334" s="241" t="str">
        <f>HYPERLINK(CONCATENATE($AT$3,BK2334,$AU$3),$AV$3)</f>
        <v>S</v>
      </c>
      <c r="C2334" s="242" t="str">
        <f>HYPERLINK(CONCATENATE($AT$4,BK2334,$AU$4,BL2334),$AV$4)</f>
        <v>A</v>
      </c>
      <c r="D2334" s="243" t="s">
        <v>5638</v>
      </c>
      <c r="E2334" s="244" t="s">
        <v>5625</v>
      </c>
      <c r="F2334" s="269">
        <v>4</v>
      </c>
      <c r="G2334" s="282">
        <v>12</v>
      </c>
      <c r="H2334" s="283">
        <v>400</v>
      </c>
      <c r="I2334" s="284">
        <v>1400</v>
      </c>
      <c r="J2334" s="246">
        <v>2</v>
      </c>
      <c r="K2334" s="247" t="s">
        <v>7949</v>
      </c>
      <c r="L2334" s="248">
        <v>174654</v>
      </c>
      <c r="M2334" s="249">
        <f>15*(LEFT(TEXT($L2334,"000000"),2)+(MID(TEXT($L2334,"000000"),3,2)/60)+(RIGHT(TEXT($L2334,"000000"),2)/3600))</f>
        <v>266.72500000000002</v>
      </c>
      <c r="N2334" s="250">
        <v>571830</v>
      </c>
      <c r="O2334" s="251">
        <f>IF($N2334&gt;0,(LEFT(TEXT($N2334,"000000"),2)+(MID(TEXT($N2334,"000000"),3,2)/60)+(RIGHT(TEXT($N2334,"000000"),2)/3600)),-(MID(TEXT($N2334,"000000"),2,2)+(MID(TEXT($N2334,"000000"),4,2)/60)+(RIGHT(TEXT($N2334,"000000"),2)/3600)))</f>
        <v>57.30833333333333</v>
      </c>
      <c r="P2334" s="252" t="s">
        <v>34</v>
      </c>
      <c r="Q2334" s="253"/>
      <c r="R2334" s="277" t="s">
        <v>3293</v>
      </c>
      <c r="S2334" s="272" t="s">
        <v>3293</v>
      </c>
      <c r="T2334" s="273">
        <v>14.5</v>
      </c>
      <c r="U2334" s="274"/>
      <c r="V2334" s="280"/>
      <c r="W2334" s="244"/>
      <c r="X2334" s="244"/>
      <c r="Y2334" s="362"/>
      <c r="Z2334" s="257">
        <f>altaz(J2000_Bas,$O2334,$M2334,DecLat,DecLong,1)</f>
        <v>60.512504426838298</v>
      </c>
      <c r="AA2334" s="257">
        <f>altaz((J2000_Bas+(2*0.04167)),$O2334,$M2334,DecLat,DecLong,1)</f>
        <v>47.304887852671548</v>
      </c>
      <c r="AB2334" s="257">
        <f>altaz((J2000_Bas+(4*0.04167)),$O2334,$M2334,DecLat,DecLong,1)</f>
        <v>31.214517066873871</v>
      </c>
      <c r="AC2334" s="257">
        <f>altaz((J2000_Bas+(6*0.04167)),$O2334,$M2334,DecLat,DecLong,1)</f>
        <v>16.180809470018971</v>
      </c>
      <c r="AD2334" s="258">
        <f>1+ transit((J2000_Bas-1),$O2334,$M2334,DecLat,DecLong)/360 + (GMTOffset/24) + (IF(DST="Y", 1, 0)/24)</f>
        <v>1.7338026643172082</v>
      </c>
      <c r="AE2334" s="259">
        <f>DATE(2001,9,21)+(M2334/360)*365 - (360*((DecLong/360)- (GMTOffset/24) ))</f>
        <v>37430.429513888892</v>
      </c>
      <c r="AF2334" s="260">
        <f>IF(DecLat&gt;0,IF((90 - (DecLat-O2334))&gt;90, (90 - (O2334-DecLat)), (90 - (DecLat-O2334))),IF((90 + (DecLat-O2334))&gt;90, (90 + (O2334-DecLat)), (90 + (DecLat-O2334))))</f>
        <v>63.69166666666667</v>
      </c>
      <c r="AG2334" s="257">
        <f>angularseperation(MoonRA,MoonDec,$M2334,$O2334)</f>
        <v>85.670040065136817</v>
      </c>
      <c r="AH2334" s="261">
        <f ca="1">MIN(100,IF($O$5&gt;80,0+30*($AG2334/100),IF($O$5&gt;70,0+50*($AG2334/100),IF($O$5&gt;60,5+50*($AG2334/100),IF($O$5&gt;50,10+60*($AG2334/100),IF($O$5&gt;40,15+70*($AG2334/100),IF($O$5&gt;30,20+70*($AG2334/100),IF($O$5&gt;20,40+55*($AG2334/100),(80+(20-$O$5)+30*($AG2334/100))))))))))</f>
        <v>100</v>
      </c>
      <c r="AI2334" s="263">
        <v>6473</v>
      </c>
      <c r="AJ2334" s="263"/>
      <c r="AK2334" s="263"/>
      <c r="AL2334" s="263"/>
      <c r="AM2334" s="264"/>
      <c r="AN2334" s="263"/>
      <c r="AO2334" s="263"/>
      <c r="AP2334" s="265"/>
      <c r="AQ2334" s="265">
        <v>10989</v>
      </c>
      <c r="AR2334" s="285">
        <v>60850</v>
      </c>
      <c r="AS2334" s="263"/>
      <c r="AT2334" s="263"/>
      <c r="AU2334" s="263"/>
      <c r="AV2334" s="264"/>
      <c r="AW2334" s="263"/>
      <c r="AX2334" s="263"/>
      <c r="AY2334" s="263"/>
      <c r="AZ2334" s="263"/>
      <c r="BA2334" s="263"/>
      <c r="BB2334" s="263"/>
      <c r="BC2334" s="263"/>
      <c r="BD2334" s="264"/>
      <c r="BE2334" s="263"/>
      <c r="BF2334" s="263"/>
      <c r="BG2334" s="263"/>
      <c r="BH2334" s="263"/>
      <c r="BI2334" s="263"/>
      <c r="BJ2334" s="404">
        <f>altaz(J2000_Bas,$O2334,$M2334,DecLat,DecLong,2)</f>
        <v>338.7608027933021</v>
      </c>
      <c r="BK2334" s="378" t="s">
        <v>3115</v>
      </c>
      <c r="BL2334" s="379">
        <f>IF((2*G2334)/60&lt;0.2,0.2,(2*G2334)/60)</f>
        <v>0.4</v>
      </c>
      <c r="BM2334" s="380">
        <f>MOD((50000+AD2334-$B$3+(0/24)),1)</f>
        <v>0.94916959402326029</v>
      </c>
      <c r="BN2334" s="381"/>
      <c r="BO2334" s="382">
        <v>2325</v>
      </c>
    </row>
    <row r="2335" spans="1:67" s="24" customFormat="1" ht="15" customHeight="1" x14ac:dyDescent="0.25">
      <c r="A2335" s="288" t="s">
        <v>7950</v>
      </c>
      <c r="B2335" s="241" t="str">
        <f>HYPERLINK(CONCATENATE($AT$3,BK2335,$AU$3),$AV$3)</f>
        <v>S</v>
      </c>
      <c r="C2335" s="242" t="str">
        <f>HYPERLINK(CONCATENATE($AT$4,BK2335,$AU$4,BL2335),$AV$4)</f>
        <v>A</v>
      </c>
      <c r="D2335" s="243" t="s">
        <v>5638</v>
      </c>
      <c r="E2335" s="244" t="s">
        <v>5178</v>
      </c>
      <c r="F2335" s="269" t="s">
        <v>8664</v>
      </c>
      <c r="G2335" s="273">
        <v>1.5</v>
      </c>
      <c r="H2335" s="283">
        <v>260</v>
      </c>
      <c r="I2335" s="246">
        <v>120</v>
      </c>
      <c r="J2335" s="246">
        <v>2</v>
      </c>
      <c r="K2335" s="247" t="s">
        <v>7952</v>
      </c>
      <c r="L2335" s="248">
        <v>175001</v>
      </c>
      <c r="M2335" s="249">
        <f>15*(LEFT(TEXT($L2335,"000000"),2)+(MID(TEXT($L2335,"000000"),3,2)/60)+(RIGHT(TEXT($L2335,"000000"),2)/3600))</f>
        <v>267.50416666666666</v>
      </c>
      <c r="N2335" s="250">
        <v>613154</v>
      </c>
      <c r="O2335" s="251">
        <f>IF($N2335&gt;0,(LEFT(TEXT($N2335,"000000"),2)+(MID(TEXT($N2335,"000000"),3,2)/60)+(RIGHT(TEXT($N2335,"000000"),2)/3600)),-(MID(TEXT($N2335,"000000"),2,2)+(MID(TEXT($N2335,"000000"),4,2)/60)+(RIGHT(TEXT($N2335,"000000"),2)/3600)))</f>
        <v>61.531666666666666</v>
      </c>
      <c r="P2335" s="252" t="s">
        <v>34</v>
      </c>
      <c r="Q2335" s="253"/>
      <c r="R2335" s="247" t="s">
        <v>3293</v>
      </c>
      <c r="S2335" s="272" t="s">
        <v>7951</v>
      </c>
      <c r="T2335" s="273">
        <v>13.6</v>
      </c>
      <c r="U2335" s="289">
        <v>21.79</v>
      </c>
      <c r="V2335" s="280">
        <v>70</v>
      </c>
      <c r="W2335" s="244"/>
      <c r="X2335" s="244"/>
      <c r="Y2335" s="362"/>
      <c r="Z2335" s="257">
        <f>altaz(J2000_Bas,$O2335,$M2335,DecLat,DecLong,1)</f>
        <v>57.165222643067985</v>
      </c>
      <c r="AA2335" s="257">
        <f>altaz((J2000_Bas+(2*0.04167)),$O2335,$M2335,DecLat,DecLong,1)</f>
        <v>46.307315215442451</v>
      </c>
      <c r="AB2335" s="257">
        <f>altaz((J2000_Bas+(4*0.04167)),$O2335,$M2335,DecLat,DecLong,1)</f>
        <v>32.211647982385742</v>
      </c>
      <c r="AC2335" s="257">
        <f>altaz((J2000_Bas+(6*0.04167)),$O2335,$M2335,DecLat,DecLong,1)</f>
        <v>18.748183248322174</v>
      </c>
      <c r="AD2335" s="258">
        <f>1+ transit((J2000_Bas-1),$O2335,$M2335,DecLat,DecLong)/360 + (GMTOffset/24) + (IF(DST="Y", 1, 0)/24)</f>
        <v>1.7359670159526248</v>
      </c>
      <c r="AE2335" s="259">
        <f>DATE(2001,9,21)+(M2335/360)*365 - (360*((DecLong/360)- (GMTOffset/24) ))</f>
        <v>37431.219502314816</v>
      </c>
      <c r="AF2335" s="260">
        <f>IF(DecLat&gt;0,IF((90 - (DecLat-O2335))&gt;90, (90 - (O2335-DecLat)), (90 - (DecLat-O2335))),IF((90 + (DecLat-O2335))&gt;90, (90 + (O2335-DecLat)), (90 + (DecLat-O2335))))</f>
        <v>59.468333333333334</v>
      </c>
      <c r="AG2335" s="257">
        <f>angularseperation(MoonRA,MoonDec,$M2335,$O2335)</f>
        <v>89.840657929703966</v>
      </c>
      <c r="AH2335" s="261">
        <f ca="1">MIN(100,IF($O$5&gt;80,0+30*($AG2335/100),IF($O$5&gt;70,0+50*($AG2335/100),IF($O$5&gt;60,5+50*($AG2335/100),IF($O$5&gt;50,10+60*($AG2335/100),IF($O$5&gt;40,15+70*($AG2335/100),IF($O$5&gt;30,20+70*($AG2335/100),IF($O$5&gt;20,40+55*($AG2335/100),(80+(20-$O$5)+30*($AG2335/100))))))))))</f>
        <v>100</v>
      </c>
      <c r="AI2335" s="262">
        <v>6491</v>
      </c>
      <c r="AJ2335" s="262"/>
      <c r="AK2335" s="262"/>
      <c r="AL2335" s="263"/>
      <c r="AM2335" s="264"/>
      <c r="AN2335" s="263"/>
      <c r="AO2335" s="263"/>
      <c r="AP2335" s="265"/>
      <c r="AQ2335" s="266"/>
      <c r="AR2335" s="267">
        <v>60949</v>
      </c>
      <c r="AS2335" s="263"/>
      <c r="AT2335" s="263"/>
      <c r="AU2335" s="263"/>
      <c r="AV2335" s="264"/>
      <c r="AW2335" s="263"/>
      <c r="AX2335" s="263"/>
      <c r="AY2335" s="263"/>
      <c r="AZ2335" s="263"/>
      <c r="BA2335" s="263"/>
      <c r="BB2335" s="263"/>
      <c r="BC2335" s="263"/>
      <c r="BD2335" s="264"/>
      <c r="BE2335" s="263"/>
      <c r="BF2335" s="263"/>
      <c r="BG2335" s="263"/>
      <c r="BH2335" s="263"/>
      <c r="BI2335" s="263"/>
      <c r="BJ2335" s="404">
        <f>altaz(J2000_Bas,$O2335,$M2335,DecLat,DecLong,2)</f>
        <v>343.80392621937011</v>
      </c>
      <c r="BK2335" s="378" t="s">
        <v>2211</v>
      </c>
      <c r="BL2335" s="379">
        <f>IF((2*G2335)/60&lt;0.2,0.2,(2*G2335)/60)</f>
        <v>0.2</v>
      </c>
      <c r="BM2335" s="380">
        <f>MOD((50000+AD2335-$B$3+(0/24)),1)</f>
        <v>0.95133394565345952</v>
      </c>
      <c r="BN2335" s="381"/>
      <c r="BO2335" s="382">
        <v>2326</v>
      </c>
    </row>
    <row r="2336" spans="1:67" s="24" customFormat="1" ht="15" customHeight="1" x14ac:dyDescent="0.25">
      <c r="A2336" s="288" t="s">
        <v>2212</v>
      </c>
      <c r="B2336" s="241" t="str">
        <f>HYPERLINK(CONCATENATE($AT$3,BK2336,$AU$3),$AV$3)</f>
        <v>S</v>
      </c>
      <c r="C2336" s="242" t="str">
        <f>HYPERLINK(CONCATENATE($AT$4,BK2336,$AU$4,BL2336),$AV$4)</f>
        <v>A</v>
      </c>
      <c r="D2336" s="243" t="s">
        <v>5638</v>
      </c>
      <c r="E2336" s="244" t="s">
        <v>5192</v>
      </c>
      <c r="F2336" s="269" t="s">
        <v>8992</v>
      </c>
      <c r="G2336" s="273">
        <v>1.5</v>
      </c>
      <c r="H2336" s="283">
        <v>300</v>
      </c>
      <c r="I2336" s="246">
        <v>130</v>
      </c>
      <c r="J2336" s="246">
        <v>2</v>
      </c>
      <c r="K2336" s="247" t="s">
        <v>7551</v>
      </c>
      <c r="L2336" s="248">
        <v>175118</v>
      </c>
      <c r="M2336" s="249">
        <f>15*(LEFT(TEXT($L2336,"000000"),2)+(MID(TEXT($L2336,"000000"),3,2)/60)+(RIGHT(TEXT($L2336,"000000"),2)/3600))</f>
        <v>267.82499999999999</v>
      </c>
      <c r="N2336" s="250">
        <v>592815</v>
      </c>
      <c r="O2336" s="251">
        <f>IF($N2336&gt;0,(LEFT(TEXT($N2336,"000000"),2)+(MID(TEXT($N2336,"000000"),3,2)/60)+(RIGHT(TEXT($N2336,"000000"),2)/3600)),-(MID(TEXT($N2336,"000000"),2,2)+(MID(TEXT($N2336,"000000"),4,2)/60)+(RIGHT(TEXT($N2336,"000000"),2)/3600)))</f>
        <v>59.470833333333339</v>
      </c>
      <c r="P2336" s="252" t="s">
        <v>34</v>
      </c>
      <c r="Q2336" s="253"/>
      <c r="R2336" s="247" t="s">
        <v>3293</v>
      </c>
      <c r="S2336" s="272" t="s">
        <v>3293</v>
      </c>
      <c r="T2336" s="273">
        <v>13.5</v>
      </c>
      <c r="U2336" s="289">
        <v>22.19</v>
      </c>
      <c r="V2336" s="280">
        <v>70</v>
      </c>
      <c r="W2336" s="244"/>
      <c r="X2336" s="244"/>
      <c r="Y2336" s="362"/>
      <c r="Z2336" s="257">
        <f>altaz(J2000_Bas,$O2336,$M2336,DecLat,DecLong,1)</f>
        <v>59.018075677314684</v>
      </c>
      <c r="AA2336" s="257">
        <f>altaz((J2000_Bas+(2*0.04167)),$O2336,$M2336,DecLat,DecLong,1)</f>
        <v>47.181351403967611</v>
      </c>
      <c r="AB2336" s="257">
        <f>altaz((J2000_Bas+(4*0.04167)),$O2336,$M2336,DecLat,DecLong,1)</f>
        <v>32.112874977021775</v>
      </c>
      <c r="AC2336" s="257">
        <f>altaz((J2000_Bas+(6*0.04167)),$O2336,$M2336,DecLat,DecLong,1)</f>
        <v>17.816713382813621</v>
      </c>
      <c r="AD2336" s="258">
        <f>1+ transit((J2000_Bas-1),$O2336,$M2336,DecLat,DecLong)/360 + (GMTOffset/24) + (IF(DST="Y", 1, 0)/24)</f>
        <v>1.736858219567208</v>
      </c>
      <c r="AE2336" s="259">
        <f>DATE(2001,9,21)+(M2336/360)*365 - (360*((DecLong/360)- (GMTOffset/24) ))</f>
        <v>37431.544791666667</v>
      </c>
      <c r="AF2336" s="260">
        <f>IF(DecLat&gt;0,IF((90 - (DecLat-O2336))&gt;90, (90 - (O2336-DecLat)), (90 - (DecLat-O2336))),IF((90 + (DecLat-O2336))&gt;90, (90 + (O2336-DecLat)), (90 + (DecLat-O2336))))</f>
        <v>61.529166666666661</v>
      </c>
      <c r="AG2336" s="257">
        <f>angularseperation(MoonRA,MoonDec,$M2336,$O2336)</f>
        <v>87.907589225983827</v>
      </c>
      <c r="AH2336" s="261">
        <f ca="1">MIN(100,IF($O$5&gt;80,0+30*($AG2336/100),IF($O$5&gt;70,0+50*($AG2336/100),IF($O$5&gt;60,5+50*($AG2336/100),IF($O$5&gt;50,10+60*($AG2336/100),IF($O$5&gt;40,15+70*($AG2336/100),IF($O$5&gt;30,20+70*($AG2336/100),IF($O$5&gt;20,40+55*($AG2336/100),(80+(20-$O$5)+30*($AG2336/100))))))))))</f>
        <v>100</v>
      </c>
      <c r="AI2336" s="262">
        <v>6497</v>
      </c>
      <c r="AJ2336" s="262"/>
      <c r="AK2336" s="262"/>
      <c r="AL2336" s="263"/>
      <c r="AM2336" s="264"/>
      <c r="AN2336" s="263"/>
      <c r="AO2336" s="263"/>
      <c r="AP2336" s="265"/>
      <c r="AQ2336" s="266"/>
      <c r="AR2336" s="267">
        <v>60999</v>
      </c>
      <c r="AS2336" s="263"/>
      <c r="AT2336" s="263"/>
      <c r="AU2336" s="263"/>
      <c r="AV2336" s="264"/>
      <c r="AW2336" s="263"/>
      <c r="AX2336" s="263"/>
      <c r="AY2336" s="263"/>
      <c r="AZ2336" s="263"/>
      <c r="BA2336" s="263"/>
      <c r="BB2336" s="263"/>
      <c r="BC2336" s="263"/>
      <c r="BD2336" s="264"/>
      <c r="BE2336" s="263"/>
      <c r="BF2336" s="263"/>
      <c r="BG2336" s="263"/>
      <c r="BH2336" s="263"/>
      <c r="BI2336" s="263"/>
      <c r="BJ2336" s="404">
        <f>altaz(J2000_Bas,$O2336,$M2336,DecLat,DecLong,2)</f>
        <v>342.0703764887167</v>
      </c>
      <c r="BK2336" s="378" t="s">
        <v>2212</v>
      </c>
      <c r="BL2336" s="379">
        <f>IF((2*G2336)/60&lt;0.2,0.2,(2*G2336)/60)</f>
        <v>0.2</v>
      </c>
      <c r="BM2336" s="380">
        <f>MOD((50000+AD2336-$B$3+(0/24)),1)</f>
        <v>0.95222514927445445</v>
      </c>
      <c r="BN2336" s="381"/>
      <c r="BO2336" s="382">
        <v>2327</v>
      </c>
    </row>
    <row r="2337" spans="1:67" s="24" customFormat="1" ht="15" customHeight="1" x14ac:dyDescent="0.25">
      <c r="A2337" s="288" t="s">
        <v>7953</v>
      </c>
      <c r="B2337" s="241" t="str">
        <f>HYPERLINK(CONCATENATE($AT$3,BK2337,$AU$3),$AV$3)</f>
        <v>S</v>
      </c>
      <c r="C2337" s="242" t="str">
        <f>HYPERLINK(CONCATENATE($AT$4,BK2337,$AU$4,BL2337),$AV$4)</f>
        <v>A</v>
      </c>
      <c r="D2337" s="243" t="s">
        <v>5638</v>
      </c>
      <c r="E2337" s="244" t="s">
        <v>5178</v>
      </c>
      <c r="F2337" s="269" t="s">
        <v>8795</v>
      </c>
      <c r="G2337" s="273">
        <v>1.5</v>
      </c>
      <c r="H2337" s="283">
        <v>140</v>
      </c>
      <c r="I2337" s="246">
        <v>60</v>
      </c>
      <c r="J2337" s="246">
        <v>2</v>
      </c>
      <c r="K2337" s="247" t="s">
        <v>7954</v>
      </c>
      <c r="L2337" s="248">
        <v>175600</v>
      </c>
      <c r="M2337" s="249">
        <f>15*(LEFT(TEXT($L2337,"000000"),2)+(MID(TEXT($L2337,"000000"),3,2)/60)+(RIGHT(TEXT($L2337,"000000"),2)/3600))</f>
        <v>269</v>
      </c>
      <c r="N2337" s="250">
        <v>182018</v>
      </c>
      <c r="O2337" s="251">
        <f>IF($N2337&gt;0,(LEFT(TEXT($N2337,"000000"),2)+(MID(TEXT($N2337,"000000"),3,2)/60)+(RIGHT(TEXT($N2337,"000000"),2)/3600)),-(MID(TEXT($N2337,"000000"),2,2)+(MID(TEXT($N2337,"000000"),4,2)/60)+(RIGHT(TEXT($N2337,"000000"),2)/3600)))</f>
        <v>18.338333333333331</v>
      </c>
      <c r="P2337" s="252" t="s">
        <v>111</v>
      </c>
      <c r="Q2337" s="253"/>
      <c r="R2337" s="247" t="s">
        <v>3293</v>
      </c>
      <c r="S2337" s="272" t="s">
        <v>2214</v>
      </c>
      <c r="T2337" s="273">
        <v>12.2</v>
      </c>
      <c r="U2337" s="289">
        <v>22.29</v>
      </c>
      <c r="V2337" s="280">
        <v>30</v>
      </c>
      <c r="W2337" s="244"/>
      <c r="X2337" s="244"/>
      <c r="Y2337" s="362"/>
      <c r="Z2337" s="257">
        <f>altaz(J2000_Bas,$O2337,$M2337,DecLat,DecLong,1)</f>
        <v>70.071461628493225</v>
      </c>
      <c r="AA2337" s="257">
        <f>altaz((J2000_Bas+(2*0.04167)),$O2337,$M2337,DecLat,DecLong,1)</f>
        <v>45.728314379759034</v>
      </c>
      <c r="AB2337" s="257">
        <f>altaz((J2000_Bas+(4*0.04167)),$O2337,$M2337,DecLat,DecLong,1)</f>
        <v>20.041259342974381</v>
      </c>
      <c r="AC2337" s="257">
        <f>altaz((J2000_Bas+(6*0.04167)),$O2337,$M2337,DecLat,DecLong,1)</f>
        <v>-4.5492880513512839</v>
      </c>
      <c r="AD2337" s="258">
        <f>1+ transit((J2000_Bas-1),$O2337,$M2337,DecLat,DecLong)/360 + (GMTOffset/24) + (IF(DST="Y", 1, 0)/24)</f>
        <v>1.740122108129708</v>
      </c>
      <c r="AE2337" s="259">
        <f>DATE(2001,9,21)+(M2337/360)*365 - (360*((DecLong/360)- (GMTOffset/24) ))</f>
        <v>37432.736111111109</v>
      </c>
      <c r="AF2337" s="260">
        <f>IF(DecLat&gt;0,IF((90 - (DecLat-O2337))&gt;90, (90 - (O2337-DecLat)), (90 - (DecLat-O2337))),IF((90 + (DecLat-O2337))&gt;90, (90 + (O2337-DecLat)), (90 + (DecLat-O2337))))</f>
        <v>77.338333333333338</v>
      </c>
      <c r="AG2337" s="257">
        <f>angularseperation(MoonRA,MoonDec,$M2337,$O2337)</f>
        <v>49.298334030694932</v>
      </c>
      <c r="AH2337" s="261">
        <f ca="1">MIN(100,IF($O$5&gt;80,0+30*($AG2337/100),IF($O$5&gt;70,0+50*($AG2337/100),IF($O$5&gt;60,5+50*($AG2337/100),IF($O$5&gt;50,10+60*($AG2337/100),IF($O$5&gt;40,15+70*($AG2337/100),IF($O$5&gt;30,20+70*($AG2337/100),IF($O$5&gt;20,40+55*($AG2337/100),(80+(20-$O$5)+30*($AG2337/100))))))))))</f>
        <v>98.060560553358911</v>
      </c>
      <c r="AI2337" s="262">
        <v>6500</v>
      </c>
      <c r="AJ2337" s="262"/>
      <c r="AK2337" s="262"/>
      <c r="AL2337" s="263"/>
      <c r="AM2337" s="264"/>
      <c r="AN2337" s="263"/>
      <c r="AO2337" s="263"/>
      <c r="AP2337" s="265"/>
      <c r="AQ2337" s="266">
        <v>11048</v>
      </c>
      <c r="AR2337" s="267">
        <v>61123</v>
      </c>
      <c r="AS2337" s="263"/>
      <c r="AT2337" s="263"/>
      <c r="AU2337" s="263"/>
      <c r="AV2337" s="264"/>
      <c r="AW2337" s="263"/>
      <c r="AX2337" s="263"/>
      <c r="AY2337" s="263"/>
      <c r="AZ2337" s="263"/>
      <c r="BA2337" s="263"/>
      <c r="BB2337" s="263"/>
      <c r="BC2337" s="263"/>
      <c r="BD2337" s="264"/>
      <c r="BE2337" s="263"/>
      <c r="BF2337" s="263"/>
      <c r="BG2337" s="263"/>
      <c r="BH2337" s="263"/>
      <c r="BI2337" s="263"/>
      <c r="BJ2337" s="404">
        <f>altaz(J2000_Bas,$O2337,$M2337,DecLat,DecLong,2)</f>
        <v>234.52193470843747</v>
      </c>
      <c r="BK2337" s="378" t="s">
        <v>2213</v>
      </c>
      <c r="BL2337" s="379">
        <f>IF((2*G2337)/60&lt;0.2,0.2,(2*G2337)/60)</f>
        <v>0.2</v>
      </c>
      <c r="BM2337" s="380">
        <f>MOD((50000+AD2337-$B$3+(0/24)),1)</f>
        <v>0.95548903783492278</v>
      </c>
      <c r="BN2337" s="381"/>
      <c r="BO2337" s="382">
        <v>2328</v>
      </c>
    </row>
    <row r="2338" spans="1:67" s="24" customFormat="1" ht="15" customHeight="1" x14ac:dyDescent="0.25">
      <c r="A2338" s="288" t="s">
        <v>2215</v>
      </c>
      <c r="B2338" s="241" t="str">
        <f>HYPERLINK(CONCATENATE($AT$3,BK2338,$AU$3),$AV$3)</f>
        <v>S</v>
      </c>
      <c r="C2338" s="242" t="str">
        <f>HYPERLINK(CONCATENATE($AT$4,BK2338,$AU$4,BL2338),$AV$4)</f>
        <v>A</v>
      </c>
      <c r="D2338" s="243" t="s">
        <v>5638</v>
      </c>
      <c r="E2338" s="244" t="s">
        <v>4292</v>
      </c>
      <c r="F2338" s="269"/>
      <c r="G2338" s="273">
        <v>5</v>
      </c>
      <c r="H2338" s="283">
        <v>20</v>
      </c>
      <c r="I2338" s="246">
        <v>30</v>
      </c>
      <c r="J2338" s="246">
        <v>2</v>
      </c>
      <c r="K2338" s="247" t="s">
        <v>7955</v>
      </c>
      <c r="L2338" s="248">
        <v>174927</v>
      </c>
      <c r="M2338" s="249">
        <f>15*(LEFT(TEXT($L2338,"000000"),2)+(MID(TEXT($L2338,"000000"),3,2)/60)+(RIGHT(TEXT($L2338,"000000"),2)/3600))</f>
        <v>267.36250000000001</v>
      </c>
      <c r="N2338" s="286">
        <v>700840</v>
      </c>
      <c r="O2338" s="251">
        <f>IF($N2338&gt;0,(LEFT(TEXT($N2338,"000000"),2)+(MID(TEXT($N2338,"000000"),3,2)/60)+(RIGHT(TEXT($N2338,"000000"),2)/3600)),-(MID(TEXT($N2338,"000000"),2,2)+(MID(TEXT($N2338,"000000"),4,2)/60)+(RIGHT(TEXT($N2338,"000000"),2)/3600)))</f>
        <v>70.144444444444446</v>
      </c>
      <c r="P2338" s="252" t="s">
        <v>34</v>
      </c>
      <c r="Q2338" s="253" t="s">
        <v>6885</v>
      </c>
      <c r="R2338" s="247" t="s">
        <v>3293</v>
      </c>
      <c r="S2338" s="272" t="s">
        <v>3293</v>
      </c>
      <c r="T2338" s="273">
        <v>10.199999999999999</v>
      </c>
      <c r="U2338" s="289">
        <v>21.990000000000002</v>
      </c>
      <c r="V2338" s="280">
        <v>80</v>
      </c>
      <c r="W2338" s="244"/>
      <c r="X2338" s="244"/>
      <c r="Y2338" s="362"/>
      <c r="Z2338" s="257">
        <f>altaz(J2000_Bas,$O2338,$M2338,DecLat,DecLong,1)</f>
        <v>49.489356645421829</v>
      </c>
      <c r="AA2338" s="257">
        <f>altaz((J2000_Bas+(2*0.04167)),$O2338,$M2338,DecLat,DecLong,1)</f>
        <v>42.568928975551486</v>
      </c>
      <c r="AB2338" s="257">
        <f>altaz((J2000_Bas+(4*0.04167)),$O2338,$M2338,DecLat,DecLong,1)</f>
        <v>32.74648603609122</v>
      </c>
      <c r="AC2338" s="257">
        <f>altaz((J2000_Bas+(6*0.04167)),$O2338,$M2338,DecLat,DecLong,1)</f>
        <v>22.963566283611346</v>
      </c>
      <c r="AD2338" s="258">
        <f>1+ transit((J2000_Bas-1),$O2338,$M2338,DecLat,DecLong)/360 + (GMTOffset/24) + (IF(DST="Y", 1, 0)/24)</f>
        <v>1.7355734974734582</v>
      </c>
      <c r="AE2338" s="259">
        <f>DATE(2001,9,21)+(M2338/360)*365 - (360*((DecLong/360)- (GMTOffset/24) ))</f>
        <v>37431.075868055559</v>
      </c>
      <c r="AF2338" s="260">
        <f>IF(DecLat&gt;0,IF((90 - (DecLat-O2338))&gt;90, (90 - (O2338-DecLat)), (90 - (DecLat-O2338))),IF((90 + (DecLat-O2338))&gt;90, (90 + (O2338-DecLat)), (90 + (DecLat-O2338))))</f>
        <v>50.855555555555554</v>
      </c>
      <c r="AG2338" s="257">
        <f>angularseperation(MoonRA,MoonDec,$M2338,$O2338)</f>
        <v>98.095609748538891</v>
      </c>
      <c r="AH2338" s="261">
        <f ca="1">MIN(100,IF($O$5&gt;80,0+30*($AG2338/100),IF($O$5&gt;70,0+50*($AG2338/100),IF($O$5&gt;60,5+50*($AG2338/100),IF($O$5&gt;50,10+60*($AG2338/100),IF($O$5&gt;40,15+70*($AG2338/100),IF($O$5&gt;30,20+70*($AG2338/100),IF($O$5&gt;20,40+55*($AG2338/100),(80+(20-$O$5)+30*($AG2338/100))))))))))</f>
        <v>100</v>
      </c>
      <c r="AI2338" s="262">
        <v>6503</v>
      </c>
      <c r="AJ2338" s="262"/>
      <c r="AK2338" s="262"/>
      <c r="AL2338" s="263"/>
      <c r="AM2338" s="264"/>
      <c r="AN2338" s="263"/>
      <c r="AO2338" s="263"/>
      <c r="AP2338" s="265"/>
      <c r="AQ2338" s="266">
        <v>11012</v>
      </c>
      <c r="AR2338" s="267">
        <v>60921</v>
      </c>
      <c r="AS2338" s="263"/>
      <c r="AT2338" s="263"/>
      <c r="AU2338" s="263"/>
      <c r="AV2338" s="264"/>
      <c r="AW2338" s="263"/>
      <c r="AX2338" s="263"/>
      <c r="AY2338" s="263"/>
      <c r="AZ2338" s="263"/>
      <c r="BA2338" s="263"/>
      <c r="BB2338" s="263"/>
      <c r="BC2338" s="263"/>
      <c r="BD2338" s="264"/>
      <c r="BE2338" s="263">
        <v>85</v>
      </c>
      <c r="BF2338" s="263"/>
      <c r="BG2338" s="263"/>
      <c r="BH2338" s="263"/>
      <c r="BI2338" s="263"/>
      <c r="BJ2338" s="404">
        <f>altaz(J2000_Bas,$O2338,$M2338,DecLat,DecLong,2)</f>
        <v>350.3795336748189</v>
      </c>
      <c r="BK2338" s="378" t="s">
        <v>2215</v>
      </c>
      <c r="BL2338" s="379">
        <f>IF((2*G2338)/60&lt;0.2,0.2,(2*G2338)/60)</f>
        <v>0.2</v>
      </c>
      <c r="BM2338" s="380">
        <f>MOD((50000+AD2338-$B$3+(0/24)),1)</f>
        <v>0.95094042717391858</v>
      </c>
      <c r="BN2338" s="381"/>
      <c r="BO2338" s="382">
        <v>2329</v>
      </c>
    </row>
    <row r="2339" spans="1:67" s="24" customFormat="1" ht="15" customHeight="1" x14ac:dyDescent="0.25">
      <c r="A2339" s="287" t="s">
        <v>3021</v>
      </c>
      <c r="B2339" s="241" t="str">
        <f>HYPERLINK(CONCATENATE($AT$3,BK2339,$AU$3),$AV$3)</f>
        <v>S</v>
      </c>
      <c r="C2339" s="242" t="str">
        <f>HYPERLINK(CONCATENATE($AT$4,BK2339,$AU$4,BL2339),$AV$4)</f>
        <v>A</v>
      </c>
      <c r="D2339" s="243" t="s">
        <v>5335</v>
      </c>
      <c r="E2339" s="244" t="s">
        <v>5184</v>
      </c>
      <c r="F2339" s="269" t="s">
        <v>3317</v>
      </c>
      <c r="G2339" s="273">
        <v>4</v>
      </c>
      <c r="H2339" s="283">
        <v>35000</v>
      </c>
      <c r="I2339" s="246">
        <v>40</v>
      </c>
      <c r="J2339" s="246">
        <v>2</v>
      </c>
      <c r="K2339" s="247" t="s">
        <v>7956</v>
      </c>
      <c r="L2339" s="248">
        <v>180148</v>
      </c>
      <c r="M2339" s="249">
        <f>15*(LEFT(TEXT($L2339,"000000"),2)+(MID(TEXT($L2339,"000000"),3,2)/60)+(RIGHT(TEXT($L2339,"000000"),2)/3600))</f>
        <v>270.45</v>
      </c>
      <c r="N2339" s="250">
        <v>-85800</v>
      </c>
      <c r="O2339" s="251">
        <f>IF($N2339&gt;0,(LEFT(TEXT($N2339,"000000"),2)+(MID(TEXT($N2339,"000000"),3,2)/60)+(RIGHT(TEXT($N2339,"000000"),2)/3600)),-(MID(TEXT($N2339,"000000"),2,2)+(MID(TEXT($N2339,"000000"),4,2)/60)+(RIGHT(TEXT($N2339,"000000"),2)/3600)))</f>
        <v>-8.9666666666666668</v>
      </c>
      <c r="P2339" s="252" t="s">
        <v>113</v>
      </c>
      <c r="Q2339" s="253"/>
      <c r="R2339" s="277" t="s">
        <v>3293</v>
      </c>
      <c r="S2339" s="272" t="s">
        <v>3293</v>
      </c>
      <c r="T2339" s="273">
        <v>10.1</v>
      </c>
      <c r="U2339" s="274"/>
      <c r="V2339" s="280"/>
      <c r="W2339" s="244"/>
      <c r="X2339" s="244"/>
      <c r="Y2339" s="362"/>
      <c r="Z2339" s="257">
        <f>altaz(J2000_Bas,$O2339,$M2339,DecLat,DecLong,1)</f>
        <v>47.342403968985998</v>
      </c>
      <c r="AA2339" s="257">
        <f>altaz((J2000_Bas+(2*0.04167)),$O2339,$M2339,DecLat,DecLong,1)</f>
        <v>30.779335772580243</v>
      </c>
      <c r="AB2339" s="257">
        <f>altaz((J2000_Bas+(4*0.04167)),$O2339,$M2339,DecLat,DecLong,1)</f>
        <v>7.3856593510025492</v>
      </c>
      <c r="AC2339" s="257">
        <f>altaz((J2000_Bas+(6*0.04167)),$O2339,$M2339,DecLat,DecLong,1)</f>
        <v>-18.113491828962907</v>
      </c>
      <c r="AD2339" s="258">
        <f>1+ transit((J2000_Bas-1),$O2339,$M2339,DecLat,DecLong)/360 + (GMTOffset/24) + (IF(DST="Y", 1, 0)/24)</f>
        <v>1.744149885504708</v>
      </c>
      <c r="AE2339" s="259">
        <f>DATE(2001,9,21)+(M2339/360)*365 - (360*((DecLong/360)- (GMTOffset/24) ))</f>
        <v>37434.206250000003</v>
      </c>
      <c r="AF2339" s="260">
        <f>IF(DecLat&gt;0,IF((90 - (DecLat-O2339))&gt;90, (90 - (O2339-DecLat)), (90 - (DecLat-O2339))),IF((90 + (DecLat-O2339))&gt;90, (90 + (O2339-DecLat)), (90 + (DecLat-O2339))))</f>
        <v>50.033333333333331</v>
      </c>
      <c r="AG2339" s="257">
        <f>angularseperation(MoonRA,MoonDec,$M2339,$O2339)</f>
        <v>27.018753368851872</v>
      </c>
      <c r="AH2339" s="261">
        <f ca="1">MIN(100,IF($O$5&gt;80,0+30*($AG2339/100),IF($O$5&gt;70,0+50*($AG2339/100),IF($O$5&gt;60,5+50*($AG2339/100),IF($O$5&gt;50,10+60*($AG2339/100),IF($O$5&gt;40,15+70*($AG2339/100),IF($O$5&gt;30,20+70*($AG2339/100),IF($O$5&gt;20,40+55*($AG2339/100),(80+(20-$O$5)+30*($AG2339/100))))))))))</f>
        <v>91.376686354805983</v>
      </c>
      <c r="AI2339" s="262">
        <v>6517</v>
      </c>
      <c r="AJ2339" s="263"/>
      <c r="AK2339" s="263">
        <v>337</v>
      </c>
      <c r="AL2339" s="263"/>
      <c r="AM2339" s="264"/>
      <c r="AN2339" s="263"/>
      <c r="AO2339" s="263"/>
      <c r="AP2339" s="265"/>
      <c r="AQ2339" s="265"/>
      <c r="AR2339" s="285"/>
      <c r="AS2339" s="263"/>
      <c r="AT2339" s="263"/>
      <c r="AU2339" s="263"/>
      <c r="AV2339" s="264"/>
      <c r="AW2339" s="263"/>
      <c r="AX2339" s="263"/>
      <c r="AY2339" s="263"/>
      <c r="AZ2339" s="263"/>
      <c r="BA2339" s="263"/>
      <c r="BB2339" s="263"/>
      <c r="BC2339" s="263"/>
      <c r="BD2339" s="264"/>
      <c r="BE2339" s="263"/>
      <c r="BF2339" s="263"/>
      <c r="BG2339" s="263"/>
      <c r="BH2339" s="263"/>
      <c r="BI2339" s="263"/>
      <c r="BJ2339" s="404">
        <f>altaz(J2000_Bas,$O2339,$M2339,DecLat,DecLong,2)</f>
        <v>203.0074574868666</v>
      </c>
      <c r="BK2339" s="378" t="s">
        <v>3021</v>
      </c>
      <c r="BL2339" s="379">
        <f>IF((2*G2339)/60&lt;0.2,0.2,(2*G2339)/60)</f>
        <v>0.2</v>
      </c>
      <c r="BM2339" s="380">
        <f>MOD((50000+AD2339-$B$3+(0/24)),1)</f>
        <v>0.95951681520818966</v>
      </c>
      <c r="BN2339" s="381"/>
      <c r="BO2339" s="382">
        <v>2330</v>
      </c>
    </row>
    <row r="2340" spans="1:67" s="24" customFormat="1" ht="15" customHeight="1" x14ac:dyDescent="0.25">
      <c r="A2340" s="288" t="s">
        <v>2216</v>
      </c>
      <c r="B2340" s="241" t="str">
        <f>HYPERLINK(CONCATENATE($AT$3,BK2340,$AU$3),$AV$3)</f>
        <v>S</v>
      </c>
      <c r="C2340" s="242" t="str">
        <f>HYPERLINK(CONCATENATE($AT$4,BK2340,$AU$4,BL2340),$AV$4)</f>
        <v>A</v>
      </c>
      <c r="D2340" s="243" t="s">
        <v>5335</v>
      </c>
      <c r="E2340" s="244" t="s">
        <v>5185</v>
      </c>
      <c r="F2340" s="269" t="s">
        <v>7957</v>
      </c>
      <c r="G2340" s="273">
        <v>4</v>
      </c>
      <c r="H2340" s="283">
        <v>5500</v>
      </c>
      <c r="I2340" s="279">
        <v>7</v>
      </c>
      <c r="J2340" s="246">
        <v>4</v>
      </c>
      <c r="K2340" s="247" t="s">
        <v>8582</v>
      </c>
      <c r="L2340" s="248">
        <v>180324</v>
      </c>
      <c r="M2340" s="249">
        <f>15*(LEFT(TEXT($L2340,"000000"),2)+(MID(TEXT($L2340,"000000"),3,2)/60)+(RIGHT(TEXT($L2340,"000000"),2)/3600))</f>
        <v>270.85000000000002</v>
      </c>
      <c r="N2340" s="250">
        <v>-275318</v>
      </c>
      <c r="O2340" s="251">
        <f>IF($N2340&gt;0,(LEFT(TEXT($N2340,"000000"),2)+(MID(TEXT($N2340,"000000"),3,2)/60)+(RIGHT(TEXT($N2340,"000000"),2)/3600)),-(MID(TEXT($N2340,"000000"),2,2)+(MID(TEXT($N2340,"000000"),4,2)/60)+(RIGHT(TEXT($N2340,"000000"),2)/3600)))</f>
        <v>-27.888333333333332</v>
      </c>
      <c r="P2340" s="252" t="s">
        <v>119</v>
      </c>
      <c r="Q2340" s="253"/>
      <c r="R2340" s="247" t="s">
        <v>3293</v>
      </c>
      <c r="S2340" s="272" t="s">
        <v>7958</v>
      </c>
      <c r="T2340" s="273">
        <v>7.6</v>
      </c>
      <c r="U2340" s="274"/>
      <c r="V2340" s="280"/>
      <c r="W2340" s="244"/>
      <c r="X2340" s="244"/>
      <c r="Y2340" s="362"/>
      <c r="Z2340" s="257">
        <f>altaz(J2000_Bas,$O2340,$M2340,DecLat,DecLong,1)</f>
        <v>29.364744015460225</v>
      </c>
      <c r="AA2340" s="257">
        <f>altaz((J2000_Bas+(2*0.04167)),$O2340,$M2340,DecLat,DecLong,1)</f>
        <v>17.012765376405955</v>
      </c>
      <c r="AB2340" s="257">
        <f>altaz((J2000_Bas+(4*0.04167)),$O2340,$M2340,DecLat,DecLong,1)</f>
        <v>-2.8049169251594859</v>
      </c>
      <c r="AC2340" s="257">
        <f>altaz((J2000_Bas+(6*0.04167)),$O2340,$M2340,DecLat,DecLong,1)</f>
        <v>-26.242961045730247</v>
      </c>
      <c r="AD2340" s="258">
        <f>1+ transit((J2000_Bas-1),$O2340,$M2340,DecLat,DecLong)/360 + (GMTOffset/24) + (IF(DST="Y", 1, 0)/24)</f>
        <v>1.7452609965047081</v>
      </c>
      <c r="AE2340" s="259">
        <f>DATE(2001,9,21)+(M2340/360)*365 - (360*((DecLong/360)- (GMTOffset/24) ))</f>
        <v>37434.611805555556</v>
      </c>
      <c r="AF2340" s="260">
        <f>IF(DecLat&gt;0,IF((90 - (DecLat-O2340))&gt;90, (90 - (O2340-DecLat)), (90 - (DecLat-O2340))),IF((90 + (DecLat-O2340))&gt;90, (90 + (O2340-DecLat)), (90 + (DecLat-O2340))))</f>
        <v>31.111666666666665</v>
      </c>
      <c r="AG2340" s="257">
        <f>angularseperation(MoonRA,MoonDec,$M2340,$O2340)</f>
        <v>19.161144735094599</v>
      </c>
      <c r="AH2340" s="261">
        <f ca="1">MIN(100,IF($O$5&gt;80,0+30*($AG2340/100),IF($O$5&gt;70,0+50*($AG2340/100),IF($O$5&gt;60,5+50*($AG2340/100),IF($O$5&gt;50,10+60*($AG2340/100),IF($O$5&gt;40,15+70*($AG2340/100),IF($O$5&gt;30,20+70*($AG2340/100),IF($O$5&gt;20,40+55*($AG2340/100),(80+(20-$O$5)+30*($AG2340/100))))))))))</f>
        <v>89.019403764678813</v>
      </c>
      <c r="AI2340" s="262">
        <v>6520</v>
      </c>
      <c r="AJ2340" s="262"/>
      <c r="AK2340" s="262">
        <v>338</v>
      </c>
      <c r="AL2340" s="263"/>
      <c r="AM2340" s="264"/>
      <c r="AN2340" s="263"/>
      <c r="AO2340" s="263"/>
      <c r="AP2340" s="265"/>
      <c r="AQ2340" s="266"/>
      <c r="AR2340" s="267"/>
      <c r="AS2340" s="263"/>
      <c r="AT2340" s="263"/>
      <c r="AU2340" s="263"/>
      <c r="AV2340" s="264"/>
      <c r="AW2340" s="263"/>
      <c r="AX2340" s="263"/>
      <c r="AY2340" s="263"/>
      <c r="AZ2340" s="263"/>
      <c r="BA2340" s="263"/>
      <c r="BB2340" s="263"/>
      <c r="BC2340" s="263"/>
      <c r="BD2340" s="264"/>
      <c r="BE2340" s="263">
        <v>88</v>
      </c>
      <c r="BF2340" s="263"/>
      <c r="BG2340" s="263"/>
      <c r="BH2340" s="263"/>
      <c r="BI2340" s="263"/>
      <c r="BJ2340" s="404">
        <f>altaz(J2000_Bas,$O2340,$M2340,DecLat,DecLong,2)</f>
        <v>195.37252956596885</v>
      </c>
      <c r="BK2340" s="378" t="s">
        <v>2216</v>
      </c>
      <c r="BL2340" s="379">
        <f>IF((2*G2340)/60&lt;0.2,0.2,(2*G2340)/60)</f>
        <v>0.2</v>
      </c>
      <c r="BM2340" s="380">
        <f>MOD((50000+AD2340-$B$3+(0/24)),1)</f>
        <v>0.96062792620796245</v>
      </c>
      <c r="BN2340" s="381"/>
      <c r="BO2340" s="382">
        <v>2331</v>
      </c>
    </row>
    <row r="2341" spans="1:67" s="24" customFormat="1" ht="15" customHeight="1" x14ac:dyDescent="0.25">
      <c r="A2341" s="288" t="s">
        <v>2217</v>
      </c>
      <c r="B2341" s="241" t="str">
        <f>HYPERLINK(CONCATENATE($AT$3,BK2341,$AU$3),$AV$3)</f>
        <v>S</v>
      </c>
      <c r="C2341" s="242" t="str">
        <f>HYPERLINK(CONCATENATE($AT$4,BK2341,$AU$4,BL2341),$AV$4)</f>
        <v>A</v>
      </c>
      <c r="D2341" s="243" t="s">
        <v>5335</v>
      </c>
      <c r="E2341" s="244" t="s">
        <v>5184</v>
      </c>
      <c r="F2341" s="269" t="s">
        <v>3312</v>
      </c>
      <c r="G2341" s="273">
        <v>8</v>
      </c>
      <c r="H2341" s="283">
        <v>25000</v>
      </c>
      <c r="I2341" s="246">
        <v>60</v>
      </c>
      <c r="J2341" s="246">
        <v>2</v>
      </c>
      <c r="K2341" s="247" t="s">
        <v>7961</v>
      </c>
      <c r="L2341" s="248">
        <v>180335</v>
      </c>
      <c r="M2341" s="249">
        <f>15*(LEFT(TEXT($L2341,"000000"),2)+(MID(TEXT($L2341,"000000"),3,2)/60)+(RIGHT(TEXT($L2341,"000000"),2)/3600))</f>
        <v>270.89583333333337</v>
      </c>
      <c r="N2341" s="250">
        <v>-300206</v>
      </c>
      <c r="O2341" s="251">
        <f>IF($N2341&gt;0,(LEFT(TEXT($N2341,"000000"),2)+(MID(TEXT($N2341,"000000"),3,2)/60)+(RIGHT(TEXT($N2341,"000000"),2)/3600)),-(MID(TEXT($N2341,"000000"),2,2)+(MID(TEXT($N2341,"000000"),4,2)/60)+(RIGHT(TEXT($N2341,"000000"),2)/3600)))</f>
        <v>-30.035</v>
      </c>
      <c r="P2341" s="252" t="s">
        <v>119</v>
      </c>
      <c r="Q2341" s="253" t="s">
        <v>9589</v>
      </c>
      <c r="R2341" s="247" t="s">
        <v>3293</v>
      </c>
      <c r="S2341" s="272" t="s">
        <v>7959</v>
      </c>
      <c r="T2341" s="273">
        <v>9.9</v>
      </c>
      <c r="U2341" s="274"/>
      <c r="V2341" s="280"/>
      <c r="W2341" s="244"/>
      <c r="X2341" s="244"/>
      <c r="Y2341" s="362"/>
      <c r="Z2341" s="257">
        <f>altaz(J2000_Bas,$O2341,$M2341,DecLat,DecLong,1)</f>
        <v>27.298785447301029</v>
      </c>
      <c r="AA2341" s="257">
        <f>altaz((J2000_Bas+(2*0.04167)),$O2341,$M2341,DecLat,DecLong,1)</f>
        <v>15.377276529105728</v>
      </c>
      <c r="AB2341" s="257">
        <f>altaz((J2000_Bas+(4*0.04167)),$O2341,$M2341,DecLat,DecLong,1)</f>
        <v>-3.9671203428078439</v>
      </c>
      <c r="AC2341" s="257">
        <f>altaz((J2000_Bas+(6*0.04167)),$O2341,$M2341,DecLat,DecLong,1)</f>
        <v>-27.02360965701142</v>
      </c>
      <c r="AD2341" s="258">
        <f>1+ transit((J2000_Bas-1),$O2341,$M2341,DecLat,DecLong)/360 + (GMTOffset/24) + (IF(DST="Y", 1, 0)/24)</f>
        <v>1.7453883113067914</v>
      </c>
      <c r="AE2341" s="259">
        <f>DATE(2001,9,21)+(M2341/360)*365 - (360*((DecLong/360)- (GMTOffset/24) ))</f>
        <v>37434.658275462964</v>
      </c>
      <c r="AF2341" s="260">
        <f>IF(DecLat&gt;0,IF((90 - (DecLat-O2341))&gt;90, (90 - (O2341-DecLat)), (90 - (DecLat-O2341))),IF((90 + (DecLat-O2341))&gt;90, (90 + (O2341-DecLat)), (90 + (DecLat-O2341))))</f>
        <v>28.965000000000003</v>
      </c>
      <c r="AG2341" s="257">
        <f>angularseperation(MoonRA,MoonDec,$M2341,$O2341)</f>
        <v>19.216873525987584</v>
      </c>
      <c r="AH2341" s="261">
        <f ca="1">MIN(100,IF($O$5&gt;80,0+30*($AG2341/100),IF($O$5&gt;70,0+50*($AG2341/100),IF($O$5&gt;60,5+50*($AG2341/100),IF($O$5&gt;50,10+60*($AG2341/100),IF($O$5&gt;40,15+70*($AG2341/100),IF($O$5&gt;30,20+70*($AG2341/100),IF($O$5&gt;20,40+55*($AG2341/100),(80+(20-$O$5)+30*($AG2341/100))))))))))</f>
        <v>89.036122401946699</v>
      </c>
      <c r="AI2341" s="262">
        <v>6522</v>
      </c>
      <c r="AJ2341" s="262"/>
      <c r="AK2341" s="262">
        <v>339</v>
      </c>
      <c r="AL2341" s="263"/>
      <c r="AM2341" s="264"/>
      <c r="AN2341" s="263"/>
      <c r="AO2341" s="263"/>
      <c r="AP2341" s="265"/>
      <c r="AQ2341" s="266"/>
      <c r="AR2341" s="267"/>
      <c r="AS2341" s="263"/>
      <c r="AT2341" s="263"/>
      <c r="AU2341" s="263"/>
      <c r="AV2341" s="264"/>
      <c r="AW2341" s="263"/>
      <c r="AX2341" s="263"/>
      <c r="AY2341" s="263"/>
      <c r="AZ2341" s="263"/>
      <c r="BA2341" s="263"/>
      <c r="BB2341" s="263"/>
      <c r="BC2341" s="263"/>
      <c r="BD2341" s="264"/>
      <c r="BE2341" s="263"/>
      <c r="BF2341" s="263">
        <v>78</v>
      </c>
      <c r="BG2341" s="263"/>
      <c r="BH2341" s="263"/>
      <c r="BI2341" s="263"/>
      <c r="BJ2341" s="404">
        <f>altaz(J2000_Bas,$O2341,$M2341,DecLat,DecLong,2)</f>
        <v>194.70845698989632</v>
      </c>
      <c r="BK2341" s="378" t="s">
        <v>2217</v>
      </c>
      <c r="BL2341" s="379">
        <f>IF((2*G2341)/60&lt;0.2,0.2,(2*G2341)/60)</f>
        <v>0.26666666666666666</v>
      </c>
      <c r="BM2341" s="380">
        <f>MOD((50000+AD2341-$B$3+(0/24)),1)</f>
        <v>0.96075524100888288</v>
      </c>
      <c r="BN2341" s="381"/>
      <c r="BO2341" s="382">
        <v>2332</v>
      </c>
    </row>
    <row r="2342" spans="1:67" s="24" customFormat="1" ht="15" customHeight="1" x14ac:dyDescent="0.25">
      <c r="A2342" s="288" t="s">
        <v>2219</v>
      </c>
      <c r="B2342" s="241" t="str">
        <f>HYPERLINK(CONCATENATE($AT$3,BK2342,$AU$3),$AV$3)</f>
        <v>S</v>
      </c>
      <c r="C2342" s="242" t="str">
        <f>HYPERLINK(CONCATENATE($AT$4,BK2342,$AU$4,BL2342),$AV$4)</f>
        <v>A</v>
      </c>
      <c r="D2342" s="243" t="s">
        <v>5335</v>
      </c>
      <c r="E2342" s="244" t="s">
        <v>5184</v>
      </c>
      <c r="F2342" s="269" t="s">
        <v>3316</v>
      </c>
      <c r="G2342" s="273">
        <v>4</v>
      </c>
      <c r="H2342" s="283">
        <v>26000</v>
      </c>
      <c r="I2342" s="246">
        <v>30</v>
      </c>
      <c r="J2342" s="246">
        <v>2</v>
      </c>
      <c r="K2342" s="247" t="s">
        <v>7962</v>
      </c>
      <c r="L2342" s="248">
        <v>180450</v>
      </c>
      <c r="M2342" s="249">
        <f>15*(LEFT(TEXT($L2342,"000000"),2)+(MID(TEXT($L2342,"000000"),3,2)/60)+(RIGHT(TEXT($L2342,"000000"),2)/3600))</f>
        <v>271.20833333333331</v>
      </c>
      <c r="N2342" s="250">
        <v>-300321</v>
      </c>
      <c r="O2342" s="251">
        <f>IF($N2342&gt;0,(LEFT(TEXT($N2342,"000000"),2)+(MID(TEXT($N2342,"000000"),3,2)/60)+(RIGHT(TEXT($N2342,"000000"),2)/3600)),-(MID(TEXT($N2342,"000000"),2,2)+(MID(TEXT($N2342,"000000"),4,2)/60)+(RIGHT(TEXT($N2342,"000000"),2)/3600)))</f>
        <v>-30.055833333333332</v>
      </c>
      <c r="P2342" s="252" t="s">
        <v>119</v>
      </c>
      <c r="Q2342" s="253" t="s">
        <v>2218</v>
      </c>
      <c r="R2342" s="247" t="s">
        <v>3293</v>
      </c>
      <c r="S2342" s="272" t="s">
        <v>7960</v>
      </c>
      <c r="T2342" s="273">
        <v>9.6</v>
      </c>
      <c r="U2342" s="274"/>
      <c r="V2342" s="280"/>
      <c r="W2342" s="244"/>
      <c r="X2342" s="244"/>
      <c r="Y2342" s="362"/>
      <c r="Z2342" s="257">
        <f>altaz(J2000_Bas,$O2342,$M2342,DecLat,DecLong,1)</f>
        <v>27.345938738525359</v>
      </c>
      <c r="AA2342" s="257">
        <f>altaz((J2000_Bas+(2*0.04167)),$O2342,$M2342,DecLat,DecLong,1)</f>
        <v>15.53129692541021</v>
      </c>
      <c r="AB2342" s="257">
        <f>altaz((J2000_Bas+(4*0.04167)),$O2342,$M2342,DecLat,DecLong,1)</f>
        <v>-3.754125955045208</v>
      </c>
      <c r="AC2342" s="257">
        <f>altaz((J2000_Bas+(6*0.04167)),$O2342,$M2342,DecLat,DecLong,1)</f>
        <v>-26.78048733277981</v>
      </c>
      <c r="AD2342" s="258">
        <f>1+ transit((J2000_Bas-1),$O2342,$M2342,DecLat,DecLong)/360 + (GMTOffset/24) + (IF(DST="Y", 1, 0)/24)</f>
        <v>1.7462563667755413</v>
      </c>
      <c r="AE2342" s="259">
        <f>DATE(2001,9,21)+(M2342/360)*365 - (360*((DecLong/360)- (GMTOffset/24) ))</f>
        <v>37434.975115740737</v>
      </c>
      <c r="AF2342" s="260">
        <f>IF(DecLat&gt;0,IF((90 - (DecLat-O2342))&gt;90, (90 - (O2342-DecLat)), (90 - (DecLat-O2342))),IF((90 + (DecLat-O2342))&gt;90, (90 + (O2342-DecLat)), (90 + (DecLat-O2342))))</f>
        <v>28.944166666666668</v>
      </c>
      <c r="AG2342" s="257">
        <f>angularseperation(MoonRA,MoonDec,$M2342,$O2342)</f>
        <v>19.488143288065725</v>
      </c>
      <c r="AH2342" s="261">
        <f ca="1">MIN(100,IF($O$5&gt;80,0+30*($AG2342/100),IF($O$5&gt;70,0+50*($AG2342/100),IF($O$5&gt;60,5+50*($AG2342/100),IF($O$5&gt;50,10+60*($AG2342/100),IF($O$5&gt;40,15+70*($AG2342/100),IF($O$5&gt;30,20+70*($AG2342/100),IF($O$5&gt;20,40+55*($AG2342/100),(80+(20-$O$5)+30*($AG2342/100))))))))))</f>
        <v>89.117503330570145</v>
      </c>
      <c r="AI2342" s="262">
        <v>6528</v>
      </c>
      <c r="AJ2342" s="262"/>
      <c r="AK2342" s="262">
        <v>340</v>
      </c>
      <c r="AL2342" s="263"/>
      <c r="AM2342" s="264"/>
      <c r="AN2342" s="263"/>
      <c r="AO2342" s="263"/>
      <c r="AP2342" s="265"/>
      <c r="AQ2342" s="266"/>
      <c r="AR2342" s="267"/>
      <c r="AS2342" s="263"/>
      <c r="AT2342" s="263"/>
      <c r="AU2342" s="263"/>
      <c r="AV2342" s="264"/>
      <c r="AW2342" s="263"/>
      <c r="AX2342" s="263"/>
      <c r="AY2342" s="263"/>
      <c r="AZ2342" s="263"/>
      <c r="BA2342" s="263"/>
      <c r="BB2342" s="263"/>
      <c r="BC2342" s="263"/>
      <c r="BD2342" s="264"/>
      <c r="BE2342" s="263"/>
      <c r="BF2342" s="263">
        <v>79</v>
      </c>
      <c r="BG2342" s="263"/>
      <c r="BH2342" s="263"/>
      <c r="BI2342" s="263"/>
      <c r="BJ2342" s="404">
        <f>altaz(J2000_Bas,$O2342,$M2342,DecLat,DecLong,2)</f>
        <v>194.4077258274331</v>
      </c>
      <c r="BK2342" s="378" t="s">
        <v>2219</v>
      </c>
      <c r="BL2342" s="379">
        <f>IF((2*G2342)/60&lt;0.2,0.2,(2*G2342)/60)</f>
        <v>0.2</v>
      </c>
      <c r="BM2342" s="380">
        <f>MOD((50000+AD2342-$B$3+(0/24)),1)</f>
        <v>0.9616232964763185</v>
      </c>
      <c r="BN2342" s="381"/>
      <c r="BO2342" s="382">
        <v>2333</v>
      </c>
    </row>
    <row r="2343" spans="1:67" s="24" customFormat="1" ht="15" customHeight="1" x14ac:dyDescent="0.25">
      <c r="A2343" s="288" t="s">
        <v>2220</v>
      </c>
      <c r="B2343" s="241" t="str">
        <f>HYPERLINK(CONCATENATE($AT$3,BK2343,$AU$3),$AV$3)</f>
        <v>S</v>
      </c>
      <c r="C2343" s="242" t="str">
        <f>HYPERLINK(CONCATENATE($AT$4,BK2343,$AU$4,BL2343),$AV$4)</f>
        <v>A</v>
      </c>
      <c r="D2343" s="243" t="s">
        <v>5187</v>
      </c>
      <c r="E2343" s="244" t="s">
        <v>5181</v>
      </c>
      <c r="F2343" s="269" t="s">
        <v>6511</v>
      </c>
      <c r="G2343" s="273">
        <v>2</v>
      </c>
      <c r="H2343" s="283">
        <v>5000</v>
      </c>
      <c r="I2343" s="279">
        <v>3</v>
      </c>
      <c r="J2343" s="246">
        <v>2</v>
      </c>
      <c r="K2343" s="247" t="s">
        <v>8583</v>
      </c>
      <c r="L2343" s="248">
        <v>180513</v>
      </c>
      <c r="M2343" s="249">
        <f>15*(LEFT(TEXT($L2343,"000000"),2)+(MID(TEXT($L2343,"000000"),3,2)/60)+(RIGHT(TEXT($L2343,"000000"),2)/3600))</f>
        <v>271.30416666666667</v>
      </c>
      <c r="N2343" s="250">
        <v>-195035</v>
      </c>
      <c r="O2343" s="251">
        <f>IF($N2343&gt;0,(LEFT(TEXT($N2343,"000000"),2)+(MID(TEXT($N2343,"000000"),3,2)/60)+(RIGHT(TEXT($N2343,"000000"),2)/3600)),-(MID(TEXT($N2343,"000000"),2,2)+(MID(TEXT($N2343,"000000"),4,2)/60)+(RIGHT(TEXT($N2343,"000000"),2)/3600)))</f>
        <v>-19.843055555555555</v>
      </c>
      <c r="P2343" s="252" t="s">
        <v>119</v>
      </c>
      <c r="Q2343" s="253" t="s">
        <v>7053</v>
      </c>
      <c r="R2343" s="247" t="s">
        <v>3293</v>
      </c>
      <c r="S2343" s="272" t="s">
        <v>3293</v>
      </c>
      <c r="T2343" s="273">
        <v>13.6</v>
      </c>
      <c r="U2343" s="274"/>
      <c r="V2343" s="280"/>
      <c r="W2343" s="244"/>
      <c r="X2343" s="244"/>
      <c r="Y2343" s="362"/>
      <c r="Z2343" s="257">
        <f>altaz(J2000_Bas,$O2343,$M2343,DecLat,DecLong,1)</f>
        <v>37.233240707619544</v>
      </c>
      <c r="AA2343" s="257">
        <f>altaz((J2000_Bas+(2*0.04167)),$O2343,$M2343,DecLat,DecLong,1)</f>
        <v>23.418848116740648</v>
      </c>
      <c r="AB2343" s="257">
        <f>altaz((J2000_Bas+(4*0.04167)),$O2343,$M2343,DecLat,DecLong,1)</f>
        <v>2.0431308362306368</v>
      </c>
      <c r="AC2343" s="257">
        <f>altaz((J2000_Bas+(6*0.04167)),$O2343,$M2343,DecLat,DecLong,1)</f>
        <v>-22.510626421452095</v>
      </c>
      <c r="AD2343" s="258">
        <f>1+ transit((J2000_Bas-1),$O2343,$M2343,DecLat,DecLong)/360 + (GMTOffset/24) + (IF(DST="Y", 1, 0)/24)</f>
        <v>1.7465225704526246</v>
      </c>
      <c r="AE2343" s="259">
        <f>DATE(2001,9,21)+(M2343/360)*365 - (360*((DecLong/360)- (GMTOffset/24) ))</f>
        <v>37435.072280092594</v>
      </c>
      <c r="AF2343" s="260">
        <f>IF(DecLat&gt;0,IF((90 - (DecLat-O2343))&gt;90, (90 - (O2343-DecLat)), (90 - (DecLat-O2343))),IF((90 + (DecLat-O2343))&gt;90, (90 + (O2343-DecLat)), (90 + (DecLat-O2343))))</f>
        <v>39.156944444444449</v>
      </c>
      <c r="AG2343" s="257">
        <f>angularseperation(MoonRA,MoonDec,$M2343,$O2343)</f>
        <v>21.455559915950527</v>
      </c>
      <c r="AH2343" s="261">
        <f ca="1">MIN(100,IF($O$5&gt;80,0+30*($AG2343/100),IF($O$5&gt;70,0+50*($AG2343/100),IF($O$5&gt;60,5+50*($AG2343/100),IF($O$5&gt;50,10+60*($AG2343/100),IF($O$5&gt;40,15+70*($AG2343/100),IF($O$5&gt;30,20+70*($AG2343/100),IF($O$5&gt;20,40+55*($AG2343/100),(80+(20-$O$5)+30*($AG2343/100))))))))))</f>
        <v>89.70772831893558</v>
      </c>
      <c r="AI2343" s="262">
        <v>6537</v>
      </c>
      <c r="AJ2343" s="262"/>
      <c r="AK2343" s="262"/>
      <c r="AL2343" s="263"/>
      <c r="AM2343" s="264"/>
      <c r="AN2343" s="263"/>
      <c r="AO2343" s="263"/>
      <c r="AP2343" s="265"/>
      <c r="AQ2343" s="266"/>
      <c r="AR2343" s="267"/>
      <c r="AS2343" s="263"/>
      <c r="AT2343" s="263"/>
      <c r="AU2343" s="263"/>
      <c r="AV2343" s="264"/>
      <c r="AW2343" s="263"/>
      <c r="AX2343" s="263"/>
      <c r="AY2343" s="263"/>
      <c r="AZ2343" s="263"/>
      <c r="BA2343" s="263"/>
      <c r="BB2343" s="263"/>
      <c r="BC2343" s="263"/>
      <c r="BD2343" s="264"/>
      <c r="BE2343" s="263"/>
      <c r="BF2343" s="263"/>
      <c r="BG2343" s="263"/>
      <c r="BH2343" s="263"/>
      <c r="BI2343" s="263"/>
      <c r="BJ2343" s="404">
        <f>altaz(J2000_Bas,$O2343,$M2343,DecLat,DecLong,2)</f>
        <v>197.44350826375853</v>
      </c>
      <c r="BK2343" s="378" t="s">
        <v>2220</v>
      </c>
      <c r="BL2343" s="379">
        <f>IF((2*G2343)/60&lt;0.2,0.2,(2*G2343)/60)</f>
        <v>0.2</v>
      </c>
      <c r="BM2343" s="380">
        <f>MOD((50000+AD2343-$B$3+(0/24)),1)</f>
        <v>0.96188950015493901</v>
      </c>
      <c r="BN2343" s="381"/>
      <c r="BO2343" s="382">
        <v>2334</v>
      </c>
    </row>
    <row r="2344" spans="1:67" s="24" customFormat="1" ht="15" customHeight="1" x14ac:dyDescent="0.25">
      <c r="A2344" s="287" t="s">
        <v>3022</v>
      </c>
      <c r="B2344" s="241" t="str">
        <f>HYPERLINK(CONCATENATE($AT$3,BK2344,$AU$3),$AV$3)</f>
        <v>S</v>
      </c>
      <c r="C2344" s="242" t="str">
        <f>HYPERLINK(CONCATENATE($AT$4,BK2344,$AU$4,BL2344),$AV$4)</f>
        <v>A</v>
      </c>
      <c r="D2344" s="243" t="s">
        <v>5335</v>
      </c>
      <c r="E2344" s="244" t="s">
        <v>5184</v>
      </c>
      <c r="F2344" s="269" t="s">
        <v>3316</v>
      </c>
      <c r="G2344" s="273">
        <v>2</v>
      </c>
      <c r="H2344" s="283">
        <v>17000</v>
      </c>
      <c r="I2344" s="244">
        <v>10</v>
      </c>
      <c r="J2344" s="246">
        <v>2</v>
      </c>
      <c r="K2344" s="247" t="s">
        <v>7963</v>
      </c>
      <c r="L2344" s="248">
        <v>180618</v>
      </c>
      <c r="M2344" s="249">
        <f>15*(LEFT(TEXT($L2344,"000000"),2)+(MID(TEXT($L2344,"000000"),3,2)/60)+(RIGHT(TEXT($L2344,"000000"),2)/3600))</f>
        <v>271.57499999999999</v>
      </c>
      <c r="N2344" s="250">
        <v>-274900</v>
      </c>
      <c r="O2344" s="251">
        <f>IF($N2344&gt;0,(LEFT(TEXT($N2344,"000000"),2)+(MID(TEXT($N2344,"000000"),3,2)/60)+(RIGHT(TEXT($N2344,"000000"),2)/3600)),-(MID(TEXT($N2344,"000000"),2,2)+(MID(TEXT($N2344,"000000"),4,2)/60)+(RIGHT(TEXT($N2344,"000000"),2)/3600)))</f>
        <v>-27.816666666666666</v>
      </c>
      <c r="P2344" s="252" t="s">
        <v>119</v>
      </c>
      <c r="Q2344" s="253"/>
      <c r="R2344" s="277" t="s">
        <v>3293</v>
      </c>
      <c r="S2344" s="272" t="s">
        <v>3293</v>
      </c>
      <c r="T2344" s="273">
        <v>9.3000000000000007</v>
      </c>
      <c r="U2344" s="274"/>
      <c r="V2344" s="280"/>
      <c r="W2344" s="244"/>
      <c r="X2344" s="244"/>
      <c r="Y2344" s="362"/>
      <c r="Z2344" s="257">
        <f>altaz(J2000_Bas,$O2344,$M2344,DecLat,DecLong,1)</f>
        <v>29.595232844224185</v>
      </c>
      <c r="AA2344" s="257">
        <f>altaz((J2000_Bas+(2*0.04167)),$O2344,$M2344,DecLat,DecLong,1)</f>
        <v>17.474145872521305</v>
      </c>
      <c r="AB2344" s="257">
        <f>altaz((J2000_Bas+(4*0.04167)),$O2344,$M2344,DecLat,DecLong,1)</f>
        <v>-2.2336531153389685</v>
      </c>
      <c r="AC2344" s="257">
        <f>altaz((J2000_Bas+(6*0.04167)),$O2344,$M2344,DecLat,DecLong,1)</f>
        <v>-25.624915406059852</v>
      </c>
      <c r="AD2344" s="258">
        <f>1+ transit((J2000_Bas-1),$O2344,$M2344,DecLat,DecLong)/360 + (GMTOffset/24) + (IF(DST="Y", 1, 0)/24)</f>
        <v>1.747274885192208</v>
      </c>
      <c r="AE2344" s="259">
        <f>DATE(2001,9,21)+(M2344/360)*365 - (360*((DecLong/360)- (GMTOffset/24) ))</f>
        <v>37435.346875000003</v>
      </c>
      <c r="AF2344" s="260">
        <f>IF(DecLat&gt;0,IF((90 - (DecLat-O2344))&gt;90, (90 - (O2344-DecLat)), (90 - (DecLat-O2344))),IF((90 + (DecLat-O2344))&gt;90, (90 + (O2344-DecLat)), (90 + (DecLat-O2344))))</f>
        <v>31.183333333333337</v>
      </c>
      <c r="AG2344" s="257">
        <f>angularseperation(MoonRA,MoonDec,$M2344,$O2344)</f>
        <v>19.804949566231869</v>
      </c>
      <c r="AH2344" s="261">
        <f ca="1">MIN(100,IF($O$5&gt;80,0+30*($AG2344/100),IF($O$5&gt;70,0+50*($AG2344/100),IF($O$5&gt;60,5+50*($AG2344/100),IF($O$5&gt;50,10+60*($AG2344/100),IF($O$5&gt;40,15+70*($AG2344/100),IF($O$5&gt;30,20+70*($AG2344/100),IF($O$5&gt;20,40+55*($AG2344/100),(80+(20-$O$5)+30*($AG2344/100))))))))))</f>
        <v>89.212545214019983</v>
      </c>
      <c r="AI2344" s="262">
        <v>6540</v>
      </c>
      <c r="AJ2344" s="263"/>
      <c r="AK2344" s="263">
        <v>341</v>
      </c>
      <c r="AL2344" s="263"/>
      <c r="AM2344" s="264"/>
      <c r="AN2344" s="263"/>
      <c r="AO2344" s="263"/>
      <c r="AP2344" s="265"/>
      <c r="AQ2344" s="265"/>
      <c r="AR2344" s="285"/>
      <c r="AS2344" s="263"/>
      <c r="AT2344" s="263"/>
      <c r="AU2344" s="263"/>
      <c r="AV2344" s="264"/>
      <c r="AW2344" s="263"/>
      <c r="AX2344" s="263"/>
      <c r="AY2344" s="263"/>
      <c r="AZ2344" s="263"/>
      <c r="BA2344" s="263"/>
      <c r="BB2344" s="263"/>
      <c r="BC2344" s="263"/>
      <c r="BD2344" s="264"/>
      <c r="BE2344" s="263"/>
      <c r="BF2344" s="263"/>
      <c r="BG2344" s="263"/>
      <c r="BH2344" s="263"/>
      <c r="BI2344" s="263"/>
      <c r="BJ2344" s="404">
        <f>altaz(J2000_Bas,$O2344,$M2344,DecLat,DecLong,2)</f>
        <v>194.68051521031612</v>
      </c>
      <c r="BK2344" s="378" t="s">
        <v>3022</v>
      </c>
      <c r="BL2344" s="379">
        <f>IF((2*G2344)/60&lt;0.2,0.2,(2*G2344)/60)</f>
        <v>0.2</v>
      </c>
      <c r="BM2344" s="380">
        <f>MOD((50000+AD2344-$B$3+(0/24)),1)</f>
        <v>0.96264181489823386</v>
      </c>
      <c r="BN2344" s="381"/>
      <c r="BO2344" s="382">
        <v>2335</v>
      </c>
    </row>
    <row r="2345" spans="1:67" s="24" customFormat="1" ht="15" customHeight="1" x14ac:dyDescent="0.25">
      <c r="A2345" s="288" t="s">
        <v>2221</v>
      </c>
      <c r="B2345" s="241" t="str">
        <f>HYPERLINK(CONCATENATE($AT$3,BK2345,$AU$3),$AV$3)</f>
        <v>S</v>
      </c>
      <c r="C2345" s="242" t="str">
        <f>HYPERLINK(CONCATENATE($AT$4,BK2345,$AU$4,BL2345),$AV$4)</f>
        <v>A</v>
      </c>
      <c r="D2345" s="243" t="s">
        <v>5335</v>
      </c>
      <c r="E2345" s="244" t="s">
        <v>5184</v>
      </c>
      <c r="F2345" s="269" t="s">
        <v>3301</v>
      </c>
      <c r="G2345" s="276">
        <v>12</v>
      </c>
      <c r="H2345" s="283">
        <v>20000</v>
      </c>
      <c r="I2345" s="246">
        <v>70</v>
      </c>
      <c r="J2345" s="246">
        <v>2</v>
      </c>
      <c r="K2345" s="247" t="s">
        <v>7964</v>
      </c>
      <c r="L2345" s="248">
        <v>180802</v>
      </c>
      <c r="M2345" s="249">
        <f>15*(LEFT(TEXT($L2345,"000000"),2)+(MID(TEXT($L2345,"000000"),3,2)/60)+(RIGHT(TEXT($L2345,"000000"),2)/3600))</f>
        <v>272.00833333333333</v>
      </c>
      <c r="N2345" s="250">
        <v>-434257</v>
      </c>
      <c r="O2345" s="251">
        <f>IF($N2345&gt;0,(LEFT(TEXT($N2345,"000000"),2)+(MID(TEXT($N2345,"000000"),3,2)/60)+(RIGHT(TEXT($N2345,"000000"),2)/3600)),-(MID(TEXT($N2345,"000000"),2,2)+(MID(TEXT($N2345,"000000"),4,2)/60)+(RIGHT(TEXT($N2345,"000000"),2)/3600)))</f>
        <v>-43.715833333333336</v>
      </c>
      <c r="P2345" s="252" t="s">
        <v>45</v>
      </c>
      <c r="Q2345" s="253"/>
      <c r="R2345" s="247" t="s">
        <v>7390</v>
      </c>
      <c r="S2345" s="272" t="s">
        <v>3293</v>
      </c>
      <c r="T2345" s="273">
        <v>6.3</v>
      </c>
      <c r="U2345" s="274"/>
      <c r="V2345" s="280"/>
      <c r="W2345" s="244"/>
      <c r="X2345" s="244"/>
      <c r="Y2345" s="362"/>
      <c r="Z2345" s="257">
        <f>altaz(J2000_Bas,$O2345,$M2345,DecLat,DecLong,1)</f>
        <v>14.194742354315686</v>
      </c>
      <c r="AA2345" s="257">
        <f>altaz((J2000_Bas+(2*0.04167)),$O2345,$M2345,DecLat,DecLong,1)</f>
        <v>5.1137679123027118</v>
      </c>
      <c r="AB2345" s="257">
        <f>altaz((J2000_Bas+(4*0.04167)),$O2345,$M2345,DecLat,DecLong,1)</f>
        <v>-10.769834709237031</v>
      </c>
      <c r="AC2345" s="257">
        <f>altaz((J2000_Bas+(6*0.04167)),$O2345,$M2345,DecLat,DecLong,1)</f>
        <v>-30.558226608911529</v>
      </c>
      <c r="AD2345" s="258">
        <f>1+ transit((J2000_Bas-1),$O2345,$M2345,DecLat,DecLong)/360 + (GMTOffset/24) + (IF(DST="Y", 1, 0)/24)</f>
        <v>1.7484785887755414</v>
      </c>
      <c r="AE2345" s="259">
        <f>DATE(2001,9,21)+(M2345/360)*365 - (360*((DecLong/360)- (GMTOffset/24) ))</f>
        <v>37435.786226851851</v>
      </c>
      <c r="AF2345" s="260">
        <f>IF(DecLat&gt;0,IF((90 - (DecLat-O2345))&gt;90, (90 - (O2345-DecLat)), (90 - (DecLat-O2345))),IF((90 + (DecLat-O2345))&gt;90, (90 + (O2345-DecLat)), (90 + (DecLat-O2345))))</f>
        <v>15.284166666666664</v>
      </c>
      <c r="AG2345" s="257">
        <f>angularseperation(MoonRA,MoonDec,$M2345,$O2345)</f>
        <v>24.765771497686135</v>
      </c>
      <c r="AH2345" s="261">
        <f ca="1">MIN(100,IF($O$5&gt;80,0+30*($AG2345/100),IF($O$5&gt;70,0+50*($AG2345/100),IF($O$5&gt;60,5+50*($AG2345/100),IF($O$5&gt;50,10+60*($AG2345/100),IF($O$5&gt;40,15+70*($AG2345/100),IF($O$5&gt;30,20+70*($AG2345/100),IF($O$5&gt;20,40+55*($AG2345/100),(80+(20-$O$5)+30*($AG2345/100))))))))))</f>
        <v>90.700791793456261</v>
      </c>
      <c r="AI2345" s="262">
        <v>6541</v>
      </c>
      <c r="AJ2345" s="262"/>
      <c r="AK2345" s="262"/>
      <c r="AL2345" s="263"/>
      <c r="AM2345" s="264">
        <v>78</v>
      </c>
      <c r="AN2345" s="263"/>
      <c r="AO2345" s="263"/>
      <c r="AP2345" s="265"/>
      <c r="AQ2345" s="266"/>
      <c r="AR2345" s="267"/>
      <c r="AS2345" s="263"/>
      <c r="AT2345" s="263"/>
      <c r="AU2345" s="263"/>
      <c r="AV2345" s="264"/>
      <c r="AW2345" s="263"/>
      <c r="AX2345" s="263"/>
      <c r="AY2345" s="263"/>
      <c r="AZ2345" s="263"/>
      <c r="BA2345" s="263"/>
      <c r="BB2345" s="263"/>
      <c r="BC2345" s="263"/>
      <c r="BD2345" s="264"/>
      <c r="BE2345" s="263"/>
      <c r="BF2345" s="263"/>
      <c r="BG2345" s="263"/>
      <c r="BH2345" s="263"/>
      <c r="BI2345" s="263"/>
      <c r="BJ2345" s="404">
        <f>altaz(J2000_Bas,$O2345,$M2345,DecLat,DecLong,2)</f>
        <v>190.38666278005084</v>
      </c>
      <c r="BK2345" s="378" t="s">
        <v>2221</v>
      </c>
      <c r="BL2345" s="379">
        <f>IF((2*G2345)/60&lt;0.2,0.2,(2*G2345)/60)</f>
        <v>0.4</v>
      </c>
      <c r="BM2345" s="380">
        <f>MOD((50000+AD2345-$B$3+(0/24)),1)</f>
        <v>0.96384551848314004</v>
      </c>
      <c r="BN2345" s="381"/>
      <c r="BO2345" s="382">
        <v>2336</v>
      </c>
    </row>
    <row r="2346" spans="1:67" s="24" customFormat="1" ht="15" customHeight="1" x14ac:dyDescent="0.25">
      <c r="A2346" s="288" t="s">
        <v>2222</v>
      </c>
      <c r="B2346" s="241" t="str">
        <f>HYPERLINK(CONCATENATE($AT$3,BK2346,$AU$3),$AV$3)</f>
        <v>S</v>
      </c>
      <c r="C2346" s="242" t="str">
        <f>HYPERLINK(CONCATENATE($AT$4,BK2346,$AU$4,BL2346),$AV$4)</f>
        <v>A</v>
      </c>
      <c r="D2346" s="243" t="s">
        <v>5187</v>
      </c>
      <c r="E2346" s="244" t="s">
        <v>5181</v>
      </c>
      <c r="F2346" s="269" t="s">
        <v>4795</v>
      </c>
      <c r="G2346" s="273">
        <v>5</v>
      </c>
      <c r="H2346" s="283">
        <v>3300</v>
      </c>
      <c r="I2346" s="279">
        <v>5</v>
      </c>
      <c r="J2346" s="246">
        <v>5</v>
      </c>
      <c r="K2346" s="247" t="s">
        <v>7965</v>
      </c>
      <c r="L2346" s="248">
        <v>175833</v>
      </c>
      <c r="M2346" s="249">
        <f>15*(LEFT(TEXT($L2346,"000000"),2)+(MID(TEXT($L2346,"000000"),3,2)/60)+(RIGHT(TEXT($L2346,"000000"),2)/3600))</f>
        <v>269.63749999999993</v>
      </c>
      <c r="N2346" s="250">
        <v>663759</v>
      </c>
      <c r="O2346" s="251">
        <f>IF($N2346&gt;0,(LEFT(TEXT($N2346,"000000"),2)+(MID(TEXT($N2346,"000000"),3,2)/60)+(RIGHT(TEXT($N2346,"000000"),2)/3600)),-(MID(TEXT($N2346,"000000"),2,2)+(MID(TEXT($N2346,"000000"),4,2)/60)+(RIGHT(TEXT($N2346,"000000"),2)/3600)))</f>
        <v>66.633055555555543</v>
      </c>
      <c r="P2346" s="252" t="s">
        <v>34</v>
      </c>
      <c r="Q2346" s="253" t="s">
        <v>6953</v>
      </c>
      <c r="R2346" s="247" t="s">
        <v>7330</v>
      </c>
      <c r="S2346" s="272" t="s">
        <v>3293</v>
      </c>
      <c r="T2346" s="273">
        <v>8.1</v>
      </c>
      <c r="U2346" s="274"/>
      <c r="V2346" s="280"/>
      <c r="W2346" s="244"/>
      <c r="X2346" s="244"/>
      <c r="Y2346" s="362"/>
      <c r="Z2346" s="257">
        <f>altaz(J2000_Bas,$O2346,$M2346,DecLat,DecLong,1)</f>
        <v>53.033875471917824</v>
      </c>
      <c r="AA2346" s="257">
        <f>altaz((J2000_Bas+(2*0.04167)),$O2346,$M2346,DecLat,DecLong,1)</f>
        <v>44.993920980543635</v>
      </c>
      <c r="AB2346" s="257">
        <f>altaz((J2000_Bas+(4*0.04167)),$O2346,$M2346,DecLat,DecLong,1)</f>
        <v>33.501794607715276</v>
      </c>
      <c r="AC2346" s="257">
        <f>altaz((J2000_Bas+(6*0.04167)),$O2346,$M2346,DecLat,DecLong,1)</f>
        <v>22.059229097901238</v>
      </c>
      <c r="AD2346" s="258">
        <f>1+ transit((J2000_Bas-1),$O2346,$M2346,DecLat,DecLong)/360 + (GMTOffset/24) + (IF(DST="Y", 1, 0)/24)</f>
        <v>1.7418929412859578</v>
      </c>
      <c r="AE2346" s="259">
        <f>DATE(2001,9,21)+(M2346/360)*365 - (360*((DecLong/360)- (GMTOffset/24) ))</f>
        <v>37433.382465277777</v>
      </c>
      <c r="AF2346" s="260">
        <f>IF(DecLat&gt;0,IF((90 - (DecLat-O2346))&gt;90, (90 - (O2346-DecLat)), (90 - (DecLat-O2346))),IF((90 + (DecLat-O2346))&gt;90, (90 + (O2346-DecLat)), (90 + (DecLat-O2346))))</f>
        <v>54.366944444444457</v>
      </c>
      <c r="AG2346" s="257">
        <f>angularseperation(MoonRA,MoonDec,$M2346,$O2346)</f>
        <v>94.989247798866501</v>
      </c>
      <c r="AH2346" s="261">
        <f ca="1">MIN(100,IF($O$5&gt;80,0+30*($AG2346/100),IF($O$5&gt;70,0+50*($AG2346/100),IF($O$5&gt;60,5+50*($AG2346/100),IF($O$5&gt;50,10+60*($AG2346/100),IF($O$5&gt;40,15+70*($AG2346/100),IF($O$5&gt;30,20+70*($AG2346/100),IF($O$5&gt;20,40+55*($AG2346/100),(80+(20-$O$5)+30*($AG2346/100))))))))))</f>
        <v>100</v>
      </c>
      <c r="AI2346" s="262">
        <v>6543</v>
      </c>
      <c r="AJ2346" s="262"/>
      <c r="AK2346" s="262">
        <v>342</v>
      </c>
      <c r="AL2346" s="263"/>
      <c r="AM2346" s="264">
        <v>6</v>
      </c>
      <c r="AN2346" s="263"/>
      <c r="AO2346" s="263"/>
      <c r="AP2346" s="265"/>
      <c r="AQ2346" s="266"/>
      <c r="AR2346" s="267"/>
      <c r="AS2346" s="263"/>
      <c r="AT2346" s="263">
        <v>25</v>
      </c>
      <c r="AU2346" s="263"/>
      <c r="AV2346" s="264"/>
      <c r="AW2346" s="263"/>
      <c r="AX2346" s="263"/>
      <c r="AY2346" s="263"/>
      <c r="AZ2346" s="263"/>
      <c r="BA2346" s="263"/>
      <c r="BB2346" s="263"/>
      <c r="BC2346" s="263"/>
      <c r="BD2346" s="264"/>
      <c r="BE2346" s="263"/>
      <c r="BF2346" s="263"/>
      <c r="BG2346" s="263"/>
      <c r="BH2346" s="263"/>
      <c r="BI2346" s="263"/>
      <c r="BJ2346" s="404">
        <f>altaz(J2000_Bas,$O2346,$M2346,DecLat,DecLong,2)</f>
        <v>349.29021300015813</v>
      </c>
      <c r="BK2346" s="378" t="s">
        <v>2222</v>
      </c>
      <c r="BL2346" s="379">
        <f>IF((2*G2346)/60&lt;0.2,0.2,(2*G2346)/60)</f>
        <v>0.2</v>
      </c>
      <c r="BM2346" s="380">
        <f>MOD((50000+AD2346-$B$3+(0/24)),1)</f>
        <v>0.95725987099285703</v>
      </c>
      <c r="BN2346" s="381"/>
      <c r="BO2346" s="382">
        <v>2337</v>
      </c>
    </row>
    <row r="2347" spans="1:67" s="24" customFormat="1" ht="15" customHeight="1" x14ac:dyDescent="0.25">
      <c r="A2347" s="288" t="s">
        <v>2223</v>
      </c>
      <c r="B2347" s="241" t="str">
        <f>HYPERLINK(CONCATENATE($AT$3,BK2347,$AU$3),$AV$3)</f>
        <v>S</v>
      </c>
      <c r="C2347" s="242" t="str">
        <f>HYPERLINK(CONCATENATE($AT$4,BK2347,$AU$4,BL2347),$AV$4)</f>
        <v>A</v>
      </c>
      <c r="D2347" s="243" t="s">
        <v>5335</v>
      </c>
      <c r="E2347" s="244" t="s">
        <v>5184</v>
      </c>
      <c r="F2347" s="269" t="s">
        <v>3316</v>
      </c>
      <c r="G2347" s="273">
        <v>5</v>
      </c>
      <c r="H2347" s="283">
        <v>9500</v>
      </c>
      <c r="I2347" s="246">
        <v>14</v>
      </c>
      <c r="J2347" s="246">
        <v>2</v>
      </c>
      <c r="K2347" s="247" t="s">
        <v>7966</v>
      </c>
      <c r="L2347" s="248">
        <v>180720</v>
      </c>
      <c r="M2347" s="249">
        <f>15*(LEFT(TEXT($L2347,"000000"),2)+(MID(TEXT($L2347,"000000"),3,2)/60)+(RIGHT(TEXT($L2347,"000000"),2)/3600))</f>
        <v>271.83333333333337</v>
      </c>
      <c r="N2347" s="250">
        <v>-245953</v>
      </c>
      <c r="O2347" s="251">
        <f>IF($N2347&gt;0,(LEFT(TEXT($N2347,"000000"),2)+(MID(TEXT($N2347,"000000"),3,2)/60)+(RIGHT(TEXT($N2347,"000000"),2)/3600)),-(MID(TEXT($N2347,"000000"),2,2)+(MID(TEXT($N2347,"000000"),4,2)/60)+(RIGHT(TEXT($N2347,"000000"),2)/3600)))</f>
        <v>-24.998055555555556</v>
      </c>
      <c r="P2347" s="252" t="s">
        <v>119</v>
      </c>
      <c r="Q2347" s="253"/>
      <c r="R2347" s="247" t="s">
        <v>3293</v>
      </c>
      <c r="S2347" s="272" t="s">
        <v>3293</v>
      </c>
      <c r="T2347" s="273">
        <v>7.5</v>
      </c>
      <c r="U2347" s="274"/>
      <c r="V2347" s="280"/>
      <c r="W2347" s="244"/>
      <c r="X2347" s="244"/>
      <c r="Y2347" s="362"/>
      <c r="Z2347" s="257">
        <f>altaz(J2000_Bas,$O2347,$M2347,DecLat,DecLong,1)</f>
        <v>32.383666717837293</v>
      </c>
      <c r="AA2347" s="257">
        <f>altaz((J2000_Bas+(2*0.04167)),$O2347,$M2347,DecLat,DecLong,1)</f>
        <v>19.803068396261459</v>
      </c>
      <c r="AB2347" s="257">
        <f>altaz((J2000_Bas+(4*0.04167)),$O2347,$M2347,DecLat,DecLong,1)</f>
        <v>-0.45426923588115103</v>
      </c>
      <c r="AC2347" s="257">
        <f>altaz((J2000_Bas+(6*0.04167)),$O2347,$M2347,DecLat,DecLong,1)</f>
        <v>-24.277055693551958</v>
      </c>
      <c r="AD2347" s="258">
        <f>1+ transit((J2000_Bas-1),$O2347,$M2347,DecLat,DecLong)/360 + (GMTOffset/24) + (IF(DST="Y", 1, 0)/24)</f>
        <v>1.7479924777130416</v>
      </c>
      <c r="AE2347" s="259">
        <f>DATE(2001,9,21)+(M2347/360)*365 - (360*((DecLong/360)- (GMTOffset/24) ))</f>
        <v>37435.608796296299</v>
      </c>
      <c r="AF2347" s="260">
        <f>IF(DecLat&gt;0,IF((90 - (DecLat-O2347))&gt;90, (90 - (O2347-DecLat)), (90 - (DecLat-O2347))),IF((90 + (DecLat-O2347))&gt;90, (90 + (O2347-DecLat)), (90 + (DecLat-O2347))))</f>
        <v>34.001944444444447</v>
      </c>
      <c r="AG2347" s="257">
        <f>angularseperation(MoonRA,MoonDec,$M2347,$O2347)</f>
        <v>20.377398446574535</v>
      </c>
      <c r="AH2347" s="261">
        <f ca="1">MIN(100,IF($O$5&gt;80,0+30*($AG2347/100),IF($O$5&gt;70,0+50*($AG2347/100),IF($O$5&gt;60,5+50*($AG2347/100),IF($O$5&gt;50,10+60*($AG2347/100),IF($O$5&gt;40,15+70*($AG2347/100),IF($O$5&gt;30,20+70*($AG2347/100),IF($O$5&gt;20,40+55*($AG2347/100),(80+(20-$O$5)+30*($AG2347/100))))))))))</f>
        <v>89.384279878122783</v>
      </c>
      <c r="AI2347" s="262">
        <v>6544</v>
      </c>
      <c r="AJ2347" s="262"/>
      <c r="AK2347" s="262">
        <v>343</v>
      </c>
      <c r="AL2347" s="263"/>
      <c r="AM2347" s="264"/>
      <c r="AN2347" s="263"/>
      <c r="AO2347" s="263"/>
      <c r="AP2347" s="265"/>
      <c r="AQ2347" s="266"/>
      <c r="AR2347" s="267"/>
      <c r="AS2347" s="263"/>
      <c r="AT2347" s="263"/>
      <c r="AU2347" s="263"/>
      <c r="AV2347" s="264"/>
      <c r="AW2347" s="263"/>
      <c r="AX2347" s="263"/>
      <c r="AY2347" s="263"/>
      <c r="AZ2347" s="263"/>
      <c r="BA2347" s="263"/>
      <c r="BB2347" s="263"/>
      <c r="BC2347" s="263"/>
      <c r="BD2347" s="264"/>
      <c r="BE2347" s="263">
        <v>89</v>
      </c>
      <c r="BF2347" s="263"/>
      <c r="BG2347" s="263"/>
      <c r="BH2347" s="263"/>
      <c r="BI2347" s="263"/>
      <c r="BJ2347" s="404">
        <f>altaz(J2000_Bas,$O2347,$M2347,DecLat,DecLong,2)</f>
        <v>195.23114219275465</v>
      </c>
      <c r="BK2347" s="378" t="s">
        <v>2223</v>
      </c>
      <c r="BL2347" s="379">
        <f>IF((2*G2347)/60&lt;0.2,0.2,(2*G2347)/60)</f>
        <v>0.2</v>
      </c>
      <c r="BM2347" s="380">
        <f>MOD((50000+AD2347-$B$3+(0/24)),1)</f>
        <v>0.96335940741846571</v>
      </c>
      <c r="BN2347" s="381"/>
      <c r="BO2347" s="382">
        <v>2338</v>
      </c>
    </row>
    <row r="2348" spans="1:67" s="24" customFormat="1" ht="15" customHeight="1" x14ac:dyDescent="0.25">
      <c r="A2348" s="288" t="s">
        <v>2224</v>
      </c>
      <c r="B2348" s="241" t="str">
        <f>HYPERLINK(CONCATENATE($AT$3,BK2348,$AU$3),$AV$3)</f>
        <v>S</v>
      </c>
      <c r="C2348" s="242" t="str">
        <f>HYPERLINK(CONCATENATE($AT$4,BK2348,$AU$4,BL2348),$AV$4)</f>
        <v>A</v>
      </c>
      <c r="D2348" s="243" t="s">
        <v>5638</v>
      </c>
      <c r="E2348" s="244" t="s">
        <v>5182</v>
      </c>
      <c r="F2348" s="269" t="s">
        <v>8969</v>
      </c>
      <c r="G2348" s="273">
        <v>3</v>
      </c>
      <c r="H2348" s="283">
        <v>100</v>
      </c>
      <c r="I2348" s="246">
        <v>90</v>
      </c>
      <c r="J2348" s="246">
        <v>2</v>
      </c>
      <c r="K2348" s="247" t="s">
        <v>7968</v>
      </c>
      <c r="L2348" s="248">
        <v>180559</v>
      </c>
      <c r="M2348" s="249">
        <f>15*(LEFT(TEXT($L2348,"000000"),2)+(MID(TEXT($L2348,"000000"),3,2)/60)+(RIGHT(TEXT($L2348,"000000"),2)/3600))</f>
        <v>271.49583333333334</v>
      </c>
      <c r="N2348" s="250">
        <v>183513</v>
      </c>
      <c r="O2348" s="251">
        <f>IF($N2348&gt;0,(LEFT(TEXT($N2348,"000000"),2)+(MID(TEXT($N2348,"000000"),3,2)/60)+(RIGHT(TEXT($N2348,"000000"),2)/3600)),-(MID(TEXT($N2348,"000000"),2,2)+(MID(TEXT($N2348,"000000"),4,2)/60)+(RIGHT(TEXT($N2348,"000000"),2)/3600)))</f>
        <v>18.586944444444445</v>
      </c>
      <c r="P2348" s="252" t="s">
        <v>111</v>
      </c>
      <c r="Q2348" s="253"/>
      <c r="R2348" s="247" t="s">
        <v>3293</v>
      </c>
      <c r="S2348" s="272" t="s">
        <v>7967</v>
      </c>
      <c r="T2348" s="273">
        <v>11.7</v>
      </c>
      <c r="U2348" s="289">
        <v>22.79</v>
      </c>
      <c r="V2348" s="280">
        <v>15</v>
      </c>
      <c r="W2348" s="244"/>
      <c r="X2348" s="244"/>
      <c r="Y2348" s="362"/>
      <c r="Z2348" s="257">
        <f>altaz(J2000_Bas,$O2348,$M2348,DecLat,DecLong,1)</f>
        <v>71.937798599423061</v>
      </c>
      <c r="AA2348" s="257">
        <f>altaz((J2000_Bas+(2*0.04167)),$O2348,$M2348,DecLat,DecLong,1)</f>
        <v>47.965580063353954</v>
      </c>
      <c r="AB2348" s="257">
        <f>altaz((J2000_Bas+(4*0.04167)),$O2348,$M2348,DecLat,DecLong,1)</f>
        <v>22.264367084076333</v>
      </c>
      <c r="AC2348" s="257">
        <f>altaz((J2000_Bas+(6*0.04167)),$O2348,$M2348,DecLat,DecLong,1)</f>
        <v>-2.4548140838797963</v>
      </c>
      <c r="AD2348" s="258">
        <f>1+ transit((J2000_Bas-1),$O2348,$M2348,DecLat,DecLong)/360 + (GMTOffset/24) + (IF(DST="Y", 1, 0)/24)</f>
        <v>1.7470549778067914</v>
      </c>
      <c r="AE2348" s="259">
        <f>DATE(2001,9,21)+(M2348/360)*365 - (360*((DecLong/360)- (GMTOffset/24) ))</f>
        <v>37435.266608796293</v>
      </c>
      <c r="AF2348" s="260">
        <f>IF(DecLat&gt;0,IF((90 - (DecLat-O2348))&gt;90, (90 - (O2348-DecLat)), (90 - (DecLat-O2348))),IF((90 + (DecLat-O2348))&gt;90, (90 + (O2348-DecLat)), (90 + (DecLat-O2348))))</f>
        <v>77.586944444444441</v>
      </c>
      <c r="AG2348" s="257">
        <f>angularseperation(MoonRA,MoonDec,$M2348,$O2348)</f>
        <v>50.511841979633139</v>
      </c>
      <c r="AH2348" s="261">
        <f ca="1">MIN(100,IF($O$5&gt;80,0+30*($AG2348/100),IF($O$5&gt;70,0+50*($AG2348/100),IF($O$5&gt;60,5+50*($AG2348/100),IF($O$5&gt;50,10+60*($AG2348/100),IF($O$5&gt;40,15+70*($AG2348/100),IF($O$5&gt;30,20+70*($AG2348/100),IF($O$5&gt;20,40+55*($AG2348/100),(80+(20-$O$5)+30*($AG2348/100))))))))))</f>
        <v>98.424612938040369</v>
      </c>
      <c r="AI2348" s="262">
        <v>6548</v>
      </c>
      <c r="AJ2348" s="262"/>
      <c r="AK2348" s="262"/>
      <c r="AL2348" s="263"/>
      <c r="AM2348" s="264"/>
      <c r="AN2348" s="263"/>
      <c r="AO2348" s="263"/>
      <c r="AP2348" s="265"/>
      <c r="AQ2348" s="266">
        <v>11115</v>
      </c>
      <c r="AR2348" s="267">
        <v>61404</v>
      </c>
      <c r="AS2348" s="263"/>
      <c r="AT2348" s="263"/>
      <c r="AU2348" s="263"/>
      <c r="AV2348" s="264"/>
      <c r="AW2348" s="263"/>
      <c r="AX2348" s="263"/>
      <c r="AY2348" s="263"/>
      <c r="AZ2348" s="263"/>
      <c r="BA2348" s="263"/>
      <c r="BB2348" s="263"/>
      <c r="BC2348" s="263"/>
      <c r="BD2348" s="264"/>
      <c r="BE2348" s="263"/>
      <c r="BF2348" s="263"/>
      <c r="BG2348" s="263"/>
      <c r="BH2348" s="263"/>
      <c r="BI2348" s="263"/>
      <c r="BJ2348" s="404">
        <f>altaz(J2000_Bas,$O2348,$M2348,DecLat,DecLong,2)</f>
        <v>229.97634914882039</v>
      </c>
      <c r="BK2348" s="378" t="s">
        <v>2224</v>
      </c>
      <c r="BL2348" s="379">
        <f>IF((2*G2348)/60&lt;0.2,0.2,(2*G2348)/60)</f>
        <v>0.2</v>
      </c>
      <c r="BM2348" s="380">
        <f>MOD((50000+AD2348-$B$3+(0/24)),1)</f>
        <v>0.96242190751218004</v>
      </c>
      <c r="BN2348" s="381" t="s">
        <v>9116</v>
      </c>
      <c r="BO2348" s="382">
        <v>2339</v>
      </c>
    </row>
    <row r="2349" spans="1:67" s="24" customFormat="1" ht="15" customHeight="1" x14ac:dyDescent="0.25">
      <c r="A2349" s="287" t="s">
        <v>2225</v>
      </c>
      <c r="B2349" s="241" t="str">
        <f>HYPERLINK(CONCATENATE($AT$3,BK2349,$AU$3),$AV$3)</f>
        <v>S</v>
      </c>
      <c r="C2349" s="242" t="str">
        <f>HYPERLINK(CONCATENATE($AT$4,BK2349,$AU$4,BL2349),$AV$4)</f>
        <v>A</v>
      </c>
      <c r="D2349" s="243" t="s">
        <v>5335</v>
      </c>
      <c r="E2349" s="244" t="s">
        <v>5184</v>
      </c>
      <c r="F2349" s="269" t="s">
        <v>3315</v>
      </c>
      <c r="G2349" s="273">
        <v>8</v>
      </c>
      <c r="H2349" s="283">
        <v>20000</v>
      </c>
      <c r="I2349" s="246">
        <v>46</v>
      </c>
      <c r="J2349" s="246">
        <v>2</v>
      </c>
      <c r="K2349" s="247" t="s">
        <v>7971</v>
      </c>
      <c r="L2349" s="248">
        <v>180917</v>
      </c>
      <c r="M2349" s="249">
        <f>15*(LEFT(TEXT($L2349,"000000"),2)+(MID(TEXT($L2349,"000000"),3,2)/60)+(RIGHT(TEXT($L2349,"000000"),2)/3600))</f>
        <v>272.32083333333333</v>
      </c>
      <c r="N2349" s="250">
        <v>-255430</v>
      </c>
      <c r="O2349" s="251">
        <f>IF($N2349&gt;0,(LEFT(TEXT($N2349,"000000"),2)+(MID(TEXT($N2349,"000000"),3,2)/60)+(RIGHT(TEXT($N2349,"000000"),2)/3600)),-(MID(TEXT($N2349,"000000"),2,2)+(MID(TEXT($N2349,"000000"),4,2)/60)+(RIGHT(TEXT($N2349,"000000"),2)/3600)))</f>
        <v>-25.908333333333331</v>
      </c>
      <c r="P2349" s="252" t="s">
        <v>119</v>
      </c>
      <c r="Q2349" s="253"/>
      <c r="R2349" s="277" t="s">
        <v>3293</v>
      </c>
      <c r="S2349" s="272" t="s">
        <v>3293</v>
      </c>
      <c r="T2349" s="273">
        <v>8.3000000000000007</v>
      </c>
      <c r="U2349" s="274"/>
      <c r="V2349" s="280"/>
      <c r="W2349" s="244"/>
      <c r="X2349" s="244"/>
      <c r="Y2349" s="362"/>
      <c r="Z2349" s="257">
        <f>altaz(J2000_Bas,$O2349,$M2349,DecLat,DecLong,1)</f>
        <v>31.607809166818033</v>
      </c>
      <c r="AA2349" s="257">
        <f>altaz((J2000_Bas+(2*0.04167)),$O2349,$M2349,DecLat,DecLong,1)</f>
        <v>19.375996172511382</v>
      </c>
      <c r="AB2349" s="257">
        <f>altaz((J2000_Bas+(4*0.04167)),$O2349,$M2349,DecLat,DecLong,1)</f>
        <v>-0.60663800859947992</v>
      </c>
      <c r="AC2349" s="257">
        <f>altaz((J2000_Bas+(6*0.04167)),$O2349,$M2349,DecLat,DecLong,1)</f>
        <v>-24.250044791479098</v>
      </c>
      <c r="AD2349" s="258">
        <f>1+ transit((J2000_Bas-1),$O2349,$M2349,DecLat,DecLong)/360 + (GMTOffset/24) + (IF(DST="Y", 1, 0)/24)</f>
        <v>1.7493466442442915</v>
      </c>
      <c r="AE2349" s="259">
        <f>DATE(2001,9,21)+(M2349/360)*365 - (360*((DecLong/360)- (GMTOffset/24) ))</f>
        <v>37436.103067129632</v>
      </c>
      <c r="AF2349" s="260">
        <f>IF(DecLat&gt;0,IF((90 - (DecLat-O2349))&gt;90, (90 - (O2349-DecLat)), (90 - (DecLat-O2349))),IF((90 + (DecLat-O2349))&gt;90, (90 + (O2349-DecLat)), (90 + (DecLat-O2349))))</f>
        <v>33.091666666666669</v>
      </c>
      <c r="AG2349" s="257">
        <f>angularseperation(MoonRA,MoonDec,$M2349,$O2349)</f>
        <v>20.659501746144024</v>
      </c>
      <c r="AH2349" s="261">
        <f ca="1">MIN(100,IF($O$5&gt;80,0+30*($AG2349/100),IF($O$5&gt;70,0+50*($AG2349/100),IF($O$5&gt;60,5+50*($AG2349/100),IF($O$5&gt;50,10+60*($AG2349/100),IF($O$5&gt;40,15+70*($AG2349/100),IF($O$5&gt;30,20+70*($AG2349/100),IF($O$5&gt;20,40+55*($AG2349/100),(80+(20-$O$5)+30*($AG2349/100))))))))))</f>
        <v>89.468910867993628</v>
      </c>
      <c r="AI2349" s="262">
        <v>6553</v>
      </c>
      <c r="AJ2349" s="263"/>
      <c r="AK2349" s="263">
        <v>344</v>
      </c>
      <c r="AL2349" s="263"/>
      <c r="AM2349" s="264"/>
      <c r="AN2349" s="263"/>
      <c r="AO2349" s="263"/>
      <c r="AP2349" s="265"/>
      <c r="AQ2349" s="265"/>
      <c r="AR2349" s="285"/>
      <c r="AS2349" s="263"/>
      <c r="AT2349" s="263"/>
      <c r="AU2349" s="263"/>
      <c r="AV2349" s="264"/>
      <c r="AW2349" s="263"/>
      <c r="AX2349" s="263"/>
      <c r="AY2349" s="263"/>
      <c r="AZ2349" s="263"/>
      <c r="BA2349" s="263"/>
      <c r="BB2349" s="263"/>
      <c r="BC2349" s="263"/>
      <c r="BD2349" s="264"/>
      <c r="BE2349" s="263"/>
      <c r="BF2349" s="263"/>
      <c r="BG2349" s="263"/>
      <c r="BH2349" s="263"/>
      <c r="BI2349" s="263"/>
      <c r="BJ2349" s="404">
        <f>altaz(J2000_Bas,$O2349,$M2349,DecLat,DecLong,2)</f>
        <v>194.46660151051941</v>
      </c>
      <c r="BK2349" s="378" t="s">
        <v>2225</v>
      </c>
      <c r="BL2349" s="379">
        <f>IF((2*G2349)/60&lt;0.2,0.2,(2*G2349)/60)</f>
        <v>0.26666666666666666</v>
      </c>
      <c r="BM2349" s="380">
        <f>MOD((50000+AD2349-$B$3+(0/24)),1)</f>
        <v>0.96471357395057566</v>
      </c>
      <c r="BN2349" s="381"/>
      <c r="BO2349" s="382">
        <v>2340</v>
      </c>
    </row>
    <row r="2350" spans="1:67" s="24" customFormat="1" ht="15" customHeight="1" x14ac:dyDescent="0.25">
      <c r="A2350" s="288" t="s">
        <v>2226</v>
      </c>
      <c r="B2350" s="241" t="str">
        <f>HYPERLINK(CONCATENATE($AT$3,BK2350,$AU$3),$AV$3)</f>
        <v>S</v>
      </c>
      <c r="C2350" s="242" t="str">
        <f>HYPERLINK(CONCATENATE($AT$4,BK2350,$AU$4,BL2350),$AV$4)</f>
        <v>A</v>
      </c>
      <c r="D2350" s="243" t="s">
        <v>5187</v>
      </c>
      <c r="E2350" s="244" t="s">
        <v>5183</v>
      </c>
      <c r="F2350" s="269" t="s">
        <v>5180</v>
      </c>
      <c r="G2350" s="276">
        <v>10</v>
      </c>
      <c r="H2350" s="283">
        <v>4000</v>
      </c>
      <c r="I2350" s="246">
        <v>12</v>
      </c>
      <c r="J2350" s="246">
        <v>3</v>
      </c>
      <c r="K2350" s="247" t="s">
        <v>7972</v>
      </c>
      <c r="L2350" s="248">
        <v>180957</v>
      </c>
      <c r="M2350" s="249">
        <f>15*(LEFT(TEXT($L2350,"000000"),2)+(MID(TEXT($L2350,"000000"),3,2)/60)+(RIGHT(TEXT($L2350,"000000"),2)/3600))</f>
        <v>272.48749999999995</v>
      </c>
      <c r="N2350" s="250">
        <v>-240623</v>
      </c>
      <c r="O2350" s="251">
        <f>IF($N2350&gt;0,(LEFT(TEXT($N2350,"000000"),2)+(MID(TEXT($N2350,"000000"),3,2)/60)+(RIGHT(TEXT($N2350,"000000"),2)/3600)),-(MID(TEXT($N2350,"000000"),2,2)+(MID(TEXT($N2350,"000000"),4,2)/60)+(RIGHT(TEXT($N2350,"000000"),2)/3600)))</f>
        <v>-24.10638888888889</v>
      </c>
      <c r="P2350" s="252" t="s">
        <v>119</v>
      </c>
      <c r="Q2350" s="253"/>
      <c r="R2350" s="277" t="s">
        <v>3293</v>
      </c>
      <c r="S2350" s="272" t="s">
        <v>3293</v>
      </c>
      <c r="T2350" s="273"/>
      <c r="U2350" s="274"/>
      <c r="V2350" s="280"/>
      <c r="W2350" s="244"/>
      <c r="X2350" s="244"/>
      <c r="Y2350" s="362"/>
      <c r="Z2350" s="257">
        <f>altaz(J2000_Bas,$O2350,$M2350,DecLat,DecLong,1)</f>
        <v>33.393638640567325</v>
      </c>
      <c r="AA2350" s="257">
        <f>altaz((J2000_Bas+(2*0.04167)),$O2350,$M2350,DecLat,DecLong,1)</f>
        <v>20.869835112410541</v>
      </c>
      <c r="AB2350" s="257">
        <f>altaz((J2000_Bas+(4*0.04167)),$O2350,$M2350,DecLat,DecLong,1)</f>
        <v>0.54121777245468616</v>
      </c>
      <c r="AC2350" s="257">
        <f>altaz((J2000_Bas+(6*0.04167)),$O2350,$M2350,DecLat,DecLong,1)</f>
        <v>-23.36426385416134</v>
      </c>
      <c r="AD2350" s="258">
        <f>1+ transit((J2000_Bas-1),$O2350,$M2350,DecLat,DecLong)/360 + (GMTOffset/24) + (IF(DST="Y", 1, 0)/24)</f>
        <v>1.7498096071609577</v>
      </c>
      <c r="AE2350" s="259">
        <f>DATE(2001,9,21)+(M2350/360)*365 - (360*((DecLong/360)- (GMTOffset/24) ))</f>
        <v>37436.272048611114</v>
      </c>
      <c r="AF2350" s="260">
        <f>IF(DecLat&gt;0,IF((90 - (DecLat-O2350))&gt;90, (90 - (O2350-DecLat)), (90 - (DecLat-O2350))),IF((90 + (DecLat-O2350))&gt;90, (90 + (O2350-DecLat)), (90 + (DecLat-O2350))))</f>
        <v>34.893611111111113</v>
      </c>
      <c r="AG2350" s="257">
        <f>angularseperation(MoonRA,MoonDec,$M2350,$O2350)</f>
        <v>21.143995496453972</v>
      </c>
      <c r="AH2350" s="261">
        <f ca="1">MIN(100,IF($O$5&gt;80,0+30*($AG2350/100),IF($O$5&gt;70,0+50*($AG2350/100),IF($O$5&gt;60,5+50*($AG2350/100),IF($O$5&gt;50,10+60*($AG2350/100),IF($O$5&gt;40,15+70*($AG2350/100),IF($O$5&gt;30,20+70*($AG2350/100),IF($O$5&gt;20,40+55*($AG2350/100),(80+(20-$O$5)+30*($AG2350/100))))))))))</f>
        <v>89.614258993086622</v>
      </c>
      <c r="AI2350" s="262">
        <v>6559</v>
      </c>
      <c r="AJ2350" s="263"/>
      <c r="AK2350" s="263"/>
      <c r="AL2350" s="263"/>
      <c r="AM2350" s="264"/>
      <c r="AN2350" s="263"/>
      <c r="AO2350" s="263"/>
      <c r="AP2350" s="265"/>
      <c r="AQ2350" s="265"/>
      <c r="AR2350" s="285"/>
      <c r="AS2350" s="263"/>
      <c r="AT2350" s="263"/>
      <c r="AU2350" s="263"/>
      <c r="AV2350" s="264"/>
      <c r="AW2350" s="263"/>
      <c r="AX2350" s="263"/>
      <c r="AY2350" s="263"/>
      <c r="AZ2350" s="263"/>
      <c r="BA2350" s="263"/>
      <c r="BB2350" s="263"/>
      <c r="BC2350" s="263"/>
      <c r="BD2350" s="264"/>
      <c r="BE2350" s="263"/>
      <c r="BF2350" s="263"/>
      <c r="BG2350" s="263"/>
      <c r="BH2350" s="263"/>
      <c r="BI2350" s="263"/>
      <c r="BJ2350" s="404">
        <f>altaz(J2000_Bas,$O2350,$M2350,DecLat,DecLong,2)</f>
        <v>194.80331082369986</v>
      </c>
      <c r="BK2350" s="378" t="s">
        <v>2226</v>
      </c>
      <c r="BL2350" s="379">
        <f>IF((2*G2350)/60&lt;0.2,0.2,(2*G2350)/60)</f>
        <v>0.33333333333333331</v>
      </c>
      <c r="BM2350" s="380">
        <f>MOD((50000+AD2350-$B$3+(0/24)),1)</f>
        <v>0.96517653686169069</v>
      </c>
      <c r="BN2350" s="381"/>
      <c r="BO2350" s="382">
        <v>2341</v>
      </c>
    </row>
    <row r="2351" spans="1:67" s="24" customFormat="1" ht="15" customHeight="1" x14ac:dyDescent="0.25">
      <c r="A2351" s="288" t="s">
        <v>2227</v>
      </c>
      <c r="B2351" s="241" t="str">
        <f>HYPERLINK(CONCATENATE($AT$3,BK2351,$AU$3),$AV$3)</f>
        <v>S</v>
      </c>
      <c r="C2351" s="242" t="str">
        <f>HYPERLINK(CONCATENATE($AT$4,BK2351,$AU$4,BL2351),$AV$4)</f>
        <v>A</v>
      </c>
      <c r="D2351" s="243" t="s">
        <v>5187</v>
      </c>
      <c r="E2351" s="244" t="s">
        <v>5181</v>
      </c>
      <c r="F2351" s="269" t="s">
        <v>5751</v>
      </c>
      <c r="G2351" s="273">
        <v>1</v>
      </c>
      <c r="H2351" s="283">
        <v>6000</v>
      </c>
      <c r="I2351" s="279">
        <v>1.9</v>
      </c>
      <c r="J2351" s="246">
        <v>3</v>
      </c>
      <c r="K2351" s="247" t="s">
        <v>7973</v>
      </c>
      <c r="L2351" s="248">
        <v>181203</v>
      </c>
      <c r="M2351" s="249">
        <f>15*(LEFT(TEXT($L2351,"000000"),2)+(MID(TEXT($L2351,"000000"),3,2)/60)+(RIGHT(TEXT($L2351,"000000"),2)/3600))</f>
        <v>273.01249999999999</v>
      </c>
      <c r="N2351" s="250">
        <v>-335207</v>
      </c>
      <c r="O2351" s="251">
        <f>IF($N2351&gt;0,(LEFT(TEXT($N2351,"000000"),2)+(MID(TEXT($N2351,"000000"),3,2)/60)+(RIGHT(TEXT($N2351,"000000"),2)/3600)),-(MID(TEXT($N2351,"000000"),2,2)+(MID(TEXT($N2351,"000000"),4,2)/60)+(RIGHT(TEXT($N2351,"000000"),2)/3600)))</f>
        <v>-33.868611111111115</v>
      </c>
      <c r="P2351" s="252" t="s">
        <v>119</v>
      </c>
      <c r="Q2351" s="253" t="s">
        <v>7074</v>
      </c>
      <c r="R2351" s="247" t="s">
        <v>3293</v>
      </c>
      <c r="S2351" s="272" t="s">
        <v>3293</v>
      </c>
      <c r="T2351" s="273">
        <v>11</v>
      </c>
      <c r="U2351" s="274"/>
      <c r="V2351" s="280"/>
      <c r="W2351" s="244"/>
      <c r="X2351" s="244"/>
      <c r="Y2351" s="362"/>
      <c r="Z2351" s="257">
        <f>altaz(J2000_Bas,$O2351,$M2351,DecLat,DecLong,1)</f>
        <v>23.984009917603856</v>
      </c>
      <c r="AA2351" s="257">
        <f>altaz((J2000_Bas+(2*0.04167)),$O2351,$M2351,DecLat,DecLong,1)</f>
        <v>13.465579546653652</v>
      </c>
      <c r="AB2351" s="257">
        <f>altaz((J2000_Bas+(4*0.04167)),$O2351,$M2351,DecLat,DecLong,1)</f>
        <v>-4.6363170450648701</v>
      </c>
      <c r="AC2351" s="257">
        <f>altaz((J2000_Bas+(6*0.04167)),$O2351,$M2351,DecLat,DecLong,1)</f>
        <v>-26.748626700846948</v>
      </c>
      <c r="AD2351" s="258">
        <f>1+ transit((J2000_Bas-1),$O2351,$M2351,DecLat,DecLong)/360 + (GMTOffset/24) + (IF(DST="Y", 1, 0)/24)</f>
        <v>1.7512679403484579</v>
      </c>
      <c r="AE2351" s="259">
        <f>DATE(2001,9,21)+(M2351/360)*365 - (360*((DecLong/360)- (GMTOffset/24) ))</f>
        <v>37436.804340277777</v>
      </c>
      <c r="AF2351" s="260">
        <f>IF(DecLat&gt;0,IF((90 - (DecLat-O2351))&gt;90, (90 - (O2351-DecLat)), (90 - (DecLat-O2351))),IF((90 + (DecLat-O2351))&gt;90, (90 + (O2351-DecLat)), (90 + (DecLat-O2351))))</f>
        <v>25.131388888888893</v>
      </c>
      <c r="AG2351" s="257">
        <f>angularseperation(MoonRA,MoonDec,$M2351,$O2351)</f>
        <v>21.520992132891099</v>
      </c>
      <c r="AH2351" s="261">
        <f ca="1">MIN(100,IF($O$5&gt;80,0+30*($AG2351/100),IF($O$5&gt;70,0+50*($AG2351/100),IF($O$5&gt;60,5+50*($AG2351/100),IF($O$5&gt;50,10+60*($AG2351/100),IF($O$5&gt;40,15+70*($AG2351/100),IF($O$5&gt;30,20+70*($AG2351/100),IF($O$5&gt;20,40+55*($AG2351/100),(80+(20-$O$5)+30*($AG2351/100))))))))))</f>
        <v>89.727357984017758</v>
      </c>
      <c r="AI2351" s="262">
        <v>6563</v>
      </c>
      <c r="AJ2351" s="262"/>
      <c r="AK2351" s="262"/>
      <c r="AL2351" s="263"/>
      <c r="AM2351" s="264"/>
      <c r="AN2351" s="263"/>
      <c r="AO2351" s="263"/>
      <c r="AP2351" s="265"/>
      <c r="AQ2351" s="266"/>
      <c r="AR2351" s="267"/>
      <c r="AS2351" s="263"/>
      <c r="AT2351" s="263"/>
      <c r="AU2351" s="263"/>
      <c r="AV2351" s="264"/>
      <c r="AW2351" s="263"/>
      <c r="AX2351" s="263"/>
      <c r="AY2351" s="263"/>
      <c r="AZ2351" s="263"/>
      <c r="BA2351" s="263"/>
      <c r="BB2351" s="263"/>
      <c r="BC2351" s="263"/>
      <c r="BD2351" s="264"/>
      <c r="BE2351" s="263"/>
      <c r="BF2351" s="263">
        <v>80</v>
      </c>
      <c r="BG2351" s="263"/>
      <c r="BH2351" s="263"/>
      <c r="BI2351" s="263"/>
      <c r="BJ2351" s="404">
        <f>altaz(J2000_Bas,$O2351,$M2351,DecLat,DecLong,2)</f>
        <v>191.78730197084093</v>
      </c>
      <c r="BK2351" s="378" t="s">
        <v>2227</v>
      </c>
      <c r="BL2351" s="379">
        <f>IF((2*G2351)/60&lt;0.2,0.2,(2*G2351)/60)</f>
        <v>0.2</v>
      </c>
      <c r="BM2351" s="380">
        <f>MOD((50000+AD2351-$B$3+(0/24)),1)</f>
        <v>0.96663487005571369</v>
      </c>
      <c r="BN2351" s="381" t="s">
        <v>8665</v>
      </c>
      <c r="BO2351" s="382">
        <v>2342</v>
      </c>
    </row>
    <row r="2352" spans="1:67" s="24" customFormat="1" ht="15" customHeight="1" x14ac:dyDescent="0.25">
      <c r="A2352" s="287" t="s">
        <v>2228</v>
      </c>
      <c r="B2352" s="241" t="str">
        <f>HYPERLINK(CONCATENATE($AT$3,BK2352,$AU$3),$AV$3)</f>
        <v>S</v>
      </c>
      <c r="C2352" s="242" t="str">
        <f>HYPERLINK(CONCATENATE($AT$4,BK2352,$AU$4,BL2352),$AV$4)</f>
        <v>A</v>
      </c>
      <c r="D2352" s="243" t="s">
        <v>5187</v>
      </c>
      <c r="E2352" s="244" t="s">
        <v>5181</v>
      </c>
      <c r="F2352" s="269" t="s">
        <v>5226</v>
      </c>
      <c r="G2352" s="270">
        <v>0.2</v>
      </c>
      <c r="H2352" s="283">
        <v>15500</v>
      </c>
      <c r="I2352" s="279">
        <v>1</v>
      </c>
      <c r="J2352" s="246">
        <v>2</v>
      </c>
      <c r="K2352" s="247" t="s">
        <v>7974</v>
      </c>
      <c r="L2352" s="248">
        <v>181153</v>
      </c>
      <c r="M2352" s="249">
        <f>15*(LEFT(TEXT($L2352,"000000"),2)+(MID(TEXT($L2352,"000000"),3,2)/60)+(RIGHT(TEXT($L2352,"000000"),2)/3600))</f>
        <v>272.9708333333333</v>
      </c>
      <c r="N2352" s="250">
        <v>-281041</v>
      </c>
      <c r="O2352" s="251">
        <f>IF($N2352&gt;0,(LEFT(TEXT($N2352,"000000"),2)+(MID(TEXT($N2352,"000000"),3,2)/60)+(RIGHT(TEXT($N2352,"000000"),2)/3600)),-(MID(TEXT($N2352,"000000"),2,2)+(MID(TEXT($N2352,"000000"),4,2)/60)+(RIGHT(TEXT($N2352,"000000"),2)/3600)))</f>
        <v>-28.178055555555556</v>
      </c>
      <c r="P2352" s="252" t="s">
        <v>119</v>
      </c>
      <c r="Q2352" s="253"/>
      <c r="R2352" s="277" t="s">
        <v>3293</v>
      </c>
      <c r="S2352" s="272" t="s">
        <v>3293</v>
      </c>
      <c r="T2352" s="273">
        <v>12.2</v>
      </c>
      <c r="U2352" s="274"/>
      <c r="V2352" s="280"/>
      <c r="W2352" s="244"/>
      <c r="X2352" s="244"/>
      <c r="Y2352" s="362"/>
      <c r="Z2352" s="257">
        <f>altaz(J2000_Bas,$O2352,$M2352,DecLat,DecLong,1)</f>
        <v>29.532154393694107</v>
      </c>
      <c r="AA2352" s="257">
        <f>altaz((J2000_Bas+(2*0.04167)),$O2352,$M2352,DecLat,DecLong,1)</f>
        <v>17.959262054759328</v>
      </c>
      <c r="AB2352" s="257">
        <f>altaz((J2000_Bas+(4*0.04167)),$O2352,$M2352,DecLat,DecLong,1)</f>
        <v>-1.4229364577477033</v>
      </c>
      <c r="AC2352" s="257">
        <f>altaz((J2000_Bas+(6*0.04167)),$O2352,$M2352,DecLat,DecLong,1)</f>
        <v>-24.635344602502762</v>
      </c>
      <c r="AD2352" s="258">
        <f>1+ transit((J2000_Bas-1),$O2352,$M2352,DecLat,DecLong)/360 + (GMTOffset/24) + (IF(DST="Y", 1, 0)/24)</f>
        <v>1.7511521996192914</v>
      </c>
      <c r="AE2352" s="259">
        <f>DATE(2001,9,21)+(M2352/360)*365 - (360*((DecLong/360)- (GMTOffset/24) ))</f>
        <v>37436.762094907404</v>
      </c>
      <c r="AF2352" s="260">
        <f>IF(DecLat&gt;0,IF((90 - (DecLat-O2352))&gt;90, (90 - (O2352-DecLat)), (90 - (DecLat-O2352))),IF((90 + (DecLat-O2352))&gt;90, (90 + (O2352-DecLat)), (90 + (DecLat-O2352))))</f>
        <v>30.821944444444441</v>
      </c>
      <c r="AG2352" s="257">
        <f>angularseperation(MoonRA,MoonDec,$M2352,$O2352)</f>
        <v>21.017853804722563</v>
      </c>
      <c r="AH2352" s="261">
        <f ca="1">MIN(100,IF($O$5&gt;80,0+30*($AG2352/100),IF($O$5&gt;70,0+50*($AG2352/100),IF($O$5&gt;60,5+50*($AG2352/100),IF($O$5&gt;50,10+60*($AG2352/100),IF($O$5&gt;40,15+70*($AG2352/100),IF($O$5&gt;30,20+70*($AG2352/100),IF($O$5&gt;20,40+55*($AG2352/100),(80+(20-$O$5)+30*($AG2352/100))))))))))</f>
        <v>89.576416485567194</v>
      </c>
      <c r="AI2352" s="262">
        <v>6565</v>
      </c>
      <c r="AJ2352" s="263"/>
      <c r="AK2352" s="263"/>
      <c r="AL2352" s="263"/>
      <c r="AM2352" s="264"/>
      <c r="AN2352" s="263"/>
      <c r="AO2352" s="263"/>
      <c r="AP2352" s="265"/>
      <c r="AQ2352" s="265"/>
      <c r="AR2352" s="285"/>
      <c r="AS2352" s="263"/>
      <c r="AT2352" s="263"/>
      <c r="AU2352" s="263"/>
      <c r="AV2352" s="264"/>
      <c r="AW2352" s="263"/>
      <c r="AX2352" s="263"/>
      <c r="AY2352" s="263"/>
      <c r="AZ2352" s="263"/>
      <c r="BA2352" s="263"/>
      <c r="BB2352" s="263"/>
      <c r="BC2352" s="263"/>
      <c r="BD2352" s="264"/>
      <c r="BE2352" s="263"/>
      <c r="BF2352" s="263"/>
      <c r="BG2352" s="263"/>
      <c r="BH2352" s="263"/>
      <c r="BI2352" s="263"/>
      <c r="BJ2352" s="404">
        <f>altaz(J2000_Bas,$O2352,$M2352,DecLat,DecLong,2)</f>
        <v>193.20568617902231</v>
      </c>
      <c r="BK2352" s="378" t="s">
        <v>2228</v>
      </c>
      <c r="BL2352" s="379">
        <f>IF((2*G2352)/60&lt;0.2,0.2,(2*G2352)/60)</f>
        <v>0.2</v>
      </c>
      <c r="BM2352" s="380">
        <f>MOD((50000+AD2352-$B$3+(0/24)),1)</f>
        <v>0.96651912932429696</v>
      </c>
      <c r="BN2352" s="381" t="s">
        <v>8665</v>
      </c>
      <c r="BO2352" s="382">
        <v>2343</v>
      </c>
    </row>
    <row r="2353" spans="1:67" s="24" customFormat="1" ht="15" customHeight="1" x14ac:dyDescent="0.25">
      <c r="A2353" s="287" t="s">
        <v>3023</v>
      </c>
      <c r="B2353" s="241" t="str">
        <f>HYPERLINK(CONCATENATE($AT$3,BK2353,$AU$3),$AV$3)</f>
        <v>S</v>
      </c>
      <c r="C2353" s="242" t="str">
        <f>HYPERLINK(CONCATENATE($AT$4,BK2353,$AU$4,BL2353),$AV$4)</f>
        <v>A</v>
      </c>
      <c r="D2353" s="243" t="s">
        <v>5335</v>
      </c>
      <c r="E2353" s="244" t="s">
        <v>5185</v>
      </c>
      <c r="F2353" s="269" t="s">
        <v>7975</v>
      </c>
      <c r="G2353" s="276">
        <v>16</v>
      </c>
      <c r="H2353" s="283">
        <v>3500</v>
      </c>
      <c r="I2353" s="246">
        <v>18</v>
      </c>
      <c r="J2353" s="246">
        <v>1</v>
      </c>
      <c r="K2353" s="247" t="s">
        <v>7976</v>
      </c>
      <c r="L2353" s="248">
        <v>181248</v>
      </c>
      <c r="M2353" s="249">
        <f>15*(LEFT(TEXT($L2353,"000000"),2)+(MID(TEXT($L2353,"000000"),3,2)/60)+(RIGHT(TEXT($L2353,"000000"),2)/3600))</f>
        <v>273.2</v>
      </c>
      <c r="N2353" s="250">
        <v>-213600</v>
      </c>
      <c r="O2353" s="251">
        <f>IF($N2353&gt;0,(LEFT(TEXT($N2353,"000000"),2)+(MID(TEXT($N2353,"000000"),3,2)/60)+(RIGHT(TEXT($N2353,"000000"),2)/3600)),-(MID(TEXT($N2353,"000000"),2,2)+(MID(TEXT($N2353,"000000"),4,2)/60)+(RIGHT(TEXT($N2353,"000000"),2)/3600)))</f>
        <v>-21.6</v>
      </c>
      <c r="P2353" s="252" t="s">
        <v>119</v>
      </c>
      <c r="Q2353" s="253"/>
      <c r="R2353" s="277" t="s">
        <v>3293</v>
      </c>
      <c r="S2353" s="272" t="s">
        <v>3293</v>
      </c>
      <c r="T2353" s="273">
        <v>8.6</v>
      </c>
      <c r="U2353" s="274"/>
      <c r="V2353" s="280"/>
      <c r="W2353" s="244"/>
      <c r="X2353" s="244"/>
      <c r="Y2353" s="362"/>
      <c r="Z2353" s="257">
        <f>altaz(J2000_Bas,$O2353,$M2353,DecLat,DecLong,1)</f>
        <v>35.984220611794782</v>
      </c>
      <c r="AA2353" s="257">
        <f>altaz((J2000_Bas+(2*0.04167)),$O2353,$M2353,DecLat,DecLong,1)</f>
        <v>23.224876823933016</v>
      </c>
      <c r="AB2353" s="257">
        <f>altaz((J2000_Bas+(4*0.04167)),$O2353,$M2353,DecLat,DecLong,1)</f>
        <v>2.5098254599349845</v>
      </c>
      <c r="AC2353" s="257">
        <f>altaz((J2000_Bas+(6*0.04167)),$O2353,$M2353,DecLat,DecLong,1)</f>
        <v>-21.693460366303189</v>
      </c>
      <c r="AD2353" s="258">
        <f>1+ transit((J2000_Bas-1),$O2353,$M2353,DecLat,DecLong)/360 + (GMTOffset/24) + (IF(DST="Y", 1, 0)/24)</f>
        <v>1.751788773629708</v>
      </c>
      <c r="AE2353" s="259">
        <f>DATE(2001,9,21)+(M2353/360)*365 - (360*((DecLong/360)- (GMTOffset/24) ))</f>
        <v>37436.994444444441</v>
      </c>
      <c r="AF2353" s="260">
        <f>IF(DecLat&gt;0,IF((90 - (DecLat-O2353))&gt;90, (90 - (O2353-DecLat)), (90 - (DecLat-O2353))),IF((90 + (DecLat-O2353))&gt;90, (90 + (O2353-DecLat)), (90 + (DecLat-O2353))))</f>
        <v>37.4</v>
      </c>
      <c r="AG2353" s="257">
        <f>angularseperation(MoonRA,MoonDec,$M2353,$O2353)</f>
        <v>22.466912618874819</v>
      </c>
      <c r="AH2353" s="261">
        <f ca="1">MIN(100,IF($O$5&gt;80,0+30*($AG2353/100),IF($O$5&gt;70,0+50*($AG2353/100),IF($O$5&gt;60,5+50*($AG2353/100),IF($O$5&gt;50,10+60*($AG2353/100),IF($O$5&gt;40,15+70*($AG2353/100),IF($O$5&gt;30,20+70*($AG2353/100),IF($O$5&gt;20,40+55*($AG2353/100),(80+(20-$O$5)+30*($AG2353/100))))))))))</f>
        <v>90.011134129812874</v>
      </c>
      <c r="AI2353" s="262">
        <v>6568</v>
      </c>
      <c r="AJ2353" s="263"/>
      <c r="AK2353" s="263">
        <v>345</v>
      </c>
      <c r="AL2353" s="263"/>
      <c r="AM2353" s="264"/>
      <c r="AN2353" s="263"/>
      <c r="AO2353" s="263"/>
      <c r="AP2353" s="265"/>
      <c r="AQ2353" s="265"/>
      <c r="AR2353" s="285"/>
      <c r="AS2353" s="263"/>
      <c r="AT2353" s="263"/>
      <c r="AU2353" s="263"/>
      <c r="AV2353" s="264"/>
      <c r="AW2353" s="263"/>
      <c r="AX2353" s="263"/>
      <c r="AY2353" s="263"/>
      <c r="AZ2353" s="263"/>
      <c r="BA2353" s="263"/>
      <c r="BB2353" s="263"/>
      <c r="BC2353" s="263"/>
      <c r="BD2353" s="264"/>
      <c r="BE2353" s="263"/>
      <c r="BF2353" s="263"/>
      <c r="BG2353" s="263"/>
      <c r="BH2353" s="263"/>
      <c r="BI2353" s="263"/>
      <c r="BJ2353" s="404">
        <f>altaz(J2000_Bas,$O2353,$M2353,DecLat,DecLong,2)</f>
        <v>194.75099902172863</v>
      </c>
      <c r="BK2353" s="378" t="s">
        <v>3023</v>
      </c>
      <c r="BL2353" s="379">
        <f>IF((2*G2353)/60&lt;0.2,0.2,(2*G2353)/60)</f>
        <v>0.53333333333333333</v>
      </c>
      <c r="BM2353" s="380">
        <f>MOD((50000+AD2353-$B$3+(0/24)),1)</f>
        <v>0.96715570333617507</v>
      </c>
      <c r="BN2353" s="381"/>
      <c r="BO2353" s="382">
        <v>2344</v>
      </c>
    </row>
    <row r="2354" spans="1:67" s="24" customFormat="1" ht="15" customHeight="1" x14ac:dyDescent="0.25">
      <c r="A2354" s="287" t="s">
        <v>3024</v>
      </c>
      <c r="B2354" s="241" t="str">
        <f>HYPERLINK(CONCATENATE($AT$3,BK2354,$AU$3),$AV$3)</f>
        <v>S</v>
      </c>
      <c r="C2354" s="242" t="str">
        <f>HYPERLINK(CONCATENATE($AT$4,BK2354,$AU$4,BL2354),$AV$4)</f>
        <v>A</v>
      </c>
      <c r="D2354" s="243" t="s">
        <v>5335</v>
      </c>
      <c r="E2354" s="244" t="s">
        <v>5184</v>
      </c>
      <c r="F2354" s="269" t="s">
        <v>3314</v>
      </c>
      <c r="G2354" s="273">
        <v>6.4</v>
      </c>
      <c r="H2354" s="283">
        <v>35000</v>
      </c>
      <c r="I2354" s="246">
        <v>70</v>
      </c>
      <c r="J2354" s="246">
        <v>2</v>
      </c>
      <c r="K2354" s="247" t="s">
        <v>7977</v>
      </c>
      <c r="L2354" s="248">
        <v>181336</v>
      </c>
      <c r="M2354" s="249">
        <f>15*(LEFT(TEXT($L2354,"000000"),2)+(MID(TEXT($L2354,"000000"),3,2)/60)+(RIGHT(TEXT($L2354,"000000"),2)/3600))</f>
        <v>273.39999999999998</v>
      </c>
      <c r="N2354" s="250">
        <v>-315000</v>
      </c>
      <c r="O2354" s="251">
        <f>IF($N2354&gt;0,(LEFT(TEXT($N2354,"000000"),2)+(MID(TEXT($N2354,"000000"),3,2)/60)+(RIGHT(TEXT($N2354,"000000"),2)/3600)),-(MID(TEXT($N2354,"000000"),2,2)+(MID(TEXT($N2354,"000000"),4,2)/60)+(RIGHT(TEXT($N2354,"000000"),2)/3600)))</f>
        <v>-31.833333333333332</v>
      </c>
      <c r="P2354" s="252" t="s">
        <v>119</v>
      </c>
      <c r="Q2354" s="253"/>
      <c r="R2354" s="277" t="s">
        <v>3293</v>
      </c>
      <c r="S2354" s="272" t="s">
        <v>3293</v>
      </c>
      <c r="T2354" s="273">
        <v>9.5</v>
      </c>
      <c r="U2354" s="274"/>
      <c r="V2354" s="280"/>
      <c r="W2354" s="244"/>
      <c r="X2354" s="244"/>
      <c r="Y2354" s="362"/>
      <c r="Z2354" s="257">
        <f>altaz(J2000_Bas,$O2354,$M2354,DecLat,DecLong,1)</f>
        <v>26.042314500799385</v>
      </c>
      <c r="AA2354" s="257">
        <f>altaz((J2000_Bas+(2*0.04167)),$O2354,$M2354,DecLat,DecLong,1)</f>
        <v>15.286506954631623</v>
      </c>
      <c r="AB2354" s="257">
        <f>altaz((J2000_Bas+(4*0.04167)),$O2354,$M2354,DecLat,DecLong,1)</f>
        <v>-3.2083990882165598</v>
      </c>
      <c r="AC2354" s="257">
        <f>altaz((J2000_Bas+(6*0.04167)),$O2354,$M2354,DecLat,DecLong,1)</f>
        <v>-25.702220285146247</v>
      </c>
      <c r="AD2354" s="258">
        <f>1+ transit((J2000_Bas-1),$O2354,$M2354,DecLat,DecLong)/360 + (GMTOffset/24) + (IF(DST="Y", 1, 0)/24)</f>
        <v>1.7523443291297081</v>
      </c>
      <c r="AE2354" s="259">
        <f>DATE(2001,9,21)+(M2354/360)*365 - (360*((DecLong/360)- (GMTOffset/24) ))</f>
        <v>37437.197222222225</v>
      </c>
      <c r="AF2354" s="260">
        <f>IF(DecLat&gt;0,IF((90 - (DecLat-O2354))&gt;90, (90 - (O2354-DecLat)), (90 - (DecLat-O2354))),IF((90 + (DecLat-O2354))&gt;90, (90 + (O2354-DecLat)), (90 + (DecLat-O2354))))</f>
        <v>27.166666666666671</v>
      </c>
      <c r="AG2354" s="257">
        <f>angularseperation(MoonRA,MoonDec,$M2354,$O2354)</f>
        <v>21.515379287869841</v>
      </c>
      <c r="AH2354" s="261">
        <f ca="1">MIN(100,IF($O$5&gt;80,0+30*($AG2354/100),IF($O$5&gt;70,0+50*($AG2354/100),IF($O$5&gt;60,5+50*($AG2354/100),IF($O$5&gt;50,10+60*($AG2354/100),IF($O$5&gt;40,15+70*($AG2354/100),IF($O$5&gt;30,20+70*($AG2354/100),IF($O$5&gt;20,40+55*($AG2354/100),(80+(20-$O$5)+30*($AG2354/100))))))))))</f>
        <v>89.725674130511379</v>
      </c>
      <c r="AI2354" s="262">
        <v>6569</v>
      </c>
      <c r="AJ2354" s="263"/>
      <c r="AK2354" s="263">
        <v>346</v>
      </c>
      <c r="AL2354" s="263"/>
      <c r="AM2354" s="264"/>
      <c r="AN2354" s="263"/>
      <c r="AO2354" s="263"/>
      <c r="AP2354" s="265"/>
      <c r="AQ2354" s="265"/>
      <c r="AR2354" s="285"/>
      <c r="AS2354" s="263"/>
      <c r="AT2354" s="263"/>
      <c r="AU2354" s="263"/>
      <c r="AV2354" s="264"/>
      <c r="AW2354" s="263"/>
      <c r="AX2354" s="263"/>
      <c r="AY2354" s="263"/>
      <c r="AZ2354" s="263"/>
      <c r="BA2354" s="263"/>
      <c r="BB2354" s="263"/>
      <c r="BC2354" s="263"/>
      <c r="BD2354" s="264"/>
      <c r="BE2354" s="263"/>
      <c r="BF2354" s="263"/>
      <c r="BG2354" s="263"/>
      <c r="BH2354" s="263"/>
      <c r="BI2354" s="263"/>
      <c r="BJ2354" s="404">
        <f>altaz(J2000_Bas,$O2354,$M2354,DecLat,DecLong,2)</f>
        <v>191.90659333045016</v>
      </c>
      <c r="BK2354" s="378" t="s">
        <v>3024</v>
      </c>
      <c r="BL2354" s="379">
        <f>IF((2*G2354)/60&lt;0.2,0.2,(2*G2354)/60)</f>
        <v>0.21333333333333335</v>
      </c>
      <c r="BM2354" s="380">
        <f>MOD((50000+AD2354-$B$3+(0/24)),1)</f>
        <v>0.96771125883242348</v>
      </c>
      <c r="BN2354" s="381"/>
      <c r="BO2354" s="382">
        <v>2345</v>
      </c>
    </row>
    <row r="2355" spans="1:67" s="24" customFormat="1" ht="15" customHeight="1" x14ac:dyDescent="0.25">
      <c r="A2355" s="288" t="s">
        <v>2229</v>
      </c>
      <c r="B2355" s="241" t="str">
        <f>HYPERLINK(CONCATENATE($AT$3,BK2355,$AU$3),$AV$3)</f>
        <v>S</v>
      </c>
      <c r="C2355" s="242" t="str">
        <f>HYPERLINK(CONCATENATE($AT$4,BK2355,$AU$4,BL2355),$AV$4)</f>
        <v>A</v>
      </c>
      <c r="D2355" s="243" t="s">
        <v>5638</v>
      </c>
      <c r="E2355" s="244" t="s">
        <v>3259</v>
      </c>
      <c r="F2355" s="269"/>
      <c r="G2355" s="273">
        <v>1.4</v>
      </c>
      <c r="H2355" s="283">
        <v>110</v>
      </c>
      <c r="I2355" s="246">
        <v>45</v>
      </c>
      <c r="J2355" s="246">
        <v>2</v>
      </c>
      <c r="K2355" s="247" t="s">
        <v>7978</v>
      </c>
      <c r="L2355" s="248">
        <v>181107</v>
      </c>
      <c r="M2355" s="249">
        <f>15*(LEFT(TEXT($L2355,"000000"),2)+(MID(TEXT($L2355,"000000"),3,2)/60)+(RIGHT(TEXT($L2355,"000000"),2)/3600))</f>
        <v>272.77916666666664</v>
      </c>
      <c r="N2355" s="250">
        <v>140534</v>
      </c>
      <c r="O2355" s="251">
        <f>IF($N2355&gt;0,(LEFT(TEXT($N2355,"000000"),2)+(MID(TEXT($N2355,"000000"),3,2)/60)+(RIGHT(TEXT($N2355,"000000"),2)/3600)),-(MID(TEXT($N2355,"000000"),2,2)+(MID(TEXT($N2355,"000000"),4,2)/60)+(RIGHT(TEXT($N2355,"000000"),2)/3600)))</f>
        <v>14.092777777777778</v>
      </c>
      <c r="P2355" s="252" t="s">
        <v>113</v>
      </c>
      <c r="Q2355" s="253"/>
      <c r="R2355" s="247" t="s">
        <v>3293</v>
      </c>
      <c r="S2355" s="272" t="s">
        <v>3293</v>
      </c>
      <c r="T2355" s="273">
        <v>12.7</v>
      </c>
      <c r="U2355" s="289">
        <v>22.19</v>
      </c>
      <c r="V2355" s="280">
        <v>60</v>
      </c>
      <c r="W2355" s="244"/>
      <c r="X2355" s="244"/>
      <c r="Y2355" s="362"/>
      <c r="Z2355" s="257">
        <f>altaz(J2000_Bas,$O2355,$M2355,DecLat,DecLong,1)</f>
        <v>69.185125116058785</v>
      </c>
      <c r="AA2355" s="257">
        <f>altaz((J2000_Bas+(2*0.04167)),$O2355,$M2355,DecLat,DecLong,1)</f>
        <v>46.917925926852114</v>
      </c>
      <c r="AB2355" s="257">
        <f>altaz((J2000_Bas+(4*0.04167)),$O2355,$M2355,DecLat,DecLong,1)</f>
        <v>21.286031872665315</v>
      </c>
      <c r="AC2355" s="257">
        <f>altaz((J2000_Bas+(6*0.04167)),$O2355,$M2355,DecLat,DecLong,1)</f>
        <v>-3.9191039742905684</v>
      </c>
      <c r="AD2355" s="258">
        <f>1+ transit((J2000_Bas-1),$O2355,$M2355,DecLat,DecLong)/360 + (GMTOffset/24) + (IF(DST="Y", 1, 0)/24)</f>
        <v>1.7506197922651248</v>
      </c>
      <c r="AE2355" s="259">
        <f>DATE(2001,9,21)+(M2355/360)*365 - (360*((DecLong/360)- (GMTOffset/24) ))</f>
        <v>37436.567766203705</v>
      </c>
      <c r="AF2355" s="260">
        <f>IF(DecLat&gt;0,IF((90 - (DecLat-O2355))&gt;90, (90 - (O2355-DecLat)), (90 - (DecLat-O2355))),IF((90 + (DecLat-O2355))&gt;90, (90 + (O2355-DecLat)), (90 + (DecLat-O2355))))</f>
        <v>73.092777777777769</v>
      </c>
      <c r="AG2355" s="257">
        <f>angularseperation(MoonRA,MoonDec,$M2355,$O2355)</f>
        <v>47.091108508143705</v>
      </c>
      <c r="AH2355" s="261">
        <f ca="1">MIN(100,IF($O$5&gt;80,0+30*($AG2355/100),IF($O$5&gt;70,0+50*($AG2355/100),IF($O$5&gt;60,5+50*($AG2355/100),IF($O$5&gt;50,10+60*($AG2355/100),IF($O$5&gt;40,15+70*($AG2355/100),IF($O$5&gt;30,20+70*($AG2355/100),IF($O$5&gt;20,40+55*($AG2355/100),(80+(20-$O$5)+30*($AG2355/100))))))))))</f>
        <v>97.398392896593535</v>
      </c>
      <c r="AI2355" s="262">
        <v>6570</v>
      </c>
      <c r="AJ2355" s="262"/>
      <c r="AK2355" s="262"/>
      <c r="AL2355" s="263"/>
      <c r="AM2355" s="264"/>
      <c r="AN2355" s="263"/>
      <c r="AO2355" s="263"/>
      <c r="AP2355" s="265"/>
      <c r="AQ2355" s="266">
        <v>11137</v>
      </c>
      <c r="AR2355" s="267">
        <v>61512</v>
      </c>
      <c r="AS2355" s="263"/>
      <c r="AT2355" s="263"/>
      <c r="AU2355" s="263"/>
      <c r="AV2355" s="264"/>
      <c r="AW2355" s="263"/>
      <c r="AX2355" s="263"/>
      <c r="AY2355" s="263"/>
      <c r="AZ2355" s="263"/>
      <c r="BA2355" s="263"/>
      <c r="BB2355" s="263"/>
      <c r="BC2355" s="263"/>
      <c r="BD2355" s="264"/>
      <c r="BE2355" s="263"/>
      <c r="BF2355" s="263"/>
      <c r="BG2355" s="263"/>
      <c r="BH2355" s="263"/>
      <c r="BI2355" s="263"/>
      <c r="BJ2355" s="404">
        <f>altaz(J2000_Bas,$O2355,$M2355,DecLat,DecLong,2)</f>
        <v>218.6349496066799</v>
      </c>
      <c r="BK2355" s="378" t="s">
        <v>2229</v>
      </c>
      <c r="BL2355" s="379">
        <f>IF((2*G2355)/60&lt;0.2,0.2,(2*G2355)/60)</f>
        <v>0.2</v>
      </c>
      <c r="BM2355" s="380">
        <f>MOD((50000+AD2355-$B$3+(0/24)),1)</f>
        <v>0.96598672196705593</v>
      </c>
      <c r="BN2355" s="381" t="s">
        <v>9221</v>
      </c>
      <c r="BO2355" s="382">
        <v>2346</v>
      </c>
    </row>
    <row r="2356" spans="1:67" s="24" customFormat="1" ht="15" customHeight="1" x14ac:dyDescent="0.25">
      <c r="A2356" s="288" t="s">
        <v>2230</v>
      </c>
      <c r="B2356" s="241" t="str">
        <f>HYPERLINK(CONCATENATE($AT$3,BK2356,$AU$3),$AV$3)</f>
        <v>S</v>
      </c>
      <c r="C2356" s="242" t="str">
        <f>HYPERLINK(CONCATENATE($AT$4,BK2356,$AU$4,BL2356),$AV$4)</f>
        <v>A</v>
      </c>
      <c r="D2356" s="243" t="s">
        <v>5187</v>
      </c>
      <c r="E2356" s="244" t="s">
        <v>5181</v>
      </c>
      <c r="F2356" s="269" t="s">
        <v>6501</v>
      </c>
      <c r="G2356" s="270">
        <v>0.25</v>
      </c>
      <c r="H2356" s="283">
        <v>5000</v>
      </c>
      <c r="I2356" s="309">
        <v>0.4</v>
      </c>
      <c r="J2356" s="246">
        <v>1</v>
      </c>
      <c r="K2356" s="247" t="s">
        <v>7979</v>
      </c>
      <c r="L2356" s="248">
        <v>181206</v>
      </c>
      <c r="M2356" s="249">
        <f>15*(LEFT(TEXT($L2356,"000000"),2)+(MID(TEXT($L2356,"000000"),3,2)/60)+(RIGHT(TEXT($L2356,"000000"),2)/3600))</f>
        <v>273.02499999999998</v>
      </c>
      <c r="N2356" s="250">
        <v>65113</v>
      </c>
      <c r="O2356" s="251">
        <f>IF($N2356&gt;0,(LEFT(TEXT($N2356,"000000"),2)+(MID(TEXT($N2356,"000000"),3,2)/60)+(RIGHT(TEXT($N2356,"000000"),2)/3600)),-(MID(TEXT($N2356,"000000"),2,2)+(MID(TEXT($N2356,"000000"),4,2)/60)+(RIGHT(TEXT($N2356,"000000"),2)/3600)))</f>
        <v>6.8536111111111104</v>
      </c>
      <c r="P2356" s="252" t="s">
        <v>113</v>
      </c>
      <c r="Q2356" s="253" t="s">
        <v>6945</v>
      </c>
      <c r="R2356" s="247" t="s">
        <v>3293</v>
      </c>
      <c r="S2356" s="272" t="s">
        <v>3293</v>
      </c>
      <c r="T2356" s="273">
        <v>8.1</v>
      </c>
      <c r="U2356" s="274"/>
      <c r="V2356" s="280"/>
      <c r="W2356" s="244"/>
      <c r="X2356" s="244"/>
      <c r="Y2356" s="362"/>
      <c r="Z2356" s="257">
        <f>altaz(J2000_Bas,$O2356,$M2356,DecLat,DecLong,1)</f>
        <v>62.969636847985953</v>
      </c>
      <c r="AA2356" s="257">
        <f>altaz((J2000_Bas+(2*0.04167)),$O2356,$M2356,DecLat,DecLong,1)</f>
        <v>43.097645963102892</v>
      </c>
      <c r="AB2356" s="257">
        <f>altaz((J2000_Bas+(4*0.04167)),$O2356,$M2356,DecLat,DecLong,1)</f>
        <v>17.950600951443096</v>
      </c>
      <c r="AC2356" s="257">
        <f>altaz((J2000_Bas+(6*0.04167)),$O2356,$M2356,DecLat,DecLong,1)</f>
        <v>-7.6619001268506839</v>
      </c>
      <c r="AD2356" s="258">
        <f>1+ transit((J2000_Bas-1),$O2356,$M2356,DecLat,DecLong)/360 + (GMTOffset/24) + (IF(DST="Y", 1, 0)/24)</f>
        <v>1.7513026625672079</v>
      </c>
      <c r="AE2356" s="259">
        <f>DATE(2001,9,21)+(M2356/360)*365 - (360*((DecLong/360)- (GMTOffset/24) ))</f>
        <v>37436.817013888889</v>
      </c>
      <c r="AF2356" s="260">
        <f>IF(DecLat&gt;0,IF((90 - (DecLat-O2356))&gt;90, (90 - (O2356-DecLat)), (90 - (DecLat-O2356))),IF((90 + (DecLat-O2356))&gt;90, (90 + (O2356-DecLat)), (90 + (DecLat-O2356))))</f>
        <v>65.853611111111107</v>
      </c>
      <c r="AG2356" s="257">
        <f>angularseperation(MoonRA,MoonDec,$M2356,$O2356)</f>
        <v>41.011609960817026</v>
      </c>
      <c r="AH2356" s="261">
        <f ca="1">MIN(100,IF($O$5&gt;80,0+30*($AG2356/100),IF($O$5&gt;70,0+50*($AG2356/100),IF($O$5&gt;60,5+50*($AG2356/100),IF($O$5&gt;50,10+60*($AG2356/100),IF($O$5&gt;40,15+70*($AG2356/100),IF($O$5&gt;30,20+70*($AG2356/100),IF($O$5&gt;20,40+55*($AG2356/100),(80+(20-$O$5)+30*($AG2356/100))))))))))</f>
        <v>95.574543332395535</v>
      </c>
      <c r="AI2356" s="262">
        <v>6572</v>
      </c>
      <c r="AJ2356" s="262"/>
      <c r="AK2356" s="262"/>
      <c r="AL2356" s="263"/>
      <c r="AM2356" s="264"/>
      <c r="AN2356" s="263"/>
      <c r="AO2356" s="263"/>
      <c r="AP2356" s="265"/>
      <c r="AQ2356" s="266"/>
      <c r="AR2356" s="267"/>
      <c r="AS2356" s="263"/>
      <c r="AT2356" s="263">
        <v>26</v>
      </c>
      <c r="AU2356" s="263"/>
      <c r="AV2356" s="264"/>
      <c r="AW2356" s="263"/>
      <c r="AX2356" s="263"/>
      <c r="AY2356" s="263"/>
      <c r="AZ2356" s="263"/>
      <c r="BA2356" s="263"/>
      <c r="BB2356" s="263"/>
      <c r="BC2356" s="263"/>
      <c r="BD2356" s="264"/>
      <c r="BE2356" s="263">
        <v>90</v>
      </c>
      <c r="BF2356" s="263"/>
      <c r="BG2356" s="263"/>
      <c r="BH2356" s="263"/>
      <c r="BI2356" s="263"/>
      <c r="BJ2356" s="404">
        <f>altaz(J2000_Bas,$O2356,$M2356,DecLat,DecLong,2)</f>
        <v>209.38096395499139</v>
      </c>
      <c r="BK2356" s="378" t="s">
        <v>2230</v>
      </c>
      <c r="BL2356" s="379">
        <f>IF((2*G2356)/60&lt;0.2,0.2,(2*G2356)/60)</f>
        <v>0.2</v>
      </c>
      <c r="BM2356" s="380">
        <f>MOD((50000+AD2356-$B$3+(0/24)),1)</f>
        <v>0.96666959227150073</v>
      </c>
      <c r="BN2356" s="381"/>
      <c r="BO2356" s="382">
        <v>2347</v>
      </c>
    </row>
    <row r="2357" spans="1:67" s="24" customFormat="1" ht="15" customHeight="1" x14ac:dyDescent="0.25">
      <c r="A2357" s="288" t="s">
        <v>7593</v>
      </c>
      <c r="B2357" s="241" t="str">
        <f>HYPERLINK(CONCATENATE($AT$3,BK2357,$AU$3),$AV$3)</f>
        <v>S</v>
      </c>
      <c r="C2357" s="242" t="str">
        <f>HYPERLINK(CONCATENATE($AT$4,BK2357,$AU$4,BL2357),$AV$4)</f>
        <v>A</v>
      </c>
      <c r="D2357" s="243" t="s">
        <v>5638</v>
      </c>
      <c r="E2357" s="244" t="s">
        <v>5625</v>
      </c>
      <c r="F2357" s="269">
        <v>7</v>
      </c>
      <c r="G2357" s="282">
        <v>24</v>
      </c>
      <c r="H2357" s="283">
        <v>250</v>
      </c>
      <c r="I2357" s="284">
        <v>1800</v>
      </c>
      <c r="J2357" s="246">
        <v>1</v>
      </c>
      <c r="K2357" s="247" t="s">
        <v>7980</v>
      </c>
      <c r="L2357" s="248">
        <v>181234</v>
      </c>
      <c r="M2357" s="249">
        <f>15*(LEFT(TEXT($L2357,"000000"),2)+(MID(TEXT($L2357,"000000"),3,2)/60)+(RIGHT(TEXT($L2357,"000000"),2)/3600))</f>
        <v>273.14166666666665</v>
      </c>
      <c r="N2357" s="250">
        <v>212533</v>
      </c>
      <c r="O2357" s="251">
        <f>IF($N2357&gt;0,(LEFT(TEXT($N2357,"000000"),2)+(MID(TEXT($N2357,"000000"),3,2)/60)+(RIGHT(TEXT($N2357,"000000"),2)/3600)),-(MID(TEXT($N2357,"000000"),2,2)+(MID(TEXT($N2357,"000000"),4,2)/60)+(RIGHT(TEXT($N2357,"000000"),2)/3600)))</f>
        <v>21.425833333333333</v>
      </c>
      <c r="P2357" s="252" t="s">
        <v>111</v>
      </c>
      <c r="Q2357" s="253"/>
      <c r="R2357" s="247" t="s">
        <v>3293</v>
      </c>
      <c r="S2357" s="272" t="s">
        <v>3293</v>
      </c>
      <c r="T2357" s="273">
        <v>12.6</v>
      </c>
      <c r="U2357" s="289">
        <v>22.19</v>
      </c>
      <c r="V2357" s="280"/>
      <c r="W2357" s="244"/>
      <c r="X2357" s="244"/>
      <c r="Y2357" s="362"/>
      <c r="Z2357" s="257">
        <f>altaz(J2000_Bas,$O2357,$M2357,DecLat,DecLong,1)</f>
        <v>75.028298274095619</v>
      </c>
      <c r="AA2357" s="257">
        <f>altaz((J2000_Bas+(2*0.04167)),$O2357,$M2357,DecLat,DecLong,1)</f>
        <v>50.554353574180524</v>
      </c>
      <c r="AB2357" s="257">
        <f>altaz((J2000_Bas+(4*0.04167)),$O2357,$M2357,DecLat,DecLong,1)</f>
        <v>24.899849100034736</v>
      </c>
      <c r="AC2357" s="257">
        <f>altaz((J2000_Bas+(6*0.04167)),$O2357,$M2357,DecLat,DecLong,1)</f>
        <v>0.40634174393587358</v>
      </c>
      <c r="AD2357" s="258">
        <f>1+ transit((J2000_Bas-1),$O2357,$M2357,DecLat,DecLong)/360 + (GMTOffset/24) + (IF(DST="Y", 1, 0)/24)</f>
        <v>1.7516267366088745</v>
      </c>
      <c r="AE2357" s="259">
        <f>DATE(2001,9,21)+(M2357/360)*365 - (360*((DecLong/360)- (GMTOffset/24) ))</f>
        <v>37436.935300925928</v>
      </c>
      <c r="AF2357" s="260">
        <f>IF(DecLat&gt;0,IF((90 - (DecLat-O2357))&gt;90, (90 - (O2357-DecLat)), (90 - (DecLat-O2357))),IF((90 + (DecLat-O2357))&gt;90, (90 + (O2357-DecLat)), (90 + (DecLat-O2357))))</f>
        <v>80.42583333333333</v>
      </c>
      <c r="AG2357" s="257">
        <f>angularseperation(MoonRA,MoonDec,$M2357,$O2357)</f>
        <v>53.741830394841642</v>
      </c>
      <c r="AH2357" s="261">
        <f ca="1">MIN(100,IF($O$5&gt;80,0+30*($AG2357/100),IF($O$5&gt;70,0+50*($AG2357/100),IF($O$5&gt;60,5+50*($AG2357/100),IF($O$5&gt;50,10+60*($AG2357/100),IF($O$5&gt;40,15+70*($AG2357/100),IF($O$5&gt;30,20+70*($AG2357/100),IF($O$5&gt;20,40+55*($AG2357/100),(80+(20-$O$5)+30*($AG2357/100))))))))))</f>
        <v>99.39360946260291</v>
      </c>
      <c r="AI2357" s="262">
        <v>6577</v>
      </c>
      <c r="AJ2357" s="262"/>
      <c r="AK2357" s="262"/>
      <c r="AL2357" s="263"/>
      <c r="AM2357" s="264"/>
      <c r="AN2357" s="263"/>
      <c r="AO2357" s="263"/>
      <c r="AP2357" s="265"/>
      <c r="AQ2357" s="266">
        <v>11148</v>
      </c>
      <c r="AR2357" s="267">
        <v>61543</v>
      </c>
      <c r="AS2357" s="263"/>
      <c r="AT2357" s="263"/>
      <c r="AU2357" s="263"/>
      <c r="AV2357" s="264"/>
      <c r="AW2357" s="263"/>
      <c r="AX2357" s="263"/>
      <c r="AY2357" s="263"/>
      <c r="AZ2357" s="263"/>
      <c r="BA2357" s="263"/>
      <c r="BB2357" s="263"/>
      <c r="BC2357" s="263"/>
      <c r="BD2357" s="264"/>
      <c r="BE2357" s="263"/>
      <c r="BF2357" s="263"/>
      <c r="BG2357" s="263"/>
      <c r="BH2357" s="263"/>
      <c r="BI2357" s="263"/>
      <c r="BJ2357" s="404">
        <f>altaz(J2000_Bas,$O2357,$M2357,DecLat,DecLong,2)</f>
        <v>233.32634501212061</v>
      </c>
      <c r="BK2357" s="378" t="s">
        <v>2231</v>
      </c>
      <c r="BL2357" s="379">
        <f>IF((2*G2357)/60&lt;0.2,0.2,(2*G2357)/60)</f>
        <v>0.8</v>
      </c>
      <c r="BM2357" s="380">
        <f>MOD((50000+AD2357-$B$3+(0/24)),1)</f>
        <v>0.96699366631219164</v>
      </c>
      <c r="BN2357" s="381"/>
      <c r="BO2357" s="382">
        <v>2348</v>
      </c>
    </row>
    <row r="2358" spans="1:67" s="24" customFormat="1" ht="15" customHeight="1" x14ac:dyDescent="0.25">
      <c r="A2358" s="287" t="s">
        <v>3025</v>
      </c>
      <c r="B2358" s="241" t="str">
        <f>HYPERLINK(CONCATENATE($AT$3,BK2358,$AU$3),$AV$3)</f>
        <v>S</v>
      </c>
      <c r="C2358" s="242" t="str">
        <f>HYPERLINK(CONCATENATE($AT$4,BK2358,$AU$4,BL2358),$AV$4)</f>
        <v>A</v>
      </c>
      <c r="D2358" s="243" t="s">
        <v>5335</v>
      </c>
      <c r="E2358" s="244" t="s">
        <v>5185</v>
      </c>
      <c r="F2358" s="269" t="s">
        <v>6726</v>
      </c>
      <c r="G2358" s="273">
        <v>6</v>
      </c>
      <c r="H2358" s="283">
        <v>7700</v>
      </c>
      <c r="I2358" s="246">
        <v>14</v>
      </c>
      <c r="J2358" s="246">
        <v>2</v>
      </c>
      <c r="K2358" s="247" t="s">
        <v>8584</v>
      </c>
      <c r="L2358" s="248">
        <v>181548</v>
      </c>
      <c r="M2358" s="249">
        <f>15*(LEFT(TEXT($L2358,"000000"),2)+(MID(TEXT($L2358,"000000"),3,2)/60)+(RIGHT(TEXT($L2358,"000000"),2)/3600))</f>
        <v>273.95</v>
      </c>
      <c r="N2358" s="250">
        <v>-220800</v>
      </c>
      <c r="O2358" s="251">
        <f>IF($N2358&gt;0,(LEFT(TEXT($N2358,"000000"),2)+(MID(TEXT($N2358,"000000"),3,2)/60)+(RIGHT(TEXT($N2358,"000000"),2)/3600)),-(MID(TEXT($N2358,"000000"),2,2)+(MID(TEXT($N2358,"000000"),4,2)/60)+(RIGHT(TEXT($N2358,"000000"),2)/3600)))</f>
        <v>-22.133333333333333</v>
      </c>
      <c r="P2358" s="252" t="s">
        <v>119</v>
      </c>
      <c r="Q2358" s="253"/>
      <c r="R2358" s="277" t="s">
        <v>3293</v>
      </c>
      <c r="S2358" s="272" t="s">
        <v>3293</v>
      </c>
      <c r="T2358" s="273">
        <v>10</v>
      </c>
      <c r="U2358" s="274"/>
      <c r="V2358" s="280"/>
      <c r="W2358" s="244"/>
      <c r="X2358" s="244"/>
      <c r="Y2358" s="362"/>
      <c r="Z2358" s="257">
        <f>altaz(J2000_Bas,$O2358,$M2358,DecLat,DecLong,1)</f>
        <v>35.62319384078328</v>
      </c>
      <c r="AA2358" s="257">
        <f>altaz((J2000_Bas+(2*0.04167)),$O2358,$M2358,DecLat,DecLong,1)</f>
        <v>23.249612538854706</v>
      </c>
      <c r="AB2358" s="257">
        <f>altaz((J2000_Bas+(4*0.04167)),$O2358,$M2358,DecLat,DecLong,1)</f>
        <v>2.7735588968690248</v>
      </c>
      <c r="AC2358" s="257">
        <f>altaz((J2000_Bas+(6*0.04167)),$O2358,$M2358,DecLat,DecLong,1)</f>
        <v>-21.301693216482139</v>
      </c>
      <c r="AD2358" s="258">
        <f>1+ transit((J2000_Bas-1),$O2358,$M2358,DecLat,DecLong)/360 + (GMTOffset/24) + (IF(DST="Y", 1, 0)/24)</f>
        <v>1.7538721067547078</v>
      </c>
      <c r="AE2358" s="259">
        <f>DATE(2001,9,21)+(M2358/360)*365 - (360*((DecLong/360)- (GMTOffset/24) ))</f>
        <v>37437.754861111112</v>
      </c>
      <c r="AF2358" s="260">
        <f>IF(DecLat&gt;0,IF((90 - (DecLat-O2358))&gt;90, (90 - (O2358-DecLat)), (90 - (DecLat-O2358))),IF((90 + (DecLat-O2358))&gt;90, (90 + (O2358-DecLat)), (90 + (DecLat-O2358))))</f>
        <v>36.866666666666667</v>
      </c>
      <c r="AG2358" s="257">
        <f>angularseperation(MoonRA,MoonDec,$M2358,$O2358)</f>
        <v>22.961889365690588</v>
      </c>
      <c r="AH2358" s="261">
        <f ca="1">MIN(100,IF($O$5&gt;80,0+30*($AG2358/100),IF($O$5&gt;70,0+50*($AG2358/100),IF($O$5&gt;60,5+50*($AG2358/100),IF($O$5&gt;50,10+60*($AG2358/100),IF($O$5&gt;40,15+70*($AG2358/100),IF($O$5&gt;30,20+70*($AG2358/100),IF($O$5&gt;20,40+55*($AG2358/100),(80+(20-$O$5)+30*($AG2358/100))))))))))</f>
        <v>90.159627153857599</v>
      </c>
      <c r="AI2358" s="262">
        <v>6583</v>
      </c>
      <c r="AJ2358" s="263"/>
      <c r="AK2358" s="263">
        <v>347</v>
      </c>
      <c r="AL2358" s="263"/>
      <c r="AM2358" s="264"/>
      <c r="AN2358" s="263"/>
      <c r="AO2358" s="263"/>
      <c r="AP2358" s="265"/>
      <c r="AQ2358" s="265"/>
      <c r="AR2358" s="285"/>
      <c r="AS2358" s="263"/>
      <c r="AT2358" s="263"/>
      <c r="AU2358" s="263"/>
      <c r="AV2358" s="264"/>
      <c r="AW2358" s="263"/>
      <c r="AX2358" s="263"/>
      <c r="AY2358" s="263"/>
      <c r="AZ2358" s="263"/>
      <c r="BA2358" s="263"/>
      <c r="BB2358" s="263"/>
      <c r="BC2358" s="263"/>
      <c r="BD2358" s="264"/>
      <c r="BE2358" s="263"/>
      <c r="BF2358" s="263"/>
      <c r="BG2358" s="263"/>
      <c r="BH2358" s="263"/>
      <c r="BI2358" s="263"/>
      <c r="BJ2358" s="404">
        <f>altaz(J2000_Bas,$O2358,$M2358,DecLat,DecLong,2)</f>
        <v>193.76568885975288</v>
      </c>
      <c r="BK2358" s="378" t="s">
        <v>3025</v>
      </c>
      <c r="BL2358" s="379">
        <f>IF((2*G2358)/60&lt;0.2,0.2,(2*G2358)/60)</f>
        <v>0.2</v>
      </c>
      <c r="BM2358" s="380">
        <f>MOD((50000+AD2358-$B$3+(0/24)),1)</f>
        <v>0.96923903645802056</v>
      </c>
      <c r="BN2358" s="381"/>
      <c r="BO2358" s="382">
        <v>2349</v>
      </c>
    </row>
    <row r="2359" spans="1:67" s="24" customFormat="1" ht="15" customHeight="1" x14ac:dyDescent="0.25">
      <c r="A2359" s="287" t="s">
        <v>8635</v>
      </c>
      <c r="B2359" s="241" t="str">
        <f>HYPERLINK(CONCATENATE($AT$3,BK2359,$AU$3),$AV$3)</f>
        <v>S</v>
      </c>
      <c r="C2359" s="242" t="str">
        <f>HYPERLINK(CONCATENATE($AT$4,BK2359,$AU$4,BL2359),$AV$4)</f>
        <v>A</v>
      </c>
      <c r="D2359" s="243" t="s">
        <v>5335</v>
      </c>
      <c r="E2359" s="244" t="s">
        <v>5184</v>
      </c>
      <c r="F2359" s="269" t="s">
        <v>3314</v>
      </c>
      <c r="G2359" s="273">
        <v>8</v>
      </c>
      <c r="H2359" s="283">
        <v>45000</v>
      </c>
      <c r="I2359" s="246">
        <v>110</v>
      </c>
      <c r="J2359" s="246">
        <v>2</v>
      </c>
      <c r="K2359" s="247" t="s">
        <v>8823</v>
      </c>
      <c r="L2359" s="248">
        <v>181900</v>
      </c>
      <c r="M2359" s="249">
        <f>15*(LEFT(TEXT($L2359,"000000"),2)+(MID(TEXT($L2359,"000000"),3,2)/60)+(RIGHT(TEXT($L2359,"000000"),2)/3600))</f>
        <v>274.75</v>
      </c>
      <c r="N2359" s="250">
        <v>-521300</v>
      </c>
      <c r="O2359" s="251">
        <f>IF($N2359&gt;0,(LEFT(TEXT($N2359,"000000"),2)+(MID(TEXT($N2359,"000000"),3,2)/60)+(RIGHT(TEXT($N2359,"000000"),2)/3600)),-(MID(TEXT($N2359,"000000"),2,2)+(MID(TEXT($N2359,"000000"),4,2)/60)+(RIGHT(TEXT($N2359,"000000"),2)/3600)))</f>
        <v>-52.216666666666669</v>
      </c>
      <c r="P2359" s="252" t="s">
        <v>2291</v>
      </c>
      <c r="Q2359" s="253"/>
      <c r="R2359" s="277" t="s">
        <v>3293</v>
      </c>
      <c r="S2359" s="272" t="s">
        <v>3293</v>
      </c>
      <c r="T2359" s="273">
        <v>8.1999999999999993</v>
      </c>
      <c r="U2359" s="274"/>
      <c r="V2359" s="280"/>
      <c r="W2359" s="244"/>
      <c r="X2359" s="244"/>
      <c r="Y2359" s="362"/>
      <c r="Z2359" s="257">
        <f>altaz(J2000_Bas,$O2359,$M2359,DecLat,DecLong,1)</f>
        <v>6.2011603786664402</v>
      </c>
      <c r="AA2359" s="257">
        <f>altaz((J2000_Bas+(2*0.04167)),$O2359,$M2359,DecLat,DecLong,1)</f>
        <v>-0.72983372134552094</v>
      </c>
      <c r="AB2359" s="257">
        <f>altaz((J2000_Bas+(4*0.04167)),$O2359,$M2359,DecLat,DecLong,1)</f>
        <v>-13.870813047468264</v>
      </c>
      <c r="AC2359" s="257">
        <f>altaz((J2000_Bas+(6*0.04167)),$O2359,$M2359,DecLat,DecLong,1)</f>
        <v>-30.784426021996357</v>
      </c>
      <c r="AD2359" s="258">
        <f>1+ transit((J2000_Bas-1),$O2359,$M2359,DecLat,DecLong)/360 + (GMTOffset/24) + (IF(DST="Y", 1, 0)/24)</f>
        <v>1.7560943287547079</v>
      </c>
      <c r="AE2359" s="259">
        <f>DATE(2001,9,21)+(M2359/360)*365 - (360*((DecLong/360)- (GMTOffset/24) ))</f>
        <v>37438.565972222219</v>
      </c>
      <c r="AF2359" s="260">
        <f>IF(DecLat&gt;0,IF((90 - (DecLat-O2359))&gt;90, (90 - (O2359-DecLat)), (90 - (DecLat-O2359))),IF((90 + (DecLat-O2359))&gt;90, (90 + (O2359-DecLat)), (90 + (DecLat-O2359))))</f>
        <v>6.7833333333333314</v>
      </c>
      <c r="AG2359" s="257">
        <f>angularseperation(MoonRA,MoonDec,$M2359,$O2359)</f>
        <v>31.553103684004977</v>
      </c>
      <c r="AH2359" s="261">
        <f ca="1">MIN(100,IF($O$5&gt;80,0+30*($AG2359/100),IF($O$5&gt;70,0+50*($AG2359/100),IF($O$5&gt;60,5+50*($AG2359/100),IF($O$5&gt;50,10+60*($AG2359/100),IF($O$5&gt;40,15+70*($AG2359/100),IF($O$5&gt;30,20+70*($AG2359/100),IF($O$5&gt;20,40+55*($AG2359/100),(80+(20-$O$5)+30*($AG2359/100))))))))))</f>
        <v>92.736991449351919</v>
      </c>
      <c r="AI2359" s="262">
        <v>6584</v>
      </c>
      <c r="AJ2359" s="263"/>
      <c r="AK2359" s="263"/>
      <c r="AL2359" s="263"/>
      <c r="AM2359" s="264"/>
      <c r="AN2359" s="263"/>
      <c r="AO2359" s="263"/>
      <c r="AP2359" s="265"/>
      <c r="AQ2359" s="265"/>
      <c r="AR2359" s="285"/>
      <c r="AS2359" s="263"/>
      <c r="AT2359" s="263"/>
      <c r="AU2359" s="263"/>
      <c r="AV2359" s="264"/>
      <c r="AW2359" s="263"/>
      <c r="AX2359" s="263"/>
      <c r="AY2359" s="263"/>
      <c r="AZ2359" s="263"/>
      <c r="BA2359" s="263"/>
      <c r="BB2359" s="263"/>
      <c r="BC2359" s="263"/>
      <c r="BD2359" s="264"/>
      <c r="BE2359" s="263"/>
      <c r="BF2359" s="263"/>
      <c r="BG2359" s="263"/>
      <c r="BH2359" s="263"/>
      <c r="BI2359" s="263"/>
      <c r="BJ2359" s="404">
        <f>altaz(J2000_Bas,$O2359,$M2359,DecLat,DecLong,2)</f>
        <v>186.90702730880676</v>
      </c>
      <c r="BK2359" s="378" t="s">
        <v>8635</v>
      </c>
      <c r="BL2359" s="379">
        <f>IF((2*G2359)/60&lt;0.2,0.2,(2*G2359)/60)</f>
        <v>0.26666666666666666</v>
      </c>
      <c r="BM2359" s="380">
        <f>MOD((50000+AD2359-$B$3+(0/24)),1)</f>
        <v>0.97146125845756615</v>
      </c>
      <c r="BN2359" s="381"/>
      <c r="BO2359" s="382">
        <v>2350</v>
      </c>
    </row>
    <row r="2360" spans="1:67" s="24" customFormat="1" ht="15" customHeight="1" x14ac:dyDescent="0.25">
      <c r="A2360" s="288" t="s">
        <v>2232</v>
      </c>
      <c r="B2360" s="241" t="str">
        <f>HYPERLINK(CONCATENATE($AT$3,BK2360,$AU$3),$AV$3)</f>
        <v>S</v>
      </c>
      <c r="C2360" s="242" t="str">
        <f>HYPERLINK(CONCATENATE($AT$4,BK2360,$AU$4,BL2360),$AV$4)</f>
        <v>A</v>
      </c>
      <c r="D2360" s="243" t="s">
        <v>5638</v>
      </c>
      <c r="E2360" s="244" t="s">
        <v>5192</v>
      </c>
      <c r="F2360" s="269" t="s">
        <v>8709</v>
      </c>
      <c r="G2360" s="273">
        <v>1.3</v>
      </c>
      <c r="H2360" s="283">
        <v>385</v>
      </c>
      <c r="I2360" s="246">
        <v>140</v>
      </c>
      <c r="J2360" s="246">
        <v>2</v>
      </c>
      <c r="K2360" s="247" t="s">
        <v>7981</v>
      </c>
      <c r="L2360" s="248">
        <v>180856</v>
      </c>
      <c r="M2360" s="249">
        <f>15*(LEFT(TEXT($L2360,"000000"),2)+(MID(TEXT($L2360,"000000"),3,2)/60)+(RIGHT(TEXT($L2360,"000000"),2)/3600))</f>
        <v>272.23333333333329</v>
      </c>
      <c r="N2360" s="250">
        <v>690405</v>
      </c>
      <c r="O2360" s="251">
        <f>IF($N2360&gt;0,(LEFT(TEXT($N2360,"000000"),2)+(MID(TEXT($N2360,"000000"),3,2)/60)+(RIGHT(TEXT($N2360,"000000"),2)/3600)),-(MID(TEXT($N2360,"000000"),2,2)+(MID(TEXT($N2360,"000000"),4,2)/60)+(RIGHT(TEXT($N2360,"000000"),2)/3600)))</f>
        <v>69.068055555555546</v>
      </c>
      <c r="P2360" s="252" t="s">
        <v>34</v>
      </c>
      <c r="Q2360" s="253"/>
      <c r="R2360" s="247" t="s">
        <v>3293</v>
      </c>
      <c r="S2360" s="272" t="s">
        <v>3293</v>
      </c>
      <c r="T2360" s="273">
        <v>13.3</v>
      </c>
      <c r="U2360" s="289">
        <v>22.59</v>
      </c>
      <c r="V2360" s="280">
        <v>60</v>
      </c>
      <c r="W2360" s="244"/>
      <c r="X2360" s="244"/>
      <c r="Y2360" s="362"/>
      <c r="Z2360" s="257">
        <f>altaz(J2000_Bas,$O2360,$M2360,DecLat,DecLong,1)</f>
        <v>51.121474819788531</v>
      </c>
      <c r="AA2360" s="257">
        <f>altaz((J2000_Bas+(2*0.04167)),$O2360,$M2360,DecLat,DecLong,1)</f>
        <v>44.577560497601411</v>
      </c>
      <c r="AB2360" s="257">
        <f>altaz((J2000_Bas+(4*0.04167)),$O2360,$M2360,DecLat,DecLong,1)</f>
        <v>34.456019764276263</v>
      </c>
      <c r="AC2360" s="257">
        <f>altaz((J2000_Bas+(6*0.04167)),$O2360,$M2360,DecLat,DecLong,1)</f>
        <v>24.00683379007593</v>
      </c>
      <c r="AD2360" s="258">
        <f>1+ transit((J2000_Bas-1),$O2360,$M2360,DecLat,DecLong)/360 + (GMTOffset/24) + (IF(DST="Y", 1, 0)/24)</f>
        <v>1.7491035887130413</v>
      </c>
      <c r="AE2360" s="259">
        <f>DATE(2001,9,21)+(M2360/360)*365 - (360*((DecLong/360)- (GMTOffset/24) ))</f>
        <v>37436.014351851853</v>
      </c>
      <c r="AF2360" s="260">
        <f>IF(DecLat&gt;0,IF((90 - (DecLat-O2360))&gt;90, (90 - (O2360-DecLat)), (90 - (DecLat-O2360))),IF((90 + (DecLat-O2360))&gt;90, (90 + (O2360-DecLat)), (90 + (DecLat-O2360))))</f>
        <v>51.931944444444454</v>
      </c>
      <c r="AG2360" s="257">
        <f>angularseperation(MoonRA,MoonDec,$M2360,$O2360)</f>
        <v>97.610403671833993</v>
      </c>
      <c r="AH2360" s="261">
        <f ca="1">MIN(100,IF($O$5&gt;80,0+30*($AG2360/100),IF($O$5&gt;70,0+50*($AG2360/100),IF($O$5&gt;60,5+50*($AG2360/100),IF($O$5&gt;50,10+60*($AG2360/100),IF($O$5&gt;40,15+70*($AG2360/100),IF($O$5&gt;30,20+70*($AG2360/100),IF($O$5&gt;20,40+55*($AG2360/100),(80+(20-$O$5)+30*($AG2360/100))))))))))</f>
        <v>100</v>
      </c>
      <c r="AI2360" s="262">
        <v>6598</v>
      </c>
      <c r="AJ2360" s="262"/>
      <c r="AK2360" s="262"/>
      <c r="AL2360" s="263"/>
      <c r="AM2360" s="264"/>
      <c r="AN2360" s="263"/>
      <c r="AO2360" s="263"/>
      <c r="AP2360" s="265"/>
      <c r="AQ2360" s="266">
        <v>11139</v>
      </c>
      <c r="AR2360" s="267">
        <v>61462</v>
      </c>
      <c r="AS2360" s="263"/>
      <c r="AT2360" s="263"/>
      <c r="AU2360" s="263"/>
      <c r="AV2360" s="264"/>
      <c r="AW2360" s="263"/>
      <c r="AX2360" s="263"/>
      <c r="AY2360" s="263"/>
      <c r="AZ2360" s="263"/>
      <c r="BA2360" s="263"/>
      <c r="BB2360" s="263"/>
      <c r="BC2360" s="263"/>
      <c r="BD2360" s="264"/>
      <c r="BE2360" s="263"/>
      <c r="BF2360" s="263"/>
      <c r="BG2360" s="263"/>
      <c r="BH2360" s="263"/>
      <c r="BI2360" s="263"/>
      <c r="BJ2360" s="404">
        <f>altaz(J2000_Bas,$O2360,$M2360,DecLat,DecLong,2)</f>
        <v>352.21405478362908</v>
      </c>
      <c r="BK2360" s="378" t="s">
        <v>2232</v>
      </c>
      <c r="BL2360" s="379">
        <f>IF((2*G2360)/60&lt;0.2,0.2,(2*G2360)/60)</f>
        <v>0.2</v>
      </c>
      <c r="BM2360" s="380">
        <f>MOD((50000+AD2360-$B$3+(0/24)),1)</f>
        <v>0.9644705184182385</v>
      </c>
      <c r="BN2360" s="381"/>
      <c r="BO2360" s="382">
        <v>2351</v>
      </c>
    </row>
    <row r="2361" spans="1:67" s="24" customFormat="1" ht="15" customHeight="1" x14ac:dyDescent="0.25">
      <c r="A2361" s="288" t="s">
        <v>2233</v>
      </c>
      <c r="B2361" s="241" t="str">
        <f>HYPERLINK(CONCATENATE($AT$3,BK2361,$AU$3),$AV$3)</f>
        <v>S</v>
      </c>
      <c r="C2361" s="242" t="str">
        <f>HYPERLINK(CONCATENATE($AT$4,BK2361,$AU$4,BL2361),$AV$4)</f>
        <v>A</v>
      </c>
      <c r="D2361" s="243" t="s">
        <v>5335</v>
      </c>
      <c r="E2361" s="244" t="s">
        <v>5185</v>
      </c>
      <c r="F2361" s="269" t="s">
        <v>4906</v>
      </c>
      <c r="G2361" s="273">
        <v>5</v>
      </c>
      <c r="H2361" s="283">
        <v>9000</v>
      </c>
      <c r="I2361" s="246">
        <v>14</v>
      </c>
      <c r="J2361" s="246">
        <v>2</v>
      </c>
      <c r="K2361" s="247" t="s">
        <v>7982</v>
      </c>
      <c r="L2361" s="248">
        <v>181826</v>
      </c>
      <c r="M2361" s="249">
        <f>15*(LEFT(TEXT($L2361,"000000"),2)+(MID(TEXT($L2361,"000000"),3,2)/60)+(RIGHT(TEXT($L2361,"000000"),2)/3600))</f>
        <v>274.60833333333335</v>
      </c>
      <c r="N2361" s="250">
        <v>-182424</v>
      </c>
      <c r="O2361" s="251">
        <f>IF($N2361&gt;0,(LEFT(TEXT($N2361,"000000"),2)+(MID(TEXT($N2361,"000000"),3,2)/60)+(RIGHT(TEXT($N2361,"000000"),2)/3600)),-(MID(TEXT($N2361,"000000"),2,2)+(MID(TEXT($N2361,"000000"),4,2)/60)+(RIGHT(TEXT($N2361,"000000"),2)/3600)))</f>
        <v>-18.406666666666666</v>
      </c>
      <c r="P2361" s="252" t="s">
        <v>119</v>
      </c>
      <c r="Q2361" s="253"/>
      <c r="R2361" s="247" t="s">
        <v>3293</v>
      </c>
      <c r="S2361" s="272" t="s">
        <v>6270</v>
      </c>
      <c r="T2361" s="273">
        <v>11.1</v>
      </c>
      <c r="U2361" s="274"/>
      <c r="V2361" s="280"/>
      <c r="W2361" s="244"/>
      <c r="X2361" s="244"/>
      <c r="Y2361" s="362"/>
      <c r="Z2361" s="257">
        <f>altaz(J2000_Bas,$O2361,$M2361,DecLat,DecLong,1)</f>
        <v>39.394486002341807</v>
      </c>
      <c r="AA2361" s="257">
        <f>altaz((J2000_Bas+(2*0.04167)),$O2361,$M2361,DecLat,DecLong,1)</f>
        <v>26.532607222593025</v>
      </c>
      <c r="AB2361" s="257">
        <f>altaz((J2000_Bas+(4*0.04167)),$O2361,$M2361,DecLat,DecLong,1)</f>
        <v>5.4275393810513162</v>
      </c>
      <c r="AC2361" s="257">
        <f>altaz((J2000_Bas+(6*0.04167)),$O2361,$M2361,DecLat,DecLong,1)</f>
        <v>-19.076722583770056</v>
      </c>
      <c r="AD2361" s="258">
        <f>1+ transit((J2000_Bas-1),$O2361,$M2361,DecLat,DecLong)/360 + (GMTOffset/24) + (IF(DST="Y", 1, 0)/24)</f>
        <v>1.7557008102755414</v>
      </c>
      <c r="AE2361" s="259">
        <f>DATE(2001,9,21)+(M2361/360)*365 - (360*((DecLong/360)- (GMTOffset/24) ))</f>
        <v>37438.422337962962</v>
      </c>
      <c r="AF2361" s="260">
        <f>IF(DecLat&gt;0,IF((90 - (DecLat-O2361))&gt;90, (90 - (O2361-DecLat)), (90 - (DecLat-O2361))),IF((90 + (DecLat-O2361))&gt;90, (90 + (O2361-DecLat)), (90 + (DecLat-O2361))))</f>
        <v>40.593333333333334</v>
      </c>
      <c r="AG2361" s="257">
        <f>angularseperation(MoonRA,MoonDec,$M2361,$O2361)</f>
        <v>24.891785005557946</v>
      </c>
      <c r="AH2361" s="261">
        <f ca="1">MIN(100,IF($O$5&gt;80,0+30*($AG2361/100),IF($O$5&gt;70,0+50*($AG2361/100),IF($O$5&gt;60,5+50*($AG2361/100),IF($O$5&gt;50,10+60*($AG2361/100),IF($O$5&gt;40,15+70*($AG2361/100),IF($O$5&gt;30,20+70*($AG2361/100),IF($O$5&gt;20,40+55*($AG2361/100),(80+(20-$O$5)+30*($AG2361/100))))))))))</f>
        <v>90.738595845817812</v>
      </c>
      <c r="AI2361" s="262">
        <v>6603</v>
      </c>
      <c r="AJ2361" s="262"/>
      <c r="AK2361" s="262"/>
      <c r="AL2361" s="263"/>
      <c r="AM2361" s="264"/>
      <c r="AN2361" s="263"/>
      <c r="AO2361" s="263"/>
      <c r="AP2361" s="265"/>
      <c r="AQ2361" s="266"/>
      <c r="AR2361" s="267"/>
      <c r="AS2361" s="263"/>
      <c r="AT2361" s="263"/>
      <c r="AU2361" s="263"/>
      <c r="AV2361" s="264"/>
      <c r="AW2361" s="263"/>
      <c r="AX2361" s="263"/>
      <c r="AY2361" s="263"/>
      <c r="AZ2361" s="263"/>
      <c r="BA2361" s="263"/>
      <c r="BB2361" s="263"/>
      <c r="BC2361" s="263"/>
      <c r="BD2361" s="264"/>
      <c r="BE2361" s="263"/>
      <c r="BF2361" s="263"/>
      <c r="BG2361" s="263"/>
      <c r="BH2361" s="263"/>
      <c r="BI2361" s="263"/>
      <c r="BJ2361" s="404">
        <f>altaz(J2000_Bas,$O2361,$M2361,DecLat,DecLong,2)</f>
        <v>194.03793832528103</v>
      </c>
      <c r="BK2361" s="378" t="s">
        <v>2233</v>
      </c>
      <c r="BL2361" s="379">
        <f>IF((2*G2361)/60&lt;0.2,0.2,(2*G2361)/60)</f>
        <v>0.2</v>
      </c>
      <c r="BM2361" s="380">
        <f>MOD((50000+AD2361-$B$3+(0/24)),1)</f>
        <v>0.9710677399780252</v>
      </c>
      <c r="BN2361" s="381"/>
      <c r="BO2361" s="382">
        <v>2352</v>
      </c>
    </row>
    <row r="2362" spans="1:67" s="24" customFormat="1" ht="15" customHeight="1" x14ac:dyDescent="0.25">
      <c r="A2362" s="288" t="s">
        <v>2234</v>
      </c>
      <c r="B2362" s="241" t="str">
        <f>HYPERLINK(CONCATENATE($AT$3,BK2362,$AU$3),$AV$3)</f>
        <v>S</v>
      </c>
      <c r="C2362" s="242" t="str">
        <f>HYPERLINK(CONCATENATE($AT$4,BK2362,$AU$4,BL2362),$AV$4)</f>
        <v>A</v>
      </c>
      <c r="D2362" s="243" t="s">
        <v>5335</v>
      </c>
      <c r="E2362" s="244" t="s">
        <v>5185</v>
      </c>
      <c r="F2362" s="269" t="s">
        <v>4679</v>
      </c>
      <c r="G2362" s="276">
        <v>35</v>
      </c>
      <c r="H2362" s="283">
        <v>5700</v>
      </c>
      <c r="I2362" s="246">
        <v>60</v>
      </c>
      <c r="J2362" s="246">
        <v>3</v>
      </c>
      <c r="K2362" s="247" t="s">
        <v>7984</v>
      </c>
      <c r="L2362" s="248">
        <v>181848</v>
      </c>
      <c r="M2362" s="249">
        <f>15*(LEFT(TEXT($L2362,"000000"),2)+(MID(TEXT($L2362,"000000"),3,2)/60)+(RIGHT(TEXT($L2362,"000000"),2)/3600))</f>
        <v>274.7</v>
      </c>
      <c r="N2362" s="250">
        <v>-134824</v>
      </c>
      <c r="O2362" s="251">
        <f>IF($N2362&gt;0,(LEFT(TEXT($N2362,"000000"),2)+(MID(TEXT($N2362,"000000"),3,2)/60)+(RIGHT(TEXT($N2362,"000000"),2)/3600)),-(MID(TEXT($N2362,"000000"),2,2)+(MID(TEXT($N2362,"000000"),4,2)/60)+(RIGHT(TEXT($N2362,"000000"),2)/3600)))</f>
        <v>-13.806666666666667</v>
      </c>
      <c r="P2362" s="252" t="s">
        <v>115</v>
      </c>
      <c r="Q2362" s="253" t="s">
        <v>7108</v>
      </c>
      <c r="R2362" s="247" t="s">
        <v>3293</v>
      </c>
      <c r="S2362" s="272" t="s">
        <v>7983</v>
      </c>
      <c r="T2362" s="273">
        <v>6</v>
      </c>
      <c r="U2362" s="274"/>
      <c r="V2362" s="280"/>
      <c r="W2362" s="244"/>
      <c r="X2362" s="244"/>
      <c r="Y2362" s="362"/>
      <c r="Z2362" s="257">
        <f>altaz(J2000_Bas,$O2362,$M2362,DecLat,DecLong,1)</f>
        <v>43.895472782929737</v>
      </c>
      <c r="AA2362" s="257">
        <f>altaz((J2000_Bas+(2*0.04167)),$O2362,$M2362,DecLat,DecLong,1)</f>
        <v>30.106193357473561</v>
      </c>
      <c r="AB2362" s="257">
        <f>altaz((J2000_Bas+(4*0.04167)),$O2362,$M2362,DecLat,DecLong,1)</f>
        <v>8.140574533453858</v>
      </c>
      <c r="AC2362" s="257">
        <f>altaz((J2000_Bas+(6*0.04167)),$O2362,$M2362,DecLat,DecLong,1)</f>
        <v>-16.83801314733735</v>
      </c>
      <c r="AD2362" s="258">
        <f>1+ transit((J2000_Bas-1),$O2362,$M2362,DecLat,DecLong)/360 + (GMTOffset/24) + (IF(DST="Y", 1, 0)/24)</f>
        <v>1.7559554398797079</v>
      </c>
      <c r="AE2362" s="259">
        <f>DATE(2001,9,21)+(M2362/360)*365 - (360*((DecLong/360)- (GMTOffset/24) ))</f>
        <v>37438.515277777777</v>
      </c>
      <c r="AF2362" s="260">
        <f>IF(DecLat&gt;0,IF((90 - (DecLat-O2362))&gt;90, (90 - (O2362-DecLat)), (90 - (DecLat-O2362))),IF((90 + (DecLat-O2362))&gt;90, (90 + (O2362-DecLat)), (90 + (DecLat-O2362))))</f>
        <v>45.193333333333335</v>
      </c>
      <c r="AG2362" s="257">
        <f>angularseperation(MoonRA,MoonDec,$M2362,$O2362)</f>
        <v>27.212659041870303</v>
      </c>
      <c r="AH2362" s="261">
        <f ca="1">MIN(100,IF($O$5&gt;80,0+30*($AG2362/100),IF($O$5&gt;70,0+50*($AG2362/100),IF($O$5&gt;60,5+50*($AG2362/100),IF($O$5&gt;50,10+60*($AG2362/100),IF($O$5&gt;40,15+70*($AG2362/100),IF($O$5&gt;30,20+70*($AG2362/100),IF($O$5&gt;20,40+55*($AG2362/100),(80+(20-$O$5)+30*($AG2362/100))))))))))</f>
        <v>91.434858056711519</v>
      </c>
      <c r="AI2362" s="262">
        <v>6611</v>
      </c>
      <c r="AJ2362" s="262"/>
      <c r="AK2362" s="262"/>
      <c r="AL2362" s="263"/>
      <c r="AM2362" s="264"/>
      <c r="AN2362" s="263"/>
      <c r="AO2362" s="263"/>
      <c r="AP2362" s="265"/>
      <c r="AQ2362" s="266"/>
      <c r="AR2362" s="267"/>
      <c r="AS2362" s="263"/>
      <c r="AT2362" s="263"/>
      <c r="AU2362" s="263"/>
      <c r="AV2362" s="264"/>
      <c r="AW2362" s="263"/>
      <c r="AX2362" s="263"/>
      <c r="AY2362" s="263"/>
      <c r="AZ2362" s="263"/>
      <c r="BA2362" s="263"/>
      <c r="BB2362" s="263"/>
      <c r="BC2362" s="263"/>
      <c r="BD2362" s="264"/>
      <c r="BE2362" s="263"/>
      <c r="BF2362" s="263"/>
      <c r="BG2362" s="263"/>
      <c r="BH2362" s="263"/>
      <c r="BI2362" s="263"/>
      <c r="BJ2362" s="404">
        <f>altaz(J2000_Bas,$O2362,$M2362,DecLat,DecLong,2)</f>
        <v>195.31481876256092</v>
      </c>
      <c r="BK2362" s="378" t="s">
        <v>2234</v>
      </c>
      <c r="BL2362" s="379">
        <f>IF((2*G2362)/60&lt;0.2,0.2,(2*G2362)/60)</f>
        <v>1.1666666666666667</v>
      </c>
      <c r="BM2362" s="380">
        <f>MOD((50000+AD2362-$B$3+(0/24)),1)</f>
        <v>0.97132236958714202</v>
      </c>
      <c r="BN2362" s="381"/>
      <c r="BO2362" s="382">
        <v>2353</v>
      </c>
    </row>
    <row r="2363" spans="1:67" s="24" customFormat="1" ht="15" customHeight="1" x14ac:dyDescent="0.25">
      <c r="A2363" s="288" t="s">
        <v>2235</v>
      </c>
      <c r="B2363" s="241" t="str">
        <f>HYPERLINK(CONCATENATE($AT$3,BK2363,$AU$3),$AV$3)</f>
        <v>S</v>
      </c>
      <c r="C2363" s="242" t="str">
        <f>HYPERLINK(CONCATENATE($AT$4,BK2363,$AU$4,BL2363),$AV$4)</f>
        <v>A</v>
      </c>
      <c r="D2363" s="243" t="s">
        <v>5335</v>
      </c>
      <c r="E2363" s="244" t="s">
        <v>5184</v>
      </c>
      <c r="F2363" s="269" t="s">
        <v>3312</v>
      </c>
      <c r="G2363" s="273">
        <v>9</v>
      </c>
      <c r="H2363" s="283">
        <v>25000</v>
      </c>
      <c r="I2363" s="246">
        <v>65</v>
      </c>
      <c r="J2363" s="246">
        <v>2</v>
      </c>
      <c r="K2363" s="247" t="s">
        <v>7985</v>
      </c>
      <c r="L2363" s="248">
        <v>182341</v>
      </c>
      <c r="M2363" s="249">
        <f>15*(LEFT(TEXT($L2363,"000000"),2)+(MID(TEXT($L2363,"000000"),3,2)/60)+(RIGHT(TEXT($L2363,"000000"),2)/3600))</f>
        <v>275.92083333333329</v>
      </c>
      <c r="N2363" s="250">
        <v>-302140</v>
      </c>
      <c r="O2363" s="251">
        <f>IF($N2363&gt;0,(LEFT(TEXT($N2363,"000000"),2)+(MID(TEXT($N2363,"000000"),3,2)/60)+(RIGHT(TEXT($N2363,"000000"),2)/3600)),-(MID(TEXT($N2363,"000000"),2,2)+(MID(TEXT($N2363,"000000"),4,2)/60)+(RIGHT(TEXT($N2363,"000000"),2)/3600)))</f>
        <v>-30.361111111111114</v>
      </c>
      <c r="P2363" s="252" t="s">
        <v>119</v>
      </c>
      <c r="Q2363" s="253"/>
      <c r="R2363" s="247" t="s">
        <v>3293</v>
      </c>
      <c r="S2363" s="272" t="s">
        <v>3293</v>
      </c>
      <c r="T2363" s="273">
        <v>7.6</v>
      </c>
      <c r="U2363" s="274"/>
      <c r="V2363" s="280"/>
      <c r="W2363" s="244"/>
      <c r="X2363" s="244"/>
      <c r="Y2363" s="362"/>
      <c r="Z2363" s="257">
        <f>altaz(J2000_Bas,$O2363,$M2363,DecLat,DecLong,1)</f>
        <v>27.895940791151311</v>
      </c>
      <c r="AA2363" s="257">
        <f>altaz((J2000_Bas+(2*0.04167)),$O2363,$M2363,DecLat,DecLong,1)</f>
        <v>17.750257478895069</v>
      </c>
      <c r="AB2363" s="257">
        <f>altaz((J2000_Bas+(4*0.04167)),$O2363,$M2363,DecLat,DecLong,1)</f>
        <v>-0.59636103562502296</v>
      </c>
      <c r="AC2363" s="257">
        <f>altaz((J2000_Bas+(6*0.04167)),$O2363,$M2363,DecLat,DecLong,1)</f>
        <v>-23.14250480106389</v>
      </c>
      <c r="AD2363" s="258">
        <f>1+ transit((J2000_Bas-1),$O2363,$M2363,DecLat,DecLong)/360 + (GMTOffset/24) + (IF(DST="Y", 1, 0)/24)</f>
        <v>1.7593466432442912</v>
      </c>
      <c r="AE2363" s="259">
        <f>DATE(2001,9,21)+(M2363/360)*365 - (360*((DecLong/360)- (GMTOffset/24) ))</f>
        <v>37439.753067129626</v>
      </c>
      <c r="AF2363" s="260">
        <f>IF(DecLat&gt;0,IF((90 - (DecLat-O2363))&gt;90, (90 - (O2363-DecLat)), (90 - (DecLat-O2363))),IF((90 + (DecLat-O2363))&gt;90, (90 + (O2363-DecLat)), (90 + (DecLat-O2363))))</f>
        <v>28.638888888888886</v>
      </c>
      <c r="AG2363" s="257">
        <f>angularseperation(MoonRA,MoonDec,$M2363,$O2363)</f>
        <v>23.569473882817459</v>
      </c>
      <c r="AH2363" s="261">
        <f ca="1">MIN(100,IF($O$5&gt;80,0+30*($AG2363/100),IF($O$5&gt;70,0+50*($AG2363/100),IF($O$5&gt;60,5+50*($AG2363/100),IF($O$5&gt;50,10+60*($AG2363/100),IF($O$5&gt;40,15+70*($AG2363/100),IF($O$5&gt;30,20+70*($AG2363/100),IF($O$5&gt;20,40+55*($AG2363/100),(80+(20-$O$5)+30*($AG2363/100))))))))))</f>
        <v>90.341902508995659</v>
      </c>
      <c r="AI2363" s="262">
        <v>6624</v>
      </c>
      <c r="AJ2363" s="262"/>
      <c r="AK2363" s="262">
        <v>348</v>
      </c>
      <c r="AL2363" s="263"/>
      <c r="AM2363" s="264"/>
      <c r="AN2363" s="263"/>
      <c r="AO2363" s="263"/>
      <c r="AP2363" s="265"/>
      <c r="AQ2363" s="266"/>
      <c r="AR2363" s="267"/>
      <c r="AS2363" s="263"/>
      <c r="AT2363" s="263"/>
      <c r="AU2363" s="263"/>
      <c r="AV2363" s="264"/>
      <c r="AW2363" s="263"/>
      <c r="AX2363" s="263"/>
      <c r="AY2363" s="263"/>
      <c r="AZ2363" s="263"/>
      <c r="BA2363" s="263"/>
      <c r="BB2363" s="263"/>
      <c r="BC2363" s="263"/>
      <c r="BD2363" s="264"/>
      <c r="BE2363" s="263">
        <v>91</v>
      </c>
      <c r="BF2363" s="263"/>
      <c r="BG2363" s="263"/>
      <c r="BH2363" s="263"/>
      <c r="BI2363" s="263"/>
      <c r="BJ2363" s="404">
        <f>altaz(J2000_Bas,$O2363,$M2363,DecLat,DecLong,2)</f>
        <v>189.84049607182683</v>
      </c>
      <c r="BK2363" s="378" t="s">
        <v>2235</v>
      </c>
      <c r="BL2363" s="379">
        <f>IF((2*G2363)/60&lt;0.2,0.2,(2*G2363)/60)</f>
        <v>0.3</v>
      </c>
      <c r="BM2363" s="380">
        <f>MOD((50000+AD2363-$B$3+(0/24)),1)</f>
        <v>0.97471357294853078</v>
      </c>
      <c r="BN2363" s="381"/>
      <c r="BO2363" s="382">
        <v>2354</v>
      </c>
    </row>
    <row r="2364" spans="1:67" s="24" customFormat="1" ht="15" customHeight="1" x14ac:dyDescent="0.25">
      <c r="A2364" s="288" t="s">
        <v>2236</v>
      </c>
      <c r="B2364" s="241" t="str">
        <f>HYPERLINK(CONCATENATE($AT$3,BK2364,$AU$3),$AV$3)</f>
        <v>S</v>
      </c>
      <c r="C2364" s="242" t="str">
        <f>HYPERLINK(CONCATENATE($AT$4,BK2364,$AU$4,BL2364),$AV$4)</f>
        <v>A</v>
      </c>
      <c r="D2364" s="243" t="s">
        <v>5187</v>
      </c>
      <c r="E2364" s="244" t="s">
        <v>5181</v>
      </c>
      <c r="F2364" s="269" t="s">
        <v>5737</v>
      </c>
      <c r="G2364" s="270">
        <v>0.4</v>
      </c>
      <c r="H2364" s="283">
        <v>7700</v>
      </c>
      <c r="I2364" s="279">
        <v>1</v>
      </c>
      <c r="J2364" s="246">
        <v>2</v>
      </c>
      <c r="K2364" s="247" t="s">
        <v>7986</v>
      </c>
      <c r="L2364" s="248">
        <v>182542</v>
      </c>
      <c r="M2364" s="249">
        <f>15*(LEFT(TEXT($L2364,"000000"),2)+(MID(TEXT($L2364,"000000"),3,2)/60)+(RIGHT(TEXT($L2364,"000000"),2)/3600))</f>
        <v>276.42500000000001</v>
      </c>
      <c r="N2364" s="250">
        <v>-231210</v>
      </c>
      <c r="O2364" s="251">
        <f>IF($N2364&gt;0,(LEFT(TEXT($N2364,"000000"),2)+(MID(TEXT($N2364,"000000"),3,2)/60)+(RIGHT(TEXT($N2364,"000000"),2)/3600)),-(MID(TEXT($N2364,"000000"),2,2)+(MID(TEXT($N2364,"000000"),4,2)/60)+(RIGHT(TEXT($N2364,"000000"),2)/3600)))</f>
        <v>-23.202777777777776</v>
      </c>
      <c r="P2364" s="252" t="s">
        <v>119</v>
      </c>
      <c r="Q2364" s="253"/>
      <c r="R2364" s="277" t="s">
        <v>3293</v>
      </c>
      <c r="S2364" s="272" t="s">
        <v>3293</v>
      </c>
      <c r="T2364" s="273">
        <v>9.9</v>
      </c>
      <c r="U2364" s="274"/>
      <c r="V2364" s="280"/>
      <c r="W2364" s="244"/>
      <c r="X2364" s="244"/>
      <c r="Y2364" s="362"/>
      <c r="Z2364" s="257">
        <f>altaz(J2000_Bas,$O2364,$M2364,DecLat,DecLong,1)</f>
        <v>35.025207242643575</v>
      </c>
      <c r="AA2364" s="257">
        <f>altaz((J2000_Bas+(2*0.04167)),$O2364,$M2364,DecLat,DecLong,1)</f>
        <v>23.80186407395621</v>
      </c>
      <c r="AB2364" s="257">
        <f>altaz((J2000_Bas+(4*0.04167)),$O2364,$M2364,DecLat,DecLong,1)</f>
        <v>4.0029571596817419</v>
      </c>
      <c r="AC2364" s="257">
        <f>altaz((J2000_Bas+(6*0.04167)),$O2364,$M2364,DecLat,DecLong,1)</f>
        <v>-19.720908112645734</v>
      </c>
      <c r="AD2364" s="258">
        <f>1+ transit((J2000_Bas-1),$O2364,$M2364,DecLat,DecLong)/360 + (GMTOffset/24) + (IF(DST="Y", 1, 0)/24)</f>
        <v>1.760747106067208</v>
      </c>
      <c r="AE2364" s="259">
        <f>DATE(2001,9,21)+(M2364/360)*365 - (360*((DecLong/360)- (GMTOffset/24) ))</f>
        <v>37440.264236111114</v>
      </c>
      <c r="AF2364" s="260">
        <f>IF(DecLat&gt;0,IF((90 - (DecLat-O2364))&gt;90, (90 - (O2364-DecLat)), (90 - (DecLat-O2364))),IF((90 + (DecLat-O2364))&gt;90, (90 + (O2364-DecLat)), (90 + (DecLat-O2364))))</f>
        <v>35.797222222222224</v>
      </c>
      <c r="AG2364" s="257">
        <f>angularseperation(MoonRA,MoonDec,$M2364,$O2364)</f>
        <v>24.861951621757107</v>
      </c>
      <c r="AH2364" s="261">
        <f ca="1">MIN(100,IF($O$5&gt;80,0+30*($AG2364/100),IF($O$5&gt;70,0+50*($AG2364/100),IF($O$5&gt;60,5+50*($AG2364/100),IF($O$5&gt;50,10+60*($AG2364/100),IF($O$5&gt;40,15+70*($AG2364/100),IF($O$5&gt;30,20+70*($AG2364/100),IF($O$5&gt;20,40+55*($AG2364/100),(80+(20-$O$5)+30*($AG2364/100))))))))))</f>
        <v>90.729645830677555</v>
      </c>
      <c r="AI2364" s="262">
        <v>6629</v>
      </c>
      <c r="AJ2364" s="263"/>
      <c r="AK2364" s="263">
        <v>349</v>
      </c>
      <c r="AL2364" s="263"/>
      <c r="AM2364" s="264"/>
      <c r="AN2364" s="263"/>
      <c r="AO2364" s="263"/>
      <c r="AP2364" s="265"/>
      <c r="AQ2364" s="265"/>
      <c r="AR2364" s="285"/>
      <c r="AS2364" s="263"/>
      <c r="AT2364" s="263"/>
      <c r="AU2364" s="263"/>
      <c r="AV2364" s="264"/>
      <c r="AW2364" s="263"/>
      <c r="AX2364" s="263"/>
      <c r="AY2364" s="263"/>
      <c r="AZ2364" s="263"/>
      <c r="BA2364" s="263"/>
      <c r="BB2364" s="263"/>
      <c r="BC2364" s="263"/>
      <c r="BD2364" s="264"/>
      <c r="BE2364" s="263"/>
      <c r="BF2364" s="263"/>
      <c r="BG2364" s="263"/>
      <c r="BH2364" s="263"/>
      <c r="BI2364" s="263"/>
      <c r="BJ2364" s="404">
        <f>altaz(J2000_Bas,$O2364,$M2364,DecLat,DecLong,2)</f>
        <v>190.76292722743784</v>
      </c>
      <c r="BK2364" s="378" t="s">
        <v>2236</v>
      </c>
      <c r="BL2364" s="379">
        <f>IF((2*G2364)/60&lt;0.2,0.2,(2*G2364)/60)</f>
        <v>0.2</v>
      </c>
      <c r="BM2364" s="380">
        <f>MOD((50000+AD2364-$B$3+(0/24)),1)</f>
        <v>0.97611403577320743</v>
      </c>
      <c r="BN2364" s="381" t="s">
        <v>8665</v>
      </c>
      <c r="BO2364" s="382">
        <v>2355</v>
      </c>
    </row>
    <row r="2365" spans="1:67" s="24" customFormat="1" ht="15" customHeight="1" x14ac:dyDescent="0.25">
      <c r="A2365" s="288" t="s">
        <v>2237</v>
      </c>
      <c r="B2365" s="241" t="str">
        <f>HYPERLINK(CONCATENATE($AT$3,BK2365,$AU$3),$AV$3)</f>
        <v>S</v>
      </c>
      <c r="C2365" s="242" t="str">
        <f>HYPERLINK(CONCATENATE($AT$4,BK2365,$AU$4,BL2365),$AV$4)</f>
        <v>A</v>
      </c>
      <c r="D2365" s="243" t="s">
        <v>5638</v>
      </c>
      <c r="E2365" s="244" t="s">
        <v>5192</v>
      </c>
      <c r="F2365" s="269" t="s">
        <v>8688</v>
      </c>
      <c r="G2365" s="273">
        <v>3</v>
      </c>
      <c r="H2365" s="283">
        <v>220</v>
      </c>
      <c r="I2365" s="246">
        <v>200</v>
      </c>
      <c r="J2365" s="246">
        <v>2</v>
      </c>
      <c r="K2365" s="247" t="s">
        <v>8840</v>
      </c>
      <c r="L2365" s="248">
        <v>182503</v>
      </c>
      <c r="M2365" s="249">
        <f>15*(LEFT(TEXT($L2365,"000000"),2)+(MID(TEXT($L2365,"000000"),3,2)/60)+(RIGHT(TEXT($L2365,"000000"),2)/3600))</f>
        <v>276.26249999999999</v>
      </c>
      <c r="N2365" s="250">
        <v>273206</v>
      </c>
      <c r="O2365" s="251">
        <f>IF($N2365&gt;0,(LEFT(TEXT($N2365,"000000"),2)+(MID(TEXT($N2365,"000000"),3,2)/60)+(RIGHT(TEXT($N2365,"000000"),2)/3600)),-(MID(TEXT($N2365,"000000"),2,2)+(MID(TEXT($N2365,"000000"),4,2)/60)+(RIGHT(TEXT($N2365,"000000"),2)/3600)))</f>
        <v>27.535</v>
      </c>
      <c r="P2365" s="252" t="s">
        <v>111</v>
      </c>
      <c r="Q2365" s="253"/>
      <c r="R2365" s="247" t="s">
        <v>3293</v>
      </c>
      <c r="S2365" s="272" t="s">
        <v>3293</v>
      </c>
      <c r="T2365" s="273">
        <v>12.1</v>
      </c>
      <c r="U2365" s="289">
        <v>22.39</v>
      </c>
      <c r="V2365" s="280">
        <v>60</v>
      </c>
      <c r="W2365" s="244"/>
      <c r="X2365" s="244"/>
      <c r="Y2365" s="362"/>
      <c r="Z2365" s="257">
        <f>altaz(J2000_Bas,$O2365,$M2365,DecLat,DecLong,1)</f>
        <v>80.828474124224726</v>
      </c>
      <c r="AA2365" s="257">
        <f>altaz((J2000_Bas+(2*0.04167)),$O2365,$M2365,DecLat,DecLong,1)</f>
        <v>55.269462618381262</v>
      </c>
      <c r="AB2365" s="257">
        <f>altaz((J2000_Bas+(4*0.04167)),$O2365,$M2365,DecLat,DecLong,1)</f>
        <v>29.9463859456554</v>
      </c>
      <c r="AC2365" s="257">
        <f>altaz((J2000_Bas+(6*0.04167)),$O2365,$M2365,DecLat,DecLong,1)</f>
        <v>6.095909736752362</v>
      </c>
      <c r="AD2365" s="258">
        <f>1+ transit((J2000_Bas-1),$O2365,$M2365,DecLat,DecLong)/360 + (GMTOffset/24) + (IF(DST="Y", 1, 0)/24)</f>
        <v>1.7602957172234579</v>
      </c>
      <c r="AE2365" s="259">
        <f>DATE(2001,9,21)+(M2365/360)*365 - (360*((DecLong/360)- (GMTOffset/24) ))</f>
        <v>37440.099479166667</v>
      </c>
      <c r="AF2365" s="260">
        <f>IF(DecLat&gt;0,IF((90 - (DecLat-O2365))&gt;90, (90 - (O2365-DecLat)), (90 - (DecLat-O2365))),IF((90 + (DecLat-O2365))&gt;90, (90 + (O2365-DecLat)), (90 + (DecLat-O2365))))</f>
        <v>86.534999999999997</v>
      </c>
      <c r="AG2365" s="257">
        <f>angularseperation(MoonRA,MoonDec,$M2365,$O2365)</f>
        <v>60.47314198194141</v>
      </c>
      <c r="AH2365" s="261">
        <f ca="1">MIN(100,IF($O$5&gt;80,0+30*($AG2365/100),IF($O$5&gt;70,0+50*($AG2365/100),IF($O$5&gt;60,5+50*($AG2365/100),IF($O$5&gt;50,10+60*($AG2365/100),IF($O$5&gt;40,15+70*($AG2365/100),IF($O$5&gt;30,20+70*($AG2365/100),IF($O$5&gt;20,40+55*($AG2365/100),(80+(20-$O$5)+30*($AG2365/100))))))))))</f>
        <v>100</v>
      </c>
      <c r="AI2365" s="262">
        <v>6632</v>
      </c>
      <c r="AJ2365" s="262"/>
      <c r="AK2365" s="262"/>
      <c r="AL2365" s="263"/>
      <c r="AM2365" s="264"/>
      <c r="AN2365" s="263"/>
      <c r="AO2365" s="263"/>
      <c r="AP2365" s="265"/>
      <c r="AQ2365" s="266">
        <v>11226</v>
      </c>
      <c r="AR2365" s="267">
        <v>61849</v>
      </c>
      <c r="AS2365" s="263"/>
      <c r="AT2365" s="263"/>
      <c r="AU2365" s="263"/>
      <c r="AV2365" s="264"/>
      <c r="AW2365" s="263"/>
      <c r="AX2365" s="263"/>
      <c r="AY2365" s="263"/>
      <c r="AZ2365" s="263"/>
      <c r="BA2365" s="263"/>
      <c r="BB2365" s="263"/>
      <c r="BC2365" s="263"/>
      <c r="BD2365" s="264"/>
      <c r="BE2365" s="263"/>
      <c r="BF2365" s="263"/>
      <c r="BG2365" s="263"/>
      <c r="BH2365" s="263">
        <v>50</v>
      </c>
      <c r="BI2365" s="263"/>
      <c r="BJ2365" s="404">
        <f>altaz(J2000_Bas,$O2365,$M2365,DecLat,DecLong,2)</f>
        <v>250.2519694683071</v>
      </c>
      <c r="BK2365" s="378" t="s">
        <v>2237</v>
      </c>
      <c r="BL2365" s="379">
        <f>IF((2*G2365)/60&lt;0.2,0.2,(2*G2365)/60)</f>
        <v>0.2</v>
      </c>
      <c r="BM2365" s="380">
        <f>MOD((50000+AD2365-$B$3+(0/24)),1)</f>
        <v>0.97566264692432014</v>
      </c>
      <c r="BN2365" s="381"/>
      <c r="BO2365" s="382">
        <v>2356</v>
      </c>
    </row>
    <row r="2366" spans="1:67" s="24" customFormat="1" ht="15" customHeight="1" x14ac:dyDescent="0.25">
      <c r="A2366" s="288" t="s">
        <v>2238</v>
      </c>
      <c r="B2366" s="241" t="str">
        <f>HYPERLINK(CONCATENATE($AT$3,BK2366,$AU$3),$AV$3)</f>
        <v>S</v>
      </c>
      <c r="C2366" s="242" t="str">
        <f>HYPERLINK(CONCATENATE($AT$4,BK2366,$AU$4,BL2366),$AV$4)</f>
        <v>A</v>
      </c>
      <c r="D2366" s="243" t="s">
        <v>5335</v>
      </c>
      <c r="E2366" s="244" t="s">
        <v>5185</v>
      </c>
      <c r="F2366" s="269" t="s">
        <v>4923</v>
      </c>
      <c r="G2366" s="276">
        <v>30</v>
      </c>
      <c r="H2366" s="283">
        <v>1200</v>
      </c>
      <c r="I2366" s="244">
        <v>10</v>
      </c>
      <c r="J2366" s="246">
        <v>2</v>
      </c>
      <c r="K2366" s="247" t="s">
        <v>7987</v>
      </c>
      <c r="L2366" s="248">
        <v>182715</v>
      </c>
      <c r="M2366" s="249">
        <f>15*(LEFT(TEXT($L2366,"000000"),2)+(MID(TEXT($L2366,"000000"),3,2)/60)+(RIGHT(TEXT($L2366,"000000"),2)/3600))</f>
        <v>276.8125</v>
      </c>
      <c r="N2366" s="250">
        <v>63030</v>
      </c>
      <c r="O2366" s="251">
        <f>IF($N2366&gt;0,(LEFT(TEXT($N2366,"000000"),2)+(MID(TEXT($N2366,"000000"),3,2)/60)+(RIGHT(TEXT($N2366,"000000"),2)/3600)),-(MID(TEXT($N2366,"000000"),2,2)+(MID(TEXT($N2366,"000000"),4,2)/60)+(RIGHT(TEXT($N2366,"000000"),2)/3600)))</f>
        <v>6.5083333333333337</v>
      </c>
      <c r="P2366" s="252" t="s">
        <v>113</v>
      </c>
      <c r="Q2366" s="253" t="s">
        <v>7100</v>
      </c>
      <c r="R2366" s="247" t="s">
        <v>3293</v>
      </c>
      <c r="S2366" s="272" t="s">
        <v>3293</v>
      </c>
      <c r="T2366" s="273">
        <v>4.5999999999999996</v>
      </c>
      <c r="U2366" s="274"/>
      <c r="V2366" s="280"/>
      <c r="W2366" s="244"/>
      <c r="X2366" s="244"/>
      <c r="Y2366" s="362"/>
      <c r="Z2366" s="257">
        <f>altaz(J2000_Bas,$O2366,$M2366,DecLat,DecLong,1)</f>
        <v>64.038671016728756</v>
      </c>
      <c r="AA2366" s="257">
        <f>altaz((J2000_Bas+(2*0.04167)),$O2366,$M2366,DecLat,DecLong,1)</f>
        <v>45.861007590491695</v>
      </c>
      <c r="AB2366" s="257">
        <f>altaz((J2000_Bas+(4*0.04167)),$O2366,$M2366,DecLat,DecLong,1)</f>
        <v>21.013587045927132</v>
      </c>
      <c r="AC2366" s="257">
        <f>altaz((J2000_Bas+(6*0.04167)),$O2366,$M2366,DecLat,DecLong,1)</f>
        <v>-4.6666681932774878</v>
      </c>
      <c r="AD2366" s="258">
        <f>1+ transit((J2000_Bas-1),$O2366,$M2366,DecLat,DecLong)/360 + (GMTOffset/24) + (IF(DST="Y", 1, 0)/24)</f>
        <v>1.7618234948484581</v>
      </c>
      <c r="AE2366" s="259">
        <f>DATE(2001,9,21)+(M2366/360)*365 - (360*((DecLong/360)- (GMTOffset/24) ))</f>
        <v>37440.657118055555</v>
      </c>
      <c r="AF2366" s="260">
        <f>IF(DecLat&gt;0,IF((90 - (DecLat-O2366))&gt;90, (90 - (O2366-DecLat)), (90 - (DecLat-O2366))),IF((90 + (DecLat-O2366))&gt;90, (90 + (O2366-DecLat)), (90 + (DecLat-O2366))))</f>
        <v>65.508333333333326</v>
      </c>
      <c r="AG2366" s="257">
        <f>angularseperation(MoonRA,MoonDec,$M2366,$O2366)</f>
        <v>42.900227476171217</v>
      </c>
      <c r="AH2366" s="261">
        <f ca="1">MIN(100,IF($O$5&gt;80,0+30*($AG2366/100),IF($O$5&gt;70,0+50*($AG2366/100),IF($O$5&gt;60,5+50*($AG2366/100),IF($O$5&gt;50,10+60*($AG2366/100),IF($O$5&gt;40,15+70*($AG2366/100),IF($O$5&gt;30,20+70*($AG2366/100),IF($O$5&gt;20,40+55*($AG2366/100),(80+(20-$O$5)+30*($AG2366/100))))))))))</f>
        <v>96.141128587001788</v>
      </c>
      <c r="AI2366" s="262">
        <v>6633</v>
      </c>
      <c r="AJ2366" s="262"/>
      <c r="AK2366" s="262">
        <v>350</v>
      </c>
      <c r="AL2366" s="263"/>
      <c r="AM2366" s="264"/>
      <c r="AN2366" s="263"/>
      <c r="AO2366" s="263"/>
      <c r="AP2366" s="265"/>
      <c r="AQ2366" s="266"/>
      <c r="AR2366" s="267"/>
      <c r="AS2366" s="263"/>
      <c r="AT2366" s="263"/>
      <c r="AU2366" s="263"/>
      <c r="AV2366" s="264"/>
      <c r="AW2366" s="263"/>
      <c r="AX2366" s="263"/>
      <c r="AY2366" s="263"/>
      <c r="AZ2366" s="263"/>
      <c r="BA2366" s="263"/>
      <c r="BB2366" s="263"/>
      <c r="BC2366" s="263"/>
      <c r="BD2366" s="264"/>
      <c r="BE2366" s="263">
        <v>92</v>
      </c>
      <c r="BF2366" s="263"/>
      <c r="BG2366" s="263"/>
      <c r="BH2366" s="263"/>
      <c r="BI2366" s="263"/>
      <c r="BJ2366" s="404">
        <f>altaz(J2000_Bas,$O2366,$M2366,DecLat,DecLong,2)</f>
        <v>201.25271467320084</v>
      </c>
      <c r="BK2366" s="378" t="s">
        <v>2238</v>
      </c>
      <c r="BL2366" s="379">
        <f>IF((2*G2366)/60&lt;0.2,0.2,(2*G2366)/60)</f>
        <v>1</v>
      </c>
      <c r="BM2366" s="380">
        <f>MOD((50000+AD2366-$B$3+(0/24)),1)</f>
        <v>0.97719042454991722</v>
      </c>
      <c r="BN2366" s="381"/>
      <c r="BO2366" s="382">
        <v>2357</v>
      </c>
    </row>
    <row r="2367" spans="1:67" s="24" customFormat="1" ht="15" customHeight="1" x14ac:dyDescent="0.25">
      <c r="A2367" s="288" t="s">
        <v>2239</v>
      </c>
      <c r="B2367" s="241" t="str">
        <f>HYPERLINK(CONCATENATE($AT$3,BK2367,$AU$3),$AV$3)</f>
        <v>S</v>
      </c>
      <c r="C2367" s="242" t="str">
        <f>HYPERLINK(CONCATENATE($AT$4,BK2367,$AU$4,BL2367),$AV$4)</f>
        <v>A</v>
      </c>
      <c r="D2367" s="243" t="s">
        <v>5638</v>
      </c>
      <c r="E2367" s="244" t="s">
        <v>5192</v>
      </c>
      <c r="F2367" s="269" t="s">
        <v>8790</v>
      </c>
      <c r="G2367" s="273">
        <v>2</v>
      </c>
      <c r="H2367" s="283">
        <v>200</v>
      </c>
      <c r="I2367" s="246">
        <v>120</v>
      </c>
      <c r="J2367" s="246">
        <v>2</v>
      </c>
      <c r="K2367" s="247" t="s">
        <v>7988</v>
      </c>
      <c r="L2367" s="248">
        <v>182205</v>
      </c>
      <c r="M2367" s="249">
        <f>15*(LEFT(TEXT($L2367,"000000"),2)+(MID(TEXT($L2367,"000000"),3,2)/60)+(RIGHT(TEXT($L2367,"000000"),2)/3600))</f>
        <v>275.52083333333337</v>
      </c>
      <c r="N2367" s="250">
        <v>663720</v>
      </c>
      <c r="O2367" s="251">
        <f>IF($N2367&gt;0,(LEFT(TEXT($N2367,"000000"),2)+(MID(TEXT($N2367,"000000"),3,2)/60)+(RIGHT(TEXT($N2367,"000000"),2)/3600)),-(MID(TEXT($N2367,"000000"),2,2)+(MID(TEXT($N2367,"000000"),4,2)/60)+(RIGHT(TEXT($N2367,"000000"),2)/3600)))</f>
        <v>66.62222222222222</v>
      </c>
      <c r="P2367" s="252" t="s">
        <v>34</v>
      </c>
      <c r="Q2367" s="253"/>
      <c r="R2367" s="247" t="s">
        <v>3293</v>
      </c>
      <c r="S2367" s="272" t="s">
        <v>3293</v>
      </c>
      <c r="T2367" s="273">
        <v>13.7</v>
      </c>
      <c r="U2367" s="289">
        <v>22.29</v>
      </c>
      <c r="V2367" s="280">
        <v>85</v>
      </c>
      <c r="W2367" s="244"/>
      <c r="X2367" s="244"/>
      <c r="Y2367" s="362"/>
      <c r="Z2367" s="257">
        <f>altaz(J2000_Bas,$O2367,$M2367,DecLat,DecLong,1)</f>
        <v>53.823192042876506</v>
      </c>
      <c r="AA2367" s="257">
        <f>altaz((J2000_Bas+(2*0.04167)),$O2367,$M2367,DecLat,DecLong,1)</f>
        <v>46.981124735010972</v>
      </c>
      <c r="AB2367" s="257">
        <f>altaz((J2000_Bas+(4*0.04167)),$O2367,$M2367,DecLat,DecLong,1)</f>
        <v>35.834546685818317</v>
      </c>
      <c r="AC2367" s="257">
        <f>altaz((J2000_Bas+(6*0.04167)),$O2367,$M2367,DecLat,DecLong,1)</f>
        <v>24.167329608688696</v>
      </c>
      <c r="AD2367" s="258">
        <f>1+ transit((J2000_Bas-1),$O2367,$M2367,DecLat,DecLong)/360 + (GMTOffset/24) + (IF(DST="Y", 1, 0)/24)</f>
        <v>1.7582355322442915</v>
      </c>
      <c r="AE2367" s="259">
        <f>DATE(2001,9,21)+(M2367/360)*365 - (360*((DecLong/360)- (GMTOffset/24) ))</f>
        <v>37439.347511574073</v>
      </c>
      <c r="AF2367" s="260">
        <f>IF(DecLat&gt;0,IF((90 - (DecLat-O2367))&gt;90, (90 - (O2367-DecLat)), (90 - (DecLat-O2367))),IF((90 + (DecLat-O2367))&gt;90, (90 + (O2367-DecLat)), (90 + (DecLat-O2367))))</f>
        <v>54.37777777777778</v>
      </c>
      <c r="AG2367" s="257">
        <f>angularseperation(MoonRA,MoonDec,$M2367,$O2367)</f>
        <v>95.805623872979183</v>
      </c>
      <c r="AH2367" s="261">
        <f ca="1">MIN(100,IF($O$5&gt;80,0+30*($AG2367/100),IF($O$5&gt;70,0+50*($AG2367/100),IF($O$5&gt;60,5+50*($AG2367/100),IF($O$5&gt;50,10+60*($AG2367/100),IF($O$5&gt;40,15+70*($AG2367/100),IF($O$5&gt;30,20+70*($AG2367/100),IF($O$5&gt;20,40+55*($AG2367/100),(80+(20-$O$5)+30*($AG2367/100))))))))))</f>
        <v>100</v>
      </c>
      <c r="AI2367" s="262">
        <v>6636</v>
      </c>
      <c r="AJ2367" s="262"/>
      <c r="AK2367" s="262"/>
      <c r="AL2367" s="263"/>
      <c r="AM2367" s="264"/>
      <c r="AN2367" s="263"/>
      <c r="AO2367" s="263"/>
      <c r="AP2367" s="265"/>
      <c r="AQ2367" s="266">
        <v>11221</v>
      </c>
      <c r="AR2367" s="267">
        <v>61782</v>
      </c>
      <c r="AS2367" s="263"/>
      <c r="AT2367" s="263"/>
      <c r="AU2367" s="263"/>
      <c r="AV2367" s="264"/>
      <c r="AW2367" s="263"/>
      <c r="AX2367" s="263"/>
      <c r="AY2367" s="263"/>
      <c r="AZ2367" s="263"/>
      <c r="BA2367" s="263"/>
      <c r="BB2367" s="263"/>
      <c r="BC2367" s="263"/>
      <c r="BD2367" s="264"/>
      <c r="BE2367" s="263"/>
      <c r="BF2367" s="263"/>
      <c r="BG2367" s="263"/>
      <c r="BH2367" s="263"/>
      <c r="BI2367" s="263"/>
      <c r="BJ2367" s="404">
        <f>altaz(J2000_Bas,$O2367,$M2367,DecLat,DecLong,2)</f>
        <v>352.97567855632951</v>
      </c>
      <c r="BK2367" s="378" t="s">
        <v>2239</v>
      </c>
      <c r="BL2367" s="379">
        <f>IF((2*G2367)/60&lt;0.2,0.2,(2*G2367)/60)</f>
        <v>0.2</v>
      </c>
      <c r="BM2367" s="380">
        <f>MOD((50000+AD2367-$B$3+(0/24)),1)</f>
        <v>0.97360246194875799</v>
      </c>
      <c r="BN2367" s="381"/>
      <c r="BO2367" s="382">
        <v>2358</v>
      </c>
    </row>
    <row r="2368" spans="1:67" s="24" customFormat="1" ht="15" customHeight="1" x14ac:dyDescent="0.25">
      <c r="A2368" s="288" t="s">
        <v>2240</v>
      </c>
      <c r="B2368" s="241" t="str">
        <f>HYPERLINK(CONCATENATE($AT$3,BK2368,$AU$3),$AV$3)</f>
        <v>S</v>
      </c>
      <c r="C2368" s="242" t="str">
        <f>HYPERLINK(CONCATENATE($AT$4,BK2368,$AU$4,BL2368),$AV$4)</f>
        <v>A</v>
      </c>
      <c r="D2368" s="243" t="s">
        <v>5335</v>
      </c>
      <c r="E2368" s="244" t="s">
        <v>5184</v>
      </c>
      <c r="F2368" s="269" t="s">
        <v>3312</v>
      </c>
      <c r="G2368" s="273">
        <v>7</v>
      </c>
      <c r="H2368" s="283">
        <v>30000</v>
      </c>
      <c r="I2368" s="246">
        <v>60</v>
      </c>
      <c r="J2368" s="246">
        <v>2</v>
      </c>
      <c r="K2368" s="247" t="s">
        <v>7989</v>
      </c>
      <c r="L2368" s="248">
        <v>183056</v>
      </c>
      <c r="M2368" s="249">
        <f>15*(LEFT(TEXT($L2368,"000000"),2)+(MID(TEXT($L2368,"000000"),3,2)/60)+(RIGHT(TEXT($L2368,"000000"),2)/3600))</f>
        <v>277.73333333333329</v>
      </c>
      <c r="N2368" s="250">
        <v>-252956</v>
      </c>
      <c r="O2368" s="251">
        <f>IF($N2368&gt;0,(LEFT(TEXT($N2368,"000000"),2)+(MID(TEXT($N2368,"000000"),3,2)/60)+(RIGHT(TEXT($N2368,"000000"),2)/3600)),-(MID(TEXT($N2368,"000000"),2,2)+(MID(TEXT($N2368,"000000"),4,2)/60)+(RIGHT(TEXT($N2368,"000000"),2)/3600)))</f>
        <v>-25.498888888888889</v>
      </c>
      <c r="P2368" s="252" t="s">
        <v>119</v>
      </c>
      <c r="Q2368" s="253"/>
      <c r="R2368" s="247" t="s">
        <v>3293</v>
      </c>
      <c r="S2368" s="272" t="s">
        <v>3293</v>
      </c>
      <c r="T2368" s="273">
        <v>9.1999999999999993</v>
      </c>
      <c r="U2368" s="274"/>
      <c r="V2368" s="280"/>
      <c r="W2368" s="244"/>
      <c r="X2368" s="244"/>
      <c r="Y2368" s="362"/>
      <c r="Z2368" s="257">
        <f>altaz(J2000_Bas,$O2368,$M2368,DecLat,DecLong,1)</f>
        <v>32.950159065274072</v>
      </c>
      <c r="AA2368" s="257">
        <f>altaz((J2000_Bas+(2*0.04167)),$O2368,$M2368,DecLat,DecLong,1)</f>
        <v>22.643085431709903</v>
      </c>
      <c r="AB2368" s="257">
        <f>altaz((J2000_Bas+(4*0.04167)),$O2368,$M2368,DecLat,DecLong,1)</f>
        <v>3.5893939125605479</v>
      </c>
      <c r="AC2368" s="257">
        <f>altaz((J2000_Bas+(6*0.04167)),$O2368,$M2368,DecLat,DecLong,1)</f>
        <v>-19.656659754560955</v>
      </c>
      <c r="AD2368" s="258">
        <f>1+ transit((J2000_Bas-1),$O2368,$M2368,DecLat,DecLong)/360 + (GMTOffset/24) + (IF(DST="Y", 1, 0)/24)</f>
        <v>1.7643813649630413</v>
      </c>
      <c r="AE2368" s="259">
        <f>DATE(2001,9,21)+(M2368/360)*365 - (360*((DecLong/360)- (GMTOffset/24) ))</f>
        <v>37441.590740740743</v>
      </c>
      <c r="AF2368" s="260">
        <f>IF(DecLat&gt;0,IF((90 - (DecLat-O2368))&gt;90, (90 - (O2368-DecLat)), (90 - (DecLat-O2368))),IF((90 + (DecLat-O2368))&gt;90, (90 + (O2368-DecLat)), (90 + (DecLat-O2368))))</f>
        <v>33.501111111111115</v>
      </c>
      <c r="AG2368" s="257">
        <f>angularseperation(MoonRA,MoonDec,$M2368,$O2368)</f>
        <v>25.539221447621028</v>
      </c>
      <c r="AH2368" s="261">
        <f ca="1">MIN(100,IF($O$5&gt;80,0+30*($AG2368/100),IF($O$5&gt;70,0+50*($AG2368/100),IF($O$5&gt;60,5+50*($AG2368/100),IF($O$5&gt;50,10+60*($AG2368/100),IF($O$5&gt;40,15+70*($AG2368/100),IF($O$5&gt;30,20+70*($AG2368/100),IF($O$5&gt;20,40+55*($AG2368/100),(80+(20-$O$5)+30*($AG2368/100))))))))))</f>
        <v>90.932826778436734</v>
      </c>
      <c r="AI2368" s="262">
        <v>6638</v>
      </c>
      <c r="AJ2368" s="262"/>
      <c r="AK2368" s="262">
        <v>351</v>
      </c>
      <c r="AL2368" s="263"/>
      <c r="AM2368" s="264"/>
      <c r="AN2368" s="263"/>
      <c r="AO2368" s="263"/>
      <c r="AP2368" s="265"/>
      <c r="AQ2368" s="266"/>
      <c r="AR2368" s="267"/>
      <c r="AS2368" s="263"/>
      <c r="AT2368" s="263"/>
      <c r="AU2368" s="263"/>
      <c r="AV2368" s="264"/>
      <c r="AW2368" s="263"/>
      <c r="AX2368" s="263"/>
      <c r="AY2368" s="263"/>
      <c r="AZ2368" s="263"/>
      <c r="BA2368" s="263"/>
      <c r="BB2368" s="263"/>
      <c r="BC2368" s="263"/>
      <c r="BD2368" s="264"/>
      <c r="BE2368" s="263"/>
      <c r="BF2368" s="263">
        <v>83</v>
      </c>
      <c r="BG2368" s="263"/>
      <c r="BH2368" s="263"/>
      <c r="BI2368" s="263"/>
      <c r="BJ2368" s="404">
        <f>altaz(J2000_Bas,$O2368,$M2368,DecLat,DecLong,2)</f>
        <v>188.8994481420128</v>
      </c>
      <c r="BK2368" s="378" t="s">
        <v>2240</v>
      </c>
      <c r="BL2368" s="379">
        <f>IF((2*G2368)/60&lt;0.2,0.2,(2*G2368)/60)</f>
        <v>0.23333333333333334</v>
      </c>
      <c r="BM2368" s="380">
        <f>MOD((50000+AD2368-$B$3+(0/24)),1)</f>
        <v>0.97974829466693336</v>
      </c>
      <c r="BN2368" s="381"/>
      <c r="BO2368" s="382">
        <v>2359</v>
      </c>
    </row>
    <row r="2369" spans="1:67" s="24" customFormat="1" ht="15" customHeight="1" x14ac:dyDescent="0.25">
      <c r="A2369" s="287" t="s">
        <v>3026</v>
      </c>
      <c r="B2369" s="241" t="str">
        <f>HYPERLINK(CONCATENATE($AT$3,BK2369,$AU$3),$AV$3)</f>
        <v>S</v>
      </c>
      <c r="C2369" s="242" t="str">
        <f>HYPERLINK(CONCATENATE($AT$4,BK2369,$AU$4,BL2369),$AV$4)</f>
        <v>A</v>
      </c>
      <c r="D2369" s="243" t="s">
        <v>5335</v>
      </c>
      <c r="E2369" s="244" t="s">
        <v>5184</v>
      </c>
      <c r="F2369" s="269" t="s">
        <v>3317</v>
      </c>
      <c r="G2369" s="273">
        <v>5.8</v>
      </c>
      <c r="H2369" s="283">
        <v>27000</v>
      </c>
      <c r="I2369" s="246">
        <v>46</v>
      </c>
      <c r="J2369" s="246">
        <v>2</v>
      </c>
      <c r="K2369" s="247" t="s">
        <v>7990</v>
      </c>
      <c r="L2369" s="248">
        <v>183154</v>
      </c>
      <c r="M2369" s="249">
        <f>15*(LEFT(TEXT($L2369,"000000"),2)+(MID(TEXT($L2369,"000000"),3,2)/60)+(RIGHT(TEXT($L2369,"000000"),2)/3600))</f>
        <v>277.97500000000002</v>
      </c>
      <c r="N2369" s="250">
        <v>-232900</v>
      </c>
      <c r="O2369" s="251">
        <f>IF($N2369&gt;0,(LEFT(TEXT($N2369,"000000"),2)+(MID(TEXT($N2369,"000000"),3,2)/60)+(RIGHT(TEXT($N2369,"000000"),2)/3600)),-(MID(TEXT($N2369,"000000"),2,2)+(MID(TEXT($N2369,"000000"),4,2)/60)+(RIGHT(TEXT($N2369,"000000"),2)/3600)))</f>
        <v>-23.483333333333334</v>
      </c>
      <c r="P2369" s="252" t="s">
        <v>119</v>
      </c>
      <c r="Q2369" s="253"/>
      <c r="R2369" s="277" t="s">
        <v>3293</v>
      </c>
      <c r="S2369" s="272" t="s">
        <v>3293</v>
      </c>
      <c r="T2369" s="273">
        <v>10.199999999999999</v>
      </c>
      <c r="U2369" s="274"/>
      <c r="V2369" s="280"/>
      <c r="W2369" s="244"/>
      <c r="X2369" s="244"/>
      <c r="Y2369" s="362"/>
      <c r="Z2369" s="257">
        <f>altaz(J2000_Bas,$O2369,$M2369,DecLat,DecLong,1)</f>
        <v>34.976185637538464</v>
      </c>
      <c r="AA2369" s="257">
        <f>altaz((J2000_Bas+(2*0.04167)),$O2369,$M2369,DecLat,DecLong,1)</f>
        <v>24.414236137004455</v>
      </c>
      <c r="AB2369" s="257">
        <f>altaz((J2000_Bas+(4*0.04167)),$O2369,$M2369,DecLat,DecLong,1)</f>
        <v>4.9776868292132708</v>
      </c>
      <c r="AC2369" s="257">
        <f>altaz((J2000_Bas+(6*0.04167)),$O2369,$M2369,DecLat,DecLong,1)</f>
        <v>-18.570305652678556</v>
      </c>
      <c r="AD2369" s="258">
        <f>1+ transit((J2000_Bas-1),$O2369,$M2369,DecLat,DecLong)/360 + (GMTOffset/24) + (IF(DST="Y", 1, 0)/24)</f>
        <v>1.7650526611922082</v>
      </c>
      <c r="AE2369" s="259">
        <f>DATE(2001,9,21)+(M2369/360)*365 - (360*((DecLong/360)- (GMTOffset/24) ))</f>
        <v>37441.835763888892</v>
      </c>
      <c r="AF2369" s="260">
        <f>IF(DecLat&gt;0,IF((90 - (DecLat-O2369))&gt;90, (90 - (O2369-DecLat)), (90 - (DecLat-O2369))),IF((90 + (DecLat-O2369))&gt;90, (90 + (O2369-DecLat)), (90 + (DecLat-O2369))))</f>
        <v>35.516666666666666</v>
      </c>
      <c r="AG2369" s="257">
        <f>angularseperation(MoonRA,MoonDec,$M2369,$O2369)</f>
        <v>26.171595043145409</v>
      </c>
      <c r="AH2369" s="261">
        <f ca="1">MIN(100,IF($O$5&gt;80,0+30*($AG2369/100),IF($O$5&gt;70,0+50*($AG2369/100),IF($O$5&gt;60,5+50*($AG2369/100),IF($O$5&gt;50,10+60*($AG2369/100),IF($O$5&gt;40,15+70*($AG2369/100),IF($O$5&gt;30,20+70*($AG2369/100),IF($O$5&gt;20,40+55*($AG2369/100),(80+(20-$O$5)+30*($AG2369/100))))))))))</f>
        <v>91.122538857094042</v>
      </c>
      <c r="AI2369" s="262">
        <v>6642</v>
      </c>
      <c r="AJ2369" s="263"/>
      <c r="AK2369" s="263">
        <v>352</v>
      </c>
      <c r="AL2369" s="263"/>
      <c r="AM2369" s="264"/>
      <c r="AN2369" s="263"/>
      <c r="AO2369" s="263"/>
      <c r="AP2369" s="265"/>
      <c r="AQ2369" s="265"/>
      <c r="AR2369" s="285"/>
      <c r="AS2369" s="263"/>
      <c r="AT2369" s="263"/>
      <c r="AU2369" s="263"/>
      <c r="AV2369" s="264"/>
      <c r="AW2369" s="263"/>
      <c r="AX2369" s="263"/>
      <c r="AY2369" s="263"/>
      <c r="AZ2369" s="263"/>
      <c r="BA2369" s="263"/>
      <c r="BB2369" s="263"/>
      <c r="BC2369" s="263"/>
      <c r="BD2369" s="264"/>
      <c r="BE2369" s="263"/>
      <c r="BF2369" s="263"/>
      <c r="BG2369" s="263"/>
      <c r="BH2369" s="263"/>
      <c r="BI2369" s="263"/>
      <c r="BJ2369" s="404">
        <f>altaz(J2000_Bas,$O2369,$M2369,DecLat,DecLong,2)</f>
        <v>188.99315145433872</v>
      </c>
      <c r="BK2369" s="378" t="s">
        <v>3026</v>
      </c>
      <c r="BL2369" s="379">
        <f>IF((2*G2369)/60&lt;0.2,0.2,(2*G2369)/60)</f>
        <v>0.2</v>
      </c>
      <c r="BM2369" s="380">
        <f>MOD((50000+AD2369-$B$3+(0/24)),1)</f>
        <v>0.98041959089459851</v>
      </c>
      <c r="BN2369" s="381"/>
      <c r="BO2369" s="382">
        <v>2360</v>
      </c>
    </row>
    <row r="2370" spans="1:67" s="24" customFormat="1" ht="15" customHeight="1" x14ac:dyDescent="0.25">
      <c r="A2370" s="288" t="s">
        <v>2241</v>
      </c>
      <c r="B2370" s="241" t="str">
        <f>HYPERLINK(CONCATENATE($AT$3,BK2370,$AU$3),$AV$3)</f>
        <v>S</v>
      </c>
      <c r="C2370" s="242" t="str">
        <f>HYPERLINK(CONCATENATE($AT$4,BK2370,$AU$4,BL2370),$AV$4)</f>
        <v>A</v>
      </c>
      <c r="D2370" s="243" t="s">
        <v>5638</v>
      </c>
      <c r="E2370" s="244" t="s">
        <v>4292</v>
      </c>
      <c r="F2370" s="269"/>
      <c r="G2370" s="273">
        <v>3</v>
      </c>
      <c r="H2370" s="283">
        <v>70</v>
      </c>
      <c r="I2370" s="246">
        <v>60</v>
      </c>
      <c r="J2370" s="246">
        <v>2</v>
      </c>
      <c r="K2370" s="247" t="s">
        <v>7991</v>
      </c>
      <c r="L2370" s="248">
        <v>181946</v>
      </c>
      <c r="M2370" s="249">
        <f>15*(LEFT(TEXT($L2370,"000000"),2)+(MID(TEXT($L2370,"000000"),3,2)/60)+(RIGHT(TEXT($L2370,"000000"),2)/3600))</f>
        <v>274.94166666666666</v>
      </c>
      <c r="N2370" s="250">
        <v>743408</v>
      </c>
      <c r="O2370" s="251">
        <f>IF($N2370&gt;0,(LEFT(TEXT($N2370,"000000"),2)+(MID(TEXT($N2370,"000000"),3,2)/60)+(RIGHT(TEXT($N2370,"000000"),2)/3600)),-(MID(TEXT($N2370,"000000"),2,2)+(MID(TEXT($N2370,"000000"),4,2)/60)+(RIGHT(TEXT($N2370,"000000"),2)/3600)))</f>
        <v>74.568888888888878</v>
      </c>
      <c r="P2370" s="252" t="s">
        <v>34</v>
      </c>
      <c r="Q2370" s="253"/>
      <c r="R2370" s="247" t="s">
        <v>3293</v>
      </c>
      <c r="S2370" s="272" t="s">
        <v>3293</v>
      </c>
      <c r="T2370" s="273">
        <v>11.1</v>
      </c>
      <c r="U2370" s="289">
        <v>21.990000000000002</v>
      </c>
      <c r="V2370" s="280">
        <v>65</v>
      </c>
      <c r="W2370" s="244"/>
      <c r="X2370" s="244"/>
      <c r="Y2370" s="362"/>
      <c r="Z2370" s="257">
        <f>altaz(J2000_Bas,$O2370,$M2370,DecLat,DecLong,1)</f>
        <v>46.080031686617872</v>
      </c>
      <c r="AA2370" s="257">
        <f>altaz((J2000_Bas+(2*0.04167)),$O2370,$M2370,DecLat,DecLong,1)</f>
        <v>41.929918443904555</v>
      </c>
      <c r="AB2370" s="257">
        <f>altaz((J2000_Bas+(4*0.04167)),$O2370,$M2370,DecLat,DecLong,1)</f>
        <v>34.740388233925827</v>
      </c>
      <c r="AC2370" s="257">
        <f>altaz((J2000_Bas+(6*0.04167)),$O2370,$M2370,DecLat,DecLong,1)</f>
        <v>26.854359753422539</v>
      </c>
      <c r="AD2370" s="258">
        <f>1+ transit((J2000_Bas-1),$O2370,$M2370,DecLat,DecLong)/360 + (GMTOffset/24) + (IF(DST="Y", 1, 0)/24)</f>
        <v>1.7566267361088748</v>
      </c>
      <c r="AE2370" s="259">
        <f>DATE(2001,9,21)+(M2370/360)*365 - (360*((DecLong/360)- (GMTOffset/24) ))</f>
        <v>37438.760300925926</v>
      </c>
      <c r="AF2370" s="260">
        <f>IF(DecLat&gt;0,IF((90 - (DecLat-O2370))&gt;90, (90 - (O2370-DecLat)), (90 - (DecLat-O2370))),IF((90 + (DecLat-O2370))&gt;90, (90 + (O2370-DecLat)), (90 + (DecLat-O2370))))</f>
        <v>46.431111111111122</v>
      </c>
      <c r="AG2370" s="257">
        <f>angularseperation(MoonRA,MoonDec,$M2370,$O2370)</f>
        <v>103.02746980981145</v>
      </c>
      <c r="AH2370" s="261">
        <f ca="1">MIN(100,IF($O$5&gt;80,0+30*($AG2370/100),IF($O$5&gt;70,0+50*($AG2370/100),IF($O$5&gt;60,5+50*($AG2370/100),IF($O$5&gt;50,10+60*($AG2370/100),IF($O$5&gt;40,15+70*($AG2370/100),IF($O$5&gt;30,20+70*($AG2370/100),IF($O$5&gt;20,40+55*($AG2370/100),(80+(20-$O$5)+30*($AG2370/100))))))))))</f>
        <v>100</v>
      </c>
      <c r="AI2370" s="262">
        <v>6643</v>
      </c>
      <c r="AJ2370" s="262"/>
      <c r="AK2370" s="262"/>
      <c r="AL2370" s="263"/>
      <c r="AM2370" s="264"/>
      <c r="AN2370" s="263"/>
      <c r="AO2370" s="263"/>
      <c r="AP2370" s="265"/>
      <c r="AQ2370" s="266">
        <v>11218</v>
      </c>
      <c r="AR2370" s="267">
        <v>61742</v>
      </c>
      <c r="AS2370" s="263"/>
      <c r="AT2370" s="263"/>
      <c r="AU2370" s="263"/>
      <c r="AV2370" s="264"/>
      <c r="AW2370" s="263"/>
      <c r="AX2370" s="263"/>
      <c r="AY2370" s="263"/>
      <c r="AZ2370" s="263"/>
      <c r="BA2370" s="263"/>
      <c r="BB2370" s="263"/>
      <c r="BC2370" s="263"/>
      <c r="BD2370" s="264"/>
      <c r="BE2370" s="263"/>
      <c r="BF2370" s="263"/>
      <c r="BG2370" s="263"/>
      <c r="BH2370" s="263"/>
      <c r="BI2370" s="263"/>
      <c r="BJ2370" s="404">
        <f>altaz(J2000_Bas,$O2370,$M2370,DecLat,DecLong,2)</f>
        <v>355.77959598505788</v>
      </c>
      <c r="BK2370" s="378" t="s">
        <v>2241</v>
      </c>
      <c r="BL2370" s="379">
        <f>IF((2*G2370)/60&lt;0.2,0.2,(2*G2370)/60)</f>
        <v>0.2</v>
      </c>
      <c r="BM2370" s="380">
        <f>MOD((50000+AD2370-$B$3+(0/24)),1)</f>
        <v>0.97199366581480717</v>
      </c>
      <c r="BN2370" s="381"/>
      <c r="BO2370" s="382">
        <v>2361</v>
      </c>
    </row>
    <row r="2371" spans="1:67" s="24" customFormat="1" ht="15" customHeight="1" x14ac:dyDescent="0.25">
      <c r="A2371" s="287" t="s">
        <v>3027</v>
      </c>
      <c r="B2371" s="241" t="str">
        <f>HYPERLINK(CONCATENATE($AT$3,BK2371,$AU$3),$AV$3)</f>
        <v>S</v>
      </c>
      <c r="C2371" s="242" t="str">
        <f>HYPERLINK(CONCATENATE($AT$4,BK2371,$AU$4,BL2371),$AV$4)</f>
        <v>A</v>
      </c>
      <c r="D2371" s="243" t="s">
        <v>5335</v>
      </c>
      <c r="E2371" s="244" t="s">
        <v>5185</v>
      </c>
      <c r="F2371" s="269" t="s">
        <v>4419</v>
      </c>
      <c r="G2371" s="276">
        <v>12</v>
      </c>
      <c r="H2371" s="283">
        <v>5800</v>
      </c>
      <c r="I2371" s="246">
        <v>20</v>
      </c>
      <c r="J2371" s="246">
        <v>2</v>
      </c>
      <c r="K2371" s="247" t="s">
        <v>8585</v>
      </c>
      <c r="L2371" s="248">
        <v>183236</v>
      </c>
      <c r="M2371" s="249">
        <f>15*(LEFT(TEXT($L2371,"000000"),2)+(MID(TEXT($L2371,"000000"),3,2)/60)+(RIGHT(TEXT($L2371,"000000"),2)/3600))</f>
        <v>278.15000000000003</v>
      </c>
      <c r="N2371" s="250">
        <v>-165400</v>
      </c>
      <c r="O2371" s="251">
        <f>IF($N2371&gt;0,(LEFT(TEXT($N2371,"000000"),2)+(MID(TEXT($N2371,"000000"),3,2)/60)+(RIGHT(TEXT($N2371,"000000"),2)/3600)),-(MID(TEXT($N2371,"000000"),2,2)+(MID(TEXT($N2371,"000000"),4,2)/60)+(RIGHT(TEXT($N2371,"000000"),2)/3600)))</f>
        <v>-16.899999999999999</v>
      </c>
      <c r="P2371" s="252" t="s">
        <v>119</v>
      </c>
      <c r="Q2371" s="253"/>
      <c r="R2371" s="277" t="s">
        <v>3293</v>
      </c>
      <c r="S2371" s="272" t="s">
        <v>3293</v>
      </c>
      <c r="T2371" s="273">
        <v>8.5</v>
      </c>
      <c r="U2371" s="274"/>
      <c r="V2371" s="280"/>
      <c r="W2371" s="244"/>
      <c r="X2371" s="244"/>
      <c r="Y2371" s="362"/>
      <c r="Z2371" s="257">
        <f>altaz(J2000_Bas,$O2371,$M2371,DecLat,DecLong,1)</f>
        <v>41.508862364822882</v>
      </c>
      <c r="AA2371" s="257">
        <f>altaz((J2000_Bas+(2*0.04167)),$O2371,$M2371,DecLat,DecLong,1)</f>
        <v>29.809451031049537</v>
      </c>
      <c r="AB2371" s="257">
        <f>altaz((J2000_Bas+(4*0.04167)),$O2371,$M2371,DecLat,DecLong,1)</f>
        <v>9.0457124136179097</v>
      </c>
      <c r="AC2371" s="257">
        <f>altaz((J2000_Bas+(6*0.04167)),$O2371,$M2371,DecLat,DecLong,1)</f>
        <v>-15.389024938614936</v>
      </c>
      <c r="AD2371" s="258">
        <f>1+ transit((J2000_Bas-1),$O2371,$M2371,DecLat,DecLong)/360 + (GMTOffset/24) + (IF(DST="Y", 1, 0)/24)</f>
        <v>1.7655387722547082</v>
      </c>
      <c r="AE2371" s="259">
        <f>DATE(2001,9,21)+(M2371/360)*365 - (360*((DecLong/360)- (GMTOffset/24) ))</f>
        <v>37442.013194444444</v>
      </c>
      <c r="AF2371" s="260">
        <f>IF(DecLat&gt;0,IF((90 - (DecLat-O2371))&gt;90, (90 - (O2371-DecLat)), (90 - (DecLat-O2371))),IF((90 + (DecLat-O2371))&gt;90, (90 + (O2371-DecLat)), (90 + (DecLat-O2371))))</f>
        <v>42.1</v>
      </c>
      <c r="AG2371" s="257">
        <f>angularseperation(MoonRA,MoonDec,$M2371,$O2371)</f>
        <v>28.586438792112226</v>
      </c>
      <c r="AH2371" s="261">
        <f ca="1">MIN(100,IF($O$5&gt;80,0+30*($AG2371/100),IF($O$5&gt;70,0+50*($AG2371/100),IF($O$5&gt;60,5+50*($AG2371/100),IF($O$5&gt;50,10+60*($AG2371/100),IF($O$5&gt;40,15+70*($AG2371/100),IF($O$5&gt;30,20+70*($AG2371/100),IF($O$5&gt;20,40+55*($AG2371/100),(80+(20-$O$5)+30*($AG2371/100))))))))))</f>
        <v>91.8469919817841</v>
      </c>
      <c r="AI2371" s="262">
        <v>6645</v>
      </c>
      <c r="AJ2371" s="263"/>
      <c r="AK2371" s="263">
        <v>353</v>
      </c>
      <c r="AL2371" s="263"/>
      <c r="AM2371" s="264"/>
      <c r="AN2371" s="263"/>
      <c r="AO2371" s="263"/>
      <c r="AP2371" s="265"/>
      <c r="AQ2371" s="265"/>
      <c r="AR2371" s="285"/>
      <c r="AS2371" s="263"/>
      <c r="AT2371" s="263"/>
      <c r="AU2371" s="263"/>
      <c r="AV2371" s="264"/>
      <c r="AW2371" s="263"/>
      <c r="AX2371" s="263"/>
      <c r="AY2371" s="263"/>
      <c r="AZ2371" s="263"/>
      <c r="BA2371" s="263"/>
      <c r="BB2371" s="263"/>
      <c r="BC2371" s="263"/>
      <c r="BD2371" s="264"/>
      <c r="BE2371" s="263"/>
      <c r="BF2371" s="263"/>
      <c r="BG2371" s="263"/>
      <c r="BH2371" s="263"/>
      <c r="BI2371" s="263"/>
      <c r="BJ2371" s="404">
        <f>altaz(J2000_Bas,$O2371,$M2371,DecLat,DecLong,2)</f>
        <v>190.05346922791946</v>
      </c>
      <c r="BK2371" s="378" t="s">
        <v>3027</v>
      </c>
      <c r="BL2371" s="379">
        <f>IF((2*G2371)/60&lt;0.2,0.2,(2*G2371)/60)</f>
        <v>0.4</v>
      </c>
      <c r="BM2371" s="380">
        <f>MOD((50000+AD2371-$B$3+(0/24)),1)</f>
        <v>0.98090570195927285</v>
      </c>
      <c r="BN2371" s="381"/>
      <c r="BO2371" s="382">
        <v>2362</v>
      </c>
    </row>
    <row r="2372" spans="1:67" s="24" customFormat="1" ht="15" customHeight="1" x14ac:dyDescent="0.25">
      <c r="A2372" s="288" t="s">
        <v>2242</v>
      </c>
      <c r="B2372" s="241" t="str">
        <f>HYPERLINK(CONCATENATE($AT$3,BK2372,$AU$3),$AV$3)</f>
        <v>S</v>
      </c>
      <c r="C2372" s="242" t="str">
        <f>HYPERLINK(CONCATENATE($AT$4,BK2372,$AU$4,BL2372),$AV$4)</f>
        <v>A</v>
      </c>
      <c r="D2372" s="243" t="s">
        <v>5638</v>
      </c>
      <c r="E2372" s="244" t="s">
        <v>5182</v>
      </c>
      <c r="F2372" s="269" t="s">
        <v>8933</v>
      </c>
      <c r="G2372" s="273">
        <v>2.5</v>
      </c>
      <c r="H2372" s="283">
        <v>90</v>
      </c>
      <c r="I2372" s="246">
        <v>65</v>
      </c>
      <c r="J2372" s="246">
        <v>2</v>
      </c>
      <c r="K2372" s="247" t="s">
        <v>8586</v>
      </c>
      <c r="L2372" s="248">
        <v>182408</v>
      </c>
      <c r="M2372" s="249">
        <f>15*(LEFT(TEXT($L2372,"000000"),2)+(MID(TEXT($L2372,"000000"),3,2)/60)+(RIGHT(TEXT($L2372,"000000"),2)/3600))</f>
        <v>276.0333333333333</v>
      </c>
      <c r="N2372" s="250">
        <v>731058</v>
      </c>
      <c r="O2372" s="251">
        <f>IF($N2372&gt;0,(LEFT(TEXT($N2372,"000000"),2)+(MID(TEXT($N2372,"000000"),3,2)/60)+(RIGHT(TEXT($N2372,"000000"),2)/3600)),-(MID(TEXT($N2372,"000000"),2,2)+(MID(TEXT($N2372,"000000"),4,2)/60)+(RIGHT(TEXT($N2372,"000000"),2)/3600)))</f>
        <v>73.182777777777787</v>
      </c>
      <c r="P2372" s="252" t="s">
        <v>34</v>
      </c>
      <c r="Q2372" s="253"/>
      <c r="R2372" s="247" t="s">
        <v>3293</v>
      </c>
      <c r="S2372" s="272" t="s">
        <v>3293</v>
      </c>
      <c r="T2372" s="273">
        <v>12</v>
      </c>
      <c r="U2372" s="289">
        <v>22.59</v>
      </c>
      <c r="V2372" s="280">
        <v>45</v>
      </c>
      <c r="W2372" s="244"/>
      <c r="X2372" s="244"/>
      <c r="Y2372" s="362"/>
      <c r="Z2372" s="257">
        <f>altaz(J2000_Bas,$O2372,$M2372,DecLat,DecLong,1)</f>
        <v>47.49869174224461</v>
      </c>
      <c r="AA2372" s="257">
        <f>altaz((J2000_Bas+(2*0.04167)),$O2372,$M2372,DecLat,DecLong,1)</f>
        <v>43.065715180136131</v>
      </c>
      <c r="AB2372" s="257">
        <f>altaz((J2000_Bas+(4*0.04167)),$O2372,$M2372,DecLat,DecLong,1)</f>
        <v>35.258582303881283</v>
      </c>
      <c r="AC2372" s="257">
        <f>altaz((J2000_Bas+(6*0.04167)),$O2372,$M2372,DecLat,DecLong,1)</f>
        <v>26.679375892261529</v>
      </c>
      <c r="AD2372" s="258">
        <f>1+ transit((J2000_Bas-1),$O2372,$M2372,DecLat,DecLong)/360 + (GMTOffset/24) + (IF(DST="Y", 1, 0)/24)</f>
        <v>1.7596591432130413</v>
      </c>
      <c r="AE2372" s="259">
        <f>DATE(2001,9,21)+(M2372/360)*365 - (360*((DecLong/360)- (GMTOffset/24) ))</f>
        <v>37439.867129629631</v>
      </c>
      <c r="AF2372" s="260">
        <f>IF(DecLat&gt;0,IF((90 - (DecLat-O2372))&gt;90, (90 - (O2372-DecLat)), (90 - (DecLat-O2372))),IF((90 + (DecLat-O2372))&gt;90, (90 + (O2372-DecLat)), (90 + (DecLat-O2372))))</f>
        <v>47.817222222222213</v>
      </c>
      <c r="AG2372" s="257">
        <f>angularseperation(MoonRA,MoonDec,$M2372,$O2372)</f>
        <v>101.88131073115603</v>
      </c>
      <c r="AH2372" s="261">
        <f ca="1">MIN(100,IF($O$5&gt;80,0+30*($AG2372/100),IF($O$5&gt;70,0+50*($AG2372/100),IF($O$5&gt;60,5+50*($AG2372/100),IF($O$5&gt;50,10+60*($AG2372/100),IF($O$5&gt;40,15+70*($AG2372/100),IF($O$5&gt;30,20+70*($AG2372/100),IF($O$5&gt;20,40+55*($AG2372/100),(80+(20-$O$5)+30*($AG2372/100))))))))))</f>
        <v>100</v>
      </c>
      <c r="AI2372" s="262">
        <v>6654</v>
      </c>
      <c r="AJ2372" s="262"/>
      <c r="AK2372" s="262"/>
      <c r="AL2372" s="263"/>
      <c r="AM2372" s="264"/>
      <c r="AN2372" s="263"/>
      <c r="AO2372" s="263"/>
      <c r="AP2372" s="265"/>
      <c r="AQ2372" s="266">
        <v>11238</v>
      </c>
      <c r="AR2372" s="267">
        <v>61833</v>
      </c>
      <c r="AS2372" s="263"/>
      <c r="AT2372" s="263"/>
      <c r="AU2372" s="263"/>
      <c r="AV2372" s="264"/>
      <c r="AW2372" s="263"/>
      <c r="AX2372" s="263"/>
      <c r="AY2372" s="263"/>
      <c r="AZ2372" s="263"/>
      <c r="BA2372" s="263"/>
      <c r="BB2372" s="263"/>
      <c r="BC2372" s="263"/>
      <c r="BD2372" s="264"/>
      <c r="BE2372" s="263"/>
      <c r="BF2372" s="263"/>
      <c r="BG2372" s="263"/>
      <c r="BH2372" s="263"/>
      <c r="BI2372" s="263"/>
      <c r="BJ2372" s="404">
        <f>altaz(J2000_Bas,$O2372,$M2372,DecLat,DecLong,2)</f>
        <v>355.74839383630353</v>
      </c>
      <c r="BK2372" s="378" t="s">
        <v>2242</v>
      </c>
      <c r="BL2372" s="379">
        <f>IF((2*G2372)/60&lt;0.2,0.2,(2*G2372)/60)</f>
        <v>0.2</v>
      </c>
      <c r="BM2372" s="380">
        <f>MOD((50000+AD2372-$B$3+(0/24)),1)</f>
        <v>0.97502607291971799</v>
      </c>
      <c r="BN2372" s="381"/>
      <c r="BO2372" s="382">
        <v>2363</v>
      </c>
    </row>
    <row r="2373" spans="1:67" s="24" customFormat="1" ht="15" customHeight="1" x14ac:dyDescent="0.25">
      <c r="A2373" s="288" t="s">
        <v>2243</v>
      </c>
      <c r="B2373" s="241" t="str">
        <f>HYPERLINK(CONCATENATE($AT$3,BK2373,$AU$3),$AV$3)</f>
        <v>S</v>
      </c>
      <c r="C2373" s="242" t="str">
        <f>HYPERLINK(CONCATENATE($AT$4,BK2373,$AU$4,BL2373),$AV$4)</f>
        <v>A</v>
      </c>
      <c r="D2373" s="243" t="s">
        <v>5335</v>
      </c>
      <c r="E2373" s="244" t="s">
        <v>5185</v>
      </c>
      <c r="F2373" s="269" t="s">
        <v>4692</v>
      </c>
      <c r="G2373" s="276">
        <v>12</v>
      </c>
      <c r="H2373" s="283">
        <v>5000</v>
      </c>
      <c r="I2373" s="246">
        <v>17</v>
      </c>
      <c r="J2373" s="246">
        <v>1</v>
      </c>
      <c r="K2373" s="247" t="s">
        <v>7992</v>
      </c>
      <c r="L2373" s="248">
        <v>183633</v>
      </c>
      <c r="M2373" s="249">
        <f>15*(LEFT(TEXT($L2373,"000000"),2)+(MID(TEXT($L2373,"000000"),3,2)/60)+(RIGHT(TEXT($L2373,"000000"),2)/3600))</f>
        <v>279.13749999999999</v>
      </c>
      <c r="N2373" s="250">
        <v>-81312</v>
      </c>
      <c r="O2373" s="251">
        <f>IF($N2373&gt;0,(LEFT(TEXT($N2373,"000000"),2)+(MID(TEXT($N2373,"000000"),3,2)/60)+(RIGHT(TEXT($N2373,"000000"),2)/3600)),-(MID(TEXT($N2373,"000000"),2,2)+(MID(TEXT($N2373,"000000"),4,2)/60)+(RIGHT(TEXT($N2373,"000000"),2)/3600)))</f>
        <v>-8.2200000000000006</v>
      </c>
      <c r="P2373" s="252" t="s">
        <v>121</v>
      </c>
      <c r="Q2373" s="253" t="s">
        <v>7144</v>
      </c>
      <c r="R2373" s="247" t="s">
        <v>3293</v>
      </c>
      <c r="S2373" s="272" t="s">
        <v>3293</v>
      </c>
      <c r="T2373" s="273">
        <v>7.8</v>
      </c>
      <c r="U2373" s="274"/>
      <c r="V2373" s="280"/>
      <c r="W2373" s="244"/>
      <c r="X2373" s="244"/>
      <c r="Y2373" s="362"/>
      <c r="Z2373" s="257">
        <f>altaz(J2000_Bas,$O2373,$M2373,DecLat,DecLong,1)</f>
        <v>50.232035923498003</v>
      </c>
      <c r="AA2373" s="257">
        <f>altaz((J2000_Bas+(2*0.04167)),$O2373,$M2373,DecLat,DecLong,1)</f>
        <v>37.181524759961313</v>
      </c>
      <c r="AB2373" s="257">
        <f>altaz((J2000_Bas+(4*0.04167)),$O2373,$M2373,DecLat,DecLong,1)</f>
        <v>14.914504459967469</v>
      </c>
      <c r="AC2373" s="257">
        <f>altaz((J2000_Bas+(6*0.04167)),$O2373,$M2373,DecLat,DecLong,1)</f>
        <v>-10.298215479432335</v>
      </c>
      <c r="AD2373" s="258">
        <f>1+ transit((J2000_Bas-1),$O2373,$M2373,DecLat,DecLong)/360 + (GMTOffset/24) + (IF(DST="Y", 1, 0)/24)</f>
        <v>1.7682818275359582</v>
      </c>
      <c r="AE2373" s="259">
        <f>DATE(2001,9,21)+(M2373/360)*365 - (360*((DecLong/360)- (GMTOffset/24) ))</f>
        <v>37443.014409722222</v>
      </c>
      <c r="AF2373" s="260">
        <f>IF(DecLat&gt;0,IF((90 - (DecLat-O2373))&gt;90, (90 - (O2373-DecLat)), (90 - (DecLat-O2373))),IF((90 + (DecLat-O2373))&gt;90, (90 + (O2373-DecLat)), (90 + (DecLat-O2373))))</f>
        <v>50.78</v>
      </c>
      <c r="AG2373" s="257">
        <f>angularseperation(MoonRA,MoonDec,$M2373,$O2373)</f>
        <v>34.000525584714843</v>
      </c>
      <c r="AH2373" s="261">
        <f ca="1">MIN(100,IF($O$5&gt;80,0+30*($AG2373/100),IF($O$5&gt;70,0+50*($AG2373/100),IF($O$5&gt;60,5+50*($AG2373/100),IF($O$5&gt;50,10+60*($AG2373/100),IF($O$5&gt;40,15+70*($AG2373/100),IF($O$5&gt;30,20+70*($AG2373/100),IF($O$5&gt;20,40+55*($AG2373/100),(80+(20-$O$5)+30*($AG2373/100))))))))))</f>
        <v>93.471218019564873</v>
      </c>
      <c r="AI2373" s="262">
        <v>6664</v>
      </c>
      <c r="AJ2373" s="262"/>
      <c r="AK2373" s="262">
        <v>354</v>
      </c>
      <c r="AL2373" s="263"/>
      <c r="AM2373" s="264"/>
      <c r="AN2373" s="263"/>
      <c r="AO2373" s="263"/>
      <c r="AP2373" s="265"/>
      <c r="AQ2373" s="266"/>
      <c r="AR2373" s="267"/>
      <c r="AS2373" s="263"/>
      <c r="AT2373" s="263"/>
      <c r="AU2373" s="263"/>
      <c r="AV2373" s="264"/>
      <c r="AW2373" s="263"/>
      <c r="AX2373" s="263"/>
      <c r="AY2373" s="263"/>
      <c r="AZ2373" s="263"/>
      <c r="BA2373" s="263"/>
      <c r="BB2373" s="263"/>
      <c r="BC2373" s="263"/>
      <c r="BD2373" s="264"/>
      <c r="BE2373" s="263"/>
      <c r="BF2373" s="263">
        <v>84</v>
      </c>
      <c r="BG2373" s="263"/>
      <c r="BH2373" s="263"/>
      <c r="BI2373" s="263"/>
      <c r="BJ2373" s="404">
        <f>altaz(J2000_Bas,$O2373,$M2373,DecLat,DecLong,2)</f>
        <v>190.65782745909388</v>
      </c>
      <c r="BK2373" s="378" t="s">
        <v>2243</v>
      </c>
      <c r="BL2373" s="379">
        <f>IF((2*G2373)/60&lt;0.2,0.2,(2*G2373)/60)</f>
        <v>0.4</v>
      </c>
      <c r="BM2373" s="380">
        <f>MOD((50000+AD2373-$B$3+(0/24)),1)</f>
        <v>0.9836487572392798</v>
      </c>
      <c r="BN2373" s="381"/>
      <c r="BO2373" s="382">
        <v>2364</v>
      </c>
    </row>
    <row r="2374" spans="1:67" s="24" customFormat="1" ht="15" customHeight="1" x14ac:dyDescent="0.25">
      <c r="A2374" s="288" t="s">
        <v>2244</v>
      </c>
      <c r="B2374" s="241" t="str">
        <f>HYPERLINK(CONCATENATE($AT$3,BK2374,$AU$3),$AV$3)</f>
        <v>S</v>
      </c>
      <c r="C2374" s="242" t="str">
        <f>HYPERLINK(CONCATENATE($AT$4,BK2374,$AU$4,BL2374),$AV$4)</f>
        <v>A</v>
      </c>
      <c r="D2374" s="243" t="s">
        <v>5638</v>
      </c>
      <c r="E2374" s="244" t="s">
        <v>5192</v>
      </c>
      <c r="F2374" s="269" t="s">
        <v>8914</v>
      </c>
      <c r="G2374" s="273">
        <v>1.6</v>
      </c>
      <c r="H2374" s="283">
        <v>120</v>
      </c>
      <c r="I2374" s="246">
        <v>60</v>
      </c>
      <c r="J2374" s="246">
        <v>2</v>
      </c>
      <c r="K2374" s="247" t="s">
        <v>7993</v>
      </c>
      <c r="L2374" s="248">
        <v>183040</v>
      </c>
      <c r="M2374" s="249">
        <f>15*(LEFT(TEXT($L2374,"000000"),2)+(MID(TEXT($L2374,"000000"),3,2)/60)+(RIGHT(TEXT($L2374,"000000"),2)/3600))</f>
        <v>277.66666666666669</v>
      </c>
      <c r="N2374" s="250">
        <v>675914</v>
      </c>
      <c r="O2374" s="251">
        <f>IF($N2374&gt;0,(LEFT(TEXT($N2374,"000000"),2)+(MID(TEXT($N2374,"000000"),3,2)/60)+(RIGHT(TEXT($N2374,"000000"),2)/3600)),-(MID(TEXT($N2374,"000000"),2,2)+(MID(TEXT($N2374,"000000"),4,2)/60)+(RIGHT(TEXT($N2374,"000000"),2)/3600)))</f>
        <v>67.987222222222229</v>
      </c>
      <c r="P2374" s="252" t="s">
        <v>34</v>
      </c>
      <c r="Q2374" s="253"/>
      <c r="R2374" s="247" t="s">
        <v>3293</v>
      </c>
      <c r="S2374" s="272" t="s">
        <v>3293</v>
      </c>
      <c r="T2374" s="273">
        <v>12.7</v>
      </c>
      <c r="U2374" s="289">
        <v>22.39</v>
      </c>
      <c r="V2374" s="280">
        <v>65</v>
      </c>
      <c r="W2374" s="244"/>
      <c r="X2374" s="244"/>
      <c r="Y2374" s="362"/>
      <c r="Z2374" s="257">
        <f>altaz(J2000_Bas,$O2374,$M2374,DecLat,DecLong,1)</f>
        <v>52.690727665072444</v>
      </c>
      <c r="AA2374" s="257">
        <f>altaz((J2000_Bas+(2*0.04167)),$O2374,$M2374,DecLat,DecLong,1)</f>
        <v>46.819686516442516</v>
      </c>
      <c r="AB2374" s="257">
        <f>altaz((J2000_Bas+(4*0.04167)),$O2374,$M2374,DecLat,DecLong,1)</f>
        <v>36.527910764684577</v>
      </c>
      <c r="AC2374" s="257">
        <f>altaz((J2000_Bas+(6*0.04167)),$O2374,$M2374,DecLat,DecLong,1)</f>
        <v>25.436294661931122</v>
      </c>
      <c r="AD2374" s="258">
        <f>1+ transit((J2000_Bas-1),$O2374,$M2374,DecLat,DecLong)/360 + (GMTOffset/24) + (IF(DST="Y", 1, 0)/24)</f>
        <v>1.7641961797963748</v>
      </c>
      <c r="AE2374" s="259">
        <f>DATE(2001,9,21)+(M2374/360)*365 - (360*((DecLong/360)- (GMTOffset/24) ))</f>
        <v>37441.523148148146</v>
      </c>
      <c r="AF2374" s="260">
        <f>IF(DecLat&gt;0,IF((90 - (DecLat-O2374))&gt;90, (90 - (O2374-DecLat)), (90 - (DecLat-O2374))),IF((90 + (DecLat-O2374))&gt;90, (90 + (O2374-DecLat)), (90 + (DecLat-O2374))))</f>
        <v>53.012777777777771</v>
      </c>
      <c r="AG2374" s="257">
        <f>angularseperation(MoonRA,MoonDec,$M2374,$O2374)</f>
        <v>97.390249179529448</v>
      </c>
      <c r="AH2374" s="261">
        <f ca="1">MIN(100,IF($O$5&gt;80,0+30*($AG2374/100),IF($O$5&gt;70,0+50*($AG2374/100),IF($O$5&gt;60,5+50*($AG2374/100),IF($O$5&gt;50,10+60*($AG2374/100),IF($O$5&gt;40,15+70*($AG2374/100),IF($O$5&gt;30,20+70*($AG2374/100),IF($O$5&gt;20,40+55*($AG2374/100),(80+(20-$O$5)+30*($AG2374/100))))))))))</f>
        <v>100</v>
      </c>
      <c r="AI2374" s="262">
        <v>6667</v>
      </c>
      <c r="AJ2374" s="262"/>
      <c r="AK2374" s="262"/>
      <c r="AL2374" s="263"/>
      <c r="AM2374" s="264"/>
      <c r="AN2374" s="263"/>
      <c r="AO2374" s="263"/>
      <c r="AP2374" s="265"/>
      <c r="AQ2374" s="266"/>
      <c r="AR2374" s="267">
        <v>61972</v>
      </c>
      <c r="AS2374" s="263"/>
      <c r="AT2374" s="263"/>
      <c r="AU2374" s="263"/>
      <c r="AV2374" s="264"/>
      <c r="AW2374" s="263"/>
      <c r="AX2374" s="263"/>
      <c r="AY2374" s="263"/>
      <c r="AZ2374" s="263"/>
      <c r="BA2374" s="263"/>
      <c r="BB2374" s="263"/>
      <c r="BC2374" s="263"/>
      <c r="BD2374" s="264"/>
      <c r="BE2374" s="263"/>
      <c r="BF2374" s="263"/>
      <c r="BG2374" s="263"/>
      <c r="BH2374" s="263">
        <v>106</v>
      </c>
      <c r="BI2374" s="263"/>
      <c r="BJ2374" s="404">
        <f>altaz(J2000_Bas,$O2374,$M2374,DecLat,DecLong,2)</f>
        <v>354.85643290702342</v>
      </c>
      <c r="BK2374" s="378" t="s">
        <v>2244</v>
      </c>
      <c r="BL2374" s="379">
        <f>IF((2*G2374)/60&lt;0.2,0.2,(2*G2374)/60)</f>
        <v>0.2</v>
      </c>
      <c r="BM2374" s="380">
        <f>MOD((50000+AD2374-$B$3+(0/24)),1)</f>
        <v>0.97956310950394254</v>
      </c>
      <c r="BN2374" s="381"/>
      <c r="BO2374" s="382">
        <v>2365</v>
      </c>
    </row>
    <row r="2375" spans="1:67" s="24" customFormat="1" ht="15" customHeight="1" x14ac:dyDescent="0.25">
      <c r="A2375" s="288" t="s">
        <v>2245</v>
      </c>
      <c r="B2375" s="241" t="str">
        <f>HYPERLINK(CONCATENATE($AT$3,BK2375,$AU$3),$AV$3)</f>
        <v>S</v>
      </c>
      <c r="C2375" s="242" t="str">
        <f>HYPERLINK(CONCATENATE($AT$4,BK2375,$AU$4,BL2375),$AV$4)</f>
        <v>A</v>
      </c>
      <c r="D2375" s="243" t="s">
        <v>5638</v>
      </c>
      <c r="E2375" s="244" t="s">
        <v>5337</v>
      </c>
      <c r="F2375" s="269" t="s">
        <v>3310</v>
      </c>
      <c r="G2375" s="273">
        <v>1.1000000000000001</v>
      </c>
      <c r="H2375" s="283">
        <v>400</v>
      </c>
      <c r="I2375" s="246">
        <v>130</v>
      </c>
      <c r="J2375" s="246">
        <v>2</v>
      </c>
      <c r="K2375" s="247" t="s">
        <v>7994</v>
      </c>
      <c r="L2375" s="248">
        <v>183339</v>
      </c>
      <c r="M2375" s="249">
        <f>15*(LEFT(TEXT($L2375,"000000"),2)+(MID(TEXT($L2375,"000000"),3,2)/60)+(RIGHT(TEXT($L2375,"000000"),2)/3600))</f>
        <v>278.41250000000002</v>
      </c>
      <c r="N2375" s="250">
        <v>595317</v>
      </c>
      <c r="O2375" s="251">
        <f>IF($N2375&gt;0,(LEFT(TEXT($N2375,"000000"),2)+(MID(TEXT($N2375,"000000"),3,2)/60)+(RIGHT(TEXT($N2375,"000000"),2)/3600)),-(MID(TEXT($N2375,"000000"),2,2)+(MID(TEXT($N2375,"000000"),4,2)/60)+(RIGHT(TEXT($N2375,"000000"),2)/3600)))</f>
        <v>59.888055555555553</v>
      </c>
      <c r="P2375" s="252" t="s">
        <v>34</v>
      </c>
      <c r="Q2375" s="253"/>
      <c r="R2375" s="247" t="s">
        <v>3293</v>
      </c>
      <c r="S2375" s="272" t="s">
        <v>3293</v>
      </c>
      <c r="T2375" s="273">
        <v>14.3</v>
      </c>
      <c r="U2375" s="289">
        <v>22.59</v>
      </c>
      <c r="V2375" s="280"/>
      <c r="W2375" s="244"/>
      <c r="X2375" s="244"/>
      <c r="Y2375" s="362"/>
      <c r="Z2375" s="257">
        <f>altaz(J2000_Bas,$O2375,$M2375,DecLat,DecLong,1)</f>
        <v>60.668190525349033</v>
      </c>
      <c r="AA2375" s="257">
        <f>altaz((J2000_Bas+(2*0.04167)),$O2375,$M2375,DecLat,DecLong,1)</f>
        <v>51.804056135839701</v>
      </c>
      <c r="AB2375" s="257">
        <f>altaz((J2000_Bas+(4*0.04167)),$O2375,$M2375,DecLat,DecLong,1)</f>
        <v>37.466648925729373</v>
      </c>
      <c r="AC2375" s="257">
        <f>altaz((J2000_Bas+(6*0.04167)),$O2375,$M2375,DecLat,DecLong,1)</f>
        <v>22.758296337454567</v>
      </c>
      <c r="AD2375" s="258">
        <f>1+ transit((J2000_Bas-1),$O2375,$M2375,DecLat,DecLong)/360 + (GMTOffset/24) + (IF(DST="Y", 1, 0)/24)</f>
        <v>1.7662679388484581</v>
      </c>
      <c r="AE2375" s="259">
        <f>DATE(2001,9,21)+(M2375/360)*365 - (360*((DecLong/360)- (GMTOffset/24) ))</f>
        <v>37442.279340277775</v>
      </c>
      <c r="AF2375" s="260">
        <f>IF(DecLat&gt;0,IF((90 - (DecLat-O2375))&gt;90, (90 - (O2375-DecLat)), (90 - (DecLat-O2375))),IF((90 + (DecLat-O2375))&gt;90, (90 + (O2375-DecLat)), (90 + (DecLat-O2375))))</f>
        <v>61.111944444444447</v>
      </c>
      <c r="AG2375" s="257">
        <f>angularseperation(MoonRA,MoonDec,$M2375,$O2375)</f>
        <v>90.219407252913967</v>
      </c>
      <c r="AH2375" s="261">
        <f ca="1">MIN(100,IF($O$5&gt;80,0+30*($AG2375/100),IF($O$5&gt;70,0+50*($AG2375/100),IF($O$5&gt;60,5+50*($AG2375/100),IF($O$5&gt;50,10+60*($AG2375/100),IF($O$5&gt;40,15+70*($AG2375/100),IF($O$5&gt;30,20+70*($AG2375/100),IF($O$5&gt;20,40+55*($AG2375/100),(80+(20-$O$5)+30*($AG2375/100))))))))))</f>
        <v>100</v>
      </c>
      <c r="AI2375" s="262">
        <v>6670</v>
      </c>
      <c r="AJ2375" s="262"/>
      <c r="AK2375" s="262"/>
      <c r="AL2375" s="263"/>
      <c r="AM2375" s="264"/>
      <c r="AN2375" s="263"/>
      <c r="AO2375" s="263"/>
      <c r="AP2375" s="265"/>
      <c r="AQ2375" s="266">
        <v>11284</v>
      </c>
      <c r="AR2375" s="267">
        <v>62033</v>
      </c>
      <c r="AS2375" s="263"/>
      <c r="AT2375" s="263"/>
      <c r="AU2375" s="263"/>
      <c r="AV2375" s="264"/>
      <c r="AW2375" s="263"/>
      <c r="AX2375" s="263"/>
      <c r="AY2375" s="263"/>
      <c r="AZ2375" s="263"/>
      <c r="BA2375" s="263"/>
      <c r="BB2375" s="263"/>
      <c r="BC2375" s="263"/>
      <c r="BD2375" s="264"/>
      <c r="BE2375" s="263"/>
      <c r="BF2375" s="263"/>
      <c r="BG2375" s="263"/>
      <c r="BH2375" s="263"/>
      <c r="BI2375" s="263"/>
      <c r="BJ2375" s="404">
        <f>altaz(J2000_Bas,$O2375,$M2375,DecLat,DecLong,2)</f>
        <v>352.22554102336665</v>
      </c>
      <c r="BK2375" s="378" t="s">
        <v>2245</v>
      </c>
      <c r="BL2375" s="379">
        <f>IF((2*G2375)/60&lt;0.2,0.2,(2*G2375)/60)</f>
        <v>0.2</v>
      </c>
      <c r="BM2375" s="380">
        <f>MOD((50000+AD2375-$B$3+(0/24)),1)</f>
        <v>0.98163486854900839</v>
      </c>
      <c r="BN2375" s="381"/>
      <c r="BO2375" s="382">
        <v>2366</v>
      </c>
    </row>
    <row r="2376" spans="1:67" s="24" customFormat="1" ht="15" customHeight="1" x14ac:dyDescent="0.25">
      <c r="A2376" s="288" t="s">
        <v>2246</v>
      </c>
      <c r="B2376" s="241" t="str">
        <f>HYPERLINK(CONCATENATE($AT$3,BK2376,$AU$3),$AV$3)</f>
        <v>S</v>
      </c>
      <c r="C2376" s="242" t="str">
        <f>HYPERLINK(CONCATENATE($AT$4,BK2376,$AU$4,BL2376),$AV$4)</f>
        <v>A</v>
      </c>
      <c r="D2376" s="243" t="s">
        <v>5638</v>
      </c>
      <c r="E2376" s="244" t="s">
        <v>5192</v>
      </c>
      <c r="F2376" s="269" t="s">
        <v>8908</v>
      </c>
      <c r="G2376" s="273">
        <v>4</v>
      </c>
      <c r="H2376" s="283">
        <v>180</v>
      </c>
      <c r="I2376" s="246">
        <v>200</v>
      </c>
      <c r="J2376" s="246">
        <v>2</v>
      </c>
      <c r="K2376" s="247" t="s">
        <v>8342</v>
      </c>
      <c r="L2376" s="248">
        <v>183834</v>
      </c>
      <c r="M2376" s="249">
        <f>15*(LEFT(TEXT($L2376,"000000"),2)+(MID(TEXT($L2376,"000000"),3,2)/60)+(RIGHT(TEXT($L2376,"000000"),2)/3600))</f>
        <v>279.64166666666665</v>
      </c>
      <c r="N2376" s="250">
        <v>252230</v>
      </c>
      <c r="O2376" s="251">
        <f>IF($N2376&gt;0,(LEFT(TEXT($N2376,"000000"),2)+(MID(TEXT($N2376,"000000"),3,2)/60)+(RIGHT(TEXT($N2376,"000000"),2)/3600)),-(MID(TEXT($N2376,"000000"),2,2)+(MID(TEXT($N2376,"000000"),4,2)/60)+(RIGHT(TEXT($N2376,"000000"),2)/3600)))</f>
        <v>25.375</v>
      </c>
      <c r="P2376" s="252" t="s">
        <v>111</v>
      </c>
      <c r="Q2376" s="253"/>
      <c r="R2376" s="247" t="s">
        <v>3293</v>
      </c>
      <c r="S2376" s="272" t="s">
        <v>3293</v>
      </c>
      <c r="T2376" s="273">
        <v>12.2</v>
      </c>
      <c r="U2376" s="289">
        <v>23.29</v>
      </c>
      <c r="V2376" s="280">
        <v>60</v>
      </c>
      <c r="W2376" s="244"/>
      <c r="X2376" s="244"/>
      <c r="Y2376" s="362"/>
      <c r="Z2376" s="257">
        <f>altaz(J2000_Bas,$O2376,$M2376,DecLat,DecLong,1)</f>
        <v>82.061470233297442</v>
      </c>
      <c r="AA2376" s="257">
        <f>altaz((J2000_Bas+(2*0.04167)),$O2376,$M2376,DecLat,DecLong,1)</f>
        <v>57.534589689726147</v>
      </c>
      <c r="AB2376" s="257">
        <f>altaz((J2000_Bas+(4*0.04167)),$O2376,$M2376,DecLat,DecLong,1)</f>
        <v>31.948818682988559</v>
      </c>
      <c r="AC2376" s="257">
        <f>altaz((J2000_Bas+(6*0.04167)),$O2376,$M2376,DecLat,DecLong,1)</f>
        <v>7.5564891783378085</v>
      </c>
      <c r="AD2376" s="258">
        <f>1+ transit((J2000_Bas-1),$O2376,$M2376,DecLat,DecLong)/360 + (GMTOffset/24) + (IF(DST="Y", 1, 0)/24)</f>
        <v>1.7696822903588745</v>
      </c>
      <c r="AE2376" s="259">
        <f>DATE(2001,9,21)+(M2376/360)*365 - (360*((DecLong/360)- (GMTOffset/24) ))</f>
        <v>37443.525578703702</v>
      </c>
      <c r="AF2376" s="260">
        <f>IF(DecLat&gt;0,IF((90 - (DecLat-O2376))&gt;90, (90 - (O2376-DecLat)), (90 - (DecLat-O2376))),IF((90 + (DecLat-O2376))&gt;90, (90 + (O2376-DecLat)), (90 + (DecLat-O2376))))</f>
        <v>84.375</v>
      </c>
      <c r="AG2376" s="257">
        <f>angularseperation(MoonRA,MoonDec,$M2376,$O2376)</f>
        <v>60.084004049896784</v>
      </c>
      <c r="AH2376" s="261">
        <f ca="1">MIN(100,IF($O$5&gt;80,0+30*($AG2376/100),IF($O$5&gt;70,0+50*($AG2376/100),IF($O$5&gt;60,5+50*($AG2376/100),IF($O$5&gt;50,10+60*($AG2376/100),IF($O$5&gt;40,15+70*($AG2376/100),IF($O$5&gt;30,20+70*($AG2376/100),IF($O$5&gt;20,40+55*($AG2376/100),(80+(20-$O$5)+30*($AG2376/100))))))))))</f>
        <v>100</v>
      </c>
      <c r="AI2376" s="262">
        <v>6674</v>
      </c>
      <c r="AJ2376" s="262"/>
      <c r="AK2376" s="262"/>
      <c r="AL2376" s="263"/>
      <c r="AM2376" s="264"/>
      <c r="AN2376" s="263"/>
      <c r="AO2376" s="263"/>
      <c r="AP2376" s="265"/>
      <c r="AQ2376" s="266">
        <v>11308</v>
      </c>
      <c r="AR2376" s="267">
        <v>62178</v>
      </c>
      <c r="AS2376" s="263"/>
      <c r="AT2376" s="263"/>
      <c r="AU2376" s="263"/>
      <c r="AV2376" s="264"/>
      <c r="AW2376" s="263"/>
      <c r="AX2376" s="263"/>
      <c r="AY2376" s="263"/>
      <c r="AZ2376" s="263"/>
      <c r="BA2376" s="263"/>
      <c r="BB2376" s="263"/>
      <c r="BC2376" s="263"/>
      <c r="BD2376" s="264"/>
      <c r="BE2376" s="263"/>
      <c r="BF2376" s="263"/>
      <c r="BG2376" s="263"/>
      <c r="BH2376" s="263"/>
      <c r="BI2376" s="263"/>
      <c r="BJ2376" s="404">
        <f>altaz(J2000_Bas,$O2376,$M2376,DecLat,DecLong,2)</f>
        <v>226.45238523864631</v>
      </c>
      <c r="BK2376" s="378" t="s">
        <v>2246</v>
      </c>
      <c r="BL2376" s="379">
        <f>IF((2*G2376)/60&lt;0.2,0.2,(2*G2376)/60)</f>
        <v>0.2</v>
      </c>
      <c r="BM2376" s="380">
        <f>MOD((50000+AD2376-$B$3+(0/24)),1)</f>
        <v>0.98504922006395645</v>
      </c>
      <c r="BN2376" s="381"/>
      <c r="BO2376" s="382">
        <v>2367</v>
      </c>
    </row>
    <row r="2377" spans="1:67" s="24" customFormat="1" ht="15" customHeight="1" x14ac:dyDescent="0.25">
      <c r="A2377" s="288" t="s">
        <v>7995</v>
      </c>
      <c r="B2377" s="241" t="str">
        <f>HYPERLINK(CONCATENATE($AT$3,BK2377,$AU$3),$AV$3)</f>
        <v>S</v>
      </c>
      <c r="C2377" s="242" t="str">
        <f>HYPERLINK(CONCATENATE($AT$4,BK2377,$AU$4,BL2377),$AV$4)</f>
        <v>A</v>
      </c>
      <c r="D2377" s="243" t="s">
        <v>5638</v>
      </c>
      <c r="E2377" s="244" t="s">
        <v>5625</v>
      </c>
      <c r="F2377" s="269">
        <v>5</v>
      </c>
      <c r="G2377" s="282">
        <v>12</v>
      </c>
      <c r="H2377" s="283">
        <v>300</v>
      </c>
      <c r="I2377" s="284">
        <v>1050</v>
      </c>
      <c r="J2377" s="246">
        <v>2</v>
      </c>
      <c r="K2377" s="247" t="s">
        <v>7996</v>
      </c>
      <c r="L2377" s="248">
        <v>183336</v>
      </c>
      <c r="M2377" s="249">
        <f>15*(LEFT(TEXT($L2377,"000000"),2)+(MID(TEXT($L2377,"000000"),3,2)/60)+(RIGHT(TEXT($L2377,"000000"),2)/3600))</f>
        <v>278.40000000000003</v>
      </c>
      <c r="N2377" s="250">
        <v>670637</v>
      </c>
      <c r="O2377" s="251">
        <f>IF($N2377&gt;0,(LEFT(TEXT($N2377,"000000"),2)+(MID(TEXT($N2377,"000000"),3,2)/60)+(RIGHT(TEXT($N2377,"000000"),2)/3600)),-(MID(TEXT($N2377,"000000"),2,2)+(MID(TEXT($N2377,"000000"),4,2)/60)+(RIGHT(TEXT($N2377,"000000"),2)/3600)))</f>
        <v>67.110277777777767</v>
      </c>
      <c r="P2377" s="252" t="s">
        <v>34</v>
      </c>
      <c r="Q2377" s="253"/>
      <c r="R2377" s="247" t="s">
        <v>3293</v>
      </c>
      <c r="S2377" s="272" t="s">
        <v>3293</v>
      </c>
      <c r="T2377" s="273">
        <v>14.4</v>
      </c>
      <c r="U2377" s="289">
        <v>22.39</v>
      </c>
      <c r="V2377" s="280">
        <v>85</v>
      </c>
      <c r="W2377" s="244"/>
      <c r="X2377" s="244"/>
      <c r="Y2377" s="362"/>
      <c r="Z2377" s="257">
        <f>altaz(J2000_Bas,$O2377,$M2377,DecLat,DecLong,1)</f>
        <v>53.605754737452131</v>
      </c>
      <c r="AA2377" s="257">
        <f>altaz((J2000_Bas+(2*0.04167)),$O2377,$M2377,DecLat,DecLong,1)</f>
        <v>47.58877249609678</v>
      </c>
      <c r="AB2377" s="257">
        <f>altaz((J2000_Bas+(4*0.04167)),$O2377,$M2377,DecLat,DecLong,1)</f>
        <v>36.913383676452298</v>
      </c>
      <c r="AC2377" s="257">
        <f>altaz((J2000_Bas+(6*0.04167)),$O2377,$M2377,DecLat,DecLong,1)</f>
        <v>25.398358245010019</v>
      </c>
      <c r="AD2377" s="258">
        <f>1+ transit((J2000_Bas-1),$O2377,$M2377,DecLat,DecLong)/360 + (GMTOffset/24) + (IF(DST="Y", 1, 0)/24)</f>
        <v>1.7662332166297081</v>
      </c>
      <c r="AE2377" s="259">
        <f>DATE(2001,9,21)+(M2377/360)*365 - (360*((DecLong/360)- (GMTOffset/24) ))</f>
        <v>37442.26666666667</v>
      </c>
      <c r="AF2377" s="260">
        <f>IF(DecLat&gt;0,IF((90 - (DecLat-O2377))&gt;90, (90 - (O2377-DecLat)), (90 - (DecLat-O2377))),IF((90 + (DecLat-O2377))&gt;90, (90 + (O2377-DecLat)), (90 + (DecLat-O2377))))</f>
        <v>53.889722222222233</v>
      </c>
      <c r="AG2377" s="257">
        <f>angularseperation(MoonRA,MoonDec,$M2377,$O2377)</f>
        <v>96.72040620647654</v>
      </c>
      <c r="AH2377" s="261">
        <f ca="1">MIN(100,IF($O$5&gt;80,0+30*($AG2377/100),IF($O$5&gt;70,0+50*($AG2377/100),IF($O$5&gt;60,5+50*($AG2377/100),IF($O$5&gt;50,10+60*($AG2377/100),IF($O$5&gt;40,15+70*($AG2377/100),IF($O$5&gt;30,20+70*($AG2377/100),IF($O$5&gt;20,40+55*($AG2377/100),(80+(20-$O$5)+30*($AG2377/100))))))))))</f>
        <v>100</v>
      </c>
      <c r="AI2377" s="262">
        <v>6676</v>
      </c>
      <c r="AJ2377" s="262"/>
      <c r="AK2377" s="262"/>
      <c r="AL2377" s="263"/>
      <c r="AM2377" s="264"/>
      <c r="AN2377" s="263"/>
      <c r="AO2377" s="263"/>
      <c r="AP2377" s="265"/>
      <c r="AQ2377" s="266">
        <v>11286</v>
      </c>
      <c r="AR2377" s="267">
        <v>62021</v>
      </c>
      <c r="AS2377" s="263"/>
      <c r="AT2377" s="263"/>
      <c r="AU2377" s="263"/>
      <c r="AV2377" s="264"/>
      <c r="AW2377" s="263"/>
      <c r="AX2377" s="263"/>
      <c r="AY2377" s="263"/>
      <c r="AZ2377" s="263"/>
      <c r="BA2377" s="263"/>
      <c r="BB2377" s="263"/>
      <c r="BC2377" s="263"/>
      <c r="BD2377" s="264"/>
      <c r="BE2377" s="263"/>
      <c r="BF2377" s="263"/>
      <c r="BG2377" s="263"/>
      <c r="BH2377" s="263"/>
      <c r="BI2377" s="263"/>
      <c r="BJ2377" s="404">
        <f>altaz(J2000_Bas,$O2377,$M2377,DecLat,DecLong,2)</f>
        <v>355.02451097857602</v>
      </c>
      <c r="BK2377" s="378" t="s">
        <v>2247</v>
      </c>
      <c r="BL2377" s="379">
        <f>IF((2*G2377)/60&lt;0.2,0.2,(2*G2377)/60)</f>
        <v>0.4</v>
      </c>
      <c r="BM2377" s="380">
        <f>MOD((50000+AD2377-$B$3+(0/24)),1)</f>
        <v>0.98160014633322135</v>
      </c>
      <c r="BN2377" s="381"/>
      <c r="BO2377" s="382">
        <v>2368</v>
      </c>
    </row>
    <row r="2378" spans="1:67" s="24" customFormat="1" ht="15" customHeight="1" x14ac:dyDescent="0.25">
      <c r="A2378" s="288" t="s">
        <v>2248</v>
      </c>
      <c r="B2378" s="241" t="str">
        <f>HYPERLINK(CONCATENATE($AT$3,BK2378,$AU$3),$AV$3)</f>
        <v>S</v>
      </c>
      <c r="C2378" s="242" t="str">
        <f>HYPERLINK(CONCATENATE($AT$4,BK2378,$AU$4,BL2378),$AV$4)</f>
        <v>A</v>
      </c>
      <c r="D2378" s="243" t="s">
        <v>5638</v>
      </c>
      <c r="E2378" s="244" t="s">
        <v>5192</v>
      </c>
      <c r="F2378" s="269" t="s">
        <v>8895</v>
      </c>
      <c r="G2378" s="273">
        <v>4</v>
      </c>
      <c r="H2378" s="283">
        <v>50</v>
      </c>
      <c r="I2378" s="246">
        <v>60</v>
      </c>
      <c r="J2378" s="246">
        <v>2</v>
      </c>
      <c r="K2378" s="247" t="s">
        <v>7997</v>
      </c>
      <c r="L2378" s="248">
        <v>183450</v>
      </c>
      <c r="M2378" s="249">
        <f>15*(LEFT(TEXT($L2378,"000000"),2)+(MID(TEXT($L2378,"000000"),3,2)/60)+(RIGHT(TEXT($L2378,"000000"),2)/3600))</f>
        <v>278.70833333333331</v>
      </c>
      <c r="N2378" s="250">
        <v>703126</v>
      </c>
      <c r="O2378" s="251">
        <f>IF($N2378&gt;0,(LEFT(TEXT($N2378,"000000"),2)+(MID(TEXT($N2378,"000000"),3,2)/60)+(RIGHT(TEXT($N2378,"000000"),2)/3600)),-(MID(TEXT($N2378,"000000"),2,2)+(MID(TEXT($N2378,"000000"),4,2)/60)+(RIGHT(TEXT($N2378,"000000"),2)/3600)))</f>
        <v>70.523888888888891</v>
      </c>
      <c r="P2378" s="252" t="s">
        <v>34</v>
      </c>
      <c r="Q2378" s="253"/>
      <c r="R2378" s="247" t="s">
        <v>3293</v>
      </c>
      <c r="S2378" s="272" t="s">
        <v>3293</v>
      </c>
      <c r="T2378" s="273">
        <v>12.5</v>
      </c>
      <c r="U2378" s="289">
        <v>22.89</v>
      </c>
      <c r="V2378" s="280">
        <v>80</v>
      </c>
      <c r="W2378" s="244"/>
      <c r="X2378" s="244"/>
      <c r="Y2378" s="362"/>
      <c r="Z2378" s="257">
        <f>altaz(J2000_Bas,$O2378,$M2378,DecLat,DecLong,1)</f>
        <v>50.268335852825409</v>
      </c>
      <c r="AA2378" s="257">
        <f>altaz((J2000_Bas+(2*0.04167)),$O2378,$M2378,DecLat,DecLong,1)</f>
        <v>45.452479105104175</v>
      </c>
      <c r="AB2378" s="257">
        <f>altaz((J2000_Bas+(4*0.04167)),$O2378,$M2378,DecLat,DecLong,1)</f>
        <v>36.520065242881962</v>
      </c>
      <c r="AC2378" s="257">
        <f>altaz((J2000_Bas+(6*0.04167)),$O2378,$M2378,DecLat,DecLong,1)</f>
        <v>26.617209688236485</v>
      </c>
      <c r="AD2378" s="258">
        <f>1+ transit((J2000_Bas-1),$O2378,$M2378,DecLat,DecLong)/360 + (GMTOffset/24) + (IF(DST="Y", 1, 0)/24)</f>
        <v>1.7670896980255415</v>
      </c>
      <c r="AE2378" s="259">
        <f>DATE(2001,9,21)+(M2378/360)*365 - (360*((DecLong/360)- (GMTOffset/24) ))</f>
        <v>37442.579282407409</v>
      </c>
      <c r="AF2378" s="260">
        <f>IF(DecLat&gt;0,IF((90 - (DecLat-O2378))&gt;90, (90 - (O2378-DecLat)), (90 - (DecLat-O2378))),IF((90 + (DecLat-O2378))&gt;90, (90 + (O2378-DecLat)), (90 + (DecLat-O2378))))</f>
        <v>50.476111111111109</v>
      </c>
      <c r="AG2378" s="257">
        <f>angularseperation(MoonRA,MoonDec,$M2378,$O2378)</f>
        <v>99.833983925335417</v>
      </c>
      <c r="AH2378" s="261">
        <f ca="1">MIN(100,IF($O$5&gt;80,0+30*($AG2378/100),IF($O$5&gt;70,0+50*($AG2378/100),IF($O$5&gt;60,5+50*($AG2378/100),IF($O$5&gt;50,10+60*($AG2378/100),IF($O$5&gt;40,15+70*($AG2378/100),IF($O$5&gt;30,20+70*($AG2378/100),IF($O$5&gt;20,40+55*($AG2378/100),(80+(20-$O$5)+30*($AG2378/100))))))))))</f>
        <v>100</v>
      </c>
      <c r="AI2378" s="262">
        <v>6689</v>
      </c>
      <c r="AJ2378" s="262"/>
      <c r="AK2378" s="262"/>
      <c r="AL2378" s="263"/>
      <c r="AM2378" s="264"/>
      <c r="AN2378" s="263"/>
      <c r="AO2378" s="263"/>
      <c r="AP2378" s="265"/>
      <c r="AQ2378" s="266"/>
      <c r="AR2378" s="267">
        <v>62077</v>
      </c>
      <c r="AS2378" s="263"/>
      <c r="AT2378" s="263"/>
      <c r="AU2378" s="263"/>
      <c r="AV2378" s="264"/>
      <c r="AW2378" s="263"/>
      <c r="AX2378" s="263"/>
      <c r="AY2378" s="263"/>
      <c r="AZ2378" s="263"/>
      <c r="BA2378" s="263"/>
      <c r="BB2378" s="263"/>
      <c r="BC2378" s="263"/>
      <c r="BD2378" s="264"/>
      <c r="BE2378" s="263"/>
      <c r="BF2378" s="263"/>
      <c r="BG2378" s="263"/>
      <c r="BH2378" s="263"/>
      <c r="BI2378" s="263"/>
      <c r="BJ2378" s="404">
        <f>altaz(J2000_Bas,$O2378,$M2378,DecLat,DecLong,2)</f>
        <v>356.20266368653148</v>
      </c>
      <c r="BK2378" s="378" t="s">
        <v>2248</v>
      </c>
      <c r="BL2378" s="379">
        <f>IF((2*G2378)/60&lt;0.2,0.2,(2*G2378)/60)</f>
        <v>0.2</v>
      </c>
      <c r="BM2378" s="380">
        <f>MOD((50000+AD2378-$B$3+(0/24)),1)</f>
        <v>0.98245662773115328</v>
      </c>
      <c r="BN2378" s="381"/>
      <c r="BO2378" s="382">
        <v>2369</v>
      </c>
    </row>
    <row r="2379" spans="1:67" s="24" customFormat="1" ht="15" customHeight="1" x14ac:dyDescent="0.25">
      <c r="A2379" s="288" t="s">
        <v>7998</v>
      </c>
      <c r="B2379" s="241" t="str">
        <f>HYPERLINK(CONCATENATE($AT$3,BK2379,$AU$3),$AV$3)</f>
        <v>S</v>
      </c>
      <c r="C2379" s="242" t="str">
        <f>HYPERLINK(CONCATENATE($AT$4,BK2379,$AU$4,BL2379),$AV$4)</f>
        <v>A</v>
      </c>
      <c r="D2379" s="243" t="s">
        <v>5638</v>
      </c>
      <c r="E2379" s="244" t="s">
        <v>5193</v>
      </c>
      <c r="F2379" s="269" t="s">
        <v>3303</v>
      </c>
      <c r="G2379" s="273">
        <v>1.7</v>
      </c>
      <c r="H2379" s="283">
        <v>170</v>
      </c>
      <c r="I2379" s="246">
        <v>80</v>
      </c>
      <c r="J2379" s="246">
        <v>2</v>
      </c>
      <c r="K2379" s="247" t="s">
        <v>7999</v>
      </c>
      <c r="L2379" s="248">
        <v>184658</v>
      </c>
      <c r="M2379" s="249">
        <f>15*(LEFT(TEXT($L2379,"000000"),2)+(MID(TEXT($L2379,"000000"),3,2)/60)+(RIGHT(TEXT($L2379,"000000"),2)/3600))</f>
        <v>281.74166666666667</v>
      </c>
      <c r="N2379" s="250">
        <v>454220</v>
      </c>
      <c r="O2379" s="251">
        <f>IF($N2379&gt;0,(LEFT(TEXT($N2379,"000000"),2)+(MID(TEXT($N2379,"000000"),3,2)/60)+(RIGHT(TEXT($N2379,"000000"),2)/3600)),-(MID(TEXT($N2379,"000000"),2,2)+(MID(TEXT($N2379,"000000"),4,2)/60)+(RIGHT(TEXT($N2379,"000000"),2)/3600)))</f>
        <v>45.705555555555556</v>
      </c>
      <c r="P2379" s="252" t="s">
        <v>123</v>
      </c>
      <c r="Q2379" s="253"/>
      <c r="R2379" s="277" t="s">
        <v>3293</v>
      </c>
      <c r="S2379" s="272" t="s">
        <v>2249</v>
      </c>
      <c r="T2379" s="273">
        <v>13</v>
      </c>
      <c r="U2379" s="289">
        <v>21.990000000000002</v>
      </c>
      <c r="V2379" s="280"/>
      <c r="W2379" s="244"/>
      <c r="X2379" s="244"/>
      <c r="Y2379" s="362"/>
      <c r="Z2379" s="257">
        <f>altaz(J2000_Bas,$O2379,$M2379,DecLat,DecLong,1)</f>
        <v>74.925529508923773</v>
      </c>
      <c r="AA2379" s="257">
        <f>altaz((J2000_Bas+(2*0.04167)),$O2379,$M2379,DecLat,DecLong,1)</f>
        <v>59.641237289447169</v>
      </c>
      <c r="AB2379" s="257">
        <f>altaz((J2000_Bas+(4*0.04167)),$O2379,$M2379,DecLat,DecLong,1)</f>
        <v>38.82964418170792</v>
      </c>
      <c r="AC2379" s="257">
        <f>altaz((J2000_Bas+(6*0.04167)),$O2379,$M2379,DecLat,DecLong,1)</f>
        <v>18.755257248019408</v>
      </c>
      <c r="AD2379" s="258">
        <f>1+ transit((J2000_Bas-1),$O2379,$M2379,DecLat,DecLong)/360 + (GMTOffset/24) + (IF(DST="Y", 1, 0)/24)</f>
        <v>1.7755156231088747</v>
      </c>
      <c r="AE2379" s="259">
        <f>DATE(2001,9,21)+(M2379/360)*365 - (360*((DecLong/360)- (GMTOffset/24) ))</f>
        <v>37445.654745370368</v>
      </c>
      <c r="AF2379" s="260">
        <f>IF(DecLat&gt;0,IF((90 - (DecLat-O2379))&gt;90, (90 - (O2379-DecLat)), (90 - (DecLat-O2379))),IF((90 + (DecLat-O2379))&gt;90, (90 + (O2379-DecLat)), (90 + (DecLat-O2379))))</f>
        <v>75.294444444444451</v>
      </c>
      <c r="AG2379" s="257">
        <f>angularseperation(MoonRA,MoonDec,$M2379,$O2379)</f>
        <v>78.550253052632598</v>
      </c>
      <c r="AH2379" s="261">
        <f ca="1">MIN(100,IF($O$5&gt;80,0+30*($AG2379/100),IF($O$5&gt;70,0+50*($AG2379/100),IF($O$5&gt;60,5+50*($AG2379/100),IF($O$5&gt;50,10+60*($AG2379/100),IF($O$5&gt;40,15+70*($AG2379/100),IF($O$5&gt;30,20+70*($AG2379/100),IF($O$5&gt;20,40+55*($AG2379/100),(80+(20-$O$5)+30*($AG2379/100))))))))))</f>
        <v>100</v>
      </c>
      <c r="AI2379" s="262">
        <v>6703</v>
      </c>
      <c r="AJ2379" s="263"/>
      <c r="AK2379" s="263"/>
      <c r="AL2379" s="263"/>
      <c r="AM2379" s="264"/>
      <c r="AN2379" s="263"/>
      <c r="AO2379" s="263"/>
      <c r="AP2379" s="265"/>
      <c r="AQ2379" s="265">
        <v>11356</v>
      </c>
      <c r="AR2379" s="285">
        <v>62409</v>
      </c>
      <c r="AS2379" s="263"/>
      <c r="AT2379" s="263"/>
      <c r="AU2379" s="263"/>
      <c r="AV2379" s="264"/>
      <c r="AW2379" s="263"/>
      <c r="AX2379" s="263"/>
      <c r="AY2379" s="263"/>
      <c r="AZ2379" s="263"/>
      <c r="BA2379" s="263"/>
      <c r="BB2379" s="263"/>
      <c r="BC2379" s="263"/>
      <c r="BD2379" s="264"/>
      <c r="BE2379" s="263"/>
      <c r="BF2379" s="263"/>
      <c r="BG2379" s="263"/>
      <c r="BH2379" s="263"/>
      <c r="BI2379" s="263"/>
      <c r="BJ2379" s="404">
        <f>altaz(J2000_Bas,$O2379,$M2379,DecLat,DecLong,2)</f>
        <v>348.49188275985517</v>
      </c>
      <c r="BK2379" s="378" t="s">
        <v>7998</v>
      </c>
      <c r="BL2379" s="379">
        <f>IF((2*G2379)/60&lt;0.2,0.2,(2*G2379)/60)</f>
        <v>0.2</v>
      </c>
      <c r="BM2379" s="380">
        <f>MOD((50000+AD2379-$B$3+(0/24)),1)</f>
        <v>0.99088255281094462</v>
      </c>
      <c r="BN2379" s="381"/>
      <c r="BO2379" s="382">
        <v>2370</v>
      </c>
    </row>
    <row r="2380" spans="1:67" s="24" customFormat="1" ht="15" customHeight="1" x14ac:dyDescent="0.25">
      <c r="A2380" s="288" t="s">
        <v>2249</v>
      </c>
      <c r="B2380" s="241" t="str">
        <f>HYPERLINK(CONCATENATE($AT$3,BK2380,$AU$3),$AV$3)</f>
        <v>S</v>
      </c>
      <c r="C2380" s="242" t="str">
        <f>HYPERLINK(CONCATENATE($AT$4,BK2380,$AU$4,BL2380),$AV$4)</f>
        <v>A</v>
      </c>
      <c r="D2380" s="243" t="s">
        <v>5638</v>
      </c>
      <c r="E2380" s="244" t="s">
        <v>5182</v>
      </c>
      <c r="F2380" s="269" t="s">
        <v>3300</v>
      </c>
      <c r="G2380" s="273">
        <v>2.2000000000000002</v>
      </c>
      <c r="H2380" s="283">
        <v>90</v>
      </c>
      <c r="I2380" s="246">
        <v>60</v>
      </c>
      <c r="J2380" s="246">
        <v>2</v>
      </c>
      <c r="K2380" s="247" t="s">
        <v>8000</v>
      </c>
      <c r="L2380" s="248">
        <v>184719</v>
      </c>
      <c r="M2380" s="249">
        <f>15*(LEFT(TEXT($L2380,"000000"),2)+(MID(TEXT($L2380,"000000"),3,2)/60)+(RIGHT(TEXT($L2380,"000000"),2)/3600))</f>
        <v>281.82916666666671</v>
      </c>
      <c r="N2380" s="250">
        <v>453302</v>
      </c>
      <c r="O2380" s="251">
        <f>IF($N2380&gt;0,(LEFT(TEXT($N2380,"000000"),2)+(MID(TEXT($N2380,"000000"),3,2)/60)+(RIGHT(TEXT($N2380,"000000"),2)/3600)),-(MID(TEXT($N2380,"000000"),2,2)+(MID(TEXT($N2380,"000000"),4,2)/60)+(RIGHT(TEXT($N2380,"000000"),2)/3600)))</f>
        <v>45.550555555555555</v>
      </c>
      <c r="P2380" s="252" t="s">
        <v>123</v>
      </c>
      <c r="Q2380" s="253"/>
      <c r="R2380" s="277" t="s">
        <v>3293</v>
      </c>
      <c r="S2380" s="272" t="s">
        <v>7998</v>
      </c>
      <c r="T2380" s="273">
        <v>11.3</v>
      </c>
      <c r="U2380" s="289">
        <v>21.990000000000002</v>
      </c>
      <c r="V2380" s="280"/>
      <c r="W2380" s="244"/>
      <c r="X2380" s="244"/>
      <c r="Y2380" s="362"/>
      <c r="Z2380" s="257">
        <f>altaz(J2000_Bas,$O2380,$M2380,DecLat,DecLong,1)</f>
        <v>75.09076765536517</v>
      </c>
      <c r="AA2380" s="257">
        <f>altaz((J2000_Bas+(2*0.04167)),$O2380,$M2380,DecLat,DecLong,1)</f>
        <v>59.744649174404024</v>
      </c>
      <c r="AB2380" s="257">
        <f>altaz((J2000_Bas+(4*0.04167)),$O2380,$M2380,DecLat,DecLong,1)</f>
        <v>38.871407851810204</v>
      </c>
      <c r="AC2380" s="257">
        <f>altaz((J2000_Bas+(6*0.04167)),$O2380,$M2380,DecLat,DecLong,1)</f>
        <v>18.743704578031963</v>
      </c>
      <c r="AD2380" s="258">
        <f>1+ transit((J2000_Bas-1),$O2380,$M2380,DecLat,DecLong)/360 + (GMTOffset/24) + (IF(DST="Y", 1, 0)/24)</f>
        <v>1.7757586786401249</v>
      </c>
      <c r="AE2380" s="259">
        <f>DATE(2001,9,21)+(M2380/360)*365 - (360*((DecLong/360)- (GMTOffset/24) ))</f>
        <v>37445.743460648147</v>
      </c>
      <c r="AF2380" s="260">
        <f>IF(DecLat&gt;0,IF((90 - (DecLat-O2380))&gt;90, (90 - (O2380-DecLat)), (90 - (DecLat-O2380))),IF((90 + (DecLat-O2380))&gt;90, (90 + (O2380-DecLat)), (90 + (DecLat-O2380))))</f>
        <v>75.449444444444453</v>
      </c>
      <c r="AG2380" s="257">
        <f>angularseperation(MoonRA,MoonDec,$M2380,$O2380)</f>
        <v>78.44493620978605</v>
      </c>
      <c r="AH2380" s="261">
        <f ca="1">MIN(100,IF($O$5&gt;80,0+30*($AG2380/100),IF($O$5&gt;70,0+50*($AG2380/100),IF($O$5&gt;60,5+50*($AG2380/100),IF($O$5&gt;50,10+60*($AG2380/100),IF($O$5&gt;40,15+70*($AG2380/100),IF($O$5&gt;30,20+70*($AG2380/100),IF($O$5&gt;20,40+55*($AG2380/100),(80+(20-$O$5)+30*($AG2380/100))))))))))</f>
        <v>100</v>
      </c>
      <c r="AI2380" s="262">
        <v>6703</v>
      </c>
      <c r="AJ2380" s="263"/>
      <c r="AK2380" s="263"/>
      <c r="AL2380" s="263"/>
      <c r="AM2380" s="264"/>
      <c r="AN2380" s="263"/>
      <c r="AO2380" s="263"/>
      <c r="AP2380" s="265"/>
      <c r="AQ2380" s="265">
        <v>11356</v>
      </c>
      <c r="AR2380" s="285">
        <v>62409</v>
      </c>
      <c r="AS2380" s="263"/>
      <c r="AT2380" s="263"/>
      <c r="AU2380" s="263"/>
      <c r="AV2380" s="264"/>
      <c r="AW2380" s="263"/>
      <c r="AX2380" s="263"/>
      <c r="AY2380" s="263"/>
      <c r="AZ2380" s="263"/>
      <c r="BA2380" s="263"/>
      <c r="BB2380" s="263"/>
      <c r="BC2380" s="263"/>
      <c r="BD2380" s="264"/>
      <c r="BE2380" s="263"/>
      <c r="BF2380" s="263"/>
      <c r="BG2380" s="263"/>
      <c r="BH2380" s="263"/>
      <c r="BI2380" s="263"/>
      <c r="BJ2380" s="404">
        <f>altaz(J2000_Bas,$O2380,$M2380,DecLat,DecLong,2)</f>
        <v>348.57529405206577</v>
      </c>
      <c r="BK2380" s="378" t="s">
        <v>2249</v>
      </c>
      <c r="BL2380" s="379">
        <f>IF((2*G2380)/60&lt;0.2,0.2,(2*G2380)/60)</f>
        <v>0.2</v>
      </c>
      <c r="BM2380" s="380">
        <f>MOD((50000+AD2380-$B$3+(0/24)),1)</f>
        <v>0.99112560834328178</v>
      </c>
      <c r="BN2380" s="381"/>
      <c r="BO2380" s="382">
        <v>2371</v>
      </c>
    </row>
    <row r="2381" spans="1:67" s="24" customFormat="1" ht="15" customHeight="1" x14ac:dyDescent="0.25">
      <c r="A2381" s="288" t="s">
        <v>2250</v>
      </c>
      <c r="B2381" s="241" t="str">
        <f>HYPERLINK(CONCATENATE($AT$3,BK2381,$AU$3),$AV$3)</f>
        <v>S</v>
      </c>
      <c r="C2381" s="242" t="str">
        <f>HYPERLINK(CONCATENATE($AT$4,BK2381,$AU$4,BL2381),$AV$4)</f>
        <v>A</v>
      </c>
      <c r="D2381" s="243" t="s">
        <v>5335</v>
      </c>
      <c r="E2381" s="244" t="s">
        <v>5185</v>
      </c>
      <c r="F2381" s="269" t="s">
        <v>5508</v>
      </c>
      <c r="G2381" s="276">
        <v>13</v>
      </c>
      <c r="H2381" s="283">
        <v>3000</v>
      </c>
      <c r="I2381" s="246">
        <v>12</v>
      </c>
      <c r="J2381" s="246">
        <v>2</v>
      </c>
      <c r="K2381" s="247" t="s">
        <v>8001</v>
      </c>
      <c r="L2381" s="248">
        <v>185118</v>
      </c>
      <c r="M2381" s="249">
        <f>15*(LEFT(TEXT($L2381,"000000"),2)+(MID(TEXT($L2381,"000000"),3,2)/60)+(RIGHT(TEXT($L2381,"000000"),2)/3600))</f>
        <v>282.82499999999999</v>
      </c>
      <c r="N2381" s="250">
        <v>101906</v>
      </c>
      <c r="O2381" s="251">
        <f>IF($N2381&gt;0,(LEFT(TEXT($N2381,"000000"),2)+(MID(TEXT($N2381,"000000"),3,2)/60)+(RIGHT(TEXT($N2381,"000000"),2)/3600)),-(MID(TEXT($N2381,"000000"),2,2)+(MID(TEXT($N2381,"000000"),4,2)/60)+(RIGHT(TEXT($N2381,"000000"),2)/3600)))</f>
        <v>10.318333333333333</v>
      </c>
      <c r="P2381" s="252" t="s">
        <v>126</v>
      </c>
      <c r="Q2381" s="253" t="s">
        <v>7111</v>
      </c>
      <c r="R2381" s="247" t="s">
        <v>3293</v>
      </c>
      <c r="S2381" s="272" t="s">
        <v>3293</v>
      </c>
      <c r="T2381" s="273">
        <v>6.7</v>
      </c>
      <c r="U2381" s="274"/>
      <c r="V2381" s="280"/>
      <c r="W2381" s="244"/>
      <c r="X2381" s="244"/>
      <c r="Y2381" s="362"/>
      <c r="Z2381" s="257">
        <f>altaz(J2000_Bas,$O2381,$M2381,DecLat,DecLong,1)</f>
        <v>69.108999031393623</v>
      </c>
      <c r="AA2381" s="257">
        <f>altaz((J2000_Bas+(2*0.04167)),$O2381,$M2381,DecLat,DecLong,1)</f>
        <v>52.882357276383793</v>
      </c>
      <c r="AB2381" s="257">
        <f>altaz((J2000_Bas+(4*0.04167)),$O2381,$M2381,DecLat,DecLong,1)</f>
        <v>28.070047454609224</v>
      </c>
      <c r="AC2381" s="257">
        <f>altaz((J2000_Bas+(6*0.04167)),$O2381,$M2381,DecLat,DecLong,1)</f>
        <v>2.3944841177993013</v>
      </c>
      <c r="AD2381" s="258">
        <f>1+ transit((J2000_Bas-1),$O2381,$M2381,DecLat,DecLong)/360 + (GMTOffset/24) + (IF(DST="Y", 1, 0)/24)</f>
        <v>1.7785248820672079</v>
      </c>
      <c r="AE2381" s="259">
        <f>DATE(2001,9,21)+(M2381/360)*365 - (360*((DecLong/360)- (GMTOffset/24) ))</f>
        <v>37446.753125000003</v>
      </c>
      <c r="AF2381" s="260">
        <f>IF(DecLat&gt;0,IF((90 - (DecLat-O2381))&gt;90, (90 - (O2381-DecLat)), (90 - (DecLat-O2381))),IF((90 + (DecLat-O2381))&gt;90, (90 + (O2381-DecLat)), (90 + (DecLat-O2381))))</f>
        <v>69.318333333333328</v>
      </c>
      <c r="AG2381" s="257">
        <f>angularseperation(MoonRA,MoonDec,$M2381,$O2381)</f>
        <v>49.595410434528318</v>
      </c>
      <c r="AH2381" s="261">
        <f ca="1">MIN(100,IF($O$5&gt;80,0+30*($AG2381/100),IF($O$5&gt;70,0+50*($AG2381/100),IF($O$5&gt;60,5+50*($AG2381/100),IF($O$5&gt;50,10+60*($AG2381/100),IF($O$5&gt;40,15+70*($AG2381/100),IF($O$5&gt;30,20+70*($AG2381/100),IF($O$5&gt;20,40+55*($AG2381/100),(80+(20-$O$5)+30*($AG2381/100))))))))))</f>
        <v>98.149683474508919</v>
      </c>
      <c r="AI2381" s="262">
        <v>6709</v>
      </c>
      <c r="AJ2381" s="262"/>
      <c r="AK2381" s="262"/>
      <c r="AL2381" s="263"/>
      <c r="AM2381" s="264"/>
      <c r="AN2381" s="263"/>
      <c r="AO2381" s="263"/>
      <c r="AP2381" s="265"/>
      <c r="AQ2381" s="266"/>
      <c r="AR2381" s="267"/>
      <c r="AS2381" s="263"/>
      <c r="AT2381" s="263"/>
      <c r="AU2381" s="263"/>
      <c r="AV2381" s="264"/>
      <c r="AW2381" s="263"/>
      <c r="AX2381" s="263"/>
      <c r="AY2381" s="263"/>
      <c r="AZ2381" s="263"/>
      <c r="BA2381" s="263"/>
      <c r="BB2381" s="263"/>
      <c r="BC2381" s="263"/>
      <c r="BD2381" s="264"/>
      <c r="BE2381" s="263">
        <v>94</v>
      </c>
      <c r="BF2381" s="263"/>
      <c r="BG2381" s="263"/>
      <c r="BH2381" s="263"/>
      <c r="BI2381" s="263"/>
      <c r="BJ2381" s="404">
        <f>altaz(J2000_Bas,$O2381,$M2381,DecLat,DecLong,2)</f>
        <v>188.79703446381907</v>
      </c>
      <c r="BK2381" s="378" t="s">
        <v>2250</v>
      </c>
      <c r="BL2381" s="379">
        <f>IF((2*G2381)/60&lt;0.2,0.2,(2*G2381)/60)</f>
        <v>0.43333333333333335</v>
      </c>
      <c r="BM2381" s="380">
        <f>MOD((50000+AD2381-$B$3+(0/24)),1)</f>
        <v>0.99389181176957209</v>
      </c>
      <c r="BN2381" s="381"/>
      <c r="BO2381" s="382">
        <v>2372</v>
      </c>
    </row>
    <row r="2382" spans="1:67" s="24" customFormat="1" ht="15" customHeight="1" x14ac:dyDescent="0.25">
      <c r="A2382" s="288" t="s">
        <v>2251</v>
      </c>
      <c r="B2382" s="241" t="str">
        <f>HYPERLINK(CONCATENATE($AT$3,BK2382,$AU$3),$AV$3)</f>
        <v>S</v>
      </c>
      <c r="C2382" s="242" t="str">
        <f>HYPERLINK(CONCATENATE($AT$4,BK2382,$AU$4,BL2382),$AV$4)</f>
        <v>A</v>
      </c>
      <c r="D2382" s="243" t="s">
        <v>5335</v>
      </c>
      <c r="E2382" s="244" t="s">
        <v>5184</v>
      </c>
      <c r="F2382" s="269" t="s">
        <v>3320</v>
      </c>
      <c r="G2382" s="276">
        <v>10</v>
      </c>
      <c r="H2382" s="283">
        <v>22000</v>
      </c>
      <c r="I2382" s="246">
        <v>60</v>
      </c>
      <c r="J2382" s="246">
        <v>2</v>
      </c>
      <c r="K2382" s="247" t="s">
        <v>8002</v>
      </c>
      <c r="L2382" s="248">
        <v>185304</v>
      </c>
      <c r="M2382" s="249">
        <f>15*(LEFT(TEXT($L2382,"000000"),2)+(MID(TEXT($L2382,"000000"),3,2)/60)+(RIGHT(TEXT($L2382,"000000"),2)/3600))</f>
        <v>283.26666666666665</v>
      </c>
      <c r="N2382" s="250">
        <v>-84219</v>
      </c>
      <c r="O2382" s="251">
        <f>IF($N2382&gt;0,(LEFT(TEXT($N2382,"000000"),2)+(MID(TEXT($N2382,"000000"),3,2)/60)+(RIGHT(TEXT($N2382,"000000"),2)/3600)),-(MID(TEXT($N2382,"000000"),2,2)+(MID(TEXT($N2382,"000000"),4,2)/60)+(RIGHT(TEXT($N2382,"000000"),2)/3600)))</f>
        <v>-8.705277777777777</v>
      </c>
      <c r="P2382" s="252" t="s">
        <v>121</v>
      </c>
      <c r="Q2382" s="253"/>
      <c r="R2382" s="247" t="s">
        <v>3293</v>
      </c>
      <c r="S2382" s="272" t="s">
        <v>3293</v>
      </c>
      <c r="T2382" s="273">
        <v>8.1</v>
      </c>
      <c r="U2382" s="274"/>
      <c r="V2382" s="280"/>
      <c r="W2382" s="244"/>
      <c r="X2382" s="244"/>
      <c r="Y2382" s="362"/>
      <c r="Z2382" s="257">
        <f>altaz(J2000_Bas,$O2382,$M2382,DecLat,DecLong,1)</f>
        <v>50.208179205777526</v>
      </c>
      <c r="AA2382" s="257">
        <f>altaz((J2000_Bas+(2*0.04167)),$O2382,$M2382,DecLat,DecLong,1)</f>
        <v>39.352498921060779</v>
      </c>
      <c r="AB2382" s="257">
        <f>altaz((J2000_Bas+(4*0.04167)),$O2382,$M2382,DecLat,DecLong,1)</f>
        <v>17.936420018311658</v>
      </c>
      <c r="AC2382" s="257">
        <f>altaz((J2000_Bas+(6*0.04167)),$O2382,$M2382,DecLat,DecLong,1)</f>
        <v>-7.0157480352345214</v>
      </c>
      <c r="AD2382" s="258">
        <f>1+ transit((J2000_Bas-1),$O2382,$M2382,DecLat,DecLong)/360 + (GMTOffset/24) + (IF(DST="Y", 1, 0)/24)</f>
        <v>1.7797517337963746</v>
      </c>
      <c r="AE2382" s="259">
        <f>DATE(2001,9,21)+(M2382/360)*365 - (360*((DecLong/360)- (GMTOffset/24) ))</f>
        <v>37447.200925925928</v>
      </c>
      <c r="AF2382" s="260">
        <f>IF(DecLat&gt;0,IF((90 - (DecLat-O2382))&gt;90, (90 - (O2382-DecLat)), (90 - (DecLat-O2382))),IF((90 + (DecLat-O2382))&gt;90, (90 + (O2382-DecLat)), (90 + (DecLat-O2382))))</f>
        <v>50.294722222222219</v>
      </c>
      <c r="AG2382" s="257">
        <f>angularseperation(MoonRA,MoonDec,$M2382,$O2382)</f>
        <v>37.030130100235993</v>
      </c>
      <c r="AH2382" s="261">
        <f ca="1">MIN(100,IF($O$5&gt;80,0+30*($AG2382/100),IF($O$5&gt;70,0+50*($AG2382/100),IF($O$5&gt;60,5+50*($AG2382/100),IF($O$5&gt;50,10+60*($AG2382/100),IF($O$5&gt;40,15+70*($AG2382/100),IF($O$5&gt;30,20+70*($AG2382/100),IF($O$5&gt;20,40+55*($AG2382/100),(80+(20-$O$5)+30*($AG2382/100))))))))))</f>
        <v>94.380099374221231</v>
      </c>
      <c r="AI2382" s="262">
        <v>6712</v>
      </c>
      <c r="AJ2382" s="262"/>
      <c r="AK2382" s="262">
        <v>355</v>
      </c>
      <c r="AL2382" s="263"/>
      <c r="AM2382" s="264"/>
      <c r="AN2382" s="263"/>
      <c r="AO2382" s="263"/>
      <c r="AP2382" s="265"/>
      <c r="AQ2382" s="266"/>
      <c r="AR2382" s="267"/>
      <c r="AS2382" s="263"/>
      <c r="AT2382" s="263"/>
      <c r="AU2382" s="263"/>
      <c r="AV2382" s="264"/>
      <c r="AW2382" s="263"/>
      <c r="AX2382" s="263"/>
      <c r="AY2382" s="263"/>
      <c r="AZ2382" s="263"/>
      <c r="BA2382" s="263"/>
      <c r="BB2382" s="263"/>
      <c r="BC2382" s="263"/>
      <c r="BD2382" s="264"/>
      <c r="BE2382" s="263">
        <v>95</v>
      </c>
      <c r="BF2382" s="263"/>
      <c r="BG2382" s="263"/>
      <c r="BH2382" s="263"/>
      <c r="BI2382" s="263"/>
      <c r="BJ2382" s="404">
        <f>altaz(J2000_Bas,$O2382,$M2382,DecLat,DecLong,2)</f>
        <v>184.22792050476124</v>
      </c>
      <c r="BK2382" s="378" t="s">
        <v>2251</v>
      </c>
      <c r="BL2382" s="379">
        <f>IF((2*G2382)/60&lt;0.2,0.2,(2*G2382)/60)</f>
        <v>0.33333333333333331</v>
      </c>
      <c r="BM2382" s="380">
        <f>MOD((50000+AD2382-$B$3+(0/24)),1)</f>
        <v>0.99511866350076161</v>
      </c>
      <c r="BN2382" s="381"/>
      <c r="BO2382" s="382">
        <v>2373</v>
      </c>
    </row>
    <row r="2383" spans="1:67" s="24" customFormat="1" ht="15" customHeight="1" x14ac:dyDescent="0.25">
      <c r="A2383" s="288" t="s">
        <v>2252</v>
      </c>
      <c r="B2383" s="241" t="str">
        <f>HYPERLINK(CONCATENATE($AT$3,BK2383,$AU$3),$AV$3)</f>
        <v>S</v>
      </c>
      <c r="C2383" s="242" t="str">
        <f>HYPERLINK(CONCATENATE($AT$4,BK2383,$AU$4,BL2383),$AV$4)</f>
        <v>A</v>
      </c>
      <c r="D2383" s="243" t="s">
        <v>5335</v>
      </c>
      <c r="E2383" s="244" t="s">
        <v>5184</v>
      </c>
      <c r="F2383" s="269" t="s">
        <v>3314</v>
      </c>
      <c r="G2383" s="273">
        <v>3.9</v>
      </c>
      <c r="H2383" s="283">
        <v>20000</v>
      </c>
      <c r="I2383" s="246">
        <v>24</v>
      </c>
      <c r="J2383" s="246">
        <v>2</v>
      </c>
      <c r="K2383" s="247" t="s">
        <v>8003</v>
      </c>
      <c r="L2383" s="248">
        <v>185506</v>
      </c>
      <c r="M2383" s="249">
        <f>15*(LEFT(TEXT($L2383,"000000"),2)+(MID(TEXT($L2383,"000000"),3,2)/60)+(RIGHT(TEXT($L2383,"000000"),2)/3600))</f>
        <v>283.77499999999998</v>
      </c>
      <c r="N2383" s="250">
        <v>-224206</v>
      </c>
      <c r="O2383" s="251">
        <f>IF($N2383&gt;0,(LEFT(TEXT($N2383,"000000"),2)+(MID(TEXT($N2383,"000000"),3,2)/60)+(RIGHT(TEXT($N2383,"000000"),2)/3600)),-(MID(TEXT($N2383,"000000"),2,2)+(MID(TEXT($N2383,"000000"),4,2)/60)+(RIGHT(TEXT($N2383,"000000"),2)/3600)))</f>
        <v>-22.701666666666664</v>
      </c>
      <c r="P2383" s="252" t="s">
        <v>119</v>
      </c>
      <c r="Q2383" s="253"/>
      <c r="R2383" s="247" t="s">
        <v>2253</v>
      </c>
      <c r="S2383" s="272" t="s">
        <v>3293</v>
      </c>
      <c r="T2383" s="273">
        <v>8.4</v>
      </c>
      <c r="U2383" s="274"/>
      <c r="V2383" s="280"/>
      <c r="W2383" s="244"/>
      <c r="X2383" s="244"/>
      <c r="Y2383" s="362"/>
      <c r="Z2383" s="257">
        <f>altaz(J2000_Bas,$O2383,$M2383,DecLat,DecLong,1)</f>
        <v>36.255861759090472</v>
      </c>
      <c r="AA2383" s="257">
        <f>altaz((J2000_Bas+(2*0.04167)),$O2383,$M2383,DecLat,DecLong,1)</f>
        <v>28.004391209226267</v>
      </c>
      <c r="AB2383" s="257">
        <f>altaz((J2000_Bas+(4*0.04167)),$O2383,$M2383,DecLat,DecLong,1)</f>
        <v>9.6498161666848237</v>
      </c>
      <c r="AC2383" s="257">
        <f>altaz((J2000_Bas+(6*0.04167)),$O2383,$M2383,DecLat,DecLong,1)</f>
        <v>-13.474004776000477</v>
      </c>
      <c r="AD2383" s="258">
        <f>1+ transit((J2000_Bas-1),$O2383,$M2383,DecLat,DecLong)/360 + (GMTOffset/24) + (IF(DST="Y", 1, 0)/24)</f>
        <v>1.7811637706922079</v>
      </c>
      <c r="AE2383" s="259">
        <f>DATE(2001,9,21)+(M2383/360)*365 - (360*((DecLong/360)- (GMTOffset/24) ))</f>
        <v>37447.716319444444</v>
      </c>
      <c r="AF2383" s="260">
        <f>IF(DecLat&gt;0,IF((90 - (DecLat-O2383))&gt;90, (90 - (O2383-DecLat)), (90 - (DecLat-O2383))),IF((90 + (DecLat-O2383))&gt;90, (90 + (O2383-DecLat)), (90 + (DecLat-O2383))))</f>
        <v>36.298333333333332</v>
      </c>
      <c r="AG2383" s="257">
        <f>angularseperation(MoonRA,MoonDec,$M2383,$O2383)</f>
        <v>31.53164881457143</v>
      </c>
      <c r="AH2383" s="261">
        <f ca="1">MIN(100,IF($O$5&gt;80,0+30*($AG2383/100),IF($O$5&gt;70,0+50*($AG2383/100),IF($O$5&gt;60,5+50*($AG2383/100),IF($O$5&gt;50,10+60*($AG2383/100),IF($O$5&gt;40,15+70*($AG2383/100),IF($O$5&gt;30,20+70*($AG2383/100),IF($O$5&gt;20,40+55*($AG2383/100),(80+(20-$O$5)+30*($AG2383/100))))))))))</f>
        <v>92.73055498852186</v>
      </c>
      <c r="AI2383" s="262">
        <v>6717</v>
      </c>
      <c r="AJ2383" s="262"/>
      <c r="AK2383" s="262"/>
      <c r="AL2383" s="263"/>
      <c r="AM2383" s="264"/>
      <c r="AN2383" s="263"/>
      <c r="AO2383" s="263"/>
      <c r="AP2383" s="265"/>
      <c r="AQ2383" s="266"/>
      <c r="AR2383" s="267"/>
      <c r="AS2383" s="263"/>
      <c r="AT2383" s="263"/>
      <c r="AU2383" s="263"/>
      <c r="AV2383" s="264"/>
      <c r="AW2383" s="263"/>
      <c r="AX2383" s="263"/>
      <c r="AY2383" s="263"/>
      <c r="AZ2383" s="263"/>
      <c r="BA2383" s="263"/>
      <c r="BB2383" s="263"/>
      <c r="BC2383" s="263"/>
      <c r="BD2383" s="264"/>
      <c r="BE2383" s="263"/>
      <c r="BF2383" s="263">
        <v>85</v>
      </c>
      <c r="BG2383" s="263"/>
      <c r="BH2383" s="263"/>
      <c r="BI2383" s="263"/>
      <c r="BJ2383" s="404">
        <f>altaz(J2000_Bas,$O2383,$M2383,DecLat,DecLong,2)</f>
        <v>182.54866844532299</v>
      </c>
      <c r="BK2383" s="378" t="s">
        <v>2252</v>
      </c>
      <c r="BL2383" s="379">
        <f>IF((2*G2383)/60&lt;0.2,0.2,(2*G2383)/60)</f>
        <v>0.2</v>
      </c>
      <c r="BM2383" s="380">
        <f>MOD((50000+AD2383-$B$3+(0/24)),1)</f>
        <v>0.99653070039494196</v>
      </c>
      <c r="BN2383" s="381"/>
      <c r="BO2383" s="382">
        <v>2374</v>
      </c>
    </row>
    <row r="2384" spans="1:67" s="24" customFormat="1" ht="15" customHeight="1" x14ac:dyDescent="0.25">
      <c r="A2384" s="288" t="s">
        <v>2254</v>
      </c>
      <c r="B2384" s="241" t="str">
        <f>HYPERLINK(CONCATENATE($AT$3,BK2384,$AU$3),$AV$3)</f>
        <v>S</v>
      </c>
      <c r="C2384" s="242" t="str">
        <f>HYPERLINK(CONCATENATE($AT$4,BK2384,$AU$4,BL2384),$AV$4)</f>
        <v>A</v>
      </c>
      <c r="D2384" s="243" t="s">
        <v>5335</v>
      </c>
      <c r="E2384" s="244" t="s">
        <v>5184</v>
      </c>
      <c r="F2384" s="269" t="s">
        <v>3318</v>
      </c>
      <c r="G2384" s="276">
        <v>11</v>
      </c>
      <c r="H2384" s="283">
        <v>28000</v>
      </c>
      <c r="I2384" s="246">
        <v>90</v>
      </c>
      <c r="J2384" s="246">
        <v>3</v>
      </c>
      <c r="K2384" s="247" t="s">
        <v>8004</v>
      </c>
      <c r="L2384" s="248">
        <v>185933</v>
      </c>
      <c r="M2384" s="249">
        <f>15*(LEFT(TEXT($L2384,"000000"),2)+(MID(TEXT($L2384,"000000"),3,2)/60)+(RIGHT(TEXT($L2384,"000000"),2)/3600))</f>
        <v>284.88749999999999</v>
      </c>
      <c r="N2384" s="250">
        <v>-363754</v>
      </c>
      <c r="O2384" s="251">
        <f>IF($N2384&gt;0,(LEFT(TEXT($N2384,"000000"),2)+(MID(TEXT($N2384,"000000"),3,2)/60)+(RIGHT(TEXT($N2384,"000000"),2)/3600)),-(MID(TEXT($N2384,"000000"),2,2)+(MID(TEXT($N2384,"000000"),4,2)/60)+(RIGHT(TEXT($N2384,"000000"),2)/3600)))</f>
        <v>-36.631666666666668</v>
      </c>
      <c r="P2384" s="252" t="s">
        <v>119</v>
      </c>
      <c r="Q2384" s="253"/>
      <c r="R2384" s="247" t="s">
        <v>3293</v>
      </c>
      <c r="S2384" s="272" t="s">
        <v>2255</v>
      </c>
      <c r="T2384" s="273">
        <v>6.8</v>
      </c>
      <c r="U2384" s="274"/>
      <c r="V2384" s="280"/>
      <c r="W2384" s="244"/>
      <c r="X2384" s="244"/>
      <c r="Y2384" s="362"/>
      <c r="Z2384" s="257">
        <f>altaz(J2000_Bas,$O2384,$M2384,DecLat,DecLong,1)</f>
        <v>22.360261979957681</v>
      </c>
      <c r="AA2384" s="257">
        <f>altaz((J2000_Bas+(2*0.04167)),$O2384,$M2384,DecLat,DecLong,1)</f>
        <v>16.324155168919486</v>
      </c>
      <c r="AB2384" s="257">
        <f>altaz((J2000_Bas+(4*0.04167)),$O2384,$M2384,DecLat,DecLong,1)</f>
        <v>1.3287393281682653</v>
      </c>
      <c r="AC2384" s="257">
        <f>altaz((J2000_Bas+(6*0.04167)),$O2384,$M2384,DecLat,DecLong,1)</f>
        <v>-18.889140830729385</v>
      </c>
      <c r="AD2384" s="258">
        <f>1+ transit((J2000_Bas-1),$O2384,$M2384,DecLat,DecLong)/360 + (GMTOffset/24) + (IF(DST="Y", 1, 0)/24)</f>
        <v>1.7842540481609579</v>
      </c>
      <c r="AE2384" s="259">
        <f>DATE(2001,9,21)+(M2384/360)*365 - (360*((DecLong/360)- (GMTOffset/24) ))</f>
        <v>37448.844270833331</v>
      </c>
      <c r="AF2384" s="260">
        <f>IF(DecLat&gt;0,IF((90 - (DecLat-O2384))&gt;90, (90 - (O2384-DecLat)), (90 - (DecLat-O2384))),IF((90 + (DecLat-O2384))&gt;90, (90 + (O2384-DecLat)), (90 + (DecLat-O2384))))</f>
        <v>22.368333333333339</v>
      </c>
      <c r="AG2384" s="257">
        <f>angularseperation(MoonRA,MoonDec,$M2384,$O2384)</f>
        <v>31.53945683645733</v>
      </c>
      <c r="AH2384" s="261">
        <f ca="1">MIN(100,IF($O$5&gt;80,0+30*($AG2384/100),IF($O$5&gt;70,0+50*($AG2384/100),IF($O$5&gt;60,5+50*($AG2384/100),IF($O$5&gt;50,10+60*($AG2384/100),IF($O$5&gt;40,15+70*($AG2384/100),IF($O$5&gt;30,20+70*($AG2384/100),IF($O$5&gt;20,40+55*($AG2384/100),(80+(20-$O$5)+30*($AG2384/100))))))))))</f>
        <v>92.732897395087633</v>
      </c>
      <c r="AI2384" s="262">
        <v>6723</v>
      </c>
      <c r="AJ2384" s="262"/>
      <c r="AK2384" s="262"/>
      <c r="AL2384" s="263"/>
      <c r="AM2384" s="264"/>
      <c r="AN2384" s="263"/>
      <c r="AO2384" s="263"/>
      <c r="AP2384" s="265"/>
      <c r="AQ2384" s="266"/>
      <c r="AR2384" s="267"/>
      <c r="AS2384" s="263"/>
      <c r="AT2384" s="263"/>
      <c r="AU2384" s="263"/>
      <c r="AV2384" s="264"/>
      <c r="AW2384" s="263"/>
      <c r="AX2384" s="263"/>
      <c r="AY2384" s="263"/>
      <c r="AZ2384" s="263"/>
      <c r="BA2384" s="263"/>
      <c r="BB2384" s="263"/>
      <c r="BC2384" s="263"/>
      <c r="BD2384" s="264"/>
      <c r="BE2384" s="263">
        <v>96</v>
      </c>
      <c r="BF2384" s="263"/>
      <c r="BG2384" s="263"/>
      <c r="BH2384" s="263"/>
      <c r="BI2384" s="263"/>
      <c r="BJ2384" s="404">
        <f>altaz(J2000_Bas,$O2384,$M2384,DecLat,DecLong,2)</f>
        <v>180.96761686264688</v>
      </c>
      <c r="BK2384" s="378" t="s">
        <v>2254</v>
      </c>
      <c r="BL2384" s="379">
        <f>IF((2*G2384)/60&lt;0.2,0.2,(2*G2384)/60)</f>
        <v>0.36666666666666664</v>
      </c>
      <c r="BM2384" s="380">
        <f>MOD((50000+AD2384-$B$3+(0/24)),1)</f>
        <v>0.99962097786192317</v>
      </c>
      <c r="BN2384" s="381"/>
      <c r="BO2384" s="382">
        <v>2375</v>
      </c>
    </row>
    <row r="2385" spans="1:67" s="24" customFormat="1" ht="15" customHeight="1" x14ac:dyDescent="0.25">
      <c r="A2385" s="288" t="s">
        <v>2255</v>
      </c>
      <c r="B2385" s="241" t="str">
        <f>HYPERLINK(CONCATENATE($AT$3,BK2385,$AU$3),$AV$3)</f>
        <v>S</v>
      </c>
      <c r="C2385" s="242" t="str">
        <f>HYPERLINK(CONCATENATE($AT$4,BK2385,$AU$4,BL2385),$AV$4)</f>
        <v>A</v>
      </c>
      <c r="D2385" s="243" t="s">
        <v>5187</v>
      </c>
      <c r="E2385" s="244" t="s">
        <v>5186</v>
      </c>
      <c r="F2385" s="269"/>
      <c r="G2385" s="276">
        <v>30</v>
      </c>
      <c r="H2385" s="283">
        <v>450</v>
      </c>
      <c r="I2385" s="279">
        <v>4</v>
      </c>
      <c r="J2385" s="246">
        <v>4</v>
      </c>
      <c r="K2385" s="247" t="s">
        <v>8587</v>
      </c>
      <c r="L2385" s="248">
        <v>190138</v>
      </c>
      <c r="M2385" s="249">
        <f>15*(LEFT(TEXT($L2385,"000000"),2)+(MID(TEXT($L2385,"000000"),3,2)/60)+(RIGHT(TEXT($L2385,"000000"),2)/3600))</f>
        <v>285.4083333333333</v>
      </c>
      <c r="N2385" s="286">
        <v>-365330</v>
      </c>
      <c r="O2385" s="251">
        <f>IF($N2385&gt;0,(LEFT(TEXT($N2385,"000000"),2)+(MID(TEXT($N2385,"000000"),3,2)/60)+(RIGHT(TEXT($N2385,"000000"),2)/3600)),-(MID(TEXT($N2385,"000000"),2,2)+(MID(TEXT($N2385,"000000"),4,2)/60)+(RIGHT(TEXT($N2385,"000000"),2)/3600)))</f>
        <v>-36.891666666666666</v>
      </c>
      <c r="P2385" s="252" t="s">
        <v>45</v>
      </c>
      <c r="Q2385" s="253" t="s">
        <v>6937</v>
      </c>
      <c r="R2385" s="247" t="s">
        <v>7380</v>
      </c>
      <c r="S2385" s="272" t="s">
        <v>2254</v>
      </c>
      <c r="T2385" s="273"/>
      <c r="U2385" s="274"/>
      <c r="V2385" s="280"/>
      <c r="W2385" s="244"/>
      <c r="X2385" s="244"/>
      <c r="Y2385" s="362"/>
      <c r="Z2385" s="257">
        <f>altaz(J2000_Bas,$O2385,$M2385,DecLat,DecLong,1)</f>
        <v>22.106052777528685</v>
      </c>
      <c r="AA2385" s="257">
        <f>altaz((J2000_Bas+(2*0.04167)),$O2385,$M2385,DecLat,DecLong,1)</f>
        <v>16.284771969350963</v>
      </c>
      <c r="AB2385" s="257">
        <f>altaz((J2000_Bas+(4*0.04167)),$O2385,$M2385,DecLat,DecLong,1)</f>
        <v>1.4697719599039791</v>
      </c>
      <c r="AC2385" s="257">
        <f>altaz((J2000_Bas+(6*0.04167)),$O2385,$M2385,DecLat,DecLong,1)</f>
        <v>-18.622068843056912</v>
      </c>
      <c r="AD2385" s="258">
        <f>1+ transit((J2000_Bas-1),$O2385,$M2385,DecLat,DecLong)/360 + (GMTOffset/24) + (IF(DST="Y", 1, 0)/24)</f>
        <v>1.7857008072755411</v>
      </c>
      <c r="AE2385" s="259">
        <f>DATE(2001,9,21)+(M2385/360)*365 - (360*((DecLong/360)- (GMTOffset/24) ))</f>
        <v>37449.372337962966</v>
      </c>
      <c r="AF2385" s="260">
        <f>IF(DecLat&gt;0,IF((90 - (DecLat-O2385))&gt;90, (90 - (O2385-DecLat)), (90 - (DecLat-O2385))),IF((90 + (DecLat-O2385))&gt;90, (90 + (O2385-DecLat)), (90 + (DecLat-O2385))))</f>
        <v>22.108333333333334</v>
      </c>
      <c r="AG2385" s="257">
        <f>angularseperation(MoonRA,MoonDec,$M2385,$O2385)</f>
        <v>31.986351500150043</v>
      </c>
      <c r="AH2385" s="261">
        <f ca="1">MIN(100,IF($O$5&gt;80,0+30*($AG2385/100),IF($O$5&gt;70,0+50*($AG2385/100),IF($O$5&gt;60,5+50*($AG2385/100),IF($O$5&gt;50,10+60*($AG2385/100),IF($O$5&gt;40,15+70*($AG2385/100),IF($O$5&gt;30,20+70*($AG2385/100),IF($O$5&gt;20,40+55*($AG2385/100),(80+(20-$O$5)+30*($AG2385/100))))))))))</f>
        <v>92.866965794195437</v>
      </c>
      <c r="AI2385" s="262">
        <v>6726</v>
      </c>
      <c r="AJ2385" s="262"/>
      <c r="AK2385" s="262"/>
      <c r="AL2385" s="263"/>
      <c r="AM2385" s="264">
        <v>68</v>
      </c>
      <c r="AN2385" s="263"/>
      <c r="AO2385" s="263"/>
      <c r="AP2385" s="265"/>
      <c r="AQ2385" s="266"/>
      <c r="AR2385" s="267"/>
      <c r="AS2385" s="263"/>
      <c r="AT2385" s="263"/>
      <c r="AU2385" s="263"/>
      <c r="AV2385" s="264"/>
      <c r="AW2385" s="263"/>
      <c r="AX2385" s="263"/>
      <c r="AY2385" s="263"/>
      <c r="AZ2385" s="263"/>
      <c r="BA2385" s="263"/>
      <c r="BB2385" s="263"/>
      <c r="BC2385" s="263"/>
      <c r="BD2385" s="264"/>
      <c r="BE2385" s="263"/>
      <c r="BF2385" s="263"/>
      <c r="BG2385" s="263"/>
      <c r="BH2385" s="263"/>
      <c r="BI2385" s="263"/>
      <c r="BJ2385" s="404">
        <f>altaz(J2000_Bas,$O2385,$M2385,DecLat,DecLong,2)</f>
        <v>180.51300909069187</v>
      </c>
      <c r="BK2385" s="378" t="s">
        <v>2255</v>
      </c>
      <c r="BL2385" s="379">
        <f>IF((2*G2385)/60&lt;0.2,0.2,(2*G2385)/60)</f>
        <v>1</v>
      </c>
      <c r="BM2385" s="380">
        <f>MOD((50000+AD2385-$B$3+(0/24)),1)</f>
        <v>1.0677369791665114E-3</v>
      </c>
      <c r="BN2385" s="381" t="s">
        <v>9231</v>
      </c>
      <c r="BO2385" s="382">
        <v>2376</v>
      </c>
    </row>
    <row r="2386" spans="1:67" s="24" customFormat="1" ht="15" customHeight="1" x14ac:dyDescent="0.25">
      <c r="A2386" s="288" t="s">
        <v>2256</v>
      </c>
      <c r="B2386" s="241" t="str">
        <f>HYPERLINK(CONCATENATE($AT$3,BK2386,$AU$3),$AV$3)</f>
        <v>S</v>
      </c>
      <c r="C2386" s="242" t="str">
        <f>HYPERLINK(CONCATENATE($AT$4,BK2386,$AU$4,BL2386),$AV$4)</f>
        <v>A</v>
      </c>
      <c r="D2386" s="243" t="s">
        <v>5187</v>
      </c>
      <c r="E2386" s="244" t="s">
        <v>5181</v>
      </c>
      <c r="F2386" s="269" t="s">
        <v>8828</v>
      </c>
      <c r="G2386" s="270">
        <v>0.15</v>
      </c>
      <c r="H2386" s="283">
        <v>12000</v>
      </c>
      <c r="I2386" s="309">
        <v>0.5</v>
      </c>
      <c r="J2386" s="246">
        <v>1</v>
      </c>
      <c r="K2386" s="247" t="s">
        <v>8005</v>
      </c>
      <c r="L2386" s="248">
        <v>190237</v>
      </c>
      <c r="M2386" s="249">
        <f>15*(LEFT(TEXT($L2386,"000000"),2)+(MID(TEXT($L2386,"000000"),3,2)/60)+(RIGHT(TEXT($L2386,"000000"),2)/3600))</f>
        <v>285.6541666666667</v>
      </c>
      <c r="N2386" s="250">
        <v>-2657</v>
      </c>
      <c r="O2386" s="251">
        <f>IF($N2386&gt;0,(LEFT(TEXT($N2386,"000000"),2)+(MID(TEXT($N2386,"000000"),3,2)/60)+(RIGHT(TEXT($N2386,"000000"),2)/3600)),-(MID(TEXT($N2386,"000000"),2,2)+(MID(TEXT($N2386,"000000"),4,2)/60)+(RIGHT(TEXT($N2386,"000000"),2)/3600)))</f>
        <v>-0.44916666666666666</v>
      </c>
      <c r="P2386" s="252" t="s">
        <v>126</v>
      </c>
      <c r="Q2386" s="253" t="s">
        <v>7049</v>
      </c>
      <c r="R2386" s="247" t="s">
        <v>3293</v>
      </c>
      <c r="S2386" s="272" t="s">
        <v>3293</v>
      </c>
      <c r="T2386" s="273">
        <v>11.5</v>
      </c>
      <c r="U2386" s="274"/>
      <c r="V2386" s="280"/>
      <c r="W2386" s="244"/>
      <c r="X2386" s="244"/>
      <c r="Y2386" s="362"/>
      <c r="Z2386" s="257">
        <f>altaz(J2000_Bas,$O2386,$M2386,DecLat,DecLong,1)</f>
        <v>58.549092575375241</v>
      </c>
      <c r="AA2386" s="257">
        <f>altaz((J2000_Bas+(2*0.04167)),$O2386,$M2386,DecLat,DecLong,1)</f>
        <v>47.307913795157795</v>
      </c>
      <c r="AB2386" s="257">
        <f>altaz((J2000_Bas+(4*0.04167)),$O2386,$M2386,DecLat,DecLong,1)</f>
        <v>24.696421686741314</v>
      </c>
      <c r="AC2386" s="257">
        <f>altaz((J2000_Bas+(6*0.04167)),$O2386,$M2386,DecLat,DecLong,1)</f>
        <v>-0.74742485385242996</v>
      </c>
      <c r="AD2386" s="258">
        <f>1+ transit((J2000_Bas-1),$O2386,$M2386,DecLat,DecLong)/360 + (GMTOffset/24) + (IF(DST="Y", 1, 0)/24)</f>
        <v>1.7863836775776247</v>
      </c>
      <c r="AE2386" s="259">
        <f>DATE(2001,9,21)+(M2386/360)*365 - (360*((DecLong/360)- (GMTOffset/24) ))</f>
        <v>37449.62158564815</v>
      </c>
      <c r="AF2386" s="260">
        <f>IF(DecLat&gt;0,IF((90 - (DecLat-O2386))&gt;90, (90 - (O2386-DecLat)), (90 - (DecLat-O2386))),IF((90 + (DecLat-O2386))&gt;90, (90 + (O2386-DecLat)), (90 + (DecLat-O2386))))</f>
        <v>58.55083333333333</v>
      </c>
      <c r="AG2386" s="257">
        <f>angularseperation(MoonRA,MoonDec,$M2386,$O2386)</f>
        <v>43.940339448194806</v>
      </c>
      <c r="AH2386" s="261">
        <f ca="1">MIN(100,IF($O$5&gt;80,0+30*($AG2386/100),IF($O$5&gt;70,0+50*($AG2386/100),IF($O$5&gt;60,5+50*($AG2386/100),IF($O$5&gt;50,10+60*($AG2386/100),IF($O$5&gt;40,15+70*($AG2386/100),IF($O$5&gt;30,20+70*($AG2386/100),IF($O$5&gt;20,40+55*($AG2386/100),(80+(20-$O$5)+30*($AG2386/100))))))))))</f>
        <v>96.453162178608864</v>
      </c>
      <c r="AI2386" s="262">
        <v>6741</v>
      </c>
      <c r="AJ2386" s="262"/>
      <c r="AK2386" s="262"/>
      <c r="AL2386" s="263"/>
      <c r="AM2386" s="264"/>
      <c r="AN2386" s="263"/>
      <c r="AO2386" s="263"/>
      <c r="AP2386" s="265"/>
      <c r="AQ2386" s="266"/>
      <c r="AR2386" s="267"/>
      <c r="AS2386" s="263"/>
      <c r="AT2386" s="263">
        <v>27</v>
      </c>
      <c r="AU2386" s="263"/>
      <c r="AV2386" s="264"/>
      <c r="AW2386" s="263"/>
      <c r="AX2386" s="263"/>
      <c r="AY2386" s="263"/>
      <c r="AZ2386" s="263"/>
      <c r="BA2386" s="263"/>
      <c r="BB2386" s="263"/>
      <c r="BC2386" s="263"/>
      <c r="BD2386" s="264"/>
      <c r="BE2386" s="263"/>
      <c r="BF2386" s="263"/>
      <c r="BG2386" s="263"/>
      <c r="BH2386" s="263"/>
      <c r="BI2386" s="263"/>
      <c r="BJ2386" s="404">
        <f>altaz(J2000_Bas,$O2386,$M2386,DecLat,DecLong,2)</f>
        <v>180.6678360071549</v>
      </c>
      <c r="BK2386" s="378" t="s">
        <v>2256</v>
      </c>
      <c r="BL2386" s="379">
        <f>IF((2*G2386)/60&lt;0.2,0.2,(2*G2386)/60)</f>
        <v>0.2</v>
      </c>
      <c r="BM2386" s="380">
        <f>MOD((50000+AD2386-$B$3+(0/24)),1)</f>
        <v>1.7506072836113162E-3</v>
      </c>
      <c r="BN2386" s="381"/>
      <c r="BO2386" s="382">
        <v>2377</v>
      </c>
    </row>
    <row r="2387" spans="1:67" s="24" customFormat="1" ht="15" customHeight="1" x14ac:dyDescent="0.25">
      <c r="A2387" s="287" t="s">
        <v>2257</v>
      </c>
      <c r="B2387" s="241" t="str">
        <f>HYPERLINK(CONCATENATE($AT$3,BK2387,$AU$3),$AV$3)</f>
        <v>S</v>
      </c>
      <c r="C2387" s="242" t="str">
        <f>HYPERLINK(CONCATENATE($AT$4,BK2387,$AU$4,BL2387),$AV$4)</f>
        <v>A</v>
      </c>
      <c r="D2387" s="243" t="s">
        <v>5638</v>
      </c>
      <c r="E2387" s="244" t="s">
        <v>5192</v>
      </c>
      <c r="F2387" s="269" t="s">
        <v>8886</v>
      </c>
      <c r="G2387" s="276">
        <v>20</v>
      </c>
      <c r="H2387" s="283">
        <v>30</v>
      </c>
      <c r="I2387" s="246">
        <v>180</v>
      </c>
      <c r="J2387" s="246">
        <v>4</v>
      </c>
      <c r="K2387" s="247" t="s">
        <v>8588</v>
      </c>
      <c r="L2387" s="248">
        <v>190946</v>
      </c>
      <c r="M2387" s="249">
        <f>15*(LEFT(TEXT($L2387,"000000"),2)+(MID(TEXT($L2387,"000000"),3,2)/60)+(RIGHT(TEXT($L2387,"000000"),2)/3600))</f>
        <v>287.44166666666666</v>
      </c>
      <c r="N2387" s="250">
        <v>-635127</v>
      </c>
      <c r="O2387" s="251">
        <f>IF($N2387&gt;0,(LEFT(TEXT($N2387,"000000"),2)+(MID(TEXT($N2387,"000000"),3,2)/60)+(RIGHT(TEXT($N2387,"000000"),2)/3600)),-(MID(TEXT($N2387,"000000"),2,2)+(MID(TEXT($N2387,"000000"),4,2)/60)+(RIGHT(TEXT($N2387,"000000"),2)/3600)))</f>
        <v>-63.857500000000002</v>
      </c>
      <c r="P2387" s="252" t="s">
        <v>2258</v>
      </c>
      <c r="Q2387" s="253"/>
      <c r="R2387" s="247" t="s">
        <v>7413</v>
      </c>
      <c r="S2387" s="272" t="s">
        <v>3293</v>
      </c>
      <c r="T2387" s="273">
        <v>8.1999999999999993</v>
      </c>
      <c r="U2387" s="289">
        <v>23.29</v>
      </c>
      <c r="V2387" s="280">
        <v>50</v>
      </c>
      <c r="W2387" s="244"/>
      <c r="X2387" s="244"/>
      <c r="Y2387" s="362"/>
      <c r="Z2387" s="257">
        <f>altaz(J2000_Bas,$O2387,$M2387,DecLat,DecLong,1)</f>
        <v>-4.864349361982331</v>
      </c>
      <c r="AA2387" s="257">
        <f>altaz((J2000_Bas+(2*0.04167)),$O2387,$M2387,DecLat,DecLong,1)</f>
        <v>-7.521833450490484</v>
      </c>
      <c r="AB2387" s="257">
        <f>altaz((J2000_Bas+(4*0.04167)),$O2387,$M2387,DecLat,DecLong,1)</f>
        <v>-15.444894313171508</v>
      </c>
      <c r="AC2387" s="257">
        <f>altaz((J2000_Bas+(6*0.04167)),$O2387,$M2387,DecLat,DecLong,1)</f>
        <v>-27.035146909245199</v>
      </c>
      <c r="AD2387" s="258">
        <f>1+ transit((J2000_Bas-1),$O2387,$M2387,DecLat,DecLong)/360 + (GMTOffset/24) + (IF(DST="Y", 1, 0)/24)</f>
        <v>1.7913489548588746</v>
      </c>
      <c r="AE2387" s="259">
        <f>DATE(2001,9,21)+(M2387/360)*365 - (360*((DecLong/360)- (GMTOffset/24) ))</f>
        <v>37451.433912037035</v>
      </c>
      <c r="AF2387" s="260">
        <f>IF(DecLat&gt;0,IF((90 - (DecLat-O2387))&gt;90, (90 - (O2387-DecLat)), (90 - (DecLat-O2387))),IF((90 + (DecLat-O2387))&gt;90, (90 + (O2387-DecLat)), (90 + (DecLat-O2387))))</f>
        <v>-4.8575000000000017</v>
      </c>
      <c r="AG2387" s="257">
        <f>angularseperation(MoonRA,MoonDec,$M2387,$O2387)</f>
        <v>44.192277579769211</v>
      </c>
      <c r="AH2387" s="261">
        <f ca="1">MIN(100,IF($O$5&gt;80,0+30*($AG2387/100),IF($O$5&gt;70,0+50*($AG2387/100),IF($O$5&gt;60,5+50*($AG2387/100),IF($O$5&gt;50,10+60*($AG2387/100),IF($O$5&gt;40,15+70*($AG2387/100),IF($O$5&gt;30,20+70*($AG2387/100),IF($O$5&gt;20,40+55*($AG2387/100),(80+(20-$O$5)+30*($AG2387/100))))))))))</f>
        <v>96.528743618081194</v>
      </c>
      <c r="AI2387" s="263">
        <v>6744</v>
      </c>
      <c r="AJ2387" s="263"/>
      <c r="AK2387" s="263"/>
      <c r="AL2387" s="263"/>
      <c r="AM2387" s="264">
        <v>101</v>
      </c>
      <c r="AN2387" s="263"/>
      <c r="AO2387" s="263"/>
      <c r="AP2387" s="265"/>
      <c r="AQ2387" s="265"/>
      <c r="AR2387" s="285">
        <v>62836</v>
      </c>
      <c r="AS2387" s="263"/>
      <c r="AT2387" s="263"/>
      <c r="AU2387" s="263"/>
      <c r="AV2387" s="264"/>
      <c r="AW2387" s="263"/>
      <c r="AX2387" s="263"/>
      <c r="AY2387" s="263"/>
      <c r="AZ2387" s="263"/>
      <c r="BA2387" s="263"/>
      <c r="BB2387" s="263"/>
      <c r="BC2387" s="263"/>
      <c r="BD2387" s="264"/>
      <c r="BE2387" s="263"/>
      <c r="BF2387" s="263"/>
      <c r="BG2387" s="263"/>
      <c r="BH2387" s="263"/>
      <c r="BI2387" s="263"/>
      <c r="BJ2387" s="404">
        <f>altaz(J2000_Bas,$O2387,$M2387,DecLat,DecLong,2)</f>
        <v>179.36371354379096</v>
      </c>
      <c r="BK2387" s="378" t="s">
        <v>2257</v>
      </c>
      <c r="BL2387" s="379">
        <f>IF((2*G2387)/60&lt;0.2,0.2,(2*G2387)/60)</f>
        <v>0.66666666666666663</v>
      </c>
      <c r="BM2387" s="380">
        <f>MOD((50000+AD2387-$B$3+(0/24)),1)</f>
        <v>6.7158845631638542E-3</v>
      </c>
      <c r="BN2387" s="381"/>
      <c r="BO2387" s="382">
        <v>2378</v>
      </c>
    </row>
    <row r="2388" spans="1:67" s="24" customFormat="1" ht="15" customHeight="1" x14ac:dyDescent="0.25">
      <c r="A2388" s="288" t="s">
        <v>2259</v>
      </c>
      <c r="B2388" s="241" t="str">
        <f>HYPERLINK(CONCATENATE($AT$3,BK2388,$AU$3),$AV$3)</f>
        <v>S</v>
      </c>
      <c r="C2388" s="242" t="str">
        <f>HYPERLINK(CONCATENATE($AT$4,BK2388,$AU$4,BL2388),$AV$4)</f>
        <v>A</v>
      </c>
      <c r="D2388" s="243" t="s">
        <v>5638</v>
      </c>
      <c r="E2388" s="244" t="s">
        <v>5337</v>
      </c>
      <c r="F2388" s="269" t="s">
        <v>3310</v>
      </c>
      <c r="G2388" s="273">
        <v>2</v>
      </c>
      <c r="H2388" s="283">
        <v>200</v>
      </c>
      <c r="I2388" s="246">
        <v>120</v>
      </c>
      <c r="J2388" s="246">
        <v>3</v>
      </c>
      <c r="K2388" s="247" t="s">
        <v>8589</v>
      </c>
      <c r="L2388" s="248">
        <v>190142</v>
      </c>
      <c r="M2388" s="249">
        <f>15*(LEFT(TEXT($L2388,"000000"),2)+(MID(TEXT($L2388,"000000"),3,2)/60)+(RIGHT(TEXT($L2388,"000000"),2)/3600))</f>
        <v>285.42500000000001</v>
      </c>
      <c r="N2388" s="250">
        <v>404531</v>
      </c>
      <c r="O2388" s="251">
        <f>IF($N2388&gt;0,(LEFT(TEXT($N2388,"000000"),2)+(MID(TEXT($N2388,"000000"),3,2)/60)+(RIGHT(TEXT($N2388,"000000"),2)/3600)),-(MID(TEXT($N2388,"000000"),2,2)+(MID(TEXT($N2388,"000000"),4,2)/60)+(RIGHT(TEXT($N2388,"000000"),2)/3600)))</f>
        <v>40.758611111111108</v>
      </c>
      <c r="P2388" s="252" t="s">
        <v>123</v>
      </c>
      <c r="Q2388" s="253"/>
      <c r="R2388" s="247" t="s">
        <v>3293</v>
      </c>
      <c r="S2388" s="272" t="s">
        <v>3293</v>
      </c>
      <c r="T2388" s="273">
        <v>13.9</v>
      </c>
      <c r="U2388" s="289">
        <v>22.19</v>
      </c>
      <c r="V2388" s="280"/>
      <c r="W2388" s="244"/>
      <c r="X2388" s="244"/>
      <c r="Y2388" s="362"/>
      <c r="Z2388" s="257">
        <f>altaz(J2000_Bas,$O2388,$M2388,DecLat,DecLong,1)</f>
        <v>80.230241871850779</v>
      </c>
      <c r="AA2388" s="257">
        <f>altaz((J2000_Bas+(2*0.04167)),$O2388,$M2388,DecLat,DecLong,1)</f>
        <v>63.476952101792563</v>
      </c>
      <c r="AB2388" s="257">
        <f>altaz((J2000_Bas+(4*0.04167)),$O2388,$M2388,DecLat,DecLong,1)</f>
        <v>40.808826197632392</v>
      </c>
      <c r="AC2388" s="257">
        <f>altaz((J2000_Bas+(6*0.04167)),$O2388,$M2388,DecLat,DecLong,1)</f>
        <v>19.076801451293338</v>
      </c>
      <c r="AD2388" s="258">
        <f>1+ transit((J2000_Bas-1),$O2388,$M2388,DecLat,DecLong)/360 + (GMTOffset/24) + (IF(DST="Y", 1, 0)/24)</f>
        <v>1.7857471035672081</v>
      </c>
      <c r="AE2388" s="259">
        <f>DATE(2001,9,21)+(M2388/360)*365 - (360*((DecLong/360)- (GMTOffset/24) ))</f>
        <v>37449.389236111114</v>
      </c>
      <c r="AF2388" s="260">
        <f>IF(DecLat&gt;0,IF((90 - (DecLat-O2388))&gt;90, (90 - (O2388-DecLat)), (90 - (DecLat-O2388))),IF((90 + (DecLat-O2388))&gt;90, (90 + (O2388-DecLat)), (90 + (DecLat-O2388))))</f>
        <v>80.241388888888892</v>
      </c>
      <c r="AG2388" s="257">
        <f>angularseperation(MoonRA,MoonDec,$M2388,$O2388)</f>
        <v>75.695110512569102</v>
      </c>
      <c r="AH2388" s="261">
        <f ca="1">MIN(100,IF($O$5&gt;80,0+30*($AG2388/100),IF($O$5&gt;70,0+50*($AG2388/100),IF($O$5&gt;60,5+50*($AG2388/100),IF($O$5&gt;50,10+60*($AG2388/100),IF($O$5&gt;40,15+70*($AG2388/100),IF($O$5&gt;30,20+70*($AG2388/100),IF($O$5&gt;20,40+55*($AG2388/100),(80+(20-$O$5)+30*($AG2388/100))))))))))</f>
        <v>100</v>
      </c>
      <c r="AI2388" s="262">
        <v>6745</v>
      </c>
      <c r="AJ2388" s="262"/>
      <c r="AK2388" s="262"/>
      <c r="AL2388" s="263"/>
      <c r="AM2388" s="264"/>
      <c r="AN2388" s="263"/>
      <c r="AO2388" s="263"/>
      <c r="AP2388" s="265"/>
      <c r="AQ2388" s="266">
        <v>11391</v>
      </c>
      <c r="AR2388" s="267">
        <v>62691</v>
      </c>
      <c r="AS2388" s="263"/>
      <c r="AT2388" s="263"/>
      <c r="AU2388" s="263"/>
      <c r="AV2388" s="264"/>
      <c r="AW2388" s="263"/>
      <c r="AX2388" s="263"/>
      <c r="AY2388" s="263"/>
      <c r="AZ2388" s="263"/>
      <c r="BA2388" s="263"/>
      <c r="BB2388" s="263"/>
      <c r="BC2388" s="263"/>
      <c r="BD2388" s="264"/>
      <c r="BE2388" s="263"/>
      <c r="BF2388" s="263"/>
      <c r="BG2388" s="263"/>
      <c r="BH2388" s="263">
        <v>84</v>
      </c>
      <c r="BI2388" s="263"/>
      <c r="BJ2388" s="404">
        <f>altaz(J2000_Bas,$O2388,$M2388,DecLat,DecLong,2)</f>
        <v>357.42073579600327</v>
      </c>
      <c r="BK2388" s="378" t="s">
        <v>2259</v>
      </c>
      <c r="BL2388" s="379">
        <f>IF((2*G2388)/60&lt;0.2,0.2,(2*G2388)/60)</f>
        <v>0.2</v>
      </c>
      <c r="BM2388" s="380">
        <f>MOD((50000+AD2388-$B$3+(0/24)),1)</f>
        <v>1.1140332717332058E-3</v>
      </c>
      <c r="BN2388" s="382" t="s">
        <v>9214</v>
      </c>
      <c r="BO2388" s="382">
        <v>2379</v>
      </c>
    </row>
    <row r="2389" spans="1:67" s="24" customFormat="1" ht="15" customHeight="1" x14ac:dyDescent="0.25">
      <c r="A2389" s="288" t="s">
        <v>2260</v>
      </c>
      <c r="B2389" s="241" t="str">
        <f>HYPERLINK(CONCATENATE($AT$3,BK2389,$AU$3),$AV$3)</f>
        <v>S</v>
      </c>
      <c r="C2389" s="242" t="str">
        <f>HYPERLINK(CONCATENATE($AT$4,BK2389,$AU$4,BL2389),$AV$4)</f>
        <v>A</v>
      </c>
      <c r="D2389" s="243" t="s">
        <v>5187</v>
      </c>
      <c r="E2389" s="244" t="s">
        <v>5181</v>
      </c>
      <c r="F2389" s="269" t="s">
        <v>8007</v>
      </c>
      <c r="G2389" s="270">
        <v>0.7</v>
      </c>
      <c r="H2389" s="283">
        <v>8400</v>
      </c>
      <c r="I2389" s="279">
        <v>1.8</v>
      </c>
      <c r="J2389" s="246">
        <v>3</v>
      </c>
      <c r="K2389" s="247" t="s">
        <v>8006</v>
      </c>
      <c r="L2389" s="248">
        <v>190556</v>
      </c>
      <c r="M2389" s="249">
        <f>15*(LEFT(TEXT($L2389,"000000"),2)+(MID(TEXT($L2389,"000000"),3,2)/60)+(RIGHT(TEXT($L2389,"000000"),2)/3600))</f>
        <v>286.48333333333329</v>
      </c>
      <c r="N2389" s="250">
        <v>-55931</v>
      </c>
      <c r="O2389" s="251">
        <f>IF($N2389&gt;0,(LEFT(TEXT($N2389,"000000"),2)+(MID(TEXT($N2389,"000000"),3,2)/60)+(RIGHT(TEXT($N2389,"000000"),2)/3600)),-(MID(TEXT($N2389,"000000"),2,2)+(MID(TEXT($N2389,"000000"),4,2)/60)+(RIGHT(TEXT($N2389,"000000"),2)/3600)))</f>
        <v>-5.9919444444444441</v>
      </c>
      <c r="P2389" s="252" t="s">
        <v>126</v>
      </c>
      <c r="Q2389" s="253" t="s">
        <v>6964</v>
      </c>
      <c r="R2389" s="247" t="s">
        <v>3293</v>
      </c>
      <c r="S2389" s="272" t="s">
        <v>3293</v>
      </c>
      <c r="T2389" s="273">
        <v>15.5</v>
      </c>
      <c r="U2389" s="274"/>
      <c r="V2389" s="280"/>
      <c r="W2389" s="244"/>
      <c r="X2389" s="244"/>
      <c r="Y2389" s="362"/>
      <c r="Z2389" s="257">
        <f>altaz(J2000_Bas,$O2389,$M2389,DecLat,DecLong,1)</f>
        <v>53.005198658552196</v>
      </c>
      <c r="AA2389" s="257">
        <f>altaz((J2000_Bas+(2*0.04167)),$O2389,$M2389,DecLat,DecLong,1)</f>
        <v>43.427676164178962</v>
      </c>
      <c r="AB2389" s="257">
        <f>altaz((J2000_Bas+(4*0.04167)),$O2389,$M2389,DecLat,DecLong,1)</f>
        <v>22.116246557999158</v>
      </c>
      <c r="AC2389" s="257">
        <f>altaz((J2000_Bas+(6*0.04167)),$O2389,$M2389,DecLat,DecLong,1)</f>
        <v>-2.8881029935424762</v>
      </c>
      <c r="AD2389" s="258">
        <f>1+ transit((J2000_Bas-1),$O2389,$M2389,DecLat,DecLong)/360 + (GMTOffset/24) + (IF(DST="Y", 1, 0)/24)</f>
        <v>1.7886869180880411</v>
      </c>
      <c r="AE2389" s="259">
        <f>DATE(2001,9,21)+(M2389/360)*365 - (360*((DecLong/360)- (GMTOffset/24) ))</f>
        <v>37450.462268518517</v>
      </c>
      <c r="AF2389" s="260">
        <f>IF(DecLat&gt;0,IF((90 - (DecLat-O2389))&gt;90, (90 - (O2389-DecLat)), (90 - (DecLat-O2389))),IF((90 + (DecLat-O2389))&gt;90, (90 + (O2389-DecLat)), (90 + (DecLat-O2389))))</f>
        <v>53.008055555555558</v>
      </c>
      <c r="AG2389" s="257">
        <f>angularseperation(MoonRA,MoonDec,$M2389,$O2389)</f>
        <v>41.197122838105535</v>
      </c>
      <c r="AH2389" s="261">
        <f ca="1">MIN(100,IF($O$5&gt;80,0+30*($AG2389/100),IF($O$5&gt;70,0+50*($AG2389/100),IF($O$5&gt;60,5+50*($AG2389/100),IF($O$5&gt;50,10+60*($AG2389/100),IF($O$5&gt;40,15+70*($AG2389/100),IF($O$5&gt;30,20+70*($AG2389/100),IF($O$5&gt;20,40+55*($AG2389/100),(80+(20-$O$5)+30*($AG2389/100))))))))))</f>
        <v>95.630197195582085</v>
      </c>
      <c r="AI2389" s="262">
        <v>6751</v>
      </c>
      <c r="AJ2389" s="262"/>
      <c r="AK2389" s="262"/>
      <c r="AL2389" s="263"/>
      <c r="AM2389" s="264"/>
      <c r="AN2389" s="263"/>
      <c r="AO2389" s="263"/>
      <c r="AP2389" s="265"/>
      <c r="AQ2389" s="266"/>
      <c r="AR2389" s="267"/>
      <c r="AS2389" s="263"/>
      <c r="AT2389" s="263">
        <v>28</v>
      </c>
      <c r="AU2389" s="263"/>
      <c r="AV2389" s="264"/>
      <c r="AW2389" s="263"/>
      <c r="AX2389" s="263"/>
      <c r="AY2389" s="263"/>
      <c r="AZ2389" s="263"/>
      <c r="BA2389" s="263"/>
      <c r="BB2389" s="263"/>
      <c r="BC2389" s="263"/>
      <c r="BD2389" s="264"/>
      <c r="BE2389" s="263"/>
      <c r="BF2389" s="263">
        <v>86</v>
      </c>
      <c r="BG2389" s="263"/>
      <c r="BH2389" s="263"/>
      <c r="BI2389" s="263"/>
      <c r="BJ2389" s="404">
        <f>altaz(J2000_Bas,$O2389,$M2389,DecLat,DecLong,2)</f>
        <v>179.20549115424174</v>
      </c>
      <c r="BK2389" s="378" t="s">
        <v>2260</v>
      </c>
      <c r="BL2389" s="379">
        <f>IF((2*G2389)/60&lt;0.2,0.2,(2*G2389)/60)</f>
        <v>0.2</v>
      </c>
      <c r="BM2389" s="380">
        <f>MOD((50000+AD2389-$B$3+(0/24)),1)</f>
        <v>4.0538477915106341E-3</v>
      </c>
      <c r="BN2389" s="381"/>
      <c r="BO2389" s="382">
        <v>2380</v>
      </c>
    </row>
    <row r="2390" spans="1:67" s="24" customFormat="1" ht="15" customHeight="1" x14ac:dyDescent="0.25">
      <c r="A2390" s="298" t="s">
        <v>2261</v>
      </c>
      <c r="B2390" s="241" t="str">
        <f>HYPERLINK(CONCATENATE($AT$3,BK2390,$AU$3),$AV$3)</f>
        <v>S</v>
      </c>
      <c r="C2390" s="242" t="str">
        <f>HYPERLINK(CONCATENATE($AT$4,BK2390,$AU$4,BL2390),$AV$4)</f>
        <v>A</v>
      </c>
      <c r="D2390" s="243" t="s">
        <v>5335</v>
      </c>
      <c r="E2390" s="244" t="s">
        <v>5184</v>
      </c>
      <c r="F2390" s="269" t="s">
        <v>3312</v>
      </c>
      <c r="G2390" s="276">
        <v>29</v>
      </c>
      <c r="H2390" s="283">
        <v>13000</v>
      </c>
      <c r="I2390" s="246">
        <v>110</v>
      </c>
      <c r="J2390" s="246">
        <v>4</v>
      </c>
      <c r="K2390" s="247" t="s">
        <v>5541</v>
      </c>
      <c r="L2390" s="248">
        <v>191054</v>
      </c>
      <c r="M2390" s="249">
        <f>15*(LEFT(TEXT($L2390,"000000"),2)+(MID(TEXT($L2390,"000000"),3,2)/60)+(RIGHT(TEXT($L2390,"000000"),2)/3600))</f>
        <v>287.72500000000002</v>
      </c>
      <c r="N2390" s="286">
        <v>-595900</v>
      </c>
      <c r="O2390" s="251">
        <f>IF($N2390&gt;0,(LEFT(TEXT($N2390,"000000"),2)+(MID(TEXT($N2390,"000000"),3,2)/60)+(RIGHT(TEXT($N2390,"000000"),2)/3600)),-(MID(TEXT($N2390,"000000"),2,2)+(MID(TEXT($N2390,"000000"),4,2)/60)+(RIGHT(TEXT($N2390,"000000"),2)/3600)))</f>
        <v>-59.983333333333334</v>
      </c>
      <c r="P2390" s="252" t="s">
        <v>2258</v>
      </c>
      <c r="Q2390" s="253" t="s">
        <v>7153</v>
      </c>
      <c r="R2390" s="247" t="s">
        <v>7405</v>
      </c>
      <c r="S2390" s="272" t="s">
        <v>3293</v>
      </c>
      <c r="T2390" s="273">
        <v>5.3</v>
      </c>
      <c r="U2390" s="274"/>
      <c r="V2390" s="280"/>
      <c r="W2390" s="244"/>
      <c r="X2390" s="244"/>
      <c r="Y2390" s="362"/>
      <c r="Z2390" s="257">
        <f>altaz(J2000_Bas,$O2390,$M2390,DecLat,DecLong,1)</f>
        <v>-0.99443499864461782</v>
      </c>
      <c r="AA2390" s="257">
        <f>altaz((J2000_Bas+(2*0.04167)),$O2390,$M2390,DecLat,DecLong,1)</f>
        <v>-3.9355111496888178</v>
      </c>
      <c r="AB2390" s="257">
        <f>altaz((J2000_Bas+(4*0.04167)),$O2390,$M2390,DecLat,DecLong,1)</f>
        <v>-12.801501169625078</v>
      </c>
      <c r="AC2390" s="257">
        <f>altaz((J2000_Bas+(6*0.04167)),$O2390,$M2390,DecLat,DecLong,1)</f>
        <v>-25.78340554413284</v>
      </c>
      <c r="AD2390" s="258">
        <f>1+ transit((J2000_Bas-1),$O2390,$M2390,DecLat,DecLong)/360 + (GMTOffset/24) + (IF(DST="Y", 1, 0)/24)</f>
        <v>1.7921359918172082</v>
      </c>
      <c r="AE2390" s="259">
        <f>DATE(2001,9,21)+(M2390/360)*365 - (360*((DecLong/360)- (GMTOffset/24) ))</f>
        <v>37451.721180555556</v>
      </c>
      <c r="AF2390" s="260">
        <f>IF(DecLat&gt;0,IF((90 - (DecLat-O2390))&gt;90, (90 - (O2390-DecLat)), (90 - (DecLat-O2390))),IF((90 + (DecLat-O2390))&gt;90, (90 + (O2390-DecLat)), (90 + (DecLat-O2390))))</f>
        <v>-0.98333333333333428</v>
      </c>
      <c r="AG2390" s="257">
        <f>angularseperation(MoonRA,MoonDec,$M2390,$O2390)</f>
        <v>42.02233799420776</v>
      </c>
      <c r="AH2390" s="261">
        <f ca="1">MIN(100,IF($O$5&gt;80,0+30*($AG2390/100),IF($O$5&gt;70,0+50*($AG2390/100),IF($O$5&gt;60,5+50*($AG2390/100),IF($O$5&gt;50,10+60*($AG2390/100),IF($O$5&gt;40,15+70*($AG2390/100),IF($O$5&gt;30,20+70*($AG2390/100),IF($O$5&gt;20,40+55*($AG2390/100),(80+(20-$O$5)+30*($AG2390/100))))))))))</f>
        <v>95.877761742412758</v>
      </c>
      <c r="AI2390" s="262">
        <v>6752</v>
      </c>
      <c r="AJ2390" s="262"/>
      <c r="AK2390" s="262"/>
      <c r="AL2390" s="263"/>
      <c r="AM2390" s="264">
        <v>93</v>
      </c>
      <c r="AN2390" s="263"/>
      <c r="AO2390" s="263"/>
      <c r="AP2390" s="265"/>
      <c r="AQ2390" s="266"/>
      <c r="AR2390" s="267"/>
      <c r="AS2390" s="263"/>
      <c r="AT2390" s="263"/>
      <c r="AU2390" s="263"/>
      <c r="AV2390" s="264"/>
      <c r="AW2390" s="263"/>
      <c r="AX2390" s="263"/>
      <c r="AY2390" s="263"/>
      <c r="AZ2390" s="263"/>
      <c r="BA2390" s="263"/>
      <c r="BB2390" s="263"/>
      <c r="BC2390" s="263"/>
      <c r="BD2390" s="264"/>
      <c r="BE2390" s="263"/>
      <c r="BF2390" s="263"/>
      <c r="BG2390" s="263"/>
      <c r="BH2390" s="263"/>
      <c r="BI2390" s="263"/>
      <c r="BJ2390" s="404">
        <f>altaz(J2000_Bas,$O2390,$M2390,DecLat,DecLong,2)</f>
        <v>179.13834713596015</v>
      </c>
      <c r="BK2390" s="378" t="s">
        <v>2261</v>
      </c>
      <c r="BL2390" s="379">
        <f>IF((2*G2390)/60&lt;0.2,0.2,(2*G2390)/60)</f>
        <v>0.96666666666666667</v>
      </c>
      <c r="BM2390" s="380">
        <f>MOD((50000+AD2390-$B$3+(0/24)),1)</f>
        <v>7.5029215222457424E-3</v>
      </c>
      <c r="BN2390" s="381"/>
      <c r="BO2390" s="382">
        <v>2381</v>
      </c>
    </row>
    <row r="2391" spans="1:67" s="24" customFormat="1" ht="15" customHeight="1" x14ac:dyDescent="0.25">
      <c r="A2391" s="288" t="s">
        <v>2262</v>
      </c>
      <c r="B2391" s="241" t="str">
        <f>HYPERLINK(CONCATENATE($AT$3,BK2391,$AU$3),$AV$3)</f>
        <v>S</v>
      </c>
      <c r="C2391" s="242" t="str">
        <f>HYPERLINK(CONCATENATE($AT$4,BK2391,$AU$4,BL2391),$AV$4)</f>
        <v>A</v>
      </c>
      <c r="D2391" s="243" t="s">
        <v>5335</v>
      </c>
      <c r="E2391" s="244" t="s">
        <v>5185</v>
      </c>
      <c r="F2391" s="269" t="s">
        <v>8008</v>
      </c>
      <c r="G2391" s="276">
        <v>13</v>
      </c>
      <c r="H2391" s="283">
        <v>5000</v>
      </c>
      <c r="I2391" s="246">
        <v>20</v>
      </c>
      <c r="J2391" s="246">
        <v>1</v>
      </c>
      <c r="K2391" s="247" t="s">
        <v>8011</v>
      </c>
      <c r="L2391" s="248">
        <v>190749</v>
      </c>
      <c r="M2391" s="249">
        <f>15*(LEFT(TEXT($L2391,"000000"),2)+(MID(TEXT($L2391,"000000"),3,2)/60)+(RIGHT(TEXT($L2391,"000000"),2)/3600))</f>
        <v>286.95416666666665</v>
      </c>
      <c r="N2391" s="250">
        <v>41600</v>
      </c>
      <c r="O2391" s="251">
        <f>IF($N2391&gt;0,(LEFT(TEXT($N2391,"000000"),2)+(MID(TEXT($N2391,"000000"),3,2)/60)+(RIGHT(TEXT($N2391,"000000"),2)/3600)),-(MID(TEXT($N2391,"000000"),2,2)+(MID(TEXT($N2391,"000000"),4,2)/60)+(RIGHT(TEXT($N2391,"000000"),2)/3600)))</f>
        <v>4.2666666666666666</v>
      </c>
      <c r="P2391" s="252" t="s">
        <v>126</v>
      </c>
      <c r="Q2391" s="253"/>
      <c r="R2391" s="247" t="s">
        <v>3293</v>
      </c>
      <c r="S2391" s="272" t="s">
        <v>8009</v>
      </c>
      <c r="T2391" s="273">
        <v>7.5</v>
      </c>
      <c r="U2391" s="274"/>
      <c r="V2391" s="280"/>
      <c r="W2391" s="244"/>
      <c r="X2391" s="244"/>
      <c r="Y2391" s="362"/>
      <c r="Z2391" s="257">
        <f>altaz(J2000_Bas,$O2391,$M2391,DecLat,DecLong,1)</f>
        <v>63.251656627392741</v>
      </c>
      <c r="AA2391" s="257">
        <f>altaz((J2000_Bas+(2*0.04167)),$O2391,$M2391,DecLat,DecLong,1)</f>
        <v>51.718068756803611</v>
      </c>
      <c r="AB2391" s="257">
        <f>altaz((J2000_Bas+(4*0.04167)),$O2391,$M2391,DecLat,DecLong,1)</f>
        <v>28.410357261198037</v>
      </c>
      <c r="AC2391" s="257">
        <f>altaz((J2000_Bas+(6*0.04167)),$O2391,$M2391,DecLat,DecLong,1)</f>
        <v>2.793122889652325</v>
      </c>
      <c r="AD2391" s="258">
        <f>1+ transit((J2000_Bas-1),$O2391,$M2391,DecLat,DecLong)/360 + (GMTOffset/24) + (IF(DST="Y", 1, 0)/24)</f>
        <v>1.7899947883276246</v>
      </c>
      <c r="AE2391" s="259">
        <f>DATE(2001,9,21)+(M2391/360)*365 - (360*((DecLong/360)- (GMTOffset/24) ))</f>
        <v>37450.939641203702</v>
      </c>
      <c r="AF2391" s="260">
        <f>IF(DecLat&gt;0,IF((90 - (DecLat-O2391))&gt;90, (90 - (O2391-DecLat)), (90 - (DecLat-O2391))),IF((90 + (DecLat-O2391))&gt;90, (90 + (O2391-DecLat)), (90 + (DecLat-O2391))))</f>
        <v>63.266666666666666</v>
      </c>
      <c r="AG2391" s="257">
        <f>angularseperation(MoonRA,MoonDec,$M2391,$O2391)</f>
        <v>48.047416466417403</v>
      </c>
      <c r="AH2391" s="261">
        <f ca="1">MIN(100,IF($O$5&gt;80,0+30*($AG2391/100),IF($O$5&gt;70,0+50*($AG2391/100),IF($O$5&gt;60,5+50*($AG2391/100),IF($O$5&gt;50,10+60*($AG2391/100),IF($O$5&gt;40,15+70*($AG2391/100),IF($O$5&gt;30,20+70*($AG2391/100),IF($O$5&gt;20,40+55*($AG2391/100),(80+(20-$O$5)+30*($AG2391/100))))))))))</f>
        <v>97.685285284075647</v>
      </c>
      <c r="AI2391" s="262">
        <v>6755</v>
      </c>
      <c r="AJ2391" s="262"/>
      <c r="AK2391" s="262">
        <v>356</v>
      </c>
      <c r="AL2391" s="263"/>
      <c r="AM2391" s="264"/>
      <c r="AN2391" s="263"/>
      <c r="AO2391" s="263"/>
      <c r="AP2391" s="265"/>
      <c r="AQ2391" s="266"/>
      <c r="AR2391" s="267"/>
      <c r="AS2391" s="263"/>
      <c r="AT2391" s="263"/>
      <c r="AU2391" s="263"/>
      <c r="AV2391" s="264"/>
      <c r="AW2391" s="263"/>
      <c r="AX2391" s="263"/>
      <c r="AY2391" s="263"/>
      <c r="AZ2391" s="263"/>
      <c r="BA2391" s="263"/>
      <c r="BB2391" s="263"/>
      <c r="BC2391" s="263"/>
      <c r="BD2391" s="264"/>
      <c r="BE2391" s="263"/>
      <c r="BF2391" s="263">
        <v>87</v>
      </c>
      <c r="BG2391" s="263"/>
      <c r="BH2391" s="263"/>
      <c r="BI2391" s="263"/>
      <c r="BJ2391" s="404">
        <f>altaz(J2000_Bas,$O2391,$M2391,DecLat,DecLong,2)</f>
        <v>177.89128870836103</v>
      </c>
      <c r="BK2391" s="378" t="s">
        <v>2262</v>
      </c>
      <c r="BL2391" s="379">
        <f>IF((2*G2391)/60&lt;0.2,0.2,(2*G2391)/60)</f>
        <v>0.43333333333333335</v>
      </c>
      <c r="BM2391" s="380">
        <f>MOD((50000+AD2391-$B$3+(0/24)),1)</f>
        <v>5.361718031053897E-3</v>
      </c>
      <c r="BN2391" s="381"/>
      <c r="BO2391" s="382">
        <v>2382</v>
      </c>
    </row>
    <row r="2392" spans="1:67" s="24" customFormat="1" ht="15" customHeight="1" x14ac:dyDescent="0.25">
      <c r="A2392" s="288" t="s">
        <v>2263</v>
      </c>
      <c r="B2392" s="241" t="str">
        <f>HYPERLINK(CONCATENATE($AT$3,BK2392,$AU$3),$AV$3)</f>
        <v>S</v>
      </c>
      <c r="C2392" s="242" t="str">
        <f>HYPERLINK(CONCATENATE($AT$4,BK2392,$AU$4,BL2392),$AV$4)</f>
        <v>A</v>
      </c>
      <c r="D2392" s="243" t="s">
        <v>5335</v>
      </c>
      <c r="E2392" s="244" t="s">
        <v>5185</v>
      </c>
      <c r="F2392" s="269" t="s">
        <v>5248</v>
      </c>
      <c r="G2392" s="273">
        <v>4</v>
      </c>
      <c r="H2392" s="283">
        <v>5000</v>
      </c>
      <c r="I2392" s="279">
        <v>6</v>
      </c>
      <c r="J2392" s="246">
        <v>2</v>
      </c>
      <c r="K2392" s="247" t="s">
        <v>8590</v>
      </c>
      <c r="L2392" s="248">
        <v>190842</v>
      </c>
      <c r="M2392" s="249">
        <f>15*(LEFT(TEXT($L2392,"000000"),2)+(MID(TEXT($L2392,"000000"),3,2)/60)+(RIGHT(TEXT($L2392,"000000"),2)/3600))</f>
        <v>287.17500000000001</v>
      </c>
      <c r="N2392" s="250">
        <v>44218</v>
      </c>
      <c r="O2392" s="251">
        <f>IF($N2392&gt;0,(LEFT(TEXT($N2392,"000000"),2)+(MID(TEXT($N2392,"000000"),3,2)/60)+(RIGHT(TEXT($N2392,"000000"),2)/3600)),-(MID(TEXT($N2392,"000000"),2,2)+(MID(TEXT($N2392,"000000"),4,2)/60)+(RIGHT(TEXT($N2392,"000000"),2)/3600)))</f>
        <v>4.7050000000000001</v>
      </c>
      <c r="P2392" s="252" t="s">
        <v>126</v>
      </c>
      <c r="Q2392" s="253"/>
      <c r="R2392" s="247" t="s">
        <v>3293</v>
      </c>
      <c r="S2392" s="272" t="s">
        <v>8010</v>
      </c>
      <c r="T2392" s="273">
        <v>10.6</v>
      </c>
      <c r="U2392" s="274"/>
      <c r="V2392" s="280"/>
      <c r="W2392" s="244"/>
      <c r="X2392" s="244"/>
      <c r="Y2392" s="362"/>
      <c r="Z2392" s="257">
        <f>altaz(J2000_Bas,$O2392,$M2392,DecLat,DecLong,1)</f>
        <v>63.681879915784194</v>
      </c>
      <c r="AA2392" s="257">
        <f>altaz((J2000_Bas+(2*0.04167)),$O2392,$M2392,DecLat,DecLong,1)</f>
        <v>52.190124087355983</v>
      </c>
      <c r="AB2392" s="257">
        <f>altaz((J2000_Bas+(4*0.04167)),$O2392,$M2392,DecLat,DecLong,1)</f>
        <v>28.83405005284316</v>
      </c>
      <c r="AC2392" s="257">
        <f>altaz((J2000_Bas+(6*0.04167)),$O2392,$M2392,DecLat,DecLong,1)</f>
        <v>3.2070337250541794</v>
      </c>
      <c r="AD2392" s="258">
        <f>1+ transit((J2000_Bas-1),$O2392,$M2392,DecLat,DecLong)/360 + (GMTOffset/24) + (IF(DST="Y", 1, 0)/24)</f>
        <v>1.7906082141922079</v>
      </c>
      <c r="AE2392" s="259">
        <f>DATE(2001,9,21)+(M2392/360)*365 - (360*((DecLong/360)- (GMTOffset/24) ))</f>
        <v>37451.163541666669</v>
      </c>
      <c r="AF2392" s="260">
        <f>IF(DecLat&gt;0,IF((90 - (DecLat-O2392))&gt;90, (90 - (O2392-DecLat)), (90 - (DecLat-O2392))),IF((90 + (DecLat-O2392))&gt;90, (90 + (O2392-DecLat)), (90 + (DecLat-O2392))))</f>
        <v>63.704999999999998</v>
      </c>
      <c r="AG2392" s="257">
        <f>angularseperation(MoonRA,MoonDec,$M2392,$O2392)</f>
        <v>48.507333860878369</v>
      </c>
      <c r="AH2392" s="261">
        <f ca="1">MIN(100,IF($O$5&gt;80,0+30*($AG2392/100),IF($O$5&gt;70,0+50*($AG2392/100),IF($O$5&gt;60,5+50*($AG2392/100),IF($O$5&gt;50,10+60*($AG2392/100),IF($O$5&gt;40,15+70*($AG2392/100),IF($O$5&gt;30,20+70*($AG2392/100),IF($O$5&gt;20,40+55*($AG2392/100),(80+(20-$O$5)+30*($AG2392/100))))))))))</f>
        <v>97.823260502413945</v>
      </c>
      <c r="AI2392" s="262">
        <v>6756</v>
      </c>
      <c r="AJ2392" s="262"/>
      <c r="AK2392" s="262">
        <v>357</v>
      </c>
      <c r="AL2392" s="263"/>
      <c r="AM2392" s="264"/>
      <c r="AN2392" s="263"/>
      <c r="AO2392" s="263"/>
      <c r="AP2392" s="265"/>
      <c r="AQ2392" s="266"/>
      <c r="AR2392" s="267"/>
      <c r="AS2392" s="263"/>
      <c r="AT2392" s="263"/>
      <c r="AU2392" s="263"/>
      <c r="AV2392" s="264"/>
      <c r="AW2392" s="263"/>
      <c r="AX2392" s="263"/>
      <c r="AY2392" s="263"/>
      <c r="AZ2392" s="263"/>
      <c r="BA2392" s="263"/>
      <c r="BB2392" s="263"/>
      <c r="BC2392" s="263"/>
      <c r="BD2392" s="264"/>
      <c r="BE2392" s="263"/>
      <c r="BF2392" s="263">
        <v>88</v>
      </c>
      <c r="BG2392" s="263"/>
      <c r="BH2392" s="263"/>
      <c r="BI2392" s="263"/>
      <c r="BJ2392" s="404">
        <f>altaz(J2000_Bas,$O2392,$M2392,DecLat,DecLong,2)</f>
        <v>177.36384157910751</v>
      </c>
      <c r="BK2392" s="378" t="s">
        <v>2263</v>
      </c>
      <c r="BL2392" s="379">
        <f>IF((2*G2392)/60&lt;0.2,0.2,(2*G2392)/60)</f>
        <v>0.2</v>
      </c>
      <c r="BM2392" s="380">
        <f>MOD((50000+AD2392-$B$3+(0/24)),1)</f>
        <v>5.9751438966486603E-3</v>
      </c>
      <c r="BN2392" s="381"/>
      <c r="BO2392" s="382">
        <v>2383</v>
      </c>
    </row>
    <row r="2393" spans="1:67" s="24" customFormat="1" ht="15" customHeight="1" x14ac:dyDescent="0.25">
      <c r="A2393" s="288" t="s">
        <v>2264</v>
      </c>
      <c r="B2393" s="241" t="str">
        <f>HYPERLINK(CONCATENATE($AT$3,BK2393,$AU$3),$AV$3)</f>
        <v>S</v>
      </c>
      <c r="C2393" s="242" t="str">
        <f>HYPERLINK(CONCATENATE($AT$4,BK2393,$AU$4,BL2393),$AV$4)</f>
        <v>A</v>
      </c>
      <c r="D2393" s="243" t="s">
        <v>5335</v>
      </c>
      <c r="E2393" s="244" t="s">
        <v>5184</v>
      </c>
      <c r="F2393" s="269" t="s">
        <v>3320</v>
      </c>
      <c r="G2393" s="273">
        <v>6</v>
      </c>
      <c r="H2393" s="283">
        <v>24000</v>
      </c>
      <c r="I2393" s="246">
        <v>40</v>
      </c>
      <c r="J2393" s="246">
        <v>2</v>
      </c>
      <c r="K2393" s="247" t="s">
        <v>8012</v>
      </c>
      <c r="L2393" s="248">
        <v>191112</v>
      </c>
      <c r="M2393" s="249">
        <f>15*(LEFT(TEXT($L2393,"000000"),2)+(MID(TEXT($L2393,"000000"),3,2)/60)+(RIGHT(TEXT($L2393,"000000"),2)/3600))</f>
        <v>287.8</v>
      </c>
      <c r="N2393" s="250">
        <v>10150</v>
      </c>
      <c r="O2393" s="251">
        <f>IF($N2393&gt;0,(LEFT(TEXT($N2393,"000000"),2)+(MID(TEXT($N2393,"000000"),3,2)/60)+(RIGHT(TEXT($N2393,"000000"),2)/3600)),-(MID(TEXT($N2393,"000000"),2,2)+(MID(TEXT($N2393,"000000"),4,2)/60)+(RIGHT(TEXT($N2393,"000000"),2)/3600)))</f>
        <v>1.0305555555555554</v>
      </c>
      <c r="P2393" s="252" t="s">
        <v>126</v>
      </c>
      <c r="Q2393" s="253"/>
      <c r="R2393" s="277" t="s">
        <v>3293</v>
      </c>
      <c r="S2393" s="272" t="s">
        <v>3293</v>
      </c>
      <c r="T2393" s="273">
        <v>10</v>
      </c>
      <c r="U2393" s="274"/>
      <c r="V2393" s="280"/>
      <c r="W2393" s="244"/>
      <c r="X2393" s="244"/>
      <c r="Y2393" s="362"/>
      <c r="Z2393" s="257">
        <f>altaz(J2000_Bas,$O2393,$M2393,DecLat,DecLong,1)</f>
        <v>59.982227705441012</v>
      </c>
      <c r="AA2393" s="257">
        <f>altaz((J2000_Bas+(2*0.04167)),$O2393,$M2393,DecLat,DecLong,1)</f>
        <v>49.813541190109341</v>
      </c>
      <c r="AB2393" s="257">
        <f>altaz((J2000_Bas+(4*0.04167)),$O2393,$M2393,DecLat,DecLong,1)</f>
        <v>27.302898985409868</v>
      </c>
      <c r="AC2393" s="257">
        <f>altaz((J2000_Bas+(6*0.04167)),$O2393,$M2393,DecLat,DecLong,1)</f>
        <v>1.8539408364686656</v>
      </c>
      <c r="AD2393" s="258">
        <f>1+ transit((J2000_Bas-1),$O2393,$M2393,DecLat,DecLong)/360 + (GMTOffset/24) + (IF(DST="Y", 1, 0)/24)</f>
        <v>1.7923443251297082</v>
      </c>
      <c r="AE2393" s="259">
        <f>DATE(2001,9,21)+(M2393/360)*365 - (360*((DecLong/360)- (GMTOffset/24) ))</f>
        <v>37451.797222222223</v>
      </c>
      <c r="AF2393" s="260">
        <f>IF(DecLat&gt;0,IF((90 - (DecLat-O2393))&gt;90, (90 - (O2393-DecLat)), (90 - (DecLat-O2393))),IF((90 + (DecLat-O2393))&gt;90, (90 + (O2393-DecLat)), (90 + (DecLat-O2393))))</f>
        <v>60.030555555555551</v>
      </c>
      <c r="AG2393" s="257">
        <f>angularseperation(MoonRA,MoonDec,$M2393,$O2393)</f>
        <v>46.534075164318971</v>
      </c>
      <c r="AH2393" s="261">
        <f ca="1">MIN(100,IF($O$5&gt;80,0+30*($AG2393/100),IF($O$5&gt;70,0+50*($AG2393/100),IF($O$5&gt;60,5+50*($AG2393/100),IF($O$5&gt;50,10+60*($AG2393/100),IF($O$5&gt;40,15+70*($AG2393/100),IF($O$5&gt;30,20+70*($AG2393/100),IF($O$5&gt;20,40+55*($AG2393/100),(80+(20-$O$5)+30*($AG2393/100))))))))))</f>
        <v>97.231282893446121</v>
      </c>
      <c r="AI2393" s="262">
        <v>6760</v>
      </c>
      <c r="AJ2393" s="263"/>
      <c r="AK2393" s="263"/>
      <c r="AL2393" s="263"/>
      <c r="AM2393" s="264"/>
      <c r="AN2393" s="263"/>
      <c r="AO2393" s="263"/>
      <c r="AP2393" s="265"/>
      <c r="AQ2393" s="265"/>
      <c r="AR2393" s="285"/>
      <c r="AS2393" s="263"/>
      <c r="AT2393" s="263"/>
      <c r="AU2393" s="263"/>
      <c r="AV2393" s="264"/>
      <c r="AW2393" s="263"/>
      <c r="AX2393" s="263"/>
      <c r="AY2393" s="263"/>
      <c r="AZ2393" s="263"/>
      <c r="BA2393" s="263"/>
      <c r="BB2393" s="263"/>
      <c r="BC2393" s="263"/>
      <c r="BD2393" s="264"/>
      <c r="BE2393" s="263"/>
      <c r="BF2393" s="263"/>
      <c r="BG2393" s="263"/>
      <c r="BH2393" s="263"/>
      <c r="BI2393" s="263"/>
      <c r="BJ2393" s="404">
        <f>altaz(J2000_Bas,$O2393,$M2393,DecLat,DecLong,2)</f>
        <v>176.405997891347</v>
      </c>
      <c r="BK2393" s="378" t="s">
        <v>2264</v>
      </c>
      <c r="BL2393" s="379">
        <f>IF((2*G2393)/60&lt;0.2,0.2,(2*G2393)/60)</f>
        <v>0.2</v>
      </c>
      <c r="BM2393" s="380">
        <f>MOD((50000+AD2393-$B$3+(0/24)),1)</f>
        <v>7.7112548315199092E-3</v>
      </c>
      <c r="BN2393" s="381"/>
      <c r="BO2393" s="382">
        <v>2384</v>
      </c>
    </row>
    <row r="2394" spans="1:67" s="24" customFormat="1" ht="15" customHeight="1" x14ac:dyDescent="0.25">
      <c r="A2394" s="288" t="s">
        <v>2265</v>
      </c>
      <c r="B2394" s="241" t="str">
        <f>HYPERLINK(CONCATENATE($AT$3,BK2394,$AU$3),$AV$3)</f>
        <v>S</v>
      </c>
      <c r="C2394" s="242" t="str">
        <f>HYPERLINK(CONCATENATE($AT$4,BK2394,$AU$4,BL2394),$AV$4)</f>
        <v>A</v>
      </c>
      <c r="D2394" s="243" t="s">
        <v>5638</v>
      </c>
      <c r="E2394" s="244" t="s">
        <v>5192</v>
      </c>
      <c r="F2394" s="269" t="s">
        <v>8886</v>
      </c>
      <c r="G2394" s="273">
        <v>2.5</v>
      </c>
      <c r="H2394" s="283">
        <v>100</v>
      </c>
      <c r="I2394" s="246">
        <v>70</v>
      </c>
      <c r="J2394" s="246">
        <v>2</v>
      </c>
      <c r="K2394" s="247" t="s">
        <v>8013</v>
      </c>
      <c r="L2394" s="248">
        <v>190816</v>
      </c>
      <c r="M2394" s="249">
        <f>15*(LEFT(TEXT($L2394,"000000"),2)+(MID(TEXT($L2394,"000000"),3,2)/60)+(RIGHT(TEXT($L2394,"000000"),2)/3600))</f>
        <v>287.06666666666666</v>
      </c>
      <c r="N2394" s="250">
        <v>505559</v>
      </c>
      <c r="O2394" s="251">
        <f>IF($N2394&gt;0,(LEFT(TEXT($N2394,"000000"),2)+(MID(TEXT($N2394,"000000"),3,2)/60)+(RIGHT(TEXT($N2394,"000000"),2)/3600)),-(MID(TEXT($N2394,"000000"),2,2)+(MID(TEXT($N2394,"000000"),4,2)/60)+(RIGHT(TEXT($N2394,"000000"),2)/3600)))</f>
        <v>50.933055555555555</v>
      </c>
      <c r="P2394" s="252" t="s">
        <v>60</v>
      </c>
      <c r="Q2394" s="253"/>
      <c r="R2394" s="247" t="s">
        <v>3293</v>
      </c>
      <c r="S2394" s="272" t="s">
        <v>3293</v>
      </c>
      <c r="T2394" s="273">
        <v>11.9</v>
      </c>
      <c r="U2394" s="289">
        <v>21.79</v>
      </c>
      <c r="V2394" s="280">
        <v>60</v>
      </c>
      <c r="W2394" s="244"/>
      <c r="X2394" s="244"/>
      <c r="Y2394" s="362"/>
      <c r="Z2394" s="257">
        <f>altaz(J2000_Bas,$O2394,$M2394,DecLat,DecLong,1)</f>
        <v>70.051295129504624</v>
      </c>
      <c r="AA2394" s="257">
        <f>altaz((J2000_Bas+(2*0.04167)),$O2394,$M2394,DecLat,DecLong,1)</f>
        <v>60.723046621510434</v>
      </c>
      <c r="AB2394" s="257">
        <f>altaz((J2000_Bas+(4*0.04167)),$O2394,$M2394,DecLat,DecLong,1)</f>
        <v>42.629936287406331</v>
      </c>
      <c r="AC2394" s="257">
        <f>altaz((J2000_Bas+(6*0.04167)),$O2394,$M2394,DecLat,DecLong,1)</f>
        <v>24.049229340936716</v>
      </c>
      <c r="AD2394" s="258">
        <f>1+ transit((J2000_Bas-1),$O2394,$M2394,DecLat,DecLong)/360 + (GMTOffset/24) + (IF(DST="Y", 1, 0)/24)</f>
        <v>1.7903072882963746</v>
      </c>
      <c r="AE2394" s="259">
        <f>DATE(2001,9,21)+(M2394/360)*365 - (360*((DecLong/360)- (GMTOffset/24) ))</f>
        <v>37451.053703703707</v>
      </c>
      <c r="AF2394" s="260">
        <f>IF(DecLat&gt;0,IF((90 - (DecLat-O2394))&gt;90, (90 - (O2394-DecLat)), (90 - (DecLat-O2394))),IF((90 + (DecLat-O2394))&gt;90, (90 + (O2394-DecLat)), (90 + (DecLat-O2394))))</f>
        <v>70.066944444444445</v>
      </c>
      <c r="AG2394" s="257">
        <f>angularseperation(MoonRA,MoonDec,$M2394,$O2394)</f>
        <v>84.85234173384822</v>
      </c>
      <c r="AH2394" s="261">
        <f ca="1">MIN(100,IF($O$5&gt;80,0+30*($AG2394/100),IF($O$5&gt;70,0+50*($AG2394/100),IF($O$5&gt;60,5+50*($AG2394/100),IF($O$5&gt;50,10+60*($AG2394/100),IF($O$5&gt;40,15+70*($AG2394/100),IF($O$5&gt;30,20+70*($AG2394/100),IF($O$5&gt;20,40+55*($AG2394/100),(80+(20-$O$5)+30*($AG2394/100))))))))))</f>
        <v>100</v>
      </c>
      <c r="AI2394" s="262">
        <v>6764</v>
      </c>
      <c r="AJ2394" s="262"/>
      <c r="AK2394" s="262"/>
      <c r="AL2394" s="263"/>
      <c r="AM2394" s="264"/>
      <c r="AN2394" s="263"/>
      <c r="AO2394" s="263"/>
      <c r="AP2394" s="265"/>
      <c r="AQ2394" s="266">
        <v>11407</v>
      </c>
      <c r="AR2394" s="267">
        <v>62806</v>
      </c>
      <c r="AS2394" s="263"/>
      <c r="AT2394" s="263"/>
      <c r="AU2394" s="263"/>
      <c r="AV2394" s="264"/>
      <c r="AW2394" s="263"/>
      <c r="AX2394" s="263"/>
      <c r="AY2394" s="263"/>
      <c r="AZ2394" s="263"/>
      <c r="BA2394" s="263"/>
      <c r="BB2394" s="263"/>
      <c r="BC2394" s="263"/>
      <c r="BD2394" s="264"/>
      <c r="BE2394" s="263"/>
      <c r="BF2394" s="263"/>
      <c r="BG2394" s="263"/>
      <c r="BH2394" s="263"/>
      <c r="BI2394" s="263"/>
      <c r="BJ2394" s="404">
        <f>altaz(J2000_Bas,$O2394,$M2394,DecLat,DecLong,2)</f>
        <v>1.9657750121638939</v>
      </c>
      <c r="BK2394" s="378" t="s">
        <v>2265</v>
      </c>
      <c r="BL2394" s="379">
        <f>IF((2*G2394)/60&lt;0.2,0.2,(2*G2394)/60)</f>
        <v>0.2</v>
      </c>
      <c r="BM2394" s="380">
        <f>MOD((50000+AD2394-$B$3+(0/24)),1)</f>
        <v>5.6742180022411048E-3</v>
      </c>
      <c r="BN2394" s="381"/>
      <c r="BO2394" s="382">
        <v>2385</v>
      </c>
    </row>
    <row r="2395" spans="1:67" s="24" customFormat="1" ht="15" customHeight="1" x14ac:dyDescent="0.25">
      <c r="A2395" s="288" t="s">
        <v>2266</v>
      </c>
      <c r="B2395" s="241" t="str">
        <f>HYPERLINK(CONCATENATE($AT$3,BK2395,$AU$3),$AV$3)</f>
        <v>S</v>
      </c>
      <c r="C2395" s="242" t="str">
        <f>HYPERLINK(CONCATENATE($AT$4,BK2395,$AU$4,BL2395),$AV$4)</f>
        <v>A</v>
      </c>
      <c r="D2395" s="243" t="s">
        <v>5187</v>
      </c>
      <c r="E2395" s="244" t="s">
        <v>5181</v>
      </c>
      <c r="F2395" s="293" t="s">
        <v>7211</v>
      </c>
      <c r="G2395" s="273">
        <v>1</v>
      </c>
      <c r="H2395" s="283">
        <v>5000</v>
      </c>
      <c r="I2395" s="279">
        <v>1.5</v>
      </c>
      <c r="J2395" s="246">
        <v>2</v>
      </c>
      <c r="K2395" s="247" t="s">
        <v>8014</v>
      </c>
      <c r="L2395" s="248">
        <v>191107</v>
      </c>
      <c r="M2395" s="249">
        <f>15*(LEFT(TEXT($L2395,"000000"),2)+(MID(TEXT($L2395,"000000"),3,2)/60)+(RIGHT(TEXT($L2395,"000000"),2)/3600))</f>
        <v>287.77916666666664</v>
      </c>
      <c r="N2395" s="250">
        <v>303245</v>
      </c>
      <c r="O2395" s="251">
        <f>IF($N2395&gt;0,(LEFT(TEXT($N2395,"000000"),2)+(MID(TEXT($N2395,"000000"),3,2)/60)+(RIGHT(TEXT($N2395,"000000"),2)/3600)),-(MID(TEXT($N2395,"000000"),2,2)+(MID(TEXT($N2395,"000000"),4,2)/60)+(RIGHT(TEXT($N2395,"000000"),2)/3600)))</f>
        <v>30.545833333333334</v>
      </c>
      <c r="P2395" s="252" t="s">
        <v>123</v>
      </c>
      <c r="Q2395" s="253"/>
      <c r="R2395" s="247" t="s">
        <v>8851</v>
      </c>
      <c r="S2395" s="272" t="s">
        <v>3293</v>
      </c>
      <c r="T2395" s="273">
        <v>12.9</v>
      </c>
      <c r="U2395" s="274"/>
      <c r="V2395" s="280"/>
      <c r="W2395" s="244"/>
      <c r="X2395" s="244"/>
      <c r="Y2395" s="362"/>
      <c r="Z2395" s="257">
        <f>altaz(J2000_Bas,$O2395,$M2395,DecLat,DecLong,1)</f>
        <v>88.407483389549469</v>
      </c>
      <c r="AA2395" s="257">
        <f>altaz((J2000_Bas+(2*0.04167)),$O2395,$M2395,DecLat,DecLong,1)</f>
        <v>65.739480869593208</v>
      </c>
      <c r="AB2395" s="257">
        <f>altaz((J2000_Bas+(4*0.04167)),$O2395,$M2395,DecLat,DecLong,1)</f>
        <v>40.439969841199677</v>
      </c>
      <c r="AC2395" s="257">
        <f>altaz((J2000_Bas+(6*0.04167)),$O2395,$M2395,DecLat,DecLong,1)</f>
        <v>16.342326797882833</v>
      </c>
      <c r="AD2395" s="258">
        <f>1+ transit((J2000_Bas-1),$O2395,$M2395,DecLat,DecLong)/360 + (GMTOffset/24) + (IF(DST="Y", 1, 0)/24)</f>
        <v>1.7922864547651247</v>
      </c>
      <c r="AE2395" s="259">
        <f>DATE(2001,9,21)+(M2395/360)*365 - (360*((DecLong/360)- (GMTOffset/24) ))</f>
        <v>37451.776099537034</v>
      </c>
      <c r="AF2395" s="260">
        <f>IF(DecLat&gt;0,IF((90 - (DecLat-O2395))&gt;90, (90 - (O2395-DecLat)), (90 - (DecLat-O2395))),IF((90 + (DecLat-O2395))&gt;90, (90 + (O2395-DecLat)), (90 + (DecLat-O2395))))</f>
        <v>89.545833333333334</v>
      </c>
      <c r="AG2395" s="257">
        <f>angularseperation(MoonRA,MoonDec,$M2395,$O2395)</f>
        <v>68.384048722945167</v>
      </c>
      <c r="AH2395" s="261">
        <f ca="1">MIN(100,IF($O$5&gt;80,0+30*($AG2395/100),IF($O$5&gt;70,0+50*($AG2395/100),IF($O$5&gt;60,5+50*($AG2395/100),IF($O$5&gt;50,10+60*($AG2395/100),IF($O$5&gt;40,15+70*($AG2395/100),IF($O$5&gt;30,20+70*($AG2395/100),IF($O$5&gt;20,40+55*($AG2395/100),(80+(20-$O$5)+30*($AG2395/100))))))))))</f>
        <v>100</v>
      </c>
      <c r="AI2395" s="262">
        <v>6765</v>
      </c>
      <c r="AJ2395" s="262"/>
      <c r="AK2395" s="262"/>
      <c r="AL2395" s="263"/>
      <c r="AM2395" s="264"/>
      <c r="AN2395" s="263"/>
      <c r="AO2395" s="263"/>
      <c r="AP2395" s="265"/>
      <c r="AQ2395" s="266"/>
      <c r="AR2395" s="267"/>
      <c r="AS2395" s="263"/>
      <c r="AT2395" s="263"/>
      <c r="AU2395" s="263"/>
      <c r="AV2395" s="264">
        <v>168</v>
      </c>
      <c r="AW2395" s="263"/>
      <c r="AX2395" s="263"/>
      <c r="AY2395" s="263"/>
      <c r="AZ2395" s="263"/>
      <c r="BA2395" s="263"/>
      <c r="BB2395" s="263"/>
      <c r="BC2395" s="263"/>
      <c r="BD2395" s="264"/>
      <c r="BE2395" s="263"/>
      <c r="BF2395" s="263"/>
      <c r="BG2395" s="263"/>
      <c r="BH2395" s="263"/>
      <c r="BI2395" s="263"/>
      <c r="BJ2395" s="404">
        <f>altaz(J2000_Bas,$O2395,$M2395,DecLat,DecLong,2)</f>
        <v>106.11404145786423</v>
      </c>
      <c r="BK2395" s="378" t="s">
        <v>2266</v>
      </c>
      <c r="BL2395" s="379">
        <f>IF((2*G2395)/60&lt;0.2,0.2,(2*G2395)/60)</f>
        <v>0.2</v>
      </c>
      <c r="BM2395" s="380">
        <f>MOD((50000+AD2395-$B$3+(0/24)),1)</f>
        <v>7.6533844694495201E-3</v>
      </c>
      <c r="BN2395" s="381"/>
      <c r="BO2395" s="382">
        <v>2386</v>
      </c>
    </row>
    <row r="2396" spans="1:67" s="24" customFormat="1" ht="15" customHeight="1" x14ac:dyDescent="0.25">
      <c r="A2396" s="288" t="s">
        <v>2267</v>
      </c>
      <c r="B2396" s="241" t="str">
        <f>HYPERLINK(CONCATENATE($AT$3,BK2396,$AU$3),$AV$3)</f>
        <v>S</v>
      </c>
      <c r="C2396" s="242" t="str">
        <f>HYPERLINK(CONCATENATE($AT$4,BK2396,$AU$4,BL2396),$AV$4)</f>
        <v>A</v>
      </c>
      <c r="D2396" s="243" t="s">
        <v>5187</v>
      </c>
      <c r="E2396" s="244" t="s">
        <v>5181</v>
      </c>
      <c r="F2396" s="269" t="s">
        <v>4796</v>
      </c>
      <c r="G2396" s="273">
        <v>1.5</v>
      </c>
      <c r="H2396" s="283">
        <v>4000</v>
      </c>
      <c r="I2396" s="279">
        <v>1.7</v>
      </c>
      <c r="J2396" s="246">
        <v>2</v>
      </c>
      <c r="K2396" s="247" t="s">
        <v>8015</v>
      </c>
      <c r="L2396" s="248">
        <v>191436</v>
      </c>
      <c r="M2396" s="249">
        <f>15*(LEFT(TEXT($L2396,"000000"),2)+(MID(TEXT($L2396,"000000"),3,2)/60)+(RIGHT(TEXT($L2396,"000000"),2)/3600))</f>
        <v>288.65000000000003</v>
      </c>
      <c r="N2396" s="250">
        <v>-24224</v>
      </c>
      <c r="O2396" s="251">
        <f>IF($N2396&gt;0,(LEFT(TEXT($N2396,"000000"),2)+(MID(TEXT($N2396,"000000"),3,2)/60)+(RIGHT(TEXT($N2396,"000000"),2)/3600)),-(MID(TEXT($N2396,"000000"),2,2)+(MID(TEXT($N2396,"000000"),4,2)/60)+(RIGHT(TEXT($N2396,"000000"),2)/3600)))</f>
        <v>-2.706666666666667</v>
      </c>
      <c r="P2396" s="252" t="s">
        <v>126</v>
      </c>
      <c r="Q2396" s="253"/>
      <c r="R2396" s="247" t="s">
        <v>3293</v>
      </c>
      <c r="S2396" s="272" t="s">
        <v>3293</v>
      </c>
      <c r="T2396" s="273">
        <v>12.7</v>
      </c>
      <c r="U2396" s="274"/>
      <c r="V2396" s="280"/>
      <c r="W2396" s="244"/>
      <c r="X2396" s="244"/>
      <c r="Y2396" s="362"/>
      <c r="Z2396" s="257">
        <f>altaz(J2000_Bas,$O2396,$M2396,DecLat,DecLong,1)</f>
        <v>56.199101122737311</v>
      </c>
      <c r="AA2396" s="257">
        <f>altaz((J2000_Bas+(2*0.04167)),$O2396,$M2396,DecLat,DecLong,1)</f>
        <v>47.356253624778354</v>
      </c>
      <c r="AB2396" s="257">
        <f>altaz((J2000_Bas+(4*0.04167)),$O2396,$M2396,DecLat,DecLong,1)</f>
        <v>25.813719288098213</v>
      </c>
      <c r="AC2396" s="257">
        <f>altaz((J2000_Bas+(6*0.04167)),$O2396,$M2396,DecLat,DecLong,1)</f>
        <v>0.65544803523169348</v>
      </c>
      <c r="AD2396" s="258">
        <f>1+ transit((J2000_Bas-1),$O2396,$M2396,DecLat,DecLong)/360 + (GMTOffset/24) + (IF(DST="Y", 1, 0)/24)</f>
        <v>1.7947054360047081</v>
      </c>
      <c r="AE2396" s="259">
        <f>DATE(2001,9,21)+(M2396/360)*365 - (360*((DecLong/360)- (GMTOffset/24) ))</f>
        <v>37452.65902777778</v>
      </c>
      <c r="AF2396" s="260">
        <f>IF(DecLat&gt;0,IF((90 - (DecLat-O2396))&gt;90, (90 - (O2396-DecLat)), (90 - (DecLat-O2396))),IF((90 + (DecLat-O2396))&gt;90, (90 + (O2396-DecLat)), (90 + (DecLat-O2396))))</f>
        <v>56.293333333333337</v>
      </c>
      <c r="AG2396" s="257">
        <f>angularseperation(MoonRA,MoonDec,$M2396,$O2396)</f>
        <v>44.874966580661642</v>
      </c>
      <c r="AH2396" s="261">
        <f ca="1">MIN(100,IF($O$5&gt;80,0+30*($AG2396/100),IF($O$5&gt;70,0+50*($AG2396/100),IF($O$5&gt;60,5+50*($AG2396/100),IF($O$5&gt;50,10+60*($AG2396/100),IF($O$5&gt;40,15+70*($AG2396/100),IF($O$5&gt;30,20+70*($AG2396/100),IF($O$5&gt;20,40+55*($AG2396/100),(80+(20-$O$5)+30*($AG2396/100))))))))))</f>
        <v>96.733550318348918</v>
      </c>
      <c r="AI2396" s="262">
        <v>6772</v>
      </c>
      <c r="AJ2396" s="262"/>
      <c r="AK2396" s="262"/>
      <c r="AL2396" s="263"/>
      <c r="AM2396" s="264"/>
      <c r="AN2396" s="263"/>
      <c r="AO2396" s="263"/>
      <c r="AP2396" s="265"/>
      <c r="AQ2396" s="266"/>
      <c r="AR2396" s="267"/>
      <c r="AS2396" s="263"/>
      <c r="AT2396" s="263"/>
      <c r="AU2396" s="263"/>
      <c r="AV2396" s="264"/>
      <c r="AW2396" s="263"/>
      <c r="AX2396" s="263"/>
      <c r="AY2396" s="263"/>
      <c r="AZ2396" s="263"/>
      <c r="BA2396" s="263"/>
      <c r="BB2396" s="263"/>
      <c r="BC2396" s="263"/>
      <c r="BD2396" s="264"/>
      <c r="BE2396" s="263"/>
      <c r="BF2396" s="263"/>
      <c r="BG2396" s="263"/>
      <c r="BH2396" s="263">
        <v>40</v>
      </c>
      <c r="BI2396" s="263"/>
      <c r="BJ2396" s="404">
        <f>altaz(J2000_Bas,$O2396,$M2396,DecLat,DecLong,2)</f>
        <v>175.24271543523005</v>
      </c>
      <c r="BK2396" s="378" t="s">
        <v>2267</v>
      </c>
      <c r="BL2396" s="379">
        <f>IF((2*G2396)/60&lt;0.2,0.2,(2*G2396)/60)</f>
        <v>0.2</v>
      </c>
      <c r="BM2396" s="380">
        <f>MOD((50000+AD2396-$B$3+(0/24)),1)</f>
        <v>1.0072365708765574E-2</v>
      </c>
      <c r="BN2396" s="381"/>
      <c r="BO2396" s="382">
        <v>2387</v>
      </c>
    </row>
    <row r="2397" spans="1:67" s="24" customFormat="1" ht="15" customHeight="1" x14ac:dyDescent="0.25">
      <c r="A2397" s="288" t="s">
        <v>2268</v>
      </c>
      <c r="B2397" s="241" t="str">
        <f>HYPERLINK(CONCATENATE($AT$3,BK2397,$AU$3),$AV$3)</f>
        <v>S</v>
      </c>
      <c r="C2397" s="242" t="str">
        <f>HYPERLINK(CONCATENATE($AT$4,BK2397,$AU$4,BL2397),$AV$4)</f>
        <v>A</v>
      </c>
      <c r="D2397" s="243" t="s">
        <v>5187</v>
      </c>
      <c r="E2397" s="244" t="s">
        <v>5181</v>
      </c>
      <c r="F2397" s="269" t="s">
        <v>8017</v>
      </c>
      <c r="G2397" s="270">
        <v>0.5</v>
      </c>
      <c r="H2397" s="283">
        <v>10000</v>
      </c>
      <c r="I2397" s="279">
        <v>1.5</v>
      </c>
      <c r="J2397" s="246">
        <v>2</v>
      </c>
      <c r="K2397" s="247" t="s">
        <v>8018</v>
      </c>
      <c r="L2397" s="248">
        <v>191825</v>
      </c>
      <c r="M2397" s="249">
        <f>15*(LEFT(TEXT($L2397,"000000"),2)+(MID(TEXT($L2397,"000000"),3,2)/60)+(RIGHT(TEXT($L2397,"000000"),2)/3600))</f>
        <v>289.60416666666663</v>
      </c>
      <c r="N2397" s="250">
        <v>-13548</v>
      </c>
      <c r="O2397" s="251">
        <f>IF($N2397&gt;0,(LEFT(TEXT($N2397,"000000"),2)+(MID(TEXT($N2397,"000000"),3,2)/60)+(RIGHT(TEXT($N2397,"000000"),2)/3600)),-(MID(TEXT($N2397,"000000"),2,2)+(MID(TEXT($N2397,"000000"),4,2)/60)+(RIGHT(TEXT($N2397,"000000"),2)/3600)))</f>
        <v>-1.5966666666666669</v>
      </c>
      <c r="P2397" s="252" t="s">
        <v>126</v>
      </c>
      <c r="Q2397" s="253" t="s">
        <v>7030</v>
      </c>
      <c r="R2397" s="247"/>
      <c r="S2397" s="272" t="s">
        <v>8016</v>
      </c>
      <c r="T2397" s="273">
        <v>12.3</v>
      </c>
      <c r="U2397" s="274"/>
      <c r="V2397" s="280"/>
      <c r="W2397" s="244"/>
      <c r="X2397" s="244"/>
      <c r="Y2397" s="362"/>
      <c r="Z2397" s="257">
        <f>altaz(J2000_Bas,$O2397,$M2397,DecLat,DecLong,1)</f>
        <v>57.223797511431904</v>
      </c>
      <c r="AA2397" s="257">
        <f>altaz((J2000_Bas+(2*0.04167)),$O2397,$M2397,DecLat,DecLong,1)</f>
        <v>48.813775228679923</v>
      </c>
      <c r="AB2397" s="257">
        <f>altaz((J2000_Bas+(4*0.04167)),$O2397,$M2397,DecLat,DecLong,1)</f>
        <v>27.240416794343531</v>
      </c>
      <c r="AC2397" s="257">
        <f>altaz((J2000_Bas+(6*0.04167)),$O2397,$M2397,DecLat,DecLong,1)</f>
        <v>2.0451676654696098</v>
      </c>
      <c r="AD2397" s="258">
        <f>1+ transit((J2000_Bas-1),$O2397,$M2397,DecLat,DecLong)/360 + (GMTOffset/24) + (IF(DST="Y", 1, 0)/24)</f>
        <v>1.7973558987026246</v>
      </c>
      <c r="AE2397" s="259">
        <f>DATE(2001,9,21)+(M2397/360)*365 - (360*((DecLong/360)- (GMTOffset/24) ))</f>
        <v>37453.626446759263</v>
      </c>
      <c r="AF2397" s="260">
        <f>IF(DecLat&gt;0,IF((90 - (DecLat-O2397))&gt;90, (90 - (O2397-DecLat)), (90 - (DecLat-O2397))),IF((90 + (DecLat-O2397))&gt;90, (90 + (O2397-DecLat)), (90 + (DecLat-O2397))))</f>
        <v>57.403333333333336</v>
      </c>
      <c r="AG2397" s="257">
        <f>angularseperation(MoonRA,MoonDec,$M2397,$O2397)</f>
        <v>46.304135791242885</v>
      </c>
      <c r="AH2397" s="261">
        <f ca="1">MIN(100,IF($O$5&gt;80,0+30*($AG2397/100),IF($O$5&gt;70,0+50*($AG2397/100),IF($O$5&gt;60,5+50*($AG2397/100),IF($O$5&gt;50,10+60*($AG2397/100),IF($O$5&gt;40,15+70*($AG2397/100),IF($O$5&gt;30,20+70*($AG2397/100),IF($O$5&gt;20,40+55*($AG2397/100),(80+(20-$O$5)+30*($AG2397/100))))))))))</f>
        <v>97.162301081523296</v>
      </c>
      <c r="AI2397" s="262">
        <v>6778</v>
      </c>
      <c r="AJ2397" s="262"/>
      <c r="AK2397" s="262"/>
      <c r="AL2397" s="263"/>
      <c r="AM2397" s="264"/>
      <c r="AN2397" s="263"/>
      <c r="AO2397" s="263"/>
      <c r="AP2397" s="265"/>
      <c r="AQ2397" s="266"/>
      <c r="AR2397" s="267"/>
      <c r="AS2397" s="263"/>
      <c r="AT2397" s="263"/>
      <c r="AU2397" s="263"/>
      <c r="AV2397" s="264"/>
      <c r="AW2397" s="263"/>
      <c r="AX2397" s="263"/>
      <c r="AY2397" s="263"/>
      <c r="AZ2397" s="263"/>
      <c r="BA2397" s="263"/>
      <c r="BB2397" s="263"/>
      <c r="BC2397" s="263"/>
      <c r="BD2397" s="264"/>
      <c r="BE2397" s="263"/>
      <c r="BF2397" s="263">
        <v>89</v>
      </c>
      <c r="BG2397" s="263"/>
      <c r="BH2397" s="263"/>
      <c r="BI2397" s="263"/>
      <c r="BJ2397" s="404">
        <f>altaz(J2000_Bas,$O2397,$M2397,DecLat,DecLong,2)</f>
        <v>173.33919380427136</v>
      </c>
      <c r="BK2397" s="378" t="s">
        <v>2268</v>
      </c>
      <c r="BL2397" s="379">
        <f>IF((2*G2397)/60&lt;0.2,0.2,(2*G2397)/60)</f>
        <v>0.2</v>
      </c>
      <c r="BM2397" s="380">
        <f>MOD((50000+AD2397-$B$3+(0/24)),1)</f>
        <v>1.2722828403639141E-2</v>
      </c>
      <c r="BN2397" s="381"/>
      <c r="BO2397" s="382">
        <v>2388</v>
      </c>
    </row>
    <row r="2398" spans="1:67" s="24" customFormat="1" ht="15" customHeight="1" x14ac:dyDescent="0.25">
      <c r="A2398" s="288" t="s">
        <v>2269</v>
      </c>
      <c r="B2398" s="241" t="str">
        <f>HYPERLINK(CONCATENATE($AT$3,BK2398,$AU$3),$AV$3)</f>
        <v>S</v>
      </c>
      <c r="C2398" s="242" t="str">
        <f>HYPERLINK(CONCATENATE($AT$4,BK2398,$AU$4,BL2398),$AV$4)</f>
        <v>A</v>
      </c>
      <c r="D2398" s="243" t="s">
        <v>5187</v>
      </c>
      <c r="E2398" s="244" t="s">
        <v>5181</v>
      </c>
      <c r="F2398" s="269" t="s">
        <v>8019</v>
      </c>
      <c r="G2398" s="273">
        <v>1.9</v>
      </c>
      <c r="H2398" s="283">
        <v>3000</v>
      </c>
      <c r="I2398" s="279">
        <v>1.8</v>
      </c>
      <c r="J2398" s="246">
        <v>4</v>
      </c>
      <c r="K2398" s="247" t="s">
        <v>8020</v>
      </c>
      <c r="L2398" s="248">
        <v>191828</v>
      </c>
      <c r="M2398" s="249">
        <f>15*(LEFT(TEXT($L2398,"000000"),2)+(MID(TEXT($L2398,"000000"),3,2)/60)+(RIGHT(TEXT($L2398,"000000"),2)/3600))</f>
        <v>289.61666666666667</v>
      </c>
      <c r="N2398" s="250">
        <v>63220</v>
      </c>
      <c r="O2398" s="251">
        <f>IF($N2398&gt;0,(LEFT(TEXT($N2398,"000000"),2)+(MID(TEXT($N2398,"000000"),3,2)/60)+(RIGHT(TEXT($N2398,"000000"),2)/3600)),-(MID(TEXT($N2398,"000000"),2,2)+(MID(TEXT($N2398,"000000"),4,2)/60)+(RIGHT(TEXT($N2398,"000000"),2)/3600)))</f>
        <v>6.5388888888888888</v>
      </c>
      <c r="P2398" s="252" t="s">
        <v>126</v>
      </c>
      <c r="Q2398" s="253" t="s">
        <v>7069</v>
      </c>
      <c r="R2398" s="247" t="s">
        <v>3293</v>
      </c>
      <c r="S2398" s="272" t="s">
        <v>3293</v>
      </c>
      <c r="T2398" s="273">
        <v>11.4</v>
      </c>
      <c r="U2398" s="274"/>
      <c r="V2398" s="280"/>
      <c r="W2398" s="244"/>
      <c r="X2398" s="244"/>
      <c r="Y2398" s="362"/>
      <c r="Z2398" s="257">
        <f>altaz(J2000_Bas,$O2398,$M2398,DecLat,DecLong,1)</f>
        <v>65.305595325766902</v>
      </c>
      <c r="AA2398" s="257">
        <f>altaz((J2000_Bas+(2*0.04167)),$O2398,$M2398,DecLat,DecLong,1)</f>
        <v>55.181517290619283</v>
      </c>
      <c r="AB2398" s="257">
        <f>altaz((J2000_Bas+(4*0.04167)),$O2398,$M2398,DecLat,DecLong,1)</f>
        <v>31.869983702093393</v>
      </c>
      <c r="AC2398" s="257">
        <f>altaz((J2000_Bas+(6*0.04167)),$O2398,$M2398,DecLat,DecLong,1)</f>
        <v>6.2328103530641563</v>
      </c>
      <c r="AD2398" s="258">
        <f>1+ transit((J2000_Bas-1),$O2398,$M2398,DecLat,DecLong)/360 + (GMTOffset/24) + (IF(DST="Y", 1, 0)/24)</f>
        <v>1.7973906209213746</v>
      </c>
      <c r="AE2398" s="259">
        <f>DATE(2001,9,21)+(M2398/360)*365 - (360*((DecLong/360)- (GMTOffset/24) ))</f>
        <v>37453.639120370368</v>
      </c>
      <c r="AF2398" s="260">
        <f>IF(DecLat&gt;0,IF((90 - (DecLat-O2398))&gt;90, (90 - (O2398-DecLat)), (90 - (DecLat-O2398))),IF((90 + (DecLat-O2398))&gt;90, (90 + (O2398-DecLat)), (90 + (DecLat-O2398))))</f>
        <v>65.538888888888891</v>
      </c>
      <c r="AG2398" s="257">
        <f>angularseperation(MoonRA,MoonDec,$M2398,$O2398)</f>
        <v>51.536125602543159</v>
      </c>
      <c r="AH2398" s="261">
        <f ca="1">MIN(100,IF($O$5&gt;80,0+30*($AG2398/100),IF($O$5&gt;70,0+50*($AG2398/100),IF($O$5&gt;60,5+50*($AG2398/100),IF($O$5&gt;50,10+60*($AG2398/100),IF($O$5&gt;40,15+70*($AG2398/100),IF($O$5&gt;30,20+70*($AG2398/100),IF($O$5&gt;20,40+55*($AG2398/100),(80+(20-$O$5)+30*($AG2398/100))))))))))</f>
        <v>98.731898024913377</v>
      </c>
      <c r="AI2398" s="262">
        <v>6781</v>
      </c>
      <c r="AJ2398" s="262"/>
      <c r="AK2398" s="262">
        <v>358</v>
      </c>
      <c r="AL2398" s="263"/>
      <c r="AM2398" s="264"/>
      <c r="AN2398" s="263"/>
      <c r="AO2398" s="263"/>
      <c r="AP2398" s="265"/>
      <c r="AQ2398" s="266"/>
      <c r="AR2398" s="267"/>
      <c r="AS2398" s="263"/>
      <c r="AT2398" s="263">
        <v>29</v>
      </c>
      <c r="AU2398" s="263"/>
      <c r="AV2398" s="264"/>
      <c r="AW2398" s="263"/>
      <c r="AX2398" s="263"/>
      <c r="AY2398" s="263"/>
      <c r="AZ2398" s="263"/>
      <c r="BA2398" s="263"/>
      <c r="BB2398" s="263"/>
      <c r="BC2398" s="263"/>
      <c r="BD2398" s="264"/>
      <c r="BE2398" s="263"/>
      <c r="BF2398" s="263">
        <v>90</v>
      </c>
      <c r="BG2398" s="263"/>
      <c r="BH2398" s="263"/>
      <c r="BI2398" s="263"/>
      <c r="BJ2398" s="404">
        <f>altaz(J2000_Bas,$O2398,$M2398,DecLat,DecLong,2)</f>
        <v>171.37886267881274</v>
      </c>
      <c r="BK2398" s="378" t="s">
        <v>2269</v>
      </c>
      <c r="BL2398" s="379">
        <f>IF((2*G2398)/60&lt;0.2,0.2,(2*G2398)/60)</f>
        <v>0.2</v>
      </c>
      <c r="BM2398" s="380">
        <f>MOD((50000+AD2398-$B$3+(0/24)),1)</f>
        <v>1.2757550626702141E-2</v>
      </c>
      <c r="BN2398" s="381"/>
      <c r="BO2398" s="382">
        <v>2389</v>
      </c>
    </row>
    <row r="2399" spans="1:67" s="24" customFormat="1" ht="15" customHeight="1" x14ac:dyDescent="0.25">
      <c r="A2399" s="288" t="s">
        <v>8022</v>
      </c>
      <c r="B2399" s="241" t="str">
        <f>HYPERLINK(CONCATENATE($AT$3,BK2399,$AU$3),$AV$3)</f>
        <v>S</v>
      </c>
      <c r="C2399" s="242" t="str">
        <f>HYPERLINK(CONCATENATE($AT$4,BK2399,$AU$4,BL2399),$AV$4)</f>
        <v>A</v>
      </c>
      <c r="D2399" s="243" t="s">
        <v>5638</v>
      </c>
      <c r="E2399" s="244" t="s">
        <v>5178</v>
      </c>
      <c r="F2399" s="269"/>
      <c r="G2399" s="273">
        <v>1</v>
      </c>
      <c r="H2399" s="283">
        <v>350</v>
      </c>
      <c r="I2399" s="246">
        <v>95</v>
      </c>
      <c r="J2399" s="246">
        <v>2</v>
      </c>
      <c r="K2399" s="247" t="s">
        <v>8341</v>
      </c>
      <c r="L2399" s="248">
        <v>191054</v>
      </c>
      <c r="M2399" s="249">
        <f>15*(LEFT(TEXT($L2399,"000000"),2)+(MID(TEXT($L2399,"000000"),3,2)/60)+(RIGHT(TEXT($L2399,"000000"),2)/3600))</f>
        <v>287.72500000000002</v>
      </c>
      <c r="N2399" s="250">
        <v>732436</v>
      </c>
      <c r="O2399" s="251">
        <f>IF($N2399&gt;0,(LEFT(TEXT($N2399,"000000"),2)+(MID(TEXT($N2399,"000000"),3,2)/60)+(RIGHT(TEXT($N2399,"000000"),2)/3600)),-(MID(TEXT($N2399,"000000"),2,2)+(MID(TEXT($N2399,"000000"),4,2)/60)+(RIGHT(TEXT($N2399,"000000"),2)/3600)))</f>
        <v>73.410000000000011</v>
      </c>
      <c r="P2399" s="252" t="s">
        <v>34</v>
      </c>
      <c r="Q2399" s="253"/>
      <c r="R2399" s="247" t="s">
        <v>3293</v>
      </c>
      <c r="S2399" s="272" t="s">
        <v>8021</v>
      </c>
      <c r="T2399" s="273">
        <v>12.9</v>
      </c>
      <c r="U2399" s="289">
        <v>21.59</v>
      </c>
      <c r="V2399" s="280"/>
      <c r="W2399" s="244"/>
      <c r="X2399" s="244"/>
      <c r="Y2399" s="362"/>
      <c r="Z2399" s="257">
        <f>altaz(J2000_Bas,$O2399,$M2399,DecLat,DecLong,1)</f>
        <v>47.580607174525092</v>
      </c>
      <c r="AA2399" s="257">
        <f>altaz((J2000_Bas+(2*0.04167)),$O2399,$M2399,DecLat,DecLong,1)</f>
        <v>45.150338115649426</v>
      </c>
      <c r="AB2399" s="257">
        <f>altaz((J2000_Bas+(4*0.04167)),$O2399,$M2399,DecLat,DecLong,1)</f>
        <v>38.438062373526051</v>
      </c>
      <c r="AC2399" s="257">
        <f>altaz((J2000_Bas+(6*0.04167)),$O2399,$M2399,DecLat,DecLong,1)</f>
        <v>29.991488318187777</v>
      </c>
      <c r="AD2399" s="258">
        <f>1+ transit((J2000_Bas-1),$O2399,$M2399,DecLat,DecLong)/360 + (GMTOffset/24) + (IF(DST="Y", 1, 0)/24)</f>
        <v>1.7921359918172082</v>
      </c>
      <c r="AE2399" s="259">
        <f>DATE(2001,9,21)+(M2399/360)*365 - (360*((DecLong/360)- (GMTOffset/24) ))</f>
        <v>37451.721180555556</v>
      </c>
      <c r="AF2399" s="260">
        <f>IF(DecLat&gt;0,IF((90 - (DecLat-O2399))&gt;90, (90 - (O2399-DecLat)), (90 - (DecLat-O2399))),IF((90 + (DecLat-O2399))&gt;90, (90 + (O2399-DecLat)), (90 + (DecLat-O2399))))</f>
        <v>47.589999999999989</v>
      </c>
      <c r="AG2399" s="257">
        <f>angularseperation(MoonRA,MoonDec,$M2399,$O2399)</f>
        <v>103.73023346793767</v>
      </c>
      <c r="AH2399" s="261">
        <f ca="1">MIN(100,IF($O$5&gt;80,0+30*($AG2399/100),IF($O$5&gt;70,0+50*($AG2399/100),IF($O$5&gt;60,5+50*($AG2399/100),IF($O$5&gt;50,10+60*($AG2399/100),IF($O$5&gt;40,15+70*($AG2399/100),IF($O$5&gt;30,20+70*($AG2399/100),IF($O$5&gt;20,40+55*($AG2399/100),(80+(20-$O$5)+30*($AG2399/100))))))))))</f>
        <v>100</v>
      </c>
      <c r="AI2399" s="262">
        <v>6786</v>
      </c>
      <c r="AJ2399" s="262"/>
      <c r="AK2399" s="262"/>
      <c r="AL2399" s="263"/>
      <c r="AM2399" s="264"/>
      <c r="AN2399" s="263"/>
      <c r="AO2399" s="263"/>
      <c r="AP2399" s="265"/>
      <c r="AQ2399" s="266">
        <v>11414</v>
      </c>
      <c r="AR2399" s="267">
        <v>62864</v>
      </c>
      <c r="AS2399" s="263"/>
      <c r="AT2399" s="263"/>
      <c r="AU2399" s="263"/>
      <c r="AV2399" s="264"/>
      <c r="AW2399" s="263"/>
      <c r="AX2399" s="263"/>
      <c r="AY2399" s="263"/>
      <c r="AZ2399" s="263"/>
      <c r="BA2399" s="263"/>
      <c r="BB2399" s="263"/>
      <c r="BC2399" s="263"/>
      <c r="BD2399" s="264"/>
      <c r="BE2399" s="263"/>
      <c r="BF2399" s="263"/>
      <c r="BG2399" s="263"/>
      <c r="BH2399" s="263"/>
      <c r="BI2399" s="263"/>
      <c r="BJ2399" s="404">
        <f>altaz(J2000_Bas,$O2399,$M2399,DecLat,DecLong,2)</f>
        <v>0.72894727129297032</v>
      </c>
      <c r="BK2399" s="378" t="s">
        <v>2270</v>
      </c>
      <c r="BL2399" s="379">
        <f>IF((2*G2399)/60&lt;0.2,0.2,(2*G2399)/60)</f>
        <v>0.2</v>
      </c>
      <c r="BM2399" s="380">
        <f>MOD((50000+AD2399-$B$3+(0/24)),1)</f>
        <v>7.5029215222457424E-3</v>
      </c>
      <c r="BN2399" s="381"/>
      <c r="BO2399" s="382">
        <v>2390</v>
      </c>
    </row>
    <row r="2400" spans="1:67" s="24" customFormat="1" ht="15" customHeight="1" x14ac:dyDescent="0.25">
      <c r="A2400" s="288" t="s">
        <v>2271</v>
      </c>
      <c r="B2400" s="241" t="str">
        <f>HYPERLINK(CONCATENATE($AT$3,BK2400,$AU$3),$AV$3)</f>
        <v>S</v>
      </c>
      <c r="C2400" s="242" t="str">
        <f>HYPERLINK(CONCATENATE($AT$4,BK2400,$AU$4,BL2400),$AV$4)</f>
        <v>A</v>
      </c>
      <c r="D2400" s="243" t="s">
        <v>5638</v>
      </c>
      <c r="E2400" s="244" t="s">
        <v>29</v>
      </c>
      <c r="F2400" s="269"/>
      <c r="G2400" s="270">
        <v>0.9</v>
      </c>
      <c r="H2400" s="283">
        <v>12</v>
      </c>
      <c r="I2400" s="279">
        <v>3.2</v>
      </c>
      <c r="J2400" s="246">
        <v>2</v>
      </c>
      <c r="K2400" s="247" t="s">
        <v>8023</v>
      </c>
      <c r="L2400" s="248">
        <v>191642</v>
      </c>
      <c r="M2400" s="249">
        <f>15*(LEFT(TEXT($L2400,"000000"),2)+(MID(TEXT($L2400,"000000"),3,2)/60)+(RIGHT(TEXT($L2400,"000000"),2)/3600))</f>
        <v>289.17500000000001</v>
      </c>
      <c r="N2400" s="250">
        <v>635819</v>
      </c>
      <c r="O2400" s="251">
        <f>IF($N2400&gt;0,(LEFT(TEXT($N2400,"000000"),2)+(MID(TEXT($N2400,"000000"),3,2)/60)+(RIGHT(TEXT($N2400,"000000"),2)/3600)),-(MID(TEXT($N2400,"000000"),2,2)+(MID(TEXT($N2400,"000000"),4,2)/60)+(RIGHT(TEXT($N2400,"000000"),2)/3600)))</f>
        <v>63.971944444444446</v>
      </c>
      <c r="P2400" s="252" t="s">
        <v>34</v>
      </c>
      <c r="Q2400" s="253"/>
      <c r="R2400" s="247" t="s">
        <v>3293</v>
      </c>
      <c r="S2400" s="272" t="s">
        <v>3293</v>
      </c>
      <c r="T2400" s="273">
        <v>13.2</v>
      </c>
      <c r="U2400" s="289">
        <v>22.19</v>
      </c>
      <c r="V2400" s="280"/>
      <c r="W2400" s="244"/>
      <c r="X2400" s="244"/>
      <c r="Y2400" s="362"/>
      <c r="Z2400" s="257">
        <f>altaz(J2000_Bas,$O2400,$M2400,DecLat,DecLong,1)</f>
        <v>56.96742199359484</v>
      </c>
      <c r="AA2400" s="257">
        <f>altaz((J2000_Bas+(2*0.04167)),$O2400,$M2400,DecLat,DecLong,1)</f>
        <v>52.958776464375823</v>
      </c>
      <c r="AB2400" s="257">
        <f>altaz((J2000_Bas+(4*0.04167)),$O2400,$M2400,DecLat,DecLong,1)</f>
        <v>41.888120980392728</v>
      </c>
      <c r="AC2400" s="257">
        <f>altaz((J2000_Bas+(6*0.04167)),$O2400,$M2400,DecLat,DecLong,1)</f>
        <v>28.813175694236069</v>
      </c>
      <c r="AD2400" s="258">
        <f>1+ transit((J2000_Bas-1),$O2400,$M2400,DecLat,DecLong)/360 + (GMTOffset/24) + (IF(DST="Y", 1, 0)/24)</f>
        <v>1.7961637691922083</v>
      </c>
      <c r="AE2400" s="259">
        <f>DATE(2001,9,21)+(M2400/360)*365 - (360*((DecLong/360)- (GMTOffset/24) ))</f>
        <v>37453.191319444442</v>
      </c>
      <c r="AF2400" s="260">
        <f>IF(DecLat&gt;0,IF((90 - (DecLat-O2400))&gt;90, (90 - (O2400-DecLat)), (90 - (DecLat-O2400))),IF((90 + (DecLat-O2400))&gt;90, (90 + (O2400-DecLat)), (90 + (DecLat-O2400))))</f>
        <v>57.028055555555554</v>
      </c>
      <c r="AG2400" s="257">
        <f>angularseperation(MoonRA,MoonDec,$M2400,$O2400)</f>
        <v>96.288885905355983</v>
      </c>
      <c r="AH2400" s="261">
        <f ca="1">MIN(100,IF($O$5&gt;80,0+30*($AG2400/100),IF($O$5&gt;70,0+50*($AG2400/100),IF($O$5&gt;60,5+50*($AG2400/100),IF($O$5&gt;50,10+60*($AG2400/100),IF($O$5&gt;40,15+70*($AG2400/100),IF($O$5&gt;30,20+70*($AG2400/100),IF($O$5&gt;20,40+55*($AG2400/100),(80+(20-$O$5)+30*($AG2400/100))))))))))</f>
        <v>100</v>
      </c>
      <c r="AI2400" s="262">
        <v>6789</v>
      </c>
      <c r="AJ2400" s="262"/>
      <c r="AK2400" s="262"/>
      <c r="AL2400" s="263"/>
      <c r="AM2400" s="264"/>
      <c r="AN2400" s="263"/>
      <c r="AO2400" s="263"/>
      <c r="AP2400" s="265"/>
      <c r="AQ2400" s="266">
        <v>11425</v>
      </c>
      <c r="AR2400" s="267">
        <v>63000</v>
      </c>
      <c r="AS2400" s="263"/>
      <c r="AT2400" s="263"/>
      <c r="AU2400" s="263"/>
      <c r="AV2400" s="264"/>
      <c r="AW2400" s="263"/>
      <c r="AX2400" s="263"/>
      <c r="AY2400" s="263"/>
      <c r="AZ2400" s="263"/>
      <c r="BA2400" s="263"/>
      <c r="BB2400" s="263"/>
      <c r="BC2400" s="263"/>
      <c r="BD2400" s="264"/>
      <c r="BE2400" s="263"/>
      <c r="BF2400" s="263"/>
      <c r="BG2400" s="263"/>
      <c r="BH2400" s="263"/>
      <c r="BI2400" s="263"/>
      <c r="BJ2400" s="404">
        <f>altaz(J2000_Bas,$O2400,$M2400,DecLat,DecLong,2)</f>
        <v>2.553259773626166</v>
      </c>
      <c r="BK2400" s="378" t="s">
        <v>2271</v>
      </c>
      <c r="BL2400" s="379">
        <f>IF((2*G2400)/60&lt;0.2,0.2,(2*G2400)/60)</f>
        <v>0.2</v>
      </c>
      <c r="BM2400" s="380">
        <f>MOD((50000+AD2400-$B$3+(0/24)),1)</f>
        <v>1.1530698895512614E-2</v>
      </c>
      <c r="BN2400" s="381"/>
      <c r="BO2400" s="382">
        <v>2391</v>
      </c>
    </row>
    <row r="2401" spans="1:67" s="24" customFormat="1" ht="15" customHeight="1" x14ac:dyDescent="0.25">
      <c r="A2401" s="288" t="s">
        <v>2272</v>
      </c>
      <c r="B2401" s="241" t="str">
        <f>HYPERLINK(CONCATENATE($AT$3,BK2401,$AU$3),$AV$3)</f>
        <v>S</v>
      </c>
      <c r="C2401" s="242" t="str">
        <f>HYPERLINK(CONCATENATE($AT$4,BK2401,$AU$4,BL2401),$AV$4)</f>
        <v>A</v>
      </c>
      <c r="D2401" s="243" t="s">
        <v>5335</v>
      </c>
      <c r="E2401" s="244" t="s">
        <v>5185</v>
      </c>
      <c r="F2401" s="269" t="s">
        <v>8024</v>
      </c>
      <c r="G2401" s="276">
        <v>13</v>
      </c>
      <c r="H2401" s="283">
        <v>13000</v>
      </c>
      <c r="I2401" s="246">
        <v>50</v>
      </c>
      <c r="J2401" s="246">
        <v>2</v>
      </c>
      <c r="K2401" s="247" t="s">
        <v>8591</v>
      </c>
      <c r="L2401" s="248">
        <v>192053</v>
      </c>
      <c r="M2401" s="249">
        <f>15*(LEFT(TEXT($L2401,"000000"),2)+(MID(TEXT($L2401,"000000"),3,2)/60)+(RIGHT(TEXT($L2401,"000000"),2)/3600))</f>
        <v>290.2208333333333</v>
      </c>
      <c r="N2401" s="250">
        <v>374618</v>
      </c>
      <c r="O2401" s="251">
        <f>IF($N2401&gt;0,(LEFT(TEXT($N2401,"000000"),2)+(MID(TEXT($N2401,"000000"),3,2)/60)+(RIGHT(TEXT($N2401,"000000"),2)/3600)),-(MID(TEXT($N2401,"000000"),2,2)+(MID(TEXT($N2401,"000000"),4,2)/60)+(RIGHT(TEXT($N2401,"000000"),2)/3600)))</f>
        <v>37.771666666666668</v>
      </c>
      <c r="P2401" s="252" t="s">
        <v>123</v>
      </c>
      <c r="Q2401" s="253"/>
      <c r="R2401" s="247" t="s">
        <v>3293</v>
      </c>
      <c r="S2401" s="272" t="s">
        <v>3293</v>
      </c>
      <c r="T2401" s="273">
        <v>9.5</v>
      </c>
      <c r="U2401" s="274"/>
      <c r="V2401" s="280"/>
      <c r="W2401" s="244"/>
      <c r="X2401" s="244"/>
      <c r="Y2401" s="362"/>
      <c r="Z2401" s="257">
        <f>altaz(J2000_Bas,$O2401,$M2401,DecLat,DecLong,1)</f>
        <v>82.388315229008683</v>
      </c>
      <c r="AA2401" s="257">
        <f>altaz((J2000_Bas+(2*0.04167)),$O2401,$M2401,DecLat,DecLong,1)</f>
        <v>67.689869239327507</v>
      </c>
      <c r="AB2401" s="257">
        <f>altaz((J2000_Bas+(4*0.04167)),$O2401,$M2401,DecLat,DecLong,1)</f>
        <v>44.014023042559046</v>
      </c>
      <c r="AC2401" s="257">
        <f>altaz((J2000_Bas+(6*0.04167)),$O2401,$M2401,DecLat,DecLong,1)</f>
        <v>21.242442722544311</v>
      </c>
      <c r="AD2401" s="258">
        <f>1+ transit((J2000_Bas-1),$O2401,$M2401,DecLat,DecLong)/360 + (GMTOffset/24) + (IF(DST="Y", 1, 0)/24)</f>
        <v>1.7990688614942913</v>
      </c>
      <c r="AE2401" s="259">
        <f>DATE(2001,9,21)+(M2401/360)*365 - (360*((DecLong/360)- (GMTOffset/24) ))</f>
        <v>37454.25167824074</v>
      </c>
      <c r="AF2401" s="260">
        <f>IF(DecLat&gt;0,IF((90 - (DecLat-O2401))&gt;90, (90 - (O2401-DecLat)), (90 - (DecLat-O2401))),IF((90 + (DecLat-O2401))&gt;90, (90 + (O2401-DecLat)), (90 + (DecLat-O2401))))</f>
        <v>83.228333333333325</v>
      </c>
      <c r="AG2401" s="257">
        <f>angularseperation(MoonRA,MoonDec,$M2401,$O2401)</f>
        <v>75.3781196894045</v>
      </c>
      <c r="AH2401" s="261">
        <f ca="1">MIN(100,IF($O$5&gt;80,0+30*($AG2401/100),IF($O$5&gt;70,0+50*($AG2401/100),IF($O$5&gt;60,5+50*($AG2401/100),IF($O$5&gt;50,10+60*($AG2401/100),IF($O$5&gt;40,15+70*($AG2401/100),IF($O$5&gt;30,20+70*($AG2401/100),IF($O$5&gt;20,40+55*($AG2401/100),(80+(20-$O$5)+30*($AG2401/100))))))))))</f>
        <v>100</v>
      </c>
      <c r="AI2401" s="262">
        <v>6791</v>
      </c>
      <c r="AJ2401" s="262"/>
      <c r="AK2401" s="262"/>
      <c r="AL2401" s="263"/>
      <c r="AM2401" s="264"/>
      <c r="AN2401" s="263"/>
      <c r="AO2401" s="263"/>
      <c r="AP2401" s="265"/>
      <c r="AQ2401" s="266"/>
      <c r="AR2401" s="267"/>
      <c r="AS2401" s="263"/>
      <c r="AT2401" s="263"/>
      <c r="AU2401" s="263"/>
      <c r="AV2401" s="264"/>
      <c r="AW2401" s="263"/>
      <c r="AX2401" s="263"/>
      <c r="AY2401" s="263"/>
      <c r="AZ2401" s="263"/>
      <c r="BA2401" s="263"/>
      <c r="BB2401" s="263"/>
      <c r="BC2401" s="263"/>
      <c r="BD2401" s="264"/>
      <c r="BE2401" s="263"/>
      <c r="BF2401" s="263"/>
      <c r="BG2401" s="263">
        <v>81</v>
      </c>
      <c r="BH2401" s="263"/>
      <c r="BI2401" s="263"/>
      <c r="BJ2401" s="404">
        <f>altaz(J2000_Bas,$O2401,$M2401,DecLat,DecLong,2)</f>
        <v>26.036687198883396</v>
      </c>
      <c r="BK2401" s="378" t="s">
        <v>2272</v>
      </c>
      <c r="BL2401" s="379">
        <f>IF((2*G2401)/60&lt;0.2,0.2,(2*G2401)/60)</f>
        <v>0.43333333333333335</v>
      </c>
      <c r="BM2401" s="380">
        <f>MOD((50000+AD2401-$B$3+(0/24)),1)</f>
        <v>1.4435791199503001E-2</v>
      </c>
      <c r="BN2401" s="381"/>
      <c r="BO2401" s="382">
        <v>2392</v>
      </c>
    </row>
    <row r="2402" spans="1:67" s="24" customFormat="1" ht="15" customHeight="1" x14ac:dyDescent="0.25">
      <c r="A2402" s="288" t="s">
        <v>2273</v>
      </c>
      <c r="B2402" s="241" t="str">
        <f>HYPERLINK(CONCATENATE($AT$3,BK2402,$AU$3),$AV$3)</f>
        <v>S</v>
      </c>
      <c r="C2402" s="242" t="str">
        <f>HYPERLINK(CONCATENATE($AT$4,BK2402,$AU$4,BL2402),$AV$4)</f>
        <v>A</v>
      </c>
      <c r="D2402" s="243" t="s">
        <v>5638</v>
      </c>
      <c r="E2402" s="244" t="s">
        <v>5192</v>
      </c>
      <c r="F2402" s="269" t="s">
        <v>8908</v>
      </c>
      <c r="G2402" s="273">
        <v>1.8</v>
      </c>
      <c r="H2402" s="283">
        <v>230</v>
      </c>
      <c r="I2402" s="246">
        <v>120</v>
      </c>
      <c r="J2402" s="246">
        <v>2</v>
      </c>
      <c r="K2402" s="247" t="s">
        <v>8025</v>
      </c>
      <c r="L2402" s="248">
        <v>192057</v>
      </c>
      <c r="M2402" s="249">
        <f>15*(LEFT(TEXT($L2402,"000000"),2)+(MID(TEXT($L2402,"000000"),3,2)/60)+(RIGHT(TEXT($L2402,"000000"),2)/3600))</f>
        <v>290.23749999999995</v>
      </c>
      <c r="N2402" s="250">
        <v>430757</v>
      </c>
      <c r="O2402" s="251">
        <f>IF($N2402&gt;0,(LEFT(TEXT($N2402,"000000"),2)+(MID(TEXT($N2402,"000000"),3,2)/60)+(RIGHT(TEXT($N2402,"000000"),2)/3600)),-(MID(TEXT($N2402,"000000"),2,2)+(MID(TEXT($N2402,"000000"),4,2)/60)+(RIGHT(TEXT($N2402,"000000"),2)/3600)))</f>
        <v>43.1325</v>
      </c>
      <c r="P2402" s="252" t="s">
        <v>123</v>
      </c>
      <c r="Q2402" s="253"/>
      <c r="R2402" s="247" t="s">
        <v>3293</v>
      </c>
      <c r="S2402" s="272" t="s">
        <v>3293</v>
      </c>
      <c r="T2402" s="273">
        <v>12.1</v>
      </c>
      <c r="U2402" s="289">
        <v>21.990000000000002</v>
      </c>
      <c r="V2402" s="280">
        <v>55</v>
      </c>
      <c r="W2402" s="244"/>
      <c r="X2402" s="244"/>
      <c r="Y2402" s="362"/>
      <c r="Z2402" s="257">
        <f>altaz(J2000_Bas,$O2402,$M2402,DecLat,DecLong,1)</f>
        <v>77.41038326399898</v>
      </c>
      <c r="AA2402" s="257">
        <f>altaz((J2000_Bas+(2*0.04167)),$O2402,$M2402,DecLat,DecLong,1)</f>
        <v>66.216160946746498</v>
      </c>
      <c r="AB2402" s="257">
        <f>altaz((J2000_Bas+(4*0.04167)),$O2402,$M2402,DecLat,DecLong,1)</f>
        <v>44.629325216606517</v>
      </c>
      <c r="AC2402" s="257">
        <f>altaz((J2000_Bas+(6*0.04167)),$O2402,$M2402,DecLat,DecLong,1)</f>
        <v>23.30067679358913</v>
      </c>
      <c r="AD2402" s="258">
        <f>1+ transit((J2000_Bas-1),$O2402,$M2402,DecLat,DecLong)/360 + (GMTOffset/24) + (IF(DST="Y", 1, 0)/24)</f>
        <v>1.7991151577859579</v>
      </c>
      <c r="AE2402" s="259">
        <f>DATE(2001,9,21)+(M2402/360)*365 - (360*((DecLong/360)- (GMTOffset/24) ))</f>
        <v>37454.268576388888</v>
      </c>
      <c r="AF2402" s="260">
        <f>IF(DecLat&gt;0,IF((90 - (DecLat-O2402))&gt;90, (90 - (O2402-DecLat)), (90 - (DecLat-O2402))),IF((90 + (DecLat-O2402))&gt;90, (90 + (O2402-DecLat)), (90 + (DecLat-O2402))))</f>
        <v>77.867500000000007</v>
      </c>
      <c r="AG2402" s="257">
        <f>angularseperation(MoonRA,MoonDec,$M2402,$O2402)</f>
        <v>79.68140348169193</v>
      </c>
      <c r="AH2402" s="261">
        <f ca="1">MIN(100,IF($O$5&gt;80,0+30*($AG2402/100),IF($O$5&gt;70,0+50*($AG2402/100),IF($O$5&gt;60,5+50*($AG2402/100),IF($O$5&gt;50,10+60*($AG2402/100),IF($O$5&gt;40,15+70*($AG2402/100),IF($O$5&gt;30,20+70*($AG2402/100),IF($O$5&gt;20,40+55*($AG2402/100),(80+(20-$O$5)+30*($AG2402/100))))))))))</f>
        <v>100</v>
      </c>
      <c r="AI2402" s="262">
        <v>6792</v>
      </c>
      <c r="AJ2402" s="262"/>
      <c r="AK2402" s="262"/>
      <c r="AL2402" s="263"/>
      <c r="AM2402" s="264"/>
      <c r="AN2402" s="263"/>
      <c r="AO2402" s="263"/>
      <c r="AP2402" s="265"/>
      <c r="AQ2402" s="266">
        <v>11429</v>
      </c>
      <c r="AR2402" s="267">
        <v>63096</v>
      </c>
      <c r="AS2402" s="263"/>
      <c r="AT2402" s="263"/>
      <c r="AU2402" s="263"/>
      <c r="AV2402" s="264"/>
      <c r="AW2402" s="263"/>
      <c r="AX2402" s="263"/>
      <c r="AY2402" s="263"/>
      <c r="AZ2402" s="263"/>
      <c r="BA2402" s="263"/>
      <c r="BB2402" s="263"/>
      <c r="BC2402" s="263"/>
      <c r="BD2402" s="264"/>
      <c r="BE2402" s="263"/>
      <c r="BF2402" s="263"/>
      <c r="BG2402" s="263"/>
      <c r="BH2402" s="263"/>
      <c r="BI2402" s="263"/>
      <c r="BJ2402" s="404">
        <f>altaz(J2000_Bas,$O2402,$M2402,DecLat,DecLong,2)</f>
        <v>14.314342039768944</v>
      </c>
      <c r="BK2402" s="378" t="s">
        <v>2273</v>
      </c>
      <c r="BL2402" s="379">
        <f>IF((2*G2402)/60&lt;0.2,0.2,(2*G2402)/60)</f>
        <v>0.2</v>
      </c>
      <c r="BM2402" s="380">
        <f>MOD((50000+AD2402-$B$3+(0/24)),1)</f>
        <v>1.4482087492069695E-2</v>
      </c>
      <c r="BN2402" s="381"/>
      <c r="BO2402" s="382">
        <v>2393</v>
      </c>
    </row>
    <row r="2403" spans="1:67" s="24" customFormat="1" ht="15" customHeight="1" x14ac:dyDescent="0.25">
      <c r="A2403" s="288" t="s">
        <v>2274</v>
      </c>
      <c r="B2403" s="241" t="str">
        <f>HYPERLINK(CONCATENATE($AT$3,BK2403,$AU$3),$AV$3)</f>
        <v>S</v>
      </c>
      <c r="C2403" s="242" t="str">
        <f>HYPERLINK(CONCATENATE($AT$4,BK2403,$AU$4,BL2403),$AV$4)</f>
        <v>A</v>
      </c>
      <c r="D2403" s="243" t="s">
        <v>5638</v>
      </c>
      <c r="E2403" s="244" t="s">
        <v>5192</v>
      </c>
      <c r="F2403" s="269" t="s">
        <v>8689</v>
      </c>
      <c r="G2403" s="273">
        <v>1.4</v>
      </c>
      <c r="H2403" s="283">
        <v>150</v>
      </c>
      <c r="I2403" s="246">
        <v>65</v>
      </c>
      <c r="J2403" s="246">
        <v>2</v>
      </c>
      <c r="K2403" s="247" t="s">
        <v>8026</v>
      </c>
      <c r="L2403" s="248">
        <v>192736</v>
      </c>
      <c r="M2403" s="249">
        <f>15*(LEFT(TEXT($L2403,"000000"),2)+(MID(TEXT($L2403,"000000"),3,2)/60)+(RIGHT(TEXT($L2403,"000000"),2)/3600))</f>
        <v>291.90000000000003</v>
      </c>
      <c r="N2403" s="250">
        <v>542220</v>
      </c>
      <c r="O2403" s="251">
        <f>IF($N2403&gt;0,(LEFT(TEXT($N2403,"000000"),2)+(MID(TEXT($N2403,"000000"),3,2)/60)+(RIGHT(TEXT($N2403,"000000"),2)/3600)),-(MID(TEXT($N2403,"000000"),2,2)+(MID(TEXT($N2403,"000000"),4,2)/60)+(RIGHT(TEXT($N2403,"000000"),2)/3600)))</f>
        <v>54.37222222222222</v>
      </c>
      <c r="P2403" s="252" t="s">
        <v>60</v>
      </c>
      <c r="Q2403" s="253"/>
      <c r="R2403" s="247" t="s">
        <v>3293</v>
      </c>
      <c r="S2403" s="272" t="s">
        <v>3293</v>
      </c>
      <c r="T2403" s="273">
        <v>13.9</v>
      </c>
      <c r="U2403" s="289">
        <v>22.490000000000002</v>
      </c>
      <c r="V2403" s="280">
        <v>65</v>
      </c>
      <c r="W2403" s="244"/>
      <c r="X2403" s="244"/>
      <c r="Y2403" s="362"/>
      <c r="Z2403" s="257">
        <f>altaz(J2000_Bas,$O2403,$M2403,DecLat,DecLong,1)</f>
        <v>66.249000387416814</v>
      </c>
      <c r="AA2403" s="257">
        <f>altaz((J2000_Bas+(2*0.04167)),$O2403,$M2403,DecLat,DecLong,1)</f>
        <v>60.940192628629454</v>
      </c>
      <c r="AB2403" s="257">
        <f>altaz((J2000_Bas+(4*0.04167)),$O2403,$M2403,DecLat,DecLong,1)</f>
        <v>45.251454111700156</v>
      </c>
      <c r="AC2403" s="257">
        <f>altaz((J2000_Bas+(6*0.04167)),$O2403,$M2403,DecLat,DecLong,1)</f>
        <v>27.887459745580198</v>
      </c>
      <c r="AD2403" s="258">
        <f>1+ transit((J2000_Bas-1),$O2403,$M2403,DecLat,DecLong)/360 + (GMTOffset/24) + (IF(DST="Y", 1, 0)/24)</f>
        <v>1.8037332128797081</v>
      </c>
      <c r="AE2403" s="259">
        <f>DATE(2001,9,21)+(M2403/360)*365 - (360*((DecLong/360)- (GMTOffset/24) ))</f>
        <v>37455.95416666667</v>
      </c>
      <c r="AF2403" s="260">
        <f>IF(DecLat&gt;0,IF((90 - (DecLat-O2403))&gt;90, (90 - (O2403-DecLat)), (90 - (DecLat-O2403))),IF((90 + (DecLat-O2403))&gt;90, (90 + (O2403-DecLat)), (90 + (DecLat-O2403))))</f>
        <v>66.62777777777778</v>
      </c>
      <c r="AG2403" s="257">
        <f>angularseperation(MoonRA,MoonDec,$M2403,$O2403)</f>
        <v>89.350406831670085</v>
      </c>
      <c r="AH2403" s="261">
        <f ca="1">MIN(100,IF($O$5&gt;80,0+30*($AG2403/100),IF($O$5&gt;70,0+50*($AG2403/100),IF($O$5&gt;60,5+50*($AG2403/100),IF($O$5&gt;50,10+60*($AG2403/100),IF($O$5&gt;40,15+70*($AG2403/100),IF($O$5&gt;30,20+70*($AG2403/100),IF($O$5&gt;20,40+55*($AG2403/100),(80+(20-$O$5)+30*($AG2403/100))))))))))</f>
        <v>100</v>
      </c>
      <c r="AI2403" s="262">
        <v>6801</v>
      </c>
      <c r="AJ2403" s="262"/>
      <c r="AK2403" s="262"/>
      <c r="AL2403" s="263"/>
      <c r="AM2403" s="264"/>
      <c r="AN2403" s="263"/>
      <c r="AO2403" s="263"/>
      <c r="AP2403" s="265"/>
      <c r="AQ2403" s="266">
        <v>11443</v>
      </c>
      <c r="AR2403" s="267">
        <v>63229</v>
      </c>
      <c r="AS2403" s="263"/>
      <c r="AT2403" s="263"/>
      <c r="AU2403" s="263"/>
      <c r="AV2403" s="264"/>
      <c r="AW2403" s="263"/>
      <c r="AX2403" s="263"/>
      <c r="AY2403" s="263"/>
      <c r="AZ2403" s="263"/>
      <c r="BA2403" s="263"/>
      <c r="BB2403" s="263"/>
      <c r="BC2403" s="263"/>
      <c r="BD2403" s="264"/>
      <c r="BE2403" s="263"/>
      <c r="BF2403" s="263"/>
      <c r="BG2403" s="263"/>
      <c r="BH2403" s="263"/>
      <c r="BI2403" s="263"/>
      <c r="BJ2403" s="404">
        <f>altaz(J2000_Bas,$O2403,$M2403,DecLat,DecLong,2)</f>
        <v>8.5459921441269024</v>
      </c>
      <c r="BK2403" s="378" t="s">
        <v>2274</v>
      </c>
      <c r="BL2403" s="379">
        <f>IF((2*G2403)/60&lt;0.2,0.2,(2*G2403)/60)</f>
        <v>0.2</v>
      </c>
      <c r="BM2403" s="380">
        <f>MOD((50000+AD2403-$B$3+(0/24)),1)</f>
        <v>1.9100142584647983E-2</v>
      </c>
      <c r="BN2403" s="381"/>
      <c r="BO2403" s="382">
        <v>2394</v>
      </c>
    </row>
    <row r="2404" spans="1:67" s="24" customFormat="1" ht="15" customHeight="1" x14ac:dyDescent="0.25">
      <c r="A2404" s="288" t="s">
        <v>2275</v>
      </c>
      <c r="B2404" s="241" t="str">
        <f>HYPERLINK(CONCATENATE($AT$3,BK2404,$AU$3),$AV$3)</f>
        <v>S</v>
      </c>
      <c r="C2404" s="242" t="str">
        <f>HYPERLINK(CONCATENATE($AT$4,BK2404,$AU$4,BL2404),$AV$4)</f>
        <v>A</v>
      </c>
      <c r="D2404" s="243" t="s">
        <v>5335</v>
      </c>
      <c r="E2404" s="244" t="s">
        <v>5185</v>
      </c>
      <c r="F2404" s="269" t="s">
        <v>7221</v>
      </c>
      <c r="G2404" s="273">
        <v>4</v>
      </c>
      <c r="H2404" s="283">
        <v>9000</v>
      </c>
      <c r="I2404" s="246">
        <v>11</v>
      </c>
      <c r="J2404" s="246">
        <v>2</v>
      </c>
      <c r="K2404" s="247" t="s">
        <v>8027</v>
      </c>
      <c r="L2404" s="248">
        <v>193035</v>
      </c>
      <c r="M2404" s="249">
        <f>15*(LEFT(TEXT($L2404,"000000"),2)+(MID(TEXT($L2404,"000000"),3,2)/60)+(RIGHT(TEXT($L2404,"000000"),2)/3600))</f>
        <v>292.64583333333337</v>
      </c>
      <c r="N2404" s="250">
        <v>201542</v>
      </c>
      <c r="O2404" s="251">
        <f>IF($N2404&gt;0,(LEFT(TEXT($N2404,"000000"),2)+(MID(TEXT($N2404,"000000"),3,2)/60)+(RIGHT(TEXT($N2404,"000000"),2)/3600)),-(MID(TEXT($N2404,"000000"),2,2)+(MID(TEXT($N2404,"000000"),4,2)/60)+(RIGHT(TEXT($N2404,"000000"),2)/3600)))</f>
        <v>20.261666666666667</v>
      </c>
      <c r="P2404" s="252" t="s">
        <v>133</v>
      </c>
      <c r="Q2404" s="253"/>
      <c r="R2404" s="247" t="s">
        <v>3293</v>
      </c>
      <c r="S2404" s="272" t="s">
        <v>3293</v>
      </c>
      <c r="T2404" s="273">
        <v>8.8000000000000007</v>
      </c>
      <c r="U2404" s="274"/>
      <c r="V2404" s="280"/>
      <c r="W2404" s="244"/>
      <c r="X2404" s="244"/>
      <c r="Y2404" s="362"/>
      <c r="Z2404" s="257">
        <f>altaz(J2000_Bas,$O2404,$M2404,DecLat,DecLong,1)</f>
        <v>77.71176562801503</v>
      </c>
      <c r="AA2404" s="257">
        <f>altaz((J2000_Bas+(2*0.04167)),$O2404,$M2404,DecLat,DecLong,1)</f>
        <v>66.365582026374923</v>
      </c>
      <c r="AB2404" s="257">
        <f>altaz((J2000_Bas+(4*0.04167)),$O2404,$M2404,DecLat,DecLong,1)</f>
        <v>41.024567964691435</v>
      </c>
      <c r="AC2404" s="257">
        <f>altaz((J2000_Bas+(6*0.04167)),$O2404,$M2404,DecLat,DecLong,1)</f>
        <v>15.536462635468906</v>
      </c>
      <c r="AD2404" s="258">
        <f>1+ transit((J2000_Bas-1),$O2404,$M2404,DecLat,DecLong)/360 + (GMTOffset/24) + (IF(DST="Y", 1, 0)/24)</f>
        <v>1.8058049719317915</v>
      </c>
      <c r="AE2404" s="259">
        <f>DATE(2001,9,21)+(M2404/360)*365 - (360*((DecLong/360)- (GMTOffset/24) ))</f>
        <v>37456.710358796299</v>
      </c>
      <c r="AF2404" s="260">
        <f>IF(DecLat&gt;0,IF((90 - (DecLat-O2404))&gt;90, (90 - (O2404-DecLat)), (90 - (DecLat-O2404))),IF((90 + (DecLat-O2404))&gt;90, (90 + (O2404-DecLat)), (90 + (DecLat-O2404))))</f>
        <v>79.26166666666667</v>
      </c>
      <c r="AG2404" s="257">
        <f>angularseperation(MoonRA,MoonDec,$M2404,$O2404)</f>
        <v>63.310461346982507</v>
      </c>
      <c r="AH2404" s="261">
        <f ca="1">MIN(100,IF($O$5&gt;80,0+30*($AG2404/100),IF($O$5&gt;70,0+50*($AG2404/100),IF($O$5&gt;60,5+50*($AG2404/100),IF($O$5&gt;50,10+60*($AG2404/100),IF($O$5&gt;40,15+70*($AG2404/100),IF($O$5&gt;30,20+70*($AG2404/100),IF($O$5&gt;20,40+55*($AG2404/100),(80+(20-$O$5)+30*($AG2404/100))))))))))</f>
        <v>100</v>
      </c>
      <c r="AI2404" s="262">
        <v>6802</v>
      </c>
      <c r="AJ2404" s="262"/>
      <c r="AK2404" s="262">
        <v>359</v>
      </c>
      <c r="AL2404" s="263"/>
      <c r="AM2404" s="264"/>
      <c r="AN2404" s="263"/>
      <c r="AO2404" s="263"/>
      <c r="AP2404" s="265"/>
      <c r="AQ2404" s="266"/>
      <c r="AR2404" s="267"/>
      <c r="AS2404" s="263"/>
      <c r="AT2404" s="263"/>
      <c r="AU2404" s="263"/>
      <c r="AV2404" s="264"/>
      <c r="AW2404" s="263"/>
      <c r="AX2404" s="263"/>
      <c r="AY2404" s="263"/>
      <c r="AZ2404" s="263"/>
      <c r="BA2404" s="263"/>
      <c r="BB2404" s="263"/>
      <c r="BC2404" s="263"/>
      <c r="BD2404" s="264"/>
      <c r="BE2404" s="263"/>
      <c r="BF2404" s="263"/>
      <c r="BG2404" s="263"/>
      <c r="BH2404" s="263"/>
      <c r="BI2404" s="263"/>
      <c r="BJ2404" s="404">
        <f>altaz(J2000_Bas,$O2404,$M2404,DecLat,DecLong,2)</f>
        <v>149.34102833820958</v>
      </c>
      <c r="BK2404" s="378" t="s">
        <v>2275</v>
      </c>
      <c r="BL2404" s="379">
        <f>IF((2*G2404)/60&lt;0.2,0.2,(2*G2404)/60)</f>
        <v>0.2</v>
      </c>
      <c r="BM2404" s="380">
        <f>MOD((50000+AD2404-$B$3+(0/24)),1)</f>
        <v>2.1171901636989787E-2</v>
      </c>
      <c r="BN2404" s="381"/>
      <c r="BO2404" s="382">
        <v>2395</v>
      </c>
    </row>
    <row r="2405" spans="1:67" s="24" customFormat="1" ht="15" customHeight="1" x14ac:dyDescent="0.25">
      <c r="A2405" s="288" t="s">
        <v>2276</v>
      </c>
      <c r="B2405" s="241" t="str">
        <f>HYPERLINK(CONCATENATE($AT$3,BK2405,$AU$3),$AV$3)</f>
        <v>S</v>
      </c>
      <c r="C2405" s="242" t="str">
        <f>HYPERLINK(CONCATENATE($AT$4,BK2405,$AU$4,BL2405),$AV$4)</f>
        <v>A</v>
      </c>
      <c r="D2405" s="243" t="s">
        <v>5187</v>
      </c>
      <c r="E2405" s="244" t="s">
        <v>5181</v>
      </c>
      <c r="F2405" s="269" t="s">
        <v>5737</v>
      </c>
      <c r="G2405" s="273">
        <v>2.5</v>
      </c>
      <c r="H2405" s="283">
        <v>2300</v>
      </c>
      <c r="I2405" s="279">
        <v>1.8</v>
      </c>
      <c r="J2405" s="246">
        <v>2</v>
      </c>
      <c r="K2405" s="247" t="s">
        <v>8028</v>
      </c>
      <c r="L2405" s="248">
        <v>193135</v>
      </c>
      <c r="M2405" s="249">
        <f>15*(LEFT(TEXT($L2405,"000000"),2)+(MID(TEXT($L2405,"000000"),3,2)/60)+(RIGHT(TEXT($L2405,"000000"),2)/3600))</f>
        <v>292.89583333333331</v>
      </c>
      <c r="N2405" s="250">
        <v>91331</v>
      </c>
      <c r="O2405" s="251">
        <f>IF($N2405&gt;0,(LEFT(TEXT($N2405,"000000"),2)+(MID(TEXT($N2405,"000000"),3,2)/60)+(RIGHT(TEXT($N2405,"000000"),2)/3600)),-(MID(TEXT($N2405,"000000"),2,2)+(MID(TEXT($N2405,"000000"),4,2)/60)+(RIGHT(TEXT($N2405,"000000"),2)/3600)))</f>
        <v>9.2252777777777784</v>
      </c>
      <c r="P2405" s="252" t="s">
        <v>126</v>
      </c>
      <c r="Q2405" s="253" t="s">
        <v>7068</v>
      </c>
      <c r="R2405" s="247" t="s">
        <v>3293</v>
      </c>
      <c r="S2405" s="272" t="s">
        <v>3293</v>
      </c>
      <c r="T2405" s="273">
        <v>13.4</v>
      </c>
      <c r="U2405" s="274"/>
      <c r="V2405" s="280"/>
      <c r="W2405" s="244"/>
      <c r="X2405" s="244"/>
      <c r="Y2405" s="362"/>
      <c r="Z2405" s="257">
        <f>altaz(J2000_Bas,$O2405,$M2405,DecLat,DecLong,1)</f>
        <v>67.299356043338264</v>
      </c>
      <c r="AA2405" s="257">
        <f>altaz((J2000_Bas+(2*0.04167)),$O2405,$M2405,DecLat,DecLong,1)</f>
        <v>59.348255770083469</v>
      </c>
      <c r="AB2405" s="257">
        <f>altaz((J2000_Bas+(4*0.04167)),$O2405,$M2405,DecLat,DecLong,1)</f>
        <v>36.050183648640818</v>
      </c>
      <c r="AC2405" s="257">
        <f>altaz((J2000_Bas+(6*0.04167)),$O2405,$M2405,DecLat,DecLong,1)</f>
        <v>10.392812664178685</v>
      </c>
      <c r="AD2405" s="258">
        <f>1+ transit((J2000_Bas-1),$O2405,$M2405,DecLat,DecLong)/360 + (GMTOffset/24) + (IF(DST="Y", 1, 0)/24)</f>
        <v>1.8064994163067911</v>
      </c>
      <c r="AE2405" s="259">
        <f>DATE(2001,9,21)+(M2405/360)*365 - (360*((DecLong/360)- (GMTOffset/24) ))</f>
        <v>37456.963831018518</v>
      </c>
      <c r="AF2405" s="260">
        <f>IF(DecLat&gt;0,IF((90 - (DecLat-O2405))&gt;90, (90 - (O2405-DecLat)), (90 - (DecLat-O2405))),IF((90 + (DecLat-O2405))&gt;90, (90 + (O2405-DecLat)), (90 + (DecLat-O2405))))</f>
        <v>68.225277777777777</v>
      </c>
      <c r="AG2405" s="257">
        <f>angularseperation(MoonRA,MoonDec,$M2405,$O2405)</f>
        <v>55.746416754908729</v>
      </c>
      <c r="AH2405" s="261">
        <f ca="1">MIN(100,IF($O$5&gt;80,0+30*($AG2405/100),IF($O$5&gt;70,0+50*($AG2405/100),IF($O$5&gt;60,5+50*($AG2405/100),IF($O$5&gt;50,10+60*($AG2405/100),IF($O$5&gt;40,15+70*($AG2405/100),IF($O$5&gt;30,20+70*($AG2405/100),IF($O$5&gt;20,40+55*($AG2405/100),(80+(20-$O$5)+30*($AG2405/100))))))))))</f>
        <v>99.994985370623056</v>
      </c>
      <c r="AI2405" s="262">
        <v>6804</v>
      </c>
      <c r="AJ2405" s="262"/>
      <c r="AK2405" s="262"/>
      <c r="AL2405" s="263"/>
      <c r="AM2405" s="264"/>
      <c r="AN2405" s="263"/>
      <c r="AO2405" s="263"/>
      <c r="AP2405" s="265"/>
      <c r="AQ2405" s="266"/>
      <c r="AR2405" s="267"/>
      <c r="AS2405" s="263"/>
      <c r="AT2405" s="263">
        <v>30</v>
      </c>
      <c r="AU2405" s="263"/>
      <c r="AV2405" s="264"/>
      <c r="AW2405" s="263"/>
      <c r="AX2405" s="263"/>
      <c r="AY2405" s="263"/>
      <c r="AZ2405" s="263"/>
      <c r="BA2405" s="263"/>
      <c r="BB2405" s="263"/>
      <c r="BC2405" s="263"/>
      <c r="BD2405" s="264"/>
      <c r="BE2405" s="263"/>
      <c r="BF2405" s="263">
        <v>91</v>
      </c>
      <c r="BG2405" s="263"/>
      <c r="BH2405" s="263"/>
      <c r="BI2405" s="263"/>
      <c r="BJ2405" s="404">
        <f>altaz(J2000_Bas,$O2405,$M2405,DecLat,DecLong,2)</f>
        <v>162.1229658666783</v>
      </c>
      <c r="BK2405" s="378" t="s">
        <v>2276</v>
      </c>
      <c r="BL2405" s="379">
        <f>IF((2*G2405)/60&lt;0.2,0.2,(2*G2405)/60)</f>
        <v>0.2</v>
      </c>
      <c r="BM2405" s="380">
        <f>MOD((50000+AD2405-$B$3+(0/24)),1)</f>
        <v>2.1866346010938287E-2</v>
      </c>
      <c r="BN2405" s="381" t="s">
        <v>8665</v>
      </c>
      <c r="BO2405" s="382">
        <v>2396</v>
      </c>
    </row>
    <row r="2406" spans="1:67" s="24" customFormat="1" ht="15" customHeight="1" x14ac:dyDescent="0.25">
      <c r="A2406" s="288" t="s">
        <v>2277</v>
      </c>
      <c r="B2406" s="241" t="str">
        <f>HYPERLINK(CONCATENATE($AT$3,BK2406,$AU$3),$AV$3)</f>
        <v>S</v>
      </c>
      <c r="C2406" s="242" t="str">
        <f>HYPERLINK(CONCATENATE($AT$4,BK2406,$AU$4,BL2406),$AV$4)</f>
        <v>A</v>
      </c>
      <c r="D2406" s="243" t="s">
        <v>5335</v>
      </c>
      <c r="E2406" s="244" t="s">
        <v>5185</v>
      </c>
      <c r="F2406" s="269" t="s">
        <v>4440</v>
      </c>
      <c r="G2406" s="276">
        <v>13</v>
      </c>
      <c r="H2406" s="283">
        <v>3000</v>
      </c>
      <c r="I2406" s="246">
        <v>12</v>
      </c>
      <c r="J2406" s="246">
        <v>2</v>
      </c>
      <c r="K2406" s="247" t="s">
        <v>8029</v>
      </c>
      <c r="L2406" s="248">
        <v>193717</v>
      </c>
      <c r="M2406" s="249">
        <f>15*(LEFT(TEXT($L2406,"000000"),2)+(MID(TEXT($L2406,"000000"),3,2)/60)+(RIGHT(TEXT($L2406,"000000"),2)/3600))</f>
        <v>294.32083333333338</v>
      </c>
      <c r="N2406" s="250">
        <v>462318</v>
      </c>
      <c r="O2406" s="251">
        <f>IF($N2406&gt;0,(LEFT(TEXT($N2406,"000000"),2)+(MID(TEXT($N2406,"000000"),3,2)/60)+(RIGHT(TEXT($N2406,"000000"),2)/3600)),-(MID(TEXT($N2406,"000000"),2,2)+(MID(TEXT($N2406,"000000"),4,2)/60)+(RIGHT(TEXT($N2406,"000000"),2)/3600)))</f>
        <v>46.388333333333335</v>
      </c>
      <c r="P2406" s="252" t="s">
        <v>60</v>
      </c>
      <c r="Q2406" s="253" t="s">
        <v>7123</v>
      </c>
      <c r="R2406" s="247" t="s">
        <v>3293</v>
      </c>
      <c r="S2406" s="272" t="s">
        <v>3293</v>
      </c>
      <c r="T2406" s="273">
        <v>6.8</v>
      </c>
      <c r="U2406" s="274"/>
      <c r="V2406" s="280"/>
      <c r="W2406" s="244"/>
      <c r="X2406" s="244"/>
      <c r="Y2406" s="362"/>
      <c r="Z2406" s="257">
        <f>altaz(J2000_Bas,$O2406,$M2406,DecLat,DecLong,1)</f>
        <v>73.321343552693079</v>
      </c>
      <c r="AA2406" s="257">
        <f>altaz((J2000_Bas+(2*0.04167)),$O2406,$M2406,DecLat,DecLong,1)</f>
        <v>67.219637871924604</v>
      </c>
      <c r="AB2406" s="257">
        <f>altaz((J2000_Bas+(4*0.04167)),$O2406,$M2406,DecLat,DecLong,1)</f>
        <v>47.571708886860904</v>
      </c>
      <c r="AC2406" s="257">
        <f>altaz((J2000_Bas+(6*0.04167)),$O2406,$M2406,DecLat,DecLong,1)</f>
        <v>27.119578308580319</v>
      </c>
      <c r="AD2406" s="258">
        <f>1+ transit((J2000_Bas-1),$O2406,$M2406,DecLat,DecLong)/360 + (GMTOffset/24) + (IF(DST="Y", 1, 0)/24)</f>
        <v>1.8104577492442917</v>
      </c>
      <c r="AE2406" s="259">
        <f>DATE(2001,9,21)+(M2406/360)*365 - (360*((DecLong/360)- (GMTOffset/24) ))</f>
        <v>37458.408622685187</v>
      </c>
      <c r="AF2406" s="260">
        <f>IF(DecLat&gt;0,IF((90 - (DecLat-O2406))&gt;90, (90 - (O2406-DecLat)), (90 - (DecLat-O2406))),IF((90 + (DecLat-O2406))&gt;90, (90 + (O2406-DecLat)), (90 + (DecLat-O2406))))</f>
        <v>74.611666666666665</v>
      </c>
      <c r="AG2406" s="257">
        <f>angularseperation(MoonRA,MoonDec,$M2406,$O2406)</f>
        <v>84.030176444109244</v>
      </c>
      <c r="AH2406" s="261">
        <f ca="1">MIN(100,IF($O$5&gt;80,0+30*($AG2406/100),IF($O$5&gt;70,0+50*($AG2406/100),IF($O$5&gt;60,5+50*($AG2406/100),IF($O$5&gt;50,10+60*($AG2406/100),IF($O$5&gt;40,15+70*($AG2406/100),IF($O$5&gt;30,20+70*($AG2406/100),IF($O$5&gt;20,40+55*($AG2406/100),(80+(20-$O$5)+30*($AG2406/100))))))))))</f>
        <v>100</v>
      </c>
      <c r="AI2406" s="262">
        <v>6811</v>
      </c>
      <c r="AJ2406" s="262"/>
      <c r="AK2406" s="262"/>
      <c r="AL2406" s="263"/>
      <c r="AM2406" s="264"/>
      <c r="AN2406" s="263"/>
      <c r="AO2406" s="263"/>
      <c r="AP2406" s="265"/>
      <c r="AQ2406" s="266"/>
      <c r="AR2406" s="267"/>
      <c r="AS2406" s="263"/>
      <c r="AT2406" s="263"/>
      <c r="AU2406" s="263"/>
      <c r="AV2406" s="264"/>
      <c r="AW2406" s="263"/>
      <c r="AX2406" s="263"/>
      <c r="AY2406" s="263"/>
      <c r="AZ2406" s="263"/>
      <c r="BA2406" s="263"/>
      <c r="BB2406" s="263"/>
      <c r="BC2406" s="263"/>
      <c r="BD2406" s="264"/>
      <c r="BE2406" s="263"/>
      <c r="BF2406" s="263">
        <v>92</v>
      </c>
      <c r="BG2406" s="263"/>
      <c r="BH2406" s="263"/>
      <c r="BI2406" s="263"/>
      <c r="BJ2406" s="404">
        <f>altaz(J2000_Bas,$O2406,$M2406,DecLat,DecLong,2)</f>
        <v>20.346240638154789</v>
      </c>
      <c r="BK2406" s="378" t="s">
        <v>2277</v>
      </c>
      <c r="BL2406" s="379">
        <f>IF((2*G2406)/60&lt;0.2,0.2,(2*G2406)/60)</f>
        <v>0.43333333333333335</v>
      </c>
      <c r="BM2406" s="380">
        <f>MOD((50000+AD2406-$B$3+(0/24)),1)</f>
        <v>2.5824678945355117E-2</v>
      </c>
      <c r="BN2406" s="381"/>
      <c r="BO2406" s="382">
        <v>2397</v>
      </c>
    </row>
    <row r="2407" spans="1:67" s="24" customFormat="1" ht="15" customHeight="1" x14ac:dyDescent="0.25">
      <c r="A2407" s="288" t="s">
        <v>2278</v>
      </c>
      <c r="B2407" s="241" t="str">
        <f>HYPERLINK(CONCATENATE($AT$3,BK2407,$AU$3),$AV$3)</f>
        <v>S</v>
      </c>
      <c r="C2407" s="242" t="str">
        <f>HYPERLINK(CONCATENATE($AT$4,BK2407,$AU$4,BL2407),$AV$4)</f>
        <v>A</v>
      </c>
      <c r="D2407" s="243" t="s">
        <v>5187</v>
      </c>
      <c r="E2407" s="244" t="s">
        <v>5183</v>
      </c>
      <c r="F2407" s="269" t="s">
        <v>9169</v>
      </c>
      <c r="G2407" s="273">
        <v>3</v>
      </c>
      <c r="H2407" s="283">
        <v>50000</v>
      </c>
      <c r="I2407" s="246">
        <v>45</v>
      </c>
      <c r="J2407" s="246">
        <v>2</v>
      </c>
      <c r="K2407" s="247" t="s">
        <v>9170</v>
      </c>
      <c r="L2407" s="248">
        <v>194022</v>
      </c>
      <c r="M2407" s="249">
        <f>15*(LEFT(TEXT($L2407,"000000"),2)+(MID(TEXT($L2407,"000000"),3,2)/60)+(RIGHT(TEXT($L2407,"000000"),2)/3600))</f>
        <v>295.0916666666667</v>
      </c>
      <c r="N2407" s="250">
        <v>271834</v>
      </c>
      <c r="O2407" s="251">
        <f>IF($N2407&gt;0,(LEFT(TEXT($N2407,"000000"),2)+(MID(TEXT($N2407,"000000"),3,2)/60)+(RIGHT(TEXT($N2407,"000000"),2)/3600)),-(MID(TEXT($N2407,"000000"),2,2)+(MID(TEXT($N2407,"000000"),4,2)/60)+(RIGHT(TEXT($N2407,"000000"),2)/3600)))</f>
        <v>27.309444444444445</v>
      </c>
      <c r="P2407" s="252" t="s">
        <v>133</v>
      </c>
      <c r="Q2407" s="253"/>
      <c r="R2407" s="247" t="s">
        <v>3293</v>
      </c>
      <c r="S2407" s="272" t="s">
        <v>3293</v>
      </c>
      <c r="T2407" s="273"/>
      <c r="U2407" s="274"/>
      <c r="V2407" s="280"/>
      <c r="W2407" s="244"/>
      <c r="X2407" s="244"/>
      <c r="Y2407" s="362"/>
      <c r="Z2407" s="257">
        <f>altaz(J2000_Bas,$O2407,$M2407,DecLat,DecLong,1)</f>
        <v>81.250660278091004</v>
      </c>
      <c r="AA2407" s="257">
        <f>altaz((J2000_Bas+(2*0.04167)),$O2407,$M2407,DecLat,DecLong,1)</f>
        <v>71.326881473141384</v>
      </c>
      <c r="AB2407" s="257">
        <f>altaz((J2000_Bas+(4*0.04167)),$O2407,$M2407,DecLat,DecLong,1)</f>
        <v>45.625054412069197</v>
      </c>
      <c r="AC2407" s="257">
        <f>altaz((J2000_Bas+(6*0.04167)),$O2407,$M2407,DecLat,DecLong,1)</f>
        <v>20.688125035950879</v>
      </c>
      <c r="AD2407" s="258">
        <f>1+ transit((J2000_Bas-1),$O2407,$M2407,DecLat,DecLong)/360 + (GMTOffset/24) + (IF(DST="Y", 1, 0)/24)</f>
        <v>1.8125989527338751</v>
      </c>
      <c r="AE2407" s="259">
        <f>DATE(2001,9,21)+(M2407/360)*365 - (360*((DecLong/360)- (GMTOffset/24) ))</f>
        <v>37459.190162037034</v>
      </c>
      <c r="AF2407" s="260">
        <f>IF(DecLat&gt;0,IF((90 - (DecLat-O2407))&gt;90, (90 - (O2407-DecLat)), (90 - (DecLat-O2407))),IF((90 + (DecLat-O2407))&gt;90, (90 + (O2407-DecLat)), (90 + (DecLat-O2407))))</f>
        <v>86.309444444444438</v>
      </c>
      <c r="AG2407" s="257">
        <f>angularseperation(MoonRA,MoonDec,$M2407,$O2407)</f>
        <v>69.992190018067234</v>
      </c>
      <c r="AH2407" s="261">
        <f ca="1">MIN(100,IF($O$5&gt;80,0+30*($AG2407/100),IF($O$5&gt;70,0+50*($AG2407/100),IF($O$5&gt;60,5+50*($AG2407/100),IF($O$5&gt;50,10+60*($AG2407/100),IF($O$5&gt;40,15+70*($AG2407/100),IF($O$5&gt;30,20+70*($AG2407/100),IF($O$5&gt;20,40+55*($AG2407/100),(80+(20-$O$5)+30*($AG2407/100))))))))))</f>
        <v>100</v>
      </c>
      <c r="AI2407" s="262">
        <v>6813</v>
      </c>
      <c r="AJ2407" s="262"/>
      <c r="AK2407" s="262"/>
      <c r="AL2407" s="263"/>
      <c r="AM2407" s="264"/>
      <c r="AN2407" s="263"/>
      <c r="AO2407" s="263"/>
      <c r="AP2407" s="265"/>
      <c r="AQ2407" s="266"/>
      <c r="AR2407" s="267"/>
      <c r="AS2407" s="263"/>
      <c r="AT2407" s="263"/>
      <c r="AU2407" s="263"/>
      <c r="AV2407" s="264"/>
      <c r="AW2407" s="263"/>
      <c r="AX2407" s="263"/>
      <c r="AY2407" s="263"/>
      <c r="AZ2407" s="263"/>
      <c r="BA2407" s="263"/>
      <c r="BB2407" s="263"/>
      <c r="BC2407" s="263"/>
      <c r="BD2407" s="264"/>
      <c r="BE2407" s="263"/>
      <c r="BF2407" s="263"/>
      <c r="BG2407" s="263"/>
      <c r="BH2407" s="263"/>
      <c r="BI2407" s="263"/>
      <c r="BJ2407" s="404">
        <f>altaz(J2000_Bas,$O2407,$M2407,DecLat,DecLong,2)</f>
        <v>112.66769072666442</v>
      </c>
      <c r="BK2407" s="378" t="s">
        <v>2278</v>
      </c>
      <c r="BL2407" s="379">
        <f>IF((2*G2407)/60&lt;0.2,0.2,(2*G2407)/60)</f>
        <v>0.2</v>
      </c>
      <c r="BM2407" s="380">
        <f>MOD((50000+AD2407-$B$3+(0/24)),1)</f>
        <v>2.7965882436546963E-2</v>
      </c>
      <c r="BN2407" s="381"/>
      <c r="BO2407" s="382">
        <v>2398</v>
      </c>
    </row>
    <row r="2408" spans="1:67" s="24" customFormat="1" ht="15" customHeight="1" x14ac:dyDescent="0.25">
      <c r="A2408" s="288" t="s">
        <v>2279</v>
      </c>
      <c r="B2408" s="241" t="str">
        <f>HYPERLINK(CONCATENATE($AT$3,BK2408,$AU$3),$AV$3)</f>
        <v>S</v>
      </c>
      <c r="C2408" s="242" t="str">
        <f>HYPERLINK(CONCATENATE($AT$4,BK2408,$AU$4,BL2408),$AV$4)</f>
        <v>A</v>
      </c>
      <c r="D2408" s="243" t="s">
        <v>5638</v>
      </c>
      <c r="E2408" s="244" t="s">
        <v>5192</v>
      </c>
      <c r="F2408" s="269" t="s">
        <v>8898</v>
      </c>
      <c r="G2408" s="273">
        <v>3</v>
      </c>
      <c r="H2408" s="283">
        <v>75</v>
      </c>
      <c r="I2408" s="246">
        <v>65</v>
      </c>
      <c r="J2408" s="246">
        <v>2</v>
      </c>
      <c r="K2408" s="247" t="s">
        <v>8030</v>
      </c>
      <c r="L2408" s="248">
        <v>194241</v>
      </c>
      <c r="M2408" s="249">
        <f>15*(LEFT(TEXT($L2408,"000000"),2)+(MID(TEXT($L2408,"000000"),3,2)/60)+(RIGHT(TEXT($L2408,"000000"),2)/3600))</f>
        <v>295.67083333333329</v>
      </c>
      <c r="N2408" s="250">
        <v>-101927</v>
      </c>
      <c r="O2408" s="251">
        <f>IF($N2408&gt;0,(LEFT(TEXT($N2408,"000000"),2)+(MID(TEXT($N2408,"000000"),3,2)/60)+(RIGHT(TEXT($N2408,"000000"),2)/3600)),-(MID(TEXT($N2408,"000000"),2,2)+(MID(TEXT($N2408,"000000"),4,2)/60)+(RIGHT(TEXT($N2408,"000000"),2)/3600)))</f>
        <v>-10.324166666666667</v>
      </c>
      <c r="P2408" s="252" t="s">
        <v>126</v>
      </c>
      <c r="Q2408" s="253"/>
      <c r="R2408" s="247" t="s">
        <v>3293</v>
      </c>
      <c r="S2408" s="272" t="s">
        <v>3293</v>
      </c>
      <c r="T2408" s="273">
        <v>11.2</v>
      </c>
      <c r="U2408" s="289">
        <v>22.29</v>
      </c>
      <c r="V2408" s="280">
        <v>15</v>
      </c>
      <c r="W2408" s="244"/>
      <c r="X2408" s="244"/>
      <c r="Y2408" s="362"/>
      <c r="Z2408" s="257">
        <f>altaz(J2000_Bas,$O2408,$M2408,DecLat,DecLong,1)</f>
        <v>47.647005410434076</v>
      </c>
      <c r="AA2408" s="257">
        <f>altaz((J2000_Bas+(2*0.04167)),$O2408,$M2408,DecLat,DecLong,1)</f>
        <v>44.267755764380439</v>
      </c>
      <c r="AB2408" s="257">
        <f>altaz((J2000_Bas+(4*0.04167)),$O2408,$M2408,DecLat,DecLong,1)</f>
        <v>26.364768126316207</v>
      </c>
      <c r="AC2408" s="257">
        <f>altaz((J2000_Bas+(6*0.04167)),$O2408,$M2408,DecLat,DecLong,1)</f>
        <v>2.6158307011502568</v>
      </c>
      <c r="AD2408" s="258">
        <f>1+ transit((J2000_Bas-1),$O2408,$M2408,DecLat,DecLong)/360 + (GMTOffset/24) + (IF(DST="Y", 1, 0)/24)</f>
        <v>1.8142077488692914</v>
      </c>
      <c r="AE2408" s="259">
        <f>DATE(2001,9,21)+(M2408/360)*365 - (360*((DecLong/360)- (GMTOffset/24) ))</f>
        <v>37459.777372685188</v>
      </c>
      <c r="AF2408" s="260">
        <f>IF(DecLat&gt;0,IF((90 - (DecLat-O2408))&gt;90, (90 - (O2408-DecLat)), (90 - (DecLat-O2408))),IF((90 + (DecLat-O2408))&gt;90, (90 + (O2408-DecLat)), (90 + (DecLat-O2408))))</f>
        <v>48.67583333333333</v>
      </c>
      <c r="AG2408" s="257">
        <f>angularseperation(MoonRA,MoonDec,$M2408,$O2408)</f>
        <v>46.738325185946863</v>
      </c>
      <c r="AH2408" s="261">
        <f ca="1">MIN(100,IF($O$5&gt;80,0+30*($AG2408/100),IF($O$5&gt;70,0+50*($AG2408/100),IF($O$5&gt;60,5+50*($AG2408/100),IF($O$5&gt;50,10+60*($AG2408/100),IF($O$5&gt;40,15+70*($AG2408/100),IF($O$5&gt;30,20+70*($AG2408/100),IF($O$5&gt;20,40+55*($AG2408/100),(80+(20-$O$5)+30*($AG2408/100))))))))))</f>
        <v>97.292557899934479</v>
      </c>
      <c r="AI2408" s="262">
        <v>6814</v>
      </c>
      <c r="AJ2408" s="262"/>
      <c r="AK2408" s="262"/>
      <c r="AL2408" s="263"/>
      <c r="AM2408" s="264"/>
      <c r="AN2408" s="263"/>
      <c r="AO2408" s="263"/>
      <c r="AP2408" s="265"/>
      <c r="AQ2408" s="266"/>
      <c r="AR2408" s="267">
        <v>63545</v>
      </c>
      <c r="AS2408" s="263"/>
      <c r="AT2408" s="263"/>
      <c r="AU2408" s="263"/>
      <c r="AV2408" s="264"/>
      <c r="AW2408" s="263"/>
      <c r="AX2408" s="263"/>
      <c r="AY2408" s="263"/>
      <c r="AZ2408" s="263"/>
      <c r="BA2408" s="263"/>
      <c r="BB2408" s="263"/>
      <c r="BC2408" s="263"/>
      <c r="BD2408" s="264"/>
      <c r="BE2408" s="263"/>
      <c r="BF2408" s="263"/>
      <c r="BG2408" s="263"/>
      <c r="BH2408" s="263"/>
      <c r="BI2408" s="263"/>
      <c r="BJ2408" s="404">
        <f>altaz(J2000_Bas,$O2408,$M2408,DecLat,DecLong,2)</f>
        <v>165.80345365525096</v>
      </c>
      <c r="BK2408" s="378" t="s">
        <v>2279</v>
      </c>
      <c r="BL2408" s="379">
        <f>IF((2*G2408)/60&lt;0.2,0.2,(2*G2408)/60)</f>
        <v>0.2</v>
      </c>
      <c r="BM2408" s="380">
        <f>MOD((50000+AD2408-$B$3+(0/24)),1)</f>
        <v>2.9574678570497781E-2</v>
      </c>
      <c r="BN2408" s="381"/>
      <c r="BO2408" s="382">
        <v>2399</v>
      </c>
    </row>
    <row r="2409" spans="1:67" s="24" customFormat="1" ht="15" customHeight="1" x14ac:dyDescent="0.25">
      <c r="A2409" s="288" t="s">
        <v>2280</v>
      </c>
      <c r="B2409" s="241" t="str">
        <f>HYPERLINK(CONCATENATE($AT$3,BK2409,$AU$3),$AV$3)</f>
        <v>S</v>
      </c>
      <c r="C2409" s="242" t="str">
        <f>HYPERLINK(CONCATENATE($AT$4,BK2409,$AU$4,BL2409),$AV$4)</f>
        <v>A</v>
      </c>
      <c r="D2409" s="243" t="s">
        <v>5187</v>
      </c>
      <c r="E2409" s="244" t="s">
        <v>5181</v>
      </c>
      <c r="F2409" s="269" t="s">
        <v>5737</v>
      </c>
      <c r="G2409" s="270">
        <v>0.4</v>
      </c>
      <c r="H2409" s="283">
        <v>5000</v>
      </c>
      <c r="I2409" s="309">
        <v>0.6</v>
      </c>
      <c r="J2409" s="246">
        <v>2</v>
      </c>
      <c r="K2409" s="247" t="s">
        <v>8031</v>
      </c>
      <c r="L2409" s="248">
        <v>194358</v>
      </c>
      <c r="M2409" s="249">
        <f>15*(LEFT(TEXT($L2409,"000000"),2)+(MID(TEXT($L2409,"000000"),3,2)/60)+(RIGHT(TEXT($L2409,"000000"),2)/3600))</f>
        <v>295.99166666666667</v>
      </c>
      <c r="N2409" s="250">
        <v>-140910</v>
      </c>
      <c r="O2409" s="251">
        <f>IF($N2409&gt;0,(LEFT(TEXT($N2409,"000000"),2)+(MID(TEXT($N2409,"000000"),3,2)/60)+(RIGHT(TEXT($N2409,"000000"),2)/3600)),-(MID(TEXT($N2409,"000000"),2,2)+(MID(TEXT($N2409,"000000"),4,2)/60)+(RIGHT(TEXT($N2409,"000000"),2)/3600)))</f>
        <v>-14.152777777777779</v>
      </c>
      <c r="P2409" s="252" t="s">
        <v>119</v>
      </c>
      <c r="Q2409" s="253" t="s">
        <v>3368</v>
      </c>
      <c r="R2409" s="247" t="s">
        <v>3293</v>
      </c>
      <c r="S2409" s="272" t="s">
        <v>3293</v>
      </c>
      <c r="T2409" s="273">
        <v>9.3000000000000007</v>
      </c>
      <c r="U2409" s="274"/>
      <c r="V2409" s="280"/>
      <c r="W2409" s="244"/>
      <c r="X2409" s="244"/>
      <c r="Y2409" s="362"/>
      <c r="Z2409" s="257">
        <f>altaz(J2000_Bas,$O2409,$M2409,DecLat,DecLong,1)</f>
        <v>43.83781218392209</v>
      </c>
      <c r="AA2409" s="257">
        <f>altaz((J2000_Bas+(2*0.04167)),$O2409,$M2409,DecLat,DecLong,1)</f>
        <v>40.890796598289946</v>
      </c>
      <c r="AB2409" s="257">
        <f>altaz((J2000_Bas+(4*0.04167)),$O2409,$M2409,DecLat,DecLong,1)</f>
        <v>23.973767618732463</v>
      </c>
      <c r="AC2409" s="257">
        <f>altaz((J2000_Bas+(6*0.04167)),$O2409,$M2409,DecLat,DecLong,1)</f>
        <v>0.83741406775075555</v>
      </c>
      <c r="AD2409" s="258">
        <f>1+ transit((J2000_Bas-1),$O2409,$M2409,DecLat,DecLong)/360 + (GMTOffset/24) + (IF(DST="Y", 1, 0)/24)</f>
        <v>1.8150989524838745</v>
      </c>
      <c r="AE2409" s="259">
        <f>DATE(2001,9,21)+(M2409/360)*365 - (360*((DecLong/360)- (GMTOffset/24) ))</f>
        <v>37460.102662037039</v>
      </c>
      <c r="AF2409" s="260">
        <f>IF(DecLat&gt;0,IF((90 - (DecLat-O2409))&gt;90, (90 - (O2409-DecLat)), (90 - (DecLat-O2409))),IF((90 + (DecLat-O2409))&gt;90, (90 + (O2409-DecLat)), (90 + (DecLat-O2409))))</f>
        <v>44.847222222222221</v>
      </c>
      <c r="AG2409" s="257">
        <f>angularseperation(MoonRA,MoonDec,$M2409,$O2409)</f>
        <v>45.343448011254566</v>
      </c>
      <c r="AH2409" s="261">
        <f ca="1">MIN(100,IF($O$5&gt;80,0+30*($AG2409/100),IF($O$5&gt;70,0+50*($AG2409/100),IF($O$5&gt;60,5+50*($AG2409/100),IF($O$5&gt;50,10+60*($AG2409/100),IF($O$5&gt;40,15+70*($AG2409/100),IF($O$5&gt;30,20+70*($AG2409/100),IF($O$5&gt;20,40+55*($AG2409/100),(80+(20-$O$5)+30*($AG2409/100))))))))))</f>
        <v>96.874094747526797</v>
      </c>
      <c r="AI2409" s="262">
        <v>6818</v>
      </c>
      <c r="AJ2409" s="262"/>
      <c r="AK2409" s="262">
        <v>360</v>
      </c>
      <c r="AL2409" s="263"/>
      <c r="AM2409" s="264"/>
      <c r="AN2409" s="263"/>
      <c r="AO2409" s="263"/>
      <c r="AP2409" s="265"/>
      <c r="AQ2409" s="266"/>
      <c r="AR2409" s="267"/>
      <c r="AS2409" s="263"/>
      <c r="AT2409" s="263">
        <v>31</v>
      </c>
      <c r="AU2409" s="263"/>
      <c r="AV2409" s="264"/>
      <c r="AW2409" s="263"/>
      <c r="AX2409" s="263"/>
      <c r="AY2409" s="263"/>
      <c r="AZ2409" s="263"/>
      <c r="BA2409" s="263"/>
      <c r="BB2409" s="263"/>
      <c r="BC2409" s="263"/>
      <c r="BD2409" s="264"/>
      <c r="BE2409" s="263">
        <v>99</v>
      </c>
      <c r="BF2409" s="263"/>
      <c r="BG2409" s="263"/>
      <c r="BH2409" s="263"/>
      <c r="BI2409" s="263"/>
      <c r="BJ2409" s="404">
        <f>altaz(J2000_Bas,$O2409,$M2409,DecLat,DecLong,2)</f>
        <v>166.51552995573226</v>
      </c>
      <c r="BK2409" s="378" t="s">
        <v>2280</v>
      </c>
      <c r="BL2409" s="379">
        <f>IF((2*G2409)/60&lt;0.2,0.2,(2*G2409)/60)</f>
        <v>0.2</v>
      </c>
      <c r="BM2409" s="380">
        <f>MOD((50000+AD2409-$B$3+(0/24)),1)</f>
        <v>3.046588219149271E-2</v>
      </c>
      <c r="BN2409" s="381" t="s">
        <v>8665</v>
      </c>
      <c r="BO2409" s="382">
        <v>2400</v>
      </c>
    </row>
    <row r="2410" spans="1:67" s="24" customFormat="1" ht="15" customHeight="1" x14ac:dyDescent="0.25">
      <c r="A2410" s="288" t="s">
        <v>2281</v>
      </c>
      <c r="B2410" s="241" t="str">
        <f>HYPERLINK(CONCATENATE($AT$3,BK2410,$AU$3),$AV$3)</f>
        <v>S</v>
      </c>
      <c r="C2410" s="242" t="str">
        <f>HYPERLINK(CONCATENATE($AT$4,BK2410,$AU$4,BL2410),$AV$4)</f>
        <v>A</v>
      </c>
      <c r="D2410" s="243" t="s">
        <v>5335</v>
      </c>
      <c r="E2410" s="244" t="s">
        <v>5185</v>
      </c>
      <c r="F2410" s="269" t="s">
        <v>8642</v>
      </c>
      <c r="G2410" s="273">
        <v>7</v>
      </c>
      <c r="H2410" s="283">
        <v>9000</v>
      </c>
      <c r="I2410" s="246">
        <v>20</v>
      </c>
      <c r="J2410" s="246">
        <v>2</v>
      </c>
      <c r="K2410" s="247" t="s">
        <v>8032</v>
      </c>
      <c r="L2410" s="248">
        <v>194118</v>
      </c>
      <c r="M2410" s="249">
        <f>15*(LEFT(TEXT($L2410,"000000"),2)+(MID(TEXT($L2410,"000000"),3,2)/60)+(RIGHT(TEXT($L2410,"000000"),2)/3600))</f>
        <v>295.32499999999999</v>
      </c>
      <c r="N2410" s="250">
        <v>401112</v>
      </c>
      <c r="O2410" s="251">
        <f>IF($N2410&gt;0,(LEFT(TEXT($N2410,"000000"),2)+(MID(TEXT($N2410,"000000"),3,2)/60)+(RIGHT(TEXT($N2410,"000000"),2)/3600)),-(MID(TEXT($N2410,"000000"),2,2)+(MID(TEXT($N2410,"000000"),4,2)/60)+(RIGHT(TEXT($N2410,"000000"),2)/3600)))</f>
        <v>40.18666666666666</v>
      </c>
      <c r="P2410" s="252" t="s">
        <v>60</v>
      </c>
      <c r="Q2410" s="253" t="s">
        <v>7112</v>
      </c>
      <c r="R2410" s="247" t="s">
        <v>3293</v>
      </c>
      <c r="S2410" s="272" t="s">
        <v>3293</v>
      </c>
      <c r="T2410" s="273">
        <v>7.3</v>
      </c>
      <c r="U2410" s="274"/>
      <c r="V2410" s="280"/>
      <c r="W2410" s="244"/>
      <c r="X2410" s="244"/>
      <c r="Y2410" s="362"/>
      <c r="Z2410" s="257">
        <f>altaz(J2000_Bas,$O2410,$M2410,DecLat,DecLong,1)</f>
        <v>78.104396666922597</v>
      </c>
      <c r="AA2410" s="257">
        <f>altaz((J2000_Bas+(2*0.04167)),$O2410,$M2410,DecLat,DecLong,1)</f>
        <v>70.847512296205025</v>
      </c>
      <c r="AB2410" s="257">
        <f>altaz((J2000_Bas+(4*0.04167)),$O2410,$M2410,DecLat,DecLong,1)</f>
        <v>48.227980980788146</v>
      </c>
      <c r="AC2410" s="257">
        <f>altaz((J2000_Bas+(6*0.04167)),$O2410,$M2410,DecLat,DecLong,1)</f>
        <v>25.82077775717633</v>
      </c>
      <c r="AD2410" s="258">
        <f>1+ transit((J2000_Bas-1),$O2410,$M2410,DecLat,DecLong)/360 + (GMTOffset/24) + (IF(DST="Y", 1, 0)/24)</f>
        <v>1.8132471008172082</v>
      </c>
      <c r="AE2410" s="259">
        <f>DATE(2001,9,21)+(M2410/360)*365 - (360*((DecLong/360)- (GMTOffset/24) ))</f>
        <v>37459.426736111112</v>
      </c>
      <c r="AF2410" s="260">
        <f>IF(DecLat&gt;0,IF((90 - (DecLat-O2410))&gt;90, (90 - (O2410-DecLat)), (90 - (DecLat-O2410))),IF((90 + (DecLat-O2410))&gt;90, (90 + (O2410-DecLat)), (90 + (DecLat-O2410))))</f>
        <v>80.813333333333333</v>
      </c>
      <c r="AG2410" s="257">
        <f>angularseperation(MoonRA,MoonDec,$M2410,$O2410)</f>
        <v>79.747751206035346</v>
      </c>
      <c r="AH2410" s="261">
        <f ca="1">MIN(100,IF($O$5&gt;80,0+30*($AG2410/100),IF($O$5&gt;70,0+50*($AG2410/100),IF($O$5&gt;60,5+50*($AG2410/100),IF($O$5&gt;50,10+60*($AG2410/100),IF($O$5&gt;40,15+70*($AG2410/100),IF($O$5&gt;30,20+70*($AG2410/100),IF($O$5&gt;20,40+55*($AG2410/100),(80+(20-$O$5)+30*($AG2410/100))))))))))</f>
        <v>100</v>
      </c>
      <c r="AI2410" s="262">
        <v>6819</v>
      </c>
      <c r="AJ2410" s="262"/>
      <c r="AK2410" s="262"/>
      <c r="AL2410" s="263"/>
      <c r="AM2410" s="264"/>
      <c r="AN2410" s="263"/>
      <c r="AO2410" s="263"/>
      <c r="AP2410" s="265"/>
      <c r="AQ2410" s="266"/>
      <c r="AR2410" s="267"/>
      <c r="AS2410" s="263"/>
      <c r="AT2410" s="263"/>
      <c r="AU2410" s="263"/>
      <c r="AV2410" s="264"/>
      <c r="AW2410" s="263"/>
      <c r="AX2410" s="263"/>
      <c r="AY2410" s="263"/>
      <c r="AZ2410" s="263"/>
      <c r="BA2410" s="263"/>
      <c r="BB2410" s="263"/>
      <c r="BC2410" s="263"/>
      <c r="BD2410" s="264"/>
      <c r="BE2410" s="263">
        <v>98</v>
      </c>
      <c r="BF2410" s="263"/>
      <c r="BG2410" s="263"/>
      <c r="BH2410" s="263"/>
      <c r="BI2410" s="263"/>
      <c r="BJ2410" s="404">
        <f>altaz(J2000_Bas,$O2410,$M2410,DecLat,DecLong,2)</f>
        <v>36.895455614880582</v>
      </c>
      <c r="BK2410" s="378" t="s">
        <v>2281</v>
      </c>
      <c r="BL2410" s="379">
        <f>IF((2*G2410)/60&lt;0.2,0.2,(2*G2410)/60)</f>
        <v>0.23333333333333334</v>
      </c>
      <c r="BM2410" s="380">
        <f>MOD((50000+AD2410-$B$3+(0/24)),1)</f>
        <v>2.8614030517928768E-2</v>
      </c>
      <c r="BN2410" s="381"/>
      <c r="BO2410" s="382">
        <v>2401</v>
      </c>
    </row>
    <row r="2411" spans="1:67" s="24" customFormat="1" ht="15" customHeight="1" x14ac:dyDescent="0.25">
      <c r="A2411" s="288" t="s">
        <v>2282</v>
      </c>
      <c r="B2411" s="241" t="str">
        <f>HYPERLINK(CONCATENATE($AT$3,BK2411,$AU$3),$AV$3)</f>
        <v>S</v>
      </c>
      <c r="C2411" s="242" t="str">
        <f>HYPERLINK(CONCATENATE($AT$4,BK2411,$AU$4,BL2411),$AV$4)</f>
        <v>A</v>
      </c>
      <c r="D2411" s="243" t="s">
        <v>5187</v>
      </c>
      <c r="E2411" s="244" t="s">
        <v>5183</v>
      </c>
      <c r="F2411" s="269" t="s">
        <v>5180</v>
      </c>
      <c r="G2411" s="276">
        <v>40</v>
      </c>
      <c r="H2411" s="283">
        <v>13000</v>
      </c>
      <c r="I2411" s="246">
        <v>150</v>
      </c>
      <c r="J2411" s="246">
        <v>4</v>
      </c>
      <c r="K2411" s="247" t="s">
        <v>8033</v>
      </c>
      <c r="L2411" s="248">
        <v>194228</v>
      </c>
      <c r="M2411" s="249">
        <f>15*(LEFT(TEXT($L2411,"000000"),2)+(MID(TEXT($L2411,"000000"),3,2)/60)+(RIGHT(TEXT($L2411,"000000"),2)/3600))</f>
        <v>295.61666666666667</v>
      </c>
      <c r="N2411" s="250">
        <v>230510</v>
      </c>
      <c r="O2411" s="251">
        <f>IF($N2411&gt;0,(LEFT(TEXT($N2411,"000000"),2)+(MID(TEXT($N2411,"000000"),3,2)/60)+(RIGHT(TEXT($N2411,"000000"),2)/3600)),-(MID(TEXT($N2411,"000000"),2,2)+(MID(TEXT($N2411,"000000"),4,2)/60)+(RIGHT(TEXT($N2411,"000000"),2)/3600)))</f>
        <v>23.086111111111109</v>
      </c>
      <c r="P2411" s="252" t="s">
        <v>133</v>
      </c>
      <c r="Q2411" s="253"/>
      <c r="R2411" s="247" t="s">
        <v>3293</v>
      </c>
      <c r="S2411" s="272" t="s">
        <v>3028</v>
      </c>
      <c r="T2411" s="273"/>
      <c r="U2411" s="274"/>
      <c r="V2411" s="280"/>
      <c r="W2411" s="244"/>
      <c r="X2411" s="244"/>
      <c r="Y2411" s="362"/>
      <c r="Z2411" s="257">
        <f>altaz(J2000_Bas,$O2411,$M2411,DecLat,DecLong,1)</f>
        <v>78.350575668831638</v>
      </c>
      <c r="AA2411" s="257">
        <f>altaz((J2000_Bas+(2*0.04167)),$O2411,$M2411,DecLat,DecLong,1)</f>
        <v>70.166538496775573</v>
      </c>
      <c r="AB2411" s="257">
        <f>altaz((J2000_Bas+(4*0.04167)),$O2411,$M2411,DecLat,DecLong,1)</f>
        <v>44.662620740875717</v>
      </c>
      <c r="AC2411" s="257">
        <f>altaz((J2000_Bas+(6*0.04167)),$O2411,$M2411,DecLat,DecLong,1)</f>
        <v>19.281054742656039</v>
      </c>
      <c r="AD2411" s="258">
        <f>1+ transit((J2000_Bas-1),$O2411,$M2411,DecLat,DecLong)/360 + (GMTOffset/24) + (IF(DST="Y", 1, 0)/24)</f>
        <v>1.8140572859213744</v>
      </c>
      <c r="AE2411" s="259">
        <f>DATE(2001,9,21)+(M2411/360)*365 - (360*((DecLong/360)- (GMTOffset/24) ))</f>
        <v>37459.722453703704</v>
      </c>
      <c r="AF2411" s="260">
        <f>IF(DecLat&gt;0,IF((90 - (DecLat-O2411))&gt;90, (90 - (O2411-DecLat)), (90 - (DecLat-O2411))),IF((90 + (DecLat-O2411))&gt;90, (90 + (O2411-DecLat)), (90 + (DecLat-O2411))))</f>
        <v>82.086111111111109</v>
      </c>
      <c r="AG2411" s="257">
        <f>angularseperation(MoonRA,MoonDec,$M2411,$O2411)</f>
        <v>67.259559042925289</v>
      </c>
      <c r="AH2411" s="261">
        <f ca="1">MIN(100,IF($O$5&gt;80,0+30*($AG2411/100),IF($O$5&gt;70,0+50*($AG2411/100),IF($O$5&gt;60,5+50*($AG2411/100),IF($O$5&gt;50,10+60*($AG2411/100),IF($O$5&gt;40,15+70*($AG2411/100),IF($O$5&gt;30,20+70*($AG2411/100),IF($O$5&gt;20,40+55*($AG2411/100),(80+(20-$O$5)+30*($AG2411/100))))))))))</f>
        <v>100</v>
      </c>
      <c r="AI2411" s="262">
        <v>6820</v>
      </c>
      <c r="AJ2411" s="262"/>
      <c r="AK2411" s="262"/>
      <c r="AL2411" s="263"/>
      <c r="AM2411" s="264"/>
      <c r="AN2411" s="263"/>
      <c r="AO2411" s="263"/>
      <c r="AP2411" s="265"/>
      <c r="AQ2411" s="266"/>
      <c r="AR2411" s="267"/>
      <c r="AS2411" s="263"/>
      <c r="AT2411" s="263"/>
      <c r="AU2411" s="263"/>
      <c r="AV2411" s="264"/>
      <c r="AW2411" s="263"/>
      <c r="AX2411" s="263"/>
      <c r="AY2411" s="263"/>
      <c r="AZ2411" s="263"/>
      <c r="BA2411" s="263"/>
      <c r="BB2411" s="263">
        <v>86</v>
      </c>
      <c r="BC2411" s="263"/>
      <c r="BD2411" s="264"/>
      <c r="BE2411" s="263"/>
      <c r="BF2411" s="263"/>
      <c r="BG2411" s="263">
        <v>84</v>
      </c>
      <c r="BH2411" s="263"/>
      <c r="BI2411" s="263"/>
      <c r="BJ2411" s="404">
        <f>altaz(J2000_Bas,$O2411,$M2411,DecLat,DecLong,2)</f>
        <v>130.45967714142984</v>
      </c>
      <c r="BK2411" s="378" t="s">
        <v>2282</v>
      </c>
      <c r="BL2411" s="379">
        <f>IF((2*G2411)/60&lt;0.2,0.2,(2*G2411)/60)</f>
        <v>1.3333333333333333</v>
      </c>
      <c r="BM2411" s="380">
        <f>MOD((50000+AD2411-$B$3+(0/24)),1)</f>
        <v>2.9424215623294003E-2</v>
      </c>
      <c r="BN2411" s="381" t="s">
        <v>8664</v>
      </c>
      <c r="BO2411" s="382">
        <v>2402</v>
      </c>
    </row>
    <row r="2412" spans="1:67" s="24" customFormat="1" ht="15" customHeight="1" x14ac:dyDescent="0.25">
      <c r="A2412" s="288" t="s">
        <v>3152</v>
      </c>
      <c r="B2412" s="241" t="str">
        <f>HYPERLINK(CONCATENATE($AT$3,BK2412,$AU$3),$AV$3)</f>
        <v>S</v>
      </c>
      <c r="C2412" s="242" t="str">
        <f>HYPERLINK(CONCATENATE($AT$4,BK2412,$AU$4,BL2412),$AV$4)</f>
        <v>A</v>
      </c>
      <c r="D2412" s="243" t="s">
        <v>5638</v>
      </c>
      <c r="E2412" s="244" t="s">
        <v>5192</v>
      </c>
      <c r="F2412" s="269" t="s">
        <v>8895</v>
      </c>
      <c r="G2412" s="273">
        <v>1.3</v>
      </c>
      <c r="H2412" s="283">
        <v>70.075530000000001</v>
      </c>
      <c r="I2412" s="246">
        <v>28</v>
      </c>
      <c r="J2412" s="246">
        <v>2</v>
      </c>
      <c r="K2412" s="247" t="s">
        <v>8035</v>
      </c>
      <c r="L2412" s="248">
        <v>194424</v>
      </c>
      <c r="M2412" s="249">
        <f>15*(LEFT(TEXT($L2412,"000000"),2)+(MID(TEXT($L2412,"000000"),3,2)/60)+(RIGHT(TEXT($L2412,"000000"),2)/3600))</f>
        <v>296.10000000000002</v>
      </c>
      <c r="N2412" s="250">
        <v>-65000</v>
      </c>
      <c r="O2412" s="251">
        <f>IF($N2412&gt;0,(LEFT(TEXT($N2412,"000000"),2)+(MID(TEXT($N2412,"000000"),3,2)/60)+(RIGHT(TEXT($N2412,"000000"),2)/3600)),-(MID(TEXT($N2412,"000000"),2,2)+(MID(TEXT($N2412,"000000"),4,2)/60)+(RIGHT(TEXT($N2412,"000000"),2)/3600)))</f>
        <v>-6.833333333333333</v>
      </c>
      <c r="P2412" s="252" t="s">
        <v>126</v>
      </c>
      <c r="Q2412" s="253"/>
      <c r="R2412" s="277" t="s">
        <v>3293</v>
      </c>
      <c r="S2412" s="272" t="s">
        <v>3293</v>
      </c>
      <c r="T2412" s="273">
        <v>13.1</v>
      </c>
      <c r="U2412" s="289">
        <v>21.990000000000002</v>
      </c>
      <c r="V2412" s="280">
        <v>20</v>
      </c>
      <c r="W2412" s="244"/>
      <c r="X2412" s="244"/>
      <c r="Y2412" s="362"/>
      <c r="Z2412" s="257">
        <f>altaz(J2000_Bas,$O2412,$M2412,DecLat,DecLong,1)</f>
        <v>50.951787811111849</v>
      </c>
      <c r="AA2412" s="257">
        <f>altaz((J2000_Bas+(2*0.04167)),$O2412,$M2412,DecLat,DecLong,1)</f>
        <v>47.606952265247763</v>
      </c>
      <c r="AB2412" s="257">
        <f>altaz((J2000_Bas+(4*0.04167)),$O2412,$M2412,DecLat,DecLong,1)</f>
        <v>29.010251384897881</v>
      </c>
      <c r="AC2412" s="257">
        <f>altaz((J2000_Bas+(6*0.04167)),$O2412,$M2412,DecLat,DecLong,1)</f>
        <v>4.8312751602330692</v>
      </c>
      <c r="AD2412" s="258">
        <f>1+ transit((J2000_Bas-1),$O2412,$M2412,DecLat,DecLong)/360 + (GMTOffset/24) + (IF(DST="Y", 1, 0)/24)</f>
        <v>1.8153998783797081</v>
      </c>
      <c r="AE2412" s="259">
        <f>DATE(2001,9,21)+(M2412/360)*365 - (360*((DecLong/360)- (GMTOffset/24) ))</f>
        <v>37460.212500000001</v>
      </c>
      <c r="AF2412" s="260">
        <f>IF(DecLat&gt;0,IF((90 - (DecLat-O2412))&gt;90, (90 - (O2412-DecLat)), (90 - (DecLat-O2412))),IF((90 + (DecLat-O2412))&gt;90, (90 + (O2412-DecLat)), (90 + (DecLat-O2412))))</f>
        <v>52.166666666666664</v>
      </c>
      <c r="AG2412" s="257">
        <f>angularseperation(MoonRA,MoonDec,$M2412,$O2412)</f>
        <v>48.801624980891766</v>
      </c>
      <c r="AH2412" s="261">
        <f ca="1">MIN(100,IF($O$5&gt;80,0+30*($AG2412/100),IF($O$5&gt;70,0+50*($AG2412/100),IF($O$5&gt;60,5+50*($AG2412/100),IF($O$5&gt;50,10+60*($AG2412/100),IF($O$5&gt;40,15+70*($AG2412/100),IF($O$5&gt;30,20+70*($AG2412/100),IF($O$5&gt;20,40+55*($AG2412/100),(80+(20-$O$5)+30*($AG2412/100))))))))))</f>
        <v>97.91154783841796</v>
      </c>
      <c r="AI2412" s="263">
        <v>6821</v>
      </c>
      <c r="AJ2412" s="263"/>
      <c r="AK2412" s="263"/>
      <c r="AL2412" s="263"/>
      <c r="AM2412" s="264"/>
      <c r="AN2412" s="263"/>
      <c r="AO2412" s="263"/>
      <c r="AP2412" s="265"/>
      <c r="AQ2412" s="265"/>
      <c r="AR2412" s="285">
        <v>63594</v>
      </c>
      <c r="AS2412" s="263"/>
      <c r="AT2412" s="263"/>
      <c r="AU2412" s="263"/>
      <c r="AV2412" s="264"/>
      <c r="AW2412" s="263"/>
      <c r="AX2412" s="263"/>
      <c r="AY2412" s="263"/>
      <c r="AZ2412" s="263"/>
      <c r="BA2412" s="263"/>
      <c r="BB2412" s="263"/>
      <c r="BC2412" s="263"/>
      <c r="BD2412" s="264"/>
      <c r="BE2412" s="263"/>
      <c r="BF2412" s="263"/>
      <c r="BG2412" s="263"/>
      <c r="BH2412" s="263"/>
      <c r="BI2412" s="263"/>
      <c r="BJ2412" s="404">
        <f>altaz(J2000_Bas,$O2412,$M2412,DecLat,DecLong,2)</f>
        <v>163.95914258180795</v>
      </c>
      <c r="BK2412" s="378" t="s">
        <v>3152</v>
      </c>
      <c r="BL2412" s="379">
        <f>IF((2*G2412)/60&lt;0.2,0.2,(2*G2412)/60)</f>
        <v>0.2</v>
      </c>
      <c r="BM2412" s="380">
        <f>MOD((50000+AD2412-$B$3+(0/24)),1)</f>
        <v>3.0766808085900266E-2</v>
      </c>
      <c r="BN2412" s="381"/>
      <c r="BO2412" s="382">
        <v>2403</v>
      </c>
    </row>
    <row r="2413" spans="1:67" s="24" customFormat="1" ht="15" customHeight="1" x14ac:dyDescent="0.25">
      <c r="A2413" s="288" t="s">
        <v>2283</v>
      </c>
      <c r="B2413" s="241" t="str">
        <f>HYPERLINK(CONCATENATE($AT$3,BK2413,$AU$3),$AV$3)</f>
        <v>S</v>
      </c>
      <c r="C2413" s="242" t="str">
        <f>HYPERLINK(CONCATENATE($AT$4,BK2413,$AU$4,BL2413),$AV$4)</f>
        <v>A</v>
      </c>
      <c r="D2413" s="243" t="s">
        <v>5638</v>
      </c>
      <c r="E2413" s="244" t="s">
        <v>13</v>
      </c>
      <c r="F2413" s="269"/>
      <c r="G2413" s="276">
        <v>10</v>
      </c>
      <c r="H2413" s="289">
        <v>1.7</v>
      </c>
      <c r="I2413" s="279">
        <v>5</v>
      </c>
      <c r="J2413" s="246">
        <v>2</v>
      </c>
      <c r="K2413" s="247" t="s">
        <v>8036</v>
      </c>
      <c r="L2413" s="248">
        <v>194457</v>
      </c>
      <c r="M2413" s="249">
        <f>15*(LEFT(TEXT($L2413,"000000"),2)+(MID(TEXT($L2413,"000000"),3,2)/60)+(RIGHT(TEXT($L2413,"000000"),2)/3600))</f>
        <v>296.23750000000001</v>
      </c>
      <c r="N2413" s="250">
        <v>-144810</v>
      </c>
      <c r="O2413" s="251">
        <f>IF($N2413&gt;0,(LEFT(TEXT($N2413,"000000"),2)+(MID(TEXT($N2413,"000000"),3,2)/60)+(RIGHT(TEXT($N2413,"000000"),2)/3600)),-(MID(TEXT($N2413,"000000"),2,2)+(MID(TEXT($N2413,"000000"),4,2)/60)+(RIGHT(TEXT($N2413,"000000"),2)/3600)))</f>
        <v>-14.802777777777779</v>
      </c>
      <c r="P2413" s="252" t="s">
        <v>119</v>
      </c>
      <c r="Q2413" s="253" t="s">
        <v>2284</v>
      </c>
      <c r="R2413" s="247" t="s">
        <v>8037</v>
      </c>
      <c r="S2413" s="272" t="s">
        <v>3293</v>
      </c>
      <c r="T2413" s="273">
        <v>8.1</v>
      </c>
      <c r="U2413" s="289">
        <v>23.29</v>
      </c>
      <c r="V2413" s="280"/>
      <c r="W2413" s="244"/>
      <c r="X2413" s="244"/>
      <c r="Y2413" s="362"/>
      <c r="Z2413" s="257">
        <f>altaz(J2000_Bas,$O2413,$M2413,DecLat,DecLong,1)</f>
        <v>43.152574095468552</v>
      </c>
      <c r="AA2413" s="257">
        <f>altaz((J2000_Bas+(2*0.04167)),$O2413,$M2413,DecLat,DecLong,1)</f>
        <v>40.382966568709513</v>
      </c>
      <c r="AB2413" s="257">
        <f>altaz((J2000_Bas+(4*0.04167)),$O2413,$M2413,DecLat,DecLong,1)</f>
        <v>23.692647950081959</v>
      </c>
      <c r="AC2413" s="257">
        <f>altaz((J2000_Bas+(6*0.04167)),$O2413,$M2413,DecLat,DecLong,1)</f>
        <v>0.69042320039459659</v>
      </c>
      <c r="AD2413" s="258">
        <f>1+ transit((J2000_Bas-1),$O2413,$M2413,DecLat,DecLong)/360 + (GMTOffset/24) + (IF(DST="Y", 1, 0)/24)</f>
        <v>1.8157818227859581</v>
      </c>
      <c r="AE2413" s="259">
        <f>DATE(2001,9,21)+(M2413/360)*365 - (360*((DecLong/360)- (GMTOffset/24) ))</f>
        <v>37460.351909722223</v>
      </c>
      <c r="AF2413" s="260">
        <f>IF(DecLat&gt;0,IF((90 - (DecLat-O2413))&gt;90, (90 - (O2413-DecLat)), (90 - (DecLat-O2413))),IF((90 + (DecLat-O2413))&gt;90, (90 + (O2413-DecLat)), (90 + (DecLat-O2413))))</f>
        <v>44.197222222222223</v>
      </c>
      <c r="AG2413" s="257">
        <f>angularseperation(MoonRA,MoonDec,$M2413,$O2413)</f>
        <v>45.297081230793985</v>
      </c>
      <c r="AH2413" s="261">
        <f ca="1">MIN(100,IF($O$5&gt;80,0+30*($AG2413/100),IF($O$5&gt;70,0+50*($AG2413/100),IF($O$5&gt;60,5+50*($AG2413/100),IF($O$5&gt;50,10+60*($AG2413/100),IF($O$5&gt;40,15+70*($AG2413/100),IF($O$5&gt;30,20+70*($AG2413/100),IF($O$5&gt;20,40+55*($AG2413/100),(80+(20-$O$5)+30*($AG2413/100))))))))))</f>
        <v>96.86018471338862</v>
      </c>
      <c r="AI2413" s="262">
        <v>6822</v>
      </c>
      <c r="AJ2413" s="262"/>
      <c r="AK2413" s="262"/>
      <c r="AL2413" s="263"/>
      <c r="AM2413" s="264">
        <v>57</v>
      </c>
      <c r="AN2413" s="263"/>
      <c r="AO2413" s="263"/>
      <c r="AP2413" s="265"/>
      <c r="AQ2413" s="266"/>
      <c r="AR2413" s="267">
        <v>63616</v>
      </c>
      <c r="AS2413" s="263"/>
      <c r="AT2413" s="263"/>
      <c r="AU2413" s="263"/>
      <c r="AV2413" s="264"/>
      <c r="AW2413" s="263"/>
      <c r="AX2413" s="263"/>
      <c r="AY2413" s="263"/>
      <c r="AZ2413" s="263"/>
      <c r="BA2413" s="263"/>
      <c r="BB2413" s="263"/>
      <c r="BC2413" s="263"/>
      <c r="BD2413" s="264"/>
      <c r="BE2413" s="263"/>
      <c r="BF2413" s="263"/>
      <c r="BG2413" s="263"/>
      <c r="BH2413" s="263"/>
      <c r="BI2413" s="263"/>
      <c r="BJ2413" s="404">
        <f>altaz(J2000_Bas,$O2413,$M2413,DecLat,DecLong,2)</f>
        <v>166.38042948890725</v>
      </c>
      <c r="BK2413" s="378" t="s">
        <v>2283</v>
      </c>
      <c r="BL2413" s="379">
        <f>IF((2*G2413)/60&lt;0.2,0.2,(2*G2413)/60)</f>
        <v>0.33333333333333331</v>
      </c>
      <c r="BM2413" s="380">
        <f>MOD((50000+AD2413-$B$3+(0/24)),1)</f>
        <v>3.1148752488661557E-2</v>
      </c>
      <c r="BN2413" s="381" t="s">
        <v>9235</v>
      </c>
      <c r="BO2413" s="382">
        <v>2404</v>
      </c>
    </row>
    <row r="2414" spans="1:67" s="24" customFormat="1" ht="15" customHeight="1" x14ac:dyDescent="0.25">
      <c r="A2414" s="288" t="s">
        <v>3028</v>
      </c>
      <c r="B2414" s="241" t="str">
        <f>HYPERLINK(CONCATENATE($AT$3,BK2414,$AU$3),$AV$3)</f>
        <v>S</v>
      </c>
      <c r="C2414" s="242" t="str">
        <f>HYPERLINK(CONCATENATE($AT$4,BK2414,$AU$4,BL2414),$AV$4)</f>
        <v>A</v>
      </c>
      <c r="D2414" s="243" t="s">
        <v>5335</v>
      </c>
      <c r="E2414" s="244" t="s">
        <v>5185</v>
      </c>
      <c r="F2414" s="269" t="s">
        <v>6795</v>
      </c>
      <c r="G2414" s="276">
        <v>15</v>
      </c>
      <c r="H2414" s="283">
        <v>13000</v>
      </c>
      <c r="I2414" s="246">
        <v>60</v>
      </c>
      <c r="J2414" s="246">
        <v>3</v>
      </c>
      <c r="K2414" s="247" t="s">
        <v>8034</v>
      </c>
      <c r="L2414" s="248">
        <v>194306</v>
      </c>
      <c r="M2414" s="249">
        <f>15*(LEFT(TEXT($L2414,"000000"),2)+(MID(TEXT($L2414,"000000"),3,2)/60)+(RIGHT(TEXT($L2414,"000000"),2)/3600))</f>
        <v>295.77499999999998</v>
      </c>
      <c r="N2414" s="250">
        <v>231800</v>
      </c>
      <c r="O2414" s="251">
        <f>IF($N2414&gt;0,(LEFT(TEXT($N2414,"000000"),2)+(MID(TEXT($N2414,"000000"),3,2)/60)+(RIGHT(TEXT($N2414,"000000"),2)/3600)),-(MID(TEXT($N2414,"000000"),2,2)+(MID(TEXT($N2414,"000000"),4,2)/60)+(RIGHT(TEXT($N2414,"000000"),2)/3600)))</f>
        <v>23.3</v>
      </c>
      <c r="P2414" s="252" t="s">
        <v>133</v>
      </c>
      <c r="Q2414" s="253"/>
      <c r="R2414" s="277" t="s">
        <v>3293</v>
      </c>
      <c r="S2414" s="272" t="s">
        <v>2282</v>
      </c>
      <c r="T2414" s="273">
        <v>7.1</v>
      </c>
      <c r="U2414" s="274"/>
      <c r="V2414" s="280"/>
      <c r="W2414" s="244"/>
      <c r="X2414" s="244"/>
      <c r="Y2414" s="362"/>
      <c r="Z2414" s="257">
        <f>altaz(J2000_Bas,$O2414,$M2414,DecLat,DecLong,1)</f>
        <v>78.39563034808485</v>
      </c>
      <c r="AA2414" s="257">
        <f>altaz((J2000_Bas+(2*0.04167)),$O2414,$M2414,DecLat,DecLong,1)</f>
        <v>70.394879591062988</v>
      </c>
      <c r="AB2414" s="257">
        <f>altaz((J2000_Bas+(4*0.04167)),$O2414,$M2414,DecLat,DecLong,1)</f>
        <v>44.876063993413695</v>
      </c>
      <c r="AC2414" s="257">
        <f>altaz((J2000_Bas+(6*0.04167)),$O2414,$M2414,DecLat,DecLong,1)</f>
        <v>19.506312499932204</v>
      </c>
      <c r="AD2414" s="258">
        <f>1+ transit((J2000_Bas-1),$O2414,$M2414,DecLat,DecLong)/360 + (GMTOffset/24) + (IF(DST="Y", 1, 0)/24)</f>
        <v>1.8144971006922079</v>
      </c>
      <c r="AE2414" s="259">
        <f>DATE(2001,9,21)+(M2414/360)*365 - (360*((DecLong/360)- (GMTOffset/24) ))</f>
        <v>37459.882986111108</v>
      </c>
      <c r="AF2414" s="260">
        <f>IF(DecLat&gt;0,IF((90 - (DecLat-O2414))&gt;90, (90 - (O2414-DecLat)), (90 - (DecLat-O2414))),IF((90 + (DecLat-O2414))&gt;90, (90 + (O2414-DecLat)), (90 + (DecLat-O2414))))</f>
        <v>82.3</v>
      </c>
      <c r="AG2414" s="257">
        <f>angularseperation(MoonRA,MoonDec,$M2414,$O2414)</f>
        <v>67.51424104921567</v>
      </c>
      <c r="AH2414" s="261">
        <f ca="1">MIN(100,IF($O$5&gt;80,0+30*($AG2414/100),IF($O$5&gt;70,0+50*($AG2414/100),IF($O$5&gt;60,5+50*($AG2414/100),IF($O$5&gt;50,10+60*($AG2414/100),IF($O$5&gt;40,15+70*($AG2414/100),IF($O$5&gt;30,20+70*($AG2414/100),IF($O$5&gt;20,40+55*($AG2414/100),(80+(20-$O$5)+30*($AG2414/100))))))))))</f>
        <v>100</v>
      </c>
      <c r="AI2414" s="262">
        <v>6823</v>
      </c>
      <c r="AJ2414" s="263"/>
      <c r="AK2414" s="263">
        <v>361</v>
      </c>
      <c r="AL2414" s="263"/>
      <c r="AM2414" s="264"/>
      <c r="AN2414" s="263"/>
      <c r="AO2414" s="263"/>
      <c r="AP2414" s="265"/>
      <c r="AQ2414" s="265"/>
      <c r="AR2414" s="285"/>
      <c r="AS2414" s="263"/>
      <c r="AT2414" s="263"/>
      <c r="AU2414" s="263"/>
      <c r="AV2414" s="264"/>
      <c r="AW2414" s="263"/>
      <c r="AX2414" s="263"/>
      <c r="AY2414" s="263"/>
      <c r="AZ2414" s="263"/>
      <c r="BA2414" s="263"/>
      <c r="BB2414" s="263"/>
      <c r="BC2414" s="263"/>
      <c r="BD2414" s="264"/>
      <c r="BE2414" s="263"/>
      <c r="BF2414" s="263"/>
      <c r="BG2414" s="263"/>
      <c r="BH2414" s="263"/>
      <c r="BI2414" s="263"/>
      <c r="BJ2414" s="404">
        <f>altaz(J2000_Bas,$O2414,$M2414,DecLat,DecLong,2)</f>
        <v>129.19559915331536</v>
      </c>
      <c r="BK2414" s="378" t="s">
        <v>3028</v>
      </c>
      <c r="BL2414" s="379">
        <f>IF((2*G2414)/60&lt;0.2,0.2,(2*G2414)/60)</f>
        <v>0.5</v>
      </c>
      <c r="BM2414" s="380">
        <f>MOD((50000+AD2414-$B$3+(0/24)),1)</f>
        <v>2.9864030395401642E-2</v>
      </c>
      <c r="BN2414" s="381"/>
      <c r="BO2414" s="382">
        <v>2405</v>
      </c>
    </row>
    <row r="2415" spans="1:67" s="24" customFormat="1" ht="15" customHeight="1" x14ac:dyDescent="0.25">
      <c r="A2415" s="288" t="s">
        <v>2285</v>
      </c>
      <c r="B2415" s="241" t="str">
        <f>HYPERLINK(CONCATENATE($AT$3,BK2415,$AU$3),$AV$3)</f>
        <v>S</v>
      </c>
      <c r="C2415" s="242" t="str">
        <f>HYPERLINK(CONCATENATE($AT$4,BK2415,$AU$4,BL2415),$AV$4)</f>
        <v>A</v>
      </c>
      <c r="D2415" s="243" t="s">
        <v>5638</v>
      </c>
      <c r="E2415" s="244" t="s">
        <v>5192</v>
      </c>
      <c r="F2415" s="269" t="s">
        <v>8690</v>
      </c>
      <c r="G2415" s="273">
        <v>1.5</v>
      </c>
      <c r="H2415" s="283">
        <v>220</v>
      </c>
      <c r="I2415" s="246">
        <v>100</v>
      </c>
      <c r="J2415" s="246">
        <v>2</v>
      </c>
      <c r="K2415" s="247" t="s">
        <v>8592</v>
      </c>
      <c r="L2415" s="248">
        <v>194341</v>
      </c>
      <c r="M2415" s="249">
        <f>15*(LEFT(TEXT($L2415,"000000"),2)+(MID(TEXT($L2415,"000000"),3,2)/60)+(RIGHT(TEXT($L2415,"000000"),2)/3600))</f>
        <v>295.92083333333329</v>
      </c>
      <c r="N2415" s="250">
        <v>560634</v>
      </c>
      <c r="O2415" s="251">
        <f>IF($N2415&gt;0,(LEFT(TEXT($N2415,"000000"),2)+(MID(TEXT($N2415,"000000"),3,2)/60)+(RIGHT(TEXT($N2415,"000000"),2)/3600)),-(MID(TEXT($N2415,"000000"),2,2)+(MID(TEXT($N2415,"000000"),4,2)/60)+(RIGHT(TEXT($N2415,"000000"),2)/3600)))</f>
        <v>56.109444444444449</v>
      </c>
      <c r="P2415" s="252" t="s">
        <v>60</v>
      </c>
      <c r="Q2415" s="253"/>
      <c r="R2415" s="247" t="s">
        <v>3293</v>
      </c>
      <c r="S2415" s="272" t="s">
        <v>3293</v>
      </c>
      <c r="T2415" s="273">
        <v>12.2</v>
      </c>
      <c r="U2415" s="289">
        <v>21.69</v>
      </c>
      <c r="V2415" s="280">
        <v>55</v>
      </c>
      <c r="W2415" s="244"/>
      <c r="X2415" s="244"/>
      <c r="Y2415" s="362"/>
      <c r="Z2415" s="257">
        <f>altaz(J2000_Bas,$O2415,$M2415,DecLat,DecLong,1)</f>
        <v>63.942743520375409</v>
      </c>
      <c r="AA2415" s="257">
        <f>altaz((J2000_Bas+(2*0.04167)),$O2415,$M2415,DecLat,DecLong,1)</f>
        <v>61.187036098434142</v>
      </c>
      <c r="AB2415" s="257">
        <f>altaz((J2000_Bas+(4*0.04167)),$O2415,$M2415,DecLat,DecLong,1)</f>
        <v>47.151813155838276</v>
      </c>
      <c r="AC2415" s="257">
        <f>altaz((J2000_Bas+(6*0.04167)),$O2415,$M2415,DecLat,DecLong,1)</f>
        <v>30.51578710506708</v>
      </c>
      <c r="AD2415" s="258">
        <f>1+ transit((J2000_Bas-1),$O2415,$M2415,DecLat,DecLong)/360 + (GMTOffset/24) + (IF(DST="Y", 1, 0)/24)</f>
        <v>1.8149021932442915</v>
      </c>
      <c r="AE2415" s="259">
        <f>DATE(2001,9,21)+(M2415/360)*365 - (360*((DecLong/360)- (GMTOffset/24) ))</f>
        <v>37460.030844907407</v>
      </c>
      <c r="AF2415" s="260">
        <f>IF(DecLat&gt;0,IF((90 - (DecLat-O2415))&gt;90, (90 - (O2415-DecLat)), (90 - (DecLat-O2415))),IF((90 + (DecLat-O2415))&gt;90, (90 + (O2415-DecLat)), (90 + (DecLat-O2415))))</f>
        <v>64.890555555555551</v>
      </c>
      <c r="AG2415" s="257">
        <f>angularseperation(MoonRA,MoonDec,$M2415,$O2415)</f>
        <v>92.139344078639638</v>
      </c>
      <c r="AH2415" s="261">
        <f ca="1">MIN(100,IF($O$5&gt;80,0+30*($AG2415/100),IF($O$5&gt;70,0+50*($AG2415/100),IF($O$5&gt;60,5+50*($AG2415/100),IF($O$5&gt;50,10+60*($AG2415/100),IF($O$5&gt;40,15+70*($AG2415/100),IF($O$5&gt;30,20+70*($AG2415/100),IF($O$5&gt;20,40+55*($AG2415/100),(80+(20-$O$5)+30*($AG2415/100))))))))))</f>
        <v>100</v>
      </c>
      <c r="AI2415" s="262">
        <v>6824</v>
      </c>
      <c r="AJ2415" s="262"/>
      <c r="AK2415" s="262"/>
      <c r="AL2415" s="263"/>
      <c r="AM2415" s="264"/>
      <c r="AN2415" s="263"/>
      <c r="AO2415" s="263"/>
      <c r="AP2415" s="265"/>
      <c r="AQ2415" s="266">
        <v>11470</v>
      </c>
      <c r="AR2415" s="267">
        <v>63575</v>
      </c>
      <c r="AS2415" s="263"/>
      <c r="AT2415" s="263"/>
      <c r="AU2415" s="263"/>
      <c r="AV2415" s="264"/>
      <c r="AW2415" s="263"/>
      <c r="AX2415" s="263"/>
      <c r="AY2415" s="263"/>
      <c r="AZ2415" s="263"/>
      <c r="BA2415" s="263"/>
      <c r="BB2415" s="263"/>
      <c r="BC2415" s="263"/>
      <c r="BD2415" s="264"/>
      <c r="BE2415" s="263"/>
      <c r="BF2415" s="263"/>
      <c r="BG2415" s="263"/>
      <c r="BH2415" s="263"/>
      <c r="BI2415" s="263"/>
      <c r="BJ2415" s="404">
        <f>altaz(J2000_Bas,$O2415,$M2415,DecLat,DecLong,2)</f>
        <v>12.629411695036447</v>
      </c>
      <c r="BK2415" s="378" t="s">
        <v>2285</v>
      </c>
      <c r="BL2415" s="379">
        <f>IF((2*G2415)/60&lt;0.2,0.2,(2*G2415)/60)</f>
        <v>0.2</v>
      </c>
      <c r="BM2415" s="380">
        <f>MOD((50000+AD2415-$B$3+(0/24)),1)</f>
        <v>3.0269122951722238E-2</v>
      </c>
      <c r="BN2415" s="381"/>
      <c r="BO2415" s="382">
        <v>2406</v>
      </c>
    </row>
    <row r="2416" spans="1:67" s="24" customFormat="1" ht="15" customHeight="1" x14ac:dyDescent="0.25">
      <c r="A2416" s="288" t="s">
        <v>2286</v>
      </c>
      <c r="B2416" s="241" t="str">
        <f>HYPERLINK(CONCATENATE($AT$3,BK2416,$AU$3),$AV$3)</f>
        <v>S</v>
      </c>
      <c r="C2416" s="242" t="str">
        <f>HYPERLINK(CONCATENATE($AT$4,BK2416,$AU$4,BL2416),$AV$4)</f>
        <v>A</v>
      </c>
      <c r="D2416" s="243" t="s">
        <v>5187</v>
      </c>
      <c r="E2416" s="244" t="s">
        <v>5181</v>
      </c>
      <c r="F2416" s="293" t="s">
        <v>5737</v>
      </c>
      <c r="G2416" s="270">
        <v>0.5</v>
      </c>
      <c r="H2416" s="283">
        <v>4200</v>
      </c>
      <c r="I2416" s="309">
        <v>0.65</v>
      </c>
      <c r="J2416" s="246">
        <v>4</v>
      </c>
      <c r="K2416" s="247" t="s">
        <v>8062</v>
      </c>
      <c r="L2416" s="248">
        <v>194448</v>
      </c>
      <c r="M2416" s="249">
        <f>15*(LEFT(TEXT($L2416,"000000"),2)+(MID(TEXT($L2416,"000000"),3,2)/60)+(RIGHT(TEXT($L2416,"000000"),2)/3600))</f>
        <v>296.2</v>
      </c>
      <c r="N2416" s="250">
        <v>503130</v>
      </c>
      <c r="O2416" s="251">
        <f>IF($N2416&gt;0,(LEFT(TEXT($N2416,"000000"),2)+(MID(TEXT($N2416,"000000"),3,2)/60)+(RIGHT(TEXT($N2416,"000000"),2)/3600)),-(MID(TEXT($N2416,"000000"),2,2)+(MID(TEXT($N2416,"000000"),4,2)/60)+(RIGHT(TEXT($N2416,"000000"),2)/3600)))</f>
        <v>50.524999999999999</v>
      </c>
      <c r="P2416" s="252" t="s">
        <v>60</v>
      </c>
      <c r="Q2416" s="253" t="s">
        <v>7084</v>
      </c>
      <c r="R2416" s="247" t="s">
        <v>7339</v>
      </c>
      <c r="S2416" s="272" t="s">
        <v>3293</v>
      </c>
      <c r="T2416" s="273">
        <v>9.6</v>
      </c>
      <c r="U2416" s="274"/>
      <c r="V2416" s="280"/>
      <c r="W2416" s="244"/>
      <c r="X2416" s="244"/>
      <c r="Y2416" s="362"/>
      <c r="Z2416" s="257">
        <f>altaz(J2000_Bas,$O2416,$M2416,DecLat,DecLong,1)</f>
        <v>69.049194568482406</v>
      </c>
      <c r="AA2416" s="257">
        <f>altaz((J2000_Bas+(2*0.04167)),$O2416,$M2416,DecLat,DecLong,1)</f>
        <v>65.505085216088929</v>
      </c>
      <c r="AB2416" s="257">
        <f>altaz((J2000_Bas+(4*0.04167)),$O2416,$M2416,DecLat,DecLong,1)</f>
        <v>48.421192444748087</v>
      </c>
      <c r="AC2416" s="257">
        <f>altaz((J2000_Bas+(6*0.04167)),$O2416,$M2416,DecLat,DecLong,1)</f>
        <v>29.449697160331009</v>
      </c>
      <c r="AD2416" s="258">
        <f>1+ transit((J2000_Bas-1),$O2416,$M2416,DecLat,DecLong)/360 + (GMTOffset/24) + (IF(DST="Y", 1, 0)/24)</f>
        <v>1.8156776561297077</v>
      </c>
      <c r="AE2416" s="259">
        <f>DATE(2001,9,21)+(M2416/360)*365 - (360*((DecLong/360)- (GMTOffset/24) ))</f>
        <v>37460.313888888886</v>
      </c>
      <c r="AF2416" s="260">
        <f>IF(DecLat&gt;0,IF((90 - (DecLat-O2416))&gt;90, (90 - (O2416-DecLat)), (90 - (DecLat-O2416))),IF((90 + (DecLat-O2416))&gt;90, (90 + (O2416-DecLat)), (90 + (DecLat-O2416))))</f>
        <v>70.474999999999994</v>
      </c>
      <c r="AG2416" s="257">
        <f>angularseperation(MoonRA,MoonDec,$M2416,$O2416)</f>
        <v>88.000775311921487</v>
      </c>
      <c r="AH2416" s="261">
        <f ca="1">MIN(100,IF($O$5&gt;80,0+30*($AG2416/100),IF($O$5&gt;70,0+50*($AG2416/100),IF($O$5&gt;60,5+50*($AG2416/100),IF($O$5&gt;50,10+60*($AG2416/100),IF($O$5&gt;40,15+70*($AG2416/100),IF($O$5&gt;30,20+70*($AG2416/100),IF($O$5&gt;20,40+55*($AG2416/100),(80+(20-$O$5)+30*($AG2416/100))))))))))</f>
        <v>100</v>
      </c>
      <c r="AI2416" s="262">
        <v>6826</v>
      </c>
      <c r="AJ2416" s="262"/>
      <c r="AK2416" s="262">
        <v>362</v>
      </c>
      <c r="AL2416" s="263"/>
      <c r="AM2416" s="264">
        <v>15</v>
      </c>
      <c r="AN2416" s="263"/>
      <c r="AO2416" s="263"/>
      <c r="AP2416" s="265"/>
      <c r="AQ2416" s="266"/>
      <c r="AR2416" s="267"/>
      <c r="AS2416" s="263"/>
      <c r="AT2416" s="263">
        <v>32</v>
      </c>
      <c r="AU2416" s="263"/>
      <c r="AV2416" s="264"/>
      <c r="AW2416" s="263"/>
      <c r="AX2416" s="263"/>
      <c r="AY2416" s="263"/>
      <c r="AZ2416" s="263"/>
      <c r="BA2416" s="263"/>
      <c r="BB2416" s="263"/>
      <c r="BC2416" s="263"/>
      <c r="BD2416" s="264"/>
      <c r="BE2416" s="263"/>
      <c r="BF2416" s="263"/>
      <c r="BG2416" s="263"/>
      <c r="BH2416" s="263"/>
      <c r="BI2416" s="263"/>
      <c r="BJ2416" s="404">
        <f>altaz(J2000_Bas,$O2416,$M2416,DecLat,DecLong,2)</f>
        <v>18.346980352235757</v>
      </c>
      <c r="BK2416" s="378" t="s">
        <v>2286</v>
      </c>
      <c r="BL2416" s="379">
        <f>IF((2*G2416)/60&lt;0.2,0.2,(2*G2416)/60)</f>
        <v>0.2</v>
      </c>
      <c r="BM2416" s="380">
        <f>MOD((50000+AD2416-$B$3+(0/24)),1)</f>
        <v>3.1044585834024474E-2</v>
      </c>
      <c r="BN2416" s="381" t="s">
        <v>9242</v>
      </c>
      <c r="BO2416" s="382">
        <v>2407</v>
      </c>
    </row>
    <row r="2417" spans="1:67" s="24" customFormat="1" ht="15" customHeight="1" x14ac:dyDescent="0.25">
      <c r="A2417" s="288" t="s">
        <v>8063</v>
      </c>
      <c r="B2417" s="241" t="str">
        <f>HYPERLINK(CONCATENATE($AT$3,BK2417,$AU$3),$AV$3)</f>
        <v>S</v>
      </c>
      <c r="C2417" s="242" t="str">
        <f>HYPERLINK(CONCATENATE($AT$4,BK2417,$AU$4,BL2417),$AV$4)</f>
        <v>A</v>
      </c>
      <c r="D2417" s="243" t="s">
        <v>5638</v>
      </c>
      <c r="E2417" s="244" t="s">
        <v>5178</v>
      </c>
      <c r="F2417" s="269" t="s">
        <v>8665</v>
      </c>
      <c r="G2417" s="273">
        <v>2</v>
      </c>
      <c r="H2417" s="283">
        <v>150</v>
      </c>
      <c r="I2417" s="246">
        <v>90</v>
      </c>
      <c r="J2417" s="246">
        <v>2</v>
      </c>
      <c r="K2417" s="247" t="s">
        <v>8065</v>
      </c>
      <c r="L2417" s="248">
        <v>194708</v>
      </c>
      <c r="M2417" s="249">
        <f>15*(LEFT(TEXT($L2417,"000000"),2)+(MID(TEXT($L2417,"000000"),3,2)/60)+(RIGHT(TEXT($L2417,"000000"),2)/3600))</f>
        <v>296.78333333333336</v>
      </c>
      <c r="N2417" s="250">
        <v>595425</v>
      </c>
      <c r="O2417" s="251">
        <f>IF($N2417&gt;0,(LEFT(TEXT($N2417,"000000"),2)+(MID(TEXT($N2417,"000000"),3,2)/60)+(RIGHT(TEXT($N2417,"000000"),2)/3600)),-(MID(TEXT($N2417,"000000"),2,2)+(MID(TEXT($N2417,"000000"),4,2)/60)+(RIGHT(TEXT($N2417,"000000"),2)/3600)))</f>
        <v>59.906944444444441</v>
      </c>
      <c r="P2417" s="252" t="s">
        <v>34</v>
      </c>
      <c r="Q2417" s="253"/>
      <c r="R2417" s="247" t="s">
        <v>3293</v>
      </c>
      <c r="S2417" s="272" t="s">
        <v>8064</v>
      </c>
      <c r="T2417" s="273">
        <v>14.1</v>
      </c>
      <c r="U2417" s="289">
        <v>22.39</v>
      </c>
      <c r="V2417" s="280"/>
      <c r="W2417" s="244"/>
      <c r="X2417" s="244"/>
      <c r="Y2417" s="362"/>
      <c r="Z2417" s="257">
        <f>altaz(J2000_Bas,$O2417,$M2417,DecLat,DecLong,1)</f>
        <v>60.206323868411346</v>
      </c>
      <c r="AA2417" s="257">
        <f>altaz((J2000_Bas+(2*0.04167)),$O2417,$M2417,DecLat,DecLong,1)</f>
        <v>58.347092038031448</v>
      </c>
      <c r="AB2417" s="257">
        <f>altaz((J2000_Bas+(4*0.04167)),$O2417,$M2417,DecLat,DecLong,1)</f>
        <v>46.50036956991584</v>
      </c>
      <c r="AC2417" s="257">
        <f>altaz((J2000_Bas+(6*0.04167)),$O2417,$M2417,DecLat,DecLong,1)</f>
        <v>31.610345198774596</v>
      </c>
      <c r="AD2417" s="258">
        <f>1+ transit((J2000_Bas-1),$O2417,$M2417,DecLat,DecLong)/360 + (GMTOffset/24) + (IF(DST="Y", 1, 0)/24)</f>
        <v>1.8172980263380414</v>
      </c>
      <c r="AE2417" s="259">
        <f>DATE(2001,9,21)+(M2417/360)*365 - (360*((DecLong/360)- (GMTOffset/24) ))</f>
        <v>37460.905324074076</v>
      </c>
      <c r="AF2417" s="260">
        <f>IF(DecLat&gt;0,IF((90 - (DecLat-O2417))&gt;90, (90 - (O2417-DecLat)), (90 - (DecLat-O2417))),IF((90 + (DecLat-O2417))&gt;90, (90 + (O2417-DecLat)), (90 + (DecLat-O2417))))</f>
        <v>61.093055555555559</v>
      </c>
      <c r="AG2417" s="257">
        <f>angularseperation(MoonRA,MoonDec,$M2417,$O2417)</f>
        <v>95.311434781509973</v>
      </c>
      <c r="AH2417" s="261">
        <f ca="1">MIN(100,IF($O$5&gt;80,0+30*($AG2417/100),IF($O$5&gt;70,0+50*($AG2417/100),IF($O$5&gt;60,5+50*($AG2417/100),IF($O$5&gt;50,10+60*($AG2417/100),IF($O$5&gt;40,15+70*($AG2417/100),IF($O$5&gt;30,20+70*($AG2417/100),IF($O$5&gt;20,40+55*($AG2417/100),(80+(20-$O$5)+30*($AG2417/100))))))))))</f>
        <v>100</v>
      </c>
      <c r="AI2417" s="262">
        <v>6829</v>
      </c>
      <c r="AJ2417" s="262"/>
      <c r="AK2417" s="262"/>
      <c r="AL2417" s="263"/>
      <c r="AM2417" s="264"/>
      <c r="AN2417" s="263"/>
      <c r="AO2417" s="263"/>
      <c r="AP2417" s="265"/>
      <c r="AQ2417" s="266">
        <v>11478</v>
      </c>
      <c r="AR2417" s="267">
        <v>63667</v>
      </c>
      <c r="AS2417" s="263"/>
      <c r="AT2417" s="263"/>
      <c r="AU2417" s="263"/>
      <c r="AV2417" s="264"/>
      <c r="AW2417" s="263"/>
      <c r="AX2417" s="263"/>
      <c r="AY2417" s="263"/>
      <c r="AZ2417" s="263"/>
      <c r="BA2417" s="263"/>
      <c r="BB2417" s="263"/>
      <c r="BC2417" s="263"/>
      <c r="BD2417" s="264"/>
      <c r="BE2417" s="263"/>
      <c r="BF2417" s="263"/>
      <c r="BG2417" s="263"/>
      <c r="BH2417" s="263"/>
      <c r="BI2417" s="263"/>
      <c r="BJ2417" s="404">
        <f>altaz(J2000_Bas,$O2417,$M2417,DecLat,DecLong,2)</f>
        <v>10.880135645037537</v>
      </c>
      <c r="BK2417" s="378" t="s">
        <v>2287</v>
      </c>
      <c r="BL2417" s="379">
        <f>IF((2*G2417)/60&lt;0.2,0.2,(2*G2417)/60)</f>
        <v>0.2</v>
      </c>
      <c r="BM2417" s="380">
        <f>MOD((50000+AD2417-$B$3+(0/24)),1)</f>
        <v>3.2664956044754945E-2</v>
      </c>
      <c r="BN2417" s="381"/>
      <c r="BO2417" s="382">
        <v>2408</v>
      </c>
    </row>
    <row r="2418" spans="1:67" s="24" customFormat="1" ht="15" customHeight="1" x14ac:dyDescent="0.25">
      <c r="A2418" s="287" t="s">
        <v>3029</v>
      </c>
      <c r="B2418" s="241" t="str">
        <f>HYPERLINK(CONCATENATE($AT$3,BK2418,$AU$3),$AV$3)</f>
        <v>S</v>
      </c>
      <c r="C2418" s="242" t="str">
        <f>HYPERLINK(CONCATENATE($AT$4,BK2418,$AU$4,BL2418),$AV$4)</f>
        <v>A</v>
      </c>
      <c r="D2418" s="243" t="s">
        <v>5335</v>
      </c>
      <c r="E2418" s="244" t="s">
        <v>5185</v>
      </c>
      <c r="F2418" s="269" t="s">
        <v>5108</v>
      </c>
      <c r="G2418" s="273">
        <v>8</v>
      </c>
      <c r="H2418" s="283">
        <v>7700</v>
      </c>
      <c r="I2418" s="246">
        <v>18</v>
      </c>
      <c r="J2418" s="246">
        <v>2</v>
      </c>
      <c r="K2418" s="247" t="s">
        <v>8066</v>
      </c>
      <c r="L2418" s="248">
        <v>195100</v>
      </c>
      <c r="M2418" s="249">
        <f>15*(LEFT(TEXT($L2418,"000000"),2)+(MID(TEXT($L2418,"000000"),3,2)/60)+(RIGHT(TEXT($L2418,"000000"),2)/3600))</f>
        <v>297.75</v>
      </c>
      <c r="N2418" s="250">
        <v>230400</v>
      </c>
      <c r="O2418" s="251">
        <f>IF($N2418&gt;0,(LEFT(TEXT($N2418,"000000"),2)+(MID(TEXT($N2418,"000000"),3,2)/60)+(RIGHT(TEXT($N2418,"000000"),2)/3600)),-(MID(TEXT($N2418,"000000"),2,2)+(MID(TEXT($N2418,"000000"),4,2)/60)+(RIGHT(TEXT($N2418,"000000"),2)/3600)))</f>
        <v>23.066666666666666</v>
      </c>
      <c r="P2418" s="252" t="s">
        <v>133</v>
      </c>
      <c r="Q2418" s="253"/>
      <c r="R2418" s="277" t="s">
        <v>3293</v>
      </c>
      <c r="S2418" s="272" t="s">
        <v>3293</v>
      </c>
      <c r="T2418" s="273">
        <v>7.9</v>
      </c>
      <c r="U2418" s="274"/>
      <c r="V2418" s="280"/>
      <c r="W2418" s="244"/>
      <c r="X2418" s="244"/>
      <c r="Y2418" s="362"/>
      <c r="Z2418" s="257">
        <f>altaz(J2000_Bas,$O2418,$M2418,DecLat,DecLong,1)</f>
        <v>76.883635439724273</v>
      </c>
      <c r="AA2418" s="257">
        <f>altaz((J2000_Bas+(2*0.04167)),$O2418,$M2418,DecLat,DecLong,1)</f>
        <v>71.875650967406798</v>
      </c>
      <c r="AB2418" s="257">
        <f>altaz((J2000_Bas+(4*0.04167)),$O2418,$M2418,DecLat,DecLong,1)</f>
        <v>46.482638675480366</v>
      </c>
      <c r="AC2418" s="257">
        <f>altaz((J2000_Bas+(6*0.04167)),$O2418,$M2418,DecLat,DecLong,1)</f>
        <v>21.034946705398507</v>
      </c>
      <c r="AD2418" s="258">
        <f>1+ transit((J2000_Bas-1),$O2418,$M2418,DecLat,DecLong)/360 + (GMTOffset/24) + (IF(DST="Y", 1, 0)/24)</f>
        <v>1.8199832112547079</v>
      </c>
      <c r="AE2418" s="259">
        <f>DATE(2001,9,21)+(M2418/360)*365 - (360*((DecLong/360)- (GMTOffset/24) ))</f>
        <v>37461.885416666664</v>
      </c>
      <c r="AF2418" s="260">
        <f>IF(DecLat&gt;0,IF((90 - (DecLat-O2418))&gt;90, (90 - (O2418-DecLat)), (90 - (DecLat-O2418))),IF((90 + (DecLat-O2418))&gt;90, (90 + (O2418-DecLat)), (90 + (DecLat-O2418))))</f>
        <v>82.066666666666663</v>
      </c>
      <c r="AG2418" s="257">
        <f>angularseperation(MoonRA,MoonDec,$M2418,$O2418)</f>
        <v>68.634492057302808</v>
      </c>
      <c r="AH2418" s="261">
        <f ca="1">MIN(100,IF($O$5&gt;80,0+30*($AG2418/100),IF($O$5&gt;70,0+50*($AG2418/100),IF($O$5&gt;60,5+50*($AG2418/100),IF($O$5&gt;50,10+60*($AG2418/100),IF($O$5&gt;40,15+70*($AG2418/100),IF($O$5&gt;30,20+70*($AG2418/100),IF($O$5&gt;20,40+55*($AG2418/100),(80+(20-$O$5)+30*($AG2418/100))))))))))</f>
        <v>100</v>
      </c>
      <c r="AI2418" s="262">
        <v>6830</v>
      </c>
      <c r="AJ2418" s="263"/>
      <c r="AK2418" s="263">
        <v>363</v>
      </c>
      <c r="AL2418" s="263"/>
      <c r="AM2418" s="264"/>
      <c r="AN2418" s="263"/>
      <c r="AO2418" s="263"/>
      <c r="AP2418" s="265"/>
      <c r="AQ2418" s="265"/>
      <c r="AR2418" s="285"/>
      <c r="AS2418" s="263"/>
      <c r="AT2418" s="263"/>
      <c r="AU2418" s="263"/>
      <c r="AV2418" s="264"/>
      <c r="AW2418" s="263"/>
      <c r="AX2418" s="263"/>
      <c r="AY2418" s="263"/>
      <c r="AZ2418" s="263"/>
      <c r="BA2418" s="263"/>
      <c r="BB2418" s="263"/>
      <c r="BC2418" s="263"/>
      <c r="BD2418" s="264"/>
      <c r="BE2418" s="263"/>
      <c r="BF2418" s="263"/>
      <c r="BG2418" s="263"/>
      <c r="BH2418" s="263"/>
      <c r="BI2418" s="263"/>
      <c r="BJ2418" s="404">
        <f>altaz(J2000_Bas,$O2418,$M2418,DecLat,DecLong,2)</f>
        <v>124.36573788471962</v>
      </c>
      <c r="BK2418" s="378" t="s">
        <v>3029</v>
      </c>
      <c r="BL2418" s="379">
        <f>IF((2*G2418)/60&lt;0.2,0.2,(2*G2418)/60)</f>
        <v>0.26666666666666666</v>
      </c>
      <c r="BM2418" s="380">
        <f>MOD((50000+AD2418-$B$3+(0/24)),1)</f>
        <v>3.5350140955415554E-2</v>
      </c>
      <c r="BN2418" s="381"/>
      <c r="BO2418" s="382">
        <v>2409</v>
      </c>
    </row>
    <row r="2419" spans="1:67" s="24" customFormat="1" ht="15" customHeight="1" x14ac:dyDescent="0.25">
      <c r="A2419" s="287" t="s">
        <v>3030</v>
      </c>
      <c r="B2419" s="241" t="str">
        <f>HYPERLINK(CONCATENATE($AT$3,BK2419,$AU$3),$AV$3)</f>
        <v>S</v>
      </c>
      <c r="C2419" s="242" t="str">
        <f>HYPERLINK(CONCATENATE($AT$4,BK2419,$AU$4,BL2419),$AV$4)</f>
        <v>A</v>
      </c>
      <c r="D2419" s="243" t="s">
        <v>5335</v>
      </c>
      <c r="E2419" s="244" t="s">
        <v>5185</v>
      </c>
      <c r="F2419" s="269" t="s">
        <v>6759</v>
      </c>
      <c r="G2419" s="273">
        <v>5</v>
      </c>
      <c r="H2419" s="283">
        <v>10500</v>
      </c>
      <c r="I2419" s="246">
        <v>15</v>
      </c>
      <c r="J2419" s="246">
        <v>2</v>
      </c>
      <c r="K2419" s="247" t="s">
        <v>8067</v>
      </c>
      <c r="L2419" s="248">
        <v>195212</v>
      </c>
      <c r="M2419" s="249">
        <f>15*(LEFT(TEXT($L2419,"000000"),2)+(MID(TEXT($L2419,"000000"),3,2)/60)+(RIGHT(TEXT($L2419,"000000"),2)/3600))</f>
        <v>298.05</v>
      </c>
      <c r="N2419" s="250">
        <v>292500</v>
      </c>
      <c r="O2419" s="251">
        <f>IF($N2419&gt;0,(LEFT(TEXT($N2419,"000000"),2)+(MID(TEXT($N2419,"000000"),3,2)/60)+(RIGHT(TEXT($N2419,"000000"),2)/3600)),-(MID(TEXT($N2419,"000000"),2,2)+(MID(TEXT($N2419,"000000"),4,2)/60)+(RIGHT(TEXT($N2419,"000000"),2)/3600)))</f>
        <v>29.416666666666668</v>
      </c>
      <c r="P2419" s="252" t="s">
        <v>60</v>
      </c>
      <c r="Q2419" s="253"/>
      <c r="R2419" s="277" t="s">
        <v>3293</v>
      </c>
      <c r="S2419" s="272" t="s">
        <v>3293</v>
      </c>
      <c r="T2419" s="273">
        <v>7.8</v>
      </c>
      <c r="U2419" s="274"/>
      <c r="V2419" s="280"/>
      <c r="W2419" s="244"/>
      <c r="X2419" s="244"/>
      <c r="Y2419" s="362"/>
      <c r="Z2419" s="257">
        <f>altaz(J2000_Bas,$O2419,$M2419,DecLat,DecLong,1)</f>
        <v>79.4744108391792</v>
      </c>
      <c r="AA2419" s="257">
        <f>altaz((J2000_Bas+(2*0.04167)),$O2419,$M2419,DecLat,DecLong,1)</f>
        <v>74.349364951000936</v>
      </c>
      <c r="AB2419" s="257">
        <f>altaz((J2000_Bas+(4*0.04167)),$O2419,$M2419,DecLat,DecLong,1)</f>
        <v>48.711234591918505</v>
      </c>
      <c r="AC2419" s="257">
        <f>altaz((J2000_Bas+(6*0.04167)),$O2419,$M2419,DecLat,DecLong,1)</f>
        <v>23.927008312112804</v>
      </c>
      <c r="AD2419" s="258">
        <f>1+ transit((J2000_Bas-1),$O2419,$M2419,DecLat,DecLong)/360 + (GMTOffset/24) + (IF(DST="Y", 1, 0)/24)</f>
        <v>1.820816544504708</v>
      </c>
      <c r="AE2419" s="259">
        <f>DATE(2001,9,21)+(M2419/360)*365 - (360*((DecLong/360)- (GMTOffset/24) ))</f>
        <v>37462.189583333333</v>
      </c>
      <c r="AF2419" s="260">
        <f>IF(DecLat&gt;0,IF((90 - (DecLat-O2419))&gt;90, (90 - (O2419-DecLat)), (90 - (DecLat-O2419))),IF((90 + (DecLat-O2419))&gt;90, (90 + (O2419-DecLat)), (90 + (DecLat-O2419))))</f>
        <v>88.416666666666671</v>
      </c>
      <c r="AG2419" s="257">
        <f>angularseperation(MoonRA,MoonDec,$M2419,$O2419)</f>
        <v>73.31315394310181</v>
      </c>
      <c r="AH2419" s="261">
        <f ca="1">MIN(100,IF($O$5&gt;80,0+30*($AG2419/100),IF($O$5&gt;70,0+50*($AG2419/100),IF($O$5&gt;60,5+50*($AG2419/100),IF($O$5&gt;50,10+60*($AG2419/100),IF($O$5&gt;40,15+70*($AG2419/100),IF($O$5&gt;30,20+70*($AG2419/100),IF($O$5&gt;20,40+55*($AG2419/100),(80+(20-$O$5)+30*($AG2419/100))))))))))</f>
        <v>100</v>
      </c>
      <c r="AI2419" s="262">
        <v>6834</v>
      </c>
      <c r="AJ2419" s="263"/>
      <c r="AK2419" s="263">
        <v>364</v>
      </c>
      <c r="AL2419" s="263"/>
      <c r="AM2419" s="264"/>
      <c r="AN2419" s="263"/>
      <c r="AO2419" s="263"/>
      <c r="AP2419" s="265"/>
      <c r="AQ2419" s="265"/>
      <c r="AR2419" s="285"/>
      <c r="AS2419" s="263"/>
      <c r="AT2419" s="263"/>
      <c r="AU2419" s="263"/>
      <c r="AV2419" s="264"/>
      <c r="AW2419" s="263"/>
      <c r="AX2419" s="263"/>
      <c r="AY2419" s="263"/>
      <c r="AZ2419" s="263"/>
      <c r="BA2419" s="263"/>
      <c r="BB2419" s="263"/>
      <c r="BC2419" s="263"/>
      <c r="BD2419" s="264"/>
      <c r="BE2419" s="263"/>
      <c r="BF2419" s="263"/>
      <c r="BG2419" s="263"/>
      <c r="BH2419" s="263"/>
      <c r="BI2419" s="263"/>
      <c r="BJ2419" s="404">
        <f>altaz(J2000_Bas,$O2419,$M2419,DecLat,DecLong,2)</f>
        <v>95.576024858200924</v>
      </c>
      <c r="BK2419" s="378" t="s">
        <v>3030</v>
      </c>
      <c r="BL2419" s="379">
        <f>IF((2*G2419)/60&lt;0.2,0.2,(2*G2419)/60)</f>
        <v>0.2</v>
      </c>
      <c r="BM2419" s="380">
        <f>MOD((50000+AD2419-$B$3+(0/24)),1)</f>
        <v>3.6183474207064137E-2</v>
      </c>
      <c r="BN2419" s="381"/>
      <c r="BO2419" s="382">
        <v>2410</v>
      </c>
    </row>
    <row r="2420" spans="1:67" s="24" customFormat="1" ht="15" customHeight="1" x14ac:dyDescent="0.25">
      <c r="A2420" s="288" t="s">
        <v>2288</v>
      </c>
      <c r="B2420" s="241" t="str">
        <f>HYPERLINK(CONCATENATE($AT$3,BK2420,$AU$3),$AV$3)</f>
        <v>S</v>
      </c>
      <c r="C2420" s="242" t="str">
        <f>HYPERLINK(CONCATENATE($AT$4,BK2420,$AU$4,BL2420),$AV$4)</f>
        <v>A</v>
      </c>
      <c r="D2420" s="243" t="s">
        <v>5638</v>
      </c>
      <c r="E2420" s="244" t="s">
        <v>5192</v>
      </c>
      <c r="F2420" s="269" t="s">
        <v>8716</v>
      </c>
      <c r="G2420" s="273">
        <v>2.5</v>
      </c>
      <c r="H2420" s="283">
        <v>75</v>
      </c>
      <c r="I2420" s="246">
        <v>60</v>
      </c>
      <c r="J2420" s="246">
        <v>2</v>
      </c>
      <c r="K2420" s="247" t="s">
        <v>8069</v>
      </c>
      <c r="L2420" s="248">
        <v>195433</v>
      </c>
      <c r="M2420" s="249">
        <f>15*(LEFT(TEXT($L2420,"000000"),2)+(MID(TEXT($L2420,"000000"),3,2)/60)+(RIGHT(TEXT($L2420,"000000"),2)/3600))</f>
        <v>298.63749999999993</v>
      </c>
      <c r="N2420" s="250">
        <v>-123403</v>
      </c>
      <c r="O2420" s="251">
        <f>IF($N2420&gt;0,(LEFT(TEXT($N2420,"000000"),2)+(MID(TEXT($N2420,"000000"),3,2)/60)+(RIGHT(TEXT($N2420,"000000"),2)/3600)),-(MID(TEXT($N2420,"000000"),2,2)+(MID(TEXT($N2420,"000000"),4,2)/60)+(RIGHT(TEXT($N2420,"000000"),2)/3600)))</f>
        <v>-12.567499999999999</v>
      </c>
      <c r="P2420" s="252" t="s">
        <v>119</v>
      </c>
      <c r="Q2420" s="253"/>
      <c r="R2420" s="247" t="s">
        <v>3293</v>
      </c>
      <c r="S2420" s="272" t="s">
        <v>8068</v>
      </c>
      <c r="T2420" s="273">
        <v>12.5</v>
      </c>
      <c r="U2420" s="289">
        <v>21.490000000000002</v>
      </c>
      <c r="V2420" s="280">
        <v>87</v>
      </c>
      <c r="W2420" s="244"/>
      <c r="X2420" s="244"/>
      <c r="Y2420" s="362"/>
      <c r="Z2420" s="257">
        <f>altaz(J2000_Bas,$O2420,$M2420,DecLat,DecLong,1)</f>
        <v>44.773256308193417</v>
      </c>
      <c r="AA2420" s="257">
        <f>altaz((J2000_Bas+(2*0.04167)),$O2420,$M2420,DecLat,DecLong,1)</f>
        <v>43.319170589166397</v>
      </c>
      <c r="AB2420" s="257">
        <f>altaz((J2000_Bas+(4*0.04167)),$O2420,$M2420,DecLat,DecLong,1)</f>
        <v>26.92241456933121</v>
      </c>
      <c r="AC2420" s="257">
        <f>altaz((J2000_Bas+(6*0.04167)),$O2420,$M2420,DecLat,DecLong,1)</f>
        <v>3.8600431450213657</v>
      </c>
      <c r="AD2420" s="258">
        <f>1+ transit((J2000_Bas-1),$O2420,$M2420,DecLat,DecLong)/360 + (GMTOffset/24) + (IF(DST="Y", 1, 0)/24)</f>
        <v>1.8224484887859578</v>
      </c>
      <c r="AE2420" s="259">
        <f>DATE(2001,9,21)+(M2420/360)*365 - (360*((DecLong/360)- (GMTOffset/24) ))</f>
        <v>37462.785243055558</v>
      </c>
      <c r="AF2420" s="260">
        <f>IF(DecLat&gt;0,IF((90 - (DecLat-O2420))&gt;90, (90 - (O2420-DecLat)), (90 - (DecLat-O2420))),IF((90 + (DecLat-O2420))&gt;90, (90 + (O2420-DecLat)), (90 + (DecLat-O2420))))</f>
        <v>46.432500000000005</v>
      </c>
      <c r="AG2420" s="257">
        <f>angularseperation(MoonRA,MoonDec,$M2420,$O2420)</f>
        <v>48.344808263097711</v>
      </c>
      <c r="AH2420" s="261">
        <f ca="1">MIN(100,IF($O$5&gt;80,0+30*($AG2420/100),IF($O$5&gt;70,0+50*($AG2420/100),IF($O$5&gt;60,5+50*($AG2420/100),IF($O$5&gt;50,10+60*($AG2420/100),IF($O$5&gt;40,15+70*($AG2420/100),IF($O$5&gt;30,20+70*($AG2420/100),IF($O$5&gt;20,40+55*($AG2420/100),(80+(20-$O$5)+30*($AG2420/100))))))))))</f>
        <v>97.774502823079743</v>
      </c>
      <c r="AI2420" s="262">
        <v>6835</v>
      </c>
      <c r="AJ2420" s="262"/>
      <c r="AK2420" s="262"/>
      <c r="AL2420" s="263"/>
      <c r="AM2420" s="264"/>
      <c r="AN2420" s="263"/>
      <c r="AO2420" s="263"/>
      <c r="AP2420" s="265"/>
      <c r="AQ2420" s="266"/>
      <c r="AR2420" s="267">
        <v>63800</v>
      </c>
      <c r="AS2420" s="263"/>
      <c r="AT2420" s="263"/>
      <c r="AU2420" s="263"/>
      <c r="AV2420" s="264"/>
      <c r="AW2420" s="263"/>
      <c r="AX2420" s="263"/>
      <c r="AY2420" s="263"/>
      <c r="AZ2420" s="263"/>
      <c r="BA2420" s="263"/>
      <c r="BB2420" s="263"/>
      <c r="BC2420" s="263"/>
      <c r="BD2420" s="264"/>
      <c r="BE2420" s="263"/>
      <c r="BF2420" s="263"/>
      <c r="BG2420" s="263"/>
      <c r="BH2420" s="263"/>
      <c r="BI2420" s="263"/>
      <c r="BJ2420" s="404">
        <f>altaz(J2000_Bas,$O2420,$M2420,DecLat,DecLong,2)</f>
        <v>162.49784965412951</v>
      </c>
      <c r="BK2420" s="378" t="s">
        <v>2288</v>
      </c>
      <c r="BL2420" s="379">
        <f>IF((2*G2420)/60&lt;0.2,0.2,(2*G2420)/60)</f>
        <v>0.2</v>
      </c>
      <c r="BM2420" s="380">
        <f>MOD((50000+AD2420-$B$3+(0/24)),1)</f>
        <v>3.7815418487298302E-2</v>
      </c>
      <c r="BN2420" s="381"/>
      <c r="BO2420" s="382">
        <v>2411</v>
      </c>
    </row>
    <row r="2421" spans="1:67" s="24" customFormat="1" ht="15" customHeight="1" x14ac:dyDescent="0.25">
      <c r="A2421" s="288" t="s">
        <v>2289</v>
      </c>
      <c r="B2421" s="241" t="str">
        <f>HYPERLINK(CONCATENATE($AT$3,BK2421,$AU$3),$AV$3)</f>
        <v>S</v>
      </c>
      <c r="C2421" s="242" t="str">
        <f>HYPERLINK(CONCATENATE($AT$4,BK2421,$AU$4,BL2421),$AV$4)</f>
        <v>A</v>
      </c>
      <c r="D2421" s="243" t="s">
        <v>5187</v>
      </c>
      <c r="E2421" s="244" t="s">
        <v>5181</v>
      </c>
      <c r="F2421" s="269" t="s">
        <v>4798</v>
      </c>
      <c r="G2421" s="273">
        <v>1</v>
      </c>
      <c r="H2421" s="283">
        <v>4500</v>
      </c>
      <c r="I2421" s="279">
        <v>1.4</v>
      </c>
      <c r="J2421" s="246">
        <v>2</v>
      </c>
      <c r="K2421" s="247" t="s">
        <v>8070</v>
      </c>
      <c r="L2421" s="248">
        <v>195502</v>
      </c>
      <c r="M2421" s="249">
        <f>15*(LEFT(TEXT($L2421,"000000"),2)+(MID(TEXT($L2421,"000000"),3,2)/60)+(RIGHT(TEXT($L2421,"000000"),2)/3600))</f>
        <v>298.75833333333333</v>
      </c>
      <c r="N2421" s="250">
        <v>291720</v>
      </c>
      <c r="O2421" s="251">
        <f>IF($N2421&gt;0,(LEFT(TEXT($N2421,"000000"),2)+(MID(TEXT($N2421,"000000"),3,2)/60)+(RIGHT(TEXT($N2421,"000000"),2)/3600)),-(MID(TEXT($N2421,"000000"),2,2)+(MID(TEXT($N2421,"000000"),4,2)/60)+(RIGHT(TEXT($N2421,"000000"),2)/3600)))</f>
        <v>29.288888888888891</v>
      </c>
      <c r="P2421" s="252" t="s">
        <v>133</v>
      </c>
      <c r="Q2421" s="253"/>
      <c r="R2421" s="247" t="s">
        <v>3293</v>
      </c>
      <c r="S2421" s="272" t="s">
        <v>3293</v>
      </c>
      <c r="T2421" s="273">
        <v>13.1</v>
      </c>
      <c r="U2421" s="274"/>
      <c r="V2421" s="280"/>
      <c r="W2421" s="244"/>
      <c r="X2421" s="244"/>
      <c r="Y2421" s="362"/>
      <c r="Z2421" s="257">
        <f>altaz(J2000_Bas,$O2421,$M2421,DecLat,DecLong,1)</f>
        <v>78.843933558682096</v>
      </c>
      <c r="AA2421" s="257">
        <f>altaz((J2000_Bas+(2*0.04167)),$O2421,$M2421,DecLat,DecLong,1)</f>
        <v>74.93282221227939</v>
      </c>
      <c r="AB2421" s="257">
        <f>altaz((J2000_Bas+(4*0.04167)),$O2421,$M2421,DecLat,DecLong,1)</f>
        <v>49.27599529494637</v>
      </c>
      <c r="AC2421" s="257">
        <f>altaz((J2000_Bas+(6*0.04167)),$O2421,$M2421,DecLat,DecLong,1)</f>
        <v>24.443652440086701</v>
      </c>
      <c r="AD2421" s="258">
        <f>1+ transit((J2000_Bas-1),$O2421,$M2421,DecLat,DecLong)/360 + (GMTOffset/24) + (IF(DST="Y", 1, 0)/24)</f>
        <v>1.8227841369005413</v>
      </c>
      <c r="AE2421" s="259">
        <f>DATE(2001,9,21)+(M2421/360)*365 - (360*((DecLong/360)- (GMTOffset/24) ))</f>
        <v>37462.907754629632</v>
      </c>
      <c r="AF2421" s="260">
        <f>IF(DecLat&gt;0,IF((90 - (DecLat-O2421))&gt;90, (90 - (O2421-DecLat)), (90 - (DecLat-O2421))),IF((90 + (DecLat-O2421))&gt;90, (90 + (O2421-DecLat)), (90 + (DecLat-O2421))))</f>
        <v>88.288888888888891</v>
      </c>
      <c r="AG2421" s="257">
        <f>angularseperation(MoonRA,MoonDec,$M2421,$O2421)</f>
        <v>73.655999699660072</v>
      </c>
      <c r="AH2421" s="261">
        <f ca="1">MIN(100,IF($O$5&gt;80,0+30*($AG2421/100),IF($O$5&gt;70,0+50*($AG2421/100),IF($O$5&gt;60,5+50*($AG2421/100),IF($O$5&gt;50,10+60*($AG2421/100),IF($O$5&gt;40,15+70*($AG2421/100),IF($O$5&gt;30,20+70*($AG2421/100),IF($O$5&gt;20,40+55*($AG2421/100),(80+(20-$O$5)+30*($AG2421/100))))))))))</f>
        <v>100</v>
      </c>
      <c r="AI2421" s="262">
        <v>6842</v>
      </c>
      <c r="AJ2421" s="262"/>
      <c r="AK2421" s="262"/>
      <c r="AL2421" s="263"/>
      <c r="AM2421" s="264"/>
      <c r="AN2421" s="263"/>
      <c r="AO2421" s="263"/>
      <c r="AP2421" s="265"/>
      <c r="AQ2421" s="266"/>
      <c r="AR2421" s="267"/>
      <c r="AS2421" s="263"/>
      <c r="AT2421" s="263"/>
      <c r="AU2421" s="263"/>
      <c r="AV2421" s="264"/>
      <c r="AW2421" s="263"/>
      <c r="AX2421" s="263"/>
      <c r="AY2421" s="263">
        <v>149</v>
      </c>
      <c r="AZ2421" s="263"/>
      <c r="BA2421" s="263"/>
      <c r="BB2421" s="263">
        <v>95</v>
      </c>
      <c r="BC2421" s="263"/>
      <c r="BD2421" s="264"/>
      <c r="BE2421" s="263"/>
      <c r="BF2421" s="263"/>
      <c r="BG2421" s="263"/>
      <c r="BH2421" s="263"/>
      <c r="BI2421" s="263"/>
      <c r="BJ2421" s="404">
        <f>altaz(J2000_Bas,$O2421,$M2421,DecLat,DecLong,2)</f>
        <v>95.568308316521865</v>
      </c>
      <c r="BK2421" s="378" t="s">
        <v>2289</v>
      </c>
      <c r="BL2421" s="379">
        <f>IF((2*G2421)/60&lt;0.2,0.2,(2*G2421)/60)</f>
        <v>0.2</v>
      </c>
      <c r="BM2421" s="380">
        <f>MOD((50000+AD2421-$B$3+(0/24)),1)</f>
        <v>3.8151066604768857E-2</v>
      </c>
      <c r="BN2421" s="381"/>
      <c r="BO2421" s="382">
        <v>2412</v>
      </c>
    </row>
    <row r="2422" spans="1:67" s="24" customFormat="1" ht="15" customHeight="1" x14ac:dyDescent="0.25">
      <c r="A2422" s="287" t="s">
        <v>7594</v>
      </c>
      <c r="B2422" s="241" t="str">
        <f>HYPERLINK(CONCATENATE($AT$3,BK2422,$AU$3),$AV$3)</f>
        <v>S</v>
      </c>
      <c r="C2422" s="242" t="str">
        <f>HYPERLINK(CONCATENATE($AT$4,BK2422,$AU$4,BL2422),$AV$4)</f>
        <v>A</v>
      </c>
      <c r="D2422" s="243" t="s">
        <v>5638</v>
      </c>
      <c r="E2422" s="244" t="s">
        <v>5625</v>
      </c>
      <c r="F2422" s="269">
        <v>4</v>
      </c>
      <c r="G2422" s="291">
        <v>3</v>
      </c>
      <c r="H2422" s="283">
        <v>290</v>
      </c>
      <c r="I2422" s="284">
        <v>250</v>
      </c>
      <c r="J2422" s="246">
        <v>2</v>
      </c>
      <c r="K2422" s="247" t="s">
        <v>8593</v>
      </c>
      <c r="L2422" s="248">
        <v>200058</v>
      </c>
      <c r="M2422" s="249">
        <f>15*(LEFT(TEXT($L2422,"000000"),2)+(MID(TEXT($L2422,"000000"),3,2)/60)+(RIGHT(TEXT($L2422,"000000"),2)/3600))</f>
        <v>300.24166666666667</v>
      </c>
      <c r="N2422" s="250">
        <v>-470412</v>
      </c>
      <c r="O2422" s="251">
        <f>IF($N2422&gt;0,(LEFT(TEXT($N2422,"000000"),2)+(MID(TEXT($N2422,"000000"),3,2)/60)+(RIGHT(TEXT($N2422,"000000"),2)/3600)),-(MID(TEXT($N2422,"000000"),2,2)+(MID(TEXT($N2422,"000000"),4,2)/60)+(RIGHT(TEXT($N2422,"000000"),2)/3600)))</f>
        <v>-47.07</v>
      </c>
      <c r="P2422" s="252" t="s">
        <v>2291</v>
      </c>
      <c r="Q2422" s="253"/>
      <c r="R2422" s="277" t="s">
        <v>3293</v>
      </c>
      <c r="S2422" s="272" t="s">
        <v>3293</v>
      </c>
      <c r="T2422" s="273">
        <v>12.1</v>
      </c>
      <c r="U2422" s="289">
        <v>22.69</v>
      </c>
      <c r="V2422" s="280"/>
      <c r="W2422" s="244"/>
      <c r="X2422" s="244"/>
      <c r="Y2422" s="362"/>
      <c r="Z2422" s="257">
        <f>altaz(J2000_Bas,$O2422,$M2422,DecLat,DecLong,1)</f>
        <v>10.88161607648394</v>
      </c>
      <c r="AA2422" s="257">
        <f>altaz((J2000_Bas+(2*0.04167)),$O2422,$M2422,DecLat,DecLong,1)</f>
        <v>10.63385832475924</v>
      </c>
      <c r="AB2422" s="257">
        <f>altaz((J2000_Bas+(4*0.04167)),$O2422,$M2422,DecLat,DecLong,1)</f>
        <v>1.6597626752728474</v>
      </c>
      <c r="AC2422" s="257">
        <f>altaz((J2000_Bas+(6*0.04167)),$O2422,$M2422,DecLat,DecLong,1)</f>
        <v>-13.651119371296346</v>
      </c>
      <c r="AD2422" s="258">
        <f>1+ transit((J2000_Bas-1),$O2422,$M2422,DecLat,DecLong)/360 + (GMTOffset/24) + (IF(DST="Y", 1, 0)/24)</f>
        <v>1.8269045068588745</v>
      </c>
      <c r="AE2422" s="259">
        <f>DATE(2001,9,21)+(M2422/360)*365 - (360*((DecLong/360)- (GMTOffset/24) ))</f>
        <v>37464.411689814813</v>
      </c>
      <c r="AF2422" s="260">
        <f>IF(DecLat&gt;0,IF((90 - (DecLat-O2422))&gt;90, (90 - (O2422-DecLat)), (90 - (DecLat-O2422))),IF((90 + (DecLat-O2422))&gt;90, (90 + (O2422-DecLat)), (90 + (DecLat-O2422))))</f>
        <v>11.930000000000007</v>
      </c>
      <c r="AG2422" s="257">
        <f>angularseperation(MoonRA,MoonDec,$M2422,$O2422)</f>
        <v>44.357336321934639</v>
      </c>
      <c r="AH2422" s="261">
        <f ca="1">MIN(100,IF($O$5&gt;80,0+30*($AG2422/100),IF($O$5&gt;70,0+50*($AG2422/100),IF($O$5&gt;60,5+50*($AG2422/100),IF($O$5&gt;50,10+60*($AG2422/100),IF($O$5&gt;40,15+70*($AG2422/100),IF($O$5&gt;30,20+70*($AG2422/100),IF($O$5&gt;20,40+55*($AG2422/100),(80+(20-$O$5)+30*($AG2422/100))))))))))</f>
        <v>96.578261240730825</v>
      </c>
      <c r="AI2422" s="262">
        <v>6845</v>
      </c>
      <c r="AJ2422" s="263"/>
      <c r="AK2422" s="263"/>
      <c r="AL2422" s="263"/>
      <c r="AM2422" s="264"/>
      <c r="AN2422" s="263"/>
      <c r="AO2422" s="263"/>
      <c r="AP2422" s="265"/>
      <c r="AQ2422" s="265"/>
      <c r="AR2422" s="285">
        <v>63985</v>
      </c>
      <c r="AS2422" s="263"/>
      <c r="AT2422" s="263"/>
      <c r="AU2422" s="263"/>
      <c r="AV2422" s="264"/>
      <c r="AW2422" s="263"/>
      <c r="AX2422" s="263"/>
      <c r="AY2422" s="263"/>
      <c r="AZ2422" s="263"/>
      <c r="BA2422" s="263"/>
      <c r="BB2422" s="263"/>
      <c r="BC2422" s="263"/>
      <c r="BD2422" s="264"/>
      <c r="BE2422" s="263"/>
      <c r="BF2422" s="263"/>
      <c r="BG2422" s="263"/>
      <c r="BH2422" s="263"/>
      <c r="BI2422" s="263"/>
      <c r="BJ2422" s="404">
        <f>altaz(J2000_Bas,$O2422,$M2422,DecLat,DecLong,2)</f>
        <v>170.17745423979082</v>
      </c>
      <c r="BK2422" s="378" t="s">
        <v>2290</v>
      </c>
      <c r="BL2422" s="379">
        <f>IF((2*G2422)/60&lt;0.2,0.2,(2*G2422)/60)</f>
        <v>0.2</v>
      </c>
      <c r="BM2422" s="380">
        <f>MOD((50000+AD2422-$B$3+(0/24)),1)</f>
        <v>4.2271436563169118E-2</v>
      </c>
      <c r="BN2422" s="381"/>
      <c r="BO2422" s="382">
        <v>2413</v>
      </c>
    </row>
    <row r="2423" spans="1:67" s="24" customFormat="1" ht="15" customHeight="1" x14ac:dyDescent="0.25">
      <c r="A2423" s="288" t="s">
        <v>2292</v>
      </c>
      <c r="B2423" s="241" t="str">
        <f>HYPERLINK(CONCATENATE($AT$3,BK2423,$AU$3),$AV$3)</f>
        <v>S</v>
      </c>
      <c r="C2423" s="242" t="str">
        <f>HYPERLINK(CONCATENATE($AT$4,BK2423,$AU$4,BL2423),$AV$4)</f>
        <v>A</v>
      </c>
      <c r="D2423" s="243" t="s">
        <v>5187</v>
      </c>
      <c r="E2423" s="244" t="s">
        <v>5181</v>
      </c>
      <c r="F2423" s="293" t="s">
        <v>6212</v>
      </c>
      <c r="G2423" s="270">
        <v>0.5</v>
      </c>
      <c r="H2423" s="283">
        <v>9000</v>
      </c>
      <c r="I2423" s="279">
        <v>1.4</v>
      </c>
      <c r="J2423" s="246">
        <v>2</v>
      </c>
      <c r="K2423" s="247" t="s">
        <v>8071</v>
      </c>
      <c r="L2423" s="248">
        <v>200039</v>
      </c>
      <c r="M2423" s="249">
        <f>15*(LEFT(TEXT($L2423,"000000"),2)+(MID(TEXT($L2423,"000000"),3,2)/60)+(RIGHT(TEXT($L2423,"000000"),2)/3600))</f>
        <v>300.16250000000002</v>
      </c>
      <c r="N2423" s="250">
        <v>14341</v>
      </c>
      <c r="O2423" s="251">
        <f>IF($N2423&gt;0,(LEFT(TEXT($N2423,"000000"),2)+(MID(TEXT($N2423,"000000"),3,2)/60)+(RIGHT(TEXT($N2423,"000000"),2)/3600)),-(MID(TEXT($N2423,"000000"),2,2)+(MID(TEXT($N2423,"000000"),4,2)/60)+(RIGHT(TEXT($N2423,"000000"),2)/3600)))</f>
        <v>1.7280555555555557</v>
      </c>
      <c r="P2423" s="252" t="s">
        <v>126</v>
      </c>
      <c r="Q2423" s="253"/>
      <c r="R2423" s="247" t="s">
        <v>8846</v>
      </c>
      <c r="S2423" s="272" t="s">
        <v>3293</v>
      </c>
      <c r="T2423" s="273">
        <v>12.6</v>
      </c>
      <c r="U2423" s="274"/>
      <c r="V2423" s="280"/>
      <c r="W2423" s="244"/>
      <c r="X2423" s="244"/>
      <c r="Y2423" s="362"/>
      <c r="Z2423" s="257">
        <f>altaz(J2000_Bas,$O2423,$M2423,DecLat,DecLong,1)</f>
        <v>57.809042504421342</v>
      </c>
      <c r="AA2423" s="257">
        <f>altaz((J2000_Bas+(2*0.04167)),$O2423,$M2423,DecLat,DecLong,1)</f>
        <v>57.07981669326098</v>
      </c>
      <c r="AB2423" s="257">
        <f>altaz((J2000_Bas+(4*0.04167)),$O2423,$M2423,DecLat,DecLong,1)</f>
        <v>37.632888156378151</v>
      </c>
      <c r="AC2423" s="257">
        <f>altaz((J2000_Bas+(6*0.04167)),$O2423,$M2423,DecLat,DecLong,1)</f>
        <v>12.793854362878859</v>
      </c>
      <c r="AD2423" s="258">
        <f>1+ transit((J2000_Bas-1),$O2423,$M2423,DecLat,DecLong)/360 + (GMTOffset/24) + (IF(DST="Y", 1, 0)/24)</f>
        <v>1.8266845994734584</v>
      </c>
      <c r="AE2423" s="259">
        <f>DATE(2001,9,21)+(M2423/360)*365 - (360*((DecLong/360)- (GMTOffset/24) ))</f>
        <v>37464.331423611111</v>
      </c>
      <c r="AF2423" s="260">
        <f>IF(DecLat&gt;0,IF((90 - (DecLat-O2423))&gt;90, (90 - (O2423-DecLat)), (90 - (DecLat-O2423))),IF((90 + (DecLat-O2423))&gt;90, (90 + (O2423-DecLat)), (90 + (DecLat-O2423))))</f>
        <v>60.728055555555557</v>
      </c>
      <c r="AG2423" s="257">
        <f>angularseperation(MoonRA,MoonDec,$M2423,$O2423)</f>
        <v>56.819251457008939</v>
      </c>
      <c r="AH2423" s="261">
        <f ca="1">MIN(100,IF($O$5&gt;80,0+30*($AG2423/100),IF($O$5&gt;70,0+50*($AG2423/100),IF($O$5&gt;60,5+50*($AG2423/100),IF($O$5&gt;50,10+60*($AG2423/100),IF($O$5&gt;40,15+70*($AG2423/100),IF($O$5&gt;30,20+70*($AG2423/100),IF($O$5&gt;20,40+55*($AG2423/100),(80+(20-$O$5)+30*($AG2423/100))))))))))</f>
        <v>100</v>
      </c>
      <c r="AI2423" s="262">
        <v>6852</v>
      </c>
      <c r="AJ2423" s="262"/>
      <c r="AK2423" s="262"/>
      <c r="AL2423" s="263"/>
      <c r="AM2423" s="264"/>
      <c r="AN2423" s="263"/>
      <c r="AO2423" s="263"/>
      <c r="AP2423" s="265"/>
      <c r="AQ2423" s="266"/>
      <c r="AR2423" s="267"/>
      <c r="AS2423" s="263"/>
      <c r="AT2423" s="263"/>
      <c r="AU2423" s="263">
        <v>118</v>
      </c>
      <c r="AV2423" s="264"/>
      <c r="AW2423" s="263"/>
      <c r="AX2423" s="263"/>
      <c r="AY2423" s="263"/>
      <c r="AZ2423" s="263"/>
      <c r="BA2423" s="263"/>
      <c r="BB2423" s="263"/>
      <c r="BC2423" s="263"/>
      <c r="BD2423" s="264"/>
      <c r="BE2423" s="263"/>
      <c r="BF2423" s="263"/>
      <c r="BG2423" s="263"/>
      <c r="BH2423" s="263"/>
      <c r="BI2423" s="263"/>
      <c r="BJ2423" s="404">
        <f>altaz(J2000_Bas,$O2423,$M2423,DecLat,DecLong,2)</f>
        <v>152.67882858759762</v>
      </c>
      <c r="BK2423" s="378" t="s">
        <v>2292</v>
      </c>
      <c r="BL2423" s="379">
        <f>IF((2*G2423)/60&lt;0.2,0.2,(2*G2423)/60)</f>
        <v>0.2</v>
      </c>
      <c r="BM2423" s="380">
        <f>MOD((50000+AD2423-$B$3+(0/24)),1)</f>
        <v>4.2051529177115299E-2</v>
      </c>
      <c r="BN2423" s="381"/>
      <c r="BO2423" s="382">
        <v>2414</v>
      </c>
    </row>
    <row r="2424" spans="1:67" s="24" customFormat="1" ht="15" customHeight="1" x14ac:dyDescent="0.25">
      <c r="A2424" s="288" t="s">
        <v>2293</v>
      </c>
      <c r="B2424" s="241" t="str">
        <f>HYPERLINK(CONCATENATE($AT$3,BK2424,$AU$3),$AV$3)</f>
        <v>S</v>
      </c>
      <c r="C2424" s="242" t="str">
        <f>HYPERLINK(CONCATENATE($AT$4,BK2424,$AU$4,BL2424),$AV$4)</f>
        <v>A</v>
      </c>
      <c r="D2424" s="243" t="s">
        <v>5187</v>
      </c>
      <c r="E2424" s="244" t="s">
        <v>5183</v>
      </c>
      <c r="F2424" s="269" t="s">
        <v>5180</v>
      </c>
      <c r="G2424" s="273">
        <v>1.5</v>
      </c>
      <c r="H2424" s="283">
        <v>30000</v>
      </c>
      <c r="I2424" s="246">
        <v>13</v>
      </c>
      <c r="J2424" s="246">
        <v>2</v>
      </c>
      <c r="K2424" s="247" t="s">
        <v>8072</v>
      </c>
      <c r="L2424" s="248">
        <v>200148</v>
      </c>
      <c r="M2424" s="249">
        <f>15*(LEFT(TEXT($L2424,"000000"),2)+(MID(TEXT($L2424,"000000"),3,2)/60)+(RIGHT(TEXT($L2424,"000000"),2)/3600))</f>
        <v>300.45</v>
      </c>
      <c r="N2424" s="250">
        <v>333133</v>
      </c>
      <c r="O2424" s="251">
        <f>IF($N2424&gt;0,(LEFT(TEXT($N2424,"000000"),2)+(MID(TEXT($N2424,"000000"),3,2)/60)+(RIGHT(TEXT($N2424,"000000"),2)/3600)),-(MID(TEXT($N2424,"000000"),2,2)+(MID(TEXT($N2424,"000000"),4,2)/60)+(RIGHT(TEXT($N2424,"000000"),2)/3600)))</f>
        <v>33.525833333333331</v>
      </c>
      <c r="P2424" s="252" t="s">
        <v>60</v>
      </c>
      <c r="Q2424" s="253"/>
      <c r="R2424" s="247" t="s">
        <v>5624</v>
      </c>
      <c r="S2424" s="272" t="s">
        <v>3293</v>
      </c>
      <c r="T2424" s="273"/>
      <c r="U2424" s="274"/>
      <c r="V2424" s="280"/>
      <c r="W2424" s="244"/>
      <c r="X2424" s="244"/>
      <c r="Y2424" s="362"/>
      <c r="Z2424" s="257">
        <f>altaz(J2000_Bas,$O2424,$M2424,DecLat,DecLong,1)</f>
        <v>77.536017510956555</v>
      </c>
      <c r="AA2424" s="257">
        <f>altaz((J2000_Bas+(2*0.04167)),$O2424,$M2424,DecLat,DecLong,1)</f>
        <v>76.551868818352972</v>
      </c>
      <c r="AB2424" s="257">
        <f>altaz((J2000_Bas+(4*0.04167)),$O2424,$M2424,DecLat,DecLong,1)</f>
        <v>51.566701219849406</v>
      </c>
      <c r="AC2424" s="257">
        <f>altaz((J2000_Bas+(6*0.04167)),$O2424,$M2424,DecLat,DecLong,1)</f>
        <v>27.36613093383686</v>
      </c>
      <c r="AD2424" s="258">
        <f>1+ transit((J2000_Bas-1),$O2424,$M2424,DecLat,DecLong)/360 + (GMTOffset/24) + (IF(DST="Y", 1, 0)/24)</f>
        <v>1.8274832105047081</v>
      </c>
      <c r="AE2424" s="259">
        <f>DATE(2001,9,21)+(M2424/360)*365 - (360*((DecLong/360)- (GMTOffset/24) ))</f>
        <v>37464.622916666667</v>
      </c>
      <c r="AF2424" s="260">
        <f>IF(DecLat&gt;0,IF((90 - (DecLat-O2424))&gt;90, (90 - (O2424-DecLat)), (90 - (DecLat-O2424))),IF((90 + (DecLat-O2424))&gt;90, (90 + (O2424-DecLat)), (90 + (DecLat-O2424))))</f>
        <v>87.474166666666662</v>
      </c>
      <c r="AG2424" s="257">
        <f>angularseperation(MoonRA,MoonDec,$M2424,$O2424)</f>
        <v>77.670748612252908</v>
      </c>
      <c r="AH2424" s="261">
        <f ca="1">MIN(100,IF($O$5&gt;80,0+30*($AG2424/100),IF($O$5&gt;70,0+50*($AG2424/100),IF($O$5&gt;60,5+50*($AG2424/100),IF($O$5&gt;50,10+60*($AG2424/100),IF($O$5&gt;40,15+70*($AG2424/100),IF($O$5&gt;30,20+70*($AG2424/100),IF($O$5&gt;20,40+55*($AG2424/100),(80+(20-$O$5)+30*($AG2424/100))))))))))</f>
        <v>100</v>
      </c>
      <c r="AI2424" s="262">
        <v>6857</v>
      </c>
      <c r="AJ2424" s="262"/>
      <c r="AK2424" s="262"/>
      <c r="AL2424" s="263"/>
      <c r="AM2424" s="264"/>
      <c r="AN2424" s="263"/>
      <c r="AO2424" s="263"/>
      <c r="AP2424" s="265"/>
      <c r="AQ2424" s="266"/>
      <c r="AR2424" s="267"/>
      <c r="AS2424" s="263"/>
      <c r="AT2424" s="263">
        <v>33</v>
      </c>
      <c r="AU2424" s="263"/>
      <c r="AV2424" s="264"/>
      <c r="AW2424" s="263"/>
      <c r="AX2424" s="263"/>
      <c r="AY2424" s="263">
        <v>161</v>
      </c>
      <c r="AZ2424" s="263"/>
      <c r="BA2424" s="263"/>
      <c r="BB2424" s="263">
        <v>100</v>
      </c>
      <c r="BC2424" s="263"/>
      <c r="BD2424" s="264"/>
      <c r="BE2424" s="263"/>
      <c r="BF2424" s="263"/>
      <c r="BG2424" s="263"/>
      <c r="BH2424" s="263">
        <v>72</v>
      </c>
      <c r="BI2424" s="263"/>
      <c r="BJ2424" s="404">
        <f>altaz(J2000_Bas,$O2424,$M2424,DecLat,DecLong,2)</f>
        <v>74.508188489716957</v>
      </c>
      <c r="BK2424" s="378" t="s">
        <v>2293</v>
      </c>
      <c r="BL2424" s="379">
        <f>IF((2*G2424)/60&lt;0.2,0.2,(2*G2424)/60)</f>
        <v>0.2</v>
      </c>
      <c r="BM2424" s="380">
        <f>MOD((50000+AD2424-$B$3+(0/24)),1)</f>
        <v>4.2850140205700882E-2</v>
      </c>
      <c r="BN2424" s="381"/>
      <c r="BO2424" s="382">
        <v>2415</v>
      </c>
    </row>
    <row r="2425" spans="1:67" s="24" customFormat="1" ht="15" customHeight="1" x14ac:dyDescent="0.25">
      <c r="A2425" s="288" t="s">
        <v>2294</v>
      </c>
      <c r="B2425" s="241" t="str">
        <f>HYPERLINK(CONCATENATE($AT$3,BK2425,$AU$3),$AV$3)</f>
        <v>S</v>
      </c>
      <c r="C2425" s="242" t="str">
        <f>HYPERLINK(CONCATENATE($AT$4,BK2425,$AU$4,BL2425),$AV$4)</f>
        <v>A</v>
      </c>
      <c r="D2425" s="243" t="s">
        <v>5335</v>
      </c>
      <c r="E2425" s="244" t="s">
        <v>5185</v>
      </c>
      <c r="F2425" s="269" t="s">
        <v>4922</v>
      </c>
      <c r="G2425" s="276">
        <v>15</v>
      </c>
      <c r="H2425" s="283">
        <v>4000</v>
      </c>
      <c r="I2425" s="246">
        <v>18</v>
      </c>
      <c r="J2425" s="246">
        <v>2</v>
      </c>
      <c r="K2425" s="247" t="s">
        <v>8073</v>
      </c>
      <c r="L2425" s="248">
        <v>200355</v>
      </c>
      <c r="M2425" s="249">
        <f>15*(LEFT(TEXT($L2425,"000000"),2)+(MID(TEXT($L2425,"000000"),3,2)/60)+(RIGHT(TEXT($L2425,"000000"),2)/3600))</f>
        <v>300.97916666666669</v>
      </c>
      <c r="N2425" s="250">
        <v>440930</v>
      </c>
      <c r="O2425" s="251">
        <f>IF($N2425&gt;0,(LEFT(TEXT($N2425,"000000"),2)+(MID(TEXT($N2425,"000000"),3,2)/60)+(RIGHT(TEXT($N2425,"000000"),2)/3600)),-(MID(TEXT($N2425,"000000"),2,2)+(MID(TEXT($N2425,"000000"),4,2)/60)+(RIGHT(TEXT($N2425,"000000"),2)/3600)))</f>
        <v>44.158333333333331</v>
      </c>
      <c r="P2425" s="252" t="s">
        <v>60</v>
      </c>
      <c r="Q2425" s="253" t="s">
        <v>7113</v>
      </c>
      <c r="R2425" s="247" t="s">
        <v>3293</v>
      </c>
      <c r="S2425" s="272" t="s">
        <v>3293</v>
      </c>
      <c r="T2425" s="273">
        <v>7.6</v>
      </c>
      <c r="U2425" s="274"/>
      <c r="V2425" s="280"/>
      <c r="W2425" s="244"/>
      <c r="X2425" s="244"/>
      <c r="Y2425" s="362"/>
      <c r="Z2425" s="257">
        <f>altaz(J2000_Bas,$O2425,$M2425,DecLat,DecLong,1)</f>
        <v>72.336698958221547</v>
      </c>
      <c r="AA2425" s="257">
        <f>altaz((J2000_Bas+(2*0.04167)),$O2425,$M2425,DecLat,DecLong,1)</f>
        <v>72.267680188816456</v>
      </c>
      <c r="AB2425" s="257">
        <f>altaz((J2000_Bas+(4*0.04167)),$O2425,$M2425,DecLat,DecLong,1)</f>
        <v>52.388505704726043</v>
      </c>
      <c r="AC2425" s="257">
        <f>altaz((J2000_Bas+(6*0.04167)),$O2425,$M2425,DecLat,DecLong,1)</f>
        <v>31.003029240038249</v>
      </c>
      <c r="AD2425" s="258">
        <f>1+ transit((J2000_Bas-1),$O2425,$M2425,DecLat,DecLong)/360 + (GMTOffset/24) + (IF(DST="Y", 1, 0)/24)</f>
        <v>1.8289531177651248</v>
      </c>
      <c r="AE2425" s="259">
        <f>DATE(2001,9,21)+(M2425/360)*365 - (360*((DecLong/360)- (GMTOffset/24) ))</f>
        <v>37465.159432870372</v>
      </c>
      <c r="AF2425" s="260">
        <f>IF(DecLat&gt;0,IF((90 - (DecLat-O2425))&gt;90, (90 - (O2425-DecLat)), (90 - (DecLat-O2425))),IF((90 + (DecLat-O2425))&gt;90, (90 + (O2425-DecLat)), (90 + (DecLat-O2425))))</f>
        <v>76.841666666666669</v>
      </c>
      <c r="AG2425" s="257">
        <f>angularseperation(MoonRA,MoonDec,$M2425,$O2425)</f>
        <v>85.504866549338573</v>
      </c>
      <c r="AH2425" s="261">
        <f ca="1">MIN(100,IF($O$5&gt;80,0+30*($AG2425/100),IF($O$5&gt;70,0+50*($AG2425/100),IF($O$5&gt;60,5+50*($AG2425/100),IF($O$5&gt;50,10+60*($AG2425/100),IF($O$5&gt;40,15+70*($AG2425/100),IF($O$5&gt;30,20+70*($AG2425/100),IF($O$5&gt;20,40+55*($AG2425/100),(80+(20-$O$5)+30*($AG2425/100))))))))))</f>
        <v>100</v>
      </c>
      <c r="AI2425" s="262">
        <v>6866</v>
      </c>
      <c r="AJ2425" s="262"/>
      <c r="AK2425" s="262">
        <v>365</v>
      </c>
      <c r="AL2425" s="263"/>
      <c r="AM2425" s="264"/>
      <c r="AN2425" s="263"/>
      <c r="AO2425" s="263"/>
      <c r="AP2425" s="265"/>
      <c r="AQ2425" s="266"/>
      <c r="AR2425" s="267"/>
      <c r="AS2425" s="263"/>
      <c r="AT2425" s="263"/>
      <c r="AU2425" s="263"/>
      <c r="AV2425" s="264"/>
      <c r="AW2425" s="263"/>
      <c r="AX2425" s="263"/>
      <c r="AY2425" s="263"/>
      <c r="AZ2425" s="263"/>
      <c r="BA2425" s="263"/>
      <c r="BB2425" s="263"/>
      <c r="BC2425" s="263"/>
      <c r="BD2425" s="264"/>
      <c r="BE2425" s="263">
        <v>100</v>
      </c>
      <c r="BF2425" s="263"/>
      <c r="BG2425" s="263"/>
      <c r="BH2425" s="263"/>
      <c r="BI2425" s="263"/>
      <c r="BJ2425" s="404">
        <f>altaz(J2000_Bas,$O2425,$M2425,DecLat,DecLong,2)</f>
        <v>37.663323023762366</v>
      </c>
      <c r="BK2425" s="378" t="s">
        <v>2294</v>
      </c>
      <c r="BL2425" s="379">
        <f>IF((2*G2425)/60&lt;0.2,0.2,(2*G2425)/60)</f>
        <v>0.5</v>
      </c>
      <c r="BM2425" s="380">
        <f>MOD((50000+AD2425-$B$3+(0/24)),1)</f>
        <v>4.4320047469227575E-2</v>
      </c>
      <c r="BN2425" s="381"/>
      <c r="BO2425" s="382">
        <v>2416</v>
      </c>
    </row>
    <row r="2426" spans="1:67" s="24" customFormat="1" ht="15" customHeight="1" x14ac:dyDescent="0.25">
      <c r="A2426" s="287" t="s">
        <v>5542</v>
      </c>
      <c r="B2426" s="241" t="str">
        <f>HYPERLINK(CONCATENATE($AT$3,BK2426,$AU$3),$AV$3)</f>
        <v>S</v>
      </c>
      <c r="C2426" s="242" t="str">
        <f>HYPERLINK(CONCATENATE($AT$4,BK2426,$AU$4,BL2426),$AV$4)</f>
        <v>A</v>
      </c>
      <c r="D2426" s="243" t="s">
        <v>5638</v>
      </c>
      <c r="E2426" s="244" t="s">
        <v>5192</v>
      </c>
      <c r="F2426" s="269" t="s">
        <v>8908</v>
      </c>
      <c r="G2426" s="273">
        <v>6</v>
      </c>
      <c r="H2426" s="283">
        <v>220</v>
      </c>
      <c r="I2426" s="246">
        <v>380</v>
      </c>
      <c r="J2426" s="246">
        <v>4</v>
      </c>
      <c r="K2426" s="247" t="s">
        <v>5543</v>
      </c>
      <c r="L2426" s="248">
        <v>201654</v>
      </c>
      <c r="M2426" s="249">
        <f>15*(LEFT(TEXT($L2426,"000000"),2)+(MID(TEXT($L2426,"000000"),3,2)/60)+(RIGHT(TEXT($L2426,"000000"),2)/3600))</f>
        <v>304.22500000000002</v>
      </c>
      <c r="N2426" s="250">
        <v>-704600</v>
      </c>
      <c r="O2426" s="251">
        <f>IF($N2426&gt;0,(LEFT(TEXT($N2426,"000000"),2)+(MID(TEXT($N2426,"000000"),3,2)/60)+(RIGHT(TEXT($N2426,"000000"),2)/3600)),-(MID(TEXT($N2426,"000000"),2,2)+(MID(TEXT($N2426,"000000"),4,2)/60)+(RIGHT(TEXT($N2426,"000000"),2)/3600)))</f>
        <v>-70.766666666666666</v>
      </c>
      <c r="P2426" s="252" t="s">
        <v>2258</v>
      </c>
      <c r="Q2426" s="253"/>
      <c r="R2426" s="277" t="s">
        <v>3293</v>
      </c>
      <c r="S2426" s="272" t="s">
        <v>3293</v>
      </c>
      <c r="T2426" s="273">
        <v>11.8</v>
      </c>
      <c r="U2426" s="289">
        <v>23.09</v>
      </c>
      <c r="V2426" s="280">
        <v>75</v>
      </c>
      <c r="W2426" s="244"/>
      <c r="X2426" s="244"/>
      <c r="Y2426" s="362"/>
      <c r="Z2426" s="257">
        <f>altaz(J2000_Bas,$O2426,$M2426,DecLat,DecLong,1)</f>
        <v>-12.5967049460894</v>
      </c>
      <c r="AA2426" s="257">
        <f>altaz((J2000_Bas+(2*0.04167)),$O2426,$M2426,DecLat,DecLong,1)</f>
        <v>-12.119800435510694</v>
      </c>
      <c r="AB2426" s="257">
        <f>altaz((J2000_Bas+(4*0.04167)),$O2426,$M2426,DecLat,DecLong,1)</f>
        <v>-16.03817290230765</v>
      </c>
      <c r="AC2426" s="257">
        <f>altaz((J2000_Bas+(6*0.04167)),$O2426,$M2426,DecLat,DecLong,1)</f>
        <v>-23.527064863913314</v>
      </c>
      <c r="AD2426" s="258">
        <f>1+ transit((J2000_Bas-1),$O2426,$M2426,DecLat,DecLong)/360 + (GMTOffset/24) + (IF(DST="Y", 1, 0)/24)</f>
        <v>1.8379693205672083</v>
      </c>
      <c r="AE2426" s="259">
        <f>DATE(2001,9,21)+(M2426/360)*365 - (360*((DecLong/360)- (GMTOffset/24) ))</f>
        <v>37468.45034722222</v>
      </c>
      <c r="AF2426" s="260">
        <f>IF(DecLat&gt;0,IF((90 - (DecLat-O2426))&gt;90, (90 - (O2426-DecLat)), (90 - (DecLat-O2426))),IF((90 + (DecLat-O2426))&gt;90, (90 + (O2426-DecLat)), (90 + (DecLat-O2426))))</f>
        <v>-11.766666666666666</v>
      </c>
      <c r="AG2426" s="257">
        <f>angularseperation(MoonRA,MoonDec,$M2426,$O2426)</f>
        <v>53.260229734089826</v>
      </c>
      <c r="AH2426" s="261">
        <f ca="1">MIN(100,IF($O$5&gt;80,0+30*($AG2426/100),IF($O$5&gt;70,0+50*($AG2426/100),IF($O$5&gt;60,5+50*($AG2426/100),IF($O$5&gt;50,10+60*($AG2426/100),IF($O$5&gt;40,15+70*($AG2426/100),IF($O$5&gt;30,20+70*($AG2426/100),IF($O$5&gt;20,40+55*($AG2426/100),(80+(20-$O$5)+30*($AG2426/100))))))))))</f>
        <v>99.249129264377373</v>
      </c>
      <c r="AI2426" s="263">
        <v>6872</v>
      </c>
      <c r="AJ2426" s="263"/>
      <c r="AK2426" s="263"/>
      <c r="AL2426" s="263"/>
      <c r="AM2426" s="264"/>
      <c r="AN2426" s="263"/>
      <c r="AO2426" s="263"/>
      <c r="AP2426" s="265"/>
      <c r="AQ2426" s="265"/>
      <c r="AR2426" s="285">
        <v>64413</v>
      </c>
      <c r="AS2426" s="263"/>
      <c r="AT2426" s="263"/>
      <c r="AU2426" s="263"/>
      <c r="AV2426" s="264"/>
      <c r="AW2426" s="263"/>
      <c r="AX2426" s="263"/>
      <c r="AY2426" s="263"/>
      <c r="AZ2426" s="263"/>
      <c r="BA2426" s="263"/>
      <c r="BB2426" s="263"/>
      <c r="BC2426" s="263"/>
      <c r="BD2426" s="264"/>
      <c r="BE2426" s="263"/>
      <c r="BF2426" s="263"/>
      <c r="BG2426" s="263"/>
      <c r="BH2426" s="263"/>
      <c r="BI2426" s="263"/>
      <c r="BJ2426" s="404">
        <f>altaz(J2000_Bas,$O2426,$M2426,DecLat,DecLong,2)</f>
        <v>173.94108729254319</v>
      </c>
      <c r="BK2426" s="378" t="s">
        <v>5542</v>
      </c>
      <c r="BL2426" s="379">
        <f>IF((2*G2426)/60&lt;0.2,0.2,(2*G2426)/60)</f>
        <v>0.2</v>
      </c>
      <c r="BM2426" s="380">
        <f>MOD((50000+AD2426-$B$3+(0/24)),1)</f>
        <v>5.3336250268330332E-2</v>
      </c>
      <c r="BN2426" s="381"/>
      <c r="BO2426" s="382">
        <v>2417</v>
      </c>
    </row>
    <row r="2427" spans="1:67" s="24" customFormat="1" ht="15" customHeight="1" x14ac:dyDescent="0.25">
      <c r="A2427" s="288" t="s">
        <v>8771</v>
      </c>
      <c r="B2427" s="241" t="str">
        <f>HYPERLINK(CONCATENATE($AT$3,BK2427,$AU$3),$AV$3)</f>
        <v>S</v>
      </c>
      <c r="C2427" s="242" t="str">
        <f>HYPERLINK(CONCATENATE($AT$4,BK2427,$AU$4,BL2427),$AV$4)</f>
        <v>A</v>
      </c>
      <c r="D2427" s="243" t="s">
        <v>5335</v>
      </c>
      <c r="E2427" s="244" t="s">
        <v>5185</v>
      </c>
      <c r="F2427" s="269" t="s">
        <v>6633</v>
      </c>
      <c r="G2427" s="276">
        <v>20</v>
      </c>
      <c r="H2427" s="283">
        <v>2000</v>
      </c>
      <c r="I2427" s="246">
        <v>12</v>
      </c>
      <c r="J2427" s="246">
        <v>2</v>
      </c>
      <c r="K2427" s="247" t="s">
        <v>8786</v>
      </c>
      <c r="L2427" s="248">
        <v>201158</v>
      </c>
      <c r="M2427" s="249">
        <f>15*(LEFT(TEXT($L2427,"000000"),2)+(MID(TEXT($L2427,"000000"),3,2)/60)+(RIGHT(TEXT($L2427,"000000"),2)/3600))</f>
        <v>302.99166666666667</v>
      </c>
      <c r="N2427" s="250">
        <v>262900</v>
      </c>
      <c r="O2427" s="251">
        <f>IF($N2427&gt;0,(LEFT(TEXT($N2427,"000000"),2)+(MID(TEXT($N2427,"000000"),3,2)/60)+(RIGHT(TEXT($N2427,"000000"),2)/3600)),-(MID(TEXT($N2427,"000000"),2,2)+(MID(TEXT($N2427,"000000"),4,2)/60)+(RIGHT(TEXT($N2427,"000000"),2)/3600)))</f>
        <v>26.483333333333334</v>
      </c>
      <c r="P2427" s="252" t="s">
        <v>133</v>
      </c>
      <c r="Q2427" s="253"/>
      <c r="R2427" s="277" t="s">
        <v>3293</v>
      </c>
      <c r="S2427" s="272" t="s">
        <v>8787</v>
      </c>
      <c r="T2427" s="273">
        <v>8.1</v>
      </c>
      <c r="U2427" s="289"/>
      <c r="V2427" s="280"/>
      <c r="W2427" s="244"/>
      <c r="X2427" s="244"/>
      <c r="Y2427" s="362"/>
      <c r="Z2427" s="257">
        <f>altaz(J2000_Bas,$O2427,$M2427,DecLat,DecLong,1)</f>
        <v>74.45355603551387</v>
      </c>
      <c r="AA2427" s="257">
        <f>altaz((J2000_Bas+(2*0.04167)),$O2427,$M2427,DecLat,DecLong,1)</f>
        <v>77.672163522230008</v>
      </c>
      <c r="AB2427" s="257">
        <f>altaz((J2000_Bas+(4*0.04167)),$O2427,$M2427,DecLat,DecLong,1)</f>
        <v>52.104909386013674</v>
      </c>
      <c r="AC2427" s="257">
        <f>altaz((J2000_Bas+(6*0.04167)),$O2427,$M2427,DecLat,DecLong,1)</f>
        <v>26.782026580329415</v>
      </c>
      <c r="AD2427" s="258">
        <f>1+ transit((J2000_Bas-1),$O2427,$M2427,DecLat,DecLong)/360 + (GMTOffset/24) + (IF(DST="Y", 1, 0)/24)</f>
        <v>1.8345433949838748</v>
      </c>
      <c r="AE2427" s="259">
        <f>DATE(2001,9,21)+(M2427/360)*365 - (360*((DecLong/360)- (GMTOffset/24) ))</f>
        <v>37467.199884259258</v>
      </c>
      <c r="AF2427" s="260">
        <f>IF(DecLat&gt;0,IF((90 - (DecLat-O2427))&gt;90, (90 - (O2427-DecLat)), (90 - (DecLat-O2427))),IF((90 + (DecLat-O2427))&gt;90, (90 + (O2427-DecLat)), (90 + (DecLat-O2427))))</f>
        <v>85.483333333333334</v>
      </c>
      <c r="AG2427" s="257">
        <f>angularseperation(MoonRA,MoonDec,$M2427,$O2427)</f>
        <v>74.4434446791347</v>
      </c>
      <c r="AH2427" s="261">
        <f ca="1">MIN(100,IF($O$5&gt;80,0+30*($AG2427/100),IF($O$5&gt;70,0+50*($AG2427/100),IF($O$5&gt;60,5+50*($AG2427/100),IF($O$5&gt;50,10+60*($AG2427/100),IF($O$5&gt;40,15+70*($AG2427/100),IF($O$5&gt;30,20+70*($AG2427/100),IF($O$5&gt;20,40+55*($AG2427/100),(80+(20-$O$5)+30*($AG2427/100))))))))))</f>
        <v>100</v>
      </c>
      <c r="AI2427" s="263">
        <v>6882</v>
      </c>
      <c r="AJ2427" s="263"/>
      <c r="AK2427" s="263">
        <v>366</v>
      </c>
      <c r="AL2427" s="263"/>
      <c r="AM2427" s="264"/>
      <c r="AN2427" s="263"/>
      <c r="AO2427" s="263"/>
      <c r="AP2427" s="265"/>
      <c r="AQ2427" s="265"/>
      <c r="AR2427" s="285"/>
      <c r="AS2427" s="263"/>
      <c r="AT2427" s="263"/>
      <c r="AU2427" s="263"/>
      <c r="AV2427" s="264"/>
      <c r="AW2427" s="263"/>
      <c r="AX2427" s="263"/>
      <c r="AY2427" s="263"/>
      <c r="AZ2427" s="263"/>
      <c r="BA2427" s="263"/>
      <c r="BB2427" s="263"/>
      <c r="BC2427" s="263"/>
      <c r="BD2427" s="264"/>
      <c r="BE2427" s="263"/>
      <c r="BF2427" s="263"/>
      <c r="BG2427" s="263"/>
      <c r="BH2427" s="263"/>
      <c r="BI2427" s="263"/>
      <c r="BJ2427" s="404">
        <f>altaz(J2000_Bas,$O2427,$M2427,DecLat,DecLong,2)</f>
        <v>102.6361620427969</v>
      </c>
      <c r="BK2427" s="378" t="s">
        <v>8771</v>
      </c>
      <c r="BL2427" s="379">
        <f>IF((2*G2427)/60&lt;0.2,0.2,(2*G2427)/60)</f>
        <v>0.66666666666666663</v>
      </c>
      <c r="BM2427" s="380">
        <f>MOD((50000+AD2427-$B$3+(0/24)),1)</f>
        <v>4.9910324691154528E-2</v>
      </c>
      <c r="BN2427" s="381"/>
      <c r="BO2427" s="382">
        <v>2418</v>
      </c>
    </row>
    <row r="2428" spans="1:67" s="24" customFormat="1" ht="15" customHeight="1" x14ac:dyDescent="0.25">
      <c r="A2428" s="288" t="s">
        <v>2295</v>
      </c>
      <c r="B2428" s="241" t="str">
        <f>HYPERLINK(CONCATENATE($AT$3,BK2428,$AU$3),$AV$3)</f>
        <v>S</v>
      </c>
      <c r="C2428" s="242" t="str">
        <f>HYPERLINK(CONCATENATE($AT$4,BK2428,$AU$4,BL2428),$AV$4)</f>
        <v>A</v>
      </c>
      <c r="D2428" s="243" t="s">
        <v>5335</v>
      </c>
      <c r="E2428" s="244" t="s">
        <v>5185</v>
      </c>
      <c r="F2428" s="269" t="s">
        <v>8075</v>
      </c>
      <c r="G2428" s="276">
        <v>30</v>
      </c>
      <c r="H2428" s="283">
        <v>450</v>
      </c>
      <c r="I2428" s="279">
        <v>4</v>
      </c>
      <c r="J2428" s="246">
        <v>1</v>
      </c>
      <c r="K2428" s="247" t="s">
        <v>8077</v>
      </c>
      <c r="L2428" s="248">
        <v>201120</v>
      </c>
      <c r="M2428" s="249">
        <f>15*(LEFT(TEXT($L2428,"000000"),2)+(MID(TEXT($L2428,"000000"),3,2)/60)+(RIGHT(TEXT($L2428,"000000"),2)/3600))</f>
        <v>302.83333333333337</v>
      </c>
      <c r="N2428" s="250">
        <v>354955</v>
      </c>
      <c r="O2428" s="251">
        <f>IF($N2428&gt;0,(LEFT(TEXT($N2428,"000000"),2)+(MID(TEXT($N2428,"000000"),3,2)/60)+(RIGHT(TEXT($N2428,"000000"),2)/3600)),-(MID(TEXT($N2428,"000000"),2,2)+(MID(TEXT($N2428,"000000"),4,2)/60)+(RIGHT(TEXT($N2428,"000000"),2)/3600)))</f>
        <v>35.831944444444446</v>
      </c>
      <c r="P2428" s="252" t="s">
        <v>60</v>
      </c>
      <c r="Q2428" s="253" t="s">
        <v>8076</v>
      </c>
      <c r="R2428" s="277" t="s">
        <v>3293</v>
      </c>
      <c r="S2428" s="272" t="s">
        <v>3293</v>
      </c>
      <c r="T2428" s="273">
        <v>8</v>
      </c>
      <c r="U2428" s="274"/>
      <c r="V2428" s="280"/>
      <c r="W2428" s="244"/>
      <c r="X2428" s="244"/>
      <c r="Y2428" s="362"/>
      <c r="Z2428" s="257">
        <f>altaz(J2000_Bas,$O2428,$M2428,DecLat,DecLong,1)</f>
        <v>75.167428884376605</v>
      </c>
      <c r="AA2428" s="257">
        <f>altaz((J2000_Bas+(2*0.04167)),$O2428,$M2428,DecLat,DecLong,1)</f>
        <v>77.941723375473813</v>
      </c>
      <c r="AB2428" s="257">
        <f>altaz((J2000_Bas+(4*0.04167)),$O2428,$M2428,DecLat,DecLong,1)</f>
        <v>53.798581642125427</v>
      </c>
      <c r="AC2428" s="257">
        <f>altaz((J2000_Bas+(6*0.04167)),$O2428,$M2428,DecLat,DecLong,1)</f>
        <v>29.985278296488691</v>
      </c>
      <c r="AD2428" s="258">
        <f>1+ transit((J2000_Bas-1),$O2428,$M2428,DecLat,DecLong)/360 + (GMTOffset/24) + (IF(DST="Y", 1, 0)/24)</f>
        <v>1.8341035802130417</v>
      </c>
      <c r="AE2428" s="259">
        <f>DATE(2001,9,21)+(M2428/360)*365 - (360*((DecLong/360)- (GMTOffset/24) ))</f>
        <v>37467.039351851854</v>
      </c>
      <c r="AF2428" s="260">
        <f>IF(DecLat&gt;0,IF((90 - (DecLat-O2428))&gt;90, (90 - (O2428-DecLat)), (90 - (DecLat-O2428))),IF((90 + (DecLat-O2428))&gt;90, (90 + (O2428-DecLat)), (90 + (DecLat-O2428))))</f>
        <v>85.168055555555554</v>
      </c>
      <c r="AG2428" s="257">
        <f>angularseperation(MoonRA,MoonDec,$M2428,$O2428)</f>
        <v>80.682823496141069</v>
      </c>
      <c r="AH2428" s="261">
        <f ca="1">MIN(100,IF($O$5&gt;80,0+30*($AG2428/100),IF($O$5&gt;70,0+50*($AG2428/100),IF($O$5&gt;60,5+50*($AG2428/100),IF($O$5&gt;50,10+60*($AG2428/100),IF($O$5&gt;40,15+70*($AG2428/100),IF($O$5&gt;30,20+70*($AG2428/100),IF($O$5&gt;20,40+55*($AG2428/100),(80+(20-$O$5)+30*($AG2428/100))))))))))</f>
        <v>100</v>
      </c>
      <c r="AI2428" s="262">
        <v>6883</v>
      </c>
      <c r="AJ2428" s="263"/>
      <c r="AK2428" s="263"/>
      <c r="AL2428" s="263"/>
      <c r="AM2428" s="264"/>
      <c r="AN2428" s="263"/>
      <c r="AO2428" s="263"/>
      <c r="AP2428" s="265"/>
      <c r="AQ2428" s="265"/>
      <c r="AR2428" s="285"/>
      <c r="AS2428" s="263"/>
      <c r="AT2428" s="263"/>
      <c r="AU2428" s="263"/>
      <c r="AV2428" s="264"/>
      <c r="AW2428" s="263"/>
      <c r="AX2428" s="263"/>
      <c r="AY2428" s="263"/>
      <c r="AZ2428" s="263"/>
      <c r="BA2428" s="263"/>
      <c r="BB2428" s="263"/>
      <c r="BC2428" s="263"/>
      <c r="BD2428" s="264"/>
      <c r="BE2428" s="263"/>
      <c r="BF2428" s="263"/>
      <c r="BG2428" s="263"/>
      <c r="BH2428" s="263"/>
      <c r="BI2428" s="263"/>
      <c r="BJ2428" s="404">
        <f>altaz(J2000_Bas,$O2428,$M2428,DecLat,DecLong,2)</f>
        <v>66.489761425667254</v>
      </c>
      <c r="BK2428" s="378" t="s">
        <v>2295</v>
      </c>
      <c r="BL2428" s="379">
        <f>IF((2*G2428)/60&lt;0.2,0.2,(2*G2428)/60)</f>
        <v>1</v>
      </c>
      <c r="BM2428" s="380">
        <f>MOD((50000+AD2428-$B$3+(0/24)),1)</f>
        <v>4.947050991904689E-2</v>
      </c>
      <c r="BN2428" s="381"/>
      <c r="BO2428" s="382">
        <v>2419</v>
      </c>
    </row>
    <row r="2429" spans="1:67" s="24" customFormat="1" ht="15" customHeight="1" x14ac:dyDescent="0.25">
      <c r="A2429" s="288" t="s">
        <v>2296</v>
      </c>
      <c r="B2429" s="241" t="str">
        <f>HYPERLINK(CONCATENATE($AT$3,BK2429,$AU$3),$AV$3)</f>
        <v>S</v>
      </c>
      <c r="C2429" s="242" t="str">
        <f>HYPERLINK(CONCATENATE($AT$4,BK2429,$AU$4,BL2429),$AV$4)</f>
        <v>A</v>
      </c>
      <c r="D2429" s="243" t="s">
        <v>5335</v>
      </c>
      <c r="E2429" s="244" t="s">
        <v>5185</v>
      </c>
      <c r="F2429" s="269" t="s">
        <v>6633</v>
      </c>
      <c r="G2429" s="276">
        <v>20</v>
      </c>
      <c r="H2429" s="283">
        <v>2000</v>
      </c>
      <c r="I2429" s="246">
        <v>12</v>
      </c>
      <c r="J2429" s="246">
        <v>2</v>
      </c>
      <c r="K2429" s="247" t="s">
        <v>8074</v>
      </c>
      <c r="L2429" s="248">
        <v>201158</v>
      </c>
      <c r="M2429" s="249">
        <f>15*(LEFT(TEXT($L2429,"000000"),2)+(MID(TEXT($L2429,"000000"),3,2)/60)+(RIGHT(TEXT($L2429,"000000"),2)/3600))</f>
        <v>302.99166666666667</v>
      </c>
      <c r="N2429" s="250">
        <v>262900</v>
      </c>
      <c r="O2429" s="251">
        <f>IF($N2429&gt;0,(LEFT(TEXT($N2429,"000000"),2)+(MID(TEXT($N2429,"000000"),3,2)/60)+(RIGHT(TEXT($N2429,"000000"),2)/3600)),-(MID(TEXT($N2429,"000000"),2,2)+(MID(TEXT($N2429,"000000"),4,2)/60)+(RIGHT(TEXT($N2429,"000000"),2)/3600)))</f>
        <v>26.483333333333334</v>
      </c>
      <c r="P2429" s="252" t="s">
        <v>133</v>
      </c>
      <c r="Q2429" s="253"/>
      <c r="R2429" s="247" t="s">
        <v>8789</v>
      </c>
      <c r="S2429" s="272" t="s">
        <v>8788</v>
      </c>
      <c r="T2429" s="273">
        <v>8.1</v>
      </c>
      <c r="U2429" s="274"/>
      <c r="V2429" s="280"/>
      <c r="W2429" s="244"/>
      <c r="X2429" s="244"/>
      <c r="Y2429" s="362"/>
      <c r="Z2429" s="257">
        <f>altaz(J2000_Bas,$O2429,$M2429,DecLat,DecLong,1)</f>
        <v>74.45355603551387</v>
      </c>
      <c r="AA2429" s="257">
        <f>altaz((J2000_Bas+(2*0.04167)),$O2429,$M2429,DecLat,DecLong,1)</f>
        <v>77.672163522230008</v>
      </c>
      <c r="AB2429" s="257">
        <f>altaz((J2000_Bas+(4*0.04167)),$O2429,$M2429,DecLat,DecLong,1)</f>
        <v>52.104909386013674</v>
      </c>
      <c r="AC2429" s="257">
        <f>altaz((J2000_Bas+(6*0.04167)),$O2429,$M2429,DecLat,DecLong,1)</f>
        <v>26.782026580329415</v>
      </c>
      <c r="AD2429" s="258">
        <f>1+ transit((J2000_Bas-1),$O2429,$M2429,DecLat,DecLong)/360 + (GMTOffset/24) + (IF(DST="Y", 1, 0)/24)</f>
        <v>1.8345433949838748</v>
      </c>
      <c r="AE2429" s="259">
        <f>DATE(2001,9,21)+(M2429/360)*365 - (360*((DecLong/360)- (GMTOffset/24) ))</f>
        <v>37467.199884259258</v>
      </c>
      <c r="AF2429" s="260">
        <f>IF(DecLat&gt;0,IF((90 - (DecLat-O2429))&gt;90, (90 - (O2429-DecLat)), (90 - (DecLat-O2429))),IF((90 + (DecLat-O2429))&gt;90, (90 + (O2429-DecLat)), (90 + (DecLat-O2429))))</f>
        <v>85.483333333333334</v>
      </c>
      <c r="AG2429" s="257">
        <f>angularseperation(MoonRA,MoonDec,$M2429,$O2429)</f>
        <v>74.4434446791347</v>
      </c>
      <c r="AH2429" s="261">
        <f ca="1">MIN(100,IF($O$5&gt;80,0+30*($AG2429/100),IF($O$5&gt;70,0+50*($AG2429/100),IF($O$5&gt;60,5+50*($AG2429/100),IF($O$5&gt;50,10+60*($AG2429/100),IF($O$5&gt;40,15+70*($AG2429/100),IF($O$5&gt;30,20+70*($AG2429/100),IF($O$5&gt;20,40+55*($AG2429/100),(80+(20-$O$5)+30*($AG2429/100))))))))))</f>
        <v>100</v>
      </c>
      <c r="AI2429" s="262">
        <v>6885</v>
      </c>
      <c r="AJ2429" s="262"/>
      <c r="AK2429" s="262">
        <v>367</v>
      </c>
      <c r="AL2429" s="263"/>
      <c r="AM2429" s="264">
        <v>37</v>
      </c>
      <c r="AN2429" s="263"/>
      <c r="AO2429" s="263"/>
      <c r="AP2429" s="265"/>
      <c r="AQ2429" s="266"/>
      <c r="AR2429" s="267"/>
      <c r="AS2429" s="263"/>
      <c r="AT2429" s="263"/>
      <c r="AU2429" s="263"/>
      <c r="AV2429" s="264"/>
      <c r="AW2429" s="263"/>
      <c r="AX2429" s="263"/>
      <c r="AY2429" s="263"/>
      <c r="AZ2429" s="263"/>
      <c r="BA2429" s="263"/>
      <c r="BB2429" s="263"/>
      <c r="BC2429" s="263"/>
      <c r="BD2429" s="264"/>
      <c r="BE2429" s="263"/>
      <c r="BF2429" s="263"/>
      <c r="BG2429" s="263"/>
      <c r="BH2429" s="263"/>
      <c r="BI2429" s="263"/>
      <c r="BJ2429" s="404">
        <f>altaz(J2000_Bas,$O2429,$M2429,DecLat,DecLong,2)</f>
        <v>102.6361620427969</v>
      </c>
      <c r="BK2429" s="378" t="s">
        <v>2296</v>
      </c>
      <c r="BL2429" s="379">
        <f>IF((2*G2429)/60&lt;0.2,0.2,(2*G2429)/60)</f>
        <v>0.66666666666666663</v>
      </c>
      <c r="BM2429" s="380">
        <f>MOD((50000+AD2429-$B$3+(0/24)),1)</f>
        <v>4.9910324691154528E-2</v>
      </c>
      <c r="BN2429" s="381"/>
      <c r="BO2429" s="382">
        <v>2420</v>
      </c>
    </row>
    <row r="2430" spans="1:67" s="24" customFormat="1" ht="15" customHeight="1" x14ac:dyDescent="0.25">
      <c r="A2430" s="288" t="s">
        <v>2297</v>
      </c>
      <c r="B2430" s="241" t="str">
        <f>HYPERLINK(CONCATENATE($AT$3,BK2430,$AU$3),$AV$3)</f>
        <v>S</v>
      </c>
      <c r="C2430" s="242" t="str">
        <f>HYPERLINK(CONCATENATE($AT$4,BK2430,$AU$4,BL2430),$AV$4)</f>
        <v>A</v>
      </c>
      <c r="D2430" s="243" t="s">
        <v>5187</v>
      </c>
      <c r="E2430" s="244" t="s">
        <v>5183</v>
      </c>
      <c r="F2430" s="269" t="s">
        <v>4579</v>
      </c>
      <c r="G2430" s="276">
        <v>18</v>
      </c>
      <c r="H2430" s="283">
        <v>5000</v>
      </c>
      <c r="I2430" s="246">
        <v>27</v>
      </c>
      <c r="J2430" s="246">
        <v>5</v>
      </c>
      <c r="K2430" s="247" t="s">
        <v>8340</v>
      </c>
      <c r="L2430" s="248">
        <v>201206</v>
      </c>
      <c r="M2430" s="249">
        <f>15*(LEFT(TEXT($L2430,"000000"),2)+(MID(TEXT($L2430,"000000"),3,2)/60)+(RIGHT(TEXT($L2430,"000000"),2)/3600))</f>
        <v>303.02499999999998</v>
      </c>
      <c r="N2430" s="250">
        <v>382117</v>
      </c>
      <c r="O2430" s="251">
        <f>IF($N2430&gt;0,(LEFT(TEXT($N2430,"000000"),2)+(MID(TEXT($N2430,"000000"),3,2)/60)+(RIGHT(TEXT($N2430,"000000"),2)/3600)),-(MID(TEXT($N2430,"000000"),2,2)+(MID(TEXT($N2430,"000000"),4,2)/60)+(RIGHT(TEXT($N2430,"000000"),2)/3600)))</f>
        <v>38.354722222222222</v>
      </c>
      <c r="P2430" s="252" t="s">
        <v>60</v>
      </c>
      <c r="Q2430" s="253" t="s">
        <v>6962</v>
      </c>
      <c r="R2430" s="247" t="s">
        <v>7351</v>
      </c>
      <c r="S2430" s="272" t="s">
        <v>3293</v>
      </c>
      <c r="T2430" s="273"/>
      <c r="U2430" s="274"/>
      <c r="V2430" s="280"/>
      <c r="W2430" s="244"/>
      <c r="X2430" s="244"/>
      <c r="Y2430" s="362"/>
      <c r="Z2430" s="257">
        <f>altaz(J2000_Bas,$O2430,$M2430,DecLat,DecLong,1)</f>
        <v>74.222513674612216</v>
      </c>
      <c r="AA2430" s="257">
        <f>altaz((J2000_Bas+(2*0.04167)),$O2430,$M2430,DecLat,DecLong,1)</f>
        <v>77.002613181806723</v>
      </c>
      <c r="AB2430" s="257">
        <f>altaz((J2000_Bas+(4*0.04167)),$O2430,$M2430,DecLat,DecLong,1)</f>
        <v>54.097818138891789</v>
      </c>
      <c r="AC2430" s="257">
        <f>altaz((J2000_Bas+(6*0.04167)),$O2430,$M2430,DecLat,DecLong,1)</f>
        <v>30.898921863368606</v>
      </c>
      <c r="AD2430" s="258">
        <f>1+ transit((J2000_Bas-1),$O2430,$M2430,DecLat,DecLong)/360 + (GMTOffset/24) + (IF(DST="Y", 1, 0)/24)</f>
        <v>1.8346359875672078</v>
      </c>
      <c r="AE2430" s="259">
        <f>DATE(2001,9,21)+(M2430/360)*365 - (360*((DecLong/360)- (GMTOffset/24) ))</f>
        <v>37467.233680555553</v>
      </c>
      <c r="AF2430" s="260">
        <f>IF(DecLat&gt;0,IF((90 - (DecLat-O2430))&gt;90, (90 - (O2430-DecLat)), (90 - (DecLat-O2430))),IF((90 + (DecLat-O2430))&gt;90, (90 + (O2430-DecLat)), (90 + (DecLat-O2430))))</f>
        <v>82.645277777777778</v>
      </c>
      <c r="AG2430" s="257">
        <f>angularseperation(MoonRA,MoonDec,$M2430,$O2430)</f>
        <v>82.530636047625265</v>
      </c>
      <c r="AH2430" s="261">
        <f ca="1">MIN(100,IF($O$5&gt;80,0+30*($AG2430/100),IF($O$5&gt;70,0+50*($AG2430/100),IF($O$5&gt;60,5+50*($AG2430/100),IF($O$5&gt;50,10+60*($AG2430/100),IF($O$5&gt;40,15+70*($AG2430/100),IF($O$5&gt;30,20+70*($AG2430/100),IF($O$5&gt;20,40+55*($AG2430/100),(80+(20-$O$5)+30*($AG2430/100))))))))))</f>
        <v>100</v>
      </c>
      <c r="AI2430" s="262">
        <v>6888</v>
      </c>
      <c r="AJ2430" s="262"/>
      <c r="AK2430" s="262"/>
      <c r="AL2430" s="263"/>
      <c r="AM2430" s="264">
        <v>27</v>
      </c>
      <c r="AN2430" s="263"/>
      <c r="AO2430" s="263"/>
      <c r="AP2430" s="265"/>
      <c r="AQ2430" s="266"/>
      <c r="AR2430" s="267"/>
      <c r="AS2430" s="263"/>
      <c r="AT2430" s="263"/>
      <c r="AU2430" s="263"/>
      <c r="AV2430" s="264"/>
      <c r="AW2430" s="263"/>
      <c r="AX2430" s="263"/>
      <c r="AY2430" s="263">
        <v>203</v>
      </c>
      <c r="AZ2430" s="263"/>
      <c r="BA2430" s="263"/>
      <c r="BB2430" s="263">
        <v>105</v>
      </c>
      <c r="BC2430" s="263"/>
      <c r="BD2430" s="264"/>
      <c r="BE2430" s="263"/>
      <c r="BF2430" s="263"/>
      <c r="BG2430" s="263"/>
      <c r="BH2430" s="263"/>
      <c r="BI2430" s="263"/>
      <c r="BJ2430" s="404">
        <f>altaz(J2000_Bas,$O2430,$M2430,DecLat,DecLong,2)</f>
        <v>57.596650452345465</v>
      </c>
      <c r="BK2430" s="378" t="s">
        <v>2297</v>
      </c>
      <c r="BL2430" s="379">
        <f>IF((2*G2430)/60&lt;0.2,0.2,(2*G2430)/60)</f>
        <v>0.6</v>
      </c>
      <c r="BM2430" s="380">
        <f>MOD((50000+AD2430-$B$3+(0/24)),1)</f>
        <v>5.0002917269011959E-2</v>
      </c>
      <c r="BN2430" s="381"/>
      <c r="BO2430" s="382">
        <v>2421</v>
      </c>
    </row>
    <row r="2431" spans="1:67" s="24" customFormat="1" ht="15" customHeight="1" x14ac:dyDescent="0.25">
      <c r="A2431" s="288" t="s">
        <v>2298</v>
      </c>
      <c r="B2431" s="241" t="str">
        <f>HYPERLINK(CONCATENATE($AT$3,BK2431,$AU$3),$AV$3)</f>
        <v>S</v>
      </c>
      <c r="C2431" s="242" t="str">
        <f>HYPERLINK(CONCATENATE($AT$4,BK2431,$AU$4,BL2431),$AV$4)</f>
        <v>A</v>
      </c>
      <c r="D2431" s="243" t="s">
        <v>5187</v>
      </c>
      <c r="E2431" s="244" t="s">
        <v>5181</v>
      </c>
      <c r="F2431" s="269" t="s">
        <v>4798</v>
      </c>
      <c r="G2431" s="270">
        <v>0.3</v>
      </c>
      <c r="H2431" s="283">
        <v>12000</v>
      </c>
      <c r="I2431" s="279">
        <v>1.1000000000000001</v>
      </c>
      <c r="J2431" s="246">
        <v>2</v>
      </c>
      <c r="K2431" s="247" t="s">
        <v>8594</v>
      </c>
      <c r="L2431" s="248">
        <v>201509</v>
      </c>
      <c r="M2431" s="249">
        <f>15*(LEFT(TEXT($L2431,"000000"),2)+(MID(TEXT($L2431,"000000"),3,2)/60)+(RIGHT(TEXT($L2431,"000000"),2)/3600))</f>
        <v>303.78750000000002</v>
      </c>
      <c r="N2431" s="250">
        <v>124216</v>
      </c>
      <c r="O2431" s="251">
        <f>IF($N2431&gt;0,(LEFT(TEXT($N2431,"000000"),2)+(MID(TEXT($N2431,"000000"),3,2)/60)+(RIGHT(TEXT($N2431,"000000"),2)/3600)),-(MID(TEXT($N2431,"000000"),2,2)+(MID(TEXT($N2431,"000000"),4,2)/60)+(RIGHT(TEXT($N2431,"000000"),2)/3600)))</f>
        <v>12.704444444444444</v>
      </c>
      <c r="P2431" s="252" t="s">
        <v>153</v>
      </c>
      <c r="Q2431" s="253"/>
      <c r="R2431" s="247" t="s">
        <v>3293</v>
      </c>
      <c r="S2431" s="272" t="s">
        <v>3293</v>
      </c>
      <c r="T2431" s="273">
        <v>10.5</v>
      </c>
      <c r="U2431" s="274"/>
      <c r="V2431" s="280"/>
      <c r="W2431" s="244"/>
      <c r="X2431" s="244"/>
      <c r="Y2431" s="362"/>
      <c r="Z2431" s="257">
        <f>altaz(J2000_Bas,$O2431,$M2431,DecLat,DecLong,1)</f>
        <v>65.434797959359884</v>
      </c>
      <c r="AA2431" s="257">
        <f>altaz((J2000_Bas+(2*0.04167)),$O2431,$M2431,DecLat,DecLong,1)</f>
        <v>68.474878380413472</v>
      </c>
      <c r="AB2431" s="257">
        <f>altaz((J2000_Bas+(4*0.04167)),$O2431,$M2431,DecLat,DecLong,1)</f>
        <v>46.962425713047146</v>
      </c>
      <c r="AC2431" s="257">
        <f>altaz((J2000_Bas+(6*0.04167)),$O2431,$M2431,DecLat,DecLong,1)</f>
        <v>21.41666814339623</v>
      </c>
      <c r="AD2431" s="258">
        <f>1+ transit((J2000_Bas-1),$O2431,$M2431,DecLat,DecLong)/360 + (GMTOffset/24) + (IF(DST="Y", 1, 0)/24)</f>
        <v>1.8367540429109581</v>
      </c>
      <c r="AE2431" s="259">
        <f>DATE(2001,9,21)+(M2431/360)*365 - (360*((DecLong/360)- (GMTOffset/24) ))</f>
        <v>37468.00677083333</v>
      </c>
      <c r="AF2431" s="260">
        <f>IF(DecLat&gt;0,IF((90 - (DecLat-O2431))&gt;90, (90 - (O2431-DecLat)), (90 - (DecLat-O2431))),IF((90 + (DecLat-O2431))&gt;90, (90 + (O2431-DecLat)), (90 + (DecLat-O2431))))</f>
        <v>71.704444444444448</v>
      </c>
      <c r="AG2431" s="257">
        <f>angularseperation(MoonRA,MoonDec,$M2431,$O2431)</f>
        <v>66.19207042749575</v>
      </c>
      <c r="AH2431" s="261">
        <f ca="1">MIN(100,IF($O$5&gt;80,0+30*($AG2431/100),IF($O$5&gt;70,0+50*($AG2431/100),IF($O$5&gt;60,5+50*($AG2431/100),IF($O$5&gt;50,10+60*($AG2431/100),IF($O$5&gt;40,15+70*($AG2431/100),IF($O$5&gt;30,20+70*($AG2431/100),IF($O$5&gt;20,40+55*($AG2431/100),(80+(20-$O$5)+30*($AG2431/100))))))))))</f>
        <v>100</v>
      </c>
      <c r="AI2431" s="262">
        <v>6891</v>
      </c>
      <c r="AJ2431" s="262"/>
      <c r="AK2431" s="262"/>
      <c r="AL2431" s="263"/>
      <c r="AM2431" s="264"/>
      <c r="AN2431" s="263"/>
      <c r="AO2431" s="263"/>
      <c r="AP2431" s="265"/>
      <c r="AQ2431" s="266"/>
      <c r="AR2431" s="267"/>
      <c r="AS2431" s="263"/>
      <c r="AT2431" s="263">
        <v>34</v>
      </c>
      <c r="AU2431" s="263"/>
      <c r="AV2431" s="264"/>
      <c r="AW2431" s="263"/>
      <c r="AX2431" s="263"/>
      <c r="AY2431" s="263"/>
      <c r="AZ2431" s="263"/>
      <c r="BA2431" s="263"/>
      <c r="BB2431" s="263"/>
      <c r="BC2431" s="263"/>
      <c r="BD2431" s="264"/>
      <c r="BE2431" s="263"/>
      <c r="BF2431" s="263">
        <v>95</v>
      </c>
      <c r="BG2431" s="263"/>
      <c r="BH2431" s="263"/>
      <c r="BI2431" s="263"/>
      <c r="BJ2431" s="404">
        <f>altaz(J2000_Bas,$O2431,$M2431,DecLat,DecLong,2)</f>
        <v>134.21468404402898</v>
      </c>
      <c r="BK2431" s="378" t="s">
        <v>2298</v>
      </c>
      <c r="BL2431" s="379">
        <f>IF((2*G2431)/60&lt;0.2,0.2,(2*G2431)/60)</f>
        <v>0.2</v>
      </c>
      <c r="BM2431" s="380">
        <f>MOD((50000+AD2431-$B$3+(0/24)),1)</f>
        <v>5.2120972613920458E-2</v>
      </c>
      <c r="BN2431" s="381"/>
      <c r="BO2431" s="382">
        <v>2422</v>
      </c>
    </row>
    <row r="2432" spans="1:67" s="24" customFormat="1" ht="15" customHeight="1" x14ac:dyDescent="0.25">
      <c r="A2432" s="288" t="s">
        <v>2299</v>
      </c>
      <c r="B2432" s="241" t="str">
        <f>HYPERLINK(CONCATENATE($AT$3,BK2432,$AU$3),$AV$3)</f>
        <v>S</v>
      </c>
      <c r="C2432" s="242" t="str">
        <f>HYPERLINK(CONCATENATE($AT$4,BK2432,$AU$4,BL2432),$AV$4)</f>
        <v>A</v>
      </c>
      <c r="D2432" s="243" t="s">
        <v>5187</v>
      </c>
      <c r="E2432" s="244" t="s">
        <v>5181</v>
      </c>
      <c r="F2432" s="293" t="s">
        <v>7878</v>
      </c>
      <c r="G2432" s="270">
        <v>0.7</v>
      </c>
      <c r="H2432" s="283">
        <v>5000</v>
      </c>
      <c r="I2432" s="279">
        <v>1</v>
      </c>
      <c r="J2432" s="246">
        <v>2</v>
      </c>
      <c r="K2432" s="247" t="s">
        <v>8079</v>
      </c>
      <c r="L2432" s="248">
        <v>201624</v>
      </c>
      <c r="M2432" s="249">
        <f>15*(LEFT(TEXT($L2432,"000000"),2)+(MID(TEXT($L2432,"000000"),3,2)/60)+(RIGHT(TEXT($L2432,"000000"),2)/3600))</f>
        <v>304.10000000000002</v>
      </c>
      <c r="N2432" s="250">
        <v>303355</v>
      </c>
      <c r="O2432" s="251">
        <f>IF($N2432&gt;0,(LEFT(TEXT($N2432,"000000"),2)+(MID(TEXT($N2432,"000000"),3,2)/60)+(RIGHT(TEXT($N2432,"000000"),2)/3600)),-(MID(TEXT($N2432,"000000"),2,2)+(MID(TEXT($N2432,"000000"),4,2)/60)+(RIGHT(TEXT($N2432,"000000"),2)/3600)))</f>
        <v>30.56527777777778</v>
      </c>
      <c r="P2432" s="252" t="s">
        <v>60</v>
      </c>
      <c r="Q2432" s="253" t="s">
        <v>8078</v>
      </c>
      <c r="R2432" s="247" t="s">
        <v>3293</v>
      </c>
      <c r="S2432" s="272" t="s">
        <v>3293</v>
      </c>
      <c r="T2432" s="273">
        <v>12.3</v>
      </c>
      <c r="U2432" s="274"/>
      <c r="V2432" s="280"/>
      <c r="W2432" s="244"/>
      <c r="X2432" s="244"/>
      <c r="Y2432" s="362"/>
      <c r="Z2432" s="257">
        <f>altaz(J2000_Bas,$O2432,$M2432,DecLat,DecLong,1)</f>
        <v>74.463317437579306</v>
      </c>
      <c r="AA2432" s="257">
        <f>altaz((J2000_Bas+(2*0.04167)),$O2432,$M2432,DecLat,DecLong,1)</f>
        <v>79.697451578507483</v>
      </c>
      <c r="AB2432" s="257">
        <f>altaz((J2000_Bas+(4*0.04167)),$O2432,$M2432,DecLat,DecLong,1)</f>
        <v>54.074152394475519</v>
      </c>
      <c r="AC2432" s="257">
        <f>altaz((J2000_Bas+(6*0.04167)),$O2432,$M2432,DecLat,DecLong,1)</f>
        <v>29.213557139655521</v>
      </c>
      <c r="AD2432" s="258">
        <f>1+ transit((J2000_Bas-1),$O2432,$M2432,DecLat,DecLong)/360 + (GMTOffset/24) + (IF(DST="Y", 1, 0)/24)</f>
        <v>1.8376220983797082</v>
      </c>
      <c r="AE2432" s="259">
        <f>DATE(2001,9,21)+(M2432/360)*365 - (360*((DecLong/360)- (GMTOffset/24) ))</f>
        <v>37468.323611111111</v>
      </c>
      <c r="AF2432" s="260">
        <f>IF(DecLat&gt;0,IF((90 - (DecLat-O2432))&gt;90, (90 - (O2432-DecLat)), (90 - (DecLat-O2432))),IF((90 + (DecLat-O2432))&gt;90, (90 + (O2432-DecLat)), (90 + (DecLat-O2432))))</f>
        <v>89.56527777777778</v>
      </c>
      <c r="AG2432" s="257">
        <f>angularseperation(MoonRA,MoonDec,$M2432,$O2432)</f>
        <v>77.892571595018111</v>
      </c>
      <c r="AH2432" s="261">
        <f ca="1">MIN(100,IF($O$5&gt;80,0+30*($AG2432/100),IF($O$5&gt;70,0+50*($AG2432/100),IF($O$5&gt;60,5+50*($AG2432/100),IF($O$5&gt;50,10+60*($AG2432/100),IF($O$5&gt;40,15+70*($AG2432/100),IF($O$5&gt;30,20+70*($AG2432/100),IF($O$5&gt;20,40+55*($AG2432/100),(80+(20-$O$5)+30*($AG2432/100))))))))))</f>
        <v>100</v>
      </c>
      <c r="AI2432" s="262">
        <v>6894</v>
      </c>
      <c r="AJ2432" s="262"/>
      <c r="AK2432" s="262"/>
      <c r="AL2432" s="263"/>
      <c r="AM2432" s="264"/>
      <c r="AN2432" s="263"/>
      <c r="AO2432" s="263"/>
      <c r="AP2432" s="265"/>
      <c r="AQ2432" s="266"/>
      <c r="AR2432" s="267"/>
      <c r="AS2432" s="263"/>
      <c r="AT2432" s="263">
        <v>35</v>
      </c>
      <c r="AU2432" s="263"/>
      <c r="AV2432" s="264"/>
      <c r="AW2432" s="263"/>
      <c r="AX2432" s="263"/>
      <c r="AY2432" s="263"/>
      <c r="AZ2432" s="263"/>
      <c r="BA2432" s="263"/>
      <c r="BB2432" s="263"/>
      <c r="BC2432" s="263"/>
      <c r="BD2432" s="264"/>
      <c r="BE2432" s="263"/>
      <c r="BF2432" s="263">
        <v>96</v>
      </c>
      <c r="BG2432" s="263"/>
      <c r="BH2432" s="263"/>
      <c r="BI2432" s="263"/>
      <c r="BJ2432" s="404">
        <f>altaz(J2000_Bas,$O2432,$M2432,DecLat,DecLong,2)</f>
        <v>86.928683622664167</v>
      </c>
      <c r="BK2432" s="378" t="s">
        <v>2299</v>
      </c>
      <c r="BL2432" s="379">
        <f>IF((2*G2432)/60&lt;0.2,0.2,(2*G2432)/60)</f>
        <v>0.2</v>
      </c>
      <c r="BM2432" s="380">
        <f>MOD((50000+AD2432-$B$3+(0/24)),1)</f>
        <v>5.2989028081356082E-2</v>
      </c>
      <c r="BN2432" s="381"/>
      <c r="BO2432" s="382">
        <v>2423</v>
      </c>
    </row>
    <row r="2433" spans="1:67" s="24" customFormat="1" ht="15" customHeight="1" x14ac:dyDescent="0.25">
      <c r="A2433" s="288" t="s">
        <v>2300</v>
      </c>
      <c r="B2433" s="241" t="str">
        <f>HYPERLINK(CONCATENATE($AT$3,BK2433,$AU$3),$AV$3)</f>
        <v>S</v>
      </c>
      <c r="C2433" s="242" t="str">
        <f>HYPERLINK(CONCATENATE($AT$4,BK2433,$AU$4,BL2433),$AV$4)</f>
        <v>A</v>
      </c>
      <c r="D2433" s="243" t="s">
        <v>5187</v>
      </c>
      <c r="E2433" s="244" t="s">
        <v>5181</v>
      </c>
      <c r="F2433" s="293" t="s">
        <v>8687</v>
      </c>
      <c r="G2433" s="273">
        <v>1.5</v>
      </c>
      <c r="H2433" s="283">
        <v>5750</v>
      </c>
      <c r="I2433" s="279">
        <v>2.5</v>
      </c>
      <c r="J2433" s="246">
        <v>2</v>
      </c>
      <c r="K2433" s="247" t="s">
        <v>8080</v>
      </c>
      <c r="L2433" s="248">
        <v>202223</v>
      </c>
      <c r="M2433" s="249">
        <f>15*(LEFT(TEXT($L2433,"000000"),2)+(MID(TEXT($L2433,"000000"),3,2)/60)+(RIGHT(TEXT($L2433,"000000"),2)/3600))</f>
        <v>305.59583333333336</v>
      </c>
      <c r="N2433" s="250">
        <v>200616</v>
      </c>
      <c r="O2433" s="251">
        <f>IF($N2433&gt;0,(LEFT(TEXT($N2433,"000000"),2)+(MID(TEXT($N2433,"000000"),3,2)/60)+(RIGHT(TEXT($N2433,"000000"),2)/3600)),-(MID(TEXT($N2433,"000000"),2,2)+(MID(TEXT($N2433,"000000"),4,2)/60)+(RIGHT(TEXT($N2433,"000000"),2)/3600)))</f>
        <v>20.104444444444447</v>
      </c>
      <c r="P2433" s="252" t="s">
        <v>153</v>
      </c>
      <c r="Q2433" s="253" t="s">
        <v>6943</v>
      </c>
      <c r="R2433" s="247" t="s">
        <v>3293</v>
      </c>
      <c r="S2433" s="272" t="s">
        <v>3293</v>
      </c>
      <c r="T2433" s="273">
        <v>14.5</v>
      </c>
      <c r="U2433" s="274"/>
      <c r="V2433" s="280"/>
      <c r="W2433" s="244"/>
      <c r="X2433" s="244"/>
      <c r="Y2433" s="362"/>
      <c r="Z2433" s="257">
        <f>altaz(J2000_Bas,$O2433,$M2433,DecLat,DecLong,1)</f>
        <v>69.287230535676358</v>
      </c>
      <c r="AA2433" s="257">
        <f>altaz((J2000_Bas+(2*0.04167)),$O2433,$M2433,DecLat,DecLong,1)</f>
        <v>75.584715474760642</v>
      </c>
      <c r="AB2433" s="257">
        <f>altaz((J2000_Bas+(4*0.04167)),$O2433,$M2433,DecLat,DecLong,1)</f>
        <v>52.038302586928552</v>
      </c>
      <c r="AC2433" s="257">
        <f>altaz((J2000_Bas+(6*0.04167)),$O2433,$M2433,DecLat,DecLong,1)</f>
        <v>26.334033383858195</v>
      </c>
      <c r="AD2433" s="258">
        <f>1+ transit((J2000_Bas-1),$O2433,$M2433,DecLat,DecLong)/360 + (GMTOffset/24) + (IF(DST="Y", 1, 0)/24)</f>
        <v>1.8417771905567915</v>
      </c>
      <c r="AE2433" s="259">
        <f>DATE(2001,9,21)+(M2433/360)*365 - (360*((DecLong/360)- (GMTOffset/24) ))</f>
        <v>37469.840219907404</v>
      </c>
      <c r="AF2433" s="260">
        <f>IF(DecLat&gt;0,IF((90 - (DecLat-O2433))&gt;90, (90 - (O2433-DecLat)), (90 - (DecLat-O2433))),IF((90 + (DecLat-O2433))&gt;90, (90 + (O2433-DecLat)), (90 + (DecLat-O2433))))</f>
        <v>79.104444444444454</v>
      </c>
      <c r="AG2433" s="257">
        <f>angularseperation(MoonRA,MoonDec,$M2433,$O2433)</f>
        <v>72.136900152934729</v>
      </c>
      <c r="AH2433" s="261">
        <f ca="1">MIN(100,IF($O$5&gt;80,0+30*($AG2433/100),IF($O$5&gt;70,0+50*($AG2433/100),IF($O$5&gt;60,5+50*($AG2433/100),IF($O$5&gt;50,10+60*($AG2433/100),IF($O$5&gt;40,15+70*($AG2433/100),IF($O$5&gt;30,20+70*($AG2433/100),IF($O$5&gt;20,40+55*($AG2433/100),(80+(20-$O$5)+30*($AG2433/100))))))))))</f>
        <v>100</v>
      </c>
      <c r="AI2433" s="262">
        <v>6905</v>
      </c>
      <c r="AJ2433" s="262"/>
      <c r="AK2433" s="262">
        <v>368</v>
      </c>
      <c r="AL2433" s="263"/>
      <c r="AM2433" s="264"/>
      <c r="AN2433" s="263"/>
      <c r="AO2433" s="263"/>
      <c r="AP2433" s="265"/>
      <c r="AQ2433" s="266"/>
      <c r="AR2433" s="267"/>
      <c r="AS2433" s="263"/>
      <c r="AT2433" s="263">
        <v>36</v>
      </c>
      <c r="AU2433" s="263"/>
      <c r="AV2433" s="264"/>
      <c r="AW2433" s="263"/>
      <c r="AX2433" s="263"/>
      <c r="AY2433" s="263"/>
      <c r="AZ2433" s="263"/>
      <c r="BA2433" s="263"/>
      <c r="BB2433" s="263"/>
      <c r="BC2433" s="263"/>
      <c r="BD2433" s="264"/>
      <c r="BE2433" s="263"/>
      <c r="BF2433" s="263">
        <v>98</v>
      </c>
      <c r="BG2433" s="263"/>
      <c r="BH2433" s="263"/>
      <c r="BI2433" s="263"/>
      <c r="BJ2433" s="404">
        <f>altaz(J2000_Bas,$O2433,$M2433,DecLat,DecLong,2)</f>
        <v>117.08101000424253</v>
      </c>
      <c r="BK2433" s="378" t="s">
        <v>2300</v>
      </c>
      <c r="BL2433" s="379">
        <f>IF((2*G2433)/60&lt;0.2,0.2,(2*G2433)/60)</f>
        <v>0.2</v>
      </c>
      <c r="BM2433" s="380">
        <f>MOD((50000+AD2433-$B$3+(0/24)),1)</f>
        <v>5.7144120262819342E-2</v>
      </c>
      <c r="BN2433" s="381" t="s">
        <v>9121</v>
      </c>
      <c r="BO2433" s="382">
        <v>2424</v>
      </c>
    </row>
    <row r="2434" spans="1:67" s="24" customFormat="1" ht="15" customHeight="1" x14ac:dyDescent="0.25">
      <c r="A2434" s="288" t="s">
        <v>3141</v>
      </c>
      <c r="B2434" s="241" t="str">
        <f>HYPERLINK(CONCATENATE($AT$3,BK2434,$AU$3),$AV$3)</f>
        <v>S</v>
      </c>
      <c r="C2434" s="242" t="str">
        <f>HYPERLINK(CONCATENATE($AT$4,BK2434,$AU$4,BL2434),$AV$4)</f>
        <v>A</v>
      </c>
      <c r="D2434" s="243" t="s">
        <v>5638</v>
      </c>
      <c r="E2434" s="244" t="s">
        <v>5192</v>
      </c>
      <c r="F2434" s="269" t="s">
        <v>8886</v>
      </c>
      <c r="G2434" s="273">
        <v>1.5</v>
      </c>
      <c r="H2434" s="283">
        <v>220</v>
      </c>
      <c r="I2434" s="246">
        <v>100</v>
      </c>
      <c r="J2434" s="246">
        <v>2</v>
      </c>
      <c r="K2434" s="247" t="s">
        <v>8081</v>
      </c>
      <c r="L2434" s="248">
        <v>202334</v>
      </c>
      <c r="M2434" s="249">
        <f>15*(LEFT(TEXT($L2434,"000000"),2)+(MID(TEXT($L2434,"000000"),3,2)/60)+(RIGHT(TEXT($L2434,"000000"),2)/3600))</f>
        <v>305.89166666666665</v>
      </c>
      <c r="N2434" s="250">
        <v>62636</v>
      </c>
      <c r="O2434" s="251">
        <f>IF($N2434&gt;0,(LEFT(TEXT($N2434,"000000"),2)+(MID(TEXT($N2434,"000000"),3,2)/60)+(RIGHT(TEXT($N2434,"000000"),2)/3600)),-(MID(TEXT($N2434,"000000"),2,2)+(MID(TEXT($N2434,"000000"),4,2)/60)+(RIGHT(TEXT($N2434,"000000"),2)/3600)))</f>
        <v>6.4433333333333334</v>
      </c>
      <c r="P2434" s="252" t="s">
        <v>126</v>
      </c>
      <c r="Q2434" s="253"/>
      <c r="R2434" s="277" t="s">
        <v>3293</v>
      </c>
      <c r="S2434" s="272" t="s">
        <v>3293</v>
      </c>
      <c r="T2434" s="273">
        <v>12.3</v>
      </c>
      <c r="U2434" s="289">
        <v>21.29</v>
      </c>
      <c r="V2434" s="280">
        <v>60</v>
      </c>
      <c r="W2434" s="244"/>
      <c r="X2434" s="244"/>
      <c r="Y2434" s="362"/>
      <c r="Z2434" s="257">
        <f>altaz(J2000_Bas,$O2434,$M2434,DecLat,DecLong,1)</f>
        <v>59.176115724996237</v>
      </c>
      <c r="AA2434" s="257">
        <f>altaz((J2000_Bas+(2*0.04167)),$O2434,$M2434,DecLat,DecLong,1)</f>
        <v>63.65021251496578</v>
      </c>
      <c r="AB2434" s="257">
        <f>altaz((J2000_Bas+(4*0.04167)),$O2434,$M2434,DecLat,DecLong,1)</f>
        <v>45.039537522109676</v>
      </c>
      <c r="AC2434" s="257">
        <f>altaz((J2000_Bas+(6*0.04167)),$O2434,$M2434,DecLat,DecLong,1)</f>
        <v>20.121708666412619</v>
      </c>
      <c r="AD2434" s="258">
        <f>1+ transit((J2000_Bas-1),$O2434,$M2434,DecLat,DecLong)/360 + (GMTOffset/24) + (IF(DST="Y", 1, 0)/24)</f>
        <v>1.8425989497338746</v>
      </c>
      <c r="AE2434" s="259">
        <f>DATE(2001,9,21)+(M2434/360)*365 - (360*((DecLong/360)- (GMTOffset/24) ))</f>
        <v>37470.140162037038</v>
      </c>
      <c r="AF2434" s="260">
        <f>IF(DecLat&gt;0,IF((90 - (DecLat-O2434))&gt;90, (90 - (O2434-DecLat)), (90 - (DecLat-O2434))),IF((90 + (DecLat-O2434))&gt;90, (90 + (O2434-DecLat)), (90 + (DecLat-O2434))))</f>
        <v>65.443333333333328</v>
      </c>
      <c r="AG2434" s="257">
        <f>angularseperation(MoonRA,MoonDec,$M2434,$O2434)</f>
        <v>64.196671306991604</v>
      </c>
      <c r="AH2434" s="261">
        <f ca="1">MIN(100,IF($O$5&gt;80,0+30*($AG2434/100),IF($O$5&gt;70,0+50*($AG2434/100),IF($O$5&gt;60,5+50*($AG2434/100),IF($O$5&gt;50,10+60*($AG2434/100),IF($O$5&gt;40,15+70*($AG2434/100),IF($O$5&gt;30,20+70*($AG2434/100),IF($O$5&gt;20,40+55*($AG2434/100),(80+(20-$O$5)+30*($AG2434/100))))))))))</f>
        <v>100</v>
      </c>
      <c r="AI2434" s="263">
        <v>6906</v>
      </c>
      <c r="AJ2434" s="263"/>
      <c r="AK2434" s="263"/>
      <c r="AL2434" s="263"/>
      <c r="AM2434" s="264"/>
      <c r="AN2434" s="263"/>
      <c r="AO2434" s="263"/>
      <c r="AP2434" s="265"/>
      <c r="AQ2434" s="265">
        <v>11548</v>
      </c>
      <c r="AR2434" s="285">
        <v>64601</v>
      </c>
      <c r="AS2434" s="263"/>
      <c r="AT2434" s="263"/>
      <c r="AU2434" s="263"/>
      <c r="AV2434" s="264"/>
      <c r="AW2434" s="263"/>
      <c r="AX2434" s="263"/>
      <c r="AY2434" s="263"/>
      <c r="AZ2434" s="263"/>
      <c r="BA2434" s="263"/>
      <c r="BB2434" s="263"/>
      <c r="BC2434" s="263"/>
      <c r="BD2434" s="264"/>
      <c r="BE2434" s="263"/>
      <c r="BF2434" s="263"/>
      <c r="BG2434" s="263"/>
      <c r="BH2434" s="263"/>
      <c r="BI2434" s="263"/>
      <c r="BJ2434" s="404">
        <f>altaz(J2000_Bas,$O2434,$M2434,DecLat,DecLong,2)</f>
        <v>138.72004496025437</v>
      </c>
      <c r="BK2434" s="378" t="s">
        <v>3141</v>
      </c>
      <c r="BL2434" s="379">
        <f>IF((2*G2434)/60&lt;0.2,0.2,(2*G2434)/60)</f>
        <v>0.2</v>
      </c>
      <c r="BM2434" s="380">
        <f>MOD((50000+AD2434-$B$3+(0/24)),1)</f>
        <v>5.7965879437688272E-2</v>
      </c>
      <c r="BN2434" s="381"/>
      <c r="BO2434" s="382">
        <v>2425</v>
      </c>
    </row>
    <row r="2435" spans="1:67" s="24" customFormat="1" ht="15" customHeight="1" x14ac:dyDescent="0.25">
      <c r="A2435" s="288" t="s">
        <v>2301</v>
      </c>
      <c r="B2435" s="241" t="str">
        <f>HYPERLINK(CONCATENATE($AT$3,BK2435,$AU$3),$AV$3)</f>
        <v>S</v>
      </c>
      <c r="C2435" s="242" t="str">
        <f>HYPERLINK(CONCATENATE($AT$4,BK2435,$AU$4,BL2435),$AV$4)</f>
        <v>A</v>
      </c>
      <c r="D2435" s="243" t="s">
        <v>5638</v>
      </c>
      <c r="E2435" s="244" t="s">
        <v>5192</v>
      </c>
      <c r="F2435" s="269" t="s">
        <v>8886</v>
      </c>
      <c r="G2435" s="273">
        <v>3</v>
      </c>
      <c r="H2435" s="283">
        <v>120</v>
      </c>
      <c r="I2435" s="246">
        <v>100</v>
      </c>
      <c r="J2435" s="246">
        <v>3</v>
      </c>
      <c r="K2435" s="247" t="s">
        <v>8082</v>
      </c>
      <c r="L2435" s="248">
        <v>202507</v>
      </c>
      <c r="M2435" s="249">
        <f>15*(LEFT(TEXT($L2435,"000000"),2)+(MID(TEXT($L2435,"000000"),3,2)/60)+(RIGHT(TEXT($L2435,"000000"),2)/3600))</f>
        <v>306.2791666666667</v>
      </c>
      <c r="N2435" s="250">
        <v>-244832</v>
      </c>
      <c r="O2435" s="251">
        <f>IF($N2435&gt;0,(LEFT(TEXT($N2435,"000000"),2)+(MID(TEXT($N2435,"000000"),3,2)/60)+(RIGHT(TEXT($N2435,"000000"),2)/3600)),-(MID(TEXT($N2435,"000000"),2,2)+(MID(TEXT($N2435,"000000"),4,2)/60)+(RIGHT(TEXT($N2435,"000000"),2)/3600)))</f>
        <v>-24.808888888888891</v>
      </c>
      <c r="P2435" s="252" t="s">
        <v>1120</v>
      </c>
      <c r="Q2435" s="253"/>
      <c r="R2435" s="247" t="s">
        <v>3682</v>
      </c>
      <c r="S2435" s="272" t="s">
        <v>3293</v>
      </c>
      <c r="T2435" s="273">
        <v>11.2</v>
      </c>
      <c r="U2435" s="289">
        <v>22.29</v>
      </c>
      <c r="V2435" s="280">
        <v>45</v>
      </c>
      <c r="W2435" s="244"/>
      <c r="X2435" s="244"/>
      <c r="Y2435" s="362"/>
      <c r="Z2435" s="257">
        <f>altaz(J2000_Bas,$O2435,$M2435,DecLat,DecLong,1)</f>
        <v>30.913225435602143</v>
      </c>
      <c r="AA2435" s="257">
        <f>altaz((J2000_Bas+(2*0.04167)),$O2435,$M2435,DecLat,DecLong,1)</f>
        <v>33.407018303293107</v>
      </c>
      <c r="AB2435" s="257">
        <f>altaz((J2000_Bas+(4*0.04167)),$O2435,$M2435,DecLat,DecLong,1)</f>
        <v>22.386973179575378</v>
      </c>
      <c r="AC2435" s="257">
        <f>altaz((J2000_Bas+(6*0.04167)),$O2435,$M2435,DecLat,DecLong,1)</f>
        <v>2.8831166469535101</v>
      </c>
      <c r="AD2435" s="258">
        <f>1+ transit((J2000_Bas-1),$O2435,$M2435,DecLat,DecLong)/360 + (GMTOffset/24) + (IF(DST="Y", 1, 0)/24)</f>
        <v>1.8436753385151248</v>
      </c>
      <c r="AE2435" s="259">
        <f>DATE(2001,9,21)+(M2435/360)*365 - (360*((DecLong/360)- (GMTOffset/24) ))</f>
        <v>37470.533043981479</v>
      </c>
      <c r="AF2435" s="260">
        <f>IF(DecLat&gt;0,IF((90 - (DecLat-O2435))&gt;90, (90 - (O2435-DecLat)), (90 - (DecLat-O2435))),IF((90 + (DecLat-O2435))&gt;90, (90 + (O2435-DecLat)), (90 + (DecLat-O2435))))</f>
        <v>34.191111111111113</v>
      </c>
      <c r="AG2435" s="257">
        <f>angularseperation(MoonRA,MoonDec,$M2435,$O2435)</f>
        <v>50.89371706142439</v>
      </c>
      <c r="AH2435" s="261">
        <f ca="1">MIN(100,IF($O$5&gt;80,0+30*($AG2435/100),IF($O$5&gt;70,0+50*($AG2435/100),IF($O$5&gt;60,5+50*($AG2435/100),IF($O$5&gt;50,10+60*($AG2435/100),IF($O$5&gt;40,15+70*($AG2435/100),IF($O$5&gt;30,20+70*($AG2435/100),IF($O$5&gt;20,40+55*($AG2435/100),(80+(20-$O$5)+30*($AG2435/100))))))))))</f>
        <v>98.539175462577745</v>
      </c>
      <c r="AI2435" s="262">
        <v>6907</v>
      </c>
      <c r="AJ2435" s="262"/>
      <c r="AK2435" s="262"/>
      <c r="AL2435" s="263"/>
      <c r="AM2435" s="264"/>
      <c r="AN2435" s="263"/>
      <c r="AO2435" s="263"/>
      <c r="AP2435" s="265"/>
      <c r="AQ2435" s="266"/>
      <c r="AR2435" s="267">
        <v>64650</v>
      </c>
      <c r="AS2435" s="263"/>
      <c r="AT2435" s="263"/>
      <c r="AU2435" s="263"/>
      <c r="AV2435" s="264"/>
      <c r="AW2435" s="263"/>
      <c r="AX2435" s="263"/>
      <c r="AY2435" s="263"/>
      <c r="AZ2435" s="263"/>
      <c r="BA2435" s="263"/>
      <c r="BB2435" s="263"/>
      <c r="BC2435" s="263"/>
      <c r="BD2435" s="264"/>
      <c r="BE2435" s="263"/>
      <c r="BF2435" s="263"/>
      <c r="BG2435" s="263"/>
      <c r="BH2435" s="263"/>
      <c r="BI2435" s="263"/>
      <c r="BJ2435" s="404">
        <f>altaz(J2000_Bas,$O2435,$M2435,DecLat,DecLong,2)</f>
        <v>158.49061195962298</v>
      </c>
      <c r="BK2435" s="378" t="s">
        <v>2301</v>
      </c>
      <c r="BL2435" s="379">
        <f>IF((2*G2435)/60&lt;0.2,0.2,(2*G2435)/60)</f>
        <v>0.2</v>
      </c>
      <c r="BM2435" s="380">
        <f>MOD((50000+AD2435-$B$3+(0/24)),1)</f>
        <v>5.9042268221674021E-2</v>
      </c>
      <c r="BN2435" s="381"/>
      <c r="BO2435" s="382">
        <v>2426</v>
      </c>
    </row>
    <row r="2436" spans="1:67" s="24" customFormat="1" ht="15" customHeight="1" x14ac:dyDescent="0.25">
      <c r="A2436" s="288" t="s">
        <v>2302</v>
      </c>
      <c r="B2436" s="241" t="str">
        <f>HYPERLINK(CONCATENATE($AT$3,BK2436,$AU$3),$AV$3)</f>
        <v>S</v>
      </c>
      <c r="C2436" s="242" t="str">
        <f>HYPERLINK(CONCATENATE($AT$4,BK2436,$AU$4,BL2436),$AV$4)</f>
        <v>A</v>
      </c>
      <c r="D2436" s="243" t="s">
        <v>5335</v>
      </c>
      <c r="E2436" s="244" t="s">
        <v>5185</v>
      </c>
      <c r="F2436" s="269" t="s">
        <v>9082</v>
      </c>
      <c r="G2436" s="273">
        <v>8</v>
      </c>
      <c r="H2436" s="283">
        <v>4000</v>
      </c>
      <c r="I2436" s="244">
        <v>10</v>
      </c>
      <c r="J2436" s="246">
        <v>4</v>
      </c>
      <c r="K2436" s="247" t="s">
        <v>8083</v>
      </c>
      <c r="L2436" s="248">
        <v>202312</v>
      </c>
      <c r="M2436" s="249">
        <f>15*(LEFT(TEXT($L2436,"000000"),2)+(MID(TEXT($L2436,"000000"),3,2)/60)+(RIGHT(TEXT($L2436,"000000"),2)/3600))</f>
        <v>305.8</v>
      </c>
      <c r="N2436" s="250">
        <v>404642</v>
      </c>
      <c r="O2436" s="251">
        <f>IF($N2436&gt;0,(LEFT(TEXT($N2436,"000000"),2)+(MID(TEXT($N2436,"000000"),3,2)/60)+(RIGHT(TEXT($N2436,"000000"),2)/3600)),-(MID(TEXT($N2436,"000000"),2,2)+(MID(TEXT($N2436,"000000"),4,2)/60)+(RIGHT(TEXT($N2436,"000000"),2)/3600)))</f>
        <v>40.778333333333329</v>
      </c>
      <c r="P2436" s="252" t="s">
        <v>60</v>
      </c>
      <c r="Q2436" s="253" t="s">
        <v>7125</v>
      </c>
      <c r="R2436" s="247" t="s">
        <v>3293</v>
      </c>
      <c r="S2436" s="272" t="s">
        <v>3293</v>
      </c>
      <c r="T2436" s="273">
        <v>7.4</v>
      </c>
      <c r="U2436" s="274"/>
      <c r="V2436" s="280"/>
      <c r="W2436" s="244"/>
      <c r="X2436" s="244"/>
      <c r="Y2436" s="362"/>
      <c r="Z2436" s="257">
        <f>altaz(J2000_Bas,$O2436,$M2436,DecLat,DecLong,1)</f>
        <v>71.281905151780379</v>
      </c>
      <c r="AA2436" s="257">
        <f>altaz((J2000_Bas+(2*0.04167)),$O2436,$M2436,DecLat,DecLong,1)</f>
        <v>77.171289000020849</v>
      </c>
      <c r="AB2436" s="257">
        <f>altaz((J2000_Bas+(4*0.04167)),$O2436,$M2436,DecLat,DecLong,1)</f>
        <v>56.19113048922614</v>
      </c>
      <c r="AC2436" s="257">
        <f>altaz((J2000_Bas+(6*0.04167)),$O2436,$M2436,DecLat,DecLong,1)</f>
        <v>33.609145191851013</v>
      </c>
      <c r="AD2436" s="258">
        <f>1+ transit((J2000_Bas-1),$O2436,$M2436,DecLat,DecLong)/360 + (GMTOffset/24) + (IF(DST="Y", 1, 0)/24)</f>
        <v>1.8423443201297081</v>
      </c>
      <c r="AE2436" s="259">
        <f>DATE(2001,9,21)+(M2436/360)*365 - (360*((DecLong/360)- (GMTOffset/24) ))</f>
        <v>37470.047222222223</v>
      </c>
      <c r="AF2436" s="260">
        <f>IF(DecLat&gt;0,IF((90 - (DecLat-O2436))&gt;90, (90 - (O2436-DecLat)), (90 - (DecLat-O2436))),IF((90 + (DecLat-O2436))&gt;90, (90 + (O2436-DecLat)), (90 + (DecLat-O2436))))</f>
        <v>80.221666666666664</v>
      </c>
      <c r="AG2436" s="257">
        <f>angularseperation(MoonRA,MoonDec,$M2436,$O2436)</f>
        <v>85.746094048242171</v>
      </c>
      <c r="AH2436" s="261">
        <f ca="1">MIN(100,IF($O$5&gt;80,0+30*($AG2436/100),IF($O$5&gt;70,0+50*($AG2436/100),IF($O$5&gt;60,5+50*($AG2436/100),IF($O$5&gt;50,10+60*($AG2436/100),IF($O$5&gt;40,15+70*($AG2436/100),IF($O$5&gt;30,20+70*($AG2436/100),IF($O$5&gt;20,40+55*($AG2436/100),(80+(20-$O$5)+30*($AG2436/100))))))))))</f>
        <v>100</v>
      </c>
      <c r="AI2436" s="262">
        <v>6910</v>
      </c>
      <c r="AJ2436" s="262"/>
      <c r="AK2436" s="262">
        <v>369</v>
      </c>
      <c r="AL2436" s="263"/>
      <c r="AM2436" s="264"/>
      <c r="AN2436" s="263"/>
      <c r="AO2436" s="263"/>
      <c r="AP2436" s="265"/>
      <c r="AQ2436" s="266"/>
      <c r="AR2436" s="267"/>
      <c r="AS2436" s="263"/>
      <c r="AT2436" s="263"/>
      <c r="AU2436" s="263"/>
      <c r="AV2436" s="264"/>
      <c r="AW2436" s="263"/>
      <c r="AX2436" s="263"/>
      <c r="AY2436" s="263"/>
      <c r="AZ2436" s="263"/>
      <c r="BA2436" s="263"/>
      <c r="BB2436" s="263"/>
      <c r="BC2436" s="263"/>
      <c r="BD2436" s="264"/>
      <c r="BE2436" s="263"/>
      <c r="BF2436" s="263">
        <v>99</v>
      </c>
      <c r="BG2436" s="263"/>
      <c r="BH2436" s="263"/>
      <c r="BI2436" s="263"/>
      <c r="BJ2436" s="404">
        <f>altaz(J2000_Bas,$O2436,$M2436,DecLat,DecLong,2)</f>
        <v>53.054067338982819</v>
      </c>
      <c r="BK2436" s="378" t="s">
        <v>2302</v>
      </c>
      <c r="BL2436" s="379">
        <f>IF((2*G2436)/60&lt;0.2,0.2,(2*G2436)/60)</f>
        <v>0.26666666666666666</v>
      </c>
      <c r="BM2436" s="380">
        <f>MOD((50000+AD2436-$B$3+(0/24)),1)</f>
        <v>5.7711249835847411E-2</v>
      </c>
      <c r="BN2436" s="381"/>
      <c r="BO2436" s="382">
        <v>2427</v>
      </c>
    </row>
    <row r="2437" spans="1:67" s="24" customFormat="1" ht="15" customHeight="1" x14ac:dyDescent="0.25">
      <c r="A2437" s="288" t="s">
        <v>2303</v>
      </c>
      <c r="B2437" s="241" t="str">
        <f>HYPERLINK(CONCATENATE($AT$3,BK2437,$AU$3),$AV$3)</f>
        <v>S</v>
      </c>
      <c r="C2437" s="242" t="str">
        <f>HYPERLINK(CONCATENATE($AT$4,BK2437,$AU$4,BL2437),$AV$4)</f>
        <v>A</v>
      </c>
      <c r="D2437" s="243" t="s">
        <v>5638</v>
      </c>
      <c r="E2437" s="244" t="s">
        <v>5192</v>
      </c>
      <c r="F2437" s="269" t="s">
        <v>8908</v>
      </c>
      <c r="G2437" s="273">
        <v>2</v>
      </c>
      <c r="H2437" s="283">
        <v>130</v>
      </c>
      <c r="I2437" s="246">
        <v>75</v>
      </c>
      <c r="J2437" s="246">
        <v>2</v>
      </c>
      <c r="K2437" s="247" t="s">
        <v>8339</v>
      </c>
      <c r="L2437" s="248">
        <v>201939</v>
      </c>
      <c r="M2437" s="249">
        <f>15*(LEFT(TEXT($L2437,"000000"),2)+(MID(TEXT($L2437,"000000"),3,2)/60)+(RIGHT(TEXT($L2437,"000000"),2)/3600))</f>
        <v>304.91250000000002</v>
      </c>
      <c r="N2437" s="250">
        <v>664341</v>
      </c>
      <c r="O2437" s="251">
        <f>IF($N2437&gt;0,(LEFT(TEXT($N2437,"000000"),2)+(MID(TEXT($N2437,"000000"),3,2)/60)+(RIGHT(TEXT($N2437,"000000"),2)/3600)),-(MID(TEXT($N2437,"000000"),2,2)+(MID(TEXT($N2437,"000000"),4,2)/60)+(RIGHT(TEXT($N2437,"000000"),2)/3600)))</f>
        <v>66.728055555555557</v>
      </c>
      <c r="P2437" s="252" t="s">
        <v>34</v>
      </c>
      <c r="Q2437" s="253"/>
      <c r="R2437" s="247" t="s">
        <v>3293</v>
      </c>
      <c r="S2437" s="272" t="s">
        <v>3293</v>
      </c>
      <c r="T2437" s="273">
        <v>14.3</v>
      </c>
      <c r="U2437" s="289">
        <v>23.89</v>
      </c>
      <c r="V2437" s="280">
        <v>50</v>
      </c>
      <c r="W2437" s="244"/>
      <c r="X2437" s="244"/>
      <c r="Y2437" s="362"/>
      <c r="Z2437" s="257">
        <f>altaz(J2000_Bas,$O2437,$M2437,DecLat,DecLong,1)</f>
        <v>52.515677506960856</v>
      </c>
      <c r="AA2437" s="257">
        <f>altaz((J2000_Bas+(2*0.04167)),$O2437,$M2437,DecLat,DecLong,1)</f>
        <v>53.646675363897351</v>
      </c>
      <c r="AB2437" s="257">
        <f>altaz((J2000_Bas+(4*0.04167)),$O2437,$M2437,DecLat,DecLong,1)</f>
        <v>46.69551467465692</v>
      </c>
      <c r="AC2437" s="257">
        <f>altaz((J2000_Bas+(6*0.04167)),$O2437,$M2437,DecLat,DecLong,1)</f>
        <v>35.553953997065591</v>
      </c>
      <c r="AD2437" s="258">
        <f>1+ transit((J2000_Bas-1),$O2437,$M2437,DecLat,DecLong)/360 + (GMTOffset/24) + (IF(DST="Y", 1, 0)/24)</f>
        <v>1.8398790425984581</v>
      </c>
      <c r="AE2437" s="259">
        <f>DATE(2001,9,21)+(M2437/360)*365 - (360*((DecLong/360)- (GMTOffset/24) ))</f>
        <v>37469.14739583333</v>
      </c>
      <c r="AF2437" s="260">
        <f>IF(DecLat&gt;0,IF((90 - (DecLat-O2437))&gt;90, (90 - (O2437-DecLat)), (90 - (DecLat-O2437))),IF((90 + (DecLat-O2437))&gt;90, (90 + (O2437-DecLat)), (90 + (DecLat-O2437))))</f>
        <v>54.271944444444443</v>
      </c>
      <c r="AG2437" s="257">
        <f>angularseperation(MoonRA,MoonDec,$M2437,$O2437)</f>
        <v>102.70165742700758</v>
      </c>
      <c r="AH2437" s="261">
        <f ca="1">MIN(100,IF($O$5&gt;80,0+30*($AG2437/100),IF($O$5&gt;70,0+50*($AG2437/100),IF($O$5&gt;60,5+50*($AG2437/100),IF($O$5&gt;50,10+60*($AG2437/100),IF($O$5&gt;40,15+70*($AG2437/100),IF($O$5&gt;30,20+70*($AG2437/100),IF($O$5&gt;20,40+55*($AG2437/100),(80+(20-$O$5)+30*($AG2437/100))))))))))</f>
        <v>100</v>
      </c>
      <c r="AI2437" s="262">
        <v>6911</v>
      </c>
      <c r="AJ2437" s="262"/>
      <c r="AK2437" s="262"/>
      <c r="AL2437" s="263"/>
      <c r="AM2437" s="264"/>
      <c r="AN2437" s="263"/>
      <c r="AO2437" s="263"/>
      <c r="AP2437" s="265"/>
      <c r="AQ2437" s="266">
        <v>11540</v>
      </c>
      <c r="AR2437" s="267">
        <v>64485</v>
      </c>
      <c r="AS2437" s="263"/>
      <c r="AT2437" s="263"/>
      <c r="AU2437" s="263"/>
      <c r="AV2437" s="264"/>
      <c r="AW2437" s="263"/>
      <c r="AX2437" s="263"/>
      <c r="AY2437" s="263"/>
      <c r="AZ2437" s="263"/>
      <c r="BA2437" s="263"/>
      <c r="BB2437" s="263"/>
      <c r="BC2437" s="263"/>
      <c r="BD2437" s="264"/>
      <c r="BE2437" s="263"/>
      <c r="BF2437" s="263"/>
      <c r="BG2437" s="263"/>
      <c r="BH2437" s="263"/>
      <c r="BI2437" s="263"/>
      <c r="BJ2437" s="404">
        <f>altaz(J2000_Bas,$O2437,$M2437,DecLat,DecLong,2)</f>
        <v>12.146282663171894</v>
      </c>
      <c r="BK2437" s="378" t="s">
        <v>2303</v>
      </c>
      <c r="BL2437" s="379">
        <f>IF((2*G2437)/60&lt;0.2,0.2,(2*G2437)/60)</f>
        <v>0.2</v>
      </c>
      <c r="BM2437" s="380">
        <f>MOD((50000+AD2437-$B$3+(0/24)),1)</f>
        <v>5.5245972303964663E-2</v>
      </c>
      <c r="BN2437" s="381" t="s">
        <v>9271</v>
      </c>
      <c r="BO2437" s="382">
        <v>2428</v>
      </c>
    </row>
    <row r="2438" spans="1:67" s="24" customFormat="1" ht="15" customHeight="1" x14ac:dyDescent="0.25">
      <c r="A2438" s="288" t="s">
        <v>2304</v>
      </c>
      <c r="B2438" s="241" t="str">
        <f>HYPERLINK(CONCATENATE($AT$3,BK2438,$AU$3),$AV$3)</f>
        <v>S</v>
      </c>
      <c r="C2438" s="242" t="str">
        <f>HYPERLINK(CONCATENATE($AT$4,BK2438,$AU$4,BL2438),$AV$4)</f>
        <v>A</v>
      </c>
      <c r="D2438" s="243" t="s">
        <v>5187</v>
      </c>
      <c r="E2438" s="244" t="s">
        <v>5186</v>
      </c>
      <c r="F2438" s="269"/>
      <c r="G2438" s="276">
        <v>40</v>
      </c>
      <c r="H2438" s="283">
        <v>6000</v>
      </c>
      <c r="I2438" s="246">
        <v>70</v>
      </c>
      <c r="J2438" s="246">
        <v>3</v>
      </c>
      <c r="K2438" s="247" t="s">
        <v>8338</v>
      </c>
      <c r="L2438" s="248">
        <v>202443</v>
      </c>
      <c r="M2438" s="249">
        <f>15*(LEFT(TEXT($L2438,"000000"),2)+(MID(TEXT($L2438,"000000"),3,2)/60)+(RIGHT(TEXT($L2438,"000000"),2)/3600))</f>
        <v>306.17916666666667</v>
      </c>
      <c r="N2438" s="250">
        <v>422857</v>
      </c>
      <c r="O2438" s="251">
        <f>IF($N2438&gt;0,(LEFT(TEXT($N2438,"000000"),2)+(MID(TEXT($N2438,"000000"),3,2)/60)+(RIGHT(TEXT($N2438,"000000"),2)/3600)),-(MID(TEXT($N2438,"000000"),2,2)+(MID(TEXT($N2438,"000000"),4,2)/60)+(RIGHT(TEXT($N2438,"000000"),2)/3600)))</f>
        <v>42.482500000000002</v>
      </c>
      <c r="P2438" s="252" t="s">
        <v>60</v>
      </c>
      <c r="Q2438" s="253"/>
      <c r="R2438" s="247" t="s">
        <v>3293</v>
      </c>
      <c r="S2438" s="272" t="s">
        <v>3293</v>
      </c>
      <c r="T2438" s="273"/>
      <c r="U2438" s="274"/>
      <c r="V2438" s="280"/>
      <c r="W2438" s="244"/>
      <c r="X2438" s="244"/>
      <c r="Y2438" s="362"/>
      <c r="Z2438" s="257">
        <f>altaz(J2000_Bas,$O2438,$M2438,DecLat,DecLong,1)</f>
        <v>70.25295400238501</v>
      </c>
      <c r="AA2438" s="257">
        <f>altaz((J2000_Bas+(2*0.04167)),$O2438,$M2438,DecLat,DecLong,1)</f>
        <v>76.0620779140786</v>
      </c>
      <c r="AB2438" s="257">
        <f>altaz((J2000_Bas+(4*0.04167)),$O2438,$M2438,DecLat,DecLong,1)</f>
        <v>56.319625537205845</v>
      </c>
      <c r="AC2438" s="257">
        <f>altaz((J2000_Bas+(6*0.04167)),$O2438,$M2438,DecLat,DecLong,1)</f>
        <v>34.280591868435913</v>
      </c>
      <c r="AD2438" s="258">
        <f>1+ transit((J2000_Bas-1),$O2438,$M2438,DecLat,DecLong)/360 + (GMTOffset/24) + (IF(DST="Y", 1, 0)/24)</f>
        <v>1.8433975607651247</v>
      </c>
      <c r="AE2438" s="259">
        <f>DATE(2001,9,21)+(M2438/360)*365 - (360*((DecLong/360)- (GMTOffset/24) ))</f>
        <v>37470.431655092594</v>
      </c>
      <c r="AF2438" s="260">
        <f>IF(DecLat&gt;0,IF((90 - (DecLat-O2438))&gt;90, (90 - (O2438-DecLat)), (90 - (DecLat-O2438))),IF((90 + (DecLat-O2438))&gt;90, (90 + (O2438-DecLat)), (90 + (DecLat-O2438))))</f>
        <v>78.517499999999998</v>
      </c>
      <c r="AG2438" s="257">
        <f>angularseperation(MoonRA,MoonDec,$M2438,$O2438)</f>
        <v>87.092339310681055</v>
      </c>
      <c r="AH2438" s="261">
        <f ca="1">MIN(100,IF($O$5&gt;80,0+30*($AG2438/100),IF($O$5&gt;70,0+50*($AG2438/100),IF($O$5&gt;60,5+50*($AG2438/100),IF($O$5&gt;50,10+60*($AG2438/100),IF($O$5&gt;40,15+70*($AG2438/100),IF($O$5&gt;30,20+70*($AG2438/100),IF($O$5&gt;20,40+55*($AG2438/100),(80+(20-$O$5)+30*($AG2438/100))))))))))</f>
        <v>100</v>
      </c>
      <c r="AI2438" s="262">
        <v>6914</v>
      </c>
      <c r="AJ2438" s="262"/>
      <c r="AK2438" s="262"/>
      <c r="AL2438" s="263"/>
      <c r="AM2438" s="264"/>
      <c r="AN2438" s="263"/>
      <c r="AO2438" s="263"/>
      <c r="AP2438" s="265"/>
      <c r="AQ2438" s="266"/>
      <c r="AR2438" s="267"/>
      <c r="AS2438" s="263"/>
      <c r="AT2438" s="263"/>
      <c r="AU2438" s="263"/>
      <c r="AV2438" s="264"/>
      <c r="AW2438" s="263"/>
      <c r="AX2438" s="263"/>
      <c r="AY2438" s="263"/>
      <c r="AZ2438" s="263">
        <v>897</v>
      </c>
      <c r="BA2438" s="263"/>
      <c r="BB2438" s="263"/>
      <c r="BC2438" s="263"/>
      <c r="BD2438" s="264"/>
      <c r="BE2438" s="263"/>
      <c r="BF2438" s="263"/>
      <c r="BG2438" s="263"/>
      <c r="BH2438" s="263"/>
      <c r="BI2438" s="263"/>
      <c r="BJ2438" s="404">
        <f>altaz(J2000_Bas,$O2438,$M2438,DecLat,DecLong,2)</f>
        <v>48.838965536168011</v>
      </c>
      <c r="BK2438" s="378" t="s">
        <v>2304</v>
      </c>
      <c r="BL2438" s="379">
        <f>IF((2*G2438)/60&lt;0.2,0.2,(2*G2438)/60)</f>
        <v>1.3333333333333333</v>
      </c>
      <c r="BM2438" s="380">
        <f>MOD((50000+AD2438-$B$3+(0/24)),1)</f>
        <v>5.8764490466273855E-2</v>
      </c>
      <c r="BN2438" s="381"/>
      <c r="BO2438" s="382">
        <v>2429</v>
      </c>
    </row>
    <row r="2439" spans="1:67" s="24" customFormat="1" ht="15" customHeight="1" x14ac:dyDescent="0.25">
      <c r="A2439" s="288" t="s">
        <v>3112</v>
      </c>
      <c r="B2439" s="241" t="str">
        <f>HYPERLINK(CONCATENATE($AT$3,BK2439,$AU$3),$AV$3)</f>
        <v>S</v>
      </c>
      <c r="C2439" s="242" t="str">
        <f>HYPERLINK(CONCATENATE($AT$4,BK2439,$AU$4,BL2439),$AV$4)</f>
        <v>A</v>
      </c>
      <c r="D2439" s="243" t="s">
        <v>5638</v>
      </c>
      <c r="E2439" s="244" t="s">
        <v>5192</v>
      </c>
      <c r="F2439" s="269" t="s">
        <v>8886</v>
      </c>
      <c r="G2439" s="273">
        <v>1.6</v>
      </c>
      <c r="H2439" s="283">
        <v>150</v>
      </c>
      <c r="I2439" s="246">
        <v>70</v>
      </c>
      <c r="J2439" s="246">
        <v>2</v>
      </c>
      <c r="K2439" s="247" t="s">
        <v>8084</v>
      </c>
      <c r="L2439" s="248">
        <v>202333</v>
      </c>
      <c r="M2439" s="249">
        <f>15*(LEFT(TEXT($L2439,"000000"),2)+(MID(TEXT($L2439,"000000"),3,2)/60)+(RIGHT(TEXT($L2439,"000000"),2)/3600))</f>
        <v>305.88749999999999</v>
      </c>
      <c r="N2439" s="250">
        <v>582036</v>
      </c>
      <c r="O2439" s="251">
        <f>IF($N2439&gt;0,(LEFT(TEXT($N2439,"000000"),2)+(MID(TEXT($N2439,"000000"),3,2)/60)+(RIGHT(TEXT($N2439,"000000"),2)/3600)),-(MID(TEXT($N2439,"000000"),2,2)+(MID(TEXT($N2439,"000000"),4,2)/60)+(RIGHT(TEXT($N2439,"000000"),2)/3600)))</f>
        <v>58.343333333333334</v>
      </c>
      <c r="P2439" s="252" t="s">
        <v>60</v>
      </c>
      <c r="Q2439" s="253"/>
      <c r="R2439" s="277" t="s">
        <v>3293</v>
      </c>
      <c r="S2439" s="272" t="s">
        <v>3293</v>
      </c>
      <c r="T2439" s="273">
        <v>13.5</v>
      </c>
      <c r="U2439" s="289">
        <v>22.990000000000002</v>
      </c>
      <c r="V2439" s="280">
        <v>55</v>
      </c>
      <c r="W2439" s="244"/>
      <c r="X2439" s="244"/>
      <c r="Y2439" s="362"/>
      <c r="Z2439" s="257">
        <f>altaz(J2000_Bas,$O2439,$M2439,DecLat,DecLong,1)</f>
        <v>59.479578008234995</v>
      </c>
      <c r="AA2439" s="257">
        <f>altaz((J2000_Bas+(2*0.04167)),$O2439,$M2439,DecLat,DecLong,1)</f>
        <v>61.782697192239191</v>
      </c>
      <c r="AB2439" s="257">
        <f>altaz((J2000_Bas+(4*0.04167)),$O2439,$M2439,DecLat,DecLong,1)</f>
        <v>51.405736912883384</v>
      </c>
      <c r="AC2439" s="257">
        <f>altaz((J2000_Bas+(6*0.04167)),$O2439,$M2439,DecLat,DecLong,1)</f>
        <v>36.124641496620484</v>
      </c>
      <c r="AD2439" s="258">
        <f>1+ transit((J2000_Bas-1),$O2439,$M2439,DecLat,DecLong)/360 + (GMTOffset/24) + (IF(DST="Y", 1, 0)/24)</f>
        <v>1.8425873756609581</v>
      </c>
      <c r="AE2439" s="259">
        <f>DATE(2001,9,21)+(M2439/360)*365 - (360*((DecLong/360)- (GMTOffset/24) ))</f>
        <v>37470.135937500003</v>
      </c>
      <c r="AF2439" s="260">
        <f>IF(DecLat&gt;0,IF((90 - (DecLat-O2439))&gt;90, (90 - (O2439-DecLat)), (90 - (DecLat-O2439))),IF((90 + (DecLat-O2439))&gt;90, (90 + (O2439-DecLat)), (90 + (DecLat-O2439))))</f>
        <v>62.656666666666666</v>
      </c>
      <c r="AG2439" s="257">
        <f>angularseperation(MoonRA,MoonDec,$M2439,$O2439)</f>
        <v>97.50644988398895</v>
      </c>
      <c r="AH2439" s="261">
        <f ca="1">MIN(100,IF($O$5&gt;80,0+30*($AG2439/100),IF($O$5&gt;70,0+50*($AG2439/100),IF($O$5&gt;60,5+50*($AG2439/100),IF($O$5&gt;50,10+60*($AG2439/100),IF($O$5&gt;40,15+70*($AG2439/100),IF($O$5&gt;30,20+70*($AG2439/100),IF($O$5&gt;20,40+55*($AG2439/100),(80+(20-$O$5)+30*($AG2439/100))))))))))</f>
        <v>100</v>
      </c>
      <c r="AI2439" s="263">
        <v>6916</v>
      </c>
      <c r="AJ2439" s="263"/>
      <c r="AK2439" s="263"/>
      <c r="AL2439" s="263"/>
      <c r="AM2439" s="264"/>
      <c r="AN2439" s="263"/>
      <c r="AO2439" s="263"/>
      <c r="AP2439" s="265"/>
      <c r="AQ2439" s="265">
        <v>11554</v>
      </c>
      <c r="AR2439" s="285">
        <v>64600</v>
      </c>
      <c r="AS2439" s="263"/>
      <c r="AT2439" s="263"/>
      <c r="AU2439" s="263"/>
      <c r="AV2439" s="264"/>
      <c r="AW2439" s="263"/>
      <c r="AX2439" s="263"/>
      <c r="AY2439" s="263"/>
      <c r="AZ2439" s="263"/>
      <c r="BA2439" s="263"/>
      <c r="BB2439" s="263"/>
      <c r="BC2439" s="263"/>
      <c r="BD2439" s="264"/>
      <c r="BE2439" s="263"/>
      <c r="BF2439" s="263"/>
      <c r="BG2439" s="263"/>
      <c r="BH2439" s="263"/>
      <c r="BI2439" s="263"/>
      <c r="BJ2439" s="404">
        <f>altaz(J2000_Bas,$O2439,$M2439,DecLat,DecLong,2)</f>
        <v>20.579421782445468</v>
      </c>
      <c r="BK2439" s="378" t="s">
        <v>3112</v>
      </c>
      <c r="BL2439" s="379">
        <f>IF((2*G2439)/60&lt;0.2,0.2,(2*G2439)/60)</f>
        <v>0.2</v>
      </c>
      <c r="BM2439" s="380">
        <f>MOD((50000+AD2439-$B$3+(0/24)),1)</f>
        <v>5.7954305368184578E-2</v>
      </c>
      <c r="BN2439" s="381"/>
      <c r="BO2439" s="382">
        <v>2430</v>
      </c>
    </row>
    <row r="2440" spans="1:67" s="24" customFormat="1" ht="15" customHeight="1" x14ac:dyDescent="0.25">
      <c r="A2440" s="288" t="s">
        <v>2305</v>
      </c>
      <c r="B2440" s="241" t="str">
        <f>HYPERLINK(CONCATENATE($AT$3,BK2440,$AU$3),$AV$3)</f>
        <v>S</v>
      </c>
      <c r="C2440" s="242" t="str">
        <f>HYPERLINK(CONCATENATE($AT$4,BK2440,$AU$4,BL2440),$AV$4)</f>
        <v>A</v>
      </c>
      <c r="D2440" s="243" t="s">
        <v>5638</v>
      </c>
      <c r="E2440" s="244" t="s">
        <v>5192</v>
      </c>
      <c r="F2440" s="269" t="s">
        <v>8689</v>
      </c>
      <c r="G2440" s="273">
        <v>1.25</v>
      </c>
      <c r="H2440" s="283">
        <v>260.25299999999999</v>
      </c>
      <c r="I2440" s="246">
        <v>90</v>
      </c>
      <c r="J2440" s="246">
        <v>2</v>
      </c>
      <c r="K2440" s="247" t="s">
        <v>8085</v>
      </c>
      <c r="L2440" s="248">
        <v>202953</v>
      </c>
      <c r="M2440" s="249">
        <f>15*(LEFT(TEXT($L2440,"000000"),2)+(MID(TEXT($L2440,"000000"),3,2)/60)+(RIGHT(TEXT($L2440,"000000"),2)/3600))</f>
        <v>307.47083333333336</v>
      </c>
      <c r="N2440" s="250">
        <v>-21129</v>
      </c>
      <c r="O2440" s="251">
        <f>IF($N2440&gt;0,(LEFT(TEXT($N2440,"000000"),2)+(MID(TEXT($N2440,"000000"),3,2)/60)+(RIGHT(TEXT($N2440,"000000"),2)/3600)),-(MID(TEXT($N2440,"000000"),2,2)+(MID(TEXT($N2440,"000000"),4,2)/60)+(RIGHT(TEXT($N2440,"000000"),2)/3600)))</f>
        <v>-2.1913888888888886</v>
      </c>
      <c r="P2440" s="252" t="s">
        <v>126</v>
      </c>
      <c r="Q2440" s="253"/>
      <c r="R2440" s="247" t="s">
        <v>3293</v>
      </c>
      <c r="S2440" s="272" t="s">
        <v>3293</v>
      </c>
      <c r="T2440" s="273">
        <v>13.5</v>
      </c>
      <c r="U2440" s="289">
        <v>22.59</v>
      </c>
      <c r="V2440" s="280">
        <v>30</v>
      </c>
      <c r="W2440" s="244"/>
      <c r="X2440" s="244"/>
      <c r="Y2440" s="362"/>
      <c r="Z2440" s="257">
        <f>altaz(J2000_Bas,$O2440,$M2440,DecLat,DecLong,1)</f>
        <v>51.025002381430767</v>
      </c>
      <c r="AA2440" s="257">
        <f>altaz((J2000_Bas+(2*0.04167)),$O2440,$M2440,DecLat,DecLong,1)</f>
        <v>55.810077912826259</v>
      </c>
      <c r="AB2440" s="257">
        <f>altaz((J2000_Bas+(4*0.04167)),$O2440,$M2440,DecLat,DecLong,1)</f>
        <v>40.448788173347936</v>
      </c>
      <c r="AC2440" s="257">
        <f>altaz((J2000_Bas+(6*0.04167)),$O2440,$M2440,DecLat,DecLong,1)</f>
        <v>16.87324476085022</v>
      </c>
      <c r="AD2440" s="258">
        <f>1+ transit((J2000_Bas-1),$O2440,$M2440,DecLat,DecLong)/360 + (GMTOffset/24) + (IF(DST="Y", 1, 0)/24)</f>
        <v>1.8469855233692918</v>
      </c>
      <c r="AE2440" s="259">
        <f>DATE(2001,9,21)+(M2440/360)*365 - (360*((DecLong/360)- (GMTOffset/24) ))</f>
        <v>37471.741261574076</v>
      </c>
      <c r="AF2440" s="260">
        <f>IF(DecLat&gt;0,IF((90 - (DecLat-O2440))&gt;90, (90 - (O2440-DecLat)), (90 - (DecLat-O2440))),IF((90 + (DecLat-O2440))&gt;90, (90 + (O2440-DecLat)), (90 + (DecLat-O2440))))</f>
        <v>56.808611111111112</v>
      </c>
      <c r="AG2440" s="257">
        <f>angularseperation(MoonRA,MoonDec,$M2440,$O2440)</f>
        <v>60.9315555163761</v>
      </c>
      <c r="AH2440" s="261">
        <f ca="1">MIN(100,IF($O$5&gt;80,0+30*($AG2440/100),IF($O$5&gt;70,0+50*($AG2440/100),IF($O$5&gt;60,5+50*($AG2440/100),IF($O$5&gt;50,10+60*($AG2440/100),IF($O$5&gt;40,15+70*($AG2440/100),IF($O$5&gt;30,20+70*($AG2440/100),IF($O$5&gt;20,40+55*($AG2440/100),(80+(20-$O$5)+30*($AG2440/100))))))))))</f>
        <v>100</v>
      </c>
      <c r="AI2440" s="262">
        <v>6922</v>
      </c>
      <c r="AJ2440" s="262"/>
      <c r="AK2440" s="262"/>
      <c r="AL2440" s="263"/>
      <c r="AM2440" s="264"/>
      <c r="AN2440" s="263"/>
      <c r="AO2440" s="263"/>
      <c r="AP2440" s="265"/>
      <c r="AQ2440" s="266">
        <v>11574</v>
      </c>
      <c r="AR2440" s="267">
        <v>64814</v>
      </c>
      <c r="AS2440" s="263"/>
      <c r="AT2440" s="263"/>
      <c r="AU2440" s="263"/>
      <c r="AV2440" s="264"/>
      <c r="AW2440" s="263"/>
      <c r="AX2440" s="263"/>
      <c r="AY2440" s="263"/>
      <c r="AZ2440" s="263"/>
      <c r="BA2440" s="263"/>
      <c r="BB2440" s="263"/>
      <c r="BC2440" s="263"/>
      <c r="BD2440" s="264"/>
      <c r="BE2440" s="263"/>
      <c r="BF2440" s="263"/>
      <c r="BG2440" s="263"/>
      <c r="BH2440" s="263"/>
      <c r="BI2440" s="263"/>
      <c r="BJ2440" s="404">
        <f>altaz(J2000_Bas,$O2440,$M2440,DecLat,DecLong,2)</f>
        <v>144.44784369468834</v>
      </c>
      <c r="BK2440" s="378" t="s">
        <v>2305</v>
      </c>
      <c r="BL2440" s="379">
        <f>IF((2*G2440)/60&lt;0.2,0.2,(2*G2440)/60)</f>
        <v>0.2</v>
      </c>
      <c r="BM2440" s="380">
        <f>MOD((50000+AD2440-$B$3+(0/24)),1)</f>
        <v>6.2352453074709047E-2</v>
      </c>
      <c r="BN2440" s="381" t="s">
        <v>9271</v>
      </c>
      <c r="BO2440" s="382">
        <v>2431</v>
      </c>
    </row>
    <row r="2441" spans="1:67" s="24" customFormat="1" ht="15" customHeight="1" x14ac:dyDescent="0.25">
      <c r="A2441" s="288" t="s">
        <v>2306</v>
      </c>
      <c r="B2441" s="241" t="str">
        <f>HYPERLINK(CONCATENATE($AT$3,BK2441,$AU$3),$AV$3)</f>
        <v>S</v>
      </c>
      <c r="C2441" s="242" t="str">
        <f>HYPERLINK(CONCATENATE($AT$4,BK2441,$AU$4,BL2441),$AV$4)</f>
        <v>A</v>
      </c>
      <c r="D2441" s="243" t="s">
        <v>5638</v>
      </c>
      <c r="E2441" s="244" t="s">
        <v>5192</v>
      </c>
      <c r="F2441" s="269" t="s">
        <v>8699</v>
      </c>
      <c r="G2441" s="273">
        <v>3</v>
      </c>
      <c r="H2441" s="283">
        <v>100</v>
      </c>
      <c r="I2441" s="246">
        <v>90</v>
      </c>
      <c r="J2441" s="246">
        <v>2</v>
      </c>
      <c r="K2441" s="247" t="s">
        <v>8087</v>
      </c>
      <c r="L2441" s="248">
        <v>203421</v>
      </c>
      <c r="M2441" s="249">
        <f>15*(LEFT(TEXT($L2441,"000000"),2)+(MID(TEXT($L2441,"000000"),3,2)/60)+(RIGHT(TEXT($L2441,"000000"),2)/3600))</f>
        <v>308.58749999999998</v>
      </c>
      <c r="N2441" s="250">
        <v>-315850</v>
      </c>
      <c r="O2441" s="251">
        <f>IF($N2441&gt;0,(LEFT(TEXT($N2441,"000000"),2)+(MID(TEXT($N2441,"000000"),3,2)/60)+(RIGHT(TEXT($N2441,"000000"),2)/3600)),-(MID(TEXT($N2441,"000000"),2,2)+(MID(TEXT($N2441,"000000"),4,2)/60)+(RIGHT(TEXT($N2441,"000000"),2)/3600)))</f>
        <v>-31.980555555555554</v>
      </c>
      <c r="P2441" s="252" t="s">
        <v>1231</v>
      </c>
      <c r="Q2441" s="253"/>
      <c r="R2441" s="247" t="s">
        <v>8086</v>
      </c>
      <c r="S2441" s="272" t="s">
        <v>3293</v>
      </c>
      <c r="T2441" s="273">
        <v>11.3</v>
      </c>
      <c r="U2441" s="289">
        <v>21.89</v>
      </c>
      <c r="V2441" s="280">
        <v>75</v>
      </c>
      <c r="W2441" s="244"/>
      <c r="X2441" s="244"/>
      <c r="Y2441" s="362"/>
      <c r="Z2441" s="257">
        <f>altaz(J2000_Bas,$O2441,$M2441,DecLat,DecLong,1)</f>
        <v>23.486614012399187</v>
      </c>
      <c r="AA2441" s="257">
        <f>altaz((J2000_Bas+(2*0.04167)),$O2441,$M2441,DecLat,DecLong,1)</f>
        <v>26.620128691147762</v>
      </c>
      <c r="AB2441" s="257">
        <f>altaz((J2000_Bas+(4*0.04167)),$O2441,$M2441,DecLat,DecLong,1)</f>
        <v>17.661594243332196</v>
      </c>
      <c r="AC2441" s="257">
        <f>altaz((J2000_Bas+(6*0.04167)),$O2441,$M2441,DecLat,DecLong,1)</f>
        <v>0.19932159291800874</v>
      </c>
      <c r="AD2441" s="258">
        <f>1+ transit((J2000_Bas-1),$O2441,$M2441,DecLat,DecLong)/360 + (GMTOffset/24) + (IF(DST="Y", 1, 0)/24)</f>
        <v>1.8500873749109583</v>
      </c>
      <c r="AE2441" s="259">
        <f>DATE(2001,9,21)+(M2441/360)*365 - (360*((DecLong/360)- (GMTOffset/24) ))</f>
        <v>37472.873437499999</v>
      </c>
      <c r="AF2441" s="260">
        <f>IF(DecLat&gt;0,IF((90 - (DecLat-O2441))&gt;90, (90 - (O2441-DecLat)), (90 - (DecLat-O2441))),IF((90 + (DecLat-O2441))&gt;90, (90 + (O2441-DecLat)), (90 + (DecLat-O2441))))</f>
        <v>27.019444444444446</v>
      </c>
      <c r="AG2441" s="257">
        <f>angularseperation(MoonRA,MoonDec,$M2441,$O2441)</f>
        <v>51.230371646974454</v>
      </c>
      <c r="AH2441" s="261">
        <f ca="1">MIN(100,IF($O$5&gt;80,0+30*($AG2441/100),IF($O$5&gt;70,0+50*($AG2441/100),IF($O$5&gt;60,5+50*($AG2441/100),IF($O$5&gt;50,10+60*($AG2441/100),IF($O$5&gt;40,15+70*($AG2441/100),IF($O$5&gt;30,20+70*($AG2441/100),IF($O$5&gt;20,40+55*($AG2441/100),(80+(20-$O$5)+30*($AG2441/100))))))))))</f>
        <v>98.640171838242765</v>
      </c>
      <c r="AI2441" s="262">
        <v>6925</v>
      </c>
      <c r="AJ2441" s="262"/>
      <c r="AK2441" s="262"/>
      <c r="AL2441" s="263"/>
      <c r="AM2441" s="264"/>
      <c r="AN2441" s="263"/>
      <c r="AO2441" s="263"/>
      <c r="AP2441" s="265"/>
      <c r="AQ2441" s="266"/>
      <c r="AR2441" s="267">
        <v>64980</v>
      </c>
      <c r="AS2441" s="263"/>
      <c r="AT2441" s="263"/>
      <c r="AU2441" s="263"/>
      <c r="AV2441" s="264"/>
      <c r="AW2441" s="263"/>
      <c r="AX2441" s="263"/>
      <c r="AY2441" s="263"/>
      <c r="AZ2441" s="263"/>
      <c r="BA2441" s="263"/>
      <c r="BB2441" s="263"/>
      <c r="BC2441" s="263"/>
      <c r="BD2441" s="264"/>
      <c r="BE2441" s="263"/>
      <c r="BF2441" s="263"/>
      <c r="BG2441" s="263"/>
      <c r="BH2441" s="263"/>
      <c r="BI2441" s="263"/>
      <c r="BJ2441" s="404">
        <f>altaz(J2000_Bas,$O2441,$M2441,DecLat,DecLong,2)</f>
        <v>159.19493717737524</v>
      </c>
      <c r="BK2441" s="378" t="s">
        <v>2306</v>
      </c>
      <c r="BL2441" s="379">
        <f>IF((2*G2441)/60&lt;0.2,0.2,(2*G2441)/60)</f>
        <v>0.2</v>
      </c>
      <c r="BM2441" s="380">
        <f>MOD((50000+AD2441-$B$3+(0/24)),1)</f>
        <v>6.5454304618469905E-2</v>
      </c>
      <c r="BN2441" s="381"/>
      <c r="BO2441" s="382">
        <v>2432</v>
      </c>
    </row>
    <row r="2442" spans="1:67" s="24" customFormat="1" ht="15" customHeight="1" x14ac:dyDescent="0.25">
      <c r="A2442" s="288" t="s">
        <v>2307</v>
      </c>
      <c r="B2442" s="241" t="str">
        <f>HYPERLINK(CONCATENATE($AT$3,BK2442,$AU$3),$AV$3)</f>
        <v>S</v>
      </c>
      <c r="C2442" s="242" t="str">
        <f>HYPERLINK(CONCATENATE($AT$4,BK2442,$AU$4,BL2442),$AV$4)</f>
        <v>A</v>
      </c>
      <c r="D2442" s="243" t="s">
        <v>5638</v>
      </c>
      <c r="E2442" s="244" t="s">
        <v>5192</v>
      </c>
      <c r="F2442" s="269" t="s">
        <v>8895</v>
      </c>
      <c r="G2442" s="273">
        <v>2</v>
      </c>
      <c r="H2442" s="283">
        <v>275</v>
      </c>
      <c r="I2442" s="246">
        <v>150</v>
      </c>
      <c r="J2442" s="246">
        <v>2</v>
      </c>
      <c r="K2442" s="247" t="s">
        <v>8088</v>
      </c>
      <c r="L2442" s="248">
        <v>203306</v>
      </c>
      <c r="M2442" s="249">
        <f>15*(LEFT(TEXT($L2442,"000000"),2)+(MID(TEXT($L2442,"000000"),3,2)/60)+(RIGHT(TEXT($L2442,"000000"),2)/3600))</f>
        <v>308.27499999999998</v>
      </c>
      <c r="N2442" s="250">
        <v>-20141</v>
      </c>
      <c r="O2442" s="251">
        <f>IF($N2442&gt;0,(LEFT(TEXT($N2442,"000000"),2)+(MID(TEXT($N2442,"000000"),3,2)/60)+(RIGHT(TEXT($N2442,"000000"),2)/3600)),-(MID(TEXT($N2442,"000000"),2,2)+(MID(TEXT($N2442,"000000"),4,2)/60)+(RIGHT(TEXT($N2442,"000000"),2)/3600)))</f>
        <v>-2.0280555555555555</v>
      </c>
      <c r="P2442" s="252" t="s">
        <v>126</v>
      </c>
      <c r="Q2442" s="253"/>
      <c r="R2442" s="247" t="s">
        <v>3293</v>
      </c>
      <c r="S2442" s="272" t="s">
        <v>3293</v>
      </c>
      <c r="T2442" s="273">
        <v>14</v>
      </c>
      <c r="U2442" s="289">
        <v>22.19</v>
      </c>
      <c r="V2442" s="280">
        <v>65</v>
      </c>
      <c r="W2442" s="244"/>
      <c r="X2442" s="244"/>
      <c r="Y2442" s="362"/>
      <c r="Z2442" s="257">
        <f>altaz(J2000_Bas,$O2442,$M2442,DecLat,DecLong,1)</f>
        <v>50.759070074489081</v>
      </c>
      <c r="AA2442" s="257">
        <f>altaz((J2000_Bas+(2*0.04167)),$O2442,$M2442,DecLat,DecLong,1)</f>
        <v>56.145339569973409</v>
      </c>
      <c r="AB2442" s="257">
        <f>altaz((J2000_Bas+(4*0.04167)),$O2442,$M2442,DecLat,DecLong,1)</f>
        <v>41.129029988209162</v>
      </c>
      <c r="AC2442" s="257">
        <f>altaz((J2000_Bas+(6*0.04167)),$O2442,$M2442,DecLat,DecLong,1)</f>
        <v>17.633825303088877</v>
      </c>
      <c r="AD2442" s="258">
        <f>1+ transit((J2000_Bas-1),$O2442,$M2442,DecLat,DecLong)/360 + (GMTOffset/24) + (IF(DST="Y", 1, 0)/24)</f>
        <v>1.8492193194422082</v>
      </c>
      <c r="AE2442" s="259">
        <f>DATE(2001,9,21)+(M2442/360)*365 - (360*((DecLong/360)- (GMTOffset/24) ))</f>
        <v>37472.556597222225</v>
      </c>
      <c r="AF2442" s="260">
        <f>IF(DecLat&gt;0,IF((90 - (DecLat-O2442))&gt;90, (90 - (O2442-DecLat)), (90 - (DecLat-O2442))),IF((90 + (DecLat-O2442))&gt;90, (90 + (O2442-DecLat)), (90 + (DecLat-O2442))))</f>
        <v>56.971944444444446</v>
      </c>
      <c r="AG2442" s="257">
        <f>angularseperation(MoonRA,MoonDec,$M2442,$O2442)</f>
        <v>61.709428053658513</v>
      </c>
      <c r="AH2442" s="261">
        <f ca="1">MIN(100,IF($O$5&gt;80,0+30*($AG2442/100),IF($O$5&gt;70,0+50*($AG2442/100),IF($O$5&gt;60,5+50*($AG2442/100),IF($O$5&gt;50,10+60*($AG2442/100),IF($O$5&gt;40,15+70*($AG2442/100),IF($O$5&gt;30,20+70*($AG2442/100),IF($O$5&gt;20,40+55*($AG2442/100),(80+(20-$O$5)+30*($AG2442/100))))))))))</f>
        <v>100</v>
      </c>
      <c r="AI2442" s="262">
        <v>6926</v>
      </c>
      <c r="AJ2442" s="262"/>
      <c r="AK2442" s="262"/>
      <c r="AL2442" s="263"/>
      <c r="AM2442" s="264"/>
      <c r="AN2442" s="263"/>
      <c r="AO2442" s="263"/>
      <c r="AP2442" s="265"/>
      <c r="AQ2442" s="266">
        <v>11588</v>
      </c>
      <c r="AR2442" s="267">
        <v>64939</v>
      </c>
      <c r="AS2442" s="263"/>
      <c r="AT2442" s="263"/>
      <c r="AU2442" s="263"/>
      <c r="AV2442" s="264"/>
      <c r="AW2442" s="263"/>
      <c r="AX2442" s="263"/>
      <c r="AY2442" s="263"/>
      <c r="AZ2442" s="263"/>
      <c r="BA2442" s="263"/>
      <c r="BB2442" s="263"/>
      <c r="BC2442" s="263"/>
      <c r="BD2442" s="264"/>
      <c r="BE2442" s="263"/>
      <c r="BF2442" s="263"/>
      <c r="BG2442" s="263"/>
      <c r="BH2442" s="263"/>
      <c r="BI2442" s="263"/>
      <c r="BJ2442" s="404">
        <f>altaz(J2000_Bas,$O2442,$M2442,DecLat,DecLong,2)</f>
        <v>143.21802755388973</v>
      </c>
      <c r="BK2442" s="378" t="s">
        <v>2307</v>
      </c>
      <c r="BL2442" s="379">
        <f>IF((2*G2442)/60&lt;0.2,0.2,(2*G2442)/60)</f>
        <v>0.2</v>
      </c>
      <c r="BM2442" s="380">
        <f>MOD((50000+AD2442-$B$3+(0/24)),1)</f>
        <v>6.4586249143758323E-2</v>
      </c>
      <c r="BN2442" s="381" t="s">
        <v>9221</v>
      </c>
      <c r="BO2442" s="382">
        <v>2433</v>
      </c>
    </row>
    <row r="2443" spans="1:67" s="24" customFormat="1" ht="15" customHeight="1" x14ac:dyDescent="0.25">
      <c r="A2443" s="288" t="s">
        <v>2308</v>
      </c>
      <c r="B2443" s="241" t="str">
        <f>HYPERLINK(CONCATENATE($AT$3,BK2443,$AU$3),$AV$3)</f>
        <v>S</v>
      </c>
      <c r="C2443" s="242" t="str">
        <f>HYPERLINK(CONCATENATE($AT$4,BK2443,$AU$4,BL2443),$AV$4)</f>
        <v>A</v>
      </c>
      <c r="D2443" s="243" t="s">
        <v>5638</v>
      </c>
      <c r="E2443" s="244" t="s">
        <v>5192</v>
      </c>
      <c r="F2443" s="269" t="s">
        <v>8914</v>
      </c>
      <c r="G2443" s="273">
        <v>1.5</v>
      </c>
      <c r="H2443" s="283">
        <v>200</v>
      </c>
      <c r="I2443" s="246">
        <v>90</v>
      </c>
      <c r="J2443" s="246">
        <v>2</v>
      </c>
      <c r="K2443" s="247" t="s">
        <v>8337</v>
      </c>
      <c r="L2443" s="248">
        <v>203250</v>
      </c>
      <c r="M2443" s="249">
        <f>15*(LEFT(TEXT($L2443,"000000"),2)+(MID(TEXT($L2443,"000000"),3,2)/60)+(RIGHT(TEXT($L2443,"000000"),2)/3600))</f>
        <v>308.20833333333337</v>
      </c>
      <c r="N2443" s="250">
        <v>95538</v>
      </c>
      <c r="O2443" s="251">
        <f>IF($N2443&gt;0,(LEFT(TEXT($N2443,"000000"),2)+(MID(TEXT($N2443,"000000"),3,2)/60)+(RIGHT(TEXT($N2443,"000000"),2)/3600)),-(MID(TEXT($N2443,"000000"),2,2)+(MID(TEXT($N2443,"000000"),4,2)/60)+(RIGHT(TEXT($N2443,"000000"),2)/3600)))</f>
        <v>9.9272222222222215</v>
      </c>
      <c r="P2443" s="252" t="s">
        <v>153</v>
      </c>
      <c r="Q2443" s="253"/>
      <c r="R2443" s="247" t="s">
        <v>3293</v>
      </c>
      <c r="S2443" s="272" t="s">
        <v>7516</v>
      </c>
      <c r="T2443" s="273">
        <v>12.2</v>
      </c>
      <c r="U2443" s="289">
        <v>21.29</v>
      </c>
      <c r="V2443" s="280">
        <v>80</v>
      </c>
      <c r="W2443" s="244"/>
      <c r="X2443" s="244"/>
      <c r="Y2443" s="362"/>
      <c r="Z2443" s="257">
        <f>altaz(J2000_Bas,$O2443,$M2443,DecLat,DecLong,1)</f>
        <v>60.517115292645862</v>
      </c>
      <c r="AA2443" s="257">
        <f>altaz((J2000_Bas+(2*0.04167)),$O2443,$M2443,DecLat,DecLong,1)</f>
        <v>67.691603360322816</v>
      </c>
      <c r="AB2443" s="257">
        <f>altaz((J2000_Bas+(4*0.04167)),$O2443,$M2443,DecLat,DecLong,1)</f>
        <v>48.978815993431134</v>
      </c>
      <c r="AC2443" s="257">
        <f>altaz((J2000_Bas+(6*0.04167)),$O2443,$M2443,DecLat,DecLong,1)</f>
        <v>23.855350764392163</v>
      </c>
      <c r="AD2443" s="258">
        <f>1+ transit((J2000_Bas-1),$O2443,$M2443,DecLat,DecLong)/360 + (GMTOffset/24) + (IF(DST="Y", 1, 0)/24)</f>
        <v>1.8490341342755412</v>
      </c>
      <c r="AE2443" s="259">
        <f>DATE(2001,9,21)+(M2443/360)*365 - (360*((DecLong/360)- (GMTOffset/24) ))</f>
        <v>37472.489004629628</v>
      </c>
      <c r="AF2443" s="260">
        <f>IF(DecLat&gt;0,IF((90 - (DecLat-O2443))&gt;90, (90 - (O2443-DecLat)), (90 - (DecLat-O2443))),IF((90 + (DecLat-O2443))&gt;90, (90 + (O2443-DecLat)), (90 + (DecLat-O2443))))</f>
        <v>68.927222222222213</v>
      </c>
      <c r="AG2443" s="257">
        <f>angularseperation(MoonRA,MoonDec,$M2443,$O2443)</f>
        <v>68.059636789834315</v>
      </c>
      <c r="AH2443" s="261">
        <f ca="1">MIN(100,IF($O$5&gt;80,0+30*($AG2443/100),IF($O$5&gt;70,0+50*($AG2443/100),IF($O$5&gt;60,5+50*($AG2443/100),IF($O$5&gt;50,10+60*($AG2443/100),IF($O$5&gt;40,15+70*($AG2443/100),IF($O$5&gt;30,20+70*($AG2443/100),IF($O$5&gt;20,40+55*($AG2443/100),(80+(20-$O$5)+30*($AG2443/100))))))))))</f>
        <v>100</v>
      </c>
      <c r="AI2443" s="262">
        <v>6928</v>
      </c>
      <c r="AJ2443" s="262"/>
      <c r="AK2443" s="262"/>
      <c r="AL2443" s="263"/>
      <c r="AM2443" s="264"/>
      <c r="AN2443" s="263"/>
      <c r="AO2443" s="263"/>
      <c r="AP2443" s="265"/>
      <c r="AQ2443" s="266"/>
      <c r="AR2443" s="267">
        <v>64932</v>
      </c>
      <c r="AS2443" s="263"/>
      <c r="AT2443" s="263"/>
      <c r="AU2443" s="263"/>
      <c r="AV2443" s="264"/>
      <c r="AW2443" s="263"/>
      <c r="AX2443" s="263"/>
      <c r="AY2443" s="263"/>
      <c r="AZ2443" s="263"/>
      <c r="BA2443" s="263"/>
      <c r="BB2443" s="263"/>
      <c r="BC2443" s="263"/>
      <c r="BD2443" s="264"/>
      <c r="BE2443" s="263"/>
      <c r="BF2443" s="263"/>
      <c r="BG2443" s="263"/>
      <c r="BH2443" s="263"/>
      <c r="BI2443" s="263"/>
      <c r="BJ2443" s="404">
        <f>altaz(J2000_Bas,$O2443,$M2443,DecLat,DecLong,2)</f>
        <v>130.85181253222709</v>
      </c>
      <c r="BK2443" s="378" t="s">
        <v>2308</v>
      </c>
      <c r="BL2443" s="379">
        <f>IF((2*G2443)/60&lt;0.2,0.2,(2*G2443)/60)</f>
        <v>0.2</v>
      </c>
      <c r="BM2443" s="380">
        <f>MOD((50000+AD2443-$B$3+(0/24)),1)</f>
        <v>6.4401063980767503E-2</v>
      </c>
      <c r="BN2443" s="381"/>
      <c r="BO2443" s="382">
        <v>2434</v>
      </c>
    </row>
    <row r="2444" spans="1:67" s="24" customFormat="1" ht="15" customHeight="1" x14ac:dyDescent="0.25">
      <c r="A2444" s="288" t="s">
        <v>2309</v>
      </c>
      <c r="B2444" s="241" t="str">
        <f>HYPERLINK(CONCATENATE($AT$3,BK2444,$AU$3),$AV$3)</f>
        <v>S</v>
      </c>
      <c r="C2444" s="242" t="str">
        <f>HYPERLINK(CONCATENATE($AT$4,BK2444,$AU$4,BL2444),$AV$4)</f>
        <v>A</v>
      </c>
      <c r="D2444" s="243" t="s">
        <v>5335</v>
      </c>
      <c r="E2444" s="244" t="s">
        <v>5184</v>
      </c>
      <c r="F2444" s="269" t="s">
        <v>3314</v>
      </c>
      <c r="G2444" s="273">
        <v>8</v>
      </c>
      <c r="H2444" s="283">
        <v>50000</v>
      </c>
      <c r="I2444" s="246">
        <v>120</v>
      </c>
      <c r="J2444" s="246">
        <v>2</v>
      </c>
      <c r="K2444" s="247" t="s">
        <v>8089</v>
      </c>
      <c r="L2444" s="248">
        <v>203411</v>
      </c>
      <c r="M2444" s="249">
        <f>15*(LEFT(TEXT($L2444,"000000"),2)+(MID(TEXT($L2444,"000000"),3,2)/60)+(RIGHT(TEXT($L2444,"000000"),2)/3600))</f>
        <v>308.54583333333335</v>
      </c>
      <c r="N2444" s="250">
        <v>72417</v>
      </c>
      <c r="O2444" s="251">
        <f>IF($N2444&gt;0,(LEFT(TEXT($N2444,"000000"),2)+(MID(TEXT($N2444,"000000"),3,2)/60)+(RIGHT(TEXT($N2444,"000000"),2)/3600)),-(MID(TEXT($N2444,"000000"),2,2)+(MID(TEXT($N2444,"000000"),4,2)/60)+(RIGHT(TEXT($N2444,"000000"),2)/3600)))</f>
        <v>7.4047222222222224</v>
      </c>
      <c r="P2444" s="252" t="s">
        <v>153</v>
      </c>
      <c r="Q2444" s="253"/>
      <c r="R2444" s="247" t="s">
        <v>7369</v>
      </c>
      <c r="S2444" s="272" t="s">
        <v>3293</v>
      </c>
      <c r="T2444" s="273">
        <v>8.9</v>
      </c>
      <c r="U2444" s="274"/>
      <c r="V2444" s="280"/>
      <c r="W2444" s="244"/>
      <c r="X2444" s="244"/>
      <c r="Y2444" s="362"/>
      <c r="Z2444" s="257">
        <f>altaz(J2000_Bas,$O2444,$M2444,DecLat,DecLong,1)</f>
        <v>58.369333513849178</v>
      </c>
      <c r="AA2444" s="257">
        <f>altaz((J2000_Bas+(2*0.04167)),$O2444,$M2444,DecLat,DecLong,1)</f>
        <v>65.373492931677433</v>
      </c>
      <c r="AB2444" s="257">
        <f>altaz((J2000_Bas+(4*0.04167)),$O2444,$M2444,DecLat,DecLong,1)</f>
        <v>47.697661954758985</v>
      </c>
      <c r="AC2444" s="257">
        <f>altaz((J2000_Bas+(6*0.04167)),$O2444,$M2444,DecLat,DecLong,1)</f>
        <v>22.878519842042614</v>
      </c>
      <c r="AD2444" s="258">
        <f>1+ transit((J2000_Bas-1),$O2444,$M2444,DecLat,DecLong)/360 + (GMTOffset/24) + (IF(DST="Y", 1, 0)/24)</f>
        <v>1.8499716341817913</v>
      </c>
      <c r="AE2444" s="259">
        <f>DATE(2001,9,21)+(M2444/360)*365 - (360*((DecLong/360)- (GMTOffset/24) ))</f>
        <v>37472.831192129626</v>
      </c>
      <c r="AF2444" s="260">
        <f>IF(DecLat&gt;0,IF((90 - (DecLat-O2444))&gt;90, (90 - (O2444-DecLat)), (90 - (DecLat-O2444))),IF((90 + (DecLat-O2444))&gt;90, (90 + (O2444-DecLat)), (90 + (DecLat-O2444))))</f>
        <v>66.404722222222219</v>
      </c>
      <c r="AG2444" s="257">
        <f>angularseperation(MoonRA,MoonDec,$M2444,$O2444)</f>
        <v>66.918747223186955</v>
      </c>
      <c r="AH2444" s="261">
        <f ca="1">MIN(100,IF($O$5&gt;80,0+30*($AG2444/100),IF($O$5&gt;70,0+50*($AG2444/100),IF($O$5&gt;60,5+50*($AG2444/100),IF($O$5&gt;50,10+60*($AG2444/100),IF($O$5&gt;40,15+70*($AG2444/100),IF($O$5&gt;30,20+70*($AG2444/100),IF($O$5&gt;20,40+55*($AG2444/100),(80+(20-$O$5)+30*($AG2444/100))))))))))</f>
        <v>100</v>
      </c>
      <c r="AI2444" s="262">
        <v>6934</v>
      </c>
      <c r="AJ2444" s="262"/>
      <c r="AK2444" s="262">
        <v>370</v>
      </c>
      <c r="AL2444" s="263"/>
      <c r="AM2444" s="264">
        <v>47</v>
      </c>
      <c r="AN2444" s="263"/>
      <c r="AO2444" s="263"/>
      <c r="AP2444" s="265"/>
      <c r="AQ2444" s="266"/>
      <c r="AR2444" s="267"/>
      <c r="AS2444" s="263"/>
      <c r="AT2444" s="263"/>
      <c r="AU2444" s="263"/>
      <c r="AV2444" s="264"/>
      <c r="AW2444" s="263"/>
      <c r="AX2444" s="263"/>
      <c r="AY2444" s="263"/>
      <c r="AZ2444" s="263"/>
      <c r="BA2444" s="263"/>
      <c r="BB2444" s="263"/>
      <c r="BC2444" s="263"/>
      <c r="BD2444" s="264"/>
      <c r="BE2444" s="263"/>
      <c r="BF2444" s="263"/>
      <c r="BG2444" s="263"/>
      <c r="BH2444" s="263"/>
      <c r="BI2444" s="263"/>
      <c r="BJ2444" s="404">
        <f>altaz(J2000_Bas,$O2444,$M2444,DecLat,DecLong,2)</f>
        <v>133.53708424822173</v>
      </c>
      <c r="BK2444" s="378" t="s">
        <v>2309</v>
      </c>
      <c r="BL2444" s="379">
        <f>IF((2*G2444)/60&lt;0.2,0.2,(2*G2444)/60)</f>
        <v>0.26666666666666666</v>
      </c>
      <c r="BM2444" s="380">
        <f>MOD((50000+AD2444-$B$3+(0/24)),1)</f>
        <v>6.5338563887053169E-2</v>
      </c>
      <c r="BN2444" s="381"/>
      <c r="BO2444" s="382">
        <v>2435</v>
      </c>
    </row>
    <row r="2445" spans="1:67" s="24" customFormat="1" ht="15" customHeight="1" x14ac:dyDescent="0.25">
      <c r="A2445" s="288" t="s">
        <v>2310</v>
      </c>
      <c r="B2445" s="241" t="str">
        <f>HYPERLINK(CONCATENATE($AT$3,BK2445,$AU$3),$AV$3)</f>
        <v>S</v>
      </c>
      <c r="C2445" s="242" t="str">
        <f>HYPERLINK(CONCATENATE($AT$4,BK2445,$AU$4,BL2445),$AV$4)</f>
        <v>A</v>
      </c>
      <c r="D2445" s="243" t="s">
        <v>5335</v>
      </c>
      <c r="E2445" s="244" t="s">
        <v>5185</v>
      </c>
      <c r="F2445" s="269" t="s">
        <v>8091</v>
      </c>
      <c r="G2445" s="276">
        <v>10</v>
      </c>
      <c r="H2445" s="283">
        <v>5000</v>
      </c>
      <c r="I2445" s="246">
        <v>15</v>
      </c>
      <c r="J2445" s="246">
        <v>2</v>
      </c>
      <c r="K2445" s="247" t="s">
        <v>8092</v>
      </c>
      <c r="L2445" s="248">
        <v>203130</v>
      </c>
      <c r="M2445" s="249">
        <f>15*(LEFT(TEXT($L2445,"000000"),2)+(MID(TEXT($L2445,"000000"),3,2)/60)+(RIGHT(TEXT($L2445,"000000"),2)/3600))</f>
        <v>307.875</v>
      </c>
      <c r="N2445" s="250">
        <v>603942</v>
      </c>
      <c r="O2445" s="251">
        <f>IF($N2445&gt;0,(LEFT(TEXT($N2445,"000000"),2)+(MID(TEXT($N2445,"000000"),3,2)/60)+(RIGHT(TEXT($N2445,"000000"),2)/3600)),-(MID(TEXT($N2445,"000000"),2,2)+(MID(TEXT($N2445,"000000"),4,2)/60)+(RIGHT(TEXT($N2445,"000000"),2)/3600)))</f>
        <v>60.661666666666662</v>
      </c>
      <c r="P2445" s="252" t="s">
        <v>52</v>
      </c>
      <c r="Q2445" s="253" t="s">
        <v>7110</v>
      </c>
      <c r="R2445" s="247" t="s">
        <v>3293</v>
      </c>
      <c r="S2445" s="272" t="s">
        <v>8090</v>
      </c>
      <c r="T2445" s="273">
        <v>7.8</v>
      </c>
      <c r="U2445" s="274"/>
      <c r="V2445" s="280"/>
      <c r="W2445" s="244"/>
      <c r="X2445" s="244"/>
      <c r="Y2445" s="362"/>
      <c r="Z2445" s="257">
        <f>altaz(J2000_Bas,$O2445,$M2445,DecLat,DecLong,1)</f>
        <v>57.006333654510442</v>
      </c>
      <c r="AA2445" s="257">
        <f>altaz((J2000_Bas+(2*0.04167)),$O2445,$M2445,DecLat,DecLong,1)</f>
        <v>59.843478206302791</v>
      </c>
      <c r="AB2445" s="257">
        <f>altaz((J2000_Bas+(4*0.04167)),$O2445,$M2445,DecLat,DecLong,1)</f>
        <v>51.131432852182769</v>
      </c>
      <c r="AC2445" s="257">
        <f>altaz((J2000_Bas+(6*0.04167)),$O2445,$M2445,DecLat,DecLong,1)</f>
        <v>37.136344237981461</v>
      </c>
      <c r="AD2445" s="258">
        <f>1+ transit((J2000_Bas-1),$O2445,$M2445,DecLat,DecLong)/360 + (GMTOffset/24) + (IF(DST="Y", 1, 0)/24)</f>
        <v>1.848108208442208</v>
      </c>
      <c r="AE2445" s="259">
        <f>DATE(2001,9,21)+(M2445/360)*365 - (360*((DecLong/360)- (GMTOffset/24) ))</f>
        <v>37472.151041666664</v>
      </c>
      <c r="AF2445" s="260">
        <f>IF(DecLat&gt;0,IF((90 - (DecLat-O2445))&gt;90, (90 - (O2445-DecLat)), (90 - (DecLat-O2445))),IF((90 + (DecLat-O2445))&gt;90, (90 + (O2445-DecLat)), (90 + (DecLat-O2445))))</f>
        <v>60.338333333333338</v>
      </c>
      <c r="AG2445" s="257">
        <f>angularseperation(MoonRA,MoonDec,$M2445,$O2445)</f>
        <v>99.778169662512013</v>
      </c>
      <c r="AH2445" s="261">
        <f ca="1">MIN(100,IF($O$5&gt;80,0+30*($AG2445/100),IF($O$5&gt;70,0+50*($AG2445/100),IF($O$5&gt;60,5+50*($AG2445/100),IF($O$5&gt;50,10+60*($AG2445/100),IF($O$5&gt;40,15+70*($AG2445/100),IF($O$5&gt;30,20+70*($AG2445/100),IF($O$5&gt;20,40+55*($AG2445/100),(80+(20-$O$5)+30*($AG2445/100))))))))))</f>
        <v>100</v>
      </c>
      <c r="AI2445" s="262">
        <v>6939</v>
      </c>
      <c r="AJ2445" s="262"/>
      <c r="AK2445" s="262">
        <v>371</v>
      </c>
      <c r="AL2445" s="263"/>
      <c r="AM2445" s="264"/>
      <c r="AN2445" s="263"/>
      <c r="AO2445" s="263"/>
      <c r="AP2445" s="265"/>
      <c r="AQ2445" s="266"/>
      <c r="AR2445" s="267"/>
      <c r="AS2445" s="263"/>
      <c r="AT2445" s="263"/>
      <c r="AU2445" s="263"/>
      <c r="AV2445" s="264"/>
      <c r="AW2445" s="263"/>
      <c r="AX2445" s="263"/>
      <c r="AY2445" s="263"/>
      <c r="AZ2445" s="263"/>
      <c r="BA2445" s="263"/>
      <c r="BB2445" s="263"/>
      <c r="BC2445" s="263"/>
      <c r="BD2445" s="264"/>
      <c r="BE2445" s="263"/>
      <c r="BF2445" s="263">
        <v>100</v>
      </c>
      <c r="BG2445" s="263"/>
      <c r="BH2445" s="263"/>
      <c r="BI2445" s="263"/>
      <c r="BJ2445" s="404">
        <f>altaz(J2000_Bas,$O2445,$M2445,DecLat,DecLong,2)</f>
        <v>19.584711792980485</v>
      </c>
      <c r="BK2445" s="378" t="s">
        <v>2310</v>
      </c>
      <c r="BL2445" s="379">
        <f>IF((2*G2445)/60&lt;0.2,0.2,(2*G2445)/60)</f>
        <v>0.33333333333333331</v>
      </c>
      <c r="BM2445" s="380">
        <f>MOD((50000+AD2445-$B$3+(0/24)),1)</f>
        <v>6.3475138143985532E-2</v>
      </c>
      <c r="BN2445" s="381"/>
      <c r="BO2445" s="382">
        <v>2436</v>
      </c>
    </row>
    <row r="2446" spans="1:67" s="24" customFormat="1" ht="15" customHeight="1" x14ac:dyDescent="0.25">
      <c r="A2446" s="288" t="s">
        <v>2311</v>
      </c>
      <c r="B2446" s="241" t="str">
        <f>HYPERLINK(CONCATENATE($AT$3,BK2446,$AU$3),$AV$3)</f>
        <v>S</v>
      </c>
      <c r="C2446" s="242" t="str">
        <f>HYPERLINK(CONCATENATE($AT$4,BK2446,$AU$4,BL2446),$AV$4)</f>
        <v>A</v>
      </c>
      <c r="D2446" s="243" t="s">
        <v>5335</v>
      </c>
      <c r="E2446" s="244" t="s">
        <v>5185</v>
      </c>
      <c r="F2446" s="269" t="s">
        <v>8093</v>
      </c>
      <c r="G2446" s="276">
        <v>31</v>
      </c>
      <c r="H2446" s="283">
        <v>2500</v>
      </c>
      <c r="I2446" s="246">
        <v>23</v>
      </c>
      <c r="J2446" s="246">
        <v>1</v>
      </c>
      <c r="K2446" s="247" t="s">
        <v>8094</v>
      </c>
      <c r="L2446" s="248">
        <v>203426</v>
      </c>
      <c r="M2446" s="249">
        <f>15*(LEFT(TEXT($L2446,"000000"),2)+(MID(TEXT($L2446,"000000"),3,2)/60)+(RIGHT(TEXT($L2446,"000000"),2)/3600))</f>
        <v>308.60833333333335</v>
      </c>
      <c r="N2446" s="250">
        <v>281700</v>
      </c>
      <c r="O2446" s="251">
        <f>IF($N2446&gt;0,(LEFT(TEXT($N2446,"000000"),2)+(MID(TEXT($N2446,"000000"),3,2)/60)+(RIGHT(TEXT($N2446,"000000"),2)/3600)),-(MID(TEXT($N2446,"000000"),2,2)+(MID(TEXT($N2446,"000000"),4,2)/60)+(RIGHT(TEXT($N2446,"000000"),2)/3600)))</f>
        <v>28.283333333333335</v>
      </c>
      <c r="P2446" s="252" t="s">
        <v>133</v>
      </c>
      <c r="Q2446" s="253" t="s">
        <v>7135</v>
      </c>
      <c r="R2446" s="247" t="s">
        <v>3293</v>
      </c>
      <c r="S2446" s="272" t="s">
        <v>3293</v>
      </c>
      <c r="T2446" s="273">
        <v>6.3</v>
      </c>
      <c r="U2446" s="274"/>
      <c r="V2446" s="280"/>
      <c r="W2446" s="244"/>
      <c r="X2446" s="244"/>
      <c r="Y2446" s="362"/>
      <c r="Z2446" s="257">
        <f>altaz(J2000_Bas,$O2446,$M2446,DecLat,DecLong,1)</f>
        <v>70.20048783774493</v>
      </c>
      <c r="AA2446" s="257">
        <f>altaz((J2000_Bas+(2*0.04167)),$O2446,$M2446,DecLat,DecLong,1)</f>
        <v>82.957161368322204</v>
      </c>
      <c r="AB2446" s="257">
        <f>altaz((J2000_Bas+(4*0.04167)),$O2446,$M2446,DecLat,DecLong,1)</f>
        <v>57.39266321104752</v>
      </c>
      <c r="AC2446" s="257">
        <f>altaz((J2000_Bas+(6*0.04167)),$O2446,$M2446,DecLat,DecLong,1)</f>
        <v>32.079997453362957</v>
      </c>
      <c r="AD2446" s="258">
        <f>1+ transit((J2000_Bas-1),$O2446,$M2446,DecLat,DecLong)/360 + (GMTOffset/24) + (IF(DST="Y", 1, 0)/24)</f>
        <v>1.8501452452755414</v>
      </c>
      <c r="AE2446" s="259">
        <f>DATE(2001,9,21)+(M2446/360)*365 - (360*((DecLong/360)- (GMTOffset/24) ))</f>
        <v>37472.894560185188</v>
      </c>
      <c r="AF2446" s="260">
        <f>IF(DecLat&gt;0,IF((90 - (DecLat-O2446))&gt;90, (90 - (O2446-DecLat)), (90 - (DecLat-O2446))),IF((90 + (DecLat-O2446))&gt;90, (90 + (O2446-DecLat)), (90 + (DecLat-O2446))))</f>
        <v>87.283333333333331</v>
      </c>
      <c r="AG2446" s="257">
        <f>angularseperation(MoonRA,MoonDec,$M2446,$O2446)</f>
        <v>79.410407310968083</v>
      </c>
      <c r="AH2446" s="261">
        <f ca="1">MIN(100,IF($O$5&gt;80,0+30*($AG2446/100),IF($O$5&gt;70,0+50*($AG2446/100),IF($O$5&gt;60,5+50*($AG2446/100),IF($O$5&gt;50,10+60*($AG2446/100),IF($O$5&gt;40,15+70*($AG2446/100),IF($O$5&gt;30,20+70*($AG2446/100),IF($O$5&gt;20,40+55*($AG2446/100),(80+(20-$O$5)+30*($AG2446/100))))))))))</f>
        <v>100</v>
      </c>
      <c r="AI2446" s="262">
        <v>6940</v>
      </c>
      <c r="AJ2446" s="262"/>
      <c r="AK2446" s="262">
        <v>372</v>
      </c>
      <c r="AL2446" s="263"/>
      <c r="AM2446" s="264"/>
      <c r="AN2446" s="263"/>
      <c r="AO2446" s="263"/>
      <c r="AP2446" s="265"/>
      <c r="AQ2446" s="266"/>
      <c r="AR2446" s="267"/>
      <c r="AS2446" s="263"/>
      <c r="AT2446" s="263"/>
      <c r="AU2446" s="263"/>
      <c r="AV2446" s="264"/>
      <c r="AW2446" s="263"/>
      <c r="AX2446" s="263"/>
      <c r="AY2446" s="263"/>
      <c r="AZ2446" s="263"/>
      <c r="BA2446" s="263"/>
      <c r="BB2446" s="263"/>
      <c r="BC2446" s="263"/>
      <c r="BD2446" s="264"/>
      <c r="BE2446" s="263">
        <v>101</v>
      </c>
      <c r="BF2446" s="263"/>
      <c r="BG2446" s="263"/>
      <c r="BH2446" s="263"/>
      <c r="BI2446" s="263"/>
      <c r="BJ2446" s="404">
        <f>altaz(J2000_Bas,$O2446,$M2446,DecLat,DecLong,2)</f>
        <v>92.1235781611108</v>
      </c>
      <c r="BK2446" s="378" t="s">
        <v>2311</v>
      </c>
      <c r="BL2446" s="379">
        <f>IF((2*G2446)/60&lt;0.2,0.2,(2*G2446)/60)</f>
        <v>1.0333333333333334</v>
      </c>
      <c r="BM2446" s="380">
        <f>MOD((50000+AD2446-$B$3+(0/24)),1)</f>
        <v>6.5512174980540294E-2</v>
      </c>
      <c r="BN2446" s="381"/>
      <c r="BO2446" s="382">
        <v>2437</v>
      </c>
    </row>
    <row r="2447" spans="1:67" s="24" customFormat="1" ht="15" customHeight="1" x14ac:dyDescent="0.25">
      <c r="A2447" s="288" t="s">
        <v>2312</v>
      </c>
      <c r="B2447" s="241" t="str">
        <f>HYPERLINK(CONCATENATE($AT$3,BK2447,$AU$3),$AV$3)</f>
        <v>S</v>
      </c>
      <c r="C2447" s="242" t="str">
        <f>HYPERLINK(CONCATENATE($AT$4,BK2447,$AU$4,BL2447),$AV$4)</f>
        <v>A</v>
      </c>
      <c r="D2447" s="243" t="s">
        <v>5638</v>
      </c>
      <c r="E2447" s="244" t="s">
        <v>5192</v>
      </c>
      <c r="F2447" s="269" t="s">
        <v>8889</v>
      </c>
      <c r="G2447" s="276">
        <v>11</v>
      </c>
      <c r="H2447" s="283">
        <v>18</v>
      </c>
      <c r="I2447" s="246">
        <v>60</v>
      </c>
      <c r="J2447" s="246">
        <v>4</v>
      </c>
      <c r="K2447" s="247" t="s">
        <v>8095</v>
      </c>
      <c r="L2447" s="248">
        <v>203452</v>
      </c>
      <c r="M2447" s="249">
        <f>15*(LEFT(TEXT($L2447,"000000"),2)+(MID(TEXT($L2447,"000000"),3,2)/60)+(RIGHT(TEXT($L2447,"000000"),2)/3600))</f>
        <v>308.71666666666664</v>
      </c>
      <c r="N2447" s="250">
        <v>600914</v>
      </c>
      <c r="O2447" s="251">
        <f>IF($N2447&gt;0,(LEFT(TEXT($N2447,"000000"),2)+(MID(TEXT($N2447,"000000"),3,2)/60)+(RIGHT(TEXT($N2447,"000000"),2)/3600)),-(MID(TEXT($N2447,"000000"),2,2)+(MID(TEXT($N2447,"000000"),4,2)/60)+(RIGHT(TEXT($N2447,"000000"),2)/3600)))</f>
        <v>60.153888888888886</v>
      </c>
      <c r="P2447" s="252" t="s">
        <v>60</v>
      </c>
      <c r="Q2447" s="253" t="s">
        <v>6870</v>
      </c>
      <c r="R2447" s="247" t="s">
        <v>7336</v>
      </c>
      <c r="S2447" s="272" t="s">
        <v>2310</v>
      </c>
      <c r="T2447" s="273">
        <v>8.8000000000000007</v>
      </c>
      <c r="U2447" s="289">
        <v>22.69</v>
      </c>
      <c r="V2447" s="280">
        <v>35</v>
      </c>
      <c r="W2447" s="244"/>
      <c r="X2447" s="244"/>
      <c r="Y2447" s="362"/>
      <c r="Z2447" s="257">
        <f>altaz(J2000_Bas,$O2447,$M2447,DecLat,DecLong,1)</f>
        <v>57.164385761861624</v>
      </c>
      <c r="AA2447" s="257">
        <f>altaz((J2000_Bas+(2*0.04167)),$O2447,$M2447,DecLat,DecLong,1)</f>
        <v>60.434206194448848</v>
      </c>
      <c r="AB2447" s="257">
        <f>altaz((J2000_Bas+(4*0.04167)),$O2447,$M2447,DecLat,DecLong,1)</f>
        <v>51.754449723806552</v>
      </c>
      <c r="AC2447" s="257">
        <f>altaz((J2000_Bas+(6*0.04167)),$O2447,$M2447,DecLat,DecLong,1)</f>
        <v>37.567959575816623</v>
      </c>
      <c r="AD2447" s="258">
        <f>1+ transit((J2000_Bas-1),$O2447,$M2447,DecLat,DecLong)/360 + (GMTOffset/24) + (IF(DST="Y", 1, 0)/24)</f>
        <v>1.8504461711713744</v>
      </c>
      <c r="AE2447" s="259">
        <f>DATE(2001,9,21)+(M2447/360)*365 - (360*((DecLong/360)- (GMTOffset/24) ))</f>
        <v>37473.00439814815</v>
      </c>
      <c r="AF2447" s="260">
        <f>IF(DecLat&gt;0,IF((90 - (DecLat-O2447))&gt;90, (90 - (O2447-DecLat)), (90 - (DecLat-O2447))),IF((90 + (DecLat-O2447))&gt;90, (90 + (O2447-DecLat)), (90 + (DecLat-O2447))))</f>
        <v>60.846111111111114</v>
      </c>
      <c r="AG2447" s="257">
        <f>angularseperation(MoonRA,MoonDec,$M2447,$O2447)</f>
        <v>99.779241182182361</v>
      </c>
      <c r="AH2447" s="261">
        <f ca="1">MIN(100,IF($O$5&gt;80,0+30*($AG2447/100),IF($O$5&gt;70,0+50*($AG2447/100),IF($O$5&gt;60,5+50*($AG2447/100),IF($O$5&gt;50,10+60*($AG2447/100),IF($O$5&gt;40,15+70*($AG2447/100),IF($O$5&gt;30,20+70*($AG2447/100),IF($O$5&gt;20,40+55*($AG2447/100),(80+(20-$O$5)+30*($AG2447/100))))))))))</f>
        <v>100</v>
      </c>
      <c r="AI2447" s="262">
        <v>6946</v>
      </c>
      <c r="AJ2447" s="262"/>
      <c r="AK2447" s="262">
        <v>373</v>
      </c>
      <c r="AL2447" s="263"/>
      <c r="AM2447" s="264">
        <v>12</v>
      </c>
      <c r="AN2447" s="263">
        <v>29</v>
      </c>
      <c r="AO2447" s="263"/>
      <c r="AP2447" s="265"/>
      <c r="AQ2447" s="266">
        <v>11597</v>
      </c>
      <c r="AR2447" s="267">
        <v>65001</v>
      </c>
      <c r="AS2447" s="263"/>
      <c r="AT2447" s="263"/>
      <c r="AU2447" s="263"/>
      <c r="AV2447" s="264"/>
      <c r="AW2447" s="263"/>
      <c r="AX2447" s="263"/>
      <c r="AY2447" s="263"/>
      <c r="AZ2447" s="263"/>
      <c r="BA2447" s="263"/>
      <c r="BB2447" s="263"/>
      <c r="BC2447" s="263"/>
      <c r="BD2447" s="264"/>
      <c r="BE2447" s="263"/>
      <c r="BF2447" s="263"/>
      <c r="BG2447" s="263"/>
      <c r="BH2447" s="263"/>
      <c r="BI2447" s="263"/>
      <c r="BJ2447" s="404">
        <f>altaz(J2000_Bas,$O2447,$M2447,DecLat,DecLong,2)</f>
        <v>20.756752334695474</v>
      </c>
      <c r="BK2447" s="378" t="s">
        <v>2312</v>
      </c>
      <c r="BL2447" s="379">
        <f>IF((2*G2447)/60&lt;0.2,0.2,(2*G2447)/60)</f>
        <v>0.36666666666666664</v>
      </c>
      <c r="BM2447" s="380">
        <f>MOD((50000+AD2447-$B$3+(0/24)),1)</f>
        <v>6.581310087494785E-2</v>
      </c>
      <c r="BN2447" s="381" t="s">
        <v>9220</v>
      </c>
      <c r="BO2447" s="382">
        <v>2438</v>
      </c>
    </row>
    <row r="2448" spans="1:67" s="24" customFormat="1" ht="15" customHeight="1" x14ac:dyDescent="0.25">
      <c r="A2448" s="288" t="s">
        <v>2313</v>
      </c>
      <c r="B2448" s="241" t="str">
        <f>HYPERLINK(CONCATENATE($AT$3,BK2448,$AU$3),$AV$3)</f>
        <v>S</v>
      </c>
      <c r="C2448" s="242" t="str">
        <f>HYPERLINK(CONCATENATE($AT$4,BK2448,$AU$4,BL2448),$AV$4)</f>
        <v>A</v>
      </c>
      <c r="D2448" s="243" t="s">
        <v>5638</v>
      </c>
      <c r="E2448" s="244" t="s">
        <v>5192</v>
      </c>
      <c r="F2448" s="269" t="s">
        <v>8689</v>
      </c>
      <c r="G2448" s="273">
        <v>2</v>
      </c>
      <c r="H2448" s="283">
        <v>125</v>
      </c>
      <c r="I2448" s="246">
        <v>70</v>
      </c>
      <c r="J2448" s="246">
        <v>2</v>
      </c>
      <c r="K2448" s="247" t="s">
        <v>8096</v>
      </c>
      <c r="L2448" s="248">
        <v>203507</v>
      </c>
      <c r="M2448" s="249">
        <f>15*(LEFT(TEXT($L2448,"000000"),2)+(MID(TEXT($L2448,"000000"),3,2)/60)+(RIGHT(TEXT($L2448,"000000"),2)/3600))</f>
        <v>308.77916666666664</v>
      </c>
      <c r="N2448" s="250">
        <v>644809</v>
      </c>
      <c r="O2448" s="251">
        <f>IF($N2448&gt;0,(LEFT(TEXT($N2448,"000000"),2)+(MID(TEXT($N2448,"000000"),3,2)/60)+(RIGHT(TEXT($N2448,"000000"),2)/3600)),-(MID(TEXT($N2448,"000000"),2,2)+(MID(TEXT($N2448,"000000"),4,2)/60)+(RIGHT(TEXT($N2448,"000000"),2)/3600)))</f>
        <v>64.802499999999995</v>
      </c>
      <c r="P2448" s="252" t="s">
        <v>52</v>
      </c>
      <c r="Q2448" s="253"/>
      <c r="R2448" s="247" t="s">
        <v>3293</v>
      </c>
      <c r="S2448" s="272" t="s">
        <v>3293</v>
      </c>
      <c r="T2448" s="273">
        <v>13.8</v>
      </c>
      <c r="U2448" s="289">
        <v>23.09</v>
      </c>
      <c r="V2448" s="280">
        <v>20</v>
      </c>
      <c r="W2448" s="244"/>
      <c r="X2448" s="244"/>
      <c r="Y2448" s="362"/>
      <c r="Z2448" s="257">
        <f>altaz(J2000_Bas,$O2448,$M2448,DecLat,DecLong,1)</f>
        <v>53.36984536891007</v>
      </c>
      <c r="AA2448" s="257">
        <f>altaz((J2000_Bas+(2*0.04167)),$O2448,$M2448,DecLat,DecLong,1)</f>
        <v>55.893400305273964</v>
      </c>
      <c r="AB2448" s="257">
        <f>altaz((J2000_Bas+(4*0.04167)),$O2448,$M2448,DecLat,DecLong,1)</f>
        <v>49.109734534761806</v>
      </c>
      <c r="AC2448" s="257">
        <f>altaz((J2000_Bas+(6*0.04167)),$O2448,$M2448,DecLat,DecLong,1)</f>
        <v>37.287691481376442</v>
      </c>
      <c r="AD2448" s="258">
        <f>1+ transit((J2000_Bas-1),$O2448,$M2448,DecLat,DecLong)/360 + (GMTOffset/24) + (IF(DST="Y", 1, 0)/24)</f>
        <v>1.8506197822651245</v>
      </c>
      <c r="AE2448" s="259">
        <f>DATE(2001,9,21)+(M2448/360)*365 - (360*((DecLong/360)- (GMTOffset/24) ))</f>
        <v>37473.067766203705</v>
      </c>
      <c r="AF2448" s="260">
        <f>IF(DecLat&gt;0,IF((90 - (DecLat-O2448))&gt;90, (90 - (O2448-DecLat)), (90 - (DecLat-O2448))),IF((90 + (DecLat-O2448))&gt;90, (90 + (O2448-DecLat)), (90 + (DecLat-O2448))))</f>
        <v>56.197500000000005</v>
      </c>
      <c r="AG2448" s="257">
        <f>angularseperation(MoonRA,MoonDec,$M2448,$O2448)</f>
        <v>102.69744522263751</v>
      </c>
      <c r="AH2448" s="261">
        <f ca="1">MIN(100,IF($O$5&gt;80,0+30*($AG2448/100),IF($O$5&gt;70,0+50*($AG2448/100),IF($O$5&gt;60,5+50*($AG2448/100),IF($O$5&gt;50,10+60*($AG2448/100),IF($O$5&gt;40,15+70*($AG2448/100),IF($O$5&gt;30,20+70*($AG2448/100),IF($O$5&gt;20,40+55*($AG2448/100),(80+(20-$O$5)+30*($AG2448/100))))))))))</f>
        <v>100</v>
      </c>
      <c r="AI2448" s="262">
        <v>6949</v>
      </c>
      <c r="AJ2448" s="262"/>
      <c r="AK2448" s="262"/>
      <c r="AL2448" s="263"/>
      <c r="AM2448" s="264"/>
      <c r="AN2448" s="263"/>
      <c r="AO2448" s="263"/>
      <c r="AP2448" s="265"/>
      <c r="AQ2448" s="266">
        <v>11600</v>
      </c>
      <c r="AR2448" s="267">
        <v>65010</v>
      </c>
      <c r="AS2448" s="263"/>
      <c r="AT2448" s="263"/>
      <c r="AU2448" s="263"/>
      <c r="AV2448" s="264"/>
      <c r="AW2448" s="263"/>
      <c r="AX2448" s="263"/>
      <c r="AY2448" s="263"/>
      <c r="AZ2448" s="263"/>
      <c r="BA2448" s="263"/>
      <c r="BB2448" s="263"/>
      <c r="BC2448" s="263"/>
      <c r="BD2448" s="264"/>
      <c r="BE2448" s="263"/>
      <c r="BF2448" s="263"/>
      <c r="BG2448" s="263"/>
      <c r="BH2448" s="263"/>
      <c r="BI2448" s="263"/>
      <c r="BJ2448" s="404">
        <f>altaz(J2000_Bas,$O2448,$M2448,DecLat,DecLong,2)</f>
        <v>16.036147777516433</v>
      </c>
      <c r="BK2448" s="378" t="s">
        <v>2313</v>
      </c>
      <c r="BL2448" s="379">
        <f>IF((2*G2448)/60&lt;0.2,0.2,(2*G2448)/60)</f>
        <v>0.2</v>
      </c>
      <c r="BM2448" s="380">
        <f>MOD((50000+AD2448-$B$3+(0/24)),1)</f>
        <v>6.5986711968434975E-2</v>
      </c>
      <c r="BN2448" s="381"/>
      <c r="BO2448" s="382">
        <v>2439</v>
      </c>
    </row>
    <row r="2449" spans="1:67" s="24" customFormat="1" ht="15" customHeight="1" x14ac:dyDescent="0.25">
      <c r="A2449" s="288" t="s">
        <v>2314</v>
      </c>
      <c r="B2449" s="241" t="str">
        <f>HYPERLINK(CONCATENATE($AT$3,BK2449,$AU$3),$AV$3)</f>
        <v>S</v>
      </c>
      <c r="C2449" s="242" t="str">
        <f>HYPERLINK(CONCATENATE($AT$4,BK2449,$AU$4,BL2449),$AV$4)</f>
        <v>A</v>
      </c>
      <c r="D2449" s="243" t="s">
        <v>5638</v>
      </c>
      <c r="E2449" s="244" t="s">
        <v>5192</v>
      </c>
      <c r="F2449" s="269" t="s">
        <v>8898</v>
      </c>
      <c r="G2449" s="273">
        <v>4</v>
      </c>
      <c r="H2449" s="283">
        <v>75</v>
      </c>
      <c r="I2449" s="246">
        <v>90</v>
      </c>
      <c r="J2449" s="246">
        <v>3</v>
      </c>
      <c r="K2449" s="247" t="s">
        <v>8098</v>
      </c>
      <c r="L2449" s="248">
        <v>203714</v>
      </c>
      <c r="M2449" s="249">
        <f>15*(LEFT(TEXT($L2449,"000000"),2)+(MID(TEXT($L2449,"000000"),3,2)/60)+(RIGHT(TEXT($L2449,"000000"),2)/3600))</f>
        <v>309.30833333333334</v>
      </c>
      <c r="N2449" s="250">
        <v>660621</v>
      </c>
      <c r="O2449" s="251">
        <f>IF($N2449&gt;0,(LEFT(TEXT($N2449,"000000"),2)+(MID(TEXT($N2449,"000000"),3,2)/60)+(RIGHT(TEXT($N2449,"000000"),2)/3600)),-(MID(TEXT($N2449,"000000"),2,2)+(MID(TEXT($N2449,"000000"),4,2)/60)+(RIGHT(TEXT($N2449,"000000"),2)/3600)))</f>
        <v>66.105833333333322</v>
      </c>
      <c r="P2449" s="252" t="s">
        <v>52</v>
      </c>
      <c r="Q2449" s="253"/>
      <c r="R2449" s="247" t="s">
        <v>8097</v>
      </c>
      <c r="S2449" s="272" t="s">
        <v>3293</v>
      </c>
      <c r="T2449" s="273">
        <v>10.7</v>
      </c>
      <c r="U2449" s="289">
        <v>22.19</v>
      </c>
      <c r="V2449" s="280">
        <v>30</v>
      </c>
      <c r="W2449" s="244"/>
      <c r="X2449" s="244"/>
      <c r="Y2449" s="362"/>
      <c r="Z2449" s="257">
        <f>altaz(J2000_Bas,$O2449,$M2449,DecLat,DecLong,1)</f>
        <v>52.163325849820076</v>
      </c>
      <c r="AA2449" s="257">
        <f>altaz((J2000_Bas+(2*0.04167)),$O2449,$M2449,DecLat,DecLong,1)</f>
        <v>54.653069314693468</v>
      </c>
      <c r="AB2449" s="257">
        <f>altaz((J2000_Bas+(4*0.04167)),$O2449,$M2449,DecLat,DecLong,1)</f>
        <v>48.475818304949236</v>
      </c>
      <c r="AC2449" s="257">
        <f>altaz((J2000_Bas+(6*0.04167)),$O2449,$M2449,DecLat,DecLong,1)</f>
        <v>37.361859962929273</v>
      </c>
      <c r="AD2449" s="258">
        <f>1+ transit((J2000_Bas-1),$O2449,$M2449,DecLat,DecLong)/360 + (GMTOffset/24) + (IF(DST="Y", 1, 0)/24)</f>
        <v>1.8520896895255412</v>
      </c>
      <c r="AE2449" s="259">
        <f>DATE(2001,9,21)+(M2449/360)*365 - (360*((DecLong/360)- (GMTOffset/24) ))</f>
        <v>37473.60428240741</v>
      </c>
      <c r="AF2449" s="260">
        <f>IF(DecLat&gt;0,IF((90 - (DecLat-O2449))&gt;90, (90 - (O2449-DecLat)), (90 - (DecLat-O2449))),IF((90 + (DecLat-O2449))&gt;90, (90 + (O2449-DecLat)), (90 + (DecLat-O2449))))</f>
        <v>54.894166666666678</v>
      </c>
      <c r="AG2449" s="257">
        <f>angularseperation(MoonRA,MoonDec,$M2449,$O2449)</f>
        <v>103.66964717116193</v>
      </c>
      <c r="AH2449" s="261">
        <f ca="1">MIN(100,IF($O$5&gt;80,0+30*($AG2449/100),IF($O$5&gt;70,0+50*($AG2449/100),IF($O$5&gt;60,5+50*($AG2449/100),IF($O$5&gt;50,10+60*($AG2449/100),IF($O$5&gt;40,15+70*($AG2449/100),IF($O$5&gt;30,20+70*($AG2449/100),IF($O$5&gt;20,40+55*($AG2449/100),(80+(20-$O$5)+30*($AG2449/100))))))))))</f>
        <v>100</v>
      </c>
      <c r="AI2449" s="262">
        <v>6951</v>
      </c>
      <c r="AJ2449" s="262"/>
      <c r="AK2449" s="262"/>
      <c r="AL2449" s="263"/>
      <c r="AM2449" s="264"/>
      <c r="AN2449" s="263"/>
      <c r="AO2449" s="263"/>
      <c r="AP2449" s="265"/>
      <c r="AQ2449" s="266"/>
      <c r="AR2449" s="267">
        <v>65086</v>
      </c>
      <c r="AS2449" s="263"/>
      <c r="AT2449" s="263"/>
      <c r="AU2449" s="263"/>
      <c r="AV2449" s="264"/>
      <c r="AW2449" s="263"/>
      <c r="AX2449" s="263"/>
      <c r="AY2449" s="263"/>
      <c r="AZ2449" s="263"/>
      <c r="BA2449" s="263"/>
      <c r="BB2449" s="263"/>
      <c r="BC2449" s="263"/>
      <c r="BD2449" s="264"/>
      <c r="BE2449" s="263"/>
      <c r="BF2449" s="263"/>
      <c r="BG2449" s="263"/>
      <c r="BH2449" s="263"/>
      <c r="BI2449" s="263"/>
      <c r="BJ2449" s="404">
        <f>altaz(J2000_Bas,$O2449,$M2449,DecLat,DecLong,2)</f>
        <v>15.14406156856562</v>
      </c>
      <c r="BK2449" s="378" t="s">
        <v>2314</v>
      </c>
      <c r="BL2449" s="379">
        <f>IF((2*G2449)/60&lt;0.2,0.2,(2*G2449)/60)</f>
        <v>0.2</v>
      </c>
      <c r="BM2449" s="380">
        <f>MOD((50000+AD2449-$B$3+(0/24)),1)</f>
        <v>6.7456619231961668E-2</v>
      </c>
      <c r="BN2449" s="381" t="s">
        <v>6500</v>
      </c>
      <c r="BO2449" s="382">
        <v>2440</v>
      </c>
    </row>
    <row r="2450" spans="1:67" s="24" customFormat="1" ht="15" customHeight="1" x14ac:dyDescent="0.25">
      <c r="A2450" s="288" t="s">
        <v>2315</v>
      </c>
      <c r="B2450" s="241" t="str">
        <f>HYPERLINK(CONCATENATE($AT$3,BK2450,$AU$3),$AV$3)</f>
        <v>S</v>
      </c>
      <c r="C2450" s="242" t="str">
        <f>HYPERLINK(CONCATENATE($AT$4,BK2450,$AU$4,BL2450),$AV$4)</f>
        <v>A</v>
      </c>
      <c r="D2450" s="243" t="s">
        <v>5638</v>
      </c>
      <c r="E2450" s="244" t="s">
        <v>5194</v>
      </c>
      <c r="F2450" s="269"/>
      <c r="G2450" s="273">
        <v>1.7</v>
      </c>
      <c r="H2450" s="283">
        <v>215</v>
      </c>
      <c r="I2450" s="246">
        <v>105</v>
      </c>
      <c r="J2450" s="246">
        <v>2</v>
      </c>
      <c r="K2450" s="247" t="s">
        <v>8099</v>
      </c>
      <c r="L2450" s="248">
        <v>204354</v>
      </c>
      <c r="M2450" s="249">
        <f>15*(LEFT(TEXT($L2450,"000000"),2)+(MID(TEXT($L2450,"000000"),3,2)/60)+(RIGHT(TEXT($L2450,"000000"),2)/3600))</f>
        <v>310.97499999999997</v>
      </c>
      <c r="N2450" s="250">
        <v>123041</v>
      </c>
      <c r="O2450" s="251">
        <f>IF($N2450&gt;0,(LEFT(TEXT($N2450,"000000"),2)+(MID(TEXT($N2450,"000000"),3,2)/60)+(RIGHT(TEXT($N2450,"000000"),2)/3600)),-(MID(TEXT($N2450,"000000"),2,2)+(MID(TEXT($N2450,"000000"),4,2)/60)+(RIGHT(TEXT($N2450,"000000"),2)/3600)))</f>
        <v>12.511388888888888</v>
      </c>
      <c r="P2450" s="252" t="s">
        <v>153</v>
      </c>
      <c r="Q2450" s="253"/>
      <c r="R2450" s="247" t="s">
        <v>3293</v>
      </c>
      <c r="S2450" s="272" t="s">
        <v>7517</v>
      </c>
      <c r="T2450" s="273">
        <v>12.3</v>
      </c>
      <c r="U2450" s="289">
        <v>22.490000000000002</v>
      </c>
      <c r="V2450" s="280">
        <v>40</v>
      </c>
      <c r="W2450" s="244"/>
      <c r="X2450" s="244"/>
      <c r="Y2450" s="362"/>
      <c r="Z2450" s="257">
        <f>altaz(J2000_Bas,$O2450,$M2450,DecLat,DecLong,1)</f>
        <v>60.476582696652976</v>
      </c>
      <c r="AA2450" s="257">
        <f>altaz((J2000_Bas+(2*0.04167)),$O2450,$M2450,DecLat,DecLong,1)</f>
        <v>70.919111073227199</v>
      </c>
      <c r="AB2450" s="257">
        <f>altaz((J2000_Bas+(4*0.04167)),$O2450,$M2450,DecLat,DecLong,1)</f>
        <v>52.692958532347561</v>
      </c>
      <c r="AC2450" s="257">
        <f>altaz((J2000_Bas+(6*0.04167)),$O2450,$M2450,DecLat,DecLong,1)</f>
        <v>27.483908633156474</v>
      </c>
      <c r="AD2450" s="258">
        <f>1+ transit((J2000_Bas-1),$O2450,$M2450,DecLat,DecLong)/360 + (GMTOffset/24) + (IF(DST="Y", 1, 0)/24)</f>
        <v>1.856719318692208</v>
      </c>
      <c r="AE2450" s="259">
        <f>DATE(2001,9,21)+(M2450/360)*365 - (360*((DecLong/360)- (GMTOffset/24) ))</f>
        <v>37475.29409722222</v>
      </c>
      <c r="AF2450" s="260">
        <f>IF(DecLat&gt;0,IF((90 - (DecLat-O2450))&gt;90, (90 - (O2450-DecLat)), (90 - (DecLat-O2450))),IF((90 + (DecLat-O2450))&gt;90, (90 + (O2450-DecLat)), (90 + (DecLat-O2450))))</f>
        <v>71.511388888888888</v>
      </c>
      <c r="AG2450" s="257">
        <f>angularseperation(MoonRA,MoonDec,$M2450,$O2450)</f>
        <v>71.759829064718716</v>
      </c>
      <c r="AH2450" s="261">
        <f ca="1">MIN(100,IF($O$5&gt;80,0+30*($AG2450/100),IF($O$5&gt;70,0+50*($AG2450/100),IF($O$5&gt;60,5+50*($AG2450/100),IF($O$5&gt;50,10+60*($AG2450/100),IF($O$5&gt;40,15+70*($AG2450/100),IF($O$5&gt;30,20+70*($AG2450/100),IF($O$5&gt;20,40+55*($AG2450/100),(80+(20-$O$5)+30*($AG2450/100))))))))))</f>
        <v>100</v>
      </c>
      <c r="AI2450" s="262">
        <v>6956</v>
      </c>
      <c r="AJ2450" s="262"/>
      <c r="AK2450" s="262"/>
      <c r="AL2450" s="263"/>
      <c r="AM2450" s="264"/>
      <c r="AN2450" s="263"/>
      <c r="AO2450" s="263"/>
      <c r="AP2450" s="265"/>
      <c r="AQ2450" s="266">
        <v>11619</v>
      </c>
      <c r="AR2450" s="267">
        <v>65269</v>
      </c>
      <c r="AS2450" s="263"/>
      <c r="AT2450" s="263"/>
      <c r="AU2450" s="263"/>
      <c r="AV2450" s="264"/>
      <c r="AW2450" s="263"/>
      <c r="AX2450" s="263"/>
      <c r="AY2450" s="263"/>
      <c r="AZ2450" s="263"/>
      <c r="BA2450" s="263"/>
      <c r="BB2450" s="263"/>
      <c r="BC2450" s="263"/>
      <c r="BD2450" s="264"/>
      <c r="BE2450" s="263"/>
      <c r="BF2450" s="263"/>
      <c r="BG2450" s="263"/>
      <c r="BH2450" s="263"/>
      <c r="BI2450" s="263"/>
      <c r="BJ2450" s="404">
        <f>altaz(J2000_Bas,$O2450,$M2450,DecLat,DecLong,2)</f>
        <v>123.23914125927882</v>
      </c>
      <c r="BK2450" s="378" t="s">
        <v>2315</v>
      </c>
      <c r="BL2450" s="379">
        <f>IF((2*G2450)/60&lt;0.2,0.2,(2*G2450)/60)</f>
        <v>0.2</v>
      </c>
      <c r="BM2450" s="380">
        <f>MOD((50000+AD2450-$B$3+(0/24)),1)</f>
        <v>7.208624839404365E-2</v>
      </c>
      <c r="BN2450" s="381"/>
      <c r="BO2450" s="382">
        <v>2441</v>
      </c>
    </row>
    <row r="2451" spans="1:67" s="24" customFormat="1" ht="15" customHeight="1" x14ac:dyDescent="0.25">
      <c r="A2451" s="288" t="s">
        <v>2316</v>
      </c>
      <c r="B2451" s="241" t="str">
        <f>HYPERLINK(CONCATENATE($AT$3,BK2451,$AU$3),$AV$3)</f>
        <v>S</v>
      </c>
      <c r="C2451" s="242" t="str">
        <f>HYPERLINK(CONCATENATE($AT$4,BK2451,$AU$4,BL2451),$AV$4)</f>
        <v>A</v>
      </c>
      <c r="D2451" s="243" t="s">
        <v>5187</v>
      </c>
      <c r="E2451" s="244" t="s">
        <v>16</v>
      </c>
      <c r="F2451" s="269"/>
      <c r="G2451" s="276">
        <v>75</v>
      </c>
      <c r="H2451" s="283">
        <v>1500</v>
      </c>
      <c r="I2451" s="246">
        <v>35</v>
      </c>
      <c r="J2451" s="246">
        <v>5</v>
      </c>
      <c r="K2451" s="247" t="s">
        <v>8101</v>
      </c>
      <c r="L2451" s="248">
        <v>204558</v>
      </c>
      <c r="M2451" s="249">
        <f>15*(LEFT(TEXT($L2451,"000000"),2)+(MID(TEXT($L2451,"000000"),3,2)/60)+(RIGHT(TEXT($L2451,"000000"),2)/3600))</f>
        <v>311.49166666666667</v>
      </c>
      <c r="N2451" s="250">
        <v>303542</v>
      </c>
      <c r="O2451" s="251">
        <f>IF($N2451&gt;0,(LEFT(TEXT($N2451,"000000"),2)+(MID(TEXT($N2451,"000000"),3,2)/60)+(RIGHT(TEXT($N2451,"000000"),2)/3600)),-(MID(TEXT($N2451,"000000"),2,2)+(MID(TEXT($N2451,"000000"),4,2)/60)+(RIGHT(TEXT($N2451,"000000"),2)/3600)))</f>
        <v>30.594999999999999</v>
      </c>
      <c r="P2451" s="252" t="s">
        <v>60</v>
      </c>
      <c r="Q2451" s="253" t="s">
        <v>8100</v>
      </c>
      <c r="R2451" s="247" t="s">
        <v>7358</v>
      </c>
      <c r="S2451" s="272" t="s">
        <v>3293</v>
      </c>
      <c r="T2451" s="273"/>
      <c r="U2451" s="274"/>
      <c r="V2451" s="280"/>
      <c r="W2451" s="244"/>
      <c r="X2451" s="244"/>
      <c r="Y2451" s="362"/>
      <c r="Z2451" s="257">
        <f>altaz(J2000_Bas,$O2451,$M2451,DecLat,DecLong,1)</f>
        <v>68.149707050058893</v>
      </c>
      <c r="AA2451" s="257">
        <f>altaz((J2000_Bas+(2*0.04167)),$O2451,$M2451,DecLat,DecLong,1)</f>
        <v>86.032114862665779</v>
      </c>
      <c r="AB2451" s="257">
        <f>altaz((J2000_Bas+(4*0.04167)),$O2451,$M2451,DecLat,DecLong,1)</f>
        <v>60.330179211804534</v>
      </c>
      <c r="AC2451" s="257">
        <f>altaz((J2000_Bas+(6*0.04167)),$O2451,$M2451,DecLat,DecLong,1)</f>
        <v>35.21916978592489</v>
      </c>
      <c r="AD2451" s="258">
        <f>1+ transit((J2000_Bas-1),$O2451,$M2451,DecLat,DecLong)/360 + (GMTOffset/24) + (IF(DST="Y", 1, 0)/24)</f>
        <v>1.8581545037338747</v>
      </c>
      <c r="AE2451" s="259">
        <f>DATE(2001,9,21)+(M2451/360)*365 - (360*((DecLong/360)- (GMTOffset/24) ))</f>
        <v>37475.817939814813</v>
      </c>
      <c r="AF2451" s="260">
        <f>IF(DecLat&gt;0,IF((90 - (DecLat-O2451))&gt;90, (90 - (O2451-DecLat)), (90 - (DecLat-O2451))),IF((90 + (DecLat-O2451))&gt;90, (90 + (O2451-DecLat)), (90 + (DecLat-O2451))))</f>
        <v>89.594999999999999</v>
      </c>
      <c r="AG2451" s="257">
        <f>angularseperation(MoonRA,MoonDec,$M2451,$O2451)</f>
        <v>82.812607618268089</v>
      </c>
      <c r="AH2451" s="261">
        <f ca="1">MIN(100,IF($O$5&gt;80,0+30*($AG2451/100),IF($O$5&gt;70,0+50*($AG2451/100),IF($O$5&gt;60,5+50*($AG2451/100),IF($O$5&gt;50,10+60*($AG2451/100),IF($O$5&gt;40,15+70*($AG2451/100),IF($O$5&gt;30,20+70*($AG2451/100),IF($O$5&gt;20,40+55*($AG2451/100),(80+(20-$O$5)+30*($AG2451/100))))))))))</f>
        <v>100</v>
      </c>
      <c r="AI2451" s="262">
        <v>6960</v>
      </c>
      <c r="AJ2451" s="262"/>
      <c r="AK2451" s="262"/>
      <c r="AL2451" s="263"/>
      <c r="AM2451" s="264">
        <v>34</v>
      </c>
      <c r="AN2451" s="263"/>
      <c r="AO2451" s="263"/>
      <c r="AP2451" s="265"/>
      <c r="AQ2451" s="266"/>
      <c r="AR2451" s="267"/>
      <c r="AS2451" s="263"/>
      <c r="AT2451" s="263"/>
      <c r="AU2451" s="263"/>
      <c r="AV2451" s="264"/>
      <c r="AW2451" s="263"/>
      <c r="AX2451" s="263"/>
      <c r="AY2451" s="263"/>
      <c r="AZ2451" s="263"/>
      <c r="BA2451" s="263"/>
      <c r="BB2451" s="263"/>
      <c r="BC2451" s="361" t="s">
        <v>3066</v>
      </c>
      <c r="BD2451" s="264"/>
      <c r="BE2451" s="263"/>
      <c r="BF2451" s="263"/>
      <c r="BG2451" s="263"/>
      <c r="BH2451" s="263"/>
      <c r="BI2451" s="263"/>
      <c r="BJ2451" s="404">
        <f>altaz(J2000_Bas,$O2451,$M2451,DecLat,DecLong,2)</f>
        <v>84.436514926186433</v>
      </c>
      <c r="BK2451" s="378" t="s">
        <v>2316</v>
      </c>
      <c r="BL2451" s="379">
        <f>IF((2*G2451)/60&lt;0.2,0.2,(2*G2451)/60)</f>
        <v>2.5</v>
      </c>
      <c r="BM2451" s="380">
        <f>MOD((50000+AD2451-$B$3+(0/24)),1)</f>
        <v>7.3521433434507344E-2</v>
      </c>
      <c r="BN2451" s="381"/>
      <c r="BO2451" s="382">
        <v>2442</v>
      </c>
    </row>
    <row r="2452" spans="1:67" s="24" customFormat="1" ht="15" customHeight="1" x14ac:dyDescent="0.25">
      <c r="A2452" s="288" t="s">
        <v>8102</v>
      </c>
      <c r="B2452" s="241" t="str">
        <f>HYPERLINK(CONCATENATE($AT$3,BK2452,$AU$3),$AV$3)</f>
        <v>S</v>
      </c>
      <c r="C2452" s="242" t="str">
        <f>HYPERLINK(CONCATENATE($AT$4,BK2452,$AU$4,BL2452),$AV$4)</f>
        <v>A</v>
      </c>
      <c r="D2452" s="243" t="s">
        <v>5638</v>
      </c>
      <c r="E2452" s="244" t="s">
        <v>7521</v>
      </c>
      <c r="F2452" s="269">
        <v>5</v>
      </c>
      <c r="G2452" s="282">
        <v>12</v>
      </c>
      <c r="H2452" s="283">
        <v>180</v>
      </c>
      <c r="I2452" s="284">
        <v>630</v>
      </c>
      <c r="J2452" s="246">
        <v>2</v>
      </c>
      <c r="K2452" s="247" t="s">
        <v>8103</v>
      </c>
      <c r="L2452" s="248">
        <v>204719</v>
      </c>
      <c r="M2452" s="249">
        <f>15*(LEFT(TEXT($L2452,"000000"),2)+(MID(TEXT($L2452,"000000"),3,2)/60)+(RIGHT(TEXT($L2452,"000000"),2)/3600))</f>
        <v>311.82916666666671</v>
      </c>
      <c r="N2452" s="250">
        <v>1915</v>
      </c>
      <c r="O2452" s="251">
        <f>IF($N2452&gt;0,(LEFT(TEXT($N2452,"000000"),2)+(MID(TEXT($N2452,"000000"),3,2)/60)+(RIGHT(TEXT($N2452,"000000"),2)/3600)),-(MID(TEXT($N2452,"000000"),2,2)+(MID(TEXT($N2452,"000000"),4,2)/60)+(RIGHT(TEXT($N2452,"000000"),2)/3600)))</f>
        <v>0.3208333333333333</v>
      </c>
      <c r="P2452" s="252" t="s">
        <v>3119</v>
      </c>
      <c r="Q2452" s="253"/>
      <c r="R2452" s="247" t="s">
        <v>3293</v>
      </c>
      <c r="S2452" s="272" t="s">
        <v>3293</v>
      </c>
      <c r="T2452" s="273">
        <v>12.1</v>
      </c>
      <c r="U2452" s="289">
        <v>22.89</v>
      </c>
      <c r="V2452" s="280">
        <v>35</v>
      </c>
      <c r="W2452" s="244"/>
      <c r="X2452" s="244"/>
      <c r="Y2452" s="362"/>
      <c r="Z2452" s="257">
        <f>altaz(J2000_Bas,$O2452,$M2452,DecLat,DecLong,1)</f>
        <v>50.752732458347303</v>
      </c>
      <c r="AA2452" s="257">
        <f>altaz((J2000_Bas+(2*0.04167)),$O2452,$M2452,DecLat,DecLong,1)</f>
        <v>59.056186665527612</v>
      </c>
      <c r="AB2452" s="257">
        <f>altaz((J2000_Bas+(4*0.04167)),$O2452,$M2452,DecLat,DecLong,1)</f>
        <v>45.285255718311582</v>
      </c>
      <c r="AC2452" s="257">
        <f>altaz((J2000_Bas+(6*0.04167)),$O2452,$M2452,DecLat,DecLong,1)</f>
        <v>21.893492986744</v>
      </c>
      <c r="AD2452" s="258">
        <f>1+ transit((J2000_Bas-1),$O2452,$M2452,DecLat,DecLong)/360 + (GMTOffset/24) + (IF(DST="Y", 1, 0)/24)</f>
        <v>1.8590920036401248</v>
      </c>
      <c r="AE2452" s="259">
        <f>DATE(2001,9,21)+(M2452/360)*365 - (360*((DecLong/360)- (GMTOffset/24) ))</f>
        <v>37476.160127314812</v>
      </c>
      <c r="AF2452" s="260">
        <f>IF(DecLat&gt;0,IF((90 - (DecLat-O2452))&gt;90, (90 - (O2452-DecLat)), (90 - (DecLat-O2452))),IF((90 + (DecLat-O2452))&gt;90, (90 + (O2452-DecLat)), (90 + (DecLat-O2452))))</f>
        <v>59.320833333333333</v>
      </c>
      <c r="AG2452" s="257">
        <f>angularseperation(MoonRA,MoonDec,$M2452,$O2452)</f>
        <v>65.961283590657715</v>
      </c>
      <c r="AH2452" s="261">
        <f ca="1">MIN(100,IF($O$5&gt;80,0+30*($AG2452/100),IF($O$5&gt;70,0+50*($AG2452/100),IF($O$5&gt;60,5+50*($AG2452/100),IF($O$5&gt;50,10+60*($AG2452/100),IF($O$5&gt;40,15+70*($AG2452/100),IF($O$5&gt;30,20+70*($AG2452/100),IF($O$5&gt;20,40+55*($AG2452/100),(80+(20-$O$5)+30*($AG2452/100))))))))))</f>
        <v>100</v>
      </c>
      <c r="AI2452" s="262">
        <v>6962</v>
      </c>
      <c r="AJ2452" s="262"/>
      <c r="AK2452" s="262"/>
      <c r="AL2452" s="263"/>
      <c r="AM2452" s="264"/>
      <c r="AN2452" s="263"/>
      <c r="AO2452" s="263"/>
      <c r="AP2452" s="265"/>
      <c r="AQ2452" s="266">
        <v>11628</v>
      </c>
      <c r="AR2452" s="267">
        <v>65375</v>
      </c>
      <c r="AS2452" s="263"/>
      <c r="AT2452" s="263"/>
      <c r="AU2452" s="263"/>
      <c r="AV2452" s="264"/>
      <c r="AW2452" s="263"/>
      <c r="AX2452" s="263"/>
      <c r="AY2452" s="263"/>
      <c r="AZ2452" s="263"/>
      <c r="BA2452" s="263"/>
      <c r="BB2452" s="263"/>
      <c r="BC2452" s="263"/>
      <c r="BD2452" s="264"/>
      <c r="BE2452" s="263"/>
      <c r="BF2452" s="263"/>
      <c r="BG2452" s="263"/>
      <c r="BH2452" s="263"/>
      <c r="BI2452" s="263"/>
      <c r="BJ2452" s="404">
        <f>altaz(J2000_Bas,$O2452,$M2452,DecLat,DecLong,2)</f>
        <v>136.48238510454652</v>
      </c>
      <c r="BK2452" s="378" t="s">
        <v>2317</v>
      </c>
      <c r="BL2452" s="379">
        <f>IF((2*G2452)/60&lt;0.2,0.2,(2*G2452)/60)</f>
        <v>0.4</v>
      </c>
      <c r="BM2452" s="380">
        <f>MOD((50000+AD2452-$B$3+(0/24)),1)</f>
        <v>7.445893334079301E-2</v>
      </c>
      <c r="BN2452" s="381"/>
      <c r="BO2452" s="382">
        <v>2443</v>
      </c>
    </row>
    <row r="2453" spans="1:67" s="24" customFormat="1" ht="15" customHeight="1" x14ac:dyDescent="0.25">
      <c r="A2453" s="288" t="s">
        <v>2318</v>
      </c>
      <c r="B2453" s="241" t="str">
        <f>HYPERLINK(CONCATENATE($AT$3,BK2453,$AU$3),$AV$3)</f>
        <v>S</v>
      </c>
      <c r="C2453" s="242" t="str">
        <f>HYPERLINK(CONCATENATE($AT$4,BK2453,$AU$4,BL2453),$AV$4)</f>
        <v>A</v>
      </c>
      <c r="D2453" s="243" t="s">
        <v>5638</v>
      </c>
      <c r="E2453" s="244" t="s">
        <v>5192</v>
      </c>
      <c r="F2453" s="269" t="s">
        <v>8709</v>
      </c>
      <c r="G2453" s="273">
        <v>1.2</v>
      </c>
      <c r="H2453" s="283">
        <v>200</v>
      </c>
      <c r="I2453" s="246">
        <v>70</v>
      </c>
      <c r="J2453" s="246">
        <v>2</v>
      </c>
      <c r="K2453" s="247" t="s">
        <v>8108</v>
      </c>
      <c r="L2453" s="248">
        <v>204503</v>
      </c>
      <c r="M2453" s="249">
        <f>15*(LEFT(TEXT($L2453,"000000"),2)+(MID(TEXT($L2453,"000000"),3,2)/60)+(RIGHT(TEXT($L2453,"000000"),2)/3600))</f>
        <v>311.26249999999999</v>
      </c>
      <c r="N2453" s="250">
        <v>-110616</v>
      </c>
      <c r="O2453" s="251">
        <f>IF($N2453&gt;0,(LEFT(TEXT($N2453,"000000"),2)+(MID(TEXT($N2453,"000000"),3,2)/60)+(RIGHT(TEXT($N2453,"000000"),2)/3600)),-(MID(TEXT($N2453,"000000"),2,2)+(MID(TEXT($N2453,"000000"),4,2)/60)+(RIGHT(TEXT($N2453,"000000"),2)/3600)))</f>
        <v>-11.104444444444445</v>
      </c>
      <c r="P2453" s="252" t="s">
        <v>3119</v>
      </c>
      <c r="Q2453" s="253"/>
      <c r="R2453" s="247" t="s">
        <v>3293</v>
      </c>
      <c r="S2453" s="272" t="s">
        <v>3293</v>
      </c>
      <c r="T2453" s="273">
        <v>13.8</v>
      </c>
      <c r="U2453" s="289">
        <v>22.69</v>
      </c>
      <c r="V2453" s="280">
        <v>70</v>
      </c>
      <c r="W2453" s="244"/>
      <c r="X2453" s="244"/>
      <c r="Y2453" s="362"/>
      <c r="Z2453" s="257">
        <f>altaz(J2000_Bas,$O2453,$M2453,DecLat,DecLong,1)</f>
        <v>41.414172186659755</v>
      </c>
      <c r="AA2453" s="257">
        <f>altaz((J2000_Bas+(2*0.04167)),$O2453,$M2453,DecLat,DecLong,1)</f>
        <v>47.641497840891269</v>
      </c>
      <c r="AB2453" s="257">
        <f>altaz((J2000_Bas+(4*0.04167)),$O2453,$M2453,DecLat,DecLong,1)</f>
        <v>36.197660789777963</v>
      </c>
      <c r="AC2453" s="257">
        <f>altaz((J2000_Bas+(6*0.04167)),$O2453,$M2453,DecLat,DecLong,1)</f>
        <v>14.854187619400772</v>
      </c>
      <c r="AD2453" s="258">
        <f>1+ transit((J2000_Bas-1),$O2453,$M2453,DecLat,DecLong)/360 + (GMTOffset/24) + (IF(DST="Y", 1, 0)/24)</f>
        <v>1.8575179297234581</v>
      </c>
      <c r="AE2453" s="259">
        <f>DATE(2001,9,21)+(M2453/360)*365 - (360*((DecLong/360)- (GMTOffset/24) ))</f>
        <v>37475.585590277777</v>
      </c>
      <c r="AF2453" s="260">
        <f>IF(DecLat&gt;0,IF((90 - (DecLat-O2453))&gt;90, (90 - (O2453-DecLat)), (90 - (DecLat-O2453))),IF((90 + (DecLat-O2453))&gt;90, (90 + (O2453-DecLat)), (90 + (DecLat-O2453))))</f>
        <v>47.895555555555553</v>
      </c>
      <c r="AG2453" s="257">
        <f>angularseperation(MoonRA,MoonDec,$M2453,$O2453)</f>
        <v>60.16027344505541</v>
      </c>
      <c r="AH2453" s="261">
        <f ca="1">MIN(100,IF($O$5&gt;80,0+30*($AG2453/100),IF($O$5&gt;70,0+50*($AG2453/100),IF($O$5&gt;60,5+50*($AG2453/100),IF($O$5&gt;50,10+60*($AG2453/100),IF($O$5&gt;40,15+70*($AG2453/100),IF($O$5&gt;30,20+70*($AG2453/100),IF($O$5&gt;20,40+55*($AG2453/100),(80+(20-$O$5)+30*($AG2453/100))))))))))</f>
        <v>100</v>
      </c>
      <c r="AI2453" s="262">
        <v>6985</v>
      </c>
      <c r="AJ2453" s="262"/>
      <c r="AK2453" s="262"/>
      <c r="AL2453" s="263"/>
      <c r="AM2453" s="264"/>
      <c r="AN2453" s="263"/>
      <c r="AO2453" s="263"/>
      <c r="AP2453" s="265"/>
      <c r="AQ2453" s="266"/>
      <c r="AR2453" s="267">
        <v>65306</v>
      </c>
      <c r="AS2453" s="263"/>
      <c r="AT2453" s="263"/>
      <c r="AU2453" s="263"/>
      <c r="AV2453" s="264"/>
      <c r="AW2453" s="263"/>
      <c r="AX2453" s="263"/>
      <c r="AY2453" s="263"/>
      <c r="AZ2453" s="263"/>
      <c r="BA2453" s="263"/>
      <c r="BB2453" s="263"/>
      <c r="BC2453" s="263"/>
      <c r="BD2453" s="264"/>
      <c r="BE2453" s="263"/>
      <c r="BF2453" s="263"/>
      <c r="BG2453" s="263"/>
      <c r="BH2453" s="263"/>
      <c r="BI2453" s="263"/>
      <c r="BJ2453" s="404">
        <f>altaz(J2000_Bas,$O2453,$M2453,DecLat,DecLong,2)</f>
        <v>146.05803498141179</v>
      </c>
      <c r="BK2453" s="378" t="s">
        <v>2318</v>
      </c>
      <c r="BL2453" s="379">
        <f>IF((2*G2453)/60&lt;0.2,0.2,(2*G2453)/60)</f>
        <v>0.2</v>
      </c>
      <c r="BM2453" s="380">
        <f>MOD((50000+AD2453-$B$3+(0/24)),1)</f>
        <v>7.2884859429905191E-2</v>
      </c>
      <c r="BN2453" s="381"/>
      <c r="BO2453" s="382">
        <v>2444</v>
      </c>
    </row>
    <row r="2454" spans="1:67" s="24" customFormat="1" ht="15" customHeight="1" x14ac:dyDescent="0.25">
      <c r="A2454" s="288" t="s">
        <v>2319</v>
      </c>
      <c r="B2454" s="241" t="str">
        <f>HYPERLINK(CONCATENATE($AT$3,BK2454,$AU$3),$AV$3)</f>
        <v>S</v>
      </c>
      <c r="C2454" s="242" t="str">
        <f>HYPERLINK(CONCATENATE($AT$4,BK2454,$AU$4,BL2454),$AV$4)</f>
        <v>A</v>
      </c>
      <c r="D2454" s="243" t="s">
        <v>5335</v>
      </c>
      <c r="E2454" s="244" t="s">
        <v>5185</v>
      </c>
      <c r="F2454" s="269" t="s">
        <v>6500</v>
      </c>
      <c r="G2454" s="276">
        <v>10</v>
      </c>
      <c r="H2454" s="283">
        <v>6000</v>
      </c>
      <c r="I2454" s="246">
        <v>18</v>
      </c>
      <c r="J2454" s="246">
        <v>3</v>
      </c>
      <c r="K2454" s="247" t="s">
        <v>8109</v>
      </c>
      <c r="L2454" s="248">
        <v>205456</v>
      </c>
      <c r="M2454" s="249">
        <f>15*(LEFT(TEXT($L2454,"000000"),2)+(MID(TEXT($L2454,"000000"),3,2)/60)+(RIGHT(TEXT($L2454,"000000"),2)/3600))</f>
        <v>313.73333333333329</v>
      </c>
      <c r="N2454" s="250">
        <v>471918</v>
      </c>
      <c r="O2454" s="251">
        <f>IF($N2454&gt;0,(LEFT(TEXT($N2454,"000000"),2)+(MID(TEXT($N2454,"000000"),3,2)/60)+(RIGHT(TEXT($N2454,"000000"),2)/3600)),-(MID(TEXT($N2454,"000000"),2,2)+(MID(TEXT($N2454,"000000"),4,2)/60)+(RIGHT(TEXT($N2454,"000000"),2)/3600)))</f>
        <v>47.321666666666673</v>
      </c>
      <c r="P2454" s="252" t="s">
        <v>60</v>
      </c>
      <c r="Q2454" s="253"/>
      <c r="R2454" s="247" t="s">
        <v>6455</v>
      </c>
      <c r="S2454" s="272" t="s">
        <v>3293</v>
      </c>
      <c r="T2454" s="273"/>
      <c r="U2454" s="274"/>
      <c r="V2454" s="280"/>
      <c r="W2454" s="244"/>
      <c r="X2454" s="244"/>
      <c r="Y2454" s="362"/>
      <c r="Z2454" s="257">
        <f>altaz(J2000_Bas,$O2454,$M2454,DecLat,DecLong,1)</f>
        <v>63.247754823995088</v>
      </c>
      <c r="AA2454" s="257">
        <f>altaz((J2000_Bas+(2*0.04167)),$O2454,$M2454,DecLat,DecLong,1)</f>
        <v>73.578673785406949</v>
      </c>
      <c r="AB2454" s="257">
        <f>altaz((J2000_Bas+(4*0.04167)),$O2454,$M2454,DecLat,DecLong,1)</f>
        <v>60.346797782853535</v>
      </c>
      <c r="AC2454" s="257">
        <f>altaz((J2000_Bas+(6*0.04167)),$O2454,$M2454,DecLat,DecLong,1)</f>
        <v>40.296076296983017</v>
      </c>
      <c r="AD2454" s="258">
        <f>1+ transit((J2000_Bas-1),$O2454,$M2454,DecLat,DecLong)/360 + (GMTOffset/24) + (IF(DST="Y", 1, 0)/24)</f>
        <v>1.8643813549630412</v>
      </c>
      <c r="AE2454" s="259">
        <f>DATE(2001,9,21)+(M2454/360)*365 - (360*((DecLong/360)- (GMTOffset/24) ))</f>
        <v>37478.090740740743</v>
      </c>
      <c r="AF2454" s="260">
        <f>IF(DecLat&gt;0,IF((90 - (DecLat-O2454))&gt;90, (90 - (O2454-DecLat)), (90 - (DecLat-O2454))),IF((90 + (DecLat-O2454))&gt;90, (90 + (O2454-DecLat)), (90 + (DecLat-O2454))))</f>
        <v>73.678333333333327</v>
      </c>
      <c r="AG2454" s="257">
        <f>angularseperation(MoonRA,MoonDec,$M2454,$O2454)</f>
        <v>94.290158587254879</v>
      </c>
      <c r="AH2454" s="261">
        <f ca="1">MIN(100,IF($O$5&gt;80,0+30*($AG2454/100),IF($O$5&gt;70,0+50*($AG2454/100),IF($O$5&gt;60,5+50*($AG2454/100),IF($O$5&gt;50,10+60*($AG2454/100),IF($O$5&gt;40,15+70*($AG2454/100),IF($O$5&gt;30,20+70*($AG2454/100),IF($O$5&gt;20,40+55*($AG2454/100),(80+(20-$O$5)+30*($AG2454/100))))))))))</f>
        <v>100</v>
      </c>
      <c r="AI2454" s="262">
        <v>6991</v>
      </c>
      <c r="AJ2454" s="262"/>
      <c r="AK2454" s="262"/>
      <c r="AL2454" s="263"/>
      <c r="AM2454" s="264"/>
      <c r="AN2454" s="263"/>
      <c r="AO2454" s="263"/>
      <c r="AP2454" s="265"/>
      <c r="AQ2454" s="266"/>
      <c r="AR2454" s="267"/>
      <c r="AS2454" s="263"/>
      <c r="AT2454" s="263"/>
      <c r="AU2454" s="263"/>
      <c r="AV2454" s="264"/>
      <c r="AW2454" s="263"/>
      <c r="AX2454" s="263"/>
      <c r="AY2454" s="263"/>
      <c r="AZ2454" s="263"/>
      <c r="BA2454" s="263"/>
      <c r="BB2454" s="263"/>
      <c r="BC2454" s="263"/>
      <c r="BD2454" s="264"/>
      <c r="BE2454" s="263"/>
      <c r="BF2454" s="263"/>
      <c r="BG2454" s="263"/>
      <c r="BH2454" s="263"/>
      <c r="BI2454" s="263"/>
      <c r="BJ2454" s="404">
        <f>altaz(J2000_Bas,$O2454,$M2454,DecLat,DecLong,2)</f>
        <v>44.486945689243214</v>
      </c>
      <c r="BK2454" s="378" t="s">
        <v>2319</v>
      </c>
      <c r="BL2454" s="379">
        <f>IF((2*G2454)/60&lt;0.2,0.2,(2*G2454)/60)</f>
        <v>0.33333333333333331</v>
      </c>
      <c r="BM2454" s="380">
        <f>MOD((50000+AD2454-$B$3+(0/24)),1)</f>
        <v>7.9748284668312408E-2</v>
      </c>
      <c r="BN2454" s="381"/>
      <c r="BO2454" s="382">
        <v>2445</v>
      </c>
    </row>
    <row r="2455" spans="1:67" s="24" customFormat="1" ht="15" customHeight="1" x14ac:dyDescent="0.25">
      <c r="A2455" s="288" t="s">
        <v>2320</v>
      </c>
      <c r="B2455" s="241" t="str">
        <f>HYPERLINK(CONCATENATE($AT$3,BK2455,$AU$3),$AV$3)</f>
        <v>S</v>
      </c>
      <c r="C2455" s="242" t="str">
        <f>HYPERLINK(CONCATENATE($AT$4,BK2455,$AU$4,BL2455),$AV$4)</f>
        <v>A</v>
      </c>
      <c r="D2455" s="243" t="s">
        <v>5187</v>
      </c>
      <c r="E2455" s="244" t="s">
        <v>16</v>
      </c>
      <c r="F2455" s="269"/>
      <c r="G2455" s="276">
        <v>90</v>
      </c>
      <c r="H2455" s="283">
        <v>1500</v>
      </c>
      <c r="I2455" s="246">
        <v>40</v>
      </c>
      <c r="J2455" s="246">
        <v>4</v>
      </c>
      <c r="K2455" s="247" t="s">
        <v>8110</v>
      </c>
      <c r="L2455" s="248">
        <v>205619</v>
      </c>
      <c r="M2455" s="249">
        <f>15*(LEFT(TEXT($L2455,"000000"),2)+(MID(TEXT($L2455,"000000"),3,2)/60)+(RIGHT(TEXT($L2455,"000000"),2)/3600))</f>
        <v>314.07916666666665</v>
      </c>
      <c r="N2455" s="250">
        <v>314436</v>
      </c>
      <c r="O2455" s="251">
        <f>IF($N2455&gt;0,(LEFT(TEXT($N2455,"000000"),2)+(MID(TEXT($N2455,"000000"),3,2)/60)+(RIGHT(TEXT($N2455,"000000"),2)/3600)),-(MID(TEXT($N2455,"000000"),2,2)+(MID(TEXT($N2455,"000000"),4,2)/60)+(RIGHT(TEXT($N2455,"000000"),2)/3600)))</f>
        <v>31.743333333333336</v>
      </c>
      <c r="P2455" s="252" t="s">
        <v>60</v>
      </c>
      <c r="Q2455" s="253" t="s">
        <v>6977</v>
      </c>
      <c r="R2455" s="247" t="s">
        <v>7357</v>
      </c>
      <c r="S2455" s="272" t="s">
        <v>8114</v>
      </c>
      <c r="T2455" s="273"/>
      <c r="U2455" s="274"/>
      <c r="V2455" s="280"/>
      <c r="W2455" s="244"/>
      <c r="X2455" s="244"/>
      <c r="Y2455" s="362"/>
      <c r="Z2455" s="257">
        <f>altaz(J2000_Bas,$O2455,$M2455,DecLat,DecLong,1)</f>
        <v>66.082921928004026</v>
      </c>
      <c r="AA2455" s="257">
        <f>altaz((J2000_Bas+(2*0.04167)),$O2455,$M2455,DecLat,DecLong,1)</f>
        <v>88.131386387515875</v>
      </c>
      <c r="AB2455" s="257">
        <f>altaz((J2000_Bas+(4*0.04167)),$O2455,$M2455,DecLat,DecLong,1)</f>
        <v>62.688638141051513</v>
      </c>
      <c r="AC2455" s="257">
        <f>altaz((J2000_Bas+(6*0.04167)),$O2455,$M2455,DecLat,DecLong,1)</f>
        <v>37.676175473816336</v>
      </c>
      <c r="AD2455" s="258">
        <f>1+ transit((J2000_Bas-1),$O2455,$M2455,DecLat,DecLong)/360 + (GMTOffset/24) + (IF(DST="Y", 1, 0)/24)</f>
        <v>1.8653420030151249</v>
      </c>
      <c r="AE2455" s="259">
        <f>DATE(2001,9,21)+(M2455/360)*365 - (360*((DecLong/360)- (GMTOffset/24) ))</f>
        <v>37478.441377314812</v>
      </c>
      <c r="AF2455" s="260">
        <f>IF(DecLat&gt;0,IF((90 - (DecLat-O2455))&gt;90, (90 - (O2455-DecLat)), (90 - (DecLat-O2455))),IF((90 + (DecLat-O2455))&gt;90, (90 + (O2455-DecLat)), (90 + (DecLat-O2455))))</f>
        <v>89.256666666666661</v>
      </c>
      <c r="AG2455" s="257">
        <f>angularseperation(MoonRA,MoonDec,$M2455,$O2455)</f>
        <v>85.273638022783388</v>
      </c>
      <c r="AH2455" s="261">
        <f ca="1">MIN(100,IF($O$5&gt;80,0+30*($AG2455/100),IF($O$5&gt;70,0+50*($AG2455/100),IF($O$5&gt;60,5+50*($AG2455/100),IF($O$5&gt;50,10+60*($AG2455/100),IF($O$5&gt;40,15+70*($AG2455/100),IF($O$5&gt;30,20+70*($AG2455/100),IF($O$5&gt;20,40+55*($AG2455/100),(80+(20-$O$5)+30*($AG2455/100))))))))))</f>
        <v>100</v>
      </c>
      <c r="AI2455" s="262">
        <v>6992</v>
      </c>
      <c r="AJ2455" s="262"/>
      <c r="AK2455" s="262"/>
      <c r="AL2455" s="263"/>
      <c r="AM2455" s="264">
        <v>33</v>
      </c>
      <c r="AN2455" s="263"/>
      <c r="AO2455" s="263"/>
      <c r="AP2455" s="265"/>
      <c r="AQ2455" s="266"/>
      <c r="AR2455" s="267"/>
      <c r="AS2455" s="263"/>
      <c r="AT2455" s="263"/>
      <c r="AU2455" s="263"/>
      <c r="AV2455" s="264"/>
      <c r="AW2455" s="263"/>
      <c r="AX2455" s="263"/>
      <c r="AY2455" s="263"/>
      <c r="AZ2455" s="263"/>
      <c r="BA2455" s="263"/>
      <c r="BB2455" s="263"/>
      <c r="BC2455" s="361" t="s">
        <v>3068</v>
      </c>
      <c r="BD2455" s="264"/>
      <c r="BE2455" s="263"/>
      <c r="BF2455" s="263"/>
      <c r="BG2455" s="263"/>
      <c r="BH2455" s="263"/>
      <c r="BI2455" s="263"/>
      <c r="BJ2455" s="404">
        <f>altaz(J2000_Bas,$O2455,$M2455,DecLat,DecLong,2)</f>
        <v>80.843147505118552</v>
      </c>
      <c r="BK2455" s="378" t="s">
        <v>2320</v>
      </c>
      <c r="BL2455" s="379">
        <f>IF((2*G2455)/60&lt;0.2,0.2,(2*G2455)/60)</f>
        <v>3</v>
      </c>
      <c r="BM2455" s="380">
        <f>MOD((50000+AD2455-$B$3+(0/24)),1)</f>
        <v>8.0708932720881421E-2</v>
      </c>
      <c r="BN2455" s="381"/>
      <c r="BO2455" s="382">
        <v>2446</v>
      </c>
    </row>
    <row r="2456" spans="1:67" s="24" customFormat="1" ht="15" customHeight="1" x14ac:dyDescent="0.25">
      <c r="A2456" s="288" t="s">
        <v>2321</v>
      </c>
      <c r="B2456" s="241" t="str">
        <f>HYPERLINK(CONCATENATE($AT$3,BK2456,$AU$3),$AV$3)</f>
        <v>S</v>
      </c>
      <c r="C2456" s="242" t="str">
        <f>HYPERLINK(CONCATENATE($AT$4,BK2456,$AU$4,BL2456),$AV$4)</f>
        <v>A</v>
      </c>
      <c r="D2456" s="243" t="s">
        <v>5187</v>
      </c>
      <c r="E2456" s="244" t="s">
        <v>16</v>
      </c>
      <c r="F2456" s="269"/>
      <c r="G2456" s="276">
        <v>50</v>
      </c>
      <c r="H2456" s="283">
        <v>1500</v>
      </c>
      <c r="I2456" s="246">
        <v>22</v>
      </c>
      <c r="J2456" s="246">
        <v>3</v>
      </c>
      <c r="K2456" s="247" t="s">
        <v>8111</v>
      </c>
      <c r="L2456" s="248">
        <v>205710</v>
      </c>
      <c r="M2456" s="249">
        <f>15*(LEFT(TEXT($L2456,"000000"),2)+(MID(TEXT($L2456,"000000"),3,2)/60)+(RIGHT(TEXT($L2456,"000000"),2)/3600))</f>
        <v>314.29166666666663</v>
      </c>
      <c r="N2456" s="250">
        <v>311406</v>
      </c>
      <c r="O2456" s="251">
        <f>IF($N2456&gt;0,(LEFT(TEXT($N2456,"000000"),2)+(MID(TEXT($N2456,"000000"),3,2)/60)+(RIGHT(TEXT($N2456,"000000"),2)/3600)),-(MID(TEXT($N2456,"000000"),2,2)+(MID(TEXT($N2456,"000000"),4,2)/60)+(RIGHT(TEXT($N2456,"000000"),2)/3600)))</f>
        <v>31.234999999999999</v>
      </c>
      <c r="P2456" s="252" t="s">
        <v>60</v>
      </c>
      <c r="Q2456" s="253" t="s">
        <v>6940</v>
      </c>
      <c r="R2456" s="247" t="s">
        <v>8112</v>
      </c>
      <c r="S2456" s="272" t="s">
        <v>8113</v>
      </c>
      <c r="T2456" s="273"/>
      <c r="U2456" s="274"/>
      <c r="V2456" s="280"/>
      <c r="W2456" s="244"/>
      <c r="X2456" s="244"/>
      <c r="Y2456" s="362"/>
      <c r="Z2456" s="257">
        <f>altaz(J2000_Bas,$O2456,$M2456,DecLat,DecLong,1)</f>
        <v>65.847219658510866</v>
      </c>
      <c r="AA2456" s="257">
        <f>altaz((J2000_Bas+(2*0.04167)),$O2456,$M2456,DecLat,DecLong,1)</f>
        <v>88.44501136516412</v>
      </c>
      <c r="AB2456" s="257">
        <f>altaz((J2000_Bas+(4*0.04167)),$O2456,$M2456,DecLat,DecLong,1)</f>
        <v>62.80232453587324</v>
      </c>
      <c r="AC2456" s="257">
        <f>altaz((J2000_Bas+(6*0.04167)),$O2456,$M2456,DecLat,DecLong,1)</f>
        <v>37.702178782148827</v>
      </c>
      <c r="AD2456" s="258">
        <f>1+ transit((J2000_Bas-1),$O2456,$M2456,DecLat,DecLong)/360 + (GMTOffset/24) + (IF(DST="Y", 1, 0)/24)</f>
        <v>1.865932280733875</v>
      </c>
      <c r="AE2456" s="259">
        <f>DATE(2001,9,21)+(M2456/360)*365 - (360*((DecLong/360)- (GMTOffset/24) ))</f>
        <v>37478.656828703701</v>
      </c>
      <c r="AF2456" s="260">
        <f>IF(DecLat&gt;0,IF((90 - (DecLat-O2456))&gt;90, (90 - (O2456-DecLat)), (90 - (DecLat-O2456))),IF((90 + (DecLat-O2456))&gt;90, (90 + (O2456-DecLat)), (90 + (DecLat-O2456))))</f>
        <v>89.765000000000001</v>
      </c>
      <c r="AG2456" s="257">
        <f>angularseperation(MoonRA,MoonDec,$M2456,$O2456)</f>
        <v>85.121776599702144</v>
      </c>
      <c r="AH2456" s="261">
        <f ca="1">MIN(100,IF($O$5&gt;80,0+30*($AG2456/100),IF($O$5&gt;70,0+50*($AG2456/100),IF($O$5&gt;60,5+50*($AG2456/100),IF($O$5&gt;50,10+60*($AG2456/100),IF($O$5&gt;40,15+70*($AG2456/100),IF($O$5&gt;30,20+70*($AG2456/100),IF($O$5&gt;20,40+55*($AG2456/100),(80+(20-$O$5)+30*($AG2456/100))))))))))</f>
        <v>100</v>
      </c>
      <c r="AI2456" s="262">
        <v>6995</v>
      </c>
      <c r="AJ2456" s="262"/>
      <c r="AK2456" s="262"/>
      <c r="AL2456" s="263"/>
      <c r="AM2456" s="264"/>
      <c r="AN2456" s="263"/>
      <c r="AO2456" s="263"/>
      <c r="AP2456" s="265"/>
      <c r="AQ2456" s="266"/>
      <c r="AR2456" s="267"/>
      <c r="AS2456" s="263"/>
      <c r="AT2456" s="263"/>
      <c r="AU2456" s="263"/>
      <c r="AV2456" s="264"/>
      <c r="AW2456" s="263"/>
      <c r="AX2456" s="263"/>
      <c r="AY2456" s="263"/>
      <c r="AZ2456" s="263"/>
      <c r="BA2456" s="263"/>
      <c r="BB2456" s="263"/>
      <c r="BC2456" s="361" t="s">
        <v>3068</v>
      </c>
      <c r="BD2456" s="264"/>
      <c r="BE2456" s="263"/>
      <c r="BF2456" s="263"/>
      <c r="BG2456" s="263"/>
      <c r="BH2456" s="263"/>
      <c r="BI2456" s="263"/>
      <c r="BJ2456" s="404">
        <f>altaz(J2000_Bas,$O2456,$M2456,DecLat,DecLong,2)</f>
        <v>82.035124499003089</v>
      </c>
      <c r="BK2456" s="378" t="s">
        <v>2321</v>
      </c>
      <c r="BL2456" s="379">
        <f>IF((2*G2456)/60&lt;0.2,0.2,(2*G2456)/60)</f>
        <v>1.6666666666666667</v>
      </c>
      <c r="BM2456" s="380">
        <f>MOD((50000+AD2456-$B$3+(0/24)),1)</f>
        <v>8.1299210440192837E-2</v>
      </c>
      <c r="BN2456" s="381"/>
      <c r="BO2456" s="382">
        <v>2447</v>
      </c>
    </row>
    <row r="2457" spans="1:67" s="24" customFormat="1" ht="15" customHeight="1" x14ac:dyDescent="0.25">
      <c r="A2457" s="288" t="s">
        <v>2322</v>
      </c>
      <c r="B2457" s="241" t="str">
        <f>HYPERLINK(CONCATENATE($AT$3,BK2457,$AU$3),$AV$3)</f>
        <v>S</v>
      </c>
      <c r="C2457" s="242" t="str">
        <f>HYPERLINK(CONCATENATE($AT$4,BK2457,$AU$4,BL2457),$AV$4)</f>
        <v>A</v>
      </c>
      <c r="D2457" s="243" t="s">
        <v>5187</v>
      </c>
      <c r="E2457" s="244" t="s">
        <v>5183</v>
      </c>
      <c r="F2457" s="269" t="s">
        <v>9159</v>
      </c>
      <c r="G2457" s="276">
        <v>120</v>
      </c>
      <c r="H2457" s="283">
        <v>1500</v>
      </c>
      <c r="I2457" s="246">
        <v>55</v>
      </c>
      <c r="J2457" s="246">
        <v>4</v>
      </c>
      <c r="K2457" s="247" t="s">
        <v>8336</v>
      </c>
      <c r="L2457" s="248">
        <v>205917</v>
      </c>
      <c r="M2457" s="249">
        <f>15*(LEFT(TEXT($L2457,"000000"),2)+(MID(TEXT($L2457,"000000"),3,2)/60)+(RIGHT(TEXT($L2457,"000000"),2)/3600))</f>
        <v>314.82083333333338</v>
      </c>
      <c r="N2457" s="250">
        <v>443100</v>
      </c>
      <c r="O2457" s="251">
        <f>IF($N2457&gt;0,(LEFT(TEXT($N2457,"000000"),2)+(MID(TEXT($N2457,"000000"),3,2)/60)+(RIGHT(TEXT($N2457,"000000"),2)/3600)),-(MID(TEXT($N2457,"000000"),2,2)+(MID(TEXT($N2457,"000000"),4,2)/60)+(RIGHT(TEXT($N2457,"000000"),2)/3600)))</f>
        <v>44.516666666666666</v>
      </c>
      <c r="P2457" s="252" t="s">
        <v>60</v>
      </c>
      <c r="Q2457" s="253" t="s">
        <v>7037</v>
      </c>
      <c r="R2457" s="247" t="s">
        <v>7344</v>
      </c>
      <c r="S2457" s="272" t="s">
        <v>3293</v>
      </c>
      <c r="T2457" s="273">
        <v>5</v>
      </c>
      <c r="U2457" s="274"/>
      <c r="V2457" s="280"/>
      <c r="W2457" s="244"/>
      <c r="X2457" s="244"/>
      <c r="Y2457" s="362"/>
      <c r="Z2457" s="257">
        <f>altaz(J2000_Bas,$O2457,$M2457,DecLat,DecLong,1)</f>
        <v>63.71559617782728</v>
      </c>
      <c r="AA2457" s="257">
        <f>altaz((J2000_Bas+(2*0.04167)),$O2457,$M2457,DecLat,DecLong,1)</f>
        <v>76.446788565690468</v>
      </c>
      <c r="AB2457" s="257">
        <f>altaz((J2000_Bas+(4*0.04167)),$O2457,$M2457,DecLat,DecLong,1)</f>
        <v>62.014331764715543</v>
      </c>
      <c r="AC2457" s="257">
        <f>altaz((J2000_Bas+(6*0.04167)),$O2457,$M2457,DecLat,DecLong,1)</f>
        <v>40.794391734364019</v>
      </c>
      <c r="AD2457" s="258">
        <f>1+ transit((J2000_Bas-1),$O2457,$M2457,DecLat,DecLong)/360 + (GMTOffset/24) + (IF(DST="Y", 1, 0)/24)</f>
        <v>1.8674021879942913</v>
      </c>
      <c r="AE2457" s="259">
        <f>DATE(2001,9,21)+(M2457/360)*365 - (360*((DecLong/360)- (GMTOffset/24) ))</f>
        <v>37479.193344907406</v>
      </c>
      <c r="AF2457" s="260">
        <f>IF(DecLat&gt;0,IF((90 - (DecLat-O2457))&gt;90, (90 - (O2457-DecLat)), (90 - (DecLat-O2457))),IF((90 + (DecLat-O2457))&gt;90, (90 + (O2457-DecLat)), (90 + (DecLat-O2457))))</f>
        <v>76.483333333333334</v>
      </c>
      <c r="AG2457" s="257">
        <f>angularseperation(MoonRA,MoonDec,$M2457,$O2457)</f>
        <v>93.252907938297767</v>
      </c>
      <c r="AH2457" s="261">
        <f ca="1">MIN(100,IF($O$5&gt;80,0+30*($AG2457/100),IF($O$5&gt;70,0+50*($AG2457/100),IF($O$5&gt;60,5+50*($AG2457/100),IF($O$5&gt;50,10+60*($AG2457/100),IF($O$5&gt;40,15+70*($AG2457/100),IF($O$5&gt;30,20+70*($AG2457/100),IF($O$5&gt;20,40+55*($AG2457/100),(80+(20-$O$5)+30*($AG2457/100))))))))))</f>
        <v>100</v>
      </c>
      <c r="AI2457" s="262">
        <v>7000</v>
      </c>
      <c r="AJ2457" s="262"/>
      <c r="AK2457" s="262">
        <v>374</v>
      </c>
      <c r="AL2457" s="263"/>
      <c r="AM2457" s="264">
        <v>20</v>
      </c>
      <c r="AN2457" s="263"/>
      <c r="AO2457" s="263"/>
      <c r="AP2457" s="265"/>
      <c r="AQ2457" s="266"/>
      <c r="AR2457" s="267"/>
      <c r="AS2457" s="263"/>
      <c r="AT2457" s="263"/>
      <c r="AU2457" s="263"/>
      <c r="AV2457" s="264"/>
      <c r="AW2457" s="263"/>
      <c r="AX2457" s="263"/>
      <c r="AY2457" s="263">
        <v>373</v>
      </c>
      <c r="AZ2457" s="263"/>
      <c r="BA2457" s="263"/>
      <c r="BB2457" s="263">
        <v>117</v>
      </c>
      <c r="BC2457" s="263"/>
      <c r="BD2457" s="264"/>
      <c r="BE2457" s="263"/>
      <c r="BF2457" s="263"/>
      <c r="BG2457" s="263"/>
      <c r="BH2457" s="263"/>
      <c r="BI2457" s="263"/>
      <c r="BJ2457" s="404">
        <f>altaz(J2000_Bas,$O2457,$M2457,DecLat,DecLong,2)</f>
        <v>50.911675964334862</v>
      </c>
      <c r="BK2457" s="378" t="s">
        <v>2322</v>
      </c>
      <c r="BL2457" s="379">
        <f>IF((2*G2457)/60&lt;0.2,0.2,(2*G2457)/60)</f>
        <v>4</v>
      </c>
      <c r="BM2457" s="380">
        <f>MOD((50000+AD2457-$B$3+(0/24)),1)</f>
        <v>8.2769117696443573E-2</v>
      </c>
      <c r="BN2457" s="381"/>
      <c r="BO2457" s="382">
        <v>2448</v>
      </c>
    </row>
    <row r="2458" spans="1:67" s="24" customFormat="1" ht="15" customHeight="1" x14ac:dyDescent="0.25">
      <c r="A2458" s="288" t="s">
        <v>2323</v>
      </c>
      <c r="B2458" s="241" t="str">
        <f>HYPERLINK(CONCATENATE($AT$3,BK2458,$AU$3),$AV$3)</f>
        <v>S</v>
      </c>
      <c r="C2458" s="242" t="str">
        <f>HYPERLINK(CONCATENATE($AT$4,BK2458,$AU$4,BL2458),$AV$4)</f>
        <v>A</v>
      </c>
      <c r="D2458" s="243" t="s">
        <v>5335</v>
      </c>
      <c r="E2458" s="244" t="s">
        <v>5184</v>
      </c>
      <c r="F2458" s="269" t="s">
        <v>3319</v>
      </c>
      <c r="G2458" s="273">
        <v>2.8</v>
      </c>
      <c r="H2458" s="283">
        <v>130000</v>
      </c>
      <c r="I2458" s="246">
        <v>110</v>
      </c>
      <c r="J2458" s="246">
        <v>3</v>
      </c>
      <c r="K2458" s="247" t="s">
        <v>7453</v>
      </c>
      <c r="L2458" s="248">
        <v>210129</v>
      </c>
      <c r="M2458" s="249">
        <f>15*(LEFT(TEXT($L2458,"000000"),2)+(MID(TEXT($L2458,"000000"),3,2)/60)+(RIGHT(TEXT($L2458,"000000"),2)/3600))</f>
        <v>315.37083333333328</v>
      </c>
      <c r="N2458" s="250">
        <v>161115</v>
      </c>
      <c r="O2458" s="251">
        <f>IF($N2458&gt;0,(LEFT(TEXT($N2458,"000000"),2)+(MID(TEXT($N2458,"000000"),3,2)/60)+(RIGHT(TEXT($N2458,"000000"),2)/3600)),-(MID(TEXT($N2458,"000000"),2,2)+(MID(TEXT($N2458,"000000"),4,2)/60)+(RIGHT(TEXT($N2458,"000000"),2)/3600)))</f>
        <v>16.1875</v>
      </c>
      <c r="P2458" s="252" t="s">
        <v>153</v>
      </c>
      <c r="Q2458" s="253"/>
      <c r="R2458" s="247" t="s">
        <v>7364</v>
      </c>
      <c r="S2458" s="272" t="s">
        <v>3293</v>
      </c>
      <c r="T2458" s="273">
        <v>10.6</v>
      </c>
      <c r="U2458" s="274"/>
      <c r="V2458" s="280"/>
      <c r="W2458" s="244"/>
      <c r="X2458" s="244"/>
      <c r="Y2458" s="362"/>
      <c r="Z2458" s="257">
        <f>altaz(J2000_Bas,$O2458,$M2458,DecLat,DecLong,1)</f>
        <v>59.426454627782036</v>
      </c>
      <c r="AA2458" s="257">
        <f>altaz((J2000_Bas+(2*0.04167)),$O2458,$M2458,DecLat,DecLong,1)</f>
        <v>75.173088452556115</v>
      </c>
      <c r="AB2458" s="257">
        <f>altaz((J2000_Bas+(4*0.04167)),$O2458,$M2458,DecLat,DecLong,1)</f>
        <v>58.283432035473403</v>
      </c>
      <c r="AC2458" s="257">
        <f>altaz((J2000_Bas+(6*0.04167)),$O2458,$M2458,DecLat,DecLong,1)</f>
        <v>32.963854081919429</v>
      </c>
      <c r="AD2458" s="258">
        <f>1+ transit((J2000_Bas-1),$O2458,$M2458,DecLat,DecLong)/360 + (GMTOffset/24) + (IF(DST="Y", 1, 0)/24)</f>
        <v>1.8689299656192915</v>
      </c>
      <c r="AE2458" s="259">
        <f>DATE(2001,9,21)+(M2458/360)*365 - (360*((DecLong/360)- (GMTOffset/24) ))</f>
        <v>37479.750983796293</v>
      </c>
      <c r="AF2458" s="260">
        <f>IF(DecLat&gt;0,IF((90 - (DecLat-O2458))&gt;90, (90 - (O2458-DecLat)), (90 - (DecLat-O2458))),IF((90 + (DecLat-O2458))&gt;90, (90 + (O2458-DecLat)), (90 + (DecLat-O2458))))</f>
        <v>75.1875</v>
      </c>
      <c r="AG2458" s="257">
        <f>angularseperation(MoonRA,MoonDec,$M2458,$O2458)</f>
        <v>77.344437430010458</v>
      </c>
      <c r="AH2458" s="261">
        <f ca="1">MIN(100,IF($O$5&gt;80,0+30*($AG2458/100),IF($O$5&gt;70,0+50*($AG2458/100),IF($O$5&gt;60,5+50*($AG2458/100),IF($O$5&gt;50,10+60*($AG2458/100),IF($O$5&gt;40,15+70*($AG2458/100),IF($O$5&gt;30,20+70*($AG2458/100),IF($O$5&gt;20,40+55*($AG2458/100),(80+(20-$O$5)+30*($AG2458/100))))))))))</f>
        <v>100</v>
      </c>
      <c r="AI2458" s="262">
        <v>7006</v>
      </c>
      <c r="AJ2458" s="262"/>
      <c r="AK2458" s="262">
        <v>375</v>
      </c>
      <c r="AL2458" s="263"/>
      <c r="AM2458" s="264">
        <v>42</v>
      </c>
      <c r="AN2458" s="263"/>
      <c r="AO2458" s="263"/>
      <c r="AP2458" s="265"/>
      <c r="AQ2458" s="266"/>
      <c r="AR2458" s="267"/>
      <c r="AS2458" s="263"/>
      <c r="AT2458" s="263"/>
      <c r="AU2458" s="263"/>
      <c r="AV2458" s="264"/>
      <c r="AW2458" s="263"/>
      <c r="AX2458" s="263"/>
      <c r="AY2458" s="263"/>
      <c r="AZ2458" s="263"/>
      <c r="BA2458" s="263"/>
      <c r="BB2458" s="263"/>
      <c r="BC2458" s="263"/>
      <c r="BD2458" s="264"/>
      <c r="BE2458" s="263"/>
      <c r="BF2458" s="263"/>
      <c r="BG2458" s="263"/>
      <c r="BH2458" s="263"/>
      <c r="BI2458" s="263"/>
      <c r="BJ2458" s="404">
        <f>altaz(J2000_Bas,$O2458,$M2458,DecLat,DecLong,2)</f>
        <v>112.18841921986608</v>
      </c>
      <c r="BK2458" s="378" t="s">
        <v>2323</v>
      </c>
      <c r="BL2458" s="379">
        <f>IF((2*G2458)/60&lt;0.2,0.2,(2*G2458)/60)</f>
        <v>0.2</v>
      </c>
      <c r="BM2458" s="380">
        <f>MOD((50000+AD2458-$B$3+(0/24)),1)</f>
        <v>8.4296895322040655E-2</v>
      </c>
      <c r="BN2458" s="381"/>
      <c r="BO2458" s="382">
        <v>2449</v>
      </c>
    </row>
    <row r="2459" spans="1:67" s="24" customFormat="1" ht="15" customHeight="1" x14ac:dyDescent="0.25">
      <c r="A2459" s="288" t="s">
        <v>2324</v>
      </c>
      <c r="B2459" s="241" t="str">
        <f>HYPERLINK(CONCATENATE($AT$3,BK2459,$AU$3),$AV$3)</f>
        <v>S</v>
      </c>
      <c r="C2459" s="242" t="str">
        <f>HYPERLINK(CONCATENATE($AT$4,BK2459,$AU$4,BL2459),$AV$4)</f>
        <v>A</v>
      </c>
      <c r="D2459" s="243" t="s">
        <v>5187</v>
      </c>
      <c r="E2459" s="244" t="s">
        <v>5181</v>
      </c>
      <c r="F2459" s="269" t="s">
        <v>7454</v>
      </c>
      <c r="G2459" s="273">
        <v>1.8</v>
      </c>
      <c r="H2459" s="283">
        <v>3000</v>
      </c>
      <c r="I2459" s="279">
        <v>1.5</v>
      </c>
      <c r="J2459" s="246">
        <v>4</v>
      </c>
      <c r="K2459" s="247" t="s">
        <v>8335</v>
      </c>
      <c r="L2459" s="248">
        <v>210033</v>
      </c>
      <c r="M2459" s="249">
        <f>15*(LEFT(TEXT($L2459,"000000"),2)+(MID(TEXT($L2459,"000000"),3,2)/60)+(RIGHT(TEXT($L2459,"000000"),2)/3600))</f>
        <v>315.13749999999999</v>
      </c>
      <c r="N2459" s="250">
        <v>543235</v>
      </c>
      <c r="O2459" s="251">
        <f>IF($N2459&gt;0,(LEFT(TEXT($N2459,"000000"),2)+(MID(TEXT($N2459,"000000"),3,2)/60)+(RIGHT(TEXT($N2459,"000000"),2)/3600)),-(MID(TEXT($N2459,"000000"),2,2)+(MID(TEXT($N2459,"000000"),4,2)/60)+(RIGHT(TEXT($N2459,"000000"),2)/3600)))</f>
        <v>54.543055555555554</v>
      </c>
      <c r="P2459" s="252" t="s">
        <v>60</v>
      </c>
      <c r="Q2459" s="253" t="s">
        <v>6983</v>
      </c>
      <c r="R2459" s="247" t="s">
        <v>3293</v>
      </c>
      <c r="S2459" s="272" t="s">
        <v>3293</v>
      </c>
      <c r="T2459" s="273">
        <v>12</v>
      </c>
      <c r="U2459" s="274"/>
      <c r="V2459" s="280"/>
      <c r="W2459" s="244"/>
      <c r="X2459" s="244"/>
      <c r="Y2459" s="362"/>
      <c r="Z2459" s="257">
        <f>altaz(J2000_Bas,$O2459,$M2459,DecLat,DecLong,1)</f>
        <v>58.632702191707395</v>
      </c>
      <c r="AA2459" s="257">
        <f>altaz((J2000_Bas+(2*0.04167)),$O2459,$M2459,DecLat,DecLong,1)</f>
        <v>66.447149303804622</v>
      </c>
      <c r="AB2459" s="257">
        <f>altaz((J2000_Bas+(4*0.04167)),$O2459,$M2459,DecLat,DecLong,1)</f>
        <v>57.734747627174308</v>
      </c>
      <c r="AC2459" s="257">
        <f>altaz((J2000_Bas+(6*0.04167)),$O2459,$M2459,DecLat,DecLong,1)</f>
        <v>41.276046258075183</v>
      </c>
      <c r="AD2459" s="258">
        <f>1+ transit((J2000_Bas-1),$O2459,$M2459,DecLat,DecLong)/360 + (GMTOffset/24) + (IF(DST="Y", 1, 0)/24)</f>
        <v>1.8682818175359579</v>
      </c>
      <c r="AE2459" s="259">
        <f>DATE(2001,9,21)+(M2459/360)*365 - (360*((DecLong/360)- (GMTOffset/24) ))</f>
        <v>37479.514409722222</v>
      </c>
      <c r="AF2459" s="260">
        <f>IF(DecLat&gt;0,IF((90 - (DecLat-O2459))&gt;90, (90 - (O2459-DecLat)), (90 - (DecLat-O2459))),IF((90 + (DecLat-O2459))&gt;90, (90 + (O2459-DecLat)), (90 + (DecLat-O2459))))</f>
        <v>66.456944444444446</v>
      </c>
      <c r="AG2459" s="257">
        <f>angularseperation(MoonRA,MoonDec,$M2459,$O2459)</f>
        <v>99.203042842738057</v>
      </c>
      <c r="AH2459" s="261">
        <f ca="1">MIN(100,IF($O$5&gt;80,0+30*($AG2459/100),IF($O$5&gt;70,0+50*($AG2459/100),IF($O$5&gt;60,5+50*($AG2459/100),IF($O$5&gt;50,10+60*($AG2459/100),IF($O$5&gt;40,15+70*($AG2459/100),IF($O$5&gt;30,20+70*($AG2459/100),IF($O$5&gt;20,40+55*($AG2459/100),(80+(20-$O$5)+30*($AG2459/100))))))))))</f>
        <v>100</v>
      </c>
      <c r="AI2459" s="262">
        <v>7008</v>
      </c>
      <c r="AJ2459" s="262"/>
      <c r="AK2459" s="262">
        <v>376</v>
      </c>
      <c r="AL2459" s="263"/>
      <c r="AM2459" s="264"/>
      <c r="AN2459" s="263"/>
      <c r="AO2459" s="263"/>
      <c r="AP2459" s="265"/>
      <c r="AQ2459" s="266"/>
      <c r="AR2459" s="267"/>
      <c r="AS2459" s="263"/>
      <c r="AT2459" s="263">
        <v>37</v>
      </c>
      <c r="AU2459" s="263"/>
      <c r="AV2459" s="264"/>
      <c r="AW2459" s="263"/>
      <c r="AX2459" s="263"/>
      <c r="AY2459" s="263"/>
      <c r="AZ2459" s="263"/>
      <c r="BA2459" s="263"/>
      <c r="BB2459" s="263"/>
      <c r="BC2459" s="263"/>
      <c r="BD2459" s="264"/>
      <c r="BE2459" s="263">
        <v>103</v>
      </c>
      <c r="BF2459" s="263"/>
      <c r="BG2459" s="263"/>
      <c r="BH2459" s="263"/>
      <c r="BI2459" s="263"/>
      <c r="BJ2459" s="404">
        <f>altaz(J2000_Bas,$O2459,$M2459,DecLat,DecLong,2)</f>
        <v>32.859733207426125</v>
      </c>
      <c r="BK2459" s="378" t="s">
        <v>2324</v>
      </c>
      <c r="BL2459" s="379">
        <f>IF((2*G2459)/60&lt;0.2,0.2,(2*G2459)/60)</f>
        <v>0.2</v>
      </c>
      <c r="BM2459" s="380">
        <f>MOD((50000+AD2459-$B$3+(0/24)),1)</f>
        <v>8.3648747240658849E-2</v>
      </c>
      <c r="BN2459" s="381"/>
      <c r="BO2459" s="382">
        <v>2450</v>
      </c>
    </row>
    <row r="2460" spans="1:67" s="24" customFormat="1" ht="15" customHeight="1" x14ac:dyDescent="0.25">
      <c r="A2460" s="288" t="s">
        <v>2325</v>
      </c>
      <c r="B2460" s="241" t="str">
        <f>HYPERLINK(CONCATENATE($AT$3,BK2460,$AU$3),$AV$3)</f>
        <v>S</v>
      </c>
      <c r="C2460" s="242" t="str">
        <f>HYPERLINK(CONCATENATE($AT$4,BK2460,$AU$4,BL2460),$AV$4)</f>
        <v>A</v>
      </c>
      <c r="D2460" s="243" t="s">
        <v>5187</v>
      </c>
      <c r="E2460" s="244" t="s">
        <v>5181</v>
      </c>
      <c r="F2460" s="293" t="s">
        <v>8680</v>
      </c>
      <c r="G2460" s="270">
        <v>0.7</v>
      </c>
      <c r="H2460" s="283">
        <v>4500</v>
      </c>
      <c r="I2460" s="279">
        <v>1</v>
      </c>
      <c r="J2460" s="246">
        <v>4</v>
      </c>
      <c r="K2460" s="247" t="s">
        <v>7455</v>
      </c>
      <c r="L2460" s="248">
        <v>210411</v>
      </c>
      <c r="M2460" s="249">
        <f>15*(LEFT(TEXT($L2460,"000000"),2)+(MID(TEXT($L2460,"000000"),3,2)/60)+(RIGHT(TEXT($L2460,"000000"),2)/3600))</f>
        <v>316.04583333333335</v>
      </c>
      <c r="N2460" s="250">
        <v>-112150</v>
      </c>
      <c r="O2460" s="251">
        <f>IF($N2460&gt;0,(LEFT(TEXT($N2460,"000000"),2)+(MID(TEXT($N2460,"000000"),3,2)/60)+(RIGHT(TEXT($N2460,"000000"),2)/3600)),-(MID(TEXT($N2460,"000000"),2,2)+(MID(TEXT($N2460,"000000"),4,2)/60)+(RIGHT(TEXT($N2460,"000000"),2)/3600)))</f>
        <v>-11.363888888888889</v>
      </c>
      <c r="P2460" s="252" t="s">
        <v>3119</v>
      </c>
      <c r="Q2460" s="253" t="s">
        <v>7061</v>
      </c>
      <c r="R2460" s="247" t="s">
        <v>7325</v>
      </c>
      <c r="S2460" s="272" t="s">
        <v>3293</v>
      </c>
      <c r="T2460" s="273">
        <v>12</v>
      </c>
      <c r="U2460" s="274"/>
      <c r="V2460" s="280"/>
      <c r="W2460" s="244"/>
      <c r="X2460" s="244"/>
      <c r="Y2460" s="362"/>
      <c r="Z2460" s="257">
        <f>altaz(J2000_Bas,$O2460,$M2460,DecLat,DecLong,1)</f>
        <v>38.75384594868045</v>
      </c>
      <c r="AA2460" s="257">
        <f>altaz((J2000_Bas+(2*0.04167)),$O2460,$M2460,DecLat,DecLong,1)</f>
        <v>47.636092513915905</v>
      </c>
      <c r="AB2460" s="257">
        <f>altaz((J2000_Bas+(4*0.04167)),$O2460,$M2460,DecLat,DecLong,1)</f>
        <v>38.709200589356705</v>
      </c>
      <c r="AC2460" s="257">
        <f>altaz((J2000_Bas+(6*0.04167)),$O2460,$M2460,DecLat,DecLong,1)</f>
        <v>18.422582821198962</v>
      </c>
      <c r="AD2460" s="258">
        <f>1+ transit((J2000_Bas-1),$O2460,$M2460,DecLat,DecLong)/360 + (GMTOffset/24) + (IF(DST="Y", 1, 0)/24)</f>
        <v>1.8708049654317913</v>
      </c>
      <c r="AE2460" s="259">
        <f>DATE(2001,9,21)+(M2460/360)*365 - (360*((DecLong/360)- (GMTOffset/24) ))</f>
        <v>37480.435358796298</v>
      </c>
      <c r="AF2460" s="260">
        <f>IF(DecLat&gt;0,IF((90 - (DecLat-O2460))&gt;90, (90 - (O2460-DecLat)), (90 - (DecLat-O2460))),IF((90 + (DecLat-O2460))&gt;90, (90 + (O2460-DecLat)), (90 + (DecLat-O2460))))</f>
        <v>47.636111111111113</v>
      </c>
      <c r="AG2460" s="257">
        <f>angularseperation(MoonRA,MoonDec,$M2460,$O2460)</f>
        <v>64.308680548333953</v>
      </c>
      <c r="AH2460" s="261">
        <f ca="1">MIN(100,IF($O$5&gt;80,0+30*($AG2460/100),IF($O$5&gt;70,0+50*($AG2460/100),IF($O$5&gt;60,5+50*($AG2460/100),IF($O$5&gt;50,10+60*($AG2460/100),IF($O$5&gt;40,15+70*($AG2460/100),IF($O$5&gt;30,20+70*($AG2460/100),IF($O$5&gt;20,40+55*($AG2460/100),(80+(20-$O$5)+30*($AG2460/100))))))))))</f>
        <v>100</v>
      </c>
      <c r="AI2460" s="262">
        <v>7009</v>
      </c>
      <c r="AJ2460" s="262"/>
      <c r="AK2460" s="262">
        <v>377</v>
      </c>
      <c r="AL2460" s="263"/>
      <c r="AM2460" s="264">
        <v>55</v>
      </c>
      <c r="AN2460" s="263"/>
      <c r="AO2460" s="263"/>
      <c r="AP2460" s="265"/>
      <c r="AQ2460" s="266"/>
      <c r="AR2460" s="267"/>
      <c r="AS2460" s="263"/>
      <c r="AT2460" s="263">
        <v>38</v>
      </c>
      <c r="AU2460" s="263"/>
      <c r="AV2460" s="264"/>
      <c r="AW2460" s="263"/>
      <c r="AX2460" s="263"/>
      <c r="AY2460" s="263"/>
      <c r="AZ2460" s="263"/>
      <c r="BA2460" s="263"/>
      <c r="BB2460" s="263"/>
      <c r="BC2460" s="263"/>
      <c r="BD2460" s="264"/>
      <c r="BE2460" s="263"/>
      <c r="BF2460" s="263"/>
      <c r="BG2460" s="263"/>
      <c r="BH2460" s="263"/>
      <c r="BI2460" s="263"/>
      <c r="BJ2460" s="404">
        <f>altaz(J2000_Bas,$O2460,$M2460,DecLat,DecLong,2)</f>
        <v>140.99365298092482</v>
      </c>
      <c r="BK2460" s="378" t="s">
        <v>2325</v>
      </c>
      <c r="BL2460" s="379">
        <f>IF((2*G2460)/60&lt;0.2,0.2,(2*G2460)/60)</f>
        <v>0.2</v>
      </c>
      <c r="BM2460" s="380">
        <f>MOD((50000+AD2460-$B$3+(0/24)),1)</f>
        <v>8.6171895134611987E-2</v>
      </c>
      <c r="BN2460" s="381" t="s">
        <v>9121</v>
      </c>
      <c r="BO2460" s="382">
        <v>2451</v>
      </c>
    </row>
    <row r="2461" spans="1:67" s="24" customFormat="1" ht="15" customHeight="1" x14ac:dyDescent="0.25">
      <c r="A2461" s="288" t="s">
        <v>2326</v>
      </c>
      <c r="B2461" s="241" t="str">
        <f>HYPERLINK(CONCATENATE($AT$3,BK2461,$AU$3),$AV$3)</f>
        <v>S</v>
      </c>
      <c r="C2461" s="242" t="str">
        <f>HYPERLINK(CONCATENATE($AT$4,BK2461,$AU$4,BL2461),$AV$4)</f>
        <v>A</v>
      </c>
      <c r="D2461" s="243" t="s">
        <v>5638</v>
      </c>
      <c r="E2461" s="244" t="s">
        <v>5192</v>
      </c>
      <c r="F2461" s="269" t="s">
        <v>8725</v>
      </c>
      <c r="G2461" s="273">
        <v>4.4000000000000004</v>
      </c>
      <c r="H2461" s="283">
        <v>34</v>
      </c>
      <c r="I2461" s="246">
        <v>45</v>
      </c>
      <c r="J2461" s="246">
        <v>3</v>
      </c>
      <c r="K2461" s="247" t="s">
        <v>7456</v>
      </c>
      <c r="L2461" s="248">
        <v>210333</v>
      </c>
      <c r="M2461" s="249">
        <f>15*(LEFT(TEXT($L2461,"000000"),2)+(MID(TEXT($L2461,"000000"),3,2)/60)+(RIGHT(TEXT($L2461,"000000"),2)/3600))</f>
        <v>315.88749999999999</v>
      </c>
      <c r="N2461" s="250">
        <v>295349</v>
      </c>
      <c r="O2461" s="251">
        <f>IF($N2461&gt;0,(LEFT(TEXT($N2461,"000000"),2)+(MID(TEXT($N2461,"000000"),3,2)/60)+(RIGHT(TEXT($N2461,"000000"),2)/3600)),-(MID(TEXT($N2461,"000000"),2,2)+(MID(TEXT($N2461,"000000"),4,2)/60)+(RIGHT(TEXT($N2461,"000000"),2)/3600)))</f>
        <v>29.896944444444443</v>
      </c>
      <c r="P2461" s="252" t="s">
        <v>60</v>
      </c>
      <c r="Q2461" s="253"/>
      <c r="R2461" s="247" t="s">
        <v>3293</v>
      </c>
      <c r="S2461" s="272" t="s">
        <v>3293</v>
      </c>
      <c r="T2461" s="273">
        <v>11.3</v>
      </c>
      <c r="U2461" s="289">
        <v>21.990000000000002</v>
      </c>
      <c r="V2461" s="280">
        <v>80</v>
      </c>
      <c r="W2461" s="244"/>
      <c r="X2461" s="244"/>
      <c r="Y2461" s="362"/>
      <c r="Z2461" s="257">
        <f>altaz(J2000_Bas,$O2461,$M2461,DecLat,DecLong,1)</f>
        <v>64.29030888745325</v>
      </c>
      <c r="AA2461" s="257">
        <f>altaz((J2000_Bas+(2*0.04167)),$O2461,$M2461,DecLat,DecLong,1)</f>
        <v>88.883595258127798</v>
      </c>
      <c r="AB2461" s="257">
        <f>altaz((J2000_Bas+(4*0.04167)),$O2461,$M2461,DecLat,DecLong,1)</f>
        <v>63.9495123006933</v>
      </c>
      <c r="AC2461" s="257">
        <f>altaz((J2000_Bas+(6*0.04167)),$O2461,$M2461,DecLat,DecLong,1)</f>
        <v>38.617332496393082</v>
      </c>
      <c r="AD2461" s="258">
        <f>1+ transit((J2000_Bas-1),$O2461,$M2461,DecLat,DecLong)/360 + (GMTOffset/24) + (IF(DST="Y", 1, 0)/24)</f>
        <v>1.8703651506609578</v>
      </c>
      <c r="AE2461" s="259">
        <f>DATE(2001,9,21)+(M2461/360)*365 - (360*((DecLong/360)- (GMTOffset/24) ))</f>
        <v>37480.274826388886</v>
      </c>
      <c r="AF2461" s="260">
        <f>IF(DecLat&gt;0,IF((90 - (DecLat-O2461))&gt;90, (90 - (O2461-DecLat)), (90 - (DecLat-O2461))),IF((90 + (DecLat-O2461))&gt;90, (90 + (O2461-DecLat)), (90 + (DecLat-O2461))))</f>
        <v>88.896944444444443</v>
      </c>
      <c r="AG2461" s="257">
        <f>angularseperation(MoonRA,MoonDec,$M2461,$O2461)</f>
        <v>85.466732779620514</v>
      </c>
      <c r="AH2461" s="261">
        <f ca="1">MIN(100,IF($O$5&gt;80,0+30*($AG2461/100),IF($O$5&gt;70,0+50*($AG2461/100),IF($O$5&gt;60,5+50*($AG2461/100),IF($O$5&gt;50,10+60*($AG2461/100),IF($O$5&gt;40,15+70*($AG2461/100),IF($O$5&gt;30,20+70*($AG2461/100),IF($O$5&gt;20,40+55*($AG2461/100),(80+(20-$O$5)+30*($AG2461/100))))))))))</f>
        <v>100</v>
      </c>
      <c r="AI2461" s="262">
        <v>7013</v>
      </c>
      <c r="AJ2461" s="262"/>
      <c r="AK2461" s="262"/>
      <c r="AL2461" s="263"/>
      <c r="AM2461" s="264"/>
      <c r="AN2461" s="263"/>
      <c r="AO2461" s="263"/>
      <c r="AP2461" s="265"/>
      <c r="AQ2461" s="266">
        <v>11670</v>
      </c>
      <c r="AR2461" s="267">
        <v>66003</v>
      </c>
      <c r="AS2461" s="263"/>
      <c r="AT2461" s="263"/>
      <c r="AU2461" s="263"/>
      <c r="AV2461" s="264"/>
      <c r="AW2461" s="263"/>
      <c r="AX2461" s="263"/>
      <c r="AY2461" s="263"/>
      <c r="AZ2461" s="263"/>
      <c r="BA2461" s="263"/>
      <c r="BB2461" s="263"/>
      <c r="BC2461" s="263"/>
      <c r="BD2461" s="264"/>
      <c r="BE2461" s="263"/>
      <c r="BF2461" s="263"/>
      <c r="BG2461" s="263"/>
      <c r="BH2461" s="263">
        <v>52</v>
      </c>
      <c r="BI2461" s="263"/>
      <c r="BJ2461" s="404">
        <f>altaz(J2000_Bas,$O2461,$M2461,DecLat,DecLong,2)</f>
        <v>84.693437932381585</v>
      </c>
      <c r="BK2461" s="378" t="s">
        <v>2326</v>
      </c>
      <c r="BL2461" s="379">
        <f>IF((2*G2461)/60&lt;0.2,0.2,(2*G2461)/60)</f>
        <v>0.2</v>
      </c>
      <c r="BM2461" s="380">
        <f>MOD((50000+AD2461-$B$3+(0/24)),1)</f>
        <v>8.5732080362504348E-2</v>
      </c>
      <c r="BN2461" s="381"/>
      <c r="BO2461" s="382">
        <v>2452</v>
      </c>
    </row>
    <row r="2462" spans="1:67" s="24" customFormat="1" ht="15" customHeight="1" x14ac:dyDescent="0.25">
      <c r="A2462" s="288" t="s">
        <v>2327</v>
      </c>
      <c r="B2462" s="241" t="str">
        <f>HYPERLINK(CONCATENATE($AT$3,BK2462,$AU$3),$AV$3)</f>
        <v>S</v>
      </c>
      <c r="C2462" s="242" t="str">
        <f>HYPERLINK(CONCATENATE($AT$4,BK2462,$AU$4,BL2462),$AV$4)</f>
        <v>A</v>
      </c>
      <c r="D2462" s="243" t="s">
        <v>5187</v>
      </c>
      <c r="E2462" s="244" t="s">
        <v>5186</v>
      </c>
      <c r="F2462" s="269"/>
      <c r="G2462" s="276">
        <v>20</v>
      </c>
      <c r="H2462" s="283">
        <v>1400</v>
      </c>
      <c r="I2462" s="279">
        <v>8</v>
      </c>
      <c r="J2462" s="246">
        <v>5</v>
      </c>
      <c r="K2462" s="247" t="s">
        <v>8334</v>
      </c>
      <c r="L2462" s="248">
        <v>210136</v>
      </c>
      <c r="M2462" s="249">
        <f>15*(LEFT(TEXT($L2462,"000000"),2)+(MID(TEXT($L2462,"000000"),3,2)/60)+(RIGHT(TEXT($L2462,"000000"),2)/3600))</f>
        <v>315.40000000000003</v>
      </c>
      <c r="N2462" s="250">
        <v>681010</v>
      </c>
      <c r="O2462" s="251">
        <f>IF($N2462&gt;0,(LEFT(TEXT($N2462,"000000"),2)+(MID(TEXT($N2462,"000000"),3,2)/60)+(RIGHT(TEXT($N2462,"000000"),2)/3600)),-(MID(TEXT($N2462,"000000"),2,2)+(MID(TEXT($N2462,"000000"),4,2)/60)+(RIGHT(TEXT($N2462,"000000"),2)/3600)))</f>
        <v>68.169444444444451</v>
      </c>
      <c r="P2462" s="252" t="s">
        <v>52</v>
      </c>
      <c r="Q2462" s="253" t="s">
        <v>7011</v>
      </c>
      <c r="R2462" s="247" t="s">
        <v>7328</v>
      </c>
      <c r="S2462" s="272" t="s">
        <v>3293</v>
      </c>
      <c r="T2462" s="273"/>
      <c r="U2462" s="274"/>
      <c r="V2462" s="280"/>
      <c r="W2462" s="244"/>
      <c r="X2462" s="244"/>
      <c r="Y2462" s="362"/>
      <c r="Z2462" s="257">
        <f>altaz(J2000_Bas,$O2462,$M2462,DecLat,DecLong,1)</f>
        <v>49.096106193217643</v>
      </c>
      <c r="AA2462" s="257">
        <f>altaz((J2000_Bas+(2*0.04167)),$O2462,$M2462,DecLat,DecLong,1)</f>
        <v>52.828381618345063</v>
      </c>
      <c r="AB2462" s="257">
        <f>altaz((J2000_Bas+(4*0.04167)),$O2462,$M2462,DecLat,DecLong,1)</f>
        <v>48.761872569581151</v>
      </c>
      <c r="AC2462" s="257">
        <f>altaz((J2000_Bas+(6*0.04167)),$O2462,$M2462,DecLat,DecLong,1)</f>
        <v>39.296593219771253</v>
      </c>
      <c r="AD2462" s="258">
        <f>1+ transit((J2000_Bas-1),$O2462,$M2462,DecLat,DecLong)/360 + (GMTOffset/24) + (IF(DST="Y", 1, 0)/24)</f>
        <v>1.869010984129708</v>
      </c>
      <c r="AE2462" s="259">
        <f>DATE(2001,9,21)+(M2462/360)*365 - (360*((DecLong/360)- (GMTOffset/24) ))</f>
        <v>37479.780555555553</v>
      </c>
      <c r="AF2462" s="260">
        <f>IF(DecLat&gt;0,IF((90 - (DecLat-O2462))&gt;90, (90 - (O2462-DecLat)), (90 - (DecLat-O2462))),IF((90 + (DecLat-O2462))&gt;90, (90 + (O2462-DecLat)), (90 + (DecLat-O2462))))</f>
        <v>52.830555555555549</v>
      </c>
      <c r="AG2462" s="257">
        <f>angularseperation(MoonRA,MoonDec,$M2462,$O2462)</f>
        <v>106.78721971994541</v>
      </c>
      <c r="AH2462" s="261">
        <f ca="1">MIN(100,IF($O$5&gt;80,0+30*($AG2462/100),IF($O$5&gt;70,0+50*($AG2462/100),IF($O$5&gt;60,5+50*($AG2462/100),IF($O$5&gt;50,10+60*($AG2462/100),IF($O$5&gt;40,15+70*($AG2462/100),IF($O$5&gt;30,20+70*($AG2462/100),IF($O$5&gt;20,40+55*($AG2462/100),(80+(20-$O$5)+30*($AG2462/100))))))))))</f>
        <v>100</v>
      </c>
      <c r="AI2462" s="262">
        <v>7023</v>
      </c>
      <c r="AJ2462" s="262"/>
      <c r="AK2462" s="262"/>
      <c r="AL2462" s="263"/>
      <c r="AM2462" s="264">
        <v>4</v>
      </c>
      <c r="AN2462" s="263"/>
      <c r="AO2462" s="263"/>
      <c r="AP2462" s="265"/>
      <c r="AQ2462" s="266"/>
      <c r="AR2462" s="267"/>
      <c r="AS2462" s="263"/>
      <c r="AT2462" s="263"/>
      <c r="AU2462" s="263"/>
      <c r="AV2462" s="264"/>
      <c r="AW2462" s="263"/>
      <c r="AX2462" s="263"/>
      <c r="AY2462" s="263"/>
      <c r="AZ2462" s="263"/>
      <c r="BA2462" s="263"/>
      <c r="BB2462" s="263"/>
      <c r="BC2462" s="263"/>
      <c r="BD2462" s="264">
        <v>139</v>
      </c>
      <c r="BE2462" s="263"/>
      <c r="BF2462" s="263"/>
      <c r="BG2462" s="263"/>
      <c r="BH2462" s="263"/>
      <c r="BI2462" s="263"/>
      <c r="BJ2462" s="404">
        <f>altaz(J2000_Bas,$O2462,$M2462,DecLat,DecLong,2)</f>
        <v>16.186593415884857</v>
      </c>
      <c r="BK2462" s="378" t="s">
        <v>2327</v>
      </c>
      <c r="BL2462" s="379">
        <f>IF((2*G2462)/60&lt;0.2,0.2,(2*G2462)/60)</f>
        <v>0.66666666666666663</v>
      </c>
      <c r="BM2462" s="380">
        <f>MOD((50000+AD2462-$B$3+(0/24)),1)</f>
        <v>8.4377913830394391E-2</v>
      </c>
      <c r="BN2462" s="381"/>
      <c r="BO2462" s="382">
        <v>2453</v>
      </c>
    </row>
    <row r="2463" spans="1:67" s="24" customFormat="1" ht="15" customHeight="1" x14ac:dyDescent="0.25">
      <c r="A2463" s="288" t="s">
        <v>2328</v>
      </c>
      <c r="B2463" s="241" t="str">
        <f>HYPERLINK(CONCATENATE($AT$3,BK2463,$AU$3),$AV$3)</f>
        <v>S</v>
      </c>
      <c r="C2463" s="242" t="str">
        <f>HYPERLINK(CONCATENATE($AT$4,BK2463,$AU$4,BL2463),$AV$4)</f>
        <v>A</v>
      </c>
      <c r="D2463" s="243" t="s">
        <v>5638</v>
      </c>
      <c r="E2463" s="244" t="s">
        <v>5192</v>
      </c>
      <c r="F2463" s="269" t="s">
        <v>8709</v>
      </c>
      <c r="G2463" s="273">
        <v>2</v>
      </c>
      <c r="H2463" s="283">
        <v>220</v>
      </c>
      <c r="I2463" s="246">
        <v>140</v>
      </c>
      <c r="J2463" s="246">
        <v>2</v>
      </c>
      <c r="K2463" s="247" t="s">
        <v>8824</v>
      </c>
      <c r="L2463" s="248">
        <v>210747</v>
      </c>
      <c r="M2463" s="249">
        <f>15*(LEFT(TEXT($L2463,"000000"),2)+(MID(TEXT($L2463,"000000"),3,2)/60)+(RIGHT(TEXT($L2463,"000000"),2)/3600))</f>
        <v>316.94583333333338</v>
      </c>
      <c r="N2463" s="250">
        <v>162008</v>
      </c>
      <c r="O2463" s="251">
        <f>IF($N2463&gt;0,(LEFT(TEXT($N2463,"000000"),2)+(MID(TEXT($N2463,"000000"),3,2)/60)+(RIGHT(TEXT($N2463,"000000"),2)/3600)),-(MID(TEXT($N2463,"000000"),2,2)+(MID(TEXT($N2463,"000000"),4,2)/60)+(RIGHT(TEXT($N2463,"000000"),2)/3600)))</f>
        <v>16.335555555555555</v>
      </c>
      <c r="P2463" s="252" t="s">
        <v>153</v>
      </c>
      <c r="Q2463" s="253"/>
      <c r="R2463" s="247" t="s">
        <v>3293</v>
      </c>
      <c r="S2463" s="272" t="s">
        <v>7457</v>
      </c>
      <c r="T2463" s="273">
        <v>12.8</v>
      </c>
      <c r="U2463" s="289">
        <v>22.490000000000002</v>
      </c>
      <c r="V2463" s="280">
        <v>55</v>
      </c>
      <c r="W2463" s="244"/>
      <c r="X2463" s="244"/>
      <c r="Y2463" s="362"/>
      <c r="Z2463" s="257">
        <f>altaz(J2000_Bas,$O2463,$M2463,DecLat,DecLong,1)</f>
        <v>58.250362901676375</v>
      </c>
      <c r="AA2463" s="257">
        <f>altaz((J2000_Bas+(2*0.04167)),$O2463,$M2463,DecLat,DecLong,1)</f>
        <v>75.31466448996494</v>
      </c>
      <c r="AB2463" s="257">
        <f>altaz((J2000_Bas+(4*0.04167)),$O2463,$M2463,DecLat,DecLong,1)</f>
        <v>59.622683031572052</v>
      </c>
      <c r="AC2463" s="257">
        <f>altaz((J2000_Bas+(6*0.04167)),$O2463,$M2463,DecLat,DecLong,1)</f>
        <v>34.380519758945987</v>
      </c>
      <c r="AD2463" s="258">
        <f>1+ transit((J2000_Bas-1),$O2463,$M2463,DecLat,DecLong)/360 + (GMTOffset/24) + (IF(DST="Y", 1, 0)/24)</f>
        <v>1.8733049651817912</v>
      </c>
      <c r="AE2463" s="259">
        <f>DATE(2001,9,21)+(M2463/360)*365 - (360*((DecLong/360)- (GMTOffset/24) ))</f>
        <v>37481.347858796296</v>
      </c>
      <c r="AF2463" s="260">
        <f>IF(DecLat&gt;0,IF((90 - (DecLat-O2463))&gt;90, (90 - (O2463-DecLat)), (90 - (DecLat-O2463))),IF((90 + (DecLat-O2463))&gt;90, (90 + (O2463-DecLat)), (90 + (DecLat-O2463))))</f>
        <v>75.335555555555558</v>
      </c>
      <c r="AG2463" s="257">
        <f>angularseperation(MoonRA,MoonDec,$M2463,$O2463)</f>
        <v>78.691357493726116</v>
      </c>
      <c r="AH2463" s="261">
        <f ca="1">MIN(100,IF($O$5&gt;80,0+30*($AG2463/100),IF($O$5&gt;70,0+50*($AG2463/100),IF($O$5&gt;60,5+50*($AG2463/100),IF($O$5&gt;50,10+60*($AG2463/100),IF($O$5&gt;40,15+70*($AG2463/100),IF($O$5&gt;30,20+70*($AG2463/100),IF($O$5&gt;20,40+55*($AG2463/100),(80+(20-$O$5)+30*($AG2463/100))))))))))</f>
        <v>100</v>
      </c>
      <c r="AI2463" s="262">
        <v>7025</v>
      </c>
      <c r="AJ2463" s="262"/>
      <c r="AK2463" s="262"/>
      <c r="AL2463" s="263"/>
      <c r="AM2463" s="264"/>
      <c r="AN2463" s="263"/>
      <c r="AO2463" s="263"/>
      <c r="AP2463" s="265"/>
      <c r="AQ2463" s="266">
        <v>11681</v>
      </c>
      <c r="AR2463" s="267">
        <v>66151</v>
      </c>
      <c r="AS2463" s="263"/>
      <c r="AT2463" s="263"/>
      <c r="AU2463" s="263"/>
      <c r="AV2463" s="264"/>
      <c r="AW2463" s="263"/>
      <c r="AX2463" s="263"/>
      <c r="AY2463" s="263"/>
      <c r="AZ2463" s="263"/>
      <c r="BA2463" s="263"/>
      <c r="BB2463" s="263"/>
      <c r="BC2463" s="263"/>
      <c r="BD2463" s="264"/>
      <c r="BE2463" s="263"/>
      <c r="BF2463" s="263"/>
      <c r="BG2463" s="263"/>
      <c r="BH2463" s="263"/>
      <c r="BI2463" s="263"/>
      <c r="BJ2463" s="404">
        <f>altaz(J2000_Bas,$O2463,$M2463,DecLat,DecLong,2)</f>
        <v>110.32957266360725</v>
      </c>
      <c r="BK2463" s="378" t="s">
        <v>2328</v>
      </c>
      <c r="BL2463" s="379">
        <f>IF((2*G2463)/60&lt;0.2,0.2,(2*G2463)/60)</f>
        <v>0.2</v>
      </c>
      <c r="BM2463" s="380">
        <f>MOD((50000+AD2463-$B$3+(0/24)),1)</f>
        <v>8.8671894882281777E-2</v>
      </c>
      <c r="BN2463" s="381"/>
      <c r="BO2463" s="382">
        <v>2454</v>
      </c>
    </row>
    <row r="2464" spans="1:67" s="24" customFormat="1" ht="15" customHeight="1" x14ac:dyDescent="0.25">
      <c r="A2464" s="288" t="s">
        <v>2329</v>
      </c>
      <c r="B2464" s="241" t="str">
        <f>HYPERLINK(CONCATENATE($AT$3,BK2464,$AU$3),$AV$3)</f>
        <v>S</v>
      </c>
      <c r="C2464" s="242" t="str">
        <f>HYPERLINK(CONCATENATE($AT$4,BK2464,$AU$4,BL2464),$AV$4)</f>
        <v>A</v>
      </c>
      <c r="D2464" s="243" t="s">
        <v>5187</v>
      </c>
      <c r="E2464" s="244" t="s">
        <v>5181</v>
      </c>
      <c r="F2464" s="269" t="s">
        <v>9091</v>
      </c>
      <c r="G2464" s="270">
        <v>0.7</v>
      </c>
      <c r="H2464" s="283">
        <v>10000</v>
      </c>
      <c r="I2464" s="279">
        <v>2</v>
      </c>
      <c r="J2464" s="246">
        <v>4</v>
      </c>
      <c r="K2464" s="247" t="s">
        <v>7459</v>
      </c>
      <c r="L2464" s="248">
        <v>210619</v>
      </c>
      <c r="M2464" s="249">
        <f>15*(LEFT(TEXT($L2464,"000000"),2)+(MID(TEXT($L2464,"000000"),3,2)/60)+(RIGHT(TEXT($L2464,"000000"),2)/3600))</f>
        <v>316.57916666666671</v>
      </c>
      <c r="N2464" s="250">
        <v>475108</v>
      </c>
      <c r="O2464" s="251">
        <f>IF($N2464&gt;0,(LEFT(TEXT($N2464,"000000"),2)+(MID(TEXT($N2464,"000000"),3,2)/60)+(RIGHT(TEXT($N2464,"000000"),2)/3600)),-(MID(TEXT($N2464,"000000"),2,2)+(MID(TEXT($N2464,"000000"),4,2)/60)+(RIGHT(TEXT($N2464,"000000"),2)/3600)))</f>
        <v>47.852222222222224</v>
      </c>
      <c r="P2464" s="252" t="s">
        <v>60</v>
      </c>
      <c r="Q2464" s="253" t="s">
        <v>7458</v>
      </c>
      <c r="R2464" s="247" t="s">
        <v>3293</v>
      </c>
      <c r="S2464" s="272" t="s">
        <v>3293</v>
      </c>
      <c r="T2464" s="273">
        <v>15</v>
      </c>
      <c r="U2464" s="274"/>
      <c r="V2464" s="280"/>
      <c r="W2464" s="244"/>
      <c r="X2464" s="244"/>
      <c r="Y2464" s="362"/>
      <c r="Z2464" s="257">
        <f>altaz(J2000_Bas,$O2464,$M2464,DecLat,DecLong,1)</f>
        <v>61.291464458964782</v>
      </c>
      <c r="AA2464" s="257">
        <f>altaz((J2000_Bas+(2*0.04167)),$O2464,$M2464,DecLat,DecLong,1)</f>
        <v>73.143587161239353</v>
      </c>
      <c r="AB2464" s="257">
        <f>altaz((J2000_Bas+(4*0.04167)),$O2464,$M2464,DecLat,DecLong,1)</f>
        <v>61.887777096665502</v>
      </c>
      <c r="AC2464" s="257">
        <f>altaz((J2000_Bas+(6*0.04167)),$O2464,$M2464,DecLat,DecLong,1)</f>
        <v>42.241696039653192</v>
      </c>
      <c r="AD2464" s="258">
        <f>1+ transit((J2000_Bas-1),$O2464,$M2464,DecLat,DecLong)/360 + (GMTOffset/24) + (IF(DST="Y", 1, 0)/24)</f>
        <v>1.872286446765125</v>
      </c>
      <c r="AE2464" s="259">
        <f>DATE(2001,9,21)+(M2464/360)*365 - (360*((DecLong/360)- (GMTOffset/24) ))</f>
        <v>37480.976099537038</v>
      </c>
      <c r="AF2464" s="260">
        <f>IF(DecLat&gt;0,IF((90 - (DecLat-O2464))&gt;90, (90 - (O2464-DecLat)), (90 - (DecLat-O2464))),IF((90 + (DecLat-O2464))&gt;90, (90 + (O2464-DecLat)), (90 + (DecLat-O2464))))</f>
        <v>73.147777777777776</v>
      </c>
      <c r="AG2464" s="257">
        <f>angularseperation(MoonRA,MoonDec,$M2464,$O2464)</f>
        <v>96.163218561396789</v>
      </c>
      <c r="AH2464" s="261">
        <f ca="1">MIN(100,IF($O$5&gt;80,0+30*($AG2464/100),IF($O$5&gt;70,0+50*($AG2464/100),IF($O$5&gt;60,5+50*($AG2464/100),IF($O$5&gt;50,10+60*($AG2464/100),IF($O$5&gt;40,15+70*($AG2464/100),IF($O$5&gt;30,20+70*($AG2464/100),IF($O$5&gt;20,40+55*($AG2464/100),(80+(20-$O$5)+30*($AG2464/100))))))))))</f>
        <v>100</v>
      </c>
      <c r="AI2464" s="262">
        <v>7026</v>
      </c>
      <c r="AJ2464" s="262"/>
      <c r="AK2464" s="262"/>
      <c r="AL2464" s="263"/>
      <c r="AM2464" s="264"/>
      <c r="AN2464" s="263"/>
      <c r="AO2464" s="263"/>
      <c r="AP2464" s="265"/>
      <c r="AQ2464" s="266"/>
      <c r="AR2464" s="267"/>
      <c r="AS2464" s="263"/>
      <c r="AT2464" s="263">
        <v>39</v>
      </c>
      <c r="AU2464" s="263"/>
      <c r="AV2464" s="264"/>
      <c r="AW2464" s="263"/>
      <c r="AX2464" s="263"/>
      <c r="AY2464" s="263"/>
      <c r="AZ2464" s="263"/>
      <c r="BA2464" s="263"/>
      <c r="BB2464" s="263"/>
      <c r="BC2464" s="263"/>
      <c r="BD2464" s="264"/>
      <c r="BE2464" s="263"/>
      <c r="BF2464" s="263">
        <v>101</v>
      </c>
      <c r="BG2464" s="263"/>
      <c r="BH2464" s="263"/>
      <c r="BI2464" s="263"/>
      <c r="BJ2464" s="404">
        <f>altaz(J2000_Bas,$O2464,$M2464,DecLat,DecLong,2)</f>
        <v>45.286051150269437</v>
      </c>
      <c r="BK2464" s="378" t="s">
        <v>2329</v>
      </c>
      <c r="BL2464" s="379">
        <f>IF((2*G2464)/60&lt;0.2,0.2,(2*G2464)/60)</f>
        <v>0.2</v>
      </c>
      <c r="BM2464" s="380">
        <f>MOD((50000+AD2464-$B$3+(0/24)),1)</f>
        <v>8.7653376467642374E-2</v>
      </c>
      <c r="BN2464" s="381"/>
      <c r="BO2464" s="382">
        <v>2455</v>
      </c>
    </row>
    <row r="2465" spans="1:67" s="24" customFormat="1" ht="15" customHeight="1" x14ac:dyDescent="0.25">
      <c r="A2465" s="288" t="s">
        <v>2330</v>
      </c>
      <c r="B2465" s="241" t="str">
        <f>HYPERLINK(CONCATENATE($AT$3,BK2465,$AU$3),$AV$3)</f>
        <v>S</v>
      </c>
      <c r="C2465" s="242" t="str">
        <f>HYPERLINK(CONCATENATE($AT$4,BK2465,$AU$4,BL2465),$AV$4)</f>
        <v>A</v>
      </c>
      <c r="D2465" s="243" t="s">
        <v>5187</v>
      </c>
      <c r="E2465" s="244" t="s">
        <v>5181</v>
      </c>
      <c r="F2465" s="269" t="s">
        <v>7461</v>
      </c>
      <c r="G2465" s="270">
        <v>0.25</v>
      </c>
      <c r="H2465" s="283">
        <v>3000</v>
      </c>
      <c r="I2465" s="309">
        <v>0.22</v>
      </c>
      <c r="J2465" s="246">
        <v>2</v>
      </c>
      <c r="K2465" s="247" t="s">
        <v>7460</v>
      </c>
      <c r="L2465" s="248">
        <v>210702</v>
      </c>
      <c r="M2465" s="249">
        <f>15*(LEFT(TEXT($L2465,"000000"),2)+(MID(TEXT($L2465,"000000"),3,2)/60)+(RIGHT(TEXT($L2465,"000000"),2)/3600))</f>
        <v>316.75833333333333</v>
      </c>
      <c r="N2465" s="250">
        <v>421410</v>
      </c>
      <c r="O2465" s="251">
        <f>IF($N2465&gt;0,(LEFT(TEXT($N2465,"000000"),2)+(MID(TEXT($N2465,"000000"),3,2)/60)+(RIGHT(TEXT($N2465,"000000"),2)/3600)),-(MID(TEXT($N2465,"000000"),2,2)+(MID(TEXT($N2465,"000000"),4,2)/60)+(RIGHT(TEXT($N2465,"000000"),2)/3600)))</f>
        <v>42.236111111111114</v>
      </c>
      <c r="P2465" s="252" t="s">
        <v>60</v>
      </c>
      <c r="Q2465" s="253" t="s">
        <v>7027</v>
      </c>
      <c r="R2465" s="247" t="s">
        <v>3293</v>
      </c>
      <c r="S2465" s="272" t="s">
        <v>3293</v>
      </c>
      <c r="T2465" s="273">
        <v>8.5</v>
      </c>
      <c r="U2465" s="274"/>
      <c r="V2465" s="280"/>
      <c r="W2465" s="244"/>
      <c r="X2465" s="244"/>
      <c r="Y2465" s="362"/>
      <c r="Z2465" s="257">
        <f>altaz(J2000_Bas,$O2465,$M2465,DecLat,DecLong,1)</f>
        <v>63.071864305273877</v>
      </c>
      <c r="AA2465" s="257">
        <f>altaz((J2000_Bas+(2*0.04167)),$O2465,$M2465,DecLat,DecLong,1)</f>
        <v>78.75109305656305</v>
      </c>
      <c r="AB2465" s="257">
        <f>altaz((J2000_Bas+(4*0.04167)),$O2465,$M2465,DecLat,DecLong,1)</f>
        <v>64.030611728361549</v>
      </c>
      <c r="AC2465" s="257">
        <f>altaz((J2000_Bas+(6*0.04167)),$O2465,$M2465,DecLat,DecLong,1)</f>
        <v>41.937625134991649</v>
      </c>
      <c r="AD2465" s="258">
        <f>1+ transit((J2000_Bas-1),$O2465,$M2465,DecLat,DecLong)/360 + (GMTOffset/24) + (IF(DST="Y", 1, 0)/24)</f>
        <v>1.8727841319005412</v>
      </c>
      <c r="AE2465" s="259">
        <f>DATE(2001,9,21)+(M2465/360)*365 - (360*((DecLong/360)- (GMTOffset/24) ))</f>
        <v>37481.157754629632</v>
      </c>
      <c r="AF2465" s="260">
        <f>IF(DecLat&gt;0,IF((90 - (DecLat-O2465))&gt;90, (90 - (O2465-DecLat)), (90 - (DecLat-O2465))),IF((90 + (DecLat-O2465))&gt;90, (90 + (O2465-DecLat)), (90 + (DecLat-O2465))))</f>
        <v>78.763888888888886</v>
      </c>
      <c r="AG2465" s="257">
        <f>angularseperation(MoonRA,MoonDec,$M2465,$O2465)</f>
        <v>93.093108932851123</v>
      </c>
      <c r="AH2465" s="261">
        <f ca="1">MIN(100,IF($O$5&gt;80,0+30*($AG2465/100),IF($O$5&gt;70,0+50*($AG2465/100),IF($O$5&gt;60,5+50*($AG2465/100),IF($O$5&gt;50,10+60*($AG2465/100),IF($O$5&gt;40,15+70*($AG2465/100),IF($O$5&gt;30,20+70*($AG2465/100),IF($O$5&gt;20,40+55*($AG2465/100),(80+(20-$O$5)+30*($AG2465/100))))))))))</f>
        <v>100</v>
      </c>
      <c r="AI2465" s="262">
        <v>7027</v>
      </c>
      <c r="AJ2465" s="262"/>
      <c r="AK2465" s="262"/>
      <c r="AL2465" s="263"/>
      <c r="AM2465" s="264"/>
      <c r="AN2465" s="263"/>
      <c r="AO2465" s="263"/>
      <c r="AP2465" s="265"/>
      <c r="AQ2465" s="266"/>
      <c r="AR2465" s="267"/>
      <c r="AS2465" s="263"/>
      <c r="AT2465" s="263">
        <v>40</v>
      </c>
      <c r="AU2465" s="263"/>
      <c r="AV2465" s="264"/>
      <c r="AW2465" s="263"/>
      <c r="AX2465" s="263"/>
      <c r="AY2465" s="263"/>
      <c r="AZ2465" s="263"/>
      <c r="BA2465" s="263"/>
      <c r="BB2465" s="263"/>
      <c r="BC2465" s="263"/>
      <c r="BD2465" s="264"/>
      <c r="BE2465" s="263">
        <v>104</v>
      </c>
      <c r="BF2465" s="263"/>
      <c r="BG2465" s="263"/>
      <c r="BH2465" s="263"/>
      <c r="BI2465" s="263"/>
      <c r="BJ2465" s="404">
        <f>altaz(J2000_Bas,$O2465,$M2465,DecLat,DecLong,2)</f>
        <v>56.723250529475266</v>
      </c>
      <c r="BK2465" s="378" t="s">
        <v>2330</v>
      </c>
      <c r="BL2465" s="379">
        <f>IF((2*G2465)/60&lt;0.2,0.2,(2*G2465)/60)</f>
        <v>0.2</v>
      </c>
      <c r="BM2465" s="380">
        <f>MOD((50000+AD2465-$B$3+(0/24)),1)</f>
        <v>8.8151061601820402E-2</v>
      </c>
      <c r="BN2465" s="381"/>
      <c r="BO2465" s="382">
        <v>2456</v>
      </c>
    </row>
    <row r="2466" spans="1:67" s="24" customFormat="1" ht="15" customHeight="1" x14ac:dyDescent="0.25">
      <c r="A2466" s="288" t="s">
        <v>3110</v>
      </c>
      <c r="B2466" s="241" t="str">
        <f>HYPERLINK(CONCATENATE($AT$3,BK2466,$AU$3),$AV$3)</f>
        <v>S</v>
      </c>
      <c r="C2466" s="242" t="str">
        <f>HYPERLINK(CONCATENATE($AT$4,BK2466,$AU$4,BL2466),$AV$4)</f>
        <v>A</v>
      </c>
      <c r="D2466" s="243" t="s">
        <v>5638</v>
      </c>
      <c r="E2466" s="244" t="s">
        <v>5192</v>
      </c>
      <c r="F2466" s="269" t="s">
        <v>8688</v>
      </c>
      <c r="G2466" s="273">
        <v>1.7</v>
      </c>
      <c r="H2466" s="283">
        <v>230</v>
      </c>
      <c r="I2466" s="246">
        <v>120</v>
      </c>
      <c r="J2466" s="246">
        <v>2</v>
      </c>
      <c r="K2466" s="247" t="s">
        <v>7463</v>
      </c>
      <c r="L2466" s="248">
        <v>211346</v>
      </c>
      <c r="M2466" s="249">
        <f>15*(LEFT(TEXT($L2466,"000000"),2)+(MID(TEXT($L2466,"000000"),3,2)/60)+(RIGHT(TEXT($L2466,"000000"),2)/3600))</f>
        <v>318.44166666666666</v>
      </c>
      <c r="N2466" s="250">
        <v>133424</v>
      </c>
      <c r="O2466" s="251">
        <f>IF($N2466&gt;0,(LEFT(TEXT($N2466,"000000"),2)+(MID(TEXT($N2466,"000000"),3,2)/60)+(RIGHT(TEXT($N2466,"000000"),2)/3600)),-(MID(TEXT($N2466,"000000"),2,2)+(MID(TEXT($N2466,"000000"),4,2)/60)+(RIGHT(TEXT($N2466,"000000"),2)/3600)))</f>
        <v>13.573333333333332</v>
      </c>
      <c r="P2466" s="252" t="s">
        <v>39</v>
      </c>
      <c r="Q2466" s="253"/>
      <c r="R2466" s="277" t="s">
        <v>3293</v>
      </c>
      <c r="S2466" s="272" t="s">
        <v>7462</v>
      </c>
      <c r="T2466" s="273">
        <v>12</v>
      </c>
      <c r="U2466" s="289">
        <v>22.09</v>
      </c>
      <c r="V2466" s="280">
        <v>40</v>
      </c>
      <c r="W2466" s="244"/>
      <c r="X2466" s="244"/>
      <c r="Y2466" s="362"/>
      <c r="Z2466" s="257">
        <f>altaz(J2000_Bas,$O2466,$M2466,DecLat,DecLong,1)</f>
        <v>55.495986687932927</v>
      </c>
      <c r="AA2466" s="257">
        <f>altaz((J2000_Bas+(2*0.04167)),$O2466,$M2466,DecLat,DecLong,1)</f>
        <v>72.439256096557727</v>
      </c>
      <c r="AB2466" s="257">
        <f>altaz((J2000_Bas+(4*0.04167)),$O2466,$M2466,DecLat,DecLong,1)</f>
        <v>59.137932385920429</v>
      </c>
      <c r="AC2466" s="257">
        <f>altaz((J2000_Bas+(6*0.04167)),$O2466,$M2466,DecLat,DecLong,1)</f>
        <v>34.381559351763642</v>
      </c>
      <c r="AD2466" s="258">
        <f>1+ transit((J2000_Bas-1),$O2466,$M2466,DecLat,DecLong)/360 + (GMTOffset/24) + (IF(DST="Y", 1, 0)/24)</f>
        <v>1.8774600573588749</v>
      </c>
      <c r="AE2466" s="259">
        <f>DATE(2001,9,21)+(M2466/360)*365 - (360*((DecLong/360)- (GMTOffset/24) ))</f>
        <v>37482.86446759259</v>
      </c>
      <c r="AF2466" s="260">
        <f>IF(DecLat&gt;0,IF((90 - (DecLat-O2466))&gt;90, (90 - (O2466-DecLat)), (90 - (DecLat-O2466))),IF((90 + (DecLat-O2466))&gt;90, (90 + (O2466-DecLat)), (90 + (DecLat-O2466))))</f>
        <v>72.573333333333323</v>
      </c>
      <c r="AG2466" s="257">
        <f>angularseperation(MoonRA,MoonDec,$M2466,$O2466)</f>
        <v>78.434676142215693</v>
      </c>
      <c r="AH2466" s="261">
        <f ca="1">MIN(100,IF($O$5&gt;80,0+30*($AG2466/100),IF($O$5&gt;70,0+50*($AG2466/100),IF($O$5&gt;60,5+50*($AG2466/100),IF($O$5&gt;50,10+60*($AG2466/100),IF($O$5&gt;40,15+70*($AG2466/100),IF($O$5&gt;30,20+70*($AG2466/100),IF($O$5&gt;20,40+55*($AG2466/100),(80+(20-$O$5)+30*($AG2466/100))))))))))</f>
        <v>100</v>
      </c>
      <c r="AI2466" s="263">
        <v>7042</v>
      </c>
      <c r="AJ2466" s="263"/>
      <c r="AK2466" s="263"/>
      <c r="AL2466" s="263"/>
      <c r="AM2466" s="264"/>
      <c r="AN2466" s="263"/>
      <c r="AO2466" s="263"/>
      <c r="AP2466" s="265"/>
      <c r="AQ2466" s="265">
        <v>11702</v>
      </c>
      <c r="AR2466" s="285">
        <v>66378</v>
      </c>
      <c r="AS2466" s="263"/>
      <c r="AT2466" s="263"/>
      <c r="AU2466" s="263"/>
      <c r="AV2466" s="264"/>
      <c r="AW2466" s="263"/>
      <c r="AX2466" s="263"/>
      <c r="AY2466" s="263"/>
      <c r="AZ2466" s="263"/>
      <c r="BA2466" s="263"/>
      <c r="BB2466" s="263"/>
      <c r="BC2466" s="263"/>
      <c r="BD2466" s="264"/>
      <c r="BE2466" s="263"/>
      <c r="BF2466" s="263"/>
      <c r="BG2466" s="263"/>
      <c r="BH2466" s="263"/>
      <c r="BI2466" s="263"/>
      <c r="BJ2466" s="404">
        <f>altaz(J2000_Bas,$O2466,$M2466,DecLat,DecLong,2)</f>
        <v>113.00320502505215</v>
      </c>
      <c r="BK2466" s="378" t="s">
        <v>3110</v>
      </c>
      <c r="BL2466" s="379">
        <f>IF((2*G2466)/60&lt;0.2,0.2,(2*G2466)/60)</f>
        <v>0.2</v>
      </c>
      <c r="BM2466" s="380">
        <f>MOD((50000+AD2466-$B$3+(0/24)),1)</f>
        <v>9.2826987063745037E-2</v>
      </c>
      <c r="BN2466" s="381"/>
      <c r="BO2466" s="382">
        <v>2457</v>
      </c>
    </row>
    <row r="2467" spans="1:67" s="24" customFormat="1" ht="15" customHeight="1" x14ac:dyDescent="0.25">
      <c r="A2467" s="288" t="s">
        <v>2331</v>
      </c>
      <c r="B2467" s="241" t="str">
        <f>HYPERLINK(CONCATENATE($AT$3,BK2467,$AU$3),$AV$3)</f>
        <v>S</v>
      </c>
      <c r="C2467" s="242" t="str">
        <f>HYPERLINK(CONCATENATE($AT$4,BK2467,$AU$4,BL2467),$AV$4)</f>
        <v>A</v>
      </c>
      <c r="D2467" s="243" t="s">
        <v>5335</v>
      </c>
      <c r="E2467" s="244" t="s">
        <v>5185</v>
      </c>
      <c r="F2467" s="269" t="s">
        <v>7465</v>
      </c>
      <c r="G2467" s="273">
        <v>6</v>
      </c>
      <c r="H2467" s="283">
        <v>11000</v>
      </c>
      <c r="I2467" s="246">
        <v>20</v>
      </c>
      <c r="J2467" s="246">
        <v>2</v>
      </c>
      <c r="K2467" s="247" t="s">
        <v>7464</v>
      </c>
      <c r="L2467" s="248">
        <v>211309</v>
      </c>
      <c r="M2467" s="249">
        <f>15*(LEFT(TEXT($L2467,"000000"),2)+(MID(TEXT($L2467,"000000"),3,2)/60)+(RIGHT(TEXT($L2467,"000000"),2)/3600))</f>
        <v>318.28750000000002</v>
      </c>
      <c r="N2467" s="250">
        <v>422946</v>
      </c>
      <c r="O2467" s="251">
        <f>IF($N2467&gt;0,(LEFT(TEXT($N2467,"000000"),2)+(MID(TEXT($N2467,"000000"),3,2)/60)+(RIGHT(TEXT($N2467,"000000"),2)/3600)),-(MID(TEXT($N2467,"000000"),2,2)+(MID(TEXT($N2467,"000000"),4,2)/60)+(RIGHT(TEXT($N2467,"000000"),2)/3600)))</f>
        <v>42.496111111111112</v>
      </c>
      <c r="P2467" s="252" t="s">
        <v>60</v>
      </c>
      <c r="Q2467" s="253"/>
      <c r="R2467" s="277" t="s">
        <v>3293</v>
      </c>
      <c r="S2467" s="272" t="s">
        <v>3293</v>
      </c>
      <c r="T2467" s="273">
        <v>12</v>
      </c>
      <c r="U2467" s="274"/>
      <c r="V2467" s="280"/>
      <c r="W2467" s="244"/>
      <c r="X2467" s="244"/>
      <c r="Y2467" s="362"/>
      <c r="Z2467" s="257">
        <f>altaz(J2000_Bas,$O2467,$M2467,DecLat,DecLong,1)</f>
        <v>61.912720139873223</v>
      </c>
      <c r="AA2467" s="257">
        <f>altaz((J2000_Bas+(2*0.04167)),$O2467,$M2467,DecLat,DecLong,1)</f>
        <v>78.370687818711758</v>
      </c>
      <c r="AB2467" s="257">
        <f>altaz((J2000_Bas+(4*0.04167)),$O2467,$M2467,DecLat,DecLong,1)</f>
        <v>65.034009481693047</v>
      </c>
      <c r="AC2467" s="257">
        <f>altaz((J2000_Bas+(6*0.04167)),$O2467,$M2467,DecLat,DecLong,1)</f>
        <v>43.089113229217688</v>
      </c>
      <c r="AD2467" s="258">
        <f>1+ transit((J2000_Bas-1),$O2467,$M2467,DecLat,DecLong)/360 + (GMTOffset/24) + (IF(DST="Y", 1, 0)/24)</f>
        <v>1.8770318166609579</v>
      </c>
      <c r="AE2467" s="259">
        <f>DATE(2001,9,21)+(M2467/360)*365 - (360*((DecLong/360)- (GMTOffset/24) ))</f>
        <v>37482.70815972222</v>
      </c>
      <c r="AF2467" s="260">
        <f>IF(DecLat&gt;0,IF((90 - (DecLat-O2467))&gt;90, (90 - (O2467-DecLat)), (90 - (DecLat-O2467))),IF((90 + (DecLat-O2467))&gt;90, (90 + (O2467-DecLat)), (90 + (DecLat-O2467))))</f>
        <v>78.503888888888895</v>
      </c>
      <c r="AG2467" s="257">
        <f>angularseperation(MoonRA,MoonDec,$M2467,$O2467)</f>
        <v>94.17497573393878</v>
      </c>
      <c r="AH2467" s="261">
        <f ca="1">MIN(100,IF($O$5&gt;80,0+30*($AG2467/100),IF($O$5&gt;70,0+50*($AG2467/100),IF($O$5&gt;60,5+50*($AG2467/100),IF($O$5&gt;50,10+60*($AG2467/100),IF($O$5&gt;40,15+70*($AG2467/100),IF($O$5&gt;30,20+70*($AG2467/100),IF($O$5&gt;20,40+55*($AG2467/100),(80+(20-$O$5)+30*($AG2467/100))))))))))</f>
        <v>100</v>
      </c>
      <c r="AI2467" s="262">
        <v>7044</v>
      </c>
      <c r="AJ2467" s="263"/>
      <c r="AK2467" s="263">
        <v>378</v>
      </c>
      <c r="AL2467" s="263"/>
      <c r="AM2467" s="264"/>
      <c r="AN2467" s="263"/>
      <c r="AO2467" s="263"/>
      <c r="AP2467" s="265"/>
      <c r="AQ2467" s="265"/>
      <c r="AR2467" s="285"/>
      <c r="AS2467" s="263"/>
      <c r="AT2467" s="263"/>
      <c r="AU2467" s="263"/>
      <c r="AV2467" s="264"/>
      <c r="AW2467" s="263"/>
      <c r="AX2467" s="263"/>
      <c r="AY2467" s="263"/>
      <c r="AZ2467" s="263"/>
      <c r="BA2467" s="263"/>
      <c r="BB2467" s="263"/>
      <c r="BC2467" s="263"/>
      <c r="BD2467" s="264"/>
      <c r="BE2467" s="263"/>
      <c r="BF2467" s="263"/>
      <c r="BG2467" s="263"/>
      <c r="BH2467" s="263"/>
      <c r="BI2467" s="263"/>
      <c r="BJ2467" s="404">
        <f>altaz(J2000_Bas,$O2467,$M2467,DecLat,DecLong,2)</f>
        <v>56.769735507106994</v>
      </c>
      <c r="BK2467" s="378" t="s">
        <v>2331</v>
      </c>
      <c r="BL2467" s="379">
        <f>IF((2*G2467)/60&lt;0.2,0.2,(2*G2467)/60)</f>
        <v>0.2</v>
      </c>
      <c r="BM2467" s="380">
        <f>MOD((50000+AD2467-$B$3+(0/24)),1)</f>
        <v>9.2398746368417051E-2</v>
      </c>
      <c r="BN2467" s="381"/>
      <c r="BO2467" s="382">
        <v>2458</v>
      </c>
    </row>
    <row r="2468" spans="1:67" s="24" customFormat="1" ht="15" customHeight="1" x14ac:dyDescent="0.25">
      <c r="A2468" s="288" t="s">
        <v>2332</v>
      </c>
      <c r="B2468" s="241" t="str">
        <f>HYPERLINK(CONCATENATE($AT$3,BK2468,$AU$3),$AV$3)</f>
        <v>S</v>
      </c>
      <c r="C2468" s="242" t="str">
        <f>HYPERLINK(CONCATENATE($AT$4,BK2468,$AU$4,BL2468),$AV$4)</f>
        <v>A</v>
      </c>
      <c r="D2468" s="243" t="s">
        <v>5187</v>
      </c>
      <c r="E2468" s="244" t="s">
        <v>5181</v>
      </c>
      <c r="F2468" s="269" t="s">
        <v>5740</v>
      </c>
      <c r="G2468" s="273">
        <v>1</v>
      </c>
      <c r="H2468" s="283">
        <v>5000</v>
      </c>
      <c r="I2468" s="279">
        <v>1.5</v>
      </c>
      <c r="J2468" s="246">
        <v>4</v>
      </c>
      <c r="K2468" s="247" t="s">
        <v>7467</v>
      </c>
      <c r="L2468" s="248">
        <v>211415</v>
      </c>
      <c r="M2468" s="249">
        <f>15*(LEFT(TEXT($L2468,"000000"),2)+(MID(TEXT($L2468,"000000"),3,2)/60)+(RIGHT(TEXT($L2468,"000000"),2)/3600))</f>
        <v>318.5625</v>
      </c>
      <c r="N2468" s="250">
        <v>461718</v>
      </c>
      <c r="O2468" s="251">
        <f>IF($N2468&gt;0,(LEFT(TEXT($N2468,"000000"),2)+(MID(TEXT($N2468,"000000"),3,2)/60)+(RIGHT(TEXT($N2468,"000000"),2)/3600)),-(MID(TEXT($N2468,"000000"),2,2)+(MID(TEXT($N2468,"000000"),4,2)/60)+(RIGHT(TEXT($N2468,"000000"),2)/3600)))</f>
        <v>46.288333333333334</v>
      </c>
      <c r="P2468" s="252" t="s">
        <v>60</v>
      </c>
      <c r="Q2468" s="253" t="s">
        <v>7466</v>
      </c>
      <c r="R2468" s="247" t="s">
        <v>3293</v>
      </c>
      <c r="S2468" s="272" t="s">
        <v>3293</v>
      </c>
      <c r="T2468" s="273">
        <v>12.1</v>
      </c>
      <c r="U2468" s="274"/>
      <c r="V2468" s="280"/>
      <c r="W2468" s="244"/>
      <c r="X2468" s="244"/>
      <c r="Y2468" s="362"/>
      <c r="Z2468" s="257">
        <f>altaz(J2000_Bas,$O2468,$M2468,DecLat,DecLong,1)</f>
        <v>60.635131901747229</v>
      </c>
      <c r="AA2468" s="257">
        <f>altaz((J2000_Bas+(2*0.04167)),$O2468,$M2468,DecLat,DecLong,1)</f>
        <v>74.592025395151936</v>
      </c>
      <c r="AB2468" s="257">
        <f>altaz((J2000_Bas+(4*0.04167)),$O2468,$M2468,DecLat,DecLong,1)</f>
        <v>63.787520272734454</v>
      </c>
      <c r="AC2468" s="257">
        <f>altaz((J2000_Bas+(6*0.04167)),$O2468,$M2468,DecLat,DecLong,1)</f>
        <v>43.539108297131278</v>
      </c>
      <c r="AD2468" s="258">
        <f>1+ transit((J2000_Bas-1),$O2468,$M2468,DecLat,DecLong)/360 + (GMTOffset/24) + (IF(DST="Y", 1, 0)/24)</f>
        <v>1.877795705473458</v>
      </c>
      <c r="AE2468" s="259">
        <f>DATE(2001,9,21)+(M2468/360)*365 - (360*((DecLong/360)- (GMTOffset/24) ))</f>
        <v>37482.986979166664</v>
      </c>
      <c r="AF2468" s="260">
        <f>IF(DecLat&gt;0,IF((90 - (DecLat-O2468))&gt;90, (90 - (O2468-DecLat)), (90 - (DecLat-O2468))),IF((90 + (DecLat-O2468))&gt;90, (90 + (O2468-DecLat)), (90 + (DecLat-O2468))))</f>
        <v>74.711666666666673</v>
      </c>
      <c r="AG2468" s="257">
        <f>angularseperation(MoonRA,MoonDec,$M2468,$O2468)</f>
        <v>96.420955945815805</v>
      </c>
      <c r="AH2468" s="261">
        <f ca="1">MIN(100,IF($O$5&gt;80,0+30*($AG2468/100),IF($O$5&gt;70,0+50*($AG2468/100),IF($O$5&gt;60,5+50*($AG2468/100),IF($O$5&gt;50,10+60*($AG2468/100),IF($O$5&gt;40,15+70*($AG2468/100),IF($O$5&gt;30,20+70*($AG2468/100),IF($O$5&gt;20,40+55*($AG2468/100),(80+(20-$O$5)+30*($AG2468/100))))))))))</f>
        <v>100</v>
      </c>
      <c r="AI2468" s="262">
        <v>7048</v>
      </c>
      <c r="AJ2468" s="262"/>
      <c r="AK2468" s="262"/>
      <c r="AL2468" s="263"/>
      <c r="AM2468" s="264"/>
      <c r="AN2468" s="263"/>
      <c r="AO2468" s="263"/>
      <c r="AP2468" s="265"/>
      <c r="AQ2468" s="266"/>
      <c r="AR2468" s="267"/>
      <c r="AS2468" s="263"/>
      <c r="AT2468" s="263">
        <v>41</v>
      </c>
      <c r="AU2468" s="263"/>
      <c r="AV2468" s="264"/>
      <c r="AW2468" s="263"/>
      <c r="AX2468" s="263"/>
      <c r="AY2468" s="263"/>
      <c r="AZ2468" s="263"/>
      <c r="BA2468" s="263"/>
      <c r="BB2468" s="263"/>
      <c r="BC2468" s="263"/>
      <c r="BD2468" s="264"/>
      <c r="BE2468" s="263"/>
      <c r="BF2468" s="263">
        <v>102</v>
      </c>
      <c r="BG2468" s="263"/>
      <c r="BH2468" s="263"/>
      <c r="BI2468" s="263"/>
      <c r="BJ2468" s="404">
        <f>altaz(J2000_Bas,$O2468,$M2468,DecLat,DecLong,2)</f>
        <v>49.32380661149125</v>
      </c>
      <c r="BK2468" s="378" t="s">
        <v>2332</v>
      </c>
      <c r="BL2468" s="379">
        <f>IF((2*G2468)/60&lt;0.2,0.2,(2*G2468)/60)</f>
        <v>0.2</v>
      </c>
      <c r="BM2468" s="380">
        <f>MOD((50000+AD2468-$B$3+(0/24)),1)</f>
        <v>9.3162635173939634E-2</v>
      </c>
      <c r="BN2468" s="381"/>
      <c r="BO2468" s="382">
        <v>2459</v>
      </c>
    </row>
    <row r="2469" spans="1:67" s="24" customFormat="1" ht="15" customHeight="1" x14ac:dyDescent="0.25">
      <c r="A2469" s="288" t="s">
        <v>3153</v>
      </c>
      <c r="B2469" s="241" t="str">
        <f>HYPERLINK(CONCATENATE($AT$3,BK2469,$AU$3),$AV$3)</f>
        <v>S</v>
      </c>
      <c r="C2469" s="242" t="str">
        <f>HYPERLINK(CONCATENATE($AT$4,BK2469,$AU$4,BL2469),$AV$4)</f>
        <v>A</v>
      </c>
      <c r="D2469" s="243" t="s">
        <v>5638</v>
      </c>
      <c r="E2469" s="244" t="s">
        <v>5192</v>
      </c>
      <c r="F2469" s="269" t="s">
        <v>8726</v>
      </c>
      <c r="G2469" s="273">
        <v>1.1000000000000001</v>
      </c>
      <c r="H2469" s="283">
        <v>120</v>
      </c>
      <c r="I2469" s="246">
        <v>40</v>
      </c>
      <c r="J2469" s="246">
        <v>2</v>
      </c>
      <c r="K2469" s="247" t="s">
        <v>7468</v>
      </c>
      <c r="L2469" s="248">
        <v>211951</v>
      </c>
      <c r="M2469" s="249">
        <f>15*(LEFT(TEXT($L2469,"000000"),2)+(MID(TEXT($L2469,"000000"),3,2)/60)+(RIGHT(TEXT($L2469,"000000"),2)/3600))</f>
        <v>319.96250000000003</v>
      </c>
      <c r="N2469" s="250">
        <v>-84700</v>
      </c>
      <c r="O2469" s="251">
        <f>IF($N2469&gt;0,(LEFT(TEXT($N2469,"000000"),2)+(MID(TEXT($N2469,"000000"),3,2)/60)+(RIGHT(TEXT($N2469,"000000"),2)/3600)),-(MID(TEXT($N2469,"000000"),2,2)+(MID(TEXT($N2469,"000000"),4,2)/60)+(RIGHT(TEXT($N2469,"000000"),2)/3600)))</f>
        <v>-8.7833333333333332</v>
      </c>
      <c r="P2469" s="252" t="s">
        <v>3119</v>
      </c>
      <c r="Q2469" s="253"/>
      <c r="R2469" s="277" t="s">
        <v>3293</v>
      </c>
      <c r="S2469" s="272" t="s">
        <v>3293</v>
      </c>
      <c r="T2469" s="273">
        <v>13</v>
      </c>
      <c r="U2469" s="289">
        <v>22.19</v>
      </c>
      <c r="V2469" s="280">
        <v>45</v>
      </c>
      <c r="W2469" s="244"/>
      <c r="X2469" s="244"/>
      <c r="Y2469" s="362"/>
      <c r="Z2469" s="257">
        <f>altaz(J2000_Bas,$O2469,$M2469,DecLat,DecLong,1)</f>
        <v>38.607098020259798</v>
      </c>
      <c r="AA2469" s="257">
        <f>altaz((J2000_Bas+(2*0.04167)),$O2469,$M2469,DecLat,DecLong,1)</f>
        <v>50.043544721049173</v>
      </c>
      <c r="AB2469" s="257">
        <f>altaz((J2000_Bas+(4*0.04167)),$O2469,$M2469,DecLat,DecLong,1)</f>
        <v>42.951226214541151</v>
      </c>
      <c r="AC2469" s="257">
        <f>altaz((J2000_Bas+(6*0.04167)),$O2469,$M2469,DecLat,DecLong,1)</f>
        <v>23.044654736120314</v>
      </c>
      <c r="AD2469" s="258">
        <f>1+ transit((J2000_Bas-1),$O2469,$M2469,DecLat,DecLong)/360 + (GMTOffset/24) + (IF(DST="Y", 1, 0)/24)</f>
        <v>1.8816845939734581</v>
      </c>
      <c r="AE2469" s="259">
        <f>DATE(2001,9,21)+(M2469/360)*365 - (360*((DecLong/360)- (GMTOffset/24) ))</f>
        <v>37484.406423611108</v>
      </c>
      <c r="AF2469" s="260">
        <f>IF(DecLat&gt;0,IF((90 - (DecLat-O2469))&gt;90, (90 - (O2469-DecLat)), (90 - (DecLat-O2469))),IF((90 + (DecLat-O2469))&gt;90, (90 + (O2469-DecLat)), (90 + (DecLat-O2469))))</f>
        <v>50.216666666666669</v>
      </c>
      <c r="AG2469" s="257">
        <f>angularseperation(MoonRA,MoonDec,$M2469,$O2469)</f>
        <v>68.897114897099755</v>
      </c>
      <c r="AH2469" s="261">
        <f ca="1">MIN(100,IF($O$5&gt;80,0+30*($AG2469/100),IF($O$5&gt;70,0+50*($AG2469/100),IF($O$5&gt;60,5+50*($AG2469/100),IF($O$5&gt;50,10+60*($AG2469/100),IF($O$5&gt;40,15+70*($AG2469/100),IF($O$5&gt;30,20+70*($AG2469/100),IF($O$5&gt;20,40+55*($AG2469/100),(80+(20-$O$5)+30*($AG2469/100))))))))))</f>
        <v>100</v>
      </c>
      <c r="AI2469" s="263">
        <v>7051</v>
      </c>
      <c r="AJ2469" s="263"/>
      <c r="AK2469" s="263"/>
      <c r="AL2469" s="263"/>
      <c r="AM2469" s="264"/>
      <c r="AN2469" s="263"/>
      <c r="AO2469" s="263"/>
      <c r="AP2469" s="265"/>
      <c r="AQ2469" s="265"/>
      <c r="AR2469" s="285">
        <v>66566</v>
      </c>
      <c r="AS2469" s="263"/>
      <c r="AT2469" s="263"/>
      <c r="AU2469" s="263"/>
      <c r="AV2469" s="264"/>
      <c r="AW2469" s="263"/>
      <c r="AX2469" s="263"/>
      <c r="AY2469" s="263"/>
      <c r="AZ2469" s="263"/>
      <c r="BA2469" s="263"/>
      <c r="BB2469" s="263"/>
      <c r="BC2469" s="263"/>
      <c r="BD2469" s="264"/>
      <c r="BE2469" s="263"/>
      <c r="BF2469" s="263"/>
      <c r="BG2469" s="263"/>
      <c r="BH2469" s="263"/>
      <c r="BI2469" s="263"/>
      <c r="BJ2469" s="404">
        <f>altaz(J2000_Bas,$O2469,$M2469,DecLat,DecLong,2)</f>
        <v>135.05208630372965</v>
      </c>
      <c r="BK2469" s="378" t="s">
        <v>3153</v>
      </c>
      <c r="BL2469" s="379">
        <f>IF((2*G2469)/60&lt;0.2,0.2,(2*G2469)/60)</f>
        <v>0.2</v>
      </c>
      <c r="BM2469" s="380">
        <f>MOD((50000+AD2469-$B$3+(0/24)),1)</f>
        <v>9.7051523676782381E-2</v>
      </c>
      <c r="BN2469" s="381"/>
      <c r="BO2469" s="382">
        <v>2460</v>
      </c>
    </row>
    <row r="2470" spans="1:67" s="24" customFormat="1" ht="15" customHeight="1" x14ac:dyDescent="0.25">
      <c r="A2470" s="287" t="s">
        <v>3031</v>
      </c>
      <c r="B2470" s="241" t="str">
        <f>HYPERLINK(CONCATENATE($AT$3,BK2470,$AU$3),$AV$3)</f>
        <v>S</v>
      </c>
      <c r="C2470" s="242" t="str">
        <f>HYPERLINK(CONCATENATE($AT$4,BK2470,$AU$4,BL2470),$AV$4)</f>
        <v>A</v>
      </c>
      <c r="D2470" s="243" t="s">
        <v>5335</v>
      </c>
      <c r="E2470" s="244" t="s">
        <v>5185</v>
      </c>
      <c r="F2470" s="269" t="s">
        <v>6758</v>
      </c>
      <c r="G2470" s="273">
        <v>6</v>
      </c>
      <c r="H2470" s="283">
        <v>6700</v>
      </c>
      <c r="I2470" s="246">
        <v>12</v>
      </c>
      <c r="J2470" s="246">
        <v>2</v>
      </c>
      <c r="K2470" s="247" t="s">
        <v>7469</v>
      </c>
      <c r="L2470" s="248">
        <v>212312</v>
      </c>
      <c r="M2470" s="249">
        <f>15*(LEFT(TEXT($L2470,"000000"),2)+(MID(TEXT($L2470,"000000"),3,2)/60)+(RIGHT(TEXT($L2470,"000000"),2)/3600))</f>
        <v>320.8</v>
      </c>
      <c r="N2470" s="250">
        <v>462300</v>
      </c>
      <c r="O2470" s="251">
        <f>IF($N2470&gt;0,(LEFT(TEXT($N2470,"000000"),2)+(MID(TEXT($N2470,"000000"),3,2)/60)+(RIGHT(TEXT($N2470,"000000"),2)/3600)),-(MID(TEXT($N2470,"000000"),2,2)+(MID(TEXT($N2470,"000000"),4,2)/60)+(RIGHT(TEXT($N2470,"000000"),2)/3600)))</f>
        <v>46.383333333333333</v>
      </c>
      <c r="P2470" s="252" t="s">
        <v>60</v>
      </c>
      <c r="Q2470" s="253"/>
      <c r="R2470" s="277" t="s">
        <v>3293</v>
      </c>
      <c r="S2470" s="272" t="s">
        <v>3293</v>
      </c>
      <c r="T2470" s="273">
        <v>8.3000000000000007</v>
      </c>
      <c r="U2470" s="274"/>
      <c r="V2470" s="280"/>
      <c r="W2470" s="244"/>
      <c r="X2470" s="244"/>
      <c r="Y2470" s="362"/>
      <c r="Z2470" s="257">
        <f>altaz(J2000_Bas,$O2470,$M2470,DecLat,DecLong,1)</f>
        <v>59.141163752734343</v>
      </c>
      <c r="AA2470" s="257">
        <f>altaz((J2000_Bas+(2*0.04167)),$O2470,$M2470,DecLat,DecLong,1)</f>
        <v>74.190626185787394</v>
      </c>
      <c r="AB2470" s="257">
        <f>altaz((J2000_Bas+(4*0.04167)),$O2470,$M2470,DecLat,DecLong,1)</f>
        <v>65.11305530748686</v>
      </c>
      <c r="AC2470" s="257">
        <f>altaz((J2000_Bas+(6*0.04167)),$O2470,$M2470,DecLat,DecLong,1)</f>
        <v>45.085453532257382</v>
      </c>
      <c r="AD2470" s="258">
        <f>1+ transit((J2000_Bas-1),$O2470,$M2470,DecLat,DecLong)/360 + (GMTOffset/24) + (IF(DST="Y", 1, 0)/24)</f>
        <v>1.884010982629708</v>
      </c>
      <c r="AE2470" s="259">
        <f>DATE(2001,9,21)+(M2470/360)*365 - (360*((DecLong/360)- (GMTOffset/24) ))</f>
        <v>37485.255555555559</v>
      </c>
      <c r="AF2470" s="260">
        <f>IF(DecLat&gt;0,IF((90 - (DecLat-O2470))&gt;90, (90 - (O2470-DecLat)), (90 - (DecLat-O2470))),IF((90 + (DecLat-O2470))&gt;90, (90 + (O2470-DecLat)), (90 + (DecLat-O2470))))</f>
        <v>74.616666666666674</v>
      </c>
      <c r="AG2470" s="257">
        <f>angularseperation(MoonRA,MoonDec,$M2470,$O2470)</f>
        <v>97.777701258270199</v>
      </c>
      <c r="AH2470" s="261">
        <f ca="1">MIN(100,IF($O$5&gt;80,0+30*($AG2470/100),IF($O$5&gt;70,0+50*($AG2470/100),IF($O$5&gt;60,5+50*($AG2470/100),IF($O$5&gt;50,10+60*($AG2470/100),IF($O$5&gt;40,15+70*($AG2470/100),IF($O$5&gt;30,20+70*($AG2470/100),IF($O$5&gt;20,40+55*($AG2470/100),(80+(20-$O$5)+30*($AG2470/100))))))))))</f>
        <v>100</v>
      </c>
      <c r="AI2470" s="262">
        <v>7062</v>
      </c>
      <c r="AJ2470" s="263"/>
      <c r="AK2470" s="263">
        <v>379</v>
      </c>
      <c r="AL2470" s="263"/>
      <c r="AM2470" s="264"/>
      <c r="AN2470" s="263"/>
      <c r="AO2470" s="263"/>
      <c r="AP2470" s="265"/>
      <c r="AQ2470" s="265"/>
      <c r="AR2470" s="285"/>
      <c r="AS2470" s="263"/>
      <c r="AT2470" s="263"/>
      <c r="AU2470" s="263"/>
      <c r="AV2470" s="264"/>
      <c r="AW2470" s="263"/>
      <c r="AX2470" s="263"/>
      <c r="AY2470" s="263"/>
      <c r="AZ2470" s="263"/>
      <c r="BA2470" s="263"/>
      <c r="BB2470" s="263"/>
      <c r="BC2470" s="263"/>
      <c r="BD2470" s="264"/>
      <c r="BE2470" s="263"/>
      <c r="BF2470" s="263"/>
      <c r="BG2470" s="263"/>
      <c r="BH2470" s="263"/>
      <c r="BI2470" s="263"/>
      <c r="BJ2470" s="404">
        <f>altaz(J2000_Bas,$O2470,$M2470,DecLat,DecLong,2)</f>
        <v>50.12988326366569</v>
      </c>
      <c r="BK2470" s="378" t="s">
        <v>3031</v>
      </c>
      <c r="BL2470" s="379">
        <f>IF((2*G2470)/60&lt;0.2,0.2,(2*G2470)/60)</f>
        <v>0.2</v>
      </c>
      <c r="BM2470" s="380">
        <f>MOD((50000+AD2470-$B$3+(0/24)),1)</f>
        <v>9.9377912330965046E-2</v>
      </c>
      <c r="BN2470" s="381"/>
      <c r="BO2470" s="382">
        <v>2461</v>
      </c>
    </row>
    <row r="2471" spans="1:67" s="24" customFormat="1" ht="15" customHeight="1" x14ac:dyDescent="0.25">
      <c r="A2471" s="288" t="s">
        <v>2333</v>
      </c>
      <c r="B2471" s="241" t="str">
        <f>HYPERLINK(CONCATENATE($AT$3,BK2471,$AU$3),$AV$3)</f>
        <v>S</v>
      </c>
      <c r="C2471" s="242" t="str">
        <f>HYPERLINK(CONCATENATE($AT$4,BK2471,$AU$4,BL2471),$AV$4)</f>
        <v>A</v>
      </c>
      <c r="D2471" s="243" t="s">
        <v>5335</v>
      </c>
      <c r="E2471" s="244" t="s">
        <v>5185</v>
      </c>
      <c r="F2471" s="269" t="s">
        <v>9081</v>
      </c>
      <c r="G2471" s="273">
        <v>9</v>
      </c>
      <c r="H2471" s="283">
        <v>2300</v>
      </c>
      <c r="I2471" s="279">
        <v>6</v>
      </c>
      <c r="J2471" s="246">
        <v>2</v>
      </c>
      <c r="K2471" s="247" t="s">
        <v>7471</v>
      </c>
      <c r="L2471" s="248">
        <v>212421</v>
      </c>
      <c r="M2471" s="249">
        <f>15*(LEFT(TEXT($L2471,"000000"),2)+(MID(TEXT($L2471,"000000"),3,2)/60)+(RIGHT(TEXT($L2471,"000000"),2)/3600))</f>
        <v>321.08749999999998</v>
      </c>
      <c r="N2471" s="250">
        <v>362912</v>
      </c>
      <c r="O2471" s="251">
        <f>IF($N2471&gt;0,(LEFT(TEXT($N2471,"000000"),2)+(MID(TEXT($N2471,"000000"),3,2)/60)+(RIGHT(TEXT($N2471,"000000"),2)/3600)),-(MID(TEXT($N2471,"000000"),2,2)+(MID(TEXT($N2471,"000000"),4,2)/60)+(RIGHT(TEXT($N2471,"000000"),2)/3600)))</f>
        <v>36.486666666666665</v>
      </c>
      <c r="P2471" s="252" t="s">
        <v>60</v>
      </c>
      <c r="Q2471" s="253" t="s">
        <v>7470</v>
      </c>
      <c r="R2471" s="277" t="s">
        <v>3293</v>
      </c>
      <c r="S2471" s="272" t="s">
        <v>3293</v>
      </c>
      <c r="T2471" s="273">
        <v>7</v>
      </c>
      <c r="U2471" s="274"/>
      <c r="V2471" s="280"/>
      <c r="W2471" s="244"/>
      <c r="X2471" s="244"/>
      <c r="Y2471" s="362"/>
      <c r="Z2471" s="257">
        <f>altaz(J2000_Bas,$O2471,$M2471,DecLat,DecLong,1)</f>
        <v>60.48182154502647</v>
      </c>
      <c r="AA2471" s="257">
        <f>altaz((J2000_Bas+(2*0.04167)),$O2471,$M2471,DecLat,DecLong,1)</f>
        <v>83.118305857311427</v>
      </c>
      <c r="AB2471" s="257">
        <f>altaz((J2000_Bas+(4*0.04167)),$O2471,$M2471,DecLat,DecLong,1)</f>
        <v>68.500526193989842</v>
      </c>
      <c r="AC2471" s="257">
        <f>altaz((J2000_Bas+(6*0.04167)),$O2471,$M2471,DecLat,DecLong,1)</f>
        <v>44.41742640337646</v>
      </c>
      <c r="AD2471" s="258">
        <f>1+ transit((J2000_Bas-1),$O2471,$M2471,DecLat,DecLong)/360 + (GMTOffset/24) + (IF(DST="Y", 1, 0)/24)</f>
        <v>1.8848095936609581</v>
      </c>
      <c r="AE2471" s="259">
        <f>DATE(2001,9,21)+(M2471/360)*365 - (360*((DecLong/360)- (GMTOffset/24) ))</f>
        <v>37485.547048611108</v>
      </c>
      <c r="AF2471" s="260">
        <f>IF(DecLat&gt;0,IF((90 - (DecLat-O2471))&gt;90, (90 - (O2471-DecLat)), (90 - (DecLat-O2471))),IF((90 + (DecLat-O2471))&gt;90, (90 + (O2471-DecLat)), (90 + (DecLat-O2471))))</f>
        <v>84.513333333333335</v>
      </c>
      <c r="AG2471" s="257">
        <f>angularseperation(MoonRA,MoonDec,$M2471,$O2471)</f>
        <v>92.733999012310576</v>
      </c>
      <c r="AH2471" s="261">
        <f ca="1">MIN(100,IF($O$5&gt;80,0+30*($AG2471/100),IF($O$5&gt;70,0+50*($AG2471/100),IF($O$5&gt;60,5+50*($AG2471/100),IF($O$5&gt;50,10+60*($AG2471/100),IF($O$5&gt;40,15+70*($AG2471/100),IF($O$5&gt;30,20+70*($AG2471/100),IF($O$5&gt;20,40+55*($AG2471/100),(80+(20-$O$5)+30*($AG2471/100))))))))))</f>
        <v>100</v>
      </c>
      <c r="AI2471" s="262">
        <v>7063</v>
      </c>
      <c r="AJ2471" s="263"/>
      <c r="AK2471" s="263"/>
      <c r="AL2471" s="263"/>
      <c r="AM2471" s="264"/>
      <c r="AN2471" s="263"/>
      <c r="AO2471" s="263"/>
      <c r="AP2471" s="265"/>
      <c r="AQ2471" s="265"/>
      <c r="AR2471" s="285"/>
      <c r="AS2471" s="263"/>
      <c r="AT2471" s="263"/>
      <c r="AU2471" s="263"/>
      <c r="AV2471" s="264"/>
      <c r="AW2471" s="263"/>
      <c r="AX2471" s="263"/>
      <c r="AY2471" s="263"/>
      <c r="AZ2471" s="263"/>
      <c r="BA2471" s="263"/>
      <c r="BB2471" s="263"/>
      <c r="BC2471" s="263"/>
      <c r="BD2471" s="264"/>
      <c r="BE2471" s="263"/>
      <c r="BF2471" s="263"/>
      <c r="BG2471" s="263"/>
      <c r="BH2471" s="263"/>
      <c r="BI2471" s="263"/>
      <c r="BJ2471" s="404">
        <f>altaz(J2000_Bas,$O2471,$M2471,DecLat,DecLong,2)</f>
        <v>69.710138708916048</v>
      </c>
      <c r="BK2471" s="378" t="s">
        <v>2333</v>
      </c>
      <c r="BL2471" s="379">
        <f>IF((2*G2471)/60&lt;0.2,0.2,(2*G2471)/60)</f>
        <v>0.3</v>
      </c>
      <c r="BM2471" s="380">
        <f>MOD((50000+AD2471-$B$3+(0/24)),1)</f>
        <v>0.10017652336682659</v>
      </c>
      <c r="BN2471" s="381"/>
      <c r="BO2471" s="382">
        <v>2462</v>
      </c>
    </row>
    <row r="2472" spans="1:67" s="24" customFormat="1" ht="15" customHeight="1" x14ac:dyDescent="0.25">
      <c r="A2472" s="288" t="s">
        <v>2334</v>
      </c>
      <c r="B2472" s="241" t="str">
        <f>HYPERLINK(CONCATENATE($AT$3,BK2472,$AU$3),$AV$3)</f>
        <v>S</v>
      </c>
      <c r="C2472" s="242" t="str">
        <f>HYPERLINK(CONCATENATE($AT$4,BK2472,$AU$4,BL2472),$AV$4)</f>
        <v>A</v>
      </c>
      <c r="D2472" s="243" t="s">
        <v>5638</v>
      </c>
      <c r="E2472" s="244" t="s">
        <v>5192</v>
      </c>
      <c r="F2472" s="269" t="s">
        <v>8998</v>
      </c>
      <c r="G2472" s="273">
        <v>2</v>
      </c>
      <c r="H2472" s="283">
        <v>230</v>
      </c>
      <c r="I2472" s="246">
        <v>130</v>
      </c>
      <c r="J2472" s="246">
        <v>2</v>
      </c>
      <c r="K2472" s="247" t="s">
        <v>7472</v>
      </c>
      <c r="L2472" s="248">
        <v>213002</v>
      </c>
      <c r="M2472" s="249">
        <f>15*(LEFT(TEXT($L2472,"000000"),2)+(MID(TEXT($L2472,"000000"),3,2)/60)+(RIGHT(TEXT($L2472,"000000"),2)/3600))</f>
        <v>322.50833333333333</v>
      </c>
      <c r="N2472" s="250">
        <v>264304</v>
      </c>
      <c r="O2472" s="251">
        <f>IF($N2472&gt;0,(LEFT(TEXT($N2472,"000000"),2)+(MID(TEXT($N2472,"000000"),3,2)/60)+(RIGHT(TEXT($N2472,"000000"),2)/3600)),-(MID(TEXT($N2472,"000000"),2,2)+(MID(TEXT($N2472,"000000"),4,2)/60)+(RIGHT(TEXT($N2472,"000000"),2)/3600)))</f>
        <v>26.717777777777776</v>
      </c>
      <c r="P2472" s="252" t="s">
        <v>133</v>
      </c>
      <c r="Q2472" s="253"/>
      <c r="R2472" s="247" t="s">
        <v>3293</v>
      </c>
      <c r="S2472" s="272" t="s">
        <v>3293</v>
      </c>
      <c r="T2472" s="273">
        <v>12.3</v>
      </c>
      <c r="U2472" s="289">
        <v>22.29</v>
      </c>
      <c r="V2472" s="280">
        <v>25</v>
      </c>
      <c r="W2472" s="244"/>
      <c r="X2472" s="244"/>
      <c r="Y2472" s="362"/>
      <c r="Z2472" s="257">
        <f>altaz(J2000_Bas,$O2472,$M2472,DecLat,DecLong,1)</f>
        <v>57.885364072033106</v>
      </c>
      <c r="AA2472" s="257">
        <f>altaz((J2000_Bas+(2*0.04167)),$O2472,$M2472,DecLat,DecLong,1)</f>
        <v>82.934036113469901</v>
      </c>
      <c r="AB2472" s="257">
        <f>altaz((J2000_Bas+(4*0.04167)),$O2472,$M2472,DecLat,DecLong,1)</f>
        <v>68.880669756302439</v>
      </c>
      <c r="AC2472" s="257">
        <f>altaz((J2000_Bas+(6*0.04167)),$O2472,$M2472,DecLat,DecLong,1)</f>
        <v>43.181937721603717</v>
      </c>
      <c r="AD2472" s="258">
        <f>1+ transit((J2000_Bas-1),$O2472,$M2472,DecLat,DecLong)/360 + (GMTOffset/24) + (IF(DST="Y", 1, 0)/24)</f>
        <v>1.8887563525255413</v>
      </c>
      <c r="AE2472" s="259">
        <f>DATE(2001,9,21)+(M2472/360)*365 - (360*((DecLong/360)- (GMTOffset/24) ))</f>
        <v>37486.987615740742</v>
      </c>
      <c r="AF2472" s="260">
        <f>IF(DecLat&gt;0,IF((90 - (DecLat-O2472))&gt;90, (90 - (O2472-DecLat)), (90 - (DecLat-O2472))),IF((90 + (DecLat-O2472))&gt;90, (90 + (O2472-DecLat)), (90 + (DecLat-O2472))))</f>
        <v>85.717777777777769</v>
      </c>
      <c r="AG2472" s="257">
        <f>angularseperation(MoonRA,MoonDec,$M2472,$O2472)</f>
        <v>88.60882622973088</v>
      </c>
      <c r="AH2472" s="261">
        <f ca="1">MIN(100,IF($O$5&gt;80,0+30*($AG2472/100),IF($O$5&gt;70,0+50*($AG2472/100),IF($O$5&gt;60,5+50*($AG2472/100),IF($O$5&gt;50,10+60*($AG2472/100),IF($O$5&gt;40,15+70*($AG2472/100),IF($O$5&gt;30,20+70*($AG2472/100),IF($O$5&gt;20,40+55*($AG2472/100),(80+(20-$O$5)+30*($AG2472/100))))))))))</f>
        <v>100</v>
      </c>
      <c r="AI2472" s="262">
        <v>7080</v>
      </c>
      <c r="AJ2472" s="262"/>
      <c r="AK2472" s="262"/>
      <c r="AL2472" s="263"/>
      <c r="AM2472" s="264"/>
      <c r="AN2472" s="263"/>
      <c r="AO2472" s="263"/>
      <c r="AP2472" s="265"/>
      <c r="AQ2472" s="266">
        <v>11756</v>
      </c>
      <c r="AR2472" s="267">
        <v>66861</v>
      </c>
      <c r="AS2472" s="263"/>
      <c r="AT2472" s="263"/>
      <c r="AU2472" s="263"/>
      <c r="AV2472" s="264"/>
      <c r="AW2472" s="263"/>
      <c r="AX2472" s="263"/>
      <c r="AY2472" s="263"/>
      <c r="AZ2472" s="263"/>
      <c r="BA2472" s="263"/>
      <c r="BB2472" s="263"/>
      <c r="BC2472" s="263"/>
      <c r="BD2472" s="264"/>
      <c r="BE2472" s="263"/>
      <c r="BF2472" s="263"/>
      <c r="BG2472" s="263"/>
      <c r="BH2472" s="263"/>
      <c r="BI2472" s="263"/>
      <c r="BJ2472" s="404">
        <f>altaz(J2000_Bas,$O2472,$M2472,DecLat,DecLong,2)</f>
        <v>88.319163642386485</v>
      </c>
      <c r="BK2472" s="378" t="s">
        <v>2334</v>
      </c>
      <c r="BL2472" s="379">
        <f>IF((2*G2472)/60&lt;0.2,0.2,(2*G2472)/60)</f>
        <v>0.2</v>
      </c>
      <c r="BM2472" s="380">
        <f>MOD((50000+AD2472-$B$3+(0/24)),1)</f>
        <v>0.10412328223173972</v>
      </c>
      <c r="BN2472" s="381"/>
      <c r="BO2472" s="382">
        <v>2463</v>
      </c>
    </row>
    <row r="2473" spans="1:67" s="24" customFormat="1" ht="15" customHeight="1" x14ac:dyDescent="0.25">
      <c r="A2473" s="288" t="s">
        <v>2335</v>
      </c>
      <c r="B2473" s="241" t="str">
        <f>HYPERLINK(CONCATENATE($AT$3,BK2473,$AU$3),$AV$3)</f>
        <v>S</v>
      </c>
      <c r="C2473" s="242" t="str">
        <f>HYPERLINK(CONCATENATE($AT$4,BK2473,$AU$4,BL2473),$AV$4)</f>
        <v>A</v>
      </c>
      <c r="D2473" s="243" t="s">
        <v>5638</v>
      </c>
      <c r="E2473" s="244" t="s">
        <v>5192</v>
      </c>
      <c r="F2473" s="269" t="s">
        <v>8688</v>
      </c>
      <c r="G2473" s="273">
        <v>1</v>
      </c>
      <c r="H2473" s="283">
        <v>130</v>
      </c>
      <c r="I2473" s="246">
        <v>40</v>
      </c>
      <c r="J2473" s="246">
        <v>1</v>
      </c>
      <c r="K2473" s="247" t="s">
        <v>7473</v>
      </c>
      <c r="L2473" s="248">
        <v>213124</v>
      </c>
      <c r="M2473" s="249">
        <f>15*(LEFT(TEXT($L2473,"000000"),2)+(MID(TEXT($L2473,"000000"),3,2)/60)+(RIGHT(TEXT($L2473,"000000"),2)/3600))</f>
        <v>322.85000000000002</v>
      </c>
      <c r="N2473" s="250">
        <v>22927</v>
      </c>
      <c r="O2473" s="251">
        <f>IF($N2473&gt;0,(LEFT(TEXT($N2473,"000000"),2)+(MID(TEXT($N2473,"000000"),3,2)/60)+(RIGHT(TEXT($N2473,"000000"),2)/3600)),-(MID(TEXT($N2473,"000000"),2,2)+(MID(TEXT($N2473,"000000"),4,2)/60)+(RIGHT(TEXT($N2473,"000000"),2)/3600)))</f>
        <v>2.4908333333333332</v>
      </c>
      <c r="P2473" s="252" t="s">
        <v>3119</v>
      </c>
      <c r="Q2473" s="253"/>
      <c r="R2473" s="247" t="s">
        <v>3293</v>
      </c>
      <c r="S2473" s="272" t="s">
        <v>3293</v>
      </c>
      <c r="T2473" s="273">
        <v>12.7</v>
      </c>
      <c r="U2473" s="289">
        <v>21.990000000000002</v>
      </c>
      <c r="V2473" s="280">
        <v>30</v>
      </c>
      <c r="W2473" s="244"/>
      <c r="X2473" s="244"/>
      <c r="Y2473" s="362"/>
      <c r="Z2473" s="257">
        <f>altaz(J2000_Bas,$O2473,$M2473,DecLat,DecLong,1)</f>
        <v>45.04575356506043</v>
      </c>
      <c r="AA2473" s="257">
        <f>altaz((J2000_Bas+(2*0.04167)),$O2473,$M2473,DecLat,DecLong,1)</f>
        <v>60.783591153958596</v>
      </c>
      <c r="AB2473" s="257">
        <f>altaz((J2000_Bas+(4*0.04167)),$O2473,$M2473,DecLat,DecLong,1)</f>
        <v>53.976250285055066</v>
      </c>
      <c r="AC2473" s="257">
        <f>altaz((J2000_Bas+(6*0.04167)),$O2473,$M2473,DecLat,DecLong,1)</f>
        <v>32.200917746712818</v>
      </c>
      <c r="AD2473" s="258">
        <f>1+ transit((J2000_Bas-1),$O2473,$M2473,DecLat,DecLong)/360 + (GMTOffset/24) + (IF(DST="Y", 1, 0)/24)</f>
        <v>1.889705426504708</v>
      </c>
      <c r="AE2473" s="259">
        <f>DATE(2001,9,21)+(M2473/360)*365 - (360*((DecLong/360)- (GMTOffset/24) ))</f>
        <v>37487.334027777775</v>
      </c>
      <c r="AF2473" s="260">
        <f>IF(DecLat&gt;0,IF((90 - (DecLat-O2473))&gt;90, (90 - (O2473-DecLat)), (90 - (DecLat-O2473))),IF((90 + (DecLat-O2473))&gt;90, (90 + (O2473-DecLat)), (90 + (DecLat-O2473))))</f>
        <v>61.490833333333335</v>
      </c>
      <c r="AG2473" s="257">
        <f>angularseperation(MoonRA,MoonDec,$M2473,$O2473)</f>
        <v>76.630226393116189</v>
      </c>
      <c r="AH2473" s="261">
        <f ca="1">MIN(100,IF($O$5&gt;80,0+30*($AG2473/100),IF($O$5&gt;70,0+50*($AG2473/100),IF($O$5&gt;60,5+50*($AG2473/100),IF($O$5&gt;50,10+60*($AG2473/100),IF($O$5&gt;40,15+70*($AG2473/100),IF($O$5&gt;30,20+70*($AG2473/100),IF($O$5&gt;20,40+55*($AG2473/100),(80+(20-$O$5)+30*($AG2473/100))))))))))</f>
        <v>100</v>
      </c>
      <c r="AI2473" s="262">
        <v>7081</v>
      </c>
      <c r="AJ2473" s="262"/>
      <c r="AK2473" s="262"/>
      <c r="AL2473" s="263"/>
      <c r="AM2473" s="264"/>
      <c r="AN2473" s="263"/>
      <c r="AO2473" s="263"/>
      <c r="AP2473" s="265"/>
      <c r="AQ2473" s="266">
        <v>11759</v>
      </c>
      <c r="AR2473" s="267">
        <v>66891</v>
      </c>
      <c r="AS2473" s="263"/>
      <c r="AT2473" s="263"/>
      <c r="AU2473" s="263"/>
      <c r="AV2473" s="264"/>
      <c r="AW2473" s="263"/>
      <c r="AX2473" s="263"/>
      <c r="AY2473" s="263"/>
      <c r="AZ2473" s="263"/>
      <c r="BA2473" s="263"/>
      <c r="BB2473" s="263"/>
      <c r="BC2473" s="263"/>
      <c r="BD2473" s="264"/>
      <c r="BE2473" s="263"/>
      <c r="BF2473" s="263"/>
      <c r="BG2473" s="263"/>
      <c r="BH2473" s="263"/>
      <c r="BI2473" s="263"/>
      <c r="BJ2473" s="404">
        <f>altaz(J2000_Bas,$O2473,$M2473,DecLat,DecLong,2)</f>
        <v>122.00958583474529</v>
      </c>
      <c r="BK2473" s="378" t="s">
        <v>2335</v>
      </c>
      <c r="BL2473" s="379">
        <f>IF((2*G2473)/60&lt;0.2,0.2,(2*G2473)/60)</f>
        <v>0.2</v>
      </c>
      <c r="BM2473" s="380">
        <f>MOD((50000+AD2473-$B$3+(0/24)),1)</f>
        <v>0.10507235620752908</v>
      </c>
      <c r="BN2473" s="381"/>
      <c r="BO2473" s="382">
        <v>2464</v>
      </c>
    </row>
    <row r="2474" spans="1:67" s="24" customFormat="1" ht="15" customHeight="1" x14ac:dyDescent="0.25">
      <c r="A2474" s="287" t="s">
        <v>3032</v>
      </c>
      <c r="B2474" s="241" t="str">
        <f>HYPERLINK(CONCATENATE($AT$3,BK2474,$AU$3),$AV$3)</f>
        <v>S</v>
      </c>
      <c r="C2474" s="242" t="str">
        <f>HYPERLINK(CONCATENATE($AT$4,BK2474,$AU$4,BL2474),$AV$4)</f>
        <v>A</v>
      </c>
      <c r="D2474" s="243" t="s">
        <v>5335</v>
      </c>
      <c r="E2474" s="244" t="s">
        <v>5185</v>
      </c>
      <c r="F2474" s="269" t="s">
        <v>6759</v>
      </c>
      <c r="G2474" s="273">
        <v>8</v>
      </c>
      <c r="H2474" s="283">
        <v>5700</v>
      </c>
      <c r="I2474" s="246">
        <v>14</v>
      </c>
      <c r="J2474" s="246">
        <v>2</v>
      </c>
      <c r="K2474" s="247" t="s">
        <v>7474</v>
      </c>
      <c r="L2474" s="248">
        <v>213030</v>
      </c>
      <c r="M2474" s="249">
        <f>15*(LEFT(TEXT($L2474,"000000"),2)+(MID(TEXT($L2474,"000000"),3,2)/60)+(RIGHT(TEXT($L2474,"000000"),2)/3600))</f>
        <v>322.625</v>
      </c>
      <c r="N2474" s="250">
        <v>513500</v>
      </c>
      <c r="O2474" s="251">
        <f>IF($N2474&gt;0,(LEFT(TEXT($N2474,"000000"),2)+(MID(TEXT($N2474,"000000"),3,2)/60)+(RIGHT(TEXT($N2474,"000000"),2)/3600)),-(MID(TEXT($N2474,"000000"),2,2)+(MID(TEXT($N2474,"000000"),4,2)/60)+(RIGHT(TEXT($N2474,"000000"),2)/3600)))</f>
        <v>51.583333333333336</v>
      </c>
      <c r="P2474" s="252" t="s">
        <v>60</v>
      </c>
      <c r="Q2474" s="253"/>
      <c r="R2474" s="277" t="s">
        <v>3293</v>
      </c>
      <c r="S2474" s="272" t="s">
        <v>3293</v>
      </c>
      <c r="T2474" s="273">
        <v>8.4</v>
      </c>
      <c r="U2474" s="274"/>
      <c r="V2474" s="280"/>
      <c r="W2474" s="244"/>
      <c r="X2474" s="244"/>
      <c r="Y2474" s="362"/>
      <c r="Z2474" s="257">
        <f>altaz(J2000_Bas,$O2474,$M2474,DecLat,DecLong,1)</f>
        <v>56.203028161667447</v>
      </c>
      <c r="AA2474" s="257">
        <f>altaz((J2000_Bas+(2*0.04167)),$O2474,$M2474,DecLat,DecLong,1)</f>
        <v>68.85938974879079</v>
      </c>
      <c r="AB2474" s="257">
        <f>altaz((J2000_Bas+(4*0.04167)),$O2474,$M2474,DecLat,DecLong,1)</f>
        <v>63.101935349133356</v>
      </c>
      <c r="AC2474" s="257">
        <f>altaz((J2000_Bas+(6*0.04167)),$O2474,$M2474,DecLat,DecLong,1)</f>
        <v>46.00277780586427</v>
      </c>
      <c r="AD2474" s="258">
        <f>1+ transit((J2000_Bas-1),$O2474,$M2474,DecLat,DecLong)/360 + (GMTOffset/24) + (IF(DST="Y", 1, 0)/24)</f>
        <v>1.8890804265672079</v>
      </c>
      <c r="AE2474" s="259">
        <f>DATE(2001,9,21)+(M2474/360)*365 - (360*((DecLong/360)- (GMTOffset/24) ))</f>
        <v>37487.105902777781</v>
      </c>
      <c r="AF2474" s="260">
        <f>IF(DecLat&gt;0,IF((90 - (DecLat-O2474))&gt;90, (90 - (O2474-DecLat)), (90 - (DecLat-O2474))),IF((90 + (DecLat-O2474))&gt;90, (90 + (O2474-DecLat)), (90 + (DecLat-O2474))))</f>
        <v>69.416666666666657</v>
      </c>
      <c r="AG2474" s="257">
        <f>angularseperation(MoonRA,MoonDec,$M2474,$O2474)</f>
        <v>101.45055666350395</v>
      </c>
      <c r="AH2474" s="261">
        <f ca="1">MIN(100,IF($O$5&gt;80,0+30*($AG2474/100),IF($O$5&gt;70,0+50*($AG2474/100),IF($O$5&gt;60,5+50*($AG2474/100),IF($O$5&gt;50,10+60*($AG2474/100),IF($O$5&gt;40,15+70*($AG2474/100),IF($O$5&gt;30,20+70*($AG2474/100),IF($O$5&gt;20,40+55*($AG2474/100),(80+(20-$O$5)+30*($AG2474/100))))))))))</f>
        <v>100</v>
      </c>
      <c r="AI2474" s="262">
        <v>7086</v>
      </c>
      <c r="AJ2474" s="263"/>
      <c r="AK2474" s="263">
        <v>380</v>
      </c>
      <c r="AL2474" s="263"/>
      <c r="AM2474" s="264"/>
      <c r="AN2474" s="263"/>
      <c r="AO2474" s="263"/>
      <c r="AP2474" s="265"/>
      <c r="AQ2474" s="265"/>
      <c r="AR2474" s="285"/>
      <c r="AS2474" s="263"/>
      <c r="AT2474" s="263"/>
      <c r="AU2474" s="263"/>
      <c r="AV2474" s="264"/>
      <c r="AW2474" s="263"/>
      <c r="AX2474" s="263"/>
      <c r="AY2474" s="263"/>
      <c r="AZ2474" s="263"/>
      <c r="BA2474" s="263"/>
      <c r="BB2474" s="263"/>
      <c r="BC2474" s="263"/>
      <c r="BD2474" s="264"/>
      <c r="BE2474" s="263"/>
      <c r="BF2474" s="263"/>
      <c r="BG2474" s="263"/>
      <c r="BH2474" s="263"/>
      <c r="BI2474" s="263"/>
      <c r="BJ2474" s="404">
        <f>altaz(J2000_Bas,$O2474,$M2474,DecLat,DecLong,2)</f>
        <v>41.788202564141038</v>
      </c>
      <c r="BK2474" s="378" t="s">
        <v>3032</v>
      </c>
      <c r="BL2474" s="379">
        <f>IF((2*G2474)/60&lt;0.2,0.2,(2*G2474)/60)</f>
        <v>0.26666666666666666</v>
      </c>
      <c r="BM2474" s="380">
        <f>MOD((50000+AD2474-$B$3+(0/24)),1)</f>
        <v>0.10444735627243062</v>
      </c>
      <c r="BN2474" s="381"/>
      <c r="BO2474" s="382">
        <v>2465</v>
      </c>
    </row>
    <row r="2475" spans="1:67" s="24" customFormat="1" ht="15" customHeight="1" x14ac:dyDescent="0.25">
      <c r="A2475" s="288" t="s">
        <v>2336</v>
      </c>
      <c r="B2475" s="241" t="str">
        <f>HYPERLINK(CONCATENATE($AT$3,BK2475,$AU$3),$AV$3)</f>
        <v>S</v>
      </c>
      <c r="C2475" s="242" t="str">
        <f>HYPERLINK(CONCATENATE($AT$4,BK2475,$AU$4,BL2475),$AV$4)</f>
        <v>A</v>
      </c>
      <c r="D2475" s="243" t="s">
        <v>5187</v>
      </c>
      <c r="E2475" s="244" t="s">
        <v>5181</v>
      </c>
      <c r="F2475" s="269" t="s">
        <v>7475</v>
      </c>
      <c r="G2475" s="273">
        <v>1.8</v>
      </c>
      <c r="H2475" s="283">
        <v>5400</v>
      </c>
      <c r="I2475" s="279">
        <v>2.8</v>
      </c>
      <c r="J2475" s="246">
        <v>3</v>
      </c>
      <c r="K2475" s="247" t="s">
        <v>7476</v>
      </c>
      <c r="L2475" s="248">
        <v>213653</v>
      </c>
      <c r="M2475" s="249">
        <f>15*(LEFT(TEXT($L2475,"000000"),2)+(MID(TEXT($L2475,"000000"),3,2)/60)+(RIGHT(TEXT($L2475,"000000"),2)/3600))</f>
        <v>324.22083333333336</v>
      </c>
      <c r="N2475" s="250">
        <v>124719</v>
      </c>
      <c r="O2475" s="251">
        <v>13.3</v>
      </c>
      <c r="P2475" s="252" t="s">
        <v>39</v>
      </c>
      <c r="Q2475" s="253"/>
      <c r="R2475" s="247" t="s">
        <v>8847</v>
      </c>
      <c r="S2475" s="272" t="s">
        <v>3293</v>
      </c>
      <c r="T2475" s="273">
        <v>13.4</v>
      </c>
      <c r="U2475" s="274"/>
      <c r="V2475" s="280"/>
      <c r="W2475" s="244"/>
      <c r="X2475" s="244"/>
      <c r="Y2475" s="362"/>
      <c r="Z2475" s="257">
        <f>altaz(J2000_Bas,$O2475,$M2475,DecLat,DecLong,1)</f>
        <v>50.702174720073153</v>
      </c>
      <c r="AA2475" s="257">
        <f>altaz((J2000_Bas+(2*0.04167)),$O2475,$M2475,DecLat,DecLong,1)</f>
        <v>70.781519575482605</v>
      </c>
      <c r="AB2475" s="257">
        <f>altaz((J2000_Bas+(4*0.04167)),$O2475,$M2475,DecLat,DecLong,1)</f>
        <v>63.149430719208532</v>
      </c>
      <c r="AC2475" s="257">
        <f>altaz((J2000_Bas+(6*0.04167)),$O2475,$M2475,DecLat,DecLong,1)</f>
        <v>39.17185528551866</v>
      </c>
      <c r="AD2475" s="258">
        <f>1+ transit((J2000_Bas-1),$O2475,$M2475,DecLat,DecLong)/360 + (GMTOffset/24) + (IF(DST="Y", 1, 0)/24)</f>
        <v>1.8935132964942916</v>
      </c>
      <c r="AE2475" s="259">
        <f>DATE(2001,9,21)+(M2475/360)*365 - (360*((DecLong/360)- (GMTOffset/24) ))</f>
        <v>37488.723900462966</v>
      </c>
      <c r="AF2475" s="260">
        <f>IF(DecLat&gt;0,IF((90 - (DecLat-O2475))&gt;90, (90 - (O2475-DecLat)), (90 - (DecLat-O2475))),IF((90 + (DecLat-O2475))&gt;90, (90 + (O2475-DecLat)), (90 + (DecLat-O2475))))</f>
        <v>72.3</v>
      </c>
      <c r="AG2475" s="257">
        <f>angularseperation(MoonRA,MoonDec,$M2475,$O2475)</f>
        <v>83.118115730094473</v>
      </c>
      <c r="AH2475" s="261">
        <f ca="1">MIN(100,IF($O$5&gt;80,0+30*($AG2475/100),IF($O$5&gt;70,0+50*($AG2475/100),IF($O$5&gt;60,5+50*($AG2475/100),IF($O$5&gt;50,10+60*($AG2475/100),IF($O$5&gt;40,15+70*($AG2475/100),IF($O$5&gt;30,20+70*($AG2475/100),IF($O$5&gt;20,40+55*($AG2475/100),(80+(20-$O$5)+30*($AG2475/100))))))))))</f>
        <v>100</v>
      </c>
      <c r="AI2475" s="262">
        <v>7094</v>
      </c>
      <c r="AJ2475" s="262"/>
      <c r="AK2475" s="262"/>
      <c r="AL2475" s="263"/>
      <c r="AM2475" s="264"/>
      <c r="AN2475" s="263"/>
      <c r="AO2475" s="263"/>
      <c r="AP2475" s="265"/>
      <c r="AQ2475" s="266"/>
      <c r="AR2475" s="267"/>
      <c r="AS2475" s="263"/>
      <c r="AT2475" s="263"/>
      <c r="AU2475" s="263">
        <v>119</v>
      </c>
      <c r="AV2475" s="264"/>
      <c r="AW2475" s="263"/>
      <c r="AX2475" s="263"/>
      <c r="AY2475" s="263"/>
      <c r="AZ2475" s="263"/>
      <c r="BA2475" s="263"/>
      <c r="BB2475" s="263"/>
      <c r="BC2475" s="263"/>
      <c r="BD2475" s="264"/>
      <c r="BE2475" s="263"/>
      <c r="BF2475" s="263"/>
      <c r="BG2475" s="263"/>
      <c r="BH2475" s="263"/>
      <c r="BI2475" s="263"/>
      <c r="BJ2475" s="404">
        <f>altaz(J2000_Bas,$O2475,$M2475,DecLat,DecLong,2)</f>
        <v>108.08415071111368</v>
      </c>
      <c r="BK2475" s="378" t="s">
        <v>2336</v>
      </c>
      <c r="BL2475" s="379">
        <f>IF((2*G2475)/60&lt;0.2,0.2,(2*G2475)/60)</f>
        <v>0.2</v>
      </c>
      <c r="BM2475" s="380">
        <f>MOD((50000+AD2475-$B$3+(0/24)),1)</f>
        <v>0.10888022619474214</v>
      </c>
      <c r="BN2475" s="381"/>
      <c r="BO2475" s="382">
        <v>2466</v>
      </c>
    </row>
    <row r="2476" spans="1:67" s="24" customFormat="1" ht="15" customHeight="1" x14ac:dyDescent="0.25">
      <c r="A2476" s="287" t="s">
        <v>5535</v>
      </c>
      <c r="B2476" s="241" t="str">
        <f>HYPERLINK(CONCATENATE($AT$3,BK2476,$AU$3),$AV$3)</f>
        <v>S</v>
      </c>
      <c r="C2476" s="242" t="str">
        <f>HYPERLINK(CONCATENATE($AT$4,BK2476,$AU$4,BL2476),$AV$4)</f>
        <v>A</v>
      </c>
      <c r="D2476" s="243" t="s">
        <v>5638</v>
      </c>
      <c r="E2476" s="244" t="s">
        <v>5192</v>
      </c>
      <c r="F2476" s="269" t="s">
        <v>8911</v>
      </c>
      <c r="G2476" s="273">
        <v>5</v>
      </c>
      <c r="H2476" s="283">
        <v>110</v>
      </c>
      <c r="I2476" s="246">
        <v>150</v>
      </c>
      <c r="J2476" s="246">
        <v>4</v>
      </c>
      <c r="K2476" s="247" t="s">
        <v>8595</v>
      </c>
      <c r="L2476" s="248">
        <v>214418</v>
      </c>
      <c r="M2476" s="249">
        <f>15*(LEFT(TEXT($L2476,"000000"),2)+(MID(TEXT($L2476,"000000"),3,2)/60)+(RIGHT(TEXT($L2476,"000000"),2)/3600))</f>
        <v>326.07499999999999</v>
      </c>
      <c r="N2476" s="250">
        <v>-750700</v>
      </c>
      <c r="O2476" s="251">
        <f>IF($N2476&gt;0,(LEFT(TEXT($N2476,"000000"),2)+(MID(TEXT($N2476,"000000"),3,2)/60)+(RIGHT(TEXT($N2476,"000000"),2)/3600)),-(MID(TEXT($N2476,"000000"),2,2)+(MID(TEXT($N2476,"000000"),4,2)/60)+(RIGHT(TEXT($N2476,"000000"),2)/3600)))</f>
        <v>-75.11666666666666</v>
      </c>
      <c r="P2476" s="252" t="s">
        <v>5536</v>
      </c>
      <c r="Q2476" s="253"/>
      <c r="R2476" s="277" t="s">
        <v>3293</v>
      </c>
      <c r="S2476" s="272" t="s">
        <v>3293</v>
      </c>
      <c r="T2476" s="273">
        <v>11.3</v>
      </c>
      <c r="U2476" s="289">
        <v>22.59</v>
      </c>
      <c r="V2476" s="280">
        <v>70</v>
      </c>
      <c r="W2476" s="244"/>
      <c r="X2476" s="244"/>
      <c r="Y2476" s="362"/>
      <c r="Z2476" s="257">
        <f>altaz(J2000_Bas,$O2476,$M2476,DecLat,DecLong,1)</f>
        <v>-19.225189894562927</v>
      </c>
      <c r="AA2476" s="257">
        <f>altaz((J2000_Bas+(2*0.04167)),$O2476,$M2476,DecLat,DecLong,1)</f>
        <v>-16.31576581981308</v>
      </c>
      <c r="AB2476" s="257">
        <f>altaz((J2000_Bas+(4*0.04167)),$O2476,$M2476,DecLat,DecLong,1)</f>
        <v>-16.91777943183142</v>
      </c>
      <c r="AC2476" s="257">
        <f>altaz((J2000_Bas+(6*0.04167)),$O2476,$M2476,DecLat,DecLong,1)</f>
        <v>-20.902207742682826</v>
      </c>
      <c r="AD2476" s="258">
        <f>1+ transit((J2000_Bas-1),$O2476,$M2476,DecLat,DecLong)/360 + (GMTOffset/24) + (IF(DST="Y", 1, 0)/24)</f>
        <v>1.8986637589422084</v>
      </c>
      <c r="AE2476" s="259">
        <f>DATE(2001,9,21)+(M2476/360)*365 - (360*((DecLong/360)- (GMTOffset/24) ))</f>
        <v>37490.603819444441</v>
      </c>
      <c r="AF2476" s="260">
        <f>IF(DecLat&gt;0,IF((90 - (DecLat-O2476))&gt;90, (90 - (O2476-DecLat)), (90 - (DecLat-O2476))),IF((90 + (DecLat-O2476))&gt;90, (90 + (O2476-DecLat)), (90 + (DecLat-O2476))))</f>
        <v>-16.11666666666666</v>
      </c>
      <c r="AG2476" s="257">
        <f>angularseperation(MoonRA,MoonDec,$M2476,$O2476)</f>
        <v>60.520327175500945</v>
      </c>
      <c r="AH2476" s="261">
        <f ca="1">MIN(100,IF($O$5&gt;80,0+30*($AG2476/100),IF($O$5&gt;70,0+50*($AG2476/100),IF($O$5&gt;60,5+50*($AG2476/100),IF($O$5&gt;50,10+60*($AG2476/100),IF($O$5&gt;40,15+70*($AG2476/100),IF($O$5&gt;30,20+70*($AG2476/100),IF($O$5&gt;20,40+55*($AG2476/100),(80+(20-$O$5)+30*($AG2476/100))))))))))</f>
        <v>100</v>
      </c>
      <c r="AI2476" s="263">
        <v>7098</v>
      </c>
      <c r="AJ2476" s="263"/>
      <c r="AK2476" s="263"/>
      <c r="AL2476" s="263"/>
      <c r="AM2476" s="264"/>
      <c r="AN2476" s="263"/>
      <c r="AO2476" s="263"/>
      <c r="AP2476" s="265"/>
      <c r="AQ2476" s="265"/>
      <c r="AR2476" s="285">
        <v>67266</v>
      </c>
      <c r="AS2476" s="263"/>
      <c r="AT2476" s="263"/>
      <c r="AU2476" s="263"/>
      <c r="AV2476" s="264"/>
      <c r="AW2476" s="263"/>
      <c r="AX2476" s="263"/>
      <c r="AY2476" s="263"/>
      <c r="AZ2476" s="263"/>
      <c r="BA2476" s="263"/>
      <c r="BB2476" s="263"/>
      <c r="BC2476" s="263"/>
      <c r="BD2476" s="264"/>
      <c r="BE2476" s="263"/>
      <c r="BF2476" s="263"/>
      <c r="BG2476" s="263"/>
      <c r="BH2476" s="263"/>
      <c r="BI2476" s="263"/>
      <c r="BJ2476" s="404">
        <f>altaz(J2000_Bas,$O2476,$M2476,DecLat,DecLong,2)</f>
        <v>169.91462821132404</v>
      </c>
      <c r="BK2476" s="378" t="s">
        <v>5535</v>
      </c>
      <c r="BL2476" s="379">
        <f>IF((2*G2476)/60&lt;0.2,0.2,(2*G2476)/60)</f>
        <v>0.2</v>
      </c>
      <c r="BM2476" s="380">
        <f>MOD((50000+AD2476-$B$3+(0/24)),1)</f>
        <v>0.11403068864456145</v>
      </c>
      <c r="BN2476" s="381"/>
      <c r="BO2476" s="382">
        <v>2467</v>
      </c>
    </row>
    <row r="2477" spans="1:67" s="24" customFormat="1" ht="15" customHeight="1" x14ac:dyDescent="0.25">
      <c r="A2477" s="288" t="s">
        <v>2337</v>
      </c>
      <c r="B2477" s="241" t="str">
        <f>HYPERLINK(CONCATENATE($AT$3,BK2477,$AU$3),$AV$3)</f>
        <v>S</v>
      </c>
      <c r="C2477" s="242" t="str">
        <f>HYPERLINK(CONCATENATE($AT$4,BK2477,$AU$4,BL2477),$AV$4)</f>
        <v>A</v>
      </c>
      <c r="D2477" s="243" t="s">
        <v>5638</v>
      </c>
      <c r="E2477" s="244" t="s">
        <v>5192</v>
      </c>
      <c r="F2477" s="269" t="s">
        <v>8888</v>
      </c>
      <c r="G2477" s="273">
        <v>1.7</v>
      </c>
      <c r="H2477" s="283">
        <v>225</v>
      </c>
      <c r="I2477" s="246">
        <v>120</v>
      </c>
      <c r="J2477" s="246">
        <v>2</v>
      </c>
      <c r="K2477" s="247" t="s">
        <v>7477</v>
      </c>
      <c r="L2477" s="248">
        <v>213945</v>
      </c>
      <c r="M2477" s="249">
        <f>15*(LEFT(TEXT($L2477,"000000"),2)+(MID(TEXT($L2477,"000000"),3,2)/60)+(RIGHT(TEXT($L2477,"000000"),2)/3600))</f>
        <v>324.93749999999994</v>
      </c>
      <c r="N2477" s="250">
        <v>61710</v>
      </c>
      <c r="O2477" s="251">
        <f>IF($N2477&gt;0,(LEFT(TEXT($N2477,"000000"),2)+(MID(TEXT($N2477,"000000"),3,2)/60)+(RIGHT(TEXT($N2477,"000000"),2)/3600)),-(MID(TEXT($N2477,"000000"),2,2)+(MID(TEXT($N2477,"000000"),4,2)/60)+(RIGHT(TEXT($N2477,"000000"),2)/3600)))</f>
        <v>6.2861111111111114</v>
      </c>
      <c r="P2477" s="252" t="s">
        <v>39</v>
      </c>
      <c r="Q2477" s="253"/>
      <c r="R2477" s="247" t="s">
        <v>3293</v>
      </c>
      <c r="S2477" s="272" t="s">
        <v>3293</v>
      </c>
      <c r="T2477" s="273">
        <v>13.5</v>
      </c>
      <c r="U2477" s="289">
        <v>22.89</v>
      </c>
      <c r="V2477" s="280">
        <v>50</v>
      </c>
      <c r="W2477" s="244"/>
      <c r="X2477" s="244"/>
      <c r="Y2477" s="362"/>
      <c r="Z2477" s="257">
        <f>altaz(J2000_Bas,$O2477,$M2477,DecLat,DecLong,1)</f>
        <v>45.983624420321433</v>
      </c>
      <c r="AA2477" s="257">
        <f>altaz((J2000_Bas+(2*0.04167)),$O2477,$M2477,DecLat,DecLong,1)</f>
        <v>63.930606446929623</v>
      </c>
      <c r="AB2477" s="257">
        <f>altaz((J2000_Bas+(4*0.04167)),$O2477,$M2477,DecLat,DecLong,1)</f>
        <v>58.272813801248816</v>
      </c>
      <c r="AC2477" s="257">
        <f>altaz((J2000_Bas+(6*0.04167)),$O2477,$M2477,DecLat,DecLong,1)</f>
        <v>36.078333607859179</v>
      </c>
      <c r="AD2477" s="258">
        <f>1+ transit((J2000_Bas-1),$O2477,$M2477,DecLat,DecLong)/360 + (GMTOffset/24) + (IF(DST="Y", 1, 0)/24)</f>
        <v>1.8955040370359579</v>
      </c>
      <c r="AE2477" s="259">
        <f>DATE(2001,9,21)+(M2477/360)*365 - (360*((DecLong/360)- (GMTOffset/24) ))</f>
        <v>37489.450520833336</v>
      </c>
      <c r="AF2477" s="260">
        <f>IF(DecLat&gt;0,IF((90 - (DecLat-O2477))&gt;90, (90 - (O2477-DecLat)), (90 - (DecLat-O2477))),IF((90 + (DecLat-O2477))&gt;90, (90 + (O2477-DecLat)), (90 + (DecLat-O2477))))</f>
        <v>65.286111111111111</v>
      </c>
      <c r="AG2477" s="257">
        <f>angularseperation(MoonRA,MoonDec,$M2477,$O2477)</f>
        <v>80.281673807895856</v>
      </c>
      <c r="AH2477" s="261">
        <f ca="1">MIN(100,IF($O$5&gt;80,0+30*($AG2477/100),IF($O$5&gt;70,0+50*($AG2477/100),IF($O$5&gt;60,5+50*($AG2477/100),IF($O$5&gt;50,10+60*($AG2477/100),IF($O$5&gt;40,15+70*($AG2477/100),IF($O$5&gt;30,20+70*($AG2477/100),IF($O$5&gt;20,40+55*($AG2477/100),(80+(20-$O$5)+30*($AG2477/100))))))))))</f>
        <v>100</v>
      </c>
      <c r="AI2477" s="262">
        <v>7102</v>
      </c>
      <c r="AJ2477" s="262"/>
      <c r="AK2477" s="262"/>
      <c r="AL2477" s="263"/>
      <c r="AM2477" s="264"/>
      <c r="AN2477" s="263"/>
      <c r="AO2477" s="263"/>
      <c r="AP2477" s="265"/>
      <c r="AQ2477" s="266">
        <v>11786</v>
      </c>
      <c r="AR2477" s="267">
        <v>67120</v>
      </c>
      <c r="AS2477" s="263"/>
      <c r="AT2477" s="263"/>
      <c r="AU2477" s="263"/>
      <c r="AV2477" s="264"/>
      <c r="AW2477" s="263"/>
      <c r="AX2477" s="263"/>
      <c r="AY2477" s="263"/>
      <c r="AZ2477" s="263"/>
      <c r="BA2477" s="263"/>
      <c r="BB2477" s="263"/>
      <c r="BC2477" s="263"/>
      <c r="BD2477" s="264"/>
      <c r="BE2477" s="263"/>
      <c r="BF2477" s="263"/>
      <c r="BG2477" s="263"/>
      <c r="BH2477" s="263"/>
      <c r="BI2477" s="263"/>
      <c r="BJ2477" s="404">
        <f>altaz(J2000_Bas,$O2477,$M2477,DecLat,DecLong,2)</f>
        <v>115.97768428927175</v>
      </c>
      <c r="BK2477" s="378" t="s">
        <v>2337</v>
      </c>
      <c r="BL2477" s="379">
        <f>IF((2*G2477)/60&lt;0.2,0.2,(2*G2477)/60)</f>
        <v>0.2</v>
      </c>
      <c r="BM2477" s="380">
        <f>MOD((50000+AD2477-$B$3+(0/24)),1)</f>
        <v>0.1108709667387302</v>
      </c>
      <c r="BN2477" s="381" t="s">
        <v>6500</v>
      </c>
      <c r="BO2477" s="382">
        <v>2468</v>
      </c>
    </row>
    <row r="2478" spans="1:67" s="24" customFormat="1" ht="15" customHeight="1" x14ac:dyDescent="0.25">
      <c r="A2478" s="288" t="s">
        <v>2338</v>
      </c>
      <c r="B2478" s="241" t="str">
        <f>HYPERLINK(CONCATENATE($AT$3,BK2478,$AU$3),$AV$3)</f>
        <v>S</v>
      </c>
      <c r="C2478" s="242" t="str">
        <f>HYPERLINK(CONCATENATE($AT$4,BK2478,$AU$4,BL2478),$AV$4)</f>
        <v>A</v>
      </c>
      <c r="D2478" s="243" t="s">
        <v>5335</v>
      </c>
      <c r="E2478" s="244" t="s">
        <v>5185</v>
      </c>
      <c r="F2478" s="269" t="s">
        <v>7236</v>
      </c>
      <c r="G2478" s="273">
        <v>5</v>
      </c>
      <c r="H2478" s="283">
        <v>4700</v>
      </c>
      <c r="I2478" s="279">
        <v>7</v>
      </c>
      <c r="J2478" s="246">
        <v>2</v>
      </c>
      <c r="K2478" s="247" t="s">
        <v>7479</v>
      </c>
      <c r="L2478" s="248">
        <v>214341</v>
      </c>
      <c r="M2478" s="249">
        <f>15*(LEFT(TEXT($L2478,"000000"),2)+(MID(TEXT($L2478,"000000"),3,2)/60)+(RIGHT(TEXT($L2478,"000000"),2)/3600))</f>
        <v>325.92083333333329</v>
      </c>
      <c r="N2478" s="286">
        <v>543654</v>
      </c>
      <c r="O2478" s="251">
        <f>IF($N2478&gt;0,(LEFT(TEXT($N2478,"000000"),2)+(MID(TEXT($N2478,"000000"),3,2)/60)+(RIGHT(TEXT($N2478,"000000"),2)/3600)),-(MID(TEXT($N2478,"000000"),2,2)+(MID(TEXT($N2478,"000000"),4,2)/60)+(RIGHT(TEXT($N2478,"000000"),2)/3600)))</f>
        <v>54.615000000000002</v>
      </c>
      <c r="P2478" s="252" t="s">
        <v>60</v>
      </c>
      <c r="Q2478" s="253"/>
      <c r="R2478" s="247" t="s">
        <v>3293</v>
      </c>
      <c r="S2478" s="272" t="s">
        <v>7478</v>
      </c>
      <c r="T2478" s="273"/>
      <c r="U2478" s="274"/>
      <c r="V2478" s="280"/>
      <c r="W2478" s="244"/>
      <c r="X2478" s="244"/>
      <c r="Y2478" s="362"/>
      <c r="Z2478" s="257">
        <f>altaz(J2000_Bas,$O2478,$M2478,DecLat,DecLong,1)</f>
        <v>53.186219170228597</v>
      </c>
      <c r="AA2478" s="257">
        <f>altaz((J2000_Bas+(2*0.04167)),$O2478,$M2478,DecLat,DecLong,1)</f>
        <v>65.362747568717353</v>
      </c>
      <c r="AB2478" s="257">
        <f>altaz((J2000_Bas+(4*0.04167)),$O2478,$M2478,DecLat,DecLong,1)</f>
        <v>62.322490440841918</v>
      </c>
      <c r="AC2478" s="257">
        <f>altaz((J2000_Bas+(6*0.04167)),$O2478,$M2478,DecLat,DecLong,1)</f>
        <v>47.452859572895377</v>
      </c>
      <c r="AD2478" s="258">
        <f>1+ transit((J2000_Bas-1),$O2478,$M2478,DecLat,DecLong)/360 + (GMTOffset/24) + (IF(DST="Y", 1, 0)/24)</f>
        <v>1.8982355182442914</v>
      </c>
      <c r="AE2478" s="259">
        <f>DATE(2001,9,21)+(M2478/360)*365 - (360*((DecLong/360)- (GMTOffset/24) ))</f>
        <v>37490.447511574072</v>
      </c>
      <c r="AF2478" s="260">
        <f>IF(DecLat&gt;0,IF((90 - (DecLat-O2478))&gt;90, (90 - (O2478-DecLat)), (90 - (DecLat-O2478))),IF((90 + (DecLat-O2478))&gt;90, (90 + (O2478-DecLat)), (90 + (DecLat-O2478))))</f>
        <v>66.384999999999991</v>
      </c>
      <c r="AG2478" s="257">
        <f>angularseperation(MoonRA,MoonDec,$M2478,$O2478)</f>
        <v>104.61983239993202</v>
      </c>
      <c r="AH2478" s="261">
        <f ca="1">MIN(100,IF($O$5&gt;80,0+30*($AG2478/100),IF($O$5&gt;70,0+50*($AG2478/100),IF($O$5&gt;60,5+50*($AG2478/100),IF($O$5&gt;50,10+60*($AG2478/100),IF($O$5&gt;40,15+70*($AG2478/100),IF($O$5&gt;30,20+70*($AG2478/100),IF($O$5&gt;20,40+55*($AG2478/100),(80+(20-$O$5)+30*($AG2478/100))))))))))</f>
        <v>100</v>
      </c>
      <c r="AI2478" s="262">
        <v>7127</v>
      </c>
      <c r="AJ2478" s="262"/>
      <c r="AK2478" s="262"/>
      <c r="AL2478" s="263"/>
      <c r="AM2478" s="264"/>
      <c r="AN2478" s="263"/>
      <c r="AO2478" s="263"/>
      <c r="AP2478" s="265"/>
      <c r="AQ2478" s="266"/>
      <c r="AR2478" s="267"/>
      <c r="AS2478" s="263"/>
      <c r="AT2478" s="263"/>
      <c r="AU2478" s="263"/>
      <c r="AV2478" s="264"/>
      <c r="AW2478" s="263"/>
      <c r="AX2478" s="263"/>
      <c r="AY2478" s="263"/>
      <c r="AZ2478" s="263"/>
      <c r="BA2478" s="263"/>
      <c r="BB2478" s="263"/>
      <c r="BC2478" s="263"/>
      <c r="BD2478" s="264"/>
      <c r="BE2478" s="263"/>
      <c r="BF2478" s="263"/>
      <c r="BG2478" s="263"/>
      <c r="BH2478" s="263"/>
      <c r="BI2478" s="263"/>
      <c r="BJ2478" s="404">
        <f>altaz(J2000_Bas,$O2478,$M2478,DecLat,DecLong,2)</f>
        <v>38.324655062849132</v>
      </c>
      <c r="BK2478" s="378" t="s">
        <v>2338</v>
      </c>
      <c r="BL2478" s="379">
        <f>IF((2*G2478)/60&lt;0.2,0.2,(2*G2478)/60)</f>
        <v>0.2</v>
      </c>
      <c r="BM2478" s="380">
        <f>MOD((50000+AD2478-$B$3+(0/24)),1)</f>
        <v>0.11360244794923346</v>
      </c>
      <c r="BN2478" s="381"/>
      <c r="BO2478" s="382">
        <v>2469</v>
      </c>
    </row>
    <row r="2479" spans="1:67" s="24" customFormat="1" ht="15" customHeight="1" x14ac:dyDescent="0.25">
      <c r="A2479" s="288" t="s">
        <v>3033</v>
      </c>
      <c r="B2479" s="241" t="str">
        <f>HYPERLINK(CONCATENATE($AT$3,BK2479,$AU$3),$AV$3)</f>
        <v>S</v>
      </c>
      <c r="C2479" s="242" t="str">
        <f>HYPERLINK(CONCATENATE($AT$4,BK2479,$AU$4,BL2479),$AV$4)</f>
        <v>A</v>
      </c>
      <c r="D2479" s="243" t="s">
        <v>5335</v>
      </c>
      <c r="E2479" s="244" t="s">
        <v>5185</v>
      </c>
      <c r="F2479" s="269" t="s">
        <v>4679</v>
      </c>
      <c r="G2479" s="273">
        <v>2</v>
      </c>
      <c r="H2479" s="283">
        <v>7500</v>
      </c>
      <c r="I2479" s="279">
        <v>4.5</v>
      </c>
      <c r="J2479" s="246">
        <v>3</v>
      </c>
      <c r="K2479" s="247" t="s">
        <v>7480</v>
      </c>
      <c r="L2479" s="248">
        <v>214400</v>
      </c>
      <c r="M2479" s="249">
        <f>15*(LEFT(TEXT($L2479,"000000"),2)+(MID(TEXT($L2479,"000000"),3,2)/60)+(RIGHT(TEXT($L2479,"000000"),2)/3600))</f>
        <v>326</v>
      </c>
      <c r="N2479" s="250">
        <v>534300</v>
      </c>
      <c r="O2479" s="251">
        <f>IF($N2479&gt;0,(LEFT(TEXT($N2479,"000000"),2)+(MID(TEXT($N2479,"000000"),3,2)/60)+(RIGHT(TEXT($N2479,"000000"),2)/3600)),-(MID(TEXT($N2479,"000000"),2,2)+(MID(TEXT($N2479,"000000"),4,2)/60)+(RIGHT(TEXT($N2479,"000000"),2)/3600)))</f>
        <v>53.716666666666669</v>
      </c>
      <c r="P2479" s="252" t="s">
        <v>60</v>
      </c>
      <c r="Q2479" s="253"/>
      <c r="R2479" s="277" t="s">
        <v>3293</v>
      </c>
      <c r="S2479" s="272" t="s">
        <v>3293</v>
      </c>
      <c r="T2479" s="273">
        <v>9.6999999999999993</v>
      </c>
      <c r="U2479" s="274"/>
      <c r="V2479" s="280"/>
      <c r="W2479" s="244"/>
      <c r="X2479" s="244"/>
      <c r="Y2479" s="362"/>
      <c r="Z2479" s="257">
        <f>altaz(J2000_Bas,$O2479,$M2479,DecLat,DecLong,1)</f>
        <v>53.49124882971973</v>
      </c>
      <c r="AA2479" s="257">
        <f>altaz((J2000_Bas+(2*0.04167)),$O2479,$M2479,DecLat,DecLong,1)</f>
        <v>66.184846988470881</v>
      </c>
      <c r="AB2479" s="257">
        <f>altaz((J2000_Bas+(4*0.04167)),$O2479,$M2479,DecLat,DecLong,1)</f>
        <v>63.038651819792968</v>
      </c>
      <c r="AC2479" s="257">
        <f>altaz((J2000_Bas+(6*0.04167)),$O2479,$M2479,DecLat,DecLong,1)</f>
        <v>47.687769281049384</v>
      </c>
      <c r="AD2479" s="258">
        <f>1+ transit((J2000_Bas-1),$O2479,$M2479,DecLat,DecLong)/360 + (GMTOffset/24) + (IF(DST="Y", 1, 0)/24)</f>
        <v>1.8984554256297084</v>
      </c>
      <c r="AE2479" s="259">
        <f>DATE(2001,9,21)+(M2479/360)*365 - (360*((DecLong/360)- (GMTOffset/24) ))</f>
        <v>37490.527777777781</v>
      </c>
      <c r="AF2479" s="260">
        <f>IF(DecLat&gt;0,IF((90 - (DecLat-O2479))&gt;90, (90 - (O2479-DecLat)), (90 - (DecLat-O2479))),IF((90 + (DecLat-O2479))&gt;90, (90 + (O2479-DecLat)), (90 + (DecLat-O2479))))</f>
        <v>67.283333333333331</v>
      </c>
      <c r="AG2479" s="257">
        <f>angularseperation(MoonRA,MoonDec,$M2479,$O2479)</f>
        <v>104.26021783296007</v>
      </c>
      <c r="AH2479" s="261">
        <f ca="1">MIN(100,IF($O$5&gt;80,0+30*($AG2479/100),IF($O$5&gt;70,0+50*($AG2479/100),IF($O$5&gt;60,5+50*($AG2479/100),IF($O$5&gt;50,10+60*($AG2479/100),IF($O$5&gt;40,15+70*($AG2479/100),IF($O$5&gt;30,20+70*($AG2479/100),IF($O$5&gt;20,40+55*($AG2479/100),(80+(20-$O$5)+30*($AG2479/100))))))))))</f>
        <v>100</v>
      </c>
      <c r="AI2479" s="262">
        <v>7128</v>
      </c>
      <c r="AJ2479" s="263"/>
      <c r="AK2479" s="263">
        <v>381</v>
      </c>
      <c r="AL2479" s="263"/>
      <c r="AM2479" s="264"/>
      <c r="AN2479" s="263"/>
      <c r="AO2479" s="263"/>
      <c r="AP2479" s="265"/>
      <c r="AQ2479" s="265"/>
      <c r="AR2479" s="285"/>
      <c r="AS2479" s="263"/>
      <c r="AT2479" s="263"/>
      <c r="AU2479" s="263"/>
      <c r="AV2479" s="264"/>
      <c r="AW2479" s="263"/>
      <c r="AX2479" s="263"/>
      <c r="AY2479" s="263"/>
      <c r="AZ2479" s="263"/>
      <c r="BA2479" s="263"/>
      <c r="BB2479" s="263"/>
      <c r="BC2479" s="263"/>
      <c r="BD2479" s="264"/>
      <c r="BE2479" s="263"/>
      <c r="BF2479" s="263"/>
      <c r="BG2479" s="263"/>
      <c r="BH2479" s="263"/>
      <c r="BI2479" s="263"/>
      <c r="BJ2479" s="404">
        <f>altaz(J2000_Bas,$O2479,$M2479,DecLat,DecLong,2)</f>
        <v>39.741964978099617</v>
      </c>
      <c r="BK2479" s="378" t="s">
        <v>3033</v>
      </c>
      <c r="BL2479" s="379">
        <f>IF((2*G2479)/60&lt;0.2,0.2,(2*G2479)/60)</f>
        <v>0.2</v>
      </c>
      <c r="BM2479" s="380">
        <f>MOD((50000+AD2479-$B$3+(0/24)),1)</f>
        <v>0.11382235533528728</v>
      </c>
      <c r="BN2479" s="381"/>
      <c r="BO2479" s="382">
        <v>2470</v>
      </c>
    </row>
    <row r="2480" spans="1:67" s="24" customFormat="1" ht="15" customHeight="1" x14ac:dyDescent="0.25">
      <c r="A2480" s="288" t="s">
        <v>2339</v>
      </c>
      <c r="B2480" s="241" t="str">
        <f>HYPERLINK(CONCATENATE($AT$3,BK2480,$AU$3),$AV$3)</f>
        <v>S</v>
      </c>
      <c r="C2480" s="242" t="str">
        <f>HYPERLINK(CONCATENATE($AT$4,BK2480,$AU$4,BL2480),$AV$4)</f>
        <v>A</v>
      </c>
      <c r="D2480" s="243" t="s">
        <v>5187</v>
      </c>
      <c r="E2480" s="244" t="s">
        <v>5186</v>
      </c>
      <c r="F2480" s="269"/>
      <c r="G2480" s="273">
        <v>9</v>
      </c>
      <c r="H2480" s="283">
        <v>3300</v>
      </c>
      <c r="I2480" s="279">
        <v>9</v>
      </c>
      <c r="J2480" s="246">
        <v>3</v>
      </c>
      <c r="K2480" s="247" t="s">
        <v>7481</v>
      </c>
      <c r="L2480" s="248">
        <v>214259</v>
      </c>
      <c r="M2480" s="249">
        <f>15*(LEFT(TEXT($L2480,"000000"),2)+(MID(TEXT($L2480,"000000"),3,2)/60)+(RIGHT(TEXT($L2480,"000000"),2)/3600))</f>
        <v>325.74583333333334</v>
      </c>
      <c r="N2480" s="250">
        <v>660648</v>
      </c>
      <c r="O2480" s="251">
        <f>IF($N2480&gt;0,(LEFT(TEXT($N2480,"000000"),2)+(MID(TEXT($N2480,"000000"),3,2)/60)+(RIGHT(TEXT($N2480,"000000"),2)/3600)),-(MID(TEXT($N2480,"000000"),2,2)+(MID(TEXT($N2480,"000000"),4,2)/60)+(RIGHT(TEXT($N2480,"000000"),2)/3600)))</f>
        <v>66.11333333333333</v>
      </c>
      <c r="P2480" s="252" t="s">
        <v>52</v>
      </c>
      <c r="Q2480" s="253" t="s">
        <v>6960</v>
      </c>
      <c r="R2480" s="247" t="s">
        <v>3293</v>
      </c>
      <c r="S2480" s="272" t="s">
        <v>3293</v>
      </c>
      <c r="T2480" s="273"/>
      <c r="U2480" s="274"/>
      <c r="V2480" s="280"/>
      <c r="W2480" s="244"/>
      <c r="X2480" s="244"/>
      <c r="Y2480" s="362"/>
      <c r="Z2480" s="257">
        <f>altaz(J2000_Bas,$O2480,$M2480,DecLat,DecLong,1)</f>
        <v>47.545118127912495</v>
      </c>
      <c r="AA2480" s="257">
        <f>altaz((J2000_Bas+(2*0.04167)),$O2480,$M2480,DecLat,DecLong,1)</f>
        <v>54.399509876273228</v>
      </c>
      <c r="AB2480" s="257">
        <f>altaz((J2000_Bas+(4*0.04167)),$O2480,$M2480,DecLat,DecLong,1)</f>
        <v>52.768016609361773</v>
      </c>
      <c r="AC2480" s="257">
        <f>altaz((J2000_Bas+(6*0.04167)),$O2480,$M2480,DecLat,DecLong,1)</f>
        <v>43.761093479752972</v>
      </c>
      <c r="AD2480" s="258">
        <f>1+ transit((J2000_Bas-1),$O2480,$M2480,DecLat,DecLong)/360 + (GMTOffset/24) + (IF(DST="Y", 1, 0)/24)</f>
        <v>1.8977494071817913</v>
      </c>
      <c r="AE2480" s="259">
        <f>DATE(2001,9,21)+(M2480/360)*365 - (360*((DecLong/360)- (GMTOffset/24) ))</f>
        <v>37490.27008101852</v>
      </c>
      <c r="AF2480" s="260">
        <f>IF(DecLat&gt;0,IF((90 - (DecLat-O2480))&gt;90, (90 - (O2480-DecLat)), (90 - (DecLat-O2480))),IF((90 + (DecLat-O2480))&gt;90, (90 + (O2480-DecLat)), (90 + (DecLat-O2480))))</f>
        <v>54.88666666666667</v>
      </c>
      <c r="AG2480" s="257">
        <f>angularseperation(MoonRA,MoonDec,$M2480,$O2480)</f>
        <v>109.40005313487369</v>
      </c>
      <c r="AH2480" s="261">
        <f ca="1">MIN(100,IF($O$5&gt;80,0+30*($AG2480/100),IF($O$5&gt;70,0+50*($AG2480/100),IF($O$5&gt;60,5+50*($AG2480/100),IF($O$5&gt;50,10+60*($AG2480/100),IF($O$5&gt;40,15+70*($AG2480/100),IF($O$5&gt;30,20+70*($AG2480/100),IF($O$5&gt;20,40+55*($AG2480/100),(80+(20-$O$5)+30*($AG2480/100))))))))))</f>
        <v>100</v>
      </c>
      <c r="AI2480" s="262">
        <v>7129</v>
      </c>
      <c r="AJ2480" s="262"/>
      <c r="AK2480" s="262"/>
      <c r="AL2480" s="263"/>
      <c r="AM2480" s="264"/>
      <c r="AN2480" s="263"/>
      <c r="AO2480" s="263"/>
      <c r="AP2480" s="265"/>
      <c r="AQ2480" s="266"/>
      <c r="AR2480" s="267"/>
      <c r="AS2480" s="263"/>
      <c r="AT2480" s="263"/>
      <c r="AU2480" s="263"/>
      <c r="AV2480" s="264"/>
      <c r="AW2480" s="263"/>
      <c r="AX2480" s="263"/>
      <c r="AY2480" s="263"/>
      <c r="AZ2480" s="263"/>
      <c r="BA2480" s="263"/>
      <c r="BB2480" s="263"/>
      <c r="BC2480" s="263"/>
      <c r="BD2480" s="264"/>
      <c r="BE2480" s="263"/>
      <c r="BF2480" s="263">
        <v>103</v>
      </c>
      <c r="BG2480" s="263"/>
      <c r="BH2480" s="263"/>
      <c r="BI2480" s="263"/>
      <c r="BJ2480" s="404">
        <f>altaz(J2000_Bas,$O2480,$M2480,DecLat,DecLong,2)</f>
        <v>22.552878812462204</v>
      </c>
      <c r="BK2480" s="378" t="s">
        <v>2339</v>
      </c>
      <c r="BL2480" s="379">
        <f>IF((2*G2480)/60&lt;0.2,0.2,(2*G2480)/60)</f>
        <v>0.3</v>
      </c>
      <c r="BM2480" s="380">
        <f>MOD((50000+AD2480-$B$3+(0/24)),1)</f>
        <v>0.11311633688455913</v>
      </c>
      <c r="BN2480" s="381"/>
      <c r="BO2480" s="382">
        <v>2471</v>
      </c>
    </row>
    <row r="2481" spans="1:67" s="24" customFormat="1" ht="15" customHeight="1" x14ac:dyDescent="0.25">
      <c r="A2481" s="288" t="s">
        <v>2340</v>
      </c>
      <c r="B2481" s="241" t="str">
        <f>HYPERLINK(CONCATENATE($AT$3,BK2481,$AU$3),$AV$3)</f>
        <v>S</v>
      </c>
      <c r="C2481" s="242" t="str">
        <f>HYPERLINK(CONCATENATE($AT$4,BK2481,$AU$4,BL2481),$AV$4)</f>
        <v>A</v>
      </c>
      <c r="D2481" s="243" t="s">
        <v>5638</v>
      </c>
      <c r="E2481" s="244" t="s">
        <v>5337</v>
      </c>
      <c r="F2481" s="269" t="s">
        <v>3316</v>
      </c>
      <c r="G2481" s="273">
        <v>1</v>
      </c>
      <c r="H2481" s="283">
        <v>230</v>
      </c>
      <c r="I2481" s="246">
        <v>70</v>
      </c>
      <c r="J2481" s="246">
        <v>2</v>
      </c>
      <c r="K2481" s="247" t="s">
        <v>8442</v>
      </c>
      <c r="L2481" s="248">
        <v>214819</v>
      </c>
      <c r="M2481" s="249">
        <f>15*(LEFT(TEXT($L2481,"000000"),2)+(MID(TEXT($L2481,"000000"),3,2)/60)+(RIGHT(TEXT($L2481,"000000"),2)/3600))</f>
        <v>327.07916666666665</v>
      </c>
      <c r="N2481" s="250">
        <v>-345710</v>
      </c>
      <c r="O2481" s="251">
        <f>IF($N2481&gt;0,(LEFT(TEXT($N2481,"000000"),2)+(MID(TEXT($N2481,"000000"),3,2)/60)+(RIGHT(TEXT($N2481,"000000"),2)/3600)),-(MID(TEXT($N2481,"000000"),2,2)+(MID(TEXT($N2481,"000000"),4,2)/60)+(RIGHT(TEXT($N2481,"000000"),2)/3600)))</f>
        <v>-34.952777777777783</v>
      </c>
      <c r="P2481" s="252" t="s">
        <v>232</v>
      </c>
      <c r="Q2481" s="253"/>
      <c r="R2481" s="247" t="s">
        <v>3293</v>
      </c>
      <c r="S2481" s="272" t="s">
        <v>3293</v>
      </c>
      <c r="T2481" s="273">
        <v>12.1</v>
      </c>
      <c r="U2481" s="289">
        <v>21.79</v>
      </c>
      <c r="V2481" s="280"/>
      <c r="W2481" s="244"/>
      <c r="X2481" s="244"/>
      <c r="Y2481" s="362"/>
      <c r="Z2481" s="257">
        <f>altaz(J2000_Bas,$O2481,$M2481,DecLat,DecLong,1)</f>
        <v>13.564694310891657</v>
      </c>
      <c r="AA2481" s="257">
        <f>altaz((J2000_Bas+(2*0.04167)),$O2481,$M2481,DecLat,DecLong,1)</f>
        <v>23.241044024793045</v>
      </c>
      <c r="AB2481" s="257">
        <f>altaz((J2000_Bas+(4*0.04167)),$O2481,$M2481,DecLat,DecLong,1)</f>
        <v>21.644273207364996</v>
      </c>
      <c r="AC2481" s="257">
        <f>altaz((J2000_Bas+(6*0.04167)),$O2481,$M2481,DecLat,DecLong,1)</f>
        <v>9.451393466597878</v>
      </c>
      <c r="AD2481" s="258">
        <f>1+ transit((J2000_Bas-1),$O2481,$M2481,DecLat,DecLong)/360 + (GMTOffset/24) + (IF(DST="Y", 1, 0)/24)</f>
        <v>1.9014531105151249</v>
      </c>
      <c r="AE2481" s="259">
        <f>DATE(2001,9,21)+(M2481/360)*365 - (360*((DecLong/360)- (GMTOffset/24) ))</f>
        <v>37491.621932870374</v>
      </c>
      <c r="AF2481" s="260">
        <f>IF(DecLat&gt;0,IF((90 - (DecLat-O2481))&gt;90, (90 - (O2481-DecLat)), (90 - (DecLat-O2481))),IF((90 + (DecLat-O2481))&gt;90, (90 + (O2481-DecLat)), (90 + (DecLat-O2481))))</f>
        <v>24.047222222222217</v>
      </c>
      <c r="AG2481" s="257">
        <f>angularseperation(MoonRA,MoonDec,$M2481,$O2481)</f>
        <v>65.506516351386239</v>
      </c>
      <c r="AH2481" s="261">
        <f ca="1">MIN(100,IF($O$5&gt;80,0+30*($AG2481/100),IF($O$5&gt;70,0+50*($AG2481/100),IF($O$5&gt;60,5+50*($AG2481/100),IF($O$5&gt;50,10+60*($AG2481/100),IF($O$5&gt;40,15+70*($AG2481/100),IF($O$5&gt;30,20+70*($AG2481/100),IF($O$5&gt;20,40+55*($AG2481/100),(80+(20-$O$5)+30*($AG2481/100))))))))))</f>
        <v>100</v>
      </c>
      <c r="AI2481" s="262">
        <v>7130</v>
      </c>
      <c r="AJ2481" s="262"/>
      <c r="AK2481" s="262"/>
      <c r="AL2481" s="263"/>
      <c r="AM2481" s="264"/>
      <c r="AN2481" s="263"/>
      <c r="AO2481" s="263"/>
      <c r="AP2481" s="265"/>
      <c r="AQ2481" s="266"/>
      <c r="AR2481" s="267">
        <v>67387</v>
      </c>
      <c r="AS2481" s="263"/>
      <c r="AT2481" s="263"/>
      <c r="AU2481" s="263"/>
      <c r="AV2481" s="264"/>
      <c r="AW2481" s="263"/>
      <c r="AX2481" s="263"/>
      <c r="AY2481" s="263"/>
      <c r="AZ2481" s="263"/>
      <c r="BA2481" s="263"/>
      <c r="BB2481" s="263"/>
      <c r="BC2481" s="263"/>
      <c r="BD2481" s="264"/>
      <c r="BE2481" s="263"/>
      <c r="BF2481" s="263"/>
      <c r="BG2481" s="263"/>
      <c r="BH2481" s="263"/>
      <c r="BI2481" s="263"/>
      <c r="BJ2481" s="404">
        <f>altaz(J2000_Bas,$O2481,$M2481,DecLat,DecLong,2)</f>
        <v>146.35803964539542</v>
      </c>
      <c r="BK2481" s="378" t="s">
        <v>2340</v>
      </c>
      <c r="BL2481" s="379">
        <f>IF((2*G2481)/60&lt;0.2,0.2,(2*G2481)/60)</f>
        <v>0.2</v>
      </c>
      <c r="BM2481" s="380">
        <f>MOD((50000+AD2481-$B$3+(0/24)),1)</f>
        <v>0.1168200402171351</v>
      </c>
      <c r="BN2481" s="381" t="s">
        <v>9281</v>
      </c>
      <c r="BO2481" s="382">
        <v>2472</v>
      </c>
    </row>
    <row r="2482" spans="1:67" s="24" customFormat="1" ht="15" customHeight="1" x14ac:dyDescent="0.25">
      <c r="A2482" s="288" t="s">
        <v>3116</v>
      </c>
      <c r="B2482" s="241" t="str">
        <f>HYPERLINK(CONCATENATE($AT$3,BK2482,$AU$3),$AV$3)</f>
        <v>S</v>
      </c>
      <c r="C2482" s="242" t="str">
        <f>HYPERLINK(CONCATENATE($AT$4,BK2482,$AU$4,BL2482),$AV$4)</f>
        <v>A</v>
      </c>
      <c r="D2482" s="243" t="s">
        <v>5638</v>
      </c>
      <c r="E2482" s="244" t="s">
        <v>5192</v>
      </c>
      <c r="F2482" s="269" t="s">
        <v>8689</v>
      </c>
      <c r="G2482" s="273">
        <v>1</v>
      </c>
      <c r="H2482" s="283">
        <v>380.63033999999999</v>
      </c>
      <c r="I2482" s="246">
        <v>110</v>
      </c>
      <c r="J2482" s="246">
        <v>2</v>
      </c>
      <c r="K2482" s="247" t="s">
        <v>7482</v>
      </c>
      <c r="L2482" s="248">
        <v>214717</v>
      </c>
      <c r="M2482" s="249">
        <f>15*(LEFT(TEXT($L2482,"000000"),2)+(MID(TEXT($L2482,"000000"),3,2)/60)+(RIGHT(TEXT($L2482,"000000"),2)/3600))</f>
        <v>326.82083333333338</v>
      </c>
      <c r="N2482" s="250">
        <v>101424</v>
      </c>
      <c r="O2482" s="251">
        <f>IF($N2482&gt;0,(LEFT(TEXT($N2482,"000000"),2)+(MID(TEXT($N2482,"000000"),3,2)/60)+(RIGHT(TEXT($N2482,"000000"),2)/3600)),-(MID(TEXT($N2482,"000000"),2,2)+(MID(TEXT($N2482,"000000"),4,2)/60)+(RIGHT(TEXT($N2482,"000000"),2)/3600)))</f>
        <v>10.239999999999998</v>
      </c>
      <c r="P2482" s="252" t="s">
        <v>39</v>
      </c>
      <c r="Q2482" s="253"/>
      <c r="R2482" s="277" t="s">
        <v>3293</v>
      </c>
      <c r="S2482" s="272" t="s">
        <v>3293</v>
      </c>
      <c r="T2482" s="273">
        <v>14.2</v>
      </c>
      <c r="U2482" s="289">
        <v>22.69</v>
      </c>
      <c r="V2482" s="280">
        <v>45</v>
      </c>
      <c r="W2482" s="244"/>
      <c r="X2482" s="244"/>
      <c r="Y2482" s="362"/>
      <c r="Z2482" s="257">
        <f>altaz(J2000_Bas,$O2482,$M2482,DecLat,DecLong,1)</f>
        <v>46.879695042908537</v>
      </c>
      <c r="AA2482" s="257">
        <f>altaz((J2000_Bas+(2*0.04167)),$O2482,$M2482,DecLat,DecLong,1)</f>
        <v>66.972154653945708</v>
      </c>
      <c r="AB2482" s="257">
        <f>altaz((J2000_Bas+(4*0.04167)),$O2482,$M2482,DecLat,DecLong,1)</f>
        <v>62.550910662209489</v>
      </c>
      <c r="AC2482" s="257">
        <f>altaz((J2000_Bas+(6*0.04167)),$O2482,$M2482,DecLat,DecLong,1)</f>
        <v>39.799305909684435</v>
      </c>
      <c r="AD2482" s="258">
        <f>1+ transit((J2000_Bas-1),$O2482,$M2482,DecLat,DecLong)/360 + (GMTOffset/24) + (IF(DST="Y", 1, 0)/24)</f>
        <v>1.9007355179942917</v>
      </c>
      <c r="AE2482" s="259">
        <f>DATE(2001,9,21)+(M2482/360)*365 - (360*((DecLong/360)- (GMTOffset/24) ))</f>
        <v>37491.360011574077</v>
      </c>
      <c r="AF2482" s="260">
        <f>IF(DecLat&gt;0,IF((90 - (DecLat-O2482))&gt;90, (90 - (O2482-DecLat)), (90 - (DecLat-O2482))),IF((90 + (DecLat-O2482))&gt;90, (90 + (O2482-DecLat)), (90 + (DecLat-O2482))))</f>
        <v>69.239999999999995</v>
      </c>
      <c r="AG2482" s="257">
        <f>angularseperation(MoonRA,MoonDec,$M2482,$O2482)</f>
        <v>83.827757670636629</v>
      </c>
      <c r="AH2482" s="261">
        <f ca="1">MIN(100,IF($O$5&gt;80,0+30*($AG2482/100),IF($O$5&gt;70,0+50*($AG2482/100),IF($O$5&gt;60,5+50*($AG2482/100),IF($O$5&gt;50,10+60*($AG2482/100),IF($O$5&gt;40,15+70*($AG2482/100),IF($O$5&gt;30,20+70*($AG2482/100),IF($O$5&gt;20,40+55*($AG2482/100),(80+(20-$O$5)+30*($AG2482/100))))))))))</f>
        <v>100</v>
      </c>
      <c r="AI2482" s="263">
        <v>7132</v>
      </c>
      <c r="AJ2482" s="263"/>
      <c r="AK2482" s="263"/>
      <c r="AL2482" s="263"/>
      <c r="AM2482" s="264"/>
      <c r="AN2482" s="263"/>
      <c r="AO2482" s="263"/>
      <c r="AP2482" s="265"/>
      <c r="AQ2482" s="265"/>
      <c r="AR2482" s="285">
        <v>67349</v>
      </c>
      <c r="AS2482" s="263"/>
      <c r="AT2482" s="263"/>
      <c r="AU2482" s="263"/>
      <c r="AV2482" s="264"/>
      <c r="AW2482" s="263"/>
      <c r="AX2482" s="263"/>
      <c r="AY2482" s="263"/>
      <c r="AZ2482" s="263"/>
      <c r="BA2482" s="263"/>
      <c r="BB2482" s="263"/>
      <c r="BC2482" s="263"/>
      <c r="BD2482" s="264"/>
      <c r="BE2482" s="263"/>
      <c r="BF2482" s="263"/>
      <c r="BG2482" s="263"/>
      <c r="BH2482" s="263"/>
      <c r="BI2482" s="263"/>
      <c r="BJ2482" s="404">
        <f>altaz(J2000_Bas,$O2482,$M2482,DecLat,DecLong,2)</f>
        <v>109.76858523999923</v>
      </c>
      <c r="BK2482" s="378" t="s">
        <v>3116</v>
      </c>
      <c r="BL2482" s="379">
        <f>IF((2*G2482)/60&lt;0.2,0.2,(2*G2482)/60)</f>
        <v>0.2</v>
      </c>
      <c r="BM2482" s="380">
        <f>MOD((50000+AD2482-$B$3+(0/24)),1)</f>
        <v>0.11610244769690325</v>
      </c>
      <c r="BN2482" s="381" t="s">
        <v>9287</v>
      </c>
      <c r="BO2482" s="382">
        <v>2473</v>
      </c>
    </row>
    <row r="2483" spans="1:67" s="24" customFormat="1" ht="15" customHeight="1" x14ac:dyDescent="0.25">
      <c r="A2483" s="288" t="s">
        <v>2341</v>
      </c>
      <c r="B2483" s="241" t="str">
        <f>HYPERLINK(CONCATENATE($AT$3,BK2483,$AU$3),$AV$3)</f>
        <v>S</v>
      </c>
      <c r="C2483" s="242" t="str">
        <f>HYPERLINK(CONCATENATE($AT$4,BK2483,$AU$4,BL2483),$AV$4)</f>
        <v>A</v>
      </c>
      <c r="D2483" s="243" t="s">
        <v>5638</v>
      </c>
      <c r="E2483" s="244" t="s">
        <v>5193</v>
      </c>
      <c r="F2483" s="269" t="s">
        <v>3307</v>
      </c>
      <c r="G2483" s="273">
        <v>2</v>
      </c>
      <c r="H2483" s="283">
        <v>120</v>
      </c>
      <c r="I2483" s="246">
        <v>70</v>
      </c>
      <c r="J2483" s="246">
        <v>2</v>
      </c>
      <c r="K2483" s="247" t="s">
        <v>8443</v>
      </c>
      <c r="L2483" s="248">
        <v>214946</v>
      </c>
      <c r="M2483" s="249">
        <f>15*(LEFT(TEXT($L2483,"000000"),2)+(MID(TEXT($L2483,"000000"),3,2)/60)+(RIGHT(TEXT($L2483,"000000"),2)/3600))</f>
        <v>327.44166666666666</v>
      </c>
      <c r="N2483" s="250">
        <v>-345235</v>
      </c>
      <c r="O2483" s="251">
        <f>IF($N2483&gt;0,(LEFT(TEXT($N2483,"000000"),2)+(MID(TEXT($N2483,"000000"),3,2)/60)+(RIGHT(TEXT($N2483,"000000"),2)/3600)),-(MID(TEXT($N2483,"000000"),2,2)+(MID(TEXT($N2483,"000000"),4,2)/60)+(RIGHT(TEXT($N2483,"000000"),2)/3600)))</f>
        <v>-34.87638888888889</v>
      </c>
      <c r="P2483" s="252" t="s">
        <v>232</v>
      </c>
      <c r="Q2483" s="253" t="s">
        <v>6846</v>
      </c>
      <c r="R2483" s="247" t="s">
        <v>3293</v>
      </c>
      <c r="S2483" s="272" t="s">
        <v>3293</v>
      </c>
      <c r="T2483" s="273">
        <v>13.3</v>
      </c>
      <c r="U2483" s="289">
        <v>22.39</v>
      </c>
      <c r="V2483" s="280"/>
      <c r="W2483" s="244"/>
      <c r="X2483" s="244"/>
      <c r="Y2483" s="362"/>
      <c r="Z2483" s="257">
        <f>altaz(J2000_Bas,$O2483,$M2483,DecLat,DecLong,1)</f>
        <v>13.454043701583416</v>
      </c>
      <c r="AA2483" s="257">
        <f>altaz((J2000_Bas+(2*0.04167)),$O2483,$M2483,DecLat,DecLong,1)</f>
        <v>23.2624361914947</v>
      </c>
      <c r="AB2483" s="257">
        <f>altaz((J2000_Bas+(4*0.04167)),$O2483,$M2483,DecLat,DecLong,1)</f>
        <v>21.806060059380897</v>
      </c>
      <c r="AC2483" s="257">
        <f>altaz((J2000_Bas+(6*0.04167)),$O2483,$M2483,DecLat,DecLong,1)</f>
        <v>9.7040496478398719</v>
      </c>
      <c r="AD2483" s="258">
        <f>1+ transit((J2000_Bas-1),$O2483,$M2483,DecLat,DecLong)/360 + (GMTOffset/24) + (IF(DST="Y", 1, 0)/24)</f>
        <v>1.9024600548588746</v>
      </c>
      <c r="AE2483" s="259">
        <f>DATE(2001,9,21)+(M2483/360)*365 - (360*((DecLong/360)- (GMTOffset/24) ))</f>
        <v>37491.98946759259</v>
      </c>
      <c r="AF2483" s="260">
        <f>IF(DecLat&gt;0,IF((90 - (DecLat-O2483))&gt;90, (90 - (O2483-DecLat)), (90 - (DecLat-O2483))),IF((90 + (DecLat-O2483))&gt;90, (90 + (O2483-DecLat)), (90 + (DecLat-O2483))))</f>
        <v>24.123611111111103</v>
      </c>
      <c r="AG2483" s="257">
        <f>angularseperation(MoonRA,MoonDec,$M2483,$O2483)</f>
        <v>65.813094895180953</v>
      </c>
      <c r="AH2483" s="261">
        <f ca="1">MIN(100,IF($O$5&gt;80,0+30*($AG2483/100),IF($O$5&gt;70,0+50*($AG2483/100),IF($O$5&gt;60,5+50*($AG2483/100),IF($O$5&gt;50,10+60*($AG2483/100),IF($O$5&gt;40,15+70*($AG2483/100),IF($O$5&gt;30,20+70*($AG2483/100),IF($O$5&gt;20,40+55*($AG2483/100),(80+(20-$O$5)+30*($AG2483/100))))))))))</f>
        <v>100</v>
      </c>
      <c r="AI2483" s="262">
        <v>7135</v>
      </c>
      <c r="AJ2483" s="262"/>
      <c r="AK2483" s="262"/>
      <c r="AL2483" s="263"/>
      <c r="AM2483" s="264"/>
      <c r="AN2483" s="263"/>
      <c r="AO2483" s="263"/>
      <c r="AP2483" s="265"/>
      <c r="AQ2483" s="266"/>
      <c r="AR2483" s="267">
        <v>67425</v>
      </c>
      <c r="AS2483" s="263"/>
      <c r="AT2483" s="263"/>
      <c r="AU2483" s="263"/>
      <c r="AV2483" s="264"/>
      <c r="AW2483" s="263"/>
      <c r="AX2483" s="263"/>
      <c r="AY2483" s="263"/>
      <c r="AZ2483" s="263"/>
      <c r="BA2483" s="263"/>
      <c r="BB2483" s="263"/>
      <c r="BC2483" s="263"/>
      <c r="BD2483" s="264"/>
      <c r="BE2483" s="263"/>
      <c r="BF2483" s="263"/>
      <c r="BG2483" s="263"/>
      <c r="BH2483" s="263"/>
      <c r="BI2483" s="263"/>
      <c r="BJ2483" s="404">
        <f>altaz(J2000_Bas,$O2483,$M2483,DecLat,DecLong,2)</f>
        <v>146.06362365406849</v>
      </c>
      <c r="BK2483" s="378" t="s">
        <v>2341</v>
      </c>
      <c r="BL2483" s="379">
        <f>IF((2*G2483)/60&lt;0.2,0.2,(2*G2483)/60)</f>
        <v>0.2</v>
      </c>
      <c r="BM2483" s="380">
        <f>MOD((50000+AD2483-$B$3+(0/24)),1)</f>
        <v>0.11782698456227081</v>
      </c>
      <c r="BN2483" s="381"/>
      <c r="BO2483" s="382">
        <v>2474</v>
      </c>
    </row>
    <row r="2484" spans="1:67" s="24" customFormat="1" ht="15" customHeight="1" x14ac:dyDescent="0.25">
      <c r="A2484" s="288" t="s">
        <v>2342</v>
      </c>
      <c r="B2484" s="241" t="str">
        <f>HYPERLINK(CONCATENATE($AT$3,BK2484,$AU$3),$AV$3)</f>
        <v>S</v>
      </c>
      <c r="C2484" s="242" t="str">
        <f>HYPERLINK(CONCATENATE($AT$4,BK2484,$AU$4,BL2484),$AV$4)</f>
        <v>A</v>
      </c>
      <c r="D2484" s="243" t="s">
        <v>5638</v>
      </c>
      <c r="E2484" s="244" t="s">
        <v>5192</v>
      </c>
      <c r="F2484" s="269" t="s">
        <v>8910</v>
      </c>
      <c r="G2484" s="273">
        <v>1.1000000000000001</v>
      </c>
      <c r="H2484" s="283">
        <v>90</v>
      </c>
      <c r="I2484" s="246">
        <v>30</v>
      </c>
      <c r="J2484" s="246">
        <v>2</v>
      </c>
      <c r="K2484" s="247" t="s">
        <v>7483</v>
      </c>
      <c r="L2484" s="248">
        <v>214813</v>
      </c>
      <c r="M2484" s="249">
        <f>15*(LEFT(TEXT($L2484,"000000"),2)+(MID(TEXT($L2484,"000000"),3,2)/60)+(RIGHT(TEXT($L2484,"000000"),2)/3600))</f>
        <v>327.05416666666667</v>
      </c>
      <c r="N2484" s="250">
        <v>220935</v>
      </c>
      <c r="O2484" s="251">
        <f>IF($N2484&gt;0,(LEFT(TEXT($N2484,"000000"),2)+(MID(TEXT($N2484,"000000"),3,2)/60)+(RIGHT(TEXT($N2484,"000000"),2)/3600)),-(MID(TEXT($N2484,"000000"),2,2)+(MID(TEXT($N2484,"000000"),4,2)/60)+(RIGHT(TEXT($N2484,"000000"),2)/3600)))</f>
        <v>22.159722222222221</v>
      </c>
      <c r="P2484" s="252" t="s">
        <v>39</v>
      </c>
      <c r="Q2484" s="253"/>
      <c r="R2484" s="247" t="s">
        <v>3293</v>
      </c>
      <c r="S2484" s="272" t="s">
        <v>3293</v>
      </c>
      <c r="T2484" s="273">
        <v>12.4</v>
      </c>
      <c r="U2484" s="289">
        <v>22.09</v>
      </c>
      <c r="V2484" s="280">
        <v>10</v>
      </c>
      <c r="W2484" s="244"/>
      <c r="X2484" s="244"/>
      <c r="Y2484" s="362"/>
      <c r="Z2484" s="257">
        <f>altaz(J2000_Bas,$O2484,$M2484,DecLat,DecLong,1)</f>
        <v>52.459911078571906</v>
      </c>
      <c r="AA2484" s="257">
        <f>altaz((J2000_Bas+(2*0.04167)),$O2484,$M2484,DecLat,DecLong,1)</f>
        <v>76.810916289856436</v>
      </c>
      <c r="AB2484" s="257">
        <f>altaz((J2000_Bas+(4*0.04167)),$O2484,$M2484,DecLat,DecLong,1)</f>
        <v>70.793403491505529</v>
      </c>
      <c r="AC2484" s="257">
        <f>altaz((J2000_Bas+(6*0.04167)),$O2484,$M2484,DecLat,DecLong,1)</f>
        <v>45.476703055031805</v>
      </c>
      <c r="AD2484" s="258">
        <f>1+ transit((J2000_Bas-1),$O2484,$M2484,DecLat,DecLong)/360 + (GMTOffset/24) + (IF(DST="Y", 1, 0)/24)</f>
        <v>1.9013836660776249</v>
      </c>
      <c r="AE2484" s="259">
        <f>DATE(2001,9,21)+(M2484/360)*365 - (360*((DecLong/360)- (GMTOffset/24) ))</f>
        <v>37491.596585648149</v>
      </c>
      <c r="AF2484" s="260">
        <f>IF(DecLat&gt;0,IF((90 - (DecLat-O2484))&gt;90, (90 - (O2484-DecLat)), (90 - (DecLat-O2484))),IF((90 + (DecLat-O2484))&gt;90, (90 + (O2484-DecLat)), (90 + (DecLat-O2484))))</f>
        <v>81.159722222222229</v>
      </c>
      <c r="AG2484" s="257">
        <f>angularseperation(MoonRA,MoonDec,$M2484,$O2484)</f>
        <v>89.8655192810497</v>
      </c>
      <c r="AH2484" s="261">
        <f ca="1">MIN(100,IF($O$5&gt;80,0+30*($AG2484/100),IF($O$5&gt;70,0+50*($AG2484/100),IF($O$5&gt;60,5+50*($AG2484/100),IF($O$5&gt;50,10+60*($AG2484/100),IF($O$5&gt;40,15+70*($AG2484/100),IF($O$5&gt;30,20+70*($AG2484/100),IF($O$5&gt;20,40+55*($AG2484/100),(80+(20-$O$5)+30*($AG2484/100))))))))))</f>
        <v>100</v>
      </c>
      <c r="AI2484" s="262">
        <v>7137</v>
      </c>
      <c r="AJ2484" s="262"/>
      <c r="AK2484" s="262"/>
      <c r="AL2484" s="263"/>
      <c r="AM2484" s="264"/>
      <c r="AN2484" s="263"/>
      <c r="AO2484" s="263"/>
      <c r="AP2484" s="265"/>
      <c r="AQ2484" s="266">
        <v>11815</v>
      </c>
      <c r="AR2484" s="267">
        <v>67379</v>
      </c>
      <c r="AS2484" s="263"/>
      <c r="AT2484" s="263"/>
      <c r="AU2484" s="263"/>
      <c r="AV2484" s="264"/>
      <c r="AW2484" s="263"/>
      <c r="AX2484" s="263"/>
      <c r="AY2484" s="263"/>
      <c r="AZ2484" s="263"/>
      <c r="BA2484" s="263"/>
      <c r="BB2484" s="263"/>
      <c r="BC2484" s="263"/>
      <c r="BD2484" s="264"/>
      <c r="BE2484" s="263"/>
      <c r="BF2484" s="263"/>
      <c r="BG2484" s="263"/>
      <c r="BH2484" s="263"/>
      <c r="BI2484" s="263"/>
      <c r="BJ2484" s="404">
        <f>altaz(J2000_Bas,$O2484,$M2484,DecLat,DecLong,2)</f>
        <v>93.42450515127058</v>
      </c>
      <c r="BK2484" s="378" t="s">
        <v>2342</v>
      </c>
      <c r="BL2484" s="379">
        <f>IF((2*G2484)/60&lt;0.2,0.2,(2*G2484)/60)</f>
        <v>0.2</v>
      </c>
      <c r="BM2484" s="380">
        <f>MOD((50000+AD2484-$B$3+(0/24)),1)</f>
        <v>0.11675059577828506</v>
      </c>
      <c r="BN2484" s="381" t="s">
        <v>6500</v>
      </c>
      <c r="BO2484" s="382">
        <v>2475</v>
      </c>
    </row>
    <row r="2485" spans="1:67" s="24" customFormat="1" ht="15" customHeight="1" x14ac:dyDescent="0.25">
      <c r="A2485" s="288" t="s">
        <v>2343</v>
      </c>
      <c r="B2485" s="241" t="str">
        <f>HYPERLINK(CONCATENATE($AT$3,BK2485,$AU$3),$AV$3)</f>
        <v>S</v>
      </c>
      <c r="C2485" s="242" t="str">
        <f>HYPERLINK(CONCATENATE($AT$4,BK2485,$AU$4,BL2485),$AV$4)</f>
        <v>A</v>
      </c>
      <c r="D2485" s="243" t="s">
        <v>5187</v>
      </c>
      <c r="E2485" s="244" t="s">
        <v>5181</v>
      </c>
      <c r="F2485" s="269" t="s">
        <v>7497</v>
      </c>
      <c r="G2485" s="273">
        <v>1</v>
      </c>
      <c r="H2485" s="283">
        <v>4000</v>
      </c>
      <c r="I2485" s="279">
        <v>1.3</v>
      </c>
      <c r="J2485" s="246">
        <v>2</v>
      </c>
      <c r="K2485" s="247" t="s">
        <v>7484</v>
      </c>
      <c r="L2485" s="248">
        <v>214609</v>
      </c>
      <c r="M2485" s="249">
        <f>15*(LEFT(TEXT($L2485,"000000"),2)+(MID(TEXT($L2485,"000000"),3,2)/60)+(RIGHT(TEXT($L2485,"000000"),2)/3600))</f>
        <v>326.53750000000002</v>
      </c>
      <c r="N2485" s="250">
        <v>634730</v>
      </c>
      <c r="O2485" s="251">
        <f>IF($N2485&gt;0,(LEFT(TEXT($N2485,"000000"),2)+(MID(TEXT($N2485,"000000"),3,2)/60)+(RIGHT(TEXT($N2485,"000000"),2)/3600)),-(MID(TEXT($N2485,"000000"),2,2)+(MID(TEXT($N2485,"000000"),4,2)/60)+(RIGHT(TEXT($N2485,"000000"),2)/3600)))</f>
        <v>63.791666666666664</v>
      </c>
      <c r="P2485" s="252" t="s">
        <v>52</v>
      </c>
      <c r="Q2485" s="253"/>
      <c r="R2485" s="247" t="s">
        <v>3293</v>
      </c>
      <c r="S2485" s="272" t="s">
        <v>3293</v>
      </c>
      <c r="T2485" s="273">
        <v>13.3</v>
      </c>
      <c r="U2485" s="274"/>
      <c r="V2485" s="280"/>
      <c r="W2485" s="244"/>
      <c r="X2485" s="244"/>
      <c r="Y2485" s="362"/>
      <c r="Z2485" s="257">
        <f>altaz(J2000_Bas,$O2485,$M2485,DecLat,DecLong,1)</f>
        <v>48.572699083088793</v>
      </c>
      <c r="AA2485" s="257">
        <f>altaz((J2000_Bas+(2*0.04167)),$O2485,$M2485,DecLat,DecLong,1)</f>
        <v>56.549888681896306</v>
      </c>
      <c r="AB2485" s="257">
        <f>altaz((J2000_Bas+(4*0.04167)),$O2485,$M2485,DecLat,DecLong,1)</f>
        <v>54.948382049635399</v>
      </c>
      <c r="AC2485" s="257">
        <f>altaz((J2000_Bas+(6*0.04167)),$O2485,$M2485,DecLat,DecLong,1)</f>
        <v>44.97846121711887</v>
      </c>
      <c r="AD2485" s="258">
        <f>1+ transit((J2000_Bas-1),$O2485,$M2485,DecLat,DecLong)/360 + (GMTOffset/24) + (IF(DST="Y", 1, 0)/24)</f>
        <v>1.8999484810359581</v>
      </c>
      <c r="AE2485" s="259">
        <f>DATE(2001,9,21)+(M2485/360)*365 - (360*((DecLong/360)- (GMTOffset/24) ))</f>
        <v>37491.072743055556</v>
      </c>
      <c r="AF2485" s="260">
        <f>IF(DecLat&gt;0,IF((90 - (DecLat-O2485))&gt;90, (90 - (O2485-DecLat)), (90 - (DecLat-O2485))),IF((90 + (DecLat-O2485))&gt;90, (90 + (O2485-DecLat)), (90 + (DecLat-O2485))))</f>
        <v>57.208333333333336</v>
      </c>
      <c r="AG2485" s="257">
        <f>angularseperation(MoonRA,MoonDec,$M2485,$O2485)</f>
        <v>108.78489064771837</v>
      </c>
      <c r="AH2485" s="261">
        <f ca="1">MIN(100,IF($O$5&gt;80,0+30*($AG2485/100),IF($O$5&gt;70,0+50*($AG2485/100),IF($O$5&gt;60,5+50*($AG2485/100),IF($O$5&gt;50,10+60*($AG2485/100),IF($O$5&gt;40,15+70*($AG2485/100),IF($O$5&gt;30,20+70*($AG2485/100),IF($O$5&gt;20,40+55*($AG2485/100),(80+(20-$O$5)+30*($AG2485/100))))))))))</f>
        <v>100</v>
      </c>
      <c r="AI2485" s="262">
        <v>7139</v>
      </c>
      <c r="AJ2485" s="262"/>
      <c r="AK2485" s="262"/>
      <c r="AL2485" s="263"/>
      <c r="AM2485" s="264"/>
      <c r="AN2485" s="263"/>
      <c r="AO2485" s="263"/>
      <c r="AP2485" s="265"/>
      <c r="AQ2485" s="266"/>
      <c r="AR2485" s="267"/>
      <c r="AS2485" s="263"/>
      <c r="AT2485" s="263">
        <v>42</v>
      </c>
      <c r="AU2485" s="263"/>
      <c r="AV2485" s="264"/>
      <c r="AW2485" s="263"/>
      <c r="AX2485" s="263"/>
      <c r="AY2485" s="263"/>
      <c r="AZ2485" s="263"/>
      <c r="BA2485" s="263"/>
      <c r="BB2485" s="263"/>
      <c r="BC2485" s="263"/>
      <c r="BD2485" s="264"/>
      <c r="BE2485" s="263"/>
      <c r="BF2485" s="263"/>
      <c r="BG2485" s="263"/>
      <c r="BH2485" s="263"/>
      <c r="BI2485" s="263"/>
      <c r="BJ2485" s="404">
        <f>altaz(J2000_Bas,$O2485,$M2485,DecLat,DecLong,2)</f>
        <v>25.708201940427827</v>
      </c>
      <c r="BK2485" s="378" t="s">
        <v>2343</v>
      </c>
      <c r="BL2485" s="379">
        <f>IF((2*G2485)/60&lt;0.2,0.2,(2*G2485)/60)</f>
        <v>0.2</v>
      </c>
      <c r="BM2485" s="380">
        <f>MOD((50000+AD2485-$B$3+(0/24)),1)</f>
        <v>0.11531541073782137</v>
      </c>
      <c r="BN2485" s="381" t="s">
        <v>9225</v>
      </c>
      <c r="BO2485" s="382">
        <v>2476</v>
      </c>
    </row>
    <row r="2486" spans="1:67" s="24" customFormat="1" ht="15" customHeight="1" x14ac:dyDescent="0.25">
      <c r="A2486" s="287" t="s">
        <v>3034</v>
      </c>
      <c r="B2486" s="241" t="str">
        <f>HYPERLINK(CONCATENATE($AT$3,BK2486,$AU$3),$AV$3)</f>
        <v>S</v>
      </c>
      <c r="C2486" s="242" t="str">
        <f>HYPERLINK(CONCATENATE($AT$4,BK2486,$AU$4,BL2486),$AV$4)</f>
        <v>A</v>
      </c>
      <c r="D2486" s="243" t="s">
        <v>5335</v>
      </c>
      <c r="E2486" s="244" t="s">
        <v>5185</v>
      </c>
      <c r="F2486" s="269" t="s">
        <v>7498</v>
      </c>
      <c r="G2486" s="276">
        <v>14</v>
      </c>
      <c r="H2486" s="283">
        <v>8000</v>
      </c>
      <c r="I2486" s="246">
        <v>34</v>
      </c>
      <c r="J2486" s="246">
        <v>1</v>
      </c>
      <c r="K2486" s="247" t="s">
        <v>7499</v>
      </c>
      <c r="L2486" s="248">
        <v>214554</v>
      </c>
      <c r="M2486" s="249">
        <f>15*(LEFT(TEXT($L2486,"000000"),2)+(MID(TEXT($L2486,"000000"),3,2)/60)+(RIGHT(TEXT($L2486,"000000"),2)/3600))</f>
        <v>326.47500000000002</v>
      </c>
      <c r="N2486" s="250">
        <v>654800</v>
      </c>
      <c r="O2486" s="251">
        <f>IF($N2486&gt;0,(LEFT(TEXT($N2486,"000000"),2)+(MID(TEXT($N2486,"000000"),3,2)/60)+(RIGHT(TEXT($N2486,"000000"),2)/3600)),-(MID(TEXT($N2486,"000000"),2,2)+(MID(TEXT($N2486,"000000"),4,2)/60)+(RIGHT(TEXT($N2486,"000000"),2)/3600)))</f>
        <v>65.8</v>
      </c>
      <c r="P2486" s="252" t="s">
        <v>52</v>
      </c>
      <c r="Q2486" s="253"/>
      <c r="R2486" s="277" t="s">
        <v>3293</v>
      </c>
      <c r="S2486" s="272" t="s">
        <v>6459</v>
      </c>
      <c r="T2486" s="273">
        <v>9.3000000000000007</v>
      </c>
      <c r="U2486" s="274"/>
      <c r="V2486" s="280"/>
      <c r="W2486" s="244"/>
      <c r="X2486" s="244"/>
      <c r="Y2486" s="362"/>
      <c r="Z2486" s="257">
        <f>altaz(J2000_Bas,$O2486,$M2486,DecLat,DecLong,1)</f>
        <v>47.482624813346185</v>
      </c>
      <c r="AA2486" s="257">
        <f>altaz((J2000_Bas+(2*0.04167)),$O2486,$M2486,DecLat,DecLong,1)</f>
        <v>54.625956301606116</v>
      </c>
      <c r="AB2486" s="257">
        <f>altaz((J2000_Bas+(4*0.04167)),$O2486,$M2486,DecLat,DecLong,1)</f>
        <v>53.186513876191199</v>
      </c>
      <c r="AC2486" s="257">
        <f>altaz((J2000_Bas+(6*0.04167)),$O2486,$M2486,DecLat,DecLong,1)</f>
        <v>44.159687483134718</v>
      </c>
      <c r="AD2486" s="258">
        <f>1+ transit((J2000_Bas-1),$O2486,$M2486,DecLat,DecLong)/360 + (GMTOffset/24) + (IF(DST="Y", 1, 0)/24)</f>
        <v>1.8997748699422081</v>
      </c>
      <c r="AE2486" s="259">
        <f>DATE(2001,9,21)+(M2486/360)*365 - (360*((DecLong/360)- (GMTOffset/24) ))</f>
        <v>37491.009375000001</v>
      </c>
      <c r="AF2486" s="260">
        <f>IF(DecLat&gt;0,IF((90 - (DecLat-O2486))&gt;90, (90 - (O2486-DecLat)), (90 - (DecLat-O2486))),IF((90 + (DecLat-O2486))&gt;90, (90 + (O2486-DecLat)), (90 + (DecLat-O2486))))</f>
        <v>55.2</v>
      </c>
      <c r="AG2486" s="257">
        <f>angularseperation(MoonRA,MoonDec,$M2486,$O2486)</f>
        <v>109.55022801073828</v>
      </c>
      <c r="AH2486" s="261">
        <f ca="1">MIN(100,IF($O$5&gt;80,0+30*($AG2486/100),IF($O$5&gt;70,0+50*($AG2486/100),IF($O$5&gt;60,5+50*($AG2486/100),IF($O$5&gt;50,10+60*($AG2486/100),IF($O$5&gt;40,15+70*($AG2486/100),IF($O$5&gt;30,20+70*($AG2486/100),IF($O$5&gt;20,40+55*($AG2486/100),(80+(20-$O$5)+30*($AG2486/100))))))))))</f>
        <v>100</v>
      </c>
      <c r="AI2486" s="262">
        <v>7142</v>
      </c>
      <c r="AJ2486" s="263"/>
      <c r="AK2486" s="263">
        <v>382</v>
      </c>
      <c r="AL2486" s="263"/>
      <c r="AM2486" s="264"/>
      <c r="AN2486" s="263"/>
      <c r="AO2486" s="263"/>
      <c r="AP2486" s="265"/>
      <c r="AQ2486" s="265"/>
      <c r="AR2486" s="285"/>
      <c r="AS2486" s="263"/>
      <c r="AT2486" s="263"/>
      <c r="AU2486" s="263"/>
      <c r="AV2486" s="264"/>
      <c r="AW2486" s="263"/>
      <c r="AX2486" s="263"/>
      <c r="AY2486" s="263"/>
      <c r="AZ2486" s="263"/>
      <c r="BA2486" s="263"/>
      <c r="BB2486" s="263"/>
      <c r="BC2486" s="263"/>
      <c r="BD2486" s="264"/>
      <c r="BE2486" s="263"/>
      <c r="BF2486" s="263"/>
      <c r="BG2486" s="263"/>
      <c r="BH2486" s="263"/>
      <c r="BI2486" s="263"/>
      <c r="BJ2486" s="404">
        <f>altaz(J2000_Bas,$O2486,$M2486,DecLat,DecLong,2)</f>
        <v>23.185428900804624</v>
      </c>
      <c r="BK2486" s="378" t="s">
        <v>3034</v>
      </c>
      <c r="BL2486" s="379">
        <f>IF((2*G2486)/60&lt;0.2,0.2,(2*G2486)/60)</f>
        <v>0.46666666666666667</v>
      </c>
      <c r="BM2486" s="380">
        <f>MOD((50000+AD2486-$B$3+(0/24)),1)</f>
        <v>0.11514179964433424</v>
      </c>
      <c r="BN2486" s="381"/>
      <c r="BO2486" s="382">
        <v>2477</v>
      </c>
    </row>
    <row r="2487" spans="1:67" s="24" customFormat="1" ht="15" customHeight="1" x14ac:dyDescent="0.25">
      <c r="A2487" s="288" t="s">
        <v>7595</v>
      </c>
      <c r="B2487" s="241" t="str">
        <f>HYPERLINK(CONCATENATE($AT$3,BK2487,$AU$3),$AV$3)</f>
        <v>S</v>
      </c>
      <c r="C2487" s="242" t="str">
        <f>HYPERLINK(CONCATENATE($AT$4,BK2487,$AU$4,BL2487),$AV$4)</f>
        <v>A</v>
      </c>
      <c r="D2487" s="243" t="s">
        <v>5638</v>
      </c>
      <c r="E2487" s="244" t="s">
        <v>5625</v>
      </c>
      <c r="F2487" s="269">
        <v>6</v>
      </c>
      <c r="G2487" s="291">
        <v>7</v>
      </c>
      <c r="H2487" s="283">
        <v>400</v>
      </c>
      <c r="I2487" s="284">
        <v>800</v>
      </c>
      <c r="J2487" s="246">
        <v>2</v>
      </c>
      <c r="K2487" s="247" t="s">
        <v>7500</v>
      </c>
      <c r="L2487" s="248">
        <v>215158</v>
      </c>
      <c r="M2487" s="249">
        <f>15*(LEFT(TEXT($L2487,"000000"),2)+(MID(TEXT($L2487,"000000"),3,2)/60)+(RIGHT(TEXT($L2487,"000000"),2)/3600))</f>
        <v>327.99166666666667</v>
      </c>
      <c r="N2487" s="250">
        <v>30418</v>
      </c>
      <c r="O2487" s="251">
        <f>IF($N2487&gt;0,(LEFT(TEXT($N2487,"000000"),2)+(MID(TEXT($N2487,"000000"),3,2)/60)+(RIGHT(TEXT($N2487,"000000"),2)/3600)),-(MID(TEXT($N2487,"000000"),2,2)+(MID(TEXT($N2487,"000000"),4,2)/60)+(RIGHT(TEXT($N2487,"000000"),2)/3600)))</f>
        <v>3.0716666666666668</v>
      </c>
      <c r="P2487" s="252" t="s">
        <v>39</v>
      </c>
      <c r="Q2487" s="253"/>
      <c r="R2487" s="277" t="s">
        <v>3293</v>
      </c>
      <c r="S2487" s="272" t="s">
        <v>3293</v>
      </c>
      <c r="T2487" s="273">
        <v>13.5</v>
      </c>
      <c r="U2487" s="289">
        <v>22.19</v>
      </c>
      <c r="V2487" s="280"/>
      <c r="W2487" s="244"/>
      <c r="X2487" s="244"/>
      <c r="Y2487" s="362"/>
      <c r="Z2487" s="257">
        <f>altaz(J2000_Bas,$O2487,$M2487,DecLat,DecLong,1)</f>
        <v>41.589727875175363</v>
      </c>
      <c r="AA2487" s="257">
        <f>altaz((J2000_Bas+(2*0.04167)),$O2487,$M2487,DecLat,DecLong,1)</f>
        <v>59.897021112582344</v>
      </c>
      <c r="AB2487" s="257">
        <f>altaz((J2000_Bas+(4*0.04167)),$O2487,$M2487,DecLat,DecLong,1)</f>
        <v>57.225377981224511</v>
      </c>
      <c r="AC2487" s="257">
        <f>altaz((J2000_Bas+(6*0.04167)),$O2487,$M2487,DecLat,DecLong,1)</f>
        <v>36.683028913249515</v>
      </c>
      <c r="AD2487" s="258">
        <f>1+ transit((J2000_Bas-1),$O2487,$M2487,DecLat,DecLong)/360 + (GMTOffset/24) + (IF(DST="Y", 1, 0)/24)</f>
        <v>1.9039878324838748</v>
      </c>
      <c r="AE2487" s="259">
        <f>DATE(2001,9,21)+(M2487/360)*365 - (360*((DecLong/360)- (GMTOffset/24) ))</f>
        <v>37492.547106481485</v>
      </c>
      <c r="AF2487" s="260">
        <f>IF(DecLat&gt;0,IF((90 - (DecLat-O2487))&gt;90, (90 - (O2487-DecLat)), (90 - (DecLat-O2487))),IF((90 + (DecLat-O2487))&gt;90, (90 + (O2487-DecLat)), (90 + (DecLat-O2487))))</f>
        <v>62.071666666666665</v>
      </c>
      <c r="AG2487" s="257">
        <f>angularseperation(MoonRA,MoonDec,$M2487,$O2487)</f>
        <v>81.427913729909363</v>
      </c>
      <c r="AH2487" s="261">
        <f ca="1">MIN(100,IF($O$5&gt;80,0+30*($AG2487/100),IF($O$5&gt;70,0+50*($AG2487/100),IF($O$5&gt;60,5+50*($AG2487/100),IF($O$5&gt;50,10+60*($AG2487/100),IF($O$5&gt;40,15+70*($AG2487/100),IF($O$5&gt;30,20+70*($AG2487/100),IF($O$5&gt;20,40+55*($AG2487/100),(80+(20-$O$5)+30*($AG2487/100))))))))))</f>
        <v>100</v>
      </c>
      <c r="AI2487" s="262">
        <v>7147</v>
      </c>
      <c r="AJ2487" s="263"/>
      <c r="AK2487" s="263"/>
      <c r="AL2487" s="263"/>
      <c r="AM2487" s="264"/>
      <c r="AN2487" s="263"/>
      <c r="AO2487" s="263"/>
      <c r="AP2487" s="265"/>
      <c r="AQ2487" s="265"/>
      <c r="AR2487" s="285">
        <v>67518</v>
      </c>
      <c r="AS2487" s="263"/>
      <c r="AT2487" s="263"/>
      <c r="AU2487" s="263"/>
      <c r="AV2487" s="264"/>
      <c r="AW2487" s="263"/>
      <c r="AX2487" s="263"/>
      <c r="AY2487" s="263"/>
      <c r="AZ2487" s="263"/>
      <c r="BA2487" s="263"/>
      <c r="BB2487" s="263"/>
      <c r="BC2487" s="263"/>
      <c r="BD2487" s="264"/>
      <c r="BE2487" s="263"/>
      <c r="BF2487" s="263"/>
      <c r="BG2487" s="263"/>
      <c r="BH2487" s="263"/>
      <c r="BI2487" s="263"/>
      <c r="BJ2487" s="404">
        <f>altaz(J2000_Bas,$O2487,$M2487,DecLat,DecLong,2)</f>
        <v>116.72393659882358</v>
      </c>
      <c r="BK2487" s="378" t="s">
        <v>3278</v>
      </c>
      <c r="BL2487" s="379">
        <f>IF((2*G2487)/60&lt;0.2,0.2,(2*G2487)/60)</f>
        <v>0.23333333333333334</v>
      </c>
      <c r="BM2487" s="380">
        <f>MOD((50000+AD2487-$B$3+(0/24)),1)</f>
        <v>0.11935476218786789</v>
      </c>
      <c r="BN2487" s="381"/>
      <c r="BO2487" s="382">
        <v>2478</v>
      </c>
    </row>
    <row r="2488" spans="1:67" s="24" customFormat="1" ht="15" customHeight="1" x14ac:dyDescent="0.25">
      <c r="A2488" s="288" t="s">
        <v>3154</v>
      </c>
      <c r="B2488" s="241" t="str">
        <f>HYPERLINK(CONCATENATE($AT$3,BK2488,$AU$3),$AV$3)</f>
        <v>S</v>
      </c>
      <c r="C2488" s="242" t="str">
        <f>HYPERLINK(CONCATENATE($AT$4,BK2488,$AU$4,BL2488),$AV$4)</f>
        <v>A</v>
      </c>
      <c r="D2488" s="243" t="s">
        <v>5638</v>
      </c>
      <c r="E2488" s="244" t="s">
        <v>3259</v>
      </c>
      <c r="F2488" s="269"/>
      <c r="G2488" s="273">
        <v>1.7</v>
      </c>
      <c r="H2488" s="283">
        <v>120.15701999999997</v>
      </c>
      <c r="I2488" s="246">
        <v>60</v>
      </c>
      <c r="J2488" s="246">
        <v>2</v>
      </c>
      <c r="K2488" s="247" t="s">
        <v>7501</v>
      </c>
      <c r="L2488" s="248">
        <v>215521</v>
      </c>
      <c r="M2488" s="249">
        <f>15*(LEFT(TEXT($L2488,"000000"),2)+(MID(TEXT($L2488,"000000"),3,2)/60)+(RIGHT(TEXT($L2488,"000000"),2)/3600))</f>
        <v>328.83749999999998</v>
      </c>
      <c r="N2488" s="250">
        <v>-344848</v>
      </c>
      <c r="O2488" s="251">
        <f>IF($N2488&gt;0,(LEFT(TEXT($N2488,"000000"),2)+(MID(TEXT($N2488,"000000"),3,2)/60)+(RIGHT(TEXT($N2488,"000000"),2)/3600)),-(MID(TEXT($N2488,"000000"),2,2)+(MID(TEXT($N2488,"000000"),4,2)/60)+(RIGHT(TEXT($N2488,"000000"),2)/3600)))</f>
        <v>-34.813333333333333</v>
      </c>
      <c r="P2488" s="252" t="s">
        <v>232</v>
      </c>
      <c r="Q2488" s="253"/>
      <c r="R2488" s="277" t="s">
        <v>3293</v>
      </c>
      <c r="S2488" s="272" t="s">
        <v>3293</v>
      </c>
      <c r="T2488" s="273">
        <v>12.4</v>
      </c>
      <c r="U2488" s="289">
        <v>22.490000000000002</v>
      </c>
      <c r="V2488" s="280"/>
      <c r="W2488" s="244"/>
      <c r="X2488" s="244"/>
      <c r="Y2488" s="362"/>
      <c r="Z2488" s="257">
        <f>altaz(J2000_Bas,$O2488,$M2488,DecLat,DecLong,1)</f>
        <v>12.828437169140503</v>
      </c>
      <c r="AA2488" s="257">
        <f>altaz((J2000_Bas+(2*0.04167)),$O2488,$M2488,DecLat,DecLong,1)</f>
        <v>23.101242788745111</v>
      </c>
      <c r="AB2488" s="257">
        <f>altaz((J2000_Bas+(4*0.04167)),$O2488,$M2488,DecLat,DecLong,1)</f>
        <v>22.194298821298023</v>
      </c>
      <c r="AC2488" s="257">
        <f>altaz((J2000_Bas+(6*0.04167)),$O2488,$M2488,DecLat,DecLong,1)</f>
        <v>10.494615430687762</v>
      </c>
      <c r="AD2488" s="258">
        <f>1+ transit((J2000_Bas-1),$O2488,$M2488,DecLat,DecLong)/360 + (GMTOffset/24) + (IF(DST="Y", 1, 0)/24)</f>
        <v>1.9063373692859578</v>
      </c>
      <c r="AE2488" s="259">
        <f>DATE(2001,9,21)+(M2488/360)*365 - (360*((DecLong/360)- (GMTOffset/24) ))</f>
        <v>37493.404687499999</v>
      </c>
      <c r="AF2488" s="260">
        <f>IF(DecLat&gt;0,IF((90 - (DecLat-O2488))&gt;90, (90 - (O2488-DecLat)), (90 - (DecLat-O2488))),IF((90 + (DecLat-O2488))&gt;90, (90 + (O2488-DecLat)), (90 + (DecLat-O2488))))</f>
        <v>24.186666666666667</v>
      </c>
      <c r="AG2488" s="257">
        <f>angularseperation(MoonRA,MoonDec,$M2488,$O2488)</f>
        <v>66.924522084387419</v>
      </c>
      <c r="AH2488" s="261">
        <f ca="1">MIN(100,IF($O$5&gt;80,0+30*($AG2488/100),IF($O$5&gt;70,0+50*($AG2488/100),IF($O$5&gt;60,5+50*($AG2488/100),IF($O$5&gt;50,10+60*($AG2488/100),IF($O$5&gt;40,15+70*($AG2488/100),IF($O$5&gt;30,20+70*($AG2488/100),IF($O$5&gt;20,40+55*($AG2488/100),(80+(20-$O$5)+30*($AG2488/100))))))))))</f>
        <v>100</v>
      </c>
      <c r="AI2488" s="263">
        <v>7154</v>
      </c>
      <c r="AJ2488" s="263"/>
      <c r="AK2488" s="263"/>
      <c r="AL2488" s="263"/>
      <c r="AM2488" s="264"/>
      <c r="AN2488" s="263"/>
      <c r="AO2488" s="263"/>
      <c r="AP2488" s="265"/>
      <c r="AQ2488" s="265"/>
      <c r="AR2488" s="285">
        <v>67641</v>
      </c>
      <c r="AS2488" s="263"/>
      <c r="AT2488" s="263"/>
      <c r="AU2488" s="263"/>
      <c r="AV2488" s="264"/>
      <c r="AW2488" s="263"/>
      <c r="AX2488" s="263"/>
      <c r="AY2488" s="263"/>
      <c r="AZ2488" s="263"/>
      <c r="BA2488" s="263"/>
      <c r="BB2488" s="263"/>
      <c r="BC2488" s="263"/>
      <c r="BD2488" s="264"/>
      <c r="BE2488" s="263"/>
      <c r="BF2488" s="263"/>
      <c r="BG2488" s="263"/>
      <c r="BH2488" s="263"/>
      <c r="BI2488" s="263"/>
      <c r="BJ2488" s="404">
        <f>altaz(J2000_Bas,$O2488,$M2488,DecLat,DecLong,2)</f>
        <v>145.07604522654026</v>
      </c>
      <c r="BK2488" s="378" t="s">
        <v>3154</v>
      </c>
      <c r="BL2488" s="379">
        <f>IF((2*G2488)/60&lt;0.2,0.2,(2*G2488)/60)</f>
        <v>0.2</v>
      </c>
      <c r="BM2488" s="380">
        <f>MOD((50000+AD2488-$B$3+(0/24)),1)</f>
        <v>0.1217042989883339</v>
      </c>
      <c r="BN2488" s="381"/>
      <c r="BO2488" s="382">
        <v>2479</v>
      </c>
    </row>
    <row r="2489" spans="1:67" s="24" customFormat="1" ht="15" customHeight="1" x14ac:dyDescent="0.25">
      <c r="A2489" s="288" t="s">
        <v>3142</v>
      </c>
      <c r="B2489" s="241" t="str">
        <f>HYPERLINK(CONCATENATE($AT$3,BK2489,$AU$3),$AV$3)</f>
        <v>S</v>
      </c>
      <c r="C2489" s="242" t="str">
        <f>HYPERLINK(CONCATENATE($AT$4,BK2489,$AU$4,BL2489),$AV$4)</f>
        <v>A</v>
      </c>
      <c r="D2489" s="243" t="s">
        <v>5638</v>
      </c>
      <c r="E2489" s="244" t="s">
        <v>5192</v>
      </c>
      <c r="F2489" s="269" t="s">
        <v>8899</v>
      </c>
      <c r="G2489" s="273">
        <v>1.3</v>
      </c>
      <c r="H2489" s="283">
        <v>185</v>
      </c>
      <c r="I2489" s="246">
        <v>70</v>
      </c>
      <c r="J2489" s="246">
        <v>2</v>
      </c>
      <c r="K2489" s="247" t="s">
        <v>7502</v>
      </c>
      <c r="L2489" s="248">
        <v>215434</v>
      </c>
      <c r="M2489" s="249">
        <f>15*(LEFT(TEXT($L2489,"000000"),2)+(MID(TEXT($L2489,"000000"),3,2)/60)+(RIGHT(TEXT($L2489,"000000"),2)/3600))</f>
        <v>328.64166666666665</v>
      </c>
      <c r="N2489" s="250">
        <v>25630</v>
      </c>
      <c r="O2489" s="251">
        <f>IF($N2489&gt;0,(LEFT(TEXT($N2489,"000000"),2)+(MID(TEXT($N2489,"000000"),3,2)/60)+(RIGHT(TEXT($N2489,"000000"),2)/3600)),-(MID(TEXT($N2489,"000000"),2,2)+(MID(TEXT($N2489,"000000"),4,2)/60)+(RIGHT(TEXT($N2489,"000000"),2)/3600)))</f>
        <v>2.9416666666666669</v>
      </c>
      <c r="P2489" s="252" t="s">
        <v>39</v>
      </c>
      <c r="Q2489" s="253"/>
      <c r="R2489" s="277" t="s">
        <v>3293</v>
      </c>
      <c r="S2489" s="272" t="s">
        <v>3293</v>
      </c>
      <c r="T2489" s="273">
        <v>12.5</v>
      </c>
      <c r="U2489" s="289">
        <v>22.19</v>
      </c>
      <c r="V2489" s="280">
        <v>5</v>
      </c>
      <c r="W2489" s="244"/>
      <c r="X2489" s="244"/>
      <c r="Y2489" s="362"/>
      <c r="Z2489" s="257">
        <f>altaz(J2000_Bas,$O2489,$M2489,DecLat,DecLong,1)</f>
        <v>41.007919207529987</v>
      </c>
      <c r="AA2489" s="257">
        <f>altaz((J2000_Bas+(2*0.04167)),$O2489,$M2489,DecLat,DecLong,1)</f>
        <v>59.542007894885039</v>
      </c>
      <c r="AB2489" s="257">
        <f>altaz((J2000_Bas+(4*0.04167)),$O2489,$M2489,DecLat,DecLong,1)</f>
        <v>57.427832077321149</v>
      </c>
      <c r="AC2489" s="257">
        <f>altaz((J2000_Bas+(6*0.04167)),$O2489,$M2489,DecLat,DecLong,1)</f>
        <v>37.120885226643757</v>
      </c>
      <c r="AD2489" s="258">
        <f>1+ transit((J2000_Bas-1),$O2489,$M2489,DecLat,DecLong)/360 + (GMTOffset/24) + (IF(DST="Y", 1, 0)/24)</f>
        <v>1.9057933878588746</v>
      </c>
      <c r="AE2489" s="259">
        <f>DATE(2001,9,21)+(M2489/360)*365 - (360*((DecLong/360)- (GMTOffset/24) ))</f>
        <v>37493.206134259257</v>
      </c>
      <c r="AF2489" s="260">
        <f>IF(DecLat&gt;0,IF((90 - (DecLat-O2489))&gt;90, (90 - (O2489-DecLat)), (90 - (DecLat-O2489))),IF((90 + (DecLat-O2489))&gt;90, (90 + (O2489-DecLat)), (90 + (DecLat-O2489))))</f>
        <v>61.941666666666663</v>
      </c>
      <c r="AG2489" s="257">
        <f>angularseperation(MoonRA,MoonDec,$M2489,$O2489)</f>
        <v>81.940492629631734</v>
      </c>
      <c r="AH2489" s="261">
        <f ca="1">MIN(100,IF($O$5&gt;80,0+30*($AG2489/100),IF($O$5&gt;70,0+50*($AG2489/100),IF($O$5&gt;60,5+50*($AG2489/100),IF($O$5&gt;50,10+60*($AG2489/100),IF($O$5&gt;40,15+70*($AG2489/100),IF($O$5&gt;30,20+70*($AG2489/100),IF($O$5&gt;20,40+55*($AG2489/100),(80+(20-$O$5)+30*($AG2489/100))))))))))</f>
        <v>100</v>
      </c>
      <c r="AI2489" s="263">
        <v>7156</v>
      </c>
      <c r="AJ2489" s="263"/>
      <c r="AK2489" s="263"/>
      <c r="AL2489" s="263"/>
      <c r="AM2489" s="264"/>
      <c r="AN2489" s="263"/>
      <c r="AO2489" s="263"/>
      <c r="AP2489" s="265"/>
      <c r="AQ2489" s="265">
        <v>11843</v>
      </c>
      <c r="AR2489" s="285">
        <v>67622</v>
      </c>
      <c r="AS2489" s="263"/>
      <c r="AT2489" s="263"/>
      <c r="AU2489" s="263"/>
      <c r="AV2489" s="264"/>
      <c r="AW2489" s="263"/>
      <c r="AX2489" s="263"/>
      <c r="AY2489" s="263"/>
      <c r="AZ2489" s="263"/>
      <c r="BA2489" s="263"/>
      <c r="BB2489" s="263"/>
      <c r="BC2489" s="263"/>
      <c r="BD2489" s="264"/>
      <c r="BE2489" s="263"/>
      <c r="BF2489" s="263"/>
      <c r="BG2489" s="263"/>
      <c r="BH2489" s="263"/>
      <c r="BI2489" s="263"/>
      <c r="BJ2489" s="404">
        <f>altaz(J2000_Bas,$O2489,$M2489,DecLat,DecLong,2)</f>
        <v>116.30356605113649</v>
      </c>
      <c r="BK2489" s="378" t="s">
        <v>3142</v>
      </c>
      <c r="BL2489" s="379">
        <f>IF((2*G2489)/60&lt;0.2,0.2,(2*G2489)/60)</f>
        <v>0.2</v>
      </c>
      <c r="BM2489" s="380">
        <f>MOD((50000+AD2489-$B$3+(0/24)),1)</f>
        <v>0.12116031756158918</v>
      </c>
      <c r="BN2489" s="381"/>
      <c r="BO2489" s="382">
        <v>2480</v>
      </c>
    </row>
    <row r="2490" spans="1:67" s="24" customFormat="1" ht="15" customHeight="1" x14ac:dyDescent="0.25">
      <c r="A2490" s="288" t="s">
        <v>2344</v>
      </c>
      <c r="B2490" s="241" t="str">
        <f>HYPERLINK(CONCATENATE($AT$3,BK2490,$AU$3),$AV$3)</f>
        <v>S</v>
      </c>
      <c r="C2490" s="242" t="str">
        <f>HYPERLINK(CONCATENATE($AT$4,BK2490,$AU$4,BL2490),$AV$4)</f>
        <v>A</v>
      </c>
      <c r="D2490" s="243" t="s">
        <v>5335</v>
      </c>
      <c r="E2490" s="244" t="s">
        <v>5185</v>
      </c>
      <c r="F2490" s="269" t="s">
        <v>9080</v>
      </c>
      <c r="G2490" s="273">
        <v>7</v>
      </c>
      <c r="H2490" s="283">
        <v>2500</v>
      </c>
      <c r="I2490" s="279">
        <v>5</v>
      </c>
      <c r="J2490" s="246">
        <v>3</v>
      </c>
      <c r="K2490" s="247" t="s">
        <v>7503</v>
      </c>
      <c r="L2490" s="248">
        <v>215340</v>
      </c>
      <c r="M2490" s="249">
        <f>15*(LEFT(TEXT($L2490,"000000"),2)+(MID(TEXT($L2490,"000000"),3,2)/60)+(RIGHT(TEXT($L2490,"000000"),2)/3600))</f>
        <v>328.41666666666669</v>
      </c>
      <c r="N2490" s="250">
        <v>623612</v>
      </c>
      <c r="O2490" s="251">
        <f>IF($N2490&gt;0,(LEFT(TEXT($N2490,"000000"),2)+(MID(TEXT($N2490,"000000"),3,2)/60)+(RIGHT(TEXT($N2490,"000000"),2)/3600)),-(MID(TEXT($N2490,"000000"),2,2)+(MID(TEXT($N2490,"000000"),4,2)/60)+(RIGHT(TEXT($N2490,"000000"),2)/3600)))</f>
        <v>62.603333333333332</v>
      </c>
      <c r="P2490" s="252" t="s">
        <v>52</v>
      </c>
      <c r="Q2490" s="253" t="s">
        <v>7158</v>
      </c>
      <c r="R2490" s="247" t="s">
        <v>3293</v>
      </c>
      <c r="S2490" s="272" t="s">
        <v>3293</v>
      </c>
      <c r="T2490" s="273">
        <v>6.1</v>
      </c>
      <c r="U2490" s="274"/>
      <c r="V2490" s="280"/>
      <c r="W2490" s="244"/>
      <c r="X2490" s="244"/>
      <c r="Y2490" s="362"/>
      <c r="Z2490" s="257">
        <f>altaz(J2000_Bas,$O2490,$M2490,DecLat,DecLong,1)</f>
        <v>48.458172956867003</v>
      </c>
      <c r="AA2490" s="257">
        <f>altaz((J2000_Bas+(2*0.04167)),$O2490,$M2490,DecLat,DecLong,1)</f>
        <v>57.415632900838169</v>
      </c>
      <c r="AB2490" s="257">
        <f>altaz((J2000_Bas+(4*0.04167)),$O2490,$M2490,DecLat,DecLong,1)</f>
        <v>56.398796538160184</v>
      </c>
      <c r="AC2490" s="257">
        <f>altaz((J2000_Bas+(6*0.04167)),$O2490,$M2490,DecLat,DecLong,1)</f>
        <v>46.220946929678114</v>
      </c>
      <c r="AD2490" s="258">
        <f>1+ transit((J2000_Bas-1),$O2490,$M2490,DecLat,DecLong)/360 + (GMTOffset/24) + (IF(DST="Y", 1, 0)/24)</f>
        <v>1.9051683879213746</v>
      </c>
      <c r="AE2490" s="259">
        <f>DATE(2001,9,21)+(M2490/360)*365 - (360*((DecLong/360)- (GMTOffset/24) ))</f>
        <v>37492.978009259263</v>
      </c>
      <c r="AF2490" s="260">
        <f>IF(DecLat&gt;0,IF((90 - (DecLat-O2490))&gt;90, (90 - (O2490-DecLat)), (90 - (DecLat-O2490))),IF((90 + (DecLat-O2490))&gt;90, (90 + (O2490-DecLat)), (90 + (DecLat-O2490))))</f>
        <v>58.396666666666668</v>
      </c>
      <c r="AG2490" s="257">
        <f>angularseperation(MoonRA,MoonDec,$M2490,$O2490)</f>
        <v>109.10421132889007</v>
      </c>
      <c r="AH2490" s="261">
        <f ca="1">MIN(100,IF($O$5&gt;80,0+30*($AG2490/100),IF($O$5&gt;70,0+50*($AG2490/100),IF($O$5&gt;60,5+50*($AG2490/100),IF($O$5&gt;50,10+60*($AG2490/100),IF($O$5&gt;40,15+70*($AG2490/100),IF($O$5&gt;30,20+70*($AG2490/100),IF($O$5&gt;20,40+55*($AG2490/100),(80+(20-$O$5)+30*($AG2490/100))))))))))</f>
        <v>100</v>
      </c>
      <c r="AI2490" s="262">
        <v>7160</v>
      </c>
      <c r="AJ2490" s="262"/>
      <c r="AK2490" s="262">
        <v>383</v>
      </c>
      <c r="AL2490" s="263"/>
      <c r="AM2490" s="264"/>
      <c r="AN2490" s="263"/>
      <c r="AO2490" s="263"/>
      <c r="AP2490" s="265"/>
      <c r="AQ2490" s="266"/>
      <c r="AR2490" s="267"/>
      <c r="AS2490" s="263"/>
      <c r="AT2490" s="263"/>
      <c r="AU2490" s="263"/>
      <c r="AV2490" s="264"/>
      <c r="AW2490" s="263"/>
      <c r="AX2490" s="263"/>
      <c r="AY2490" s="263"/>
      <c r="AZ2490" s="263"/>
      <c r="BA2490" s="263"/>
      <c r="BB2490" s="263"/>
      <c r="BC2490" s="263"/>
      <c r="BD2490" s="264"/>
      <c r="BE2490" s="263"/>
      <c r="BF2490" s="263">
        <v>104</v>
      </c>
      <c r="BG2490" s="263"/>
      <c r="BH2490" s="263"/>
      <c r="BI2490" s="263"/>
      <c r="BJ2490" s="404">
        <f>altaz(J2000_Bas,$O2490,$M2490,DecLat,DecLong,2)</f>
        <v>27.904575695409118</v>
      </c>
      <c r="BK2490" s="378" t="s">
        <v>2344</v>
      </c>
      <c r="BL2490" s="379">
        <f>IF((2*G2490)/60&lt;0.2,0.2,(2*G2490)/60)</f>
        <v>0.23333333333333334</v>
      </c>
      <c r="BM2490" s="380">
        <f>MOD((50000+AD2490-$B$3+(0/24)),1)</f>
        <v>0.12053531762649072</v>
      </c>
      <c r="BN2490" s="381"/>
      <c r="BO2490" s="382">
        <v>2481</v>
      </c>
    </row>
    <row r="2491" spans="1:67" s="24" customFormat="1" ht="15" customHeight="1" x14ac:dyDescent="0.25">
      <c r="A2491" s="288" t="s">
        <v>2345</v>
      </c>
      <c r="B2491" s="241" t="str">
        <f>HYPERLINK(CONCATENATE($AT$3,BK2491,$AU$3),$AV$3)</f>
        <v>S</v>
      </c>
      <c r="C2491" s="242" t="str">
        <f>HYPERLINK(CONCATENATE($AT$4,BK2491,$AU$4,BL2491),$AV$4)</f>
        <v>A</v>
      </c>
      <c r="D2491" s="243" t="s">
        <v>5638</v>
      </c>
      <c r="E2491" s="244" t="s">
        <v>5192</v>
      </c>
      <c r="F2491" s="269" t="s">
        <v>8900</v>
      </c>
      <c r="G2491" s="273">
        <v>2</v>
      </c>
      <c r="H2491" s="283">
        <v>140</v>
      </c>
      <c r="I2491" s="246">
        <v>85</v>
      </c>
      <c r="J2491" s="246">
        <v>2</v>
      </c>
      <c r="K2491" s="247" t="s">
        <v>7504</v>
      </c>
      <c r="L2491" s="248">
        <v>220102</v>
      </c>
      <c r="M2491" s="249">
        <f>15*(LEFT(TEXT($L2491,"000000"),2)+(MID(TEXT($L2491,"000000"),3,2)/60)+(RIGHT(TEXT($L2491,"000000"),2)/3600))</f>
        <v>330.25833333333327</v>
      </c>
      <c r="N2491" s="250">
        <v>-131610</v>
      </c>
      <c r="O2491" s="251">
        <f>IF($N2491&gt;0,(LEFT(TEXT($N2491,"000000"),2)+(MID(TEXT($N2491,"000000"),3,2)/60)+(RIGHT(TEXT($N2491,"000000"),2)/3600)),-(MID(TEXT($N2491,"000000"),2,2)+(MID(TEXT($N2491,"000000"),4,2)/60)+(RIGHT(TEXT($N2491,"000000"),2)/3600)))</f>
        <v>-13.269444444444446</v>
      </c>
      <c r="P2491" s="252" t="s">
        <v>3119</v>
      </c>
      <c r="Q2491" s="253"/>
      <c r="R2491" s="247" t="s">
        <v>3293</v>
      </c>
      <c r="S2491" s="272" t="s">
        <v>3293</v>
      </c>
      <c r="T2491" s="273">
        <v>12.2</v>
      </c>
      <c r="U2491" s="289">
        <v>22.39</v>
      </c>
      <c r="V2491" s="280">
        <v>60</v>
      </c>
      <c r="W2491" s="244"/>
      <c r="X2491" s="244"/>
      <c r="Y2491" s="362"/>
      <c r="Z2491" s="257">
        <f>altaz(J2000_Bas,$O2491,$M2491,DecLat,DecLong,1)</f>
        <v>28.641187979159994</v>
      </c>
      <c r="AA2491" s="257">
        <f>altaz((J2000_Bas+(2*0.04167)),$O2491,$M2491,DecLat,DecLong,1)</f>
        <v>43.683707093213478</v>
      </c>
      <c r="AB2491" s="257">
        <f>altaz((J2000_Bas+(4*0.04167)),$O2491,$M2491,DecLat,DecLong,1)</f>
        <v>43.164330151459026</v>
      </c>
      <c r="AC2491" s="257">
        <f>altaz((J2000_Bas+(6*0.04167)),$O2491,$M2491,DecLat,DecLong,1)</f>
        <v>27.47398069448144</v>
      </c>
      <c r="AD2491" s="258">
        <f>1+ transit((J2000_Bas-1),$O2491,$M2491,DecLat,DecLong)/360 + (GMTOffset/24) + (IF(DST="Y", 1, 0)/24)</f>
        <v>1.9102841281505414</v>
      </c>
      <c r="AE2491" s="259">
        <f>DATE(2001,9,21)+(M2491/360)*365 - (360*((DecLong/360)- (GMTOffset/24) ))</f>
        <v>37494.845254629632</v>
      </c>
      <c r="AF2491" s="260">
        <f>IF(DecLat&gt;0,IF((90 - (DecLat-O2491))&gt;90, (90 - (O2491-DecLat)), (90 - (DecLat-O2491))),IF((90 + (DecLat-O2491))&gt;90, (90 + (O2491-DecLat)), (90 + (DecLat-O2491))))</f>
        <v>45.730555555555554</v>
      </c>
      <c r="AG2491" s="257">
        <f>angularseperation(MoonRA,MoonDec,$M2491,$O2491)</f>
        <v>76.124043065850884</v>
      </c>
      <c r="AH2491" s="261">
        <f ca="1">MIN(100,IF($O$5&gt;80,0+30*($AG2491/100),IF($O$5&gt;70,0+50*($AG2491/100),IF($O$5&gt;60,5+50*($AG2491/100),IF($O$5&gt;50,10+60*($AG2491/100),IF($O$5&gt;40,15+70*($AG2491/100),IF($O$5&gt;30,20+70*($AG2491/100),IF($O$5&gt;20,40+55*($AG2491/100),(80+(20-$O$5)+30*($AG2491/100))))))))))</f>
        <v>100</v>
      </c>
      <c r="AI2491" s="262">
        <v>7171</v>
      </c>
      <c r="AJ2491" s="262"/>
      <c r="AK2491" s="262"/>
      <c r="AL2491" s="263"/>
      <c r="AM2491" s="264"/>
      <c r="AN2491" s="263"/>
      <c r="AO2491" s="263"/>
      <c r="AP2491" s="265"/>
      <c r="AQ2491" s="266"/>
      <c r="AR2491" s="267">
        <v>67839</v>
      </c>
      <c r="AS2491" s="263"/>
      <c r="AT2491" s="263"/>
      <c r="AU2491" s="263"/>
      <c r="AV2491" s="264"/>
      <c r="AW2491" s="263"/>
      <c r="AX2491" s="263"/>
      <c r="AY2491" s="263"/>
      <c r="AZ2491" s="263"/>
      <c r="BA2491" s="263"/>
      <c r="BB2491" s="263"/>
      <c r="BC2491" s="263"/>
      <c r="BD2491" s="264"/>
      <c r="BE2491" s="263"/>
      <c r="BF2491" s="263"/>
      <c r="BG2491" s="263"/>
      <c r="BH2491" s="263"/>
      <c r="BI2491" s="263"/>
      <c r="BJ2491" s="404">
        <f>altaz(J2000_Bas,$O2491,$M2491,DecLat,DecLong,2)</f>
        <v>129.29197900271666</v>
      </c>
      <c r="BK2491" s="378" t="s">
        <v>2345</v>
      </c>
      <c r="BL2491" s="379">
        <f>IF((2*G2491)/60&lt;0.2,0.2,(2*G2491)/60)</f>
        <v>0.2</v>
      </c>
      <c r="BM2491" s="380">
        <f>MOD((50000+AD2491-$B$3+(0/24)),1)</f>
        <v>0.12565105785324704</v>
      </c>
      <c r="BN2491" s="381"/>
      <c r="BO2491" s="382">
        <v>2482</v>
      </c>
    </row>
    <row r="2492" spans="1:67" s="24" customFormat="1" ht="15" customHeight="1" x14ac:dyDescent="0.25">
      <c r="A2492" s="288" t="s">
        <v>2346</v>
      </c>
      <c r="B2492" s="241" t="str">
        <f>HYPERLINK(CONCATENATE($AT$3,BK2492,$AU$3),$AV$3)</f>
        <v>S</v>
      </c>
      <c r="C2492" s="242" t="str">
        <f>HYPERLINK(CONCATENATE($AT$4,BK2492,$AU$4,BL2492),$AV$4)</f>
        <v>A</v>
      </c>
      <c r="D2492" s="243" t="s">
        <v>5638</v>
      </c>
      <c r="E2492" s="244" t="s">
        <v>5192</v>
      </c>
      <c r="F2492" s="269" t="s">
        <v>8908</v>
      </c>
      <c r="G2492" s="273">
        <v>2</v>
      </c>
      <c r="H2492" s="283">
        <v>80</v>
      </c>
      <c r="I2492" s="246">
        <v>50</v>
      </c>
      <c r="J2492" s="246">
        <v>2</v>
      </c>
      <c r="K2492" s="247" t="s">
        <v>7505</v>
      </c>
      <c r="L2492" s="248">
        <v>220041</v>
      </c>
      <c r="M2492" s="249">
        <f>15*(LEFT(TEXT($L2492,"000000"),2)+(MID(TEXT($L2492,"000000"),3,2)/60)+(RIGHT(TEXT($L2492,"000000"),2)/3600))</f>
        <v>330.17083333333335</v>
      </c>
      <c r="N2492" s="250">
        <v>174416</v>
      </c>
      <c r="O2492" s="251">
        <f>IF($N2492&gt;0,(LEFT(TEXT($N2492,"000000"),2)+(MID(TEXT($N2492,"000000"),3,2)/60)+(RIGHT(TEXT($N2492,"000000"),2)/3600)),-(MID(TEXT($N2492,"000000"),2,2)+(MID(TEXT($N2492,"000000"),4,2)/60)+(RIGHT(TEXT($N2492,"000000"),2)/3600)))</f>
        <v>17.737777777777779</v>
      </c>
      <c r="P2492" s="252" t="s">
        <v>39</v>
      </c>
      <c r="Q2492" s="253"/>
      <c r="R2492" s="247" t="s">
        <v>3293</v>
      </c>
      <c r="S2492" s="272" t="s">
        <v>3293</v>
      </c>
      <c r="T2492" s="273">
        <v>11.2</v>
      </c>
      <c r="U2492" s="289">
        <v>21.89</v>
      </c>
      <c r="V2492" s="280">
        <v>50</v>
      </c>
      <c r="W2492" s="244"/>
      <c r="X2492" s="244"/>
      <c r="Y2492" s="362"/>
      <c r="Z2492" s="257">
        <f>altaz(J2000_Bas,$O2492,$M2492,DecLat,DecLong,1)</f>
        <v>47.947102427357777</v>
      </c>
      <c r="AA2492" s="257">
        <f>altaz((J2000_Bas+(2*0.04167)),$O2492,$M2492,DecLat,DecLong,1)</f>
        <v>71.584391455677292</v>
      </c>
      <c r="AB2492" s="257">
        <f>altaz((J2000_Bas+(4*0.04167)),$O2492,$M2492,DecLat,DecLong,1)</f>
        <v>70.339075452268432</v>
      </c>
      <c r="AC2492" s="257">
        <f>altaz((J2000_Bas+(6*0.04167)),$O2492,$M2492,DecLat,DecLong,1)</f>
        <v>46.316628296856344</v>
      </c>
      <c r="AD2492" s="258">
        <f>1+ transit((J2000_Bas-1),$O2492,$M2492,DecLat,DecLong)/360 + (GMTOffset/24) + (IF(DST="Y", 1, 0)/24)</f>
        <v>1.9100410726192913</v>
      </c>
      <c r="AE2492" s="259">
        <f>DATE(2001,9,21)+(M2492/360)*365 - (360*((DecLong/360)- (GMTOffset/24) ))</f>
        <v>37494.756539351853</v>
      </c>
      <c r="AF2492" s="260">
        <f>IF(DecLat&gt;0,IF((90 - (DecLat-O2492))&gt;90, (90 - (O2492-DecLat)), (90 - (DecLat-O2492))),IF((90 + (DecLat-O2492))&gt;90, (90 + (O2492-DecLat)), (90 + (DecLat-O2492))))</f>
        <v>76.737777777777779</v>
      </c>
      <c r="AG2492" s="257">
        <f>angularseperation(MoonRA,MoonDec,$M2492,$O2492)</f>
        <v>90.287286198125685</v>
      </c>
      <c r="AH2492" s="261">
        <f ca="1">MIN(100,IF($O$5&gt;80,0+30*($AG2492/100),IF($O$5&gt;70,0+50*($AG2492/100),IF($O$5&gt;60,5+50*($AG2492/100),IF($O$5&gt;50,10+60*($AG2492/100),IF($O$5&gt;40,15+70*($AG2492/100),IF($O$5&gt;30,20+70*($AG2492/100),IF($O$5&gt;20,40+55*($AG2492/100),(80+(20-$O$5)+30*($AG2492/100))))))))))</f>
        <v>100</v>
      </c>
      <c r="AI2492" s="262">
        <v>7177</v>
      </c>
      <c r="AJ2492" s="262"/>
      <c r="AK2492" s="262"/>
      <c r="AL2492" s="263"/>
      <c r="AM2492" s="264"/>
      <c r="AN2492" s="263"/>
      <c r="AO2492" s="263"/>
      <c r="AP2492" s="265"/>
      <c r="AQ2492" s="266">
        <v>11872</v>
      </c>
      <c r="AR2492" s="267">
        <v>67823</v>
      </c>
      <c r="AS2492" s="263"/>
      <c r="AT2492" s="263"/>
      <c r="AU2492" s="263"/>
      <c r="AV2492" s="264"/>
      <c r="AW2492" s="263"/>
      <c r="AX2492" s="263"/>
      <c r="AY2492" s="263"/>
      <c r="AZ2492" s="263"/>
      <c r="BA2492" s="263"/>
      <c r="BB2492" s="263"/>
      <c r="BC2492" s="263"/>
      <c r="BD2492" s="264"/>
      <c r="BE2492" s="263"/>
      <c r="BF2492" s="263"/>
      <c r="BG2492" s="263"/>
      <c r="BH2492" s="263"/>
      <c r="BI2492" s="263"/>
      <c r="BJ2492" s="404">
        <f>altaz(J2000_Bas,$O2492,$M2492,DecLat,DecLong,2)</f>
        <v>97.784693501972342</v>
      </c>
      <c r="BK2492" s="378" t="s">
        <v>2346</v>
      </c>
      <c r="BL2492" s="379">
        <f>IF((2*G2492)/60&lt;0.2,0.2,(2*G2492)/60)</f>
        <v>0.2</v>
      </c>
      <c r="BM2492" s="380">
        <f>MOD((50000+AD2492-$B$3+(0/24)),1)</f>
        <v>0.12540800232090987</v>
      </c>
      <c r="BN2492" s="381"/>
      <c r="BO2492" s="382">
        <v>2483</v>
      </c>
    </row>
    <row r="2493" spans="1:67" s="24" customFormat="1" ht="15" customHeight="1" x14ac:dyDescent="0.25">
      <c r="A2493" s="288" t="s">
        <v>2347</v>
      </c>
      <c r="B2493" s="241" t="str">
        <f>HYPERLINK(CONCATENATE($AT$3,BK2493,$AU$3),$AV$3)</f>
        <v>S</v>
      </c>
      <c r="C2493" s="242" t="str">
        <f>HYPERLINK(CONCATENATE($AT$4,BK2493,$AU$4,BL2493),$AV$4)</f>
        <v>A</v>
      </c>
      <c r="D2493" s="243" t="s">
        <v>5638</v>
      </c>
      <c r="E2493" s="244" t="s">
        <v>5182</v>
      </c>
      <c r="F2493" s="269" t="s">
        <v>8668</v>
      </c>
      <c r="G2493" s="273">
        <v>2.5</v>
      </c>
      <c r="H2493" s="283">
        <v>120</v>
      </c>
      <c r="I2493" s="246">
        <v>90</v>
      </c>
      <c r="J2493" s="246">
        <v>2</v>
      </c>
      <c r="K2493" s="247" t="s">
        <v>7506</v>
      </c>
      <c r="L2493" s="248">
        <v>220232</v>
      </c>
      <c r="M2493" s="249">
        <f>15*(LEFT(TEXT($L2493,"000000"),2)+(MID(TEXT($L2493,"000000"),3,2)/60)+(RIGHT(TEXT($L2493,"000000"),2)/3600))</f>
        <v>330.63333333333338</v>
      </c>
      <c r="N2493" s="250">
        <v>-185500</v>
      </c>
      <c r="O2493" s="251">
        <f>IF($N2493&gt;0,(LEFT(TEXT($N2493,"000000"),2)+(MID(TEXT($N2493,"000000"),3,2)/60)+(RIGHT(TEXT($N2493,"000000"),2)/3600)),-(MID(TEXT($N2493,"000000"),2,2)+(MID(TEXT($N2493,"000000"),4,2)/60)+(RIGHT(TEXT($N2493,"000000"),2)/3600)))</f>
        <v>-18.916666666666668</v>
      </c>
      <c r="P2493" s="252" t="s">
        <v>3119</v>
      </c>
      <c r="Q2493" s="253"/>
      <c r="R2493" s="247" t="s">
        <v>3293</v>
      </c>
      <c r="S2493" s="272" t="s">
        <v>3293</v>
      </c>
      <c r="T2493" s="273">
        <v>12</v>
      </c>
      <c r="U2493" s="289">
        <v>22.29</v>
      </c>
      <c r="V2493" s="280">
        <v>86</v>
      </c>
      <c r="W2493" s="244"/>
      <c r="X2493" s="244"/>
      <c r="Y2493" s="362"/>
      <c r="Z2493" s="257">
        <f>altaz(J2000_Bas,$O2493,$M2493,DecLat,DecLong,1)</f>
        <v>24.210217245920798</v>
      </c>
      <c r="AA2493" s="257">
        <f>altaz((J2000_Bas+(2*0.04167)),$O2493,$M2493,DecLat,DecLong,1)</f>
        <v>38.163603112854922</v>
      </c>
      <c r="AB2493" s="257">
        <f>altaz((J2000_Bas+(4*0.04167)),$O2493,$M2493,DecLat,DecLong,1)</f>
        <v>37.898510749578939</v>
      </c>
      <c r="AC2493" s="257">
        <f>altaz((J2000_Bas+(6*0.04167)),$O2493,$M2493,DecLat,DecLong,1)</f>
        <v>23.586584769521878</v>
      </c>
      <c r="AD2493" s="258">
        <f>1+ transit((J2000_Bas-1),$O2493,$M2493,DecLat,DecLong)/360 + (GMTOffset/24) + (IF(DST="Y", 1, 0)/24)</f>
        <v>1.9113257947130415</v>
      </c>
      <c r="AE2493" s="259">
        <f>DATE(2001,9,21)+(M2493/360)*365 - (360*((DecLong/360)- (GMTOffset/24) ))</f>
        <v>37495.225462962961</v>
      </c>
      <c r="AF2493" s="260">
        <f>IF(DecLat&gt;0,IF((90 - (DecLat-O2493))&gt;90, (90 - (O2493-DecLat)), (90 - (DecLat-O2493))),IF((90 + (DecLat-O2493))&gt;90, (90 + (O2493-DecLat)), (90 + (DecLat-O2493))))</f>
        <v>40.083333333333329</v>
      </c>
      <c r="AG2493" s="257">
        <f>angularseperation(MoonRA,MoonDec,$M2493,$O2493)</f>
        <v>74.116905088178626</v>
      </c>
      <c r="AH2493" s="261">
        <f ca="1">MIN(100,IF($O$5&gt;80,0+30*($AG2493/100),IF($O$5&gt;70,0+50*($AG2493/100),IF($O$5&gt;60,5+50*($AG2493/100),IF($O$5&gt;50,10+60*($AG2493/100),IF($O$5&gt;40,15+70*($AG2493/100),IF($O$5&gt;30,20+70*($AG2493/100),IF($O$5&gt;20,40+55*($AG2493/100),(80+(20-$O$5)+30*($AG2493/100))))))))))</f>
        <v>100</v>
      </c>
      <c r="AI2493" s="262">
        <v>7183</v>
      </c>
      <c r="AJ2493" s="262"/>
      <c r="AK2493" s="262"/>
      <c r="AL2493" s="263"/>
      <c r="AM2493" s="264"/>
      <c r="AN2493" s="263"/>
      <c r="AO2493" s="263"/>
      <c r="AP2493" s="265"/>
      <c r="AQ2493" s="266"/>
      <c r="AR2493" s="267">
        <v>67892</v>
      </c>
      <c r="AS2493" s="263"/>
      <c r="AT2493" s="263"/>
      <c r="AU2493" s="263"/>
      <c r="AV2493" s="264"/>
      <c r="AW2493" s="263"/>
      <c r="AX2493" s="263"/>
      <c r="AY2493" s="263"/>
      <c r="AZ2493" s="263"/>
      <c r="BA2493" s="263"/>
      <c r="BB2493" s="263"/>
      <c r="BC2493" s="263"/>
      <c r="BD2493" s="264"/>
      <c r="BE2493" s="263"/>
      <c r="BF2493" s="263"/>
      <c r="BG2493" s="263"/>
      <c r="BH2493" s="263"/>
      <c r="BI2493" s="263"/>
      <c r="BJ2493" s="404">
        <f>altaz(J2000_Bas,$O2493,$M2493,DecLat,DecLong,2)</f>
        <v>133.22405923402712</v>
      </c>
      <c r="BK2493" s="378" t="s">
        <v>2347</v>
      </c>
      <c r="BL2493" s="379">
        <f>IF((2*G2493)/60&lt;0.2,0.2,(2*G2493)/60)</f>
        <v>0.2</v>
      </c>
      <c r="BM2493" s="380">
        <f>MOD((50000+AD2493-$B$3+(0/24)),1)</f>
        <v>0.12669272441416979</v>
      </c>
      <c r="BN2493" s="381"/>
      <c r="BO2493" s="382">
        <v>2484</v>
      </c>
    </row>
    <row r="2494" spans="1:67" s="24" customFormat="1" ht="15" customHeight="1" x14ac:dyDescent="0.25">
      <c r="A2494" s="288" t="s">
        <v>2348</v>
      </c>
      <c r="B2494" s="241" t="str">
        <f>HYPERLINK(CONCATENATE($AT$3,BK2494,$AU$3),$AV$3)</f>
        <v>S</v>
      </c>
      <c r="C2494" s="242" t="str">
        <f>HYPERLINK(CONCATENATE($AT$4,BK2494,$AU$4,BL2494),$AV$4)</f>
        <v>A</v>
      </c>
      <c r="D2494" s="243" t="s">
        <v>5638</v>
      </c>
      <c r="E2494" s="244" t="s">
        <v>5192</v>
      </c>
      <c r="F2494" s="269" t="s">
        <v>8999</v>
      </c>
      <c r="G2494" s="273">
        <v>6</v>
      </c>
      <c r="H2494" s="283">
        <v>100</v>
      </c>
      <c r="I2494" s="246">
        <v>175</v>
      </c>
      <c r="J2494" s="246">
        <v>3</v>
      </c>
      <c r="K2494" s="247" t="s">
        <v>7507</v>
      </c>
      <c r="L2494" s="248">
        <v>220240</v>
      </c>
      <c r="M2494" s="249">
        <f>15*(LEFT(TEXT($L2494,"000000"),2)+(MID(TEXT($L2494,"000000"),3,2)/60)+(RIGHT(TEXT($L2494,"000000"),2)/3600))</f>
        <v>330.66666666666674</v>
      </c>
      <c r="N2494" s="250">
        <v>-204846</v>
      </c>
      <c r="O2494" s="251">
        <f>IF($N2494&gt;0,(LEFT(TEXT($N2494,"000000"),2)+(MID(TEXT($N2494,"000000"),3,2)/60)+(RIGHT(TEXT($N2494,"000000"),2)/3600)),-(MID(TEXT($N2494,"000000"),2,2)+(MID(TEXT($N2494,"000000"),4,2)/60)+(RIGHT(TEXT($N2494,"000000"),2)/3600)))</f>
        <v>-20.812777777777779</v>
      </c>
      <c r="P2494" s="252" t="s">
        <v>3119</v>
      </c>
      <c r="Q2494" s="253"/>
      <c r="R2494" s="247" t="s">
        <v>3293</v>
      </c>
      <c r="S2494" s="272" t="s">
        <v>3293</v>
      </c>
      <c r="T2494" s="273">
        <v>10.9</v>
      </c>
      <c r="U2494" s="289">
        <v>21.990000000000002</v>
      </c>
      <c r="V2494" s="280">
        <v>80</v>
      </c>
      <c r="W2494" s="244"/>
      <c r="X2494" s="244"/>
      <c r="Y2494" s="362"/>
      <c r="Z2494" s="257">
        <f>altaz(J2000_Bas,$O2494,$M2494,DecLat,DecLong,1)</f>
        <v>22.759844468013771</v>
      </c>
      <c r="AA2494" s="257">
        <f>altaz((J2000_Bas+(2*0.04167)),$O2494,$M2494,DecLat,DecLong,1)</f>
        <v>36.329840360362404</v>
      </c>
      <c r="AB2494" s="257">
        <f>altaz((J2000_Bas+(4*0.04167)),$O2494,$M2494,DecLat,DecLong,1)</f>
        <v>36.091305051906808</v>
      </c>
      <c r="AC2494" s="257">
        <f>altaz((J2000_Bas+(6*0.04167)),$O2494,$M2494,DecLat,DecLong,1)</f>
        <v>22.191110445554166</v>
      </c>
      <c r="AD2494" s="258">
        <f>1+ transit((J2000_Bas-1),$O2494,$M2494,DecLat,DecLong)/360 + (GMTOffset/24) + (IF(DST="Y", 1, 0)/24)</f>
        <v>1.9114183872963746</v>
      </c>
      <c r="AE2494" s="259">
        <f>DATE(2001,9,21)+(M2494/360)*365 - (360*((DecLong/360)- (GMTOffset/24) ))</f>
        <v>37495.259259259263</v>
      </c>
      <c r="AF2494" s="260">
        <f>IF(DecLat&gt;0,IF((90 - (DecLat-O2494))&gt;90, (90 - (O2494-DecLat)), (90 - (DecLat-O2494))),IF((90 + (DecLat-O2494))&gt;90, (90 + (O2494-DecLat)), (90 + (DecLat-O2494))))</f>
        <v>38.187222222222218</v>
      </c>
      <c r="AG2494" s="257">
        <f>angularseperation(MoonRA,MoonDec,$M2494,$O2494)</f>
        <v>73.389242519816733</v>
      </c>
      <c r="AH2494" s="261">
        <f ca="1">MIN(100,IF($O$5&gt;80,0+30*($AG2494/100),IF($O$5&gt;70,0+50*($AG2494/100),IF($O$5&gt;60,5+50*($AG2494/100),IF($O$5&gt;50,10+60*($AG2494/100),IF($O$5&gt;40,15+70*($AG2494/100),IF($O$5&gt;30,20+70*($AG2494/100),IF($O$5&gt;20,40+55*($AG2494/100),(80+(20-$O$5)+30*($AG2494/100))))))))))</f>
        <v>100</v>
      </c>
      <c r="AI2494" s="262">
        <v>7184</v>
      </c>
      <c r="AJ2494" s="262"/>
      <c r="AK2494" s="262"/>
      <c r="AL2494" s="263"/>
      <c r="AM2494" s="264"/>
      <c r="AN2494" s="263"/>
      <c r="AO2494" s="263"/>
      <c r="AP2494" s="265"/>
      <c r="AQ2494" s="266"/>
      <c r="AR2494" s="267">
        <v>67904</v>
      </c>
      <c r="AS2494" s="263"/>
      <c r="AT2494" s="263"/>
      <c r="AU2494" s="263"/>
      <c r="AV2494" s="264"/>
      <c r="AW2494" s="263"/>
      <c r="AX2494" s="263"/>
      <c r="AY2494" s="263"/>
      <c r="AZ2494" s="263"/>
      <c r="BA2494" s="263"/>
      <c r="BB2494" s="263"/>
      <c r="BC2494" s="263"/>
      <c r="BD2494" s="264"/>
      <c r="BE2494" s="263"/>
      <c r="BF2494" s="263"/>
      <c r="BG2494" s="263"/>
      <c r="BH2494" s="263">
        <v>48</v>
      </c>
      <c r="BI2494" s="263"/>
      <c r="BJ2494" s="404">
        <f>altaz(J2000_Bas,$O2494,$M2494,DecLat,DecLong,2)</f>
        <v>134.55619958475108</v>
      </c>
      <c r="BK2494" s="378" t="s">
        <v>2348</v>
      </c>
      <c r="BL2494" s="379">
        <f>IF((2*G2494)/60&lt;0.2,0.2,(2*G2494)/60)</f>
        <v>0.2</v>
      </c>
      <c r="BM2494" s="380">
        <f>MOD((50000+AD2494-$B$3+(0/24)),1)</f>
        <v>0.12678531699930318</v>
      </c>
      <c r="BN2494" s="381"/>
      <c r="BO2494" s="382">
        <v>2485</v>
      </c>
    </row>
    <row r="2495" spans="1:67" s="24" customFormat="1" ht="15" customHeight="1" x14ac:dyDescent="0.25">
      <c r="A2495" s="288" t="s">
        <v>2349</v>
      </c>
      <c r="B2495" s="241" t="str">
        <f>HYPERLINK(CONCATENATE($AT$3,BK2495,$AU$3),$AV$3)</f>
        <v>S</v>
      </c>
      <c r="C2495" s="242" t="str">
        <f>HYPERLINK(CONCATENATE($AT$4,BK2495,$AU$4,BL2495),$AV$4)</f>
        <v>A</v>
      </c>
      <c r="D2495" s="243" t="s">
        <v>5638</v>
      </c>
      <c r="E2495" s="244" t="s">
        <v>5182</v>
      </c>
      <c r="F2495" s="269" t="s">
        <v>5639</v>
      </c>
      <c r="G2495" s="273">
        <v>2.2999999999999998</v>
      </c>
      <c r="H2495" s="283">
        <v>125</v>
      </c>
      <c r="I2495" s="246">
        <v>90</v>
      </c>
      <c r="J2495" s="246">
        <v>2</v>
      </c>
      <c r="K2495" s="247" t="s">
        <v>7508</v>
      </c>
      <c r="L2495" s="248">
        <v>220244</v>
      </c>
      <c r="M2495" s="249">
        <f>15*(LEFT(TEXT($L2495,"000000"),2)+(MID(TEXT($L2495,"000000"),3,2)/60)+(RIGHT(TEXT($L2495,"000000"),2)/3600))</f>
        <v>330.68333333333334</v>
      </c>
      <c r="N2495" s="250">
        <v>-324812</v>
      </c>
      <c r="O2495" s="251">
        <f>IF($N2495&gt;0,(LEFT(TEXT($N2495,"000000"),2)+(MID(TEXT($N2495,"000000"),3,2)/60)+(RIGHT(TEXT($N2495,"000000"),2)/3600)),-(MID(TEXT($N2495,"000000"),2,2)+(MID(TEXT($N2495,"000000"),4,2)/60)+(RIGHT(TEXT($N2495,"000000"),2)/3600)))</f>
        <v>-32.803333333333327</v>
      </c>
      <c r="P2495" s="252" t="s">
        <v>232</v>
      </c>
      <c r="Q2495" s="253"/>
      <c r="R2495" s="247" t="s">
        <v>3293</v>
      </c>
      <c r="S2495" s="272" t="s">
        <v>7512</v>
      </c>
      <c r="T2495" s="273">
        <v>12.5</v>
      </c>
      <c r="U2495" s="289">
        <v>21.89</v>
      </c>
      <c r="V2495" s="280"/>
      <c r="W2495" s="244"/>
      <c r="X2495" s="244"/>
      <c r="Y2495" s="362"/>
      <c r="Z2495" s="257">
        <f>altaz(J2000_Bas,$O2495,$M2495,DecLat,DecLong,1)</f>
        <v>13.489155294360595</v>
      </c>
      <c r="AA2495" s="257">
        <f>altaz((J2000_Bas+(2*0.04167)),$O2495,$M2495,DecLat,DecLong,1)</f>
        <v>24.721057505320037</v>
      </c>
      <c r="AB2495" s="257">
        <f>altaz((J2000_Bas+(4*0.04167)),$O2495,$M2495,DecLat,DecLong,1)</f>
        <v>24.53752882419143</v>
      </c>
      <c r="AC2495" s="257">
        <f>altaz((J2000_Bas+(6*0.04167)),$O2495,$M2495,DecLat,DecLong,1)</f>
        <v>13.021139118887909</v>
      </c>
      <c r="AD2495" s="258">
        <f>1+ transit((J2000_Bas-1),$O2495,$M2495,DecLat,DecLong)/360 + (GMTOffset/24) + (IF(DST="Y", 1, 0)/24)</f>
        <v>1.9114646835880416</v>
      </c>
      <c r="AE2495" s="259">
        <f>DATE(2001,9,21)+(M2495/360)*365 - (360*((DecLong/360)- (GMTOffset/24) ))</f>
        <v>37495.27615740741</v>
      </c>
      <c r="AF2495" s="260">
        <f>IF(DecLat&gt;0,IF((90 - (DecLat-O2495))&gt;90, (90 - (O2495-DecLat)), (90 - (DecLat-O2495))),IF((90 + (DecLat-O2495))&gt;90, (90 + (O2495-DecLat)), (90 + (DecLat-O2495))))</f>
        <v>26.196666666666673</v>
      </c>
      <c r="AG2495" s="257">
        <f>angularseperation(MoonRA,MoonDec,$M2495,$O2495)</f>
        <v>69.020597956558873</v>
      </c>
      <c r="AH2495" s="261">
        <f ca="1">MIN(100,IF($O$5&gt;80,0+30*($AG2495/100),IF($O$5&gt;70,0+50*($AG2495/100),IF($O$5&gt;60,5+50*($AG2495/100),IF($O$5&gt;50,10+60*($AG2495/100),IF($O$5&gt;40,15+70*($AG2495/100),IF($O$5&gt;30,20+70*($AG2495/100),IF($O$5&gt;20,40+55*($AG2495/100),(80+(20-$O$5)+30*($AG2495/100))))))))))</f>
        <v>100</v>
      </c>
      <c r="AI2495" s="262">
        <v>7187</v>
      </c>
      <c r="AJ2495" s="262"/>
      <c r="AK2495" s="262"/>
      <c r="AL2495" s="263"/>
      <c r="AM2495" s="264"/>
      <c r="AN2495" s="263"/>
      <c r="AO2495" s="263"/>
      <c r="AP2495" s="265"/>
      <c r="AQ2495" s="266"/>
      <c r="AR2495" s="267">
        <v>67909</v>
      </c>
      <c r="AS2495" s="263"/>
      <c r="AT2495" s="263"/>
      <c r="AU2495" s="263"/>
      <c r="AV2495" s="264"/>
      <c r="AW2495" s="263"/>
      <c r="AX2495" s="263"/>
      <c r="AY2495" s="263"/>
      <c r="AZ2495" s="263"/>
      <c r="BA2495" s="263"/>
      <c r="BB2495" s="263"/>
      <c r="BC2495" s="263"/>
      <c r="BD2495" s="264"/>
      <c r="BE2495" s="263"/>
      <c r="BF2495" s="263"/>
      <c r="BG2495" s="263"/>
      <c r="BH2495" s="263"/>
      <c r="BI2495" s="263"/>
      <c r="BJ2495" s="404">
        <f>altaz(J2000_Bas,$O2495,$M2495,DecLat,DecLong,2)</f>
        <v>142.56988966338523</v>
      </c>
      <c r="BK2495" s="378" t="s">
        <v>2349</v>
      </c>
      <c r="BL2495" s="379">
        <f>IF((2*G2495)/60&lt;0.2,0.2,(2*G2495)/60)</f>
        <v>0.2</v>
      </c>
      <c r="BM2495" s="380">
        <f>MOD((50000+AD2495-$B$3+(0/24)),1)</f>
        <v>0.12683161329186987</v>
      </c>
      <c r="BN2495" s="381"/>
      <c r="BO2495" s="382">
        <v>2486</v>
      </c>
    </row>
    <row r="2496" spans="1:67" s="24" customFormat="1" ht="15" customHeight="1" x14ac:dyDescent="0.25">
      <c r="A2496" s="288" t="s">
        <v>2350</v>
      </c>
      <c r="B2496" s="241" t="str">
        <f>HYPERLINK(CONCATENATE($AT$3,BK2496,$AU$3),$AV$3)</f>
        <v>S</v>
      </c>
      <c r="C2496" s="242" t="str">
        <f>HYPERLINK(CONCATENATE($AT$4,BK2496,$AU$4,BL2496),$AV$4)</f>
        <v>A</v>
      </c>
      <c r="D2496" s="243" t="s">
        <v>5638</v>
      </c>
      <c r="E2496" s="244" t="s">
        <v>5337</v>
      </c>
      <c r="F2496" s="269" t="s">
        <v>3310</v>
      </c>
      <c r="G2496" s="273">
        <v>1.5</v>
      </c>
      <c r="H2496" s="283">
        <v>120</v>
      </c>
      <c r="I2496" s="246">
        <v>55</v>
      </c>
      <c r="J2496" s="246">
        <v>2</v>
      </c>
      <c r="K2496" s="247" t="s">
        <v>7509</v>
      </c>
      <c r="L2496" s="248">
        <v>220654</v>
      </c>
      <c r="M2496" s="249">
        <f>15*(LEFT(TEXT($L2496,"000000"),2)+(MID(TEXT($L2496,"000000"),3,2)/60)+(RIGHT(TEXT($L2496,"000000"),2)/3600))</f>
        <v>331.72500000000002</v>
      </c>
      <c r="N2496" s="250">
        <v>-310300</v>
      </c>
      <c r="O2496" s="251">
        <f>IF($N2496&gt;0,(LEFT(TEXT($N2496,"000000"),2)+(MID(TEXT($N2496,"000000"),3,2)/60)+(RIGHT(TEXT($N2496,"000000"),2)/3600)),-(MID(TEXT($N2496,"000000"),2,2)+(MID(TEXT($N2496,"000000"),4,2)/60)+(RIGHT(TEXT($N2496,"000000"),2)/3600)))</f>
        <v>-31.05</v>
      </c>
      <c r="P2496" s="252" t="s">
        <v>232</v>
      </c>
      <c r="Q2496" s="253"/>
      <c r="R2496" s="247" t="s">
        <v>3293</v>
      </c>
      <c r="S2496" s="272" t="s">
        <v>3293</v>
      </c>
      <c r="T2496" s="273">
        <v>13.6</v>
      </c>
      <c r="U2496" s="289">
        <v>22.69</v>
      </c>
      <c r="V2496" s="280"/>
      <c r="W2496" s="244"/>
      <c r="X2496" s="244"/>
      <c r="Y2496" s="362"/>
      <c r="Z2496" s="257">
        <f>altaz(J2000_Bas,$O2496,$M2496,DecLat,DecLong,1)</f>
        <v>14.30164262401493</v>
      </c>
      <c r="AA2496" s="257">
        <f>altaz((J2000_Bas+(2*0.04167)),$O2496,$M2496,DecLat,DecLong,1)</f>
        <v>26.20082350770992</v>
      </c>
      <c r="AB2496" s="257">
        <f>altaz((J2000_Bas+(4*0.04167)),$O2496,$M2496,DecLat,DecLong,1)</f>
        <v>26.454102281790533</v>
      </c>
      <c r="AC2496" s="257">
        <f>altaz((J2000_Bas+(6*0.04167)),$O2496,$M2496,DecLat,DecLong,1)</f>
        <v>14.942252809514178</v>
      </c>
      <c r="AD2496" s="258">
        <f>1+ transit((J2000_Bas-1),$O2496,$M2496,DecLat,DecLong)/360 + (GMTOffset/24) + (IF(DST="Y", 1, 0)/24)</f>
        <v>1.9143582018172081</v>
      </c>
      <c r="AE2496" s="259">
        <f>DATE(2001,9,21)+(M2496/360)*365 - (360*((DecLong/360)- (GMTOffset/24) ))</f>
        <v>37496.332291666666</v>
      </c>
      <c r="AF2496" s="260">
        <f>IF(DecLat&gt;0,IF((90 - (DecLat-O2496))&gt;90, (90 - (O2496-DecLat)), (90 - (DecLat-O2496))),IF((90 + (DecLat-O2496))&gt;90, (90 + (O2496-DecLat)), (90 + (DecLat-O2496))))</f>
        <v>27.950000000000003</v>
      </c>
      <c r="AG2496" s="257">
        <f>angularseperation(MoonRA,MoonDec,$M2496,$O2496)</f>
        <v>70.450523180206943</v>
      </c>
      <c r="AH2496" s="261">
        <f ca="1">MIN(100,IF($O$5&gt;80,0+30*($AG2496/100),IF($O$5&gt;70,0+50*($AG2496/100),IF($O$5&gt;60,5+50*($AG2496/100),IF($O$5&gt;50,10+60*($AG2496/100),IF($O$5&gt;40,15+70*($AG2496/100),IF($O$5&gt;30,20+70*($AG2496/100),IF($O$5&gt;20,40+55*($AG2496/100),(80+(20-$O$5)+30*($AG2496/100))))))))))</f>
        <v>100</v>
      </c>
      <c r="AI2496" s="262">
        <v>7204</v>
      </c>
      <c r="AJ2496" s="262"/>
      <c r="AK2496" s="262"/>
      <c r="AL2496" s="263"/>
      <c r="AM2496" s="264"/>
      <c r="AN2496" s="263"/>
      <c r="AO2496" s="263"/>
      <c r="AP2496" s="265"/>
      <c r="AQ2496" s="266"/>
      <c r="AR2496" s="267">
        <v>68061</v>
      </c>
      <c r="AS2496" s="263"/>
      <c r="AT2496" s="263"/>
      <c r="AU2496" s="263"/>
      <c r="AV2496" s="264"/>
      <c r="AW2496" s="263"/>
      <c r="AX2496" s="263"/>
      <c r="AY2496" s="263"/>
      <c r="AZ2496" s="263"/>
      <c r="BA2496" s="263"/>
      <c r="BB2496" s="263"/>
      <c r="BC2496" s="263"/>
      <c r="BD2496" s="264"/>
      <c r="BE2496" s="263"/>
      <c r="BF2496" s="263"/>
      <c r="BG2496" s="263"/>
      <c r="BH2496" s="263"/>
      <c r="BI2496" s="263"/>
      <c r="BJ2496" s="404">
        <f>altaz(J2000_Bas,$O2496,$M2496,DecLat,DecLong,2)</f>
        <v>140.72837588425494</v>
      </c>
      <c r="BK2496" s="378" t="s">
        <v>2350</v>
      </c>
      <c r="BL2496" s="379">
        <f>IF((2*G2496)/60&lt;0.2,0.2,(2*G2496)/60)</f>
        <v>0.2</v>
      </c>
      <c r="BM2496" s="380">
        <f>MOD((50000+AD2496-$B$3+(0/24)),1)</f>
        <v>0.12972513151908061</v>
      </c>
      <c r="BN2496" s="381"/>
      <c r="BO2496" s="382">
        <v>2487</v>
      </c>
    </row>
    <row r="2497" spans="1:67" s="24" customFormat="1" ht="15" customHeight="1" x14ac:dyDescent="0.25">
      <c r="A2497" s="288" t="s">
        <v>2351</v>
      </c>
      <c r="B2497" s="241" t="str">
        <f>HYPERLINK(CONCATENATE($AT$3,BK2497,$AU$3),$AV$3)</f>
        <v>S</v>
      </c>
      <c r="C2497" s="242" t="str">
        <f>HYPERLINK(CONCATENATE($AT$4,BK2497,$AU$4,BL2497),$AV$4)</f>
        <v>A</v>
      </c>
      <c r="D2497" s="243" t="s">
        <v>5335</v>
      </c>
      <c r="E2497" s="244" t="s">
        <v>5185</v>
      </c>
      <c r="F2497" s="269" t="s">
        <v>7221</v>
      </c>
      <c r="G2497" s="276">
        <v>40</v>
      </c>
      <c r="H2497" s="283">
        <v>3300</v>
      </c>
      <c r="I2497" s="246">
        <v>40</v>
      </c>
      <c r="J2497" s="246">
        <v>2</v>
      </c>
      <c r="K2497" s="247" t="s">
        <v>8596</v>
      </c>
      <c r="L2497" s="248">
        <v>220507</v>
      </c>
      <c r="M2497" s="249">
        <f>15*(LEFT(TEXT($L2497,"000000"),2)+(MID(TEXT($L2497,"000000"),3,2)/60)+(RIGHT(TEXT($L2497,"000000"),2)/3600))</f>
        <v>331.27916666666664</v>
      </c>
      <c r="N2497" s="250">
        <v>462900</v>
      </c>
      <c r="O2497" s="251">
        <f>IF($N2497&gt;0,(LEFT(TEXT($N2497,"000000"),2)+(MID(TEXT($N2497,"000000"),3,2)/60)+(RIGHT(TEXT($N2497,"000000"),2)/3600)),-(MID(TEXT($N2497,"000000"),2,2)+(MID(TEXT($N2497,"000000"),4,2)/60)+(RIGHT(TEXT($N2497,"000000"),2)/3600)))</f>
        <v>46.483333333333334</v>
      </c>
      <c r="P2497" s="252" t="s">
        <v>58</v>
      </c>
      <c r="Q2497" s="253"/>
      <c r="R2497" s="247" t="s">
        <v>3293</v>
      </c>
      <c r="S2497" s="272" t="s">
        <v>3293</v>
      </c>
      <c r="T2497" s="273">
        <v>7.7</v>
      </c>
      <c r="U2497" s="274"/>
      <c r="V2497" s="280"/>
      <c r="W2497" s="244"/>
      <c r="X2497" s="244"/>
      <c r="Y2497" s="362"/>
      <c r="Z2497" s="257">
        <f>altaz(J2000_Bas,$O2497,$M2497,DecLat,DecLong,1)</f>
        <v>52.075257368337574</v>
      </c>
      <c r="AA2497" s="257">
        <f>altaz((J2000_Bas+(2*0.04167)),$O2497,$M2497,DecLat,DecLong,1)</f>
        <v>70.575741802075456</v>
      </c>
      <c r="AB2497" s="257">
        <f>altaz((J2000_Bas+(4*0.04167)),$O2497,$M2497,DecLat,DecLong,1)</f>
        <v>70.714143601208747</v>
      </c>
      <c r="AC2497" s="257">
        <f>altaz((J2000_Bas+(6*0.04167)),$O2497,$M2497,DecLat,DecLong,1)</f>
        <v>52.279506585387921</v>
      </c>
      <c r="AD2497" s="258">
        <f>1+ transit((J2000_Bas-1),$O2497,$M2497,DecLat,DecLong)/360 + (GMTOffset/24) + (IF(DST="Y", 1, 0)/24)</f>
        <v>1.9131197760151248</v>
      </c>
      <c r="AE2497" s="259">
        <f>DATE(2001,9,21)+(M2497/360)*365 - (360*((DecLong/360)- (GMTOffset/24) ))</f>
        <v>37495.880266203705</v>
      </c>
      <c r="AF2497" s="260">
        <f>IF(DecLat&gt;0,IF((90 - (DecLat-O2497))&gt;90, (90 - (O2497-DecLat)), (90 - (DecLat-O2497))),IF((90 + (DecLat-O2497))&gt;90, (90 + (O2497-DecLat)), (90 + (DecLat-O2497))))</f>
        <v>74.516666666666666</v>
      </c>
      <c r="AG2497" s="257">
        <f>angularseperation(MoonRA,MoonDec,$M2497,$O2497)</f>
        <v>104.19624524638931</v>
      </c>
      <c r="AH2497" s="261">
        <f ca="1">MIN(100,IF($O$5&gt;80,0+30*($AG2497/100),IF($O$5&gt;70,0+50*($AG2497/100),IF($O$5&gt;60,5+50*($AG2497/100),IF($O$5&gt;50,10+60*($AG2497/100),IF($O$5&gt;40,15+70*($AG2497/100),IF($O$5&gt;30,20+70*($AG2497/100),IF($O$5&gt;20,40+55*($AG2497/100),(80+(20-$O$5)+30*($AG2497/100))))))))))</f>
        <v>100</v>
      </c>
      <c r="AI2497" s="262">
        <v>7209</v>
      </c>
      <c r="AJ2497" s="262"/>
      <c r="AK2497" s="262">
        <v>384</v>
      </c>
      <c r="AL2497" s="263"/>
      <c r="AM2497" s="264"/>
      <c r="AN2497" s="263"/>
      <c r="AO2497" s="263"/>
      <c r="AP2497" s="265"/>
      <c r="AQ2497" s="266"/>
      <c r="AR2497" s="267"/>
      <c r="AS2497" s="263"/>
      <c r="AT2497" s="263"/>
      <c r="AU2497" s="263"/>
      <c r="AV2497" s="264"/>
      <c r="AW2497" s="263"/>
      <c r="AX2497" s="263"/>
      <c r="AY2497" s="263"/>
      <c r="AZ2497" s="263"/>
      <c r="BA2497" s="263"/>
      <c r="BB2497" s="263"/>
      <c r="BC2497" s="263"/>
      <c r="BD2497" s="264"/>
      <c r="BE2497" s="263"/>
      <c r="BF2497" s="263">
        <v>105</v>
      </c>
      <c r="BG2497" s="263"/>
      <c r="BH2497" s="263"/>
      <c r="BI2497" s="263"/>
      <c r="BJ2497" s="404">
        <f>altaz(J2000_Bas,$O2497,$M2497,DecLat,DecLong,2)</f>
        <v>52.748494780508352</v>
      </c>
      <c r="BK2497" s="378" t="s">
        <v>2351</v>
      </c>
      <c r="BL2497" s="379">
        <f>IF((2*G2497)/60&lt;0.2,0.2,(2*G2497)/60)</f>
        <v>1.3333333333333333</v>
      </c>
      <c r="BM2497" s="380">
        <f>MOD((50000+AD2497-$B$3+(0/24)),1)</f>
        <v>0.12848670571838738</v>
      </c>
      <c r="BN2497" s="381"/>
      <c r="BO2497" s="382">
        <v>2488</v>
      </c>
    </row>
    <row r="2498" spans="1:67" s="24" customFormat="1" ht="15" customHeight="1" x14ac:dyDescent="0.25">
      <c r="A2498" s="288" t="s">
        <v>2352</v>
      </c>
      <c r="B2498" s="241" t="str">
        <f>HYPERLINK(CONCATENATE($AT$3,BK2498,$AU$3),$AV$3)</f>
        <v>S</v>
      </c>
      <c r="C2498" s="242" t="str">
        <f>HYPERLINK(CONCATENATE($AT$4,BK2498,$AU$4,BL2498),$AV$4)</f>
        <v>A</v>
      </c>
      <c r="D2498" s="243" t="s">
        <v>5638</v>
      </c>
      <c r="E2498" s="244" t="s">
        <v>5337</v>
      </c>
      <c r="F2498" s="269" t="s">
        <v>3301</v>
      </c>
      <c r="G2498" s="273">
        <v>1.3</v>
      </c>
      <c r="H2498" s="283">
        <v>350</v>
      </c>
      <c r="I2498" s="246">
        <v>130</v>
      </c>
      <c r="J2498" s="246">
        <v>2</v>
      </c>
      <c r="K2498" s="247" t="s">
        <v>8514</v>
      </c>
      <c r="L2498" s="248">
        <v>220702</v>
      </c>
      <c r="M2498" s="249">
        <f>15*(LEFT(TEXT($L2498,"000000"),2)+(MID(TEXT($L2498,"000000"),3,2)/60)+(RIGHT(TEXT($L2498,"000000"),2)/3600))</f>
        <v>331.75833333333333</v>
      </c>
      <c r="N2498" s="250">
        <v>101401</v>
      </c>
      <c r="O2498" s="251">
        <f>IF($N2498&gt;0,(LEFT(TEXT($N2498,"000000"),2)+(MID(TEXT($N2498,"000000"),3,2)/60)+(RIGHT(TEXT($N2498,"000000"),2)/3600)),-(MID(TEXT($N2498,"000000"),2,2)+(MID(TEXT($N2498,"000000"),4,2)/60)+(RIGHT(TEXT($N2498,"000000"),2)/3600)))</f>
        <v>10.233611111111109</v>
      </c>
      <c r="P2498" s="252" t="s">
        <v>39</v>
      </c>
      <c r="Q2498" s="253"/>
      <c r="R2498" s="247" t="s">
        <v>3293</v>
      </c>
      <c r="S2498" s="272" t="s">
        <v>3293</v>
      </c>
      <c r="T2498" s="273">
        <v>13.9</v>
      </c>
      <c r="U2498" s="289">
        <v>22.39</v>
      </c>
      <c r="V2498" s="280"/>
      <c r="W2498" s="244"/>
      <c r="X2498" s="244"/>
      <c r="Y2498" s="362"/>
      <c r="Z2498" s="257">
        <f>altaz(J2000_Bas,$O2498,$M2498,DecLat,DecLong,1)</f>
        <v>42.847589632874794</v>
      </c>
      <c r="AA2498" s="257">
        <f>altaz((J2000_Bas+(2*0.04167)),$O2498,$M2498,DecLat,DecLong,1)</f>
        <v>64.645808288902487</v>
      </c>
      <c r="AB2498" s="257">
        <f>altaz((J2000_Bas+(4*0.04167)),$O2498,$M2498,DecLat,DecLong,1)</f>
        <v>65.296648608716865</v>
      </c>
      <c r="AC2498" s="257">
        <f>altaz((J2000_Bas+(6*0.04167)),$O2498,$M2498,DecLat,DecLong,1)</f>
        <v>43.881813080596054</v>
      </c>
      <c r="AD2498" s="258">
        <f>1+ transit((J2000_Bas-1),$O2498,$M2498,DecLat,DecLong)/360 + (GMTOffset/24) + (IF(DST="Y", 1, 0)/24)</f>
        <v>1.9144507944005411</v>
      </c>
      <c r="AE2498" s="259">
        <f>DATE(2001,9,21)+(M2498/360)*365 - (360*((DecLong/360)- (GMTOffset/24) ))</f>
        <v>37496.366087962961</v>
      </c>
      <c r="AF2498" s="260">
        <f>IF(DecLat&gt;0,IF((90 - (DecLat-O2498))&gt;90, (90 - (O2498-DecLat)), (90 - (DecLat-O2498))),IF((90 + (DecLat-O2498))&gt;90, (90 + (O2498-DecLat)), (90 + (DecLat-O2498))))</f>
        <v>69.233611111111117</v>
      </c>
      <c r="AG2498" s="257">
        <f>angularseperation(MoonRA,MoonDec,$M2498,$O2498)</f>
        <v>88.095955829801738</v>
      </c>
      <c r="AH2498" s="261">
        <f ca="1">MIN(100,IF($O$5&gt;80,0+30*($AG2498/100),IF($O$5&gt;70,0+50*($AG2498/100),IF($O$5&gt;60,5+50*($AG2498/100),IF($O$5&gt;50,10+60*($AG2498/100),IF($O$5&gt;40,15+70*($AG2498/100),IF($O$5&gt;30,20+70*($AG2498/100),IF($O$5&gt;20,40+55*($AG2498/100),(80+(20-$O$5)+30*($AG2498/100))))))))))</f>
        <v>100</v>
      </c>
      <c r="AI2498" s="262">
        <v>7212</v>
      </c>
      <c r="AJ2498" s="262"/>
      <c r="AK2498" s="262"/>
      <c r="AL2498" s="263"/>
      <c r="AM2498" s="264"/>
      <c r="AN2498" s="263"/>
      <c r="AO2498" s="263"/>
      <c r="AP2498" s="265"/>
      <c r="AQ2498" s="266">
        <v>11910</v>
      </c>
      <c r="AR2498" s="267">
        <v>68065</v>
      </c>
      <c r="AS2498" s="263"/>
      <c r="AT2498" s="263"/>
      <c r="AU2498" s="263"/>
      <c r="AV2498" s="264"/>
      <c r="AW2498" s="263"/>
      <c r="AX2498" s="263"/>
      <c r="AY2498" s="263"/>
      <c r="AZ2498" s="263"/>
      <c r="BA2498" s="263"/>
      <c r="BB2498" s="263"/>
      <c r="BC2498" s="263"/>
      <c r="BD2498" s="264"/>
      <c r="BE2498" s="263"/>
      <c r="BF2498" s="263"/>
      <c r="BG2498" s="263"/>
      <c r="BH2498" s="263"/>
      <c r="BI2498" s="263"/>
      <c r="BJ2498" s="404">
        <f>altaz(J2000_Bas,$O2498,$M2498,DecLat,DecLong,2)</f>
        <v>105.9399569876305</v>
      </c>
      <c r="BK2498" s="378" t="s">
        <v>2352</v>
      </c>
      <c r="BL2498" s="379">
        <f>IF((2*G2498)/60&lt;0.2,0.2,(2*G2498)/60)</f>
        <v>0.2</v>
      </c>
      <c r="BM2498" s="380">
        <f>MOD((50000+AD2498-$B$3+(0/24)),1)</f>
        <v>0.12981772410421399</v>
      </c>
      <c r="BN2498" s="381" t="s">
        <v>9281</v>
      </c>
      <c r="BO2498" s="382">
        <v>2489</v>
      </c>
    </row>
    <row r="2499" spans="1:67" s="24" customFormat="1" ht="15" customHeight="1" x14ac:dyDescent="0.25">
      <c r="A2499" s="288" t="s">
        <v>2353</v>
      </c>
      <c r="B2499" s="241" t="str">
        <f>HYPERLINK(CONCATENATE($AT$3,BK2499,$AU$3),$AV$3)</f>
        <v>S</v>
      </c>
      <c r="C2499" s="242" t="str">
        <f>HYPERLINK(CONCATENATE($AT$4,BK2499,$AU$4,BL2499),$AV$4)</f>
        <v>A</v>
      </c>
      <c r="D2499" s="243" t="s">
        <v>5638</v>
      </c>
      <c r="E2499" s="244" t="s">
        <v>4292</v>
      </c>
      <c r="F2499" s="269" t="s">
        <v>8795</v>
      </c>
      <c r="G2499" s="273">
        <v>4</v>
      </c>
      <c r="H2499" s="283">
        <v>50</v>
      </c>
      <c r="I2499" s="246">
        <v>60</v>
      </c>
      <c r="J2499" s="246">
        <v>3</v>
      </c>
      <c r="K2499" s="247" t="s">
        <v>7510</v>
      </c>
      <c r="L2499" s="248">
        <v>220752</v>
      </c>
      <c r="M2499" s="249">
        <f>15*(LEFT(TEXT($L2499,"000000"),2)+(MID(TEXT($L2499,"000000"),3,2)/60)+(RIGHT(TEXT($L2499,"000000"),2)/3600))</f>
        <v>331.96666666666664</v>
      </c>
      <c r="N2499" s="250">
        <v>312133</v>
      </c>
      <c r="O2499" s="251">
        <f>IF($N2499&gt;0,(LEFT(TEXT($N2499,"000000"),2)+(MID(TEXT($N2499,"000000"),3,2)/60)+(RIGHT(TEXT($N2499,"000000"),2)/3600)),-(MID(TEXT($N2499,"000000"),2,2)+(MID(TEXT($N2499,"000000"),4,2)/60)+(RIGHT(TEXT($N2499,"000000"),2)/3600)))</f>
        <v>31.359166666666667</v>
      </c>
      <c r="P2499" s="252" t="s">
        <v>39</v>
      </c>
      <c r="Q2499" s="253"/>
      <c r="R2499" s="247" t="s">
        <v>3293</v>
      </c>
      <c r="S2499" s="272" t="s">
        <v>3293</v>
      </c>
      <c r="T2499" s="273">
        <v>11.9</v>
      </c>
      <c r="U2499" s="289">
        <v>21.59</v>
      </c>
      <c r="V2499" s="280">
        <v>20</v>
      </c>
      <c r="W2499" s="244"/>
      <c r="X2499" s="244"/>
      <c r="Y2499" s="362"/>
      <c r="Z2499" s="257">
        <f>altaz(J2000_Bas,$O2499,$M2499,DecLat,DecLong,1)</f>
        <v>50.96985119602553</v>
      </c>
      <c r="AA2499" s="257">
        <f>altaz((J2000_Bas+(2*0.04167)),$O2499,$M2499,DecLat,DecLong,1)</f>
        <v>76.421329489617662</v>
      </c>
      <c r="AB2499" s="257">
        <f>altaz((J2000_Bas+(4*0.04167)),$O2499,$M2499,DecLat,DecLong,1)</f>
        <v>77.849998958640796</v>
      </c>
      <c r="AC2499" s="257">
        <f>altaz((J2000_Bas+(6*0.04167)),$O2499,$M2499,DecLat,DecLong,1)</f>
        <v>52.370312055445588</v>
      </c>
      <c r="AD2499" s="258">
        <f>1+ transit((J2000_Bas-1),$O2499,$M2499,DecLat,DecLong)/360 + (GMTOffset/24) + (IF(DST="Y", 1, 0)/24)</f>
        <v>1.9150294980463747</v>
      </c>
      <c r="AE2499" s="259">
        <f>DATE(2001,9,21)+(M2499/360)*365 - (360*((DecLong/360)- (GMTOffset/24) ))</f>
        <v>37496.577314814815</v>
      </c>
      <c r="AF2499" s="260">
        <f>IF(DecLat&gt;0,IF((90 - (DecLat-O2499))&gt;90, (90 - (O2499-DecLat)), (90 - (DecLat-O2499))),IF((90 + (DecLat-O2499))&gt;90, (90 + (O2499-DecLat)), (90 + (DecLat-O2499))))</f>
        <v>89.640833333333333</v>
      </c>
      <c r="AG2499" s="257">
        <f>angularseperation(MoonRA,MoonDec,$M2499,$O2499)</f>
        <v>98.085958892954963</v>
      </c>
      <c r="AH2499" s="261">
        <f ca="1">MIN(100,IF($O$5&gt;80,0+30*($AG2499/100),IF($O$5&gt;70,0+50*($AG2499/100),IF($O$5&gt;60,5+50*($AG2499/100),IF($O$5&gt;50,10+60*($AG2499/100),IF($O$5&gt;40,15+70*($AG2499/100),IF($O$5&gt;30,20+70*($AG2499/100),IF($O$5&gt;20,40+55*($AG2499/100),(80+(20-$O$5)+30*($AG2499/100))))))))))</f>
        <v>100</v>
      </c>
      <c r="AI2499" s="262">
        <v>7217</v>
      </c>
      <c r="AJ2499" s="262"/>
      <c r="AK2499" s="262">
        <v>385</v>
      </c>
      <c r="AL2499" s="263"/>
      <c r="AM2499" s="264"/>
      <c r="AN2499" s="263"/>
      <c r="AO2499" s="263"/>
      <c r="AP2499" s="265"/>
      <c r="AQ2499" s="266">
        <v>11914</v>
      </c>
      <c r="AR2499" s="267">
        <v>68096</v>
      </c>
      <c r="AS2499" s="263"/>
      <c r="AT2499" s="263"/>
      <c r="AU2499" s="263"/>
      <c r="AV2499" s="264"/>
      <c r="AW2499" s="263"/>
      <c r="AX2499" s="263"/>
      <c r="AY2499" s="263"/>
      <c r="AZ2499" s="263"/>
      <c r="BA2499" s="263"/>
      <c r="BB2499" s="263"/>
      <c r="BC2499" s="263"/>
      <c r="BD2499" s="264"/>
      <c r="BE2499" s="263"/>
      <c r="BF2499" s="263"/>
      <c r="BG2499" s="263"/>
      <c r="BH2499" s="263"/>
      <c r="BI2499" s="263"/>
      <c r="BJ2499" s="404">
        <f>altaz(J2000_Bas,$O2499,$M2499,DecLat,DecLong,2)</f>
        <v>77.121194685738956</v>
      </c>
      <c r="BK2499" s="378" t="s">
        <v>2353</v>
      </c>
      <c r="BL2499" s="379">
        <f>IF((2*G2499)/60&lt;0.2,0.2,(2*G2499)/60)</f>
        <v>0.2</v>
      </c>
      <c r="BM2499" s="380">
        <f>MOD((50000+AD2499-$B$3+(0/24)),1)</f>
        <v>0.13039642775402172</v>
      </c>
      <c r="BN2499" s="381" t="s">
        <v>9116</v>
      </c>
      <c r="BO2499" s="382">
        <v>2490</v>
      </c>
    </row>
    <row r="2500" spans="1:67" s="24" customFormat="1" ht="15" customHeight="1" x14ac:dyDescent="0.25">
      <c r="A2500" s="288" t="s">
        <v>3111</v>
      </c>
      <c r="B2500" s="241" t="str">
        <f>HYPERLINK(CONCATENATE($AT$3,BK2500,$AU$3),$AV$3)</f>
        <v>S</v>
      </c>
      <c r="C2500" s="242" t="str">
        <f>HYPERLINK(CONCATENATE($AT$4,BK2500,$AU$4,BL2500),$AV$4)</f>
        <v>A</v>
      </c>
      <c r="D2500" s="243" t="s">
        <v>5638</v>
      </c>
      <c r="E2500" s="244" t="s">
        <v>5192</v>
      </c>
      <c r="F2500" s="269" t="s">
        <v>8892</v>
      </c>
      <c r="G2500" s="273">
        <v>1</v>
      </c>
      <c r="H2500" s="283">
        <v>200</v>
      </c>
      <c r="I2500" s="246">
        <v>60</v>
      </c>
      <c r="J2500" s="246">
        <v>2</v>
      </c>
      <c r="K2500" s="247" t="s">
        <v>8597</v>
      </c>
      <c r="L2500" s="248">
        <v>221009</v>
      </c>
      <c r="M2500" s="249">
        <f>15*(LEFT(TEXT($L2500,"000000"),2)+(MID(TEXT($L2500,"000000"),3,2)/60)+(RIGHT(TEXT($L2500,"000000"),2)/3600))</f>
        <v>332.53750000000002</v>
      </c>
      <c r="N2500" s="250">
        <v>410100</v>
      </c>
      <c r="O2500" s="251">
        <f>IF($N2500&gt;0,(LEFT(TEXT($N2500,"000000"),2)+(MID(TEXT($N2500,"000000"),3,2)/60)+(RIGHT(TEXT($N2500,"000000"),2)/3600)),-(MID(TEXT($N2500,"000000"),2,2)+(MID(TEXT($N2500,"000000"),4,2)/60)+(RIGHT(TEXT($N2500,"000000"),2)/3600)))</f>
        <v>41.016666666666666</v>
      </c>
      <c r="P2500" s="252" t="s">
        <v>58</v>
      </c>
      <c r="Q2500" s="253"/>
      <c r="R2500" s="277" t="s">
        <v>3293</v>
      </c>
      <c r="S2500" s="272" t="s">
        <v>7511</v>
      </c>
      <c r="T2500" s="273">
        <v>12.2</v>
      </c>
      <c r="U2500" s="289">
        <v>21.39</v>
      </c>
      <c r="V2500" s="280">
        <v>10</v>
      </c>
      <c r="W2500" s="244"/>
      <c r="X2500" s="244"/>
      <c r="Y2500" s="362"/>
      <c r="Z2500" s="257">
        <f>altaz(J2000_Bas,$O2500,$M2500,DecLat,DecLong,1)</f>
        <v>51.528276600440179</v>
      </c>
      <c r="AA2500" s="257">
        <f>altaz((J2000_Bas+(2*0.04167)),$O2500,$M2500,DecLat,DecLong,1)</f>
        <v>73.39204939634476</v>
      </c>
      <c r="AB2500" s="257">
        <f>altaz((J2000_Bas+(4*0.04167)),$O2500,$M2500,DecLat,DecLong,1)</f>
        <v>75.13480161649278</v>
      </c>
      <c r="AC2500" s="257">
        <f>altaz((J2000_Bas+(6*0.04167)),$O2500,$M2500,DecLat,DecLong,1)</f>
        <v>53.652791927766501</v>
      </c>
      <c r="AD2500" s="258">
        <f>1+ transit((J2000_Bas-1),$O2500,$M2500,DecLat,DecLong)/360 + (GMTOffset/24) + (IF(DST="Y", 1, 0)/24)</f>
        <v>1.916615146035958</v>
      </c>
      <c r="AE2500" s="259">
        <f>DATE(2001,9,21)+(M2500/360)*365 - (360*((DecLong/360)- (GMTOffset/24) ))</f>
        <v>37497.156076388892</v>
      </c>
      <c r="AF2500" s="260">
        <f>IF(DecLat&gt;0,IF((90 - (DecLat-O2500))&gt;90, (90 - (O2500-DecLat)), (90 - (DecLat-O2500))),IF((90 + (DecLat-O2500))&gt;90, (90 + (O2500-DecLat)), (90 + (DecLat-O2500))))</f>
        <v>79.983333333333334</v>
      </c>
      <c r="AG2500" s="257">
        <f>angularseperation(MoonRA,MoonDec,$M2500,$O2500)</f>
        <v>102.73099885695552</v>
      </c>
      <c r="AH2500" s="261">
        <f ca="1">MIN(100,IF($O$5&gt;80,0+30*($AG2500/100),IF($O$5&gt;70,0+50*($AG2500/100),IF($O$5&gt;60,5+50*($AG2500/100),IF($O$5&gt;50,10+60*($AG2500/100),IF($O$5&gt;40,15+70*($AG2500/100),IF($O$5&gt;30,20+70*($AG2500/100),IF($O$5&gt;20,40+55*($AG2500/100),(80+(20-$O$5)+30*($AG2500/100))))))))))</f>
        <v>100</v>
      </c>
      <c r="AI2500" s="263">
        <v>7223</v>
      </c>
      <c r="AJ2500" s="263"/>
      <c r="AK2500" s="263"/>
      <c r="AL2500" s="263"/>
      <c r="AM2500" s="264"/>
      <c r="AN2500" s="263"/>
      <c r="AO2500" s="263"/>
      <c r="AP2500" s="265"/>
      <c r="AQ2500" s="265">
        <v>11931</v>
      </c>
      <c r="AR2500" s="285">
        <v>68197</v>
      </c>
      <c r="AS2500" s="263"/>
      <c r="AT2500" s="263"/>
      <c r="AU2500" s="263"/>
      <c r="AV2500" s="264"/>
      <c r="AW2500" s="263"/>
      <c r="AX2500" s="263"/>
      <c r="AY2500" s="263"/>
      <c r="AZ2500" s="263"/>
      <c r="BA2500" s="263"/>
      <c r="BB2500" s="263"/>
      <c r="BC2500" s="263"/>
      <c r="BD2500" s="264"/>
      <c r="BE2500" s="263"/>
      <c r="BF2500" s="263"/>
      <c r="BG2500" s="263"/>
      <c r="BH2500" s="263"/>
      <c r="BI2500" s="263"/>
      <c r="BJ2500" s="404">
        <f>altaz(J2000_Bas,$O2500,$M2500,DecLat,DecLong,2)</f>
        <v>61.671776488944133</v>
      </c>
      <c r="BK2500" s="378" t="s">
        <v>3111</v>
      </c>
      <c r="BL2500" s="379">
        <f>IF((2*G2500)/60&lt;0.2,0.2,(2*G2500)/60)</f>
        <v>0.2</v>
      </c>
      <c r="BM2500" s="380">
        <f>MOD((50000+AD2500-$B$3+(0/24)),1)</f>
        <v>0.13198207574168919</v>
      </c>
      <c r="BN2500" s="381" t="s">
        <v>6500</v>
      </c>
      <c r="BO2500" s="382">
        <v>2491</v>
      </c>
    </row>
    <row r="2501" spans="1:67" s="24" customFormat="1" ht="15" customHeight="1" x14ac:dyDescent="0.25">
      <c r="A2501" s="288" t="s">
        <v>2354</v>
      </c>
      <c r="B2501" s="241" t="str">
        <f>HYPERLINK(CONCATENATE($AT$3,BK2501,$AU$3),$AV$3)</f>
        <v>S</v>
      </c>
      <c r="C2501" s="242" t="str">
        <f>HYPERLINK(CONCATENATE($AT$4,BK2501,$AU$4,BL2501),$AV$4)</f>
        <v>A</v>
      </c>
      <c r="D2501" s="243" t="s">
        <v>5638</v>
      </c>
      <c r="E2501" s="244" t="s">
        <v>5182</v>
      </c>
      <c r="F2501" s="269" t="s">
        <v>3300</v>
      </c>
      <c r="G2501" s="273">
        <v>2</v>
      </c>
      <c r="H2501" s="283">
        <v>220</v>
      </c>
      <c r="I2501" s="246">
        <v>120</v>
      </c>
      <c r="J2501" s="246">
        <v>2</v>
      </c>
      <c r="K2501" s="247" t="s">
        <v>8059</v>
      </c>
      <c r="L2501" s="248">
        <v>221308</v>
      </c>
      <c r="M2501" s="249">
        <f>15*(LEFT(TEXT($L2501,"000000"),2)+(MID(TEXT($L2501,"000000"),3,2)/60)+(RIGHT(TEXT($L2501,"000000"),2)/3600))</f>
        <v>333.2833333333333</v>
      </c>
      <c r="N2501" s="250">
        <v>-260852</v>
      </c>
      <c r="O2501" s="251">
        <f>IF($N2501&gt;0,(LEFT(TEXT($N2501,"000000"),2)+(MID(TEXT($N2501,"000000"),3,2)/60)+(RIGHT(TEXT($N2501,"000000"),2)/3600)),-(MID(TEXT($N2501,"000000"),2,2)+(MID(TEXT($N2501,"000000"),4,2)/60)+(RIGHT(TEXT($N2501,"000000"),2)/3600)))</f>
        <v>-26.147777777777776</v>
      </c>
      <c r="P2501" s="252" t="s">
        <v>232</v>
      </c>
      <c r="Q2501" s="253"/>
      <c r="R2501" s="247" t="s">
        <v>3293</v>
      </c>
      <c r="S2501" s="272" t="s">
        <v>3293</v>
      </c>
      <c r="T2501" s="273">
        <v>12.3</v>
      </c>
      <c r="U2501" s="289">
        <v>21.79</v>
      </c>
      <c r="V2501" s="280">
        <v>78</v>
      </c>
      <c r="W2501" s="244"/>
      <c r="X2501" s="244"/>
      <c r="Y2501" s="362"/>
      <c r="Z2501" s="257">
        <f>altaz(J2000_Bas,$O2501,$M2501,DecLat,DecLong,1)</f>
        <v>17.159098027102701</v>
      </c>
      <c r="AA2501" s="257">
        <f>altaz((J2000_Bas+(2*0.04167)),$O2501,$M2501,DecLat,DecLong,1)</f>
        <v>30.535924790080088</v>
      </c>
      <c r="AB2501" s="257">
        <f>altaz((J2000_Bas+(4*0.04167)),$O2501,$M2501,DecLat,DecLong,1)</f>
        <v>31.539688657756017</v>
      </c>
      <c r="AC2501" s="257">
        <f>altaz((J2000_Bas+(6*0.04167)),$O2501,$M2501,DecLat,DecLong,1)</f>
        <v>19.634176386526619</v>
      </c>
      <c r="AD2501" s="258">
        <f>1+ transit((J2000_Bas-1),$O2501,$M2501,DecLat,DecLong)/360 + (GMTOffset/24) + (IF(DST="Y", 1, 0)/24)</f>
        <v>1.9186869050880413</v>
      </c>
      <c r="AE2501" s="259">
        <f>DATE(2001,9,21)+(M2501/360)*365 - (360*((DecLong/360)- (GMTOffset/24) ))</f>
        <v>37497.912268518521</v>
      </c>
      <c r="AF2501" s="260">
        <f>IF(DecLat&gt;0,IF((90 - (DecLat-O2501))&gt;90, (90 - (O2501-DecLat)), (90 - (DecLat-O2501))),IF((90 + (DecLat-O2501))&gt;90, (90 + (O2501-DecLat)), (90 + (DecLat-O2501))))</f>
        <v>32.852222222222224</v>
      </c>
      <c r="AG2501" s="257">
        <f>angularseperation(MoonRA,MoonDec,$M2501,$O2501)</f>
        <v>73.524159251134748</v>
      </c>
      <c r="AH2501" s="261">
        <f ca="1">MIN(100,IF($O$5&gt;80,0+30*($AG2501/100),IF($O$5&gt;70,0+50*($AG2501/100),IF($O$5&gt;60,5+50*($AG2501/100),IF($O$5&gt;50,10+60*($AG2501/100),IF($O$5&gt;40,15+70*($AG2501/100),IF($O$5&gt;30,20+70*($AG2501/100),IF($O$5&gt;20,40+55*($AG2501/100),(80+(20-$O$5)+30*($AG2501/100))))))))))</f>
        <v>100</v>
      </c>
      <c r="AI2501" s="262">
        <v>7225</v>
      </c>
      <c r="AJ2501" s="262"/>
      <c r="AK2501" s="262"/>
      <c r="AL2501" s="263"/>
      <c r="AM2501" s="264"/>
      <c r="AN2501" s="263"/>
      <c r="AO2501" s="263"/>
      <c r="AP2501" s="265"/>
      <c r="AQ2501" s="266"/>
      <c r="AR2501" s="267">
        <v>68311</v>
      </c>
      <c r="AS2501" s="263"/>
      <c r="AT2501" s="263"/>
      <c r="AU2501" s="263"/>
      <c r="AV2501" s="264"/>
      <c r="AW2501" s="263"/>
      <c r="AX2501" s="263"/>
      <c r="AY2501" s="263"/>
      <c r="AZ2501" s="263"/>
      <c r="BA2501" s="263"/>
      <c r="BB2501" s="263"/>
      <c r="BC2501" s="263"/>
      <c r="BD2501" s="264"/>
      <c r="BE2501" s="263"/>
      <c r="BF2501" s="263"/>
      <c r="BG2501" s="263"/>
      <c r="BH2501" s="263"/>
      <c r="BI2501" s="263"/>
      <c r="BJ2501" s="404">
        <f>altaz(J2000_Bas,$O2501,$M2501,DecLat,DecLong,2)</f>
        <v>136.35239590288913</v>
      </c>
      <c r="BK2501" s="378" t="s">
        <v>2354</v>
      </c>
      <c r="BL2501" s="379">
        <f>IF((2*G2501)/60&lt;0.2,0.2,(2*G2501)/60)</f>
        <v>0.2</v>
      </c>
      <c r="BM2501" s="380">
        <f>MOD((50000+AD2501-$B$3+(0/24)),1)</f>
        <v>0.13405383479403099</v>
      </c>
      <c r="BN2501" s="381" t="s">
        <v>9218</v>
      </c>
      <c r="BO2501" s="382">
        <v>2492</v>
      </c>
    </row>
    <row r="2502" spans="1:67" s="24" customFormat="1" ht="15" customHeight="1" x14ac:dyDescent="0.25">
      <c r="A2502" s="288" t="s">
        <v>2355</v>
      </c>
      <c r="B2502" s="241" t="str">
        <f>HYPERLINK(CONCATENATE($AT$3,BK2502,$AU$3),$AV$3)</f>
        <v>S</v>
      </c>
      <c r="C2502" s="242" t="str">
        <f>HYPERLINK(CONCATENATE($AT$4,BK2502,$AU$4,BL2502),$AV$4)</f>
        <v>A</v>
      </c>
      <c r="D2502" s="243" t="s">
        <v>5638</v>
      </c>
      <c r="E2502" s="244" t="s">
        <v>5192</v>
      </c>
      <c r="F2502" s="269" t="s">
        <v>8932</v>
      </c>
      <c r="G2502" s="273">
        <v>1.7</v>
      </c>
      <c r="H2502" s="283">
        <v>300</v>
      </c>
      <c r="I2502" s="246">
        <v>140</v>
      </c>
      <c r="J2502" s="246">
        <v>2</v>
      </c>
      <c r="K2502" s="247" t="s">
        <v>7513</v>
      </c>
      <c r="L2502" s="248">
        <v>221148</v>
      </c>
      <c r="M2502" s="249">
        <f>15*(LEFT(TEXT($L2502,"000000"),2)+(MID(TEXT($L2502,"000000"),3,2)/60)+(RIGHT(TEXT($L2502,"000000"),2)/3600))</f>
        <v>332.95</v>
      </c>
      <c r="N2502" s="286">
        <v>384157</v>
      </c>
      <c r="O2502" s="251">
        <f>IF($N2502&gt;0,(LEFT(TEXT($N2502,"000000"),2)+(MID(TEXT($N2502,"000000"),3,2)/60)+(RIGHT(TEXT($N2502,"000000"),2)/3600)),-(MID(TEXT($N2502,"000000"),2,2)+(MID(TEXT($N2502,"000000"),4,2)/60)+(RIGHT(TEXT($N2502,"000000"),2)/3600)))</f>
        <v>38.699166666666663</v>
      </c>
      <c r="P2502" s="252" t="s">
        <v>58</v>
      </c>
      <c r="Q2502" s="253"/>
      <c r="R2502" s="247" t="s">
        <v>3293</v>
      </c>
      <c r="S2502" s="272" t="s">
        <v>7514</v>
      </c>
      <c r="T2502" s="273">
        <v>13.5</v>
      </c>
      <c r="U2502" s="289">
        <v>23.29</v>
      </c>
      <c r="V2502" s="280">
        <v>50</v>
      </c>
      <c r="W2502" s="244"/>
      <c r="X2502" s="244"/>
      <c r="Y2502" s="362"/>
      <c r="Z2502" s="257">
        <f>altaz(J2000_Bas,$O2502,$M2502,DecLat,DecLong,1)</f>
        <v>51.141854492876469</v>
      </c>
      <c r="AA2502" s="257">
        <f>altaz((J2000_Bas+(2*0.04167)),$O2502,$M2502,DecLat,DecLong,1)</f>
        <v>74.200607448459806</v>
      </c>
      <c r="AB2502" s="257">
        <f>altaz((J2000_Bas+(4*0.04167)),$O2502,$M2502,DecLat,DecLong,1)</f>
        <v>76.718314752582799</v>
      </c>
      <c r="AC2502" s="257">
        <f>altaz((J2000_Bas+(6*0.04167)),$O2502,$M2502,DecLat,DecLong,1)</f>
        <v>53.981184777735749</v>
      </c>
      <c r="AD2502" s="258">
        <f>1+ transit((J2000_Bas-1),$O2502,$M2502,DecLat,DecLong)/360 + (GMTOffset/24) + (IF(DST="Y", 1, 0)/24)</f>
        <v>1.9177609792547081</v>
      </c>
      <c r="AE2502" s="259">
        <f>DATE(2001,9,21)+(M2502/360)*365 - (360*((DecLong/360)- (GMTOffset/24) ))</f>
        <v>37497.574305555558</v>
      </c>
      <c r="AF2502" s="260">
        <f>IF(DecLat&gt;0,IF((90 - (DecLat-O2502))&gt;90, (90 - (O2502-DecLat)), (90 - (DecLat-O2502))),IF((90 + (DecLat-O2502))&gt;90, (90 + (O2502-DecLat)), (90 + (DecLat-O2502))))</f>
        <v>82.300833333333344</v>
      </c>
      <c r="AG2502" s="257">
        <f>angularseperation(MoonRA,MoonDec,$M2502,$O2502)</f>
        <v>102.03530410143179</v>
      </c>
      <c r="AH2502" s="261">
        <f ca="1">MIN(100,IF($O$5&gt;80,0+30*($AG2502/100),IF($O$5&gt;70,0+50*($AG2502/100),IF($O$5&gt;60,5+50*($AG2502/100),IF($O$5&gt;50,10+60*($AG2502/100),IF($O$5&gt;40,15+70*($AG2502/100),IF($O$5&gt;30,20+70*($AG2502/100),IF($O$5&gt;20,40+55*($AG2502/100),(80+(20-$O$5)+30*($AG2502/100))))))))))</f>
        <v>100</v>
      </c>
      <c r="AI2502" s="262">
        <v>7228</v>
      </c>
      <c r="AJ2502" s="262"/>
      <c r="AK2502" s="262"/>
      <c r="AL2502" s="263"/>
      <c r="AM2502" s="264"/>
      <c r="AN2502" s="263"/>
      <c r="AO2502" s="263"/>
      <c r="AP2502" s="265"/>
      <c r="AQ2502" s="266">
        <v>11945</v>
      </c>
      <c r="AR2502" s="267">
        <v>68254</v>
      </c>
      <c r="AS2502" s="263"/>
      <c r="AT2502" s="263"/>
      <c r="AU2502" s="263"/>
      <c r="AV2502" s="264"/>
      <c r="AW2502" s="263"/>
      <c r="AX2502" s="263"/>
      <c r="AY2502" s="263"/>
      <c r="AZ2502" s="263"/>
      <c r="BA2502" s="263"/>
      <c r="BB2502" s="263"/>
      <c r="BC2502" s="263"/>
      <c r="BD2502" s="264"/>
      <c r="BE2502" s="263"/>
      <c r="BF2502" s="263"/>
      <c r="BG2502" s="263"/>
      <c r="BH2502" s="263"/>
      <c r="BI2502" s="263"/>
      <c r="BJ2502" s="404">
        <f>altaz(J2000_Bas,$O2502,$M2502,DecLat,DecLong,2)</f>
        <v>65.364607614336705</v>
      </c>
      <c r="BK2502" s="378" t="s">
        <v>2355</v>
      </c>
      <c r="BL2502" s="379">
        <f>IF((2*G2502)/60&lt;0.2,0.2,(2*G2502)/60)</f>
        <v>0.2</v>
      </c>
      <c r="BM2502" s="380">
        <f>MOD((50000+AD2502-$B$3+(0/24)),1)</f>
        <v>0.13312790895724902</v>
      </c>
      <c r="BN2502" s="381"/>
      <c r="BO2502" s="382">
        <v>2493</v>
      </c>
    </row>
    <row r="2503" spans="1:67" s="24" customFormat="1" ht="15" customHeight="1" x14ac:dyDescent="0.25">
      <c r="A2503" s="288" t="s">
        <v>2356</v>
      </c>
      <c r="B2503" s="241" t="str">
        <f>HYPERLINK(CONCATENATE($AT$3,BK2503,$AU$3),$AV$3)</f>
        <v>S</v>
      </c>
      <c r="C2503" s="242" t="str">
        <f>HYPERLINK(CONCATENATE($AT$4,BK2503,$AU$4,BL2503),$AV$4)</f>
        <v>A</v>
      </c>
      <c r="D2503" s="243" t="s">
        <v>5335</v>
      </c>
      <c r="E2503" s="244" t="s">
        <v>5185</v>
      </c>
      <c r="F2503" s="269" t="s">
        <v>4918</v>
      </c>
      <c r="G2503" s="273">
        <v>5</v>
      </c>
      <c r="H2503" s="283">
        <v>13000</v>
      </c>
      <c r="I2503" s="246">
        <v>20</v>
      </c>
      <c r="J2503" s="246">
        <v>3</v>
      </c>
      <c r="K2503" s="247" t="s">
        <v>7519</v>
      </c>
      <c r="L2503" s="248">
        <v>221225</v>
      </c>
      <c r="M2503" s="249">
        <f>15*(LEFT(TEXT($L2503,"000000"),2)+(MID(TEXT($L2503,"000000"),3,2)/60)+(RIGHT(TEXT($L2503,"000000"),2)/3600))</f>
        <v>333.10416666666663</v>
      </c>
      <c r="N2503" s="250">
        <v>571616</v>
      </c>
      <c r="O2503" s="251">
        <f>IF($N2503&gt;0,(LEFT(TEXT($N2503,"000000"),2)+(MID(TEXT($N2503,"000000"),3,2)/60)+(RIGHT(TEXT($N2503,"000000"),2)/3600)),-(MID(TEXT($N2503,"000000"),2,2)+(MID(TEXT($N2503,"000000"),4,2)/60)+(RIGHT(TEXT($N2503,"000000"),2)/3600)))</f>
        <v>57.271111111111111</v>
      </c>
      <c r="P2503" s="252" t="s">
        <v>52</v>
      </c>
      <c r="Q2503" s="253"/>
      <c r="R2503" s="277" t="s">
        <v>7518</v>
      </c>
      <c r="S2503" s="272" t="s">
        <v>3293</v>
      </c>
      <c r="T2503" s="273">
        <v>7.7</v>
      </c>
      <c r="U2503" s="274"/>
      <c r="V2503" s="280"/>
      <c r="W2503" s="244"/>
      <c r="X2503" s="244"/>
      <c r="Y2503" s="362"/>
      <c r="Z2503" s="257">
        <f>altaz(J2000_Bas,$O2503,$M2503,DecLat,DecLong,1)</f>
        <v>48.480821513284326</v>
      </c>
      <c r="AA2503" s="257">
        <f>altaz((J2000_Bas+(2*0.04167)),$O2503,$M2503,DecLat,DecLong,1)</f>
        <v>61.213406532905012</v>
      </c>
      <c r="AB2503" s="257">
        <f>altaz((J2000_Bas+(4*0.04167)),$O2503,$M2503,DecLat,DecLong,1)</f>
        <v>62.215677904448754</v>
      </c>
      <c r="AC2503" s="257">
        <f>altaz((J2000_Bas+(6*0.04167)),$O2503,$M2503,DecLat,DecLong,1)</f>
        <v>50.47690190842718</v>
      </c>
      <c r="AD2503" s="258">
        <f>1+ transit((J2000_Bas-1),$O2503,$M2503,DecLat,DecLong)/360 + (GMTOffset/24) + (IF(DST="Y", 1, 0)/24)</f>
        <v>1.9181892199526247</v>
      </c>
      <c r="AE2503" s="259">
        <f>DATE(2001,9,21)+(M2503/360)*365 - (360*((DecLong/360)- (GMTOffset/24) ))</f>
        <v>37497.730613425927</v>
      </c>
      <c r="AF2503" s="260">
        <f>IF(DecLat&gt;0,IF((90 - (DecLat-O2503))&gt;90, (90 - (O2503-DecLat)), (90 - (DecLat-O2503))),IF((90 + (DecLat-O2503))&gt;90, (90 + (O2503-DecLat)), (90 + (DecLat-O2503))))</f>
        <v>63.728888888888889</v>
      </c>
      <c r="AG2503" s="257">
        <f>angularseperation(MoonRA,MoonDec,$M2503,$O2503)</f>
        <v>109.36262139905517</v>
      </c>
      <c r="AH2503" s="261">
        <f ca="1">MIN(100,IF($O$5&gt;80,0+30*($AG2503/100),IF($O$5&gt;70,0+50*($AG2503/100),IF($O$5&gt;60,5+50*($AG2503/100),IF($O$5&gt;50,10+60*($AG2503/100),IF($O$5&gt;40,15+70*($AG2503/100),IF($O$5&gt;30,20+70*($AG2503/100),IF($O$5&gt;20,40+55*($AG2503/100),(80+(20-$O$5)+30*($AG2503/100))))))))))</f>
        <v>100</v>
      </c>
      <c r="AI2503" s="262">
        <v>7235</v>
      </c>
      <c r="AJ2503" s="263"/>
      <c r="AK2503" s="263"/>
      <c r="AL2503" s="263"/>
      <c r="AM2503" s="264"/>
      <c r="AN2503" s="263"/>
      <c r="AO2503" s="263"/>
      <c r="AP2503" s="265"/>
      <c r="AQ2503" s="265"/>
      <c r="AR2503" s="285"/>
      <c r="AS2503" s="263"/>
      <c r="AT2503" s="263"/>
      <c r="AU2503" s="263"/>
      <c r="AV2503" s="264"/>
      <c r="AW2503" s="263"/>
      <c r="AX2503" s="263"/>
      <c r="AY2503" s="263"/>
      <c r="AZ2503" s="263"/>
      <c r="BA2503" s="263"/>
      <c r="BB2503" s="263"/>
      <c r="BC2503" s="263"/>
      <c r="BD2503" s="264"/>
      <c r="BE2503" s="263"/>
      <c r="BF2503" s="263"/>
      <c r="BG2503" s="263"/>
      <c r="BH2503" s="263"/>
      <c r="BI2503" s="263"/>
      <c r="BJ2503" s="404">
        <f>altaz(J2000_Bas,$O2503,$M2503,DecLat,DecLong,2)</f>
        <v>36.691555052549703</v>
      </c>
      <c r="BK2503" s="378" t="s">
        <v>2356</v>
      </c>
      <c r="BL2503" s="379">
        <f>IF((2*G2503)/60&lt;0.2,0.2,(2*G2503)/60)</f>
        <v>0.2</v>
      </c>
      <c r="BM2503" s="380">
        <f>MOD((50000+AD2503-$B$3+(0/24)),1)</f>
        <v>0.13355614965985296</v>
      </c>
      <c r="BN2503" s="381"/>
      <c r="BO2503" s="382">
        <v>2494</v>
      </c>
    </row>
    <row r="2504" spans="1:67" s="24" customFormat="1" ht="15" customHeight="1" x14ac:dyDescent="0.25">
      <c r="A2504" s="288" t="s">
        <v>2357</v>
      </c>
      <c r="B2504" s="241" t="str">
        <f>HYPERLINK(CONCATENATE($AT$3,BK2504,$AU$3),$AV$3)</f>
        <v>S</v>
      </c>
      <c r="C2504" s="242" t="str">
        <f>HYPERLINK(CONCATENATE($AT$4,BK2504,$AU$4,BL2504),$AV$4)</f>
        <v>A</v>
      </c>
      <c r="D2504" s="243" t="s">
        <v>5638</v>
      </c>
      <c r="E2504" s="244" t="s">
        <v>5192</v>
      </c>
      <c r="F2504" s="269" t="s">
        <v>8694</v>
      </c>
      <c r="G2504" s="273">
        <v>3.2</v>
      </c>
      <c r="H2504" s="283">
        <v>95</v>
      </c>
      <c r="I2504" s="246">
        <v>90</v>
      </c>
      <c r="J2504" s="246">
        <v>3</v>
      </c>
      <c r="K2504" s="247" t="s">
        <v>7520</v>
      </c>
      <c r="L2504" s="248">
        <v>221550</v>
      </c>
      <c r="M2504" s="249">
        <f>15*(LEFT(TEXT($L2504,"000000"),2)+(MID(TEXT($L2504,"000000"),3,2)/60)+(RIGHT(TEXT($L2504,"000000"),2)/3600))</f>
        <v>333.95833333333331</v>
      </c>
      <c r="N2504" s="250">
        <v>191352</v>
      </c>
      <c r="O2504" s="251">
        <f>IF($N2504&gt;0,(LEFT(TEXT($N2504,"000000"),2)+(MID(TEXT($N2504,"000000"),3,2)/60)+(RIGHT(TEXT($N2504,"000000"),2)/3600)),-(MID(TEXT($N2504,"000000"),2,2)+(MID(TEXT($N2504,"000000"),4,2)/60)+(RIGHT(TEXT($N2504,"000000"),2)/3600)))</f>
        <v>19.231111111111108</v>
      </c>
      <c r="P2504" s="252" t="s">
        <v>39</v>
      </c>
      <c r="Q2504" s="253"/>
      <c r="R2504" s="247" t="s">
        <v>3293</v>
      </c>
      <c r="S2504" s="272" t="s">
        <v>3293</v>
      </c>
      <c r="T2504" s="273">
        <v>12.6</v>
      </c>
      <c r="U2504" s="289">
        <v>22.79</v>
      </c>
      <c r="V2504" s="280">
        <v>86</v>
      </c>
      <c r="W2504" s="244"/>
      <c r="X2504" s="244"/>
      <c r="Y2504" s="362"/>
      <c r="Z2504" s="257">
        <f>altaz(J2000_Bas,$O2504,$M2504,DecLat,DecLong,1)</f>
        <v>45.370039647001342</v>
      </c>
      <c r="AA2504" s="257">
        <f>altaz((J2000_Bas+(2*0.04167)),$O2504,$M2504,DecLat,DecLong,1)</f>
        <v>70.039305056143988</v>
      </c>
      <c r="AB2504" s="257">
        <f>altaz((J2000_Bas+(4*0.04167)),$O2504,$M2504,DecLat,DecLong,1)</f>
        <v>73.875441774465344</v>
      </c>
      <c r="AC2504" s="257">
        <f>altaz((J2000_Bas+(6*0.04167)),$O2504,$M2504,DecLat,DecLong,1)</f>
        <v>50.198990655412224</v>
      </c>
      <c r="AD2504" s="258">
        <f>1+ transit((J2000_Bas-1),$O2504,$M2504,DecLat,DecLong)/360 + (GMTOffset/24) + (IF(DST="Y", 1, 0)/24)</f>
        <v>1.9205619049005411</v>
      </c>
      <c r="AE2504" s="259">
        <f>DATE(2001,9,21)+(M2504/360)*365 - (360*((DecLong/360)- (GMTOffset/24) ))</f>
        <v>37498.596643518518</v>
      </c>
      <c r="AF2504" s="260">
        <f>IF(DecLat&gt;0,IF((90 - (DecLat-O2504))&gt;90, (90 - (O2504-DecLat)), (90 - (DecLat-O2504))),IF((90 + (DecLat-O2504))&gt;90, (90 + (O2504-DecLat)), (90 + (DecLat-O2504))))</f>
        <v>78.231111111111105</v>
      </c>
      <c r="AG2504" s="257">
        <f>angularseperation(MoonRA,MoonDec,$M2504,$O2504)</f>
        <v>94.160675894211579</v>
      </c>
      <c r="AH2504" s="261">
        <f ca="1">MIN(100,IF($O$5&gt;80,0+30*($AG2504/100),IF($O$5&gt;70,0+50*($AG2504/100),IF($O$5&gt;60,5+50*($AG2504/100),IF($O$5&gt;50,10+60*($AG2504/100),IF($O$5&gt;40,15+70*($AG2504/100),IF($O$5&gt;30,20+70*($AG2504/100),IF($O$5&gt;20,40+55*($AG2504/100),(80+(20-$O$5)+30*($AG2504/100))))))))))</f>
        <v>100</v>
      </c>
      <c r="AI2504" s="262">
        <v>7241</v>
      </c>
      <c r="AJ2504" s="262"/>
      <c r="AK2504" s="262"/>
      <c r="AL2504" s="263"/>
      <c r="AM2504" s="264"/>
      <c r="AN2504" s="263"/>
      <c r="AO2504" s="263"/>
      <c r="AP2504" s="265"/>
      <c r="AQ2504" s="266">
        <v>11968</v>
      </c>
      <c r="AR2504" s="267">
        <v>68442</v>
      </c>
      <c r="AS2504" s="263"/>
      <c r="AT2504" s="263"/>
      <c r="AU2504" s="263"/>
      <c r="AV2504" s="264"/>
      <c r="AW2504" s="263"/>
      <c r="AX2504" s="263"/>
      <c r="AY2504" s="263"/>
      <c r="AZ2504" s="263"/>
      <c r="BA2504" s="263"/>
      <c r="BB2504" s="263"/>
      <c r="BC2504" s="263"/>
      <c r="BD2504" s="264"/>
      <c r="BE2504" s="263"/>
      <c r="BF2504" s="263"/>
      <c r="BG2504" s="263"/>
      <c r="BH2504" s="263">
        <v>94</v>
      </c>
      <c r="BI2504" s="263"/>
      <c r="BJ2504" s="404">
        <f>altaz(J2000_Bas,$O2504,$M2504,DecLat,DecLong,2)</f>
        <v>93.537146198081388</v>
      </c>
      <c r="BK2504" s="378" t="s">
        <v>2357</v>
      </c>
      <c r="BL2504" s="379">
        <f>IF((2*G2504)/60&lt;0.2,0.2,(2*G2504)/60)</f>
        <v>0.2</v>
      </c>
      <c r="BM2504" s="380">
        <f>MOD((50000+AD2504-$B$3+(0/24)),1)</f>
        <v>0.13592883460660232</v>
      </c>
      <c r="BN2504" s="381"/>
      <c r="BO2504" s="382">
        <v>2495</v>
      </c>
    </row>
    <row r="2505" spans="1:67" s="24" customFormat="1" ht="15" customHeight="1" x14ac:dyDescent="0.25">
      <c r="A2505" s="288" t="s">
        <v>7596</v>
      </c>
      <c r="B2505" s="241" t="str">
        <f>HYPERLINK(CONCATENATE($AT$3,BK2505,$AU$3),$AV$3)</f>
        <v>S</v>
      </c>
      <c r="C2505" s="242" t="str">
        <f>HYPERLINK(CONCATENATE($AT$4,BK2505,$AU$4,BL2505),$AV$4)</f>
        <v>A</v>
      </c>
      <c r="D2505" s="243" t="s">
        <v>5638</v>
      </c>
      <c r="E2505" s="244" t="s">
        <v>5625</v>
      </c>
      <c r="F2505" s="269">
        <v>10</v>
      </c>
      <c r="G2505" s="282">
        <v>15</v>
      </c>
      <c r="H2505" s="283">
        <v>250</v>
      </c>
      <c r="I2505" s="284">
        <v>1100</v>
      </c>
      <c r="J2505" s="246">
        <v>2</v>
      </c>
      <c r="K2505" s="247" t="s">
        <v>7524</v>
      </c>
      <c r="L2505" s="248">
        <v>221540</v>
      </c>
      <c r="M2505" s="249">
        <f>15*(LEFT(TEXT($L2505,"000000"),2)+(MID(TEXT($L2505,"000000"),3,2)/60)+(RIGHT(TEXT($L2505,"000000"),2)/3600))</f>
        <v>333.91666666666669</v>
      </c>
      <c r="N2505" s="250">
        <v>371756</v>
      </c>
      <c r="O2505" s="251">
        <f>IF($N2505&gt;0,(LEFT(TEXT($N2505,"000000"),2)+(MID(TEXT($N2505,"000000"),3,2)/60)+(RIGHT(TEXT($N2505,"000000"),2)/3600)),-(MID(TEXT($N2505,"000000"),2,2)+(MID(TEXT($N2505,"000000"),4,2)/60)+(RIGHT(TEXT($N2505,"000000"),2)/3600)))</f>
        <v>37.298888888888889</v>
      </c>
      <c r="P2505" s="252" t="s">
        <v>58</v>
      </c>
      <c r="Q2505" s="253"/>
      <c r="R2505" s="247" t="s">
        <v>3293</v>
      </c>
      <c r="S2505" s="272" t="s">
        <v>3293</v>
      </c>
      <c r="T2505" s="273">
        <v>13.2</v>
      </c>
      <c r="U2505" s="289">
        <v>23.490000000000002</v>
      </c>
      <c r="V2505" s="280"/>
      <c r="W2505" s="244"/>
      <c r="X2505" s="244"/>
      <c r="Y2505" s="362"/>
      <c r="Z2505" s="257">
        <f>altaz(J2000_Bas,$O2505,$M2505,DecLat,DecLong,1)</f>
        <v>50.274473792288319</v>
      </c>
      <c r="AA2505" s="257">
        <f>altaz((J2000_Bas+(2*0.04167)),$O2505,$M2505,DecLat,DecLong,1)</f>
        <v>73.990182230956734</v>
      </c>
      <c r="AB2505" s="257">
        <f>altaz((J2000_Bas+(4*0.04167)),$O2505,$M2505,DecLat,DecLong,1)</f>
        <v>78.076699461434728</v>
      </c>
      <c r="AC2505" s="257">
        <f>altaz((J2000_Bas+(6*0.04167)),$O2505,$M2505,DecLat,DecLong,1)</f>
        <v>54.697233997942533</v>
      </c>
      <c r="AD2505" s="258">
        <f>1+ transit((J2000_Bas-1),$O2505,$M2505,DecLat,DecLong)/360 + (GMTOffset/24) + (IF(DST="Y", 1, 0)/24)</f>
        <v>1.920446164171375</v>
      </c>
      <c r="AE2505" s="259">
        <f>DATE(2001,9,21)+(M2505/360)*365 - (360*((DecLong/360)- (GMTOffset/24) ))</f>
        <v>37498.554398148146</v>
      </c>
      <c r="AF2505" s="260">
        <f>IF(DecLat&gt;0,IF((90 - (DecLat-O2505))&gt;90, (90 - (O2505-DecLat)), (90 - (DecLat-O2505))),IF((90 + (DecLat-O2505))&gt;90, (90 + (O2505-DecLat)), (90 + (DecLat-O2505))))</f>
        <v>83.701111111111118</v>
      </c>
      <c r="AG2505" s="257">
        <f>angularseperation(MoonRA,MoonDec,$M2505,$O2505)</f>
        <v>102.13206702324406</v>
      </c>
      <c r="AH2505" s="261">
        <f ca="1">MIN(100,IF($O$5&gt;80,0+30*($AG2505/100),IF($O$5&gt;70,0+50*($AG2505/100),IF($O$5&gt;60,5+50*($AG2505/100),IF($O$5&gt;50,10+60*($AG2505/100),IF($O$5&gt;40,15+70*($AG2505/100),IF($O$5&gt;30,20+70*($AG2505/100),IF($O$5&gt;20,40+55*($AG2505/100),(80+(20-$O$5)+30*($AG2505/100))))))))))</f>
        <v>100</v>
      </c>
      <c r="AI2505" s="262">
        <v>7242</v>
      </c>
      <c r="AJ2505" s="262"/>
      <c r="AK2505" s="262"/>
      <c r="AL2505" s="263"/>
      <c r="AM2505" s="264"/>
      <c r="AN2505" s="263"/>
      <c r="AO2505" s="263"/>
      <c r="AP2505" s="265"/>
      <c r="AQ2505" s="266">
        <v>11969</v>
      </c>
      <c r="AR2505" s="267">
        <v>68434</v>
      </c>
      <c r="AS2505" s="263"/>
      <c r="AT2505" s="263"/>
      <c r="AU2505" s="263"/>
      <c r="AV2505" s="264"/>
      <c r="AW2505" s="263"/>
      <c r="AX2505" s="263"/>
      <c r="AY2505" s="263"/>
      <c r="AZ2505" s="263"/>
      <c r="BA2505" s="263"/>
      <c r="BB2505" s="263"/>
      <c r="BC2505" s="263"/>
      <c r="BD2505" s="264"/>
      <c r="BE2505" s="263"/>
      <c r="BF2505" s="263"/>
      <c r="BG2505" s="263"/>
      <c r="BH2505" s="263"/>
      <c r="BI2505" s="263"/>
      <c r="BJ2505" s="404">
        <f>altaz(J2000_Bas,$O2505,$M2505,DecLat,DecLong,2)</f>
        <v>67.476666485010924</v>
      </c>
      <c r="BK2505" s="378" t="s">
        <v>2358</v>
      </c>
      <c r="BL2505" s="379">
        <f>IF((2*G2505)/60&lt;0.2,0.2,(2*G2505)/60)</f>
        <v>0.5</v>
      </c>
      <c r="BM2505" s="380">
        <f>MOD((50000+AD2505-$B$3+(0/24)),1)</f>
        <v>0.13581309387518559</v>
      </c>
      <c r="BN2505" s="381"/>
      <c r="BO2505" s="382">
        <v>2496</v>
      </c>
    </row>
    <row r="2506" spans="1:67" s="24" customFormat="1" ht="15" customHeight="1" x14ac:dyDescent="0.25">
      <c r="A2506" s="288" t="s">
        <v>2359</v>
      </c>
      <c r="B2506" s="241" t="str">
        <f>HYPERLINK(CONCATENATE($AT$3,BK2506,$AU$3),$AV$3)</f>
        <v>S</v>
      </c>
      <c r="C2506" s="242" t="str">
        <f>HYPERLINK(CONCATENATE($AT$4,BK2506,$AU$4,BL2506),$AV$4)</f>
        <v>A</v>
      </c>
      <c r="D2506" s="243" t="s">
        <v>5335</v>
      </c>
      <c r="E2506" s="244" t="s">
        <v>5185</v>
      </c>
      <c r="F2506" s="269" t="s">
        <v>7525</v>
      </c>
      <c r="G2506" s="276">
        <v>21</v>
      </c>
      <c r="H2506" s="283">
        <v>2800</v>
      </c>
      <c r="I2506" s="246">
        <v>18</v>
      </c>
      <c r="J2506" s="246">
        <v>2</v>
      </c>
      <c r="K2506" s="247" t="s">
        <v>7526</v>
      </c>
      <c r="L2506" s="248">
        <v>221508</v>
      </c>
      <c r="M2506" s="249">
        <f>15*(LEFT(TEXT($L2506,"000000"),2)+(MID(TEXT($L2506,"000000"),3,2)/60)+(RIGHT(TEXT($L2506,"000000"),2)/3600))</f>
        <v>333.78333333333336</v>
      </c>
      <c r="N2506" s="250">
        <v>495354</v>
      </c>
      <c r="O2506" s="251">
        <f>IF($N2506&gt;0,(LEFT(TEXT($N2506,"000000"),2)+(MID(TEXT($N2506,"000000"),3,2)/60)+(RIGHT(TEXT($N2506,"000000"),2)/3600)),-(MID(TEXT($N2506,"000000"),2,2)+(MID(TEXT($N2506,"000000"),4,2)/60)+(RIGHT(TEXT($N2506,"000000"),2)/3600)))</f>
        <v>49.898333333333333</v>
      </c>
      <c r="P2506" s="252" t="s">
        <v>58</v>
      </c>
      <c r="Q2506" s="253"/>
      <c r="R2506" s="247" t="s">
        <v>7340</v>
      </c>
      <c r="S2506" s="272" t="s">
        <v>3293</v>
      </c>
      <c r="T2506" s="273">
        <v>6.4</v>
      </c>
      <c r="U2506" s="274"/>
      <c r="V2506" s="280"/>
      <c r="W2506" s="244"/>
      <c r="X2506" s="244"/>
      <c r="Y2506" s="362"/>
      <c r="Z2506" s="257">
        <f>altaz(J2000_Bas,$O2506,$M2506,DecLat,DecLong,1)</f>
        <v>49.904860767456569</v>
      </c>
      <c r="AA2506" s="257">
        <f>altaz((J2000_Bas+(2*0.04167)),$O2506,$M2506,DecLat,DecLong,1)</f>
        <v>66.921476701826464</v>
      </c>
      <c r="AB2506" s="257">
        <f>altaz((J2000_Bas+(4*0.04167)),$O2506,$M2506,DecLat,DecLong,1)</f>
        <v>68.945420743887453</v>
      </c>
      <c r="AC2506" s="257">
        <f>altaz((J2000_Bas+(6*0.04167)),$O2506,$M2506,DecLat,DecLong,1)</f>
        <v>53.24591066483714</v>
      </c>
      <c r="AD2506" s="258">
        <f>1+ transit((J2000_Bas-1),$O2506,$M2506,DecLat,DecLong)/360 + (GMTOffset/24) + (IF(DST="Y", 1, 0)/24)</f>
        <v>1.9200757938380415</v>
      </c>
      <c r="AE2506" s="259">
        <f>DATE(2001,9,21)+(M2506/360)*365 - (360*((DecLong/360)- (GMTOffset/24) ))</f>
        <v>37498.419212962966</v>
      </c>
      <c r="AF2506" s="260">
        <f>IF(DecLat&gt;0,IF((90 - (DecLat-O2506))&gt;90, (90 - (O2506-DecLat)), (90 - (DecLat-O2506))),IF((90 + (DecLat-O2506))&gt;90, (90 + (O2506-DecLat)), (90 + (DecLat-O2506))))</f>
        <v>71.101666666666659</v>
      </c>
      <c r="AG2506" s="257">
        <f>angularseperation(MoonRA,MoonDec,$M2506,$O2506)</f>
        <v>107.07976968665665</v>
      </c>
      <c r="AH2506" s="261">
        <f ca="1">MIN(100,IF($O$5&gt;80,0+30*($AG2506/100),IF($O$5&gt;70,0+50*($AG2506/100),IF($O$5&gt;60,5+50*($AG2506/100),IF($O$5&gt;50,10+60*($AG2506/100),IF($O$5&gt;40,15+70*($AG2506/100),IF($O$5&gt;30,20+70*($AG2506/100),IF($O$5&gt;20,40+55*($AG2506/100),(80+(20-$O$5)+30*($AG2506/100))))))))))</f>
        <v>100</v>
      </c>
      <c r="AI2506" s="262">
        <v>7243</v>
      </c>
      <c r="AJ2506" s="262"/>
      <c r="AK2506" s="262">
        <v>386</v>
      </c>
      <c r="AL2506" s="263"/>
      <c r="AM2506" s="264">
        <v>16</v>
      </c>
      <c r="AN2506" s="263"/>
      <c r="AO2506" s="263"/>
      <c r="AP2506" s="265"/>
      <c r="AQ2506" s="266"/>
      <c r="AR2506" s="267"/>
      <c r="AS2506" s="263"/>
      <c r="AT2506" s="263"/>
      <c r="AU2506" s="263"/>
      <c r="AV2506" s="264"/>
      <c r="AW2506" s="263"/>
      <c r="AX2506" s="263"/>
      <c r="AY2506" s="263"/>
      <c r="AZ2506" s="263"/>
      <c r="BA2506" s="263"/>
      <c r="BB2506" s="263"/>
      <c r="BC2506" s="263"/>
      <c r="BD2506" s="264"/>
      <c r="BE2506" s="263"/>
      <c r="BF2506" s="263"/>
      <c r="BG2506" s="263"/>
      <c r="BH2506" s="263"/>
      <c r="BI2506" s="263"/>
      <c r="BJ2506" s="404">
        <f>altaz(J2000_Bas,$O2506,$M2506,DecLat,DecLong,2)</f>
        <v>47.78925115108202</v>
      </c>
      <c r="BK2506" s="378" t="s">
        <v>2359</v>
      </c>
      <c r="BL2506" s="379">
        <f>IF((2*G2506)/60&lt;0.2,0.2,(2*G2506)/60)</f>
        <v>0.7</v>
      </c>
      <c r="BM2506" s="380">
        <f>MOD((50000+AD2506-$B$3+(0/24)),1)</f>
        <v>0.13544272354192799</v>
      </c>
      <c r="BN2506" s="381"/>
      <c r="BO2506" s="382">
        <v>2497</v>
      </c>
    </row>
    <row r="2507" spans="1:67" s="24" customFormat="1" ht="15" customHeight="1" x14ac:dyDescent="0.25">
      <c r="A2507" s="288" t="s">
        <v>3124</v>
      </c>
      <c r="B2507" s="241" t="str">
        <f>HYPERLINK(CONCATENATE($AT$3,BK2507,$AU$3),$AV$3)</f>
        <v>S</v>
      </c>
      <c r="C2507" s="242" t="str">
        <f>HYPERLINK(CONCATENATE($AT$4,BK2507,$AU$4,BL2507),$AV$4)</f>
        <v>A</v>
      </c>
      <c r="D2507" s="243" t="s">
        <v>5638</v>
      </c>
      <c r="E2507" s="244" t="s">
        <v>5192</v>
      </c>
      <c r="F2507" s="269" t="s">
        <v>8709</v>
      </c>
      <c r="G2507" s="273">
        <v>2</v>
      </c>
      <c r="H2507" s="283">
        <v>200</v>
      </c>
      <c r="I2507" s="246">
        <v>120</v>
      </c>
      <c r="J2507" s="246">
        <v>2</v>
      </c>
      <c r="K2507" s="247" t="s">
        <v>7527</v>
      </c>
      <c r="L2507" s="248">
        <v>221743</v>
      </c>
      <c r="M2507" s="249">
        <f>15*(LEFT(TEXT($L2507,"000000"),2)+(MID(TEXT($L2507,"000000"),3,2)/60)+(RIGHT(TEXT($L2507,"000000"),2)/3600))</f>
        <v>334.42916666666673</v>
      </c>
      <c r="N2507" s="250">
        <v>-153412</v>
      </c>
      <c r="O2507" s="251">
        <f>IF($N2507&gt;0,(LEFT(TEXT($N2507,"000000"),2)+(MID(TEXT($N2507,"000000"),3,2)/60)+(RIGHT(TEXT($N2507,"000000"),2)/3600)),-(MID(TEXT($N2507,"000000"),2,2)+(MID(TEXT($N2507,"000000"),4,2)/60)+(RIGHT(TEXT($N2507,"000000"),2)/3600)))</f>
        <v>-15.57</v>
      </c>
      <c r="P2507" s="252" t="s">
        <v>3119</v>
      </c>
      <c r="Q2507" s="253"/>
      <c r="R2507" s="277" t="s">
        <v>3293</v>
      </c>
      <c r="S2507" s="272" t="s">
        <v>3293</v>
      </c>
      <c r="T2507" s="273">
        <v>13</v>
      </c>
      <c r="U2507" s="289">
        <v>23.39</v>
      </c>
      <c r="V2507" s="280">
        <v>60</v>
      </c>
      <c r="W2507" s="244"/>
      <c r="X2507" s="244"/>
      <c r="Y2507" s="362"/>
      <c r="Z2507" s="257">
        <f>altaz(J2000_Bas,$O2507,$M2507,DecLat,DecLong,1)</f>
        <v>24.18483535085219</v>
      </c>
      <c r="AA2507" s="257">
        <f>altaz((J2000_Bas+(2*0.04167)),$O2507,$M2507,DecLat,DecLong,1)</f>
        <v>40.204495454973959</v>
      </c>
      <c r="AB2507" s="257">
        <f>altaz((J2000_Bas+(4*0.04167)),$O2507,$M2507,DecLat,DecLong,1)</f>
        <v>42.081522936569279</v>
      </c>
      <c r="AC2507" s="257">
        <f>altaz((J2000_Bas+(6*0.04167)),$O2507,$M2507,DecLat,DecLong,1)</f>
        <v>28.492519281406469</v>
      </c>
      <c r="AD2507" s="258">
        <f>1+ transit((J2000_Bas-1),$O2507,$M2507,DecLat,DecLong)/360 + (GMTOffset/24) + (IF(DST="Y", 1, 0)/24)</f>
        <v>1.9218697751401248</v>
      </c>
      <c r="AE2507" s="259">
        <f>DATE(2001,9,21)+(M2507/360)*365 - (360*((DecLong/360)- (GMTOffset/24) ))</f>
        <v>37499.074016203704</v>
      </c>
      <c r="AF2507" s="260">
        <f>IF(DecLat&gt;0,IF((90 - (DecLat-O2507))&gt;90, (90 - (O2507-DecLat)), (90 - (DecLat-O2507))),IF((90 + (DecLat-O2507))&gt;90, (90 + (O2507-DecLat)), (90 + (DecLat-O2507))))</f>
        <v>43.43</v>
      </c>
      <c r="AG2507" s="257">
        <f>angularseperation(MoonRA,MoonDec,$M2507,$O2507)</f>
        <v>78.803946923737357</v>
      </c>
      <c r="AH2507" s="261">
        <f ca="1">MIN(100,IF($O$5&gt;80,0+30*($AG2507/100),IF($O$5&gt;70,0+50*($AG2507/100),IF($O$5&gt;60,5+50*($AG2507/100),IF($O$5&gt;50,10+60*($AG2507/100),IF($O$5&gt;40,15+70*($AG2507/100),IF($O$5&gt;30,20+70*($AG2507/100),IF($O$5&gt;20,40+55*($AG2507/100),(80+(20-$O$5)+30*($AG2507/100))))))))))</f>
        <v>100</v>
      </c>
      <c r="AI2507" s="263">
        <v>7246</v>
      </c>
      <c r="AJ2507" s="263"/>
      <c r="AK2507" s="263"/>
      <c r="AL2507" s="263"/>
      <c r="AM2507" s="264"/>
      <c r="AN2507" s="263"/>
      <c r="AO2507" s="263"/>
      <c r="AP2507" s="265"/>
      <c r="AQ2507" s="265"/>
      <c r="AR2507" s="285">
        <v>68512</v>
      </c>
      <c r="AS2507" s="263"/>
      <c r="AT2507" s="263"/>
      <c r="AU2507" s="263"/>
      <c r="AV2507" s="264"/>
      <c r="AW2507" s="263"/>
      <c r="AX2507" s="263"/>
      <c r="AY2507" s="263"/>
      <c r="AZ2507" s="263"/>
      <c r="BA2507" s="263"/>
      <c r="BB2507" s="263"/>
      <c r="BC2507" s="263"/>
      <c r="BD2507" s="264"/>
      <c r="BE2507" s="263"/>
      <c r="BF2507" s="263"/>
      <c r="BG2507" s="263"/>
      <c r="BH2507" s="263"/>
      <c r="BI2507" s="263"/>
      <c r="BJ2507" s="404">
        <f>altaz(J2000_Bas,$O2507,$M2507,DecLat,DecLong,2)</f>
        <v>127.8153165115241</v>
      </c>
      <c r="BK2507" s="378" t="s">
        <v>3124</v>
      </c>
      <c r="BL2507" s="379">
        <f>IF((2*G2507)/60&lt;0.2,0.2,(2*G2507)/60)</f>
        <v>0.2</v>
      </c>
      <c r="BM2507" s="380">
        <f>MOD((50000+AD2507-$B$3+(0/24)),1)</f>
        <v>0.13723670484614559</v>
      </c>
      <c r="BN2507" s="381"/>
      <c r="BO2507" s="382">
        <v>2498</v>
      </c>
    </row>
    <row r="2508" spans="1:67" s="24" customFormat="1" ht="15" customHeight="1" x14ac:dyDescent="0.25">
      <c r="A2508" s="288" t="s">
        <v>2360</v>
      </c>
      <c r="B2508" s="241" t="str">
        <f>HYPERLINK(CONCATENATE($AT$3,BK2508,$AU$3),$AV$3)</f>
        <v>S</v>
      </c>
      <c r="C2508" s="242" t="str">
        <f>HYPERLINK(CONCATENATE($AT$4,BK2508,$AU$4,BL2508),$AV$4)</f>
        <v>A</v>
      </c>
      <c r="D2508" s="243" t="s">
        <v>5638</v>
      </c>
      <c r="E2508" s="244" t="s">
        <v>3259</v>
      </c>
      <c r="F2508" s="269"/>
      <c r="G2508" s="273">
        <v>1.7</v>
      </c>
      <c r="H2508" s="283">
        <v>30</v>
      </c>
      <c r="I2508" s="246">
        <v>15</v>
      </c>
      <c r="J2508" s="246">
        <v>2</v>
      </c>
      <c r="K2508" s="247" t="s">
        <v>7528</v>
      </c>
      <c r="L2508" s="248">
        <v>221818</v>
      </c>
      <c r="M2508" s="249">
        <f>15*(LEFT(TEXT($L2508,"000000"),2)+(MID(TEXT($L2508,"000000"),3,2)/60)+(RIGHT(TEXT($L2508,"000000"),2)/3600))</f>
        <v>334.57499999999999</v>
      </c>
      <c r="N2508" s="250">
        <v>403347</v>
      </c>
      <c r="O2508" s="251">
        <f>IF($N2508&gt;0,(LEFT(TEXT($N2508,"000000"),2)+(MID(TEXT($N2508,"000000"),3,2)/60)+(RIGHT(TEXT($N2508,"000000"),2)/3600)),-(MID(TEXT($N2508,"000000"),2,2)+(MID(TEXT($N2508,"000000"),4,2)/60)+(RIGHT(TEXT($N2508,"000000"),2)/3600)))</f>
        <v>40.56305555555555</v>
      </c>
      <c r="P2508" s="252" t="s">
        <v>58</v>
      </c>
      <c r="Q2508" s="253"/>
      <c r="R2508" s="247" t="s">
        <v>3293</v>
      </c>
      <c r="S2508" s="272" t="s">
        <v>3293</v>
      </c>
      <c r="T2508" s="273">
        <v>12.6</v>
      </c>
      <c r="U2508" s="289">
        <v>21.69</v>
      </c>
      <c r="V2508" s="280">
        <v>75</v>
      </c>
      <c r="W2508" s="244"/>
      <c r="X2508" s="244"/>
      <c r="Y2508" s="362"/>
      <c r="Z2508" s="257">
        <f>altaz(J2000_Bas,$O2508,$M2508,DecLat,DecLong,1)</f>
        <v>49.977431613092961</v>
      </c>
      <c r="AA2508" s="257">
        <f>altaz((J2000_Bas+(2*0.04167)),$O2508,$M2508,DecLat,DecLong,1)</f>
        <v>72.268941284304887</v>
      </c>
      <c r="AB2508" s="257">
        <f>altaz((J2000_Bas+(4*0.04167)),$O2508,$M2508,DecLat,DecLong,1)</f>
        <v>76.608597050334637</v>
      </c>
      <c r="AC2508" s="257">
        <f>altaz((J2000_Bas+(6*0.04167)),$O2508,$M2508,DecLat,DecLong,1)</f>
        <v>55.211160075465443</v>
      </c>
      <c r="AD2508" s="258">
        <f>1+ transit((J2000_Bas-1),$O2508,$M2508,DecLat,DecLong)/360 + (GMTOffset/24) + (IF(DST="Y", 1, 0)/24)</f>
        <v>1.9222748676922079</v>
      </c>
      <c r="AE2508" s="259">
        <f>DATE(2001,9,21)+(M2508/360)*365 - (360*((DecLong/360)- (GMTOffset/24) ))</f>
        <v>37499.221875000003</v>
      </c>
      <c r="AF2508" s="260">
        <f>IF(DecLat&gt;0,IF((90 - (DecLat-O2508))&gt;90, (90 - (O2508-DecLat)), (90 - (DecLat-O2508))),IF((90 + (DecLat-O2508))&gt;90, (90 + (O2508-DecLat)), (90 + (DecLat-O2508))))</f>
        <v>80.43694444444445</v>
      </c>
      <c r="AG2508" s="257">
        <f>angularseperation(MoonRA,MoonDec,$M2508,$O2508)</f>
        <v>103.94796505960626</v>
      </c>
      <c r="AH2508" s="261">
        <f ca="1">MIN(100,IF($O$5&gt;80,0+30*($AG2508/100),IF($O$5&gt;70,0+50*($AG2508/100),IF($O$5&gt;60,5+50*($AG2508/100),IF($O$5&gt;50,10+60*($AG2508/100),IF($O$5&gt;40,15+70*($AG2508/100),IF($O$5&gt;30,20+70*($AG2508/100),IF($O$5&gt;20,40+55*($AG2508/100),(80+(20-$O$5)+30*($AG2508/100))))))))))</f>
        <v>100</v>
      </c>
      <c r="AI2508" s="262">
        <v>7250</v>
      </c>
      <c r="AJ2508" s="262"/>
      <c r="AK2508" s="262"/>
      <c r="AL2508" s="263"/>
      <c r="AM2508" s="264"/>
      <c r="AN2508" s="263"/>
      <c r="AO2508" s="263"/>
      <c r="AP2508" s="265"/>
      <c r="AQ2508" s="266">
        <v>11980</v>
      </c>
      <c r="AR2508" s="267">
        <v>68535</v>
      </c>
      <c r="AS2508" s="263"/>
      <c r="AT2508" s="263"/>
      <c r="AU2508" s="263"/>
      <c r="AV2508" s="264"/>
      <c r="AW2508" s="263"/>
      <c r="AX2508" s="263"/>
      <c r="AY2508" s="263"/>
      <c r="AZ2508" s="263"/>
      <c r="BA2508" s="263"/>
      <c r="BB2508" s="263"/>
      <c r="BC2508" s="263"/>
      <c r="BD2508" s="264"/>
      <c r="BE2508" s="263"/>
      <c r="BF2508" s="263"/>
      <c r="BG2508" s="263"/>
      <c r="BH2508" s="263"/>
      <c r="BI2508" s="263"/>
      <c r="BJ2508" s="404">
        <f>altaz(J2000_Bas,$O2508,$M2508,DecLat,DecLong,2)</f>
        <v>62.342768054081844</v>
      </c>
      <c r="BK2508" s="378" t="s">
        <v>2360</v>
      </c>
      <c r="BL2508" s="379">
        <f>IF((2*G2508)/60&lt;0.2,0.2,(2*G2508)/60)</f>
        <v>0.2</v>
      </c>
      <c r="BM2508" s="380">
        <f>MOD((50000+AD2508-$B$3+(0/24)),1)</f>
        <v>0.13764179739519022</v>
      </c>
      <c r="BN2508" s="381"/>
      <c r="BO2508" s="382">
        <v>2499</v>
      </c>
    </row>
    <row r="2509" spans="1:67" s="24" customFormat="1" ht="15" customHeight="1" x14ac:dyDescent="0.25">
      <c r="A2509" s="288" t="s">
        <v>3125</v>
      </c>
      <c r="B2509" s="241" t="str">
        <f>HYPERLINK(CONCATENATE($AT$3,BK2509,$AU$3),$AV$3)</f>
        <v>S</v>
      </c>
      <c r="C2509" s="242" t="str">
        <f>HYPERLINK(CONCATENATE($AT$4,BK2509,$AU$4,BL2509),$AV$4)</f>
        <v>A</v>
      </c>
      <c r="D2509" s="243" t="s">
        <v>5638</v>
      </c>
      <c r="E2509" s="244" t="s">
        <v>5192</v>
      </c>
      <c r="F2509" s="269" t="s">
        <v>8886</v>
      </c>
      <c r="G2509" s="273">
        <v>1.6</v>
      </c>
      <c r="H2509" s="283">
        <v>230</v>
      </c>
      <c r="I2509" s="246">
        <v>105</v>
      </c>
      <c r="J2509" s="246">
        <v>2</v>
      </c>
      <c r="K2509" s="247" t="s">
        <v>7529</v>
      </c>
      <c r="L2509" s="248">
        <v>222236</v>
      </c>
      <c r="M2509" s="249">
        <f>15*(LEFT(TEXT($L2509,"000000"),2)+(MID(TEXT($L2509,"000000"),3,2)/60)+(RIGHT(TEXT($L2509,"000000"),2)/3600))</f>
        <v>335.65000000000003</v>
      </c>
      <c r="N2509" s="250">
        <v>-40712</v>
      </c>
      <c r="O2509" s="251">
        <f>IF($N2509&gt;0,(LEFT(TEXT($N2509,"000000"),2)+(MID(TEXT($N2509,"000000"),3,2)/60)+(RIGHT(TEXT($N2509,"000000"),2)/3600)),-(MID(TEXT($N2509,"000000"),2,2)+(MID(TEXT($N2509,"000000"),4,2)/60)+(RIGHT(TEXT($N2509,"000000"),2)/3600)))</f>
        <v>-4.1199999999999992</v>
      </c>
      <c r="P2509" s="252" t="s">
        <v>3119</v>
      </c>
      <c r="Q2509" s="253"/>
      <c r="R2509" s="277" t="s">
        <v>3293</v>
      </c>
      <c r="S2509" s="272" t="s">
        <v>3293</v>
      </c>
      <c r="T2509" s="273">
        <v>12.7</v>
      </c>
      <c r="U2509" s="289">
        <v>22.490000000000002</v>
      </c>
      <c r="V2509" s="280">
        <v>50</v>
      </c>
      <c r="W2509" s="244"/>
      <c r="X2509" s="244"/>
      <c r="Y2509" s="362"/>
      <c r="Z2509" s="257">
        <f>altaz(J2000_Bas,$O2509,$M2509,DecLat,DecLong,1)</f>
        <v>31.102439383354209</v>
      </c>
      <c r="AA2509" s="257">
        <f>altaz((J2000_Bas+(2*0.04167)),$O2509,$M2509,DecLat,DecLong,1)</f>
        <v>50.22804362701951</v>
      </c>
      <c r="AB2509" s="257">
        <f>altaz((J2000_Bas+(4*0.04167)),$O2509,$M2509,DecLat,DecLong,1)</f>
        <v>53.472723099808377</v>
      </c>
      <c r="AC2509" s="257">
        <f>altaz((J2000_Bas+(6*0.04167)),$O2509,$M2509,DecLat,DecLong,1)</f>
        <v>37.739810529317992</v>
      </c>
      <c r="AD2509" s="258">
        <f>1+ transit((J2000_Bas-1),$O2509,$M2509,DecLat,DecLong)/360 + (GMTOffset/24) + (IF(DST="Y", 1, 0)/24)</f>
        <v>1.9252609785047079</v>
      </c>
      <c r="AE2509" s="259">
        <f>DATE(2001,9,21)+(M2509/360)*365 - (360*((DecLong/360)- (GMTOffset/24) ))</f>
        <v>37500.311805555553</v>
      </c>
      <c r="AF2509" s="260">
        <f>IF(DecLat&gt;0,IF((90 - (DecLat-O2509))&gt;90, (90 - (O2509-DecLat)), (90 - (DecLat-O2509))),IF((90 + (DecLat-O2509))&gt;90, (90 + (O2509-DecLat)), (90 + (DecLat-O2509))))</f>
        <v>54.88</v>
      </c>
      <c r="AG2509" s="257">
        <f>angularseperation(MoonRA,MoonDec,$M2509,$O2509)</f>
        <v>84.931514412718386</v>
      </c>
      <c r="AH2509" s="261">
        <f ca="1">MIN(100,IF($O$5&gt;80,0+30*($AG2509/100),IF($O$5&gt;70,0+50*($AG2509/100),IF($O$5&gt;60,5+50*($AG2509/100),IF($O$5&gt;50,10+60*($AG2509/100),IF($O$5&gt;40,15+70*($AG2509/100),IF($O$5&gt;30,20+70*($AG2509/100),IF($O$5&gt;20,40+55*($AG2509/100),(80+(20-$O$5)+30*($AG2509/100))))))))))</f>
        <v>100</v>
      </c>
      <c r="AI2509" s="263">
        <v>7260</v>
      </c>
      <c r="AJ2509" s="263"/>
      <c r="AK2509" s="263"/>
      <c r="AL2509" s="263"/>
      <c r="AM2509" s="264"/>
      <c r="AN2509" s="263"/>
      <c r="AO2509" s="263"/>
      <c r="AP2509" s="265"/>
      <c r="AQ2509" s="265"/>
      <c r="AR2509" s="285">
        <v>68691</v>
      </c>
      <c r="AS2509" s="263"/>
      <c r="AT2509" s="263"/>
      <c r="AU2509" s="263"/>
      <c r="AV2509" s="264"/>
      <c r="AW2509" s="263"/>
      <c r="AX2509" s="263"/>
      <c r="AY2509" s="263"/>
      <c r="AZ2509" s="263"/>
      <c r="BA2509" s="263"/>
      <c r="BB2509" s="263"/>
      <c r="BC2509" s="263"/>
      <c r="BD2509" s="264"/>
      <c r="BE2509" s="263"/>
      <c r="BF2509" s="263"/>
      <c r="BG2509" s="263"/>
      <c r="BH2509" s="263"/>
      <c r="BI2509" s="263"/>
      <c r="BJ2509" s="404">
        <f>altaz(J2000_Bas,$O2509,$M2509,DecLat,DecLong,2)</f>
        <v>117.41206930463179</v>
      </c>
      <c r="BK2509" s="378" t="s">
        <v>3125</v>
      </c>
      <c r="BL2509" s="379">
        <f>IF((2*G2509)/60&lt;0.2,0.2,(2*G2509)/60)</f>
        <v>0.2</v>
      </c>
      <c r="BM2509" s="380">
        <f>MOD((50000+AD2509-$B$3+(0/24)),1)</f>
        <v>0.14062790820753435</v>
      </c>
      <c r="BN2509" s="381"/>
      <c r="BO2509" s="382">
        <v>2500</v>
      </c>
    </row>
    <row r="2510" spans="1:67" s="24" customFormat="1" ht="15" customHeight="1" x14ac:dyDescent="0.25">
      <c r="A2510" s="288" t="s">
        <v>7597</v>
      </c>
      <c r="B2510" s="241" t="str">
        <f>HYPERLINK(CONCATENATE($AT$3,BK2510,$AU$3),$AV$3)</f>
        <v>S</v>
      </c>
      <c r="C2510" s="242" t="str">
        <f>HYPERLINK(CONCATENATE($AT$4,BK2510,$AU$4,BL2510),$AV$4)</f>
        <v>A</v>
      </c>
      <c r="D2510" s="243" t="s">
        <v>5638</v>
      </c>
      <c r="E2510" s="244" t="s">
        <v>5625</v>
      </c>
      <c r="F2510" s="269">
        <v>6</v>
      </c>
      <c r="G2510" s="291">
        <v>6</v>
      </c>
      <c r="H2510" s="283">
        <v>230</v>
      </c>
      <c r="I2510" s="284">
        <v>400</v>
      </c>
      <c r="J2510" s="246">
        <v>2</v>
      </c>
      <c r="K2510" s="247" t="s">
        <v>7530</v>
      </c>
      <c r="L2510" s="248">
        <v>222227</v>
      </c>
      <c r="M2510" s="249">
        <f>15*(LEFT(TEXT($L2510,"000000"),2)+(MID(TEXT($L2510,"000000"),3,2)/60)+(RIGHT(TEXT($L2510,"000000"),2)/3600))</f>
        <v>335.61250000000001</v>
      </c>
      <c r="N2510" s="250">
        <v>361235</v>
      </c>
      <c r="O2510" s="251">
        <f>IF($N2510&gt;0,(LEFT(TEXT($N2510,"000000"),2)+(MID(TEXT($N2510,"000000"),3,2)/60)+(RIGHT(TEXT($N2510,"000000"),2)/3600)),-(MID(TEXT($N2510,"000000"),2,2)+(MID(TEXT($N2510,"000000"),4,2)/60)+(RIGHT(TEXT($N2510,"000000"),2)/3600)))</f>
        <v>36.209722222222226</v>
      </c>
      <c r="P2510" s="252" t="s">
        <v>58</v>
      </c>
      <c r="Q2510" s="253"/>
      <c r="R2510" s="277" t="s">
        <v>3293</v>
      </c>
      <c r="S2510" s="272" t="s">
        <v>3293</v>
      </c>
      <c r="T2510" s="273">
        <v>12.1</v>
      </c>
      <c r="U2510" s="289">
        <v>22.59</v>
      </c>
      <c r="V2510" s="280"/>
      <c r="W2510" s="244"/>
      <c r="X2510" s="244"/>
      <c r="Y2510" s="362"/>
      <c r="Z2510" s="257">
        <f>altaz(J2000_Bas,$O2510,$M2510,DecLat,DecLong,1)</f>
        <v>48.799834824971917</v>
      </c>
      <c r="AA2510" s="257">
        <f>altaz((J2000_Bas+(2*0.04167)),$O2510,$M2510,DecLat,DecLong,1)</f>
        <v>72.95931954732994</v>
      </c>
      <c r="AB2510" s="257">
        <f>altaz((J2000_Bas+(4*0.04167)),$O2510,$M2510,DecLat,DecLong,1)</f>
        <v>79.787594386742853</v>
      </c>
      <c r="AC2510" s="257">
        <f>altaz((J2000_Bas+(6*0.04167)),$O2510,$M2510,DecLat,DecLong,1)</f>
        <v>55.999608918007311</v>
      </c>
      <c r="AD2510" s="258">
        <f>1+ transit((J2000_Bas-1),$O2510,$M2510,DecLat,DecLong)/360 + (GMTOffset/24) + (IF(DST="Y", 1, 0)/24)</f>
        <v>1.9251568118484579</v>
      </c>
      <c r="AE2510" s="259">
        <f>DATE(2001,9,21)+(M2510/360)*365 - (360*((DecLong/360)- (GMTOffset/24) ))</f>
        <v>37500.273784722223</v>
      </c>
      <c r="AF2510" s="260">
        <f>IF(DecLat&gt;0,IF((90 - (DecLat-O2510))&gt;90, (90 - (O2510-DecLat)), (90 - (DecLat-O2510))),IF((90 + (DecLat-O2510))&gt;90, (90 + (O2510-DecLat)), (90 + (DecLat-O2510))))</f>
        <v>84.790277777777774</v>
      </c>
      <c r="AG2510" s="257">
        <f>angularseperation(MoonRA,MoonDec,$M2510,$O2510)</f>
        <v>102.91400208329932</v>
      </c>
      <c r="AH2510" s="261">
        <f ca="1">MIN(100,IF($O$5&gt;80,0+30*($AG2510/100),IF($O$5&gt;70,0+50*($AG2510/100),IF($O$5&gt;60,5+50*($AG2510/100),IF($O$5&gt;50,10+60*($AG2510/100),IF($O$5&gt;40,15+70*($AG2510/100),IF($O$5&gt;30,20+70*($AG2510/100),IF($O$5&gt;20,40+55*($AG2510/100),(80+(20-$O$5)+30*($AG2510/100))))))))))</f>
        <v>100</v>
      </c>
      <c r="AI2510" s="262">
        <v>7265</v>
      </c>
      <c r="AJ2510" s="263"/>
      <c r="AK2510" s="263"/>
      <c r="AL2510" s="263"/>
      <c r="AM2510" s="264"/>
      <c r="AN2510" s="263"/>
      <c r="AO2510" s="263"/>
      <c r="AP2510" s="265"/>
      <c r="AQ2510" s="265">
        <v>12004</v>
      </c>
      <c r="AR2510" s="285">
        <v>68668</v>
      </c>
      <c r="AS2510" s="263"/>
      <c r="AT2510" s="263"/>
      <c r="AU2510" s="263"/>
      <c r="AV2510" s="264"/>
      <c r="AW2510" s="263"/>
      <c r="AX2510" s="263"/>
      <c r="AY2510" s="263"/>
      <c r="AZ2510" s="263"/>
      <c r="BA2510" s="263"/>
      <c r="BB2510" s="263"/>
      <c r="BC2510" s="263"/>
      <c r="BD2510" s="264"/>
      <c r="BE2510" s="263"/>
      <c r="BF2510" s="263"/>
      <c r="BG2510" s="263"/>
      <c r="BH2510" s="263"/>
      <c r="BI2510" s="263"/>
      <c r="BJ2510" s="404">
        <f>altaz(J2000_Bas,$O2510,$M2510,DecLat,DecLong,2)</f>
        <v>68.903934354842349</v>
      </c>
      <c r="BK2510" s="378" t="s">
        <v>2361</v>
      </c>
      <c r="BL2510" s="379">
        <f>IF((2*G2510)/60&lt;0.2,0.2,(2*G2510)/60)</f>
        <v>0.2</v>
      </c>
      <c r="BM2510" s="380">
        <f>MOD((50000+AD2510-$B$3+(0/24)),1)</f>
        <v>0.14052374155289726</v>
      </c>
      <c r="BN2510" s="381"/>
      <c r="BO2510" s="382">
        <v>2501</v>
      </c>
    </row>
    <row r="2511" spans="1:67" s="24" customFormat="1" ht="15" customHeight="1" x14ac:dyDescent="0.25">
      <c r="A2511" s="288" t="s">
        <v>2362</v>
      </c>
      <c r="B2511" s="241" t="str">
        <f>HYPERLINK(CONCATENATE($AT$3,BK2511,$AU$3),$AV$3)</f>
        <v>S</v>
      </c>
      <c r="C2511" s="242" t="str">
        <f>HYPERLINK(CONCATENATE($AT$4,BK2511,$AU$4,BL2511),$AV$4)</f>
        <v>A</v>
      </c>
      <c r="D2511" s="243" t="s">
        <v>5638</v>
      </c>
      <c r="E2511" s="244" t="s">
        <v>5192</v>
      </c>
      <c r="F2511" s="269" t="s">
        <v>8908</v>
      </c>
      <c r="G2511" s="273">
        <v>3</v>
      </c>
      <c r="H2511" s="283">
        <v>150</v>
      </c>
      <c r="I2511" s="246">
        <v>130</v>
      </c>
      <c r="J2511" s="246">
        <v>2</v>
      </c>
      <c r="K2511" s="247" t="s">
        <v>7531</v>
      </c>
      <c r="L2511" s="248">
        <v>222554</v>
      </c>
      <c r="M2511" s="249">
        <f>15*(LEFT(TEXT($L2511,"000000"),2)+(MID(TEXT($L2511,"000000"),3,2)/60)+(RIGHT(TEXT($L2511,"000000"),2)/3600))</f>
        <v>336.47500000000002</v>
      </c>
      <c r="N2511" s="250">
        <v>401855</v>
      </c>
      <c r="O2511" s="251">
        <f>IF($N2511&gt;0,(LEFT(TEXT($N2511,"000000"),2)+(MID(TEXT($N2511,"000000"),3,2)/60)+(RIGHT(TEXT($N2511,"000000"),2)/3600)),-(MID(TEXT($N2511,"000000"),2,2)+(MID(TEXT($N2511,"000000"),4,2)/60)+(RIGHT(TEXT($N2511,"000000"),2)/3600)))</f>
        <v>40.315277777777773</v>
      </c>
      <c r="P2511" s="252" t="s">
        <v>58</v>
      </c>
      <c r="Q2511" s="253"/>
      <c r="R2511" s="247" t="s">
        <v>3293</v>
      </c>
      <c r="S2511" s="272" t="s">
        <v>3293</v>
      </c>
      <c r="T2511" s="273">
        <v>13.7</v>
      </c>
      <c r="U2511" s="289">
        <v>23.39</v>
      </c>
      <c r="V2511" s="280">
        <v>70</v>
      </c>
      <c r="W2511" s="244"/>
      <c r="X2511" s="244"/>
      <c r="Y2511" s="362"/>
      <c r="Z2511" s="257">
        <f>altaz(J2000_Bas,$O2511,$M2511,DecLat,DecLong,1)</f>
        <v>48.521244097876128</v>
      </c>
      <c r="AA2511" s="257">
        <f>altaz((J2000_Bas+(2*0.04167)),$O2511,$M2511,DecLat,DecLong,1)</f>
        <v>71.061824315433824</v>
      </c>
      <c r="AB2511" s="257">
        <f>altaz((J2000_Bas+(4*0.04167)),$O2511,$M2511,DecLat,DecLong,1)</f>
        <v>77.816003973299374</v>
      </c>
      <c r="AC2511" s="257">
        <f>altaz((J2000_Bas+(6*0.04167)),$O2511,$M2511,DecLat,DecLong,1)</f>
        <v>56.668213953185351</v>
      </c>
      <c r="AD2511" s="258">
        <f>1+ transit((J2000_Bas-1),$O2511,$M2511,DecLat,DecLong)/360 + (GMTOffset/24) + (IF(DST="Y", 1, 0)/24)</f>
        <v>1.9275526449422082</v>
      </c>
      <c r="AE2511" s="259">
        <f>DATE(2001,9,21)+(M2511/360)*365 - (360*((DecLong/360)- (GMTOffset/24) ))</f>
        <v>37501.148263888892</v>
      </c>
      <c r="AF2511" s="260">
        <f>IF(DecLat&gt;0,IF((90 - (DecLat-O2511))&gt;90, (90 - (O2511-DecLat)), (90 - (DecLat-O2511))),IF((90 + (DecLat-O2511))&gt;90, (90 + (O2511-DecLat)), (90 + (DecLat-O2511))))</f>
        <v>80.684722222222234</v>
      </c>
      <c r="AG2511" s="257">
        <f>angularseperation(MoonRA,MoonDec,$M2511,$O2511)</f>
        <v>105.17707037496218</v>
      </c>
      <c r="AH2511" s="261">
        <f ca="1">MIN(100,IF($O$5&gt;80,0+30*($AG2511/100),IF($O$5&gt;70,0+50*($AG2511/100),IF($O$5&gt;60,5+50*($AG2511/100),IF($O$5&gt;50,10+60*($AG2511/100),IF($O$5&gt;40,15+70*($AG2511/100),IF($O$5&gt;30,20+70*($AG2511/100),IF($O$5&gt;20,40+55*($AG2511/100),(80+(20-$O$5)+30*($AG2511/100))))))))))</f>
        <v>100</v>
      </c>
      <c r="AI2511" s="262">
        <v>7282</v>
      </c>
      <c r="AJ2511" s="262"/>
      <c r="AK2511" s="262"/>
      <c r="AL2511" s="263"/>
      <c r="AM2511" s="264"/>
      <c r="AN2511" s="263"/>
      <c r="AO2511" s="263"/>
      <c r="AP2511" s="265"/>
      <c r="AQ2511" s="266">
        <v>12034</v>
      </c>
      <c r="AR2511" s="267">
        <v>68843</v>
      </c>
      <c r="AS2511" s="263"/>
      <c r="AT2511" s="263"/>
      <c r="AU2511" s="263"/>
      <c r="AV2511" s="264"/>
      <c r="AW2511" s="263"/>
      <c r="AX2511" s="263"/>
      <c r="AY2511" s="263"/>
      <c r="AZ2511" s="263"/>
      <c r="BA2511" s="263"/>
      <c r="BB2511" s="263"/>
      <c r="BC2511" s="263"/>
      <c r="BD2511" s="264"/>
      <c r="BE2511" s="263"/>
      <c r="BF2511" s="263"/>
      <c r="BG2511" s="263"/>
      <c r="BH2511" s="263"/>
      <c r="BI2511" s="263"/>
      <c r="BJ2511" s="404">
        <f>altaz(J2000_Bas,$O2511,$M2511,DecLat,DecLong,2)</f>
        <v>62.616718159686847</v>
      </c>
      <c r="BK2511" s="378" t="s">
        <v>2362</v>
      </c>
      <c r="BL2511" s="379">
        <f>IF((2*G2511)/60&lt;0.2,0.2,(2*G2511)/60)</f>
        <v>0.2</v>
      </c>
      <c r="BM2511" s="380">
        <f>MOD((50000+AD2511-$B$3+(0/24)),1)</f>
        <v>0.14291957464592997</v>
      </c>
      <c r="BN2511" s="381" t="s">
        <v>9271</v>
      </c>
      <c r="BO2511" s="382">
        <v>2502</v>
      </c>
    </row>
    <row r="2512" spans="1:67" s="24" customFormat="1" ht="15" customHeight="1" x14ac:dyDescent="0.25">
      <c r="A2512" s="288" t="s">
        <v>2363</v>
      </c>
      <c r="B2512" s="241" t="str">
        <f>HYPERLINK(CONCATENATE($AT$3,BK2512,$AU$3),$AV$3)</f>
        <v>S</v>
      </c>
      <c r="C2512" s="242" t="str">
        <f>HYPERLINK(CONCATENATE($AT$4,BK2512,$AU$4,BL2512),$AV$4)</f>
        <v>A</v>
      </c>
      <c r="D2512" s="243" t="s">
        <v>5638</v>
      </c>
      <c r="E2512" s="244" t="s">
        <v>3259</v>
      </c>
      <c r="F2512" s="269" t="s">
        <v>3287</v>
      </c>
      <c r="G2512" s="273">
        <v>2</v>
      </c>
      <c r="H2512" s="283">
        <v>20</v>
      </c>
      <c r="I2512" s="246">
        <v>12</v>
      </c>
      <c r="J2512" s="246">
        <v>2</v>
      </c>
      <c r="K2512" s="247" t="s">
        <v>7532</v>
      </c>
      <c r="L2512" s="248">
        <v>222826</v>
      </c>
      <c r="M2512" s="249">
        <f>15*(LEFT(TEXT($L2512,"000000"),2)+(MID(TEXT($L2512,"000000"),3,2)/60)+(RIGHT(TEXT($L2512,"000000"),2)/3600))</f>
        <v>337.10833333333329</v>
      </c>
      <c r="N2512" s="250">
        <v>301731</v>
      </c>
      <c r="O2512" s="251">
        <f>IF($N2512&gt;0,(LEFT(TEXT($N2512,"000000"),2)+(MID(TEXT($N2512,"000000"),3,2)/60)+(RIGHT(TEXT($N2512,"000000"),2)/3600)),-(MID(TEXT($N2512,"000000"),2,2)+(MID(TEXT($N2512,"000000"),4,2)/60)+(RIGHT(TEXT($N2512,"000000"),2)/3600)))</f>
        <v>30.291944444444447</v>
      </c>
      <c r="P2512" s="252" t="s">
        <v>39</v>
      </c>
      <c r="Q2512" s="253"/>
      <c r="R2512" s="247" t="s">
        <v>3293</v>
      </c>
      <c r="S2512" s="272" t="s">
        <v>3293</v>
      </c>
      <c r="T2512" s="273">
        <v>12.5</v>
      </c>
      <c r="U2512" s="289">
        <v>22.69</v>
      </c>
      <c r="V2512" s="280">
        <v>0</v>
      </c>
      <c r="W2512" s="244"/>
      <c r="X2512" s="244"/>
      <c r="Y2512" s="362"/>
      <c r="Z2512" s="257">
        <f>altaz(J2000_Bas,$O2512,$M2512,DecLat,DecLong,1)</f>
        <v>46.427986569047299</v>
      </c>
      <c r="AA2512" s="257">
        <f>altaz((J2000_Bas+(2*0.04167)),$O2512,$M2512,DecLat,DecLong,1)</f>
        <v>71.927763089472904</v>
      </c>
      <c r="AB2512" s="257">
        <f>altaz((J2000_Bas+(4*0.04167)),$O2512,$M2512,DecLat,DecLong,1)</f>
        <v>82.172598519725639</v>
      </c>
      <c r="AC2512" s="257">
        <f>altaz((J2000_Bas+(6*0.04167)),$O2512,$M2512,DecLat,DecLong,1)</f>
        <v>56.488710598436036</v>
      </c>
      <c r="AD2512" s="258">
        <f>1+ transit((J2000_Bas-1),$O2512,$M2512,DecLat,DecLong)/360 + (GMTOffset/24) + (IF(DST="Y", 1, 0)/24)</f>
        <v>1.9293119040255415</v>
      </c>
      <c r="AE2512" s="259">
        <f>DATE(2001,9,21)+(M2512/360)*365 - (360*((DecLong/360)- (GMTOffset/24) ))</f>
        <v>37501.790393518517</v>
      </c>
      <c r="AF2512" s="260">
        <f>IF(DecLat&gt;0,IF((90 - (DecLat-O2512))&gt;90, (90 - (O2512-DecLat)), (90 - (DecLat-O2512))),IF((90 + (DecLat-O2512))&gt;90, (90 + (O2512-DecLat)), (90 + (DecLat-O2512))))</f>
        <v>89.291944444444454</v>
      </c>
      <c r="AG2512" s="257">
        <f>angularseperation(MoonRA,MoonDec,$M2512,$O2512)</f>
        <v>101.59742472644731</v>
      </c>
      <c r="AH2512" s="261">
        <f ca="1">MIN(100,IF($O$5&gt;80,0+30*($AG2512/100),IF($O$5&gt;70,0+50*($AG2512/100),IF($O$5&gt;60,5+50*($AG2512/100),IF($O$5&gt;50,10+60*($AG2512/100),IF($O$5&gt;40,15+70*($AG2512/100),IF($O$5&gt;30,20+70*($AG2512/100),IF($O$5&gt;20,40+55*($AG2512/100),(80+(20-$O$5)+30*($AG2512/100))))))))))</f>
        <v>100</v>
      </c>
      <c r="AI2512" s="262">
        <v>7292</v>
      </c>
      <c r="AJ2512" s="262"/>
      <c r="AK2512" s="262"/>
      <c r="AL2512" s="263"/>
      <c r="AM2512" s="264"/>
      <c r="AN2512" s="263"/>
      <c r="AO2512" s="263"/>
      <c r="AP2512" s="265"/>
      <c r="AQ2512" s="266">
        <v>12048</v>
      </c>
      <c r="AR2512" s="267">
        <v>68941</v>
      </c>
      <c r="AS2512" s="263"/>
      <c r="AT2512" s="263"/>
      <c r="AU2512" s="263"/>
      <c r="AV2512" s="264"/>
      <c r="AW2512" s="263"/>
      <c r="AX2512" s="263"/>
      <c r="AY2512" s="263"/>
      <c r="AZ2512" s="263"/>
      <c r="BA2512" s="263"/>
      <c r="BB2512" s="263"/>
      <c r="BC2512" s="263"/>
      <c r="BD2512" s="264"/>
      <c r="BE2512" s="263"/>
      <c r="BF2512" s="263"/>
      <c r="BG2512" s="263"/>
      <c r="BH2512" s="263"/>
      <c r="BI2512" s="263"/>
      <c r="BJ2512" s="404">
        <f>altaz(J2000_Bas,$O2512,$M2512,DecLat,DecLong,2)</f>
        <v>77.163967806121605</v>
      </c>
      <c r="BK2512" s="378" t="s">
        <v>2363</v>
      </c>
      <c r="BL2512" s="379">
        <f>IF((2*G2512)/60&lt;0.2,0.2,(2*G2512)/60)</f>
        <v>0.2</v>
      </c>
      <c r="BM2512" s="380">
        <f>MOD((50000+AD2512-$B$3+(0/24)),1)</f>
        <v>0.14467883372708457</v>
      </c>
      <c r="BN2512" s="381"/>
      <c r="BO2512" s="382">
        <v>2503</v>
      </c>
    </row>
    <row r="2513" spans="1:67" s="24" customFormat="1" ht="15" customHeight="1" x14ac:dyDescent="0.25">
      <c r="A2513" s="288" t="s">
        <v>2364</v>
      </c>
      <c r="B2513" s="241" t="str">
        <f>HYPERLINK(CONCATENATE($AT$3,BK2513,$AU$3),$AV$3)</f>
        <v>S</v>
      </c>
      <c r="C2513" s="242" t="str">
        <f>HYPERLINK(CONCATENATE($AT$4,BK2513,$AU$4,BL2513),$AV$4)</f>
        <v>A</v>
      </c>
      <c r="D2513" s="243" t="s">
        <v>5187</v>
      </c>
      <c r="E2513" s="244" t="s">
        <v>5181</v>
      </c>
      <c r="F2513" s="269" t="s">
        <v>5751</v>
      </c>
      <c r="G2513" s="276">
        <v>12</v>
      </c>
      <c r="H2513" s="283">
        <v>650</v>
      </c>
      <c r="I2513" s="279">
        <v>2.5</v>
      </c>
      <c r="J2513" s="246">
        <v>5</v>
      </c>
      <c r="K2513" s="247" t="s">
        <v>8857</v>
      </c>
      <c r="L2513" s="248">
        <v>222938</v>
      </c>
      <c r="M2513" s="249">
        <f>15*(LEFT(TEXT($L2513,"000000"),2)+(MID(TEXT($L2513,"000000"),3,2)/60)+(RIGHT(TEXT($L2513,"000000"),2)/3600))</f>
        <v>337.40833333333336</v>
      </c>
      <c r="N2513" s="250">
        <v>-205013</v>
      </c>
      <c r="O2513" s="251">
        <f>IF($N2513&gt;0,(LEFT(TEXT($N2513,"000000"),2)+(MID(TEXT($N2513,"000000"),3,2)/60)+(RIGHT(TEXT($N2513,"000000"),2)/3600)),-(MID(TEXT($N2513,"000000"),2,2)+(MID(TEXT($N2513,"000000"),4,2)/60)+(RIGHT(TEXT($N2513,"000000"),2)/3600)))</f>
        <v>-20.836944444444445</v>
      </c>
      <c r="P2513" s="252" t="s">
        <v>3119</v>
      </c>
      <c r="Q2513" s="253" t="s">
        <v>7533</v>
      </c>
      <c r="R2513" s="247" t="s">
        <v>7375</v>
      </c>
      <c r="S2513" s="272" t="s">
        <v>3293</v>
      </c>
      <c r="T2513" s="273">
        <v>7.3</v>
      </c>
      <c r="U2513" s="274"/>
      <c r="V2513" s="280"/>
      <c r="W2513" s="244"/>
      <c r="X2513" s="244"/>
      <c r="Y2513" s="362"/>
      <c r="Z2513" s="257">
        <f>altaz(J2000_Bas,$O2513,$M2513,DecLat,DecLong,1)</f>
        <v>18.453024380132653</v>
      </c>
      <c r="AA2513" s="257">
        <f>altaz((J2000_Bas+(2*0.04167)),$O2513,$M2513,DecLat,DecLong,1)</f>
        <v>34.268477805779845</v>
      </c>
      <c r="AB2513" s="257">
        <f>altaz((J2000_Bas+(4*0.04167)),$O2513,$M2513,DecLat,DecLong,1)</f>
        <v>37.484689063665137</v>
      </c>
      <c r="AC2513" s="257">
        <f>altaz((J2000_Bas+(6*0.04167)),$O2513,$M2513,DecLat,DecLong,1)</f>
        <v>26.149054294596002</v>
      </c>
      <c r="AD2513" s="258">
        <f>1+ transit((J2000_Bas-1),$O2513,$M2513,DecLat,DecLong)/360 + (GMTOffset/24) + (IF(DST="Y", 1, 0)/24)</f>
        <v>1.9301452372755417</v>
      </c>
      <c r="AE2513" s="259">
        <f>DATE(2001,9,21)+(M2513/360)*365 - (360*((DecLong/360)- (GMTOffset/24) ))</f>
        <v>37502.094560185185</v>
      </c>
      <c r="AF2513" s="260">
        <f>IF(DecLat&gt;0,IF((90 - (DecLat-O2513))&gt;90, (90 - (O2513-DecLat)), (90 - (DecLat-O2513))),IF((90 + (DecLat-O2513))&gt;90, (90 + (O2513-DecLat)), (90 + (DecLat-O2513))))</f>
        <v>38.163055555555559</v>
      </c>
      <c r="AG2513" s="257">
        <f>angularseperation(MoonRA,MoonDec,$M2513,$O2513)</f>
        <v>79.130168742506598</v>
      </c>
      <c r="AH2513" s="261">
        <f ca="1">MIN(100,IF($O$5&gt;80,0+30*($AG2513/100),IF($O$5&gt;70,0+50*($AG2513/100),IF($O$5&gt;60,5+50*($AG2513/100),IF($O$5&gt;50,10+60*($AG2513/100),IF($O$5&gt;40,15+70*($AG2513/100),IF($O$5&gt;30,20+70*($AG2513/100),IF($O$5&gt;20,40+55*($AG2513/100),(80+(20-$O$5)+30*($AG2513/100))))))))))</f>
        <v>100</v>
      </c>
      <c r="AI2513" s="262">
        <v>7293</v>
      </c>
      <c r="AJ2513" s="262"/>
      <c r="AK2513" s="262"/>
      <c r="AL2513" s="263"/>
      <c r="AM2513" s="264">
        <v>63</v>
      </c>
      <c r="AN2513" s="263"/>
      <c r="AO2513" s="263"/>
      <c r="AP2513" s="265"/>
      <c r="AQ2513" s="266"/>
      <c r="AR2513" s="267"/>
      <c r="AS2513" s="263"/>
      <c r="AT2513" s="263">
        <v>43</v>
      </c>
      <c r="AU2513" s="263"/>
      <c r="AV2513" s="264"/>
      <c r="AW2513" s="263"/>
      <c r="AX2513" s="263"/>
      <c r="AY2513" s="263"/>
      <c r="AZ2513" s="263"/>
      <c r="BA2513" s="263"/>
      <c r="BB2513" s="263"/>
      <c r="BC2513" s="263"/>
      <c r="BD2513" s="264"/>
      <c r="BE2513" s="263"/>
      <c r="BF2513" s="263"/>
      <c r="BG2513" s="263"/>
      <c r="BH2513" s="263"/>
      <c r="BI2513" s="263"/>
      <c r="BJ2513" s="404">
        <f>altaz(J2000_Bas,$O2513,$M2513,DecLat,DecLong,2)</f>
        <v>129.64089598559138</v>
      </c>
      <c r="BK2513" s="378" t="s">
        <v>2364</v>
      </c>
      <c r="BL2513" s="379">
        <f>IF((2*G2513)/60&lt;0.2,0.2,(2*G2513)/60)</f>
        <v>0.4</v>
      </c>
      <c r="BM2513" s="380">
        <f>MOD((50000+AD2513-$B$3+(0/24)),1)</f>
        <v>0.14551216697873315</v>
      </c>
      <c r="BN2513" s="381" t="s">
        <v>8665</v>
      </c>
      <c r="BO2513" s="382">
        <v>2504</v>
      </c>
    </row>
    <row r="2514" spans="1:67" s="24" customFormat="1" ht="15" customHeight="1" x14ac:dyDescent="0.25">
      <c r="A2514" s="287" t="s">
        <v>3035</v>
      </c>
      <c r="B2514" s="241" t="str">
        <f>HYPERLINK(CONCATENATE($AT$3,BK2514,$AU$3),$AV$3)</f>
        <v>S</v>
      </c>
      <c r="C2514" s="242" t="str">
        <f>HYPERLINK(CONCATENATE($AT$4,BK2514,$AU$4,BL2514),$AV$4)</f>
        <v>A</v>
      </c>
      <c r="D2514" s="243" t="s">
        <v>5335</v>
      </c>
      <c r="E2514" s="244" t="s">
        <v>5185</v>
      </c>
      <c r="F2514" s="269" t="s">
        <v>6665</v>
      </c>
      <c r="G2514" s="273">
        <v>4</v>
      </c>
      <c r="H2514" s="283">
        <v>7700</v>
      </c>
      <c r="I2514" s="279">
        <v>9</v>
      </c>
      <c r="J2514" s="246">
        <v>2</v>
      </c>
      <c r="K2514" s="247" t="s">
        <v>7534</v>
      </c>
      <c r="L2514" s="248">
        <v>222812</v>
      </c>
      <c r="M2514" s="249">
        <f>15*(LEFT(TEXT($L2514,"000000"),2)+(MID(TEXT($L2514,"000000"),3,2)/60)+(RIGHT(TEXT($L2514,"000000"),2)/3600))</f>
        <v>337.04999999999995</v>
      </c>
      <c r="N2514" s="250">
        <v>521700</v>
      </c>
      <c r="O2514" s="251">
        <f>IF($N2514&gt;0,(LEFT(TEXT($N2514,"000000"),2)+(MID(TEXT($N2514,"000000"),3,2)/60)+(RIGHT(TEXT($N2514,"000000"),2)/3600)),-(MID(TEXT($N2514,"000000"),2,2)+(MID(TEXT($N2514,"000000"),4,2)/60)+(RIGHT(TEXT($N2514,"000000"),2)/3600)))</f>
        <v>52.283333333333331</v>
      </c>
      <c r="P2514" s="252" t="s">
        <v>58</v>
      </c>
      <c r="Q2514" s="253"/>
      <c r="R2514" s="277" t="s">
        <v>3293</v>
      </c>
      <c r="S2514" s="272" t="s">
        <v>3293</v>
      </c>
      <c r="T2514" s="273">
        <v>9.6999999999999993</v>
      </c>
      <c r="U2514" s="274"/>
      <c r="V2514" s="280"/>
      <c r="W2514" s="244"/>
      <c r="X2514" s="244"/>
      <c r="Y2514" s="362"/>
      <c r="Z2514" s="257">
        <f>altaz(J2000_Bas,$O2514,$M2514,DecLat,DecLong,1)</f>
        <v>47.483561534160962</v>
      </c>
      <c r="AA2514" s="257">
        <f>altaz((J2000_Bas+(2*0.04167)),$O2514,$M2514,DecLat,DecLong,1)</f>
        <v>63.778117714945743</v>
      </c>
      <c r="AB2514" s="257">
        <f>altaz((J2000_Bas+(4*0.04167)),$O2514,$M2514,DecLat,DecLong,1)</f>
        <v>67.6933180227375</v>
      </c>
      <c r="AC2514" s="257">
        <f>altaz((J2000_Bas+(6*0.04167)),$O2514,$M2514,DecLat,DecLong,1)</f>
        <v>54.463600202089083</v>
      </c>
      <c r="AD2514" s="258">
        <f>1+ transit((J2000_Bas-1),$O2514,$M2514,DecLat,DecLong)/360 + (GMTOffset/24) + (IF(DST="Y", 1, 0)/24)</f>
        <v>1.9291498670047076</v>
      </c>
      <c r="AE2514" s="259">
        <f>DATE(2001,9,21)+(M2514/360)*365 - (360*((DecLong/360)- (GMTOffset/24) ))</f>
        <v>37501.731249999997</v>
      </c>
      <c r="AF2514" s="260">
        <f>IF(DecLat&gt;0,IF((90 - (DecLat-O2514))&gt;90, (90 - (O2514-DecLat)), (90 - (DecLat-O2514))),IF((90 + (DecLat-O2514))&gt;90, (90 + (O2514-DecLat)), (90 + (DecLat-O2514))))</f>
        <v>68.716666666666669</v>
      </c>
      <c r="AG2514" s="257">
        <f>angularseperation(MoonRA,MoonDec,$M2514,$O2514)</f>
        <v>109.83602078550891</v>
      </c>
      <c r="AH2514" s="261">
        <f ca="1">MIN(100,IF($O$5&gt;80,0+30*($AG2514/100),IF($O$5&gt;70,0+50*($AG2514/100),IF($O$5&gt;60,5+50*($AG2514/100),IF($O$5&gt;50,10+60*($AG2514/100),IF($O$5&gt;40,15+70*($AG2514/100),IF($O$5&gt;30,20+70*($AG2514/100),IF($O$5&gt;20,40+55*($AG2514/100),(80+(20-$O$5)+30*($AG2514/100))))))))))</f>
        <v>100</v>
      </c>
      <c r="AI2514" s="262">
        <v>7296</v>
      </c>
      <c r="AJ2514" s="263"/>
      <c r="AK2514" s="263">
        <v>387</v>
      </c>
      <c r="AL2514" s="263"/>
      <c r="AM2514" s="264"/>
      <c r="AN2514" s="263"/>
      <c r="AO2514" s="263"/>
      <c r="AP2514" s="265"/>
      <c r="AQ2514" s="265"/>
      <c r="AR2514" s="285"/>
      <c r="AS2514" s="263"/>
      <c r="AT2514" s="263"/>
      <c r="AU2514" s="263"/>
      <c r="AV2514" s="264"/>
      <c r="AW2514" s="263"/>
      <c r="AX2514" s="263"/>
      <c r="AY2514" s="263"/>
      <c r="AZ2514" s="263"/>
      <c r="BA2514" s="263"/>
      <c r="BB2514" s="263"/>
      <c r="BC2514" s="263"/>
      <c r="BD2514" s="264"/>
      <c r="BE2514" s="263"/>
      <c r="BF2514" s="263"/>
      <c r="BG2514" s="263"/>
      <c r="BH2514" s="263"/>
      <c r="BI2514" s="263"/>
      <c r="BJ2514" s="404">
        <f>altaz(J2000_Bas,$O2514,$M2514,DecLat,DecLong,2)</f>
        <v>44.74622963148898</v>
      </c>
      <c r="BK2514" s="378" t="s">
        <v>3035</v>
      </c>
      <c r="BL2514" s="379">
        <f>IF((2*G2514)/60&lt;0.2,0.2,(2*G2514)/60)</f>
        <v>0.2</v>
      </c>
      <c r="BM2514" s="380">
        <f>MOD((50000+AD2514-$B$3+(0/24)),1)</f>
        <v>0.14451679671037709</v>
      </c>
      <c r="BN2514" s="381"/>
      <c r="BO2514" s="382">
        <v>2505</v>
      </c>
    </row>
    <row r="2515" spans="1:67" s="24" customFormat="1" ht="15" customHeight="1" x14ac:dyDescent="0.25">
      <c r="A2515" s="288" t="s">
        <v>2365</v>
      </c>
      <c r="B2515" s="241" t="str">
        <f>HYPERLINK(CONCATENATE($AT$3,BK2515,$AU$3),$AV$3)</f>
        <v>S</v>
      </c>
      <c r="C2515" s="242" t="str">
        <f>HYPERLINK(CONCATENATE($AT$4,BK2515,$AU$4,BL2515),$AV$4)</f>
        <v>A</v>
      </c>
      <c r="D2515" s="243" t="s">
        <v>5638</v>
      </c>
      <c r="E2515" s="244" t="s">
        <v>5192</v>
      </c>
      <c r="F2515" s="269" t="s">
        <v>8886</v>
      </c>
      <c r="G2515" s="273">
        <v>1.7</v>
      </c>
      <c r="H2515" s="283">
        <v>150</v>
      </c>
      <c r="I2515" s="246">
        <v>75</v>
      </c>
      <c r="J2515" s="246">
        <v>2</v>
      </c>
      <c r="K2515" s="247" t="s">
        <v>7535</v>
      </c>
      <c r="L2515" s="248">
        <v>223133</v>
      </c>
      <c r="M2515" s="249">
        <f>15*(LEFT(TEXT($L2515,"000000"),2)+(MID(TEXT($L2515,"000000"),3,2)/60)+(RIGHT(TEXT($L2515,"000000"),2)/3600))</f>
        <v>337.88749999999999</v>
      </c>
      <c r="N2515" s="250">
        <v>305722</v>
      </c>
      <c r="O2515" s="251">
        <f>IF($N2515&gt;0,(LEFT(TEXT($N2515,"000000"),2)+(MID(TEXT($N2515,"000000"),3,2)/60)+(RIGHT(TEXT($N2515,"000000"),2)/3600)),-(MID(TEXT($N2515,"000000"),2,2)+(MID(TEXT($N2515,"000000"),4,2)/60)+(RIGHT(TEXT($N2515,"000000"),2)/3600)))</f>
        <v>30.95611111111111</v>
      </c>
      <c r="P2515" s="252" t="s">
        <v>39</v>
      </c>
      <c r="Q2515" s="253"/>
      <c r="R2515" s="247" t="s">
        <v>3293</v>
      </c>
      <c r="S2515" s="272" t="s">
        <v>3293</v>
      </c>
      <c r="T2515" s="273">
        <v>12.8</v>
      </c>
      <c r="U2515" s="289">
        <v>22.09</v>
      </c>
      <c r="V2515" s="280">
        <v>20</v>
      </c>
      <c r="W2515" s="244"/>
      <c r="X2515" s="244"/>
      <c r="Y2515" s="362"/>
      <c r="Z2515" s="257">
        <f>altaz(J2000_Bas,$O2515,$M2515,DecLat,DecLong,1)</f>
        <v>45.942766754323927</v>
      </c>
      <c r="AA2515" s="257">
        <f>altaz((J2000_Bas+(2*0.04167)),$O2515,$M2515,DecLat,DecLong,1)</f>
        <v>71.339296372356912</v>
      </c>
      <c r="AB2515" s="257">
        <f>altaz((J2000_Bas+(4*0.04167)),$O2515,$M2515,DecLat,DecLong,1)</f>
        <v>82.898914616929162</v>
      </c>
      <c r="AC2515" s="257">
        <f>altaz((J2000_Bas+(6*0.04167)),$O2515,$M2515,DecLat,DecLong,1)</f>
        <v>57.272069417946774</v>
      </c>
      <c r="AD2515" s="258">
        <f>1+ transit((J2000_Bas-1),$O2515,$M2515,DecLat,DecLong)/360 + (GMTOffset/24) + (IF(DST="Y", 1, 0)/24)</f>
        <v>1.9314762556609579</v>
      </c>
      <c r="AE2515" s="259">
        <f>DATE(2001,9,21)+(M2515/360)*365 - (360*((DecLong/360)- (GMTOffset/24) ))</f>
        <v>37502.580381944441</v>
      </c>
      <c r="AF2515" s="260">
        <f>IF(DecLat&gt;0,IF((90 - (DecLat-O2515))&gt;90, (90 - (O2515-DecLat)), (90 - (DecLat-O2515))),IF((90 + (DecLat-O2515))&gt;90, (90 + (O2515-DecLat)), (90 + (DecLat-O2515))))</f>
        <v>89.956111111111113</v>
      </c>
      <c r="AG2515" s="257">
        <f>angularseperation(MoonRA,MoonDec,$M2515,$O2515)</f>
        <v>102.48297513480424</v>
      </c>
      <c r="AH2515" s="261">
        <f ca="1">MIN(100,IF($O$5&gt;80,0+30*($AG2515/100),IF($O$5&gt;70,0+50*($AG2515/100),IF($O$5&gt;60,5+50*($AG2515/100),IF($O$5&gt;50,10+60*($AG2515/100),IF($O$5&gt;40,15+70*($AG2515/100),IF($O$5&gt;30,20+70*($AG2515/100),IF($O$5&gt;20,40+55*($AG2515/100),(80+(20-$O$5)+30*($AG2515/100))))))))))</f>
        <v>100</v>
      </c>
      <c r="AI2515" s="262">
        <v>7303</v>
      </c>
      <c r="AJ2515" s="262"/>
      <c r="AK2515" s="262"/>
      <c r="AL2515" s="263"/>
      <c r="AM2515" s="264"/>
      <c r="AN2515" s="263"/>
      <c r="AO2515" s="263"/>
      <c r="AP2515" s="265"/>
      <c r="AQ2515" s="266">
        <v>12065</v>
      </c>
      <c r="AR2515" s="267">
        <v>69061</v>
      </c>
      <c r="AS2515" s="263"/>
      <c r="AT2515" s="263"/>
      <c r="AU2515" s="263"/>
      <c r="AV2515" s="264"/>
      <c r="AW2515" s="263"/>
      <c r="AX2515" s="263"/>
      <c r="AY2515" s="263"/>
      <c r="AZ2515" s="263"/>
      <c r="BA2515" s="263"/>
      <c r="BB2515" s="263"/>
      <c r="BC2515" s="263"/>
      <c r="BD2515" s="264"/>
      <c r="BE2515" s="263"/>
      <c r="BF2515" s="263"/>
      <c r="BG2515" s="263"/>
      <c r="BH2515" s="263"/>
      <c r="BI2515" s="263"/>
      <c r="BJ2515" s="404">
        <f>altaz(J2000_Bas,$O2515,$M2515,DecLat,DecLong,2)</f>
        <v>75.994750975368504</v>
      </c>
      <c r="BK2515" s="378" t="s">
        <v>2365</v>
      </c>
      <c r="BL2515" s="379">
        <f>IF((2*G2515)/60&lt;0.2,0.2,(2*G2515)/60)</f>
        <v>0.2</v>
      </c>
      <c r="BM2515" s="380">
        <f>MOD((50000+AD2515-$B$3+(0/24)),1)</f>
        <v>0.14684318536455976</v>
      </c>
      <c r="BN2515" s="381" t="s">
        <v>9221</v>
      </c>
      <c r="BO2515" s="382">
        <v>2506</v>
      </c>
    </row>
    <row r="2516" spans="1:67" s="24" customFormat="1" ht="15" customHeight="1" x14ac:dyDescent="0.25">
      <c r="A2516" s="288" t="s">
        <v>2366</v>
      </c>
      <c r="B2516" s="241" t="str">
        <f>HYPERLINK(CONCATENATE($AT$3,BK2516,$AU$3),$AV$3)</f>
        <v>S</v>
      </c>
      <c r="C2516" s="242" t="str">
        <f>HYPERLINK(CONCATENATE($AT$4,BK2516,$AU$4,BL2516),$AV$4)</f>
        <v>A</v>
      </c>
      <c r="D2516" s="243" t="s">
        <v>5638</v>
      </c>
      <c r="E2516" s="244" t="s">
        <v>5192</v>
      </c>
      <c r="F2516" s="269" t="s">
        <v>8689</v>
      </c>
      <c r="G2516" s="273">
        <v>1.8</v>
      </c>
      <c r="H2516" s="283">
        <v>190</v>
      </c>
      <c r="I2516" s="246">
        <v>100</v>
      </c>
      <c r="J2516" s="246">
        <v>2</v>
      </c>
      <c r="K2516" s="247" t="s">
        <v>7536</v>
      </c>
      <c r="L2516" s="248">
        <v>223420</v>
      </c>
      <c r="M2516" s="249">
        <f>15*(LEFT(TEXT($L2516,"000000"),2)+(MID(TEXT($L2516,"000000"),3,2)/60)+(RIGHT(TEXT($L2516,"000000"),2)/3600))</f>
        <v>338.58333333333337</v>
      </c>
      <c r="N2516" s="250">
        <v>-102125</v>
      </c>
      <c r="O2516" s="251">
        <f>IF($N2516&gt;0,(LEFT(TEXT($N2516,"000000"),2)+(MID(TEXT($N2516,"000000"),3,2)/60)+(RIGHT(TEXT($N2516,"000000"),2)/3600)),-(MID(TEXT($N2516,"000000"),2,2)+(MID(TEXT($N2516,"000000"),4,2)/60)+(RIGHT(TEXT($N2516,"000000"),2)/3600)))</f>
        <v>-10.356944444444444</v>
      </c>
      <c r="P2516" s="252" t="s">
        <v>3119</v>
      </c>
      <c r="Q2516" s="253"/>
      <c r="R2516" s="247" t="s">
        <v>3293</v>
      </c>
      <c r="S2516" s="272" t="s">
        <v>3293</v>
      </c>
      <c r="T2516" s="273">
        <v>12.5</v>
      </c>
      <c r="U2516" s="289">
        <v>22.59</v>
      </c>
      <c r="V2516" s="280">
        <v>20</v>
      </c>
      <c r="W2516" s="244"/>
      <c r="X2516" s="244"/>
      <c r="Y2516" s="362"/>
      <c r="Z2516" s="257">
        <f>altaz(J2000_Bas,$O2516,$M2516,DecLat,DecLong,1)</f>
        <v>24.820201569550409</v>
      </c>
      <c r="AA2516" s="257">
        <f>altaz((J2000_Bas+(2*0.04167)),$O2516,$M2516,DecLat,DecLong,1)</f>
        <v>43.349318027094625</v>
      </c>
      <c r="AB2516" s="257">
        <f>altaz((J2000_Bas+(4*0.04167)),$O2516,$M2516,DecLat,DecLong,1)</f>
        <v>48.006723142014827</v>
      </c>
      <c r="AC2516" s="257">
        <f>altaz((J2000_Bas+(6*0.04167)),$O2516,$M2516,DecLat,DecLong,1)</f>
        <v>35.086383442660804</v>
      </c>
      <c r="AD2516" s="258">
        <f>1+ transit((J2000_Bas-1),$O2516,$M2516,DecLat,DecLong)/360 + (GMTOffset/24) + (IF(DST="Y", 1, 0)/24)</f>
        <v>1.9334091258380413</v>
      </c>
      <c r="AE2516" s="259">
        <f>DATE(2001,9,21)+(M2516/360)*365 - (360*((DecLong/360)- (GMTOffset/24) ))</f>
        <v>37503.285879629628</v>
      </c>
      <c r="AF2516" s="260">
        <f>IF(DecLat&gt;0,IF((90 - (DecLat-O2516))&gt;90, (90 - (O2516-DecLat)), (90 - (DecLat-O2516))),IF((90 + (DecLat-O2516))&gt;90, (90 + (O2516-DecLat)), (90 + (DecLat-O2516))))</f>
        <v>48.643055555555556</v>
      </c>
      <c r="AG2516" s="257">
        <f>angularseperation(MoonRA,MoonDec,$M2516,$O2516)</f>
        <v>84.725907298525556</v>
      </c>
      <c r="AH2516" s="261">
        <f ca="1">MIN(100,IF($O$5&gt;80,0+30*($AG2516/100),IF($O$5&gt;70,0+50*($AG2516/100),IF($O$5&gt;60,5+50*($AG2516/100),IF($O$5&gt;50,10+60*($AG2516/100),IF($O$5&gt;40,15+70*($AG2516/100),IF($O$5&gt;30,20+70*($AG2516/100),IF($O$5&gt;20,40+55*($AG2516/100),(80+(20-$O$5)+30*($AG2516/100))))))))))</f>
        <v>100</v>
      </c>
      <c r="AI2516" s="262">
        <v>7309</v>
      </c>
      <c r="AJ2516" s="262"/>
      <c r="AK2516" s="262"/>
      <c r="AL2516" s="263"/>
      <c r="AM2516" s="264"/>
      <c r="AN2516" s="263"/>
      <c r="AO2516" s="263"/>
      <c r="AP2516" s="265"/>
      <c r="AQ2516" s="266"/>
      <c r="AR2516" s="267">
        <v>69183</v>
      </c>
      <c r="AS2516" s="263"/>
      <c r="AT2516" s="263"/>
      <c r="AU2516" s="263"/>
      <c r="AV2516" s="264"/>
      <c r="AW2516" s="263"/>
      <c r="AX2516" s="263"/>
      <c r="AY2516" s="263"/>
      <c r="AZ2516" s="263"/>
      <c r="BA2516" s="263"/>
      <c r="BB2516" s="263"/>
      <c r="BC2516" s="263"/>
      <c r="BD2516" s="264"/>
      <c r="BE2516" s="263"/>
      <c r="BF2516" s="263"/>
      <c r="BG2516" s="263"/>
      <c r="BH2516" s="263"/>
      <c r="BI2516" s="263"/>
      <c r="BJ2516" s="404">
        <f>altaz(J2000_Bas,$O2516,$M2516,DecLat,DecLong,2)</f>
        <v>120.59566163175694</v>
      </c>
      <c r="BK2516" s="378" t="s">
        <v>2366</v>
      </c>
      <c r="BL2516" s="379">
        <f>IF((2*G2516)/60&lt;0.2,0.2,(2*G2516)/60)</f>
        <v>0.2</v>
      </c>
      <c r="BM2516" s="380">
        <f>MOD((50000+AD2516-$B$3+(0/24)),1)</f>
        <v>0.14877605553920148</v>
      </c>
      <c r="BN2516" s="381" t="s">
        <v>6500</v>
      </c>
      <c r="BO2516" s="382">
        <v>2507</v>
      </c>
    </row>
    <row r="2517" spans="1:67" s="24" customFormat="1" ht="15" customHeight="1" x14ac:dyDescent="0.25">
      <c r="A2517" s="288" t="s">
        <v>2367</v>
      </c>
      <c r="B2517" s="241" t="str">
        <f>HYPERLINK(CONCATENATE($AT$3,BK2517,$AU$3),$AV$3)</f>
        <v>S</v>
      </c>
      <c r="C2517" s="242" t="str">
        <f>HYPERLINK(CONCATENATE($AT$4,BK2517,$AU$4,BL2517),$AV$4)</f>
        <v>A</v>
      </c>
      <c r="D2517" s="243" t="s">
        <v>5638</v>
      </c>
      <c r="E2517" s="244" t="s">
        <v>5192</v>
      </c>
      <c r="F2517" s="269" t="s">
        <v>8915</v>
      </c>
      <c r="G2517" s="273">
        <v>1.7</v>
      </c>
      <c r="H2517" s="283">
        <v>340</v>
      </c>
      <c r="I2517" s="246">
        <v>170</v>
      </c>
      <c r="J2517" s="246">
        <v>2</v>
      </c>
      <c r="K2517" s="247" t="s">
        <v>7537</v>
      </c>
      <c r="L2517" s="248">
        <v>223628</v>
      </c>
      <c r="M2517" s="249">
        <f>15*(LEFT(TEXT($L2517,"000000"),2)+(MID(TEXT($L2517,"000000"),3,2)/60)+(RIGHT(TEXT($L2517,"000000"),2)/3600))</f>
        <v>339.11666666666673</v>
      </c>
      <c r="N2517" s="250">
        <v>213716</v>
      </c>
      <c r="O2517" s="251">
        <f>IF($N2517&gt;0,(LEFT(TEXT($N2517,"000000"),2)+(MID(TEXT($N2517,"000000"),3,2)/60)+(RIGHT(TEXT($N2517,"000000"),2)/3600)),-(MID(TEXT($N2517,"000000"),2,2)+(MID(TEXT($N2517,"000000"),4,2)/60)+(RIGHT(TEXT($N2517,"000000"),2)/3600)))</f>
        <v>21.621111111111112</v>
      </c>
      <c r="P2517" s="252" t="s">
        <v>39</v>
      </c>
      <c r="Q2517" s="253"/>
      <c r="R2517" s="247" t="s">
        <v>3293</v>
      </c>
      <c r="S2517" s="272" t="s">
        <v>3293</v>
      </c>
      <c r="T2517" s="273">
        <v>12.9</v>
      </c>
      <c r="U2517" s="289">
        <v>22.29</v>
      </c>
      <c r="V2517" s="280">
        <v>55</v>
      </c>
      <c r="W2517" s="244"/>
      <c r="X2517" s="244"/>
      <c r="Y2517" s="362"/>
      <c r="Z2517" s="257">
        <f>altaz(J2000_Bas,$O2517,$M2517,DecLat,DecLong,1)</f>
        <v>41.918118880818376</v>
      </c>
      <c r="AA2517" s="257">
        <f>altaz((J2000_Bas+(2*0.04167)),$O2517,$M2517,DecLat,DecLong,1)</f>
        <v>67.387383265161873</v>
      </c>
      <c r="AB2517" s="257">
        <f>altaz((J2000_Bas+(4*0.04167)),$O2517,$M2517,DecLat,DecLong,1)</f>
        <v>78.695407484199293</v>
      </c>
      <c r="AC2517" s="257">
        <f>altaz((J2000_Bas+(6*0.04167)),$O2517,$M2517,DecLat,DecLong,1)</f>
        <v>55.58881302766725</v>
      </c>
      <c r="AD2517" s="258">
        <f>1+ transit((J2000_Bas-1),$O2517,$M2517,DecLat,DecLong)/360 + (GMTOffset/24) + (IF(DST="Y", 1, 0)/24)</f>
        <v>1.934890607171375</v>
      </c>
      <c r="AE2517" s="259">
        <f>DATE(2001,9,21)+(M2517/360)*365 - (360*((DecLong/360)- (GMTOffset/24) ))</f>
        <v>37503.826620370368</v>
      </c>
      <c r="AF2517" s="260">
        <f>IF(DecLat&gt;0,IF((90 - (DecLat-O2517))&gt;90, (90 - (O2517-DecLat)), (90 - (DecLat-O2517))),IF((90 + (DecLat-O2517))&gt;90, (90 + (O2517-DecLat)), (90 + (DecLat-O2517))))</f>
        <v>80.621111111111105</v>
      </c>
      <c r="AG2517" s="257">
        <f>angularseperation(MoonRA,MoonDec,$M2517,$O2517)</f>
        <v>99.552597488556202</v>
      </c>
      <c r="AH2517" s="261">
        <f ca="1">MIN(100,IF($O$5&gt;80,0+30*($AG2517/100),IF($O$5&gt;70,0+50*($AG2517/100),IF($O$5&gt;60,5+50*($AG2517/100),IF($O$5&gt;50,10+60*($AG2517/100),IF($O$5&gt;40,15+70*($AG2517/100),IF($O$5&gt;30,20+70*($AG2517/100),IF($O$5&gt;20,40+55*($AG2517/100),(80+(20-$O$5)+30*($AG2517/100))))))))))</f>
        <v>100</v>
      </c>
      <c r="AI2517" s="262">
        <v>7321</v>
      </c>
      <c r="AJ2517" s="262"/>
      <c r="AK2517" s="262"/>
      <c r="AL2517" s="263"/>
      <c r="AM2517" s="264"/>
      <c r="AN2517" s="263"/>
      <c r="AO2517" s="263"/>
      <c r="AP2517" s="265"/>
      <c r="AQ2517" s="266">
        <v>12103</v>
      </c>
      <c r="AR2517" s="267">
        <v>69287</v>
      </c>
      <c r="AS2517" s="263"/>
      <c r="AT2517" s="263"/>
      <c r="AU2517" s="263"/>
      <c r="AV2517" s="264"/>
      <c r="AW2517" s="263"/>
      <c r="AX2517" s="263"/>
      <c r="AY2517" s="263"/>
      <c r="AZ2517" s="263"/>
      <c r="BA2517" s="263"/>
      <c r="BB2517" s="263"/>
      <c r="BC2517" s="263"/>
      <c r="BD2517" s="264"/>
      <c r="BE2517" s="263"/>
      <c r="BF2517" s="263"/>
      <c r="BG2517" s="263"/>
      <c r="BH2517" s="263"/>
      <c r="BI2517" s="263"/>
      <c r="BJ2517" s="404">
        <f>altaz(J2000_Bas,$O2517,$M2517,DecLat,DecLong,2)</f>
        <v>87.808787072212908</v>
      </c>
      <c r="BK2517" s="378" t="s">
        <v>2367</v>
      </c>
      <c r="BL2517" s="379">
        <f>IF((2*G2517)/60&lt;0.2,0.2,(2*G2517)/60)</f>
        <v>0.2</v>
      </c>
      <c r="BM2517" s="380">
        <f>MOD((50000+AD2517-$B$3+(0/24)),1)</f>
        <v>0.15025753687223187</v>
      </c>
      <c r="BN2517" s="381"/>
      <c r="BO2517" s="382">
        <v>2508</v>
      </c>
    </row>
    <row r="2518" spans="1:67" s="24" customFormat="1" ht="15" customHeight="1" x14ac:dyDescent="0.25">
      <c r="A2518" s="288" t="s">
        <v>2368</v>
      </c>
      <c r="B2518" s="241" t="str">
        <f>HYPERLINK(CONCATENATE($AT$3,BK2518,$AU$3),$AV$3)</f>
        <v>S</v>
      </c>
      <c r="C2518" s="242" t="str">
        <f>HYPERLINK(CONCATENATE($AT$4,BK2518,$AU$4,BL2518),$AV$4)</f>
        <v>A</v>
      </c>
      <c r="D2518" s="243" t="s">
        <v>5638</v>
      </c>
      <c r="E2518" s="244" t="s">
        <v>7538</v>
      </c>
      <c r="F2518" s="269" t="s">
        <v>8799</v>
      </c>
      <c r="G2518" s="276">
        <v>10</v>
      </c>
      <c r="H2518" s="283">
        <v>45</v>
      </c>
      <c r="I2518" s="246">
        <v>130</v>
      </c>
      <c r="J2518" s="246">
        <v>4</v>
      </c>
      <c r="K2518" s="247" t="s">
        <v>8333</v>
      </c>
      <c r="L2518" s="248">
        <v>223704</v>
      </c>
      <c r="M2518" s="249">
        <f>15*(LEFT(TEXT($L2518,"000000"),2)+(MID(TEXT($L2518,"000000"),3,2)/60)+(RIGHT(TEXT($L2518,"000000"),2)/3600))</f>
        <v>339.26666666666665</v>
      </c>
      <c r="N2518" s="250">
        <v>342457</v>
      </c>
      <c r="O2518" s="251">
        <f>IF($N2518&gt;0,(LEFT(TEXT($N2518,"000000"),2)+(MID(TEXT($N2518,"000000"),3,2)/60)+(RIGHT(TEXT($N2518,"000000"),2)/3600)),-(MID(TEXT($N2518,"000000"),2,2)+(MID(TEXT($N2518,"000000"),4,2)/60)+(RIGHT(TEXT($N2518,"000000"),2)/3600)))</f>
        <v>34.415833333333332</v>
      </c>
      <c r="P2518" s="252" t="s">
        <v>39</v>
      </c>
      <c r="Q2518" s="253" t="s">
        <v>2369</v>
      </c>
      <c r="R2518" s="247" t="s">
        <v>7354</v>
      </c>
      <c r="S2518" s="272" t="s">
        <v>3293</v>
      </c>
      <c r="T2518" s="273">
        <v>9.5</v>
      </c>
      <c r="U2518" s="289">
        <v>22.19</v>
      </c>
      <c r="V2518" s="280">
        <v>75</v>
      </c>
      <c r="W2518" s="244"/>
      <c r="X2518" s="244"/>
      <c r="Y2518" s="362"/>
      <c r="Z2518" s="257">
        <f>altaz(J2000_Bas,$O2518,$M2518,DecLat,DecLong,1)</f>
        <v>45.565335814039585</v>
      </c>
      <c r="AA2518" s="257">
        <f>altaz((J2000_Bas+(2*0.04167)),$O2518,$M2518,DecLat,DecLong,1)</f>
        <v>70.244149817686477</v>
      </c>
      <c r="AB2518" s="257">
        <f>altaz((J2000_Bas+(4*0.04167)),$O2518,$M2518,DecLat,DecLong,1)</f>
        <v>83.262676968777939</v>
      </c>
      <c r="AC2518" s="257">
        <f>altaz((J2000_Bas+(6*0.04167)),$O2518,$M2518,DecLat,DecLong,1)</f>
        <v>58.860473208783674</v>
      </c>
      <c r="AD2518" s="258">
        <f>1+ transit((J2000_Bas-1),$O2518,$M2518,DecLat,DecLong)/360 + (GMTOffset/24) + (IF(DST="Y", 1, 0)/24)</f>
        <v>1.9353072737963746</v>
      </c>
      <c r="AE2518" s="259">
        <f>DATE(2001,9,21)+(M2518/360)*365 - (360*((DecLong/360)- (GMTOffset/24) ))</f>
        <v>37503.978703703702</v>
      </c>
      <c r="AF2518" s="260">
        <f>IF(DecLat&gt;0,IF((90 - (DecLat-O2518))&gt;90, (90 - (O2518-DecLat)), (90 - (DecLat-O2518))),IF((90 + (DecLat-O2518))&gt;90, (90 + (O2518-DecLat)), (90 + (DecLat-O2518))))</f>
        <v>86.584166666666675</v>
      </c>
      <c r="AG2518" s="257">
        <f>angularseperation(MoonRA,MoonDec,$M2518,$O2518)</f>
        <v>104.93062789606971</v>
      </c>
      <c r="AH2518" s="261">
        <f ca="1">MIN(100,IF($O$5&gt;80,0+30*($AG2518/100),IF($O$5&gt;70,0+50*($AG2518/100),IF($O$5&gt;60,5+50*($AG2518/100),IF($O$5&gt;50,10+60*($AG2518/100),IF($O$5&gt;40,15+70*($AG2518/100),IF($O$5&gt;30,20+70*($AG2518/100),IF($O$5&gt;20,40+55*($AG2518/100),(80+(20-$O$5)+30*($AG2518/100))))))))))</f>
        <v>100</v>
      </c>
      <c r="AI2518" s="262">
        <v>7331</v>
      </c>
      <c r="AJ2518" s="262"/>
      <c r="AK2518" s="262">
        <v>388</v>
      </c>
      <c r="AL2518" s="263"/>
      <c r="AM2518" s="264">
        <v>30</v>
      </c>
      <c r="AN2518" s="263"/>
      <c r="AO2518" s="263"/>
      <c r="AP2518" s="265"/>
      <c r="AQ2518" s="266">
        <v>12113</v>
      </c>
      <c r="AR2518" s="267">
        <v>69327</v>
      </c>
      <c r="AS2518" s="263"/>
      <c r="AT2518" s="263"/>
      <c r="AU2518" s="263"/>
      <c r="AV2518" s="264"/>
      <c r="AW2518" s="263"/>
      <c r="AX2518" s="263"/>
      <c r="AY2518" s="263"/>
      <c r="AZ2518" s="263"/>
      <c r="BA2518" s="263"/>
      <c r="BB2518" s="263"/>
      <c r="BC2518" s="263"/>
      <c r="BD2518" s="264"/>
      <c r="BE2518" s="263"/>
      <c r="BF2518" s="263"/>
      <c r="BG2518" s="263"/>
      <c r="BH2518" s="263"/>
      <c r="BI2518" s="263"/>
      <c r="BJ2518" s="404">
        <f>altaz(J2000_Bas,$O2518,$M2518,DecLat,DecLong,2)</f>
        <v>70.791920025272859</v>
      </c>
      <c r="BK2518" s="378" t="s">
        <v>2368</v>
      </c>
      <c r="BL2518" s="379">
        <f>IF((2*G2518)/60&lt;0.2,0.2,(2*G2518)/60)</f>
        <v>0.33333333333333331</v>
      </c>
      <c r="BM2518" s="380">
        <f>MOD((50000+AD2518-$B$3+(0/24)),1)</f>
        <v>0.15067420349805616</v>
      </c>
      <c r="BN2518" s="381" t="s">
        <v>9116</v>
      </c>
      <c r="BO2518" s="382">
        <v>2509</v>
      </c>
    </row>
    <row r="2519" spans="1:67" s="24" customFormat="1" ht="15" customHeight="1" x14ac:dyDescent="0.25">
      <c r="A2519" s="288" t="s">
        <v>2370</v>
      </c>
      <c r="B2519" s="241" t="str">
        <f>HYPERLINK(CONCATENATE($AT$3,BK2519,$AU$3),$AV$3)</f>
        <v>S</v>
      </c>
      <c r="C2519" s="242" t="str">
        <f>HYPERLINK(CONCATENATE($AT$4,BK2519,$AU$4,BL2519),$AV$4)</f>
        <v>A</v>
      </c>
      <c r="D2519" s="243" t="s">
        <v>5638</v>
      </c>
      <c r="E2519" s="244" t="s">
        <v>5182</v>
      </c>
      <c r="F2519" s="269" t="s">
        <v>8674</v>
      </c>
      <c r="G2519" s="273">
        <v>4</v>
      </c>
      <c r="H2519" s="283">
        <v>70</v>
      </c>
      <c r="I2519" s="246">
        <v>80</v>
      </c>
      <c r="J2519" s="246">
        <v>2</v>
      </c>
      <c r="K2519" s="247" t="s">
        <v>7541</v>
      </c>
      <c r="L2519" s="248">
        <v>223725</v>
      </c>
      <c r="M2519" s="249">
        <f>15*(LEFT(TEXT($L2519,"000000"),2)+(MID(TEXT($L2519,"000000"),3,2)/60)+(RIGHT(TEXT($L2519,"000000"),2)/3600))</f>
        <v>339.35416666666663</v>
      </c>
      <c r="N2519" s="250">
        <v>234754</v>
      </c>
      <c r="O2519" s="251">
        <f>IF($N2519&gt;0,(LEFT(TEXT($N2519,"000000"),2)+(MID(TEXT($N2519,"000000"),3,2)/60)+(RIGHT(TEXT($N2519,"000000"),2)/3600)),-(MID(TEXT($N2519,"000000"),2,2)+(MID(TEXT($N2519,"000000"),4,2)/60)+(RIGHT(TEXT($N2519,"000000"),2)/3600)))</f>
        <v>23.798333333333336</v>
      </c>
      <c r="P2519" s="252" t="s">
        <v>39</v>
      </c>
      <c r="Q2519" s="253"/>
      <c r="R2519" s="247" t="s">
        <v>3293</v>
      </c>
      <c r="S2519" s="272" t="s">
        <v>7539</v>
      </c>
      <c r="T2519" s="273">
        <v>11.1</v>
      </c>
      <c r="U2519" s="289">
        <v>21.490000000000002</v>
      </c>
      <c r="V2519" s="280">
        <v>90</v>
      </c>
      <c r="W2519" s="244"/>
      <c r="X2519" s="244"/>
      <c r="Y2519" s="362"/>
      <c r="Z2519" s="257">
        <f>altaz(J2000_Bas,$O2519,$M2519,DecLat,DecLong,1)</f>
        <v>42.529461968797889</v>
      </c>
      <c r="AA2519" s="257">
        <f>altaz((J2000_Bas+(2*0.04167)),$O2519,$M2519,DecLat,DecLong,1)</f>
        <v>68.17573512502598</v>
      </c>
      <c r="AB2519" s="257">
        <f>altaz((J2000_Bas+(4*0.04167)),$O2519,$M2519,DecLat,DecLong,1)</f>
        <v>80.597677800144496</v>
      </c>
      <c r="AC2519" s="257">
        <f>altaz((J2000_Bas+(6*0.04167)),$O2519,$M2519,DecLat,DecLong,1)</f>
        <v>56.614779346181528</v>
      </c>
      <c r="AD2519" s="258">
        <f>1+ transit((J2000_Bas-1),$O2519,$M2519,DecLat,DecLong)/360 + (GMTOffset/24) + (IF(DST="Y", 1, 0)/24)</f>
        <v>1.9355503293276246</v>
      </c>
      <c r="AE2519" s="259">
        <f>DATE(2001,9,21)+(M2519/360)*365 - (360*((DecLong/360)- (GMTOffset/24) ))</f>
        <v>37504.067418981482</v>
      </c>
      <c r="AF2519" s="260">
        <f>IF(DecLat&gt;0,IF((90 - (DecLat-O2519))&gt;90, (90 - (O2519-DecLat)), (90 - (DecLat-O2519))),IF((90 + (DecLat-O2519))&gt;90, (90 + (O2519-DecLat)), (90 + (DecLat-O2519))))</f>
        <v>82.798333333333332</v>
      </c>
      <c r="AG2519" s="257">
        <f>angularseperation(MoonRA,MoonDec,$M2519,$O2519)</f>
        <v>100.67962544276222</v>
      </c>
      <c r="AH2519" s="261">
        <f ca="1">MIN(100,IF($O$5&gt;80,0+30*($AG2519/100),IF($O$5&gt;70,0+50*($AG2519/100),IF($O$5&gt;60,5+50*($AG2519/100),IF($O$5&gt;50,10+60*($AG2519/100),IF($O$5&gt;40,15+70*($AG2519/100),IF($O$5&gt;30,20+70*($AG2519/100),IF($O$5&gt;20,40+55*($AG2519/100),(80+(20-$O$5)+30*($AG2519/100))))))))))</f>
        <v>100</v>
      </c>
      <c r="AI2519" s="262">
        <v>7332</v>
      </c>
      <c r="AJ2519" s="262"/>
      <c r="AK2519" s="262"/>
      <c r="AL2519" s="263"/>
      <c r="AM2519" s="264"/>
      <c r="AN2519" s="263"/>
      <c r="AO2519" s="263"/>
      <c r="AP2519" s="265"/>
      <c r="AQ2519" s="266">
        <v>12115</v>
      </c>
      <c r="AR2519" s="267">
        <v>69342</v>
      </c>
      <c r="AS2519" s="263"/>
      <c r="AT2519" s="263"/>
      <c r="AU2519" s="263"/>
      <c r="AV2519" s="264"/>
      <c r="AW2519" s="263"/>
      <c r="AX2519" s="263"/>
      <c r="AY2519" s="263"/>
      <c r="AZ2519" s="263"/>
      <c r="BA2519" s="263"/>
      <c r="BB2519" s="263"/>
      <c r="BC2519" s="263"/>
      <c r="BD2519" s="264"/>
      <c r="BE2519" s="263"/>
      <c r="BF2519" s="263"/>
      <c r="BG2519" s="263"/>
      <c r="BH2519" s="263"/>
      <c r="BI2519" s="263"/>
      <c r="BJ2519" s="404">
        <f>altaz(J2000_Bas,$O2519,$M2519,DecLat,DecLong,2)</f>
        <v>84.971324361546749</v>
      </c>
      <c r="BK2519" s="378" t="s">
        <v>2370</v>
      </c>
      <c r="BL2519" s="379">
        <f>IF((2*G2519)/60&lt;0.2,0.2,(2*G2519)/60)</f>
        <v>0.2</v>
      </c>
      <c r="BM2519" s="380">
        <f>MOD((50000+AD2519-$B$3+(0/24)),1)</f>
        <v>0.15091725903039332</v>
      </c>
      <c r="BN2519" s="381"/>
      <c r="BO2519" s="382">
        <v>2510</v>
      </c>
    </row>
    <row r="2520" spans="1:67" s="24" customFormat="1" ht="15" customHeight="1" x14ac:dyDescent="0.25">
      <c r="A2520" s="288" t="s">
        <v>2371</v>
      </c>
      <c r="B2520" s="241" t="str">
        <f>HYPERLINK(CONCATENATE($AT$3,BK2520,$AU$3),$AV$3)</f>
        <v>S</v>
      </c>
      <c r="C2520" s="242" t="str">
        <f>HYPERLINK(CONCATENATE($AT$4,BK2520,$AU$4,BL2520),$AV$4)</f>
        <v>A</v>
      </c>
      <c r="D2520" s="243" t="s">
        <v>5638</v>
      </c>
      <c r="E2520" s="244" t="s">
        <v>5192</v>
      </c>
      <c r="F2520" s="269" t="s">
        <v>8886</v>
      </c>
      <c r="G2520" s="273">
        <v>3.2</v>
      </c>
      <c r="H2520" s="283">
        <v>80</v>
      </c>
      <c r="I2520" s="246">
        <v>80</v>
      </c>
      <c r="J2520" s="246">
        <v>2</v>
      </c>
      <c r="K2520" s="247" t="s">
        <v>7542</v>
      </c>
      <c r="L2520" s="248">
        <v>223747</v>
      </c>
      <c r="M2520" s="249">
        <f>15*(LEFT(TEXT($L2520,"000000"),2)+(MID(TEXT($L2520,"000000"),3,2)/60)+(RIGHT(TEXT($L2520,"000000"),2)/3600))</f>
        <v>339.44583333333338</v>
      </c>
      <c r="N2520" s="286">
        <v>234712</v>
      </c>
      <c r="O2520" s="251">
        <f>IF($N2520&gt;0,(LEFT(TEXT($N2520,"000000"),2)+(MID(TEXT($N2520,"000000"),3,2)/60)+(RIGHT(TEXT($N2520,"000000"),2)/3600)),-(MID(TEXT($N2520,"000000"),2,2)+(MID(TEXT($N2520,"000000"),4,2)/60)+(RIGHT(TEXT($N2520,"000000"),2)/3600)))</f>
        <v>23.786666666666669</v>
      </c>
      <c r="P2520" s="252" t="s">
        <v>39</v>
      </c>
      <c r="Q2520" s="253"/>
      <c r="R2520" s="247" t="s">
        <v>3293</v>
      </c>
      <c r="S2520" s="272" t="s">
        <v>7540</v>
      </c>
      <c r="T2520" s="273">
        <v>12.2</v>
      </c>
      <c r="U2520" s="289">
        <v>21.89</v>
      </c>
      <c r="V2520" s="280">
        <v>78</v>
      </c>
      <c r="W2520" s="244"/>
      <c r="X2520" s="244"/>
      <c r="Y2520" s="362"/>
      <c r="Z2520" s="257">
        <f>altaz(J2000_Bas,$O2520,$M2520,DecLat,DecLong,1)</f>
        <v>42.446998519038033</v>
      </c>
      <c r="AA2520" s="257">
        <f>altaz((J2000_Bas+(2*0.04167)),$O2520,$M2520,DecLat,DecLong,1)</f>
        <v>68.094520142079702</v>
      </c>
      <c r="AB2520" s="257">
        <f>altaz((J2000_Bas+(4*0.04167)),$O2520,$M2520,DecLat,DecLong,1)</f>
        <v>80.640535234393099</v>
      </c>
      <c r="AC2520" s="257">
        <f>altaz((J2000_Bas+(6*0.04167)),$O2520,$M2520,DecLat,DecLong,1)</f>
        <v>56.689096317155432</v>
      </c>
      <c r="AD2520" s="258">
        <f>1+ transit((J2000_Bas-1),$O2520,$M2520,DecLat,DecLong)/360 + (GMTOffset/24) + (IF(DST="Y", 1, 0)/24)</f>
        <v>1.9358049589317916</v>
      </c>
      <c r="AE2520" s="259">
        <f>DATE(2001,9,21)+(M2520/360)*365 - (360*((DecLong/360)- (GMTOffset/24) ))</f>
        <v>37504.160358796296</v>
      </c>
      <c r="AF2520" s="260">
        <f>IF(DecLat&gt;0,IF((90 - (DecLat-O2520))&gt;90, (90 - (O2520-DecLat)), (90 - (DecLat-O2520))),IF((90 + (DecLat-O2520))&gt;90, (90 + (O2520-DecLat)), (90 + (DecLat-O2520))))</f>
        <v>82.786666666666662</v>
      </c>
      <c r="AG2520" s="257">
        <f>angularseperation(MoonRA,MoonDec,$M2520,$O2520)</f>
        <v>100.75069374256796</v>
      </c>
      <c r="AH2520" s="261">
        <f ca="1">MIN(100,IF($O$5&gt;80,0+30*($AG2520/100),IF($O$5&gt;70,0+50*($AG2520/100),IF($O$5&gt;60,5+50*($AG2520/100),IF($O$5&gt;50,10+60*($AG2520/100),IF($O$5&gt;40,15+70*($AG2520/100),IF($O$5&gt;30,20+70*($AG2520/100),IF($O$5&gt;20,40+55*($AG2520/100),(80+(20-$O$5)+30*($AG2520/100))))))))))</f>
        <v>100</v>
      </c>
      <c r="AI2520" s="262">
        <v>7339</v>
      </c>
      <c r="AJ2520" s="262"/>
      <c r="AK2520" s="262"/>
      <c r="AL2520" s="263"/>
      <c r="AM2520" s="264"/>
      <c r="AN2520" s="263"/>
      <c r="AO2520" s="263"/>
      <c r="AP2520" s="265"/>
      <c r="AQ2520" s="266">
        <v>12122</v>
      </c>
      <c r="AR2520" s="267">
        <v>69364</v>
      </c>
      <c r="AS2520" s="263"/>
      <c r="AT2520" s="263"/>
      <c r="AU2520" s="263"/>
      <c r="AV2520" s="264"/>
      <c r="AW2520" s="263"/>
      <c r="AX2520" s="263"/>
      <c r="AY2520" s="263"/>
      <c r="AZ2520" s="263"/>
      <c r="BA2520" s="263"/>
      <c r="BB2520" s="263"/>
      <c r="BC2520" s="263"/>
      <c r="BD2520" s="264"/>
      <c r="BE2520" s="263"/>
      <c r="BF2520" s="263"/>
      <c r="BG2520" s="263"/>
      <c r="BH2520" s="263"/>
      <c r="BI2520" s="263"/>
      <c r="BJ2520" s="404">
        <f>altaz(J2000_Bas,$O2520,$M2520,DecLat,DecLong,2)</f>
        <v>84.945200838184334</v>
      </c>
      <c r="BK2520" s="378" t="s">
        <v>2371</v>
      </c>
      <c r="BL2520" s="379">
        <f>IF((2*G2520)/60&lt;0.2,0.2,(2*G2520)/60)</f>
        <v>0.2</v>
      </c>
      <c r="BM2520" s="380">
        <f>MOD((50000+AD2520-$B$3+(0/24)),1)</f>
        <v>0.15117188863223419</v>
      </c>
      <c r="BN2520" s="381"/>
      <c r="BO2520" s="382">
        <v>2511</v>
      </c>
    </row>
    <row r="2521" spans="1:67" s="24" customFormat="1" ht="15" customHeight="1" x14ac:dyDescent="0.25">
      <c r="A2521" s="288" t="s">
        <v>7598</v>
      </c>
      <c r="B2521" s="241" t="str">
        <f>HYPERLINK(CONCATENATE($AT$3,BK2521,$AU$3),$AV$3)</f>
        <v>S</v>
      </c>
      <c r="C2521" s="242" t="str">
        <f>HYPERLINK(CONCATENATE($AT$4,BK2521,$AU$4,BL2521),$AV$4)</f>
        <v>A</v>
      </c>
      <c r="D2521" s="243" t="s">
        <v>5638</v>
      </c>
      <c r="E2521" s="244" t="s">
        <v>5625</v>
      </c>
      <c r="F2521" s="269">
        <v>6</v>
      </c>
      <c r="G2521" s="282">
        <v>15</v>
      </c>
      <c r="H2521" s="283">
        <v>370</v>
      </c>
      <c r="I2521" s="284">
        <v>1600</v>
      </c>
      <c r="J2521" s="246">
        <v>2</v>
      </c>
      <c r="K2521" s="247" t="s">
        <v>7543</v>
      </c>
      <c r="L2521" s="248">
        <v>223813</v>
      </c>
      <c r="M2521" s="249">
        <f>15*(LEFT(TEXT($L2521,"000000"),2)+(MID(TEXT($L2521,"000000"),3,2)/60)+(RIGHT(TEXT($L2521,"000000"),2)/3600))</f>
        <v>339.55416666666667</v>
      </c>
      <c r="N2521" s="250">
        <v>352955</v>
      </c>
      <c r="O2521" s="251">
        <f>IF($N2521&gt;0,(LEFT(TEXT($N2521,"000000"),2)+(MID(TEXT($N2521,"000000"),3,2)/60)+(RIGHT(TEXT($N2521,"000000"),2)/3600)),-(MID(TEXT($N2521,"000000"),2,2)+(MID(TEXT($N2521,"000000"),4,2)/60)+(RIGHT(TEXT($N2521,"000000"),2)/3600)))</f>
        <v>35.49861111111111</v>
      </c>
      <c r="P2521" s="252" t="s">
        <v>39</v>
      </c>
      <c r="Q2521" s="253"/>
      <c r="R2521" s="247" t="s">
        <v>2373</v>
      </c>
      <c r="S2521" s="272" t="s">
        <v>3293</v>
      </c>
      <c r="T2521" s="273">
        <v>13.9</v>
      </c>
      <c r="U2521" s="289">
        <v>23.19</v>
      </c>
      <c r="V2521" s="280"/>
      <c r="W2521" s="244"/>
      <c r="X2521" s="244"/>
      <c r="Y2521" s="362"/>
      <c r="Z2521" s="257">
        <f>altaz(J2000_Bas,$O2521,$M2521,DecLat,DecLong,1)</f>
        <v>45.53377129125743</v>
      </c>
      <c r="AA2521" s="257">
        <f>altaz((J2000_Bas+(2*0.04167)),$O2521,$M2521,DecLat,DecLong,1)</f>
        <v>69.917668664552409</v>
      </c>
      <c r="AB2521" s="257">
        <f>altaz((J2000_Bas+(4*0.04167)),$O2521,$M2521,DecLat,DecLong,1)</f>
        <v>82.871278295313147</v>
      </c>
      <c r="AC2521" s="257">
        <f>altaz((J2000_Bas+(6*0.04167)),$O2521,$M2521,DecLat,DecLong,1)</f>
        <v>59.156855712465067</v>
      </c>
      <c r="AD2521" s="258">
        <f>1+ transit((J2000_Bas-1),$O2521,$M2521,DecLat,DecLong)/360 + (GMTOffset/24) + (IF(DST="Y", 1, 0)/24)</f>
        <v>1.9361058848276247</v>
      </c>
      <c r="AE2521" s="259">
        <f>DATE(2001,9,21)+(M2521/360)*365 - (360*((DecLong/360)- (GMTOffset/24) ))</f>
        <v>37504.270196759258</v>
      </c>
      <c r="AF2521" s="260">
        <f>IF(DecLat&gt;0,IF((90 - (DecLat-O2521))&gt;90, (90 - (O2521-DecLat)), (90 - (DecLat-O2521))),IF((90 + (DecLat-O2521))&gt;90, (90 + (O2521-DecLat)), (90 + (DecLat-O2521))))</f>
        <v>85.501388888888897</v>
      </c>
      <c r="AG2521" s="257">
        <f>angularseperation(MoonRA,MoonDec,$M2521,$O2521)</f>
        <v>105.56515919467138</v>
      </c>
      <c r="AH2521" s="261">
        <f ca="1">MIN(100,IF($O$5&gt;80,0+30*($AG2521/100),IF($O$5&gt;70,0+50*($AG2521/100),IF($O$5&gt;60,5+50*($AG2521/100),IF($O$5&gt;50,10+60*($AG2521/100),IF($O$5&gt;40,15+70*($AG2521/100),IF($O$5&gt;30,20+70*($AG2521/100),IF($O$5&gt;20,40+55*($AG2521/100),(80+(20-$O$5)+30*($AG2521/100))))))))))</f>
        <v>100</v>
      </c>
      <c r="AI2521" s="262">
        <v>7342</v>
      </c>
      <c r="AJ2521" s="262"/>
      <c r="AK2521" s="262"/>
      <c r="AL2521" s="263"/>
      <c r="AM2521" s="264"/>
      <c r="AN2521" s="263"/>
      <c r="AO2521" s="263"/>
      <c r="AP2521" s="265"/>
      <c r="AQ2521" s="266">
        <v>12126</v>
      </c>
      <c r="AR2521" s="267">
        <v>69374</v>
      </c>
      <c r="AS2521" s="263"/>
      <c r="AT2521" s="263"/>
      <c r="AU2521" s="263"/>
      <c r="AV2521" s="264"/>
      <c r="AW2521" s="263"/>
      <c r="AX2521" s="263"/>
      <c r="AY2521" s="263"/>
      <c r="AZ2521" s="263"/>
      <c r="BA2521" s="263"/>
      <c r="BB2521" s="263"/>
      <c r="BC2521" s="263"/>
      <c r="BD2521" s="264"/>
      <c r="BE2521" s="263"/>
      <c r="BF2521" s="263"/>
      <c r="BG2521" s="263"/>
      <c r="BH2521" s="263"/>
      <c r="BI2521" s="263"/>
      <c r="BJ2521" s="404">
        <f>altaz(J2000_Bas,$O2521,$M2521,DecLat,DecLong,2)</f>
        <v>69.210171566569358</v>
      </c>
      <c r="BK2521" s="378" t="s">
        <v>2372</v>
      </c>
      <c r="BL2521" s="379">
        <f>IF((2*G2521)/60&lt;0.2,0.2,(2*G2521)/60)</f>
        <v>0.5</v>
      </c>
      <c r="BM2521" s="380">
        <f>MOD((50000+AD2521-$B$3+(0/24)),1)</f>
        <v>0.1514728145339177</v>
      </c>
      <c r="BN2521" s="381"/>
      <c r="BO2521" s="382">
        <v>2512</v>
      </c>
    </row>
    <row r="2522" spans="1:67" s="24" customFormat="1" ht="15" customHeight="1" x14ac:dyDescent="0.25">
      <c r="A2522" s="288" t="s">
        <v>2374</v>
      </c>
      <c r="B2522" s="241" t="str">
        <f>HYPERLINK(CONCATENATE($AT$3,BK2522,$AU$3),$AV$3)</f>
        <v>S</v>
      </c>
      <c r="C2522" s="242" t="str">
        <f>HYPERLINK(CONCATENATE($AT$4,BK2522,$AU$4,BL2522),$AV$4)</f>
        <v>A</v>
      </c>
      <c r="D2522" s="243" t="s">
        <v>5187</v>
      </c>
      <c r="E2522" s="244" t="s">
        <v>5181</v>
      </c>
      <c r="F2522" s="269" t="s">
        <v>4798</v>
      </c>
      <c r="G2522" s="270">
        <v>0.4</v>
      </c>
      <c r="H2522" s="283">
        <v>4200</v>
      </c>
      <c r="I2522" s="309">
        <v>0.5</v>
      </c>
      <c r="J2522" s="246">
        <v>3</v>
      </c>
      <c r="K2522" s="247" t="s">
        <v>7544</v>
      </c>
      <c r="L2522" s="248">
        <v>224020</v>
      </c>
      <c r="M2522" s="249">
        <f>15*(LEFT(TEXT($L2522,"000000"),2)+(MID(TEXT($L2522,"000000"),3,2)/60)+(RIGHT(TEXT($L2522,"000000"),2)/3600))</f>
        <v>340.08333333333337</v>
      </c>
      <c r="N2522" s="250">
        <v>611707</v>
      </c>
      <c r="O2522" s="251">
        <f>IF($N2522&gt;0,(LEFT(TEXT($N2522,"000000"),2)+(MID(TEXT($N2522,"000000"),3,2)/60)+(RIGHT(TEXT($N2522,"000000"),2)/3600)),-(MID(TEXT($N2522,"000000"),2,2)+(MID(TEXT($N2522,"000000"),4,2)/60)+(RIGHT(TEXT($N2522,"000000"),2)/3600)))</f>
        <v>61.285277777777779</v>
      </c>
      <c r="P2522" s="252" t="s">
        <v>52</v>
      </c>
      <c r="Q2522" s="253"/>
      <c r="R2522" s="247" t="s">
        <v>3293</v>
      </c>
      <c r="S2522" s="272" t="s">
        <v>3293</v>
      </c>
      <c r="T2522" s="273">
        <v>12.2</v>
      </c>
      <c r="U2522" s="274"/>
      <c r="V2522" s="280"/>
      <c r="W2522" s="244"/>
      <c r="X2522" s="244"/>
      <c r="Y2522" s="362"/>
      <c r="Z2522" s="257">
        <f>altaz(J2000_Bas,$O2522,$M2522,DecLat,DecLong,1)</f>
        <v>43.891526151255768</v>
      </c>
      <c r="AA2522" s="257">
        <f>altaz((J2000_Bas+(2*0.04167)),$O2522,$M2522,DecLat,DecLong,1)</f>
        <v>55.88691049990851</v>
      </c>
      <c r="AB2522" s="257">
        <f>altaz((J2000_Bas+(4*0.04167)),$O2522,$M2522,DecLat,DecLong,1)</f>
        <v>59.451840679904613</v>
      </c>
      <c r="AC2522" s="257">
        <f>altaz((J2000_Bas+(6*0.04167)),$O2522,$M2522,DecLat,DecLong,1)</f>
        <v>51.641345123362832</v>
      </c>
      <c r="AD2522" s="258">
        <f>1+ transit((J2000_Bas-1),$O2522,$M2522,DecLat,DecLong)/360 + (GMTOffset/24) + (IF(DST="Y", 1, 0)/24)</f>
        <v>1.9375757920880414</v>
      </c>
      <c r="AE2522" s="259">
        <f>DATE(2001,9,21)+(M2522/360)*365 - (360*((DecLong/360)- (GMTOffset/24) ))</f>
        <v>37504.806712962964</v>
      </c>
      <c r="AF2522" s="260">
        <f>IF(DecLat&gt;0,IF((90 - (DecLat-O2522))&gt;90, (90 - (O2522-DecLat)), (90 - (DecLat-O2522))),IF((90 + (DecLat-O2522))&gt;90, (90 + (O2522-DecLat)), (90 + (DecLat-O2522))))</f>
        <v>59.714722222222221</v>
      </c>
      <c r="AG2522" s="257">
        <f>angularseperation(MoonRA,MoonDec,$M2522,$O2522)</f>
        <v>113.92799095144427</v>
      </c>
      <c r="AH2522" s="261">
        <f ca="1">MIN(100,IF($O$5&gt;80,0+30*($AG2522/100),IF($O$5&gt;70,0+50*($AG2522/100),IF($O$5&gt;60,5+50*($AG2522/100),IF($O$5&gt;50,10+60*($AG2522/100),IF($O$5&gt;40,15+70*($AG2522/100),IF($O$5&gt;30,20+70*($AG2522/100),IF($O$5&gt;20,40+55*($AG2522/100),(80+(20-$O$5)+30*($AG2522/100))))))))))</f>
        <v>100</v>
      </c>
      <c r="AI2522" s="262">
        <v>7354</v>
      </c>
      <c r="AJ2522" s="262"/>
      <c r="AK2522" s="262"/>
      <c r="AL2522" s="263"/>
      <c r="AM2522" s="264"/>
      <c r="AN2522" s="263"/>
      <c r="AO2522" s="263"/>
      <c r="AP2522" s="265"/>
      <c r="AQ2522" s="266"/>
      <c r="AR2522" s="267"/>
      <c r="AS2522" s="263"/>
      <c r="AT2522" s="263"/>
      <c r="AU2522" s="263"/>
      <c r="AV2522" s="264"/>
      <c r="AW2522" s="263"/>
      <c r="AX2522" s="263"/>
      <c r="AY2522" s="263"/>
      <c r="AZ2522" s="263"/>
      <c r="BA2522" s="263"/>
      <c r="BB2522" s="263"/>
      <c r="BC2522" s="263"/>
      <c r="BD2522" s="264"/>
      <c r="BE2522" s="263"/>
      <c r="BF2522" s="263">
        <v>106</v>
      </c>
      <c r="BG2522" s="263"/>
      <c r="BH2522" s="263"/>
      <c r="BI2522" s="263"/>
      <c r="BJ2522" s="404">
        <f>altaz(J2000_Bas,$O2522,$M2522,DecLat,DecLong,2)</f>
        <v>32.677567486423591</v>
      </c>
      <c r="BK2522" s="378" t="s">
        <v>2374</v>
      </c>
      <c r="BL2522" s="379">
        <f>IF((2*G2522)/60&lt;0.2,0.2,(2*G2522)/60)</f>
        <v>0.2</v>
      </c>
      <c r="BM2522" s="380">
        <f>MOD((50000+AD2522-$B$3+(0/24)),1)</f>
        <v>0.15294272179016843</v>
      </c>
      <c r="BN2522" s="381"/>
      <c r="BO2522" s="382">
        <v>2513</v>
      </c>
    </row>
    <row r="2523" spans="1:67" s="24" customFormat="1" ht="15" customHeight="1" x14ac:dyDescent="0.25">
      <c r="A2523" s="288" t="s">
        <v>2375</v>
      </c>
      <c r="B2523" s="241" t="str">
        <f>HYPERLINK(CONCATENATE($AT$3,BK2523,$AU$3),$AV$3)</f>
        <v>S</v>
      </c>
      <c r="C2523" s="242" t="str">
        <f>HYPERLINK(CONCATENATE($AT$4,BK2523,$AU$4,BL2523),$AV$4)</f>
        <v>A</v>
      </c>
      <c r="D2523" s="243" t="s">
        <v>5638</v>
      </c>
      <c r="E2523" s="244" t="s">
        <v>5192</v>
      </c>
      <c r="F2523" s="269" t="s">
        <v>8697</v>
      </c>
      <c r="G2523" s="273">
        <v>4</v>
      </c>
      <c r="H2523" s="283">
        <v>50</v>
      </c>
      <c r="I2523" s="246">
        <v>60</v>
      </c>
      <c r="J2523" s="246">
        <v>1</v>
      </c>
      <c r="K2523" s="247" t="s">
        <v>7546</v>
      </c>
      <c r="L2523" s="248">
        <v>224218</v>
      </c>
      <c r="M2523" s="249">
        <f>15*(LEFT(TEXT($L2523,"000000"),2)+(MID(TEXT($L2523,"000000"),3,2)/60)+(RIGHT(TEXT($L2523,"000000"),2)/3600))</f>
        <v>340.57499999999999</v>
      </c>
      <c r="N2523" s="250">
        <v>-300329</v>
      </c>
      <c r="O2523" s="251">
        <f>IF($N2523&gt;0,(LEFT(TEXT($N2523,"000000"),2)+(MID(TEXT($N2523,"000000"),3,2)/60)+(RIGHT(TEXT($N2523,"000000"),2)/3600)),-(MID(TEXT($N2523,"000000"),2,2)+(MID(TEXT($N2523,"000000"),4,2)/60)+(RIGHT(TEXT($N2523,"000000"),2)/3600)))</f>
        <v>-30.058055555555555</v>
      </c>
      <c r="P2523" s="252" t="s">
        <v>232</v>
      </c>
      <c r="Q2523" s="253"/>
      <c r="R2523" s="277" t="s">
        <v>7545</v>
      </c>
      <c r="S2523" s="272" t="s">
        <v>3293</v>
      </c>
      <c r="T2523" s="273">
        <v>12.3</v>
      </c>
      <c r="U2523" s="289">
        <v>22.39</v>
      </c>
      <c r="V2523" s="280">
        <v>83</v>
      </c>
      <c r="W2523" s="244"/>
      <c r="X2523" s="244"/>
      <c r="Y2523" s="362"/>
      <c r="Z2523" s="257">
        <f>altaz(J2000_Bas,$O2523,$M2523,DecLat,DecLong,1)</f>
        <v>9.9091210210204128</v>
      </c>
      <c r="AA2523" s="257">
        <f>altaz((J2000_Bas+(2*0.04167)),$O2523,$M2523,DecLat,DecLong,1)</f>
        <v>24.657262856803921</v>
      </c>
      <c r="AB2523" s="257">
        <f>altaz((J2000_Bas+(4*0.04167)),$O2523,$M2523,DecLat,DecLong,1)</f>
        <v>28.710650621204884</v>
      </c>
      <c r="AC2523" s="257">
        <f>altaz((J2000_Bas+(6*0.04167)),$O2523,$M2523,DecLat,DecLong,1)</f>
        <v>20.160470151429337</v>
      </c>
      <c r="AD2523" s="258">
        <f>1+ transit((J2000_Bas-1),$O2523,$M2523,DecLat,DecLong)/360 + (GMTOffset/24) + (IF(DST="Y", 1, 0)/24)</f>
        <v>1.9389415326922081</v>
      </c>
      <c r="AE2523" s="259">
        <f>DATE(2001,9,21)+(M2523/360)*365 - (360*((DecLong/360)- (GMTOffset/24) ))</f>
        <v>37505.305208333331</v>
      </c>
      <c r="AF2523" s="260">
        <f>IF(DecLat&gt;0,IF((90 - (DecLat-O2523))&gt;90, (90 - (O2523-DecLat)), (90 - (DecLat-O2523))),IF((90 + (DecLat-O2523))&gt;90, (90 + (O2523-DecLat)), (90 + (DecLat-O2523))))</f>
        <v>28.941944444444445</v>
      </c>
      <c r="AG2523" s="257">
        <f>angularseperation(MoonRA,MoonDec,$M2523,$O2523)</f>
        <v>77.870591226479291</v>
      </c>
      <c r="AH2523" s="261">
        <f ca="1">MIN(100,IF($O$5&gt;80,0+30*($AG2523/100),IF($O$5&gt;70,0+50*($AG2523/100),IF($O$5&gt;60,5+50*($AG2523/100),IF($O$5&gt;50,10+60*($AG2523/100),IF($O$5&gt;40,15+70*($AG2523/100),IF($O$5&gt;30,20+70*($AG2523/100),IF($O$5&gt;20,40+55*($AG2523/100),(80+(20-$O$5)+30*($AG2523/100))))))))))</f>
        <v>100</v>
      </c>
      <c r="AI2523" s="262">
        <v>7361</v>
      </c>
      <c r="AJ2523" s="263"/>
      <c r="AK2523" s="263"/>
      <c r="AL2523" s="263"/>
      <c r="AM2523" s="264"/>
      <c r="AN2523" s="263"/>
      <c r="AO2523" s="263"/>
      <c r="AP2523" s="265"/>
      <c r="AQ2523" s="265"/>
      <c r="AR2523" s="285">
        <v>69539</v>
      </c>
      <c r="AS2523" s="263"/>
      <c r="AT2523" s="263"/>
      <c r="AU2523" s="263"/>
      <c r="AV2523" s="264"/>
      <c r="AW2523" s="263"/>
      <c r="AX2523" s="263"/>
      <c r="AY2523" s="263"/>
      <c r="AZ2523" s="263"/>
      <c r="BA2523" s="263"/>
      <c r="BB2523" s="263"/>
      <c r="BC2523" s="263"/>
      <c r="BD2523" s="264"/>
      <c r="BE2523" s="263"/>
      <c r="BF2523" s="263"/>
      <c r="BG2523" s="263"/>
      <c r="BH2523" s="263"/>
      <c r="BI2523" s="263"/>
      <c r="BJ2523" s="404">
        <f>altaz(J2000_Bas,$O2523,$M2523,DecLat,DecLong,2)</f>
        <v>134.27915792011208</v>
      </c>
      <c r="BK2523" s="378" t="s">
        <v>2375</v>
      </c>
      <c r="BL2523" s="379">
        <f>IF((2*G2523)/60&lt;0.2,0.2,(2*G2523)/60)</f>
        <v>0.2</v>
      </c>
      <c r="BM2523" s="380">
        <f>MOD((50000+AD2523-$B$3+(0/24)),1)</f>
        <v>0.15430846239905804</v>
      </c>
      <c r="BN2523" s="381"/>
      <c r="BO2523" s="382">
        <v>2514</v>
      </c>
    </row>
    <row r="2524" spans="1:67" s="24" customFormat="1" ht="15" customHeight="1" x14ac:dyDescent="0.25">
      <c r="A2524" s="288" t="s">
        <v>2376</v>
      </c>
      <c r="B2524" s="241" t="str">
        <f>HYPERLINK(CONCATENATE($AT$3,BK2524,$AU$3),$AV$3)</f>
        <v>S</v>
      </c>
      <c r="C2524" s="242" t="str">
        <f>HYPERLINK(CONCATENATE($AT$4,BK2524,$AU$4,BL2524),$AV$4)</f>
        <v>A</v>
      </c>
      <c r="D2524" s="243" t="s">
        <v>5638</v>
      </c>
      <c r="E2524" s="244" t="s">
        <v>5182</v>
      </c>
      <c r="F2524" s="269" t="s">
        <v>8903</v>
      </c>
      <c r="G2524" s="273">
        <v>3</v>
      </c>
      <c r="H2524" s="283">
        <v>150</v>
      </c>
      <c r="I2524" s="246">
        <v>130</v>
      </c>
      <c r="J2524" s="246">
        <v>1</v>
      </c>
      <c r="K2524" s="247" t="s">
        <v>7547</v>
      </c>
      <c r="L2524" s="248">
        <v>224747</v>
      </c>
      <c r="M2524" s="249">
        <f>15*(LEFT(TEXT($L2524,"000000"),2)+(MID(TEXT($L2524,"000000"),3,2)/60)+(RIGHT(TEXT($L2524,"000000"),2)/3600))</f>
        <v>341.94583333333338</v>
      </c>
      <c r="N2524" s="250">
        <v>-221843</v>
      </c>
      <c r="O2524" s="251">
        <f>IF($N2524&gt;0,(LEFT(TEXT($N2524,"000000"),2)+(MID(TEXT($N2524,"000000"),3,2)/60)+(RIGHT(TEXT($N2524,"000000"),2)/3600)),-(MID(TEXT($N2524,"000000"),2,2)+(MID(TEXT($N2524,"000000"),4,2)/60)+(RIGHT(TEXT($N2524,"000000"),2)/3600)))</f>
        <v>-22.311944444444446</v>
      </c>
      <c r="P2524" s="252" t="s">
        <v>3119</v>
      </c>
      <c r="Q2524" s="253"/>
      <c r="R2524" s="247" t="s">
        <v>3293</v>
      </c>
      <c r="S2524" s="272" t="s">
        <v>3293</v>
      </c>
      <c r="T2524" s="273">
        <v>11.1</v>
      </c>
      <c r="U2524" s="289">
        <v>21.990000000000002</v>
      </c>
      <c r="V2524" s="280">
        <v>50</v>
      </c>
      <c r="W2524" s="244"/>
      <c r="X2524" s="244"/>
      <c r="Y2524" s="362"/>
      <c r="Z2524" s="257">
        <f>altaz(J2000_Bas,$O2524,$M2524,DecLat,DecLong,1)</f>
        <v>14.39190637444136</v>
      </c>
      <c r="AA2524" s="257">
        <f>altaz((J2000_Bas+(2*0.04167)),$O2524,$M2524,DecLat,DecLong,1)</f>
        <v>31.202066522174849</v>
      </c>
      <c r="AB2524" s="257">
        <f>altaz((J2000_Bas+(4*0.04167)),$O2524,$M2524,DecLat,DecLong,1)</f>
        <v>36.53416938181433</v>
      </c>
      <c r="AC2524" s="257">
        <f>altaz((J2000_Bas+(6*0.04167)),$O2524,$M2524,DecLat,DecLong,1)</f>
        <v>27.353174710880563</v>
      </c>
      <c r="AD2524" s="258">
        <f>1+ transit((J2000_Bas-1),$O2524,$M2524,DecLat,DecLong)/360 + (GMTOffset/24) + (IF(DST="Y", 1, 0)/24)</f>
        <v>1.9427494026817917</v>
      </c>
      <c r="AE2524" s="259">
        <f>DATE(2001,9,21)+(M2524/360)*365 - (360*((DecLong/360)- (GMTOffset/24) ))</f>
        <v>37506.695081018515</v>
      </c>
      <c r="AF2524" s="260">
        <f>IF(DecLat&gt;0,IF((90 - (DecLat-O2524))&gt;90, (90 - (O2524-DecLat)), (90 - (DecLat-O2524))),IF((90 + (DecLat-O2524))&gt;90, (90 + (O2524-DecLat)), (90 + (DecLat-O2524))))</f>
        <v>36.68805555555555</v>
      </c>
      <c r="AG2524" s="257">
        <f>angularseperation(MoonRA,MoonDec,$M2524,$O2524)</f>
        <v>82.299409719535333</v>
      </c>
      <c r="AH2524" s="261">
        <f ca="1">MIN(100,IF($O$5&gt;80,0+30*($AG2524/100),IF($O$5&gt;70,0+50*($AG2524/100),IF($O$5&gt;60,5+50*($AG2524/100),IF($O$5&gt;50,10+60*($AG2524/100),IF($O$5&gt;40,15+70*($AG2524/100),IF($O$5&gt;30,20+70*($AG2524/100),IF($O$5&gt;20,40+55*($AG2524/100),(80+(20-$O$5)+30*($AG2524/100))))))))))</f>
        <v>100</v>
      </c>
      <c r="AI2524" s="262">
        <v>7377</v>
      </c>
      <c r="AJ2524" s="262"/>
      <c r="AK2524" s="262"/>
      <c r="AL2524" s="263"/>
      <c r="AM2524" s="264"/>
      <c r="AN2524" s="263"/>
      <c r="AO2524" s="263"/>
      <c r="AP2524" s="265"/>
      <c r="AQ2524" s="266"/>
      <c r="AR2524" s="267">
        <v>69733</v>
      </c>
      <c r="AS2524" s="263"/>
      <c r="AT2524" s="263"/>
      <c r="AU2524" s="263"/>
      <c r="AV2524" s="264"/>
      <c r="AW2524" s="263"/>
      <c r="AX2524" s="263"/>
      <c r="AY2524" s="263"/>
      <c r="AZ2524" s="263"/>
      <c r="BA2524" s="263"/>
      <c r="BB2524" s="263"/>
      <c r="BC2524" s="263"/>
      <c r="BD2524" s="264"/>
      <c r="BE2524" s="263"/>
      <c r="BF2524" s="263"/>
      <c r="BG2524" s="263"/>
      <c r="BH2524" s="263"/>
      <c r="BI2524" s="263"/>
      <c r="BJ2524" s="404">
        <f>altaz(J2000_Bas,$O2524,$M2524,DecLat,DecLong,2)</f>
        <v>127.69407274125292</v>
      </c>
      <c r="BK2524" s="378" t="s">
        <v>2376</v>
      </c>
      <c r="BL2524" s="379">
        <f>IF((2*G2524)/60&lt;0.2,0.2,(2*G2524)/60)</f>
        <v>0.2</v>
      </c>
      <c r="BM2524" s="380">
        <f>MOD((50000+AD2524-$B$3+(0/24)),1)</f>
        <v>0.1581163323862711</v>
      </c>
      <c r="BN2524" s="381"/>
      <c r="BO2524" s="382">
        <v>2515</v>
      </c>
    </row>
    <row r="2525" spans="1:67" s="24" customFormat="1" ht="15" customHeight="1" x14ac:dyDescent="0.25">
      <c r="A2525" s="288" t="s">
        <v>2377</v>
      </c>
      <c r="B2525" s="241" t="str">
        <f>HYPERLINK(CONCATENATE($AT$3,BK2525,$AU$3),$AV$3)</f>
        <v>S</v>
      </c>
      <c r="C2525" s="242" t="str">
        <f>HYPERLINK(CONCATENATE($AT$4,BK2525,$AU$4,BL2525),$AV$4)</f>
        <v>A</v>
      </c>
      <c r="D2525" s="243" t="s">
        <v>5187</v>
      </c>
      <c r="E2525" s="244" t="s">
        <v>5183</v>
      </c>
      <c r="F2525" s="269" t="s">
        <v>9162</v>
      </c>
      <c r="G2525" s="276">
        <v>30</v>
      </c>
      <c r="H2525" s="283">
        <v>8000</v>
      </c>
      <c r="I2525" s="246">
        <v>70</v>
      </c>
      <c r="J2525" s="246">
        <v>4</v>
      </c>
      <c r="K2525" s="247" t="s">
        <v>8624</v>
      </c>
      <c r="L2525" s="248">
        <v>224721</v>
      </c>
      <c r="M2525" s="249">
        <f>15*(LEFT(TEXT($L2525,"000000"),2)+(MID(TEXT($L2525,"000000"),3,2)/60)+(RIGHT(TEXT($L2525,"000000"),2)/3600))</f>
        <v>341.83749999999998</v>
      </c>
      <c r="N2525" s="250">
        <v>580754</v>
      </c>
      <c r="O2525" s="251">
        <f>IF($N2525&gt;0,(LEFT(TEXT($N2525,"000000"),2)+(MID(TEXT($N2525,"000000"),3,2)/60)+(RIGHT(TEXT($N2525,"000000"),2)/3600)),-(MID(TEXT($N2525,"000000"),2,2)+(MID(TEXT($N2525,"000000"),4,2)/60)+(RIGHT(TEXT($N2525,"000000"),2)/3600)))</f>
        <v>58.131666666666668</v>
      </c>
      <c r="P2525" s="252" t="s">
        <v>52</v>
      </c>
      <c r="Q2525" s="253" t="s">
        <v>7091</v>
      </c>
      <c r="R2525" s="247" t="s">
        <v>3293</v>
      </c>
      <c r="S2525" s="272" t="s">
        <v>3293</v>
      </c>
      <c r="T2525" s="273"/>
      <c r="U2525" s="274"/>
      <c r="V2525" s="280"/>
      <c r="W2525" s="244"/>
      <c r="X2525" s="244"/>
      <c r="Y2525" s="362"/>
      <c r="Z2525" s="257">
        <f>altaz(J2000_Bas,$O2525,$M2525,DecLat,DecLong,1)</f>
        <v>43.752965919263239</v>
      </c>
      <c r="AA2525" s="257">
        <f>altaz((J2000_Bas+(2*0.04167)),$O2525,$M2525,DecLat,DecLong,1)</f>
        <v>57.674076542791276</v>
      </c>
      <c r="AB2525" s="257">
        <f>altaz((J2000_Bas+(4*0.04167)),$O2525,$M2525,DecLat,DecLong,1)</f>
        <v>62.706175434287104</v>
      </c>
      <c r="AC2525" s="257">
        <f>altaz((J2000_Bas+(6*0.04167)),$O2525,$M2525,DecLat,DecLong,1)</f>
        <v>54.167405460369672</v>
      </c>
      <c r="AD2525" s="258">
        <f>1+ transit((J2000_Bas-1),$O2525,$M2525,DecLat,DecLong)/360 + (GMTOffset/24) + (IF(DST="Y", 1, 0)/24)</f>
        <v>1.9424484767859578</v>
      </c>
      <c r="AE2525" s="259">
        <f>DATE(2001,9,21)+(M2525/360)*365 - (360*((DecLong/360)- (GMTOffset/24) ))</f>
        <v>37506.585243055553</v>
      </c>
      <c r="AF2525" s="260">
        <f>IF(DecLat&gt;0,IF((90 - (DecLat-O2525))&gt;90, (90 - (O2525-DecLat)), (90 - (DecLat-O2525))),IF((90 + (DecLat-O2525))&gt;90, (90 + (O2525-DecLat)), (90 + (DecLat-O2525))))</f>
        <v>62.868333333333332</v>
      </c>
      <c r="AG2525" s="257">
        <f>angularseperation(MoonRA,MoonDec,$M2525,$O2525)</f>
        <v>114.07646682173005</v>
      </c>
      <c r="AH2525" s="261">
        <f ca="1">MIN(100,IF($O$5&gt;80,0+30*($AG2525/100),IF($O$5&gt;70,0+50*($AG2525/100),IF($O$5&gt;60,5+50*($AG2525/100),IF($O$5&gt;50,10+60*($AG2525/100),IF($O$5&gt;40,15+70*($AG2525/100),IF($O$5&gt;30,20+70*($AG2525/100),IF($O$5&gt;20,40+55*($AG2525/100),(80+(20-$O$5)+30*($AG2525/100))))))))))</f>
        <v>100</v>
      </c>
      <c r="AI2525" s="262">
        <v>7380</v>
      </c>
      <c r="AJ2525" s="262"/>
      <c r="AK2525" s="262">
        <v>389</v>
      </c>
      <c r="AL2525" s="263"/>
      <c r="AM2525" s="264"/>
      <c r="AN2525" s="263"/>
      <c r="AO2525" s="263"/>
      <c r="AP2525" s="265"/>
      <c r="AQ2525" s="266"/>
      <c r="AR2525" s="267"/>
      <c r="AS2525" s="263"/>
      <c r="AT2525" s="263"/>
      <c r="AU2525" s="263"/>
      <c r="AV2525" s="264"/>
      <c r="AW2525" s="263"/>
      <c r="AX2525" s="263"/>
      <c r="AY2525" s="263">
        <v>511</v>
      </c>
      <c r="AZ2525" s="263"/>
      <c r="BA2525" s="263"/>
      <c r="BB2525" s="263">
        <v>142</v>
      </c>
      <c r="BC2525" s="263"/>
      <c r="BD2525" s="264"/>
      <c r="BE2525" s="263">
        <v>106</v>
      </c>
      <c r="BF2525" s="263"/>
      <c r="BG2525" s="263"/>
      <c r="BH2525" s="263"/>
      <c r="BI2525" s="263"/>
      <c r="BJ2525" s="404">
        <f>altaz(J2000_Bas,$O2525,$M2525,DecLat,DecLong,2)</f>
        <v>37.213396065624494</v>
      </c>
      <c r="BK2525" s="378" t="s">
        <v>2377</v>
      </c>
      <c r="BL2525" s="379">
        <f>IF((2*G2525)/60&lt;0.2,0.2,(2*G2525)/60)</f>
        <v>1</v>
      </c>
      <c r="BM2525" s="380">
        <f>MOD((50000+AD2525-$B$3+(0/24)),1)</f>
        <v>0.15781540649186354</v>
      </c>
      <c r="BN2525" s="381"/>
      <c r="BO2525" s="382">
        <v>2516</v>
      </c>
    </row>
    <row r="2526" spans="1:67" s="24" customFormat="1" ht="15" customHeight="1" x14ac:dyDescent="0.25">
      <c r="A2526" s="288" t="s">
        <v>7599</v>
      </c>
      <c r="B2526" s="241" t="str">
        <f>HYPERLINK(CONCATENATE($AT$3,BK2526,$AU$3),$AV$3)</f>
        <v>S</v>
      </c>
      <c r="C2526" s="242" t="str">
        <f>HYPERLINK(CONCATENATE($AT$4,BK2526,$AU$4,BL2526),$AV$4)</f>
        <v>A</v>
      </c>
      <c r="D2526" s="243" t="s">
        <v>5638</v>
      </c>
      <c r="E2526" s="244" t="s">
        <v>5625</v>
      </c>
      <c r="F2526" s="269">
        <v>8</v>
      </c>
      <c r="G2526" s="282">
        <v>20</v>
      </c>
      <c r="H2526" s="283">
        <v>260</v>
      </c>
      <c r="I2526" s="284">
        <v>1600</v>
      </c>
      <c r="J2526" s="246">
        <v>2</v>
      </c>
      <c r="K2526" s="247" t="s">
        <v>7548</v>
      </c>
      <c r="L2526" s="248">
        <v>224955</v>
      </c>
      <c r="M2526" s="249">
        <f>15*(LEFT(TEXT($L2526,"000000"),2)+(MID(TEXT($L2526,"000000"),3,2)/60)+(RIGHT(TEXT($L2526,"000000"),2)/3600))</f>
        <v>342.47916666666669</v>
      </c>
      <c r="N2526" s="250">
        <v>113630</v>
      </c>
      <c r="O2526" s="251">
        <f>IF($N2526&gt;0,(LEFT(TEXT($N2526,"000000"),2)+(MID(TEXT($N2526,"000000"),3,2)/60)+(RIGHT(TEXT($N2526,"000000"),2)/3600)),-(MID(TEXT($N2526,"000000"),2,2)+(MID(TEXT($N2526,"000000"),4,2)/60)+(RIGHT(TEXT($N2526,"000000"),2)/3600)))</f>
        <v>11.608333333333333</v>
      </c>
      <c r="P2526" s="252" t="s">
        <v>39</v>
      </c>
      <c r="Q2526" s="253"/>
      <c r="R2526" s="247" t="s">
        <v>3293</v>
      </c>
      <c r="S2526" s="272" t="s">
        <v>3293</v>
      </c>
      <c r="T2526" s="273">
        <v>12</v>
      </c>
      <c r="U2526" s="289">
        <v>21.69</v>
      </c>
      <c r="V2526" s="280"/>
      <c r="W2526" s="244"/>
      <c r="X2526" s="244"/>
      <c r="Y2526" s="362"/>
      <c r="Z2526" s="257">
        <f>altaz(J2000_Bas,$O2526,$M2526,DecLat,DecLong,1)</f>
        <v>34.565521521598271</v>
      </c>
      <c r="AA2526" s="257">
        <f>altaz((J2000_Bas+(2*0.04167)),$O2526,$M2526,DecLat,DecLong,1)</f>
        <v>58.843695063193906</v>
      </c>
      <c r="AB2526" s="257">
        <f>altaz((J2000_Bas+(4*0.04167)),$O2526,$M2526,DecLat,DecLong,1)</f>
        <v>70.309747451242217</v>
      </c>
      <c r="AC2526" s="257">
        <f>altaz((J2000_Bas+(6*0.04167)),$O2526,$M2526,DecLat,DecLong,1)</f>
        <v>53.278021099157954</v>
      </c>
      <c r="AD2526" s="258">
        <f>1+ transit((J2000_Bas-1),$O2526,$M2526,DecLat,DecLong)/360 + (GMTOffset/24) + (IF(DST="Y", 1, 0)/24)</f>
        <v>1.944230884015125</v>
      </c>
      <c r="AE2526" s="259">
        <f>DATE(2001,9,21)+(M2526/360)*365 - (360*((DecLong/360)- (GMTOffset/24) ))</f>
        <v>37507.235821759263</v>
      </c>
      <c r="AF2526" s="260">
        <f>IF(DecLat&gt;0,IF((90 - (DecLat-O2526))&gt;90, (90 - (O2526-DecLat)), (90 - (DecLat-O2526))),IF((90 + (DecLat-O2526))&gt;90, (90 + (O2526-DecLat)), (90 + (DecLat-O2526))))</f>
        <v>70.608333333333334</v>
      </c>
      <c r="AG2526" s="257">
        <f>angularseperation(MoonRA,MoonDec,$M2526,$O2526)</f>
        <v>98.097895910152857</v>
      </c>
      <c r="AH2526" s="261">
        <f ca="1">MIN(100,IF($O$5&gt;80,0+30*($AG2526/100),IF($O$5&gt;70,0+50*($AG2526/100),IF($O$5&gt;60,5+50*($AG2526/100),IF($O$5&gt;50,10+60*($AG2526/100),IF($O$5&gt;40,15+70*($AG2526/100),IF($O$5&gt;30,20+70*($AG2526/100),IF($O$5&gt;20,40+55*($AG2526/100),(80+(20-$O$5)+30*($AG2526/100))))))))))</f>
        <v>100</v>
      </c>
      <c r="AI2526" s="262">
        <v>7385</v>
      </c>
      <c r="AJ2526" s="262"/>
      <c r="AK2526" s="262"/>
      <c r="AL2526" s="263"/>
      <c r="AM2526" s="264"/>
      <c r="AN2526" s="263"/>
      <c r="AO2526" s="263"/>
      <c r="AP2526" s="265"/>
      <c r="AQ2526" s="266">
        <v>12207</v>
      </c>
      <c r="AR2526" s="267">
        <v>69824</v>
      </c>
      <c r="AS2526" s="263"/>
      <c r="AT2526" s="263"/>
      <c r="AU2526" s="263"/>
      <c r="AV2526" s="264"/>
      <c r="AW2526" s="263"/>
      <c r="AX2526" s="263"/>
      <c r="AY2526" s="263"/>
      <c r="AZ2526" s="263"/>
      <c r="BA2526" s="263"/>
      <c r="BB2526" s="263"/>
      <c r="BC2526" s="263"/>
      <c r="BD2526" s="264"/>
      <c r="BE2526" s="263"/>
      <c r="BF2526" s="263"/>
      <c r="BG2526" s="263"/>
      <c r="BH2526" s="263"/>
      <c r="BI2526" s="263"/>
      <c r="BJ2526" s="404">
        <f>altaz(J2000_Bas,$O2526,$M2526,DecLat,DecLong,2)</f>
        <v>97.406068747711174</v>
      </c>
      <c r="BK2526" s="378" t="s">
        <v>2378</v>
      </c>
      <c r="BL2526" s="379">
        <f>IF((2*G2526)/60&lt;0.2,0.2,(2*G2526)/60)</f>
        <v>0.66666666666666663</v>
      </c>
      <c r="BM2526" s="380">
        <f>MOD((50000+AD2526-$B$3+(0/24)),1)</f>
        <v>0.15959781371930148</v>
      </c>
      <c r="BN2526" s="381"/>
      <c r="BO2526" s="382">
        <v>2517</v>
      </c>
    </row>
    <row r="2527" spans="1:67" s="24" customFormat="1" ht="15" customHeight="1" x14ac:dyDescent="0.25">
      <c r="A2527" s="288" t="s">
        <v>3155</v>
      </c>
      <c r="B2527" s="241" t="str">
        <f>HYPERLINK(CONCATENATE($AT$3,BK2527,$AU$3),$AV$3)</f>
        <v>S</v>
      </c>
      <c r="C2527" s="242" t="str">
        <f>HYPERLINK(CONCATENATE($AT$4,BK2527,$AU$4,BL2527),$AV$4)</f>
        <v>A</v>
      </c>
      <c r="D2527" s="243" t="s">
        <v>5335</v>
      </c>
      <c r="E2527" s="244" t="s">
        <v>5185</v>
      </c>
      <c r="F2527" s="269" t="s">
        <v>4913</v>
      </c>
      <c r="G2527" s="273">
        <v>4</v>
      </c>
      <c r="H2527" s="283">
        <v>10000</v>
      </c>
      <c r="I2527" s="246">
        <v>12</v>
      </c>
      <c r="J2527" s="246">
        <v>3</v>
      </c>
      <c r="K2527" s="247" t="s">
        <v>7550</v>
      </c>
      <c r="L2527" s="248">
        <v>225420</v>
      </c>
      <c r="M2527" s="249">
        <f>15*(LEFT(TEXT($L2527,"000000"),2)+(MID(TEXT($L2527,"000000"),3,2)/60)+(RIGHT(TEXT($L2527,"000000"),2)/3600))</f>
        <v>343.58333333333331</v>
      </c>
      <c r="N2527" s="250">
        <v>604854</v>
      </c>
      <c r="O2527" s="251">
        <f>IF($N2527&gt;0,(LEFT(TEXT($N2527,"000000"),2)+(MID(TEXT($N2527,"000000"),3,2)/60)+(RIGHT(TEXT($N2527,"000000"),2)/3600)),-(MID(TEXT($N2527,"000000"),2,2)+(MID(TEXT($N2527,"000000"),4,2)/60)+(RIGHT(TEXT($N2527,"000000"),2)/3600)))</f>
        <v>60.814999999999998</v>
      </c>
      <c r="P2527" s="252" t="s">
        <v>52</v>
      </c>
      <c r="Q2527" s="253"/>
      <c r="R2527" s="277" t="s">
        <v>7549</v>
      </c>
      <c r="S2527" s="272" t="s">
        <v>3293</v>
      </c>
      <c r="T2527" s="273">
        <v>13</v>
      </c>
      <c r="U2527" s="274"/>
      <c r="V2527" s="280"/>
      <c r="W2527" s="244"/>
      <c r="X2527" s="244"/>
      <c r="Y2527" s="362"/>
      <c r="Z2527" s="257">
        <f>altaz(J2000_Bas,$O2527,$M2527,DecLat,DecLong,1)</f>
        <v>42.35625278323699</v>
      </c>
      <c r="AA2527" s="257">
        <f>altaz((J2000_Bas+(2*0.04167)),$O2527,$M2527,DecLat,DecLong,1)</f>
        <v>55.126946356084368</v>
      </c>
      <c r="AB2527" s="257">
        <f>altaz((J2000_Bas+(4*0.04167)),$O2527,$M2527,DecLat,DecLong,1)</f>
        <v>60.135894477242616</v>
      </c>
      <c r="AC2527" s="257">
        <f>altaz((J2000_Bas+(6*0.04167)),$O2527,$M2527,DecLat,DecLong,1)</f>
        <v>53.273239450271959</v>
      </c>
      <c r="AD2527" s="258">
        <f>1+ transit((J2000_Bas-1),$O2527,$M2527,DecLat,DecLong)/360 + (GMTOffset/24) + (IF(DST="Y", 1, 0)/24)</f>
        <v>1.9472980133380415</v>
      </c>
      <c r="AE2527" s="259">
        <f>DATE(2001,9,21)+(M2527/360)*365 - (360*((DecLong/360)- (GMTOffset/24) ))</f>
        <v>37508.355324074073</v>
      </c>
      <c r="AF2527" s="260">
        <f>IF(DecLat&gt;0,IF((90 - (DecLat-O2527))&gt;90, (90 - (O2527-DecLat)), (90 - (DecLat-O2527))),IF((90 + (DecLat-O2527))&gt;90, (90 + (O2527-DecLat)), (90 + (DecLat-O2527))))</f>
        <v>60.185000000000002</v>
      </c>
      <c r="AG2527" s="257">
        <f>angularseperation(MoonRA,MoonDec,$M2527,$O2527)</f>
        <v>115.49060628604286</v>
      </c>
      <c r="AH2527" s="261">
        <f ca="1">MIN(100,IF($O$5&gt;80,0+30*($AG2527/100),IF($O$5&gt;70,0+50*($AG2527/100),IF($O$5&gt;60,5+50*($AG2527/100),IF($O$5&gt;50,10+60*($AG2527/100),IF($O$5&gt;40,15+70*($AG2527/100),IF($O$5&gt;30,20+70*($AG2527/100),IF($O$5&gt;20,40+55*($AG2527/100),(80+(20-$O$5)+30*($AG2527/100))))))))))</f>
        <v>100</v>
      </c>
      <c r="AI2527" s="263">
        <v>7419</v>
      </c>
      <c r="AJ2527" s="263"/>
      <c r="AK2527" s="263"/>
      <c r="AL2527" s="263"/>
      <c r="AM2527" s="264"/>
      <c r="AN2527" s="263"/>
      <c r="AO2527" s="263"/>
      <c r="AP2527" s="265"/>
      <c r="AQ2527" s="265"/>
      <c r="AR2527" s="285"/>
      <c r="AS2527" s="263"/>
      <c r="AT2527" s="263"/>
      <c r="AU2527" s="263"/>
      <c r="AV2527" s="264"/>
      <c r="AW2527" s="263"/>
      <c r="AX2527" s="263"/>
      <c r="AY2527" s="263"/>
      <c r="AZ2527" s="263"/>
      <c r="BA2527" s="263"/>
      <c r="BB2527" s="263"/>
      <c r="BC2527" s="263"/>
      <c r="BD2527" s="264"/>
      <c r="BE2527" s="263"/>
      <c r="BF2527" s="263"/>
      <c r="BG2527" s="263"/>
      <c r="BH2527" s="263"/>
      <c r="BI2527" s="263"/>
      <c r="BJ2527" s="404">
        <f>altaz(J2000_Bas,$O2527,$M2527,DecLat,DecLong,2)</f>
        <v>33.851034042175428</v>
      </c>
      <c r="BK2527" s="378" t="s">
        <v>3155</v>
      </c>
      <c r="BL2527" s="379">
        <f>IF((2*G2527)/60&lt;0.2,0.2,(2*G2527)/60)</f>
        <v>0.2</v>
      </c>
      <c r="BM2527" s="380">
        <f>MOD((50000+AD2527-$B$3+(0/24)),1)</f>
        <v>0.16266494303999934</v>
      </c>
      <c r="BN2527" s="381"/>
      <c r="BO2527" s="382">
        <v>2518</v>
      </c>
    </row>
    <row r="2528" spans="1:67" s="24" customFormat="1" ht="15" customHeight="1" x14ac:dyDescent="0.25">
      <c r="A2528" s="288" t="s">
        <v>2379</v>
      </c>
      <c r="B2528" s="241" t="str">
        <f>HYPERLINK(CONCATENATE($AT$3,BK2528,$AU$3),$AV$3)</f>
        <v>S</v>
      </c>
      <c r="C2528" s="242" t="str">
        <f>HYPERLINK(CONCATENATE($AT$4,BK2528,$AU$4,BL2528),$AV$4)</f>
        <v>A</v>
      </c>
      <c r="D2528" s="243" t="s">
        <v>5638</v>
      </c>
      <c r="E2528" s="244" t="s">
        <v>5192</v>
      </c>
      <c r="F2528" s="269" t="s">
        <v>8899</v>
      </c>
      <c r="G2528" s="273">
        <v>8</v>
      </c>
      <c r="H2528" s="283">
        <v>45</v>
      </c>
      <c r="I2528" s="246">
        <v>105</v>
      </c>
      <c r="J2528" s="246">
        <v>3</v>
      </c>
      <c r="K2528" s="247" t="s">
        <v>8332</v>
      </c>
      <c r="L2528" s="248">
        <v>225718</v>
      </c>
      <c r="M2528" s="249">
        <f>15*(LEFT(TEXT($L2528,"000000"),2)+(MID(TEXT($L2528,"000000"),3,2)/60)+(RIGHT(TEXT($L2528,"000000"),2)/3600))</f>
        <v>344.32499999999999</v>
      </c>
      <c r="N2528" s="250">
        <v>-410416</v>
      </c>
      <c r="O2528" s="251">
        <f>IF($N2528&gt;0,(LEFT(TEXT($N2528,"000000"),2)+(MID(TEXT($N2528,"000000"),3,2)/60)+(RIGHT(TEXT($N2528,"000000"),2)/3600)),-(MID(TEXT($N2528,"000000"),2,2)+(MID(TEXT($N2528,"000000"),4,2)/60)+(RIGHT(TEXT($N2528,"000000"),2)/3600)))</f>
        <v>-41.071111111111115</v>
      </c>
      <c r="P2528" s="252" t="s">
        <v>1179</v>
      </c>
      <c r="Q2528" s="253" t="s">
        <v>6849</v>
      </c>
      <c r="R2528" s="247" t="s">
        <v>3293</v>
      </c>
      <c r="S2528" s="272" t="s">
        <v>3293</v>
      </c>
      <c r="T2528" s="273">
        <v>10.5</v>
      </c>
      <c r="U2528" s="289">
        <v>23.89</v>
      </c>
      <c r="V2528" s="280">
        <v>0</v>
      </c>
      <c r="W2528" s="244"/>
      <c r="X2528" s="244"/>
      <c r="Y2528" s="362"/>
      <c r="Z2528" s="257">
        <f>altaz(J2000_Bas,$O2528,$M2528,DecLat,DecLong,1)</f>
        <v>5.5853925253215898E-2</v>
      </c>
      <c r="AA2528" s="257">
        <f>altaz((J2000_Bas+(2*0.04167)),$O2528,$M2528,DecLat,DecLong,1)</f>
        <v>13.351905936185398</v>
      </c>
      <c r="AB2528" s="257">
        <f>altaz((J2000_Bas+(4*0.04167)),$O2528,$M2528,DecLat,DecLong,1)</f>
        <v>17.908678260376384</v>
      </c>
      <c r="AC2528" s="257">
        <f>altaz((J2000_Bas+(6*0.04167)),$O2528,$M2528,DecLat,DecLong,1)</f>
        <v>12.125481435629359</v>
      </c>
      <c r="AD2528" s="258">
        <f>1+ transit((J2000_Bas-1),$O2528,$M2528,DecLat,DecLong)/360 + (GMTOffset/24) + (IF(DST="Y", 1, 0)/24)</f>
        <v>1.9493581983172079</v>
      </c>
      <c r="AE2528" s="259">
        <f>DATE(2001,9,21)+(M2528/360)*365 - (360*((DecLong/360)- (GMTOffset/24) ))</f>
        <v>37509.107291666667</v>
      </c>
      <c r="AF2528" s="260">
        <f>IF(DecLat&gt;0,IF((90 - (DecLat-O2528))&gt;90, (90 - (O2528-DecLat)), (90 - (DecLat-O2528))),IF((90 + (DecLat-O2528))&gt;90, (90 + (O2528-DecLat)), (90 + (DecLat-O2528))))</f>
        <v>17.928888888888878</v>
      </c>
      <c r="AG2528" s="257">
        <f>angularseperation(MoonRA,MoonDec,$M2528,$O2528)</f>
        <v>76.133645806350941</v>
      </c>
      <c r="AH2528" s="261">
        <f ca="1">MIN(100,IF($O$5&gt;80,0+30*($AG2528/100),IF($O$5&gt;70,0+50*($AG2528/100),IF($O$5&gt;60,5+50*($AG2528/100),IF($O$5&gt;50,10+60*($AG2528/100),IF($O$5&gt;40,15+70*($AG2528/100),IF($O$5&gt;30,20+70*($AG2528/100),IF($O$5&gt;20,40+55*($AG2528/100),(80+(20-$O$5)+30*($AG2528/100))))))))))</f>
        <v>100</v>
      </c>
      <c r="AI2528" s="262">
        <v>7424</v>
      </c>
      <c r="AJ2528" s="262"/>
      <c r="AK2528" s="262"/>
      <c r="AL2528" s="263"/>
      <c r="AM2528" s="264"/>
      <c r="AN2528" s="263"/>
      <c r="AO2528" s="263"/>
      <c r="AP2528" s="265"/>
      <c r="AQ2528" s="266"/>
      <c r="AR2528" s="267">
        <v>70096</v>
      </c>
      <c r="AS2528" s="263"/>
      <c r="AT2528" s="263"/>
      <c r="AU2528" s="263"/>
      <c r="AV2528" s="264"/>
      <c r="AW2528" s="263"/>
      <c r="AX2528" s="263"/>
      <c r="AY2528" s="263"/>
      <c r="AZ2528" s="263"/>
      <c r="BA2528" s="263"/>
      <c r="BB2528" s="263"/>
      <c r="BC2528" s="263"/>
      <c r="BD2528" s="264"/>
      <c r="BE2528" s="263"/>
      <c r="BF2528" s="263"/>
      <c r="BG2528" s="263"/>
      <c r="BH2528" s="263"/>
      <c r="BI2528" s="263"/>
      <c r="BJ2528" s="404">
        <f>altaz(J2000_Bas,$O2528,$M2528,DecLat,DecLong,2)</f>
        <v>140.09048876734744</v>
      </c>
      <c r="BK2528" s="378" t="s">
        <v>2379</v>
      </c>
      <c r="BL2528" s="379">
        <f>IF((2*G2528)/60&lt;0.2,0.2,(2*G2528)/60)</f>
        <v>0.26666666666666666</v>
      </c>
      <c r="BM2528" s="380">
        <f>MOD((50000+AD2528-$B$3+(0/24)),1)</f>
        <v>0.16472512802283745</v>
      </c>
      <c r="BN2528" s="381"/>
      <c r="BO2528" s="382">
        <v>2519</v>
      </c>
    </row>
    <row r="2529" spans="1:67" s="24" customFormat="1" ht="15" customHeight="1" x14ac:dyDescent="0.25">
      <c r="A2529" s="288" t="s">
        <v>2380</v>
      </c>
      <c r="B2529" s="241" t="str">
        <f>HYPERLINK(CONCATENATE($AT$3,BK2529,$AU$3),$AV$3)</f>
        <v>S</v>
      </c>
      <c r="C2529" s="242" t="str">
        <f>HYPERLINK(CONCATENATE($AT$4,BK2529,$AU$4,BL2529),$AV$4)</f>
        <v>A</v>
      </c>
      <c r="D2529" s="243" t="s">
        <v>5638</v>
      </c>
      <c r="E2529" s="244" t="s">
        <v>5192</v>
      </c>
      <c r="F2529" s="269" t="s">
        <v>8912</v>
      </c>
      <c r="G2529" s="273">
        <v>2.5</v>
      </c>
      <c r="H2529" s="283">
        <v>150</v>
      </c>
      <c r="I2529" s="246">
        <v>110</v>
      </c>
      <c r="J2529" s="246">
        <v>2</v>
      </c>
      <c r="K2529" s="247" t="s">
        <v>7551</v>
      </c>
      <c r="L2529" s="248">
        <v>225720</v>
      </c>
      <c r="M2529" s="249">
        <f>15*(LEFT(TEXT($L2529,"000000"),2)+(MID(TEXT($L2529,"000000"),3,2)/60)+(RIGHT(TEXT($L2529,"000000"),2)/3600))</f>
        <v>344.33333333333331</v>
      </c>
      <c r="N2529" s="250">
        <v>-10256</v>
      </c>
      <c r="O2529" s="251">
        <f>IF($N2529&gt;0,(LEFT(TEXT($N2529,"000000"),2)+(MID(TEXT($N2529,"000000"),3,2)/60)+(RIGHT(TEXT($N2529,"000000"),2)/3600)),-(MID(TEXT($N2529,"000000"),2,2)+(MID(TEXT($N2529,"000000"),4,2)/60)+(RIGHT(TEXT($N2529,"000000"),2)/3600)))</f>
        <v>-1.048888888888889</v>
      </c>
      <c r="P2529" s="252" t="s">
        <v>158</v>
      </c>
      <c r="Q2529" s="253"/>
      <c r="R2529" s="247" t="s">
        <v>3293</v>
      </c>
      <c r="S2529" s="272" t="s">
        <v>3293</v>
      </c>
      <c r="T2529" s="273">
        <v>12.5</v>
      </c>
      <c r="U2529" s="289">
        <v>22.490000000000002</v>
      </c>
      <c r="V2529" s="280">
        <v>35</v>
      </c>
      <c r="W2529" s="244"/>
      <c r="X2529" s="244"/>
      <c r="Y2529" s="362"/>
      <c r="Z2529" s="257">
        <f>altaz(J2000_Bas,$O2529,$M2529,DecLat,DecLong,1)</f>
        <v>26.137239350020355</v>
      </c>
      <c r="AA2529" s="257">
        <f>altaz((J2000_Bas+(2*0.04167)),$O2529,$M2529,DecLat,DecLong,1)</f>
        <v>48.205788298915756</v>
      </c>
      <c r="AB2529" s="257">
        <f>altaz((J2000_Bas+(4*0.04167)),$O2529,$M2529,DecLat,DecLong,1)</f>
        <v>57.903513631436745</v>
      </c>
      <c r="AC2529" s="257">
        <f>altaz((J2000_Bas+(6*0.04167)),$O2529,$M2529,DecLat,DecLong,1)</f>
        <v>45.887916577192541</v>
      </c>
      <c r="AD2529" s="258">
        <f>1+ transit((J2000_Bas-1),$O2529,$M2529,DecLat,DecLong)/360 + (GMTOffset/24) + (IF(DST="Y", 1, 0)/24)</f>
        <v>1.9493813464630414</v>
      </c>
      <c r="AE2529" s="259">
        <f>DATE(2001,9,21)+(M2529/360)*365 - (360*((DecLong/360)- (GMTOffset/24) ))</f>
        <v>37509.115740740737</v>
      </c>
      <c r="AF2529" s="260">
        <f>IF(DecLat&gt;0,IF((90 - (DecLat-O2529))&gt;90, (90 - (O2529-DecLat)), (90 - (DecLat-O2529))),IF((90 + (DecLat-O2529))&gt;90, (90 + (O2529-DecLat)), (90 + (DecLat-O2529))))</f>
        <v>57.951111111111111</v>
      </c>
      <c r="AG2529" s="257">
        <f>angularseperation(MoonRA,MoonDec,$M2529,$O2529)</f>
        <v>94.052217124609157</v>
      </c>
      <c r="AH2529" s="261">
        <f ca="1">MIN(100,IF($O$5&gt;80,0+30*($AG2529/100),IF($O$5&gt;70,0+50*($AG2529/100),IF($O$5&gt;60,5+50*($AG2529/100),IF($O$5&gt;50,10+60*($AG2529/100),IF($O$5&gt;40,15+70*($AG2529/100),IF($O$5&gt;30,20+70*($AG2529/100),IF($O$5&gt;20,40+55*($AG2529/100),(80+(20-$O$5)+30*($AG2529/100))))))))))</f>
        <v>100</v>
      </c>
      <c r="AI2529" s="262">
        <v>7428</v>
      </c>
      <c r="AJ2529" s="262"/>
      <c r="AK2529" s="262"/>
      <c r="AL2529" s="263"/>
      <c r="AM2529" s="264"/>
      <c r="AN2529" s="263"/>
      <c r="AO2529" s="263"/>
      <c r="AP2529" s="265"/>
      <c r="AQ2529" s="266">
        <v>12262</v>
      </c>
      <c r="AR2529" s="267">
        <v>70098</v>
      </c>
      <c r="AS2529" s="263"/>
      <c r="AT2529" s="263"/>
      <c r="AU2529" s="263"/>
      <c r="AV2529" s="264"/>
      <c r="AW2529" s="263"/>
      <c r="AX2529" s="263"/>
      <c r="AY2529" s="263"/>
      <c r="AZ2529" s="263"/>
      <c r="BA2529" s="263"/>
      <c r="BB2529" s="263"/>
      <c r="BC2529" s="263"/>
      <c r="BD2529" s="264"/>
      <c r="BE2529" s="263"/>
      <c r="BF2529" s="263"/>
      <c r="BG2529" s="263"/>
      <c r="BH2529" s="263"/>
      <c r="BI2529" s="263"/>
      <c r="BJ2529" s="404">
        <f>altaz(J2000_Bas,$O2529,$M2529,DecLat,DecLong,2)</f>
        <v>108.58017889156183</v>
      </c>
      <c r="BK2529" s="378" t="s">
        <v>2380</v>
      </c>
      <c r="BL2529" s="379">
        <f>IF((2*G2529)/60&lt;0.2,0.2,(2*G2529)/60)</f>
        <v>0.2</v>
      </c>
      <c r="BM2529" s="380">
        <f>MOD((50000+AD2529-$B$3+(0/24)),1)</f>
        <v>0.1647482761691208</v>
      </c>
      <c r="BN2529" s="381"/>
      <c r="BO2529" s="382">
        <v>2520</v>
      </c>
    </row>
    <row r="2530" spans="1:67" s="24" customFormat="1" ht="15" customHeight="1" x14ac:dyDescent="0.25">
      <c r="A2530" s="288" t="s">
        <v>7600</v>
      </c>
      <c r="B2530" s="241" t="str">
        <f>HYPERLINK(CONCATENATE($AT$3,BK2530,$AU$3),$AV$3)</f>
        <v>S</v>
      </c>
      <c r="C2530" s="242" t="str">
        <f>HYPERLINK(CONCATENATE($AT$4,BK2530,$AU$4,BL2530),$AV$4)</f>
        <v>A</v>
      </c>
      <c r="D2530" s="243" t="s">
        <v>5638</v>
      </c>
      <c r="E2530" s="244" t="s">
        <v>5625</v>
      </c>
      <c r="F2530" s="269">
        <v>6</v>
      </c>
      <c r="G2530" s="282">
        <v>15</v>
      </c>
      <c r="H2530" s="283">
        <v>300</v>
      </c>
      <c r="I2530" s="284">
        <v>1400</v>
      </c>
      <c r="J2530" s="246">
        <v>2</v>
      </c>
      <c r="K2530" s="247" t="s">
        <v>7552</v>
      </c>
      <c r="L2530" s="248">
        <v>225758</v>
      </c>
      <c r="M2530" s="249">
        <f>15*(LEFT(TEXT($L2530,"000000"),2)+(MID(TEXT($L2530,"000000"),3,2)/60)+(RIGHT(TEXT($L2530,"000000"),2)/3600))</f>
        <v>344.49166666666667</v>
      </c>
      <c r="N2530" s="250">
        <v>260859</v>
      </c>
      <c r="O2530" s="251">
        <f>IF($N2530&gt;0,(LEFT(TEXT($N2530,"000000"),2)+(MID(TEXT($N2530,"000000"),3,2)/60)+(RIGHT(TEXT($N2530,"000000"),2)/3600)),-(MID(TEXT($N2530,"000000"),2,2)+(MID(TEXT($N2530,"000000"),4,2)/60)+(RIGHT(TEXT($N2530,"000000"),2)/3600)))</f>
        <v>26.149722222222223</v>
      </c>
      <c r="P2530" s="252" t="s">
        <v>39</v>
      </c>
      <c r="Q2530" s="253"/>
      <c r="R2530" s="247" t="s">
        <v>1130</v>
      </c>
      <c r="S2530" s="272" t="s">
        <v>3293</v>
      </c>
      <c r="T2530" s="273">
        <v>12.6</v>
      </c>
      <c r="U2530" s="289">
        <v>22.990000000000002</v>
      </c>
      <c r="V2530" s="280"/>
      <c r="W2530" s="244"/>
      <c r="X2530" s="244"/>
      <c r="Y2530" s="362"/>
      <c r="Z2530" s="257">
        <f>altaz(J2000_Bas,$O2530,$M2530,DecLat,DecLong,1)</f>
        <v>38.986664638760672</v>
      </c>
      <c r="AA2530" s="257">
        <f>altaz((J2000_Bas+(2*0.04167)),$O2530,$M2530,DecLat,DecLong,1)</f>
        <v>64.660545272221768</v>
      </c>
      <c r="AB2530" s="257">
        <f>altaz((J2000_Bas+(4*0.04167)),$O2530,$M2530,DecLat,DecLong,1)</f>
        <v>84.930530131212407</v>
      </c>
      <c r="AC2530" s="257">
        <f>altaz((J2000_Bas+(6*0.04167)),$O2530,$M2530,DecLat,DecLong,1)</f>
        <v>61.784074979936207</v>
      </c>
      <c r="AD2530" s="258">
        <f>1+ transit((J2000_Bas-1),$O2530,$M2530,DecLat,DecLong)/360 + (GMTOffset/24) + (IF(DST="Y", 1, 0)/24)</f>
        <v>1.9498211612338749</v>
      </c>
      <c r="AE2530" s="259">
        <f>DATE(2001,9,21)+(M2530/360)*365 - (360*((DecLong/360)- (GMTOffset/24) ))</f>
        <v>37509.276273148149</v>
      </c>
      <c r="AF2530" s="260">
        <f>IF(DecLat&gt;0,IF((90 - (DecLat-O2530))&gt;90, (90 - (O2530-DecLat)), (90 - (DecLat-O2530))),IF((90 + (DecLat-O2530))&gt;90, (90 + (O2530-DecLat)), (90 + (DecLat-O2530))))</f>
        <v>85.149722222222223</v>
      </c>
      <c r="AG2530" s="257">
        <f>angularseperation(MoonRA,MoonDec,$M2530,$O2530)</f>
        <v>105.88953554053583</v>
      </c>
      <c r="AH2530" s="261">
        <f ca="1">MIN(100,IF($O$5&gt;80,0+30*($AG2530/100),IF($O$5&gt;70,0+50*($AG2530/100),IF($O$5&gt;60,5+50*($AG2530/100),IF($O$5&gt;50,10+60*($AG2530/100),IF($O$5&gt;40,15+70*($AG2530/100),IF($O$5&gt;30,20+70*($AG2530/100),IF($O$5&gt;20,40+55*($AG2530/100),(80+(20-$O$5)+30*($AG2530/100))))))))))</f>
        <v>100</v>
      </c>
      <c r="AI2530" s="262">
        <v>7436</v>
      </c>
      <c r="AJ2530" s="262"/>
      <c r="AK2530" s="262"/>
      <c r="AL2530" s="263"/>
      <c r="AM2530" s="264"/>
      <c r="AN2530" s="263"/>
      <c r="AO2530" s="263"/>
      <c r="AP2530" s="265"/>
      <c r="AQ2530" s="266"/>
      <c r="AR2530" s="267">
        <v>70124</v>
      </c>
      <c r="AS2530" s="263"/>
      <c r="AT2530" s="263"/>
      <c r="AU2530" s="263"/>
      <c r="AV2530" s="264"/>
      <c r="AW2530" s="263"/>
      <c r="AX2530" s="263"/>
      <c r="AY2530" s="263"/>
      <c r="AZ2530" s="263"/>
      <c r="BA2530" s="263"/>
      <c r="BB2530" s="263"/>
      <c r="BC2530" s="263"/>
      <c r="BD2530" s="264"/>
      <c r="BE2530" s="263"/>
      <c r="BF2530" s="263"/>
      <c r="BG2530" s="263"/>
      <c r="BH2530" s="263">
        <v>58</v>
      </c>
      <c r="BI2530" s="263"/>
      <c r="BJ2530" s="404">
        <f>altaz(J2000_Bas,$O2530,$M2530,DecLat,DecLong,2)</f>
        <v>79.913450786605992</v>
      </c>
      <c r="BK2530" s="378" t="s">
        <v>2381</v>
      </c>
      <c r="BL2530" s="379">
        <f>IF((2*G2530)/60&lt;0.2,0.2,(2*G2530)/60)</f>
        <v>0.5</v>
      </c>
      <c r="BM2530" s="380">
        <f>MOD((50000+AD2530-$B$3+(0/24)),1)</f>
        <v>0.16518809094122844</v>
      </c>
      <c r="BN2530" s="381"/>
      <c r="BO2530" s="382">
        <v>2521</v>
      </c>
    </row>
    <row r="2531" spans="1:67" s="24" customFormat="1" ht="15" customHeight="1" x14ac:dyDescent="0.25">
      <c r="A2531" s="288" t="s">
        <v>3126</v>
      </c>
      <c r="B2531" s="241" t="str">
        <f>HYPERLINK(CONCATENATE($AT$3,BK2531,$AU$3),$AV$3)</f>
        <v>S</v>
      </c>
      <c r="C2531" s="242" t="str">
        <f>HYPERLINK(CONCATENATE($AT$4,BK2531,$AU$4,BL2531),$AV$4)</f>
        <v>A</v>
      </c>
      <c r="D2531" s="243" t="s">
        <v>5638</v>
      </c>
      <c r="E2531" s="244" t="s">
        <v>5192</v>
      </c>
      <c r="F2531" s="269" t="s">
        <v>8712</v>
      </c>
      <c r="G2531" s="273">
        <v>1.3</v>
      </c>
      <c r="H2531" s="283">
        <v>100</v>
      </c>
      <c r="I2531" s="246">
        <v>40</v>
      </c>
      <c r="J2531" s="246">
        <v>2</v>
      </c>
      <c r="K2531" s="247" t="s">
        <v>7553</v>
      </c>
      <c r="L2531" s="248">
        <v>225810</v>
      </c>
      <c r="M2531" s="249">
        <f>15*(LEFT(TEXT($L2531,"000000"),2)+(MID(TEXT($L2531,"000000"),3,2)/60)+(RIGHT(TEXT($L2531,"000000"),2)/3600))</f>
        <v>344.54166666666663</v>
      </c>
      <c r="N2531" s="250">
        <v>141830</v>
      </c>
      <c r="O2531" s="251">
        <f>IF($N2531&gt;0,(LEFT(TEXT($N2531,"000000"),2)+(MID(TEXT($N2531,"000000"),3,2)/60)+(RIGHT(TEXT($N2531,"000000"),2)/3600)),-(MID(TEXT($N2531,"000000"),2,2)+(MID(TEXT($N2531,"000000"),4,2)/60)+(RIGHT(TEXT($N2531,"000000"),2)/3600)))</f>
        <v>14.308333333333334</v>
      </c>
      <c r="P2531" s="252" t="s">
        <v>39</v>
      </c>
      <c r="Q2531" s="253"/>
      <c r="R2531" s="277" t="s">
        <v>3293</v>
      </c>
      <c r="S2531" s="272" t="s">
        <v>3293</v>
      </c>
      <c r="T2531" s="273">
        <v>12</v>
      </c>
      <c r="U2531" s="289">
        <v>23.29</v>
      </c>
      <c r="V2531" s="280">
        <v>5</v>
      </c>
      <c r="W2531" s="244"/>
      <c r="X2531" s="244"/>
      <c r="Y2531" s="362"/>
      <c r="Z2531" s="257">
        <f>altaz(J2000_Bas,$O2531,$M2531,DecLat,DecLong,1)</f>
        <v>34.109726154456531</v>
      </c>
      <c r="AA2531" s="257">
        <f>altaz((J2000_Bas+(2*0.04167)),$O2531,$M2531,DecLat,DecLong,1)</f>
        <v>59.040036958480023</v>
      </c>
      <c r="AB2531" s="257">
        <f>altaz((J2000_Bas+(4*0.04167)),$O2531,$M2531,DecLat,DecLong,1)</f>
        <v>73.241416124001603</v>
      </c>
      <c r="AC2531" s="257">
        <f>altaz((J2000_Bas+(6*0.04167)),$O2531,$M2531,DecLat,DecLong,1)</f>
        <v>56.495256513595287</v>
      </c>
      <c r="AD2531" s="258">
        <f>1+ transit((J2000_Bas-1),$O2531,$M2531,DecLat,DecLong)/360 + (GMTOffset/24) + (IF(DST="Y", 1, 0)/24)</f>
        <v>1.9499600501088745</v>
      </c>
      <c r="AE2531" s="259">
        <f>DATE(2001,9,21)+(M2531/360)*365 - (360*((DecLong/360)- (GMTOffset/24) ))</f>
        <v>37509.326967592591</v>
      </c>
      <c r="AF2531" s="260">
        <f>IF(DecLat&gt;0,IF((90 - (DecLat-O2531))&gt;90, (90 - (O2531-DecLat)), (90 - (DecLat-O2531))),IF((90 + (DecLat-O2531))&gt;90, (90 + (O2531-DecLat)), (90 + (DecLat-O2531))))</f>
        <v>73.308333333333337</v>
      </c>
      <c r="AG2531" s="257">
        <f>angularseperation(MoonRA,MoonDec,$M2531,$O2531)</f>
        <v>101.08170367167207</v>
      </c>
      <c r="AH2531" s="261">
        <f ca="1">MIN(100,IF($O$5&gt;80,0+30*($AG2531/100),IF($O$5&gt;70,0+50*($AG2531/100),IF($O$5&gt;60,5+50*($AG2531/100),IF($O$5&gt;50,10+60*($AG2531/100),IF($O$5&gt;40,15+70*($AG2531/100),IF($O$5&gt;30,20+70*($AG2531/100),IF($O$5&gt;20,40+55*($AG2531/100),(80+(20-$O$5)+30*($AG2531/100))))))))))</f>
        <v>100</v>
      </c>
      <c r="AI2531" s="263">
        <v>7437</v>
      </c>
      <c r="AJ2531" s="263"/>
      <c r="AK2531" s="263"/>
      <c r="AL2531" s="263"/>
      <c r="AM2531" s="264"/>
      <c r="AN2531" s="263"/>
      <c r="AO2531" s="263"/>
      <c r="AP2531" s="265"/>
      <c r="AQ2531" s="265">
        <v>12270</v>
      </c>
      <c r="AR2531" s="285">
        <v>70131</v>
      </c>
      <c r="AS2531" s="263"/>
      <c r="AT2531" s="263"/>
      <c r="AU2531" s="263"/>
      <c r="AV2531" s="264"/>
      <c r="AW2531" s="263"/>
      <c r="AX2531" s="263"/>
      <c r="AY2531" s="263"/>
      <c r="AZ2531" s="263"/>
      <c r="BA2531" s="263"/>
      <c r="BB2531" s="263"/>
      <c r="BC2531" s="263"/>
      <c r="BD2531" s="264"/>
      <c r="BE2531" s="263"/>
      <c r="BF2531" s="263"/>
      <c r="BG2531" s="263"/>
      <c r="BH2531" s="263"/>
      <c r="BI2531" s="263"/>
      <c r="BJ2531" s="404">
        <f>altaz(J2000_Bas,$O2531,$M2531,DecLat,DecLong,2)</f>
        <v>93.36707376215486</v>
      </c>
      <c r="BK2531" s="378" t="s">
        <v>3126</v>
      </c>
      <c r="BL2531" s="379">
        <f>IF((2*G2531)/60&lt;0.2,0.2,(2*G2531)/60)</f>
        <v>0.2</v>
      </c>
      <c r="BM2531" s="380">
        <f>MOD((50000+AD2531-$B$3+(0/24)),1)</f>
        <v>0.16532697981165256</v>
      </c>
      <c r="BN2531" s="381" t="s">
        <v>6500</v>
      </c>
      <c r="BO2531" s="382">
        <v>2522</v>
      </c>
    </row>
    <row r="2532" spans="1:67" s="24" customFormat="1" ht="15" customHeight="1" x14ac:dyDescent="0.25">
      <c r="A2532" s="288" t="s">
        <v>2382</v>
      </c>
      <c r="B2532" s="241" t="str">
        <f>HYPERLINK(CONCATENATE($AT$3,BK2532,$AU$3),$AV$3)</f>
        <v>S</v>
      </c>
      <c r="C2532" s="242" t="str">
        <f>HYPERLINK(CONCATENATE($AT$4,BK2532,$AU$4,BL2532),$AV$4)</f>
        <v>A</v>
      </c>
      <c r="D2532" s="243" t="s">
        <v>5638</v>
      </c>
      <c r="E2532" s="244" t="s">
        <v>5182</v>
      </c>
      <c r="F2532" s="269" t="s">
        <v>3300</v>
      </c>
      <c r="G2532" s="273">
        <v>4</v>
      </c>
      <c r="H2532" s="283">
        <v>40</v>
      </c>
      <c r="I2532" s="246">
        <v>50</v>
      </c>
      <c r="J2532" s="246">
        <v>2</v>
      </c>
      <c r="K2532" s="247" t="s">
        <v>7554</v>
      </c>
      <c r="L2532" s="248">
        <v>230100</v>
      </c>
      <c r="M2532" s="249">
        <f>15*(LEFT(TEXT($L2532,"000000"),2)+(MID(TEXT($L2532,"000000"),3,2)/60)+(RIGHT(TEXT($L2532,"000000"),2)/3600))</f>
        <v>345.25</v>
      </c>
      <c r="N2532" s="250">
        <v>300841</v>
      </c>
      <c r="O2532" s="251">
        <f>IF($N2532&gt;0,(LEFT(TEXT($N2532,"000000"),2)+(MID(TEXT($N2532,"000000"),3,2)/60)+(RIGHT(TEXT($N2532,"000000"),2)/3600)),-(MID(TEXT($N2532,"000000"),2,2)+(MID(TEXT($N2532,"000000"),4,2)/60)+(RIGHT(TEXT($N2532,"000000"),2)/3600)))</f>
        <v>30.144722222222221</v>
      </c>
      <c r="P2532" s="252" t="s">
        <v>39</v>
      </c>
      <c r="Q2532" s="253"/>
      <c r="R2532" s="247" t="s">
        <v>3293</v>
      </c>
      <c r="S2532" s="272" t="s">
        <v>3293</v>
      </c>
      <c r="T2532" s="273">
        <v>12</v>
      </c>
      <c r="U2532" s="289">
        <v>22.39</v>
      </c>
      <c r="V2532" s="280">
        <v>45</v>
      </c>
      <c r="W2532" s="244"/>
      <c r="X2532" s="244"/>
      <c r="Y2532" s="362"/>
      <c r="Z2532" s="257">
        <f>altaz(J2000_Bas,$O2532,$M2532,DecLat,DecLong,1)</f>
        <v>39.61806189673495</v>
      </c>
      <c r="AA2532" s="257">
        <f>altaz((J2000_Bas+(2*0.04167)),$O2532,$M2532,DecLat,DecLong,1)</f>
        <v>64.948471373475314</v>
      </c>
      <c r="AB2532" s="257">
        <f>altaz((J2000_Bas+(4*0.04167)),$O2532,$M2532,DecLat,DecLong,1)</f>
        <v>88.833274048922505</v>
      </c>
      <c r="AC2532" s="257">
        <f>altaz((J2000_Bas+(6*0.04167)),$O2532,$M2532,DecLat,DecLong,1)</f>
        <v>63.376823062353765</v>
      </c>
      <c r="AD2532" s="258">
        <f>1+ transit((J2000_Bas-1),$O2532,$M2532,DecLat,DecLong)/360 + (GMTOffset/24) + (IF(DST="Y", 1, 0)/24)</f>
        <v>1.9519276425047083</v>
      </c>
      <c r="AE2532" s="259">
        <f>DATE(2001,9,21)+(M2532/360)*365 - (360*((DecLong/360)- (GMTOffset/24) ))</f>
        <v>37510.045138888891</v>
      </c>
      <c r="AF2532" s="260">
        <f>IF(DecLat&gt;0,IF((90 - (DecLat-O2532))&gt;90, (90 - (O2532-DecLat)), (90 - (DecLat-O2532))),IF((90 + (DecLat-O2532))&gt;90, (90 + (O2532-DecLat)), (90 + (DecLat-O2532))))</f>
        <v>89.144722222222214</v>
      </c>
      <c r="AG2532" s="257">
        <f>angularseperation(MoonRA,MoonDec,$M2532,$O2532)</f>
        <v>108.01293702723505</v>
      </c>
      <c r="AH2532" s="261">
        <f ca="1">MIN(100,IF($O$5&gt;80,0+30*($AG2532/100),IF($O$5&gt;70,0+50*($AG2532/100),IF($O$5&gt;60,5+50*($AG2532/100),IF($O$5&gt;50,10+60*($AG2532/100),IF($O$5&gt;40,15+70*($AG2532/100),IF($O$5&gt;30,20+70*($AG2532/100),IF($O$5&gt;20,40+55*($AG2532/100),(80+(20-$O$5)+30*($AG2532/100))))))))))</f>
        <v>100</v>
      </c>
      <c r="AI2532" s="262">
        <v>7457</v>
      </c>
      <c r="AJ2532" s="262"/>
      <c r="AK2532" s="262"/>
      <c r="AL2532" s="263"/>
      <c r="AM2532" s="264"/>
      <c r="AN2532" s="263"/>
      <c r="AO2532" s="263"/>
      <c r="AP2532" s="265"/>
      <c r="AQ2532" s="266">
        <v>12306</v>
      </c>
      <c r="AR2532" s="267">
        <v>70258</v>
      </c>
      <c r="AS2532" s="263"/>
      <c r="AT2532" s="263"/>
      <c r="AU2532" s="263"/>
      <c r="AV2532" s="264"/>
      <c r="AW2532" s="263"/>
      <c r="AX2532" s="263"/>
      <c r="AY2532" s="263"/>
      <c r="AZ2532" s="263"/>
      <c r="BA2532" s="263"/>
      <c r="BB2532" s="263"/>
      <c r="BC2532" s="263"/>
      <c r="BD2532" s="264"/>
      <c r="BE2532" s="263"/>
      <c r="BF2532" s="263"/>
      <c r="BG2532" s="263"/>
      <c r="BH2532" s="263"/>
      <c r="BI2532" s="263"/>
      <c r="BJ2532" s="404">
        <f>altaz(J2000_Bas,$O2532,$M2532,DecLat,DecLong,2)</f>
        <v>74.742155760358798</v>
      </c>
      <c r="BK2532" s="378" t="s">
        <v>2382</v>
      </c>
      <c r="BL2532" s="379">
        <f>IF((2*G2532)/60&lt;0.2,0.2,(2*G2532)/60)</f>
        <v>0.2</v>
      </c>
      <c r="BM2532" s="380">
        <f>MOD((50000+AD2532-$B$3+(0/24)),1)</f>
        <v>0.16729457220935728</v>
      </c>
      <c r="BN2532" s="381"/>
      <c r="BO2532" s="382">
        <v>2523</v>
      </c>
    </row>
    <row r="2533" spans="1:67" s="24" customFormat="1" ht="15" customHeight="1" x14ac:dyDescent="0.25">
      <c r="A2533" s="288" t="s">
        <v>2383</v>
      </c>
      <c r="B2533" s="241" t="str">
        <f>HYPERLINK(CONCATENATE($AT$3,BK2533,$AU$3),$AV$3)</f>
        <v>S</v>
      </c>
      <c r="C2533" s="242" t="str">
        <f>HYPERLINK(CONCATENATE($AT$4,BK2533,$AU$4,BL2533),$AV$4)</f>
        <v>A</v>
      </c>
      <c r="D2533" s="243" t="s">
        <v>5638</v>
      </c>
      <c r="E2533" s="244" t="s">
        <v>5192</v>
      </c>
      <c r="F2533" s="269" t="s">
        <v>8727</v>
      </c>
      <c r="G2533" s="273">
        <v>4.5</v>
      </c>
      <c r="H2533" s="283">
        <v>30</v>
      </c>
      <c r="I2533" s="246">
        <v>40</v>
      </c>
      <c r="J2533" s="246">
        <v>2</v>
      </c>
      <c r="K2533" s="247" t="s">
        <v>8820</v>
      </c>
      <c r="L2533" s="248">
        <v>230246</v>
      </c>
      <c r="M2533" s="249">
        <f>15*(LEFT(TEXT($L2533,"000000"),2)+(MID(TEXT($L2533,"000000"),3,2)/60)+(RIGHT(TEXT($L2533,"000000"),2)/3600))</f>
        <v>345.69166666666672</v>
      </c>
      <c r="N2533" s="250">
        <v>-405006</v>
      </c>
      <c r="O2533" s="251">
        <f>IF($N2533&gt;0,(LEFT(TEXT($N2533,"000000"),2)+(MID(TEXT($N2533,"000000"),3,2)/60)+(RIGHT(TEXT($N2533,"000000"),2)/3600)),-(MID(TEXT($N2533,"000000"),2,2)+(MID(TEXT($N2533,"000000"),4,2)/60)+(RIGHT(TEXT($N2533,"000000"),2)/3600)))</f>
        <v>-40.835000000000001</v>
      </c>
      <c r="P2533" s="252" t="s">
        <v>1179</v>
      </c>
      <c r="Q2533" s="253"/>
      <c r="R2533" s="277" t="s">
        <v>3293</v>
      </c>
      <c r="S2533" s="272" t="s">
        <v>3293</v>
      </c>
      <c r="T2533" s="273">
        <v>11.4</v>
      </c>
      <c r="U2533" s="289">
        <v>21.490000000000002</v>
      </c>
      <c r="V2533" s="280">
        <v>85</v>
      </c>
      <c r="W2533" s="244"/>
      <c r="X2533" s="244"/>
      <c r="Y2533" s="362"/>
      <c r="Z2533" s="257">
        <f>altaz(J2000_Bas,$O2533,$M2533,DecLat,DecLong,1)</f>
        <v>-0.5424052530588388</v>
      </c>
      <c r="AA2533" s="257">
        <f>altaz((J2000_Bas+(2*0.04167)),$O2533,$M2533,DecLat,DecLong,1)</f>
        <v>13.12598913016398</v>
      </c>
      <c r="AB2533" s="257">
        <f>altaz((J2000_Bas+(4*0.04167)),$O2533,$M2533,DecLat,DecLong,1)</f>
        <v>18.163627400017997</v>
      </c>
      <c r="AC2533" s="257">
        <f>altaz((J2000_Bas+(6*0.04167)),$O2533,$M2533,DecLat,DecLong,1)</f>
        <v>12.805705977088618</v>
      </c>
      <c r="AD2533" s="258">
        <f>1+ transit((J2000_Bas-1),$O2533,$M2533,DecLat,DecLong)/360 + (GMTOffset/24) + (IF(DST="Y", 1, 0)/24)</f>
        <v>1.953154494233875</v>
      </c>
      <c r="AE2533" s="259">
        <f>DATE(2001,9,21)+(M2533/360)*365 - (360*((DecLong/360)- (GMTOffset/24) ))</f>
        <v>37510.492939814816</v>
      </c>
      <c r="AF2533" s="260">
        <f>IF(DecLat&gt;0,IF((90 - (DecLat-O2533))&gt;90, (90 - (O2533-DecLat)), (90 - (DecLat-O2533))),IF((90 + (DecLat-O2533))&gt;90, (90 + (O2533-DecLat)), (90 + (DecLat-O2533))))</f>
        <v>18.164999999999992</v>
      </c>
      <c r="AG2533" s="257">
        <f>angularseperation(MoonRA,MoonDec,$M2533,$O2533)</f>
        <v>77.171022737673326</v>
      </c>
      <c r="AH2533" s="261">
        <f ca="1">MIN(100,IF($O$5&gt;80,0+30*($AG2533/100),IF($O$5&gt;70,0+50*($AG2533/100),IF($O$5&gt;60,5+50*($AG2533/100),IF($O$5&gt;50,10+60*($AG2533/100),IF($O$5&gt;40,15+70*($AG2533/100),IF($O$5&gt;30,20+70*($AG2533/100),IF($O$5&gt;20,40+55*($AG2533/100),(80+(20-$O$5)+30*($AG2533/100))))))))))</f>
        <v>100</v>
      </c>
      <c r="AI2533" s="262">
        <v>7462</v>
      </c>
      <c r="AJ2533" s="263"/>
      <c r="AK2533" s="263"/>
      <c r="AL2533" s="263"/>
      <c r="AM2533" s="264"/>
      <c r="AN2533" s="263"/>
      <c r="AO2533" s="263"/>
      <c r="AP2533" s="265"/>
      <c r="AQ2533" s="265"/>
      <c r="AR2533" s="285">
        <v>70324</v>
      </c>
      <c r="AS2533" s="263"/>
      <c r="AT2533" s="263"/>
      <c r="AU2533" s="263"/>
      <c r="AV2533" s="264"/>
      <c r="AW2533" s="263"/>
      <c r="AX2533" s="263"/>
      <c r="AY2533" s="263"/>
      <c r="AZ2533" s="263"/>
      <c r="BA2533" s="263"/>
      <c r="BB2533" s="263"/>
      <c r="BC2533" s="263"/>
      <c r="BD2533" s="264"/>
      <c r="BE2533" s="263"/>
      <c r="BF2533" s="263"/>
      <c r="BG2533" s="263"/>
      <c r="BH2533" s="263"/>
      <c r="BI2533" s="263"/>
      <c r="BJ2533" s="404">
        <f>altaz(J2000_Bas,$O2533,$M2533,DecLat,DecLong,2)</f>
        <v>139.21687279903438</v>
      </c>
      <c r="BK2533" s="378" t="s">
        <v>2383</v>
      </c>
      <c r="BL2533" s="379">
        <f>IF((2*G2533)/60&lt;0.2,0.2,(2*G2533)/60)</f>
        <v>0.2</v>
      </c>
      <c r="BM2533" s="380">
        <f>MOD((50000+AD2533-$B$3+(0/24)),1)</f>
        <v>0.16852142394054681</v>
      </c>
      <c r="BN2533" s="381"/>
      <c r="BO2533" s="382">
        <v>2524</v>
      </c>
    </row>
    <row r="2534" spans="1:67" s="24" customFormat="1" ht="15" customHeight="1" x14ac:dyDescent="0.25">
      <c r="A2534" s="288" t="s">
        <v>2384</v>
      </c>
      <c r="B2534" s="241" t="str">
        <f>HYPERLINK(CONCATENATE($AT$3,BK2534,$AU$3),$AV$3)</f>
        <v>S</v>
      </c>
      <c r="C2534" s="242" t="str">
        <f>HYPERLINK(CONCATENATE($AT$4,BK2534,$AU$4,BL2534),$AV$4)</f>
        <v>A</v>
      </c>
      <c r="D2534" s="243" t="s">
        <v>5638</v>
      </c>
      <c r="E2534" s="244" t="s">
        <v>5192</v>
      </c>
      <c r="F2534" s="269" t="s">
        <v>8908</v>
      </c>
      <c r="G2534" s="273">
        <v>2.7</v>
      </c>
      <c r="H2534" s="283">
        <v>90</v>
      </c>
      <c r="I2534" s="246">
        <v>70</v>
      </c>
      <c r="J2534" s="246">
        <v>2</v>
      </c>
      <c r="K2534" s="247" t="s">
        <v>7555</v>
      </c>
      <c r="L2534" s="248">
        <v>230152</v>
      </c>
      <c r="M2534" s="249">
        <f>15*(LEFT(TEXT($L2534,"000000"),2)+(MID(TEXT($L2534,"000000"),3,2)/60)+(RIGHT(TEXT($L2534,"000000"),2)/3600))</f>
        <v>345.46666666666664</v>
      </c>
      <c r="N2534" s="250">
        <v>155855</v>
      </c>
      <c r="O2534" s="251">
        <f>IF($N2534&gt;0,(LEFT(TEXT($N2534,"000000"),2)+(MID(TEXT($N2534,"000000"),3,2)/60)+(RIGHT(TEXT($N2534,"000000"),2)/3600)),-(MID(TEXT($N2534,"000000"),2,2)+(MID(TEXT($N2534,"000000"),4,2)/60)+(RIGHT(TEXT($N2534,"000000"),2)/3600)))</f>
        <v>15.981944444444444</v>
      </c>
      <c r="P2534" s="252" t="s">
        <v>39</v>
      </c>
      <c r="Q2534" s="253"/>
      <c r="R2534" s="247" t="s">
        <v>3293</v>
      </c>
      <c r="S2534" s="272" t="s">
        <v>3293</v>
      </c>
      <c r="T2534" s="273">
        <v>13.2</v>
      </c>
      <c r="U2534" s="289">
        <v>22.69</v>
      </c>
      <c r="V2534" s="280">
        <v>75</v>
      </c>
      <c r="W2534" s="244"/>
      <c r="X2534" s="244"/>
      <c r="Y2534" s="362"/>
      <c r="Z2534" s="257">
        <f>altaz(J2000_Bas,$O2534,$M2534,DecLat,DecLong,1)</f>
        <v>34.089233992189349</v>
      </c>
      <c r="AA2534" s="257">
        <f>altaz((J2000_Bas+(2*0.04167)),$O2534,$M2534,DecLat,DecLong,1)</f>
        <v>59.301362733758289</v>
      </c>
      <c r="AB2534" s="257">
        <f>altaz((J2000_Bas+(4*0.04167)),$O2534,$M2534,DecLat,DecLong,1)</f>
        <v>74.968155713325402</v>
      </c>
      <c r="AC2534" s="257">
        <f>altaz((J2000_Bas+(6*0.04167)),$O2534,$M2534,DecLat,DecLong,1)</f>
        <v>58.178909090557816</v>
      </c>
      <c r="AD2534" s="258">
        <f>1+ transit((J2000_Bas-1),$O2534,$M2534,DecLat,DecLong)/360 + (GMTOffset/24) + (IF(DST="Y", 1, 0)/24)</f>
        <v>1.9525294942963745</v>
      </c>
      <c r="AE2534" s="259">
        <f>DATE(2001,9,21)+(M2534/360)*365 - (360*((DecLong/360)- (GMTOffset/24) ))</f>
        <v>37510.264814814815</v>
      </c>
      <c r="AF2534" s="260">
        <f>IF(DecLat&gt;0,IF((90 - (DecLat-O2534))&gt;90, (90 - (O2534-DecLat)), (90 - (DecLat-O2534))),IF((90 + (DecLat-O2534))&gt;90, (90 + (O2534-DecLat)), (90 + (DecLat-O2534))))</f>
        <v>74.981944444444451</v>
      </c>
      <c r="AG2534" s="257">
        <f>angularseperation(MoonRA,MoonDec,$M2534,$O2534)</f>
        <v>102.60135125810574</v>
      </c>
      <c r="AH2534" s="261">
        <f ca="1">MIN(100,IF($O$5&gt;80,0+30*($AG2534/100),IF($O$5&gt;70,0+50*($AG2534/100),IF($O$5&gt;60,5+50*($AG2534/100),IF($O$5&gt;50,10+60*($AG2534/100),IF($O$5&gt;40,15+70*($AG2534/100),IF($O$5&gt;30,20+70*($AG2534/100),IF($O$5&gt;20,40+55*($AG2534/100),(80+(20-$O$5)+30*($AG2534/100))))))))))</f>
        <v>100</v>
      </c>
      <c r="AI2534" s="262">
        <v>7463</v>
      </c>
      <c r="AJ2534" s="262"/>
      <c r="AK2534" s="262"/>
      <c r="AL2534" s="263"/>
      <c r="AM2534" s="264"/>
      <c r="AN2534" s="263"/>
      <c r="AO2534" s="263"/>
      <c r="AP2534" s="265"/>
      <c r="AQ2534" s="266">
        <v>12316</v>
      </c>
      <c r="AR2534" s="267">
        <v>70291</v>
      </c>
      <c r="AS2534" s="263"/>
      <c r="AT2534" s="263"/>
      <c r="AU2534" s="263"/>
      <c r="AV2534" s="264"/>
      <c r="AW2534" s="263"/>
      <c r="AX2534" s="263"/>
      <c r="AY2534" s="263"/>
      <c r="AZ2534" s="263"/>
      <c r="BA2534" s="263"/>
      <c r="BB2534" s="263"/>
      <c r="BC2534" s="263"/>
      <c r="BD2534" s="264"/>
      <c r="BE2534" s="263"/>
      <c r="BF2534" s="263"/>
      <c r="BG2534" s="263"/>
      <c r="BH2534" s="263"/>
      <c r="BI2534" s="263"/>
      <c r="BJ2534" s="404">
        <f>altaz(J2000_Bas,$O2534,$M2534,DecLat,DecLong,2)</f>
        <v>91.076431930971012</v>
      </c>
      <c r="BK2534" s="378" t="s">
        <v>2384</v>
      </c>
      <c r="BL2534" s="379">
        <f>IF((2*G2534)/60&lt;0.2,0.2,(2*G2534)/60)</f>
        <v>0.2</v>
      </c>
      <c r="BM2534" s="380">
        <f>MOD((50000+AD2534-$B$3+(0/24)),1)</f>
        <v>0.16789642399817239</v>
      </c>
      <c r="BN2534" s="381"/>
      <c r="BO2534" s="382">
        <v>2525</v>
      </c>
    </row>
    <row r="2535" spans="1:67" s="24" customFormat="1" ht="15" customHeight="1" x14ac:dyDescent="0.25">
      <c r="A2535" s="288" t="s">
        <v>2385</v>
      </c>
      <c r="B2535" s="241" t="str">
        <f>HYPERLINK(CONCATENATE($AT$3,BK2535,$AU$3),$AV$3)</f>
        <v>S</v>
      </c>
      <c r="C2535" s="242" t="str">
        <f>HYPERLINK(CONCATENATE($AT$4,BK2535,$AU$4,BL2535),$AV$4)</f>
        <v>A</v>
      </c>
      <c r="D2535" s="243" t="s">
        <v>5638</v>
      </c>
      <c r="E2535" s="244" t="s">
        <v>5192</v>
      </c>
      <c r="F2535" s="269" t="s">
        <v>8891</v>
      </c>
      <c r="G2535" s="273">
        <v>3</v>
      </c>
      <c r="H2535" s="283">
        <v>120</v>
      </c>
      <c r="I2535" s="246">
        <v>110</v>
      </c>
      <c r="J2535" s="246">
        <v>3</v>
      </c>
      <c r="K2535" s="247" t="s">
        <v>7556</v>
      </c>
      <c r="L2535" s="248">
        <v>230457</v>
      </c>
      <c r="M2535" s="249">
        <f>15*(LEFT(TEXT($L2535,"000000"),2)+(MID(TEXT($L2535,"000000"),3,2)/60)+(RIGHT(TEXT($L2535,"000000"),2)/3600))</f>
        <v>346.23750000000001</v>
      </c>
      <c r="N2535" s="250">
        <v>121920</v>
      </c>
      <c r="O2535" s="251">
        <f>IF($N2535&gt;0,(LEFT(TEXT($N2535,"000000"),2)+(MID(TEXT($N2535,"000000"),3,2)/60)+(RIGHT(TEXT($N2535,"000000"),2)/3600)),-(MID(TEXT($N2535,"000000"),2,2)+(MID(TEXT($N2535,"000000"),4,2)/60)+(RIGHT(TEXT($N2535,"000000"),2)/3600)))</f>
        <v>12.322222222222223</v>
      </c>
      <c r="P2535" s="252" t="s">
        <v>39</v>
      </c>
      <c r="Q2535" s="253" t="s">
        <v>7557</v>
      </c>
      <c r="R2535" s="247" t="s">
        <v>7366</v>
      </c>
      <c r="S2535" s="272" t="s">
        <v>3293</v>
      </c>
      <c r="T2535" s="273">
        <v>10.9</v>
      </c>
      <c r="U2535" s="289">
        <v>22.39</v>
      </c>
      <c r="V2535" s="280">
        <v>45</v>
      </c>
      <c r="W2535" s="244"/>
      <c r="X2535" s="244"/>
      <c r="Y2535" s="362"/>
      <c r="Z2535" s="257">
        <f>altaz(J2000_Bas,$O2535,$M2535,DecLat,DecLong,1)</f>
        <v>31.71186306210647</v>
      </c>
      <c r="AA2535" s="257">
        <f>altaz((J2000_Bas+(2*0.04167)),$O2535,$M2535,DecLat,DecLong,1)</f>
        <v>56.516048228730746</v>
      </c>
      <c r="AB2535" s="257">
        <f>altaz((J2000_Bas+(4*0.04167)),$O2535,$M2535,DecLat,DecLong,1)</f>
        <v>71.322123465905022</v>
      </c>
      <c r="AC2535" s="257">
        <f>altaz((J2000_Bas+(6*0.04167)),$O2535,$M2535,DecLat,DecLong,1)</f>
        <v>56.616290290309102</v>
      </c>
      <c r="AD2535" s="258">
        <f>1+ transit((J2000_Bas-1),$O2535,$M2535,DecLat,DecLong)/360 + (GMTOffset/24) + (IF(DST="Y", 1, 0)/24)</f>
        <v>1.9546706977859578</v>
      </c>
      <c r="AE2535" s="259">
        <f>DATE(2001,9,21)+(M2535/360)*365 - (360*((DecLong/360)- (GMTOffset/24) ))</f>
        <v>37511.046354166669</v>
      </c>
      <c r="AF2535" s="260">
        <f>IF(DecLat&gt;0,IF((90 - (DecLat-O2535))&gt;90, (90 - (O2535-DecLat)), (90 - (DecLat-O2535))),IF((90 + (DecLat-O2535))&gt;90, (90 + (O2535-DecLat)), (90 + (DecLat-O2535))))</f>
        <v>71.322222222222223</v>
      </c>
      <c r="AG2535" s="257">
        <f>angularseperation(MoonRA,MoonDec,$M2535,$O2535)</f>
        <v>101.71851451325196</v>
      </c>
      <c r="AH2535" s="261">
        <f ca="1">MIN(100,IF($O$5&gt;80,0+30*($AG2535/100),IF($O$5&gt;70,0+50*($AG2535/100),IF($O$5&gt;60,5+50*($AG2535/100),IF($O$5&gt;50,10+60*($AG2535/100),IF($O$5&gt;40,15+70*($AG2535/100),IF($O$5&gt;30,20+70*($AG2535/100),IF($O$5&gt;20,40+55*($AG2535/100),(80+(20-$O$5)+30*($AG2535/100))))))))))</f>
        <v>100</v>
      </c>
      <c r="AI2535" s="262">
        <v>7479</v>
      </c>
      <c r="AJ2535" s="262"/>
      <c r="AK2535" s="262">
        <v>391</v>
      </c>
      <c r="AL2535" s="263"/>
      <c r="AM2535" s="264">
        <v>44</v>
      </c>
      <c r="AN2535" s="263"/>
      <c r="AO2535" s="263"/>
      <c r="AP2535" s="265"/>
      <c r="AQ2535" s="266">
        <v>12343</v>
      </c>
      <c r="AR2535" s="267">
        <v>70419</v>
      </c>
      <c r="AS2535" s="263"/>
      <c r="AT2535" s="263"/>
      <c r="AU2535" s="263"/>
      <c r="AV2535" s="264"/>
      <c r="AW2535" s="263"/>
      <c r="AX2535" s="263"/>
      <c r="AY2535" s="263"/>
      <c r="AZ2535" s="263"/>
      <c r="BA2535" s="263"/>
      <c r="BB2535" s="263"/>
      <c r="BC2535" s="263"/>
      <c r="BD2535" s="264"/>
      <c r="BE2535" s="263"/>
      <c r="BF2535" s="263"/>
      <c r="BG2535" s="263"/>
      <c r="BH2535" s="263"/>
      <c r="BI2535" s="263"/>
      <c r="BJ2535" s="404">
        <f>altaz(J2000_Bas,$O2535,$M2535,DecLat,DecLong,2)</f>
        <v>94.508464688978037</v>
      </c>
      <c r="BK2535" s="378" t="s">
        <v>2385</v>
      </c>
      <c r="BL2535" s="379">
        <f>IF((2*G2535)/60&lt;0.2,0.2,(2*G2535)/60)</f>
        <v>0.2</v>
      </c>
      <c r="BM2535" s="380">
        <f>MOD((50000+AD2535-$B$3+(0/24)),1)</f>
        <v>0.17003762748936424</v>
      </c>
      <c r="BN2535" s="381"/>
      <c r="BO2535" s="382">
        <v>2526</v>
      </c>
    </row>
    <row r="2536" spans="1:67" s="24" customFormat="1" ht="15" customHeight="1" x14ac:dyDescent="0.25">
      <c r="A2536" s="288" t="s">
        <v>2386</v>
      </c>
      <c r="B2536" s="241" t="str">
        <f>HYPERLINK(CONCATENATE($AT$3,BK2536,$AU$3),$AV$3)</f>
        <v>S</v>
      </c>
      <c r="C2536" s="242" t="str">
        <f>HYPERLINK(CONCATENATE($AT$4,BK2536,$AU$4,BL2536),$AV$4)</f>
        <v>A</v>
      </c>
      <c r="D2536" s="243" t="s">
        <v>5638</v>
      </c>
      <c r="E2536" s="244" t="s">
        <v>5192</v>
      </c>
      <c r="F2536" s="269" t="s">
        <v>8728</v>
      </c>
      <c r="G2536" s="273">
        <v>2</v>
      </c>
      <c r="H2536" s="283">
        <v>230</v>
      </c>
      <c r="I2536" s="246">
        <v>140</v>
      </c>
      <c r="J2536" s="246">
        <v>2</v>
      </c>
      <c r="K2536" s="247" t="s">
        <v>7559</v>
      </c>
      <c r="L2536" s="248">
        <v>230733</v>
      </c>
      <c r="M2536" s="249">
        <f>15*(LEFT(TEXT($L2536,"000000"),2)+(MID(TEXT($L2536,"000000"),3,2)/60)+(RIGHT(TEXT($L2536,"000000"),2)/3600))</f>
        <v>346.88749999999999</v>
      </c>
      <c r="N2536" s="250">
        <v>225951</v>
      </c>
      <c r="O2536" s="251">
        <f>IF($N2536&gt;0,(LEFT(TEXT($N2536,"000000"),2)+(MID(TEXT($N2536,"000000"),3,2)/60)+(RIGHT(TEXT($N2536,"000000"),2)/3600)),-(MID(TEXT($N2536,"000000"),2,2)+(MID(TEXT($N2536,"000000"),4,2)/60)+(RIGHT(TEXT($N2536,"000000"),2)/3600)))</f>
        <v>22.997500000000002</v>
      </c>
      <c r="P2536" s="252" t="s">
        <v>39</v>
      </c>
      <c r="Q2536" s="253"/>
      <c r="R2536" s="247" t="s">
        <v>3293</v>
      </c>
      <c r="S2536" s="272" t="s">
        <v>7558</v>
      </c>
      <c r="T2536" s="273">
        <v>13.4</v>
      </c>
      <c r="U2536" s="289">
        <v>23.09</v>
      </c>
      <c r="V2536" s="280">
        <v>60</v>
      </c>
      <c r="W2536" s="244"/>
      <c r="X2536" s="244"/>
      <c r="Y2536" s="362"/>
      <c r="Z2536" s="257">
        <f>altaz(J2000_Bas,$O2536,$M2536,DecLat,DecLong,1)</f>
        <v>35.812981284942595</v>
      </c>
      <c r="AA2536" s="257">
        <f>altaz((J2000_Bas+(2*0.04167)),$O2536,$M2536,DecLat,DecLong,1)</f>
        <v>61.518749515131972</v>
      </c>
      <c r="AB2536" s="257">
        <f>altaz((J2000_Bas+(4*0.04167)),$O2536,$M2536,DecLat,DecLong,1)</f>
        <v>81.972199133111872</v>
      </c>
      <c r="AC2536" s="257">
        <f>altaz((J2000_Bas+(6*0.04167)),$O2536,$M2536,DecLat,DecLong,1)</f>
        <v>62.729777511499705</v>
      </c>
      <c r="AD2536" s="258">
        <f>1+ transit((J2000_Bas-1),$O2536,$M2536,DecLat,DecLong)/360 + (GMTOffset/24) + (IF(DST="Y", 1, 0)/24)</f>
        <v>1.9564762531609581</v>
      </c>
      <c r="AE2536" s="259">
        <f>DATE(2001,9,21)+(M2536/360)*365 - (360*((DecLong/360)- (GMTOffset/24) ))</f>
        <v>37511.705381944441</v>
      </c>
      <c r="AF2536" s="260">
        <f>IF(DecLat&gt;0,IF((90 - (DecLat-O2536))&gt;90, (90 - (O2536-DecLat)), (90 - (DecLat-O2536))),IF((90 + (DecLat-O2536))&gt;90, (90 + (O2536-DecLat)), (90 + (DecLat-O2536))))</f>
        <v>81.997500000000002</v>
      </c>
      <c r="AG2536" s="257">
        <f>angularseperation(MoonRA,MoonDec,$M2536,$O2536)</f>
        <v>106.67372925651759</v>
      </c>
      <c r="AH2536" s="261">
        <f ca="1">MIN(100,IF($O$5&gt;80,0+30*($AG2536/100),IF($O$5&gt;70,0+50*($AG2536/100),IF($O$5&gt;60,5+50*($AG2536/100),IF($O$5&gt;50,10+60*($AG2536/100),IF($O$5&gt;40,15+70*($AG2536/100),IF($O$5&gt;30,20+70*($AG2536/100),IF($O$5&gt;20,40+55*($AG2536/100),(80+(20-$O$5)+30*($AG2536/100))))))))))</f>
        <v>100</v>
      </c>
      <c r="AI2536" s="262">
        <v>7489</v>
      </c>
      <c r="AJ2536" s="262"/>
      <c r="AK2536" s="262"/>
      <c r="AL2536" s="263"/>
      <c r="AM2536" s="264"/>
      <c r="AN2536" s="263"/>
      <c r="AO2536" s="263"/>
      <c r="AP2536" s="265"/>
      <c r="AQ2536" s="266">
        <v>12378</v>
      </c>
      <c r="AR2536" s="267">
        <v>70532</v>
      </c>
      <c r="AS2536" s="263"/>
      <c r="AT2536" s="263"/>
      <c r="AU2536" s="263"/>
      <c r="AV2536" s="264"/>
      <c r="AW2536" s="263"/>
      <c r="AX2536" s="263"/>
      <c r="AY2536" s="263"/>
      <c r="AZ2536" s="263"/>
      <c r="BA2536" s="263"/>
      <c r="BB2536" s="263"/>
      <c r="BC2536" s="263"/>
      <c r="BD2536" s="264"/>
      <c r="BE2536" s="263"/>
      <c r="BF2536" s="263"/>
      <c r="BG2536" s="263"/>
      <c r="BH2536" s="263"/>
      <c r="BI2536" s="263"/>
      <c r="BJ2536" s="404">
        <f>altaz(J2000_Bas,$O2536,$M2536,DecLat,DecLong,2)</f>
        <v>82.617076735587005</v>
      </c>
      <c r="BK2536" s="378" t="s">
        <v>2386</v>
      </c>
      <c r="BL2536" s="379">
        <f>IF((2*G2536)/60&lt;0.2,0.2,(2*G2536)/60)</f>
        <v>0.2</v>
      </c>
      <c r="BM2536" s="380">
        <f>MOD((50000+AD2536-$B$3+(0/24)),1)</f>
        <v>0.17184318286308553</v>
      </c>
      <c r="BN2536" s="381"/>
      <c r="BO2536" s="382">
        <v>2527</v>
      </c>
    </row>
    <row r="2537" spans="1:67" s="24" customFormat="1" ht="15" customHeight="1" x14ac:dyDescent="0.25">
      <c r="A2537" s="288" t="s">
        <v>2387</v>
      </c>
      <c r="B2537" s="241" t="str">
        <f>HYPERLINK(CONCATENATE($AT$3,BK2537,$AU$3),$AV$3)</f>
        <v>S</v>
      </c>
      <c r="C2537" s="242" t="str">
        <f>HYPERLINK(CONCATENATE($AT$4,BK2537,$AU$4,BL2537),$AV$4)</f>
        <v>A</v>
      </c>
      <c r="D2537" s="243" t="s">
        <v>5638</v>
      </c>
      <c r="E2537" s="244" t="s">
        <v>5192</v>
      </c>
      <c r="F2537" s="269" t="s">
        <v>8811</v>
      </c>
      <c r="G2537" s="273">
        <v>2.2999999999999998</v>
      </c>
      <c r="H2537" s="283">
        <v>280</v>
      </c>
      <c r="I2537" s="246">
        <v>180</v>
      </c>
      <c r="J2537" s="246">
        <v>3</v>
      </c>
      <c r="K2537" s="247" t="s">
        <v>7560</v>
      </c>
      <c r="L2537" s="248">
        <v>230725</v>
      </c>
      <c r="M2537" s="249">
        <f>15*(LEFT(TEXT($L2537,"000000"),2)+(MID(TEXT($L2537,"000000"),3,2)/60)+(RIGHT(TEXT($L2537,"000000"),2)/3600))</f>
        <v>346.85416666666663</v>
      </c>
      <c r="N2537" s="250">
        <v>322231</v>
      </c>
      <c r="O2537" s="251">
        <f>IF($N2537&gt;0,(LEFT(TEXT($N2537,"000000"),2)+(MID(TEXT($N2537,"000000"),3,2)/60)+(RIGHT(TEXT($N2537,"000000"),2)/3600)),-(MID(TEXT($N2537,"000000"),2,2)+(MID(TEXT($N2537,"000000"),4,2)/60)+(RIGHT(TEXT($N2537,"000000"),2)/3600)))</f>
        <v>32.375277777777775</v>
      </c>
      <c r="P2537" s="252" t="s">
        <v>39</v>
      </c>
      <c r="Q2537" s="253"/>
      <c r="R2537" s="247" t="s">
        <v>3293</v>
      </c>
      <c r="S2537" s="272" t="s">
        <v>3293</v>
      </c>
      <c r="T2537" s="273">
        <v>12.3</v>
      </c>
      <c r="U2537" s="289">
        <v>23.19</v>
      </c>
      <c r="V2537" s="280">
        <v>0</v>
      </c>
      <c r="W2537" s="244"/>
      <c r="X2537" s="244"/>
      <c r="Y2537" s="362"/>
      <c r="Z2537" s="257">
        <f>altaz(J2000_Bas,$O2537,$M2537,DecLat,DecLong,1)</f>
        <v>38.931469588715494</v>
      </c>
      <c r="AA2537" s="257">
        <f>altaz((J2000_Bas+(2*0.04167)),$O2537,$M2537,DecLat,DecLong,1)</f>
        <v>63.873294642580206</v>
      </c>
      <c r="AB2537" s="257">
        <f>altaz((J2000_Bas+(4*0.04167)),$O2537,$M2537,DecLat,DecLong,1)</f>
        <v>88.50715600691376</v>
      </c>
      <c r="AC2537" s="257">
        <f>altaz((J2000_Bas+(6*0.04167)),$O2537,$M2537,DecLat,DecLong,1)</f>
        <v>65.021591601551563</v>
      </c>
      <c r="AD2537" s="258">
        <f>1+ transit((J2000_Bas-1),$O2537,$M2537,DecLat,DecLong)/360 + (GMTOffset/24) + (IF(DST="Y", 1, 0)/24)</f>
        <v>1.9563836605776246</v>
      </c>
      <c r="AE2537" s="259">
        <f>DATE(2001,9,21)+(M2537/360)*365 - (360*((DecLong/360)- (GMTOffset/24) ))</f>
        <v>37511.671585648146</v>
      </c>
      <c r="AF2537" s="260">
        <f>IF(DecLat&gt;0,IF((90 - (DecLat-O2537))&gt;90, (90 - (O2537-DecLat)), (90 - (DecLat-O2537))),IF((90 + (DecLat-O2537))&gt;90, (90 + (O2537-DecLat)), (90 + (DecLat-O2537))))</f>
        <v>88.624722222222232</v>
      </c>
      <c r="AG2537" s="257">
        <f>angularseperation(MoonRA,MoonDec,$M2537,$O2537)</f>
        <v>110.08437927925819</v>
      </c>
      <c r="AH2537" s="261">
        <f ca="1">MIN(100,IF($O$5&gt;80,0+30*($AG2537/100),IF($O$5&gt;70,0+50*($AG2537/100),IF($O$5&gt;60,5+50*($AG2537/100),IF($O$5&gt;50,10+60*($AG2537/100),IF($O$5&gt;40,15+70*($AG2537/100),IF($O$5&gt;30,20+70*($AG2537/100),IF($O$5&gt;20,40+55*($AG2537/100),(80+(20-$O$5)+30*($AG2537/100))))))))))</f>
        <v>100</v>
      </c>
      <c r="AI2537" s="262">
        <v>7490</v>
      </c>
      <c r="AJ2537" s="262"/>
      <c r="AK2537" s="262"/>
      <c r="AL2537" s="263"/>
      <c r="AM2537" s="264"/>
      <c r="AN2537" s="263"/>
      <c r="AO2537" s="263"/>
      <c r="AP2537" s="265"/>
      <c r="AQ2537" s="266">
        <v>12379</v>
      </c>
      <c r="AR2537" s="267">
        <v>70526</v>
      </c>
      <c r="AS2537" s="263"/>
      <c r="AT2537" s="263"/>
      <c r="AU2537" s="263"/>
      <c r="AV2537" s="264"/>
      <c r="AW2537" s="263"/>
      <c r="AX2537" s="263"/>
      <c r="AY2537" s="263"/>
      <c r="AZ2537" s="263"/>
      <c r="BA2537" s="263"/>
      <c r="BB2537" s="263"/>
      <c r="BC2537" s="263"/>
      <c r="BD2537" s="264"/>
      <c r="BE2537" s="263"/>
      <c r="BF2537" s="263"/>
      <c r="BG2537" s="263"/>
      <c r="BH2537" s="263"/>
      <c r="BI2537" s="263"/>
      <c r="BJ2537" s="404">
        <f>altaz(J2000_Bas,$O2537,$M2537,DecLat,DecLong,2)</f>
        <v>71.478049050329275</v>
      </c>
      <c r="BK2537" s="378" t="s">
        <v>2387</v>
      </c>
      <c r="BL2537" s="379">
        <f>IF((2*G2537)/60&lt;0.2,0.2,(2*G2537)/60)</f>
        <v>0.2</v>
      </c>
      <c r="BM2537" s="380">
        <f>MOD((50000+AD2537-$B$3+(0/24)),1)</f>
        <v>0.1717505902852281</v>
      </c>
      <c r="BN2537" s="381"/>
      <c r="BO2537" s="382">
        <v>2528</v>
      </c>
    </row>
    <row r="2538" spans="1:67" s="24" customFormat="1" ht="15" customHeight="1" x14ac:dyDescent="0.25">
      <c r="A2538" s="288" t="s">
        <v>2388</v>
      </c>
      <c r="B2538" s="241" t="str">
        <f>HYPERLINK(CONCATENATE($AT$3,BK2538,$AU$3),$AV$3)</f>
        <v>S</v>
      </c>
      <c r="C2538" s="242" t="str">
        <f>HYPERLINK(CONCATENATE($AT$4,BK2538,$AU$4,BL2538),$AV$4)</f>
        <v>A</v>
      </c>
      <c r="D2538" s="243" t="s">
        <v>5335</v>
      </c>
      <c r="E2538" s="244" t="s">
        <v>5184</v>
      </c>
      <c r="F2538" s="269" t="s">
        <v>3308</v>
      </c>
      <c r="G2538" s="273">
        <v>6</v>
      </c>
      <c r="H2538" s="283">
        <v>80000</v>
      </c>
      <c r="I2538" s="246">
        <v>140</v>
      </c>
      <c r="J2538" s="246">
        <v>2</v>
      </c>
      <c r="K2538" s="247" t="s">
        <v>7561</v>
      </c>
      <c r="L2538" s="248">
        <v>230827</v>
      </c>
      <c r="M2538" s="249">
        <f>15*(LEFT(TEXT($L2538,"000000"),2)+(MID(TEXT($L2538,"000000"),3,2)/60)+(RIGHT(TEXT($L2538,"000000"),2)/3600))</f>
        <v>347.11250000000001</v>
      </c>
      <c r="N2538" s="250">
        <v>-153641</v>
      </c>
      <c r="O2538" s="251">
        <f>IF($N2538&gt;0,(LEFT(TEXT($N2538,"000000"),2)+(MID(TEXT($N2538,"000000"),3,2)/60)+(RIGHT(TEXT($N2538,"000000"),2)/3600)),-(MID(TEXT($N2538,"000000"),2,2)+(MID(TEXT($N2538,"000000"),4,2)/60)+(RIGHT(TEXT($N2538,"000000"),2)/3600)))</f>
        <v>-15.611388888888888</v>
      </c>
      <c r="P2538" s="252" t="s">
        <v>3119</v>
      </c>
      <c r="Q2538" s="253"/>
      <c r="R2538" s="247" t="s">
        <v>3293</v>
      </c>
      <c r="S2538" s="272" t="s">
        <v>3293</v>
      </c>
      <c r="T2538" s="273">
        <v>11.2</v>
      </c>
      <c r="U2538" s="274"/>
      <c r="V2538" s="280"/>
      <c r="W2538" s="244"/>
      <c r="X2538" s="244"/>
      <c r="Y2538" s="362"/>
      <c r="Z2538" s="257">
        <f>altaz(J2000_Bas,$O2538,$M2538,DecLat,DecLong,1)</f>
        <v>15.084574042958758</v>
      </c>
      <c r="AA2538" s="257">
        <f>altaz((J2000_Bas+(2*0.04167)),$O2538,$M2538,DecLat,DecLong,1)</f>
        <v>34.669383947074039</v>
      </c>
      <c r="AB2538" s="257">
        <f>altaz((J2000_Bas+(4*0.04167)),$O2538,$M2538,DecLat,DecLong,1)</f>
        <v>43.379837740615891</v>
      </c>
      <c r="AC2538" s="257">
        <f>altaz((J2000_Bas+(6*0.04167)),$O2538,$M2538,DecLat,DecLong,1)</f>
        <v>35.621598746383469</v>
      </c>
      <c r="AD2538" s="258">
        <f>1+ transit((J2000_Bas-1),$O2538,$M2538,DecLat,DecLong)/360 + (GMTOffset/24) + (IF(DST="Y", 1, 0)/24)</f>
        <v>1.9571012530984582</v>
      </c>
      <c r="AE2538" s="259">
        <f>DATE(2001,9,21)+(M2538/360)*365 - (360*((DecLong/360)- (GMTOffset/24) ))</f>
        <v>37511.933506944442</v>
      </c>
      <c r="AF2538" s="260">
        <f>IF(DecLat&gt;0,IF((90 - (DecLat-O2538))&gt;90, (90 - (O2538-DecLat)), (90 - (DecLat-O2538))),IF((90 + (DecLat-O2538))&gt;90, (90 + (O2538-DecLat)), (90 + (DecLat-O2538))))</f>
        <v>43.388611111111111</v>
      </c>
      <c r="AG2538" s="257">
        <f>angularseperation(MoonRA,MoonDec,$M2538,$O2538)</f>
        <v>89.707565221786567</v>
      </c>
      <c r="AH2538" s="261">
        <f ca="1">MIN(100,IF($O$5&gt;80,0+30*($AG2538/100),IF($O$5&gt;70,0+50*($AG2538/100),IF($O$5&gt;60,5+50*($AG2538/100),IF($O$5&gt;50,10+60*($AG2538/100),IF($O$5&gt;40,15+70*($AG2538/100),IF($O$5&gt;30,20+70*($AG2538/100),IF($O$5&gt;20,40+55*($AG2538/100),(80+(20-$O$5)+30*($AG2538/100))))))))))</f>
        <v>100</v>
      </c>
      <c r="AI2538" s="262">
        <v>7492</v>
      </c>
      <c r="AJ2538" s="262"/>
      <c r="AK2538" s="262"/>
      <c r="AL2538" s="263"/>
      <c r="AM2538" s="264"/>
      <c r="AN2538" s="263"/>
      <c r="AO2538" s="263"/>
      <c r="AP2538" s="265"/>
      <c r="AQ2538" s="266"/>
      <c r="AR2538" s="267"/>
      <c r="AS2538" s="263"/>
      <c r="AT2538" s="263"/>
      <c r="AU2538" s="263"/>
      <c r="AV2538" s="264"/>
      <c r="AW2538" s="263"/>
      <c r="AX2538" s="263"/>
      <c r="AY2538" s="263"/>
      <c r="AZ2538" s="263"/>
      <c r="BA2538" s="263"/>
      <c r="BB2538" s="263"/>
      <c r="BC2538" s="263"/>
      <c r="BD2538" s="264"/>
      <c r="BE2538" s="263"/>
      <c r="BF2538" s="263"/>
      <c r="BG2538" s="263"/>
      <c r="BH2538" s="263"/>
      <c r="BI2538" s="263"/>
      <c r="BJ2538" s="404">
        <f>altaz(J2000_Bas,$O2538,$M2538,DecLat,DecLong,2)</f>
        <v>119.15076440394657</v>
      </c>
      <c r="BK2538" s="378" t="s">
        <v>2388</v>
      </c>
      <c r="BL2538" s="379">
        <f>IF((2*G2538)/60&lt;0.2,0.2,(2*G2538)/60)</f>
        <v>0.2</v>
      </c>
      <c r="BM2538" s="380">
        <f>MOD((50000+AD2538-$B$3+(0/24)),1)</f>
        <v>0.17246818280545995</v>
      </c>
      <c r="BN2538" s="381"/>
      <c r="BO2538" s="382">
        <v>2529</v>
      </c>
    </row>
    <row r="2539" spans="1:67" s="24" customFormat="1" ht="15" customHeight="1" x14ac:dyDescent="0.25">
      <c r="A2539" s="288" t="s">
        <v>2389</v>
      </c>
      <c r="B2539" s="241" t="str">
        <f>HYPERLINK(CONCATENATE($AT$3,BK2539,$AU$3),$AV$3)</f>
        <v>S</v>
      </c>
      <c r="C2539" s="242" t="str">
        <f>HYPERLINK(CONCATENATE($AT$4,BK2539,$AU$4,BL2539),$AV$4)</f>
        <v>A</v>
      </c>
      <c r="D2539" s="243" t="s">
        <v>5638</v>
      </c>
      <c r="E2539" s="244" t="s">
        <v>5192</v>
      </c>
      <c r="F2539" s="269" t="s">
        <v>8689</v>
      </c>
      <c r="G2539" s="273">
        <v>5</v>
      </c>
      <c r="H2539" s="283">
        <v>60</v>
      </c>
      <c r="I2539" s="246">
        <v>90</v>
      </c>
      <c r="J2539" s="246">
        <v>3</v>
      </c>
      <c r="K2539" s="247" t="s">
        <v>8061</v>
      </c>
      <c r="L2539" s="248">
        <v>230904</v>
      </c>
      <c r="M2539" s="249">
        <f>15*(LEFT(TEXT($L2539,"000000"),2)+(MID(TEXT($L2539,"000000"),3,2)/60)+(RIGHT(TEXT($L2539,"000000"),2)/3600))</f>
        <v>347.26666666666665</v>
      </c>
      <c r="N2539" s="250">
        <v>181036</v>
      </c>
      <c r="O2539" s="251">
        <f>IF($N2539&gt;0,(LEFT(TEXT($N2539,"000000"),2)+(MID(TEXT($N2539,"000000"),3,2)/60)+(RIGHT(TEXT($N2539,"000000"),2)/3600)),-(MID(TEXT($N2539,"000000"),2,2)+(MID(TEXT($N2539,"000000"),4,2)/60)+(RIGHT(TEXT($N2539,"000000"),2)/3600)))</f>
        <v>18.176666666666669</v>
      </c>
      <c r="P2539" s="252" t="s">
        <v>39</v>
      </c>
      <c r="Q2539" s="253"/>
      <c r="R2539" s="247" t="s">
        <v>3293</v>
      </c>
      <c r="S2539" s="272" t="s">
        <v>3293</v>
      </c>
      <c r="T2539" s="273">
        <v>12.2</v>
      </c>
      <c r="U2539" s="289">
        <v>22.89</v>
      </c>
      <c r="V2539" s="280">
        <v>80</v>
      </c>
      <c r="W2539" s="244"/>
      <c r="X2539" s="244"/>
      <c r="Y2539" s="362"/>
      <c r="Z2539" s="257">
        <f>altaz(J2000_Bas,$O2539,$M2539,DecLat,DecLong,1)</f>
        <v>33.518381201279688</v>
      </c>
      <c r="AA2539" s="257">
        <f>altaz((J2000_Bas+(2*0.04167)),$O2539,$M2539,DecLat,DecLong,1)</f>
        <v>59.028068639454006</v>
      </c>
      <c r="AB2539" s="257">
        <f>altaz((J2000_Bas+(4*0.04167)),$O2539,$M2539,DecLat,DecLong,1)</f>
        <v>77.138333512335578</v>
      </c>
      <c r="AC2539" s="257">
        <f>altaz((J2000_Bas+(6*0.04167)),$O2539,$M2539,DecLat,DecLong,1)</f>
        <v>60.811715009506678</v>
      </c>
      <c r="AD2539" s="258">
        <f>1+ transit((J2000_Bas-1),$O2539,$M2539,DecLat,DecLong)/360 + (GMTOffset/24) + (IF(DST="Y", 1, 0)/24)</f>
        <v>1.9575294937963743</v>
      </c>
      <c r="AE2539" s="259">
        <f>DATE(2001,9,21)+(M2539/360)*365 - (360*((DecLong/360)- (GMTOffset/24) ))</f>
        <v>37512.089814814812</v>
      </c>
      <c r="AF2539" s="260">
        <f>IF(DecLat&gt;0,IF((90 - (DecLat-O2539))&gt;90, (90 - (O2539-DecLat)), (90 - (DecLat-O2539))),IF((90 + (DecLat-O2539))&gt;90, (90 + (O2539-DecLat)), (90 + (DecLat-O2539))))</f>
        <v>77.176666666666677</v>
      </c>
      <c r="AG2539" s="257">
        <f>angularseperation(MoonRA,MoonDec,$M2539,$O2539)</f>
        <v>105.07713116571361</v>
      </c>
      <c r="AH2539" s="261">
        <f ca="1">MIN(100,IF($O$5&gt;80,0+30*($AG2539/100),IF($O$5&gt;70,0+50*($AG2539/100),IF($O$5&gt;60,5+50*($AG2539/100),IF($O$5&gt;50,10+60*($AG2539/100),IF($O$5&gt;40,15+70*($AG2539/100),IF($O$5&gt;30,20+70*($AG2539/100),IF($O$5&gt;20,40+55*($AG2539/100),(80+(20-$O$5)+30*($AG2539/100))))))))))</f>
        <v>100</v>
      </c>
      <c r="AI2539" s="262">
        <v>7497</v>
      </c>
      <c r="AJ2539" s="262"/>
      <c r="AK2539" s="262"/>
      <c r="AL2539" s="263"/>
      <c r="AM2539" s="264"/>
      <c r="AN2539" s="263"/>
      <c r="AO2539" s="263"/>
      <c r="AP2539" s="265"/>
      <c r="AQ2539" s="266">
        <v>12392</v>
      </c>
      <c r="AR2539" s="267">
        <v>70569</v>
      </c>
      <c r="AS2539" s="263"/>
      <c r="AT2539" s="263"/>
      <c r="AU2539" s="263"/>
      <c r="AV2539" s="264"/>
      <c r="AW2539" s="263"/>
      <c r="AX2539" s="263"/>
      <c r="AY2539" s="263"/>
      <c r="AZ2539" s="263"/>
      <c r="BA2539" s="263"/>
      <c r="BB2539" s="263"/>
      <c r="BC2539" s="263"/>
      <c r="BD2539" s="264"/>
      <c r="BE2539" s="263"/>
      <c r="BF2539" s="263"/>
      <c r="BG2539" s="263">
        <v>104</v>
      </c>
      <c r="BH2539" s="263"/>
      <c r="BI2539" s="263"/>
      <c r="BJ2539" s="404">
        <f>altaz(J2000_Bas,$O2539,$M2539,DecLat,DecLong,2)</f>
        <v>87.791278918236614</v>
      </c>
      <c r="BK2539" s="378" t="s">
        <v>2389</v>
      </c>
      <c r="BL2539" s="379">
        <f>IF((2*G2539)/60&lt;0.2,0.2,(2*G2539)/60)</f>
        <v>0.2</v>
      </c>
      <c r="BM2539" s="380">
        <f>MOD((50000+AD2539-$B$3+(0/24)),1)</f>
        <v>0.17289642350078793</v>
      </c>
      <c r="BN2539" s="381"/>
      <c r="BO2539" s="382">
        <v>2530</v>
      </c>
    </row>
    <row r="2540" spans="1:67" s="24" customFormat="1" ht="15" customHeight="1" x14ac:dyDescent="0.25">
      <c r="A2540" s="288" t="s">
        <v>7567</v>
      </c>
      <c r="B2540" s="241" t="str">
        <f>HYPERLINK(CONCATENATE($AT$3,BK2540,$AU$3),$AV$3)</f>
        <v>S</v>
      </c>
      <c r="C2540" s="242" t="str">
        <f>HYPERLINK(CONCATENATE($AT$4,BK2540,$AU$4,BL2540),$AV$4)</f>
        <v>A</v>
      </c>
      <c r="D2540" s="243" t="s">
        <v>5638</v>
      </c>
      <c r="E2540" s="244" t="s">
        <v>5336</v>
      </c>
      <c r="F2540" s="269">
        <v>50</v>
      </c>
      <c r="G2540" s="291">
        <v>8</v>
      </c>
      <c r="H2540" s="283">
        <v>540</v>
      </c>
      <c r="I2540" s="284">
        <v>1300</v>
      </c>
      <c r="J2540" s="246">
        <v>3</v>
      </c>
      <c r="K2540" s="247" t="s">
        <v>8331</v>
      </c>
      <c r="L2540" s="248">
        <v>231022</v>
      </c>
      <c r="M2540" s="249">
        <f>15*(LEFT(TEXT($L2540,"000000"),2)+(MID(TEXT($L2540,"000000"),3,2)/60)+(RIGHT(TEXT($L2540,"000000"),2)/3600))</f>
        <v>347.5916666666667</v>
      </c>
      <c r="N2540" s="250">
        <v>73451</v>
      </c>
      <c r="O2540" s="251">
        <f>IF($N2540&gt;0,(LEFT(TEXT($N2540,"000000"),2)+(MID(TEXT($N2540,"000000"),3,2)/60)+(RIGHT(TEXT($N2540,"000000"),2)/3600)),-(MID(TEXT($N2540,"000000"),2,2)+(MID(TEXT($N2540,"000000"),4,2)/60)+(RIGHT(TEXT($N2540,"000000"),2)/3600)))</f>
        <v>7.5808333333333335</v>
      </c>
      <c r="P2540" s="252" t="s">
        <v>158</v>
      </c>
      <c r="Q2540" s="253" t="s">
        <v>7562</v>
      </c>
      <c r="R2540" s="277" t="s">
        <v>3293</v>
      </c>
      <c r="S2540" s="272" t="s">
        <v>3293</v>
      </c>
      <c r="T2540" s="273">
        <v>12.8</v>
      </c>
      <c r="U2540" s="289">
        <v>21.29</v>
      </c>
      <c r="V2540" s="280"/>
      <c r="W2540" s="244"/>
      <c r="X2540" s="244"/>
      <c r="Y2540" s="362"/>
      <c r="Z2540" s="257">
        <f>altaz(J2000_Bas,$O2540,$M2540,DecLat,DecLong,1)</f>
        <v>28.178203532334265</v>
      </c>
      <c r="AA2540" s="257">
        <f>altaz((J2000_Bas+(2*0.04167)),$O2540,$M2540,DecLat,DecLong,1)</f>
        <v>52.408377826968753</v>
      </c>
      <c r="AB2540" s="257">
        <f>altaz((J2000_Bas+(4*0.04167)),$O2540,$M2540,DecLat,DecLong,1)</f>
        <v>66.543248814907457</v>
      </c>
      <c r="AC2540" s="257">
        <f>altaz((J2000_Bas+(6*0.04167)),$O2540,$M2540,DecLat,DecLong,1)</f>
        <v>54.438117403702911</v>
      </c>
      <c r="AD2540" s="258">
        <f>1+ transit((J2000_Bas-1),$O2540,$M2540,DecLat,DecLong)/360 + (GMTOffset/24) + (IF(DST="Y", 1, 0)/24)</f>
        <v>1.9584322714838744</v>
      </c>
      <c r="AE2540" s="259">
        <f>DATE(2001,9,21)+(M2540/360)*365 - (360*((DecLong/360)- (GMTOffset/24) ))</f>
        <v>37512.419328703705</v>
      </c>
      <c r="AF2540" s="260">
        <f>IF(DecLat&gt;0,IF((90 - (DecLat-O2540))&gt;90, (90 - (O2540-DecLat)), (90 - (DecLat-O2540))),IF((90 + (DecLat-O2540))&gt;90, (90 + (O2540-DecLat)), (90 + (DecLat-O2540))))</f>
        <v>66.580833333333331</v>
      </c>
      <c r="AG2540" s="257">
        <f>angularseperation(MoonRA,MoonDec,$M2540,$O2540)</f>
        <v>100.84927483248816</v>
      </c>
      <c r="AH2540" s="261">
        <f ca="1">MIN(100,IF($O$5&gt;80,0+30*($AG2540/100),IF($O$5&gt;70,0+50*($AG2540/100),IF($O$5&gt;60,5+50*($AG2540/100),IF($O$5&gt;50,10+60*($AG2540/100),IF($O$5&gt;40,15+70*($AG2540/100),IF($O$5&gt;30,20+70*($AG2540/100),IF($O$5&gt;20,40+55*($AG2540/100),(80+(20-$O$5)+30*($AG2540/100))))))))))</f>
        <v>100</v>
      </c>
      <c r="AI2540" s="262">
        <v>7499</v>
      </c>
      <c r="AJ2540" s="263"/>
      <c r="AK2540" s="263"/>
      <c r="AL2540" s="263"/>
      <c r="AM2540" s="264"/>
      <c r="AN2540" s="263"/>
      <c r="AO2540" s="263"/>
      <c r="AP2540" s="265"/>
      <c r="AQ2540" s="265">
        <v>12397</v>
      </c>
      <c r="AR2540" s="285">
        <v>70608</v>
      </c>
      <c r="AS2540" s="263"/>
      <c r="AT2540" s="263"/>
      <c r="AU2540" s="263"/>
      <c r="AV2540" s="264"/>
      <c r="AW2540" s="263"/>
      <c r="AX2540" s="263"/>
      <c r="AY2540" s="263"/>
      <c r="AZ2540" s="263"/>
      <c r="BA2540" s="263"/>
      <c r="BB2540" s="263"/>
      <c r="BC2540" s="263"/>
      <c r="BD2540" s="264"/>
      <c r="BE2540" s="263"/>
      <c r="BF2540" s="263"/>
      <c r="BG2540" s="263"/>
      <c r="BH2540" s="263"/>
      <c r="BI2540" s="263"/>
      <c r="BJ2540" s="404">
        <f>altaz(J2000_Bas,$O2540,$M2540,DecLat,DecLong,2)</f>
        <v>98.469525827715515</v>
      </c>
      <c r="BK2540" s="378" t="s">
        <v>2390</v>
      </c>
      <c r="BL2540" s="379">
        <f>IF((2*G2540)/60&lt;0.2,0.2,(2*G2540)/60)</f>
        <v>0.26666666666666666</v>
      </c>
      <c r="BM2540" s="380">
        <f>MOD((50000+AD2540-$B$3+(0/24)),1)</f>
        <v>0.17379920119128656</v>
      </c>
      <c r="BN2540" s="381"/>
      <c r="BO2540" s="382">
        <v>2531</v>
      </c>
    </row>
    <row r="2541" spans="1:67" s="24" customFormat="1" ht="15" customHeight="1" x14ac:dyDescent="0.25">
      <c r="A2541" s="288" t="s">
        <v>2391</v>
      </c>
      <c r="B2541" s="241" t="str">
        <f>HYPERLINK(CONCATENATE($AT$3,BK2541,$AU$3),$AV$3)</f>
        <v>S</v>
      </c>
      <c r="C2541" s="242" t="str">
        <f>HYPERLINK(CONCATENATE($AT$4,BK2541,$AU$4,BL2541),$AV$4)</f>
        <v>A</v>
      </c>
      <c r="D2541" s="243" t="s">
        <v>5335</v>
      </c>
      <c r="E2541" s="244" t="s">
        <v>5185</v>
      </c>
      <c r="F2541" s="269" t="s">
        <v>9079</v>
      </c>
      <c r="G2541" s="273">
        <v>7</v>
      </c>
      <c r="H2541" s="283">
        <v>10000</v>
      </c>
      <c r="I2541" s="246">
        <v>20</v>
      </c>
      <c r="J2541" s="246">
        <v>3</v>
      </c>
      <c r="K2541" s="247" t="s">
        <v>7563</v>
      </c>
      <c r="L2541" s="248">
        <v>231104</v>
      </c>
      <c r="M2541" s="249">
        <f>15*(LEFT(TEXT($L2541,"000000"),2)+(MID(TEXT($L2541,"000000"),3,2)/60)+(RIGHT(TEXT($L2541,"000000"),2)/3600))</f>
        <v>347.76666666666665</v>
      </c>
      <c r="N2541" s="250">
        <v>603415</v>
      </c>
      <c r="O2541" s="251">
        <f>IF($N2541&gt;0,(LEFT(TEXT($N2541,"000000"),2)+(MID(TEXT($N2541,"000000"),3,2)/60)+(RIGHT(TEXT($N2541,"000000"),2)/3600)),-(MID(TEXT($N2541,"000000"),2,2)+(MID(TEXT($N2541,"000000"),4,2)/60)+(RIGHT(TEXT($N2541,"000000"),2)/3600)))</f>
        <v>60.57083333333334</v>
      </c>
      <c r="P2541" s="252" t="s">
        <v>52</v>
      </c>
      <c r="Q2541" s="253" t="s">
        <v>7107</v>
      </c>
      <c r="R2541" s="247" t="s">
        <v>3293</v>
      </c>
      <c r="S2541" s="272" t="s">
        <v>3293</v>
      </c>
      <c r="T2541" s="273">
        <v>7.9</v>
      </c>
      <c r="U2541" s="274"/>
      <c r="V2541" s="280"/>
      <c r="W2541" s="244"/>
      <c r="X2541" s="244"/>
      <c r="Y2541" s="362"/>
      <c r="Z2541" s="257">
        <f>altaz(J2000_Bas,$O2541,$M2541,DecLat,DecLong,1)</f>
        <v>40.378576246208077</v>
      </c>
      <c r="AA2541" s="257">
        <f>altaz((J2000_Bas+(2*0.04167)),$O2541,$M2541,DecLat,DecLong,1)</f>
        <v>53.803077888569966</v>
      </c>
      <c r="AB2541" s="257">
        <f>altaz((J2000_Bas+(4*0.04167)),$O2541,$M2541,DecLat,DecLong,1)</f>
        <v>60.410227724496345</v>
      </c>
      <c r="AC2541" s="257">
        <f>altaz((J2000_Bas+(6*0.04167)),$O2541,$M2541,DecLat,DecLong,1)</f>
        <v>54.959316010040055</v>
      </c>
      <c r="AD2541" s="258">
        <f>1+ transit((J2000_Bas-1),$O2541,$M2541,DecLat,DecLong)/360 + (GMTOffset/24) + (IF(DST="Y", 1, 0)/24)</f>
        <v>1.9589183825463745</v>
      </c>
      <c r="AE2541" s="259">
        <f>DATE(2001,9,21)+(M2541/360)*365 - (360*((DecLong/360)- (GMTOffset/24) ))</f>
        <v>37512.596759259257</v>
      </c>
      <c r="AF2541" s="260">
        <f>IF(DecLat&gt;0,IF((90 - (DecLat-O2541))&gt;90, (90 - (O2541-DecLat)), (90 - (DecLat-O2541))),IF((90 + (DecLat-O2541))&gt;90, (90 + (O2541-DecLat)), (90 + (DecLat-O2541))))</f>
        <v>60.42916666666666</v>
      </c>
      <c r="AG2541" s="257">
        <f>angularseperation(MoonRA,MoonDec,$M2541,$O2541)</f>
        <v>117.47724624363492</v>
      </c>
      <c r="AH2541" s="261">
        <f ca="1">MIN(100,IF($O$5&gt;80,0+30*($AG2541/100),IF($O$5&gt;70,0+50*($AG2541/100),IF($O$5&gt;60,5+50*($AG2541/100),IF($O$5&gt;50,10+60*($AG2541/100),IF($O$5&gt;40,15+70*($AG2541/100),IF($O$5&gt;30,20+70*($AG2541/100),IF($O$5&gt;20,40+55*($AG2541/100),(80+(20-$O$5)+30*($AG2541/100))))))))))</f>
        <v>100</v>
      </c>
      <c r="AI2541" s="262">
        <v>7510</v>
      </c>
      <c r="AJ2541" s="262"/>
      <c r="AK2541" s="262">
        <v>392</v>
      </c>
      <c r="AL2541" s="263"/>
      <c r="AM2541" s="264"/>
      <c r="AN2541" s="263"/>
      <c r="AO2541" s="263"/>
      <c r="AP2541" s="265"/>
      <c r="AQ2541" s="266"/>
      <c r="AR2541" s="267"/>
      <c r="AS2541" s="263"/>
      <c r="AT2541" s="263"/>
      <c r="AU2541" s="263"/>
      <c r="AV2541" s="264"/>
      <c r="AW2541" s="263"/>
      <c r="AX2541" s="263"/>
      <c r="AY2541" s="263"/>
      <c r="AZ2541" s="263"/>
      <c r="BA2541" s="263"/>
      <c r="BB2541" s="263"/>
      <c r="BC2541" s="263"/>
      <c r="BD2541" s="264"/>
      <c r="BE2541" s="263"/>
      <c r="BF2541" s="263">
        <v>107</v>
      </c>
      <c r="BG2541" s="263"/>
      <c r="BH2541" s="263"/>
      <c r="BI2541" s="263"/>
      <c r="BJ2541" s="404">
        <f>altaz(J2000_Bas,$O2541,$M2541,DecLat,DecLong,2)</f>
        <v>34.628130708039059</v>
      </c>
      <c r="BK2541" s="378" t="s">
        <v>2391</v>
      </c>
      <c r="BL2541" s="379">
        <f>IF((2*G2541)/60&lt;0.2,0.2,(2*G2541)/60)</f>
        <v>0.23333333333333334</v>
      </c>
      <c r="BM2541" s="380">
        <f>MOD((50000+AD2541-$B$3+(0/24)),1)</f>
        <v>0.17428531224868493</v>
      </c>
      <c r="BN2541" s="381"/>
      <c r="BO2541" s="382">
        <v>2532</v>
      </c>
    </row>
    <row r="2542" spans="1:67" s="24" customFormat="1" ht="15" customHeight="1" x14ac:dyDescent="0.25">
      <c r="A2542" s="288" t="s">
        <v>2392</v>
      </c>
      <c r="B2542" s="241" t="str">
        <f>HYPERLINK(CONCATENATE($AT$3,BK2542,$AU$3),$AV$3)</f>
        <v>S</v>
      </c>
      <c r="C2542" s="242" t="str">
        <f>HYPERLINK(CONCATENATE($AT$4,BK2542,$AU$4,BL2542),$AV$4)</f>
        <v>A</v>
      </c>
      <c r="D2542" s="243" t="s">
        <v>5638</v>
      </c>
      <c r="E2542" s="244" t="s">
        <v>5192</v>
      </c>
      <c r="F2542" s="269" t="s">
        <v>8709</v>
      </c>
      <c r="G2542" s="273">
        <v>1.4</v>
      </c>
      <c r="H2542" s="283">
        <v>160</v>
      </c>
      <c r="I2542" s="246">
        <v>70</v>
      </c>
      <c r="J2542" s="246">
        <v>2</v>
      </c>
      <c r="K2542" s="247" t="s">
        <v>8330</v>
      </c>
      <c r="L2542" s="248">
        <v>231313</v>
      </c>
      <c r="M2542" s="249">
        <f>15*(LEFT(TEXT($L2542,"000000"),2)+(MID(TEXT($L2542,"000000"),3,2)/60)+(RIGHT(TEXT($L2542,"000000"),2)/3600))</f>
        <v>348.30416666666667</v>
      </c>
      <c r="N2542" s="286">
        <v>61918</v>
      </c>
      <c r="O2542" s="251">
        <f>IF($N2542&gt;0,(LEFT(TEXT($N2542,"000000"),2)+(MID(TEXT($N2542,"000000"),3,2)/60)+(RIGHT(TEXT($N2542,"000000"),2)/3600)),-(MID(TEXT($N2542,"000000"),2,2)+(MID(TEXT($N2542,"000000"),4,2)/60)+(RIGHT(TEXT($N2542,"000000"),2)/3600)))</f>
        <v>6.3216666666666663</v>
      </c>
      <c r="P2542" s="252" t="s">
        <v>158</v>
      </c>
      <c r="Q2542" s="253"/>
      <c r="R2542" s="247" t="s">
        <v>3293</v>
      </c>
      <c r="S2542" s="272" t="s">
        <v>2774</v>
      </c>
      <c r="T2542" s="273">
        <v>13.4</v>
      </c>
      <c r="U2542" s="289">
        <v>22.59</v>
      </c>
      <c r="V2542" s="280">
        <v>50</v>
      </c>
      <c r="W2542" s="244"/>
      <c r="X2542" s="244"/>
      <c r="Y2542" s="362"/>
      <c r="Z2542" s="257">
        <f>altaz(J2000_Bas,$O2542,$M2542,DecLat,DecLong,1)</f>
        <v>26.918026048846038</v>
      </c>
      <c r="AA2542" s="257">
        <f>altaz((J2000_Bas+(2*0.04167)),$O2542,$M2542,DecLat,DecLong,1)</f>
        <v>51.031779590458818</v>
      </c>
      <c r="AB2542" s="257">
        <f>altaz((J2000_Bas+(4*0.04167)),$O2542,$M2542,DecLat,DecLong,1)</f>
        <v>65.240826817862285</v>
      </c>
      <c r="AC2542" s="257">
        <f>altaz((J2000_Bas+(6*0.04167)),$O2542,$M2542,DecLat,DecLong,1)</f>
        <v>54.025342346577744</v>
      </c>
      <c r="AD2542" s="258">
        <f>1+ transit((J2000_Bas-1),$O2542,$M2542,DecLat,DecLong)/360 + (GMTOffset/24) + (IF(DST="Y", 1, 0)/24)</f>
        <v>1.9604114379526247</v>
      </c>
      <c r="AE2542" s="259">
        <f>DATE(2001,9,21)+(M2542/360)*365 - (360*((DecLong/360)- (GMTOffset/24) ))</f>
        <v>37513.141724537039</v>
      </c>
      <c r="AF2542" s="260">
        <f>IF(DecLat&gt;0,IF((90 - (DecLat-O2542))&gt;90, (90 - (O2542-DecLat)), (90 - (DecLat-O2542))),IF((90 + (DecLat-O2542))&gt;90, (90 + (O2542-DecLat)), (90 + (DecLat-O2542))))</f>
        <v>65.321666666666658</v>
      </c>
      <c r="AG2542" s="257">
        <f>angularseperation(MoonRA,MoonDec,$M2542,$O2542)</f>
        <v>100.9245014547117</v>
      </c>
      <c r="AH2542" s="261">
        <f ca="1">MIN(100,IF($O$5&gt;80,0+30*($AG2542/100),IF($O$5&gt;70,0+50*($AG2542/100),IF($O$5&gt;60,5+50*($AG2542/100),IF($O$5&gt;50,10+60*($AG2542/100),IF($O$5&gt;40,15+70*($AG2542/100),IF($O$5&gt;30,20+70*($AG2542/100),IF($O$5&gt;20,40+55*($AG2542/100),(80+(20-$O$5)+30*($AG2542/100))))))))))</f>
        <v>100</v>
      </c>
      <c r="AI2542" s="262">
        <v>7518</v>
      </c>
      <c r="AJ2542" s="262"/>
      <c r="AK2542" s="262"/>
      <c r="AL2542" s="263"/>
      <c r="AM2542" s="264"/>
      <c r="AN2542" s="263"/>
      <c r="AO2542" s="263"/>
      <c r="AP2542" s="265"/>
      <c r="AQ2542" s="266">
        <v>12422</v>
      </c>
      <c r="AR2542" s="267">
        <v>70712</v>
      </c>
      <c r="AS2542" s="263"/>
      <c r="AT2542" s="263"/>
      <c r="AU2542" s="263"/>
      <c r="AV2542" s="264"/>
      <c r="AW2542" s="263"/>
      <c r="AX2542" s="263"/>
      <c r="AY2542" s="263"/>
      <c r="AZ2542" s="263"/>
      <c r="BA2542" s="263"/>
      <c r="BB2542" s="263"/>
      <c r="BC2542" s="263"/>
      <c r="BD2542" s="264"/>
      <c r="BE2542" s="263"/>
      <c r="BF2542" s="263"/>
      <c r="BG2542" s="263"/>
      <c r="BH2542" s="263"/>
      <c r="BI2542" s="263"/>
      <c r="BJ2542" s="404">
        <f>altaz(J2000_Bas,$O2542,$M2542,DecLat,DecLong,2)</f>
        <v>99.265210578290649</v>
      </c>
      <c r="BK2542" s="378" t="s">
        <v>2392</v>
      </c>
      <c r="BL2542" s="379">
        <f>IF((2*G2542)/60&lt;0.2,0.2,(2*G2542)/60)</f>
        <v>0.2</v>
      </c>
      <c r="BM2542" s="380">
        <f>MOD((50000+AD2542-$B$3+(0/24)),1)</f>
        <v>0.17577836765849497</v>
      </c>
      <c r="BN2542" s="381"/>
      <c r="BO2542" s="382">
        <v>2533</v>
      </c>
    </row>
    <row r="2543" spans="1:67" s="24" customFormat="1" ht="15" customHeight="1" x14ac:dyDescent="0.25">
      <c r="A2543" s="288" t="s">
        <v>7662</v>
      </c>
      <c r="B2543" s="241" t="str">
        <f>HYPERLINK(CONCATENATE($AT$3,BK2543,$AU$3),$AV$3)</f>
        <v>S</v>
      </c>
      <c r="C2543" s="242" t="str">
        <f>HYPERLINK(CONCATENATE($AT$4,BK2543,$AU$4,BL2543),$AV$4)</f>
        <v>A</v>
      </c>
      <c r="D2543" s="243" t="s">
        <v>5638</v>
      </c>
      <c r="E2543" s="244" t="s">
        <v>5178</v>
      </c>
      <c r="F2543" s="269"/>
      <c r="G2543" s="273">
        <v>3</v>
      </c>
      <c r="H2543" s="283">
        <v>100</v>
      </c>
      <c r="I2543" s="246">
        <v>90</v>
      </c>
      <c r="J2543" s="246">
        <v>2</v>
      </c>
      <c r="K2543" s="247" t="s">
        <v>7564</v>
      </c>
      <c r="L2543" s="248">
        <v>231444</v>
      </c>
      <c r="M2543" s="249">
        <f>15*(LEFT(TEXT($L2543,"000000"),2)+(MID(TEXT($L2543,"000000"),3,2)/60)+(RIGHT(TEXT($L2543,"000000"),2)/3600))</f>
        <v>348.68333333333334</v>
      </c>
      <c r="N2543" s="250">
        <v>43202</v>
      </c>
      <c r="O2543" s="251">
        <f>IF($N2543&gt;0,(LEFT(TEXT($N2543,"000000"),2)+(MID(TEXT($N2543,"000000"),3,2)/60)+(RIGHT(TEXT($N2543,"000000"),2)/3600)),-(MID(TEXT($N2543,"000000"),2,2)+(MID(TEXT($N2543,"000000"),4,2)/60)+(RIGHT(TEXT($N2543,"000000"),2)/3600)))</f>
        <v>4.5338888888888889</v>
      </c>
      <c r="P2543" s="252" t="s">
        <v>158</v>
      </c>
      <c r="Q2543" s="253"/>
      <c r="R2543" s="247" t="s">
        <v>3293</v>
      </c>
      <c r="S2543" s="272" t="s">
        <v>9210</v>
      </c>
      <c r="T2543" s="273">
        <v>11.7</v>
      </c>
      <c r="U2543" s="289">
        <v>22.09</v>
      </c>
      <c r="V2543" s="280">
        <v>75</v>
      </c>
      <c r="W2543" s="244"/>
      <c r="X2543" s="244"/>
      <c r="Y2543" s="362"/>
      <c r="Z2543" s="257">
        <f>altaz(J2000_Bas,$O2543,$M2543,DecLat,DecLong,1)</f>
        <v>25.650340742014329</v>
      </c>
      <c r="AA2543" s="257">
        <f>altaz((J2000_Bas+(2*0.04167)),$O2543,$M2543,DecLat,DecLong,1)</f>
        <v>49.51772885590416</v>
      </c>
      <c r="AB2543" s="257">
        <f>altaz((J2000_Bas+(4*0.04167)),$O2543,$M2543,DecLat,DecLong,1)</f>
        <v>63.428552864154369</v>
      </c>
      <c r="AC2543" s="257">
        <f>altaz((J2000_Bas+(6*0.04167)),$O2543,$M2543,DecLat,DecLong,1)</f>
        <v>52.953589573769371</v>
      </c>
      <c r="AD2543" s="258">
        <f>1+ transit((J2000_Bas-1),$O2543,$M2543,DecLat,DecLong)/360 + (GMTOffset/24) + (IF(DST="Y", 1, 0)/24)</f>
        <v>1.9614646785880414</v>
      </c>
      <c r="AE2543" s="259">
        <f>DATE(2001,9,21)+(M2543/360)*365 - (360*((DecLong/360)- (GMTOffset/24) ))</f>
        <v>37513.52615740741</v>
      </c>
      <c r="AF2543" s="260">
        <f>IF(DecLat&gt;0,IF((90 - (DecLat-O2543))&gt;90, (90 - (O2543-DecLat)), (90 - (DecLat-O2543))),IF((90 + (DecLat-O2543))&gt;90, (90 + (O2543-DecLat)), (90 + (DecLat-O2543))))</f>
        <v>63.533888888888889</v>
      </c>
      <c r="AG2543" s="257">
        <f>angularseperation(MoonRA,MoonDec,$M2543,$O2543)</f>
        <v>100.46204683463903</v>
      </c>
      <c r="AH2543" s="261">
        <f ca="1">MIN(100,IF($O$5&gt;80,0+30*($AG2543/100),IF($O$5&gt;70,0+50*($AG2543/100),IF($O$5&gt;60,5+50*($AG2543/100),IF($O$5&gt;50,10+60*($AG2543/100),IF($O$5&gt;40,15+70*($AG2543/100),IF($O$5&gt;30,20+70*($AG2543/100),IF($O$5&gt;20,40+55*($AG2543/100),(80+(20-$O$5)+30*($AG2543/100))))))))))</f>
        <v>100</v>
      </c>
      <c r="AI2543" s="262">
        <v>7541</v>
      </c>
      <c r="AJ2543" s="262"/>
      <c r="AK2543" s="262"/>
      <c r="AL2543" s="263"/>
      <c r="AM2543" s="264"/>
      <c r="AN2543" s="263"/>
      <c r="AO2543" s="263"/>
      <c r="AP2543" s="265"/>
      <c r="AQ2543" s="266"/>
      <c r="AR2543" s="267">
        <v>70795</v>
      </c>
      <c r="AS2543" s="263"/>
      <c r="AT2543" s="263"/>
      <c r="AU2543" s="263"/>
      <c r="AV2543" s="264"/>
      <c r="AW2543" s="263"/>
      <c r="AX2543" s="263"/>
      <c r="AY2543" s="263"/>
      <c r="AZ2543" s="263"/>
      <c r="BA2543" s="263"/>
      <c r="BB2543" s="263"/>
      <c r="BC2543" s="263"/>
      <c r="BD2543" s="264"/>
      <c r="BE2543" s="263"/>
      <c r="BF2543" s="263"/>
      <c r="BG2543" s="263"/>
      <c r="BH2543" s="263">
        <v>18</v>
      </c>
      <c r="BI2543" s="263"/>
      <c r="BJ2543" s="404">
        <f>altaz(J2000_Bas,$O2543,$M2543,DecLat,DecLong,2)</f>
        <v>100.73291148889213</v>
      </c>
      <c r="BK2543" s="378" t="s">
        <v>2393</v>
      </c>
      <c r="BL2543" s="379">
        <f>IF((2*G2543)/60&lt;0.2,0.2,(2*G2543)/60)</f>
        <v>0.2</v>
      </c>
      <c r="BM2543" s="380">
        <f>MOD((50000+AD2543-$B$3+(0/24)),1)</f>
        <v>0.17683160828892142</v>
      </c>
      <c r="BN2543" s="381"/>
      <c r="BO2543" s="382">
        <v>2534</v>
      </c>
    </row>
    <row r="2544" spans="1:67" s="24" customFormat="1" ht="15" customHeight="1" x14ac:dyDescent="0.25">
      <c r="A2544" s="288" t="s">
        <v>7601</v>
      </c>
      <c r="B2544" s="241" t="str">
        <f>HYPERLINK(CONCATENATE($AT$3,BK2544,$AU$3),$AV$3)</f>
        <v>S</v>
      </c>
      <c r="C2544" s="242" t="str">
        <f>HYPERLINK(CONCATENATE($AT$4,BK2544,$AU$4,BL2544),$AV$4)</f>
        <v>A</v>
      </c>
      <c r="D2544" s="243" t="s">
        <v>5638</v>
      </c>
      <c r="E2544" s="244" t="s">
        <v>5625</v>
      </c>
      <c r="F2544" s="269">
        <v>4</v>
      </c>
      <c r="G2544" s="291">
        <v>5</v>
      </c>
      <c r="H2544" s="283">
        <v>190</v>
      </c>
      <c r="I2544" s="284">
        <v>300</v>
      </c>
      <c r="J2544" s="246">
        <v>2</v>
      </c>
      <c r="K2544" s="247" t="s">
        <v>7565</v>
      </c>
      <c r="L2544" s="248">
        <v>231558</v>
      </c>
      <c r="M2544" s="249">
        <f>15*(LEFT(TEXT($L2544,"000000"),2)+(MID(TEXT($L2544,"000000"),3,2)/60)+(RIGHT(TEXT($L2544,"000000"),2)/3600))</f>
        <v>348.99166666666667</v>
      </c>
      <c r="N2544" s="250">
        <v>64112</v>
      </c>
      <c r="O2544" s="251">
        <f>IF($N2544&gt;0,(LEFT(TEXT($N2544,"000000"),2)+(MID(TEXT($N2544,"000000"),3,2)/60)+(RIGHT(TEXT($N2544,"000000"),2)/3600)),-(MID(TEXT($N2544,"000000"),2,2)+(MID(TEXT($N2544,"000000"),4,2)/60)+(RIGHT(TEXT($N2544,"000000"),2)/3600)))</f>
        <v>6.6866666666666665</v>
      </c>
      <c r="P2544" s="252" t="s">
        <v>158</v>
      </c>
      <c r="Q2544" s="253"/>
      <c r="R2544" s="277" t="s">
        <v>3293</v>
      </c>
      <c r="S2544" s="272" t="s">
        <v>3293</v>
      </c>
      <c r="T2544" s="273">
        <v>11.5</v>
      </c>
      <c r="U2544" s="289">
        <v>21.69</v>
      </c>
      <c r="V2544" s="280"/>
      <c r="W2544" s="244"/>
      <c r="X2544" s="244"/>
      <c r="Y2544" s="362"/>
      <c r="Z2544" s="257">
        <f>altaz(J2000_Bas,$O2544,$M2544,DecLat,DecLong,1)</f>
        <v>26.52669219634938</v>
      </c>
      <c r="AA2544" s="257">
        <f>altaz((J2000_Bas+(2*0.04167)),$O2544,$M2544,DecLat,DecLong,1)</f>
        <v>50.780896296145592</v>
      </c>
      <c r="AB2544" s="257">
        <f>altaz((J2000_Bas+(4*0.04167)),$O2544,$M2544,DecLat,DecLong,1)</f>
        <v>65.543600252426472</v>
      </c>
      <c r="AC2544" s="257">
        <f>altaz((J2000_Bas+(6*0.04167)),$O2544,$M2544,DecLat,DecLong,1)</f>
        <v>54.758226636971138</v>
      </c>
      <c r="AD2544" s="258">
        <f>1+ transit((J2000_Bas-1),$O2544,$M2544,DecLat,DecLong)/360 + (GMTOffset/24) + (IF(DST="Y", 1, 0)/24)</f>
        <v>1.962321159983875</v>
      </c>
      <c r="AE2544" s="259">
        <f>DATE(2001,9,21)+(M2544/360)*365 - (360*((DecLong/360)- (GMTOffset/24) ))</f>
        <v>37513.838773148149</v>
      </c>
      <c r="AF2544" s="260">
        <f>IF(DecLat&gt;0,IF((90 - (DecLat-O2544))&gt;90, (90 - (O2544-DecLat)), (90 - (DecLat-O2544))),IF((90 + (DecLat-O2544))&gt;90, (90 + (O2544-DecLat)), (90 + (DecLat-O2544))))</f>
        <v>65.686666666666667</v>
      </c>
      <c r="AG2544" s="257">
        <f>angularseperation(MoonRA,MoonDec,$M2544,$O2544)</f>
        <v>101.69862738425526</v>
      </c>
      <c r="AH2544" s="261">
        <f ca="1">MIN(100,IF($O$5&gt;80,0+30*($AG2544/100),IF($O$5&gt;70,0+50*($AG2544/100),IF($O$5&gt;60,5+50*($AG2544/100),IF($O$5&gt;50,10+60*($AG2544/100),IF($O$5&gt;40,15+70*($AG2544/100),IF($O$5&gt;30,20+70*($AG2544/100),IF($O$5&gt;20,40+55*($AG2544/100),(80+(20-$O$5)+30*($AG2544/100))))))))))</f>
        <v>100</v>
      </c>
      <c r="AI2544" s="263">
        <v>7562</v>
      </c>
      <c r="AJ2544" s="263"/>
      <c r="AK2544" s="263"/>
      <c r="AL2544" s="263"/>
      <c r="AM2544" s="264"/>
      <c r="AN2544" s="263"/>
      <c r="AO2544" s="263"/>
      <c r="AP2544" s="265"/>
      <c r="AQ2544" s="265">
        <v>12464</v>
      </c>
      <c r="AR2544" s="285">
        <v>70874</v>
      </c>
      <c r="AS2544" s="263"/>
      <c r="AT2544" s="263"/>
      <c r="AU2544" s="263"/>
      <c r="AV2544" s="264"/>
      <c r="AW2544" s="263"/>
      <c r="AX2544" s="263"/>
      <c r="AY2544" s="263"/>
      <c r="AZ2544" s="263"/>
      <c r="BA2544" s="263"/>
      <c r="BB2544" s="263"/>
      <c r="BC2544" s="263"/>
      <c r="BD2544" s="264"/>
      <c r="BE2544" s="263"/>
      <c r="BF2544" s="263"/>
      <c r="BG2544" s="263"/>
      <c r="BH2544" s="263"/>
      <c r="BI2544" s="263"/>
      <c r="BJ2544" s="404">
        <f>altaz(J2000_Bas,$O2544,$M2544,DecLat,DecLong,2)</f>
        <v>98.5169549692217</v>
      </c>
      <c r="BK2544" s="378" t="s">
        <v>3156</v>
      </c>
      <c r="BL2544" s="379">
        <f>IF((2*G2544)/60&lt;0.2,0.2,(2*G2544)/60)</f>
        <v>0.2</v>
      </c>
      <c r="BM2544" s="380">
        <f>MOD((50000+AD2544-$B$3+(0/24)),1)</f>
        <v>0.17768808968685335</v>
      </c>
      <c r="BN2544" s="381"/>
      <c r="BO2544" s="382">
        <v>2535</v>
      </c>
    </row>
    <row r="2545" spans="1:67" s="24" customFormat="1" ht="15" customHeight="1" x14ac:dyDescent="0.25">
      <c r="A2545" s="288" t="s">
        <v>7602</v>
      </c>
      <c r="B2545" s="241" t="str">
        <f>HYPERLINK(CONCATENATE($AT$3,BK2545,$AU$3),$AV$3)</f>
        <v>S</v>
      </c>
      <c r="C2545" s="242" t="str">
        <f>HYPERLINK(CONCATENATE($AT$4,BK2545,$AU$4,BL2545),$AV$4)</f>
        <v>A</v>
      </c>
      <c r="D2545" s="243" t="s">
        <v>5638</v>
      </c>
      <c r="E2545" s="244" t="s">
        <v>5625</v>
      </c>
      <c r="F2545" s="269">
        <v>5</v>
      </c>
      <c r="G2545" s="282">
        <v>20</v>
      </c>
      <c r="H2545" s="283">
        <v>200</v>
      </c>
      <c r="I2545" s="284">
        <v>1200</v>
      </c>
      <c r="J2545" s="246">
        <v>2</v>
      </c>
      <c r="K2545" s="247" t="s">
        <v>7645</v>
      </c>
      <c r="L2545" s="248">
        <v>231611</v>
      </c>
      <c r="M2545" s="249">
        <f>15*(LEFT(TEXT($L2545,"000000"),2)+(MID(TEXT($L2545,"000000"),3,2)/60)+(RIGHT(TEXT($L2545,"000000"),2)/3600))</f>
        <v>349.04583333333329</v>
      </c>
      <c r="N2545" s="250">
        <v>155100</v>
      </c>
      <c r="O2545" s="251">
        <f>IF($N2545&gt;0,(LEFT(TEXT($N2545,"000000"),2)+(MID(TEXT($N2545,"000000"),3,2)/60)+(RIGHT(TEXT($N2545,"000000"),2)/3600)),-(MID(TEXT($N2545,"000000"),2,2)+(MID(TEXT($N2545,"000000"),4,2)/60)+(RIGHT(TEXT($N2545,"000000"),2)/3600)))</f>
        <v>15.85</v>
      </c>
      <c r="P2545" s="252" t="s">
        <v>39</v>
      </c>
      <c r="Q2545" s="253"/>
      <c r="R2545" s="277" t="s">
        <v>3293</v>
      </c>
      <c r="S2545" s="272" t="s">
        <v>3293</v>
      </c>
      <c r="T2545" s="273">
        <v>14.8</v>
      </c>
      <c r="U2545" s="289">
        <v>21.69</v>
      </c>
      <c r="V2545" s="280"/>
      <c r="W2545" s="244"/>
      <c r="X2545" s="244"/>
      <c r="Y2545" s="362"/>
      <c r="Z2545" s="257">
        <f>altaz(J2000_Bas,$O2545,$M2545,DecLat,DecLong,1)</f>
        <v>30.961599140865651</v>
      </c>
      <c r="AA2545" s="257">
        <f>altaz((J2000_Bas+(2*0.04167)),$O2545,$M2545,DecLat,DecLong,1)</f>
        <v>56.360557942777433</v>
      </c>
      <c r="AB2545" s="257">
        <f>altaz((J2000_Bas+(4*0.04167)),$O2545,$M2545,DecLat,DecLong,1)</f>
        <v>74.624247538251367</v>
      </c>
      <c r="AC2545" s="257">
        <f>altaz((J2000_Bas+(6*0.04167)),$O2545,$M2545,DecLat,DecLong,1)</f>
        <v>60.925847545051852</v>
      </c>
      <c r="AD2545" s="258">
        <f>1+ transit((J2000_Bas-1),$O2545,$M2545,DecLat,DecLong)/360 + (GMTOffset/24) + (IF(DST="Y", 1, 0)/24)</f>
        <v>1.9624716229317911</v>
      </c>
      <c r="AE2545" s="259">
        <f>DATE(2001,9,21)+(M2545/360)*365 - (360*((DecLong/360)- (GMTOffset/24) ))</f>
        <v>37513.893692129626</v>
      </c>
      <c r="AF2545" s="260">
        <f>IF(DecLat&gt;0,IF((90 - (DecLat-O2545))&gt;90, (90 - (O2545-DecLat)), (90 - (DecLat-O2545))),IF((90 + (DecLat-O2545))&gt;90, (90 + (O2545-DecLat)), (90 + (DecLat-O2545))))</f>
        <v>74.849999999999994</v>
      </c>
      <c r="AG2545" s="257">
        <f>angularseperation(MoonRA,MoonDec,$M2545,$O2545)</f>
        <v>105.6756382868182</v>
      </c>
      <c r="AH2545" s="261">
        <f ca="1">MIN(100,IF($O$5&gt;80,0+30*($AG2545/100),IF($O$5&gt;70,0+50*($AG2545/100),IF($O$5&gt;60,5+50*($AG2545/100),IF($O$5&gt;50,10+60*($AG2545/100),IF($O$5&gt;40,15+70*($AG2545/100),IF($O$5&gt;30,20+70*($AG2545/100),IF($O$5&gt;20,40+55*($AG2545/100),(80+(20-$O$5)+30*($AG2545/100))))))))))</f>
        <v>100</v>
      </c>
      <c r="AI2545" s="263">
        <v>7567</v>
      </c>
      <c r="AJ2545" s="263"/>
      <c r="AK2545" s="263"/>
      <c r="AL2545" s="263"/>
      <c r="AM2545" s="264"/>
      <c r="AN2545" s="263"/>
      <c r="AO2545" s="263"/>
      <c r="AP2545" s="265"/>
      <c r="AQ2545" s="265">
        <v>12468</v>
      </c>
      <c r="AR2545" s="285">
        <v>70885</v>
      </c>
      <c r="AS2545" s="263"/>
      <c r="AT2545" s="263"/>
      <c r="AU2545" s="263"/>
      <c r="AV2545" s="264"/>
      <c r="AW2545" s="263"/>
      <c r="AX2545" s="263"/>
      <c r="AY2545" s="263"/>
      <c r="AZ2545" s="263"/>
      <c r="BA2545" s="263"/>
      <c r="BB2545" s="263"/>
      <c r="BC2545" s="263"/>
      <c r="BD2545" s="264"/>
      <c r="BE2545" s="263"/>
      <c r="BF2545" s="263"/>
      <c r="BG2545" s="263"/>
      <c r="BH2545" s="263"/>
      <c r="BI2545" s="263"/>
      <c r="BJ2545" s="404">
        <f>altaz(J2000_Bas,$O2545,$M2545,DecLat,DecLong,2)</f>
        <v>89.364571817424519</v>
      </c>
      <c r="BK2545" s="378" t="s">
        <v>3117</v>
      </c>
      <c r="BL2545" s="379">
        <f>IF((2*G2545)/60&lt;0.2,0.2,(2*G2545)/60)</f>
        <v>0.66666666666666663</v>
      </c>
      <c r="BM2545" s="380">
        <f>MOD((50000+AD2545-$B$3+(0/24)),1)</f>
        <v>0.17783855263405712</v>
      </c>
      <c r="BN2545" s="381"/>
      <c r="BO2545" s="382">
        <v>2536</v>
      </c>
    </row>
    <row r="2546" spans="1:67" s="24" customFormat="1" ht="15" customHeight="1" x14ac:dyDescent="0.25">
      <c r="A2546" s="288" t="s">
        <v>2394</v>
      </c>
      <c r="B2546" s="241" t="str">
        <f>HYPERLINK(CONCATENATE($AT$3,BK2546,$AU$3),$AV$3)</f>
        <v>S</v>
      </c>
      <c r="C2546" s="242" t="str">
        <f>HYPERLINK(CONCATENATE($AT$4,BK2546,$AU$4,BL2546),$AV$4)</f>
        <v>A</v>
      </c>
      <c r="D2546" s="243" t="s">
        <v>5638</v>
      </c>
      <c r="E2546" s="244" t="s">
        <v>5337</v>
      </c>
      <c r="F2546" s="269" t="s">
        <v>3317</v>
      </c>
      <c r="G2546" s="273">
        <v>1</v>
      </c>
      <c r="H2546" s="283">
        <v>300</v>
      </c>
      <c r="I2546" s="246">
        <v>90</v>
      </c>
      <c r="J2546" s="246">
        <v>2</v>
      </c>
      <c r="K2546" s="247" t="s">
        <v>7646</v>
      </c>
      <c r="L2546" s="248">
        <v>231645</v>
      </c>
      <c r="M2546" s="249">
        <f>15*(LEFT(TEXT($L2546,"000000"),2)+(MID(TEXT($L2546,"000000"),3,2)/60)+(RIGHT(TEXT($L2546,"000000"),2)/3600))</f>
        <v>349.1875</v>
      </c>
      <c r="N2546" s="250">
        <v>85422</v>
      </c>
      <c r="O2546" s="251">
        <f>IF($N2546&gt;0,(LEFT(TEXT($N2546,"000000"),2)+(MID(TEXT($N2546,"000000"),3,2)/60)+(RIGHT(TEXT($N2546,"000000"),2)/3600)),-(MID(TEXT($N2546,"000000"),2,2)+(MID(TEXT($N2546,"000000"),4,2)/60)+(RIGHT(TEXT($N2546,"000000"),2)/3600)))</f>
        <v>8.9061111111111106</v>
      </c>
      <c r="P2546" s="252" t="s">
        <v>39</v>
      </c>
      <c r="Q2546" s="253"/>
      <c r="R2546" s="247" t="s">
        <v>3293</v>
      </c>
      <c r="S2546" s="272" t="s">
        <v>3293</v>
      </c>
      <c r="T2546" s="273">
        <v>14</v>
      </c>
      <c r="U2546" s="289">
        <v>21.69</v>
      </c>
      <c r="V2546" s="280"/>
      <c r="W2546" s="244"/>
      <c r="X2546" s="244"/>
      <c r="Y2546" s="362"/>
      <c r="Z2546" s="257">
        <f>altaz(J2000_Bas,$O2546,$M2546,DecLat,DecLong,1)</f>
        <v>27.500310712825026</v>
      </c>
      <c r="AA2546" s="257">
        <f>altaz((J2000_Bas+(2*0.04167)),$O2546,$M2546,DecLat,DecLong,1)</f>
        <v>52.105308185134049</v>
      </c>
      <c r="AB2546" s="257">
        <f>altaz((J2000_Bas+(4*0.04167)),$O2546,$M2546,DecLat,DecLong,1)</f>
        <v>67.728137695985907</v>
      </c>
      <c r="AC2546" s="257">
        <f>altaz((J2000_Bas+(6*0.04167)),$O2546,$M2546,DecLat,DecLong,1)</f>
        <v>56.491880462821818</v>
      </c>
      <c r="AD2546" s="258">
        <f>1+ transit((J2000_Bas-1),$O2546,$M2546,DecLat,DecLong)/360 + (GMTOffset/24) + (IF(DST="Y", 1, 0)/24)</f>
        <v>1.9628651414109581</v>
      </c>
      <c r="AE2546" s="259">
        <f>DATE(2001,9,21)+(M2546/360)*365 - (360*((DecLong/360)- (GMTOffset/24) ))</f>
        <v>37514.037326388891</v>
      </c>
      <c r="AF2546" s="260">
        <f>IF(DecLat&gt;0,IF((90 - (DecLat-O2546))&gt;90, (90 - (O2546-DecLat)), (90 - (DecLat-O2546))),IF((90 + (DecLat-O2546))&gt;90, (90 + (O2546-DecLat)), (90 + (DecLat-O2546))))</f>
        <v>67.906111111111102</v>
      </c>
      <c r="AG2546" s="257">
        <f>angularseperation(MoonRA,MoonDec,$M2546,$O2546)</f>
        <v>102.85040666934431</v>
      </c>
      <c r="AH2546" s="261">
        <f ca="1">MIN(100,IF($O$5&gt;80,0+30*($AG2546/100),IF($O$5&gt;70,0+50*($AG2546/100),IF($O$5&gt;60,5+50*($AG2546/100),IF($O$5&gt;50,10+60*($AG2546/100),IF($O$5&gt;40,15+70*($AG2546/100),IF($O$5&gt;30,20+70*($AG2546/100),IF($O$5&gt;20,40+55*($AG2546/100),(80+(20-$O$5)+30*($AG2546/100))))))))))</f>
        <v>100</v>
      </c>
      <c r="AI2546" s="262">
        <v>7569</v>
      </c>
      <c r="AJ2546" s="262"/>
      <c r="AK2546" s="262"/>
      <c r="AL2546" s="263"/>
      <c r="AM2546" s="264"/>
      <c r="AN2546" s="263"/>
      <c r="AO2546" s="263"/>
      <c r="AP2546" s="265"/>
      <c r="AQ2546" s="266">
        <v>12472</v>
      </c>
      <c r="AR2546" s="267">
        <v>70914</v>
      </c>
      <c r="AS2546" s="263"/>
      <c r="AT2546" s="263"/>
      <c r="AU2546" s="263"/>
      <c r="AV2546" s="264"/>
      <c r="AW2546" s="263"/>
      <c r="AX2546" s="263"/>
      <c r="AY2546" s="263"/>
      <c r="AZ2546" s="263"/>
      <c r="BA2546" s="263"/>
      <c r="BB2546" s="263"/>
      <c r="BC2546" s="263"/>
      <c r="BD2546" s="264"/>
      <c r="BE2546" s="263"/>
      <c r="BF2546" s="263"/>
      <c r="BG2546" s="263"/>
      <c r="BH2546" s="263"/>
      <c r="BI2546" s="263"/>
      <c r="BJ2546" s="404">
        <f>altaz(J2000_Bas,$O2546,$M2546,DecLat,DecLong,2)</f>
        <v>96.267570199628736</v>
      </c>
      <c r="BK2546" s="378" t="s">
        <v>2394</v>
      </c>
      <c r="BL2546" s="379">
        <f>IF((2*G2546)/60&lt;0.2,0.2,(2*G2546)/60)</f>
        <v>0.2</v>
      </c>
      <c r="BM2546" s="380">
        <f>MOD((50000+AD2546-$B$3+(0/24)),1)</f>
        <v>0.17823207111359807</v>
      </c>
      <c r="BN2546" s="381" t="s">
        <v>9281</v>
      </c>
      <c r="BO2546" s="382">
        <v>2537</v>
      </c>
    </row>
    <row r="2547" spans="1:67" s="24" customFormat="1" ht="15" customHeight="1" x14ac:dyDescent="0.25">
      <c r="A2547" s="288" t="s">
        <v>7669</v>
      </c>
      <c r="B2547" s="241" t="str">
        <f>HYPERLINK(CONCATENATE($AT$3,BK2547,$AU$3),$AV$3)</f>
        <v>S</v>
      </c>
      <c r="C2547" s="242" t="str">
        <f>HYPERLINK(CONCATENATE($AT$4,BK2547,$AU$4,BL2547),$AV$4)</f>
        <v>A</v>
      </c>
      <c r="D2547" s="243" t="s">
        <v>5638</v>
      </c>
      <c r="E2547" s="244" t="s">
        <v>5194</v>
      </c>
      <c r="F2547" s="269"/>
      <c r="G2547" s="273">
        <v>5</v>
      </c>
      <c r="H2547" s="283">
        <v>60</v>
      </c>
      <c r="I2547" s="246">
        <v>90</v>
      </c>
      <c r="J2547" s="246">
        <v>3</v>
      </c>
      <c r="K2547" s="247" t="s">
        <v>7670</v>
      </c>
      <c r="L2547" s="248">
        <v>231823</v>
      </c>
      <c r="M2547" s="249">
        <f>15*(LEFT(TEXT($L2547,"000000"),2)+(MID(TEXT($L2547,"000000"),3,2)/60)+(RIGHT(TEXT($L2547,"000000"),2)/3600))</f>
        <v>349.59583333333336</v>
      </c>
      <c r="N2547" s="250">
        <v>-422214</v>
      </c>
      <c r="O2547" s="251">
        <f>IF($N2547&gt;0,(LEFT(TEXT($N2547,"000000"),2)+(MID(TEXT($N2547,"000000"),3,2)/60)+(RIGHT(TEXT($N2547,"000000"),2)/3600)),-(MID(TEXT($N2547,"000000"),2,2)+(MID(TEXT($N2547,"000000"),4,2)/60)+(RIGHT(TEXT($N2547,"000000"),2)/3600)))</f>
        <v>-42.370555555555555</v>
      </c>
      <c r="P2547" s="252" t="s">
        <v>1179</v>
      </c>
      <c r="Q2547" s="253" t="s">
        <v>2396</v>
      </c>
      <c r="R2547" s="247" t="s">
        <v>3293</v>
      </c>
      <c r="S2547" s="272" t="s">
        <v>3293</v>
      </c>
      <c r="T2547" s="273">
        <v>10.6</v>
      </c>
      <c r="U2547" s="289">
        <v>21.89</v>
      </c>
      <c r="V2547" s="280"/>
      <c r="W2547" s="244"/>
      <c r="X2547" s="244"/>
      <c r="Y2547" s="362"/>
      <c r="Z2547" s="257">
        <f>altaz(J2000_Bas,$O2547,$M2547,DecLat,DecLong,1)</f>
        <v>-3.7527797680601824</v>
      </c>
      <c r="AA2547" s="257">
        <f>altaz((J2000_Bas+(2*0.04167)),$O2547,$M2547,DecLat,DecLong,1)</f>
        <v>10.424034642574103</v>
      </c>
      <c r="AB2547" s="257">
        <f>altaz((J2000_Bas+(4*0.04167)),$O2547,$M2547,DecLat,DecLong,1)</f>
        <v>16.561853623193677</v>
      </c>
      <c r="AC2547" s="257">
        <f>altaz((J2000_Bas+(6*0.04167)),$O2547,$M2547,DecLat,DecLong,1)</f>
        <v>12.64160257980145</v>
      </c>
      <c r="AD2547" s="258">
        <f>1+ transit((J2000_Bas-1),$O2547,$M2547,DecLat,DecLong)/360 + (GMTOffset/24) + (IF(DST="Y", 1, 0)/24)</f>
        <v>1.9639994005567913</v>
      </c>
      <c r="AE2547" s="259">
        <f>DATE(2001,9,21)+(M2547/360)*365 - (360*((DecLong/360)- (GMTOffset/24) ))</f>
        <v>37514.451331018521</v>
      </c>
      <c r="AF2547" s="260">
        <f>IF(DecLat&gt;0,IF((90 - (DecLat-O2547))&gt;90, (90 - (O2547-DecLat)), (90 - (DecLat-O2547))),IF((90 + (DecLat-O2547))&gt;90, (90 + (O2547-DecLat)), (90 + (DecLat-O2547))))</f>
        <v>16.629444444444445</v>
      </c>
      <c r="AG2547" s="257">
        <f>angularseperation(MoonRA,MoonDec,$M2547,$O2547)</f>
        <v>79.128134180878845</v>
      </c>
      <c r="AH2547" s="261">
        <f ca="1">MIN(100,IF($O$5&gt;80,0+30*($AG2547/100),IF($O$5&gt;70,0+50*($AG2547/100),IF($O$5&gt;60,5+50*($AG2547/100),IF($O$5&gt;50,10+60*($AG2547/100),IF($O$5&gt;40,15+70*($AG2547/100),IF($O$5&gt;30,20+70*($AG2547/100),IF($O$5&gt;20,40+55*($AG2547/100),(80+(20-$O$5)+30*($AG2547/100))))))))))</f>
        <v>100</v>
      </c>
      <c r="AI2547" s="262">
        <v>7582</v>
      </c>
      <c r="AJ2547" s="262"/>
      <c r="AK2547" s="262"/>
      <c r="AL2547" s="263"/>
      <c r="AM2547" s="264"/>
      <c r="AN2547" s="263"/>
      <c r="AO2547" s="263"/>
      <c r="AP2547" s="265"/>
      <c r="AQ2547" s="266"/>
      <c r="AR2547" s="267">
        <v>71001</v>
      </c>
      <c r="AS2547" s="263"/>
      <c r="AT2547" s="263"/>
      <c r="AU2547" s="263"/>
      <c r="AV2547" s="264"/>
      <c r="AW2547" s="263"/>
      <c r="AX2547" s="263"/>
      <c r="AY2547" s="263"/>
      <c r="AZ2547" s="263"/>
      <c r="BA2547" s="263"/>
      <c r="BB2547" s="263"/>
      <c r="BC2547" s="263"/>
      <c r="BD2547" s="264"/>
      <c r="BE2547" s="263"/>
      <c r="BF2547" s="263"/>
      <c r="BG2547" s="263">
        <v>106</v>
      </c>
      <c r="BH2547" s="263"/>
      <c r="BI2547" s="263"/>
      <c r="BJ2547" s="404">
        <f>altaz(J2000_Bas,$O2547,$M2547,DecLat,DecLong,2)</f>
        <v>138.46048590065016</v>
      </c>
      <c r="BK2547" s="378" t="s">
        <v>2395</v>
      </c>
      <c r="BL2547" s="379">
        <f>IF((2*G2547)/60&lt;0.2,0.2,(2*G2547)/60)</f>
        <v>0.2</v>
      </c>
      <c r="BM2547" s="380">
        <f>MOD((50000+AD2547-$B$3+(0/24)),1)</f>
        <v>0.17936633025965421</v>
      </c>
      <c r="BN2547" s="381"/>
      <c r="BO2547" s="382">
        <v>2538</v>
      </c>
    </row>
    <row r="2548" spans="1:67" s="24" customFormat="1" ht="15" customHeight="1" x14ac:dyDescent="0.25">
      <c r="A2548" s="288" t="s">
        <v>2397</v>
      </c>
      <c r="B2548" s="241" t="str">
        <f>HYPERLINK(CONCATENATE($AT$3,BK2548,$AU$3),$AV$3)</f>
        <v>S</v>
      </c>
      <c r="C2548" s="242" t="str">
        <f>HYPERLINK(CONCATENATE($AT$4,BK2548,$AU$4,BL2548),$AV$4)</f>
        <v>A</v>
      </c>
      <c r="D2548" s="243" t="s">
        <v>5638</v>
      </c>
      <c r="E2548" s="244" t="s">
        <v>5192</v>
      </c>
      <c r="F2548" s="269" t="s">
        <v>8709</v>
      </c>
      <c r="G2548" s="273">
        <v>1.8</v>
      </c>
      <c r="H2548" s="283">
        <v>370</v>
      </c>
      <c r="I2548" s="246">
        <v>200</v>
      </c>
      <c r="J2548" s="246">
        <v>2</v>
      </c>
      <c r="K2548" s="247" t="s">
        <v>7671</v>
      </c>
      <c r="L2548" s="248">
        <v>231816</v>
      </c>
      <c r="M2548" s="249">
        <f>15*(LEFT(TEXT($L2548,"000000"),2)+(MID(TEXT($L2548,"000000"),3,2)/60)+(RIGHT(TEXT($L2548,"000000"),2)/3600))</f>
        <v>349.56666666666666</v>
      </c>
      <c r="N2548" s="250">
        <v>1540</v>
      </c>
      <c r="O2548" s="251">
        <f>IF($N2548&gt;0,(LEFT(TEXT($N2548,"000000"),2)+(MID(TEXT($N2548,"000000"),3,2)/60)+(RIGHT(TEXT($N2548,"000000"),2)/3600)),-(MID(TEXT($N2548,"000000"),2,2)+(MID(TEXT($N2548,"000000"),4,2)/60)+(RIGHT(TEXT($N2548,"000000"),2)/3600)))</f>
        <v>0.26111111111111113</v>
      </c>
      <c r="P2548" s="252" t="s">
        <v>158</v>
      </c>
      <c r="Q2548" s="253"/>
      <c r="R2548" s="247" t="s">
        <v>3293</v>
      </c>
      <c r="S2548" s="272" t="s">
        <v>3293</v>
      </c>
      <c r="T2548" s="273">
        <v>17</v>
      </c>
      <c r="U2548" s="289">
        <v>22.59</v>
      </c>
      <c r="V2548" s="280">
        <v>60</v>
      </c>
      <c r="W2548" s="244"/>
      <c r="X2548" s="244"/>
      <c r="Y2548" s="362"/>
      <c r="Z2548" s="257">
        <f>altaz(J2000_Bas,$O2548,$M2548,DecLat,DecLong,1)</f>
        <v>22.578677293388044</v>
      </c>
      <c r="AA2548" s="257">
        <f>altaz((J2000_Bas+(2*0.04167)),$O2548,$M2548,DecLat,DecLong,1)</f>
        <v>45.831077216112043</v>
      </c>
      <c r="AB2548" s="257">
        <f>altaz((J2000_Bas+(4*0.04167)),$O2548,$M2548,DecLat,DecLong,1)</f>
        <v>59.092901709954944</v>
      </c>
      <c r="AC2548" s="257">
        <f>altaz((J2000_Bas+(6*0.04167)),$O2548,$M2548,DecLat,DecLong,1)</f>
        <v>50.190545571095583</v>
      </c>
      <c r="AD2548" s="258">
        <f>1+ transit((J2000_Bas-1),$O2548,$M2548,DecLat,DecLong)/360 + (GMTOffset/24) + (IF(DST="Y", 1, 0)/24)</f>
        <v>1.9639183820463748</v>
      </c>
      <c r="AE2548" s="259">
        <f>DATE(2001,9,21)+(M2548/360)*365 - (360*((DecLong/360)- (GMTOffset/24) ))</f>
        <v>37514.421759259261</v>
      </c>
      <c r="AF2548" s="260">
        <f>IF(DecLat&gt;0,IF((90 - (DecLat-O2548))&gt;90, (90 - (O2548-DecLat)), (90 - (DecLat-O2548))),IF((90 + (DecLat-O2548))&gt;90, (90 + (O2548-DecLat)), (90 + (DecLat-O2548))))</f>
        <v>59.261111111111113</v>
      </c>
      <c r="AG2548" s="257">
        <f>angularseperation(MoonRA,MoonDec,$M2548,$O2548)</f>
        <v>99.302467631806181</v>
      </c>
      <c r="AH2548" s="261">
        <f ca="1">MIN(100,IF($O$5&gt;80,0+30*($AG2548/100),IF($O$5&gt;70,0+50*($AG2548/100),IF($O$5&gt;60,5+50*($AG2548/100),IF($O$5&gt;50,10+60*($AG2548/100),IF($O$5&gt;40,15+70*($AG2548/100),IF($O$5&gt;30,20+70*($AG2548/100),IF($O$5&gt;20,40+55*($AG2548/100),(80+(20-$O$5)+30*($AG2548/100))))))))))</f>
        <v>100</v>
      </c>
      <c r="AI2548" s="262">
        <v>7589</v>
      </c>
      <c r="AJ2548" s="262"/>
      <c r="AK2548" s="262"/>
      <c r="AL2548" s="263"/>
      <c r="AM2548" s="264"/>
      <c r="AN2548" s="263"/>
      <c r="AO2548" s="263"/>
      <c r="AP2548" s="265"/>
      <c r="AQ2548" s="266"/>
      <c r="AR2548" s="267">
        <v>70995</v>
      </c>
      <c r="AS2548" s="263"/>
      <c r="AT2548" s="263"/>
      <c r="AU2548" s="263"/>
      <c r="AV2548" s="264"/>
      <c r="AW2548" s="263"/>
      <c r="AX2548" s="263"/>
      <c r="AY2548" s="263"/>
      <c r="AZ2548" s="263"/>
      <c r="BA2548" s="263"/>
      <c r="BB2548" s="263"/>
      <c r="BC2548" s="263"/>
      <c r="BD2548" s="264"/>
      <c r="BE2548" s="263"/>
      <c r="BF2548" s="263"/>
      <c r="BG2548" s="263"/>
      <c r="BH2548" s="263"/>
      <c r="BI2548" s="263"/>
      <c r="BJ2548" s="404">
        <f>altaz(J2000_Bas,$O2548,$M2548,DecLat,DecLong,2)</f>
        <v>104.12829065448082</v>
      </c>
      <c r="BK2548" s="378" t="s">
        <v>2397</v>
      </c>
      <c r="BL2548" s="379">
        <f>IF((2*G2548)/60&lt;0.2,0.2,(2*G2548)/60)</f>
        <v>0.2</v>
      </c>
      <c r="BM2548" s="380">
        <f>MOD((50000+AD2548-$B$3+(0/24)),1)</f>
        <v>0.17928531175130047</v>
      </c>
      <c r="BN2548" s="381"/>
      <c r="BO2548" s="382">
        <v>2539</v>
      </c>
    </row>
    <row r="2549" spans="1:67" s="24" customFormat="1" ht="15" customHeight="1" x14ac:dyDescent="0.25">
      <c r="A2549" s="288" t="s">
        <v>2398</v>
      </c>
      <c r="B2549" s="241" t="str">
        <f>HYPERLINK(CONCATENATE($AT$3,BK2549,$AU$3),$AV$3)</f>
        <v>S</v>
      </c>
      <c r="C2549" s="242" t="str">
        <f>HYPERLINK(CONCATENATE($AT$4,BK2549,$AU$4,BL2549),$AV$4)</f>
        <v>A</v>
      </c>
      <c r="D2549" s="243" t="s">
        <v>5638</v>
      </c>
      <c r="E2549" s="244" t="s">
        <v>5192</v>
      </c>
      <c r="F2549" s="269" t="s">
        <v>8886</v>
      </c>
      <c r="G2549" s="273">
        <v>2</v>
      </c>
      <c r="H2549" s="283">
        <v>200</v>
      </c>
      <c r="I2549" s="246">
        <v>120</v>
      </c>
      <c r="J2549" s="246">
        <v>3</v>
      </c>
      <c r="K2549" s="247" t="s">
        <v>7672</v>
      </c>
      <c r="L2549" s="248">
        <v>231816</v>
      </c>
      <c r="M2549" s="249">
        <f>15*(LEFT(TEXT($L2549,"000000"),2)+(MID(TEXT($L2549,"000000"),3,2)/60)+(RIGHT(TEXT($L2549,"000000"),2)/3600))</f>
        <v>349.56666666666666</v>
      </c>
      <c r="N2549" s="250">
        <v>63509</v>
      </c>
      <c r="O2549" s="251">
        <f>IF($N2549&gt;0,(LEFT(TEXT($N2549,"000000"),2)+(MID(TEXT($N2549,"000000"),3,2)/60)+(RIGHT(TEXT($N2549,"000000"),2)/3600)),-(MID(TEXT($N2549,"000000"),2,2)+(MID(TEXT($N2549,"000000"),4,2)/60)+(RIGHT(TEXT($N2549,"000000"),2)/3600)))</f>
        <v>6.5858333333333334</v>
      </c>
      <c r="P2549" s="252" t="s">
        <v>158</v>
      </c>
      <c r="Q2549" s="253"/>
      <c r="R2549" s="277" t="s">
        <v>3293</v>
      </c>
      <c r="S2549" s="272" t="s">
        <v>3293</v>
      </c>
      <c r="T2549" s="273">
        <v>13</v>
      </c>
      <c r="U2549" s="289">
        <v>22.19</v>
      </c>
      <c r="V2549" s="280">
        <v>60</v>
      </c>
      <c r="W2549" s="244"/>
      <c r="X2549" s="244"/>
      <c r="Y2549" s="362"/>
      <c r="Z2549" s="257">
        <f>altaz(J2000_Bas,$O2549,$M2549,DecLat,DecLong,1)</f>
        <v>25.986595881559747</v>
      </c>
      <c r="AA2549" s="257">
        <f>altaz((J2000_Bas+(2*0.04167)),$O2549,$M2549,DecLat,DecLong,1)</f>
        <v>50.291213378442045</v>
      </c>
      <c r="AB2549" s="257">
        <f>altaz((J2000_Bas+(4*0.04167)),$O2549,$M2549,DecLat,DecLong,1)</f>
        <v>65.379503058876807</v>
      </c>
      <c r="AC2549" s="257">
        <f>altaz((J2000_Bas+(6*0.04167)),$O2549,$M2549,DecLat,DecLong,1)</f>
        <v>55.070335951335522</v>
      </c>
      <c r="AD2549" s="258">
        <f>1+ transit((J2000_Bas-1),$O2549,$M2549,DecLat,DecLong)/360 + (GMTOffset/24) + (IF(DST="Y", 1, 0)/24)</f>
        <v>1.9639183820463748</v>
      </c>
      <c r="AE2549" s="259">
        <f>DATE(2001,9,21)+(M2549/360)*365 - (360*((DecLong/360)- (GMTOffset/24) ))</f>
        <v>37514.421759259261</v>
      </c>
      <c r="AF2549" s="260">
        <f>IF(DecLat&gt;0,IF((90 - (DecLat-O2549))&gt;90, (90 - (O2549-DecLat)), (90 - (DecLat-O2549))),IF((90 + (DecLat-O2549))&gt;90, (90 + (O2549-DecLat)), (90 + (DecLat-O2549))))</f>
        <v>65.585833333333341</v>
      </c>
      <c r="AG2549" s="257">
        <f>angularseperation(MoonRA,MoonDec,$M2549,$O2549)</f>
        <v>102.16565595245174</v>
      </c>
      <c r="AH2549" s="261">
        <f ca="1">MIN(100,IF($O$5&gt;80,0+30*($AG2549/100),IF($O$5&gt;70,0+50*($AG2549/100),IF($O$5&gt;60,5+50*($AG2549/100),IF($O$5&gt;50,10+60*($AG2549/100),IF($O$5&gt;40,15+70*($AG2549/100),IF($O$5&gt;30,20+70*($AG2549/100),IF($O$5&gt;20,40+55*($AG2549/100),(80+(20-$O$5)+30*($AG2549/100))))))))))</f>
        <v>100</v>
      </c>
      <c r="AI2549" s="262">
        <v>7591</v>
      </c>
      <c r="AJ2549" s="263"/>
      <c r="AK2549" s="263"/>
      <c r="AL2549" s="263"/>
      <c r="AM2549" s="264"/>
      <c r="AN2549" s="263"/>
      <c r="AO2549" s="263"/>
      <c r="AP2549" s="265"/>
      <c r="AQ2549" s="265">
        <v>12486</v>
      </c>
      <c r="AR2549" s="285">
        <v>70996</v>
      </c>
      <c r="AS2549" s="263"/>
      <c r="AT2549" s="263"/>
      <c r="AU2549" s="263"/>
      <c r="AV2549" s="264"/>
      <c r="AW2549" s="263"/>
      <c r="AX2549" s="263"/>
      <c r="AY2549" s="263"/>
      <c r="AZ2549" s="263"/>
      <c r="BA2549" s="263"/>
      <c r="BB2549" s="263"/>
      <c r="BC2549" s="263"/>
      <c r="BD2549" s="264"/>
      <c r="BE2549" s="263"/>
      <c r="BF2549" s="263"/>
      <c r="BG2549" s="263"/>
      <c r="BH2549" s="263"/>
      <c r="BI2549" s="263"/>
      <c r="BJ2549" s="404">
        <f>altaz(J2000_Bas,$O2549,$M2549,DecLat,DecLong,2)</f>
        <v>98.281277889795973</v>
      </c>
      <c r="BK2549" s="378" t="s">
        <v>2398</v>
      </c>
      <c r="BL2549" s="379">
        <f>IF((2*G2549)/60&lt;0.2,0.2,(2*G2549)/60)</f>
        <v>0.2</v>
      </c>
      <c r="BM2549" s="380">
        <f>MOD((50000+AD2549-$B$3+(0/24)),1)</f>
        <v>0.17928531175130047</v>
      </c>
      <c r="BN2549" s="381"/>
      <c r="BO2549" s="382">
        <v>2540</v>
      </c>
    </row>
    <row r="2550" spans="1:67" s="24" customFormat="1" ht="15" customHeight="1" x14ac:dyDescent="0.25">
      <c r="A2550" s="288" t="s">
        <v>2399</v>
      </c>
      <c r="B2550" s="241" t="str">
        <f>HYPERLINK(CONCATENATE($AT$3,BK2550,$AU$3),$AV$3)</f>
        <v>S</v>
      </c>
      <c r="C2550" s="242" t="str">
        <f>HYPERLINK(CONCATENATE($AT$4,BK2550,$AU$4,BL2550),$AV$4)</f>
        <v>A</v>
      </c>
      <c r="D2550" s="243" t="s">
        <v>5638</v>
      </c>
      <c r="E2550" s="244" t="s">
        <v>5337</v>
      </c>
      <c r="F2550" s="269" t="s">
        <v>3301</v>
      </c>
      <c r="G2550" s="270">
        <v>0.7</v>
      </c>
      <c r="H2550" s="283">
        <v>320</v>
      </c>
      <c r="I2550" s="246">
        <v>70</v>
      </c>
      <c r="J2550" s="246">
        <v>2</v>
      </c>
      <c r="K2550" s="247" t="s">
        <v>7673</v>
      </c>
      <c r="L2550" s="248">
        <v>231822</v>
      </c>
      <c r="M2550" s="249">
        <f>15*(LEFT(TEXT($L2550,"000000"),2)+(MID(TEXT($L2550,"000000"),3,2)/60)+(RIGHT(TEXT($L2550,"000000"),2)/3600))</f>
        <v>349.59166666666664</v>
      </c>
      <c r="N2550" s="250">
        <v>-42459</v>
      </c>
      <c r="O2550" s="251">
        <f>IF($N2550&gt;0,(LEFT(TEXT($N2550,"000000"),2)+(MID(TEXT($N2550,"000000"),3,2)/60)+(RIGHT(TEXT($N2550,"000000"),2)/3600)),-(MID(TEXT($N2550,"000000"),2,2)+(MID(TEXT($N2550,"000000"),4,2)/60)+(RIGHT(TEXT($N2550,"000000"),2)/3600)))</f>
        <v>-4.4163888888888891</v>
      </c>
      <c r="P2550" s="252" t="s">
        <v>3119</v>
      </c>
      <c r="Q2550" s="253"/>
      <c r="R2550" s="247" t="s">
        <v>3293</v>
      </c>
      <c r="S2550" s="272" t="s">
        <v>3293</v>
      </c>
      <c r="T2550" s="273">
        <v>13.5</v>
      </c>
      <c r="U2550" s="289">
        <v>22.29</v>
      </c>
      <c r="V2550" s="280"/>
      <c r="W2550" s="244"/>
      <c r="X2550" s="244"/>
      <c r="Y2550" s="362"/>
      <c r="Z2550" s="257">
        <f>altaz(J2000_Bas,$O2550,$M2550,DecLat,DecLong,1)</f>
        <v>19.906206445637778</v>
      </c>
      <c r="AA2550" s="257">
        <f>altaz((J2000_Bas+(2*0.04167)),$O2550,$M2550,DecLat,DecLong,1)</f>
        <v>42.295946892856442</v>
      </c>
      <c r="AB2550" s="257">
        <f>altaz((J2000_Bas+(4*0.04167)),$O2550,$M2550,DecLat,DecLong,1)</f>
        <v>54.433411382001921</v>
      </c>
      <c r="AC2550" s="257">
        <f>altaz((J2000_Bas+(6*0.04167)),$O2550,$M2550,DecLat,DecLong,1)</f>
        <v>46.391707961801821</v>
      </c>
      <c r="AD2550" s="258">
        <f>1+ transit((J2000_Bas-1),$O2550,$M2550,DecLat,DecLong)/360 + (GMTOffset/24) + (IF(DST="Y", 1, 0)/24)</f>
        <v>1.9639878264838744</v>
      </c>
      <c r="AE2550" s="259">
        <f>DATE(2001,9,21)+(M2550/360)*365 - (360*((DecLong/360)- (GMTOffset/24) ))</f>
        <v>37514.447106481479</v>
      </c>
      <c r="AF2550" s="260">
        <f>IF(DecLat&gt;0,IF((90 - (DecLat-O2550))&gt;90, (90 - (O2550-DecLat)), (90 - (DecLat-O2550))),IF((90 + (DecLat-O2550))&gt;90, (90 + (O2550-DecLat)), (90 + (DecLat-O2550))))</f>
        <v>54.583611111111111</v>
      </c>
      <c r="AG2550" s="257">
        <f>angularseperation(MoonRA,MoonDec,$M2550,$O2550)</f>
        <v>97.147289758770697</v>
      </c>
      <c r="AH2550" s="261">
        <f ca="1">MIN(100,IF($O$5&gt;80,0+30*($AG2550/100),IF($O$5&gt;70,0+50*($AG2550/100),IF($O$5&gt;60,5+50*($AG2550/100),IF($O$5&gt;50,10+60*($AG2550/100),IF($O$5&gt;40,15+70*($AG2550/100),IF($O$5&gt;30,20+70*($AG2550/100),IF($O$5&gt;20,40+55*($AG2550/100),(80+(20-$O$5)+30*($AG2550/100))))))))))</f>
        <v>100</v>
      </c>
      <c r="AI2550" s="262">
        <v>7592</v>
      </c>
      <c r="AJ2550" s="262"/>
      <c r="AK2550" s="262"/>
      <c r="AL2550" s="263"/>
      <c r="AM2550" s="264"/>
      <c r="AN2550" s="263"/>
      <c r="AO2550" s="263"/>
      <c r="AP2550" s="265"/>
      <c r="AQ2550" s="266"/>
      <c r="AR2550" s="267">
        <v>70999</v>
      </c>
      <c r="AS2550" s="263"/>
      <c r="AT2550" s="263"/>
      <c r="AU2550" s="263"/>
      <c r="AV2550" s="264"/>
      <c r="AW2550" s="263"/>
      <c r="AX2550" s="263"/>
      <c r="AY2550" s="263"/>
      <c r="AZ2550" s="263"/>
      <c r="BA2550" s="263"/>
      <c r="BB2550" s="263"/>
      <c r="BC2550" s="263"/>
      <c r="BD2550" s="264"/>
      <c r="BE2550" s="263"/>
      <c r="BF2550" s="263"/>
      <c r="BG2550" s="263"/>
      <c r="BH2550" s="263"/>
      <c r="BI2550" s="263"/>
      <c r="BJ2550" s="404">
        <f>altaz(J2000_Bas,$O2550,$M2550,DecLat,DecLong,2)</f>
        <v>108.24774804469621</v>
      </c>
      <c r="BK2550" s="378" t="s">
        <v>2399</v>
      </c>
      <c r="BL2550" s="379">
        <f>IF((2*G2550)/60&lt;0.2,0.2,(2*G2550)/60)</f>
        <v>0.2</v>
      </c>
      <c r="BM2550" s="380">
        <f>MOD((50000+AD2550-$B$3+(0/24)),1)</f>
        <v>0.17935475619015051</v>
      </c>
      <c r="BN2550" s="381" t="s">
        <v>9281</v>
      </c>
      <c r="BO2550" s="382">
        <v>2541</v>
      </c>
    </row>
    <row r="2551" spans="1:67" s="24" customFormat="1" ht="15" customHeight="1" x14ac:dyDescent="0.25">
      <c r="A2551" s="288" t="s">
        <v>7603</v>
      </c>
      <c r="B2551" s="241" t="str">
        <f>HYPERLINK(CONCATENATE($AT$3,BK2551,$AU$3),$AV$3)</f>
        <v>S</v>
      </c>
      <c r="C2551" s="242" t="str">
        <f>HYPERLINK(CONCATENATE($AT$4,BK2551,$AU$4,BL2551),$AV$4)</f>
        <v>A</v>
      </c>
      <c r="D2551" s="243" t="s">
        <v>5638</v>
      </c>
      <c r="E2551" s="244" t="s">
        <v>5625</v>
      </c>
      <c r="F2551" s="269">
        <v>4</v>
      </c>
      <c r="G2551" s="282">
        <v>16</v>
      </c>
      <c r="H2551" s="283">
        <v>500</v>
      </c>
      <c r="I2551" s="284">
        <v>2400</v>
      </c>
      <c r="J2551" s="246">
        <v>2</v>
      </c>
      <c r="K2551" s="247" t="s">
        <v>7674</v>
      </c>
      <c r="L2551" s="248">
        <v>231813</v>
      </c>
      <c r="M2551" s="249">
        <f>15*(LEFT(TEXT($L2551,"000000"),2)+(MID(TEXT($L2551,"000000"),3,2)/60)+(RIGHT(TEXT($L2551,"000000"),2)/3600))</f>
        <v>349.55416666666667</v>
      </c>
      <c r="N2551" s="286">
        <v>101808</v>
      </c>
      <c r="O2551" s="251">
        <f>IF($N2551&gt;0,(LEFT(TEXT($N2551,"000000"),2)+(MID(TEXT($N2551,"000000"),3,2)/60)+(RIGHT(TEXT($N2551,"000000"),2)/3600)),-(MID(TEXT($N2551,"000000"),2,2)+(MID(TEXT($N2551,"000000"),4,2)/60)+(RIGHT(TEXT($N2551,"000000"),2)/3600)))</f>
        <v>10.302222222222223</v>
      </c>
      <c r="P2551" s="252" t="s">
        <v>39</v>
      </c>
      <c r="Q2551" s="253"/>
      <c r="R2551" s="247" t="s">
        <v>3293</v>
      </c>
      <c r="S2551" s="272" t="s">
        <v>3293</v>
      </c>
      <c r="T2551" s="273">
        <v>13.7</v>
      </c>
      <c r="U2551" s="289">
        <v>22.79</v>
      </c>
      <c r="V2551" s="280"/>
      <c r="W2551" s="244"/>
      <c r="X2551" s="244"/>
      <c r="Y2551" s="362"/>
      <c r="Z2551" s="257">
        <f>altaz(J2000_Bas,$O2551,$M2551,DecLat,DecLong,1)</f>
        <v>27.887087162432564</v>
      </c>
      <c r="AA2551" s="257">
        <f>altaz((J2000_Bas+(2*0.04167)),$O2551,$M2551,DecLat,DecLong,1)</f>
        <v>52.715148261339863</v>
      </c>
      <c r="AB2551" s="257">
        <f>altaz((J2000_Bas+(4*0.04167)),$O2551,$M2551,DecLat,DecLong,1)</f>
        <v>69.065352710548026</v>
      </c>
      <c r="AC2551" s="257">
        <f>altaz((J2000_Bas+(6*0.04167)),$O2551,$M2551,DecLat,DecLong,1)</f>
        <v>57.727570487957557</v>
      </c>
      <c r="AD2551" s="258">
        <f>1+ transit((J2000_Bas-1),$O2551,$M2551,DecLat,DecLong)/360 + (GMTOffset/24) + (IF(DST="Y", 1, 0)/24)</f>
        <v>1.9638836598276248</v>
      </c>
      <c r="AE2551" s="259">
        <f>DATE(2001,9,21)+(M2551/360)*365 - (360*((DecLong/360)- (GMTOffset/24) ))</f>
        <v>37514.409085648149</v>
      </c>
      <c r="AF2551" s="260">
        <f>IF(DecLat&gt;0,IF((90 - (DecLat-O2551))&gt;90, (90 - (O2551-DecLat)), (90 - (DecLat-O2551))),IF((90 + (DecLat-O2551))&gt;90, (90 + (O2551-DecLat)), (90 + (DecLat-O2551))))</f>
        <v>69.302222222222227</v>
      </c>
      <c r="AG2551" s="257">
        <f>angularseperation(MoonRA,MoonDec,$M2551,$O2551)</f>
        <v>103.78257259209188</v>
      </c>
      <c r="AH2551" s="261">
        <f ca="1">MIN(100,IF($O$5&gt;80,0+30*($AG2551/100),IF($O$5&gt;70,0+50*($AG2551/100),IF($O$5&gt;60,5+50*($AG2551/100),IF($O$5&gt;50,10+60*($AG2551/100),IF($O$5&gt;40,15+70*($AG2551/100),IF($O$5&gt;30,20+70*($AG2551/100),IF($O$5&gt;20,40+55*($AG2551/100),(80+(20-$O$5)+30*($AG2551/100))))))))))</f>
        <v>100</v>
      </c>
      <c r="AI2551" s="262">
        <v>7594</v>
      </c>
      <c r="AJ2551" s="262"/>
      <c r="AK2551" s="262"/>
      <c r="AL2551" s="263"/>
      <c r="AM2551" s="264"/>
      <c r="AN2551" s="263"/>
      <c r="AO2551" s="263"/>
      <c r="AP2551" s="265"/>
      <c r="AQ2551" s="266"/>
      <c r="AR2551" s="267">
        <v>70991</v>
      </c>
      <c r="AS2551" s="263"/>
      <c r="AT2551" s="263"/>
      <c r="AU2551" s="263"/>
      <c r="AV2551" s="264"/>
      <c r="AW2551" s="263"/>
      <c r="AX2551" s="263"/>
      <c r="AY2551" s="263"/>
      <c r="AZ2551" s="263"/>
      <c r="BA2551" s="263"/>
      <c r="BB2551" s="263"/>
      <c r="BC2551" s="263"/>
      <c r="BD2551" s="264"/>
      <c r="BE2551" s="263"/>
      <c r="BF2551" s="263"/>
      <c r="BG2551" s="263"/>
      <c r="BH2551" s="263"/>
      <c r="BI2551" s="263"/>
      <c r="BJ2551" s="404">
        <f>altaz(J2000_Bas,$O2551,$M2551,DecLat,DecLong,2)</f>
        <v>94.698483387292768</v>
      </c>
      <c r="BK2551" s="378" t="s">
        <v>2400</v>
      </c>
      <c r="BL2551" s="379">
        <f>IF((2*G2551)/60&lt;0.2,0.2,(2*G2551)/60)</f>
        <v>0.53333333333333333</v>
      </c>
      <c r="BM2551" s="380">
        <f>MOD((50000+AD2551-$B$3+(0/24)),1)</f>
        <v>0.17925058952823747</v>
      </c>
      <c r="BN2551" s="381" t="s">
        <v>9271</v>
      </c>
      <c r="BO2551" s="382">
        <v>2542</v>
      </c>
    </row>
    <row r="2552" spans="1:67" s="24" customFormat="1" ht="15" customHeight="1" x14ac:dyDescent="0.25">
      <c r="A2552" s="288" t="s">
        <v>2401</v>
      </c>
      <c r="B2552" s="241" t="str">
        <f>HYPERLINK(CONCATENATE($AT$3,BK2552,$AU$3),$AV$3)</f>
        <v>S</v>
      </c>
      <c r="C2552" s="242" t="str">
        <f>HYPERLINK(CONCATENATE($AT$4,BK2552,$AU$4,BL2552),$AV$4)</f>
        <v>A</v>
      </c>
      <c r="D2552" s="243" t="s">
        <v>5638</v>
      </c>
      <c r="E2552" s="244" t="s">
        <v>5192</v>
      </c>
      <c r="F2552" s="269" t="s">
        <v>8798</v>
      </c>
      <c r="G2552" s="273">
        <v>4</v>
      </c>
      <c r="H2552" s="283">
        <v>120</v>
      </c>
      <c r="I2552" s="246">
        <v>150</v>
      </c>
      <c r="J2552" s="246">
        <v>4</v>
      </c>
      <c r="K2552" s="247" t="s">
        <v>6679</v>
      </c>
      <c r="L2552" s="248">
        <v>231905</v>
      </c>
      <c r="M2552" s="249">
        <f>15*(LEFT(TEXT($L2552,"000000"),2)+(MID(TEXT($L2552,"000000"),3,2)/60)+(RIGHT(TEXT($L2552,"000000"),2)/3600))</f>
        <v>349.77083333333337</v>
      </c>
      <c r="N2552" s="250">
        <v>-82909</v>
      </c>
      <c r="O2552" s="251">
        <f>IF($N2552&gt;0,(LEFT(TEXT($N2552,"000000"),2)+(MID(TEXT($N2552,"000000"),3,2)/60)+(RIGHT(TEXT($N2552,"000000"),2)/3600)),-(MID(TEXT($N2552,"000000"),2,2)+(MID(TEXT($N2552,"000000"),4,2)/60)+(RIGHT(TEXT($N2552,"000000"),2)/3600)))</f>
        <v>-8.485833333333332</v>
      </c>
      <c r="P2552" s="252" t="s">
        <v>3119</v>
      </c>
      <c r="Q2552" s="253" t="s">
        <v>6864</v>
      </c>
      <c r="R2552" s="247" t="s">
        <v>3293</v>
      </c>
      <c r="S2552" s="272" t="s">
        <v>3293</v>
      </c>
      <c r="T2552" s="273">
        <v>10.8</v>
      </c>
      <c r="U2552" s="289">
        <v>22.09</v>
      </c>
      <c r="V2552" s="280">
        <v>65</v>
      </c>
      <c r="W2552" s="244"/>
      <c r="X2552" s="244"/>
      <c r="Y2552" s="362"/>
      <c r="Z2552" s="257">
        <f>altaz(J2000_Bas,$O2552,$M2552,DecLat,DecLong,1)</f>
        <v>17.380849812577278</v>
      </c>
      <c r="AA2552" s="257">
        <f>altaz((J2000_Bas+(2*0.04167)),$O2552,$M2552,DecLat,DecLong,1)</f>
        <v>39.009514417948594</v>
      </c>
      <c r="AB2552" s="257">
        <f>altaz((J2000_Bas+(4*0.04167)),$O2552,$M2552,DecLat,DecLong,1)</f>
        <v>50.363744902040231</v>
      </c>
      <c r="AC2552" s="257">
        <f>altaz((J2000_Bas+(6*0.04167)),$O2552,$M2552,DecLat,DecLong,1)</f>
        <v>43.063236994809195</v>
      </c>
      <c r="AD2552" s="258">
        <f>1+ transit((J2000_Bas-1),$O2552,$M2552,DecLat,DecLong)/360 + (GMTOffset/24) + (IF(DST="Y", 1, 0)/24)</f>
        <v>1.9644855116192914</v>
      </c>
      <c r="AE2552" s="259">
        <f>DATE(2001,9,21)+(M2552/360)*365 - (360*((DecLong/360)- (GMTOffset/24) ))</f>
        <v>37514.628761574073</v>
      </c>
      <c r="AF2552" s="260">
        <f>IF(DecLat&gt;0,IF((90 - (DecLat-O2552))&gt;90, (90 - (O2552-DecLat)), (90 - (DecLat-O2552))),IF((90 + (DecLat-O2552))&gt;90, (90 + (O2552-DecLat)), (90 + (DecLat-O2552))))</f>
        <v>50.514166666666668</v>
      </c>
      <c r="AG2552" s="257">
        <f>angularseperation(MoonRA,MoonDec,$M2552,$O2552)</f>
        <v>95.378012352696715</v>
      </c>
      <c r="AH2552" s="261">
        <f ca="1">MIN(100,IF($O$5&gt;80,0+30*($AG2552/100),IF($O$5&gt;70,0+50*($AG2552/100),IF($O$5&gt;60,5+50*($AG2552/100),IF($O$5&gt;50,10+60*($AG2552/100),IF($O$5&gt;40,15+70*($AG2552/100),IF($O$5&gt;30,20+70*($AG2552/100),IF($O$5&gt;20,40+55*($AG2552/100),(80+(20-$O$5)+30*($AG2552/100))))))))))</f>
        <v>100</v>
      </c>
      <c r="AI2552" s="262">
        <v>7606</v>
      </c>
      <c r="AJ2552" s="262"/>
      <c r="AK2552" s="262">
        <v>393</v>
      </c>
      <c r="AL2552" s="263"/>
      <c r="AM2552" s="264"/>
      <c r="AN2552" s="263"/>
      <c r="AO2552" s="263"/>
      <c r="AP2552" s="265"/>
      <c r="AQ2552" s="266"/>
      <c r="AR2552" s="267">
        <v>71047</v>
      </c>
      <c r="AS2552" s="263"/>
      <c r="AT2552" s="263"/>
      <c r="AU2552" s="263"/>
      <c r="AV2552" s="264"/>
      <c r="AW2552" s="263"/>
      <c r="AX2552" s="263"/>
      <c r="AY2552" s="263"/>
      <c r="AZ2552" s="263"/>
      <c r="BA2552" s="263"/>
      <c r="BB2552" s="263"/>
      <c r="BC2552" s="263"/>
      <c r="BD2552" s="264"/>
      <c r="BE2552" s="263"/>
      <c r="BF2552" s="263"/>
      <c r="BG2552" s="263">
        <v>107</v>
      </c>
      <c r="BH2552" s="263"/>
      <c r="BI2552" s="263"/>
      <c r="BJ2552" s="404">
        <f>altaz(J2000_Bas,$O2552,$M2552,DecLat,DecLong,2)</f>
        <v>111.62119532187207</v>
      </c>
      <c r="BK2552" s="378" t="s">
        <v>2401</v>
      </c>
      <c r="BL2552" s="379">
        <f>IF((2*G2552)/60&lt;0.2,0.2,(2*G2552)/60)</f>
        <v>0.2</v>
      </c>
      <c r="BM2552" s="380">
        <f>MOD((50000+AD2552-$B$3+(0/24)),1)</f>
        <v>0.17985244132432854</v>
      </c>
      <c r="BN2552" s="381"/>
      <c r="BO2552" s="382">
        <v>2543</v>
      </c>
    </row>
    <row r="2553" spans="1:67" s="24" customFormat="1" ht="15" customHeight="1" x14ac:dyDescent="0.25">
      <c r="A2553" s="288" t="s">
        <v>2402</v>
      </c>
      <c r="B2553" s="241" t="str">
        <f>HYPERLINK(CONCATENATE($AT$3,BK2553,$AU$3),$AV$3)</f>
        <v>S</v>
      </c>
      <c r="C2553" s="242" t="str">
        <f>HYPERLINK(CONCATENATE($AT$4,BK2553,$AU$4,BL2553),$AV$4)</f>
        <v>A</v>
      </c>
      <c r="D2553" s="243" t="s">
        <v>5638</v>
      </c>
      <c r="E2553" s="244" t="s">
        <v>5192</v>
      </c>
      <c r="F2553" s="269" t="s">
        <v>8889</v>
      </c>
      <c r="G2553" s="273">
        <v>2.6</v>
      </c>
      <c r="H2553" s="283">
        <v>150</v>
      </c>
      <c r="I2553" s="246">
        <v>110</v>
      </c>
      <c r="J2553" s="246">
        <v>3</v>
      </c>
      <c r="K2553" s="247" t="s">
        <v>6680</v>
      </c>
      <c r="L2553" s="248">
        <v>231941</v>
      </c>
      <c r="M2553" s="249">
        <f>15*(LEFT(TEXT($L2553,"000000"),2)+(MID(TEXT($L2553,"000000"),3,2)/60)+(RIGHT(TEXT($L2553,"000000"),2)/3600))</f>
        <v>349.92083333333329</v>
      </c>
      <c r="N2553" s="286">
        <v>101106</v>
      </c>
      <c r="O2553" s="251">
        <f>IF($N2553&gt;0,(LEFT(TEXT($N2553,"000000"),2)+(MID(TEXT($N2553,"000000"),3,2)/60)+(RIGHT(TEXT($N2553,"000000"),2)/3600)),-(MID(TEXT($N2553,"000000"),2,2)+(MID(TEXT($N2553,"000000"),4,2)/60)+(RIGHT(TEXT($N2553,"000000"),2)/3600)))</f>
        <v>10.185</v>
      </c>
      <c r="P2553" s="252" t="s">
        <v>39</v>
      </c>
      <c r="Q2553" s="253"/>
      <c r="R2553" s="247" t="s">
        <v>3293</v>
      </c>
      <c r="S2553" s="272" t="s">
        <v>3293</v>
      </c>
      <c r="T2553" s="273">
        <v>13</v>
      </c>
      <c r="U2553" s="289">
        <v>23.39</v>
      </c>
      <c r="V2553" s="280">
        <v>40</v>
      </c>
      <c r="W2553" s="244"/>
      <c r="X2553" s="244"/>
      <c r="Y2553" s="362"/>
      <c r="Z2553" s="257">
        <f>altaz(J2000_Bas,$O2553,$M2553,DecLat,DecLong,1)</f>
        <v>27.51565738820004</v>
      </c>
      <c r="AA2553" s="257">
        <f>altaz((J2000_Bas+(2*0.04167)),$O2553,$M2553,DecLat,DecLong,1)</f>
        <v>52.360158234799961</v>
      </c>
      <c r="AB2553" s="257">
        <f>altaz((J2000_Bas+(4*0.04167)),$O2553,$M2553,DecLat,DecLong,1)</f>
        <v>68.895806720219625</v>
      </c>
      <c r="AC2553" s="257">
        <f>altaz((J2000_Bas+(6*0.04167)),$O2553,$M2553,DecLat,DecLong,1)</f>
        <v>57.905309160787397</v>
      </c>
      <c r="AD2553" s="258">
        <f>1+ transit((J2000_Bas-1),$O2553,$M2553,DecLat,DecLong)/360 + (GMTOffset/24) + (IF(DST="Y", 1, 0)/24)</f>
        <v>1.9649021782442915</v>
      </c>
      <c r="AE2553" s="259">
        <f>DATE(2001,9,21)+(M2553/360)*365 - (360*((DecLong/360)- (GMTOffset/24) ))</f>
        <v>37514.780844907407</v>
      </c>
      <c r="AF2553" s="260">
        <f>IF(DecLat&gt;0,IF((90 - (DecLat-O2553))&gt;90, (90 - (O2553-DecLat)), (90 - (DecLat-O2553))),IF((90 + (DecLat-O2553))&gt;90, (90 + (O2553-DecLat)), (90 + (DecLat-O2553))))</f>
        <v>69.185000000000002</v>
      </c>
      <c r="AG2553" s="257">
        <f>angularseperation(MoonRA,MoonDec,$M2553,$O2553)</f>
        <v>104.05738239705492</v>
      </c>
      <c r="AH2553" s="261">
        <f ca="1">MIN(100,IF($O$5&gt;80,0+30*($AG2553/100),IF($O$5&gt;70,0+50*($AG2553/100),IF($O$5&gt;60,5+50*($AG2553/100),IF($O$5&gt;50,10+60*($AG2553/100),IF($O$5&gt;40,15+70*($AG2553/100),IF($O$5&gt;30,20+70*($AG2553/100),IF($O$5&gt;20,40+55*($AG2553/100),(80+(20-$O$5)+30*($AG2553/100))))))))))</f>
        <v>100</v>
      </c>
      <c r="AI2553" s="262">
        <v>7610</v>
      </c>
      <c r="AJ2553" s="262"/>
      <c r="AK2553" s="262"/>
      <c r="AL2553" s="263"/>
      <c r="AM2553" s="264"/>
      <c r="AN2553" s="263"/>
      <c r="AO2553" s="263"/>
      <c r="AP2553" s="265"/>
      <c r="AQ2553" s="266"/>
      <c r="AR2553" s="267">
        <v>71087</v>
      </c>
      <c r="AS2553" s="263"/>
      <c r="AT2553" s="263"/>
      <c r="AU2553" s="263"/>
      <c r="AV2553" s="264"/>
      <c r="AW2553" s="263"/>
      <c r="AX2553" s="263"/>
      <c r="AY2553" s="263"/>
      <c r="AZ2553" s="263"/>
      <c r="BA2553" s="263"/>
      <c r="BB2553" s="263"/>
      <c r="BC2553" s="263"/>
      <c r="BD2553" s="264"/>
      <c r="BE2553" s="263"/>
      <c r="BF2553" s="263"/>
      <c r="BG2553" s="263"/>
      <c r="BH2553" s="263"/>
      <c r="BI2553" s="263"/>
      <c r="BJ2553" s="404">
        <f>altaz(J2000_Bas,$O2553,$M2553,DecLat,DecLong,2)</f>
        <v>94.611188809199916</v>
      </c>
      <c r="BK2553" s="378" t="s">
        <v>2402</v>
      </c>
      <c r="BL2553" s="379">
        <f>IF((2*G2553)/60&lt;0.2,0.2,(2*G2553)/60)</f>
        <v>0.2</v>
      </c>
      <c r="BM2553" s="380">
        <f>MOD((50000+AD2553-$B$3+(0/24)),1)</f>
        <v>0.18026910795015283</v>
      </c>
      <c r="BN2553" s="381"/>
      <c r="BO2553" s="382">
        <v>2544</v>
      </c>
    </row>
    <row r="2554" spans="1:67" s="24" customFormat="1" ht="15" customHeight="1" x14ac:dyDescent="0.25">
      <c r="A2554" s="288" t="s">
        <v>7675</v>
      </c>
      <c r="B2554" s="241" t="str">
        <f>HYPERLINK(CONCATENATE($AT$3,BK2554,$AU$3),$AV$3)</f>
        <v>S</v>
      </c>
      <c r="C2554" s="242" t="str">
        <f>HYPERLINK(CONCATENATE($AT$4,BK2554,$AU$4,BL2554),$AV$4)</f>
        <v>A</v>
      </c>
      <c r="D2554" s="243" t="s">
        <v>5638</v>
      </c>
      <c r="E2554" s="244" t="s">
        <v>5625</v>
      </c>
      <c r="F2554" s="269">
        <v>4</v>
      </c>
      <c r="G2554" s="282">
        <v>15</v>
      </c>
      <c r="H2554" s="283">
        <v>180</v>
      </c>
      <c r="I2554" s="284">
        <v>800</v>
      </c>
      <c r="J2554" s="246">
        <v>2</v>
      </c>
      <c r="K2554" s="247" t="s">
        <v>7677</v>
      </c>
      <c r="L2554" s="248">
        <v>232042</v>
      </c>
      <c r="M2554" s="249">
        <f>15*(LEFT(TEXT($L2554,"000000"),2)+(MID(TEXT($L2554,"000000"),3,2)/60)+(RIGHT(TEXT($L2554,"000000"),2)/3600))</f>
        <v>350.17499999999995</v>
      </c>
      <c r="N2554" s="286">
        <v>81301</v>
      </c>
      <c r="O2554" s="251">
        <f>IF($N2554&gt;0,(LEFT(TEXT($N2554,"000000"),2)+(MID(TEXT($N2554,"000000"),3,2)/60)+(RIGHT(TEXT($N2554,"000000"),2)/3600)),-(MID(TEXT($N2554,"000000"),2,2)+(MID(TEXT($N2554,"000000"),4,2)/60)+(RIGHT(TEXT($N2554,"000000"),2)/3600)))</f>
        <v>8.2169444444444437</v>
      </c>
      <c r="P2554" s="252" t="s">
        <v>39</v>
      </c>
      <c r="Q2554" s="253"/>
      <c r="R2554" s="247" t="s">
        <v>3293</v>
      </c>
      <c r="S2554" s="272" t="s">
        <v>7676</v>
      </c>
      <c r="T2554" s="273">
        <v>11.1</v>
      </c>
      <c r="U2554" s="289">
        <v>21.89</v>
      </c>
      <c r="V2554" s="280"/>
      <c r="W2554" s="244"/>
      <c r="X2554" s="244"/>
      <c r="Y2554" s="362"/>
      <c r="Z2554" s="257">
        <f>altaz(J2000_Bas,$O2554,$M2554,DecLat,DecLong,1)</f>
        <v>26.309147283062853</v>
      </c>
      <c r="AA2554" s="257">
        <f>altaz((J2000_Bas+(2*0.04167)),$O2554,$M2554,DecLat,DecLong,1)</f>
        <v>50.91492676802595</v>
      </c>
      <c r="AB2554" s="257">
        <f>altaz((J2000_Bas+(4*0.04167)),$O2554,$M2554,DecLat,DecLong,1)</f>
        <v>66.912597601075717</v>
      </c>
      <c r="AC2554" s="257">
        <f>altaz((J2000_Bas+(6*0.04167)),$O2554,$M2554,DecLat,DecLong,1)</f>
        <v>56.677286919967408</v>
      </c>
      <c r="AD2554" s="258">
        <f>1+ transit((J2000_Bas-1),$O2554,$M2554,DecLat,DecLong)/360 + (GMTOffset/24) + (IF(DST="Y", 1, 0)/24)</f>
        <v>1.9656081966922077</v>
      </c>
      <c r="AE2554" s="259">
        <f>DATE(2001,9,21)+(M2554/360)*365 - (360*((DecLong/360)- (GMTOffset/24) ))</f>
        <v>37515.038541666669</v>
      </c>
      <c r="AF2554" s="260">
        <f>IF(DecLat&gt;0,IF((90 - (DecLat-O2554))&gt;90, (90 - (O2554-DecLat)), (90 - (DecLat-O2554))),IF((90 + (DecLat-O2554))&gt;90, (90 + (O2554-DecLat)), (90 + (DecLat-O2554))))</f>
        <v>67.216944444444437</v>
      </c>
      <c r="AG2554" s="257">
        <f>angularseperation(MoonRA,MoonDec,$M2554,$O2554)</f>
        <v>103.42676482401747</v>
      </c>
      <c r="AH2554" s="261">
        <f ca="1">MIN(100,IF($O$5&gt;80,0+30*($AG2554/100),IF($O$5&gt;70,0+50*($AG2554/100),IF($O$5&gt;60,5+50*($AG2554/100),IF($O$5&gt;50,10+60*($AG2554/100),IF($O$5&gt;40,15+70*($AG2554/100),IF($O$5&gt;30,20+70*($AG2554/100),IF($O$5&gt;20,40+55*($AG2554/100),(80+(20-$O$5)+30*($AG2554/100))))))))))</f>
        <v>100</v>
      </c>
      <c r="AI2554" s="262">
        <v>7626</v>
      </c>
      <c r="AJ2554" s="262"/>
      <c r="AK2554" s="262"/>
      <c r="AL2554" s="263"/>
      <c r="AM2554" s="264"/>
      <c r="AN2554" s="263"/>
      <c r="AO2554" s="263"/>
      <c r="AP2554" s="265"/>
      <c r="AQ2554" s="266">
        <v>12531</v>
      </c>
      <c r="AR2554" s="267">
        <v>71140</v>
      </c>
      <c r="AS2554" s="263"/>
      <c r="AT2554" s="263"/>
      <c r="AU2554" s="263"/>
      <c r="AV2554" s="264"/>
      <c r="AW2554" s="263"/>
      <c r="AX2554" s="263"/>
      <c r="AY2554" s="263"/>
      <c r="AZ2554" s="263"/>
      <c r="BA2554" s="263"/>
      <c r="BB2554" s="263"/>
      <c r="BC2554" s="263"/>
      <c r="BD2554" s="264"/>
      <c r="BE2554" s="263"/>
      <c r="BF2554" s="263"/>
      <c r="BG2554" s="263"/>
      <c r="BH2554" s="263"/>
      <c r="BI2554" s="263"/>
      <c r="BJ2554" s="404">
        <f>altaz(J2000_Bas,$O2554,$M2554,DecLat,DecLong,2)</f>
        <v>96.377513000181892</v>
      </c>
      <c r="BK2554" s="378" t="s">
        <v>2403</v>
      </c>
      <c r="BL2554" s="379">
        <f>IF((2*G2554)/60&lt;0.2,0.2,(2*G2554)/60)</f>
        <v>0.5</v>
      </c>
      <c r="BM2554" s="380">
        <f>MOD((50000+AD2554-$B$3+(0/24)),1)</f>
        <v>0.18097512639360502</v>
      </c>
      <c r="BN2554" s="381"/>
      <c r="BO2554" s="382">
        <v>2545</v>
      </c>
    </row>
    <row r="2555" spans="1:67" s="24" customFormat="1" ht="15" customHeight="1" x14ac:dyDescent="0.25">
      <c r="A2555" s="288" t="s">
        <v>2404</v>
      </c>
      <c r="B2555" s="241" t="str">
        <f>HYPERLINK(CONCATENATE($AT$3,BK2555,$AU$3),$AV$3)</f>
        <v>S</v>
      </c>
      <c r="C2555" s="242" t="str">
        <f>HYPERLINK(CONCATENATE($AT$4,BK2555,$AU$4,BL2555),$AV$4)</f>
        <v>A</v>
      </c>
      <c r="D2555" s="243" t="s">
        <v>5187</v>
      </c>
      <c r="E2555" s="244" t="s">
        <v>5183</v>
      </c>
      <c r="F2555" s="353" t="s">
        <v>9177</v>
      </c>
      <c r="G2555" s="276">
        <v>15</v>
      </c>
      <c r="H2555" s="283">
        <v>7800</v>
      </c>
      <c r="I2555" s="246">
        <v>35</v>
      </c>
      <c r="J2555" s="246">
        <v>5</v>
      </c>
      <c r="K2555" s="247" t="s">
        <v>7678</v>
      </c>
      <c r="L2555" s="248">
        <v>232045</v>
      </c>
      <c r="M2555" s="249">
        <f>15*(LEFT(TEXT($L2555,"000000"),2)+(MID(TEXT($L2555,"000000"),3,2)/60)+(RIGHT(TEXT($L2555,"000000"),2)/3600))</f>
        <v>350.1875</v>
      </c>
      <c r="N2555" s="250">
        <v>611242</v>
      </c>
      <c r="O2555" s="251">
        <f>IF($N2555&gt;0,(LEFT(TEXT($N2555,"000000"),2)+(MID(TEXT($N2555,"000000"),3,2)/60)+(RIGHT(TEXT($N2555,"000000"),2)/3600)),-(MID(TEXT($N2555,"000000"),2,2)+(MID(TEXT($N2555,"000000"),4,2)/60)+(RIGHT(TEXT($N2555,"000000"),2)/3600)))</f>
        <v>61.211666666666666</v>
      </c>
      <c r="P2555" s="252" t="s">
        <v>49</v>
      </c>
      <c r="Q2555" s="253" t="s">
        <v>2405</v>
      </c>
      <c r="R2555" s="247" t="s">
        <v>7335</v>
      </c>
      <c r="S2555" s="272" t="s">
        <v>3293</v>
      </c>
      <c r="T2555" s="273"/>
      <c r="U2555" s="274"/>
      <c r="V2555" s="280"/>
      <c r="W2555" s="244"/>
      <c r="X2555" s="244"/>
      <c r="Y2555" s="362"/>
      <c r="Z2555" s="257">
        <f>altaz(J2000_Bas,$O2555,$M2555,DecLat,DecLong,1)</f>
        <v>39.134221662884613</v>
      </c>
      <c r="AA2555" s="257">
        <f>altaz((J2000_Bas+(2*0.04167)),$O2555,$M2555,DecLat,DecLong,1)</f>
        <v>52.485190214032933</v>
      </c>
      <c r="AB2555" s="257">
        <f>altaz((J2000_Bas+(4*0.04167)),$O2555,$M2555,DecLat,DecLong,1)</f>
        <v>59.673132847179538</v>
      </c>
      <c r="AC2555" s="257">
        <f>altaz((J2000_Bas+(6*0.04167)),$O2555,$M2555,DecLat,DecLong,1)</f>
        <v>55.303425340985868</v>
      </c>
      <c r="AD2555" s="258">
        <f>1+ transit((J2000_Bas-1),$O2555,$M2555,DecLat,DecLong)/360 + (GMTOffset/24) + (IF(DST="Y", 1, 0)/24)</f>
        <v>1.9656429189109581</v>
      </c>
      <c r="AE2555" s="259">
        <f>DATE(2001,9,21)+(M2555/360)*365 - (360*((DecLong/360)- (GMTOffset/24) ))</f>
        <v>37515.051215277781</v>
      </c>
      <c r="AF2555" s="260">
        <f>IF(DecLat&gt;0,IF((90 - (DecLat-O2555))&gt;90, (90 - (O2555-DecLat)), (90 - (DecLat-O2555))),IF((90 + (DecLat-O2555))&gt;90, (90 + (O2555-DecLat)), (90 + (DecLat-O2555))))</f>
        <v>59.788333333333334</v>
      </c>
      <c r="AG2555" s="257">
        <f>angularseperation(MoonRA,MoonDec,$M2555,$O2555)</f>
        <v>118.713989225391</v>
      </c>
      <c r="AH2555" s="261">
        <f ca="1">MIN(100,IF($O$5&gt;80,0+30*($AG2555/100),IF($O$5&gt;70,0+50*($AG2555/100),IF($O$5&gt;60,5+50*($AG2555/100),IF($O$5&gt;50,10+60*($AG2555/100),IF($O$5&gt;40,15+70*($AG2555/100),IF($O$5&gt;30,20+70*($AG2555/100),IF($O$5&gt;20,40+55*($AG2555/100),(80+(20-$O$5)+30*($AG2555/100))))))))))</f>
        <v>100</v>
      </c>
      <c r="AI2555" s="262">
        <v>7635</v>
      </c>
      <c r="AJ2555" s="262"/>
      <c r="AK2555" s="262"/>
      <c r="AL2555" s="263"/>
      <c r="AM2555" s="264">
        <v>11</v>
      </c>
      <c r="AN2555" s="263"/>
      <c r="AO2555" s="263"/>
      <c r="AP2555" s="265"/>
      <c r="AQ2555" s="266"/>
      <c r="AR2555" s="267"/>
      <c r="AS2555" s="263"/>
      <c r="AT2555" s="263"/>
      <c r="AU2555" s="263"/>
      <c r="AV2555" s="264"/>
      <c r="AW2555" s="263"/>
      <c r="AX2555" s="263"/>
      <c r="AY2555" s="263">
        <v>548</v>
      </c>
      <c r="AZ2555" s="263"/>
      <c r="BA2555" s="263"/>
      <c r="BB2555" s="263">
        <v>162</v>
      </c>
      <c r="BC2555" s="263"/>
      <c r="BD2555" s="264"/>
      <c r="BE2555" s="263"/>
      <c r="BF2555" s="263"/>
      <c r="BG2555" s="263"/>
      <c r="BH2555" s="263"/>
      <c r="BI2555" s="263"/>
      <c r="BJ2555" s="404">
        <f>altaz(J2000_Bas,$O2555,$M2555,DecLat,DecLong,2)</f>
        <v>33.979237463083145</v>
      </c>
      <c r="BK2555" s="378" t="s">
        <v>2404</v>
      </c>
      <c r="BL2555" s="379">
        <f>IF((2*G2555)/60&lt;0.2,0.2,(2*G2555)/60)</f>
        <v>0.5</v>
      </c>
      <c r="BM2555" s="380">
        <f>MOD((50000+AD2555-$B$3+(0/24)),1)</f>
        <v>0.18100984861666802</v>
      </c>
      <c r="BN2555" s="381"/>
      <c r="BO2555" s="382">
        <v>2546</v>
      </c>
    </row>
    <row r="2556" spans="1:67" s="24" customFormat="1" ht="15" customHeight="1" x14ac:dyDescent="0.25">
      <c r="A2556" s="288" t="s">
        <v>2406</v>
      </c>
      <c r="B2556" s="241" t="str">
        <f>HYPERLINK(CONCATENATE($AT$3,BK2556,$AU$3),$AV$3)</f>
        <v>S</v>
      </c>
      <c r="C2556" s="242" t="str">
        <f>HYPERLINK(CONCATENATE($AT$4,BK2556,$AU$4,BL2556),$AV$4)</f>
        <v>A</v>
      </c>
      <c r="D2556" s="243" t="s">
        <v>5638</v>
      </c>
      <c r="E2556" s="244" t="s">
        <v>5337</v>
      </c>
      <c r="F2556" s="269" t="s">
        <v>3310</v>
      </c>
      <c r="G2556" s="270">
        <v>0.7</v>
      </c>
      <c r="H2556" s="283">
        <v>370</v>
      </c>
      <c r="I2556" s="246">
        <v>80</v>
      </c>
      <c r="J2556" s="246">
        <v>2</v>
      </c>
      <c r="K2556" s="247" t="s">
        <v>7679</v>
      </c>
      <c r="L2556" s="248">
        <v>232233</v>
      </c>
      <c r="M2556" s="249">
        <f>15*(LEFT(TEXT($L2556,"000000"),2)+(MID(TEXT($L2556,"000000"),3,2)/60)+(RIGHT(TEXT($L2556,"000000"),2)/3600))</f>
        <v>350.63749999999999</v>
      </c>
      <c r="N2556" s="250">
        <v>111947</v>
      </c>
      <c r="O2556" s="251">
        <f>IF($N2556&gt;0,(LEFT(TEXT($N2556,"000000"),2)+(MID(TEXT($N2556,"000000"),3,2)/60)+(RIGHT(TEXT($N2556,"000000"),2)/3600)),-(MID(TEXT($N2556,"000000"),2,2)+(MID(TEXT($N2556,"000000"),4,2)/60)+(RIGHT(TEXT($N2556,"000000"),2)/3600)))</f>
        <v>11.329722222222221</v>
      </c>
      <c r="P2556" s="252" t="s">
        <v>39</v>
      </c>
      <c r="Q2556" s="253"/>
      <c r="R2556" s="247" t="s">
        <v>3293</v>
      </c>
      <c r="S2556" s="272" t="s">
        <v>3293</v>
      </c>
      <c r="T2556" s="273">
        <v>14.9</v>
      </c>
      <c r="U2556" s="289">
        <v>22.490000000000002</v>
      </c>
      <c r="V2556" s="280"/>
      <c r="W2556" s="244"/>
      <c r="X2556" s="244"/>
      <c r="Y2556" s="362"/>
      <c r="Z2556" s="257">
        <f>altaz(J2000_Bas,$O2556,$M2556,DecLat,DecLong,1)</f>
        <v>27.466111744379532</v>
      </c>
      <c r="AA2556" s="257">
        <f>altaz((J2000_Bas+(2*0.04167)),$O2556,$M2556,DecLat,DecLong,1)</f>
        <v>52.505457766576953</v>
      </c>
      <c r="AB2556" s="257">
        <f>altaz((J2000_Bas+(4*0.04167)),$O2556,$M2556,DecLat,DecLong,1)</f>
        <v>69.899898989261317</v>
      </c>
      <c r="AC2556" s="257">
        <f>altaz((J2000_Bas+(6*0.04167)),$O2556,$M2556,DecLat,DecLong,1)</f>
        <v>59.206744388915794</v>
      </c>
      <c r="AD2556" s="258">
        <f>1+ transit((J2000_Bas-1),$O2556,$M2556,DecLat,DecLong)/360 + (GMTOffset/24) + (IF(DST="Y", 1, 0)/24)</f>
        <v>1.9668929187859578</v>
      </c>
      <c r="AE2556" s="259">
        <f>DATE(2001,9,21)+(M2556/360)*365 - (360*((DecLong/360)- (GMTOffset/24) ))</f>
        <v>37515.507465277777</v>
      </c>
      <c r="AF2556" s="260">
        <f>IF(DecLat&gt;0,IF((90 - (DecLat-O2556))&gt;90, (90 - (O2556-DecLat)), (90 - (DecLat-O2556))),IF((90 + (DecLat-O2556))&gt;90, (90 + (O2556-DecLat)), (90 + (DecLat-O2556))))</f>
        <v>70.329722222222216</v>
      </c>
      <c r="AG2556" s="257">
        <f>angularseperation(MoonRA,MoonDec,$M2556,$O2556)</f>
        <v>105.18474497152582</v>
      </c>
      <c r="AH2556" s="261">
        <f ca="1">MIN(100,IF($O$5&gt;80,0+30*($AG2556/100),IF($O$5&gt;70,0+50*($AG2556/100),IF($O$5&gt;60,5+50*($AG2556/100),IF($O$5&gt;50,10+60*($AG2556/100),IF($O$5&gt;40,15+70*($AG2556/100),IF($O$5&gt;30,20+70*($AG2556/100),IF($O$5&gt;20,40+55*($AG2556/100),(80+(20-$O$5)+30*($AG2556/100))))))))))</f>
        <v>100</v>
      </c>
      <c r="AI2556" s="262">
        <v>7638</v>
      </c>
      <c r="AJ2556" s="262"/>
      <c r="AK2556" s="262"/>
      <c r="AL2556" s="263"/>
      <c r="AM2556" s="264"/>
      <c r="AN2556" s="263"/>
      <c r="AO2556" s="263"/>
      <c r="AP2556" s="265"/>
      <c r="AQ2556" s="266"/>
      <c r="AR2556" s="267">
        <v>71246</v>
      </c>
      <c r="AS2556" s="263"/>
      <c r="AT2556" s="263"/>
      <c r="AU2556" s="263"/>
      <c r="AV2556" s="264"/>
      <c r="AW2556" s="263"/>
      <c r="AX2556" s="263"/>
      <c r="AY2556" s="263"/>
      <c r="AZ2556" s="263"/>
      <c r="BA2556" s="263"/>
      <c r="BB2556" s="263"/>
      <c r="BC2556" s="263"/>
      <c r="BD2556" s="264"/>
      <c r="BE2556" s="263"/>
      <c r="BF2556" s="263"/>
      <c r="BG2556" s="263"/>
      <c r="BH2556" s="263"/>
      <c r="BI2556" s="263"/>
      <c r="BJ2556" s="404">
        <f>altaz(J2000_Bas,$O2556,$M2556,DecLat,DecLong,2)</f>
        <v>93.097237271280463</v>
      </c>
      <c r="BK2556" s="378" t="s">
        <v>2406</v>
      </c>
      <c r="BL2556" s="379">
        <f>IF((2*G2556)/60&lt;0.2,0.2,(2*G2556)/60)</f>
        <v>0.2</v>
      </c>
      <c r="BM2556" s="380">
        <f>MOD((50000+AD2556-$B$3+(0/24)),1)</f>
        <v>0.18225984848686494</v>
      </c>
      <c r="BN2556" s="381"/>
      <c r="BO2556" s="382">
        <v>2547</v>
      </c>
    </row>
    <row r="2557" spans="1:67" s="24" customFormat="1" ht="15" customHeight="1" x14ac:dyDescent="0.25">
      <c r="A2557" s="288" t="s">
        <v>2407</v>
      </c>
      <c r="B2557" s="241" t="str">
        <f>HYPERLINK(CONCATENATE($AT$3,BK2557,$AU$3),$AV$3)</f>
        <v>S</v>
      </c>
      <c r="C2557" s="242" t="str">
        <f>HYPERLINK(CONCATENATE($AT$4,BK2557,$AU$4,BL2557),$AV$4)</f>
        <v>A</v>
      </c>
      <c r="D2557" s="243" t="s">
        <v>5638</v>
      </c>
      <c r="E2557" s="244" t="s">
        <v>5192</v>
      </c>
      <c r="F2557" s="269" t="s">
        <v>8895</v>
      </c>
      <c r="G2557" s="276">
        <v>10</v>
      </c>
      <c r="H2557" s="283">
        <v>30</v>
      </c>
      <c r="I2557" s="246">
        <v>90</v>
      </c>
      <c r="J2557" s="246">
        <v>2</v>
      </c>
      <c r="K2557" s="247" t="s">
        <v>8054</v>
      </c>
      <c r="L2557" s="248">
        <v>232207</v>
      </c>
      <c r="M2557" s="249">
        <f>15*(LEFT(TEXT($L2557,"000000"),2)+(MID(TEXT($L2557,"000000"),3,2)/60)+(RIGHT(TEXT($L2557,"000000"),2)/3600))</f>
        <v>350.52916666666664</v>
      </c>
      <c r="N2557" s="250">
        <v>405043</v>
      </c>
      <c r="O2557" s="251">
        <f>IF($N2557&gt;0,(LEFT(TEXT($N2557,"000000"),2)+(MID(TEXT($N2557,"000000"),3,2)/60)+(RIGHT(TEXT($N2557,"000000"),2)/3600)),-(MID(TEXT($N2557,"000000"),2,2)+(MID(TEXT($N2557,"000000"),4,2)/60)+(RIGHT(TEXT($N2557,"000000"),2)/3600)))</f>
        <v>40.845277777777781</v>
      </c>
      <c r="P2557" s="252" t="s">
        <v>36</v>
      </c>
      <c r="Q2557" s="253"/>
      <c r="R2557" s="247" t="s">
        <v>3293</v>
      </c>
      <c r="S2557" s="272" t="s">
        <v>3293</v>
      </c>
      <c r="T2557" s="273">
        <v>11.3</v>
      </c>
      <c r="U2557" s="289">
        <v>23.39</v>
      </c>
      <c r="V2557" s="280">
        <v>80</v>
      </c>
      <c r="W2557" s="244"/>
      <c r="X2557" s="244"/>
      <c r="Y2557" s="362"/>
      <c r="Z2557" s="257">
        <f>altaz(J2000_Bas,$O2557,$M2557,DecLat,DecLong,1)</f>
        <v>38.004914705243301</v>
      </c>
      <c r="AA2557" s="257">
        <f>altaz((J2000_Bas+(2*0.04167)),$O2557,$M2557,DecLat,DecLong,1)</f>
        <v>60.645457965119988</v>
      </c>
      <c r="AB2557" s="257">
        <f>altaz((J2000_Bas+(4*0.04167)),$O2557,$M2557,DecLat,DecLong,1)</f>
        <v>79.545327038713765</v>
      </c>
      <c r="AC2557" s="257">
        <f>altaz((J2000_Bas+(6*0.04167)),$O2557,$M2557,DecLat,DecLong,1)</f>
        <v>67.072063888485914</v>
      </c>
      <c r="AD2557" s="258">
        <f>1+ transit((J2000_Bas-1),$O2557,$M2557,DecLat,DecLong)/360 + (GMTOffset/24) + (IF(DST="Y", 1, 0)/24)</f>
        <v>1.9665919928901248</v>
      </c>
      <c r="AE2557" s="259">
        <f>DATE(2001,9,21)+(M2557/360)*365 - (360*((DecLong/360)- (GMTOffset/24) ))</f>
        <v>37515.397627314815</v>
      </c>
      <c r="AF2557" s="260">
        <f>IF(DecLat&gt;0,IF((90 - (DecLat-O2557))&gt;90, (90 - (O2557-DecLat)), (90 - (DecLat-O2557))),IF((90 + (DecLat-O2557))&gt;90, (90 + (O2557-DecLat)), (90 + (DecLat-O2557))))</f>
        <v>80.154722222222219</v>
      </c>
      <c r="AG2557" s="257">
        <f>angularseperation(MoonRA,MoonDec,$M2557,$O2557)</f>
        <v>115.44220320314784</v>
      </c>
      <c r="AH2557" s="261">
        <f ca="1">MIN(100,IF($O$5&gt;80,0+30*($AG2557/100),IF($O$5&gt;70,0+50*($AG2557/100),IF($O$5&gt;60,5+50*($AG2557/100),IF($O$5&gt;50,10+60*($AG2557/100),IF($O$5&gt;40,15+70*($AG2557/100),IF($O$5&gt;30,20+70*($AG2557/100),IF($O$5&gt;20,40+55*($AG2557/100),(80+(20-$O$5)+30*($AG2557/100))))))))))</f>
        <v>100</v>
      </c>
      <c r="AI2557" s="262">
        <v>7640</v>
      </c>
      <c r="AJ2557" s="262"/>
      <c r="AK2557" s="262"/>
      <c r="AL2557" s="263"/>
      <c r="AM2557" s="264"/>
      <c r="AN2557" s="263"/>
      <c r="AO2557" s="263"/>
      <c r="AP2557" s="265"/>
      <c r="AQ2557" s="266">
        <v>12554</v>
      </c>
      <c r="AR2557" s="267">
        <v>71220</v>
      </c>
      <c r="AS2557" s="263"/>
      <c r="AT2557" s="263"/>
      <c r="AU2557" s="263"/>
      <c r="AV2557" s="264"/>
      <c r="AW2557" s="263"/>
      <c r="AX2557" s="263"/>
      <c r="AY2557" s="263"/>
      <c r="AZ2557" s="263"/>
      <c r="BA2557" s="263"/>
      <c r="BB2557" s="263"/>
      <c r="BC2557" s="263"/>
      <c r="BD2557" s="264"/>
      <c r="BE2557" s="263"/>
      <c r="BF2557" s="263"/>
      <c r="BG2557" s="263"/>
      <c r="BH2557" s="263"/>
      <c r="BI2557" s="263"/>
      <c r="BJ2557" s="404">
        <f>altaz(J2000_Bas,$O2557,$M2557,DecLat,DecLong,2)</f>
        <v>60.079427895262484</v>
      </c>
      <c r="BK2557" s="378" t="s">
        <v>2407</v>
      </c>
      <c r="BL2557" s="379">
        <f>IF((2*G2557)/60&lt;0.2,0.2,(2*G2557)/60)</f>
        <v>0.33333333333333331</v>
      </c>
      <c r="BM2557" s="380">
        <f>MOD((50000+AD2557-$B$3+(0/24)),1)</f>
        <v>0.18195892259245738</v>
      </c>
      <c r="BN2557" s="381"/>
      <c r="BO2557" s="382">
        <v>2548</v>
      </c>
    </row>
    <row r="2558" spans="1:67" s="24" customFormat="1" ht="15" customHeight="1" x14ac:dyDescent="0.25">
      <c r="A2558" s="288" t="s">
        <v>2408</v>
      </c>
      <c r="B2558" s="241" t="str">
        <f>HYPERLINK(CONCATENATE($AT$3,BK2558,$AU$3),$AV$3)</f>
        <v>S</v>
      </c>
      <c r="C2558" s="242" t="str">
        <f>HYPERLINK(CONCATENATE($AT$4,BK2558,$AU$4,BL2558),$AV$4)</f>
        <v>A</v>
      </c>
      <c r="D2558" s="243" t="s">
        <v>5638</v>
      </c>
      <c r="E2558" s="244" t="s">
        <v>5182</v>
      </c>
      <c r="F2558" s="269" t="s">
        <v>9122</v>
      </c>
      <c r="G2558" s="273">
        <v>1.3</v>
      </c>
      <c r="H2558" s="283">
        <v>330</v>
      </c>
      <c r="I2558" s="246">
        <v>125</v>
      </c>
      <c r="J2558" s="246">
        <v>2</v>
      </c>
      <c r="K2558" s="247" t="s">
        <v>7681</v>
      </c>
      <c r="L2558" s="248">
        <v>232431</v>
      </c>
      <c r="M2558" s="249">
        <f>15*(LEFT(TEXT($L2558,"000000"),2)+(MID(TEXT($L2558,"000000"),3,2)/60)+(RIGHT(TEXT($L2558,"000000"),2)/3600))</f>
        <v>351.12916666666666</v>
      </c>
      <c r="N2558" s="250">
        <v>-190335</v>
      </c>
      <c r="O2558" s="251">
        <f>IF($N2558&gt;0,(LEFT(TEXT($N2558,"000000"),2)+(MID(TEXT($N2558,"000000"),3,2)/60)+(RIGHT(TEXT($N2558,"000000"),2)/3600)),-(MID(TEXT($N2558,"000000"),2,2)+(MID(TEXT($N2558,"000000"),4,2)/60)+(RIGHT(TEXT($N2558,"000000"),2)/3600)))</f>
        <v>-19.059722222222224</v>
      </c>
      <c r="P2558" s="252" t="s">
        <v>3119</v>
      </c>
      <c r="Q2558" s="253"/>
      <c r="R2558" s="247" t="s">
        <v>3293</v>
      </c>
      <c r="S2558" s="272" t="s">
        <v>7680</v>
      </c>
      <c r="T2558" s="273">
        <v>13.5</v>
      </c>
      <c r="U2558" s="289">
        <v>22.39</v>
      </c>
      <c r="V2558" s="280"/>
      <c r="W2558" s="244"/>
      <c r="X2558" s="244"/>
      <c r="Y2558" s="362"/>
      <c r="Z2558" s="257">
        <f>altaz(J2000_Bas,$O2558,$M2558,DecLat,DecLong,1)</f>
        <v>9.9381676238930599</v>
      </c>
      <c r="AA2558" s="257">
        <f>altaz((J2000_Bas+(2*0.04167)),$O2558,$M2558,DecLat,DecLong,1)</f>
        <v>29.67827454848312</v>
      </c>
      <c r="AB2558" s="257">
        <f>altaz((J2000_Bas+(4*0.04167)),$O2558,$M2558,DecLat,DecLong,1)</f>
        <v>39.714165714441002</v>
      </c>
      <c r="AC2558" s="257">
        <f>altaz((J2000_Bas+(6*0.04167)),$O2558,$M2558,DecLat,DecLong,1)</f>
        <v>34.42453430822269</v>
      </c>
      <c r="AD2558" s="258">
        <f>1+ transit((J2000_Bas-1),$O2558,$M2558,DecLat,DecLong)/360 + (GMTOffset/24) + (IF(DST="Y", 1, 0)/24)</f>
        <v>1.9682586593901246</v>
      </c>
      <c r="AE2558" s="259">
        <f>DATE(2001,9,21)+(M2558/360)*365 - (360*((DecLong/360)- (GMTOffset/24) ))</f>
        <v>37516.005960648152</v>
      </c>
      <c r="AF2558" s="260">
        <f>IF(DecLat&gt;0,IF((90 - (DecLat-O2558))&gt;90, (90 - (O2558-DecLat)), (90 - (DecLat-O2558))),IF((90 + (DecLat-O2558))&gt;90, (90 + (O2558-DecLat)), (90 + (DecLat-O2558))))</f>
        <v>39.94027777777778</v>
      </c>
      <c r="AG2558" s="257">
        <f>angularseperation(MoonRA,MoonDec,$M2558,$O2558)</f>
        <v>91.413325085652758</v>
      </c>
      <c r="AH2558" s="261">
        <f ca="1">MIN(100,IF($O$5&gt;80,0+30*($AG2558/100),IF($O$5&gt;70,0+50*($AG2558/100),IF($O$5&gt;60,5+50*($AG2558/100),IF($O$5&gt;50,10+60*($AG2558/100),IF($O$5&gt;40,15+70*($AG2558/100),IF($O$5&gt;30,20+70*($AG2558/100),IF($O$5&gt;20,40+55*($AG2558/100),(80+(20-$O$5)+30*($AG2558/100))))))))))</f>
        <v>100</v>
      </c>
      <c r="AI2558" s="262">
        <v>7656</v>
      </c>
      <c r="AJ2558" s="262"/>
      <c r="AK2558" s="262"/>
      <c r="AL2558" s="263"/>
      <c r="AM2558" s="264"/>
      <c r="AN2558" s="263"/>
      <c r="AO2558" s="263"/>
      <c r="AP2558" s="265"/>
      <c r="AQ2558" s="266"/>
      <c r="AR2558" s="267">
        <v>71357</v>
      </c>
      <c r="AS2558" s="263"/>
      <c r="AT2558" s="263"/>
      <c r="AU2558" s="263"/>
      <c r="AV2558" s="264"/>
      <c r="AW2558" s="263"/>
      <c r="AX2558" s="263"/>
      <c r="AY2558" s="263"/>
      <c r="AZ2558" s="263"/>
      <c r="BA2558" s="263"/>
      <c r="BB2558" s="263"/>
      <c r="BC2558" s="263"/>
      <c r="BD2558" s="264"/>
      <c r="BE2558" s="263"/>
      <c r="BF2558" s="263"/>
      <c r="BG2558" s="263"/>
      <c r="BH2558" s="263"/>
      <c r="BI2558" s="263"/>
      <c r="BJ2558" s="404">
        <f>altaz(J2000_Bas,$O2558,$M2558,DecLat,DecLong,2)</f>
        <v>119.47550416612405</v>
      </c>
      <c r="BK2558" s="378" t="s">
        <v>2408</v>
      </c>
      <c r="BL2558" s="379">
        <f>IF((2*G2558)/60&lt;0.2,0.2,(2*G2558)/60)</f>
        <v>0.2</v>
      </c>
      <c r="BM2558" s="380">
        <f>MOD((50000+AD2558-$B$3+(0/24)),1)</f>
        <v>0.18362558909575455</v>
      </c>
      <c r="BN2558" s="381"/>
      <c r="BO2558" s="382">
        <v>2549</v>
      </c>
    </row>
    <row r="2559" spans="1:67" s="24" customFormat="1" ht="15" customHeight="1" x14ac:dyDescent="0.25">
      <c r="A2559" s="288" t="s">
        <v>2409</v>
      </c>
      <c r="B2559" s="241" t="str">
        <f>HYPERLINK(CONCATENATE($AT$3,BK2559,$AU$3),$AV$3)</f>
        <v>S</v>
      </c>
      <c r="C2559" s="242" t="str">
        <f>HYPERLINK(CONCATENATE($AT$4,BK2559,$AU$4,BL2559),$AV$4)</f>
        <v>A</v>
      </c>
      <c r="D2559" s="243" t="s">
        <v>5187</v>
      </c>
      <c r="E2559" s="244" t="s">
        <v>5181</v>
      </c>
      <c r="F2559" s="293" t="s">
        <v>8830</v>
      </c>
      <c r="G2559" s="270">
        <v>0.5</v>
      </c>
      <c r="H2559" s="283">
        <v>6400</v>
      </c>
      <c r="I2559" s="279">
        <v>1</v>
      </c>
      <c r="J2559" s="246">
        <v>3</v>
      </c>
      <c r="K2559" s="247" t="s">
        <v>7682</v>
      </c>
      <c r="L2559" s="248">
        <v>232554</v>
      </c>
      <c r="M2559" s="249">
        <f>15*(LEFT(TEXT($L2559,"000000"),2)+(MID(TEXT($L2559,"000000"),3,2)/60)+(RIGHT(TEXT($L2559,"000000"),2)/3600))</f>
        <v>351.47500000000002</v>
      </c>
      <c r="N2559" s="250">
        <v>423206</v>
      </c>
      <c r="O2559" s="251">
        <f>IF($N2559&gt;0,(LEFT(TEXT($N2559,"000000"),2)+(MID(TEXT($N2559,"000000"),3,2)/60)+(RIGHT(TEXT($N2559,"000000"),2)/3600)),-(MID(TEXT($N2559,"000000"),2,2)+(MID(TEXT($N2559,"000000"),4,2)/60)+(RIGHT(TEXT($N2559,"000000"),2)/3600)))</f>
        <v>42.534999999999997</v>
      </c>
      <c r="P2559" s="252" t="s">
        <v>36</v>
      </c>
      <c r="Q2559" s="253" t="s">
        <v>6946</v>
      </c>
      <c r="R2559" s="247" t="s">
        <v>7346</v>
      </c>
      <c r="S2559" s="272" t="s">
        <v>3293</v>
      </c>
      <c r="T2559" s="273">
        <v>8.3000000000000007</v>
      </c>
      <c r="U2559" s="274"/>
      <c r="V2559" s="280"/>
      <c r="W2559" s="244"/>
      <c r="X2559" s="244"/>
      <c r="Y2559" s="362"/>
      <c r="Z2559" s="257">
        <f>altaz(J2000_Bas,$O2559,$M2559,DecLat,DecLong,1)</f>
        <v>37.617753473958587</v>
      </c>
      <c r="AA2559" s="257">
        <f>altaz((J2000_Bas+(2*0.04167)),$O2559,$M2559,DecLat,DecLong,1)</f>
        <v>59.667834175724479</v>
      </c>
      <c r="AB2559" s="257">
        <f>altaz((J2000_Bas+(4*0.04167)),$O2559,$M2559,DecLat,DecLong,1)</f>
        <v>77.714387826988258</v>
      </c>
      <c r="AC2559" s="257">
        <f>altaz((J2000_Bas+(6*0.04167)),$O2559,$M2559,DecLat,DecLong,1)</f>
        <v>67.167047742855388</v>
      </c>
      <c r="AD2559" s="258">
        <f>1+ transit((J2000_Bas-1),$O2559,$M2559,DecLat,DecLong)/360 + (GMTOffset/24) + (IF(DST="Y", 1, 0)/24)</f>
        <v>1.9692193074422082</v>
      </c>
      <c r="AE2559" s="259">
        <f>DATE(2001,9,21)+(M2559/360)*365 - (360*((DecLong/360)- (GMTOffset/24) ))</f>
        <v>37516.35659722222</v>
      </c>
      <c r="AF2559" s="260">
        <f>IF(DecLat&gt;0,IF((90 - (DecLat-O2559))&gt;90, (90 - (O2559-DecLat)), (90 - (DecLat-O2559))),IF((90 + (DecLat-O2559))&gt;90, (90 + (O2559-DecLat)), (90 + (DecLat-O2559))))</f>
        <v>78.465000000000003</v>
      </c>
      <c r="AG2559" s="257">
        <f>angularseperation(MoonRA,MoonDec,$M2559,$O2559)</f>
        <v>116.53930269222604</v>
      </c>
      <c r="AH2559" s="261">
        <f ca="1">MIN(100,IF($O$5&gt;80,0+30*($AG2559/100),IF($O$5&gt;70,0+50*($AG2559/100),IF($O$5&gt;60,5+50*($AG2559/100),IF($O$5&gt;50,10+60*($AG2559/100),IF($O$5&gt;40,15+70*($AG2559/100),IF($O$5&gt;30,20+70*($AG2559/100),IF($O$5&gt;20,40+55*($AG2559/100),(80+(20-$O$5)+30*($AG2559/100))))))))))</f>
        <v>100</v>
      </c>
      <c r="AI2559" s="262">
        <v>7662</v>
      </c>
      <c r="AJ2559" s="262"/>
      <c r="AK2559" s="262">
        <v>394</v>
      </c>
      <c r="AL2559" s="263"/>
      <c r="AM2559" s="264">
        <v>22</v>
      </c>
      <c r="AN2559" s="263"/>
      <c r="AO2559" s="263"/>
      <c r="AP2559" s="265"/>
      <c r="AQ2559" s="266"/>
      <c r="AR2559" s="267"/>
      <c r="AS2559" s="263"/>
      <c r="AT2559" s="263">
        <v>45</v>
      </c>
      <c r="AU2559" s="263"/>
      <c r="AV2559" s="264"/>
      <c r="AW2559" s="263"/>
      <c r="AX2559" s="263"/>
      <c r="AY2559" s="263"/>
      <c r="AZ2559" s="263"/>
      <c r="BA2559" s="263"/>
      <c r="BB2559" s="263"/>
      <c r="BC2559" s="263"/>
      <c r="BD2559" s="264"/>
      <c r="BE2559" s="263"/>
      <c r="BF2559" s="263"/>
      <c r="BG2559" s="263"/>
      <c r="BH2559" s="263"/>
      <c r="BI2559" s="263"/>
      <c r="BJ2559" s="404">
        <f>altaz(J2000_Bas,$O2559,$M2559,DecLat,DecLong,2)</f>
        <v>57.813667960114316</v>
      </c>
      <c r="BK2559" s="378" t="s">
        <v>2409</v>
      </c>
      <c r="BL2559" s="379">
        <f>IF((2*G2559)/60&lt;0.2,0.2,(2*G2559)/60)</f>
        <v>0.2</v>
      </c>
      <c r="BM2559" s="380">
        <f>MOD((50000+AD2559-$B$3+(0/24)),1)</f>
        <v>0.18458623714832356</v>
      </c>
      <c r="BN2559" s="381" t="s">
        <v>9121</v>
      </c>
      <c r="BO2559" s="382">
        <v>2550</v>
      </c>
    </row>
    <row r="2560" spans="1:67" s="24" customFormat="1" ht="15" customHeight="1" x14ac:dyDescent="0.25">
      <c r="A2560" s="288" t="s">
        <v>2410</v>
      </c>
      <c r="B2560" s="241" t="str">
        <f>HYPERLINK(CONCATENATE($AT$3,BK2560,$AU$3),$AV$3)</f>
        <v>S</v>
      </c>
      <c r="C2560" s="242" t="str">
        <f>HYPERLINK(CONCATENATE($AT$4,BK2560,$AU$4,BL2560),$AV$4)</f>
        <v>A</v>
      </c>
      <c r="D2560" s="243" t="s">
        <v>5638</v>
      </c>
      <c r="E2560" s="244" t="s">
        <v>3259</v>
      </c>
      <c r="F2560" s="269"/>
      <c r="G2560" s="273">
        <v>1.5</v>
      </c>
      <c r="H2560" s="283">
        <v>60</v>
      </c>
      <c r="I2560" s="246">
        <v>25</v>
      </c>
      <c r="J2560" s="246">
        <v>2</v>
      </c>
      <c r="K2560" s="247" t="s">
        <v>7684</v>
      </c>
      <c r="L2560" s="248">
        <v>232423</v>
      </c>
      <c r="M2560" s="249">
        <f>15*(LEFT(TEXT($L2560,"000000"),2)+(MID(TEXT($L2560,"000000"),3,2)/60)+(RIGHT(TEXT($L2560,"000000"),2)/3600))</f>
        <v>351.0958333333333</v>
      </c>
      <c r="N2560" s="250">
        <v>-630</v>
      </c>
      <c r="O2560" s="251">
        <f>IF($N2560&gt;0,(LEFT(TEXT($N2560,"000000"),2)+(MID(TEXT($N2560,"000000"),3,2)/60)+(RIGHT(TEXT($N2560,"000000"),2)/3600)),-(MID(TEXT($N2560,"000000"),2,2)+(MID(TEXT($N2560,"000000"),4,2)/60)+(RIGHT(TEXT($N2560,"000000"),2)/3600)))</f>
        <v>-0.10833333333333334</v>
      </c>
      <c r="P2560" s="252" t="s">
        <v>158</v>
      </c>
      <c r="Q2560" s="253"/>
      <c r="R2560" s="247" t="s">
        <v>3293</v>
      </c>
      <c r="S2560" s="272" t="s">
        <v>7683</v>
      </c>
      <c r="T2560" s="273">
        <v>13.9</v>
      </c>
      <c r="U2560" s="289">
        <v>23.29</v>
      </c>
      <c r="V2560" s="280"/>
      <c r="W2560" s="244"/>
      <c r="X2560" s="244"/>
      <c r="Y2560" s="362"/>
      <c r="Z2560" s="257">
        <f>altaz(J2000_Bas,$O2560,$M2560,DecLat,DecLong,1)</f>
        <v>21.101169544517429</v>
      </c>
      <c r="AA2560" s="257">
        <f>altaz((J2000_Bas+(2*0.04167)),$O2560,$M2560,DecLat,DecLong,1)</f>
        <v>44.515398761343008</v>
      </c>
      <c r="AB2560" s="257">
        <f>altaz((J2000_Bas+(4*0.04167)),$O2560,$M2560,DecLat,DecLong,1)</f>
        <v>58.54259494743539</v>
      </c>
      <c r="AC2560" s="257">
        <f>altaz((J2000_Bas+(6*0.04167)),$O2560,$M2560,DecLat,DecLong,1)</f>
        <v>50.792781494199012</v>
      </c>
      <c r="AD2560" s="258">
        <f>1+ transit((J2000_Bas-1),$O2560,$M2560,DecLat,DecLong)/360 + (GMTOffset/24) + (IF(DST="Y", 1, 0)/24)</f>
        <v>1.9681660668067911</v>
      </c>
      <c r="AE2560" s="259">
        <f>DATE(2001,9,21)+(M2560/360)*365 - (360*((DecLong/360)- (GMTOffset/24) ))</f>
        <v>37515.97216435185</v>
      </c>
      <c r="AF2560" s="260">
        <f>IF(DecLat&gt;0,IF((90 - (DecLat-O2560))&gt;90, (90 - (O2560-DecLat)), (90 - (DecLat-O2560))),IF((90 + (DecLat-O2560))&gt;90, (90 + (O2560-DecLat)), (90 + (DecLat-O2560))))</f>
        <v>58.891666666666666</v>
      </c>
      <c r="AG2560" s="257">
        <f>angularseperation(MoonRA,MoonDec,$M2560,$O2560)</f>
        <v>100.4880110884869</v>
      </c>
      <c r="AH2560" s="261">
        <f ca="1">MIN(100,IF($O$5&gt;80,0+30*($AG2560/100),IF($O$5&gt;70,0+50*($AG2560/100),IF($O$5&gt;60,5+50*($AG2560/100),IF($O$5&gt;50,10+60*($AG2560/100),IF($O$5&gt;40,15+70*($AG2560/100),IF($O$5&gt;30,20+70*($AG2560/100),IF($O$5&gt;20,40+55*($AG2560/100),(80+(20-$O$5)+30*($AG2560/100))))))))))</f>
        <v>100</v>
      </c>
      <c r="AI2560" s="262">
        <v>7667</v>
      </c>
      <c r="AJ2560" s="262"/>
      <c r="AK2560" s="262"/>
      <c r="AL2560" s="263"/>
      <c r="AM2560" s="264"/>
      <c r="AN2560" s="263"/>
      <c r="AO2560" s="263"/>
      <c r="AP2560" s="265"/>
      <c r="AQ2560" s="266">
        <v>12578</v>
      </c>
      <c r="AR2560" s="267">
        <v>71345</v>
      </c>
      <c r="AS2560" s="263"/>
      <c r="AT2560" s="263"/>
      <c r="AU2560" s="263"/>
      <c r="AV2560" s="264"/>
      <c r="AW2560" s="263"/>
      <c r="AX2560" s="263"/>
      <c r="AY2560" s="263"/>
      <c r="AZ2560" s="263"/>
      <c r="BA2560" s="263"/>
      <c r="BB2560" s="263"/>
      <c r="BC2560" s="263"/>
      <c r="BD2560" s="264"/>
      <c r="BE2560" s="263"/>
      <c r="BF2560" s="263"/>
      <c r="BG2560" s="263"/>
      <c r="BH2560" s="263"/>
      <c r="BI2560" s="263"/>
      <c r="BJ2560" s="404">
        <f>altaz(J2000_Bas,$O2560,$M2560,DecLat,DecLong,2)</f>
        <v>103.54631410018168</v>
      </c>
      <c r="BK2560" s="378" t="s">
        <v>2410</v>
      </c>
      <c r="BL2560" s="379">
        <f>IF((2*G2560)/60&lt;0.2,0.2,(2*G2560)/60)</f>
        <v>0.2</v>
      </c>
      <c r="BM2560" s="380">
        <f>MOD((50000+AD2560-$B$3+(0/24)),1)</f>
        <v>0.18353299651062116</v>
      </c>
      <c r="BN2560" s="381"/>
      <c r="BO2560" s="382">
        <v>2551</v>
      </c>
    </row>
    <row r="2561" spans="1:67" s="24" customFormat="1" ht="15" customHeight="1" x14ac:dyDescent="0.25">
      <c r="A2561" s="288" t="s">
        <v>2411</v>
      </c>
      <c r="B2561" s="241" t="str">
        <f>HYPERLINK(CONCATENATE($AT$3,BK2561,$AU$3),$AV$3)</f>
        <v>S</v>
      </c>
      <c r="C2561" s="242" t="str">
        <f>HYPERLINK(CONCATENATE($AT$4,BK2561,$AU$4,BL2561),$AV$4)</f>
        <v>A</v>
      </c>
      <c r="D2561" s="243" t="s">
        <v>5638</v>
      </c>
      <c r="E2561" s="244" t="s">
        <v>5192</v>
      </c>
      <c r="F2561" s="269" t="s">
        <v>8689</v>
      </c>
      <c r="G2561" s="273">
        <v>2</v>
      </c>
      <c r="H2561" s="283">
        <v>160</v>
      </c>
      <c r="I2561" s="246">
        <v>100</v>
      </c>
      <c r="J2561" s="246">
        <v>2</v>
      </c>
      <c r="K2561" s="247" t="s">
        <v>7687</v>
      </c>
      <c r="L2561" s="248">
        <v>232741</v>
      </c>
      <c r="M2561" s="249">
        <f>15*(LEFT(TEXT($L2561,"000000"),2)+(MID(TEXT($L2561,"000000"),3,2)/60)+(RIGHT(TEXT($L2561,"000000"),2)/3600))</f>
        <v>351.92083333333329</v>
      </c>
      <c r="N2561" s="250">
        <v>233522</v>
      </c>
      <c r="O2561" s="251">
        <f>IF($N2561&gt;0,(LEFT(TEXT($N2561,"000000"),2)+(MID(TEXT($N2561,"000000"),3,2)/60)+(RIGHT(TEXT($N2561,"000000"),2)/3600)),-(MID(TEXT($N2561,"000000"),2,2)+(MID(TEXT($N2561,"000000"),4,2)/60)+(RIGHT(TEXT($N2561,"000000"),2)/3600)))</f>
        <v>23.589444444444442</v>
      </c>
      <c r="P2561" s="252" t="s">
        <v>39</v>
      </c>
      <c r="Q2561" s="253"/>
      <c r="R2561" s="247" t="s">
        <v>3293</v>
      </c>
      <c r="S2561" s="272" t="s">
        <v>7686</v>
      </c>
      <c r="T2561" s="273">
        <v>12.8</v>
      </c>
      <c r="U2561" s="289">
        <v>21.990000000000002</v>
      </c>
      <c r="V2561" s="280">
        <v>55</v>
      </c>
      <c r="W2561" s="244"/>
      <c r="X2561" s="244"/>
      <c r="Y2561" s="362"/>
      <c r="Z2561" s="257">
        <f>altaz(J2000_Bas,$O2561,$M2561,DecLat,DecLong,1)</f>
        <v>31.778701196047706</v>
      </c>
      <c r="AA2561" s="257">
        <f>altaz((J2000_Bas+(2*0.04167)),$O2561,$M2561,DecLat,DecLong,1)</f>
        <v>57.454077244033179</v>
      </c>
      <c r="AB2561" s="257">
        <f>altaz((J2000_Bas+(4*0.04167)),$O2561,$M2561,DecLat,DecLong,1)</f>
        <v>81.00287945868007</v>
      </c>
      <c r="AC2561" s="257">
        <f>altaz((J2000_Bas+(6*0.04167)),$O2561,$M2561,DecLat,DecLong,1)</f>
        <v>67.198232747524756</v>
      </c>
      <c r="AD2561" s="258">
        <f>1+ transit((J2000_Bas-1),$O2561,$M2561,DecLat,DecLong)/360 + (GMTOffset/24) + (IF(DST="Y", 1, 0)/24)</f>
        <v>1.9704577332442914</v>
      </c>
      <c r="AE2561" s="259">
        <f>DATE(2001,9,21)+(M2561/360)*365 - (360*((DecLong/360)- (GMTOffset/24) ))</f>
        <v>37516.808622685188</v>
      </c>
      <c r="AF2561" s="260">
        <f>IF(DecLat&gt;0,IF((90 - (DecLat-O2561))&gt;90, (90 - (O2561-DecLat)), (90 - (DecLat-O2561))),IF((90 + (DecLat-O2561))&gt;90, (90 + (O2561-DecLat)), (90 + (DecLat-O2561))))</f>
        <v>82.589444444444439</v>
      </c>
      <c r="AG2561" s="257">
        <f>angularseperation(MoonRA,MoonDec,$M2561,$O2561)</f>
        <v>111.17940754839628</v>
      </c>
      <c r="AH2561" s="261">
        <f ca="1">MIN(100,IF($O$5&gt;80,0+30*($AG2561/100),IF($O$5&gt;70,0+50*($AG2561/100),IF($O$5&gt;60,5+50*($AG2561/100),IF($O$5&gt;50,10+60*($AG2561/100),IF($O$5&gt;40,15+70*($AG2561/100),IF($O$5&gt;30,20+70*($AG2561/100),IF($O$5&gt;20,40+55*($AG2561/100),(80+(20-$O$5)+30*($AG2561/100))))))))))</f>
        <v>100</v>
      </c>
      <c r="AI2561" s="262">
        <v>7673</v>
      </c>
      <c r="AJ2561" s="262"/>
      <c r="AK2561" s="262"/>
      <c r="AL2561" s="263"/>
      <c r="AM2561" s="264"/>
      <c r="AN2561" s="263"/>
      <c r="AO2561" s="263"/>
      <c r="AP2561" s="265"/>
      <c r="AQ2561" s="266">
        <v>12607</v>
      </c>
      <c r="AR2561" s="267">
        <v>71493</v>
      </c>
      <c r="AS2561" s="263"/>
      <c r="AT2561" s="263"/>
      <c r="AU2561" s="263"/>
      <c r="AV2561" s="264"/>
      <c r="AW2561" s="263"/>
      <c r="AX2561" s="263"/>
      <c r="AY2561" s="263"/>
      <c r="AZ2561" s="263"/>
      <c r="BA2561" s="263"/>
      <c r="BB2561" s="263"/>
      <c r="BC2561" s="263"/>
      <c r="BD2561" s="264"/>
      <c r="BE2561" s="263"/>
      <c r="BF2561" s="263"/>
      <c r="BG2561" s="263"/>
      <c r="BH2561" s="263"/>
      <c r="BI2561" s="263"/>
      <c r="BJ2561" s="404">
        <f>altaz(J2000_Bas,$O2561,$M2561,DecLat,DecLong,2)</f>
        <v>79.807618148812821</v>
      </c>
      <c r="BK2561" s="378" t="s">
        <v>2411</v>
      </c>
      <c r="BL2561" s="379">
        <f>IF((2*G2561)/60&lt;0.2,0.2,(2*G2561)/60)</f>
        <v>0.2</v>
      </c>
      <c r="BM2561" s="380">
        <f>MOD((50000+AD2561-$B$3+(0/24)),1)</f>
        <v>0.18582466294901678</v>
      </c>
      <c r="BN2561" s="381"/>
      <c r="BO2561" s="382">
        <v>2552</v>
      </c>
    </row>
    <row r="2562" spans="1:67" s="24" customFormat="1" ht="15" customHeight="1" x14ac:dyDescent="0.25">
      <c r="A2562" s="288" t="s">
        <v>2412</v>
      </c>
      <c r="B2562" s="241" t="str">
        <f>HYPERLINK(CONCATENATE($AT$3,BK2562,$AU$3),$AV$3)</f>
        <v>S</v>
      </c>
      <c r="C2562" s="242" t="str">
        <f>HYPERLINK(CONCATENATE($AT$4,BK2562,$AU$4,BL2562),$AV$4)</f>
        <v>A</v>
      </c>
      <c r="D2562" s="243" t="s">
        <v>5638</v>
      </c>
      <c r="E2562" s="244" t="s">
        <v>5192</v>
      </c>
      <c r="F2562" s="269" t="s">
        <v>8890</v>
      </c>
      <c r="G2562" s="273">
        <v>2</v>
      </c>
      <c r="H2562" s="283">
        <v>160</v>
      </c>
      <c r="I2562" s="246">
        <v>100</v>
      </c>
      <c r="J2562" s="246">
        <v>2</v>
      </c>
      <c r="K2562" s="247" t="s">
        <v>7688</v>
      </c>
      <c r="L2562" s="248">
        <v>232806</v>
      </c>
      <c r="M2562" s="249">
        <f>15*(LEFT(TEXT($L2562,"000000"),2)+(MID(TEXT($L2562,"000000"),3,2)/60)+(RIGHT(TEXT($L2562,"000000"),2)/3600))</f>
        <v>352.02499999999998</v>
      </c>
      <c r="N2562" s="286">
        <v>233153</v>
      </c>
      <c r="O2562" s="251">
        <f>IF($N2562&gt;0,(LEFT(TEXT($N2562,"000000"),2)+(MID(TEXT($N2562,"000000"),3,2)/60)+(RIGHT(TEXT($N2562,"000000"),2)/3600)),-(MID(TEXT($N2562,"000000"),2,2)+(MID(TEXT($N2562,"000000"),4,2)/60)+(RIGHT(TEXT($N2562,"000000"),2)/3600)))</f>
        <v>23.531388888888888</v>
      </c>
      <c r="P2562" s="252" t="s">
        <v>39</v>
      </c>
      <c r="Q2562" s="253"/>
      <c r="R2562" s="247" t="s">
        <v>3293</v>
      </c>
      <c r="S2562" s="272" t="s">
        <v>7685</v>
      </c>
      <c r="T2562" s="273">
        <v>13.2</v>
      </c>
      <c r="U2562" s="289">
        <v>22.490000000000002</v>
      </c>
      <c r="V2562" s="280">
        <v>50</v>
      </c>
      <c r="W2562" s="244"/>
      <c r="X2562" s="244"/>
      <c r="Y2562" s="362"/>
      <c r="Z2562" s="257">
        <f>altaz(J2000_Bas,$O2562,$M2562,DecLat,DecLong,1)</f>
        <v>31.668119578620992</v>
      </c>
      <c r="AA2562" s="257">
        <f>altaz((J2000_Bas+(2*0.04167)),$O2562,$M2562,DecLat,DecLong,1)</f>
        <v>57.34407426470252</v>
      </c>
      <c r="AB2562" s="257">
        <f>altaz((J2000_Bas+(4*0.04167)),$O2562,$M2562,DecLat,DecLong,1)</f>
        <v>80.901823577143958</v>
      </c>
      <c r="AC2562" s="257">
        <f>altaz((J2000_Bas+(6*0.04167)),$O2562,$M2562,DecLat,DecLong,1)</f>
        <v>67.261228625431542</v>
      </c>
      <c r="AD2562" s="258">
        <f>1+ transit((J2000_Bas-1),$O2562,$M2562,DecLat,DecLong)/360 + (GMTOffset/24) + (IF(DST="Y", 1, 0)/24)</f>
        <v>1.970747085067208</v>
      </c>
      <c r="AE2562" s="259">
        <f>DATE(2001,9,21)+(M2562/360)*365 - (360*((DecLong/360)- (GMTOffset/24) ))</f>
        <v>37516.914236111108</v>
      </c>
      <c r="AF2562" s="260">
        <f>IF(DecLat&gt;0,IF((90 - (DecLat-O2562))&gt;90, (90 - (O2562-DecLat)), (90 - (DecLat-O2562))),IF((90 + (DecLat-O2562))&gt;90, (90 + (O2562-DecLat)), (90 + (DecLat-O2562))))</f>
        <v>82.531388888888884</v>
      </c>
      <c r="AG2562" s="257">
        <f>angularseperation(MoonRA,MoonDec,$M2562,$O2562)</f>
        <v>111.24725113513665</v>
      </c>
      <c r="AH2562" s="261">
        <f ca="1">MIN(100,IF($O$5&gt;80,0+30*($AG2562/100),IF($O$5&gt;70,0+50*($AG2562/100),IF($O$5&gt;60,5+50*($AG2562/100),IF($O$5&gt;50,10+60*($AG2562/100),IF($O$5&gt;40,15+70*($AG2562/100),IF($O$5&gt;30,20+70*($AG2562/100),IF($O$5&gt;20,40+55*($AG2562/100),(80+(20-$O$5)+30*($AG2562/100))))))))))</f>
        <v>100</v>
      </c>
      <c r="AI2562" s="262">
        <v>7677</v>
      </c>
      <c r="AJ2562" s="262"/>
      <c r="AK2562" s="262"/>
      <c r="AL2562" s="263"/>
      <c r="AM2562" s="264"/>
      <c r="AN2562" s="263"/>
      <c r="AO2562" s="263"/>
      <c r="AP2562" s="265"/>
      <c r="AQ2562" s="266">
        <v>12610</v>
      </c>
      <c r="AR2562" s="267">
        <v>71517</v>
      </c>
      <c r="AS2562" s="263"/>
      <c r="AT2562" s="263"/>
      <c r="AU2562" s="263"/>
      <c r="AV2562" s="264"/>
      <c r="AW2562" s="263"/>
      <c r="AX2562" s="263"/>
      <c r="AY2562" s="263"/>
      <c r="AZ2562" s="263"/>
      <c r="BA2562" s="263"/>
      <c r="BB2562" s="263"/>
      <c r="BC2562" s="263"/>
      <c r="BD2562" s="264"/>
      <c r="BE2562" s="263"/>
      <c r="BF2562" s="263"/>
      <c r="BG2562" s="263"/>
      <c r="BH2562" s="263"/>
      <c r="BI2562" s="263"/>
      <c r="BJ2562" s="404">
        <f>altaz(J2000_Bas,$O2562,$M2562,DecLat,DecLong,2)</f>
        <v>79.826545714568255</v>
      </c>
      <c r="BK2562" s="378" t="s">
        <v>2412</v>
      </c>
      <c r="BL2562" s="379">
        <f>IF((2*G2562)/60&lt;0.2,0.2,(2*G2562)/60)</f>
        <v>0.2</v>
      </c>
      <c r="BM2562" s="380">
        <f>MOD((50000+AD2562-$B$3+(0/24)),1)</f>
        <v>0.18611401477392064</v>
      </c>
      <c r="BN2562" s="381"/>
      <c r="BO2562" s="382">
        <v>2553</v>
      </c>
    </row>
    <row r="2563" spans="1:67" s="24" customFormat="1" ht="15" customHeight="1" x14ac:dyDescent="0.25">
      <c r="A2563" s="287" t="s">
        <v>2413</v>
      </c>
      <c r="B2563" s="241" t="str">
        <f>HYPERLINK(CONCATENATE($AT$3,BK2563,$AU$3),$AV$3)</f>
        <v>S</v>
      </c>
      <c r="C2563" s="242" t="str">
        <f>HYPERLINK(CONCATENATE($AT$4,BK2563,$AU$4,BL2563),$AV$4)</f>
        <v>A</v>
      </c>
      <c r="D2563" s="243" t="s">
        <v>5335</v>
      </c>
      <c r="E2563" s="244" t="s">
        <v>5185</v>
      </c>
      <c r="F2563" s="269" t="s">
        <v>7689</v>
      </c>
      <c r="G2563" s="276">
        <v>15</v>
      </c>
      <c r="H2563" s="283">
        <v>11500</v>
      </c>
      <c r="I2563" s="246">
        <v>50</v>
      </c>
      <c r="J2563" s="246">
        <v>2</v>
      </c>
      <c r="K2563" s="247" t="s">
        <v>7690</v>
      </c>
      <c r="L2563" s="248">
        <v>233007</v>
      </c>
      <c r="M2563" s="249">
        <f>15*(LEFT(TEXT($L2563,"000000"),2)+(MID(TEXT($L2563,"000000"),3,2)/60)+(RIGHT(TEXT($L2563,"000000"),2)/3600))</f>
        <v>352.52916666666664</v>
      </c>
      <c r="N2563" s="250">
        <v>490800</v>
      </c>
      <c r="O2563" s="251">
        <f>IF($N2563&gt;0,(LEFT(TEXT($N2563,"000000"),2)+(MID(TEXT($N2563,"000000"),3,2)/60)+(RIGHT(TEXT($N2563,"000000"),2)/3600)),-(MID(TEXT($N2563,"000000"),2,2)+(MID(TEXT($N2563,"000000"),4,2)/60)+(RIGHT(TEXT($N2563,"000000"),2)/3600)))</f>
        <v>49.133333333333333</v>
      </c>
      <c r="P2563" s="252" t="s">
        <v>36</v>
      </c>
      <c r="Q2563" s="253"/>
      <c r="R2563" s="277" t="s">
        <v>3293</v>
      </c>
      <c r="S2563" s="272" t="s">
        <v>3293</v>
      </c>
      <c r="T2563" s="273">
        <v>5.6</v>
      </c>
      <c r="U2563" s="274"/>
      <c r="V2563" s="280"/>
      <c r="W2563" s="244"/>
      <c r="X2563" s="244"/>
      <c r="Y2563" s="362"/>
      <c r="Z2563" s="257">
        <f>altaz(J2000_Bas,$O2563,$M2563,DecLat,DecLong,1)</f>
        <v>37.798600155089808</v>
      </c>
      <c r="AA2563" s="257">
        <f>altaz((J2000_Bas+(2*0.04167)),$O2563,$M2563,DecLat,DecLong,1)</f>
        <v>57.210551314391076</v>
      </c>
      <c r="AB2563" s="257">
        <f>altaz((J2000_Bas+(4*0.04167)),$O2563,$M2563,DecLat,DecLong,1)</f>
        <v>71.242111426424287</v>
      </c>
      <c r="AC2563" s="257">
        <f>altaz((J2000_Bas+(6*0.04167)),$O2563,$M2563,DecLat,DecLong,1)</f>
        <v>64.545640101988823</v>
      </c>
      <c r="AD2563" s="258">
        <f>1+ transit((J2000_Bas-1),$O2563,$M2563,DecLat,DecLong)/360 + (GMTOffset/24) + (IF(DST="Y", 1, 0)/24)</f>
        <v>1.9721475478901247</v>
      </c>
      <c r="AE2563" s="259">
        <f>DATE(2001,9,21)+(M2563/360)*365 - (360*((DecLong/360)- (GMTOffset/24) ))</f>
        <v>37517.425405092596</v>
      </c>
      <c r="AF2563" s="260">
        <f>IF(DecLat&gt;0,IF((90 - (DecLat-O2563))&gt;90, (90 - (O2563-DecLat)), (90 - (DecLat-O2563))),IF((90 + (DecLat-O2563))&gt;90, (90 + (O2563-DecLat)), (90 + (DecLat-O2563))))</f>
        <v>71.866666666666674</v>
      </c>
      <c r="AG2563" s="257">
        <f>angularseperation(MoonRA,MoonDec,$M2563,$O2563)</f>
        <v>118.56797652573296</v>
      </c>
      <c r="AH2563" s="261">
        <f ca="1">MIN(100,IF($O$5&gt;80,0+30*($AG2563/100),IF($O$5&gt;70,0+50*($AG2563/100),IF($O$5&gt;60,5+50*($AG2563/100),IF($O$5&gt;50,10+60*($AG2563/100),IF($O$5&gt;40,15+70*($AG2563/100),IF($O$5&gt;30,20+70*($AG2563/100),IF($O$5&gt;20,40+55*($AG2563/100),(80+(20-$O$5)+30*($AG2563/100))))))))))</f>
        <v>100</v>
      </c>
      <c r="AI2563" s="262">
        <v>7686</v>
      </c>
      <c r="AJ2563" s="263"/>
      <c r="AK2563" s="263">
        <v>395</v>
      </c>
      <c r="AL2563" s="263"/>
      <c r="AM2563" s="264"/>
      <c r="AN2563" s="263"/>
      <c r="AO2563" s="263"/>
      <c r="AP2563" s="265"/>
      <c r="AQ2563" s="265"/>
      <c r="AR2563" s="285"/>
      <c r="AS2563" s="263"/>
      <c r="AT2563" s="263"/>
      <c r="AU2563" s="263"/>
      <c r="AV2563" s="264"/>
      <c r="AW2563" s="263"/>
      <c r="AX2563" s="263"/>
      <c r="AY2563" s="263"/>
      <c r="AZ2563" s="263"/>
      <c r="BA2563" s="263"/>
      <c r="BB2563" s="263"/>
      <c r="BC2563" s="263"/>
      <c r="BD2563" s="264"/>
      <c r="BE2563" s="263"/>
      <c r="BF2563" s="263"/>
      <c r="BG2563" s="263"/>
      <c r="BH2563" s="263"/>
      <c r="BI2563" s="263"/>
      <c r="BJ2563" s="404">
        <f>altaz(J2000_Bas,$O2563,$M2563,DecLat,DecLong,2)</f>
        <v>49.422365282310835</v>
      </c>
      <c r="BK2563" s="378" t="s">
        <v>2413</v>
      </c>
      <c r="BL2563" s="379">
        <f>IF((2*G2563)/60&lt;0.2,0.2,(2*G2563)/60)</f>
        <v>0.5</v>
      </c>
      <c r="BM2563" s="380">
        <f>MOD((50000+AD2563-$B$3+(0/24)),1)</f>
        <v>0.18751447759132134</v>
      </c>
      <c r="BN2563" s="381"/>
      <c r="BO2563" s="382">
        <v>2554</v>
      </c>
    </row>
    <row r="2564" spans="1:67" s="24" customFormat="1" ht="15" customHeight="1" x14ac:dyDescent="0.25">
      <c r="A2564" s="288" t="s">
        <v>7691</v>
      </c>
      <c r="B2564" s="241" t="str">
        <f>HYPERLINK(CONCATENATE($AT$3,BK2564,$AU$3),$AV$3)</f>
        <v>S</v>
      </c>
      <c r="C2564" s="242" t="str">
        <f>HYPERLINK(CONCATENATE($AT$4,BK2564,$AU$4,BL2564),$AV$4)</f>
        <v>A</v>
      </c>
      <c r="D2564" s="243" t="s">
        <v>5638</v>
      </c>
      <c r="E2564" s="244" t="s">
        <v>5194</v>
      </c>
      <c r="F2564" s="269" t="s">
        <v>8665</v>
      </c>
      <c r="G2564" s="276">
        <v>2</v>
      </c>
      <c r="H2564" s="283">
        <v>230</v>
      </c>
      <c r="I2564" s="246">
        <v>130</v>
      </c>
      <c r="J2564" s="246">
        <v>2</v>
      </c>
      <c r="K2564" s="247" t="s">
        <v>7692</v>
      </c>
      <c r="L2564" s="248">
        <v>233430</v>
      </c>
      <c r="M2564" s="249">
        <f>15*(LEFT(TEXT($L2564,"000000"),2)+(MID(TEXT($L2564,"000000"),3,2)/60)+(RIGHT(TEXT($L2564,"000000"),2)/3600))</f>
        <v>353.625</v>
      </c>
      <c r="N2564" s="250">
        <v>-25714</v>
      </c>
      <c r="O2564" s="251">
        <f>IF($N2564&gt;0,(LEFT(TEXT($N2564,"000000"),2)+(MID(TEXT($N2564,"000000"),3,2)/60)+(RIGHT(TEXT($N2564,"000000"),2)/3600)),-(MID(TEXT($N2564,"000000"),2,2)+(MID(TEXT($N2564,"000000"),4,2)/60)+(RIGHT(TEXT($N2564,"000000"),2)/3600)))</f>
        <v>-2.9538888888888892</v>
      </c>
      <c r="P2564" s="252" t="s">
        <v>158</v>
      </c>
      <c r="Q2564" s="253"/>
      <c r="R2564" s="247" t="s">
        <v>3293</v>
      </c>
      <c r="S2564" s="272" t="s">
        <v>3293</v>
      </c>
      <c r="T2564" s="273">
        <v>13.3</v>
      </c>
      <c r="U2564" s="289">
        <v>22.29</v>
      </c>
      <c r="V2564" s="280">
        <v>87</v>
      </c>
      <c r="W2564" s="244"/>
      <c r="X2564" s="244"/>
      <c r="Y2564" s="362"/>
      <c r="Z2564" s="257">
        <f>altaz(J2000_Bas,$O2564,$M2564,DecLat,DecLong,1)</f>
        <v>17.418982852956677</v>
      </c>
      <c r="AA2564" s="257">
        <f>altaz((J2000_Bas+(2*0.04167)),$O2564,$M2564,DecLat,DecLong,1)</f>
        <v>40.711284998351744</v>
      </c>
      <c r="AB2564" s="257">
        <f>altaz((J2000_Bas+(4*0.04167)),$O2564,$M2564,DecLat,DecLong,1)</f>
        <v>55.311140276643151</v>
      </c>
      <c r="AC2564" s="257">
        <f>altaz((J2000_Bas+(6*0.04167)),$O2564,$M2564,DecLat,DecLong,1)</f>
        <v>49.780251658135384</v>
      </c>
      <c r="AD2564" s="258">
        <f>1+ transit((J2000_Bas-1),$O2564,$M2564,DecLat,DecLong)/360 + (GMTOffset/24) + (IF(DST="Y", 1, 0)/24)</f>
        <v>1.9751915290672082</v>
      </c>
      <c r="AE2564" s="259">
        <f>DATE(2001,9,21)+(M2564/360)*365 - (360*((DecLong/360)- (GMTOffset/24) ))</f>
        <v>37518.536458333336</v>
      </c>
      <c r="AF2564" s="260">
        <f>IF(DecLat&gt;0,IF((90 - (DecLat-O2564))&gt;90, (90 - (O2564-DecLat)), (90 - (DecLat-O2564))),IF((90 + (DecLat-O2564))&gt;90, (90 + (O2564-DecLat)), (90 + (DecLat-O2564))))</f>
        <v>56.046111111111109</v>
      </c>
      <c r="AG2564" s="257">
        <f>angularseperation(MoonRA,MoonDec,$M2564,$O2564)</f>
        <v>101.38539371957521</v>
      </c>
      <c r="AH2564" s="261">
        <f ca="1">MIN(100,IF($O$5&gt;80,0+30*($AG2564/100),IF($O$5&gt;70,0+50*($AG2564/100),IF($O$5&gt;60,5+50*($AG2564/100),IF($O$5&gt;50,10+60*($AG2564/100),IF($O$5&gt;40,15+70*($AG2564/100),IF($O$5&gt;30,20+70*($AG2564/100),IF($O$5&gt;20,40+55*($AG2564/100),(80+(20-$O$5)+30*($AG2564/100))))))))))</f>
        <v>100</v>
      </c>
      <c r="AI2564" s="262">
        <v>7700</v>
      </c>
      <c r="AJ2564" s="262"/>
      <c r="AK2564" s="262"/>
      <c r="AL2564" s="263"/>
      <c r="AM2564" s="264"/>
      <c r="AN2564" s="263"/>
      <c r="AO2564" s="263"/>
      <c r="AP2564" s="265"/>
      <c r="AQ2564" s="266"/>
      <c r="AR2564" s="267">
        <v>71777</v>
      </c>
      <c r="AS2564" s="263"/>
      <c r="AT2564" s="263"/>
      <c r="AU2564" s="263"/>
      <c r="AV2564" s="264"/>
      <c r="AW2564" s="263"/>
      <c r="AX2564" s="263"/>
      <c r="AY2564" s="263"/>
      <c r="AZ2564" s="263"/>
      <c r="BA2564" s="263"/>
      <c r="BB2564" s="263"/>
      <c r="BC2564" s="263"/>
      <c r="BD2564" s="264"/>
      <c r="BE2564" s="263"/>
      <c r="BF2564" s="263"/>
      <c r="BG2564" s="263"/>
      <c r="BH2564" s="263"/>
      <c r="BI2564" s="263"/>
      <c r="BJ2564" s="404">
        <f>altaz(J2000_Bas,$O2564,$M2564,DecLat,DecLong,2)</f>
        <v>104.56781374216828</v>
      </c>
      <c r="BK2564" s="378" t="s">
        <v>2414</v>
      </c>
      <c r="BL2564" s="379">
        <f>IF((2*G2564)/60&lt;0.2,0.2,(2*G2564)/60)</f>
        <v>0.2</v>
      </c>
      <c r="BM2564" s="380">
        <f>MOD((50000+AD2564-$B$3+(0/24)),1)</f>
        <v>0.19055845877301181</v>
      </c>
      <c r="BN2564" s="381"/>
      <c r="BO2564" s="382">
        <v>2555</v>
      </c>
    </row>
    <row r="2565" spans="1:67" s="24" customFormat="1" ht="15" customHeight="1" x14ac:dyDescent="0.25">
      <c r="A2565" s="288" t="s">
        <v>2415</v>
      </c>
      <c r="B2565" s="241" t="str">
        <f>HYPERLINK(CONCATENATE($AT$3,BK2565,$AU$3),$AV$3)</f>
        <v>S</v>
      </c>
      <c r="C2565" s="242" t="str">
        <f>HYPERLINK(CONCATENATE($AT$4,BK2565,$AU$4,BL2565),$AV$4)</f>
        <v>A</v>
      </c>
      <c r="D2565" s="243" t="s">
        <v>5638</v>
      </c>
      <c r="E2565" s="244" t="s">
        <v>5182</v>
      </c>
      <c r="F2565" s="269" t="s">
        <v>3300</v>
      </c>
      <c r="G2565" s="273">
        <v>4</v>
      </c>
      <c r="H2565" s="283">
        <v>180</v>
      </c>
      <c r="I2565" s="246">
        <v>215</v>
      </c>
      <c r="J2565" s="246">
        <v>2</v>
      </c>
      <c r="K2565" s="247" t="s">
        <v>7693</v>
      </c>
      <c r="L2565" s="248">
        <v>233539</v>
      </c>
      <c r="M2565" s="249">
        <f>15*(LEFT(TEXT($L2565,"000000"),2)+(MID(TEXT($L2565,"000000"),3,2)/60)+(RIGHT(TEXT($L2565,"000000"),2)/3600))</f>
        <v>353.91250000000002</v>
      </c>
      <c r="N2565" s="250">
        <v>151805</v>
      </c>
      <c r="O2565" s="251">
        <f>IF($N2565&gt;0,(LEFT(TEXT($N2565,"000000"),2)+(MID(TEXT($N2565,"000000"),3,2)/60)+(RIGHT(TEXT($N2565,"000000"),2)/3600)),-(MID(TEXT($N2565,"000000"),2,2)+(MID(TEXT($N2565,"000000"),4,2)/60)+(RIGHT(TEXT($N2565,"000000"),2)/3600)))</f>
        <v>15.301388888888889</v>
      </c>
      <c r="P2565" s="252" t="s">
        <v>39</v>
      </c>
      <c r="Q2565" s="253"/>
      <c r="R2565" s="247" t="s">
        <v>3293</v>
      </c>
      <c r="S2565" s="272" t="s">
        <v>3293</v>
      </c>
      <c r="T2565" s="273">
        <v>12.2</v>
      </c>
      <c r="U2565" s="289">
        <v>22.19</v>
      </c>
      <c r="V2565" s="280">
        <v>80</v>
      </c>
      <c r="W2565" s="244"/>
      <c r="X2565" s="244"/>
      <c r="Y2565" s="362"/>
      <c r="Z2565" s="257">
        <f>altaz(J2000_Bas,$O2565,$M2565,DecLat,DecLong,1)</f>
        <v>26.541121711709234</v>
      </c>
      <c r="AA2565" s="257">
        <f>altaz((J2000_Bas+(2*0.04167)),$O2565,$M2565,DecLat,DecLong,1)</f>
        <v>52.090129595542983</v>
      </c>
      <c r="AB2565" s="257">
        <f>altaz((J2000_Bas+(4*0.04167)),$O2565,$M2565,DecLat,DecLong,1)</f>
        <v>72.777916802033488</v>
      </c>
      <c r="AC2565" s="257">
        <f>altaz((J2000_Bas+(6*0.04167)),$O2565,$M2565,DecLat,DecLong,1)</f>
        <v>64.240112135270522</v>
      </c>
      <c r="AD2565" s="258">
        <f>1+ transit((J2000_Bas-1),$O2565,$M2565,DecLat,DecLong)/360 + (GMTOffset/24) + (IF(DST="Y", 1, 0)/24)</f>
        <v>1.9759901400984583</v>
      </c>
      <c r="AE2565" s="259">
        <f>DATE(2001,9,21)+(M2565/360)*365 - (360*((DecLong/360)- (GMTOffset/24) ))</f>
        <v>37518.827951388892</v>
      </c>
      <c r="AF2565" s="260">
        <f>IF(DecLat&gt;0,IF((90 - (DecLat-O2565))&gt;90, (90 - (O2565-DecLat)), (90 - (DecLat-O2565))),IF((90 + (DecLat-O2565))&gt;90, (90 + (O2565-DecLat)), (90 + (DecLat-O2565))))</f>
        <v>74.301388888888894</v>
      </c>
      <c r="AG2565" s="257">
        <f>angularseperation(MoonRA,MoonDec,$M2565,$O2565)</f>
        <v>109.73355997993228</v>
      </c>
      <c r="AH2565" s="261">
        <f ca="1">MIN(100,IF($O$5&gt;80,0+30*($AG2565/100),IF($O$5&gt;70,0+50*($AG2565/100),IF($O$5&gt;60,5+50*($AG2565/100),IF($O$5&gt;50,10+60*($AG2565/100),IF($O$5&gt;40,15+70*($AG2565/100),IF($O$5&gt;30,20+70*($AG2565/100),IF($O$5&gt;20,40+55*($AG2565/100),(80+(20-$O$5)+30*($AG2565/100))))))))))</f>
        <v>100</v>
      </c>
      <c r="AI2565" s="262">
        <v>7711</v>
      </c>
      <c r="AJ2565" s="262"/>
      <c r="AK2565" s="262"/>
      <c r="AL2565" s="263"/>
      <c r="AM2565" s="264"/>
      <c r="AN2565" s="263"/>
      <c r="AO2565" s="263"/>
      <c r="AP2565" s="265"/>
      <c r="AQ2565" s="266">
        <v>12691</v>
      </c>
      <c r="AR2565" s="267">
        <v>71836</v>
      </c>
      <c r="AS2565" s="263"/>
      <c r="AT2565" s="263"/>
      <c r="AU2565" s="263"/>
      <c r="AV2565" s="264"/>
      <c r="AW2565" s="263"/>
      <c r="AX2565" s="263"/>
      <c r="AY2565" s="263"/>
      <c r="AZ2565" s="263"/>
      <c r="BA2565" s="263"/>
      <c r="BB2565" s="263"/>
      <c r="BC2565" s="263"/>
      <c r="BD2565" s="264"/>
      <c r="BE2565" s="263"/>
      <c r="BF2565" s="263"/>
      <c r="BG2565" s="263"/>
      <c r="BH2565" s="263"/>
      <c r="BI2565" s="263"/>
      <c r="BJ2565" s="404">
        <f>altaz(J2000_Bas,$O2565,$M2565,DecLat,DecLong,2)</f>
        <v>87.476965069062985</v>
      </c>
      <c r="BK2565" s="378" t="s">
        <v>2415</v>
      </c>
      <c r="BL2565" s="379">
        <f>IF((2*G2565)/60&lt;0.2,0.2,(2*G2565)/60)</f>
        <v>0.2</v>
      </c>
      <c r="BM2565" s="380">
        <f>MOD((50000+AD2565-$B$3+(0/24)),1)</f>
        <v>0.19135706980159739</v>
      </c>
      <c r="BN2565" s="381"/>
      <c r="BO2565" s="382">
        <v>2556</v>
      </c>
    </row>
    <row r="2566" spans="1:67" s="24" customFormat="1" ht="15" customHeight="1" x14ac:dyDescent="0.25">
      <c r="A2566" s="288" t="s">
        <v>2416</v>
      </c>
      <c r="B2566" s="241" t="str">
        <f>HYPERLINK(CONCATENATE($AT$3,BK2566,$AU$3),$AV$3)</f>
        <v>S</v>
      </c>
      <c r="C2566" s="242" t="str">
        <f>HYPERLINK(CONCATENATE($AT$4,BK2566,$AU$4,BL2566),$AV$4)</f>
        <v>A</v>
      </c>
      <c r="D2566" s="243" t="s">
        <v>5638</v>
      </c>
      <c r="E2566" s="244" t="s">
        <v>5192</v>
      </c>
      <c r="F2566" s="269" t="s">
        <v>8689</v>
      </c>
      <c r="G2566" s="273">
        <v>4</v>
      </c>
      <c r="H2566" s="283">
        <v>100</v>
      </c>
      <c r="I2566" s="246">
        <v>120</v>
      </c>
      <c r="J2566" s="246">
        <v>3</v>
      </c>
      <c r="K2566" s="247" t="s">
        <v>7694</v>
      </c>
      <c r="L2566" s="248">
        <v>233849</v>
      </c>
      <c r="M2566" s="249">
        <f>15*(LEFT(TEXT($L2566,"000000"),2)+(MID(TEXT($L2566,"000000"),3,2)/60)+(RIGHT(TEXT($L2566,"000000"),2)/3600))</f>
        <v>354.70416666666665</v>
      </c>
      <c r="N2566" s="250">
        <v>-63105</v>
      </c>
      <c r="O2566" s="251">
        <f>IF($N2566&gt;0,(LEFT(TEXT($N2566,"000000"),2)+(MID(TEXT($N2566,"000000"),3,2)/60)+(RIGHT(TEXT($N2566,"000000"),2)/3600)),-(MID(TEXT($N2566,"000000"),2,2)+(MID(TEXT($N2566,"000000"),4,2)/60)+(RIGHT(TEXT($N2566,"000000"),2)/3600)))</f>
        <v>-6.5180555555555557</v>
      </c>
      <c r="P2566" s="252" t="s">
        <v>3119</v>
      </c>
      <c r="Q2566" s="253"/>
      <c r="R2566" s="277" t="s">
        <v>3293</v>
      </c>
      <c r="S2566" s="272" t="s">
        <v>3293</v>
      </c>
      <c r="T2566" s="273">
        <v>11.6</v>
      </c>
      <c r="U2566" s="289">
        <v>22.09</v>
      </c>
      <c r="V2566" s="280">
        <v>75</v>
      </c>
      <c r="W2566" s="244"/>
      <c r="X2566" s="244"/>
      <c r="Y2566" s="362"/>
      <c r="Z2566" s="257">
        <f>altaz(J2000_Bas,$O2566,$M2566,DecLat,DecLong,1)</f>
        <v>14.528875748456004</v>
      </c>
      <c r="AA2566" s="257">
        <f>altaz((J2000_Bas+(2*0.04167)),$O2566,$M2566,DecLat,DecLong,1)</f>
        <v>37.368632408438806</v>
      </c>
      <c r="AB2566" s="257">
        <f>altaz((J2000_Bas+(4*0.04167)),$O2566,$M2566,DecLat,DecLong,1)</f>
        <v>51.603891798245492</v>
      </c>
      <c r="AC2566" s="257">
        <f>altaz((J2000_Bas+(6*0.04167)),$O2566,$M2566,DecLat,DecLong,1)</f>
        <v>47.19066077880548</v>
      </c>
      <c r="AD2566" s="258">
        <f>1+ transit((J2000_Bas-1),$O2566,$M2566,DecLat,DecLong)/360 + (GMTOffset/24) + (IF(DST="Y", 1, 0)/24)</f>
        <v>1.9781892139526247</v>
      </c>
      <c r="AE2566" s="259">
        <f>DATE(2001,9,21)+(M2566/360)*365 - (360*((DecLong/360)- (GMTOffset/24) ))</f>
        <v>37519.630613425928</v>
      </c>
      <c r="AF2566" s="260">
        <f>IF(DecLat&gt;0,IF((90 - (DecLat-O2566))&gt;90, (90 - (O2566-DecLat)), (90 - (DecLat-O2566))),IF((90 + (DecLat-O2566))&gt;90, (90 + (O2566-DecLat)), (90 + (DecLat-O2566))))</f>
        <v>52.481944444444444</v>
      </c>
      <c r="AG2566" s="257">
        <f>angularseperation(MoonRA,MoonDec,$M2566,$O2566)</f>
        <v>100.61155156833917</v>
      </c>
      <c r="AH2566" s="261">
        <f ca="1">MIN(100,IF($O$5&gt;80,0+30*($AG2566/100),IF($O$5&gt;70,0+50*($AG2566/100),IF($O$5&gt;60,5+50*($AG2566/100),IF($O$5&gt;50,10+60*($AG2566/100),IF($O$5&gt;40,15+70*($AG2566/100),IF($O$5&gt;30,20+70*($AG2566/100),IF($O$5&gt;20,40+55*($AG2566/100),(80+(20-$O$5)+30*($AG2566/100))))))))))</f>
        <v>100</v>
      </c>
      <c r="AI2566" s="262">
        <v>7721</v>
      </c>
      <c r="AJ2566" s="263"/>
      <c r="AK2566" s="263"/>
      <c r="AL2566" s="263"/>
      <c r="AM2566" s="264"/>
      <c r="AN2566" s="263"/>
      <c r="AO2566" s="263"/>
      <c r="AP2566" s="265"/>
      <c r="AQ2566" s="265"/>
      <c r="AR2566" s="285">
        <v>72001</v>
      </c>
      <c r="AS2566" s="263"/>
      <c r="AT2566" s="263"/>
      <c r="AU2566" s="263"/>
      <c r="AV2566" s="264"/>
      <c r="AW2566" s="263"/>
      <c r="AX2566" s="263"/>
      <c r="AY2566" s="263"/>
      <c r="AZ2566" s="263"/>
      <c r="BA2566" s="263"/>
      <c r="BB2566" s="263"/>
      <c r="BC2566" s="263"/>
      <c r="BD2566" s="264"/>
      <c r="BE2566" s="263"/>
      <c r="BF2566" s="263"/>
      <c r="BG2566" s="263"/>
      <c r="BH2566" s="263"/>
      <c r="BI2566" s="263"/>
      <c r="BJ2566" s="404">
        <f>altaz(J2000_Bas,$O2566,$M2566,DecLat,DecLong,2)</f>
        <v>107.00906831011409</v>
      </c>
      <c r="BK2566" s="378" t="s">
        <v>2416</v>
      </c>
      <c r="BL2566" s="379">
        <f>IF((2*G2566)/60&lt;0.2,0.2,(2*G2566)/60)</f>
        <v>0.2</v>
      </c>
      <c r="BM2566" s="380">
        <f>MOD((50000+AD2566-$B$3+(0/24)),1)</f>
        <v>0.19355614365485962</v>
      </c>
      <c r="BN2566" s="381" t="s">
        <v>9220</v>
      </c>
      <c r="BO2566" s="382">
        <v>2557</v>
      </c>
    </row>
    <row r="2567" spans="1:67" s="24" customFormat="1" ht="15" customHeight="1" x14ac:dyDescent="0.25">
      <c r="A2567" s="288" t="s">
        <v>2417</v>
      </c>
      <c r="B2567" s="241" t="str">
        <f>HYPERLINK(CONCATENATE($AT$3,BK2567,$AU$3),$AV$3)</f>
        <v>S</v>
      </c>
      <c r="C2567" s="242" t="str">
        <f>HYPERLINK(CONCATENATE($AT$4,BK2567,$AU$4,BL2567),$AV$4)</f>
        <v>A</v>
      </c>
      <c r="D2567" s="243" t="s">
        <v>5638</v>
      </c>
      <c r="E2567" s="244" t="s">
        <v>5192</v>
      </c>
      <c r="F2567" s="269" t="s">
        <v>8908</v>
      </c>
      <c r="G2567" s="273">
        <v>3</v>
      </c>
      <c r="H2567" s="283">
        <v>100</v>
      </c>
      <c r="I2567" s="246">
        <v>90</v>
      </c>
      <c r="J2567" s="246">
        <v>2</v>
      </c>
      <c r="K2567" s="247" t="s">
        <v>7695</v>
      </c>
      <c r="L2567" s="248">
        <v>233857</v>
      </c>
      <c r="M2567" s="249">
        <f>15*(LEFT(TEXT($L2567,"000000"),2)+(MID(TEXT($L2567,"000000"),3,2)/60)+(RIGHT(TEXT($L2567,"000000"),2)/3600))</f>
        <v>354.73750000000001</v>
      </c>
      <c r="N2567" s="250">
        <v>-125740</v>
      </c>
      <c r="O2567" s="251">
        <f>IF($N2567&gt;0,(LEFT(TEXT($N2567,"000000"),2)+(MID(TEXT($N2567,"000000"),3,2)/60)+(RIGHT(TEXT($N2567,"000000"),2)/3600)),-(MID(TEXT($N2567,"000000"),2,2)+(MID(TEXT($N2567,"000000"),4,2)/60)+(RIGHT(TEXT($N2567,"000000"),2)/3600)))</f>
        <v>-12.96111111111111</v>
      </c>
      <c r="P2567" s="252" t="s">
        <v>3119</v>
      </c>
      <c r="Q2567" s="253"/>
      <c r="R2567" s="247" t="s">
        <v>3293</v>
      </c>
      <c r="S2567" s="272" t="s">
        <v>3293</v>
      </c>
      <c r="T2567" s="273">
        <v>11.2</v>
      </c>
      <c r="U2567" s="289">
        <v>22.19</v>
      </c>
      <c r="V2567" s="280">
        <v>50</v>
      </c>
      <c r="W2567" s="244"/>
      <c r="X2567" s="244"/>
      <c r="Y2567" s="362"/>
      <c r="Z2567" s="257">
        <f>altaz(J2000_Bas,$O2567,$M2567,DecLat,DecLong,1)</f>
        <v>10.803584420332172</v>
      </c>
      <c r="AA2567" s="257">
        <f>altaz((J2000_Bas+(2*0.04167)),$O2567,$M2567,DecLat,DecLong,1)</f>
        <v>32.46951846662477</v>
      </c>
      <c r="AB2567" s="257">
        <f>altaz((J2000_Bas+(4*0.04167)),$O2567,$M2567,DecLat,DecLong,1)</f>
        <v>45.275078113687989</v>
      </c>
      <c r="AC2567" s="257">
        <f>altaz((J2000_Bas+(6*0.04167)),$O2567,$M2567,DecLat,DecLong,1)</f>
        <v>41.420991517936613</v>
      </c>
      <c r="AD2567" s="258">
        <f>1+ transit((J2000_Bas-1),$O2567,$M2567,DecLat,DecLong)/360 + (GMTOffset/24) + (IF(DST="Y", 1, 0)/24)</f>
        <v>1.9782818065359578</v>
      </c>
      <c r="AE2567" s="259">
        <f>DATE(2001,9,21)+(M2567/360)*365 - (360*((DecLong/360)- (GMTOffset/24) ))</f>
        <v>37519.664409722223</v>
      </c>
      <c r="AF2567" s="260">
        <f>IF(DecLat&gt;0,IF((90 - (DecLat-O2567))&gt;90, (90 - (O2567-DecLat)), (90 - (DecLat-O2567))),IF((90 + (DecLat-O2567))&gt;90, (90 + (O2567-DecLat)), (90 + (DecLat-O2567))))</f>
        <v>46.038888888888891</v>
      </c>
      <c r="AG2567" s="257">
        <f>angularseperation(MoonRA,MoonDec,$M2567,$O2567)</f>
        <v>97.451558938580988</v>
      </c>
      <c r="AH2567" s="261">
        <f ca="1">MIN(100,IF($O$5&gt;80,0+30*($AG2567/100),IF($O$5&gt;70,0+50*($AG2567/100),IF($O$5&gt;60,5+50*($AG2567/100),IF($O$5&gt;50,10+60*($AG2567/100),IF($O$5&gt;40,15+70*($AG2567/100),IF($O$5&gt;30,20+70*($AG2567/100),IF($O$5&gt;20,40+55*($AG2567/100),(80+(20-$O$5)+30*($AG2567/100))))))))))</f>
        <v>100</v>
      </c>
      <c r="AI2567" s="262">
        <v>7723</v>
      </c>
      <c r="AJ2567" s="262"/>
      <c r="AK2567" s="262">
        <v>396</v>
      </c>
      <c r="AL2567" s="263"/>
      <c r="AM2567" s="264"/>
      <c r="AN2567" s="263"/>
      <c r="AO2567" s="263"/>
      <c r="AP2567" s="265"/>
      <c r="AQ2567" s="266"/>
      <c r="AR2567" s="267">
        <v>72009</v>
      </c>
      <c r="AS2567" s="263"/>
      <c r="AT2567" s="263"/>
      <c r="AU2567" s="263"/>
      <c r="AV2567" s="264"/>
      <c r="AW2567" s="263"/>
      <c r="AX2567" s="263"/>
      <c r="AY2567" s="263"/>
      <c r="AZ2567" s="263"/>
      <c r="BA2567" s="263"/>
      <c r="BB2567" s="263"/>
      <c r="BC2567" s="263"/>
      <c r="BD2567" s="264"/>
      <c r="BE2567" s="263"/>
      <c r="BF2567" s="263"/>
      <c r="BG2567" s="263"/>
      <c r="BH2567" s="263"/>
      <c r="BI2567" s="263"/>
      <c r="BJ2567" s="404">
        <f>altaz(J2000_Bas,$O2567,$M2567,DecLat,DecLong,2)</f>
        <v>112.39840252890713</v>
      </c>
      <c r="BK2567" s="378" t="s">
        <v>2417</v>
      </c>
      <c r="BL2567" s="379">
        <f>IF((2*G2567)/60&lt;0.2,0.2,(2*G2567)/60)</f>
        <v>0.2</v>
      </c>
      <c r="BM2567" s="380">
        <f>MOD((50000+AD2567-$B$3+(0/24)),1)</f>
        <v>0.19364873623999301</v>
      </c>
      <c r="BN2567" s="381"/>
      <c r="BO2567" s="382">
        <v>2558</v>
      </c>
    </row>
    <row r="2568" spans="1:67" s="24" customFormat="1" ht="15" customHeight="1" x14ac:dyDescent="0.25">
      <c r="A2568" s="288" t="s">
        <v>7696</v>
      </c>
      <c r="B2568" s="241" t="str">
        <f>HYPERLINK(CONCATENATE($AT$3,BK2568,$AU$3),$AV$3)</f>
        <v>S</v>
      </c>
      <c r="C2568" s="242" t="str">
        <f>HYPERLINK(CONCATENATE($AT$4,BK2568,$AU$4,BL2568),$AV$4)</f>
        <v>A</v>
      </c>
      <c r="D2568" s="243" t="s">
        <v>5638</v>
      </c>
      <c r="E2568" s="244" t="s">
        <v>5178</v>
      </c>
      <c r="F2568" s="269"/>
      <c r="G2568" s="273">
        <v>1.3</v>
      </c>
      <c r="H2568" s="283">
        <v>130</v>
      </c>
      <c r="I2568" s="246">
        <v>50</v>
      </c>
      <c r="J2568" s="246">
        <v>2</v>
      </c>
      <c r="K2568" s="247" t="s">
        <v>8053</v>
      </c>
      <c r="L2568" s="248">
        <v>234134</v>
      </c>
      <c r="M2568" s="249">
        <f>15*(LEFT(TEXT($L2568,"000000"),2)+(MID(TEXT($L2568,"000000"),3,2)/60)+(RIGHT(TEXT($L2568,"000000"),2)/3600))</f>
        <v>355.39166666666665</v>
      </c>
      <c r="N2568" s="250">
        <v>34328</v>
      </c>
      <c r="O2568" s="251">
        <f>IF($N2568&gt;0,(LEFT(TEXT($N2568,"000000"),2)+(MID(TEXT($N2568,"000000"),3,2)/60)+(RIGHT(TEXT($N2568,"000000"),2)/3600)),-(MID(TEXT($N2568,"000000"),2,2)+(MID(TEXT($N2568,"000000"),4,2)/60)+(RIGHT(TEXT($N2568,"000000"),2)/3600)))</f>
        <v>3.7244444444444444</v>
      </c>
      <c r="P2568" s="252" t="s">
        <v>158</v>
      </c>
      <c r="Q2568" s="253"/>
      <c r="R2568" s="247" t="s">
        <v>3293</v>
      </c>
      <c r="S2568" s="272" t="s">
        <v>2418</v>
      </c>
      <c r="T2568" s="273">
        <v>13.8</v>
      </c>
      <c r="U2568" s="289">
        <v>22.69</v>
      </c>
      <c r="V2568" s="280">
        <v>15</v>
      </c>
      <c r="W2568" s="244"/>
      <c r="X2568" s="244"/>
      <c r="Y2568" s="362"/>
      <c r="Z2568" s="257">
        <f>altaz(J2000_Bas,$O2568,$M2568,DecLat,DecLong,1)</f>
        <v>19.545737033927082</v>
      </c>
      <c r="AA2568" s="257">
        <f>altaz((J2000_Bas+(2*0.04167)),$O2568,$M2568,DecLat,DecLong,1)</f>
        <v>44.052958896369262</v>
      </c>
      <c r="AB2568" s="257">
        <f>altaz((J2000_Bas+(4*0.04167)),$O2568,$M2568,DecLat,DecLong,1)</f>
        <v>61.373570443114851</v>
      </c>
      <c r="AC2568" s="257">
        <f>altaz((J2000_Bas+(6*0.04167)),$O2568,$M2568,DecLat,DecLong,1)</f>
        <v>56.379437789256095</v>
      </c>
      <c r="AD2568" s="258">
        <f>1+ transit((J2000_Bas-1),$O2568,$M2568,DecLat,DecLong)/360 + (GMTOffset/24) + (IF(DST="Y", 1, 0)/24)</f>
        <v>1.9800989359838745</v>
      </c>
      <c r="AE2568" s="259">
        <f>DATE(2001,9,21)+(M2568/360)*365 - (360*((DecLong/360)- (GMTOffset/24) ))</f>
        <v>37520.327662037038</v>
      </c>
      <c r="AF2568" s="260">
        <f>IF(DecLat&gt;0,IF((90 - (DecLat-O2568))&gt;90, (90 - (O2568-DecLat)), (90 - (DecLat-O2568))),IF((90 + (DecLat-O2568))&gt;90, (90 + (O2568-DecLat)), (90 + (DecLat-O2568))))</f>
        <v>62.724444444444444</v>
      </c>
      <c r="AG2568" s="257">
        <f>angularseperation(MoonRA,MoonDec,$M2568,$O2568)</f>
        <v>106.06329353356227</v>
      </c>
      <c r="AH2568" s="261">
        <f ca="1">MIN(100,IF($O$5&gt;80,0+30*($AG2568/100),IF($O$5&gt;70,0+50*($AG2568/100),IF($O$5&gt;60,5+50*($AG2568/100),IF($O$5&gt;50,10+60*($AG2568/100),IF($O$5&gt;40,15+70*($AG2568/100),IF($O$5&gt;30,20+70*($AG2568/100),IF($O$5&gt;20,40+55*($AG2568/100),(80+(20-$O$5)+30*($AG2568/100))))))))))</f>
        <v>100</v>
      </c>
      <c r="AI2568" s="262">
        <v>7732</v>
      </c>
      <c r="AJ2568" s="262"/>
      <c r="AK2568" s="262"/>
      <c r="AL2568" s="263"/>
      <c r="AM2568" s="264"/>
      <c r="AN2568" s="263"/>
      <c r="AO2568" s="263"/>
      <c r="AP2568" s="265"/>
      <c r="AQ2568" s="266">
        <v>12738</v>
      </c>
      <c r="AR2568" s="267">
        <v>72131</v>
      </c>
      <c r="AS2568" s="263"/>
      <c r="AT2568" s="263"/>
      <c r="AU2568" s="263"/>
      <c r="AV2568" s="264"/>
      <c r="AW2568" s="263"/>
      <c r="AX2568" s="263"/>
      <c r="AY2568" s="263"/>
      <c r="AZ2568" s="263"/>
      <c r="BA2568" s="263"/>
      <c r="BB2568" s="263"/>
      <c r="BC2568" s="263"/>
      <c r="BD2568" s="264"/>
      <c r="BE2568" s="263"/>
      <c r="BF2568" s="263"/>
      <c r="BG2568" s="263"/>
      <c r="BH2568" s="263"/>
      <c r="BI2568" s="263"/>
      <c r="BJ2568" s="404">
        <f>altaz(J2000_Bas,$O2568,$M2568,DecLat,DecLong,2)</f>
        <v>97.637182091729684</v>
      </c>
      <c r="BK2568" s="378" t="s">
        <v>2418</v>
      </c>
      <c r="BL2568" s="379">
        <f>IF((2*G2568)/60&lt;0.2,0.2,(2*G2568)/60)</f>
        <v>0.2</v>
      </c>
      <c r="BM2568" s="380">
        <f>MOD((50000+AD2568-$B$3+(0/24)),1)</f>
        <v>0.19546586569049396</v>
      </c>
      <c r="BN2568" s="381"/>
      <c r="BO2568" s="382">
        <v>2559</v>
      </c>
    </row>
    <row r="2569" spans="1:67" s="24" customFormat="1" ht="15" customHeight="1" x14ac:dyDescent="0.25">
      <c r="A2569" s="288" t="s">
        <v>2419</v>
      </c>
      <c r="B2569" s="241" t="str">
        <f>HYPERLINK(CONCATENATE($AT$3,BK2569,$AU$3),$AV$3)</f>
        <v>S</v>
      </c>
      <c r="C2569" s="242" t="str">
        <f>HYPERLINK(CONCATENATE($AT$4,BK2569,$AU$4,BL2569),$AV$4)</f>
        <v>A</v>
      </c>
      <c r="D2569" s="243" t="s">
        <v>5638</v>
      </c>
      <c r="E2569" s="244" t="s">
        <v>5192</v>
      </c>
      <c r="F2569" s="269" t="s">
        <v>8895</v>
      </c>
      <c r="G2569" s="273">
        <v>4.5</v>
      </c>
      <c r="H2569" s="283">
        <v>50</v>
      </c>
      <c r="I2569" s="246">
        <v>65</v>
      </c>
      <c r="J2569" s="246">
        <v>2</v>
      </c>
      <c r="K2569" s="247" t="s">
        <v>7697</v>
      </c>
      <c r="L2569" s="248">
        <v>234354</v>
      </c>
      <c r="M2569" s="249">
        <f>15*(LEFT(TEXT($L2569,"000000"),2)+(MID(TEXT($L2569,"000000"),3,2)/60)+(RIGHT(TEXT($L2569,"000000"),2)/3600))</f>
        <v>355.97499999999997</v>
      </c>
      <c r="N2569" s="250">
        <v>260432</v>
      </c>
      <c r="O2569" s="251">
        <f>IF($N2569&gt;0,(LEFT(TEXT($N2569,"000000"),2)+(MID(TEXT($N2569,"000000"),3,2)/60)+(RIGHT(TEXT($N2569,"000000"),2)/3600)),-(MID(TEXT($N2569,"000000"),2,2)+(MID(TEXT($N2569,"000000"),4,2)/60)+(RIGHT(TEXT($N2569,"000000"),2)/3600)))</f>
        <v>26.075555555555557</v>
      </c>
      <c r="P2569" s="252" t="s">
        <v>39</v>
      </c>
      <c r="Q2569" s="253"/>
      <c r="R2569" s="247" t="s">
        <v>3293</v>
      </c>
      <c r="S2569" s="272" t="s">
        <v>3293</v>
      </c>
      <c r="T2569" s="273">
        <v>11.3</v>
      </c>
      <c r="U2569" s="289">
        <v>22.79</v>
      </c>
      <c r="V2569" s="280">
        <v>45</v>
      </c>
      <c r="W2569" s="244"/>
      <c r="X2569" s="244"/>
      <c r="Y2569" s="362"/>
      <c r="Z2569" s="257">
        <f>altaz(J2000_Bas,$O2569,$M2569,DecLat,DecLong,1)</f>
        <v>29.344872449492016</v>
      </c>
      <c r="AA2569" s="257">
        <f>altaz((J2000_Bas+(2*0.04167)),$O2569,$M2569,DecLat,DecLong,1)</f>
        <v>54.800436618975866</v>
      </c>
      <c r="AB2569" s="257">
        <f>altaz((J2000_Bas+(4*0.04167)),$O2569,$M2569,DecLat,DecLong,1)</f>
        <v>80.085734000312868</v>
      </c>
      <c r="AC2569" s="257">
        <f>altaz((J2000_Bas+(6*0.04167)),$O2569,$M2569,DecLat,DecLong,1)</f>
        <v>71.545530386711548</v>
      </c>
      <c r="AD2569" s="258">
        <f>1+ transit((J2000_Bas-1),$O2569,$M2569,DecLat,DecLong)/360 + (GMTOffset/24) + (IF(DST="Y", 1, 0)/24)</f>
        <v>1.9817193061922078</v>
      </c>
      <c r="AE2569" s="259">
        <f>DATE(2001,9,21)+(M2569/360)*365 - (360*((DecLong/360)- (GMTOffset/24) ))</f>
        <v>37520.91909722222</v>
      </c>
      <c r="AF2569" s="260">
        <f>IF(DecLat&gt;0,IF((90 - (DecLat-O2569))&gt;90, (90 - (O2569-DecLat)), (90 - (DecLat-O2569))),IF((90 + (DecLat-O2569))&gt;90, (90 + (O2569-DecLat)), (90 + (DecLat-O2569))))</f>
        <v>85.075555555555553</v>
      </c>
      <c r="AG2569" s="257">
        <f>angularseperation(MoonRA,MoonDec,$M2569,$O2569)</f>
        <v>115.49155366821289</v>
      </c>
      <c r="AH2569" s="261">
        <f ca="1">MIN(100,IF($O$5&gt;80,0+30*($AG2569/100),IF($O$5&gt;70,0+50*($AG2569/100),IF($O$5&gt;60,5+50*($AG2569/100),IF($O$5&gt;50,10+60*($AG2569/100),IF($O$5&gt;40,15+70*($AG2569/100),IF($O$5&gt;30,20+70*($AG2569/100),IF($O$5&gt;20,40+55*($AG2569/100),(80+(20-$O$5)+30*($AG2569/100))))))))))</f>
        <v>100</v>
      </c>
      <c r="AI2569" s="262">
        <v>7741</v>
      </c>
      <c r="AJ2569" s="262"/>
      <c r="AK2569" s="262"/>
      <c r="AL2569" s="263"/>
      <c r="AM2569" s="264"/>
      <c r="AN2569" s="263"/>
      <c r="AO2569" s="263"/>
      <c r="AP2569" s="265"/>
      <c r="AQ2569" s="266">
        <v>12754</v>
      </c>
      <c r="AR2569" s="267">
        <v>72237</v>
      </c>
      <c r="AS2569" s="263"/>
      <c r="AT2569" s="263"/>
      <c r="AU2569" s="263"/>
      <c r="AV2569" s="264"/>
      <c r="AW2569" s="263"/>
      <c r="AX2569" s="263"/>
      <c r="AY2569" s="263"/>
      <c r="AZ2569" s="263"/>
      <c r="BA2569" s="263"/>
      <c r="BB2569" s="263"/>
      <c r="BC2569" s="263"/>
      <c r="BD2569" s="264"/>
      <c r="BE2569" s="263"/>
      <c r="BF2569" s="263"/>
      <c r="BG2569" s="263"/>
      <c r="BH2569" s="263">
        <v>90</v>
      </c>
      <c r="BI2569" s="263"/>
      <c r="BJ2569" s="404">
        <f>altaz(J2000_Bas,$O2569,$M2569,DecLat,DecLong,2)</f>
        <v>75.494086361261807</v>
      </c>
      <c r="BK2569" s="378" t="s">
        <v>2419</v>
      </c>
      <c r="BL2569" s="379">
        <f>IF((2*G2569)/60&lt;0.2,0.2,(2*G2569)/60)</f>
        <v>0.2</v>
      </c>
      <c r="BM2569" s="380">
        <f>MOD((50000+AD2569-$B$3+(0/24)),1)</f>
        <v>0.19708623589394847</v>
      </c>
      <c r="BN2569" s="381"/>
      <c r="BO2569" s="382">
        <v>2560</v>
      </c>
    </row>
    <row r="2570" spans="1:67" s="24" customFormat="1" ht="15" customHeight="1" x14ac:dyDescent="0.25">
      <c r="A2570" s="288" t="s">
        <v>2420</v>
      </c>
      <c r="B2570" s="241" t="str">
        <f>HYPERLINK(CONCATENATE($AT$3,BK2570,$AU$3),$AV$3)</f>
        <v>S</v>
      </c>
      <c r="C2570" s="242" t="str">
        <f>HYPERLINK(CONCATENATE($AT$4,BK2570,$AU$4,BL2570),$AV$4)</f>
        <v>A</v>
      </c>
      <c r="D2570" s="243" t="s">
        <v>5638</v>
      </c>
      <c r="E2570" s="244" t="s">
        <v>5192</v>
      </c>
      <c r="F2570" s="269" t="s">
        <v>8812</v>
      </c>
      <c r="G2570" s="273">
        <v>2</v>
      </c>
      <c r="H2570" s="283">
        <v>80</v>
      </c>
      <c r="I2570" s="246">
        <v>50</v>
      </c>
      <c r="J2570" s="246">
        <v>3</v>
      </c>
      <c r="K2570" s="247" t="s">
        <v>7698</v>
      </c>
      <c r="L2570" s="248">
        <v>234416</v>
      </c>
      <c r="M2570" s="249">
        <f>15*(LEFT(TEXT($L2570,"000000"),2)+(MID(TEXT($L2570,"000000"),3,2)/60)+(RIGHT(TEXT($L2570,"000000"),2)/3600))</f>
        <v>356.06666666666672</v>
      </c>
      <c r="N2570" s="250">
        <v>104601</v>
      </c>
      <c r="O2570" s="251">
        <f>IF($N2570&gt;0,(LEFT(TEXT($N2570,"000000"),2)+(MID(TEXT($N2570,"000000"),3,2)/60)+(RIGHT(TEXT($N2570,"000000"),2)/3600)),-(MID(TEXT($N2570,"000000"),2,2)+(MID(TEXT($N2570,"000000"),4,2)/60)+(RIGHT(TEXT($N2570,"000000"),2)/3600)))</f>
        <v>10.766944444444444</v>
      </c>
      <c r="P2570" s="252" t="s">
        <v>39</v>
      </c>
      <c r="Q2570" s="253" t="s">
        <v>6872</v>
      </c>
      <c r="R2570" s="247" t="s">
        <v>3293</v>
      </c>
      <c r="S2570" s="272" t="s">
        <v>3293</v>
      </c>
      <c r="T2570" s="273">
        <v>11.6</v>
      </c>
      <c r="U2570" s="289">
        <v>21.59</v>
      </c>
      <c r="V2570" s="280">
        <v>0</v>
      </c>
      <c r="W2570" s="244"/>
      <c r="X2570" s="244"/>
      <c r="Y2570" s="362"/>
      <c r="Z2570" s="257">
        <f>altaz(J2000_Bas,$O2570,$M2570,DecLat,DecLong,1)</f>
        <v>22.540681570230863</v>
      </c>
      <c r="AA2570" s="257">
        <f>altaz((J2000_Bas+(2*0.04167)),$O2570,$M2570,DecLat,DecLong,1)</f>
        <v>47.857532203733456</v>
      </c>
      <c r="AB2570" s="257">
        <f>altaz((J2000_Bas+(4*0.04167)),$O2570,$M2570,DecLat,DecLong,1)</f>
        <v>67.784344964348904</v>
      </c>
      <c r="AC2570" s="257">
        <f>altaz((J2000_Bas+(6*0.04167)),$O2570,$M2570,DecLat,DecLong,1)</f>
        <v>62.443225231937802</v>
      </c>
      <c r="AD2570" s="258">
        <f>1+ transit((J2000_Bas-1),$O2570,$M2570,DecLat,DecLong)/360 + (GMTOffset/24) + (IF(DST="Y", 1, 0)/24)</f>
        <v>1.9819739357963748</v>
      </c>
      <c r="AE2570" s="259">
        <f>DATE(2001,9,21)+(M2570/360)*365 - (360*((DecLong/360)- (GMTOffset/24) ))</f>
        <v>37521.012037037035</v>
      </c>
      <c r="AF2570" s="260">
        <f>IF(DecLat&gt;0,IF((90 - (DecLat-O2570))&gt;90, (90 - (O2570-DecLat)), (90 - (DecLat-O2570))),IF((90 + (DecLat-O2570))&gt;90, (90 + (O2570-DecLat)), (90 + (DecLat-O2570))))</f>
        <v>69.766944444444448</v>
      </c>
      <c r="AG2570" s="257">
        <f>angularseperation(MoonRA,MoonDec,$M2570,$O2570)</f>
        <v>109.76870689644173</v>
      </c>
      <c r="AH2570" s="261">
        <f ca="1">MIN(100,IF($O$5&gt;80,0+30*($AG2570/100),IF($O$5&gt;70,0+50*($AG2570/100),IF($O$5&gt;60,5+50*($AG2570/100),IF($O$5&gt;50,10+60*($AG2570/100),IF($O$5&gt;40,15+70*($AG2570/100),IF($O$5&gt;30,20+70*($AG2570/100),IF($O$5&gt;20,40+55*($AG2570/100),(80+(20-$O$5)+30*($AG2570/100))))))))))</f>
        <v>100</v>
      </c>
      <c r="AI2570" s="262">
        <v>7742</v>
      </c>
      <c r="AJ2570" s="262"/>
      <c r="AK2570" s="262"/>
      <c r="AL2570" s="263"/>
      <c r="AM2570" s="264"/>
      <c r="AN2570" s="263"/>
      <c r="AO2570" s="263"/>
      <c r="AP2570" s="265"/>
      <c r="AQ2570" s="266">
        <v>12760</v>
      </c>
      <c r="AR2570" s="267">
        <v>72260</v>
      </c>
      <c r="AS2570" s="263"/>
      <c r="AT2570" s="263"/>
      <c r="AU2570" s="263"/>
      <c r="AV2570" s="264"/>
      <c r="AW2570" s="263"/>
      <c r="AX2570" s="263"/>
      <c r="AY2570" s="263"/>
      <c r="AZ2570" s="263"/>
      <c r="BA2570" s="263"/>
      <c r="BB2570" s="263"/>
      <c r="BC2570" s="263"/>
      <c r="BD2570" s="264"/>
      <c r="BE2570" s="263"/>
      <c r="BF2570" s="263"/>
      <c r="BG2570" s="263"/>
      <c r="BH2570" s="263"/>
      <c r="BI2570" s="263"/>
      <c r="BJ2570" s="404">
        <f>altaz(J2000_Bas,$O2570,$M2570,DecLat,DecLong,2)</f>
        <v>90.768595154246356</v>
      </c>
      <c r="BK2570" s="378" t="s">
        <v>2420</v>
      </c>
      <c r="BL2570" s="379">
        <f>IF((2*G2570)/60&lt;0.2,0.2,(2*G2570)/60)</f>
        <v>0.2</v>
      </c>
      <c r="BM2570" s="380">
        <f>MOD((50000+AD2570-$B$3+(0/24)),1)</f>
        <v>0.19734086550306529</v>
      </c>
      <c r="BN2570" s="381"/>
      <c r="BO2570" s="382">
        <v>2561</v>
      </c>
    </row>
    <row r="2571" spans="1:67" s="24" customFormat="1" ht="15" customHeight="1" x14ac:dyDescent="0.25">
      <c r="A2571" s="288" t="s">
        <v>2421</v>
      </c>
      <c r="B2571" s="241" t="str">
        <f>HYPERLINK(CONCATENATE($AT$3,BK2571,$AU$3),$AV$3)</f>
        <v>S</v>
      </c>
      <c r="C2571" s="242" t="str">
        <f>HYPERLINK(CONCATENATE($AT$4,BK2571,$AU$4,BL2571),$AV$4)</f>
        <v>A</v>
      </c>
      <c r="D2571" s="243" t="s">
        <v>5638</v>
      </c>
      <c r="E2571" s="244" t="s">
        <v>5192</v>
      </c>
      <c r="F2571" s="269" t="s">
        <v>8693</v>
      </c>
      <c r="G2571" s="273">
        <v>2.5</v>
      </c>
      <c r="H2571" s="283">
        <v>70</v>
      </c>
      <c r="I2571" s="246">
        <v>50</v>
      </c>
      <c r="J2571" s="246">
        <v>2</v>
      </c>
      <c r="K2571" s="247" t="s">
        <v>7699</v>
      </c>
      <c r="L2571" s="248">
        <v>234421</v>
      </c>
      <c r="M2571" s="249">
        <f>15*(LEFT(TEXT($L2571,"000000"),2)+(MID(TEXT($L2571,"000000"),3,2)/60)+(RIGHT(TEXT($L2571,"000000"),2)/3600))</f>
        <v>356.08749999999998</v>
      </c>
      <c r="N2571" s="250">
        <v>95601</v>
      </c>
      <c r="O2571" s="251">
        <f>IF($N2571&gt;0,(LEFT(TEXT($N2571,"000000"),2)+(MID(TEXT($N2571,"000000"),3,2)/60)+(RIGHT(TEXT($N2571,"000000"),2)/3600)),-(MID(TEXT($N2571,"000000"),2,2)+(MID(TEXT($N2571,"000000"),4,2)/60)+(RIGHT(TEXT($N2571,"000000"),2)/3600)))</f>
        <v>9.9336111111111105</v>
      </c>
      <c r="P2571" s="252" t="s">
        <v>39</v>
      </c>
      <c r="Q2571" s="253"/>
      <c r="R2571" s="277" t="s">
        <v>3293</v>
      </c>
      <c r="S2571" s="272" t="s">
        <v>3293</v>
      </c>
      <c r="T2571" s="273">
        <v>11.5</v>
      </c>
      <c r="U2571" s="289">
        <v>22.490000000000002</v>
      </c>
      <c r="V2571" s="280">
        <v>35</v>
      </c>
      <c r="W2571" s="244"/>
      <c r="X2571" s="244"/>
      <c r="Y2571" s="362"/>
      <c r="Z2571" s="257">
        <f>altaz(J2000_Bas,$O2571,$M2571,DecLat,DecLong,1)</f>
        <v>22.113678855655763</v>
      </c>
      <c r="AA2571" s="257">
        <f>altaz((J2000_Bas+(2*0.04167)),$O2571,$M2571,DecLat,DecLong,1)</f>
        <v>47.360376252874076</v>
      </c>
      <c r="AB2571" s="257">
        <f>altaz((J2000_Bas+(4*0.04167)),$O2571,$M2571,DecLat,DecLong,1)</f>
        <v>67.006926873632992</v>
      </c>
      <c r="AC2571" s="257">
        <f>altaz((J2000_Bas+(6*0.04167)),$O2571,$M2571,DecLat,DecLong,1)</f>
        <v>61.810741337757953</v>
      </c>
      <c r="AD2571" s="258">
        <f>1+ transit((J2000_Bas-1),$O2571,$M2571,DecLat,DecLong)/360 + (GMTOffset/24) + (IF(DST="Y", 1, 0)/24)</f>
        <v>1.9820318061609579</v>
      </c>
      <c r="AE2571" s="259">
        <f>DATE(2001,9,21)+(M2571/360)*365 - (360*((DecLong/360)- (GMTOffset/24) ))</f>
        <v>37521.033159722225</v>
      </c>
      <c r="AF2571" s="260">
        <f>IF(DecLat&gt;0,IF((90 - (DecLat-O2571))&gt;90, (90 - (O2571-DecLat)), (90 - (DecLat-O2571))),IF((90 + (DecLat-O2571))&gt;90, (90 + (O2571-DecLat)), (90 + (DecLat-O2571))))</f>
        <v>68.933611111111105</v>
      </c>
      <c r="AG2571" s="257">
        <f>angularseperation(MoonRA,MoonDec,$M2571,$O2571)</f>
        <v>109.43203143926428</v>
      </c>
      <c r="AH2571" s="261">
        <f ca="1">MIN(100,IF($O$5&gt;80,0+30*($AG2571/100),IF($O$5&gt;70,0+50*($AG2571/100),IF($O$5&gt;60,5+50*($AG2571/100),IF($O$5&gt;50,10+60*($AG2571/100),IF($O$5&gt;40,15+70*($AG2571/100),IF($O$5&gt;30,20+70*($AG2571/100),IF($O$5&gt;20,40+55*($AG2571/100),(80+(20-$O$5)+30*($AG2571/100))))))))))</f>
        <v>100</v>
      </c>
      <c r="AI2571" s="262">
        <v>7743</v>
      </c>
      <c r="AJ2571" s="263"/>
      <c r="AK2571" s="263"/>
      <c r="AL2571" s="263"/>
      <c r="AM2571" s="264"/>
      <c r="AN2571" s="263"/>
      <c r="AO2571" s="263"/>
      <c r="AP2571" s="265"/>
      <c r="AQ2571" s="335">
        <v>12759</v>
      </c>
      <c r="AR2571" s="285">
        <v>72263</v>
      </c>
      <c r="AS2571" s="263"/>
      <c r="AT2571" s="263"/>
      <c r="AU2571" s="263"/>
      <c r="AV2571" s="264"/>
      <c r="AW2571" s="263"/>
      <c r="AX2571" s="263"/>
      <c r="AY2571" s="263"/>
      <c r="AZ2571" s="263"/>
      <c r="BA2571" s="263"/>
      <c r="BB2571" s="263"/>
      <c r="BC2571" s="263"/>
      <c r="BD2571" s="264"/>
      <c r="BE2571" s="263"/>
      <c r="BF2571" s="263"/>
      <c r="BG2571" s="263"/>
      <c r="BH2571" s="263"/>
      <c r="BI2571" s="263"/>
      <c r="BJ2571" s="404">
        <f>altaz(J2000_Bas,$O2571,$M2571,DecLat,DecLong,2)</f>
        <v>91.542535222145844</v>
      </c>
      <c r="BK2571" s="378" t="s">
        <v>2421</v>
      </c>
      <c r="BL2571" s="379">
        <f>IF((2*G2571)/60&lt;0.2,0.2,(2*G2571)/60)</f>
        <v>0.2</v>
      </c>
      <c r="BM2571" s="380">
        <f>MOD((50000+AD2571-$B$3+(0/24)),1)</f>
        <v>0.19739873586513568</v>
      </c>
      <c r="BN2571" s="381"/>
      <c r="BO2571" s="382">
        <v>2562</v>
      </c>
    </row>
    <row r="2572" spans="1:67" s="24" customFormat="1" ht="15" customHeight="1" x14ac:dyDescent="0.25">
      <c r="A2572" s="288" t="s">
        <v>2422</v>
      </c>
      <c r="B2572" s="241" t="str">
        <f>HYPERLINK(CONCATENATE($AT$3,BK2572,$AU$3),$AV$3)</f>
        <v>S</v>
      </c>
      <c r="C2572" s="242" t="str">
        <f>HYPERLINK(CONCATENATE($AT$4,BK2572,$AU$4,BL2572),$AV$4)</f>
        <v>A</v>
      </c>
      <c r="D2572" s="243" t="s">
        <v>5638</v>
      </c>
      <c r="E2572" s="244" t="s">
        <v>5192</v>
      </c>
      <c r="F2572" s="269" t="s">
        <v>8813</v>
      </c>
      <c r="G2572" s="273">
        <v>2.5</v>
      </c>
      <c r="H2572" s="283">
        <v>195</v>
      </c>
      <c r="I2572" s="246">
        <v>150</v>
      </c>
      <c r="J2572" s="246">
        <v>3</v>
      </c>
      <c r="K2572" s="247" t="s">
        <v>7703</v>
      </c>
      <c r="L2572" s="248">
        <v>235104</v>
      </c>
      <c r="M2572" s="249">
        <f>15*(LEFT(TEXT($L2572,"000000"),2)+(MID(TEXT($L2572,"000000"),3,2)/60)+(RIGHT(TEXT($L2572,"000000"),2)/3600))</f>
        <v>357.76666666666671</v>
      </c>
      <c r="N2572" s="250">
        <v>200901</v>
      </c>
      <c r="O2572" s="251">
        <f>IF($N2572&gt;0,(LEFT(TEXT($N2572,"000000"),2)+(MID(TEXT($N2572,"000000"),3,2)/60)+(RIGHT(TEXT($N2572,"000000"),2)/3600)),-(MID(TEXT($N2572,"000000"),2,2)+(MID(TEXT($N2572,"000000"),4,2)/60)+(RIGHT(TEXT($N2572,"000000"),2)/3600)))</f>
        <v>20.150277777777777</v>
      </c>
      <c r="P2572" s="252" t="s">
        <v>39</v>
      </c>
      <c r="Q2572" s="253"/>
      <c r="R2572" s="247" t="s">
        <v>3293</v>
      </c>
      <c r="S2572" s="272" t="s">
        <v>7700</v>
      </c>
      <c r="T2572" s="273">
        <v>12</v>
      </c>
      <c r="U2572" s="289">
        <v>23.09</v>
      </c>
      <c r="V2572" s="280">
        <v>0</v>
      </c>
      <c r="W2572" s="244"/>
      <c r="X2572" s="244"/>
      <c r="Y2572" s="362"/>
      <c r="Z2572" s="257">
        <f>altaz(J2000_Bas,$O2572,$M2572,DecLat,DecLong,1)</f>
        <v>25.419241887003917</v>
      </c>
      <c r="AA2572" s="257">
        <f>altaz((J2000_Bas+(2*0.04167)),$O2572,$M2572,DecLat,DecLong,1)</f>
        <v>51.117509507198811</v>
      </c>
      <c r="AB2572" s="257">
        <f>altaz((J2000_Bas+(4*0.04167)),$O2572,$M2572,DecLat,DecLong,1)</f>
        <v>74.95068088573214</v>
      </c>
      <c r="AC2572" s="257">
        <f>altaz((J2000_Bas+(6*0.04167)),$O2572,$M2572,DecLat,DecLong,1)</f>
        <v>70.150298772686455</v>
      </c>
      <c r="AD2572" s="258">
        <f>1+ transit((J2000_Bas-1),$O2572,$M2572,DecLat,DecLong)/360 + (GMTOffset/24) + (IF(DST="Y", 1, 0)/24)</f>
        <v>1.9866961575463751</v>
      </c>
      <c r="AE2572" s="259">
        <f>DATE(2001,9,21)+(M2572/360)*365 - (360*((DecLong/360)- (GMTOffset/24) ))</f>
        <v>37522.735648148147</v>
      </c>
      <c r="AF2572" s="260">
        <f>IF(DecLat&gt;0,IF((90 - (DecLat-O2572))&gt;90, (90 - (O2572-DecLat)), (90 - (DecLat-O2572))),IF((90 + (DecLat-O2572))&gt;90, (90 + (O2572-DecLat)), (90 + (DecLat-O2572))))</f>
        <v>79.150277777777774</v>
      </c>
      <c r="AG2572" s="257">
        <f>angularseperation(MoonRA,MoonDec,$M2572,$O2572)</f>
        <v>114.98633755407693</v>
      </c>
      <c r="AH2572" s="261">
        <f ca="1">MIN(100,IF($O$5&gt;80,0+30*($AG2572/100),IF($O$5&gt;70,0+50*($AG2572/100),IF($O$5&gt;60,5+50*($AG2572/100),IF($O$5&gt;50,10+60*($AG2572/100),IF($O$5&gt;40,15+70*($AG2572/100),IF($O$5&gt;30,20+70*($AG2572/100),IF($O$5&gt;20,40+55*($AG2572/100),(80+(20-$O$5)+30*($AG2572/100))))))))))</f>
        <v>100</v>
      </c>
      <c r="AI2572" s="262">
        <v>7769</v>
      </c>
      <c r="AJ2572" s="262"/>
      <c r="AK2572" s="262"/>
      <c r="AL2572" s="263"/>
      <c r="AM2572" s="264"/>
      <c r="AN2572" s="263"/>
      <c r="AO2572" s="263"/>
      <c r="AP2572" s="265"/>
      <c r="AQ2572" s="266">
        <v>12808</v>
      </c>
      <c r="AR2572" s="267">
        <v>72615</v>
      </c>
      <c r="AS2572" s="263"/>
      <c r="AT2572" s="263"/>
      <c r="AU2572" s="263"/>
      <c r="AV2572" s="264"/>
      <c r="AW2572" s="263"/>
      <c r="AX2572" s="263"/>
      <c r="AY2572" s="263"/>
      <c r="AZ2572" s="263"/>
      <c r="BA2572" s="263"/>
      <c r="BB2572" s="263"/>
      <c r="BC2572" s="263"/>
      <c r="BD2572" s="264"/>
      <c r="BE2572" s="263"/>
      <c r="BF2572" s="263"/>
      <c r="BG2572" s="263"/>
      <c r="BH2572" s="263"/>
      <c r="BI2572" s="263"/>
      <c r="BJ2572" s="404">
        <f>altaz(J2000_Bas,$O2572,$M2572,DecLat,DecLong,2)</f>
        <v>80.827611268456167</v>
      </c>
      <c r="BK2572" s="378" t="s">
        <v>2422</v>
      </c>
      <c r="BL2572" s="379">
        <f>IF((2*G2572)/60&lt;0.2,0.2,(2*G2572)/60)</f>
        <v>0.2</v>
      </c>
      <c r="BM2572" s="380">
        <f>MOD((50000+AD2572-$B$3+(0/24)),1)</f>
        <v>0.20206308725028066</v>
      </c>
      <c r="BN2572" s="381"/>
      <c r="BO2572" s="382">
        <v>2563</v>
      </c>
    </row>
    <row r="2573" spans="1:67" s="24" customFormat="1" ht="15" customHeight="1" x14ac:dyDescent="0.25">
      <c r="A2573" s="288" t="s">
        <v>2423</v>
      </c>
      <c r="B2573" s="241" t="str">
        <f>HYPERLINK(CONCATENATE($AT$3,BK2573,$AU$3),$AV$3)</f>
        <v>S</v>
      </c>
      <c r="C2573" s="242" t="str">
        <f>HYPERLINK(CONCATENATE($AT$4,BK2573,$AU$4,BL2573),$AV$4)</f>
        <v>A</v>
      </c>
      <c r="D2573" s="243" t="s">
        <v>5638</v>
      </c>
      <c r="E2573" s="244" t="s">
        <v>5192</v>
      </c>
      <c r="F2573" s="269" t="s">
        <v>8932</v>
      </c>
      <c r="G2573" s="273">
        <v>2.5</v>
      </c>
      <c r="H2573" s="283">
        <v>195</v>
      </c>
      <c r="I2573" s="246">
        <v>150</v>
      </c>
      <c r="J2573" s="246">
        <v>3</v>
      </c>
      <c r="K2573" s="247" t="s">
        <v>7702</v>
      </c>
      <c r="L2573" s="248">
        <v>235125</v>
      </c>
      <c r="M2573" s="249">
        <f>15*(LEFT(TEXT($L2573,"000000"),2)+(MID(TEXT($L2573,"000000"),3,2)/60)+(RIGHT(TEXT($L2573,"000000"),2)/3600))</f>
        <v>357.85416666666669</v>
      </c>
      <c r="N2573" s="250">
        <v>200643</v>
      </c>
      <c r="O2573" s="251">
        <f>IF($N2573&gt;0,(LEFT(TEXT($N2573,"000000"),2)+(MID(TEXT($N2573,"000000"),3,2)/60)+(RIGHT(TEXT($N2573,"000000"),2)/3600)),-(MID(TEXT($N2573,"000000"),2,2)+(MID(TEXT($N2573,"000000"),4,2)/60)+(RIGHT(TEXT($N2573,"000000"),2)/3600)))</f>
        <v>20.111944444444447</v>
      </c>
      <c r="P2573" s="252" t="s">
        <v>39</v>
      </c>
      <c r="Q2573" s="253"/>
      <c r="R2573" s="247" t="s">
        <v>3293</v>
      </c>
      <c r="S2573" s="272" t="s">
        <v>7701</v>
      </c>
      <c r="T2573" s="273">
        <v>12.3</v>
      </c>
      <c r="U2573" s="289">
        <v>21.990000000000002</v>
      </c>
      <c r="V2573" s="280">
        <v>65</v>
      </c>
      <c r="W2573" s="244"/>
      <c r="X2573" s="244"/>
      <c r="Y2573" s="362"/>
      <c r="Z2573" s="257">
        <f>altaz(J2000_Bas,$O2573,$M2573,DecLat,DecLong,1)</f>
        <v>25.328590378077919</v>
      </c>
      <c r="AA2573" s="257">
        <f>altaz((J2000_Bas+(2*0.04167)),$O2573,$M2573,DecLat,DecLong,1)</f>
        <v>51.026852699526586</v>
      </c>
      <c r="AB2573" s="257">
        <f>altaz((J2000_Bas+(4*0.04167)),$O2573,$M2573,DecLat,DecLong,1)</f>
        <v>74.867457869421898</v>
      </c>
      <c r="AC2573" s="257">
        <f>altaz((J2000_Bas+(6*0.04167)),$O2573,$M2573,DecLat,DecLong,1)</f>
        <v>70.192964135317368</v>
      </c>
      <c r="AD2573" s="258">
        <f>1+ transit((J2000_Bas-1),$O2573,$M2573,DecLat,DecLong)/360 + (GMTOffset/24) + (IF(DST="Y", 1, 0)/24)</f>
        <v>1.9869392130776247</v>
      </c>
      <c r="AE2573" s="259">
        <f>DATE(2001,9,21)+(M2573/360)*365 - (360*((DecLong/360)- (GMTOffset/24) ))</f>
        <v>37522.824363425927</v>
      </c>
      <c r="AF2573" s="260">
        <f>IF(DecLat&gt;0,IF((90 - (DecLat-O2573))&gt;90, (90 - (O2573-DecLat)), (90 - (DecLat-O2573))),IF((90 + (DecLat-O2573))&gt;90, (90 + (O2573-DecLat)), (90 + (DecLat-O2573))))</f>
        <v>79.111944444444447</v>
      </c>
      <c r="AG2573" s="257">
        <f>angularseperation(MoonRA,MoonDec,$M2573,$O2573)</f>
        <v>115.04889843021009</v>
      </c>
      <c r="AH2573" s="261">
        <f ca="1">MIN(100,IF($O$5&gt;80,0+30*($AG2573/100),IF($O$5&gt;70,0+50*($AG2573/100),IF($O$5&gt;60,5+50*($AG2573/100),IF($O$5&gt;50,10+60*($AG2573/100),IF($O$5&gt;40,15+70*($AG2573/100),IF($O$5&gt;30,20+70*($AG2573/100),IF($O$5&gt;20,40+55*($AG2573/100),(80+(20-$O$5)+30*($AG2573/100))))))))))</f>
        <v>100</v>
      </c>
      <c r="AI2573" s="262">
        <v>7771</v>
      </c>
      <c r="AJ2573" s="262"/>
      <c r="AK2573" s="262"/>
      <c r="AL2573" s="263"/>
      <c r="AM2573" s="264"/>
      <c r="AN2573" s="263"/>
      <c r="AO2573" s="263"/>
      <c r="AP2573" s="265"/>
      <c r="AQ2573" s="266">
        <v>12815</v>
      </c>
      <c r="AR2573" s="267">
        <v>72638</v>
      </c>
      <c r="AS2573" s="263"/>
      <c r="AT2573" s="263"/>
      <c r="AU2573" s="263"/>
      <c r="AV2573" s="264"/>
      <c r="AW2573" s="263"/>
      <c r="AX2573" s="263"/>
      <c r="AY2573" s="263"/>
      <c r="AZ2573" s="263"/>
      <c r="BA2573" s="263"/>
      <c r="BB2573" s="263"/>
      <c r="BC2573" s="263"/>
      <c r="BD2573" s="264"/>
      <c r="BE2573" s="263"/>
      <c r="BF2573" s="263"/>
      <c r="BG2573" s="263"/>
      <c r="BH2573" s="263"/>
      <c r="BI2573" s="263"/>
      <c r="BJ2573" s="404">
        <f>altaz(J2000_Bas,$O2573,$M2573,DecLat,DecLong,2)</f>
        <v>80.826453401571982</v>
      </c>
      <c r="BK2573" s="378" t="s">
        <v>2423</v>
      </c>
      <c r="BL2573" s="379">
        <f>IF((2*G2573)/60&lt;0.2,0.2,(2*G2573)/60)</f>
        <v>0.2</v>
      </c>
      <c r="BM2573" s="380">
        <f>MOD((50000+AD2573-$B$3+(0/24)),1)</f>
        <v>0.20230614278261783</v>
      </c>
      <c r="BN2573" s="381"/>
      <c r="BO2573" s="382">
        <v>2564</v>
      </c>
    </row>
    <row r="2574" spans="1:67" s="24" customFormat="1" ht="15" customHeight="1" x14ac:dyDescent="0.25">
      <c r="A2574" s="288" t="s">
        <v>7604</v>
      </c>
      <c r="B2574" s="241" t="str">
        <f>HYPERLINK(CONCATENATE($AT$3,BK2574,$AU$3),$AV$3)</f>
        <v>S</v>
      </c>
      <c r="C2574" s="242" t="str">
        <f>HYPERLINK(CONCATENATE($AT$4,BK2574,$AU$4,BL2574),$AV$4)</f>
        <v>A</v>
      </c>
      <c r="D2574" s="243" t="s">
        <v>5638</v>
      </c>
      <c r="E2574" s="244" t="s">
        <v>5625</v>
      </c>
      <c r="F2574" s="269">
        <v>4</v>
      </c>
      <c r="G2574" s="282">
        <v>12</v>
      </c>
      <c r="H2574" s="283">
        <v>250</v>
      </c>
      <c r="I2574" s="284">
        <v>900</v>
      </c>
      <c r="J2574" s="246">
        <v>2</v>
      </c>
      <c r="K2574" s="247" t="s">
        <v>7704</v>
      </c>
      <c r="L2574" s="248">
        <v>235354</v>
      </c>
      <c r="M2574" s="249">
        <f>15*(LEFT(TEXT($L2574,"000000"),2)+(MID(TEXT($L2574,"000000"),3,2)/60)+(RIGHT(TEXT($L2574,"000000"),2)/3600))</f>
        <v>358.47500000000002</v>
      </c>
      <c r="N2574" s="286">
        <v>75814</v>
      </c>
      <c r="O2574" s="251">
        <f>IF($N2574&gt;0,(LEFT(TEXT($N2574,"000000"),2)+(MID(TEXT($N2574,"000000"),3,2)/60)+(RIGHT(TEXT($N2574,"000000"),2)/3600)),-(MID(TEXT($N2574,"000000"),2,2)+(MID(TEXT($N2574,"000000"),4,2)/60)+(RIGHT(TEXT($N2574,"000000"),2)/3600)))</f>
        <v>7.9705555555555554</v>
      </c>
      <c r="P2574" s="252" t="s">
        <v>158</v>
      </c>
      <c r="Q2574" s="253"/>
      <c r="R2574" s="247" t="s">
        <v>3293</v>
      </c>
      <c r="S2574" s="272" t="s">
        <v>3293</v>
      </c>
      <c r="T2574" s="273">
        <v>12.2</v>
      </c>
      <c r="U2574" s="289">
        <v>22.19</v>
      </c>
      <c r="V2574" s="280"/>
      <c r="W2574" s="244"/>
      <c r="X2574" s="244"/>
      <c r="Y2574" s="362"/>
      <c r="Z2574" s="257">
        <f>altaz(J2000_Bas,$O2574,$M2574,DecLat,DecLong,1)</f>
        <v>19.091202362093338</v>
      </c>
      <c r="AA2574" s="257">
        <f>altaz((J2000_Bas+(2*0.04167)),$O2574,$M2574,DecLat,DecLong,1)</f>
        <v>44.299076849330355</v>
      </c>
      <c r="AB2574" s="257">
        <f>altaz((J2000_Bas+(4*0.04167)),$O2574,$M2574,DecLat,DecLong,1)</f>
        <v>64.264460750015573</v>
      </c>
      <c r="AC2574" s="257">
        <f>altaz((J2000_Bas+(6*0.04167)),$O2574,$M2574,DecLat,DecLong,1)</f>
        <v>61.612468624234999</v>
      </c>
      <c r="AD2574" s="258">
        <f>1+ transit((J2000_Bas-1),$O2574,$M2574,DecLat,DecLong)/360 + (GMTOffset/24) + (IF(DST="Y", 1, 0)/24)</f>
        <v>1.9886637499422084</v>
      </c>
      <c r="AE2574" s="259">
        <f>DATE(2001,9,21)+(M2574/360)*365 - (360*((DecLong/360)- (GMTOffset/24) ))</f>
        <v>37523.453819444447</v>
      </c>
      <c r="AF2574" s="260">
        <f>IF(DecLat&gt;0,IF((90 - (DecLat-O2574))&gt;90, (90 - (O2574-DecLat)), (90 - (DecLat-O2574))),IF((90 + (DecLat-O2574))&gt;90, (90 + (O2574-DecLat)), (90 + (DecLat-O2574))))</f>
        <v>66.970555555555563</v>
      </c>
      <c r="AG2574" s="257">
        <f>angularseperation(MoonRA,MoonDec,$M2574,$O2574)</f>
        <v>110.70696518984383</v>
      </c>
      <c r="AH2574" s="261">
        <f ca="1">MIN(100,IF($O$5&gt;80,0+30*($AG2574/100),IF($O$5&gt;70,0+50*($AG2574/100),IF($O$5&gt;60,5+50*($AG2574/100),IF($O$5&gt;50,10+60*($AG2574/100),IF($O$5&gt;40,15+70*($AG2574/100),IF($O$5&gt;30,20+70*($AG2574/100),IF($O$5&gt;20,40+55*($AG2574/100),(80+(20-$O$5)+30*($AG2574/100))))))))))</f>
        <v>100</v>
      </c>
      <c r="AI2574" s="262">
        <v>7782</v>
      </c>
      <c r="AJ2574" s="262"/>
      <c r="AK2574" s="262"/>
      <c r="AL2574" s="263"/>
      <c r="AM2574" s="264"/>
      <c r="AN2574" s="263"/>
      <c r="AO2574" s="263"/>
      <c r="AP2574" s="265"/>
      <c r="AQ2574" s="266">
        <v>12834</v>
      </c>
      <c r="AR2574" s="267">
        <v>72788</v>
      </c>
      <c r="AS2574" s="263"/>
      <c r="AT2574" s="263"/>
      <c r="AU2574" s="263"/>
      <c r="AV2574" s="264"/>
      <c r="AW2574" s="263"/>
      <c r="AX2574" s="263"/>
      <c r="AY2574" s="263"/>
      <c r="AZ2574" s="263"/>
      <c r="BA2574" s="263"/>
      <c r="BB2574" s="263"/>
      <c r="BC2574" s="263"/>
      <c r="BD2574" s="264"/>
      <c r="BE2574" s="263"/>
      <c r="BF2574" s="263"/>
      <c r="BG2574" s="263"/>
      <c r="BH2574" s="263"/>
      <c r="BI2574" s="263"/>
      <c r="BJ2574" s="404">
        <f>altaz(J2000_Bas,$O2574,$M2574,DecLat,DecLong,2)</f>
        <v>92.107682633266961</v>
      </c>
      <c r="BK2574" s="378" t="s">
        <v>2424</v>
      </c>
      <c r="BL2574" s="379">
        <f>IF((2*G2574)/60&lt;0.2,0.2,(2*G2574)/60)</f>
        <v>0.4</v>
      </c>
      <c r="BM2574" s="380">
        <f>MOD((50000+AD2574-$B$3+(0/24)),1)</f>
        <v>0.20403067964798538</v>
      </c>
      <c r="BN2574" s="381"/>
      <c r="BO2574" s="382">
        <v>2565</v>
      </c>
    </row>
    <row r="2575" spans="1:67" s="24" customFormat="1" ht="15" customHeight="1" x14ac:dyDescent="0.25">
      <c r="A2575" s="288" t="s">
        <v>2425</v>
      </c>
      <c r="B2575" s="241" t="str">
        <f>HYPERLINK(CONCATENATE($AT$3,BK2575,$AU$3),$AV$3)</f>
        <v>S</v>
      </c>
      <c r="C2575" s="242" t="str">
        <f>HYPERLINK(CONCATENATE($AT$4,BK2575,$AU$4,BL2575),$AV$4)</f>
        <v>A</v>
      </c>
      <c r="D2575" s="243" t="s">
        <v>5335</v>
      </c>
      <c r="E2575" s="244" t="s">
        <v>5185</v>
      </c>
      <c r="F2575" s="269" t="s">
        <v>7498</v>
      </c>
      <c r="G2575" s="276">
        <v>25</v>
      </c>
      <c r="H2575" s="283">
        <v>6000</v>
      </c>
      <c r="I2575" s="244">
        <v>42</v>
      </c>
      <c r="J2575" s="246">
        <v>4</v>
      </c>
      <c r="K2575" s="247" t="s">
        <v>8831</v>
      </c>
      <c r="L2575" s="248">
        <v>235724</v>
      </c>
      <c r="M2575" s="249">
        <f>15*(LEFT(TEXT($L2575,"000000"),2)+(MID(TEXT($L2575,"000000"),3,2)/60)+(RIGHT(TEXT($L2575,"000000"),2)/3600))</f>
        <v>359.35</v>
      </c>
      <c r="N2575" s="250">
        <v>564230</v>
      </c>
      <c r="O2575" s="251">
        <f>IF($N2575&gt;0,(LEFT(TEXT($N2575,"000000"),2)+(MID(TEXT($N2575,"000000"),3,2)/60)+(RIGHT(TEXT($N2575,"000000"),2)/3600)),-(MID(TEXT($N2575,"000000"),2,2)+(MID(TEXT($N2575,"000000"),4,2)/60)+(RIGHT(TEXT($N2575,"000000"),2)/3600)))</f>
        <v>56.708333333333336</v>
      </c>
      <c r="P2575" s="252" t="s">
        <v>49</v>
      </c>
      <c r="Q2575" s="253" t="s">
        <v>7101</v>
      </c>
      <c r="R2575" s="277" t="s">
        <v>3293</v>
      </c>
      <c r="S2575" s="272" t="s">
        <v>3293</v>
      </c>
      <c r="T2575" s="273">
        <v>6.7</v>
      </c>
      <c r="U2575" s="274"/>
      <c r="V2575" s="280"/>
      <c r="W2575" s="244"/>
      <c r="X2575" s="244"/>
      <c r="Y2575" s="362"/>
      <c r="Z2575" s="257">
        <f>altaz(J2000_Bas,$O2575,$M2575,DecLat,DecLong,1)</f>
        <v>34.426201035473269</v>
      </c>
      <c r="AA2575" s="257">
        <f>altaz((J2000_Bas+(2*0.04167)),$O2575,$M2575,DecLat,DecLong,1)</f>
        <v>50.636722550304086</v>
      </c>
      <c r="AB2575" s="257">
        <f>altaz((J2000_Bas+(4*0.04167)),$O2575,$M2575,DecLat,DecLong,1)</f>
        <v>62.70078204744906</v>
      </c>
      <c r="AC2575" s="257">
        <f>altaz((J2000_Bas+(6*0.04167)),$O2575,$M2575,DecLat,DecLong,1)</f>
        <v>61.724473692969951</v>
      </c>
      <c r="AD2575" s="258">
        <f>1+ transit((J2000_Bas-1),$O2575,$M2575,DecLat,DecLong)/360 + (GMTOffset/24) + (IF(DST="Y", 1, 0)/24)</f>
        <v>1.9910943052547079</v>
      </c>
      <c r="AE2575" s="259">
        <f>DATE(2001,9,21)+(M2575/360)*365 - (360*((DecLong/360)- (GMTOffset/24) ))</f>
        <v>37524.34097222222</v>
      </c>
      <c r="AF2575" s="260">
        <f>IF(DecLat&gt;0,IF((90 - (DecLat-O2575))&gt;90, (90 - (O2575-DecLat)), (90 - (DecLat-O2575))),IF((90 + (DecLat-O2575))&gt;90, (90 + (O2575-DecLat)), (90 + (DecLat-O2575))))</f>
        <v>64.291666666666657</v>
      </c>
      <c r="AG2575" s="257">
        <f>angularseperation(MoonRA,MoonDec,$M2575,$O2575)</f>
        <v>123.27045065426228</v>
      </c>
      <c r="AH2575" s="261">
        <f ca="1">MIN(100,IF($O$5&gt;80,0+30*($AG2575/100),IF($O$5&gt;70,0+50*($AG2575/100),IF($O$5&gt;60,5+50*($AG2575/100),IF($O$5&gt;50,10+60*($AG2575/100),IF($O$5&gt;40,15+70*($AG2575/100),IF($O$5&gt;30,20+70*($AG2575/100),IF($O$5&gt;20,40+55*($AG2575/100),(80+(20-$O$5)+30*($AG2575/100))))))))))</f>
        <v>100</v>
      </c>
      <c r="AI2575" s="262">
        <v>7789</v>
      </c>
      <c r="AJ2575" s="262"/>
      <c r="AK2575" s="262">
        <v>398</v>
      </c>
      <c r="AL2575" s="263"/>
      <c r="AM2575" s="264"/>
      <c r="AN2575" s="263"/>
      <c r="AO2575" s="263"/>
      <c r="AP2575" s="265"/>
      <c r="AQ2575" s="266"/>
      <c r="AR2575" s="267"/>
      <c r="AS2575" s="263"/>
      <c r="AT2575" s="263"/>
      <c r="AU2575" s="263"/>
      <c r="AV2575" s="264"/>
      <c r="AW2575" s="263"/>
      <c r="AX2575" s="263"/>
      <c r="AY2575" s="263"/>
      <c r="AZ2575" s="263"/>
      <c r="BA2575" s="263"/>
      <c r="BB2575" s="263"/>
      <c r="BC2575" s="263"/>
      <c r="BD2575" s="264"/>
      <c r="BE2575" s="263">
        <v>108</v>
      </c>
      <c r="BF2575" s="263"/>
      <c r="BG2575" s="263"/>
      <c r="BH2575" s="263"/>
      <c r="BI2575" s="263"/>
      <c r="BJ2575" s="404">
        <f>altaz(J2000_Bas,$O2575,$M2575,DecLat,DecLong,2)</f>
        <v>39.608817127575058</v>
      </c>
      <c r="BK2575" s="378" t="s">
        <v>2425</v>
      </c>
      <c r="BL2575" s="379">
        <f>IF((2*G2575)/60&lt;0.2,0.2,(2*G2575)/60)</f>
        <v>0.83333333333333337</v>
      </c>
      <c r="BM2575" s="380">
        <f>MOD((50000+AD2575-$B$3+(0/24)),1)</f>
        <v>0.20646123495680513</v>
      </c>
      <c r="BN2575" s="381"/>
      <c r="BO2575" s="382">
        <v>2566</v>
      </c>
    </row>
    <row r="2576" spans="1:67" s="24" customFormat="1" ht="15" customHeight="1" x14ac:dyDescent="0.25">
      <c r="A2576" s="288" t="s">
        <v>2426</v>
      </c>
      <c r="B2576" s="241" t="str">
        <f>HYPERLINK(CONCATENATE($AT$3,BK2576,$AU$3),$AV$3)</f>
        <v>S</v>
      </c>
      <c r="C2576" s="242" t="str">
        <f>HYPERLINK(CONCATENATE($AT$4,BK2576,$AU$4,BL2576),$AV$4)</f>
        <v>A</v>
      </c>
      <c r="D2576" s="243" t="s">
        <v>5335</v>
      </c>
      <c r="E2576" s="244" t="s">
        <v>5185</v>
      </c>
      <c r="F2576" s="269" t="s">
        <v>6633</v>
      </c>
      <c r="G2576" s="276">
        <v>17</v>
      </c>
      <c r="H2576" s="283">
        <v>10000</v>
      </c>
      <c r="I2576" s="244">
        <v>50</v>
      </c>
      <c r="J2576" s="246">
        <v>2</v>
      </c>
      <c r="K2576" s="247" t="s">
        <v>8833</v>
      </c>
      <c r="L2576" s="248">
        <v>235824</v>
      </c>
      <c r="M2576" s="249">
        <f>15*(LEFT(TEXT($L2576,"000000"),2)+(MID(TEXT($L2576,"000000"),3,2)/60)+(RIGHT(TEXT($L2576,"000000"),2)/3600))</f>
        <v>359.59999999999997</v>
      </c>
      <c r="N2576" s="250">
        <v>611230</v>
      </c>
      <c r="O2576" s="251">
        <f>IF($N2576&gt;0,(LEFT(TEXT($N2576,"000000"),2)+(MID(TEXT($N2576,"000000"),3,2)/60)+(RIGHT(TEXT($N2576,"000000"),2)/3600)),-(MID(TEXT($N2576,"000000"),2,2)+(MID(TEXT($N2576,"000000"),4,2)/60)+(RIGHT(TEXT($N2576,"000000"),2)/3600)))</f>
        <v>61.208333333333336</v>
      </c>
      <c r="P2576" s="252" t="s">
        <v>49</v>
      </c>
      <c r="Q2576" s="253"/>
      <c r="R2576" s="247" t="s">
        <v>3293</v>
      </c>
      <c r="S2576" s="272" t="s">
        <v>8832</v>
      </c>
      <c r="T2576" s="273">
        <v>8.5</v>
      </c>
      <c r="U2576" s="274"/>
      <c r="V2576" s="280"/>
      <c r="W2576" s="244"/>
      <c r="X2576" s="244"/>
      <c r="Y2576" s="362"/>
      <c r="Z2576" s="257">
        <f>altaz(J2000_Bas,$O2576,$M2576,DecLat,DecLong,1)</f>
        <v>34.607101781580845</v>
      </c>
      <c r="AA2576" s="257">
        <f>altaz((J2000_Bas+(2*0.04167)),$O2576,$M2576,DecLat,DecLong,1)</f>
        <v>48.656525871260726</v>
      </c>
      <c r="AB2576" s="257">
        <f>altaz((J2000_Bas+(4*0.04167)),$O2576,$M2576,DecLat,DecLong,1)</f>
        <v>58.530183776050556</v>
      </c>
      <c r="AC2576" s="257">
        <f>altaz((J2000_Bas+(6*0.04167)),$O2576,$M2576,DecLat,DecLong,1)</f>
        <v>57.873900068950476</v>
      </c>
      <c r="AD2576" s="258">
        <f>1+ transit((J2000_Bas-1),$O2576,$M2576,DecLat,DecLong)/360 + (GMTOffset/24) + (IF(DST="Y", 1, 0)/24)</f>
        <v>1.991788749629708</v>
      </c>
      <c r="AE2576" s="259">
        <f>DATE(2001,9,21)+(M2576/360)*365 - (360*((DecLong/360)- (GMTOffset/24) ))</f>
        <v>37524.594444444447</v>
      </c>
      <c r="AF2576" s="260">
        <f>IF(DecLat&gt;0,IF((90 - (DecLat-O2576))&gt;90, (90 - (O2576-DecLat)), (90 - (DecLat-O2576))),IF((90 + (DecLat-O2576))&gt;90, (90 + (O2576-DecLat)), (90 + (DecLat-O2576))))</f>
        <v>59.791666666666664</v>
      </c>
      <c r="AG2576" s="257">
        <f>angularseperation(MoonRA,MoonDec,$M2576,$O2576)</f>
        <v>123.24290973365193</v>
      </c>
      <c r="AH2576" s="261">
        <f ca="1">MIN(100,IF($O$5&gt;80,0+30*($AG2576/100),IF($O$5&gt;70,0+50*($AG2576/100),IF($O$5&gt;60,5+50*($AG2576/100),IF($O$5&gt;50,10+60*($AG2576/100),IF($O$5&gt;40,15+70*($AG2576/100),IF($O$5&gt;30,20+70*($AG2576/100),IF($O$5&gt;20,40+55*($AG2576/100),(80+(20-$O$5)+30*($AG2576/100))))))))))</f>
        <v>100</v>
      </c>
      <c r="AI2576" s="262">
        <v>7790</v>
      </c>
      <c r="AJ2576" s="262"/>
      <c r="AK2576" s="262">
        <v>399</v>
      </c>
      <c r="AL2576" s="263"/>
      <c r="AM2576" s="264"/>
      <c r="AN2576" s="263"/>
      <c r="AO2576" s="263"/>
      <c r="AP2576" s="265"/>
      <c r="AQ2576" s="266"/>
      <c r="AR2576" s="267"/>
      <c r="AS2576" s="263"/>
      <c r="AT2576" s="263"/>
      <c r="AU2576" s="263"/>
      <c r="AV2576" s="264"/>
      <c r="AW2576" s="263"/>
      <c r="AX2576" s="263"/>
      <c r="AY2576" s="263"/>
      <c r="AZ2576" s="263"/>
      <c r="BA2576" s="263"/>
      <c r="BB2576" s="263"/>
      <c r="BC2576" s="263"/>
      <c r="BD2576" s="264"/>
      <c r="BE2576" s="263"/>
      <c r="BF2576" s="263">
        <v>109</v>
      </c>
      <c r="BG2576" s="263"/>
      <c r="BH2576" s="263"/>
      <c r="BI2576" s="263"/>
      <c r="BJ2576" s="404">
        <f>altaz(J2000_Bas,$O2576,$M2576,DecLat,DecLong,2)</f>
        <v>34.148911021519957</v>
      </c>
      <c r="BK2576" s="378" t="s">
        <v>2426</v>
      </c>
      <c r="BL2576" s="379">
        <f>IF((2*G2576)/60&lt;0.2,0.2,(2*G2576)/60)</f>
        <v>0.56666666666666665</v>
      </c>
      <c r="BM2576" s="380">
        <f>MOD((50000+AD2576-$B$3+(0/24)),1)</f>
        <v>0.20715567933075363</v>
      </c>
      <c r="BN2576" s="381"/>
      <c r="BO2576" s="382">
        <v>2567</v>
      </c>
    </row>
    <row r="2577" spans="1:67" s="24" customFormat="1" ht="15" customHeight="1" x14ac:dyDescent="0.25">
      <c r="A2577" s="288" t="s">
        <v>2427</v>
      </c>
      <c r="B2577" s="241" t="str">
        <f>HYPERLINK(CONCATENATE($AT$3,BK2577,$AU$3),$AV$3)</f>
        <v>S</v>
      </c>
      <c r="C2577" s="242" t="str">
        <f>HYPERLINK(CONCATENATE($AT$4,BK2577,$AU$4,BL2577),$AV$4)</f>
        <v>A</v>
      </c>
      <c r="D2577" s="243" t="s">
        <v>5638</v>
      </c>
      <c r="E2577" s="244" t="s">
        <v>4292</v>
      </c>
      <c r="F2577" s="269"/>
      <c r="G2577" s="276">
        <v>10</v>
      </c>
      <c r="H2577" s="283">
        <v>13</v>
      </c>
      <c r="I2577" s="246">
        <v>40</v>
      </c>
      <c r="J2577" s="246">
        <v>2</v>
      </c>
      <c r="K2577" s="247" t="s">
        <v>7705</v>
      </c>
      <c r="L2577" s="248">
        <v>235750</v>
      </c>
      <c r="M2577" s="249">
        <f>15*(LEFT(TEXT($L2577,"000000"),2)+(MID(TEXT($L2577,"000000"),3,2)/60)+(RIGHT(TEXT($L2577,"000000"),2)/3600))</f>
        <v>359.45833333333331</v>
      </c>
      <c r="N2577" s="250">
        <v>-323528</v>
      </c>
      <c r="O2577" s="251">
        <f>IF($N2577&gt;0,(LEFT(TEXT($N2577,"000000"),2)+(MID(TEXT($N2577,"000000"),3,2)/60)+(RIGHT(TEXT($N2577,"000000"),2)/3600)),-(MID(TEXT($N2577,"000000"),2,2)+(MID(TEXT($N2577,"000000"),4,2)/60)+(RIGHT(TEXT($N2577,"000000"),2)/3600)))</f>
        <v>-32.591111111111111</v>
      </c>
      <c r="P2577" s="252" t="s">
        <v>1181</v>
      </c>
      <c r="Q2577" s="253" t="s">
        <v>2428</v>
      </c>
      <c r="R2577" s="247" t="s">
        <v>3293</v>
      </c>
      <c r="S2577" s="272" t="s">
        <v>3293</v>
      </c>
      <c r="T2577" s="273">
        <v>9.1</v>
      </c>
      <c r="U2577" s="289">
        <v>22.29</v>
      </c>
      <c r="V2577" s="280">
        <v>40</v>
      </c>
      <c r="W2577" s="244"/>
      <c r="X2577" s="244"/>
      <c r="Y2577" s="362"/>
      <c r="Z2577" s="257">
        <f>altaz(J2000_Bas,$O2577,$M2577,DecLat,DecLong,1)</f>
        <v>-4.1156931179095926</v>
      </c>
      <c r="AA2577" s="257">
        <f>altaz((J2000_Bas+(2*0.04167)),$O2577,$M2577,DecLat,DecLong,1)</f>
        <v>14.333030811999532</v>
      </c>
      <c r="AB2577" s="257">
        <f>altaz((J2000_Bas+(4*0.04167)),$O2577,$M2577,DecLat,DecLong,1)</f>
        <v>25.178697767573354</v>
      </c>
      <c r="AC2577" s="257">
        <f>altaz((J2000_Bas+(6*0.04167)),$O2577,$M2577,DecLat,DecLong,1)</f>
        <v>24.453718837838846</v>
      </c>
      <c r="AD2577" s="258">
        <f>1+ transit((J2000_Bas-1),$O2577,$M2577,DecLat,DecLong)/360 + (GMTOffset/24) + (IF(DST="Y", 1, 0)/24)</f>
        <v>1.991395231150541</v>
      </c>
      <c r="AE2577" s="259">
        <f>DATE(2001,9,21)+(M2577/360)*365 - (360*((DecLong/360)- (GMTOffset/24) ))</f>
        <v>37524.450810185182</v>
      </c>
      <c r="AF2577" s="260">
        <f>IF(DecLat&gt;0,IF((90 - (DecLat-O2577))&gt;90, (90 - (O2577-DecLat)), (90 - (DecLat-O2577))),IF((90 + (DecLat-O2577))&gt;90, (90 + (O2577-DecLat)), (90 + (DecLat-O2577))))</f>
        <v>26.408888888888889</v>
      </c>
      <c r="AG2577" s="257">
        <f>angularseperation(MoonRA,MoonDec,$M2577,$O2577)</f>
        <v>90.801199705512275</v>
      </c>
      <c r="AH2577" s="261">
        <f ca="1">MIN(100,IF($O$5&gt;80,0+30*($AG2577/100),IF($O$5&gt;70,0+50*($AG2577/100),IF($O$5&gt;60,5+50*($AG2577/100),IF($O$5&gt;50,10+60*($AG2577/100),IF($O$5&gt;40,15+70*($AG2577/100),IF($O$5&gt;30,20+70*($AG2577/100),IF($O$5&gt;20,40+55*($AG2577/100),(80+(20-$O$5)+30*($AG2577/100))))))))))</f>
        <v>100</v>
      </c>
      <c r="AI2577" s="262">
        <v>7793</v>
      </c>
      <c r="AJ2577" s="262"/>
      <c r="AK2577" s="262"/>
      <c r="AL2577" s="263"/>
      <c r="AM2577" s="264"/>
      <c r="AN2577" s="263"/>
      <c r="AO2577" s="263"/>
      <c r="AP2577" s="265"/>
      <c r="AQ2577" s="266"/>
      <c r="AR2577" s="267">
        <v>73049</v>
      </c>
      <c r="AS2577" s="263"/>
      <c r="AT2577" s="263"/>
      <c r="AU2577" s="263"/>
      <c r="AV2577" s="264"/>
      <c r="AW2577" s="263"/>
      <c r="AX2577" s="263"/>
      <c r="AY2577" s="263"/>
      <c r="AZ2577" s="263"/>
      <c r="BA2577" s="263"/>
      <c r="BB2577" s="263"/>
      <c r="BC2577" s="263"/>
      <c r="BD2577" s="264"/>
      <c r="BE2577" s="263">
        <v>109</v>
      </c>
      <c r="BF2577" s="263"/>
      <c r="BG2577" s="263"/>
      <c r="BH2577" s="263"/>
      <c r="BI2577" s="263"/>
      <c r="BJ2577" s="404">
        <f>altaz(J2000_Bas,$O2577,$M2577,DecLat,DecLong,2)</f>
        <v>125.92916263850302</v>
      </c>
      <c r="BK2577" s="378" t="s">
        <v>2427</v>
      </c>
      <c r="BL2577" s="379">
        <f>IF((2*G2577)/60&lt;0.2,0.2,(2*G2577)/60)</f>
        <v>0.33333333333333331</v>
      </c>
      <c r="BM2577" s="380">
        <f>MOD((50000+AD2577-$B$3+(0/24)),1)</f>
        <v>0.20676216085121268</v>
      </c>
      <c r="BN2577" s="381"/>
      <c r="BO2577" s="382">
        <v>2568</v>
      </c>
    </row>
    <row r="2578" spans="1:67" s="24" customFormat="1" ht="15" customHeight="1" x14ac:dyDescent="0.25">
      <c r="A2578" s="288" t="s">
        <v>2429</v>
      </c>
      <c r="B2578" s="241" t="str">
        <f>HYPERLINK(CONCATENATE($AT$3,BK2578,$AU$3),$AV$3)</f>
        <v>S</v>
      </c>
      <c r="C2578" s="242" t="str">
        <f>HYPERLINK(CONCATENATE($AT$4,BK2578,$AU$4,BL2578),$AV$4)</f>
        <v>A</v>
      </c>
      <c r="D2578" s="243" t="s">
        <v>5638</v>
      </c>
      <c r="E2578" s="244" t="s">
        <v>3259</v>
      </c>
      <c r="F2578" s="269"/>
      <c r="G2578" s="273">
        <v>2</v>
      </c>
      <c r="H2578" s="283">
        <v>70</v>
      </c>
      <c r="I2578" s="246">
        <v>40</v>
      </c>
      <c r="J2578" s="246">
        <v>2</v>
      </c>
      <c r="K2578" s="247" t="s">
        <v>7706</v>
      </c>
      <c r="L2578" s="248">
        <v>235937</v>
      </c>
      <c r="M2578" s="249">
        <f>15*(LEFT(TEXT($L2578,"000000"),2)+(MID(TEXT($L2578,"000000"),3,2)/60)+(RIGHT(TEXT($L2578,"000000"),2)/3600))</f>
        <v>359.90416666666664</v>
      </c>
      <c r="N2578" s="250">
        <v>144825</v>
      </c>
      <c r="O2578" s="251">
        <f>IF($N2578&gt;0,(LEFT(TEXT($N2578,"000000"),2)+(MID(TEXT($N2578,"000000"),3,2)/60)+(RIGHT(TEXT($N2578,"000000"),2)/3600)),-(MID(TEXT($N2578,"000000"),2,2)+(MID(TEXT($N2578,"000000"),4,2)/60)+(RIGHT(TEXT($N2578,"000000"),2)/3600)))</f>
        <v>14.806944444444445</v>
      </c>
      <c r="P2578" s="252" t="s">
        <v>39</v>
      </c>
      <c r="Q2578" s="253"/>
      <c r="R2578" s="247" t="s">
        <v>3293</v>
      </c>
      <c r="S2578" s="272" t="s">
        <v>3293</v>
      </c>
      <c r="T2578" s="273">
        <v>12.5</v>
      </c>
      <c r="U2578" s="289">
        <v>22.59</v>
      </c>
      <c r="V2578" s="280"/>
      <c r="W2578" s="244"/>
      <c r="X2578" s="244"/>
      <c r="Y2578" s="362"/>
      <c r="Z2578" s="257">
        <f>altaz(J2000_Bas,$O2578,$M2578,DecLat,DecLong,1)</f>
        <v>21.187102476883844</v>
      </c>
      <c r="AA2578" s="257">
        <f>altaz((J2000_Bas+(2*0.04167)),$O2578,$M2578,DecLat,DecLong,1)</f>
        <v>46.851131160086368</v>
      </c>
      <c r="AB2578" s="257">
        <f>altaz((J2000_Bas+(4*0.04167)),$O2578,$M2578,DecLat,DecLong,1)</f>
        <v>69.494550062483128</v>
      </c>
      <c r="AC2578" s="257">
        <f>altaz((J2000_Bas+(6*0.04167)),$O2578,$M2578,DecLat,DecLong,1)</f>
        <v>67.942314686444135</v>
      </c>
      <c r="AD2578" s="258">
        <f>1+ transit((J2000_Bas-1),$O2578,$M2578,DecLat,DecLong)/360 + (GMTOffset/24) + (IF(DST="Y", 1, 0)/24)</f>
        <v>1.9926336569526246</v>
      </c>
      <c r="AE2578" s="259">
        <f>DATE(2001,9,21)+(M2578/360)*365 - (360*((DecLong/360)- (GMTOffset/24) ))</f>
        <v>37524.90283564815</v>
      </c>
      <c r="AF2578" s="260">
        <f>IF(DecLat&gt;0,IF((90 - (DecLat-O2578))&gt;90, (90 - (O2578-DecLat)), (90 - (DecLat-O2578))),IF((90 + (DecLat-O2578))&gt;90, (90 + (O2578-DecLat)), (90 + (DecLat-O2578))))</f>
        <v>73.80694444444444</v>
      </c>
      <c r="AG2578" s="257">
        <f>angularseperation(MoonRA,MoonDec,$M2578,$O2578)</f>
        <v>114.84016799448924</v>
      </c>
      <c r="AH2578" s="261">
        <f ca="1">MIN(100,IF($O$5&gt;80,0+30*($AG2578/100),IF($O$5&gt;70,0+50*($AG2578/100),IF($O$5&gt;60,5+50*($AG2578/100),IF($O$5&gt;50,10+60*($AG2578/100),IF($O$5&gt;40,15+70*($AG2578/100),IF($O$5&gt;30,20+70*($AG2578/100),IF($O$5&gt;20,40+55*($AG2578/100),(80+(20-$O$5)+30*($AG2578/100))))))))))</f>
        <v>100</v>
      </c>
      <c r="AI2578" s="262">
        <v>7800</v>
      </c>
      <c r="AJ2578" s="262"/>
      <c r="AK2578" s="262"/>
      <c r="AL2578" s="263"/>
      <c r="AM2578" s="264"/>
      <c r="AN2578" s="263"/>
      <c r="AO2578" s="263"/>
      <c r="AP2578" s="265"/>
      <c r="AQ2578" s="266">
        <v>12885</v>
      </c>
      <c r="AR2578" s="267">
        <v>73177</v>
      </c>
      <c r="AS2578" s="263"/>
      <c r="AT2578" s="263"/>
      <c r="AU2578" s="263"/>
      <c r="AV2578" s="264"/>
      <c r="AW2578" s="263"/>
      <c r="AX2578" s="263"/>
      <c r="AY2578" s="263"/>
      <c r="AZ2578" s="263"/>
      <c r="BA2578" s="263"/>
      <c r="BB2578" s="263"/>
      <c r="BC2578" s="263"/>
      <c r="BD2578" s="264"/>
      <c r="BE2578" s="263"/>
      <c r="BF2578" s="263"/>
      <c r="BG2578" s="263"/>
      <c r="BH2578" s="263"/>
      <c r="BI2578" s="263"/>
      <c r="BJ2578" s="404">
        <f>altaz(J2000_Bas,$O2578,$M2578,DecLat,DecLong,2)</f>
        <v>85.017028433106418</v>
      </c>
      <c r="BK2578" s="378" t="s">
        <v>2429</v>
      </c>
      <c r="BL2578" s="379">
        <f>IF((2*G2578)/60&lt;0.2,0.2,(2*G2578)/60)</f>
        <v>0.2</v>
      </c>
      <c r="BM2578" s="380">
        <f>MOD((50000+AD2578-$B$3+(0/24)),1)</f>
        <v>0.20800058665918186</v>
      </c>
      <c r="BN2578" s="381"/>
      <c r="BO2578" s="382">
        <v>2569</v>
      </c>
    </row>
    <row r="2579" spans="1:67" s="24" customFormat="1" ht="15" customHeight="1" x14ac:dyDescent="0.25">
      <c r="A2579" s="288" t="s">
        <v>2430</v>
      </c>
      <c r="B2579" s="241" t="str">
        <f>HYPERLINK(CONCATENATE($AT$3,BK2579,$AU$3),$AV$3)</f>
        <v>S</v>
      </c>
      <c r="C2579" s="242" t="str">
        <f>HYPERLINK(CONCATENATE($AT$4,BK2579,$AU$4,BL2579),$AV$4)</f>
        <v>A</v>
      </c>
      <c r="D2579" s="243" t="s">
        <v>5638</v>
      </c>
      <c r="E2579" s="244" t="s">
        <v>5192</v>
      </c>
      <c r="F2579" s="269" t="s">
        <v>8696</v>
      </c>
      <c r="G2579" s="273">
        <v>7</v>
      </c>
      <c r="H2579" s="283">
        <v>50</v>
      </c>
      <c r="I2579" s="246">
        <v>100</v>
      </c>
      <c r="J2579" s="246">
        <v>4</v>
      </c>
      <c r="K2579" s="247" t="s">
        <v>8598</v>
      </c>
      <c r="L2579" s="248">
        <v>315</v>
      </c>
      <c r="M2579" s="249">
        <f>15*(LEFT(TEXT($L2579,"000000"),2)+(MID(TEXT($L2579,"000000"),3,2)/60)+(RIGHT(TEXT($L2579,"000000"),2)/3600))</f>
        <v>0.8125</v>
      </c>
      <c r="N2579" s="250">
        <v>160843</v>
      </c>
      <c r="O2579" s="251">
        <f>IF($N2579&gt;0,(LEFT(TEXT($N2579,"000000"),2)+(MID(TEXT($N2579,"000000"),3,2)/60)+(RIGHT(TEXT($N2579,"000000"),2)/3600)),-(MID(TEXT($N2579,"000000"),2,2)+(MID(TEXT($N2579,"000000"),4,2)/60)+(RIGHT(TEXT($N2579,"000000"),2)/3600)))</f>
        <v>16.145277777777778</v>
      </c>
      <c r="P2579" s="252" t="s">
        <v>39</v>
      </c>
      <c r="Q2579" s="253" t="s">
        <v>6865</v>
      </c>
      <c r="R2579" s="277" t="s">
        <v>7365</v>
      </c>
      <c r="S2579" s="272" t="s">
        <v>3293</v>
      </c>
      <c r="T2579" s="273">
        <v>10.6</v>
      </c>
      <c r="U2579" s="289">
        <v>22.09</v>
      </c>
      <c r="V2579" s="280">
        <v>90</v>
      </c>
      <c r="W2579" s="244"/>
      <c r="X2579" s="244"/>
      <c r="Y2579" s="362"/>
      <c r="Z2579" s="257">
        <f>altaz(J2000_Bas,$O2579,$M2579,DecLat,DecLong,1)</f>
        <v>21.036208740261053</v>
      </c>
      <c r="AA2579" s="257">
        <f>altaz((J2000_Bas+(2*0.04167)),$O2579,$M2579,DecLat,DecLong,1)</f>
        <v>46.736260121813217</v>
      </c>
      <c r="AB2579" s="257">
        <f>altaz((J2000_Bas+(4*0.04167)),$O2579,$M2579,DecLat,DecLong,1)</f>
        <v>70.025382588364394</v>
      </c>
      <c r="AC2579" s="257">
        <f>altaz((J2000_Bas+(6*0.04167)),$O2579,$M2579,DecLat,DecLong,1)</f>
        <v>69.529001552565788</v>
      </c>
      <c r="AD2579" s="258">
        <f>1+ transit((J2000_Bas-1),$O2579,$M2579,DecLat,DecLong)/360 + (GMTOffset/24) + (IF(DST="Y", 1, 0)/24)</f>
        <v>0.99515690484845776</v>
      </c>
      <c r="AE2579" s="259">
        <f>DATE(2001,9,21)+(M2579/360)*365 - (360*((DecLong/360)- (GMTOffset/24) ))</f>
        <v>37160.823784722219</v>
      </c>
      <c r="AF2579" s="260">
        <f>IF(DecLat&gt;0,IF((90 - (DecLat-O2579))&gt;90, (90 - (O2579-DecLat)), (90 - (DecLat-O2579))),IF((90 + (DecLat-O2579))&gt;90, (90 + (O2579-DecLat)), (90 + (DecLat-O2579))))</f>
        <v>75.145277777777778</v>
      </c>
      <c r="AG2579" s="257">
        <f>angularseperation(MoonRA,MoonDec,$M2579,$O2579)</f>
        <v>116.16943264603121</v>
      </c>
      <c r="AH2579" s="261">
        <f ca="1">MIN(100,IF($O$5&gt;80,0+30*($AG2579/100),IF($O$5&gt;70,0+50*($AG2579/100),IF($O$5&gt;60,5+50*($AG2579/100),IF($O$5&gt;50,10+60*($AG2579/100),IF($O$5&gt;40,15+70*($AG2579/100),IF($O$5&gt;30,20+70*($AG2579/100),IF($O$5&gt;20,40+55*($AG2579/100),(80+(20-$O$5)+30*($AG2579/100))))))))))</f>
        <v>100</v>
      </c>
      <c r="AI2579" s="262">
        <v>7814</v>
      </c>
      <c r="AJ2579" s="262"/>
      <c r="AK2579" s="262">
        <v>400</v>
      </c>
      <c r="AL2579" s="263"/>
      <c r="AM2579" s="264">
        <v>43</v>
      </c>
      <c r="AN2579" s="263"/>
      <c r="AO2579" s="263"/>
      <c r="AP2579" s="265"/>
      <c r="AQ2579" s="266">
        <v>8</v>
      </c>
      <c r="AR2579" s="267">
        <v>218</v>
      </c>
      <c r="AS2579" s="263"/>
      <c r="AT2579" s="263"/>
      <c r="AU2579" s="263"/>
      <c r="AV2579" s="264"/>
      <c r="AW2579" s="263"/>
      <c r="AX2579" s="263"/>
      <c r="AY2579" s="263"/>
      <c r="AZ2579" s="263"/>
      <c r="BA2579" s="263"/>
      <c r="BB2579" s="263"/>
      <c r="BC2579" s="263"/>
      <c r="BD2579" s="264"/>
      <c r="BE2579" s="263"/>
      <c r="BF2579" s="263"/>
      <c r="BG2579" s="263"/>
      <c r="BH2579" s="263"/>
      <c r="BI2579" s="263"/>
      <c r="BJ2579" s="404">
        <f>altaz(J2000_Bas,$O2579,$M2579,DecLat,DecLong,2)</f>
        <v>83.310415518111427</v>
      </c>
      <c r="BK2579" s="378" t="s">
        <v>2430</v>
      </c>
      <c r="BL2579" s="379">
        <f>IF((2*G2579)/60&lt;0.2,0.2,(2*G2579)/60)</f>
        <v>0.23333333333333334</v>
      </c>
      <c r="BM2579" s="380">
        <f>MOD((50000+AD2579-$B$3+(0/24)),1)</f>
        <v>0.21052383455389645</v>
      </c>
      <c r="BN2579" s="381" t="s">
        <v>9218</v>
      </c>
      <c r="BO2579" s="382">
        <v>2570</v>
      </c>
    </row>
    <row r="2580" spans="1:67" s="24" customFormat="1" ht="15" customHeight="1" x14ac:dyDescent="0.25">
      <c r="A2580" s="288" t="s">
        <v>2431</v>
      </c>
      <c r="B2580" s="241" t="str">
        <f>HYPERLINK(CONCATENATE($AT$3,BK2580,$AU$3),$AV$3)</f>
        <v>S</v>
      </c>
      <c r="C2580" s="242" t="str">
        <f>HYPERLINK(CONCATENATE($AT$4,BK2580,$AU$4,BL2580),$AV$4)</f>
        <v>A</v>
      </c>
      <c r="D2580" s="243" t="s">
        <v>5187</v>
      </c>
      <c r="E2580" s="244" t="s">
        <v>5183</v>
      </c>
      <c r="F2580" s="269" t="s">
        <v>9163</v>
      </c>
      <c r="G2580" s="276">
        <v>190</v>
      </c>
      <c r="H2580" s="283">
        <v>3000</v>
      </c>
      <c r="I2580" s="246">
        <v>160</v>
      </c>
      <c r="J2580" s="246">
        <v>4</v>
      </c>
      <c r="K2580" s="247" t="s">
        <v>8839</v>
      </c>
      <c r="L2580" s="248">
        <v>336</v>
      </c>
      <c r="M2580" s="249">
        <f>15*(LEFT(TEXT($L2580,"000000"),2)+(MID(TEXT($L2580,"000000"),3,2)/60)+(RIGHT(TEXT($L2580,"000000"),2)/3600))</f>
        <v>0.9</v>
      </c>
      <c r="N2580" s="250">
        <v>670900</v>
      </c>
      <c r="O2580" s="251">
        <f>IF($N2580&gt;0,(LEFT(TEXT($N2580,"000000"),2)+(MID(TEXT($N2580,"000000"),3,2)/60)+(RIGHT(TEXT($N2580,"000000"),2)/3600)),-(MID(TEXT($N2580,"000000"),2,2)+(MID(TEXT($N2580,"000000"),4,2)/60)+(RIGHT(TEXT($N2580,"000000"),2)/3600)))</f>
        <v>67.150000000000006</v>
      </c>
      <c r="P2580" s="252" t="s">
        <v>52</v>
      </c>
      <c r="Q2580" s="253"/>
      <c r="R2580" s="277" t="s">
        <v>3293</v>
      </c>
      <c r="S2580" s="272" t="s">
        <v>3293</v>
      </c>
      <c r="T2580" s="273"/>
      <c r="U2580" s="274"/>
      <c r="V2580" s="280"/>
      <c r="W2580" s="244"/>
      <c r="X2580" s="244"/>
      <c r="Y2580" s="362"/>
      <c r="Z2580" s="257">
        <f>altaz(J2000_Bas,$O2580,$M2580,DecLat,DecLong,1)</f>
        <v>34.148883164519162</v>
      </c>
      <c r="AA2580" s="257">
        <f>altaz((J2000_Bas+(2*0.04167)),$O2580,$M2580,DecLat,DecLong,1)</f>
        <v>45.296134040246777</v>
      </c>
      <c r="AB2580" s="257">
        <f>altaz((J2000_Bas+(4*0.04167)),$O2580,$M2580,DecLat,DecLong,1)</f>
        <v>52.800820102335891</v>
      </c>
      <c r="AC2580" s="257">
        <f>altaz((J2000_Bas+(6*0.04167)),$O2580,$M2580,DecLat,DecLong,1)</f>
        <v>52.71118502741664</v>
      </c>
      <c r="AD2580" s="258">
        <f>1+ transit((J2000_Bas-1),$O2580,$M2580,DecLat,DecLong)/360 + (GMTOffset/24) + (IF(DST="Y", 1, 0)/24)</f>
        <v>0.99539996037970779</v>
      </c>
      <c r="AE2580" s="259">
        <f>DATE(2001,9,21)+(M2580/360)*365 - (360*((DecLong/360)- (GMTOffset/24) ))</f>
        <v>37160.912499999999</v>
      </c>
      <c r="AF2580" s="260">
        <f>IF(DecLat&gt;0,IF((90 - (DecLat-O2580))&gt;90, (90 - (O2580-DecLat)), (90 - (DecLat-O2580))),IF((90 + (DecLat-O2580))&gt;90, (90 + (O2580-DecLat)), (90 + (DecLat-O2580))))</f>
        <v>53.849999999999994</v>
      </c>
      <c r="AG2580" s="257">
        <f>angularseperation(MoonRA,MoonDec,$M2580,$O2580)</f>
        <v>123.17294190514946</v>
      </c>
      <c r="AH2580" s="261">
        <f ca="1">MIN(100,IF($O$5&gt;80,0+30*($AG2580/100),IF($O$5&gt;70,0+50*($AG2580/100),IF($O$5&gt;60,5+50*($AG2580/100),IF($O$5&gt;50,10+60*($AG2580/100),IF($O$5&gt;40,15+70*($AG2580/100),IF($O$5&gt;30,20+70*($AG2580/100),IF($O$5&gt;20,40+55*($AG2580/100),(80+(20-$O$5)+30*($AG2580/100))))))))))</f>
        <v>100</v>
      </c>
      <c r="AI2580" s="262">
        <v>7822</v>
      </c>
      <c r="AJ2580" s="262"/>
      <c r="AK2580" s="262"/>
      <c r="AL2580" s="263"/>
      <c r="AM2580" s="264"/>
      <c r="AN2580" s="263"/>
      <c r="AO2580" s="263"/>
      <c r="AP2580" s="265"/>
      <c r="AQ2580" s="266"/>
      <c r="AR2580" s="267"/>
      <c r="AS2580" s="263"/>
      <c r="AT2580" s="263"/>
      <c r="AU2580" s="263"/>
      <c r="AV2580" s="264"/>
      <c r="AW2580" s="263"/>
      <c r="AX2580" s="263"/>
      <c r="AY2580" s="263"/>
      <c r="AZ2580" s="263"/>
      <c r="BA2580" s="263"/>
      <c r="BB2580" s="263">
        <v>171</v>
      </c>
      <c r="BC2580" s="263"/>
      <c r="BD2580" s="264"/>
      <c r="BE2580" s="263"/>
      <c r="BF2580" s="263"/>
      <c r="BG2580" s="263">
        <v>1</v>
      </c>
      <c r="BH2580" s="263"/>
      <c r="BI2580" s="263"/>
      <c r="BJ2580" s="404">
        <f>altaz(J2000_Bas,$O2580,$M2580,DecLat,DecLong,2)</f>
        <v>26.937341474822642</v>
      </c>
      <c r="BK2580" s="378" t="s">
        <v>2431</v>
      </c>
      <c r="BL2580" s="379">
        <f>IF((2*G2580)/60&lt;0.2,0.2,(2*G2580)/60)</f>
        <v>6.333333333333333</v>
      </c>
      <c r="BM2580" s="380">
        <f>MOD((50000+AD2580-$B$3+(0/24)),1)</f>
        <v>0.21076689008623362</v>
      </c>
      <c r="BN2580" s="381"/>
      <c r="BO2580" s="382">
        <v>2571</v>
      </c>
    </row>
    <row r="2581" spans="1:67" s="24" customFormat="1" ht="15" customHeight="1" x14ac:dyDescent="0.25">
      <c r="A2581" s="288" t="s">
        <v>2432</v>
      </c>
      <c r="B2581" s="241" t="str">
        <f>HYPERLINK(CONCATENATE($AT$3,BK2581,$AU$3),$AV$3)</f>
        <v>S</v>
      </c>
      <c r="C2581" s="242" t="str">
        <f>HYPERLINK(CONCATENATE($AT$4,BK2581,$AU$4,BL2581),$AV$4)</f>
        <v>A</v>
      </c>
      <c r="D2581" s="243" t="s">
        <v>5187</v>
      </c>
      <c r="E2581" s="244" t="s">
        <v>5179</v>
      </c>
      <c r="F2581" s="269"/>
      <c r="G2581" s="276">
        <v>480</v>
      </c>
      <c r="H2581" s="283">
        <v>500</v>
      </c>
      <c r="I2581" s="246">
        <v>70</v>
      </c>
      <c r="J2581" s="246">
        <v>2</v>
      </c>
      <c r="K2581" s="247" t="s">
        <v>8620</v>
      </c>
      <c r="L2581" s="248">
        <v>204000</v>
      </c>
      <c r="M2581" s="249">
        <f>15*(LEFT(TEXT($L2581,"000000"),2)+(MID(TEXT($L2581,"000000"),3,2)/60)+(RIGHT(TEXT($L2581,"000000"),2)/3600))</f>
        <v>310</v>
      </c>
      <c r="N2581" s="250">
        <v>410000</v>
      </c>
      <c r="O2581" s="251">
        <f>IF($N2581&gt;0,(LEFT(TEXT($N2581,"000000"),2)+(MID(TEXT($N2581,"000000"),3,2)/60)+(RIGHT(TEXT($N2581,"000000"),2)/3600)),-(MID(TEXT($N2581,"000000"),2,2)+(MID(TEXT($N2581,"000000"),4,2)/60)+(RIGHT(TEXT($N2581,"000000"),2)/3600)))</f>
        <v>41</v>
      </c>
      <c r="P2581" s="252" t="s">
        <v>60</v>
      </c>
      <c r="Q2581" s="253" t="s">
        <v>2432</v>
      </c>
      <c r="R2581" s="247" t="s">
        <v>3293</v>
      </c>
      <c r="S2581" s="272" t="s">
        <v>3293</v>
      </c>
      <c r="T2581" s="273"/>
      <c r="U2581" s="274"/>
      <c r="V2581" s="280"/>
      <c r="W2581" s="244"/>
      <c r="X2581" s="244"/>
      <c r="Y2581" s="362"/>
      <c r="Z2581" s="257">
        <f>altaz(J2000_Bas,$O2581,$M2581,DecLat,DecLong,1)</f>
        <v>68.262643764450274</v>
      </c>
      <c r="AA2581" s="257">
        <f>altaz((J2000_Bas+(2*0.04167)),$O2581,$M2581,DecLat,DecLong,1)</f>
        <v>78.860669092651108</v>
      </c>
      <c r="AB2581" s="257">
        <f>altaz((J2000_Bas+(4*0.04167)),$O2581,$M2581,DecLat,DecLong,1)</f>
        <v>59.329670974289478</v>
      </c>
      <c r="AC2581" s="257">
        <f>altaz((J2000_Bas+(6*0.04167)),$O2581,$M2581,DecLat,DecLong,1)</f>
        <v>36.753426390081287</v>
      </c>
      <c r="AD2581" s="258">
        <f>1+ transit((J2000_Bas-1),$O2581,$M2581,DecLat,DecLong)/360 + (GMTOffset/24) + (IF(DST="Y", 1, 0)/24)</f>
        <v>1.854010985629708</v>
      </c>
      <c r="AE2581" s="259">
        <f>DATE(2001,9,21)+(M2581/360)*365 - (360*((DecLong/360)- (GMTOffset/24) ))</f>
        <v>37474.305555555555</v>
      </c>
      <c r="AF2581" s="260">
        <f>IF(DecLat&gt;0,IF((90 - (DecLat-O2581))&gt;90, (90 - (O2581-DecLat)), (90 - (DecLat-O2581))),IF((90 + (DecLat-O2581))&gt;90, (90 + (O2581-DecLat)), (90 + (DecLat-O2581))))</f>
        <v>80</v>
      </c>
      <c r="AG2581" s="257">
        <f>angularseperation(MoonRA,MoonDec,$M2581,$O2581)</f>
        <v>88.307070520217465</v>
      </c>
      <c r="AH2581" s="261">
        <f ca="1">MIN(100,IF($O$5&gt;80,0+30*($AG2581/100),IF($O$5&gt;70,0+50*($AG2581/100),IF($O$5&gt;60,5+50*($AG2581/100),IF($O$5&gt;50,10+60*($AG2581/100),IF($O$5&gt;40,15+70*($AG2581/100),IF($O$5&gt;30,20+70*($AG2581/100),IF($O$5&gt;20,40+55*($AG2581/100),(80+(20-$O$5)+30*($AG2581/100))))))))))</f>
        <v>100</v>
      </c>
      <c r="AI2581" s="262"/>
      <c r="AJ2581" s="262"/>
      <c r="AK2581" s="262"/>
      <c r="AL2581" s="263"/>
      <c r="AM2581" s="264"/>
      <c r="AN2581" s="263"/>
      <c r="AO2581" s="263"/>
      <c r="AP2581" s="265"/>
      <c r="AQ2581" s="266"/>
      <c r="AR2581" s="267"/>
      <c r="AS2581" s="263"/>
      <c r="AT2581" s="263"/>
      <c r="AU2581" s="263"/>
      <c r="AV2581" s="264"/>
      <c r="AW2581" s="263"/>
      <c r="AX2581" s="263"/>
      <c r="AY2581" s="263"/>
      <c r="AZ2581" s="263"/>
      <c r="BA2581" s="263"/>
      <c r="BB2581" s="263"/>
      <c r="BC2581" s="263"/>
      <c r="BD2581" s="264"/>
      <c r="BE2581" s="263">
        <v>102</v>
      </c>
      <c r="BF2581" s="263"/>
      <c r="BG2581" s="263"/>
      <c r="BH2581" s="263"/>
      <c r="BI2581" s="263"/>
      <c r="BJ2581" s="404">
        <f>altaz(J2000_Bas,$O2581,$M2581,DecLat,DecLong,2)</f>
        <v>55.972433118532614</v>
      </c>
      <c r="BK2581" s="378" t="s">
        <v>2432</v>
      </c>
      <c r="BL2581" s="379">
        <f>IF((2*G2581)/60&lt;0.2,0.2,(2*G2581)/60)</f>
        <v>16</v>
      </c>
      <c r="BM2581" s="380">
        <f>MOD((50000+AD2581-$B$3+(0/24)),1)</f>
        <v>6.9377915337099694E-2</v>
      </c>
      <c r="BN2581" s="381"/>
      <c r="BO2581" s="382">
        <v>2572</v>
      </c>
    </row>
    <row r="2582" spans="1:67" s="24" customFormat="1" ht="15" customHeight="1" x14ac:dyDescent="0.25">
      <c r="A2582" s="288" t="s">
        <v>5072</v>
      </c>
      <c r="B2582" s="241" t="str">
        <f>HYPERLINK(CONCATENATE($AT$3,BK2582,$AU$3),$AV$3)</f>
        <v>S</v>
      </c>
      <c r="C2582" s="242" t="str">
        <f>HYPERLINK(CONCATENATE($AT$4,BK2582,$AU$4,BL2582),$AV$4)</f>
        <v>A</v>
      </c>
      <c r="D2582" s="243" t="s">
        <v>5187</v>
      </c>
      <c r="E2582" s="244" t="s">
        <v>5181</v>
      </c>
      <c r="F2582" s="269" t="s">
        <v>5219</v>
      </c>
      <c r="G2582" s="273">
        <v>1.2</v>
      </c>
      <c r="H2582" s="271" t="s">
        <v>6500</v>
      </c>
      <c r="I2582" s="244" t="s">
        <v>6500</v>
      </c>
      <c r="J2582" s="246">
        <v>2</v>
      </c>
      <c r="K2582" s="247" t="s">
        <v>5073</v>
      </c>
      <c r="L2582" s="248">
        <v>3057</v>
      </c>
      <c r="M2582" s="249">
        <f>15*(LEFT(TEXT($L2582,"000000"),2)+(MID(TEXT($L2582,"000000"),3,2)/60)+(RIGHT(TEXT($L2582,"000000"),2)/3600))</f>
        <v>7.7375000000000007</v>
      </c>
      <c r="N2582" s="250">
        <v>612434</v>
      </c>
      <c r="O2582" s="251">
        <f>IF($N2582&gt;0,(LEFT(TEXT($N2582,"000000"),2)+(MID(TEXT($N2582,"000000"),3,2)/60)+(RIGHT(TEXT($N2582,"000000"),2)/3600)),-(MID(TEXT($N2582,"000000"),2,2)+(MID(TEXT($N2582,"000000"),4,2)/60)+(RIGHT(TEXT($N2582,"000000"),2)/3600)))</f>
        <v>61.409444444444446</v>
      </c>
      <c r="P2582" s="252" t="s">
        <v>49</v>
      </c>
      <c r="Q2582" s="253"/>
      <c r="R2582" s="277" t="s">
        <v>3271</v>
      </c>
      <c r="S2582" s="272" t="s">
        <v>3293</v>
      </c>
      <c r="T2582" s="273"/>
      <c r="U2582" s="274"/>
      <c r="V2582" s="280"/>
      <c r="W2582" s="244"/>
      <c r="X2582" s="244"/>
      <c r="Y2582" s="362"/>
      <c r="Z2582" s="257">
        <f>altaz(J2000_Bas,$O2582,$M2582,DecLat,DecLong,1)</f>
        <v>30.7439554855297</v>
      </c>
      <c r="AA2582" s="257">
        <f>altaz((J2000_Bas+(2*0.04167)),$O2582,$M2582,DecLat,DecLong,1)</f>
        <v>44.970652359632055</v>
      </c>
      <c r="AB2582" s="257">
        <f>altaz((J2000_Bas+(4*0.04167)),$O2582,$M2582,DecLat,DecLong,1)</f>
        <v>56.482273258237683</v>
      </c>
      <c r="AC2582" s="257">
        <f>altaz((J2000_Bas+(6*0.04167)),$O2582,$M2582,DecLat,DecLong,1)</f>
        <v>59.08213442347926</v>
      </c>
      <c r="AD2582" s="258">
        <f>1+ transit((J2000_Bas-1),$O2582,$M2582,DecLat,DecLong)/360 + (GMTOffset/24) + (IF(DST="Y", 1, 0)/24)</f>
        <v>1.0143930140359581</v>
      </c>
      <c r="AE2582" s="259">
        <f>DATE(2001,9,21)+(M2582/360)*365 - (360*((DecLong/360)- (GMTOffset/24) ))</f>
        <v>37167.844965277778</v>
      </c>
      <c r="AF2582" s="260">
        <f>IF(DecLat&gt;0,IF((90 - (DecLat-O2582))&gt;90, (90 - (O2582-DecLat)), (90 - (DecLat-O2582))),IF((90 + (DecLat-O2582))&gt;90, (90 + (O2582-DecLat)), (90 + (DecLat-O2582))))</f>
        <v>59.590555555555554</v>
      </c>
      <c r="AG2582" s="257">
        <f>angularseperation(MoonRA,MoonDec,$M2582,$O2582)</f>
        <v>127.0888988953475</v>
      </c>
      <c r="AH2582" s="261">
        <f ca="1">MIN(100,IF($O$5&gt;80,0+30*($AG2582/100),IF($O$5&gt;70,0+50*($AG2582/100),IF($O$5&gt;60,5+50*($AG2582/100),IF($O$5&gt;50,10+60*($AG2582/100),IF($O$5&gt;40,15+70*($AG2582/100),IF($O$5&gt;30,20+70*($AG2582/100),IF($O$5&gt;20,40+55*($AG2582/100),(80+(20-$O$5)+30*($AG2582/100))))))))))</f>
        <v>100</v>
      </c>
      <c r="AI2582" s="263"/>
      <c r="AJ2582" s="263"/>
      <c r="AK2582" s="263"/>
      <c r="AL2582" s="263"/>
      <c r="AM2582" s="264"/>
      <c r="AN2582" s="263"/>
      <c r="AO2582" s="263"/>
      <c r="AP2582" s="265"/>
      <c r="AQ2582" s="265"/>
      <c r="AR2582" s="285"/>
      <c r="AS2582" s="263"/>
      <c r="AT2582" s="263"/>
      <c r="AU2582" s="263"/>
      <c r="AV2582" s="264"/>
      <c r="AW2582" s="263"/>
      <c r="AX2582" s="263"/>
      <c r="AY2582" s="263"/>
      <c r="AZ2582" s="263"/>
      <c r="BA2582" s="263"/>
      <c r="BB2582" s="263"/>
      <c r="BC2582" s="263"/>
      <c r="BD2582" s="264"/>
      <c r="BE2582" s="263"/>
      <c r="BF2582" s="263"/>
      <c r="BG2582" s="263"/>
      <c r="BH2582" s="263"/>
      <c r="BI2582" s="263"/>
      <c r="BJ2582" s="404">
        <f>altaz(J2000_Bas,$O2582,$M2582,DecLat,DecLong,2)</f>
        <v>33.436765167898223</v>
      </c>
      <c r="BK2582" s="378" t="s">
        <v>5070</v>
      </c>
      <c r="BL2582" s="379">
        <f>IF((2*G2582)/60&lt;0.2,0.2,(2*G2582)/60)</f>
        <v>0.2</v>
      </c>
      <c r="BM2582" s="380">
        <f>MOD((50000+AD2582-$B$3+(0/24)),1)</f>
        <v>0.22975994373700814</v>
      </c>
      <c r="BN2582" s="381" t="s">
        <v>8665</v>
      </c>
      <c r="BO2582" s="382">
        <v>2573</v>
      </c>
    </row>
    <row r="2583" spans="1:67" s="24" customFormat="1" ht="15" customHeight="1" x14ac:dyDescent="0.25">
      <c r="A2583" s="288" t="s">
        <v>2433</v>
      </c>
      <c r="B2583" s="241" t="str">
        <f>HYPERLINK(CONCATENATE($AT$3,BK2583,$AU$3),$AV$3)</f>
        <v>S</v>
      </c>
      <c r="C2583" s="242" t="str">
        <f>HYPERLINK(CONCATENATE($AT$4,BK2583,$AU$4,BL2583),$AV$4)</f>
        <v>A</v>
      </c>
      <c r="D2583" s="243" t="s">
        <v>5187</v>
      </c>
      <c r="E2583" s="244" t="s">
        <v>5183</v>
      </c>
      <c r="F2583" s="269" t="s">
        <v>9171</v>
      </c>
      <c r="G2583" s="276">
        <v>60</v>
      </c>
      <c r="H2583" s="283">
        <v>3400</v>
      </c>
      <c r="I2583" s="246">
        <v>60</v>
      </c>
      <c r="J2583" s="246">
        <v>5</v>
      </c>
      <c r="K2583" s="247" t="s">
        <v>5074</v>
      </c>
      <c r="L2583" s="248">
        <v>211147</v>
      </c>
      <c r="M2583" s="249">
        <f>15*(LEFT(TEXT($L2583,"000000"),2)+(MID(TEXT($L2583,"000000"),3,2)/60)+(RIGHT(TEXT($L2583,"000000"),2)/3600))</f>
        <v>317.94583333333333</v>
      </c>
      <c r="N2583" s="286">
        <v>595701</v>
      </c>
      <c r="O2583" s="251">
        <f>IF($N2583&gt;0,(LEFT(TEXT($N2583,"000000"),2)+(MID(TEXT($N2583,"000000"),3,2)/60)+(RIGHT(TEXT($N2583,"000000"),2)/3600)),-(MID(TEXT($N2583,"000000"),2,2)+(MID(TEXT($N2583,"000000"),4,2)/60)+(RIGHT(TEXT($N2583,"000000"),2)/3600)))</f>
        <v>59.950277777777778</v>
      </c>
      <c r="P2583" s="252" t="s">
        <v>52</v>
      </c>
      <c r="Q2583" s="253" t="s">
        <v>7080</v>
      </c>
      <c r="R2583" s="247" t="s">
        <v>3293</v>
      </c>
      <c r="S2583" s="272" t="s">
        <v>3293</v>
      </c>
      <c r="T2583" s="273"/>
      <c r="U2583" s="274"/>
      <c r="V2583" s="280"/>
      <c r="W2583" s="244"/>
      <c r="X2583" s="244"/>
      <c r="Y2583" s="362"/>
      <c r="Z2583" s="257">
        <f>altaz(J2000_Bas,$O2583,$M2583,DecLat,DecLong,1)</f>
        <v>54.100174074668274</v>
      </c>
      <c r="AA2583" s="257">
        <f>altaz((J2000_Bas+(2*0.04167)),$O2583,$M2583,DecLat,DecLong,1)</f>
        <v>61.023002958307394</v>
      </c>
      <c r="AB2583" s="257">
        <f>altaz((J2000_Bas+(4*0.04167)),$O2583,$M2583,DecLat,DecLong,1)</f>
        <v>55.487297646120801</v>
      </c>
      <c r="AC2583" s="257">
        <f>altaz((J2000_Bas+(6*0.04167)),$O2583,$M2583,DecLat,DecLong,1)</f>
        <v>42.166933346289063</v>
      </c>
      <c r="AD2583" s="258">
        <f>1+ transit((J2000_Bas-1),$O2583,$M2583,DecLat,DecLong)/360 + (GMTOffset/24) + (IF(DST="Y", 1, 0)/24)</f>
        <v>1.8760827426817916</v>
      </c>
      <c r="AE2583" s="259">
        <f>DATE(2001,9,21)+(M2583/360)*365 - (360*((DecLong/360)- (GMTOffset/24) ))</f>
        <v>37482.361747685187</v>
      </c>
      <c r="AF2583" s="260">
        <f>IF(DecLat&gt;0,IF((90 - (DecLat-O2583))&gt;90, (90 - (O2583-DecLat)), (90 - (DecLat-O2583))),IF((90 + (DecLat-O2583))&gt;90, (90 + (O2583-DecLat)), (90 + (DecLat-O2583))))</f>
        <v>61.049722222222222</v>
      </c>
      <c r="AG2583" s="257">
        <f>angularseperation(MoonRA,MoonDec,$M2583,$O2583)</f>
        <v>103.42537590477869</v>
      </c>
      <c r="AH2583" s="261">
        <f ca="1">MIN(100,IF($O$5&gt;80,0+30*($AG2583/100),IF($O$5&gt;70,0+50*($AG2583/100),IF($O$5&gt;60,5+50*($AG2583/100),IF($O$5&gt;50,10+60*($AG2583/100),IF($O$5&gt;40,15+70*($AG2583/100),IF($O$5&gt;30,20+70*($AG2583/100),IF($O$5&gt;20,40+55*($AG2583/100),(80+(20-$O$5)+30*($AG2583/100))))))))))</f>
        <v>100</v>
      </c>
      <c r="AI2583" s="262"/>
      <c r="AJ2583" s="262"/>
      <c r="AK2583" s="262"/>
      <c r="AL2583" s="263"/>
      <c r="AM2583" s="264"/>
      <c r="AN2583" s="263"/>
      <c r="AO2583" s="263"/>
      <c r="AP2583" s="265"/>
      <c r="AQ2583" s="266"/>
      <c r="AR2583" s="267"/>
      <c r="AS2583" s="263"/>
      <c r="AT2583" s="263"/>
      <c r="AU2583" s="263"/>
      <c r="AV2583" s="264"/>
      <c r="AW2583" s="263"/>
      <c r="AX2583" s="263"/>
      <c r="AY2583" s="263"/>
      <c r="AZ2583" s="263"/>
      <c r="BA2583" s="263"/>
      <c r="BB2583" s="263">
        <v>129</v>
      </c>
      <c r="BC2583" s="263"/>
      <c r="BD2583" s="264"/>
      <c r="BE2583" s="263"/>
      <c r="BF2583" s="263"/>
      <c r="BG2583" s="263">
        <v>96</v>
      </c>
      <c r="BH2583" s="263"/>
      <c r="BI2583" s="263"/>
      <c r="BJ2583" s="404">
        <f>altaz(J2000_Bas,$O2583,$M2583,DecLat,DecLong,2)</f>
        <v>26.860850454860145</v>
      </c>
      <c r="BK2583" s="378" t="s">
        <v>5071</v>
      </c>
      <c r="BL2583" s="379">
        <f>IF((2*G2583)/60&lt;0.2,0.2,(2*G2583)/60)</f>
        <v>2</v>
      </c>
      <c r="BM2583" s="380">
        <f>MOD((50000+AD2583-$B$3+(0/24)),1)</f>
        <v>9.1449672385351732E-2</v>
      </c>
      <c r="BN2583" s="381"/>
      <c r="BO2583" s="382">
        <v>2574</v>
      </c>
    </row>
    <row r="2584" spans="1:67" s="24" customFormat="1" ht="15" customHeight="1" x14ac:dyDescent="0.25">
      <c r="A2584" s="288" t="s">
        <v>2434</v>
      </c>
      <c r="B2584" s="241"/>
      <c r="C2584" s="242" t="str">
        <f>HYPERLINK(CONCATENATE($AT$4,BK2584,$AU$4,BL2584),$AV$4)</f>
        <v>A</v>
      </c>
      <c r="D2584" s="243" t="s">
        <v>5335</v>
      </c>
      <c r="E2584" s="244" t="s">
        <v>5185</v>
      </c>
      <c r="F2584" s="269" t="s">
        <v>9068</v>
      </c>
      <c r="G2584" s="276">
        <v>30</v>
      </c>
      <c r="H2584" s="271" t="s">
        <v>6500</v>
      </c>
      <c r="I2584" s="244" t="s">
        <v>6500</v>
      </c>
      <c r="J2584" s="246">
        <v>2</v>
      </c>
      <c r="K2584" s="247" t="s">
        <v>6227</v>
      </c>
      <c r="L2584" s="248">
        <v>65300</v>
      </c>
      <c r="M2584" s="249">
        <f>15*(LEFT(TEXT($L2584,"000000"),2)+(MID(TEXT($L2584,"000000"),3,2)/60)+(RIGHT(TEXT($L2584,"000000"),2)/3600))</f>
        <v>103.25</v>
      </c>
      <c r="N2584" s="250">
        <v>-100700</v>
      </c>
      <c r="O2584" s="251">
        <f>IF($N2584&gt;0,(LEFT(TEXT($N2584,"000000"),2)+(MID(TEXT($N2584,"000000"),3,2)/60)+(RIGHT(TEXT($N2584,"000000"),2)/3600)),-(MID(TEXT($N2584,"000000"),2,2)+(MID(TEXT($N2584,"000000"),4,2)/60)+(RIGHT(TEXT($N2584,"000000"),2)/3600)))</f>
        <v>-10.116666666666667</v>
      </c>
      <c r="P2584" s="252" t="s">
        <v>47</v>
      </c>
      <c r="Q2584" s="253" t="s">
        <v>6930</v>
      </c>
      <c r="R2584" s="277" t="s">
        <v>3293</v>
      </c>
      <c r="S2584" s="272" t="s">
        <v>3293</v>
      </c>
      <c r="T2584" s="273"/>
      <c r="U2584" s="274"/>
      <c r="V2584" s="280"/>
      <c r="W2584" s="244"/>
      <c r="X2584" s="244"/>
      <c r="Y2584" s="362"/>
      <c r="Z2584" s="257">
        <f>altaz(J2000_Bas,$O2584,$M2584,DecLat,DecLong,1)</f>
        <v>-68.960727710859103</v>
      </c>
      <c r="AA2584" s="257">
        <f>altaz((J2000_Bas+(2*0.04167)),$O2584,$M2584,DecLat,DecLong,1)</f>
        <v>-53.080016530910676</v>
      </c>
      <c r="AB2584" s="257">
        <f>altaz((J2000_Bas+(4*0.04167)),$O2584,$M2584,DecLat,DecLong,1)</f>
        <v>-28.332684431800306</v>
      </c>
      <c r="AC2584" s="257">
        <f>altaz((J2000_Bas+(6*0.04167)),$O2584,$M2584,DecLat,DecLong,1)</f>
        <v>-2.6487419933249039</v>
      </c>
      <c r="AD2584" s="258">
        <f>1+ transit((J2000_Bas-1),$O2584,$M2584,DecLat,DecLong)/360 + (GMTOffset/24) + (IF(DST="Y", 1, 0)/24)</f>
        <v>1.279705487504708</v>
      </c>
      <c r="AE2584" s="259">
        <f>DATE(2001,9,21)+(M2584/360)*365 - (360*((DecLong/360)- (GMTOffset/24) ))</f>
        <v>37264.684027777781</v>
      </c>
      <c r="AF2584" s="260">
        <f>IF(DecLat&gt;0,IF((90 - (DecLat-O2584))&gt;90, (90 - (O2584-DecLat)), (90 - (DecLat-O2584))),IF((90 + (DecLat-O2584))&gt;90, (90 + (O2584-DecLat)), (90 + (DecLat-O2584))))</f>
        <v>48.883333333333333</v>
      </c>
      <c r="AG2584" s="257">
        <f>angularseperation(MoonRA,MoonDec,$M2584,$O2584)</f>
        <v>130.28610193396256</v>
      </c>
      <c r="AH2584" s="261">
        <f ca="1">MIN(100,IF($O$5&gt;80,0+30*($AG2584/100),IF($O$5&gt;70,0+50*($AG2584/100),IF($O$5&gt;60,5+50*($AG2584/100),IF($O$5&gt;50,10+60*($AG2584/100),IF($O$5&gt;40,15+70*($AG2584/100),IF($O$5&gt;30,20+70*($AG2584/100),IF($O$5&gt;20,40+55*($AG2584/100),(80+(20-$O$5)+30*($AG2584/100))))))))))</f>
        <v>100</v>
      </c>
      <c r="AI2584" s="263"/>
      <c r="AJ2584" s="263"/>
      <c r="AK2584" s="263"/>
      <c r="AL2584" s="263"/>
      <c r="AM2584" s="264"/>
      <c r="AN2584" s="263"/>
      <c r="AO2584" s="263"/>
      <c r="AP2584" s="265"/>
      <c r="AQ2584" s="265"/>
      <c r="AR2584" s="285"/>
      <c r="AS2584" s="263"/>
      <c r="AT2584" s="263"/>
      <c r="AU2584" s="263"/>
      <c r="AV2584" s="264"/>
      <c r="AW2584" s="263"/>
      <c r="AX2584" s="263"/>
      <c r="AY2584" s="263"/>
      <c r="AZ2584" s="263"/>
      <c r="BA2584" s="263"/>
      <c r="BB2584" s="263"/>
      <c r="BC2584" s="263"/>
      <c r="BD2584" s="264"/>
      <c r="BE2584" s="263"/>
      <c r="BF2584" s="263"/>
      <c r="BG2584" s="263"/>
      <c r="BH2584" s="263"/>
      <c r="BI2584" s="263"/>
      <c r="BJ2584" s="404">
        <f>altaz(J2000_Bas,$O2584,$M2584,DecLat,DecLong,2)</f>
        <v>7.5671848627736562</v>
      </c>
      <c r="BK2584" s="378" t="s">
        <v>6488</v>
      </c>
      <c r="BL2584" s="379">
        <f>IF((2*G2584)/60&lt;0.2,0.2,(2*G2584)/60)</f>
        <v>1</v>
      </c>
      <c r="BM2584" s="380">
        <f>MOD((50000+AD2584-$B$3+(0/24)),1)</f>
        <v>0.49507241720857564</v>
      </c>
      <c r="BN2584" s="381"/>
      <c r="BO2584" s="382">
        <v>2575</v>
      </c>
    </row>
    <row r="2585" spans="1:67" s="24" customFormat="1" ht="15" customHeight="1" x14ac:dyDescent="0.25">
      <c r="A2585" s="288" t="s">
        <v>2435</v>
      </c>
      <c r="B2585" s="241" t="str">
        <f>HYPERLINK(CONCATENATE($AT$3,BK2585,$AU$3),$AV$3)</f>
        <v>S</v>
      </c>
      <c r="C2585" s="242" t="str">
        <f>HYPERLINK(CONCATENATE($AT$4,BK2585,$AU$4,BL2585),$AV$4)</f>
        <v>A</v>
      </c>
      <c r="D2585" s="243" t="s">
        <v>5335</v>
      </c>
      <c r="E2585" s="244" t="s">
        <v>5184</v>
      </c>
      <c r="F2585" s="269" t="s">
        <v>3308</v>
      </c>
      <c r="G2585" s="273">
        <v>3</v>
      </c>
      <c r="H2585" s="283">
        <v>60000</v>
      </c>
      <c r="I2585" s="246">
        <v>50</v>
      </c>
      <c r="J2585" s="246">
        <v>2</v>
      </c>
      <c r="K2585" s="247" t="s">
        <v>5075</v>
      </c>
      <c r="L2585" s="248">
        <v>214636</v>
      </c>
      <c r="M2585" s="249">
        <f>15*(LEFT(TEXT($L2585,"000000"),2)+(MID(TEXT($L2585,"000000"),3,2)/60)+(RIGHT(TEXT($L2585,"000000"),2)/3600))</f>
        <v>326.65000000000003</v>
      </c>
      <c r="N2585" s="250">
        <v>-211500</v>
      </c>
      <c r="O2585" s="251">
        <f>IF($N2585&gt;0,(LEFT(TEXT($N2585,"000000"),2)+(MID(TEXT($N2585,"000000"),3,2)/60)+(RIGHT(TEXT($N2585,"000000"),2)/3600)),-(MID(TEXT($N2585,"000000"),2,2)+(MID(TEXT($N2585,"000000"),4,2)/60)+(RIGHT(TEXT($N2585,"000000"),2)/3600)))</f>
        <v>-21.25</v>
      </c>
      <c r="P2585" s="252" t="s">
        <v>1120</v>
      </c>
      <c r="Q2585" s="253"/>
      <c r="R2585" s="247" t="s">
        <v>3293</v>
      </c>
      <c r="S2585" s="272" t="s">
        <v>3293</v>
      </c>
      <c r="T2585" s="273">
        <v>12</v>
      </c>
      <c r="U2585" s="274"/>
      <c r="V2585" s="280"/>
      <c r="W2585" s="244"/>
      <c r="X2585" s="244"/>
      <c r="Y2585" s="362"/>
      <c r="Z2585" s="257">
        <f>altaz(J2000_Bas,$O2585,$M2585,DecLat,DecLong,1)</f>
        <v>24.801274306887315</v>
      </c>
      <c r="AA2585" s="257">
        <f>altaz((J2000_Bas+(2*0.04167)),$O2585,$M2585,DecLat,DecLong,1)</f>
        <v>36.775398750488478</v>
      </c>
      <c r="AB2585" s="257">
        <f>altaz((J2000_Bas+(4*0.04167)),$O2585,$M2585,DecLat,DecLong,1)</f>
        <v>34.492142422203123</v>
      </c>
      <c r="AC2585" s="257">
        <f>altaz((J2000_Bas+(6*0.04167)),$O2585,$M2585,DecLat,DecLong,1)</f>
        <v>19.331820446128795</v>
      </c>
      <c r="AD2585" s="258">
        <f>1+ transit((J2000_Bas-1),$O2585,$M2585,DecLat,DecLong)/360 + (GMTOffset/24) + (IF(DST="Y", 1, 0)/24)</f>
        <v>1.9002609810047082</v>
      </c>
      <c r="AE2585" s="259">
        <f>DATE(2001,9,21)+(M2585/360)*365 - (360*((DecLong/360)- (GMTOffset/24) ))</f>
        <v>37491.186805555553</v>
      </c>
      <c r="AF2585" s="260">
        <f>IF(DecLat&gt;0,IF((90 - (DecLat-O2585))&gt;90, (90 - (O2585-DecLat)), (90 - (DecLat-O2585))),IF((90 + (DecLat-O2585))&gt;90, (90 + (O2585-DecLat)), (90 + (DecLat-O2585))))</f>
        <v>37.75</v>
      </c>
      <c r="AG2585" s="257">
        <f>angularseperation(MoonRA,MoonDec,$M2585,$O2585)</f>
        <v>69.762103401226597</v>
      </c>
      <c r="AH2585" s="261">
        <f ca="1">MIN(100,IF($O$5&gt;80,0+30*($AG2585/100),IF($O$5&gt;70,0+50*($AG2585/100),IF($O$5&gt;60,5+50*($AG2585/100),IF($O$5&gt;50,10+60*($AG2585/100),IF($O$5&gt;40,15+70*($AG2585/100),IF($O$5&gt;30,20+70*($AG2585/100),IF($O$5&gt;20,40+55*($AG2585/100),(80+(20-$O$5)+30*($AG2585/100))))))))))</f>
        <v>100</v>
      </c>
      <c r="AI2585" s="262"/>
      <c r="AJ2585" s="262"/>
      <c r="AK2585" s="262"/>
      <c r="AL2585" s="263"/>
      <c r="AM2585" s="264"/>
      <c r="AN2585" s="263"/>
      <c r="AO2585" s="263"/>
      <c r="AP2585" s="265"/>
      <c r="AQ2585" s="266"/>
      <c r="AR2585" s="267"/>
      <c r="AS2585" s="263"/>
      <c r="AT2585" s="263"/>
      <c r="AU2585" s="263"/>
      <c r="AV2585" s="264"/>
      <c r="AW2585" s="263"/>
      <c r="AX2585" s="263"/>
      <c r="AY2585" s="263"/>
      <c r="AZ2585" s="263"/>
      <c r="BA2585" s="263"/>
      <c r="BB2585" s="263"/>
      <c r="BC2585" s="263"/>
      <c r="BD2585" s="264"/>
      <c r="BE2585" s="263"/>
      <c r="BF2585" s="263"/>
      <c r="BG2585" s="263"/>
      <c r="BH2585" s="263"/>
      <c r="BI2585" s="263"/>
      <c r="BJ2585" s="404">
        <f>altaz(J2000_Bas,$O2585,$M2585,DecLat,DecLong,2)</f>
        <v>138.02580361773229</v>
      </c>
      <c r="BK2585" s="378" t="s">
        <v>2435</v>
      </c>
      <c r="BL2585" s="379">
        <f>IF((2*G2585)/60&lt;0.2,0.2,(2*G2585)/60)</f>
        <v>0.2</v>
      </c>
      <c r="BM2585" s="380">
        <f>MOD((50000+AD2585-$B$3+(0/24)),1)</f>
        <v>0.11562791070900857</v>
      </c>
      <c r="BN2585" s="381" t="s">
        <v>8646</v>
      </c>
      <c r="BO2585" s="382">
        <v>2576</v>
      </c>
    </row>
    <row r="2586" spans="1:67" s="24" customFormat="1" ht="15" customHeight="1" x14ac:dyDescent="0.25">
      <c r="A2586" s="288" t="s">
        <v>2436</v>
      </c>
      <c r="B2586" s="241" t="str">
        <f>HYPERLINK(CONCATENATE($AT$3,BK2586,$AU$3),$AV$3)</f>
        <v>S</v>
      </c>
      <c r="C2586" s="242" t="str">
        <f>HYPERLINK(CONCATENATE($AT$4,BK2586,$AU$4,BL2586),$AV$4)</f>
        <v>A</v>
      </c>
      <c r="D2586" s="243" t="s">
        <v>5335</v>
      </c>
      <c r="E2586" s="244" t="s">
        <v>31</v>
      </c>
      <c r="F2586" s="269"/>
      <c r="G2586" s="273">
        <v>2</v>
      </c>
      <c r="H2586" s="283">
        <v>1300</v>
      </c>
      <c r="I2586" s="309">
        <v>0.7</v>
      </c>
      <c r="J2586" s="246">
        <v>3</v>
      </c>
      <c r="K2586" s="247" t="s">
        <v>5369</v>
      </c>
      <c r="L2586" s="248">
        <v>192901</v>
      </c>
      <c r="M2586" s="249">
        <f>15*(LEFT(TEXT($L2586,"000000"),2)+(MID(TEXT($L2586,"000000"),3,2)/60)+(RIGHT(TEXT($L2586,"000000"),2)/3600))</f>
        <v>292.25416666666672</v>
      </c>
      <c r="N2586" s="250">
        <v>93843</v>
      </c>
      <c r="O2586" s="251">
        <f>IF($N2586&gt;0,(LEFT(TEXT($N2586,"000000"),2)+(MID(TEXT($N2586,"000000"),3,2)/60)+(RIGHT(TEXT($N2586,"000000"),2)/3600)),-(MID(TEXT($N2586,"000000"),2,2)+(MID(TEXT($N2586,"000000"),4,2)/60)+(RIGHT(TEXT($N2586,"000000"),2)/3600)))</f>
        <v>9.6452777777777765</v>
      </c>
      <c r="P2586" s="252" t="s">
        <v>126</v>
      </c>
      <c r="Q2586" s="253"/>
      <c r="R2586" s="247" t="s">
        <v>3293</v>
      </c>
      <c r="S2586" s="272" t="s">
        <v>3293</v>
      </c>
      <c r="T2586" s="273"/>
      <c r="U2586" s="274"/>
      <c r="V2586" s="280"/>
      <c r="W2586" s="244"/>
      <c r="X2586" s="244"/>
      <c r="Y2586" s="362"/>
      <c r="Z2586" s="257">
        <f>altaz(J2000_Bas,$O2586,$M2586,DecLat,DecLong,1)</f>
        <v>67.868051496928331</v>
      </c>
      <c r="AA2586" s="257">
        <f>altaz((J2000_Bas+(2*0.04167)),$O2586,$M2586,DecLat,DecLong,1)</f>
        <v>59.236278822266272</v>
      </c>
      <c r="AB2586" s="257">
        <f>altaz((J2000_Bas+(4*0.04167)),$O2586,$M2586,DecLat,DecLong,1)</f>
        <v>35.73131513905949</v>
      </c>
      <c r="AC2586" s="257">
        <f>altaz((J2000_Bas+(6*0.04167)),$O2586,$M2586,DecLat,DecLong,1)</f>
        <v>10.055070913200757</v>
      </c>
      <c r="AD2586" s="258">
        <f>1+ transit((J2000_Bas-1),$O2586,$M2586,DecLat,DecLong)/360 + (GMTOffset/24) + (IF(DST="Y", 1, 0)/24)</f>
        <v>1.8047170090776248</v>
      </c>
      <c r="AE2586" s="259">
        <f>DATE(2001,9,21)+(M2586/360)*365 - (360*((DecLong/360)- (GMTOffset/24) ))</f>
        <v>37456.313252314816</v>
      </c>
      <c r="AF2586" s="260">
        <f>IF(DecLat&gt;0,IF((90 - (DecLat-O2586))&gt;90, (90 - (O2586-DecLat)), (90 - (DecLat-O2586))),IF((90 + (DecLat-O2586))&gt;90, (90 + (O2586-DecLat)), (90 + (DecLat-O2586))))</f>
        <v>68.645277777777778</v>
      </c>
      <c r="AG2586" s="257">
        <f>angularseperation(MoonRA,MoonDec,$M2586,$O2586)</f>
        <v>55.560483300438911</v>
      </c>
      <c r="AH2586" s="261">
        <f ca="1">MIN(100,IF($O$5&gt;80,0+30*($AG2586/100),IF($O$5&gt;70,0+50*($AG2586/100),IF($O$5&gt;60,5+50*($AG2586/100),IF($O$5&gt;50,10+60*($AG2586/100),IF($O$5&gt;40,15+70*($AG2586/100),IF($O$5&gt;30,20+70*($AG2586/100),IF($O$5&gt;20,40+55*($AG2586/100),(80+(20-$O$5)+30*($AG2586/100))))))))))</f>
        <v>99.939205334282093</v>
      </c>
      <c r="AI2586" s="262"/>
      <c r="AJ2586" s="262"/>
      <c r="AK2586" s="262"/>
      <c r="AL2586" s="263"/>
      <c r="AM2586" s="264"/>
      <c r="AN2586" s="263"/>
      <c r="AO2586" s="263"/>
      <c r="AP2586" s="265"/>
      <c r="AQ2586" s="266"/>
      <c r="AR2586" s="267"/>
      <c r="AS2586" s="263"/>
      <c r="AT2586" s="263"/>
      <c r="AU2586" s="263"/>
      <c r="AV2586" s="264"/>
      <c r="AW2586" s="263"/>
      <c r="AX2586" s="263"/>
      <c r="AY2586" s="263"/>
      <c r="AZ2586" s="263"/>
      <c r="BA2586" s="263"/>
      <c r="BB2586" s="263"/>
      <c r="BC2586" s="263"/>
      <c r="BD2586" s="264"/>
      <c r="BE2586" s="263"/>
      <c r="BF2586" s="263"/>
      <c r="BG2586" s="263"/>
      <c r="BH2586" s="263"/>
      <c r="BI2586" s="263"/>
      <c r="BJ2586" s="404">
        <f>altaz(J2000_Bas,$O2586,$M2586,DecLat,DecLong,2)</f>
        <v>163.4438293812224</v>
      </c>
      <c r="BK2586" s="378" t="s">
        <v>2436</v>
      </c>
      <c r="BL2586" s="379">
        <f>IF((2*G2586)/60&lt;0.2,0.2,(2*G2586)/60)</f>
        <v>0.2</v>
      </c>
      <c r="BM2586" s="380">
        <f>MOD((50000+AD2586-$B$3+(0/24)),1)</f>
        <v>2.0083938783500344E-2</v>
      </c>
      <c r="BN2586" s="381" t="s">
        <v>9232</v>
      </c>
      <c r="BO2586" s="382">
        <v>2577</v>
      </c>
    </row>
    <row r="2587" spans="1:67" s="24" customFormat="1" ht="15" customHeight="1" x14ac:dyDescent="0.25">
      <c r="A2587" s="288" t="s">
        <v>2437</v>
      </c>
      <c r="B2587" s="241" t="str">
        <f>HYPERLINK(CONCATENATE($AT$3,BK2587,$AU$3),$AV$3)</f>
        <v>S</v>
      </c>
      <c r="C2587" s="242" t="str">
        <f>HYPERLINK(CONCATENATE($AT$4,BK2587,$AU$4,BL2587),$AV$4)</f>
        <v>A</v>
      </c>
      <c r="D2587" s="243" t="s">
        <v>5335</v>
      </c>
      <c r="E2587" s="244" t="s">
        <v>31</v>
      </c>
      <c r="F2587" s="269"/>
      <c r="G2587" s="273">
        <v>2</v>
      </c>
      <c r="H2587" s="283">
        <v>3900</v>
      </c>
      <c r="I2587" s="279">
        <v>2.2000000000000002</v>
      </c>
      <c r="J2587" s="246">
        <v>3</v>
      </c>
      <c r="K2587" s="247" t="s">
        <v>5370</v>
      </c>
      <c r="L2587" s="248">
        <v>202429</v>
      </c>
      <c r="M2587" s="249">
        <f>15*(LEFT(TEXT($L2587,"000000"),2)+(MID(TEXT($L2587,"000000"),3,2)/60)+(RIGHT(TEXT($L2587,"000000"),2)/3600))</f>
        <v>306.12083333333328</v>
      </c>
      <c r="N2587" s="250">
        <v>421402</v>
      </c>
      <c r="O2587" s="251">
        <f>IF($N2587&gt;0,(LEFT(TEXT($N2587,"000000"),2)+(MID(TEXT($N2587,"000000"),3,2)/60)+(RIGHT(TEXT($N2587,"000000"),2)/3600)),-(MID(TEXT($N2587,"000000"),2,2)+(MID(TEXT($N2587,"000000"),4,2)/60)+(RIGHT(TEXT($N2587,"000000"),2)/3600)))</f>
        <v>42.233888888888892</v>
      </c>
      <c r="P2587" s="252" t="s">
        <v>60</v>
      </c>
      <c r="Q2587" s="253"/>
      <c r="R2587" s="247" t="s">
        <v>3293</v>
      </c>
      <c r="S2587" s="272" t="s">
        <v>3293</v>
      </c>
      <c r="T2587" s="273"/>
      <c r="U2587" s="274"/>
      <c r="V2587" s="280"/>
      <c r="W2587" s="244"/>
      <c r="X2587" s="244"/>
      <c r="Y2587" s="362"/>
      <c r="Z2587" s="257">
        <f>altaz(J2000_Bas,$O2587,$M2587,DecLat,DecLong,1)</f>
        <v>70.410132341541981</v>
      </c>
      <c r="AA2587" s="257">
        <f>altaz((J2000_Bas+(2*0.04167)),$O2587,$M2587,DecLat,DecLong,1)</f>
        <v>76.230937694854944</v>
      </c>
      <c r="AB2587" s="257">
        <f>altaz((J2000_Bas+(4*0.04167)),$O2587,$M2587,DecLat,DecLong,1)</f>
        <v>56.304436336671905</v>
      </c>
      <c r="AC2587" s="257">
        <f>altaz((J2000_Bas+(6*0.04167)),$O2587,$M2587,DecLat,DecLong,1)</f>
        <v>34.183219376133096</v>
      </c>
      <c r="AD2587" s="258">
        <f>1+ transit((J2000_Bas-1),$O2587,$M2587,DecLat,DecLong)/360 + (GMTOffset/24) + (IF(DST="Y", 1, 0)/24)</f>
        <v>1.8432355237442912</v>
      </c>
      <c r="AE2587" s="259">
        <f>DATE(2001,9,21)+(M2587/360)*365 - (360*((DecLong/360)- (GMTOffset/24) ))</f>
        <v>37470.372511574074</v>
      </c>
      <c r="AF2587" s="260">
        <f>IF(DecLat&gt;0,IF((90 - (DecLat-O2587))&gt;90, (90 - (O2587-DecLat)), (90 - (DecLat-O2587))),IF((90 + (DecLat-O2587))&gt;90, (90 + (O2587-DecLat)), (90 + (DecLat-O2587))))</f>
        <v>78.766111111111115</v>
      </c>
      <c r="AG2587" s="257">
        <f>angularseperation(MoonRA,MoonDec,$M2587,$O2587)</f>
        <v>86.89484546878343</v>
      </c>
      <c r="AH2587" s="261">
        <f ca="1">MIN(100,IF($O$5&gt;80,0+30*($AG2587/100),IF($O$5&gt;70,0+50*($AG2587/100),IF($O$5&gt;60,5+50*($AG2587/100),IF($O$5&gt;50,10+60*($AG2587/100),IF($O$5&gt;40,15+70*($AG2587/100),IF($O$5&gt;30,20+70*($AG2587/100),IF($O$5&gt;20,40+55*($AG2587/100),(80+(20-$O$5)+30*($AG2587/100))))))))))</f>
        <v>100</v>
      </c>
      <c r="AI2587" s="262"/>
      <c r="AJ2587" s="262"/>
      <c r="AK2587" s="262"/>
      <c r="AL2587" s="263"/>
      <c r="AM2587" s="264"/>
      <c r="AN2587" s="263"/>
      <c r="AO2587" s="263"/>
      <c r="AP2587" s="265"/>
      <c r="AQ2587" s="266"/>
      <c r="AR2587" s="267"/>
      <c r="AS2587" s="263"/>
      <c r="AT2587" s="263"/>
      <c r="AU2587" s="263"/>
      <c r="AV2587" s="264"/>
      <c r="AW2587" s="263"/>
      <c r="AX2587" s="263"/>
      <c r="AY2587" s="263"/>
      <c r="AZ2587" s="263"/>
      <c r="BA2587" s="263"/>
      <c r="BB2587" s="263"/>
      <c r="BC2587" s="263"/>
      <c r="BD2587" s="264"/>
      <c r="BE2587" s="263"/>
      <c r="BF2587" s="263"/>
      <c r="BG2587" s="263"/>
      <c r="BH2587" s="263"/>
      <c r="BI2587" s="263"/>
      <c r="BJ2587" s="404">
        <f>altaz(J2000_Bas,$O2587,$M2587,DecLat,DecLong,2)</f>
        <v>49.425418262809494</v>
      </c>
      <c r="BK2587" s="378" t="s">
        <v>2437</v>
      </c>
      <c r="BL2587" s="379">
        <f>IF((2*G2587)/60&lt;0.2,0.2,(2*G2587)/60)</f>
        <v>0.2</v>
      </c>
      <c r="BM2587" s="380">
        <f>MOD((50000+AD2587-$B$3+(0/24)),1)</f>
        <v>5.8602453449566383E-2</v>
      </c>
      <c r="BN2587" s="381"/>
      <c r="BO2587" s="382">
        <v>2578</v>
      </c>
    </row>
    <row r="2588" spans="1:67" s="24" customFormat="1" ht="15" customHeight="1" x14ac:dyDescent="0.25">
      <c r="A2588" s="288" t="s">
        <v>2438</v>
      </c>
      <c r="B2588" s="241" t="str">
        <f>HYPERLINK(CONCATENATE($AT$3,BK2588,$AU$3),$AV$3)</f>
        <v>S</v>
      </c>
      <c r="C2588" s="242" t="str">
        <f>HYPERLINK(CONCATENATE($AT$4,BK2588,$AU$4,BL2588),$AV$4)</f>
        <v>A</v>
      </c>
      <c r="D2588" s="243" t="s">
        <v>5187</v>
      </c>
      <c r="E2588" s="244" t="s">
        <v>5181</v>
      </c>
      <c r="F2588" s="269" t="s">
        <v>6187</v>
      </c>
      <c r="G2588" s="273">
        <v>1</v>
      </c>
      <c r="H2588" s="283">
        <v>17000</v>
      </c>
      <c r="I2588" s="279">
        <v>5</v>
      </c>
      <c r="J2588" s="246">
        <v>2</v>
      </c>
      <c r="K2588" s="247" t="s">
        <v>5076</v>
      </c>
      <c r="L2588" s="248">
        <v>194204</v>
      </c>
      <c r="M2588" s="249">
        <f>15*(LEFT(TEXT($L2588,"000000"),2)+(MID(TEXT($L2588,"000000"),3,2)/60)+(RIGHT(TEXT($L2588,"000000"),2)/3600))</f>
        <v>295.51666666666665</v>
      </c>
      <c r="N2588" s="250">
        <v>135035</v>
      </c>
      <c r="O2588" s="251">
        <f>IF($N2588&gt;0,(LEFT(TEXT($N2588,"000000"),2)+(MID(TEXT($N2588,"000000"),3,2)/60)+(RIGHT(TEXT($N2588,"000000"),2)/3600)),-(MID(TEXT($N2588,"000000"),2,2)+(MID(TEXT($N2588,"000000"),4,2)/60)+(RIGHT(TEXT($N2588,"000000"),2)/3600)))</f>
        <v>13.843055555555557</v>
      </c>
      <c r="P2588" s="252" t="s">
        <v>126</v>
      </c>
      <c r="Q2588" s="253"/>
      <c r="R2588" s="247" t="s">
        <v>3293</v>
      </c>
      <c r="S2588" s="272" t="s">
        <v>3293</v>
      </c>
      <c r="T2588" s="273"/>
      <c r="U2588" s="274"/>
      <c r="V2588" s="280"/>
      <c r="W2588" s="244"/>
      <c r="X2588" s="244"/>
      <c r="Y2588" s="362"/>
      <c r="Z2588" s="257">
        <f>altaz(J2000_Bas,$O2588,$M2588,DecLat,DecLong,1)</f>
        <v>70.743659411037527</v>
      </c>
      <c r="AA2588" s="257">
        <f>altaz((J2000_Bas+(2*0.04167)),$O2588,$M2588,DecLat,DecLong,1)</f>
        <v>64.480029820239167</v>
      </c>
      <c r="AB2588" s="257">
        <f>altaz((J2000_Bas+(4*0.04167)),$O2588,$M2588,DecLat,DecLong,1)</f>
        <v>40.607914244842782</v>
      </c>
      <c r="AC2588" s="257">
        <f>altaz((J2000_Bas+(6*0.04167)),$O2588,$M2588,DecLat,DecLong,1)</f>
        <v>14.90162368950976</v>
      </c>
      <c r="AD2588" s="258">
        <f>1+ transit((J2000_Bas-1),$O2588,$M2588,DecLat,DecLong)/360 + (GMTOffset/24) + (IF(DST="Y", 1, 0)/24)</f>
        <v>1.8137795081713743</v>
      </c>
      <c r="AE2588" s="259">
        <f>DATE(2001,9,21)+(M2588/360)*365 - (360*((DecLong/360)- (GMTOffset/24) ))</f>
        <v>37459.621064814812</v>
      </c>
      <c r="AF2588" s="260">
        <f>IF(DecLat&gt;0,IF((90 - (DecLat-O2588))&gt;90, (90 - (O2588-DecLat)), (90 - (DecLat-O2588))),IF((90 + (DecLat-O2588))&gt;90, (90 + (O2588-DecLat)), (90 + (DecLat-O2588))))</f>
        <v>72.843055555555566</v>
      </c>
      <c r="AG2588" s="257">
        <f>angularseperation(MoonRA,MoonDec,$M2588,$O2588)</f>
        <v>60.751869778995705</v>
      </c>
      <c r="AH2588" s="261">
        <f ca="1">MIN(100,IF($O$5&gt;80,0+30*($AG2588/100),IF($O$5&gt;70,0+50*($AG2588/100),IF($O$5&gt;60,5+50*($AG2588/100),IF($O$5&gt;50,10+60*($AG2588/100),IF($O$5&gt;40,15+70*($AG2588/100),IF($O$5&gt;30,20+70*($AG2588/100),IF($O$5&gt;20,40+55*($AG2588/100),(80+(20-$O$5)+30*($AG2588/100))))))))))</f>
        <v>100</v>
      </c>
      <c r="AI2588" s="262"/>
      <c r="AJ2588" s="262"/>
      <c r="AK2588" s="262"/>
      <c r="AL2588" s="263"/>
      <c r="AM2588" s="264"/>
      <c r="AN2588" s="263"/>
      <c r="AO2588" s="263"/>
      <c r="AP2588" s="265"/>
      <c r="AQ2588" s="266"/>
      <c r="AR2588" s="267"/>
      <c r="AS2588" s="263"/>
      <c r="AT2588" s="263"/>
      <c r="AU2588" s="263"/>
      <c r="AV2588" s="264"/>
      <c r="AW2588" s="263"/>
      <c r="AX2588" s="263"/>
      <c r="AY2588" s="263"/>
      <c r="AZ2588" s="263"/>
      <c r="BA2588" s="263"/>
      <c r="BB2588" s="263"/>
      <c r="BC2588" s="263"/>
      <c r="BD2588" s="264"/>
      <c r="BE2588" s="263"/>
      <c r="BF2588" s="263"/>
      <c r="BG2588" s="263"/>
      <c r="BH2588" s="263"/>
      <c r="BI2588" s="263"/>
      <c r="BJ2588" s="404">
        <f>altaz(J2000_Bas,$O2588,$M2588,DecLat,DecLong,2)</f>
        <v>150.88063679231433</v>
      </c>
      <c r="BK2588" s="378" t="s">
        <v>4124</v>
      </c>
      <c r="BL2588" s="379">
        <f>IF((2*G2588)/60&lt;0.2,0.2,(2*G2588)/60)</f>
        <v>0.2</v>
      </c>
      <c r="BM2588" s="380">
        <f>MOD((50000+AD2588-$B$3+(0/24)),1)</f>
        <v>2.9146437875169795E-2</v>
      </c>
      <c r="BN2588" s="381"/>
      <c r="BO2588" s="382">
        <v>2579</v>
      </c>
    </row>
    <row r="2589" spans="1:67" s="24" customFormat="1" ht="15" customHeight="1" x14ac:dyDescent="0.25">
      <c r="A2589" s="288" t="s">
        <v>2439</v>
      </c>
      <c r="B2589" s="241" t="str">
        <f>HYPERLINK(CONCATENATE($AT$3,BK2589,$AU$3),$AV$3)</f>
        <v>S</v>
      </c>
      <c r="C2589" s="242" t="str">
        <f>HYPERLINK(CONCATENATE($AT$4,BK2589,$AU$4,BL2589),$AV$4)</f>
        <v>A</v>
      </c>
      <c r="D2589" s="243" t="s">
        <v>5187</v>
      </c>
      <c r="E2589" s="244" t="s">
        <v>5181</v>
      </c>
      <c r="F2589" s="269" t="s">
        <v>5077</v>
      </c>
      <c r="G2589" s="276">
        <v>25</v>
      </c>
      <c r="H2589" s="283">
        <v>1700</v>
      </c>
      <c r="I2589" s="246">
        <v>12</v>
      </c>
      <c r="J2589" s="246">
        <v>1</v>
      </c>
      <c r="K2589" s="247" t="s">
        <v>5078</v>
      </c>
      <c r="L2589" s="248">
        <v>72200</v>
      </c>
      <c r="M2589" s="249">
        <f>15*(LEFT(TEXT($L2589,"000000"),2)+(MID(TEXT($L2589,"000000"),3,2)/60)+(RIGHT(TEXT($L2589,"000000"),2)/3600))</f>
        <v>110.5</v>
      </c>
      <c r="N2589" s="250">
        <v>-61800</v>
      </c>
      <c r="O2589" s="251">
        <f>IF($N2589&gt;0,(LEFT(TEXT($N2589,"000000"),2)+(MID(TEXT($N2589,"000000"),3,2)/60)+(RIGHT(TEXT($N2589,"000000"),2)/3600)),-(MID(TEXT($N2589,"000000"),2,2)+(MID(TEXT($N2589,"000000"),4,2)/60)+(RIGHT(TEXT($N2589,"000000"),2)/3600)))</f>
        <v>-6.3</v>
      </c>
      <c r="P2589" s="252" t="s">
        <v>47</v>
      </c>
      <c r="Q2589" s="253"/>
      <c r="R2589" s="277" t="s">
        <v>3293</v>
      </c>
      <c r="S2589" s="272" t="s">
        <v>3293</v>
      </c>
      <c r="T2589" s="273"/>
      <c r="U2589" s="274"/>
      <c r="V2589" s="280"/>
      <c r="W2589" s="244"/>
      <c r="X2589" s="244"/>
      <c r="Y2589" s="362"/>
      <c r="Z2589" s="257">
        <f>altaz(J2000_Bas,$O2589,$M2589,DecLat,DecLong,1)</f>
        <v>-64.942720779741279</v>
      </c>
      <c r="AA2589" s="257">
        <f>altaz((J2000_Bas+(2*0.04167)),$O2589,$M2589,DecLat,DecLong,1)</f>
        <v>-55.583706296086589</v>
      </c>
      <c r="AB2589" s="257">
        <f>altaz((J2000_Bas+(4*0.04167)),$O2589,$M2589,DecLat,DecLong,1)</f>
        <v>-32.478546489959115</v>
      </c>
      <c r="AC2589" s="257">
        <f>altaz((J2000_Bas+(6*0.04167)),$O2589,$M2589,DecLat,DecLong,1)</f>
        <v>-6.8669573920035782</v>
      </c>
      <c r="AD2589" s="258">
        <f>1+ transit((J2000_Bas-1),$O2589,$M2589,DecLat,DecLong)/360 + (GMTOffset/24) + (IF(DST="Y", 1, 0)/24)</f>
        <v>1.2998443743797081</v>
      </c>
      <c r="AE2589" s="259">
        <f>DATE(2001,9,21)+(M2589/360)*365 - (360*((DecLong/360)- (GMTOffset/24) ))</f>
        <v>37272.034722222219</v>
      </c>
      <c r="AF2589" s="260">
        <f>IF(DecLat&gt;0,IF((90 - (DecLat-O2589))&gt;90, (90 - (O2589-DecLat)), (90 - (DecLat-O2589))),IF((90 + (DecLat-O2589))&gt;90, (90 + (O2589-DecLat)), (90 + (DecLat-O2589))))</f>
        <v>52.7</v>
      </c>
      <c r="AG2589" s="257">
        <f>angularseperation(MoonRA,MoonDec,$M2589,$O2589)</f>
        <v>127.97414636041441</v>
      </c>
      <c r="AH2589" s="261">
        <f ca="1">MIN(100,IF($O$5&gt;80,0+30*($AG2589/100),IF($O$5&gt;70,0+50*($AG2589/100),IF($O$5&gt;60,5+50*($AG2589/100),IF($O$5&gt;50,10+60*($AG2589/100),IF($O$5&gt;40,15+70*($AG2589/100),IF($O$5&gt;30,20+70*($AG2589/100),IF($O$5&gt;20,40+55*($AG2589/100),(80+(20-$O$5)+30*($AG2589/100))))))))))</f>
        <v>100</v>
      </c>
      <c r="AI2589" s="263"/>
      <c r="AJ2589" s="263"/>
      <c r="AK2589" s="263"/>
      <c r="AL2589" s="263"/>
      <c r="AM2589" s="264"/>
      <c r="AN2589" s="263"/>
      <c r="AO2589" s="263"/>
      <c r="AP2589" s="265"/>
      <c r="AQ2589" s="265"/>
      <c r="AR2589" s="285"/>
      <c r="AS2589" s="263"/>
      <c r="AT2589" s="263"/>
      <c r="AU2589" s="263"/>
      <c r="AV2589" s="264"/>
      <c r="AW2589" s="263"/>
      <c r="AX2589" s="263"/>
      <c r="AY2589" s="263"/>
      <c r="AZ2589" s="263"/>
      <c r="BA2589" s="263"/>
      <c r="BB2589" s="263"/>
      <c r="BC2589" s="263"/>
      <c r="BD2589" s="264"/>
      <c r="BE2589" s="263"/>
      <c r="BF2589" s="263"/>
      <c r="BG2589" s="263"/>
      <c r="BH2589" s="263"/>
      <c r="BI2589" s="263">
        <v>51</v>
      </c>
      <c r="BJ2589" s="404">
        <f>altaz(J2000_Bas,$O2589,$M2589,DecLat,DecLong,2)</f>
        <v>349.39559348726283</v>
      </c>
      <c r="BK2589" s="378" t="s">
        <v>2439</v>
      </c>
      <c r="BL2589" s="379">
        <f>IF((2*G2589)/60&lt;0.2,0.2,(2*G2589)/60)</f>
        <v>0.83333333333333337</v>
      </c>
      <c r="BM2589" s="380">
        <f>MOD((50000+AD2589-$B$3+(0/24)),1)</f>
        <v>0.51521130408218596</v>
      </c>
      <c r="BN2589" s="381"/>
      <c r="BO2589" s="382">
        <v>2580</v>
      </c>
    </row>
    <row r="2590" spans="1:67" s="24" customFormat="1" ht="15" customHeight="1" x14ac:dyDescent="0.25">
      <c r="A2590" s="288" t="s">
        <v>3219</v>
      </c>
      <c r="B2590" s="241" t="str">
        <f>HYPERLINK(CONCATENATE($AT$3,BK2590,$AU$3),$AV$3)</f>
        <v>S</v>
      </c>
      <c r="C2590" s="242" t="str">
        <f>HYPERLINK(CONCATENATE($AT$4,BK2590,$AU$4,BL2590),$AV$4)</f>
        <v>A</v>
      </c>
      <c r="D2590" s="243" t="s">
        <v>5638</v>
      </c>
      <c r="E2590" s="244" t="s">
        <v>8641</v>
      </c>
      <c r="F2590" s="269"/>
      <c r="G2590" s="273">
        <v>1.1000000000000001</v>
      </c>
      <c r="H2590" s="283">
        <v>500</v>
      </c>
      <c r="I2590" s="246">
        <v>150</v>
      </c>
      <c r="J2590" s="246">
        <v>4</v>
      </c>
      <c r="K2590" s="247" t="s">
        <v>5079</v>
      </c>
      <c r="L2590" s="248">
        <v>3741</v>
      </c>
      <c r="M2590" s="249">
        <f>15*(LEFT(TEXT($L2590,"000000"),2)+(MID(TEXT($L2590,"000000"),3,2)/60)+(RIGHT(TEXT($L2590,"000000"),2)/3600))</f>
        <v>9.4208333333333343</v>
      </c>
      <c r="N2590" s="250">
        <v>-334259</v>
      </c>
      <c r="O2590" s="251">
        <f>IF($N2590&gt;0,(LEFT(TEXT($N2590,"000000"),2)+(MID(TEXT($N2590,"000000"),3,2)/60)+(RIGHT(TEXT($N2590,"000000"),2)/3600)),-(MID(TEXT($N2590,"000000"),2,2)+(MID(TEXT($N2590,"000000"),4,2)/60)+(RIGHT(TEXT($N2590,"000000"),2)/3600)))</f>
        <v>-33.716388888888893</v>
      </c>
      <c r="P2590" s="252" t="s">
        <v>1181</v>
      </c>
      <c r="Q2590" s="253" t="s">
        <v>6844</v>
      </c>
      <c r="R2590" s="247" t="s">
        <v>3293</v>
      </c>
      <c r="S2590" s="272" t="s">
        <v>3293</v>
      </c>
      <c r="T2590" s="273"/>
      <c r="U2590" s="274"/>
      <c r="V2590" s="280">
        <v>20</v>
      </c>
      <c r="W2590" s="244"/>
      <c r="X2590" s="244"/>
      <c r="Y2590" s="362"/>
      <c r="Z2590" s="257">
        <f>altaz(J2000_Bas,$O2590,$M2590,DecLat,DecLong,1)</f>
        <v>-11.780613668165756</v>
      </c>
      <c r="AA2590" s="257">
        <f>altaz((J2000_Bas+(2*0.04167)),$O2590,$M2590,DecLat,DecLong,1)</f>
        <v>8.0406100033252628</v>
      </c>
      <c r="AB2590" s="257">
        <f>altaz((J2000_Bas+(4*0.04167)),$O2590,$M2590,DecLat,DecLong,1)</f>
        <v>21.666453812053373</v>
      </c>
      <c r="AC2590" s="257">
        <f>altaz((J2000_Bas+(6*0.04167)),$O2590,$M2590,DecLat,DecLong,1)</f>
        <v>24.962905082889471</v>
      </c>
      <c r="AD2590" s="258">
        <f>1+ transit((J2000_Bas-1),$O2590,$M2590,DecLat,DecLong)/360 + (GMTOffset/24) + (IF(DST="Y", 1, 0)/24)</f>
        <v>1.0190689394942913</v>
      </c>
      <c r="AE2590" s="259">
        <f>DATE(2001,9,21)+(M2590/360)*365 - (360*((DecLong/360)- (GMTOffset/24) ))</f>
        <v>37169.551678240743</v>
      </c>
      <c r="AF2590" s="260">
        <f>IF(DecLat&gt;0,IF((90 - (DecLat-O2590))&gt;90, (90 - (O2590-DecLat)), (90 - (DecLat-O2590))),IF((90 + (DecLat-O2590))&gt;90, (90 + (O2590-DecLat)), (90 + (DecLat-O2590))))</f>
        <v>25.283611111111099</v>
      </c>
      <c r="AG2590" s="257">
        <f>angularseperation(MoonRA,MoonDec,$M2590,$O2590)</f>
        <v>96.866899532105919</v>
      </c>
      <c r="AH2590" s="261">
        <f ca="1">MIN(100,IF($O$5&gt;80,0+30*($AG2590/100),IF($O$5&gt;70,0+50*($AG2590/100),IF($O$5&gt;60,5+50*($AG2590/100),IF($O$5&gt;50,10+60*($AG2590/100),IF($O$5&gt;40,15+70*($AG2590/100),IF($O$5&gt;30,20+70*($AG2590/100),IF($O$5&gt;20,40+55*($AG2590/100),(80+(20-$O$5)+30*($AG2590/100))))))))))</f>
        <v>100</v>
      </c>
      <c r="AI2590" s="262"/>
      <c r="AJ2590" s="262"/>
      <c r="AK2590" s="262"/>
      <c r="AL2590" s="263"/>
      <c r="AM2590" s="264"/>
      <c r="AN2590" s="263"/>
      <c r="AO2590" s="263"/>
      <c r="AP2590" s="265"/>
      <c r="AQ2590" s="266"/>
      <c r="AR2590" s="267">
        <v>2248</v>
      </c>
      <c r="AS2590" s="263"/>
      <c r="AT2590" s="263"/>
      <c r="AU2590" s="263"/>
      <c r="AV2590" s="264"/>
      <c r="AW2590" s="263"/>
      <c r="AX2590" s="263"/>
      <c r="AY2590" s="263"/>
      <c r="AZ2590" s="263"/>
      <c r="BA2590" s="263"/>
      <c r="BB2590" s="263"/>
      <c r="BC2590" s="263"/>
      <c r="BD2590" s="264"/>
      <c r="BE2590" s="263"/>
      <c r="BF2590" s="263"/>
      <c r="BG2590" s="263"/>
      <c r="BH2590" s="263">
        <v>45</v>
      </c>
      <c r="BI2590" s="263"/>
      <c r="BJ2590" s="404">
        <f>altaz(J2000_Bas,$O2590,$M2590,DecLat,DecLong,2)</f>
        <v>122.42513947954107</v>
      </c>
      <c r="BK2590" s="378" t="s">
        <v>3219</v>
      </c>
      <c r="BL2590" s="379">
        <f>IF((2*G2590)/60&lt;0.2,0.2,(2*G2590)/60)</f>
        <v>0.2</v>
      </c>
      <c r="BM2590" s="380">
        <f>MOD((50000+AD2590-$B$3+(0/24)),1)</f>
        <v>0.23443586919893278</v>
      </c>
      <c r="BN2590" s="381"/>
      <c r="BO2590" s="382">
        <v>2581</v>
      </c>
    </row>
    <row r="2591" spans="1:67" s="24" customFormat="1" ht="15" customHeight="1" x14ac:dyDescent="0.25">
      <c r="A2591" s="288" t="s">
        <v>3220</v>
      </c>
      <c r="B2591" s="241" t="str">
        <f>HYPERLINK(CONCATENATE($AT$3,BK2591,$AU$3),$AV$3)</f>
        <v>S</v>
      </c>
      <c r="C2591" s="242" t="str">
        <f>HYPERLINK(CONCATENATE($AT$4,BK2591,$AU$4,BL2591),$AV$4)</f>
        <v>A</v>
      </c>
      <c r="D2591" s="243" t="s">
        <v>5638</v>
      </c>
      <c r="E2591" s="244" t="s">
        <v>5192</v>
      </c>
      <c r="F2591" s="269" t="s">
        <v>8808</v>
      </c>
      <c r="G2591" s="273">
        <v>1</v>
      </c>
      <c r="H2591" s="283">
        <v>230</v>
      </c>
      <c r="I2591" s="246">
        <v>70</v>
      </c>
      <c r="J2591" s="246">
        <v>1</v>
      </c>
      <c r="K2591" s="247" t="s">
        <v>5080</v>
      </c>
      <c r="L2591" s="248">
        <v>4145</v>
      </c>
      <c r="M2591" s="249">
        <f>15*(LEFT(TEXT($L2591,"000000"),2)+(MID(TEXT($L2591,"000000"),3,2)/60)+(RIGHT(TEXT($L2591,"000000"),2)/3600))</f>
        <v>10.4375</v>
      </c>
      <c r="N2591" s="250">
        <v>362133</v>
      </c>
      <c r="O2591" s="251">
        <f>IF($N2591&gt;0,(LEFT(TEXT($N2591,"000000"),2)+(MID(TEXT($N2591,"000000"),3,2)/60)+(RIGHT(TEXT($N2591,"000000"),2)/3600)),-(MID(TEXT($N2591,"000000"),2,2)+(MID(TEXT($N2591,"000000"),4,2)/60)+(RIGHT(TEXT($N2591,"000000"),2)/3600)))</f>
        <v>36.359166666666667</v>
      </c>
      <c r="P2591" s="252" t="s">
        <v>36</v>
      </c>
      <c r="Q2591" s="253"/>
      <c r="R2591" s="277" t="s">
        <v>3293</v>
      </c>
      <c r="S2591" s="272" t="s">
        <v>3293</v>
      </c>
      <c r="T2591" s="273"/>
      <c r="U2591" s="274"/>
      <c r="V2591" s="280">
        <v>5</v>
      </c>
      <c r="W2591" s="244"/>
      <c r="X2591" s="244"/>
      <c r="Y2591" s="362"/>
      <c r="Z2591" s="257">
        <f>altaz(J2000_Bas,$O2591,$M2591,DecLat,DecLong,1)</f>
        <v>21.856314845743213</v>
      </c>
      <c r="AA2591" s="257">
        <f>altaz((J2000_Bas+(2*0.04167)),$O2591,$M2591,DecLat,DecLong,1)</f>
        <v>45.0447197157443</v>
      </c>
      <c r="AB2591" s="257">
        <f>altaz((J2000_Bas+(4*0.04167)),$O2591,$M2591,DecLat,DecLong,1)</f>
        <v>69.170187952760656</v>
      </c>
      <c r="AC2591" s="257">
        <f>altaz((J2000_Bas+(6*0.04167)),$O2591,$M2591,DecLat,DecLong,1)</f>
        <v>82.780553094738096</v>
      </c>
      <c r="AD2591" s="258">
        <f>1+ transit((J2000_Bas-1),$O2591,$M2591,DecLat,DecLong)/360 + (GMTOffset/24) + (IF(DST="Y", 1, 0)/24)</f>
        <v>1.0218930132859581</v>
      </c>
      <c r="AE2591" s="259">
        <f>DATE(2001,9,21)+(M2591/360)*365 - (360*((DecLong/360)- (GMTOffset/24) ))</f>
        <v>37170.582465277781</v>
      </c>
      <c r="AF2591" s="260">
        <f>IF(DecLat&gt;0,IF((90 - (DecLat-O2591))&gt;90, (90 - (O2591-DecLat)), (90 - (DecLat-O2591))),IF((90 + (DecLat-O2591))&gt;90, (90 + (O2591-DecLat)), (90 + (DecLat-O2591))))</f>
        <v>84.640833333333333</v>
      </c>
      <c r="AG2591" s="257">
        <f>angularseperation(MoonRA,MoonDec,$M2591,$O2591)</f>
        <v>129.88895314215293</v>
      </c>
      <c r="AH2591" s="261">
        <f ca="1">MIN(100,IF($O$5&gt;80,0+30*($AG2591/100),IF($O$5&gt;70,0+50*($AG2591/100),IF($O$5&gt;60,5+50*($AG2591/100),IF($O$5&gt;50,10+60*($AG2591/100),IF($O$5&gt;40,15+70*($AG2591/100),IF($O$5&gt;30,20+70*($AG2591/100),IF($O$5&gt;20,40+55*($AG2591/100),(80+(20-$O$5)+30*($AG2591/100))))))))))</f>
        <v>100</v>
      </c>
      <c r="AI2591" s="262"/>
      <c r="AJ2591" s="262"/>
      <c r="AK2591" s="262"/>
      <c r="AL2591" s="263"/>
      <c r="AM2591" s="264"/>
      <c r="AN2591" s="263"/>
      <c r="AO2591" s="263"/>
      <c r="AP2591" s="265"/>
      <c r="AQ2591" s="266"/>
      <c r="AR2591" s="267">
        <v>2493</v>
      </c>
      <c r="AS2591" s="263"/>
      <c r="AT2591" s="263"/>
      <c r="AU2591" s="263"/>
      <c r="AV2591" s="264"/>
      <c r="AW2591" s="263"/>
      <c r="AX2591" s="263"/>
      <c r="AY2591" s="263"/>
      <c r="AZ2591" s="263"/>
      <c r="BA2591" s="263"/>
      <c r="BB2591" s="263"/>
      <c r="BC2591" s="263"/>
      <c r="BD2591" s="264"/>
      <c r="BE2591" s="263"/>
      <c r="BF2591" s="263"/>
      <c r="BG2591" s="263"/>
      <c r="BH2591" s="263"/>
      <c r="BI2591" s="263"/>
      <c r="BJ2591" s="404">
        <f>altaz(J2000_Bas,$O2591,$M2591,DecLat,DecLong,2)</f>
        <v>59.722734597857666</v>
      </c>
      <c r="BK2591" s="378" t="s">
        <v>3220</v>
      </c>
      <c r="BL2591" s="379">
        <f>IF((2*G2591)/60&lt;0.2,0.2,(2*G2591)/60)</f>
        <v>0.2</v>
      </c>
      <c r="BM2591" s="380">
        <f>MOD((50000+AD2591-$B$3+(0/24)),1)</f>
        <v>0.23725994298729347</v>
      </c>
      <c r="BN2591" s="381"/>
      <c r="BO2591" s="382">
        <v>2582</v>
      </c>
    </row>
    <row r="2592" spans="1:67" s="24" customFormat="1" ht="15" customHeight="1" x14ac:dyDescent="0.25">
      <c r="A2592" s="288" t="s">
        <v>3221</v>
      </c>
      <c r="B2592" s="241" t="str">
        <f>HYPERLINK(CONCATENATE($AT$3,BK2592,$AU$3),$AV$3)</f>
        <v>S</v>
      </c>
      <c r="C2592" s="242" t="str">
        <f>HYPERLINK(CONCATENATE($AT$4,BK2592,$AU$4,BL2592),$AV$4)</f>
        <v>A</v>
      </c>
      <c r="D2592" s="243" t="s">
        <v>5638</v>
      </c>
      <c r="E2592" s="244" t="s">
        <v>5337</v>
      </c>
      <c r="F2592" s="269" t="s">
        <v>3310</v>
      </c>
      <c r="G2592" s="273">
        <v>1</v>
      </c>
      <c r="H2592" s="283">
        <v>220</v>
      </c>
      <c r="I2592" s="246">
        <v>60</v>
      </c>
      <c r="J2592" s="246">
        <v>3</v>
      </c>
      <c r="K2592" s="247" t="s">
        <v>5081</v>
      </c>
      <c r="L2592" s="248">
        <v>5404</v>
      </c>
      <c r="M2592" s="249">
        <f>15*(LEFT(TEXT($L2592,"000000"),2)+(MID(TEXT($L2592,"000000"),3,2)/60)+(RIGHT(TEXT($L2592,"000000"),2)/3600))</f>
        <v>13.516666666666666</v>
      </c>
      <c r="N2592" s="250">
        <v>730503</v>
      </c>
      <c r="O2592" s="251">
        <f>IF($N2592&gt;0,(LEFT(TEXT($N2592,"000000"),2)+(MID(TEXT($N2592,"000000"),3,2)/60)+(RIGHT(TEXT($N2592,"000000"),2)/3600)),-(MID(TEXT($N2592,"000000"),2,2)+(MID(TEXT($N2592,"000000"),4,2)/60)+(RIGHT(TEXT($N2592,"000000"),2)/3600)))</f>
        <v>73.084166666666661</v>
      </c>
      <c r="P2592" s="252" t="s">
        <v>49</v>
      </c>
      <c r="Q2592" s="253"/>
      <c r="R2592" s="247" t="s">
        <v>3293</v>
      </c>
      <c r="S2592" s="272" t="s">
        <v>3293</v>
      </c>
      <c r="T2592" s="273"/>
      <c r="U2592" s="274"/>
      <c r="V2592" s="280"/>
      <c r="W2592" s="244"/>
      <c r="X2592" s="244"/>
      <c r="Y2592" s="362"/>
      <c r="Z2592" s="257">
        <f>altaz(J2000_Bas,$O2592,$M2592,DecLat,DecLong,1)</f>
        <v>30.236601601028877</v>
      </c>
      <c r="AA2592" s="257">
        <f>altaz((J2000_Bas+(2*0.04167)),$O2592,$M2592,DecLat,DecLong,1)</f>
        <v>38.830536452232579</v>
      </c>
      <c r="AB2592" s="257">
        <f>altaz((J2000_Bas+(4*0.04167)),$O2592,$M2592,DecLat,DecLong,1)</f>
        <v>45.585174833083776</v>
      </c>
      <c r="AC2592" s="257">
        <f>altaz((J2000_Bas+(6*0.04167)),$O2592,$M2592,DecLat,DecLong,1)</f>
        <v>47.891470686288613</v>
      </c>
      <c r="AD2592" s="258">
        <f>1+ transit((J2000_Bas-1),$O2592,$M2592,DecLat,DecLong)/360 + (GMTOffset/24) + (IF(DST="Y", 1, 0)/24)</f>
        <v>1.0304462531713747</v>
      </c>
      <c r="AE2592" s="259">
        <f>DATE(2001,9,21)+(M2592/360)*365 - (360*((DecLong/360)- (GMTOffset/24) ))</f>
        <v>37173.704398148147</v>
      </c>
      <c r="AF2592" s="260">
        <f>IF(DecLat&gt;0,IF((90 - (DecLat-O2592))&gt;90, (90 - (O2592-DecLat)), (90 - (DecLat-O2592))),IF((90 + (DecLat-O2592))&gt;90, (90 + (O2592-DecLat)), (90 + (DecLat-O2592))))</f>
        <v>47.915833333333339</v>
      </c>
      <c r="AG2592" s="257">
        <f>angularseperation(MoonRA,MoonDec,$M2592,$O2592)</f>
        <v>125.55545492460314</v>
      </c>
      <c r="AH2592" s="261">
        <f ca="1">MIN(100,IF($O$5&gt;80,0+30*($AG2592/100),IF($O$5&gt;70,0+50*($AG2592/100),IF($O$5&gt;60,5+50*($AG2592/100),IF($O$5&gt;50,10+60*($AG2592/100),IF($O$5&gt;40,15+70*($AG2592/100),IF($O$5&gt;30,20+70*($AG2592/100),IF($O$5&gt;20,40+55*($AG2592/100),(80+(20-$O$5)+30*($AG2592/100))))))))))</f>
        <v>100</v>
      </c>
      <c r="AI2592" s="262"/>
      <c r="AJ2592" s="262"/>
      <c r="AK2592" s="262"/>
      <c r="AL2592" s="263"/>
      <c r="AM2592" s="264"/>
      <c r="AN2592" s="263"/>
      <c r="AO2592" s="263"/>
      <c r="AP2592" s="265"/>
      <c r="AQ2592" s="266"/>
      <c r="AR2592" s="267">
        <v>3182</v>
      </c>
      <c r="AS2592" s="263"/>
      <c r="AT2592" s="263"/>
      <c r="AU2592" s="263"/>
      <c r="AV2592" s="264"/>
      <c r="AW2592" s="263"/>
      <c r="AX2592" s="263"/>
      <c r="AY2592" s="263"/>
      <c r="AZ2592" s="263"/>
      <c r="BA2592" s="263"/>
      <c r="BB2592" s="263"/>
      <c r="BC2592" s="263"/>
      <c r="BD2592" s="264"/>
      <c r="BE2592" s="263"/>
      <c r="BF2592" s="263"/>
      <c r="BG2592" s="263"/>
      <c r="BH2592" s="263"/>
      <c r="BI2592" s="263"/>
      <c r="BJ2592" s="404">
        <f>altaz(J2000_Bas,$O2592,$M2592,DecLat,DecLong,2)</f>
        <v>19.661839667127946</v>
      </c>
      <c r="BK2592" s="378" t="s">
        <v>3221</v>
      </c>
      <c r="BL2592" s="379">
        <f>IF((2*G2592)/60&lt;0.2,0.2,(2*G2592)/60)</f>
        <v>0.2</v>
      </c>
      <c r="BM2592" s="380">
        <f>MOD((50000+AD2592-$B$3+(0/24)),1)</f>
        <v>0.2458131828752812</v>
      </c>
      <c r="BN2592" s="381"/>
      <c r="BO2592" s="382">
        <v>2583</v>
      </c>
    </row>
    <row r="2593" spans="1:67" s="24" customFormat="1" ht="15" customHeight="1" x14ac:dyDescent="0.25">
      <c r="A2593" s="288" t="s">
        <v>3222</v>
      </c>
      <c r="B2593" s="241" t="str">
        <f>HYPERLINK(CONCATENATE($AT$3,BK2593,$AU$3),$AV$3)</f>
        <v>S</v>
      </c>
      <c r="C2593" s="242" t="str">
        <f>HYPERLINK(CONCATENATE($AT$4,BK2593,$AU$4,BL2593),$AV$4)</f>
        <v>A</v>
      </c>
      <c r="D2593" s="243" t="s">
        <v>5638</v>
      </c>
      <c r="E2593" s="244" t="s">
        <v>13</v>
      </c>
      <c r="F2593" s="269"/>
      <c r="G2593" s="276">
        <v>40</v>
      </c>
      <c r="H2593" s="289">
        <v>0.3</v>
      </c>
      <c r="I2593" s="279">
        <v>3.7</v>
      </c>
      <c r="J2593" s="246">
        <v>2</v>
      </c>
      <c r="K2593" s="247" t="s">
        <v>5082</v>
      </c>
      <c r="L2593" s="248">
        <v>10009</v>
      </c>
      <c r="M2593" s="249">
        <f>15*(LEFT(TEXT($L2593,"000000"),2)+(MID(TEXT($L2593,"000000"),3,2)/60)+(RIGHT(TEXT($L2593,"000000"),2)/3600))</f>
        <v>15.0375</v>
      </c>
      <c r="N2593" s="250">
        <v>-334233</v>
      </c>
      <c r="O2593" s="251">
        <f>IF($N2593&gt;0,(LEFT(TEXT($N2593,"000000"),2)+(MID(TEXT($N2593,"000000"),3,2)/60)+(RIGHT(TEXT($N2593,"000000"),2)/3600)),-(MID(TEXT($N2593,"000000"),2,2)+(MID(TEXT($N2593,"000000"),4,2)/60)+(RIGHT(TEXT($N2593,"000000"),2)/3600)))</f>
        <v>-33.709166666666668</v>
      </c>
      <c r="P2593" s="252" t="s">
        <v>1181</v>
      </c>
      <c r="Q2593" s="253" t="s">
        <v>6898</v>
      </c>
      <c r="R2593" s="247" t="s">
        <v>3293</v>
      </c>
      <c r="S2593" s="272" t="s">
        <v>3293</v>
      </c>
      <c r="T2593" s="273"/>
      <c r="U2593" s="274"/>
      <c r="V2593" s="280"/>
      <c r="W2593" s="244"/>
      <c r="X2593" s="244"/>
      <c r="Y2593" s="362"/>
      <c r="Z2593" s="257">
        <f>altaz(J2000_Bas,$O2593,$M2593,DecLat,DecLong,1)</f>
        <v>-15.891949746242481</v>
      </c>
      <c r="AA2593" s="257">
        <f>altaz((J2000_Bas+(2*0.04167)),$O2593,$M2593,DecLat,DecLong,1)</f>
        <v>4.7001961004897286</v>
      </c>
      <c r="AB2593" s="257">
        <f>altaz((J2000_Bas+(4*0.04167)),$O2593,$M2593,DecLat,DecLong,1)</f>
        <v>19.792767258041867</v>
      </c>
      <c r="AC2593" s="257">
        <f>altaz((J2000_Bas+(6*0.04167)),$O2593,$M2593,DecLat,DecLong,1)</f>
        <v>25.280611572281813</v>
      </c>
      <c r="AD2593" s="258">
        <f>1+ transit((J2000_Bas-1),$O2593,$M2593,DecLat,DecLong)/360 + (GMTOffset/24) + (IF(DST="Y", 1, 0)/24)</f>
        <v>1.0346707897859579</v>
      </c>
      <c r="AE2593" s="259">
        <f>DATE(2001,9,21)+(M2593/360)*365 - (360*((DecLong/360)- (GMTOffset/24) ))</f>
        <v>37175.246354166666</v>
      </c>
      <c r="AF2593" s="260">
        <f>IF(DecLat&gt;0,IF((90 - (DecLat-O2593))&gt;90, (90 - (O2593-DecLat)), (90 - (DecLat-O2593))),IF((90 + (DecLat-O2593))&gt;90, (90 + (O2593-DecLat)), (90 + (DecLat-O2593))))</f>
        <v>25.290833333333325</v>
      </c>
      <c r="AG2593" s="257">
        <f>angularseperation(MoonRA,MoonDec,$M2593,$O2593)</f>
        <v>100.39994249179182</v>
      </c>
      <c r="AH2593" s="261">
        <f ca="1">MIN(100,IF($O$5&gt;80,0+30*($AG2593/100),IF($O$5&gt;70,0+50*($AG2593/100),IF($O$5&gt;60,5+50*($AG2593/100),IF($O$5&gt;50,10+60*($AG2593/100),IF($O$5&gt;40,15+70*($AG2593/100),IF($O$5&gt;30,20+70*($AG2593/100),IF($O$5&gt;20,40+55*($AG2593/100),(80+(20-$O$5)+30*($AG2593/100))))))))))</f>
        <v>100</v>
      </c>
      <c r="AI2593" s="262"/>
      <c r="AJ2593" s="262"/>
      <c r="AK2593" s="262"/>
      <c r="AL2593" s="263"/>
      <c r="AM2593" s="264"/>
      <c r="AN2593" s="263"/>
      <c r="AO2593" s="263"/>
      <c r="AP2593" s="265"/>
      <c r="AQ2593" s="266"/>
      <c r="AR2593" s="267">
        <v>3589</v>
      </c>
      <c r="AS2593" s="263"/>
      <c r="AT2593" s="263"/>
      <c r="AU2593" s="263"/>
      <c r="AV2593" s="264"/>
      <c r="AW2593" s="263"/>
      <c r="AX2593" s="263"/>
      <c r="AY2593" s="263"/>
      <c r="AZ2593" s="263"/>
      <c r="BA2593" s="263"/>
      <c r="BB2593" s="263"/>
      <c r="BC2593" s="263"/>
      <c r="BD2593" s="264"/>
      <c r="BE2593" s="263"/>
      <c r="BF2593" s="263"/>
      <c r="BG2593" s="263"/>
      <c r="BH2593" s="263"/>
      <c r="BI2593" s="263"/>
      <c r="BJ2593" s="404">
        <f>altaz(J2000_Bas,$O2593,$M2593,DecLat,DecLong,2)</f>
        <v>120.1401048778781</v>
      </c>
      <c r="BK2593" s="378" t="s">
        <v>3222</v>
      </c>
      <c r="BL2593" s="379">
        <f>IF((2*G2593)/60&lt;0.2,0.2,(2*G2593)/60)</f>
        <v>1.3333333333333333</v>
      </c>
      <c r="BM2593" s="380">
        <f>MOD((50000+AD2593-$B$3+(0/24)),1)</f>
        <v>0.25003771948831854</v>
      </c>
      <c r="BN2593" s="381" t="s">
        <v>9235</v>
      </c>
      <c r="BO2593" s="382">
        <v>2584</v>
      </c>
    </row>
    <row r="2594" spans="1:67" s="24" customFormat="1" ht="15" customHeight="1" x14ac:dyDescent="0.25">
      <c r="A2594" s="288" t="s">
        <v>3211</v>
      </c>
      <c r="B2594" s="241" t="str">
        <f>HYPERLINK(CONCATENATE($AT$3,BK2594,$AU$3),$AV$3)</f>
        <v>S</v>
      </c>
      <c r="C2594" s="242" t="str">
        <f>HYPERLINK(CONCATENATE($AT$4,BK2594,$AU$4,BL2594),$AV$4)</f>
        <v>A</v>
      </c>
      <c r="D2594" s="243" t="s">
        <v>5638</v>
      </c>
      <c r="E2594" s="244" t="s">
        <v>28</v>
      </c>
      <c r="F2594" s="269"/>
      <c r="G2594" s="270">
        <v>0.6</v>
      </c>
      <c r="H2594" s="283">
        <v>260</v>
      </c>
      <c r="I2594" s="246">
        <v>50</v>
      </c>
      <c r="J2594" s="246">
        <v>3</v>
      </c>
      <c r="K2594" s="247" t="s">
        <v>5083</v>
      </c>
      <c r="L2594" s="248">
        <v>13855</v>
      </c>
      <c r="M2594" s="249">
        <f>15*(LEFT(TEXT($L2594,"000000"),2)+(MID(TEXT($L2594,"000000"),3,2)/60)+(RIGHT(TEXT($L2594,"000000"),2)/3600))</f>
        <v>24.729166666666664</v>
      </c>
      <c r="N2594" s="250">
        <v>-74556</v>
      </c>
      <c r="O2594" s="251">
        <f>IF($N2594&gt;0,(LEFT(TEXT($N2594,"000000"),2)+(MID(TEXT($N2594,"000000"),3,2)/60)+(RIGHT(TEXT($N2594,"000000"),2)/3600)),-(MID(TEXT($N2594,"000000"),2,2)+(MID(TEXT($N2594,"000000"),4,2)/60)+(RIGHT(TEXT($N2594,"000000"),2)/3600)))</f>
        <v>-7.7655555555555553</v>
      </c>
      <c r="P2594" s="252" t="s">
        <v>75</v>
      </c>
      <c r="Q2594" s="253"/>
      <c r="R2594" s="247" t="s">
        <v>3293</v>
      </c>
      <c r="S2594" s="272" t="s">
        <v>3293</v>
      </c>
      <c r="T2594" s="273">
        <v>16.5</v>
      </c>
      <c r="U2594" s="274"/>
      <c r="V2594" s="280"/>
      <c r="W2594" s="244"/>
      <c r="X2594" s="244"/>
      <c r="Y2594" s="362"/>
      <c r="Z2594" s="257">
        <f>altaz(J2000_Bas,$O2594,$M2594,DecLat,DecLong,1)</f>
        <v>-11.446191520576964</v>
      </c>
      <c r="AA2594" s="257">
        <f>altaz((J2000_Bas+(2*0.04167)),$O2594,$M2594,DecLat,DecLong,1)</f>
        <v>13.870051053901694</v>
      </c>
      <c r="AB2594" s="257">
        <f>altaz((J2000_Bas+(4*0.04167)),$O2594,$M2594,DecLat,DecLong,1)</f>
        <v>36.48068372721761</v>
      </c>
      <c r="AC2594" s="257">
        <f>altaz((J2000_Bas+(6*0.04167)),$O2594,$M2594,DecLat,DecLong,1)</f>
        <v>50.393856003666393</v>
      </c>
      <c r="AD2594" s="258">
        <f>1+ transit((J2000_Bas-1),$O2594,$M2594,DecLat,DecLong)/360 + (GMTOffset/24) + (IF(DST="Y", 1, 0)/24)</f>
        <v>1.0615920833901247</v>
      </c>
      <c r="AE2594" s="259">
        <f>DATE(2001,9,21)+(M2594/360)*365 - (360*((DecLong/360)- (GMTOffset/24) ))</f>
        <v>37185.072627314818</v>
      </c>
      <c r="AF2594" s="260">
        <f>IF(DecLat&gt;0,IF((90 - (DecLat-O2594))&gt;90, (90 - (O2594-DecLat)), (90 - (DecLat-O2594))),IF((90 + (DecLat-O2594))&gt;90, (90 + (O2594-DecLat)), (90 + (DecLat-O2594))))</f>
        <v>51.234444444444442</v>
      </c>
      <c r="AG2594" s="257">
        <f>angularseperation(MoonRA,MoonDec,$M2594,$O2594)</f>
        <v>124.57981690534665</v>
      </c>
      <c r="AH2594" s="261">
        <f ca="1">MIN(100,IF($O$5&gt;80,0+30*($AG2594/100),IF($O$5&gt;70,0+50*($AG2594/100),IF($O$5&gt;60,5+50*($AG2594/100),IF($O$5&gt;50,10+60*($AG2594/100),IF($O$5&gt;40,15+70*($AG2594/100),IF($O$5&gt;30,20+70*($AG2594/100),IF($O$5&gt;20,40+55*($AG2594/100),(80+(20-$O$5)+30*($AG2594/100))))))))))</f>
        <v>100</v>
      </c>
      <c r="AI2594" s="262"/>
      <c r="AJ2594" s="262"/>
      <c r="AK2594" s="262"/>
      <c r="AL2594" s="263"/>
      <c r="AM2594" s="264"/>
      <c r="AN2594" s="263"/>
      <c r="AO2594" s="263"/>
      <c r="AP2594" s="265"/>
      <c r="AQ2594" s="266"/>
      <c r="AR2594" s="267">
        <v>6101</v>
      </c>
      <c r="AS2594" s="263"/>
      <c r="AT2594" s="263"/>
      <c r="AU2594" s="263"/>
      <c r="AV2594" s="264"/>
      <c r="AW2594" s="263"/>
      <c r="AX2594" s="263"/>
      <c r="AY2594" s="263"/>
      <c r="AZ2594" s="263"/>
      <c r="BA2594" s="263"/>
      <c r="BB2594" s="263"/>
      <c r="BC2594" s="263"/>
      <c r="BD2594" s="264"/>
      <c r="BE2594" s="263"/>
      <c r="BF2594" s="263"/>
      <c r="BG2594" s="263"/>
      <c r="BH2594" s="263"/>
      <c r="BI2594" s="263"/>
      <c r="BJ2594" s="404">
        <f>altaz(J2000_Bas,$O2594,$M2594,DecLat,DecLong,2)</f>
        <v>92.245150770841434</v>
      </c>
      <c r="BK2594" s="378" t="s">
        <v>3211</v>
      </c>
      <c r="BL2594" s="379">
        <f>IF((2*G2594)/60&lt;0.2,0.2,(2*G2594)/60)</f>
        <v>0.2</v>
      </c>
      <c r="BM2594" s="380">
        <f>MOD((50000+AD2594-$B$3+(0/24)),1)</f>
        <v>0.27695901309198234</v>
      </c>
      <c r="BN2594" s="381"/>
      <c r="BO2594" s="382">
        <v>2585</v>
      </c>
    </row>
    <row r="2595" spans="1:67" s="24" customFormat="1" ht="15" customHeight="1" x14ac:dyDescent="0.25">
      <c r="A2595" s="288" t="s">
        <v>3223</v>
      </c>
      <c r="B2595" s="241" t="str">
        <f>HYPERLINK(CONCATENATE($AT$3,BK2595,$AU$3),$AV$3)</f>
        <v>S</v>
      </c>
      <c r="C2595" s="242" t="str">
        <f>HYPERLINK(CONCATENATE($AT$4,BK2595,$AU$4,BL2595),$AV$4)</f>
        <v>A</v>
      </c>
      <c r="D2595" s="243" t="s">
        <v>5638</v>
      </c>
      <c r="E2595" s="244" t="s">
        <v>5192</v>
      </c>
      <c r="F2595" s="269" t="s">
        <v>8672</v>
      </c>
      <c r="G2595" s="273">
        <v>2.2999999999999998</v>
      </c>
      <c r="H2595" s="283">
        <v>100</v>
      </c>
      <c r="I2595" s="246">
        <v>70</v>
      </c>
      <c r="J2595" s="246">
        <v>2</v>
      </c>
      <c r="K2595" s="247" t="s">
        <v>7245</v>
      </c>
      <c r="L2595" s="248">
        <v>22007</v>
      </c>
      <c r="M2595" s="249">
        <f>15*(LEFT(TEXT($L2595,"000000"),2)+(MID(TEXT($L2595,"000000"),3,2)/60)+(RIGHT(TEXT($L2595,"000000"),2)/3600))</f>
        <v>35.029166666666669</v>
      </c>
      <c r="N2595" s="250">
        <v>-194504</v>
      </c>
      <c r="O2595" s="251">
        <f>IF($N2595&gt;0,(LEFT(TEXT($N2595,"000000"),2)+(MID(TEXT($N2595,"000000"),3,2)/60)+(RIGHT(TEXT($N2595,"000000"),2)/3600)),-(MID(TEXT($N2595,"000000"),2,2)+(MID(TEXT($N2595,"000000"),4,2)/60)+(RIGHT(TEXT($N2595,"000000"),2)/3600)))</f>
        <v>-19.751111111111111</v>
      </c>
      <c r="P2595" s="252" t="s">
        <v>75</v>
      </c>
      <c r="Q2595" s="253"/>
      <c r="R2595" s="247" t="s">
        <v>3293</v>
      </c>
      <c r="S2595" s="272" t="s">
        <v>3293</v>
      </c>
      <c r="T2595" s="273">
        <v>13</v>
      </c>
      <c r="U2595" s="274"/>
      <c r="V2595" s="280">
        <v>82</v>
      </c>
      <c r="W2595" s="244"/>
      <c r="X2595" s="244"/>
      <c r="Y2595" s="362"/>
      <c r="Z2595" s="257">
        <f>altaz(J2000_Bas,$O2595,$M2595,DecLat,DecLong,1)</f>
        <v>-25.915901327277751</v>
      </c>
      <c r="AA2595" s="257">
        <f>altaz((J2000_Bas+(2*0.04167)),$O2595,$M2595,DecLat,DecLong,1)</f>
        <v>-1.1067114551448449</v>
      </c>
      <c r="AB2595" s="257">
        <f>altaz((J2000_Bas+(4*0.04167)),$O2595,$M2595,DecLat,DecLong,1)</f>
        <v>20.899670555742144</v>
      </c>
      <c r="AC2595" s="257">
        <f>altaz((J2000_Bas+(6*0.04167)),$O2595,$M2595,DecLat,DecLong,1)</f>
        <v>36.140901106695949</v>
      </c>
      <c r="AD2595" s="258">
        <f>1+ transit((J2000_Bas-1),$O2595,$M2595,DecLat,DecLong)/360 + (GMTOffset/24) + (IF(DST="Y", 1, 0)/24)</f>
        <v>1.0902031916401247</v>
      </c>
      <c r="AE2595" s="259">
        <f>DATE(2001,9,21)+(M2595/360)*365 - (360*((DecLong/360)- (GMTOffset/24) ))</f>
        <v>37195.515682870369</v>
      </c>
      <c r="AF2595" s="260">
        <f>IF(DecLat&gt;0,IF((90 - (DecLat-O2595))&gt;90, (90 - (O2595-DecLat)), (90 - (DecLat-O2595))),IF((90 + (DecLat-O2595))&gt;90, (90 + (O2595-DecLat)), (90 + (DecLat-O2595))))</f>
        <v>39.248888888888885</v>
      </c>
      <c r="AG2595" s="257">
        <f>angularseperation(MoonRA,MoonDec,$M2595,$O2595)</f>
        <v>122.62203263923145</v>
      </c>
      <c r="AH2595" s="261">
        <f ca="1">MIN(100,IF($O$5&gt;80,0+30*($AG2595/100),IF($O$5&gt;70,0+50*($AG2595/100),IF($O$5&gt;60,5+50*($AG2595/100),IF($O$5&gt;50,10+60*($AG2595/100),IF($O$5&gt;40,15+70*($AG2595/100),IF($O$5&gt;30,20+70*($AG2595/100),IF($O$5&gt;20,40+55*($AG2595/100),(80+(20-$O$5)+30*($AG2595/100))))))))))</f>
        <v>100</v>
      </c>
      <c r="AI2595" s="262"/>
      <c r="AJ2595" s="262"/>
      <c r="AK2595" s="262"/>
      <c r="AL2595" s="263"/>
      <c r="AM2595" s="264"/>
      <c r="AN2595" s="263"/>
      <c r="AO2595" s="263"/>
      <c r="AP2595" s="265"/>
      <c r="AQ2595" s="266"/>
      <c r="AR2595" s="267">
        <v>8896</v>
      </c>
      <c r="AS2595" s="263"/>
      <c r="AT2595" s="263"/>
      <c r="AU2595" s="263"/>
      <c r="AV2595" s="264"/>
      <c r="AW2595" s="263"/>
      <c r="AX2595" s="263"/>
      <c r="AY2595" s="263"/>
      <c r="AZ2595" s="263"/>
      <c r="BA2595" s="263"/>
      <c r="BB2595" s="263"/>
      <c r="BC2595" s="263"/>
      <c r="BD2595" s="264"/>
      <c r="BE2595" s="263"/>
      <c r="BF2595" s="263"/>
      <c r="BG2595" s="263"/>
      <c r="BH2595" s="263"/>
      <c r="BI2595" s="263"/>
      <c r="BJ2595" s="404">
        <f>altaz(J2000_Bas,$O2595,$M2595,DecLat,DecLong,2)</f>
        <v>98.415893758204064</v>
      </c>
      <c r="BK2595" s="378" t="s">
        <v>3223</v>
      </c>
      <c r="BL2595" s="379">
        <f>IF((2*G2595)/60&lt;0.2,0.2,(2*G2595)/60)</f>
        <v>0.2</v>
      </c>
      <c r="BM2595" s="380">
        <f>MOD((50000+AD2595-$B$3+(0/24)),1)</f>
        <v>0.30557012134522665</v>
      </c>
      <c r="BN2595" s="381"/>
      <c r="BO2595" s="382">
        <v>2586</v>
      </c>
    </row>
    <row r="2596" spans="1:67" s="24" customFormat="1" ht="15" customHeight="1" x14ac:dyDescent="0.25">
      <c r="A2596" s="288" t="s">
        <v>3224</v>
      </c>
      <c r="B2596" s="241" t="str">
        <f>HYPERLINK(CONCATENATE($AT$3,BK2596,$AU$3),$AV$3)</f>
        <v>S</v>
      </c>
      <c r="C2596" s="242" t="str">
        <f>HYPERLINK(CONCATENATE($AT$4,BK2596,$AU$4,BL2596),$AV$4)</f>
        <v>A</v>
      </c>
      <c r="D2596" s="243" t="s">
        <v>5638</v>
      </c>
      <c r="E2596" s="244" t="s">
        <v>8641</v>
      </c>
      <c r="F2596" s="269"/>
      <c r="G2596" s="270">
        <v>0.2</v>
      </c>
      <c r="H2596" s="283">
        <v>400</v>
      </c>
      <c r="I2596" s="246">
        <v>24</v>
      </c>
      <c r="J2596" s="246">
        <v>3</v>
      </c>
      <c r="K2596" s="247" t="s">
        <v>5084</v>
      </c>
      <c r="L2596" s="248">
        <v>50142</v>
      </c>
      <c r="M2596" s="249">
        <f>15*(LEFT(TEXT($L2596,"000000"),2)+(MID(TEXT($L2596,"000000"),3,2)/60)+(RIGHT(TEXT($L2596,"000000"),2)/3600))</f>
        <v>75.424999999999997</v>
      </c>
      <c r="N2596" s="250">
        <v>33428</v>
      </c>
      <c r="O2596" s="251">
        <f>IF($N2596&gt;0,(LEFT(TEXT($N2596,"000000"),2)+(MID(TEXT($N2596,"000000"),3,2)/60)+(RIGHT(TEXT($N2596,"000000"),2)/3600)),-(MID(TEXT($N2596,"000000"),2,2)+(MID(TEXT($N2596,"000000"),4,2)/60)+(RIGHT(TEXT($N2596,"000000"),2)/3600)))</f>
        <v>3.5744444444444441</v>
      </c>
      <c r="P2596" s="252" t="s">
        <v>41</v>
      </c>
      <c r="Q2596" s="253"/>
      <c r="R2596" s="247" t="s">
        <v>2440</v>
      </c>
      <c r="S2596" s="272" t="s">
        <v>3293</v>
      </c>
      <c r="T2596" s="273">
        <v>16</v>
      </c>
      <c r="U2596" s="274"/>
      <c r="V2596" s="280"/>
      <c r="W2596" s="244"/>
      <c r="X2596" s="244"/>
      <c r="Y2596" s="362"/>
      <c r="Z2596" s="257">
        <f>altaz(J2000_Bas,$O2596,$M2596,DecLat,DecLong,1)</f>
        <v>-44.783059874406838</v>
      </c>
      <c r="AA2596" s="257">
        <f>altaz((J2000_Bas+(2*0.04167)),$O2596,$M2596,DecLat,DecLong,1)</f>
        <v>-22.77099371813468</v>
      </c>
      <c r="AB2596" s="257">
        <f>altaz((J2000_Bas+(4*0.04167)),$O2596,$M2596,DecLat,DecLong,1)</f>
        <v>2.4793509111924337</v>
      </c>
      <c r="AC2596" s="257">
        <f>altaz((J2000_Bas+(6*0.04167)),$O2596,$M2596,DecLat,DecLong,1)</f>
        <v>28.07088992354219</v>
      </c>
      <c r="AD2596" s="258">
        <f>1+ transit((J2000_Bas-1),$O2596,$M2596,DecLat,DecLong)/360 + (GMTOffset/24) + (IF(DST="Y", 1, 0)/24)</f>
        <v>1.2024138285672079</v>
      </c>
      <c r="AE2596" s="259">
        <f>DATE(2001,9,21)+(M2596/360)*365 - (360*((DecLong/360)- (GMTOffset/24) ))</f>
        <v>37236.472569444442</v>
      </c>
      <c r="AF2596" s="260">
        <f>IF(DecLat&gt;0,IF((90 - (DecLat-O2596))&gt;90, (90 - (O2596-DecLat)), (90 - (DecLat-O2596))),IF((90 + (DecLat-O2596))&gt;90, (90 + (O2596-DecLat)), (90 + (DecLat-O2596))))</f>
        <v>62.574444444444445</v>
      </c>
      <c r="AG2596" s="257">
        <f>angularseperation(MoonRA,MoonDec,$M2596,$O2596)</f>
        <v>155.75860330564797</v>
      </c>
      <c r="AH2596" s="261">
        <f ca="1">MIN(100,IF($O$5&gt;80,0+30*($AG2596/100),IF($O$5&gt;70,0+50*($AG2596/100),IF($O$5&gt;60,5+50*($AG2596/100),IF($O$5&gt;50,10+60*($AG2596/100),IF($O$5&gt;40,15+70*($AG2596/100),IF($O$5&gt;30,20+70*($AG2596/100),IF($O$5&gt;20,40+55*($AG2596/100),(80+(20-$O$5)+30*($AG2596/100))))))))))</f>
        <v>100</v>
      </c>
      <c r="AI2596" s="262"/>
      <c r="AJ2596" s="262"/>
      <c r="AK2596" s="262"/>
      <c r="AL2596" s="263"/>
      <c r="AM2596" s="264"/>
      <c r="AN2596" s="263"/>
      <c r="AO2596" s="263"/>
      <c r="AP2596" s="265"/>
      <c r="AQ2596" s="266"/>
      <c r="AR2596" s="267">
        <v>16572</v>
      </c>
      <c r="AS2596" s="263"/>
      <c r="AT2596" s="263"/>
      <c r="AU2596" s="263"/>
      <c r="AV2596" s="264"/>
      <c r="AW2596" s="263"/>
      <c r="AX2596" s="263"/>
      <c r="AY2596" s="263"/>
      <c r="AZ2596" s="263"/>
      <c r="BA2596" s="263"/>
      <c r="BB2596" s="263"/>
      <c r="BC2596" s="263"/>
      <c r="BD2596" s="264"/>
      <c r="BE2596" s="263"/>
      <c r="BF2596" s="263"/>
      <c r="BG2596" s="263"/>
      <c r="BH2596" s="263"/>
      <c r="BI2596" s="263"/>
      <c r="BJ2596" s="404">
        <f>altaz(J2000_Bas,$O2596,$M2596,DecLat,DecLong,2)</f>
        <v>45.669027628164798</v>
      </c>
      <c r="BK2596" s="378" t="s">
        <v>3224</v>
      </c>
      <c r="BL2596" s="379">
        <f>IF((2*G2596)/60&lt;0.2,0.2,(2*G2596)/60)</f>
        <v>0.2</v>
      </c>
      <c r="BM2596" s="380">
        <f>MOD((50000+AD2596-$B$3+(0/24)),1)</f>
        <v>0.4177807582746027</v>
      </c>
      <c r="BN2596" s="381"/>
      <c r="BO2596" s="382">
        <v>2587</v>
      </c>
    </row>
    <row r="2597" spans="1:67" s="24" customFormat="1" ht="15" customHeight="1" x14ac:dyDescent="0.25">
      <c r="A2597" s="288" t="s">
        <v>3225</v>
      </c>
      <c r="B2597" s="241" t="str">
        <f>HYPERLINK(CONCATENATE($AT$3,BK2597,$AU$3),$AV$3)</f>
        <v>S</v>
      </c>
      <c r="C2597" s="242" t="str">
        <f>HYPERLINK(CONCATENATE($AT$4,BK2597,$AU$4,BL2597),$AV$4)</f>
        <v>A</v>
      </c>
      <c r="D2597" s="243" t="s">
        <v>5638</v>
      </c>
      <c r="E2597" s="244" t="s">
        <v>5337</v>
      </c>
      <c r="F2597" s="269" t="s">
        <v>3316</v>
      </c>
      <c r="G2597" s="270">
        <v>0.9</v>
      </c>
      <c r="H2597" s="283">
        <v>260</v>
      </c>
      <c r="I2597" s="246">
        <v>70</v>
      </c>
      <c r="J2597" s="246">
        <v>3</v>
      </c>
      <c r="K2597" s="247" t="s">
        <v>8452</v>
      </c>
      <c r="L2597" s="248">
        <v>54043</v>
      </c>
      <c r="M2597" s="249">
        <f>15*(LEFT(TEXT($L2597,"000000"),2)+(MID(TEXT($L2597,"000000"),3,2)/60)+(RIGHT(TEXT($L2597,"000000"),2)/3600))</f>
        <v>85.179166666666674</v>
      </c>
      <c r="N2597" s="250">
        <v>494141</v>
      </c>
      <c r="O2597" s="251">
        <f>IF($N2597&gt;0,(LEFT(TEXT($N2597,"000000"),2)+(MID(TEXT($N2597,"000000"),3,2)/60)+(RIGHT(TEXT($N2597,"000000"),2)/3600)),-(MID(TEXT($N2597,"000000"),2,2)+(MID(TEXT($N2597,"000000"),4,2)/60)+(RIGHT(TEXT($N2597,"000000"),2)/3600)))</f>
        <v>49.694722222222218</v>
      </c>
      <c r="P2597" s="252" t="s">
        <v>62</v>
      </c>
      <c r="Q2597" s="253"/>
      <c r="R2597" s="247" t="s">
        <v>3293</v>
      </c>
      <c r="S2597" s="272" t="s">
        <v>3293</v>
      </c>
      <c r="T2597" s="273">
        <v>15</v>
      </c>
      <c r="U2597" s="274"/>
      <c r="V2597" s="280"/>
      <c r="W2597" s="244"/>
      <c r="X2597" s="244"/>
      <c r="Y2597" s="362"/>
      <c r="Z2597" s="257">
        <f>altaz(J2000_Bas,$O2597,$M2597,DecLat,DecLong,1)</f>
        <v>-7.2083045577169242</v>
      </c>
      <c r="AA2597" s="257">
        <f>altaz((J2000_Bas+(2*0.04167)),$O2597,$M2597,DecLat,DecLong,1)</f>
        <v>2.4727117319178968</v>
      </c>
      <c r="AB2597" s="257">
        <f>altaz((J2000_Bas+(4*0.04167)),$O2597,$M2597,DecLat,DecLong,1)</f>
        <v>17.816141247870341</v>
      </c>
      <c r="AC2597" s="257">
        <f>altaz((J2000_Bas+(6*0.04167)),$O2597,$M2597,DecLat,DecLong,1)</f>
        <v>36.311302261607082</v>
      </c>
      <c r="AD2597" s="258">
        <f>1+ transit((J2000_Bas-1),$O2597,$M2597,DecLat,DecLong)/360 + (GMTOffset/24) + (IF(DST="Y", 1, 0)/24)</f>
        <v>1.2295087332651247</v>
      </c>
      <c r="AE2597" s="259">
        <f>DATE(2001,9,21)+(M2597/360)*365 - (360*((DecLong/360)- (GMTOffset/24) ))</f>
        <v>37246.362210648149</v>
      </c>
      <c r="AF2597" s="260">
        <f>IF(DecLat&gt;0,IF((90 - (DecLat-O2597))&gt;90, (90 - (O2597-DecLat)), (90 - (DecLat-O2597))),IF((90 + (DecLat-O2597))&gt;90, (90 + (O2597-DecLat)), (90 + (DecLat-O2597))))</f>
        <v>71.305277777777775</v>
      </c>
      <c r="AG2597" s="257">
        <f>angularseperation(MoonRA,MoonDec,$M2597,$O2597)</f>
        <v>154.29009917057525</v>
      </c>
      <c r="AH2597" s="261">
        <f ca="1">MIN(100,IF($O$5&gt;80,0+30*($AG2597/100),IF($O$5&gt;70,0+50*($AG2597/100),IF($O$5&gt;60,5+50*($AG2597/100),IF($O$5&gt;50,10+60*($AG2597/100),IF($O$5&gt;40,15+70*($AG2597/100),IF($O$5&gt;30,20+70*($AG2597/100),IF($O$5&gt;20,40+55*($AG2597/100),(80+(20-$O$5)+30*($AG2597/100))))))))))</f>
        <v>100</v>
      </c>
      <c r="AI2597" s="262"/>
      <c r="AJ2597" s="262"/>
      <c r="AK2597" s="262"/>
      <c r="AL2597" s="263"/>
      <c r="AM2597" s="264"/>
      <c r="AN2597" s="263"/>
      <c r="AO2597" s="263"/>
      <c r="AP2597" s="265"/>
      <c r="AQ2597" s="266"/>
      <c r="AR2597" s="267">
        <v>17588</v>
      </c>
      <c r="AS2597" s="263"/>
      <c r="AT2597" s="263"/>
      <c r="AU2597" s="263"/>
      <c r="AV2597" s="264"/>
      <c r="AW2597" s="263"/>
      <c r="AX2597" s="263"/>
      <c r="AY2597" s="263"/>
      <c r="AZ2597" s="263"/>
      <c r="BA2597" s="263"/>
      <c r="BB2597" s="263"/>
      <c r="BC2597" s="263"/>
      <c r="BD2597" s="264"/>
      <c r="BE2597" s="263"/>
      <c r="BF2597" s="263"/>
      <c r="BG2597" s="263"/>
      <c r="BH2597" s="263"/>
      <c r="BI2597" s="263"/>
      <c r="BJ2597" s="404">
        <f>altaz(J2000_Bas,$O2597,$M2597,DecLat,DecLong,2)</f>
        <v>13.402124921334101</v>
      </c>
      <c r="BK2597" s="378" t="s">
        <v>3225</v>
      </c>
      <c r="BL2597" s="379">
        <f>IF((2*G2597)/60&lt;0.2,0.2,(2*G2597)/60)</f>
        <v>0.2</v>
      </c>
      <c r="BM2597" s="380">
        <f>MOD((50000+AD2597-$B$3+(0/24)),1)</f>
        <v>0.44487566297175363</v>
      </c>
      <c r="BN2597" s="381" t="s">
        <v>9281</v>
      </c>
      <c r="BO2597" s="382">
        <v>2588</v>
      </c>
    </row>
    <row r="2598" spans="1:67" s="24" customFormat="1" ht="15" customHeight="1" x14ac:dyDescent="0.25">
      <c r="A2598" s="288" t="s">
        <v>3226</v>
      </c>
      <c r="B2598" s="241" t="str">
        <f>HYPERLINK(CONCATENATE($AT$3,BK2598,$AU$3),$AV$3)</f>
        <v>S</v>
      </c>
      <c r="C2598" s="242" t="str">
        <f>HYPERLINK(CONCATENATE($AT$4,BK2598,$AU$4,BL2598),$AV$4)</f>
        <v>A</v>
      </c>
      <c r="D2598" s="243" t="s">
        <v>5638</v>
      </c>
      <c r="E2598" s="244" t="s">
        <v>5192</v>
      </c>
      <c r="F2598" s="269" t="s">
        <v>8668</v>
      </c>
      <c r="G2598" s="273">
        <v>5</v>
      </c>
      <c r="H2598" s="283">
        <v>110</v>
      </c>
      <c r="I2598" s="246">
        <v>150</v>
      </c>
      <c r="J2598" s="246">
        <v>2</v>
      </c>
      <c r="K2598" s="247" t="s">
        <v>6236</v>
      </c>
      <c r="L2598" s="248">
        <v>91154</v>
      </c>
      <c r="M2598" s="249">
        <f>15*(LEFT(TEXT($L2598,"000000"),2)+(MID(TEXT($L2598,"000000"),3,2)/60)+(RIGHT(TEXT($L2598,"000000"),2)/3600))</f>
        <v>137.97500000000002</v>
      </c>
      <c r="N2598" s="250">
        <v>-200703</v>
      </c>
      <c r="O2598" s="251">
        <f>IF($N2598&gt;0,(LEFT(TEXT($N2598,"000000"),2)+(MID(TEXT($N2598,"000000"),3,2)/60)+(RIGHT(TEXT($N2598,"000000"),2)/3600)),-(MID(TEXT($N2598,"000000"),2,2)+(MID(TEXT($N2598,"000000"),4,2)/60)+(RIGHT(TEXT($N2598,"000000"),2)/3600)))</f>
        <v>-20.1175</v>
      </c>
      <c r="P2598" s="252" t="s">
        <v>103</v>
      </c>
      <c r="Q2598" s="253"/>
      <c r="R2598" s="277" t="s">
        <v>3293</v>
      </c>
      <c r="S2598" s="272" t="s">
        <v>3293</v>
      </c>
      <c r="T2598" s="273">
        <v>14</v>
      </c>
      <c r="U2598" s="274"/>
      <c r="V2598" s="280">
        <v>90</v>
      </c>
      <c r="W2598" s="244"/>
      <c r="X2598" s="244"/>
      <c r="Y2598" s="362"/>
      <c r="Z2598" s="257">
        <f>altaz(J2000_Bas,$O2598,$M2598,DecLat,DecLong,1)</f>
        <v>-59.307639848220504</v>
      </c>
      <c r="AA2598" s="257">
        <f>altaz((J2000_Bas+(2*0.04167)),$O2598,$M2598,DecLat,DecLong,1)</f>
        <v>-78.985711305700164</v>
      </c>
      <c r="AB2598" s="257">
        <f>altaz((J2000_Bas+(4*0.04167)),$O2598,$M2598,DecLat,DecLong,1)</f>
        <v>-62.437031954506317</v>
      </c>
      <c r="AC2598" s="257">
        <f>altaz((J2000_Bas+(6*0.04167)),$O2598,$M2598,DecLat,DecLong,1)</f>
        <v>-36.891841421711774</v>
      </c>
      <c r="AD2598" s="258">
        <f>1+ transit((J2000_Bas-1),$O2598,$M2598,DecLat,DecLong)/360 + (GMTOffset/24) + (IF(DST="Y", 1, 0)/24)</f>
        <v>1.3761638111922081</v>
      </c>
      <c r="AE2598" s="259">
        <f>DATE(2001,9,21)+(M2598/360)*365 - (360*((DecLong/360)- (GMTOffset/24) ))</f>
        <v>37299.891319444447</v>
      </c>
      <c r="AF2598" s="260">
        <f>IF(DecLat&gt;0,IF((90 - (DecLat-O2598))&gt;90, (90 - (O2598-DecLat)), (90 - (DecLat-O2598))),IF((90 + (DecLat-O2598))&gt;90, (90 + (O2598-DecLat)), (90 + (DecLat-O2598))))</f>
        <v>38.8825</v>
      </c>
      <c r="AG2598" s="257">
        <f>angularseperation(MoonRA,MoonDec,$M2598,$O2598)</f>
        <v>98.432084994271676</v>
      </c>
      <c r="AH2598" s="261">
        <f ca="1">MIN(100,IF($O$5&gt;80,0+30*($AG2598/100),IF($O$5&gt;70,0+50*($AG2598/100),IF($O$5&gt;60,5+50*($AG2598/100),IF($O$5&gt;50,10+60*($AG2598/100),IF($O$5&gt;40,15+70*($AG2598/100),IF($O$5&gt;30,20+70*($AG2598/100),IF($O$5&gt;20,40+55*($AG2598/100),(80+(20-$O$5)+30*($AG2598/100))))))))))</f>
        <v>100</v>
      </c>
      <c r="AI2598" s="263"/>
      <c r="AJ2598" s="263"/>
      <c r="AK2598" s="263"/>
      <c r="AL2598" s="263"/>
      <c r="AM2598" s="264"/>
      <c r="AN2598" s="263"/>
      <c r="AO2598" s="263"/>
      <c r="AP2598" s="265"/>
      <c r="AQ2598" s="265"/>
      <c r="AR2598" s="267">
        <v>25926</v>
      </c>
      <c r="AS2598" s="263"/>
      <c r="AT2598" s="263"/>
      <c r="AU2598" s="263"/>
      <c r="AV2598" s="264"/>
      <c r="AW2598" s="263"/>
      <c r="AX2598" s="263"/>
      <c r="AY2598" s="263"/>
      <c r="AZ2598" s="263"/>
      <c r="BA2598" s="263"/>
      <c r="BB2598" s="263"/>
      <c r="BC2598" s="263"/>
      <c r="BD2598" s="264"/>
      <c r="BE2598" s="263"/>
      <c r="BF2598" s="263"/>
      <c r="BG2598" s="263"/>
      <c r="BH2598" s="263"/>
      <c r="BI2598" s="263"/>
      <c r="BJ2598" s="404">
        <f>altaz(J2000_Bas,$O2598,$M2598,DecLat,DecLong,2)</f>
        <v>283.0704461706834</v>
      </c>
      <c r="BK2598" s="378" t="s">
        <v>3226</v>
      </c>
      <c r="BL2598" s="379">
        <f>IF((2*G2598)/60&lt;0.2,0.2,(2*G2598)/60)</f>
        <v>0.2</v>
      </c>
      <c r="BM2598" s="380">
        <f>MOD((50000+AD2598-$B$3+(0/24)),1)</f>
        <v>0.59153074089408619</v>
      </c>
      <c r="BN2598" s="381"/>
      <c r="BO2598" s="382">
        <v>2589</v>
      </c>
    </row>
    <row r="2599" spans="1:67" s="24" customFormat="1" ht="15" customHeight="1" x14ac:dyDescent="0.25">
      <c r="A2599" s="287" t="s">
        <v>9400</v>
      </c>
      <c r="B2599" s="241" t="str">
        <f>HYPERLINK(CONCATENATE($AT$3,BK2599,$AU$3),$AV$3)</f>
        <v>S</v>
      </c>
      <c r="C2599" s="242" t="str">
        <f>HYPERLINK(CONCATENATE($AT$4,BK2599,$AU$4,BL2599),$AV$4)</f>
        <v>A</v>
      </c>
      <c r="D2599" s="243" t="s">
        <v>5638</v>
      </c>
      <c r="E2599" s="244" t="s">
        <v>5192</v>
      </c>
      <c r="F2599" s="269" t="s">
        <v>9401</v>
      </c>
      <c r="G2599" s="273">
        <v>1</v>
      </c>
      <c r="H2599" s="283">
        <v>160</v>
      </c>
      <c r="I2599" s="246">
        <v>50</v>
      </c>
      <c r="J2599" s="246">
        <v>1</v>
      </c>
      <c r="K2599" s="247" t="s">
        <v>9402</v>
      </c>
      <c r="L2599" s="248">
        <v>100109</v>
      </c>
      <c r="M2599" s="249">
        <f>15*(LEFT(TEXT($L2599,"000000"),2)+(MID(TEXT($L2599,"000000"),3,2)/60)+(RIGHT(TEXT($L2599,"000000"),2)/3600))</f>
        <v>150.28749999999999</v>
      </c>
      <c r="N2599" s="250">
        <v>-192630</v>
      </c>
      <c r="O2599" s="251">
        <f>IF($N2599&gt;0,(LEFT(TEXT($N2599,"000000"),2)+(MID(TEXT($N2599,"000000"),3,2)/60)+(RIGHT(TEXT($N2599,"000000"),2)/3600)),-(MID(TEXT($N2599,"000000"),2,2)+(MID(TEXT($N2599,"000000"),4,2)/60)+(RIGHT(TEXT($N2599,"000000"),2)/3600)))</f>
        <v>-19.441666666666666</v>
      </c>
      <c r="P2599" s="252" t="s">
        <v>103</v>
      </c>
      <c r="Q2599" s="253"/>
      <c r="R2599" s="277" t="s">
        <v>3293</v>
      </c>
      <c r="S2599" s="272" t="s">
        <v>3293</v>
      </c>
      <c r="T2599" s="273">
        <v>15</v>
      </c>
      <c r="U2599" s="274"/>
      <c r="V2599" s="280">
        <v>20</v>
      </c>
      <c r="W2599" s="244"/>
      <c r="X2599" s="244"/>
      <c r="Y2599" s="362"/>
      <c r="Z2599" s="257">
        <f>altaz(J2000_Bas,$O2599,$M2599,DecLat,DecLong,1)</f>
        <v>-48.596169142212837</v>
      </c>
      <c r="AA2599" s="257">
        <f>altaz((J2000_Bas+(2*0.04167)),$O2599,$M2599,DecLat,DecLong,1)</f>
        <v>-72.750588314522759</v>
      </c>
      <c r="AB2599" s="257">
        <f>altaz((J2000_Bas+(4*0.04167)),$O2599,$M2599,DecLat,DecLong,1)</f>
        <v>-71.596729027103081</v>
      </c>
      <c r="AC2599" s="257">
        <f>altaz((J2000_Bas+(6*0.04167)),$O2599,$M2599,DecLat,DecLong,1)</f>
        <v>-47.158106000007805</v>
      </c>
      <c r="AD2599" s="258">
        <f>1+ transit((J2000_Bas-1),$O2599,$M2599,DecLat,DecLong)/360 + (GMTOffset/24) + (IF(DST="Y", 1, 0)/24)</f>
        <v>1.4103651966609581</v>
      </c>
      <c r="AE2599" s="259">
        <f>DATE(2001,9,21)+(M2599/360)*365 - (360*((DecLong/360)- (GMTOffset/24) ))</f>
        <v>37312.374826388892</v>
      </c>
      <c r="AF2599" s="260">
        <f>IF(DecLat&gt;0,IF((90 - (DecLat-O2599))&gt;90, (90 - (O2599-DecLat)), (90 - (DecLat-O2599))),IF((90 + (DecLat-O2599))&gt;90, (90 + (O2599-DecLat)), (90 + (DecLat-O2599))))</f>
        <v>39.558333333333337</v>
      </c>
      <c r="AG2599" s="257">
        <f>angularseperation(MoonRA,MoonDec,$M2599,$O2599)</f>
        <v>88.80436954788847</v>
      </c>
      <c r="AH2599" s="261">
        <f ca="1">MIN(100,IF($O$5&gt;80,0+30*($AG2599/100),IF($O$5&gt;70,0+50*($AG2599/100),IF($O$5&gt;60,5+50*($AG2599/100),IF($O$5&gt;50,10+60*($AG2599/100),IF($O$5&gt;40,15+70*($AG2599/100),IF($O$5&gt;30,20+70*($AG2599/100),IF($O$5&gt;20,40+55*($AG2599/100),(80+(20-$O$5)+30*($AG2599/100))))))))))</f>
        <v>100</v>
      </c>
      <c r="AI2599" s="263"/>
      <c r="AJ2599" s="263"/>
      <c r="AK2599" s="263"/>
      <c r="AL2599" s="263"/>
      <c r="AM2599" s="264"/>
      <c r="AN2599" s="263"/>
      <c r="AO2599" s="263"/>
      <c r="AP2599" s="265"/>
      <c r="AQ2599" s="265"/>
      <c r="AR2599" s="267">
        <v>28995</v>
      </c>
      <c r="AS2599" s="263"/>
      <c r="AT2599" s="263"/>
      <c r="AU2599" s="263"/>
      <c r="AV2599" s="264"/>
      <c r="AW2599" s="263"/>
      <c r="AX2599" s="263"/>
      <c r="AY2599" s="263"/>
      <c r="AZ2599" s="263"/>
      <c r="BA2599" s="263"/>
      <c r="BB2599" s="263"/>
      <c r="BC2599" s="263"/>
      <c r="BD2599" s="264"/>
      <c r="BE2599" s="263"/>
      <c r="BF2599" s="263"/>
      <c r="BG2599" s="263"/>
      <c r="BH2599" s="263"/>
      <c r="BI2599" s="263"/>
      <c r="BJ2599" s="404">
        <f>altaz(J2000_Bas,$O2599,$M2599,DecLat,DecLong,2)</f>
        <v>275.41179748198164</v>
      </c>
      <c r="BK2599" s="378" t="s">
        <v>9400</v>
      </c>
      <c r="BL2599" s="379">
        <f>IF((2*G2599)/60&lt;0.2,0.2,(2*G2599)/60)</f>
        <v>0.2</v>
      </c>
      <c r="BM2599" s="380">
        <f>MOD((50000+AD2599-$B$3+(0/24)),1)</f>
        <v>0.6257321263619815</v>
      </c>
      <c r="BN2599" s="381"/>
      <c r="BO2599" s="382">
        <v>2590</v>
      </c>
    </row>
    <row r="2600" spans="1:67" s="24" customFormat="1" ht="15" customHeight="1" x14ac:dyDescent="0.25">
      <c r="A2600" s="287" t="s">
        <v>3227</v>
      </c>
      <c r="B2600" s="241" t="str">
        <f>HYPERLINK(CONCATENATE($AT$3,BK2600,$AU$3),$AV$3)</f>
        <v>S</v>
      </c>
      <c r="C2600" s="242" t="str">
        <f>HYPERLINK(CONCATENATE($AT$4,BK2600,$AU$4,BL2600),$AV$4)</f>
        <v>A</v>
      </c>
      <c r="D2600" s="243" t="s">
        <v>5638</v>
      </c>
      <c r="E2600" s="244" t="s">
        <v>5192</v>
      </c>
      <c r="F2600" s="269" t="s">
        <v>8668</v>
      </c>
      <c r="G2600" s="273">
        <v>3.4</v>
      </c>
      <c r="H2600" s="283">
        <v>85</v>
      </c>
      <c r="I2600" s="246">
        <v>90</v>
      </c>
      <c r="J2600" s="246">
        <v>2</v>
      </c>
      <c r="K2600" s="247" t="s">
        <v>6237</v>
      </c>
      <c r="L2600" s="248">
        <v>105125</v>
      </c>
      <c r="M2600" s="249">
        <f>15*(LEFT(TEXT($L2600,"000000"),2)+(MID(TEXT($L2600,"000000"),3,2)/60)+(RIGHT(TEXT($L2600,"000000"),2)/3600))</f>
        <v>162.85416666666666</v>
      </c>
      <c r="N2600" s="250">
        <v>-195320</v>
      </c>
      <c r="O2600" s="251">
        <f>IF($N2600&gt;0,(LEFT(TEXT($N2600,"000000"),2)+(MID(TEXT($N2600,"000000"),3,2)/60)+(RIGHT(TEXT($N2600,"000000"),2)/3600)),-(MID(TEXT($N2600,"000000"),2,2)+(MID(TEXT($N2600,"000000"),4,2)/60)+(RIGHT(TEXT($N2600,"000000"),2)/3600)))</f>
        <v>-19.888888888888889</v>
      </c>
      <c r="P2600" s="252" t="s">
        <v>103</v>
      </c>
      <c r="Q2600" s="253"/>
      <c r="R2600" s="277" t="s">
        <v>3293</v>
      </c>
      <c r="S2600" s="272" t="s">
        <v>3293</v>
      </c>
      <c r="T2600" s="273">
        <v>13.5</v>
      </c>
      <c r="U2600" s="274"/>
      <c r="V2600" s="280">
        <v>88</v>
      </c>
      <c r="W2600" s="244"/>
      <c r="X2600" s="244"/>
      <c r="Y2600" s="362"/>
      <c r="Z2600" s="257">
        <f>altaz(J2000_Bas,$O2600,$M2600,DecLat,DecLong,1)</f>
        <v>-38.022139538943364</v>
      </c>
      <c r="AA2600" s="257">
        <f>altaz((J2000_Bas+(2*0.04167)),$O2600,$M2600,DecLat,DecLong,1)</f>
        <v>-63.493575297537959</v>
      </c>
      <c r="AB2600" s="257">
        <f>altaz((J2000_Bas+(4*0.04167)),$O2600,$M2600,DecLat,DecLong,1)</f>
        <v>-78.494194551986141</v>
      </c>
      <c r="AC2600" s="257">
        <f>altaz((J2000_Bas+(6*0.04167)),$O2600,$M2600,DecLat,DecLong,1)</f>
        <v>-58.007748168325165</v>
      </c>
      <c r="AD2600" s="258">
        <f>1+ transit((J2000_Bas-1),$O2600,$M2600,DecLat,DecLong)/360 + (GMTOffset/24) + (IF(DST="Y", 1, 0)/24)</f>
        <v>1.4452726005776246</v>
      </c>
      <c r="AE2600" s="259">
        <f>DATE(2001,9,21)+(M2600/360)*365 - (360*((DecLong/360)- (GMTOffset/24) ))</f>
        <v>37325.116030092591</v>
      </c>
      <c r="AF2600" s="260">
        <f>IF(DecLat&gt;0,IF((90 - (DecLat-O2600))&gt;90, (90 - (O2600-DecLat)), (90 - (DecLat-O2600))),IF((90 + (DecLat-O2600))&gt;90, (90 + (O2600-DecLat)), (90 + (DecLat-O2600))))</f>
        <v>39.111111111111114</v>
      </c>
      <c r="AG2600" s="257">
        <f>angularseperation(MoonRA,MoonDec,$M2600,$O2600)</f>
        <v>78.015908318126961</v>
      </c>
      <c r="AH2600" s="261">
        <f ca="1">MIN(100,IF($O$5&gt;80,0+30*($AG2600/100),IF($O$5&gt;70,0+50*($AG2600/100),IF($O$5&gt;60,5+50*($AG2600/100),IF($O$5&gt;50,10+60*($AG2600/100),IF($O$5&gt;40,15+70*($AG2600/100),IF($O$5&gt;30,20+70*($AG2600/100),IF($O$5&gt;20,40+55*($AG2600/100),(80+(20-$O$5)+30*($AG2600/100))))))))))</f>
        <v>100</v>
      </c>
      <c r="AI2600" s="263"/>
      <c r="AJ2600" s="263"/>
      <c r="AK2600" s="263"/>
      <c r="AL2600" s="263"/>
      <c r="AM2600" s="264"/>
      <c r="AN2600" s="263"/>
      <c r="AO2600" s="263"/>
      <c r="AP2600" s="265"/>
      <c r="AQ2600" s="265"/>
      <c r="AR2600" s="267">
        <v>32550</v>
      </c>
      <c r="AS2600" s="263"/>
      <c r="AT2600" s="263"/>
      <c r="AU2600" s="263"/>
      <c r="AV2600" s="264"/>
      <c r="AW2600" s="263"/>
      <c r="AX2600" s="263"/>
      <c r="AY2600" s="263"/>
      <c r="AZ2600" s="263"/>
      <c r="BA2600" s="263"/>
      <c r="BB2600" s="263"/>
      <c r="BC2600" s="263"/>
      <c r="BD2600" s="264"/>
      <c r="BE2600" s="263"/>
      <c r="BF2600" s="263"/>
      <c r="BG2600" s="263"/>
      <c r="BH2600" s="263"/>
      <c r="BI2600" s="263"/>
      <c r="BJ2600" s="404">
        <f>altaz(J2000_Bas,$O2600,$M2600,DecLat,DecLong,2)</f>
        <v>268.05218859134806</v>
      </c>
      <c r="BK2600" s="378" t="s">
        <v>3227</v>
      </c>
      <c r="BL2600" s="379">
        <f>IF((2*G2600)/60&lt;0.2,0.2,(2*G2600)/60)</f>
        <v>0.2</v>
      </c>
      <c r="BM2600" s="380">
        <f>MOD((50000+AD2600-$B$3+(0/24)),1)</f>
        <v>0.66063953028060496</v>
      </c>
      <c r="BN2600" s="381"/>
      <c r="BO2600" s="382">
        <v>2591</v>
      </c>
    </row>
    <row r="2601" spans="1:67" s="24" customFormat="1" ht="15" customHeight="1" x14ac:dyDescent="0.25">
      <c r="A2601" s="288" t="s">
        <v>3212</v>
      </c>
      <c r="B2601" s="241" t="str">
        <f>HYPERLINK(CONCATENATE($AT$3,BK2601,$AU$3),$AV$3)</f>
        <v>S</v>
      </c>
      <c r="C2601" s="242" t="str">
        <f>HYPERLINK(CONCATENATE($AT$4,BK2601,$AU$4,BL2601),$AV$4)</f>
        <v>A</v>
      </c>
      <c r="D2601" s="243" t="s">
        <v>5638</v>
      </c>
      <c r="E2601" s="244" t="s">
        <v>8641</v>
      </c>
      <c r="F2601" s="269"/>
      <c r="G2601" s="270">
        <v>0.8</v>
      </c>
      <c r="H2601" s="283">
        <v>600</v>
      </c>
      <c r="I2601" s="246">
        <v>130</v>
      </c>
      <c r="J2601" s="246">
        <v>2</v>
      </c>
      <c r="K2601" s="247" t="s">
        <v>6239</v>
      </c>
      <c r="L2601" s="248">
        <v>105919</v>
      </c>
      <c r="M2601" s="249">
        <f>15*(LEFT(TEXT($L2601,"000000"),2)+(MID(TEXT($L2601,"000000"),3,2)/60)+(RIGHT(TEXT($L2601,"000000"),2)/3600))</f>
        <v>164.82916666666665</v>
      </c>
      <c r="N2601" s="250">
        <v>243230</v>
      </c>
      <c r="O2601" s="251">
        <f>IF($N2601&gt;0,(LEFT(TEXT($N2601,"000000"),2)+(MID(TEXT($N2601,"000000"),3,2)/60)+(RIGHT(TEXT($N2601,"000000"),2)/3600)),-(MID(TEXT($N2601,"000000"),2,2)+(MID(TEXT($N2601,"000000"),4,2)/60)+(RIGHT(TEXT($N2601,"000000"),2)/3600)))</f>
        <v>24.541666666666668</v>
      </c>
      <c r="P2601" s="252" t="s">
        <v>183</v>
      </c>
      <c r="Q2601" s="253"/>
      <c r="R2601" s="277" t="s">
        <v>3293</v>
      </c>
      <c r="S2601" s="272" t="s">
        <v>3293</v>
      </c>
      <c r="T2601" s="273"/>
      <c r="U2601" s="274"/>
      <c r="V2601" s="280"/>
      <c r="W2601" s="244"/>
      <c r="X2601" s="244"/>
      <c r="Y2601" s="362"/>
      <c r="Z2601" s="257">
        <f>altaz(J2000_Bas,$O2601,$M2601,DecLat,DecLong,1)</f>
        <v>-10.934624748034542</v>
      </c>
      <c r="AA2601" s="257">
        <f>altaz((J2000_Bas+(2*0.04167)),$O2601,$M2601,DecLat,DecLong,1)</f>
        <v>-28.017372867845609</v>
      </c>
      <c r="AB2601" s="257">
        <f>altaz((J2000_Bas+(4*0.04167)),$O2601,$M2601,DecLat,DecLong,1)</f>
        <v>-34.443460890863832</v>
      </c>
      <c r="AC2601" s="257">
        <f>altaz((J2000_Bas+(6*0.04167)),$O2601,$M2601,DecLat,DecLong,1)</f>
        <v>-26.835064704845266</v>
      </c>
      <c r="AD2601" s="258">
        <f>1+ transit((J2000_Bas-1),$O2601,$M2601,DecLat,DecLong)/360 + (GMTOffset/24) + (IF(DST="Y", 1, 0)/24)</f>
        <v>1.4507587111401248</v>
      </c>
      <c r="AE2601" s="259">
        <f>DATE(2001,9,21)+(M2601/360)*365 - (360*((DecLong/360)- (GMTOffset/24) ))</f>
        <v>37327.118460648147</v>
      </c>
      <c r="AF2601" s="260">
        <f>IF(DecLat&gt;0,IF((90 - (DecLat-O2601))&gt;90, (90 - (O2601-DecLat)), (90 - (DecLat-O2601))),IF((90 + (DecLat-O2601))&gt;90, (90 + (O2601-DecLat)), (90 + (DecLat-O2601))))</f>
        <v>83.541666666666671</v>
      </c>
      <c r="AG2601" s="257">
        <f>angularseperation(MoonRA,MoonDec,$M2601,$O2601)</f>
        <v>96.330102811767063</v>
      </c>
      <c r="AH2601" s="261">
        <f ca="1">MIN(100,IF($O$5&gt;80,0+30*($AG2601/100),IF($O$5&gt;70,0+50*($AG2601/100),IF($O$5&gt;60,5+50*($AG2601/100),IF($O$5&gt;50,10+60*($AG2601/100),IF($O$5&gt;40,15+70*($AG2601/100),IF($O$5&gt;30,20+70*($AG2601/100),IF($O$5&gt;20,40+55*($AG2601/100),(80+(20-$O$5)+30*($AG2601/100))))))))))</f>
        <v>100</v>
      </c>
      <c r="AI2601" s="263"/>
      <c r="AJ2601" s="263"/>
      <c r="AK2601" s="263"/>
      <c r="AL2601" s="263"/>
      <c r="AM2601" s="264"/>
      <c r="AN2601" s="263"/>
      <c r="AO2601" s="263"/>
      <c r="AP2601" s="265"/>
      <c r="AQ2601" s="265"/>
      <c r="AR2601" s="285"/>
      <c r="AS2601" s="263"/>
      <c r="AT2601" s="263"/>
      <c r="AU2601" s="263"/>
      <c r="AV2601" s="264"/>
      <c r="AW2601" s="263"/>
      <c r="AX2601" s="263"/>
      <c r="AY2601" s="263"/>
      <c r="AZ2601" s="263"/>
      <c r="BA2601" s="263"/>
      <c r="BB2601" s="263"/>
      <c r="BC2601" s="263"/>
      <c r="BD2601" s="264"/>
      <c r="BE2601" s="263"/>
      <c r="BF2601" s="263"/>
      <c r="BG2601" s="263"/>
      <c r="BH2601" s="263"/>
      <c r="BI2601" s="263"/>
      <c r="BJ2601" s="404">
        <f>altaz(J2000_Bas,$O2601,$M2601,DecLat,DecLong,2)</f>
        <v>307.56140688369987</v>
      </c>
      <c r="BK2601" s="378" t="s">
        <v>3212</v>
      </c>
      <c r="BL2601" s="379">
        <f>IF((2*G2601)/60&lt;0.2,0.2,(2*G2601)/60)</f>
        <v>0.2</v>
      </c>
      <c r="BM2601" s="380">
        <f>MOD((50000+AD2601-$B$3+(0/24)),1)</f>
        <v>0.66612564084061887</v>
      </c>
      <c r="BN2601" s="381"/>
      <c r="BO2601" s="382">
        <v>2592</v>
      </c>
    </row>
    <row r="2602" spans="1:67" s="24" customFormat="1" ht="15" customHeight="1" x14ac:dyDescent="0.25">
      <c r="A2602" s="287" t="s">
        <v>3228</v>
      </c>
      <c r="B2602" s="241" t="str">
        <f>HYPERLINK(CONCATENATE($AT$3,BK2602,$AU$3),$AV$3)</f>
        <v>S</v>
      </c>
      <c r="C2602" s="242" t="str">
        <f>HYPERLINK(CONCATENATE($AT$4,BK2602,$AU$4,BL2602),$AV$4)</f>
        <v>A</v>
      </c>
      <c r="D2602" s="243" t="s">
        <v>5638</v>
      </c>
      <c r="E2602" s="244" t="s">
        <v>5192</v>
      </c>
      <c r="F2602" s="269" t="s">
        <v>8793</v>
      </c>
      <c r="G2602" s="273">
        <v>1.6</v>
      </c>
      <c r="H2602" s="283">
        <v>290</v>
      </c>
      <c r="I2602" s="246">
        <v>130</v>
      </c>
      <c r="J2602" s="246">
        <v>2</v>
      </c>
      <c r="K2602" s="253" t="s">
        <v>6240</v>
      </c>
      <c r="L2602" s="248">
        <v>113912</v>
      </c>
      <c r="M2602" s="249">
        <f>15*(LEFT(TEXT($L2602,"000000"),2)+(MID(TEXT($L2602,"000000"),3,2)/60)+(RIGHT(TEXT($L2602,"000000"),2)/3600))</f>
        <v>174.8</v>
      </c>
      <c r="N2602" s="250">
        <v>170818</v>
      </c>
      <c r="O2602" s="251">
        <f>IF($N2602&gt;0,(LEFT(TEXT($N2602,"000000"),2)+(MID(TEXT($N2602,"000000"),3,2)/60)+(RIGHT(TEXT($N2602,"000000"),2)/3600)),-(MID(TEXT($N2602,"000000"),2,2)+(MID(TEXT($N2602,"000000"),4,2)/60)+(RIGHT(TEXT($N2602,"000000"),2)/3600)))</f>
        <v>17.138333333333332</v>
      </c>
      <c r="P2602" s="252" t="s">
        <v>183</v>
      </c>
      <c r="Q2602" s="253"/>
      <c r="R2602" s="277" t="s">
        <v>3293</v>
      </c>
      <c r="S2602" s="272" t="s">
        <v>3293</v>
      </c>
      <c r="T2602" s="273">
        <v>14</v>
      </c>
      <c r="U2602" s="274"/>
      <c r="V2602" s="280">
        <v>5</v>
      </c>
      <c r="W2602" s="244"/>
      <c r="X2602" s="244"/>
      <c r="Y2602" s="362"/>
      <c r="Z2602" s="257">
        <f>altaz(J2000_Bas,$O2602,$M2602,DecLat,DecLong,1)</f>
        <v>-8.30673312366768</v>
      </c>
      <c r="AA2602" s="257">
        <f>altaz((J2000_Bas+(2*0.04167)),$O2602,$M2602,DecLat,DecLong,1)</f>
        <v>-29.167801936750294</v>
      </c>
      <c r="AB2602" s="257">
        <f>altaz((J2000_Bas+(4*0.04167)),$O2602,$M2602,DecLat,DecLong,1)</f>
        <v>-41.152400524397926</v>
      </c>
      <c r="AC2602" s="257">
        <f>altaz((J2000_Bas+(6*0.04167)),$O2602,$M2602,DecLat,DecLong,1)</f>
        <v>-37.630586236645811</v>
      </c>
      <c r="AD2602" s="258">
        <f>1+ transit((J2000_Bas-1),$O2602,$M2602,DecLat,DecLong)/360 + (GMTOffset/24) + (IF(DST="Y", 1, 0)/24)</f>
        <v>1.4784554676297081</v>
      </c>
      <c r="AE2602" s="259">
        <f>DATE(2001,9,21)+(M2602/360)*365 - (360*((DecLong/360)- (GMTOffset/24) ))</f>
        <v>37337.227777777778</v>
      </c>
      <c r="AF2602" s="260">
        <f>IF(DecLat&gt;0,IF((90 - (DecLat-O2602))&gt;90, (90 - (O2602-DecLat)), (90 - (DecLat-O2602))),IF((90 + (DecLat-O2602))&gt;90, (90 + (O2602-DecLat)), (90 + (DecLat-O2602))))</f>
        <v>76.138333333333335</v>
      </c>
      <c r="AG2602" s="257">
        <f>angularseperation(MoonRA,MoonDec,$M2602,$O2602)</f>
        <v>84.604407709069903</v>
      </c>
      <c r="AH2602" s="261">
        <f ca="1">MIN(100,IF($O$5&gt;80,0+30*($AG2602/100),IF($O$5&gt;70,0+50*($AG2602/100),IF($O$5&gt;60,5+50*($AG2602/100),IF($O$5&gt;50,10+60*($AG2602/100),IF($O$5&gt;40,15+70*($AG2602/100),IF($O$5&gt;30,20+70*($AG2602/100),IF($O$5&gt;20,40+55*($AG2602/100),(80+(20-$O$5)+30*($AG2602/100))))))))))</f>
        <v>100</v>
      </c>
      <c r="AI2602" s="263"/>
      <c r="AJ2602" s="263"/>
      <c r="AK2602" s="263"/>
      <c r="AL2602" s="263"/>
      <c r="AM2602" s="264"/>
      <c r="AN2602" s="263"/>
      <c r="AO2602" s="263"/>
      <c r="AP2602" s="265"/>
      <c r="AQ2602" s="265">
        <v>6614</v>
      </c>
      <c r="AR2602" s="285"/>
      <c r="AS2602" s="263"/>
      <c r="AT2602" s="263"/>
      <c r="AU2602" s="263"/>
      <c r="AV2602" s="264"/>
      <c r="AW2602" s="263"/>
      <c r="AX2602" s="263"/>
      <c r="AY2602" s="263"/>
      <c r="AZ2602" s="263"/>
      <c r="BA2602" s="263"/>
      <c r="BB2602" s="263"/>
      <c r="BC2602" s="263"/>
      <c r="BD2602" s="264"/>
      <c r="BE2602" s="263"/>
      <c r="BF2602" s="263"/>
      <c r="BG2602" s="263"/>
      <c r="BH2602" s="263"/>
      <c r="BI2602" s="263"/>
      <c r="BJ2602" s="404">
        <f>altaz(J2000_Bas,$O2602,$M2602,DecLat,DecLong,2)</f>
        <v>295.79524247235827</v>
      </c>
      <c r="BK2602" s="378" t="s">
        <v>3228</v>
      </c>
      <c r="BL2602" s="379">
        <f>IF((2*G2602)/60&lt;0.2,0.2,(2*G2602)/60)</f>
        <v>0.2</v>
      </c>
      <c r="BM2602" s="380">
        <f>MOD((50000+AD2602-$B$3+(0/24)),1)</f>
        <v>0.69382239733386086</v>
      </c>
      <c r="BN2602" s="381"/>
      <c r="BO2602" s="382">
        <v>2593</v>
      </c>
    </row>
    <row r="2603" spans="1:67" s="24" customFormat="1" ht="15" customHeight="1" x14ac:dyDescent="0.25">
      <c r="A2603" s="288" t="s">
        <v>3213</v>
      </c>
      <c r="B2603" s="241" t="str">
        <f>HYPERLINK(CONCATENATE($AT$3,BK2603,$AU$3),$AV$3)</f>
        <v>S</v>
      </c>
      <c r="C2603" s="242" t="str">
        <f>HYPERLINK(CONCATENATE($AT$4,BK2603,$AU$4,BL2603),$AV$4)</f>
        <v>A</v>
      </c>
      <c r="D2603" s="243" t="s">
        <v>5638</v>
      </c>
      <c r="E2603" s="244" t="s">
        <v>29</v>
      </c>
      <c r="F2603" s="269"/>
      <c r="G2603" s="270">
        <v>0.4</v>
      </c>
      <c r="H2603" s="283">
        <v>85</v>
      </c>
      <c r="I2603" s="244">
        <v>10</v>
      </c>
      <c r="J2603" s="246">
        <v>2</v>
      </c>
      <c r="K2603" s="247" t="s">
        <v>8599</v>
      </c>
      <c r="L2603" s="248">
        <v>114106</v>
      </c>
      <c r="M2603" s="249">
        <f>15*(LEFT(TEXT($L2603,"000000"),2)+(MID(TEXT($L2603,"000000"),3,2)/60)+(RIGHT(TEXT($L2603,"000000"),2)/3600))</f>
        <v>175.27500000000001</v>
      </c>
      <c r="N2603" s="250">
        <v>322600</v>
      </c>
      <c r="O2603" s="251">
        <f>IF($N2603&gt;0,(LEFT(TEXT($N2603,"000000"),2)+(MID(TEXT($N2603,"000000"),3,2)/60)+(RIGHT(TEXT($N2603,"000000"),2)/3600)),-(MID(TEXT($N2603,"000000"),2,2)+(MID(TEXT($N2603,"000000"),4,2)/60)+(RIGHT(TEXT($N2603,"000000"),2)/3600)))</f>
        <v>32.43333333333333</v>
      </c>
      <c r="P2603" s="252" t="s">
        <v>37</v>
      </c>
      <c r="Q2603" s="253" t="s">
        <v>6915</v>
      </c>
      <c r="R2603" s="247" t="s">
        <v>3293</v>
      </c>
      <c r="S2603" s="272" t="s">
        <v>3293</v>
      </c>
      <c r="T2603" s="273">
        <v>16</v>
      </c>
      <c r="U2603" s="274"/>
      <c r="V2603" s="280">
        <v>79</v>
      </c>
      <c r="W2603" s="244"/>
      <c r="X2603" s="244"/>
      <c r="Y2603" s="362"/>
      <c r="Z2603" s="257">
        <f>altaz(J2000_Bas,$O2603,$M2603,DecLat,DecLong,1)</f>
        <v>1.1558430328724407</v>
      </c>
      <c r="AA2603" s="257">
        <f>altaz((J2000_Bas+(2*0.04167)),$O2603,$M2603,DecLat,DecLong,1)</f>
        <v>-16.529955886977675</v>
      </c>
      <c r="AB2603" s="257">
        <f>altaz((J2000_Bas+(4*0.04167)),$O2603,$M2603,DecLat,DecLong,1)</f>
        <v>-25.984412292794467</v>
      </c>
      <c r="AC2603" s="257">
        <f>altaz((J2000_Bas+(6*0.04167)),$O2603,$M2603,DecLat,DecLong,1)</f>
        <v>-23.532643252949736</v>
      </c>
      <c r="AD2603" s="258">
        <f>1+ transit((J2000_Bas-1),$O2603,$M2603,DecLat,DecLong)/360 + (GMTOffset/24) + (IF(DST="Y", 1, 0)/24)</f>
        <v>1.4797749119422081</v>
      </c>
      <c r="AE2603" s="259">
        <f>DATE(2001,9,21)+(M2603/360)*365 - (360*((DecLong/360)- (GMTOffset/24) ))</f>
        <v>37337.709374999999</v>
      </c>
      <c r="AF2603" s="260">
        <f>IF(DecLat&gt;0,IF((90 - (DecLat-O2603))&gt;90, (90 - (O2603-DecLat)), (90 - (DecLat-O2603))),IF((90 + (DecLat-O2603))&gt;90, (90 + (O2603-DecLat)), (90 + (DecLat-O2603))))</f>
        <v>88.566666666666663</v>
      </c>
      <c r="AG2603" s="257">
        <f>angularseperation(MoonRA,MoonDec,$M2603,$O2603)</f>
        <v>92.09959265318065</v>
      </c>
      <c r="AH2603" s="261">
        <f ca="1">MIN(100,IF($O$5&gt;80,0+30*($AG2603/100),IF($O$5&gt;70,0+50*($AG2603/100),IF($O$5&gt;60,5+50*($AG2603/100),IF($O$5&gt;50,10+60*($AG2603/100),IF($O$5&gt;40,15+70*($AG2603/100),IF($O$5&gt;30,20+70*($AG2603/100),IF($O$5&gt;20,40+55*($AG2603/100),(80+(20-$O$5)+30*($AG2603/100))))))))))</f>
        <v>100</v>
      </c>
      <c r="AI2603" s="262"/>
      <c r="AJ2603" s="262"/>
      <c r="AK2603" s="262"/>
      <c r="AL2603" s="263"/>
      <c r="AM2603" s="264"/>
      <c r="AN2603" s="263"/>
      <c r="AO2603" s="263"/>
      <c r="AP2603" s="265"/>
      <c r="AQ2603" s="266"/>
      <c r="AR2603" s="267">
        <v>36254</v>
      </c>
      <c r="AS2603" s="263"/>
      <c r="AT2603" s="263"/>
      <c r="AU2603" s="263"/>
      <c r="AV2603" s="264"/>
      <c r="AW2603" s="263"/>
      <c r="AX2603" s="263"/>
      <c r="AY2603" s="263"/>
      <c r="AZ2603" s="263"/>
      <c r="BA2603" s="263"/>
      <c r="BB2603" s="263"/>
      <c r="BC2603" s="263"/>
      <c r="BD2603" s="264"/>
      <c r="BE2603" s="263"/>
      <c r="BF2603" s="263"/>
      <c r="BG2603" s="263"/>
      <c r="BH2603" s="263"/>
      <c r="BI2603" s="263"/>
      <c r="BJ2603" s="404">
        <f>altaz(J2000_Bas,$O2603,$M2603,DecLat,DecLong,2)</f>
        <v>307.85685012338934</v>
      </c>
      <c r="BK2603" s="378" t="s">
        <v>3213</v>
      </c>
      <c r="BL2603" s="379">
        <f>IF((2*G2603)/60&lt;0.2,0.2,(2*G2603)/60)</f>
        <v>0.2</v>
      </c>
      <c r="BM2603" s="380">
        <f>MOD((50000+AD2603-$B$3+(0/24)),1)</f>
        <v>0.69514184164290782</v>
      </c>
      <c r="BN2603" s="381"/>
      <c r="BO2603" s="382">
        <v>2594</v>
      </c>
    </row>
    <row r="2604" spans="1:67" s="24" customFormat="1" ht="15" customHeight="1" x14ac:dyDescent="0.25">
      <c r="A2604" s="288" t="s">
        <v>3229</v>
      </c>
      <c r="B2604" s="241" t="str">
        <f>HYPERLINK(CONCATENATE($AT$3,BK2604,$AU$3),$AV$3)</f>
        <v>S</v>
      </c>
      <c r="C2604" s="242" t="str">
        <f>HYPERLINK(CONCATENATE($AT$4,BK2604,$AU$4,BL2604),$AV$4)</f>
        <v>A</v>
      </c>
      <c r="D2604" s="243" t="s">
        <v>5638</v>
      </c>
      <c r="E2604" s="244" t="s">
        <v>8641</v>
      </c>
      <c r="F2604" s="269"/>
      <c r="G2604" s="270">
        <v>0.8</v>
      </c>
      <c r="H2604" s="283">
        <v>200</v>
      </c>
      <c r="I2604" s="246">
        <v>45</v>
      </c>
      <c r="J2604" s="246">
        <v>3</v>
      </c>
      <c r="K2604" s="247" t="s">
        <v>8444</v>
      </c>
      <c r="L2604" s="248">
        <v>115825</v>
      </c>
      <c r="M2604" s="249">
        <f>15*(LEFT(TEXT($L2604,"000000"),2)+(MID(TEXT($L2604,"000000"),3,2)/60)+(RIGHT(TEXT($L2604,"000000"),2)/3600))</f>
        <v>179.60416666666669</v>
      </c>
      <c r="N2604" s="250">
        <v>-143129</v>
      </c>
      <c r="O2604" s="251">
        <f>IF($N2604&gt;0,(LEFT(TEXT($N2604,"000000"),2)+(MID(TEXT($N2604,"000000"),3,2)/60)+(RIGHT(TEXT($N2604,"000000"),2)/3600)),-(MID(TEXT($N2604,"000000"),2,2)+(MID(TEXT($N2604,"000000"),4,2)/60)+(RIGHT(TEXT($N2604,"000000"),2)/3600)))</f>
        <v>-14.524722222222223</v>
      </c>
      <c r="P2604" s="252" t="s">
        <v>192</v>
      </c>
      <c r="Q2604" s="253"/>
      <c r="R2604" s="247" t="s">
        <v>3383</v>
      </c>
      <c r="S2604" s="272" t="s">
        <v>3293</v>
      </c>
      <c r="T2604" s="273"/>
      <c r="U2604" s="274"/>
      <c r="V2604" s="280"/>
      <c r="W2604" s="244"/>
      <c r="X2604" s="244"/>
      <c r="Y2604" s="362"/>
      <c r="Z2604" s="257">
        <f>altaz(J2000_Bas,$O2604,$M2604,DecLat,DecLong,1)</f>
        <v>-21.310869162138673</v>
      </c>
      <c r="AA2604" s="257">
        <f>altaz((J2000_Bas+(2*0.04167)),$O2604,$M2604,DecLat,DecLong,1)</f>
        <v>-46.961572437272977</v>
      </c>
      <c r="AB2604" s="257">
        <f>altaz((J2000_Bas+(4*0.04167)),$O2604,$M2604,DecLat,DecLong,1)</f>
        <v>-69.429952307893956</v>
      </c>
      <c r="AC2604" s="257">
        <f>altaz((J2000_Bas+(6*0.04167)),$O2604,$M2604,DecLat,DecLong,1)</f>
        <v>-67.539567449177156</v>
      </c>
      <c r="AD2604" s="258">
        <f>1+ transit((J2000_Bas-1),$O2604,$M2604,DecLat,DecLong)/360 + (GMTOffset/24) + (IF(DST="Y", 1, 0)/24)</f>
        <v>1.4918003737026246</v>
      </c>
      <c r="AE2604" s="259">
        <f>DATE(2001,9,21)+(M2604/360)*365 - (360*((DecLong/360)- (GMTOffset/24) ))</f>
        <v>37342.098668981482</v>
      </c>
      <c r="AF2604" s="260">
        <f>IF(DecLat&gt;0,IF((90 - (DecLat-O2604))&gt;90, (90 - (O2604-DecLat)), (90 - (DecLat-O2604))),IF((90 + (DecLat-O2604))&gt;90, (90 + (O2604-DecLat)), (90 + (DecLat-O2604))))</f>
        <v>44.475277777777777</v>
      </c>
      <c r="AG2604" s="257">
        <f>angularseperation(MoonRA,MoonDec,$M2604,$O2604)</f>
        <v>65.538361069279844</v>
      </c>
      <c r="AH2604" s="261">
        <f ca="1">MIN(100,IF($O$5&gt;80,0+30*($AG2604/100),IF($O$5&gt;70,0+50*($AG2604/100),IF($O$5&gt;60,5+50*($AG2604/100),IF($O$5&gt;50,10+60*($AG2604/100),IF($O$5&gt;40,15+70*($AG2604/100),IF($O$5&gt;30,20+70*($AG2604/100),IF($O$5&gt;20,40+55*($AG2604/100),(80+(20-$O$5)+30*($AG2604/100))))))))))</f>
        <v>100</v>
      </c>
      <c r="AI2604" s="262"/>
      <c r="AJ2604" s="262"/>
      <c r="AK2604" s="262"/>
      <c r="AL2604" s="263"/>
      <c r="AM2604" s="264"/>
      <c r="AN2604" s="263"/>
      <c r="AO2604" s="263"/>
      <c r="AP2604" s="265"/>
      <c r="AQ2604" s="266"/>
      <c r="AR2604" s="267">
        <v>37680</v>
      </c>
      <c r="AS2604" s="263"/>
      <c r="AT2604" s="263"/>
      <c r="AU2604" s="263"/>
      <c r="AV2604" s="264"/>
      <c r="AW2604" s="263"/>
      <c r="AX2604" s="263"/>
      <c r="AY2604" s="263"/>
      <c r="AZ2604" s="263"/>
      <c r="BA2604" s="263"/>
      <c r="BB2604" s="263"/>
      <c r="BC2604" s="263"/>
      <c r="BD2604" s="264"/>
      <c r="BE2604" s="263"/>
      <c r="BF2604" s="263"/>
      <c r="BG2604" s="263"/>
      <c r="BH2604" s="263"/>
      <c r="BI2604" s="263"/>
      <c r="BJ2604" s="404">
        <f>altaz(J2000_Bas,$O2604,$M2604,DecLat,DecLong,2)</f>
        <v>265.4305816646887</v>
      </c>
      <c r="BK2604" s="378" t="s">
        <v>3229</v>
      </c>
      <c r="BL2604" s="379">
        <f>IF((2*G2604)/60&lt;0.2,0.2,(2*G2604)/60)</f>
        <v>0.2</v>
      </c>
      <c r="BM2604" s="380">
        <f>MOD((50000+AD2604-$B$3+(0/24)),1)</f>
        <v>0.70716730340791401</v>
      </c>
      <c r="BN2604" s="381"/>
      <c r="BO2604" s="382">
        <v>2595</v>
      </c>
    </row>
    <row r="2605" spans="1:67" s="24" customFormat="1" ht="15" customHeight="1" x14ac:dyDescent="0.25">
      <c r="A2605" s="288" t="s">
        <v>3276</v>
      </c>
      <c r="B2605" s="241" t="str">
        <f>HYPERLINK(CONCATENATE($AT$3,BK2605,$AU$3),$AV$3)</f>
        <v>S</v>
      </c>
      <c r="C2605" s="242" t="str">
        <f>HYPERLINK(CONCATENATE($AT$4,BK2605,$AU$4,BL2605),$AV$4)</f>
        <v>A</v>
      </c>
      <c r="D2605" s="243" t="s">
        <v>5638</v>
      </c>
      <c r="E2605" s="244" t="s">
        <v>5192</v>
      </c>
      <c r="F2605" s="269" t="s">
        <v>8668</v>
      </c>
      <c r="G2605" s="270">
        <v>0.5</v>
      </c>
      <c r="H2605" s="283">
        <v>500</v>
      </c>
      <c r="I2605" s="246">
        <v>75</v>
      </c>
      <c r="J2605" s="246">
        <v>2</v>
      </c>
      <c r="K2605" s="247" t="s">
        <v>5086</v>
      </c>
      <c r="L2605" s="248">
        <v>131905</v>
      </c>
      <c r="M2605" s="249">
        <f>15*(LEFT(TEXT($L2605,"000000"),2)+(MID(TEXT($L2605,"000000"),3,2)/60)+(RIGHT(TEXT($L2605,"000000"),2)/3600))</f>
        <v>199.77083333333331</v>
      </c>
      <c r="N2605" s="250">
        <v>-242451</v>
      </c>
      <c r="O2605" s="251">
        <f>IF($N2605&gt;0,(LEFT(TEXT($N2605,"000000"),2)+(MID(TEXT($N2605,"000000"),3,2)/60)+(RIGHT(TEXT($N2605,"000000"),2)/3600)),-(MID(TEXT($N2605,"000000"),2,2)+(MID(TEXT($N2605,"000000"),4,2)/60)+(RIGHT(TEXT($N2605,"000000"),2)/3600)))</f>
        <v>-24.414166666666667</v>
      </c>
      <c r="P2605" s="252" t="s">
        <v>103</v>
      </c>
      <c r="Q2605" s="253"/>
      <c r="R2605" s="277" t="s">
        <v>3293</v>
      </c>
      <c r="S2605" s="272" t="s">
        <v>5087</v>
      </c>
      <c r="T2605" s="273"/>
      <c r="U2605" s="274"/>
      <c r="V2605" s="280">
        <v>86</v>
      </c>
      <c r="W2605" s="244"/>
      <c r="X2605" s="244"/>
      <c r="Y2605" s="362"/>
      <c r="Z2605" s="257">
        <f>altaz(J2000_Bas,$O2605,$M2605,DecLat,DecLong,1)</f>
        <v>-9.2988779554092122</v>
      </c>
      <c r="AA2605" s="257">
        <f>altaz((J2000_Bas+(2*0.04167)),$O2605,$M2605,DecLat,DecLong,1)</f>
        <v>-33.980188566815066</v>
      </c>
      <c r="AB2605" s="257">
        <f>altaz((J2000_Bas+(4*0.04167)),$O2605,$M2605,DecLat,DecLong,1)</f>
        <v>-59.655038803206217</v>
      </c>
      <c r="AC2605" s="257">
        <f>altaz((J2000_Bas+(6*0.04167)),$O2605,$M2605,DecLat,DecLong,1)</f>
        <v>-82.717487960730054</v>
      </c>
      <c r="AD2605" s="258">
        <f>1+ transit((J2000_Bas-1),$O2605,$M2605,DecLat,DecLong)/360 + (GMTOffset/24) + (IF(DST="Y", 1, 0)/24)</f>
        <v>1.5478188866192912</v>
      </c>
      <c r="AE2605" s="259">
        <f>DATE(2001,9,21)+(M2605/360)*365 - (360*((DecLong/360)- (GMTOffset/24) ))</f>
        <v>37362.545428240737</v>
      </c>
      <c r="AF2605" s="260">
        <f>IF(DecLat&gt;0,IF((90 - (DecLat-O2605))&gt;90, (90 - (O2605-DecLat)), (90 - (DecLat-O2605))),IF((90 + (DecLat-O2605))&gt;90, (90 + (O2605-DecLat)), (90 + (DecLat-O2605))))</f>
        <v>34.585833333333333</v>
      </c>
      <c r="AG2605" s="257">
        <f>angularseperation(MoonRA,MoonDec,$M2605,$O2605)</f>
        <v>44.354846887422099</v>
      </c>
      <c r="AH2605" s="261">
        <f ca="1">MIN(100,IF($O$5&gt;80,0+30*($AG2605/100),IF($O$5&gt;70,0+50*($AG2605/100),IF($O$5&gt;60,5+50*($AG2605/100),IF($O$5&gt;50,10+60*($AG2605/100),IF($O$5&gt;40,15+70*($AG2605/100),IF($O$5&gt;30,20+70*($AG2605/100),IF($O$5&gt;20,40+55*($AG2605/100),(80+(20-$O$5)+30*($AG2605/100))))))))))</f>
        <v>96.577514410377063</v>
      </c>
      <c r="AI2605" s="263"/>
      <c r="AJ2605" s="263"/>
      <c r="AK2605" s="263"/>
      <c r="AL2605" s="263"/>
      <c r="AM2605" s="264"/>
      <c r="AN2605" s="263"/>
      <c r="AO2605" s="263"/>
      <c r="AP2605" s="265"/>
      <c r="AQ2605" s="265"/>
      <c r="AR2605" s="285"/>
      <c r="AS2605" s="263"/>
      <c r="AT2605" s="263"/>
      <c r="AU2605" s="263"/>
      <c r="AV2605" s="264"/>
      <c r="AW2605" s="263"/>
      <c r="AX2605" s="263"/>
      <c r="AY2605" s="263"/>
      <c r="AZ2605" s="263"/>
      <c r="BA2605" s="263"/>
      <c r="BB2605" s="263"/>
      <c r="BC2605" s="263"/>
      <c r="BD2605" s="264"/>
      <c r="BE2605" s="263"/>
      <c r="BF2605" s="263"/>
      <c r="BG2605" s="263"/>
      <c r="BH2605" s="263"/>
      <c r="BI2605" s="263"/>
      <c r="BJ2605" s="404">
        <f>altaz(J2000_Bas,$O2605,$M2605,DecLat,DecLong,2)</f>
        <v>247.03040659535174</v>
      </c>
      <c r="BK2605" s="378" t="s">
        <v>3276</v>
      </c>
      <c r="BL2605" s="379">
        <f>IF((2*G2605)/60&lt;0.2,0.2,(2*G2605)/60)</f>
        <v>0.2</v>
      </c>
      <c r="BM2605" s="380">
        <f>MOD((50000+AD2605-$B$3+(0/24)),1)</f>
        <v>0.76318581632222049</v>
      </c>
      <c r="BN2605" s="381"/>
      <c r="BO2605" s="382">
        <v>2596</v>
      </c>
    </row>
    <row r="2606" spans="1:67" s="24" customFormat="1" ht="15" customHeight="1" x14ac:dyDescent="0.25">
      <c r="A2606" s="288" t="s">
        <v>7663</v>
      </c>
      <c r="B2606" s="241" t="str">
        <f>HYPERLINK(CONCATENATE($AT$3,BK2606,$AU$3),$AV$3)</f>
        <v>S</v>
      </c>
      <c r="C2606" s="242" t="str">
        <f>HYPERLINK(CONCATENATE($AT$4,BK2606,$AU$4,BL2606),$AV$4)</f>
        <v>A</v>
      </c>
      <c r="D2606" s="243" t="s">
        <v>5638</v>
      </c>
      <c r="E2606" s="244" t="s">
        <v>5178</v>
      </c>
      <c r="F2606" s="269"/>
      <c r="G2606" s="270">
        <v>0.5</v>
      </c>
      <c r="H2606" s="283">
        <v>500</v>
      </c>
      <c r="I2606" s="246">
        <v>80</v>
      </c>
      <c r="J2606" s="246">
        <v>2</v>
      </c>
      <c r="K2606" s="247" t="s">
        <v>5088</v>
      </c>
      <c r="L2606" s="248">
        <v>131933</v>
      </c>
      <c r="M2606" s="249">
        <f>15*(LEFT(TEXT($L2606,"000000"),2)+(MID(TEXT($L2606,"000000"),3,2)/60)+(RIGHT(TEXT($L2606,"000000"),2)/3600))</f>
        <v>199.88750000000002</v>
      </c>
      <c r="N2606" s="250">
        <v>-242918</v>
      </c>
      <c r="O2606" s="251">
        <f>IF($N2606&gt;0,(LEFT(TEXT($N2606,"000000"),2)+(MID(TEXT($N2606,"000000"),3,2)/60)+(RIGHT(TEXT($N2606,"000000"),2)/3600)),-(MID(TEXT($N2606,"000000"),2,2)+(MID(TEXT($N2606,"000000"),4,2)/60)+(RIGHT(TEXT($N2606,"000000"),2)/3600)))</f>
        <v>-24.488333333333333</v>
      </c>
      <c r="P2606" s="252" t="s">
        <v>103</v>
      </c>
      <c r="Q2606" s="253"/>
      <c r="R2606" s="277" t="s">
        <v>3293</v>
      </c>
      <c r="S2606" s="272" t="s">
        <v>5087</v>
      </c>
      <c r="T2606" s="273"/>
      <c r="U2606" s="274"/>
      <c r="V2606" s="280"/>
      <c r="W2606" s="244"/>
      <c r="X2606" s="244"/>
      <c r="Y2606" s="362"/>
      <c r="Z2606" s="257">
        <f>altaz(J2000_Bas,$O2606,$M2606,DecLat,DecLong,1)</f>
        <v>-9.2438570502672306</v>
      </c>
      <c r="AA2606" s="257">
        <f>altaz((J2000_Bas+(2*0.04167)),$O2606,$M2606,DecLat,DecLong,1)</f>
        <v>-33.909659389871337</v>
      </c>
      <c r="AB2606" s="257">
        <f>altaz((J2000_Bas+(4*0.04167)),$O2606,$M2606,DecLat,DecLong,1)</f>
        <v>-59.580728215766456</v>
      </c>
      <c r="AC2606" s="257">
        <f>altaz((J2000_Bas+(6*0.04167)),$O2606,$M2606,DecLat,DecLong,1)</f>
        <v>-82.739900071464433</v>
      </c>
      <c r="AD2606" s="258">
        <f>1+ transit((J2000_Bas-1),$O2606,$M2606,DecLat,DecLong)/360 + (GMTOffset/24) + (IF(DST="Y", 1, 0)/24)</f>
        <v>1.548142960660958</v>
      </c>
      <c r="AE2606" s="259">
        <f>DATE(2001,9,21)+(M2606/360)*365 - (360*((DecLong/360)- (GMTOffset/24) ))</f>
        <v>37362.663715277777</v>
      </c>
      <c r="AF2606" s="260">
        <f>IF(DecLat&gt;0,IF((90 - (DecLat-O2606))&gt;90, (90 - (O2606-DecLat)), (90 - (DecLat-O2606))),IF((90 + (DecLat-O2606))&gt;90, (90 + (O2606-DecLat)), (90 + (DecLat-O2606))))</f>
        <v>34.51166666666667</v>
      </c>
      <c r="AG2606" s="257">
        <f>angularseperation(MoonRA,MoonDec,$M2606,$O2606)</f>
        <v>44.233466895604387</v>
      </c>
      <c r="AH2606" s="261">
        <f ca="1">MIN(100,IF($O$5&gt;80,0+30*($AG2606/100),IF($O$5&gt;70,0+50*($AG2606/100),IF($O$5&gt;60,5+50*($AG2606/100),IF($O$5&gt;50,10+60*($AG2606/100),IF($O$5&gt;40,15+70*($AG2606/100),IF($O$5&gt;30,20+70*($AG2606/100),IF($O$5&gt;20,40+55*($AG2606/100),(80+(20-$O$5)+30*($AG2606/100))))))))))</f>
        <v>96.541100412831739</v>
      </c>
      <c r="AI2606" s="263"/>
      <c r="AJ2606" s="263"/>
      <c r="AK2606" s="263"/>
      <c r="AL2606" s="263"/>
      <c r="AM2606" s="264"/>
      <c r="AN2606" s="263"/>
      <c r="AO2606" s="263"/>
      <c r="AP2606" s="265"/>
      <c r="AQ2606" s="265"/>
      <c r="AR2606" s="285"/>
      <c r="AS2606" s="263"/>
      <c r="AT2606" s="263"/>
      <c r="AU2606" s="263"/>
      <c r="AV2606" s="264"/>
      <c r="AW2606" s="263"/>
      <c r="AX2606" s="263"/>
      <c r="AY2606" s="263"/>
      <c r="AZ2606" s="263"/>
      <c r="BA2606" s="263"/>
      <c r="BB2606" s="263"/>
      <c r="BC2606" s="263"/>
      <c r="BD2606" s="264"/>
      <c r="BE2606" s="263"/>
      <c r="BF2606" s="263"/>
      <c r="BG2606" s="263"/>
      <c r="BH2606" s="263"/>
      <c r="BI2606" s="263"/>
      <c r="BJ2606" s="404">
        <f>altaz(J2000_Bas,$O2606,$M2606,DecLat,DecLong,2)</f>
        <v>246.91158315465532</v>
      </c>
      <c r="BK2606" s="378" t="s">
        <v>3230</v>
      </c>
      <c r="BL2606" s="379">
        <f>IF((2*G2606)/60&lt;0.2,0.2,(2*G2606)/60)</f>
        <v>0.2</v>
      </c>
      <c r="BM2606" s="380">
        <f>MOD((50000+AD2606-$B$3+(0/24)),1)</f>
        <v>0.76350989036291139</v>
      </c>
      <c r="BN2606" s="381"/>
      <c r="BO2606" s="382">
        <v>2597</v>
      </c>
    </row>
    <row r="2607" spans="1:67" s="24" customFormat="1" ht="15" customHeight="1" x14ac:dyDescent="0.25">
      <c r="A2607" s="288" t="s">
        <v>3231</v>
      </c>
      <c r="B2607" s="241" t="str">
        <f>HYPERLINK(CONCATENATE($AT$3,BK2607,$AU$3),$AV$3)</f>
        <v>S</v>
      </c>
      <c r="C2607" s="242" t="str">
        <f>HYPERLINK(CONCATENATE($AT$4,BK2607,$AU$4,BL2607),$AV$4)</f>
        <v>A</v>
      </c>
      <c r="D2607" s="243" t="s">
        <v>5638</v>
      </c>
      <c r="E2607" s="244" t="s">
        <v>5192</v>
      </c>
      <c r="F2607" s="269" t="s">
        <v>8668</v>
      </c>
      <c r="G2607" s="273">
        <v>2</v>
      </c>
      <c r="H2607" s="283">
        <v>160</v>
      </c>
      <c r="I2607" s="246">
        <v>90</v>
      </c>
      <c r="J2607" s="246">
        <v>2</v>
      </c>
      <c r="K2607" s="247" t="s">
        <v>5089</v>
      </c>
      <c r="L2607" s="248">
        <v>135505</v>
      </c>
      <c r="M2607" s="249">
        <f>15*(LEFT(TEXT($L2607,"000000"),2)+(MID(TEXT($L2607,"000000"),3,2)/60)+(RIGHT(TEXT($L2607,"000000"),2)/3600))</f>
        <v>208.77083333333331</v>
      </c>
      <c r="N2607" s="250">
        <v>-264648</v>
      </c>
      <c r="O2607" s="251">
        <f>IF($N2607&gt;0,(LEFT(TEXT($N2607,"000000"),2)+(MID(TEXT($N2607,"000000"),3,2)/60)+(RIGHT(TEXT($N2607,"000000"),2)/3600)),-(MID(TEXT($N2607,"000000"),2,2)+(MID(TEXT($N2607,"000000"),4,2)/60)+(RIGHT(TEXT($N2607,"000000"),2)/3600)))</f>
        <v>-26.779999999999998</v>
      </c>
      <c r="P2607" s="252" t="s">
        <v>103</v>
      </c>
      <c r="Q2607" s="253"/>
      <c r="R2607" s="277" t="s">
        <v>3293</v>
      </c>
      <c r="S2607" s="272" t="s">
        <v>3293</v>
      </c>
      <c r="T2607" s="273">
        <v>13</v>
      </c>
      <c r="U2607" s="274"/>
      <c r="V2607" s="280">
        <v>88</v>
      </c>
      <c r="W2607" s="244"/>
      <c r="X2607" s="244"/>
      <c r="Y2607" s="362"/>
      <c r="Z2607" s="257">
        <f>altaz(J2000_Bas,$O2607,$M2607,DecLat,DecLong,1)</f>
        <v>-3.6084156002017331</v>
      </c>
      <c r="AA2607" s="257">
        <f>altaz((J2000_Bas+(2*0.04167)),$O2607,$M2607,DecLat,DecLong,1)</f>
        <v>-27.375956304224481</v>
      </c>
      <c r="AB2607" s="257">
        <f>altaz((J2000_Bas+(4*0.04167)),$O2607,$M2607,DecLat,DecLong,1)</f>
        <v>-52.68835777640821</v>
      </c>
      <c r="AC2607" s="257">
        <f>altaz((J2000_Bas+(6*0.04167)),$O2607,$M2607,DecLat,DecLong,1)</f>
        <v>-78.267516311534607</v>
      </c>
      <c r="AD2607" s="258">
        <f>1+ transit((J2000_Bas-1),$O2607,$M2607,DecLat,DecLong)/360 + (GMTOffset/24) + (IF(DST="Y", 1, 0)/24)</f>
        <v>1.5728188841192914</v>
      </c>
      <c r="AE2607" s="259">
        <f>DATE(2001,9,21)+(M2607/360)*365 - (360*((DecLong/360)- (GMTOffset/24) ))</f>
        <v>37371.670428240737</v>
      </c>
      <c r="AF2607" s="260">
        <f>IF(DecLat&gt;0,IF((90 - (DecLat-O2607))&gt;90, (90 - (O2607-DecLat)), (90 - (DecLat-O2607))),IF((90 + (DecLat-O2607))&gt;90, (90 + (O2607-DecLat)), (90 + (DecLat-O2607))))</f>
        <v>32.22</v>
      </c>
      <c r="AG2607" s="257">
        <f>angularseperation(MoonRA,MoonDec,$M2607,$O2607)</f>
        <v>35.922973453599212</v>
      </c>
      <c r="AH2607" s="261">
        <f ca="1">MIN(100,IF($O$5&gt;80,0+30*($AG2607/100),IF($O$5&gt;70,0+50*($AG2607/100),IF($O$5&gt;60,5+50*($AG2607/100),IF($O$5&gt;50,10+60*($AG2607/100),IF($O$5&gt;40,15+70*($AG2607/100),IF($O$5&gt;30,20+70*($AG2607/100),IF($O$5&gt;20,40+55*($AG2607/100),(80+(20-$O$5)+30*($AG2607/100))))))))))</f>
        <v>94.047952380230186</v>
      </c>
      <c r="AI2607" s="263"/>
      <c r="AJ2607" s="263"/>
      <c r="AK2607" s="263"/>
      <c r="AL2607" s="263"/>
      <c r="AM2607" s="264"/>
      <c r="AN2607" s="263"/>
      <c r="AO2607" s="263"/>
      <c r="AP2607" s="265"/>
      <c r="AQ2607" s="265"/>
      <c r="AR2607" s="285"/>
      <c r="AS2607" s="263"/>
      <c r="AT2607" s="263"/>
      <c r="AU2607" s="263"/>
      <c r="AV2607" s="264"/>
      <c r="AW2607" s="263"/>
      <c r="AX2607" s="263"/>
      <c r="AY2607" s="263"/>
      <c r="AZ2607" s="263"/>
      <c r="BA2607" s="263"/>
      <c r="BB2607" s="263"/>
      <c r="BC2607" s="263"/>
      <c r="BD2607" s="264"/>
      <c r="BE2607" s="263"/>
      <c r="BF2607" s="263"/>
      <c r="BG2607" s="263"/>
      <c r="BH2607" s="263"/>
      <c r="BI2607" s="263"/>
      <c r="BJ2607" s="404">
        <f>altaz(J2000_Bas,$O2607,$M2607,DecLat,DecLong,2)</f>
        <v>240.73839907028275</v>
      </c>
      <c r="BK2607" s="378" t="s">
        <v>3231</v>
      </c>
      <c r="BL2607" s="379">
        <f>IF((2*G2607)/60&lt;0.2,0.2,(2*G2607)/60)</f>
        <v>0.2</v>
      </c>
      <c r="BM2607" s="380">
        <f>MOD((50000+AD2607-$B$3+(0/24)),1)</f>
        <v>0.78818581382074626</v>
      </c>
      <c r="BN2607" s="381"/>
      <c r="BO2607" s="382">
        <v>2598</v>
      </c>
    </row>
    <row r="2608" spans="1:67" s="24" customFormat="1" ht="15" customHeight="1" x14ac:dyDescent="0.25">
      <c r="A2608" s="288" t="s">
        <v>3232</v>
      </c>
      <c r="B2608" s="241" t="str">
        <f>HYPERLINK(CONCATENATE($AT$3,BK2608,$AU$3),$AV$3)</f>
        <v>S</v>
      </c>
      <c r="C2608" s="242" t="str">
        <f>HYPERLINK(CONCATENATE($AT$4,BK2608,$AU$4,BL2608),$AV$4)</f>
        <v>A</v>
      </c>
      <c r="D2608" s="243" t="s">
        <v>5638</v>
      </c>
      <c r="E2608" s="244" t="s">
        <v>3259</v>
      </c>
      <c r="F2608" s="269"/>
      <c r="G2608" s="273">
        <v>3</v>
      </c>
      <c r="H2608" s="283">
        <v>50</v>
      </c>
      <c r="I2608" s="246">
        <v>45</v>
      </c>
      <c r="J2608" s="246">
        <v>2</v>
      </c>
      <c r="K2608" s="247" t="s">
        <v>8445</v>
      </c>
      <c r="L2608" s="248">
        <v>145235</v>
      </c>
      <c r="M2608" s="249">
        <f>15*(LEFT(TEXT($L2608,"000000"),2)+(MID(TEXT($L2608,"000000"),3,2)/60)+(RIGHT(TEXT($L2608,"000000"),2)/3600))</f>
        <v>223.14583333333334</v>
      </c>
      <c r="N2608" s="250">
        <v>-33341</v>
      </c>
      <c r="O2608" s="251">
        <f>IF($N2608&gt;0,(LEFT(TEXT($N2608,"000000"),2)+(MID(TEXT($N2608,"000000"),3,2)/60)+(RIGHT(TEXT($N2608,"000000"),2)/3600)),-(MID(TEXT($N2608,"000000"),2,2)+(MID(TEXT($N2608,"000000"),4,2)/60)+(RIGHT(TEXT($N2608,"000000"),2)/3600)))</f>
        <v>-3.5613888888888887</v>
      </c>
      <c r="P2608" s="252" t="s">
        <v>473</v>
      </c>
      <c r="Q2608" s="253"/>
      <c r="R2608" s="247" t="s">
        <v>3293</v>
      </c>
      <c r="S2608" s="272" t="s">
        <v>3293</v>
      </c>
      <c r="T2608" s="273">
        <v>13</v>
      </c>
      <c r="U2608" s="274"/>
      <c r="V2608" s="280"/>
      <c r="W2608" s="244"/>
      <c r="X2608" s="244"/>
      <c r="Y2608" s="362"/>
      <c r="Z2608" s="257">
        <f>altaz(J2000_Bas,$O2608,$M2608,DecLat,DecLong,1)</f>
        <v>20.996149239026664</v>
      </c>
      <c r="AA2608" s="257">
        <f>altaz((J2000_Bas+(2*0.04167)),$O2608,$M2608,DecLat,DecLong,1)</f>
        <v>-4.3524992125572668</v>
      </c>
      <c r="AB2608" s="257">
        <f>altaz((J2000_Bas+(4*0.04167)),$O2608,$M2608,DecLat,DecLong,1)</f>
        <v>-29.885105426375546</v>
      </c>
      <c r="AC2608" s="257">
        <f>altaz((J2000_Bas+(6*0.04167)),$O2608,$M2608,DecLat,DecLong,1)</f>
        <v>-52.655913733082727</v>
      </c>
      <c r="AD2608" s="258">
        <f>1+ transit((J2000_Bas-1),$O2608,$M2608,DecLat,DecLong)/360 + (GMTOffset/24) + (IF(DST="Y", 1, 0)/24)</f>
        <v>1.6127494356817913</v>
      </c>
      <c r="AE2608" s="259">
        <f>DATE(2001,9,21)+(M2608/360)*365 - (360*((DecLong/360)- (GMTOffset/24) ))</f>
        <v>37386.245081018518</v>
      </c>
      <c r="AF2608" s="260">
        <f>IF(DecLat&gt;0,IF((90 - (DecLat-O2608))&gt;90, (90 - (O2608-DecLat)), (90 - (DecLat-O2608))),IF((90 + (DecLat-O2608))&gt;90, (90 + (O2608-DecLat)), (90 + (DecLat-O2608))))</f>
        <v>55.438611111111115</v>
      </c>
      <c r="AG2608" s="257">
        <f>angularseperation(MoonRA,MoonDec,$M2608,$O2608)</f>
        <v>34.278059579550991</v>
      </c>
      <c r="AH2608" s="261">
        <f ca="1">MIN(100,IF($O$5&gt;80,0+30*($AG2608/100),IF($O$5&gt;70,0+50*($AG2608/100),IF($O$5&gt;60,5+50*($AG2608/100),IF($O$5&gt;50,10+60*($AG2608/100),IF($O$5&gt;40,15+70*($AG2608/100),IF($O$5&gt;30,20+70*($AG2608/100),IF($O$5&gt;20,40+55*($AG2608/100),(80+(20-$O$5)+30*($AG2608/100))))))))))</f>
        <v>93.554478218015731</v>
      </c>
      <c r="AI2608" s="262"/>
      <c r="AJ2608" s="262"/>
      <c r="AK2608" s="262"/>
      <c r="AL2608" s="263"/>
      <c r="AM2608" s="264"/>
      <c r="AN2608" s="263"/>
      <c r="AO2608" s="263"/>
      <c r="AP2608" s="265"/>
      <c r="AQ2608" s="266"/>
      <c r="AR2608" s="267">
        <v>53134</v>
      </c>
      <c r="AS2608" s="263"/>
      <c r="AT2608" s="263"/>
      <c r="AU2608" s="263"/>
      <c r="AV2608" s="264"/>
      <c r="AW2608" s="263"/>
      <c r="AX2608" s="263"/>
      <c r="AY2608" s="263"/>
      <c r="AZ2608" s="263"/>
      <c r="BA2608" s="263"/>
      <c r="BB2608" s="263"/>
      <c r="BC2608" s="263"/>
      <c r="BD2608" s="264"/>
      <c r="BE2608" s="263"/>
      <c r="BF2608" s="263"/>
      <c r="BG2608" s="263"/>
      <c r="BH2608" s="263"/>
      <c r="BI2608" s="263"/>
      <c r="BJ2608" s="404">
        <f>altaz(J2000_Bas,$O2608,$M2608,DecLat,DecLong,2)</f>
        <v>252.04769996779532</v>
      </c>
      <c r="BK2608" s="378" t="s">
        <v>3232</v>
      </c>
      <c r="BL2608" s="379">
        <f>IF((2*G2608)/60&lt;0.2,0.2,(2*G2608)/60)</f>
        <v>0.2</v>
      </c>
      <c r="BM2608" s="380">
        <f>MOD((50000+AD2608-$B$3+(0/24)),1)</f>
        <v>0.8281163653882686</v>
      </c>
      <c r="BN2608" s="381"/>
      <c r="BO2608" s="382">
        <v>2599</v>
      </c>
    </row>
    <row r="2609" spans="1:67" s="24" customFormat="1" ht="15" customHeight="1" x14ac:dyDescent="0.25">
      <c r="A2609" s="288" t="s">
        <v>3233</v>
      </c>
      <c r="B2609" s="241" t="str">
        <f>HYPERLINK(CONCATENATE($AT$3,BK2609,$AU$3),$AV$3)</f>
        <v>S</v>
      </c>
      <c r="C2609" s="242" t="str">
        <f>HYPERLINK(CONCATENATE($AT$4,BK2609,$AU$4,BL2609),$AV$4)</f>
        <v>A</v>
      </c>
      <c r="D2609" s="243" t="s">
        <v>5638</v>
      </c>
      <c r="E2609" s="244" t="s">
        <v>5337</v>
      </c>
      <c r="F2609" s="269" t="s">
        <v>3317</v>
      </c>
      <c r="G2609" s="270">
        <v>0.5</v>
      </c>
      <c r="H2609" s="283">
        <v>700</v>
      </c>
      <c r="I2609" s="246">
        <v>100</v>
      </c>
      <c r="J2609" s="246">
        <v>3</v>
      </c>
      <c r="K2609" s="247" t="s">
        <v>8446</v>
      </c>
      <c r="L2609" s="248">
        <v>191432</v>
      </c>
      <c r="M2609" s="249">
        <f>15*(LEFT(TEXT($L2609,"000000"),2)+(MID(TEXT($L2609,"000000"),3,2)/60)+(RIGHT(TEXT($L2609,"000000"),2)/3600))</f>
        <v>288.63333333333338</v>
      </c>
      <c r="N2609" s="250">
        <v>-211904</v>
      </c>
      <c r="O2609" s="251">
        <f>IF($N2609&gt;0,(LEFT(TEXT($N2609,"000000"),2)+(MID(TEXT($N2609,"000000"),3,2)/60)+(RIGHT(TEXT($N2609,"000000"),2)/3600)),-(MID(TEXT($N2609,"000000"),2,2)+(MID(TEXT($N2609,"000000"),4,2)/60)+(RIGHT(TEXT($N2609,"000000"),2)/3600)))</f>
        <v>-21.317777777777778</v>
      </c>
      <c r="P2609" s="252" t="s">
        <v>119</v>
      </c>
      <c r="Q2609" s="253" t="s">
        <v>6917</v>
      </c>
      <c r="R2609" s="247" t="s">
        <v>3293</v>
      </c>
      <c r="S2609" s="272" t="s">
        <v>3293</v>
      </c>
      <c r="T2609" s="273"/>
      <c r="U2609" s="274"/>
      <c r="V2609" s="280"/>
      <c r="W2609" s="244"/>
      <c r="X2609" s="244"/>
      <c r="Y2609" s="362"/>
      <c r="Z2609" s="257">
        <f>altaz(J2000_Bas,$O2609,$M2609,DecLat,DecLong,1)</f>
        <v>37.621321926764892</v>
      </c>
      <c r="AA2609" s="257">
        <f>altaz((J2000_Bas+(2*0.04167)),$O2609,$M2609,DecLat,DecLong,1)</f>
        <v>31.423145669773689</v>
      </c>
      <c r="AB2609" s="257">
        <f>altaz((J2000_Bas+(4*0.04167)),$O2609,$M2609,DecLat,DecLong,1)</f>
        <v>13.966551062400303</v>
      </c>
      <c r="AC2609" s="257">
        <f>altaz((J2000_Bas+(6*0.04167)),$O2609,$M2609,DecLat,DecLong,1)</f>
        <v>-8.8656370370422444</v>
      </c>
      <c r="AD2609" s="258">
        <f>1+ transit((J2000_Bas-1),$O2609,$M2609,DecLat,DecLong)/360 + (GMTOffset/24) + (IF(DST="Y", 1, 0)/24)</f>
        <v>1.7946591397130416</v>
      </c>
      <c r="AE2609" s="259">
        <f>DATE(2001,9,21)+(M2609/360)*365 - (360*((DecLong/360)- (GMTOffset/24) ))</f>
        <v>37452.642129629632</v>
      </c>
      <c r="AF2609" s="260">
        <f>IF(DecLat&gt;0,IF((90 - (DecLat-O2609))&gt;90, (90 - (O2609-DecLat)), (90 - (DecLat-O2609))),IF((90 + (DecLat-O2609))&gt;90, (90 + (O2609-DecLat)), (90 + (DecLat-O2609))))</f>
        <v>37.682222222222222</v>
      </c>
      <c r="AG2609" s="257">
        <f>angularseperation(MoonRA,MoonDec,$M2609,$O2609)</f>
        <v>36.242766384006558</v>
      </c>
      <c r="AH2609" s="261">
        <f ca="1">MIN(100,IF($O$5&gt;80,0+30*($AG2609/100),IF($O$5&gt;70,0+50*($AG2609/100),IF($O$5&gt;60,5+50*($AG2609/100),IF($O$5&gt;50,10+60*($AG2609/100),IF($O$5&gt;40,15+70*($AG2609/100),IF($O$5&gt;30,20+70*($AG2609/100),IF($O$5&gt;20,40+55*($AG2609/100),(80+(20-$O$5)+30*($AG2609/100))))))))))</f>
        <v>94.143890259352389</v>
      </c>
      <c r="AI2609" s="262"/>
      <c r="AJ2609" s="262"/>
      <c r="AK2609" s="262"/>
      <c r="AL2609" s="263"/>
      <c r="AM2609" s="264"/>
      <c r="AN2609" s="263"/>
      <c r="AO2609" s="263"/>
      <c r="AP2609" s="265"/>
      <c r="AQ2609" s="266"/>
      <c r="AR2609" s="267">
        <v>62946</v>
      </c>
      <c r="AS2609" s="263"/>
      <c r="AT2609" s="263"/>
      <c r="AU2609" s="263"/>
      <c r="AV2609" s="264"/>
      <c r="AW2609" s="263"/>
      <c r="AX2609" s="263"/>
      <c r="AY2609" s="263"/>
      <c r="AZ2609" s="263"/>
      <c r="BA2609" s="263"/>
      <c r="BB2609" s="263"/>
      <c r="BC2609" s="263"/>
      <c r="BD2609" s="264"/>
      <c r="BE2609" s="263"/>
      <c r="BF2609" s="263"/>
      <c r="BG2609" s="263"/>
      <c r="BH2609" s="263"/>
      <c r="BI2609" s="263"/>
      <c r="BJ2609" s="404">
        <f>altaz(J2000_Bas,$O2609,$M2609,DecLat,DecLong,2)</f>
        <v>176.90549699256076</v>
      </c>
      <c r="BK2609" s="378" t="s">
        <v>3233</v>
      </c>
      <c r="BL2609" s="379">
        <f>IF((2*G2609)/60&lt;0.2,0.2,(2*G2609)/60)</f>
        <v>0.2</v>
      </c>
      <c r="BM2609" s="380">
        <f>MOD((50000+AD2609-$B$3+(0/24)),1)</f>
        <v>1.0026069416198879E-2</v>
      </c>
      <c r="BN2609" s="381" t="s">
        <v>9281</v>
      </c>
      <c r="BO2609" s="382">
        <v>2600</v>
      </c>
    </row>
    <row r="2610" spans="1:67" s="24" customFormat="1" ht="15" customHeight="1" x14ac:dyDescent="0.25">
      <c r="A2610" s="288" t="s">
        <v>3214</v>
      </c>
      <c r="B2610" s="241" t="str">
        <f>HYPERLINK(CONCATENATE($AT$3,BK2610,$AU$3),$AV$3)</f>
        <v>S</v>
      </c>
      <c r="C2610" s="242" t="str">
        <f>HYPERLINK(CONCATENATE($AT$4,BK2610,$AU$4,BL2610),$AV$4)</f>
        <v>A</v>
      </c>
      <c r="D2610" s="243" t="s">
        <v>5638</v>
      </c>
      <c r="E2610" s="244" t="s">
        <v>5192</v>
      </c>
      <c r="F2610" s="269" t="s">
        <v>3306</v>
      </c>
      <c r="G2610" s="273">
        <v>1</v>
      </c>
      <c r="H2610" s="283">
        <v>400</v>
      </c>
      <c r="I2610" s="246">
        <v>120</v>
      </c>
      <c r="J2610" s="246">
        <v>2</v>
      </c>
      <c r="K2610" s="247" t="s">
        <v>5090</v>
      </c>
      <c r="L2610" s="248">
        <v>220142</v>
      </c>
      <c r="M2610" s="249">
        <f>15*(LEFT(TEXT($L2610,"000000"),2)+(MID(TEXT($L2610,"000000"),3,2)/60)+(RIGHT(TEXT($L2610,"000000"),2)/3600))</f>
        <v>330.42500000000001</v>
      </c>
      <c r="N2610" s="250">
        <v>115124</v>
      </c>
      <c r="O2610" s="251">
        <f>IF($N2610&gt;0,(LEFT(TEXT($N2610,"000000"),2)+(MID(TEXT($N2610,"000000"),3,2)/60)+(RIGHT(TEXT($N2610,"000000"),2)/3600)),-(MID(TEXT($N2610,"000000"),2,2)+(MID(TEXT($N2610,"000000"),4,2)/60)+(RIGHT(TEXT($N2610,"000000"),2)/3600)))</f>
        <v>11.856666666666666</v>
      </c>
      <c r="P2610" s="252" t="s">
        <v>39</v>
      </c>
      <c r="Q2610" s="253"/>
      <c r="R2610" s="247" t="s">
        <v>3293</v>
      </c>
      <c r="S2610" s="272" t="s">
        <v>3293</v>
      </c>
      <c r="T2610" s="273"/>
      <c r="U2610" s="274"/>
      <c r="V2610" s="280">
        <v>65</v>
      </c>
      <c r="W2610" s="244"/>
      <c r="X2610" s="244"/>
      <c r="Y2610" s="362"/>
      <c r="Z2610" s="257">
        <f>altaz(J2000_Bas,$O2610,$M2610,DecLat,DecLong,1)</f>
        <v>44.825420709663973</v>
      </c>
      <c r="AA2610" s="257">
        <f>altaz((J2000_Bas+(2*0.04167)),$O2610,$M2610,DecLat,DecLong,1)</f>
        <v>66.718220262782822</v>
      </c>
      <c r="AB2610" s="257">
        <f>altaz((J2000_Bas+(4*0.04167)),$O2610,$M2610,DecLat,DecLong,1)</f>
        <v>65.954011036938851</v>
      </c>
      <c r="AC2610" s="257">
        <f>altaz((J2000_Bas+(6*0.04167)),$O2610,$M2610,DecLat,DecLong,1)</f>
        <v>43.656318786738751</v>
      </c>
      <c r="AD2610" s="258">
        <f>1+ transit((J2000_Bas-1),$O2610,$M2610,DecLat,DecLong)/360 + (GMTOffset/24) + (IF(DST="Y", 1, 0)/24)</f>
        <v>1.9107470910672084</v>
      </c>
      <c r="AE2610" s="259">
        <f>DATE(2001,9,21)+(M2610/360)*365 - (360*((DecLong/360)- (GMTOffset/24) ))</f>
        <v>37495.014236111114</v>
      </c>
      <c r="AF2610" s="260">
        <f>IF(DecLat&gt;0,IF((90 - (DecLat-O2610))&gt;90, (90 - (O2610-DecLat)), (90 - (DecLat-O2610))),IF((90 + (DecLat-O2610))&gt;90, (90 + (O2610-DecLat)), (90 + (DecLat-O2610))))</f>
        <v>70.856666666666669</v>
      </c>
      <c r="AG2610" s="257">
        <f>angularseperation(MoonRA,MoonDec,$M2610,$O2610)</f>
        <v>87.706980407657881</v>
      </c>
      <c r="AH2610" s="261">
        <f ca="1">MIN(100,IF($O$5&gt;80,0+30*($AG2610/100),IF($O$5&gt;70,0+50*($AG2610/100),IF($O$5&gt;60,5+50*($AG2610/100),IF($O$5&gt;50,10+60*($AG2610/100),IF($O$5&gt;40,15+70*($AG2610/100),IF($O$5&gt;30,20+70*($AG2610/100),IF($O$5&gt;20,40+55*($AG2610/100),(80+(20-$O$5)+30*($AG2610/100))))))))))</f>
        <v>100</v>
      </c>
      <c r="AI2610" s="262"/>
      <c r="AJ2610" s="262"/>
      <c r="AK2610" s="262"/>
      <c r="AL2610" s="263"/>
      <c r="AM2610" s="264"/>
      <c r="AN2610" s="263"/>
      <c r="AO2610" s="263"/>
      <c r="AP2610" s="265"/>
      <c r="AQ2610" s="266"/>
      <c r="AR2610" s="267">
        <v>67860</v>
      </c>
      <c r="AS2610" s="263"/>
      <c r="AT2610" s="263"/>
      <c r="AU2610" s="263"/>
      <c r="AV2610" s="264"/>
      <c r="AW2610" s="263"/>
      <c r="AX2610" s="263"/>
      <c r="AY2610" s="263"/>
      <c r="AZ2610" s="263"/>
      <c r="BA2610" s="263"/>
      <c r="BB2610" s="263"/>
      <c r="BC2610" s="263"/>
      <c r="BD2610" s="264"/>
      <c r="BE2610" s="263"/>
      <c r="BF2610" s="263"/>
      <c r="BG2610" s="263"/>
      <c r="BH2610" s="263"/>
      <c r="BI2610" s="263"/>
      <c r="BJ2610" s="404">
        <f>altaz(J2000_Bas,$O2610,$M2610,DecLat,DecLong,2)</f>
        <v>105.02553724684751</v>
      </c>
      <c r="BK2610" s="378" t="s">
        <v>3214</v>
      </c>
      <c r="BL2610" s="379">
        <f>IF((2*G2610)/60&lt;0.2,0.2,(2*G2610)/60)</f>
        <v>0.2</v>
      </c>
      <c r="BM2610" s="380">
        <f>MOD((50000+AD2610-$B$3+(0/24)),1)</f>
        <v>0.12611402077163802</v>
      </c>
      <c r="BN2610" s="381" t="s">
        <v>9222</v>
      </c>
      <c r="BO2610" s="382">
        <v>2601</v>
      </c>
    </row>
    <row r="2611" spans="1:67" s="24" customFormat="1" ht="15" customHeight="1" x14ac:dyDescent="0.25">
      <c r="A2611" s="288" t="s">
        <v>3215</v>
      </c>
      <c r="B2611" s="241" t="str">
        <f>HYPERLINK(CONCATENATE($AT$3,BK2611,$AU$3),$AV$3)</f>
        <v>S</v>
      </c>
      <c r="C2611" s="242" t="str">
        <f>HYPERLINK(CONCATENATE($AT$4,BK2611,$AU$4,BL2611),$AV$4)</f>
        <v>A</v>
      </c>
      <c r="D2611" s="243" t="s">
        <v>5638</v>
      </c>
      <c r="E2611" s="244" t="s">
        <v>5192</v>
      </c>
      <c r="F2611" s="269" t="s">
        <v>8663</v>
      </c>
      <c r="G2611" s="273">
        <v>1.3</v>
      </c>
      <c r="H2611" s="283">
        <v>200</v>
      </c>
      <c r="I2611" s="246">
        <v>80</v>
      </c>
      <c r="J2611" s="246">
        <v>2</v>
      </c>
      <c r="K2611" s="247" t="s">
        <v>5092</v>
      </c>
      <c r="L2611" s="248">
        <v>220205</v>
      </c>
      <c r="M2611" s="249">
        <f>15*(LEFT(TEXT($L2611,"000000"),2)+(MID(TEXT($L2611,"000000"),3,2)/60)+(RIGHT(TEXT($L2611,"000000"),2)/3600))</f>
        <v>330.52083333333337</v>
      </c>
      <c r="N2611" s="286">
        <v>-325256</v>
      </c>
      <c r="O2611" s="251">
        <f>IF($N2611&gt;0,(LEFT(TEXT($N2611,"000000"),2)+(MID(TEXT($N2611,"000000"),3,2)/60)+(RIGHT(TEXT($N2611,"000000"),2)/3600)),-(MID(TEXT($N2611,"000000"),2,2)+(MID(TEXT($N2611,"000000"),4,2)/60)+(RIGHT(TEXT($N2611,"000000"),2)/3600)))</f>
        <v>-32.882222222222225</v>
      </c>
      <c r="P2611" s="252" t="s">
        <v>232</v>
      </c>
      <c r="Q2611" s="253"/>
      <c r="R2611" s="247" t="s">
        <v>3293</v>
      </c>
      <c r="S2611" s="272" t="s">
        <v>5091</v>
      </c>
      <c r="T2611" s="273"/>
      <c r="U2611" s="274"/>
      <c r="V2611" s="280">
        <v>40</v>
      </c>
      <c r="W2611" s="244"/>
      <c r="X2611" s="244"/>
      <c r="Y2611" s="362"/>
      <c r="Z2611" s="257">
        <f>altaz(J2000_Bas,$O2611,$M2611,DecLat,DecLong,1)</f>
        <v>13.511698483956007</v>
      </c>
      <c r="AA2611" s="257">
        <f>altaz((J2000_Bas+(2*0.04167)),$O2611,$M2611,DecLat,DecLong,1)</f>
        <v>24.67668986820544</v>
      </c>
      <c r="AB2611" s="257">
        <f>altaz((J2000_Bas+(4*0.04167)),$O2611,$M2611,DecLat,DecLong,1)</f>
        <v>24.426688483852313</v>
      </c>
      <c r="AC2611" s="257">
        <f>altaz((J2000_Bas+(6*0.04167)),$O2611,$M2611,DecLat,DecLong,1)</f>
        <v>12.87393686126488</v>
      </c>
      <c r="AD2611" s="258">
        <f>1+ transit((J2000_Bas-1),$O2611,$M2611,DecLat,DecLong)/360 + (GMTOffset/24) + (IF(DST="Y", 1, 0)/24)</f>
        <v>1.9110132947442915</v>
      </c>
      <c r="AE2611" s="259">
        <f>DATE(2001,9,21)+(M2611/360)*365 - (360*((DecLong/360)- (GMTOffset/24) ))</f>
        <v>37495.111400462964</v>
      </c>
      <c r="AF2611" s="260">
        <f>IF(DecLat&gt;0,IF((90 - (DecLat-O2611))&gt;90, (90 - (O2611-DecLat)), (90 - (DecLat-O2611))),IF((90 + (DecLat-O2611))&gt;90, (90 + (O2611-DecLat)), (90 + (DecLat-O2611))))</f>
        <v>26.117777777777775</v>
      </c>
      <c r="AG2611" s="257">
        <f>angularseperation(MoonRA,MoonDec,$M2611,$O2611)</f>
        <v>68.865619262425625</v>
      </c>
      <c r="AH2611" s="261">
        <f ca="1">MIN(100,IF($O$5&gt;80,0+30*($AG2611/100),IF($O$5&gt;70,0+50*($AG2611/100),IF($O$5&gt;60,5+50*($AG2611/100),IF($O$5&gt;50,10+60*($AG2611/100),IF($O$5&gt;40,15+70*($AG2611/100),IF($O$5&gt;30,20+70*($AG2611/100),IF($O$5&gt;20,40+55*($AG2611/100),(80+(20-$O$5)+30*($AG2611/100))))))))))</f>
        <v>100</v>
      </c>
      <c r="AI2611" s="262"/>
      <c r="AJ2611" s="262"/>
      <c r="AK2611" s="262"/>
      <c r="AL2611" s="263"/>
      <c r="AM2611" s="264"/>
      <c r="AN2611" s="263"/>
      <c r="AO2611" s="263"/>
      <c r="AP2611" s="265"/>
      <c r="AQ2611" s="266"/>
      <c r="AR2611" s="267">
        <v>67880</v>
      </c>
      <c r="AS2611" s="263"/>
      <c r="AT2611" s="263"/>
      <c r="AU2611" s="263"/>
      <c r="AV2611" s="264"/>
      <c r="AW2611" s="263"/>
      <c r="AX2611" s="263"/>
      <c r="AY2611" s="263"/>
      <c r="AZ2611" s="263"/>
      <c r="BA2611" s="263"/>
      <c r="BB2611" s="263"/>
      <c r="BC2611" s="263"/>
      <c r="BD2611" s="264"/>
      <c r="BE2611" s="263"/>
      <c r="BF2611" s="263"/>
      <c r="BG2611" s="263"/>
      <c r="BH2611" s="263"/>
      <c r="BI2611" s="263"/>
      <c r="BJ2611" s="404">
        <f>altaz(J2000_Bas,$O2611,$M2611,DecLat,DecLong,2)</f>
        <v>142.73038430276836</v>
      </c>
      <c r="BK2611" s="378" t="s">
        <v>3215</v>
      </c>
      <c r="BL2611" s="379">
        <f>IF((2*G2611)/60&lt;0.2,0.2,(2*G2611)/60)</f>
        <v>0.2</v>
      </c>
      <c r="BM2611" s="380">
        <f>MOD((50000+AD2611-$B$3+(0/24)),1)</f>
        <v>0.12638022445025854</v>
      </c>
      <c r="BN2611" s="381"/>
      <c r="BO2611" s="382">
        <v>2602</v>
      </c>
    </row>
    <row r="2612" spans="1:67" s="24" customFormat="1" ht="15" customHeight="1" x14ac:dyDescent="0.25">
      <c r="A2612" s="288" t="s">
        <v>3234</v>
      </c>
      <c r="B2612" s="241" t="str">
        <f>HYPERLINK(CONCATENATE($AT$3,BK2612,$AU$3),$AV$3)</f>
        <v>S</v>
      </c>
      <c r="C2612" s="242" t="str">
        <f>HYPERLINK(CONCATENATE($AT$4,BK2612,$AU$4,BL2612),$AV$4)</f>
        <v>A</v>
      </c>
      <c r="D2612" s="243" t="s">
        <v>5638</v>
      </c>
      <c r="E2612" s="244" t="s">
        <v>5192</v>
      </c>
      <c r="F2612" s="269" t="s">
        <v>3306</v>
      </c>
      <c r="G2612" s="270">
        <v>0.5</v>
      </c>
      <c r="H2612" s="283">
        <v>500</v>
      </c>
      <c r="I2612" s="246">
        <v>80</v>
      </c>
      <c r="J2612" s="246">
        <v>2</v>
      </c>
      <c r="K2612" s="247" t="s">
        <v>5093</v>
      </c>
      <c r="L2612" s="248">
        <v>203718</v>
      </c>
      <c r="M2612" s="249">
        <f>15*(LEFT(TEXT($L2612,"000000"),2)+(MID(TEXT($L2612,"000000"),3,2)/60)+(RIGHT(TEXT($L2612,"000000"),2)/3600))</f>
        <v>309.32499999999999</v>
      </c>
      <c r="N2612" s="250">
        <v>253136</v>
      </c>
      <c r="O2612" s="251">
        <f>IF($N2612&gt;0,(LEFT(TEXT($N2612,"000000"),2)+(MID(TEXT($N2612,"000000"),3,2)/60)+(RIGHT(TEXT($N2612,"000000"),2)/3600)),-(MID(TEXT($N2612,"000000"),2,2)+(MID(TEXT($N2612,"000000"),4,2)/60)+(RIGHT(TEXT($N2612,"000000"),2)/3600)))</f>
        <v>25.526666666666667</v>
      </c>
      <c r="P2612" s="252" t="s">
        <v>61</v>
      </c>
      <c r="Q2612" s="253"/>
      <c r="R2612" s="277" t="s">
        <v>3293</v>
      </c>
      <c r="S2612" s="272" t="s">
        <v>3293</v>
      </c>
      <c r="T2612" s="273"/>
      <c r="U2612" s="274"/>
      <c r="V2612" s="280">
        <v>20</v>
      </c>
      <c r="W2612" s="244"/>
      <c r="X2612" s="244"/>
      <c r="Y2612" s="362"/>
      <c r="Z2612" s="257">
        <f>altaz(J2000_Bas,$O2612,$M2612,DecLat,DecLong,1)</f>
        <v>68.78670737927294</v>
      </c>
      <c r="AA2612" s="257">
        <f>altaz((J2000_Bas+(2*0.04167)),$O2612,$M2612,DecLat,DecLong,1)</f>
        <v>81.914733518859663</v>
      </c>
      <c r="AB2612" s="257">
        <f>altaz((J2000_Bas+(4*0.04167)),$O2612,$M2612,DecLat,DecLong,1)</f>
        <v>57.23840089099059</v>
      </c>
      <c r="AC2612" s="257">
        <f>altaz((J2000_Bas+(6*0.04167)),$O2612,$M2612,DecLat,DecLong,1)</f>
        <v>31.670158013776515</v>
      </c>
      <c r="AD2612" s="258">
        <f>1+ transit((J2000_Bas-1),$O2612,$M2612,DecLat,DecLong)/360 + (GMTOffset/24) + (IF(DST="Y", 1, 0)/24)</f>
        <v>1.8521359858172077</v>
      </c>
      <c r="AE2612" s="259">
        <f>DATE(2001,9,21)+(M2612/360)*365 - (360*((DecLong/360)- (GMTOffset/24) ))</f>
        <v>37473.621180555558</v>
      </c>
      <c r="AF2612" s="260">
        <f>IF(DecLat&gt;0,IF((90 - (DecLat-O2612))&gt;90, (90 - (O2612-DecLat)), (90 - (DecLat-O2612))),IF((90 + (DecLat-O2612))&gt;90, (90 + (O2612-DecLat)), (90 + (DecLat-O2612))))</f>
        <v>84.526666666666671</v>
      </c>
      <c r="AG2612" s="257">
        <f>angularseperation(MoonRA,MoonDec,$M2612,$O2612)</f>
        <v>78.199598502518157</v>
      </c>
      <c r="AH2612" s="261">
        <f ca="1">MIN(100,IF($O$5&gt;80,0+30*($AG2612/100),IF($O$5&gt;70,0+50*($AG2612/100),IF($O$5&gt;60,5+50*($AG2612/100),IF($O$5&gt;50,10+60*($AG2612/100),IF($O$5&gt;40,15+70*($AG2612/100),IF($O$5&gt;30,20+70*($AG2612/100),IF($O$5&gt;20,40+55*($AG2612/100),(80+(20-$O$5)+30*($AG2612/100))))))))))</f>
        <v>100</v>
      </c>
      <c r="AI2612" s="263"/>
      <c r="AJ2612" s="263"/>
      <c r="AK2612" s="263"/>
      <c r="AL2612" s="263"/>
      <c r="AM2612" s="264"/>
      <c r="AN2612" s="263"/>
      <c r="AO2612" s="263"/>
      <c r="AP2612" s="265"/>
      <c r="AQ2612" s="265"/>
      <c r="AR2612" s="285"/>
      <c r="AS2612" s="263"/>
      <c r="AT2612" s="263"/>
      <c r="AU2612" s="263"/>
      <c r="AV2612" s="264"/>
      <c r="AW2612" s="263"/>
      <c r="AX2612" s="263"/>
      <c r="AY2612" s="263"/>
      <c r="AZ2612" s="263"/>
      <c r="BA2612" s="263"/>
      <c r="BB2612" s="263"/>
      <c r="BC2612" s="263"/>
      <c r="BD2612" s="264"/>
      <c r="BE2612" s="263"/>
      <c r="BF2612" s="263"/>
      <c r="BG2612" s="263"/>
      <c r="BH2612" s="263"/>
      <c r="BI2612" s="263"/>
      <c r="BJ2612" s="404">
        <f>altaz(J2000_Bas,$O2612,$M2612,DecLat,DecLong,2)</f>
        <v>99.128791067962624</v>
      </c>
      <c r="BK2612" s="378" t="s">
        <v>3234</v>
      </c>
      <c r="BL2612" s="379">
        <f>IF((2*G2612)/60&lt;0.2,0.2,(2*G2612)/60)</f>
        <v>0.2</v>
      </c>
      <c r="BM2612" s="380">
        <f>MOD((50000+AD2612-$B$3+(0/24)),1)</f>
        <v>6.7502915524528362E-2</v>
      </c>
      <c r="BN2612" s="381"/>
      <c r="BO2612" s="382">
        <v>2603</v>
      </c>
    </row>
    <row r="2613" spans="1:67" s="24" customFormat="1" ht="15" customHeight="1" x14ac:dyDescent="0.25">
      <c r="A2613" s="288" t="s">
        <v>3216</v>
      </c>
      <c r="B2613" s="241" t="str">
        <f>HYPERLINK(CONCATENATE($AT$3,BK2613,$AU$3),$AV$3)</f>
        <v>S</v>
      </c>
      <c r="C2613" s="242" t="str">
        <f>HYPERLINK(CONCATENATE($AT$4,BK2613,$AU$4,BL2613),$AV$4)</f>
        <v>A</v>
      </c>
      <c r="D2613" s="243" t="s">
        <v>5638</v>
      </c>
      <c r="E2613" s="244" t="s">
        <v>8641</v>
      </c>
      <c r="F2613" s="269"/>
      <c r="G2613" s="270">
        <v>0.6</v>
      </c>
      <c r="H2613" s="283">
        <v>380</v>
      </c>
      <c r="I2613" s="246">
        <v>70</v>
      </c>
      <c r="J2613" s="246">
        <v>2</v>
      </c>
      <c r="K2613" s="247" t="s">
        <v>8600</v>
      </c>
      <c r="L2613" s="248">
        <v>14326</v>
      </c>
      <c r="M2613" s="249">
        <f>15*(LEFT(TEXT($L2613,"000000"),2)+(MID(TEXT($L2613,"000000"),3,2)/60)+(RIGHT(TEXT($L2613,"000000"),2)/3600))</f>
        <v>25.858333333333334</v>
      </c>
      <c r="N2613" s="286">
        <v>165829</v>
      </c>
      <c r="O2613" s="251">
        <f>IF($N2613&gt;0,(LEFT(TEXT($N2613,"000000"),2)+(MID(TEXT($N2613,"000000"),3,2)/60)+(RIGHT(TEXT($N2613,"000000"),2)/3600)),-(MID(TEXT($N2613,"000000"),2,2)+(MID(TEXT($N2613,"000000"),4,2)/60)+(RIGHT(TEXT($N2613,"000000"),2)/3600)))</f>
        <v>16.974722222222219</v>
      </c>
      <c r="P2613" s="252" t="s">
        <v>75</v>
      </c>
      <c r="Q2613" s="253"/>
      <c r="R2613" s="247" t="s">
        <v>3293</v>
      </c>
      <c r="S2613" s="272" t="s">
        <v>3293</v>
      </c>
      <c r="T2613" s="273"/>
      <c r="U2613" s="274"/>
      <c r="V2613" s="280"/>
      <c r="W2613" s="244"/>
      <c r="X2613" s="244"/>
      <c r="Y2613" s="362"/>
      <c r="Z2613" s="257">
        <f>altaz(J2000_Bas,$O2613,$M2613,DecLat,DecLong,1)</f>
        <v>0.57514995736293439</v>
      </c>
      <c r="AA2613" s="257">
        <f>altaz((J2000_Bas+(2*0.04167)),$O2613,$M2613,DecLat,DecLong,1)</f>
        <v>25.711255513539864</v>
      </c>
      <c r="AB2613" s="257">
        <f>altaz((J2000_Bas+(4*0.04167)),$O2613,$M2613,DecLat,DecLong,1)</f>
        <v>51.376038066722906</v>
      </c>
      <c r="AC2613" s="257">
        <f>altaz((J2000_Bas+(6*0.04167)),$O2613,$M2613,DecLat,DecLong,1)</f>
        <v>73.476500894809007</v>
      </c>
      <c r="AD2613" s="258">
        <f>1+ transit((J2000_Bas-1),$O2613,$M2613,DecLat,DecLong)/360 + (GMTOffset/24) + (IF(DST="Y", 1, 0)/24)</f>
        <v>1.0647286571505414</v>
      </c>
      <c r="AE2613" s="259">
        <f>DATE(2001,9,21)+(M2613/360)*365 - (360*((DecLong/360)- (GMTOffset/24) ))</f>
        <v>37186.217476851853</v>
      </c>
      <c r="AF2613" s="260">
        <f>IF(DecLat&gt;0,IF((90 - (DecLat-O2613))&gt;90, (90 - (O2613-DecLat)), (90 - (DecLat-O2613))),IF((90 + (DecLat-O2613))&gt;90, (90 + (O2613-DecLat)), (90 + (DecLat-O2613))))</f>
        <v>75.974722222222226</v>
      </c>
      <c r="AG2613" s="257">
        <f>angularseperation(MoonRA,MoonDec,$M2613,$O2613)</f>
        <v>138.74712273856372</v>
      </c>
      <c r="AH2613" s="261">
        <f ca="1">MIN(100,IF($O$5&gt;80,0+30*($AG2613/100),IF($O$5&gt;70,0+50*($AG2613/100),IF($O$5&gt;60,5+50*($AG2613/100),IF($O$5&gt;50,10+60*($AG2613/100),IF($O$5&gt;40,15+70*($AG2613/100),IF($O$5&gt;30,20+70*($AG2613/100),IF($O$5&gt;20,40+55*($AG2613/100),(80+(20-$O$5)+30*($AG2613/100))))))))))</f>
        <v>100</v>
      </c>
      <c r="AI2613" s="262"/>
      <c r="AJ2613" s="262"/>
      <c r="AK2613" s="262"/>
      <c r="AL2613" s="263"/>
      <c r="AM2613" s="264"/>
      <c r="AN2613" s="263"/>
      <c r="AO2613" s="263"/>
      <c r="AP2613" s="265"/>
      <c r="AQ2613" s="266"/>
      <c r="AR2613" s="267">
        <v>93851</v>
      </c>
      <c r="AS2613" s="263"/>
      <c r="AT2613" s="263"/>
      <c r="AU2613" s="263"/>
      <c r="AV2613" s="264"/>
      <c r="AW2613" s="263"/>
      <c r="AX2613" s="263"/>
      <c r="AY2613" s="263"/>
      <c r="AZ2613" s="263"/>
      <c r="BA2613" s="263"/>
      <c r="BB2613" s="263"/>
      <c r="BC2613" s="263"/>
      <c r="BD2613" s="264"/>
      <c r="BE2613" s="263"/>
      <c r="BF2613" s="263"/>
      <c r="BG2613" s="263"/>
      <c r="BH2613" s="263"/>
      <c r="BI2613" s="263"/>
      <c r="BJ2613" s="404">
        <f>altaz(J2000_Bas,$O2613,$M2613,DecLat,DecLong,2)</f>
        <v>70.452773888404835</v>
      </c>
      <c r="BK2613" s="378" t="s">
        <v>3216</v>
      </c>
      <c r="BL2613" s="379">
        <f>IF((2*G2613)/60&lt;0.2,0.2,(2*G2613)/60)</f>
        <v>0.2</v>
      </c>
      <c r="BM2613" s="380">
        <f>MOD((50000+AD2613-$B$3+(0/24)),1)</f>
        <v>0.28009558685153024</v>
      </c>
      <c r="BN2613" s="381"/>
      <c r="BO2613" s="382">
        <v>2604</v>
      </c>
    </row>
    <row r="2614" spans="1:67" s="24" customFormat="1" ht="15" customHeight="1" x14ac:dyDescent="0.25">
      <c r="A2614" s="288" t="s">
        <v>3217</v>
      </c>
      <c r="B2614" s="241" t="str">
        <f>HYPERLINK(CONCATENATE($AT$3,BK2614,$AU$3),$AV$3)</f>
        <v>S</v>
      </c>
      <c r="C2614" s="242" t="str">
        <f>HYPERLINK(CONCATENATE($AT$4,BK2614,$AU$4,BL2614),$AV$4)</f>
        <v>A</v>
      </c>
      <c r="D2614" s="243" t="s">
        <v>5638</v>
      </c>
      <c r="E2614" s="244" t="s">
        <v>8641</v>
      </c>
      <c r="F2614" s="269"/>
      <c r="G2614" s="273">
        <v>2</v>
      </c>
      <c r="H2614" s="283">
        <v>210</v>
      </c>
      <c r="I2614" s="246">
        <v>120</v>
      </c>
      <c r="J2614" s="246">
        <v>2</v>
      </c>
      <c r="K2614" s="247" t="s">
        <v>8601</v>
      </c>
      <c r="L2614" s="248">
        <v>100200</v>
      </c>
      <c r="M2614" s="249">
        <f>15*(LEFT(TEXT($L2614,"000000"),2)+(MID(TEXT($L2614,"000000"),3,2)/60)+(RIGHT(TEXT($L2614,"000000"),2)/3600))</f>
        <v>150.5</v>
      </c>
      <c r="N2614" s="250">
        <v>-80945</v>
      </c>
      <c r="O2614" s="251">
        <f>IF($N2614&gt;0,(LEFT(TEXT($N2614,"000000"),2)+(MID(TEXT($N2614,"000000"),3,2)/60)+(RIGHT(TEXT($N2614,"000000"),2)/3600)),-(MID(TEXT($N2614,"000000"),2,2)+(MID(TEXT($N2614,"000000"),4,2)/60)+(RIGHT(TEXT($N2614,"000000"),2)/3600)))</f>
        <v>-8.1624999999999996</v>
      </c>
      <c r="P2614" s="252" t="s">
        <v>263</v>
      </c>
      <c r="Q2614" s="253" t="s">
        <v>6902</v>
      </c>
      <c r="R2614" s="247" t="s">
        <v>3293</v>
      </c>
      <c r="S2614" s="272" t="s">
        <v>3293</v>
      </c>
      <c r="T2614" s="273">
        <v>15</v>
      </c>
      <c r="U2614" s="274"/>
      <c r="V2614" s="280"/>
      <c r="W2614" s="244"/>
      <c r="X2614" s="244"/>
      <c r="Y2614" s="362"/>
      <c r="Z2614" s="257">
        <f>altaz(J2000_Bas,$O2614,$M2614,DecLat,DecLong,1)</f>
        <v>-42.713614927425446</v>
      </c>
      <c r="AA2614" s="257">
        <f>altaz((J2000_Bas+(2*0.04167)),$O2614,$M2614,DecLat,DecLong,1)</f>
        <v>-63.496279194627562</v>
      </c>
      <c r="AB2614" s="257">
        <f>altaz((J2000_Bas+(4*0.04167)),$O2614,$M2614,DecLat,DecLong,1)</f>
        <v>-62.881683626148202</v>
      </c>
      <c r="AC2614" s="257">
        <f>altaz((J2000_Bas+(6*0.04167)),$O2614,$M2614,DecLat,DecLong,1)</f>
        <v>-41.691768380127534</v>
      </c>
      <c r="AD2614" s="258">
        <f>1+ transit((J2000_Bas-1),$O2614,$M2614,DecLat,DecLong)/360 + (GMTOffset/24) + (IF(DST="Y", 1, 0)/24)</f>
        <v>1.4109554743797081</v>
      </c>
      <c r="AE2614" s="259">
        <f>DATE(2001,9,21)+(M2614/360)*365 - (360*((DecLong/360)- (GMTOffset/24) ))</f>
        <v>37312.590277777781</v>
      </c>
      <c r="AF2614" s="260">
        <f>IF(DecLat&gt;0,IF((90 - (DecLat-O2614))&gt;90, (90 - (O2614-DecLat)), (90 - (DecLat-O2614))),IF((90 + (DecLat-O2614))&gt;90, (90 + (O2614-DecLat)), (90 + (DecLat-O2614))))</f>
        <v>50.837499999999999</v>
      </c>
      <c r="AG2614" s="257">
        <f>angularseperation(MoonRA,MoonDec,$M2614,$O2614)</f>
        <v>93.973936592077138</v>
      </c>
      <c r="AH2614" s="261">
        <f ca="1">MIN(100,IF($O$5&gt;80,0+30*($AG2614/100),IF($O$5&gt;70,0+50*($AG2614/100),IF($O$5&gt;60,5+50*($AG2614/100),IF($O$5&gt;50,10+60*($AG2614/100),IF($O$5&gt;40,15+70*($AG2614/100),IF($O$5&gt;30,20+70*($AG2614/100),IF($O$5&gt;20,40+55*($AG2614/100),(80+(20-$O$5)+30*($AG2614/100))))))))))</f>
        <v>100</v>
      </c>
      <c r="AI2614" s="262"/>
      <c r="AJ2614" s="262"/>
      <c r="AK2614" s="262"/>
      <c r="AL2614" s="263"/>
      <c r="AM2614" s="264"/>
      <c r="AN2614" s="263"/>
      <c r="AO2614" s="263"/>
      <c r="AP2614" s="265"/>
      <c r="AQ2614" s="266"/>
      <c r="AR2614" s="357">
        <v>139235</v>
      </c>
      <c r="AS2614" s="263"/>
      <c r="AT2614" s="263"/>
      <c r="AU2614" s="263"/>
      <c r="AV2614" s="264"/>
      <c r="AW2614" s="263"/>
      <c r="AX2614" s="263"/>
      <c r="AY2614" s="263"/>
      <c r="AZ2614" s="263"/>
      <c r="BA2614" s="263"/>
      <c r="BB2614" s="263"/>
      <c r="BC2614" s="263"/>
      <c r="BD2614" s="264"/>
      <c r="BE2614" s="263"/>
      <c r="BF2614" s="263"/>
      <c r="BG2614" s="263"/>
      <c r="BH2614" s="263"/>
      <c r="BI2614" s="263"/>
      <c r="BJ2614" s="404">
        <f>altaz(J2000_Bas,$O2614,$M2614,DecLat,DecLong,2)</f>
        <v>289.22548175177729</v>
      </c>
      <c r="BK2614" s="378" t="s">
        <v>3217</v>
      </c>
      <c r="BL2614" s="379">
        <f>IF((2*G2614)/60&lt;0.2,0.2,(2*G2614)/60)</f>
        <v>0.2</v>
      </c>
      <c r="BM2614" s="380">
        <f>MOD((50000+AD2614-$B$3+(0/24)),1)</f>
        <v>0.62632240408129292</v>
      </c>
      <c r="BN2614" s="381"/>
      <c r="BO2614" s="382">
        <v>2605</v>
      </c>
    </row>
    <row r="2615" spans="1:67" s="24" customFormat="1" ht="15" customHeight="1" x14ac:dyDescent="0.25">
      <c r="A2615" s="288" t="s">
        <v>7664</v>
      </c>
      <c r="B2615" s="241" t="str">
        <f>HYPERLINK(CONCATENATE($AT$3,BK2615,$AU$3),$AV$3)</f>
        <v>S</v>
      </c>
      <c r="C2615" s="242" t="str">
        <f>HYPERLINK(CONCATENATE($AT$4,BK2615,$AU$4,BL2615),$AV$4)</f>
        <v>A</v>
      </c>
      <c r="D2615" s="243" t="s">
        <v>5638</v>
      </c>
      <c r="E2615" s="244" t="s">
        <v>5178</v>
      </c>
      <c r="F2615" s="269" t="s">
        <v>9121</v>
      </c>
      <c r="G2615" s="270">
        <v>0.5</v>
      </c>
      <c r="H2615" s="283">
        <v>930</v>
      </c>
      <c r="I2615" s="246">
        <v>140</v>
      </c>
      <c r="J2615" s="246">
        <v>2</v>
      </c>
      <c r="K2615" s="247" t="s">
        <v>5095</v>
      </c>
      <c r="L2615" s="248">
        <v>141619</v>
      </c>
      <c r="M2615" s="249">
        <f>15*(LEFT(TEXT($L2615,"000000"),2)+(MID(TEXT($L2615,"000000"),3,2)/60)+(RIGHT(TEXT($L2615,"000000"),2)/3600))</f>
        <v>214.07916666666668</v>
      </c>
      <c r="N2615" s="250">
        <v>361250</v>
      </c>
      <c r="O2615" s="251">
        <f>IF($N2615&gt;0,(LEFT(TEXT($N2615,"000000"),2)+(MID(TEXT($N2615,"000000"),3,2)/60)+(RIGHT(TEXT($N2615,"000000"),2)/3600)),-(MID(TEXT($N2615,"000000"),2,2)+(MID(TEXT($N2615,"000000"),4,2)/60)+(RIGHT(TEXT($N2615,"000000"),2)/3600)))</f>
        <v>36.213888888888889</v>
      </c>
      <c r="P2615" s="252" t="s">
        <v>260</v>
      </c>
      <c r="Q2615" s="253"/>
      <c r="R2615" s="247" t="s">
        <v>3293</v>
      </c>
      <c r="S2615" s="272" t="s">
        <v>5094</v>
      </c>
      <c r="T2615" s="273"/>
      <c r="U2615" s="274"/>
      <c r="V2615" s="280"/>
      <c r="W2615" s="244"/>
      <c r="X2615" s="244"/>
      <c r="Y2615" s="362"/>
      <c r="Z2615" s="257">
        <f>altaz(J2000_Bas,$O2615,$M2615,DecLat,DecLong,1)</f>
        <v>31.256666059090719</v>
      </c>
      <c r="AA2615" s="257">
        <f>altaz((J2000_Bas+(2*0.04167)),$O2615,$M2615,DecLat,DecLong,1)</f>
        <v>9.2303262228215495</v>
      </c>
      <c r="AB2615" s="257">
        <f>altaz((J2000_Bas+(4*0.04167)),$O2615,$M2615,DecLat,DecLong,1)</f>
        <v>-9.1662629645219997</v>
      </c>
      <c r="AC2615" s="257">
        <f>altaz((J2000_Bas+(6*0.04167)),$O2615,$M2615,DecLat,DecLong,1)</f>
        <v>-20.738375564703919</v>
      </c>
      <c r="AD2615" s="258">
        <f>1+ transit((J2000_Bas-1),$O2615,$M2615,DecLat,DecLong)/360 + (GMTOffset/24) + (IF(DST="Y", 1, 0)/24)</f>
        <v>1.5875642530151248</v>
      </c>
      <c r="AE2615" s="259">
        <f>DATE(2001,9,21)+(M2615/360)*365 - (360*((DecLong/360)- (GMTOffset/24) ))</f>
        <v>37377.052488425928</v>
      </c>
      <c r="AF2615" s="260">
        <f>IF(DecLat&gt;0,IF((90 - (DecLat-O2615))&gt;90, (90 - (O2615-DecLat)), (90 - (DecLat-O2615))),IF((90 + (DecLat-O2615))&gt;90, (90 + (O2615-DecLat)), (90 + (DecLat-O2615))))</f>
        <v>84.786111111111111</v>
      </c>
      <c r="AG2615" s="257">
        <f>angularseperation(MoonRA,MoonDec,$M2615,$O2615)</f>
        <v>71.441830989401694</v>
      </c>
      <c r="AH2615" s="261">
        <f ca="1">MIN(100,IF($O$5&gt;80,0+30*($AG2615/100),IF($O$5&gt;70,0+50*($AG2615/100),IF($O$5&gt;60,5+50*($AG2615/100),IF($O$5&gt;50,10+60*($AG2615/100),IF($O$5&gt;40,15+70*($AG2615/100),IF($O$5&gt;30,20+70*($AG2615/100),IF($O$5&gt;20,40+55*($AG2615/100),(80+(20-$O$5)+30*($AG2615/100))))))))))</f>
        <v>100</v>
      </c>
      <c r="AI2615" s="262"/>
      <c r="AJ2615" s="262"/>
      <c r="AK2615" s="262"/>
      <c r="AL2615" s="263"/>
      <c r="AM2615" s="264"/>
      <c r="AN2615" s="263"/>
      <c r="AO2615" s="263"/>
      <c r="AP2615" s="265"/>
      <c r="AQ2615" s="266"/>
      <c r="AR2615" s="359">
        <v>2076843</v>
      </c>
      <c r="AS2615" s="263"/>
      <c r="AT2615" s="263"/>
      <c r="AU2615" s="263"/>
      <c r="AV2615" s="264"/>
      <c r="AW2615" s="263"/>
      <c r="AX2615" s="263"/>
      <c r="AY2615" s="263"/>
      <c r="AZ2615" s="263"/>
      <c r="BA2615" s="263"/>
      <c r="BB2615" s="263"/>
      <c r="BC2615" s="263"/>
      <c r="BD2615" s="264"/>
      <c r="BE2615" s="263"/>
      <c r="BF2615" s="263"/>
      <c r="BG2615" s="263"/>
      <c r="BH2615" s="263"/>
      <c r="BI2615" s="263"/>
      <c r="BJ2615" s="404">
        <f>altaz(J2000_Bas,$O2615,$M2615,DecLat,DecLong,2)</f>
        <v>296.2042098903637</v>
      </c>
      <c r="BK2615" s="378" t="s">
        <v>3218</v>
      </c>
      <c r="BL2615" s="379">
        <f>IF((2*G2615)/60&lt;0.2,0.2,(2*G2615)/60)</f>
        <v>0.2</v>
      </c>
      <c r="BM2615" s="380">
        <f>MOD((50000+AD2615-$B$3+(0/24)),1)</f>
        <v>0.80293118271947606</v>
      </c>
      <c r="BN2615" s="381"/>
      <c r="BO2615" s="382">
        <v>2606</v>
      </c>
    </row>
    <row r="2616" spans="1:67" s="24" customFormat="1" ht="15" customHeight="1" x14ac:dyDescent="0.25">
      <c r="A2616" s="288" t="s">
        <v>2442</v>
      </c>
      <c r="B2616" s="241" t="str">
        <f>HYPERLINK(CONCATENATE($AT$3,BK2616,$AU$3),$AV$3)</f>
        <v>S</v>
      </c>
      <c r="C2616" s="242" t="str">
        <f>HYPERLINK(CONCATENATE($AT$4,BK2616,$AU$4,BL2616),$AV$4)</f>
        <v>A</v>
      </c>
      <c r="D2616" s="243" t="s">
        <v>5187</v>
      </c>
      <c r="E2616" s="244" t="s">
        <v>5183</v>
      </c>
      <c r="F2616" s="269" t="s">
        <v>9164</v>
      </c>
      <c r="G2616" s="273">
        <v>6</v>
      </c>
      <c r="H2616" s="283">
        <v>1000</v>
      </c>
      <c r="I2616" s="279">
        <v>1.8</v>
      </c>
      <c r="J2616" s="246">
        <v>1</v>
      </c>
      <c r="K2616" s="247" t="s">
        <v>5096</v>
      </c>
      <c r="L2616" s="248">
        <v>5954</v>
      </c>
      <c r="M2616" s="249">
        <f>15*(LEFT(TEXT($L2616,"000000"),2)+(MID(TEXT($L2616,"000000"),3,2)/60)+(RIGHT(TEXT($L2616,"000000"),2)/3600))</f>
        <v>14.975</v>
      </c>
      <c r="N2616" s="250">
        <v>154400</v>
      </c>
      <c r="O2616" s="251">
        <f>IF($N2616&gt;0,(LEFT(TEXT($N2616,"000000"),2)+(MID(TEXT($N2616,"000000"),3,2)/60)+(RIGHT(TEXT($N2616,"000000"),2)/3600)),-(MID(TEXT($N2616,"000000"),2,2)+(MID(TEXT($N2616,"000000"),4,2)/60)+(RIGHT(TEXT($N2616,"000000"),2)/3600)))</f>
        <v>15.733333333333333</v>
      </c>
      <c r="P2616" s="252" t="s">
        <v>158</v>
      </c>
      <c r="Q2616" s="253"/>
      <c r="R2616" s="247" t="s">
        <v>3293</v>
      </c>
      <c r="S2616" s="272" t="s">
        <v>3293</v>
      </c>
      <c r="T2616" s="273"/>
      <c r="U2616" s="274"/>
      <c r="V2616" s="280"/>
      <c r="W2616" s="244"/>
      <c r="X2616" s="244"/>
      <c r="Y2616" s="362"/>
      <c r="Z2616" s="257">
        <f>altaz(J2000_Bas,$O2616,$M2616,DecLat,DecLong,1)</f>
        <v>8.8851828619621767</v>
      </c>
      <c r="AA2616" s="257">
        <f>altaz((J2000_Bas+(2*0.04167)),$O2616,$M2616,DecLat,DecLong,1)</f>
        <v>34.470045077020622</v>
      </c>
      <c r="AB2616" s="257">
        <f>altaz((J2000_Bas+(4*0.04167)),$O2616,$M2616,DecLat,DecLong,1)</f>
        <v>59.613679094212969</v>
      </c>
      <c r="AC2616" s="257">
        <f>altaz((J2000_Bas+(6*0.04167)),$O2616,$M2616,DecLat,DecLong,1)</f>
        <v>74.688511226769535</v>
      </c>
      <c r="AD2616" s="258">
        <f>1+ transit((J2000_Bas-1),$O2616,$M2616,DecLat,DecLong)/360 + (GMTOffset/24) + (IF(DST="Y", 1, 0)/24)</f>
        <v>1.0344971786922079</v>
      </c>
      <c r="AE2616" s="259">
        <f>DATE(2001,9,21)+(M2616/360)*365 - (360*((DecLong/360)- (GMTOffset/24) ))</f>
        <v>37175.182986111111</v>
      </c>
      <c r="AF2616" s="260">
        <f>IF(DecLat&gt;0,IF((90 - (DecLat-O2616))&gt;90, (90 - (O2616-DecLat)), (90 - (DecLat-O2616))),IF((90 + (DecLat-O2616))&gt;90, (90 + (O2616-DecLat)), (90 + (DecLat-O2616))))</f>
        <v>74.733333333333334</v>
      </c>
      <c r="AG2616" s="257">
        <f>angularseperation(MoonRA,MoonDec,$M2616,$O2616)</f>
        <v>128.60478330420653</v>
      </c>
      <c r="AH2616" s="261">
        <f ca="1">MIN(100,IF($O$5&gt;80,0+30*($AG2616/100),IF($O$5&gt;70,0+50*($AG2616/100),IF($O$5&gt;60,5+50*($AG2616/100),IF($O$5&gt;50,10+60*($AG2616/100),IF($O$5&gt;40,15+70*($AG2616/100),IF($O$5&gt;30,20+70*($AG2616/100),IF($O$5&gt;20,40+55*($AG2616/100),(80+(20-$O$5)+30*($AG2616/100))))))))))</f>
        <v>100</v>
      </c>
      <c r="AI2616" s="262"/>
      <c r="AJ2616" s="262"/>
      <c r="AK2616" s="262"/>
      <c r="AL2616" s="263"/>
      <c r="AM2616" s="264"/>
      <c r="AN2616" s="263"/>
      <c r="AO2616" s="263"/>
      <c r="AP2616" s="265"/>
      <c r="AQ2616" s="266"/>
      <c r="AR2616" s="267"/>
      <c r="AS2616" s="263"/>
      <c r="AT2616" s="263"/>
      <c r="AU2616" s="263"/>
      <c r="AV2616" s="264"/>
      <c r="AW2616" s="263"/>
      <c r="AX2616" s="263"/>
      <c r="AY2616" s="263"/>
      <c r="AZ2616" s="263"/>
      <c r="BA2616" s="263"/>
      <c r="BB2616" s="263"/>
      <c r="BC2616" s="263"/>
      <c r="BD2616" s="264"/>
      <c r="BE2616" s="263"/>
      <c r="BF2616" s="263"/>
      <c r="BG2616" s="263"/>
      <c r="BH2616" s="263"/>
      <c r="BI2616" s="263"/>
      <c r="BJ2616" s="404">
        <f>altaz(J2000_Bas,$O2616,$M2616,DecLat,DecLong,2)</f>
        <v>76.923366003441686</v>
      </c>
      <c r="BK2616" s="378" t="s">
        <v>2442</v>
      </c>
      <c r="BL2616" s="379">
        <f>IF((2*G2616)/60&lt;0.2,0.2,(2*G2616)/60)</f>
        <v>0.2</v>
      </c>
      <c r="BM2616" s="380">
        <f>MOD((50000+AD2616-$B$3+(0/24)),1)</f>
        <v>0.24986410839483142</v>
      </c>
      <c r="BN2616" s="381" t="s">
        <v>9217</v>
      </c>
      <c r="BO2616" s="382">
        <v>2607</v>
      </c>
    </row>
    <row r="2617" spans="1:67" s="24" customFormat="1" ht="15" customHeight="1" x14ac:dyDescent="0.25">
      <c r="A2617" s="288" t="s">
        <v>8106</v>
      </c>
      <c r="B2617" s="241"/>
      <c r="C2617" s="242" t="str">
        <f>HYPERLINK(CONCATENATE($AT$4,BK2617,$AU$4,BL2617),$AV$4)</f>
        <v>A</v>
      </c>
      <c r="D2617" s="243" t="s">
        <v>5187</v>
      </c>
      <c r="E2617" s="244" t="s">
        <v>16</v>
      </c>
      <c r="F2617" s="269"/>
      <c r="G2617" s="276">
        <v>60</v>
      </c>
      <c r="H2617" s="283">
        <v>1500</v>
      </c>
      <c r="I2617" s="246">
        <v>26</v>
      </c>
      <c r="J2617" s="246">
        <v>4</v>
      </c>
      <c r="K2617" s="247" t="s">
        <v>8107</v>
      </c>
      <c r="L2617" s="248">
        <v>205028</v>
      </c>
      <c r="M2617" s="249">
        <f>15*(LEFT(TEXT($L2617,"000000"),2)+(MID(TEXT($L2617,"000000"),3,2)/60)+(RIGHT(TEXT($L2617,"000000"),2)/3600))</f>
        <v>312.61666666666667</v>
      </c>
      <c r="N2617" s="250">
        <v>320136</v>
      </c>
      <c r="O2617" s="251">
        <f>IF($N2617&gt;0,(LEFT(TEXT($N2617,"000000"),2)+(MID(TEXT($N2617,"000000"),3,2)/60)+(RIGHT(TEXT($N2617,"000000"),2)/3600)),-(MID(TEXT($N2617,"000000"),2,2)+(MID(TEXT($N2617,"000000"),4,2)/60)+(RIGHT(TEXT($N2617,"000000"),2)/3600)))</f>
        <v>32.026666666666664</v>
      </c>
      <c r="P2617" s="252" t="s">
        <v>60</v>
      </c>
      <c r="Q2617" s="253" t="s">
        <v>8104</v>
      </c>
      <c r="R2617" s="247" t="s">
        <v>3293</v>
      </c>
      <c r="S2617" s="272" t="s">
        <v>3293</v>
      </c>
      <c r="T2617" s="273"/>
      <c r="U2617" s="274"/>
      <c r="V2617" s="280"/>
      <c r="W2617" s="244"/>
      <c r="X2617" s="244"/>
      <c r="Y2617" s="362"/>
      <c r="Z2617" s="257">
        <f>altaz(J2000_Bas,$O2617,$M2617,DecLat,DecLong,1)</f>
        <v>67.344984373418527</v>
      </c>
      <c r="AA2617" s="257">
        <f>altaz((J2000_Bas+(2*0.04167)),$O2617,$M2617,DecLat,DecLong,1)</f>
        <v>86.868460782509004</v>
      </c>
      <c r="AB2617" s="257">
        <f>altaz((J2000_Bas+(4*0.04167)),$O2617,$M2617,DecLat,DecLong,1)</f>
        <v>61.490428118445749</v>
      </c>
      <c r="AC2617" s="257">
        <f>altaz((J2000_Bas+(6*0.04167)),$O2617,$M2617,DecLat,DecLong,1)</f>
        <v>36.569808422137527</v>
      </c>
      <c r="AD2617" s="258">
        <f>1+ transit((J2000_Bas-1),$O2617,$M2617,DecLat,DecLong)/360 + (GMTOffset/24) + (IF(DST="Y", 1, 0)/24)</f>
        <v>1.8612795034213747</v>
      </c>
      <c r="AE2617" s="259">
        <f>DATE(2001,9,21)+(M2617/360)*365 - (360*((DecLong/360)- (GMTOffset/24) ))</f>
        <v>37476.958564814813</v>
      </c>
      <c r="AF2617" s="260">
        <f>IF(DecLat&gt;0,IF((90 - (DecLat-O2617))&gt;90, (90 - (O2617-DecLat)), (90 - (DecLat-O2617))),IF((90 + (DecLat-O2617))&gt;90, (90 + (O2617-DecLat)), (90 + (DecLat-O2617))))</f>
        <v>88.973333333333329</v>
      </c>
      <c r="AG2617" s="257">
        <f>angularseperation(MoonRA,MoonDec,$M2617,$O2617)</f>
        <v>84.443401086774827</v>
      </c>
      <c r="AH2617" s="261">
        <f ca="1">MIN(100,IF($O$5&gt;80,0+30*($AG2617/100),IF($O$5&gt;70,0+50*($AG2617/100),IF($O$5&gt;60,5+50*($AG2617/100),IF($O$5&gt;50,10+60*($AG2617/100),IF($O$5&gt;40,15+70*($AG2617/100),IF($O$5&gt;30,20+70*($AG2617/100),IF($O$5&gt;20,40+55*($AG2617/100),(80+(20-$O$5)+30*($AG2617/100))))))))))</f>
        <v>100</v>
      </c>
      <c r="AI2617" s="262">
        <v>6979</v>
      </c>
      <c r="AJ2617" s="262"/>
      <c r="AK2617" s="262"/>
      <c r="AL2617" s="263"/>
      <c r="AM2617" s="264"/>
      <c r="AN2617" s="263"/>
      <c r="AO2617" s="263"/>
      <c r="AP2617" s="265"/>
      <c r="AQ2617" s="266"/>
      <c r="AR2617" s="267"/>
      <c r="AS2617" s="263"/>
      <c r="AT2617" s="263"/>
      <c r="AU2617" s="263"/>
      <c r="AV2617" s="264"/>
      <c r="AW2617" s="263"/>
      <c r="AX2617" s="263"/>
      <c r="AY2617" s="263"/>
      <c r="AZ2617" s="263"/>
      <c r="BA2617" s="263"/>
      <c r="BB2617" s="263"/>
      <c r="BC2617" s="361" t="s">
        <v>3067</v>
      </c>
      <c r="BD2617" s="264"/>
      <c r="BE2617" s="263"/>
      <c r="BF2617" s="263"/>
      <c r="BG2617" s="263">
        <v>93</v>
      </c>
      <c r="BH2617" s="263"/>
      <c r="BI2617" s="263"/>
      <c r="BJ2617" s="404">
        <f>altaz(J2000_Bas,$O2617,$M2617,DecLat,DecLong,2)</f>
        <v>80.40800004969023</v>
      </c>
      <c r="BK2617" s="378" t="s">
        <v>8105</v>
      </c>
      <c r="BL2617" s="379">
        <f>IF((2*G2617)/60&lt;0.2,0.2,(2*G2617)/60)</f>
        <v>2</v>
      </c>
      <c r="BM2617" s="380">
        <f>MOD((50000+AD2617-$B$3+(0/24)),1)</f>
        <v>7.664643312455155E-2</v>
      </c>
      <c r="BN2617" s="381"/>
      <c r="BO2617" s="382">
        <v>2608</v>
      </c>
    </row>
    <row r="2618" spans="1:67" s="24" customFormat="1" ht="15" customHeight="1" x14ac:dyDescent="0.25">
      <c r="A2618" s="288" t="s">
        <v>2443</v>
      </c>
      <c r="B2618" s="241"/>
      <c r="C2618" s="242" t="str">
        <f>HYPERLINK(CONCATENATE($AT$4,BK2618,$AU$4,BL2618),$AV$4)</f>
        <v>A</v>
      </c>
      <c r="D2618" s="243" t="s">
        <v>5335</v>
      </c>
      <c r="E2618" s="244" t="s">
        <v>5185</v>
      </c>
      <c r="F2618" s="269" t="s">
        <v>9069</v>
      </c>
      <c r="G2618" s="276">
        <v>20</v>
      </c>
      <c r="H2618" s="271" t="s">
        <v>6500</v>
      </c>
      <c r="I2618" s="244" t="s">
        <v>6500</v>
      </c>
      <c r="J2618" s="246">
        <v>2</v>
      </c>
      <c r="K2618" s="247" t="s">
        <v>5097</v>
      </c>
      <c r="L2618" s="248">
        <v>141440</v>
      </c>
      <c r="M2618" s="249">
        <f>15*(LEFT(TEXT($L2618,"000000"),2)+(MID(TEXT($L2618,"000000"),3,2)/60)+(RIGHT(TEXT($L2618,"000000"),2)/3600))</f>
        <v>213.66666666666666</v>
      </c>
      <c r="N2618" s="250">
        <v>183300</v>
      </c>
      <c r="O2618" s="251">
        <f>IF($N2618&gt;0,(LEFT(TEXT($N2618,"000000"),2)+(MID(TEXT($N2618,"000000"),3,2)/60)+(RIGHT(TEXT($N2618,"000000"),2)/3600)),-(MID(TEXT($N2618,"000000"),2,2)+(MID(TEXT($N2618,"000000"),4,2)/60)+(RIGHT(TEXT($N2618,"000000"),2)/3600)))</f>
        <v>18.55</v>
      </c>
      <c r="P2618" s="252" t="s">
        <v>260</v>
      </c>
      <c r="Q2618" s="253" t="s">
        <v>2444</v>
      </c>
      <c r="R2618" s="247" t="s">
        <v>3293</v>
      </c>
      <c r="S2618" s="272" t="s">
        <v>3293</v>
      </c>
      <c r="T2618" s="273"/>
      <c r="U2618" s="274"/>
      <c r="V2618" s="280"/>
      <c r="W2618" s="244"/>
      <c r="X2618" s="244"/>
      <c r="Y2618" s="362"/>
      <c r="Z2618" s="257">
        <f>altaz(J2000_Bas,$O2618,$M2618,DecLat,DecLong,1)</f>
        <v>24.231970610889871</v>
      </c>
      <c r="AA2618" s="257">
        <f>altaz((J2000_Bas+(2*0.04167)),$O2618,$M2618,DecLat,DecLong,1)</f>
        <v>-0.62655206966048627</v>
      </c>
      <c r="AB2618" s="257">
        <f>altaz((J2000_Bas+(4*0.04167)),$O2618,$M2618,DecLat,DecLong,1)</f>
        <v>-22.656806461203072</v>
      </c>
      <c r="AC2618" s="257">
        <f>altaz((J2000_Bas+(6*0.04167)),$O2618,$M2618,DecLat,DecLong,1)</f>
        <v>-37.701965530278024</v>
      </c>
      <c r="AD2618" s="258">
        <f>1+ transit((J2000_Bas-1),$O2618,$M2618,DecLat,DecLong)/360 + (GMTOffset/24) + (IF(DST="Y", 1, 0)/24)</f>
        <v>1.5864184197963747</v>
      </c>
      <c r="AE2618" s="259">
        <f>DATE(2001,9,21)+(M2618/360)*365 - (360*((DecLong/360)- (GMTOffset/24) ))</f>
        <v>37376.634259259263</v>
      </c>
      <c r="AF2618" s="260">
        <f>IF(DecLat&gt;0,IF((90 - (DecLat-O2618))&gt;90, (90 - (O2618-DecLat)), (90 - (DecLat-O2618))),IF((90 + (DecLat-O2618))&gt;90, (90 + (O2618-DecLat)), (90 + (DecLat-O2618))))</f>
        <v>77.55</v>
      </c>
      <c r="AG2618" s="257">
        <f>angularseperation(MoonRA,MoonDec,$M2618,$O2618)</f>
        <v>57.201115028042402</v>
      </c>
      <c r="AH2618" s="261">
        <f ca="1">MIN(100,IF($O$5&gt;80,0+30*($AG2618/100),IF($O$5&gt;70,0+50*($AG2618/100),IF($O$5&gt;60,5+50*($AG2618/100),IF($O$5&gt;50,10+60*($AG2618/100),IF($O$5&gt;40,15+70*($AG2618/100),IF($O$5&gt;30,20+70*($AG2618/100),IF($O$5&gt;20,40+55*($AG2618/100),(80+(20-$O$5)+30*($AG2618/100))))))))))</f>
        <v>100</v>
      </c>
      <c r="AI2618" s="262"/>
      <c r="AJ2618" s="262"/>
      <c r="AK2618" s="262"/>
      <c r="AL2618" s="263"/>
      <c r="AM2618" s="264"/>
      <c r="AN2618" s="263"/>
      <c r="AO2618" s="263"/>
      <c r="AP2618" s="265"/>
      <c r="AQ2618" s="266"/>
      <c r="AR2618" s="267"/>
      <c r="AS2618" s="263"/>
      <c r="AT2618" s="263"/>
      <c r="AU2618" s="263"/>
      <c r="AV2618" s="264"/>
      <c r="AW2618" s="263"/>
      <c r="AX2618" s="263"/>
      <c r="AY2618" s="263"/>
      <c r="AZ2618" s="263"/>
      <c r="BA2618" s="263"/>
      <c r="BB2618" s="263"/>
      <c r="BC2618" s="263"/>
      <c r="BD2618" s="264"/>
      <c r="BE2618" s="263"/>
      <c r="BF2618" s="263"/>
      <c r="BG2618" s="263"/>
      <c r="BH2618" s="263"/>
      <c r="BI2618" s="263"/>
      <c r="BJ2618" s="404">
        <f>altaz(J2000_Bas,$O2618,$M2618,DecLat,DecLong,2)</f>
        <v>277.84904537448381</v>
      </c>
      <c r="BK2618" s="378" t="s">
        <v>6490</v>
      </c>
      <c r="BL2618" s="379">
        <f>IF((2*G2618)/60&lt;0.2,0.2,(2*G2618)/60)</f>
        <v>0.66666666666666663</v>
      </c>
      <c r="BM2618" s="380">
        <f>MOD((50000+AD2618-$B$3+(0/24)),1)</f>
        <v>0.80178534950391622</v>
      </c>
      <c r="BN2618" s="381"/>
      <c r="BO2618" s="382">
        <v>2609</v>
      </c>
    </row>
    <row r="2619" spans="1:67" s="24" customFormat="1" ht="15" customHeight="1" x14ac:dyDescent="0.25">
      <c r="A2619" s="287" t="s">
        <v>2445</v>
      </c>
      <c r="B2619" s="241" t="str">
        <f>HYPERLINK(CONCATENATE($AT$3,BK2619,$AU$3),$AV$3)</f>
        <v>S</v>
      </c>
      <c r="C2619" s="242" t="str">
        <f>HYPERLINK(CONCATENATE($AT$4,BK2619,$AU$4,BL2619),$AV$4)</f>
        <v>A</v>
      </c>
      <c r="D2619" s="243" t="s">
        <v>5187</v>
      </c>
      <c r="E2619" s="244" t="s">
        <v>5181</v>
      </c>
      <c r="F2619" s="269" t="s">
        <v>6222</v>
      </c>
      <c r="G2619" s="270">
        <v>0.3</v>
      </c>
      <c r="H2619" s="283">
        <v>8000</v>
      </c>
      <c r="I2619" s="309">
        <v>0.7</v>
      </c>
      <c r="J2619" s="246">
        <v>2</v>
      </c>
      <c r="K2619" s="247" t="s">
        <v>6241</v>
      </c>
      <c r="L2619" s="248">
        <v>191918</v>
      </c>
      <c r="M2619" s="249">
        <f>15*(LEFT(TEXT($L2619,"000000"),2)+(MID(TEXT($L2619,"000000"),3,2)/60)+(RIGHT(TEXT($L2619,"000000"),2)/3600))</f>
        <v>289.82499999999999</v>
      </c>
      <c r="N2619" s="250">
        <v>170800</v>
      </c>
      <c r="O2619" s="251">
        <f>IF($N2619&gt;0,(LEFT(TEXT($N2619,"000000"),2)+(MID(TEXT($N2619,"000000"),3,2)/60)+(RIGHT(TEXT($N2619,"000000"),2)/3600)),-(MID(TEXT($N2619,"000000"),2,2)+(MID(TEXT($N2619,"000000"),4,2)/60)+(RIGHT(TEXT($N2619,"000000"),2)/3600)))</f>
        <v>17.133333333333333</v>
      </c>
      <c r="P2619" s="252" t="s">
        <v>139</v>
      </c>
      <c r="Q2619" s="253"/>
      <c r="R2619" s="277" t="s">
        <v>3293</v>
      </c>
      <c r="S2619" s="272" t="s">
        <v>3293</v>
      </c>
      <c r="T2619" s="273">
        <v>15</v>
      </c>
      <c r="U2619" s="274"/>
      <c r="V2619" s="280"/>
      <c r="W2619" s="244"/>
      <c r="X2619" s="244"/>
      <c r="Y2619" s="362"/>
      <c r="Z2619" s="257">
        <f>altaz(J2000_Bas,$O2619,$M2619,DecLat,DecLong,1)</f>
        <v>75.704223855572678</v>
      </c>
      <c r="AA2619" s="257">
        <f>altaz((J2000_Bas+(2*0.04167)),$O2619,$M2619,DecLat,DecLong,1)</f>
        <v>62.412508533946031</v>
      </c>
      <c r="AB2619" s="257">
        <f>altaz((J2000_Bas+(4*0.04167)),$O2619,$M2619,DecLat,DecLong,1)</f>
        <v>37.276423307778607</v>
      </c>
      <c r="AC2619" s="257">
        <f>altaz((J2000_Bas+(6*0.04167)),$O2619,$M2619,DecLat,DecLong,1)</f>
        <v>11.695815138695721</v>
      </c>
      <c r="AD2619" s="258">
        <f>1+ transit((J2000_Bas-1),$O2619,$M2619,DecLat,DecLong)/360 + (GMTOffset/24) + (IF(DST="Y", 1, 0)/24)</f>
        <v>1.7979693245672077</v>
      </c>
      <c r="AE2619" s="259">
        <f>DATE(2001,9,21)+(M2619/360)*365 - (360*((DecLong/360)- (GMTOffset/24) ))</f>
        <v>37453.850347222222</v>
      </c>
      <c r="AF2619" s="260">
        <f>IF(DecLat&gt;0,IF((90 - (DecLat-O2619))&gt;90, (90 - (O2619-DecLat)), (90 - (DecLat-O2619))),IF((90 + (DecLat-O2619))&gt;90, (90 + (O2619-DecLat)), (90 + (DecLat-O2619))))</f>
        <v>76.133333333333326</v>
      </c>
      <c r="AG2619" s="257">
        <f>angularseperation(MoonRA,MoonDec,$M2619,$O2619)</f>
        <v>59.199968902088855</v>
      </c>
      <c r="AH2619" s="261">
        <f ca="1">MIN(100,IF($O$5&gt;80,0+30*($AG2619/100),IF($O$5&gt;70,0+50*($AG2619/100),IF($O$5&gt;60,5+50*($AG2619/100),IF($O$5&gt;50,10+60*($AG2619/100),IF($O$5&gt;40,15+70*($AG2619/100),IF($O$5&gt;30,20+70*($AG2619/100),IF($O$5&gt;20,40+55*($AG2619/100),(80+(20-$O$5)+30*($AG2619/100))))))))))</f>
        <v>100</v>
      </c>
      <c r="AI2619" s="263"/>
      <c r="AJ2619" s="263"/>
      <c r="AK2619" s="263"/>
      <c r="AL2619" s="263"/>
      <c r="AM2619" s="264"/>
      <c r="AN2619" s="263"/>
      <c r="AO2619" s="263"/>
      <c r="AP2619" s="265"/>
      <c r="AQ2619" s="265"/>
      <c r="AR2619" s="285"/>
      <c r="AS2619" s="263"/>
      <c r="AT2619" s="263"/>
      <c r="AU2619" s="263"/>
      <c r="AV2619" s="264"/>
      <c r="AW2619" s="263"/>
      <c r="AX2619" s="263"/>
      <c r="AY2619" s="263"/>
      <c r="AZ2619" s="263"/>
      <c r="BA2619" s="263"/>
      <c r="BB2619" s="263"/>
      <c r="BC2619" s="263"/>
      <c r="BD2619" s="264"/>
      <c r="BE2619" s="263"/>
      <c r="BF2619" s="263"/>
      <c r="BG2619" s="263"/>
      <c r="BH2619" s="263"/>
      <c r="BI2619" s="263"/>
      <c r="BJ2619" s="404">
        <f>altaz(J2000_Bas,$O2619,$M2619,DecLat,DecLong,2)</f>
        <v>165.04910670278736</v>
      </c>
      <c r="BK2619" s="378" t="s">
        <v>4125</v>
      </c>
      <c r="BL2619" s="379">
        <f>IF((2*G2619)/60&lt;0.2,0.2,(2*G2619)/60)</f>
        <v>0.2</v>
      </c>
      <c r="BM2619" s="380">
        <f>MOD((50000+AD2619-$B$3+(0/24)),1)</f>
        <v>1.3336254269233905E-2</v>
      </c>
      <c r="BN2619" s="381"/>
      <c r="BO2619" s="382">
        <v>2610</v>
      </c>
    </row>
    <row r="2620" spans="1:67" s="24" customFormat="1" ht="15" customHeight="1" x14ac:dyDescent="0.25">
      <c r="A2620" s="288" t="s">
        <v>3197</v>
      </c>
      <c r="B2620" s="241" t="str">
        <f>HYPERLINK(CONCATENATE($AT$3,BK2620,$AU$3),$AV$3)</f>
        <v>S</v>
      </c>
      <c r="C2620" s="242" t="str">
        <f>HYPERLINK(CONCATENATE($AT$4,BK2620,$AU$4,BL2620),$AV$4)</f>
        <v>A</v>
      </c>
      <c r="D2620" s="243" t="s">
        <v>5187</v>
      </c>
      <c r="E2620" s="244" t="s">
        <v>7522</v>
      </c>
      <c r="F2620" s="269"/>
      <c r="G2620" s="276">
        <v>180</v>
      </c>
      <c r="H2620" s="271" t="s">
        <v>6500</v>
      </c>
      <c r="I2620" s="244" t="s">
        <v>6500</v>
      </c>
      <c r="J2620" s="246">
        <v>2</v>
      </c>
      <c r="K2620" s="247" t="s">
        <v>5098</v>
      </c>
      <c r="L2620" s="248">
        <v>22959</v>
      </c>
      <c r="M2620" s="249">
        <f>15*(LEFT(TEXT($L2620,"000000"),2)+(MID(TEXT($L2620,"000000"),3,2)/60)+(RIGHT(TEXT($L2620,"000000"),2)/3600))</f>
        <v>37.49583333333333</v>
      </c>
      <c r="N2620" s="250">
        <v>881022</v>
      </c>
      <c r="O2620" s="251">
        <f>IF($N2620&gt;0,(LEFT(TEXT($N2620,"000000"),2)+(MID(TEXT($N2620,"000000"),3,2)/60)+(RIGHT(TEXT($N2620,"000000"),2)/3600)),-(MID(TEXT($N2620,"000000"),2,2)+(MID(TEXT($N2620,"000000"),4,2)/60)+(RIGHT(TEXT($N2620,"000000"),2)/3600)))</f>
        <v>88.172777777777782</v>
      </c>
      <c r="P2620" s="252" t="s">
        <v>52</v>
      </c>
      <c r="Q2620" s="253"/>
      <c r="R2620" s="277" t="s">
        <v>3293</v>
      </c>
      <c r="S2620" s="272" t="s">
        <v>3293</v>
      </c>
      <c r="T2620" s="273"/>
      <c r="U2620" s="274"/>
      <c r="V2620" s="280"/>
      <c r="W2620" s="244"/>
      <c r="X2620" s="244"/>
      <c r="Y2620" s="362"/>
      <c r="Z2620" s="257">
        <f>altaz(J2000_Bas,$O2620,$M2620,DecLat,DecLong,1)</f>
        <v>30.315570651759572</v>
      </c>
      <c r="AA2620" s="257">
        <f>altaz((J2000_Bas+(2*0.04167)),$O2620,$M2620,DecLat,DecLong,1)</f>
        <v>31.255753509062565</v>
      </c>
      <c r="AB2620" s="257">
        <f>altaz((J2000_Bas+(4*0.04167)),$O2620,$M2620,DecLat,DecLong,1)</f>
        <v>32.130937911135746</v>
      </c>
      <c r="AC2620" s="257">
        <f>altaz((J2000_Bas+(6*0.04167)),$O2620,$M2620,DecLat,DecLong,1)</f>
        <v>32.700727397099591</v>
      </c>
      <c r="AD2620" s="258">
        <f>1+ transit((J2000_Bas-1),$O2620,$M2620,DecLat,DecLong)/360 + (GMTOffset/24) + (IF(DST="Y", 1, 0)/24)</f>
        <v>1.0970550428067913</v>
      </c>
      <c r="AE2620" s="259">
        <f>DATE(2001,9,21)+(M2620/360)*365 - (360*((DecLong/360)- (GMTOffset/24) ))</f>
        <v>37198.016608796293</v>
      </c>
      <c r="AF2620" s="260">
        <f>IF(DecLat&gt;0,IF((90 - (DecLat-O2620))&gt;90, (90 - (O2620-DecLat)), (90 - (DecLat-O2620))),IF((90 + (DecLat-O2620))&gt;90, (90 + (O2620-DecLat)), (90 + (DecLat-O2620))))</f>
        <v>32.827222222222218</v>
      </c>
      <c r="AG2620" s="257">
        <f>angularseperation(MoonRA,MoonDec,$M2620,$O2620)</f>
        <v>118.63368380338332</v>
      </c>
      <c r="AH2620" s="261">
        <f ca="1">MIN(100,IF($O$5&gt;80,0+30*($AG2620/100),IF($O$5&gt;70,0+50*($AG2620/100),IF($O$5&gt;60,5+50*($AG2620/100),IF($O$5&gt;50,10+60*($AG2620/100),IF($O$5&gt;40,15+70*($AG2620/100),IF($O$5&gt;30,20+70*($AG2620/100),IF($O$5&gt;20,40+55*($AG2620/100),(80+(20-$O$5)+30*($AG2620/100))))))))))</f>
        <v>100</v>
      </c>
      <c r="AI2620" s="263"/>
      <c r="AJ2620" s="263"/>
      <c r="AK2620" s="263"/>
      <c r="AL2620" s="263"/>
      <c r="AM2620" s="264"/>
      <c r="AN2620" s="263"/>
      <c r="AO2620" s="263"/>
      <c r="AP2620" s="265"/>
      <c r="AQ2620" s="265"/>
      <c r="AR2620" s="285"/>
      <c r="AS2620" s="263"/>
      <c r="AT2620" s="263"/>
      <c r="AU2620" s="263"/>
      <c r="AV2620" s="264"/>
      <c r="AW2620" s="263"/>
      <c r="AX2620" s="263"/>
      <c r="AY2620" s="263"/>
      <c r="AZ2620" s="263"/>
      <c r="BA2620" s="263"/>
      <c r="BB2620" s="263"/>
      <c r="BC2620" s="263"/>
      <c r="BD2620" s="264"/>
      <c r="BE2620" s="263"/>
      <c r="BF2620" s="263"/>
      <c r="BG2620" s="263"/>
      <c r="BH2620" s="263"/>
      <c r="BI2620" s="263">
        <v>10</v>
      </c>
      <c r="BJ2620" s="404">
        <f>altaz(J2000_Bas,$O2620,$M2620,DecLat,DecLong,2)</f>
        <v>1.9695211422978693</v>
      </c>
      <c r="BK2620" s="378" t="s">
        <v>3197</v>
      </c>
      <c r="BL2620" s="379">
        <f>IF((2*G2620)/60&lt;0.2,0.2,(2*G2620)/60)</f>
        <v>6</v>
      </c>
      <c r="BM2620" s="380">
        <f>MOD((50000+AD2620-$B$3+(0/24)),1)</f>
        <v>0.31242197251413018</v>
      </c>
      <c r="BN2620" s="381"/>
      <c r="BO2620" s="382">
        <v>2611</v>
      </c>
    </row>
    <row r="2621" spans="1:67" s="24" customFormat="1" ht="15" customHeight="1" x14ac:dyDescent="0.25">
      <c r="A2621" s="288" t="s">
        <v>2446</v>
      </c>
      <c r="B2621" s="241" t="str">
        <f>HYPERLINK(CONCATENATE($AT$3,BK2621,$AU$3),$AV$3)</f>
        <v>S</v>
      </c>
      <c r="C2621" s="242" t="str">
        <f>HYPERLINK(CONCATENATE($AT$4,BK2621,$AU$4,BL2621),$AV$4)</f>
        <v>A</v>
      </c>
      <c r="D2621" s="243" t="s">
        <v>5187</v>
      </c>
      <c r="E2621" s="244" t="s">
        <v>5183</v>
      </c>
      <c r="F2621" s="269" t="s">
        <v>5180</v>
      </c>
      <c r="G2621" s="270">
        <v>0.6</v>
      </c>
      <c r="H2621" s="271" t="s">
        <v>6500</v>
      </c>
      <c r="I2621" s="244" t="s">
        <v>6500</v>
      </c>
      <c r="J2621" s="246">
        <v>2</v>
      </c>
      <c r="K2621" s="247" t="s">
        <v>5100</v>
      </c>
      <c r="L2621" s="248">
        <v>54053</v>
      </c>
      <c r="M2621" s="249">
        <f>15*(LEFT(TEXT($L2621,"000000"),2)+(MID(TEXT($L2621,"000000"),3,2)/60)+(RIGHT(TEXT($L2621,"000000"),2)/3600))</f>
        <v>85.220833333333331</v>
      </c>
      <c r="N2621" s="286">
        <v>354100</v>
      </c>
      <c r="O2621" s="251">
        <f>IF($N2621&gt;0,(LEFT(TEXT($N2621,"000000"),2)+(MID(TEXT($N2621,"000000"),3,2)/60)+(RIGHT(TEXT($N2621,"000000"),2)/3600)),-(MID(TEXT($N2621,"000000"),2,2)+(MID(TEXT($N2621,"000000"),4,2)/60)+(RIGHT(TEXT($N2621,"000000"),2)/3600)))</f>
        <v>35.68333333333333</v>
      </c>
      <c r="P2621" s="252" t="s">
        <v>62</v>
      </c>
      <c r="Q2621" s="253"/>
      <c r="R2621" s="247" t="s">
        <v>5099</v>
      </c>
      <c r="S2621" s="272" t="s">
        <v>3293</v>
      </c>
      <c r="T2621" s="273"/>
      <c r="U2621" s="274"/>
      <c r="V2621" s="280"/>
      <c r="W2621" s="244"/>
      <c r="X2621" s="244"/>
      <c r="Y2621" s="362"/>
      <c r="Z2621" s="257">
        <f>altaz(J2000_Bas,$O2621,$M2621,DecLat,DecLong,1)</f>
        <v>-20.518782008609833</v>
      </c>
      <c r="AA2621" s="257">
        <f>altaz((J2000_Bas+(2*0.04167)),$O2621,$M2621,DecLat,DecLong,1)</f>
        <v>-7.9895729761044159</v>
      </c>
      <c r="AB2621" s="257">
        <f>altaz((J2000_Bas+(4*0.04167)),$O2621,$M2621,DecLat,DecLong,1)</f>
        <v>11.006440202719279</v>
      </c>
      <c r="AC2621" s="257">
        <f>altaz((J2000_Bas+(6*0.04167)),$O2621,$M2621,DecLat,DecLong,1)</f>
        <v>33.390004856675532</v>
      </c>
      <c r="AD2621" s="258">
        <f>1+ transit((J2000_Bas-1),$O2621,$M2621,DecLat,DecLong)/360 + (GMTOffset/24) + (IF(DST="Y", 1, 0)/24)</f>
        <v>1.2296244739942914</v>
      </c>
      <c r="AE2621" s="259">
        <f>DATE(2001,9,21)+(M2621/360)*365 - (360*((DecLong/360)- (GMTOffset/24) ))</f>
        <v>37246.404456018521</v>
      </c>
      <c r="AF2621" s="260">
        <f>IF(DecLat&gt;0,IF((90 - (DecLat-O2621))&gt;90, (90 - (O2621-DecLat)), (90 - (DecLat-O2621))),IF((90 + (DecLat-O2621))&gt;90, (90 + (O2621-DecLat)), (90 + (DecLat-O2621))))</f>
        <v>85.316666666666663</v>
      </c>
      <c r="AG2621" s="257">
        <f>angularseperation(MoonRA,MoonDec,$M2621,$O2621)</f>
        <v>163.90778992370275</v>
      </c>
      <c r="AH2621" s="261">
        <f ca="1">MIN(100,IF($O$5&gt;80,0+30*($AG2621/100),IF($O$5&gt;70,0+50*($AG2621/100),IF($O$5&gt;60,5+50*($AG2621/100),IF($O$5&gt;50,10+60*($AG2621/100),IF($O$5&gt;40,15+70*($AG2621/100),IF($O$5&gt;30,20+70*($AG2621/100),IF($O$5&gt;20,40+55*($AG2621/100),(80+(20-$O$5)+30*($AG2621/100))))))))))</f>
        <v>100</v>
      </c>
      <c r="AI2621" s="262"/>
      <c r="AJ2621" s="262"/>
      <c r="AK2621" s="262"/>
      <c r="AL2621" s="263"/>
      <c r="AM2621" s="264"/>
      <c r="AN2621" s="263"/>
      <c r="AO2621" s="263"/>
      <c r="AP2621" s="265"/>
      <c r="AQ2621" s="266"/>
      <c r="AR2621" s="267"/>
      <c r="AS2621" s="263"/>
      <c r="AT2621" s="263"/>
      <c r="AU2621" s="263"/>
      <c r="AV2621" s="264"/>
      <c r="AW2621" s="263"/>
      <c r="AX2621" s="263"/>
      <c r="AY2621" s="263"/>
      <c r="AZ2621" s="263"/>
      <c r="BA2621" s="263"/>
      <c r="BB2621" s="263"/>
      <c r="BC2621" s="263"/>
      <c r="BD2621" s="264"/>
      <c r="BE2621" s="263"/>
      <c r="BF2621" s="263"/>
      <c r="BG2621" s="263"/>
      <c r="BH2621" s="263"/>
      <c r="BI2621" s="263"/>
      <c r="BJ2621" s="404">
        <f>altaz(J2000_Bas,$O2621,$M2621,DecLat,DecLong,2)</f>
        <v>17.92175599316721</v>
      </c>
      <c r="BK2621" s="378" t="s">
        <v>2446</v>
      </c>
      <c r="BL2621" s="379">
        <f>IF((2*G2621)/60&lt;0.2,0.2,(2*G2621)/60)</f>
        <v>0.2</v>
      </c>
      <c r="BM2621" s="380">
        <f>MOD((50000+AD2621-$B$3+(0/24)),1)</f>
        <v>0.44499140369589441</v>
      </c>
      <c r="BN2621" s="381"/>
      <c r="BO2621" s="382">
        <v>2612</v>
      </c>
    </row>
    <row r="2622" spans="1:67" s="24" customFormat="1" ht="15" customHeight="1" x14ac:dyDescent="0.25">
      <c r="A2622" s="288" t="s">
        <v>2447</v>
      </c>
      <c r="B2622" s="241" t="str">
        <f>HYPERLINK(CONCATENATE($AT$3,BK2622,$AU$3),$AV$3)</f>
        <v>S</v>
      </c>
      <c r="C2622" s="242" t="str">
        <f>HYPERLINK(CONCATENATE($AT$4,BK2622,$AU$4,BL2622),$AV$4)</f>
        <v>A</v>
      </c>
      <c r="D2622" s="243" t="s">
        <v>5187</v>
      </c>
      <c r="E2622" s="244" t="s">
        <v>5181</v>
      </c>
      <c r="F2622" s="269" t="s">
        <v>4793</v>
      </c>
      <c r="G2622" s="273">
        <v>1</v>
      </c>
      <c r="H2622" s="283">
        <v>6800</v>
      </c>
      <c r="I2622" s="279">
        <v>2</v>
      </c>
      <c r="J2622" s="246">
        <v>2</v>
      </c>
      <c r="K2622" s="247" t="s">
        <v>6242</v>
      </c>
      <c r="L2622" s="248">
        <v>55248</v>
      </c>
      <c r="M2622" s="249">
        <f>15*(LEFT(TEXT($L2622,"000000"),2)+(MID(TEXT($L2622,"000000"),3,2)/60)+(RIGHT(TEXT($L2622,"000000"),2)/3600))</f>
        <v>88.200000000000017</v>
      </c>
      <c r="N2622" s="250">
        <v>280600</v>
      </c>
      <c r="O2622" s="251">
        <f>IF($N2622&gt;0,(LEFT(TEXT($N2622,"000000"),2)+(MID(TEXT($N2622,"000000"),3,2)/60)+(RIGHT(TEXT($N2622,"000000"),2)/3600)),-(MID(TEXT($N2622,"000000"),2,2)+(MID(TEXT($N2622,"000000"),4,2)/60)+(RIGHT(TEXT($N2622,"000000"),2)/3600)))</f>
        <v>28.1</v>
      </c>
      <c r="P2622" s="252" t="s">
        <v>56</v>
      </c>
      <c r="Q2622" s="253"/>
      <c r="R2622" s="277" t="s">
        <v>3293</v>
      </c>
      <c r="S2622" s="272" t="s">
        <v>3293</v>
      </c>
      <c r="T2622" s="273">
        <v>17</v>
      </c>
      <c r="U2622" s="274"/>
      <c r="V2622" s="280"/>
      <c r="W2622" s="244"/>
      <c r="X2622" s="244"/>
      <c r="Y2622" s="362"/>
      <c r="Z2622" s="257">
        <f>altaz(J2000_Bas,$O2622,$M2622,DecLat,DecLong,1)</f>
        <v>-28.511441061679815</v>
      </c>
      <c r="AA2622" s="257">
        <f>altaz((J2000_Bas+(2*0.04167)),$O2622,$M2622,DecLat,DecLong,1)</f>
        <v>-15.335250966969008</v>
      </c>
      <c r="AB2622" s="257">
        <f>altaz((J2000_Bas+(4*0.04167)),$O2622,$M2622,DecLat,DecLong,1)</f>
        <v>4.8769229761738933</v>
      </c>
      <c r="AC2622" s="257">
        <f>altaz((J2000_Bas+(6*0.04167)),$O2622,$M2622,DecLat,DecLong,1)</f>
        <v>28.486531108290354</v>
      </c>
      <c r="AD2622" s="258">
        <f>1+ transit((J2000_Bas-1),$O2622,$M2622,DecLat,DecLong)/360 + (GMTOffset/24) + (IF(DST="Y", 1, 0)/24)</f>
        <v>1.2378999361297081</v>
      </c>
      <c r="AE2622" s="259">
        <f>DATE(2001,9,21)+(M2622/360)*365 - (360*((DecLong/360)- (GMTOffset/24) ))</f>
        <v>37249.425000000003</v>
      </c>
      <c r="AF2622" s="260">
        <f>IF(DecLat&gt;0,IF((90 - (DecLat-O2622))&gt;90, (90 - (O2622-DecLat)), (90 - (DecLat-O2622))),IF((90 + (DecLat-O2622))&gt;90, (90 + (O2622-DecLat)), (90 + (DecLat-O2622))))</f>
        <v>87.1</v>
      </c>
      <c r="AG2622" s="257">
        <f>angularseperation(MoonRA,MoonDec,$M2622,$O2622)</f>
        <v>163.18432219429889</v>
      </c>
      <c r="AH2622" s="261">
        <f ca="1">MIN(100,IF($O$5&gt;80,0+30*($AG2622/100),IF($O$5&gt;70,0+50*($AG2622/100),IF($O$5&gt;60,5+50*($AG2622/100),IF($O$5&gt;50,10+60*($AG2622/100),IF($O$5&gt;40,15+70*($AG2622/100),IF($O$5&gt;30,20+70*($AG2622/100),IF($O$5&gt;20,40+55*($AG2622/100),(80+(20-$O$5)+30*($AG2622/100))))))))))</f>
        <v>100</v>
      </c>
      <c r="AI2622" s="263"/>
      <c r="AJ2622" s="263"/>
      <c r="AK2622" s="263"/>
      <c r="AL2622" s="263"/>
      <c r="AM2622" s="264"/>
      <c r="AN2622" s="263"/>
      <c r="AO2622" s="263"/>
      <c r="AP2622" s="265"/>
      <c r="AQ2622" s="265"/>
      <c r="AR2622" s="285"/>
      <c r="AS2622" s="263"/>
      <c r="AT2622" s="263"/>
      <c r="AU2622" s="263"/>
      <c r="AV2622" s="264"/>
      <c r="AW2622" s="263"/>
      <c r="AX2622" s="263"/>
      <c r="AY2622" s="263"/>
      <c r="AZ2622" s="263"/>
      <c r="BA2622" s="263"/>
      <c r="BB2622" s="263"/>
      <c r="BC2622" s="263"/>
      <c r="BD2622" s="264"/>
      <c r="BE2622" s="263"/>
      <c r="BF2622" s="263"/>
      <c r="BG2622" s="263"/>
      <c r="BH2622" s="263"/>
      <c r="BI2622" s="263"/>
      <c r="BJ2622" s="404">
        <f>altaz(J2000_Bas,$O2622,$M2622,DecLat,DecLong,2)</f>
        <v>17.873935752560929</v>
      </c>
      <c r="BK2622" s="378" t="s">
        <v>4126</v>
      </c>
      <c r="BL2622" s="379">
        <f>IF((2*G2622)/60&lt;0.2,0.2,(2*G2622)/60)</f>
        <v>0.2</v>
      </c>
      <c r="BM2622" s="380">
        <f>MOD((50000+AD2622-$B$3+(0/24)),1)</f>
        <v>0.45326686583575793</v>
      </c>
      <c r="BN2622" s="381"/>
      <c r="BO2622" s="382">
        <v>2613</v>
      </c>
    </row>
    <row r="2623" spans="1:67" s="24" customFormat="1" ht="15" customHeight="1" x14ac:dyDescent="0.25">
      <c r="A2623" s="288" t="s">
        <v>2448</v>
      </c>
      <c r="B2623" s="241" t="str">
        <f>HYPERLINK(CONCATENATE($AT$3,BK2623,$AU$3),$AV$3)</f>
        <v>S</v>
      </c>
      <c r="C2623" s="242" t="str">
        <f>HYPERLINK(CONCATENATE($AT$4,BK2623,$AU$4,BL2623),$AV$4)</f>
        <v>A</v>
      </c>
      <c r="D2623" s="243" t="s">
        <v>5187</v>
      </c>
      <c r="E2623" s="244" t="s">
        <v>16</v>
      </c>
      <c r="F2623" s="269"/>
      <c r="G2623" s="276">
        <v>50</v>
      </c>
      <c r="H2623" s="283">
        <v>7000</v>
      </c>
      <c r="I2623" s="246">
        <v>100</v>
      </c>
      <c r="J2623" s="246">
        <v>2</v>
      </c>
      <c r="K2623" s="247" t="s">
        <v>5101</v>
      </c>
      <c r="L2623" s="248">
        <v>82407</v>
      </c>
      <c r="M2623" s="249">
        <f>15*(LEFT(TEXT($L2623,"000000"),2)+(MID(TEXT($L2623,"000000"),3,2)/60)+(RIGHT(TEXT($L2623,"000000"),2)/3600))</f>
        <v>126.02916666666667</v>
      </c>
      <c r="N2623" s="250">
        <v>-425948</v>
      </c>
      <c r="O2623" s="251">
        <f>IF($N2623&gt;0,(LEFT(TEXT($N2623,"000000"),2)+(MID(TEXT($N2623,"000000"),3,2)/60)+(RIGHT(TEXT($N2623,"000000"),2)/3600)),-(MID(TEXT($N2623,"000000"),2,2)+(MID(TEXT($N2623,"000000"),4,2)/60)+(RIGHT(TEXT($N2623,"000000"),2)/3600)))</f>
        <v>-42.99666666666667</v>
      </c>
      <c r="P2623" s="252" t="s">
        <v>91</v>
      </c>
      <c r="Q2623" s="253"/>
      <c r="R2623" s="247" t="s">
        <v>3293</v>
      </c>
      <c r="S2623" s="272" t="s">
        <v>2937</v>
      </c>
      <c r="T2623" s="273"/>
      <c r="U2623" s="274"/>
      <c r="V2623" s="280"/>
      <c r="W2623" s="244"/>
      <c r="X2623" s="244"/>
      <c r="Y2623" s="362"/>
      <c r="Z2623" s="257">
        <f>altaz(J2000_Bas,$O2623,$M2623,DecLat,DecLong,1)</f>
        <v>-70.093922549092639</v>
      </c>
      <c r="AA2623" s="257">
        <f>altaz((J2000_Bas+(2*0.04167)),$O2623,$M2623,DecLat,DecLong,1)</f>
        <v>-75.586547843211179</v>
      </c>
      <c r="AB2623" s="257">
        <f>altaz((J2000_Bas+(4*0.04167)),$O2623,$M2623,DecLat,DecLong,1)</f>
        <v>-56.148353486897918</v>
      </c>
      <c r="AC2623" s="257">
        <f>altaz((J2000_Bas+(6*0.04167)),$O2623,$M2623,DecLat,DecLong,1)</f>
        <v>-34.285574787761277</v>
      </c>
      <c r="AD2623" s="258">
        <f>1+ transit((J2000_Bas-1),$O2623,$M2623,DecLat,DecLong)/360 + (GMTOffset/24) + (IF(DST="Y", 1, 0)/24)</f>
        <v>1.3429809441401248</v>
      </c>
      <c r="AE2623" s="259">
        <f>DATE(2001,9,21)+(M2623/360)*365 - (360*((DecLong/360)- (GMTOffset/24) ))</f>
        <v>37287.77957175926</v>
      </c>
      <c r="AF2623" s="260">
        <f>IF(DecLat&gt;0,IF((90 - (DecLat-O2623))&gt;90, (90 - (O2623-DecLat)), (90 - (DecLat-O2623))),IF((90 + (DecLat-O2623))&gt;90, (90 + (O2623-DecLat)), (90 + (DecLat-O2623))))</f>
        <v>16.00333333333333</v>
      </c>
      <c r="AG2623" s="257">
        <f>angularseperation(MoonRA,MoonDec,$M2623,$O2623)</f>
        <v>92.647720037627252</v>
      </c>
      <c r="AH2623" s="261">
        <f ca="1">MIN(100,IF($O$5&gt;80,0+30*($AG2623/100),IF($O$5&gt;70,0+50*($AG2623/100),IF($O$5&gt;60,5+50*($AG2623/100),IF($O$5&gt;50,10+60*($AG2623/100),IF($O$5&gt;40,15+70*($AG2623/100),IF($O$5&gt;30,20+70*($AG2623/100),IF($O$5&gt;20,40+55*($AG2623/100),(80+(20-$O$5)+30*($AG2623/100))))))))))</f>
        <v>100</v>
      </c>
      <c r="AI2623" s="262"/>
      <c r="AJ2623" s="262"/>
      <c r="AK2623" s="262"/>
      <c r="AL2623" s="263"/>
      <c r="AM2623" s="264"/>
      <c r="AN2623" s="263"/>
      <c r="AO2623" s="263"/>
      <c r="AP2623" s="265"/>
      <c r="AQ2623" s="266"/>
      <c r="AR2623" s="267"/>
      <c r="AS2623" s="263"/>
      <c r="AT2623" s="263"/>
      <c r="AU2623" s="263"/>
      <c r="AV2623" s="264"/>
      <c r="AW2623" s="263"/>
      <c r="AX2623" s="263"/>
      <c r="AY2623" s="263"/>
      <c r="AZ2623" s="263"/>
      <c r="BA2623" s="263"/>
      <c r="BB2623" s="263"/>
      <c r="BC2623" s="268" t="s">
        <v>3053</v>
      </c>
      <c r="BD2623" s="264"/>
      <c r="BE2623" s="263"/>
      <c r="BF2623" s="263"/>
      <c r="BG2623" s="263"/>
      <c r="BH2623" s="263"/>
      <c r="BI2623" s="263">
        <v>57</v>
      </c>
      <c r="BJ2623" s="404">
        <f>altaz(J2000_Bas,$O2623,$M2623,DecLat,DecLong,2)</f>
        <v>227.36117711167222</v>
      </c>
      <c r="BK2623" s="378" t="s">
        <v>2448</v>
      </c>
      <c r="BL2623" s="379">
        <f>IF((2*G2623)/60&lt;0.2,0.2,(2*G2623)/60)</f>
        <v>1.6666666666666667</v>
      </c>
      <c r="BM2623" s="380">
        <f>MOD((50000+AD2623-$B$3+(0/24)),1)</f>
        <v>0.55834787384083029</v>
      </c>
      <c r="BN2623" s="381"/>
      <c r="BO2623" s="382">
        <v>2614</v>
      </c>
    </row>
    <row r="2624" spans="1:67" s="24" customFormat="1" ht="15" customHeight="1" x14ac:dyDescent="0.25">
      <c r="A2624" s="288" t="s">
        <v>2449</v>
      </c>
      <c r="B2624" s="241" t="str">
        <f>HYPERLINK(CONCATENATE($AT$3,BK2624,$AU$3),$AV$3)</f>
        <v>S</v>
      </c>
      <c r="C2624" s="242" t="str">
        <f>HYPERLINK(CONCATENATE($AT$4,BK2624,$AU$4,BL2624),$AV$4)</f>
        <v>A</v>
      </c>
      <c r="D2624" s="243" t="s">
        <v>5335</v>
      </c>
      <c r="E2624" s="244" t="s">
        <v>31</v>
      </c>
      <c r="F2624" s="269"/>
      <c r="G2624" s="273">
        <v>2</v>
      </c>
      <c r="H2624" s="283">
        <v>1100</v>
      </c>
      <c r="I2624" s="309">
        <v>0.7</v>
      </c>
      <c r="J2624" s="246">
        <v>2</v>
      </c>
      <c r="K2624" s="247" t="s">
        <v>5102</v>
      </c>
      <c r="L2624" s="248">
        <v>204553</v>
      </c>
      <c r="M2624" s="249">
        <f>15*(LEFT(TEXT($L2624,"000000"),2)+(MID(TEXT($L2624,"000000"),3,2)/60)+(RIGHT(TEXT($L2624,"000000"),2)/3600))</f>
        <v>311.4708333333333</v>
      </c>
      <c r="N2624" s="250">
        <v>674557</v>
      </c>
      <c r="O2624" s="251">
        <f>IF($N2624&gt;0,(LEFT(TEXT($N2624,"000000"),2)+(MID(TEXT($N2624,"000000"),3,2)/60)+(RIGHT(TEXT($N2624,"000000"),2)/3600)),-(MID(TEXT($N2624,"000000"),2,2)+(MID(TEXT($N2624,"000000"),4,2)/60)+(RIGHT(TEXT($N2624,"000000"),2)/3600)))</f>
        <v>67.765833333333333</v>
      </c>
      <c r="P2624" s="252" t="s">
        <v>52</v>
      </c>
      <c r="Q2624" s="253"/>
      <c r="R2624" s="247" t="s">
        <v>5377</v>
      </c>
      <c r="S2624" s="272" t="s">
        <v>3293</v>
      </c>
      <c r="T2624" s="273"/>
      <c r="U2624" s="274"/>
      <c r="V2624" s="280"/>
      <c r="W2624" s="244"/>
      <c r="X2624" s="244"/>
      <c r="Y2624" s="362"/>
      <c r="Z2624" s="257">
        <f>altaz(J2000_Bas,$O2624,$M2624,DecLat,DecLong,1)</f>
        <v>50.315273639546248</v>
      </c>
      <c r="AA2624" s="257">
        <f>altaz((J2000_Bas+(2*0.04167)),$O2624,$M2624,DecLat,DecLong,1)</f>
        <v>53.133564179979651</v>
      </c>
      <c r="AB2624" s="257">
        <f>altaz((J2000_Bas+(4*0.04167)),$O2624,$M2624,DecLat,DecLong,1)</f>
        <v>48.021746217001144</v>
      </c>
      <c r="AC2624" s="257">
        <f>altaz((J2000_Bas+(6*0.04167)),$O2624,$M2624,DecLat,DecLong,1)</f>
        <v>37.945883690793238</v>
      </c>
      <c r="AD2624" s="258">
        <f>1+ transit((J2000_Bas-1),$O2624,$M2624,DecLat,DecLong)/360 + (GMTOffset/24) + (IF(DST="Y", 1, 0)/24)</f>
        <v>1.8580966333692912</v>
      </c>
      <c r="AE2624" s="259">
        <f>DATE(2001,9,21)+(M2624/360)*365 - (360*((DecLong/360)- (GMTOffset/24) ))</f>
        <v>37475.796817129631</v>
      </c>
      <c r="AF2624" s="260">
        <f>IF(DecLat&gt;0,IF((90 - (DecLat-O2624))&gt;90, (90 - (O2624-DecLat)), (90 - (DecLat-O2624))),IF((90 + (DecLat-O2624))&gt;90, (90 + (O2624-DecLat)), (90 + (DecLat-O2624))))</f>
        <v>53.234166666666667</v>
      </c>
      <c r="AG2624" s="257">
        <f>angularseperation(MoonRA,MoonDec,$M2624,$O2624)</f>
        <v>105.33545373206617</v>
      </c>
      <c r="AH2624" s="261">
        <f ca="1">MIN(100,IF($O$5&gt;80,0+30*($AG2624/100),IF($O$5&gt;70,0+50*($AG2624/100),IF($O$5&gt;60,5+50*($AG2624/100),IF($O$5&gt;50,10+60*($AG2624/100),IF($O$5&gt;40,15+70*($AG2624/100),IF($O$5&gt;30,20+70*($AG2624/100),IF($O$5&gt;20,40+55*($AG2624/100),(80+(20-$O$5)+30*($AG2624/100))))))))))</f>
        <v>100</v>
      </c>
      <c r="AI2624" s="262"/>
      <c r="AJ2624" s="262"/>
      <c r="AK2624" s="262"/>
      <c r="AL2624" s="263"/>
      <c r="AM2624" s="264"/>
      <c r="AN2624" s="263"/>
      <c r="AO2624" s="263"/>
      <c r="AP2624" s="265"/>
      <c r="AQ2624" s="266"/>
      <c r="AR2624" s="267"/>
      <c r="AS2624" s="263"/>
      <c r="AT2624" s="263"/>
      <c r="AU2624" s="263"/>
      <c r="AV2624" s="264"/>
      <c r="AW2624" s="263"/>
      <c r="AX2624" s="263"/>
      <c r="AY2624" s="263"/>
      <c r="AZ2624" s="263"/>
      <c r="BA2624" s="263"/>
      <c r="BB2624" s="263"/>
      <c r="BC2624" s="263"/>
      <c r="BD2624" s="264"/>
      <c r="BE2624" s="263"/>
      <c r="BF2624" s="263"/>
      <c r="BG2624" s="263"/>
      <c r="BH2624" s="263"/>
      <c r="BI2624" s="263"/>
      <c r="BJ2624" s="404">
        <f>altaz(J2000_Bas,$O2624,$M2624,DecLat,DecLong,2)</f>
        <v>14.762383920357388</v>
      </c>
      <c r="BK2624" s="378" t="s">
        <v>2449</v>
      </c>
      <c r="BL2624" s="379">
        <f>IF((2*G2624)/60&lt;0.2,0.2,(2*G2624)/60)</f>
        <v>0.2</v>
      </c>
      <c r="BM2624" s="380">
        <f>MOD((50000+AD2624-$B$3+(0/24)),1)</f>
        <v>7.3463563072436955E-2</v>
      </c>
      <c r="BN2624" s="381"/>
      <c r="BO2624" s="382">
        <v>2615</v>
      </c>
    </row>
    <row r="2625" spans="1:67" s="24" customFormat="1" ht="15" customHeight="1" x14ac:dyDescent="0.25">
      <c r="A2625" s="288" t="s">
        <v>2450</v>
      </c>
      <c r="B2625" s="241" t="str">
        <f>HYPERLINK(CONCATENATE($AT$3,BK2625,$AU$3),$AV$3)</f>
        <v>S</v>
      </c>
      <c r="C2625" s="242" t="str">
        <f>HYPERLINK(CONCATENATE($AT$4,BK2625,$AU$4,BL2625),$AV$4)</f>
        <v>A</v>
      </c>
      <c r="D2625" s="243" t="s">
        <v>5335</v>
      </c>
      <c r="E2625" s="244" t="s">
        <v>31</v>
      </c>
      <c r="F2625" s="269"/>
      <c r="G2625" s="273">
        <v>1.4</v>
      </c>
      <c r="H2625" s="283">
        <v>2500</v>
      </c>
      <c r="I2625" s="279">
        <v>1</v>
      </c>
      <c r="J2625" s="246">
        <v>2</v>
      </c>
      <c r="K2625" s="247" t="s">
        <v>5383</v>
      </c>
      <c r="L2625" s="248">
        <v>63909</v>
      </c>
      <c r="M2625" s="249">
        <f>15*(LEFT(TEXT($L2625,"000000"),2)+(MID(TEXT($L2625,"000000"),3,2)/60)+(RIGHT(TEXT($L2625,"000000"),2)/3600))</f>
        <v>99.787500000000009</v>
      </c>
      <c r="N2625" s="250">
        <v>84440</v>
      </c>
      <c r="O2625" s="251">
        <f>IF($N2625&gt;0,(LEFT(TEXT($N2625,"000000"),2)+(MID(TEXT($N2625,"000000"),3,2)/60)+(RIGHT(TEXT($N2625,"000000"),2)/3600)),-(MID(TEXT($N2625,"000000"),2,2)+(MID(TEXT($N2625,"000000"),4,2)/60)+(RIGHT(TEXT($N2625,"000000"),2)/3600)))</f>
        <v>8.7444444444444436</v>
      </c>
      <c r="P2625" s="252" t="s">
        <v>47</v>
      </c>
      <c r="Q2625" s="253"/>
      <c r="R2625" s="247" t="s">
        <v>5103</v>
      </c>
      <c r="S2625" s="272" t="s">
        <v>3293</v>
      </c>
      <c r="T2625" s="273"/>
      <c r="U2625" s="274"/>
      <c r="V2625" s="280"/>
      <c r="W2625" s="244"/>
      <c r="X2625" s="244"/>
      <c r="Y2625" s="362"/>
      <c r="Z2625" s="257">
        <f>altaz(J2000_Bas,$O2625,$M2625,DecLat,DecLong,1)</f>
        <v>-49.811389336318655</v>
      </c>
      <c r="AA2625" s="257">
        <f>altaz((J2000_Bas+(2*0.04167)),$O2625,$M2625,DecLat,DecLong,1)</f>
        <v>-37.192037487721421</v>
      </c>
      <c r="AB2625" s="257">
        <f>altaz((J2000_Bas+(4*0.04167)),$O2625,$M2625,DecLat,DecLong,1)</f>
        <v>-15.134815340791709</v>
      </c>
      <c r="AC2625" s="257">
        <f>altaz((J2000_Bas+(6*0.04167)),$O2625,$M2625,DecLat,DecLong,1)</f>
        <v>10.005759639149669</v>
      </c>
      <c r="AD2625" s="258">
        <f>1+ transit((J2000_Bas-1),$O2625,$M2625,DecLat,DecLong)/360 + (GMTOffset/24) + (IF(DST="Y", 1, 0)/24)</f>
        <v>1.2700874329109582</v>
      </c>
      <c r="AE2625" s="259">
        <f>DATE(2001,9,21)+(M2625/360)*365 - (360*((DecLong/360)- (GMTOffset/24) ))</f>
        <v>37261.173437500001</v>
      </c>
      <c r="AF2625" s="260">
        <f>IF(DecLat&gt;0,IF((90 - (DecLat-O2625))&gt;90, (90 - (O2625-DecLat)), (90 - (DecLat-O2625))),IF((90 + (DecLat-O2625))&gt;90, (90 + (O2625-DecLat)), (90 + (DecLat-O2625))))</f>
        <v>67.74444444444444</v>
      </c>
      <c r="AG2625" s="257">
        <f>angularseperation(MoonRA,MoonDec,$M2625,$O2625)</f>
        <v>145.80069441147447</v>
      </c>
      <c r="AH2625" s="261">
        <f ca="1">MIN(100,IF($O$5&gt;80,0+30*($AG2625/100),IF($O$5&gt;70,0+50*($AG2625/100),IF($O$5&gt;60,5+50*($AG2625/100),IF($O$5&gt;50,10+60*($AG2625/100),IF($O$5&gt;40,15+70*($AG2625/100),IF($O$5&gt;30,20+70*($AG2625/100),IF($O$5&gt;20,40+55*($AG2625/100),(80+(20-$O$5)+30*($AG2625/100))))))))))</f>
        <v>100</v>
      </c>
      <c r="AI2625" s="262"/>
      <c r="AJ2625" s="262"/>
      <c r="AK2625" s="262"/>
      <c r="AL2625" s="263"/>
      <c r="AM2625" s="264"/>
      <c r="AN2625" s="263"/>
      <c r="AO2625" s="263"/>
      <c r="AP2625" s="265"/>
      <c r="AQ2625" s="266"/>
      <c r="AR2625" s="267"/>
      <c r="AS2625" s="263"/>
      <c r="AT2625" s="263"/>
      <c r="AU2625" s="263"/>
      <c r="AV2625" s="264"/>
      <c r="AW2625" s="263"/>
      <c r="AX2625" s="263"/>
      <c r="AY2625" s="263"/>
      <c r="AZ2625" s="263"/>
      <c r="BA2625" s="263"/>
      <c r="BB2625" s="263"/>
      <c r="BC2625" s="263"/>
      <c r="BD2625" s="264"/>
      <c r="BE2625" s="263"/>
      <c r="BF2625" s="263"/>
      <c r="BG2625" s="263"/>
      <c r="BH2625" s="263"/>
      <c r="BI2625" s="263"/>
      <c r="BJ2625" s="404">
        <f>altaz(J2000_Bas,$O2625,$M2625,DecLat,DecLong,2)</f>
        <v>9.5447651801330302</v>
      </c>
      <c r="BK2625" s="378" t="s">
        <v>2450</v>
      </c>
      <c r="BL2625" s="379">
        <f>IF((2*G2625)/60&lt;0.2,0.2,(2*G2625)/60)</f>
        <v>0.2</v>
      </c>
      <c r="BM2625" s="380">
        <f>MOD((50000+AD2625-$B$3+(0/24)),1)</f>
        <v>0.48545436261338182</v>
      </c>
      <c r="BN2625" s="381"/>
      <c r="BO2625" s="382">
        <v>2616</v>
      </c>
    </row>
    <row r="2626" spans="1:67" s="24" customFormat="1" ht="15" customHeight="1" x14ac:dyDescent="0.25">
      <c r="A2626" s="288" t="s">
        <v>5416</v>
      </c>
      <c r="B2626" s="241" t="str">
        <f>HYPERLINK(CONCATENATE($AT$3,BK2626,$AU$3),$AV$3)</f>
        <v>S</v>
      </c>
      <c r="C2626" s="242" t="str">
        <f>HYPERLINK(CONCATENATE($AT$4,BK2626,$AU$4,BL2626),$AV$4)</f>
        <v>A</v>
      </c>
      <c r="D2626" s="243" t="s">
        <v>5187</v>
      </c>
      <c r="E2626" s="244" t="s">
        <v>5181</v>
      </c>
      <c r="F2626" s="269" t="s">
        <v>6243</v>
      </c>
      <c r="G2626" s="273">
        <v>3</v>
      </c>
      <c r="H2626" s="271" t="s">
        <v>6500</v>
      </c>
      <c r="I2626" s="244" t="s">
        <v>6500</v>
      </c>
      <c r="J2626" s="246">
        <v>1</v>
      </c>
      <c r="K2626" s="247" t="s">
        <v>5418</v>
      </c>
      <c r="L2626" s="248">
        <v>194044</v>
      </c>
      <c r="M2626" s="249">
        <f>15*(LEFT(TEXT($L2626,"000000"),2)+(MID(TEXT($L2626,"000000"),3,2)/60)+(RIGHT(TEXT($L2626,"000000"),2)/3600))</f>
        <v>295.18333333333334</v>
      </c>
      <c r="N2626" s="250">
        <v>23032</v>
      </c>
      <c r="O2626" s="251">
        <f>IF($N2626&gt;0,(LEFT(TEXT($N2626,"000000"),2)+(MID(TEXT($N2626,"000000"),3,2)/60)+(RIGHT(TEXT($N2626,"000000"),2)/3600)),-(MID(TEXT($N2626,"000000"),2,2)+(MID(TEXT($N2626,"000000"),4,2)/60)+(RIGHT(TEXT($N2626,"000000"),2)/3600)))</f>
        <v>2.5088888888888889</v>
      </c>
      <c r="P2626" s="252" t="s">
        <v>126</v>
      </c>
      <c r="Q2626" s="253"/>
      <c r="R2626" s="277" t="s">
        <v>5419</v>
      </c>
      <c r="S2626" s="272" t="s">
        <v>3293</v>
      </c>
      <c r="T2626" s="273"/>
      <c r="U2626" s="274"/>
      <c r="V2626" s="280"/>
      <c r="W2626" s="244"/>
      <c r="X2626" s="244"/>
      <c r="Y2626" s="362"/>
      <c r="Z2626" s="257">
        <f>altaz(J2000_Bas,$O2626,$M2626,DecLat,DecLong,1)</f>
        <v>60.217981728946995</v>
      </c>
      <c r="AA2626" s="257">
        <f>altaz((J2000_Bas+(2*0.04167)),$O2626,$M2626,DecLat,DecLong,1)</f>
        <v>55.338557394523953</v>
      </c>
      <c r="AB2626" s="257">
        <f>altaz((J2000_Bas+(4*0.04167)),$O2626,$M2626,DecLat,DecLong,1)</f>
        <v>34.166257527767769</v>
      </c>
      <c r="AC2626" s="257">
        <f>altaz((J2000_Bas+(6*0.04167)),$O2626,$M2626,DecLat,DecLong,1)</f>
        <v>8.9417829048227411</v>
      </c>
      <c r="AD2626" s="258">
        <f>1+ transit((J2000_Bas-1),$O2626,$M2626,DecLat,DecLong)/360 + (GMTOffset/24) + (IF(DST="Y", 1, 0)/24)</f>
        <v>1.8128535823380412</v>
      </c>
      <c r="AE2626" s="259">
        <f>DATE(2001,9,21)+(M2626/360)*365 - (360*((DecLong/360)- (GMTOffset/24) ))</f>
        <v>37459.283101851848</v>
      </c>
      <c r="AF2626" s="260">
        <f>IF(DecLat&gt;0,IF((90 - (DecLat-O2626))&gt;90, (90 - (O2626-DecLat)), (90 - (DecLat-O2626))),IF((90 + (DecLat-O2626))&gt;90, (90 + (O2626-DecLat)), (90 + (DecLat-O2626))))</f>
        <v>61.50888888888889</v>
      </c>
      <c r="AG2626" s="257">
        <f>angularseperation(MoonRA,MoonDec,$M2626,$O2626)</f>
        <v>53.229429569860656</v>
      </c>
      <c r="AH2626" s="261">
        <f ca="1">MIN(100,IF($O$5&gt;80,0+30*($AG2626/100),IF($O$5&gt;70,0+50*($AG2626/100),IF($O$5&gt;60,5+50*($AG2626/100),IF($O$5&gt;50,10+60*($AG2626/100),IF($O$5&gt;40,15+70*($AG2626/100),IF($O$5&gt;30,20+70*($AG2626/100),IF($O$5&gt;20,40+55*($AG2626/100),(80+(20-$O$5)+30*($AG2626/100))))))))))</f>
        <v>99.239889215108619</v>
      </c>
      <c r="AI2626" s="263"/>
      <c r="AJ2626" s="263"/>
      <c r="AK2626" s="263"/>
      <c r="AL2626" s="263"/>
      <c r="AM2626" s="264"/>
      <c r="AN2626" s="263"/>
      <c r="AO2626" s="263"/>
      <c r="AP2626" s="265"/>
      <c r="AQ2626" s="265"/>
      <c r="AR2626" s="285"/>
      <c r="AS2626" s="263"/>
      <c r="AT2626" s="263"/>
      <c r="AU2626" s="263"/>
      <c r="AV2626" s="264"/>
      <c r="AW2626" s="263"/>
      <c r="AX2626" s="263"/>
      <c r="AY2626" s="263"/>
      <c r="AZ2626" s="263"/>
      <c r="BA2626" s="263"/>
      <c r="BB2626" s="263"/>
      <c r="BC2626" s="263"/>
      <c r="BD2626" s="264"/>
      <c r="BE2626" s="263"/>
      <c r="BF2626" s="263"/>
      <c r="BG2626" s="263"/>
      <c r="BH2626" s="263"/>
      <c r="BI2626" s="263"/>
      <c r="BJ2626" s="404">
        <f>altaz(J2000_Bas,$O2626,$M2626,DecLat,DecLong,2)</f>
        <v>161.28211522964327</v>
      </c>
      <c r="BK2626" s="378" t="s">
        <v>5417</v>
      </c>
      <c r="BL2626" s="379">
        <f>IF((2*G2626)/60&lt;0.2,0.2,(2*G2626)/60)</f>
        <v>0.2</v>
      </c>
      <c r="BM2626" s="380">
        <f>MOD((50000+AD2626-$B$3+(0/24)),1)</f>
        <v>2.8220512045663781E-2</v>
      </c>
      <c r="BN2626" s="381"/>
      <c r="BO2626" s="382">
        <v>2617</v>
      </c>
    </row>
    <row r="2627" spans="1:67" s="24" customFormat="1" ht="15" customHeight="1" x14ac:dyDescent="0.25">
      <c r="A2627" s="287" t="s">
        <v>5505</v>
      </c>
      <c r="B2627" s="241" t="str">
        <f>HYPERLINK(CONCATENATE($AT$3,BK2627,$AU$3),$AV$3)</f>
        <v>S</v>
      </c>
      <c r="C2627" s="242" t="str">
        <f>HYPERLINK(CONCATENATE($AT$4,BK2627,$AU$4,BL2627),$AV$4)</f>
        <v>A</v>
      </c>
      <c r="D2627" s="243" t="s">
        <v>5187</v>
      </c>
      <c r="E2627" s="244" t="s">
        <v>16</v>
      </c>
      <c r="F2627" s="269"/>
      <c r="G2627" s="273">
        <v>8</v>
      </c>
      <c r="H2627" s="283">
        <v>10000</v>
      </c>
      <c r="I2627" s="246">
        <v>25</v>
      </c>
      <c r="J2627" s="246">
        <v>2</v>
      </c>
      <c r="K2627" s="247" t="s">
        <v>5506</v>
      </c>
      <c r="L2627" s="248">
        <v>161706</v>
      </c>
      <c r="M2627" s="249">
        <f>15*(LEFT(TEXT($L2627,"000000"),2)+(MID(TEXT($L2627,"000000"),3,2)/60)+(RIGHT(TEXT($L2627,"000000"),2)/3600))</f>
        <v>244.27500000000001</v>
      </c>
      <c r="N2627" s="250">
        <v>-510700</v>
      </c>
      <c r="O2627" s="251">
        <f>IF($N2627&gt;0,(LEFT(TEXT($N2627,"000000"),2)+(MID(TEXT($N2627,"000000"),3,2)/60)+(RIGHT(TEXT($N2627,"000000"),2)/3600)),-(MID(TEXT($N2627,"000000"),2,2)+(MID(TEXT($N2627,"000000"),4,2)/60)+(RIGHT(TEXT($N2627,"000000"),2)/3600)))</f>
        <v>-51.116666666666667</v>
      </c>
      <c r="P2627" s="252" t="s">
        <v>1012</v>
      </c>
      <c r="Q2627" s="253"/>
      <c r="R2627" s="277" t="s">
        <v>5635</v>
      </c>
      <c r="S2627" s="272" t="s">
        <v>5634</v>
      </c>
      <c r="T2627" s="273"/>
      <c r="U2627" s="274"/>
      <c r="V2627" s="280"/>
      <c r="W2627" s="244"/>
      <c r="X2627" s="244"/>
      <c r="Y2627" s="362"/>
      <c r="Z2627" s="257">
        <f>altaz(J2000_Bas,$O2627,$M2627,DecLat,DecLong,1)</f>
        <v>3.7587669521911032E-2</v>
      </c>
      <c r="AA2627" s="257">
        <f>altaz((J2000_Bas+(2*0.04167)),$O2627,$M2627,DecLat,DecLong,1)</f>
        <v>-13.471860960465037</v>
      </c>
      <c r="AB2627" s="257">
        <f>altaz((J2000_Bas+(4*0.04167)),$O2627,$M2627,DecLat,DecLong,1)</f>
        <v>-30.786609925886747</v>
      </c>
      <c r="AC2627" s="257">
        <f>altaz((J2000_Bas+(6*0.04167)),$O2627,$M2627,DecLat,DecLong,1)</f>
        <v>-49.537491714205849</v>
      </c>
      <c r="AD2627" s="258">
        <f>1+ transit((J2000_Bas-1),$O2627,$M2627,DecLat,DecLong)/360 + (GMTOffset/24) + (IF(DST="Y", 1, 0)/24)</f>
        <v>1.6714415594422081</v>
      </c>
      <c r="AE2627" s="259">
        <f>DATE(2001,9,21)+(M2627/360)*365 - (360*((DecLong/360)- (GMTOffset/24) ))</f>
        <v>37407.667708333334</v>
      </c>
      <c r="AF2627" s="260">
        <f>IF(DecLat&gt;0,IF((90 - (DecLat-O2627))&gt;90, (90 - (O2627-DecLat)), (90 - (DecLat-O2627))),IF((90 + (DecLat-O2627))&gt;90, (90 + (O2627-DecLat)), (90 + (DecLat-O2627))))</f>
        <v>7.8833333333333258</v>
      </c>
      <c r="AG2627" s="257">
        <f>angularseperation(MoonRA,MoonDec,$M2627,$O2627)</f>
        <v>24.326154406245877</v>
      </c>
      <c r="AH2627" s="261">
        <f ca="1">MIN(100,IF($O$5&gt;80,0+30*($AG2627/100),IF($O$5&gt;70,0+50*($AG2627/100),IF($O$5&gt;60,5+50*($AG2627/100),IF($O$5&gt;50,10+60*($AG2627/100),IF($O$5&gt;40,15+70*($AG2627/100),IF($O$5&gt;30,20+70*($AG2627/100),IF($O$5&gt;20,40+55*($AG2627/100),(80+(20-$O$5)+30*($AG2627/100))))))))))</f>
        <v>90.568906666024191</v>
      </c>
      <c r="AI2627" s="263"/>
      <c r="AJ2627" s="263"/>
      <c r="AK2627" s="263"/>
      <c r="AL2627" s="263"/>
      <c r="AM2627" s="264"/>
      <c r="AN2627" s="263"/>
      <c r="AO2627" s="263"/>
      <c r="AP2627" s="265"/>
      <c r="AQ2627" s="265"/>
      <c r="AR2627" s="285"/>
      <c r="AS2627" s="263"/>
      <c r="AT2627" s="263"/>
      <c r="AU2627" s="263"/>
      <c r="AV2627" s="264"/>
      <c r="AW2627" s="263"/>
      <c r="AX2627" s="263"/>
      <c r="AY2627" s="263"/>
      <c r="AZ2627" s="263"/>
      <c r="BA2627" s="263">
        <v>103</v>
      </c>
      <c r="BB2627" s="263"/>
      <c r="BC2627" s="268" t="s">
        <v>9293</v>
      </c>
      <c r="BD2627" s="264"/>
      <c r="BE2627" s="263"/>
      <c r="BF2627" s="263"/>
      <c r="BG2627" s="263"/>
      <c r="BH2627" s="263"/>
      <c r="BI2627" s="263"/>
      <c r="BJ2627" s="404">
        <f>altaz(J2000_Bas,$O2627,$M2627,DecLat,DecLong,2)</f>
        <v>204.69674812306556</v>
      </c>
      <c r="BK2627" s="378" t="s">
        <v>5505</v>
      </c>
      <c r="BL2627" s="379">
        <f>IF((2*G2627)/60&lt;0.2,0.2,(2*G2627)/60)</f>
        <v>0.26666666666666666</v>
      </c>
      <c r="BM2627" s="380">
        <f>MOD((50000+AD2627-$B$3+(0/24)),1)</f>
        <v>0.886808489143732</v>
      </c>
      <c r="BN2627" s="381"/>
      <c r="BO2627" s="382">
        <v>2618</v>
      </c>
    </row>
    <row r="2628" spans="1:67" s="24" customFormat="1" ht="15" customHeight="1" x14ac:dyDescent="0.25">
      <c r="A2628" s="287" t="s">
        <v>5516</v>
      </c>
      <c r="B2628" s="241" t="str">
        <f>HYPERLINK(CONCATENATE($AT$3,BK2628,$AU$3),$AV$3)</f>
        <v>S</v>
      </c>
      <c r="C2628" s="242" t="str">
        <f>HYPERLINK(CONCATENATE($AT$4,BK2628,$AU$4,BL2628),$AV$4)</f>
        <v>A</v>
      </c>
      <c r="D2628" s="243" t="s">
        <v>5187</v>
      </c>
      <c r="E2628" s="244" t="s">
        <v>5183</v>
      </c>
      <c r="F2628" s="269" t="s">
        <v>5180</v>
      </c>
      <c r="G2628" s="276">
        <v>45</v>
      </c>
      <c r="H2628" s="271" t="s">
        <v>6500</v>
      </c>
      <c r="I2628" s="244" t="s">
        <v>6500</v>
      </c>
      <c r="J2628" s="246">
        <v>2</v>
      </c>
      <c r="K2628" s="247" t="s">
        <v>5517</v>
      </c>
      <c r="L2628" s="248">
        <v>162412</v>
      </c>
      <c r="M2628" s="249">
        <f>15*(LEFT(TEXT($L2628,"000000"),2)+(MID(TEXT($L2628,"000000"),3,2)/60)+(RIGHT(TEXT($L2628,"000000"),2)/3600))</f>
        <v>246.04999999999998</v>
      </c>
      <c r="N2628" s="250">
        <v>-513500</v>
      </c>
      <c r="O2628" s="251">
        <f>IF($N2628&gt;0,(LEFT(TEXT($N2628,"000000"),2)+(MID(TEXT($N2628,"000000"),3,2)/60)+(RIGHT(TEXT($N2628,"000000"),2)/3600)),-(MID(TEXT($N2628,"000000"),2,2)+(MID(TEXT($N2628,"000000"),4,2)/60)+(RIGHT(TEXT($N2628,"000000"),2)/3600)))</f>
        <v>-51.583333333333336</v>
      </c>
      <c r="P2628" s="252" t="s">
        <v>1012</v>
      </c>
      <c r="Q2628" s="253"/>
      <c r="R2628" s="277" t="s">
        <v>3293</v>
      </c>
      <c r="S2628" s="272" t="s">
        <v>3293</v>
      </c>
      <c r="T2628" s="273">
        <v>18</v>
      </c>
      <c r="U2628" s="274"/>
      <c r="V2628" s="280"/>
      <c r="W2628" s="244"/>
      <c r="X2628" s="244"/>
      <c r="Y2628" s="362"/>
      <c r="Z2628" s="257">
        <f>altaz(J2000_Bas,$O2628,$M2628,DecLat,DecLong,1)</f>
        <v>0.27255072993697077</v>
      </c>
      <c r="AA2628" s="257">
        <f>altaz((J2000_Bas+(2*0.04167)),$O2628,$M2628,DecLat,DecLong,1)</f>
        <v>-12.808658318998999</v>
      </c>
      <c r="AB2628" s="257">
        <f>altaz((J2000_Bas+(4*0.04167)),$O2628,$M2628,DecLat,DecLong,1)</f>
        <v>-29.811093126352798</v>
      </c>
      <c r="AC2628" s="257">
        <f>altaz((J2000_Bas+(6*0.04167)),$O2628,$M2628,DecLat,DecLong,1)</f>
        <v>-48.362975501201284</v>
      </c>
      <c r="AD2628" s="258">
        <f>1+ transit((J2000_Bas-1),$O2628,$M2628,DecLat,DecLong)/360 + (GMTOffset/24) + (IF(DST="Y", 1, 0)/24)</f>
        <v>1.6763721145047079</v>
      </c>
      <c r="AE2628" s="259">
        <f>DATE(2001,9,21)+(M2628/360)*365 - (360*((DecLong/360)- (GMTOffset/24) ))</f>
        <v>37409.467361111114</v>
      </c>
      <c r="AF2628" s="260">
        <f>IF(DecLat&gt;0,IF((90 - (DecLat-O2628))&gt;90, (90 - (O2628-DecLat)), (90 - (DecLat-O2628))),IF((90 + (DecLat-O2628))&gt;90, (90 + (O2628-DecLat)), (90 + (DecLat-O2628))))</f>
        <v>7.4166666666666572</v>
      </c>
      <c r="AG2628" s="257">
        <f>angularseperation(MoonRA,MoonDec,$M2628,$O2628)</f>
        <v>24.617557956231256</v>
      </c>
      <c r="AH2628" s="261">
        <f ca="1">MIN(100,IF($O$5&gt;80,0+30*($AG2628/100),IF($O$5&gt;70,0+50*($AG2628/100),IF($O$5&gt;60,5+50*($AG2628/100),IF($O$5&gt;50,10+60*($AG2628/100),IF($O$5&gt;40,15+70*($AG2628/100),IF($O$5&gt;30,20+70*($AG2628/100),IF($O$5&gt;20,40+55*($AG2628/100),(80+(20-$O$5)+30*($AG2628/100))))))))))</f>
        <v>90.6563277310198</v>
      </c>
      <c r="AI2628" s="263"/>
      <c r="AJ2628" s="263"/>
      <c r="AK2628" s="263"/>
      <c r="AL2628" s="263"/>
      <c r="AM2628" s="264"/>
      <c r="AN2628" s="263"/>
      <c r="AO2628" s="263"/>
      <c r="AP2628" s="265"/>
      <c r="AQ2628" s="265"/>
      <c r="AR2628" s="285"/>
      <c r="AS2628" s="263"/>
      <c r="AT2628" s="263"/>
      <c r="AU2628" s="263"/>
      <c r="AV2628" s="264"/>
      <c r="AW2628" s="263"/>
      <c r="AX2628" s="263"/>
      <c r="AY2628" s="263"/>
      <c r="AZ2628" s="263"/>
      <c r="BA2628" s="263">
        <v>104</v>
      </c>
      <c r="BB2628" s="263"/>
      <c r="BC2628" s="263"/>
      <c r="BD2628" s="264"/>
      <c r="BE2628" s="263"/>
      <c r="BF2628" s="263"/>
      <c r="BG2628" s="263"/>
      <c r="BH2628" s="263"/>
      <c r="BI2628" s="263"/>
      <c r="BJ2628" s="404">
        <f>altaz(J2000_Bas,$O2628,$M2628,DecLat,DecLong,2)</f>
        <v>203.51714238710534</v>
      </c>
      <c r="BK2628" s="378" t="s">
        <v>5516</v>
      </c>
      <c r="BL2628" s="379">
        <f>IF((2*G2628)/60&lt;0.2,0.2,(2*G2628)/60)</f>
        <v>1.5</v>
      </c>
      <c r="BM2628" s="380">
        <f>MOD((50000+AD2628-$B$3+(0/24)),1)</f>
        <v>0.8917390442074975</v>
      </c>
      <c r="BN2628" s="381"/>
      <c r="BO2628" s="382">
        <v>2619</v>
      </c>
    </row>
    <row r="2629" spans="1:67" s="24" customFormat="1" ht="15" customHeight="1" x14ac:dyDescent="0.25">
      <c r="A2629" s="287" t="s">
        <v>5518</v>
      </c>
      <c r="B2629" s="241" t="str">
        <f>HYPERLINK(CONCATENATE($AT$3,BK2629,$AU$3),$AV$3)</f>
        <v>S</v>
      </c>
      <c r="C2629" s="242" t="str">
        <f>HYPERLINK(CONCATENATE($AT$4,BK2629,$AU$4,BL2629),$AV$4)</f>
        <v>A</v>
      </c>
      <c r="D2629" s="243" t="s">
        <v>5187</v>
      </c>
      <c r="E2629" s="244" t="s">
        <v>5183</v>
      </c>
      <c r="F2629" s="269" t="s">
        <v>5180</v>
      </c>
      <c r="G2629" s="276">
        <v>45</v>
      </c>
      <c r="H2629" s="271" t="s">
        <v>6500</v>
      </c>
      <c r="I2629" s="244" t="s">
        <v>6500</v>
      </c>
      <c r="J2629" s="246">
        <v>2</v>
      </c>
      <c r="K2629" s="247" t="s">
        <v>5517</v>
      </c>
      <c r="L2629" s="248">
        <v>161947</v>
      </c>
      <c r="M2629" s="249">
        <f>15*(LEFT(TEXT($L2629,"000000"),2)+(MID(TEXT($L2629,"000000"),3,2)/60)+(RIGHT(TEXT($L2629,"000000"),2)/3600))</f>
        <v>244.94583333333335</v>
      </c>
      <c r="N2629" s="250">
        <v>-510404</v>
      </c>
      <c r="O2629" s="251">
        <f>IF($N2629&gt;0,(LEFT(TEXT($N2629,"000000"),2)+(MID(TEXT($N2629,"000000"),3,2)/60)+(RIGHT(TEXT($N2629,"000000"),2)/3600)),-(MID(TEXT($N2629,"000000"),2,2)+(MID(TEXT($N2629,"000000"),4,2)/60)+(RIGHT(TEXT($N2629,"000000"),2)/3600)))</f>
        <v>-51.067777777777778</v>
      </c>
      <c r="P2629" s="252" t="s">
        <v>1012</v>
      </c>
      <c r="Q2629" s="253"/>
      <c r="R2629" s="277" t="s">
        <v>3293</v>
      </c>
      <c r="S2629" s="272" t="s">
        <v>5635</v>
      </c>
      <c r="T2629" s="273"/>
      <c r="U2629" s="274"/>
      <c r="V2629" s="280"/>
      <c r="W2629" s="244"/>
      <c r="X2629" s="244"/>
      <c r="Y2629" s="362"/>
      <c r="Z2629" s="257">
        <f>altaz(J2000_Bas,$O2629,$M2629,DecLat,DecLong,1)</f>
        <v>0.31666147253167265</v>
      </c>
      <c r="AA2629" s="257">
        <f>altaz((J2000_Bas+(2*0.04167)),$O2629,$M2629,DecLat,DecLong,1)</f>
        <v>-13.093116107151699</v>
      </c>
      <c r="AB2629" s="257">
        <f>altaz((J2000_Bas+(4*0.04167)),$O2629,$M2629,DecLat,DecLong,1)</f>
        <v>-30.364869780471782</v>
      </c>
      <c r="AC2629" s="257">
        <f>altaz((J2000_Bas+(6*0.04167)),$O2629,$M2629,DecLat,DecLong,1)</f>
        <v>-49.132328123248314</v>
      </c>
      <c r="AD2629" s="258">
        <f>1+ transit((J2000_Bas-1),$O2629,$M2629,DecLat,DecLong)/360 + (GMTOffset/24) + (IF(DST="Y", 1, 0)/24)</f>
        <v>1.6733049851817914</v>
      </c>
      <c r="AE2629" s="259">
        <f>DATE(2001,9,21)+(M2629/360)*365 - (360*((DecLong/360)- (GMTOffset/24) ))</f>
        <v>37408.347858796296</v>
      </c>
      <c r="AF2629" s="260">
        <f>IF(DecLat&gt;0,IF((90 - (DecLat-O2629))&gt;90, (90 - (O2629-DecLat)), (90 - (DecLat-O2629))),IF((90 + (DecLat-O2629))&gt;90, (90 + (O2629-DecLat)), (90 + (DecLat-O2629))))</f>
        <v>7.9322222222222223</v>
      </c>
      <c r="AG2629" s="257">
        <f>angularseperation(MoonRA,MoonDec,$M2629,$O2629)</f>
        <v>24.204317772016861</v>
      </c>
      <c r="AH2629" s="261">
        <f ca="1">MIN(100,IF($O$5&gt;80,0+30*($AG2629/100),IF($O$5&gt;70,0+50*($AG2629/100),IF($O$5&gt;60,5+50*($AG2629/100),IF($O$5&gt;50,10+60*($AG2629/100),IF($O$5&gt;40,15+70*($AG2629/100),IF($O$5&gt;30,20+70*($AG2629/100),IF($O$5&gt;20,40+55*($AG2629/100),(80+(20-$O$5)+30*($AG2629/100))))))))))</f>
        <v>90.532355675755483</v>
      </c>
      <c r="AI2629" s="263"/>
      <c r="AJ2629" s="263"/>
      <c r="AK2629" s="263"/>
      <c r="AL2629" s="263"/>
      <c r="AM2629" s="264"/>
      <c r="AN2629" s="263"/>
      <c r="AO2629" s="263"/>
      <c r="AP2629" s="265"/>
      <c r="AQ2629" s="265"/>
      <c r="AR2629" s="285"/>
      <c r="AS2629" s="263"/>
      <c r="AT2629" s="263"/>
      <c r="AU2629" s="263"/>
      <c r="AV2629" s="264"/>
      <c r="AW2629" s="263"/>
      <c r="AX2629" s="263"/>
      <c r="AY2629" s="263"/>
      <c r="AZ2629" s="263"/>
      <c r="BA2629" s="263">
        <v>106</v>
      </c>
      <c r="BB2629" s="263"/>
      <c r="BC2629" s="263"/>
      <c r="BD2629" s="264"/>
      <c r="BE2629" s="263"/>
      <c r="BF2629" s="263"/>
      <c r="BG2629" s="263"/>
      <c r="BH2629" s="263"/>
      <c r="BI2629" s="263"/>
      <c r="BJ2629" s="404">
        <f>altaz(J2000_Bas,$O2629,$M2629,DecLat,DecLong,2)</f>
        <v>204.37733255943189</v>
      </c>
      <c r="BK2629" s="378" t="s">
        <v>5518</v>
      </c>
      <c r="BL2629" s="379">
        <f>IF((2*G2629)/60&lt;0.2,0.2,(2*G2629)/60)</f>
        <v>1.5</v>
      </c>
      <c r="BM2629" s="380">
        <f>MOD((50000+AD2629-$B$3+(0/24)),1)</f>
        <v>0.88867191488679964</v>
      </c>
      <c r="BN2629" s="381"/>
      <c r="BO2629" s="382">
        <v>2620</v>
      </c>
    </row>
    <row r="2630" spans="1:67" s="24" customFormat="1" ht="15" customHeight="1" x14ac:dyDescent="0.25">
      <c r="A2630" s="287" t="s">
        <v>5446</v>
      </c>
      <c r="B2630" s="241" t="str">
        <f>HYPERLINK(CONCATENATE($AT$3,BK2630,$AU$3),$AV$3)</f>
        <v>S</v>
      </c>
      <c r="C2630" s="242" t="str">
        <f>HYPERLINK(CONCATENATE($AT$4,BK2630,$AU$4,BL2630),$AV$4)</f>
        <v>A</v>
      </c>
      <c r="D2630" s="243" t="s">
        <v>5187</v>
      </c>
      <c r="E2630" s="244" t="s">
        <v>5183</v>
      </c>
      <c r="F2630" s="269" t="s">
        <v>4579</v>
      </c>
      <c r="G2630" s="273">
        <v>9</v>
      </c>
      <c r="H2630" s="283">
        <v>1300</v>
      </c>
      <c r="I2630" s="279">
        <v>3.6</v>
      </c>
      <c r="J2630" s="246">
        <v>2</v>
      </c>
      <c r="K2630" s="247" t="s">
        <v>5447</v>
      </c>
      <c r="L2630" s="248">
        <v>110617</v>
      </c>
      <c r="M2630" s="249">
        <f>15*(LEFT(TEXT($L2630,"000000"),2)+(MID(TEXT($L2630,"000000"),3,2)/60)+(RIGHT(TEXT($L2630,"000000"),2)/3600))</f>
        <v>166.57083333333333</v>
      </c>
      <c r="N2630" s="250">
        <v>-653035</v>
      </c>
      <c r="O2630" s="251">
        <f>IF($N2630&gt;0,(LEFT(TEXT($N2630,"000000"),2)+(MID(TEXT($N2630,"000000"),3,2)/60)+(RIGHT(TEXT($N2630,"000000"),2)/3600)),-(MID(TEXT($N2630,"000000"),2,2)+(MID(TEXT($N2630,"000000"),4,2)/60)+(RIGHT(TEXT($N2630,"000000"),2)/3600)))</f>
        <v>-65.509722222222223</v>
      </c>
      <c r="P2630" s="252" t="s">
        <v>1000</v>
      </c>
      <c r="Q2630" s="253"/>
      <c r="R2630" s="277" t="s">
        <v>3293</v>
      </c>
      <c r="S2630" s="272" t="s">
        <v>3293</v>
      </c>
      <c r="T2630" s="273"/>
      <c r="U2630" s="274"/>
      <c r="V2630" s="280"/>
      <c r="W2630" s="244"/>
      <c r="X2630" s="244"/>
      <c r="Y2630" s="362"/>
      <c r="Z2630" s="257">
        <f>altaz(J2000_Bas,$O2630,$M2630,DecLat,DecLong,1)</f>
        <v>-40.038715811124959</v>
      </c>
      <c r="AA2630" s="257">
        <f>altaz((J2000_Bas+(2*0.04167)),$O2630,$M2630,DecLat,DecLong,1)</f>
        <v>-50.797262212242522</v>
      </c>
      <c r="AB2630" s="257">
        <f>altaz((J2000_Bas+(4*0.04167)),$O2630,$M2630,DecLat,DecLong,1)</f>
        <v>-55.489405930385644</v>
      </c>
      <c r="AC2630" s="257">
        <f>altaz((J2000_Bas+(6*0.04167)),$O2630,$M2630,DecLat,DecLong,1)</f>
        <v>-51.022750953825927</v>
      </c>
      <c r="AD2630" s="258">
        <f>1+ transit((J2000_Bas-1),$O2630,$M2630,DecLat,DecLong)/360 + (GMTOffset/24) + (IF(DST="Y", 1, 0)/24)</f>
        <v>1.4555966736192913</v>
      </c>
      <c r="AE2630" s="259">
        <f>DATE(2001,9,21)+(M2630/360)*365 - (360*((DecLong/360)- (GMTOffset/24) ))</f>
        <v>37328.884317129632</v>
      </c>
      <c r="AF2630" s="260">
        <f>IF(DecLat&gt;0,IF((90 - (DecLat-O2630))&gt;90, (90 - (O2630-DecLat)), (90 - (DecLat-O2630))),IF((90 + (DecLat-O2630))&gt;90, (90 + (O2630-DecLat)), (90 + (DecLat-O2630))))</f>
        <v>-6.5097222222222229</v>
      </c>
      <c r="AG2630" s="257">
        <f>angularseperation(MoonRA,MoonDec,$M2630,$O2630)</f>
        <v>62.521408050636076</v>
      </c>
      <c r="AH2630" s="261">
        <f ca="1">MIN(100,IF($O$5&gt;80,0+30*($AG2630/100),IF($O$5&gt;70,0+50*($AG2630/100),IF($O$5&gt;60,5+50*($AG2630/100),IF($O$5&gt;50,10+60*($AG2630/100),IF($O$5&gt;40,15+70*($AG2630/100),IF($O$5&gt;30,20+70*($AG2630/100),IF($O$5&gt;20,40+55*($AG2630/100),(80+(20-$O$5)+30*($AG2630/100))))))))))</f>
        <v>100</v>
      </c>
      <c r="AI2630" s="263"/>
      <c r="AJ2630" s="263"/>
      <c r="AK2630" s="263"/>
      <c r="AL2630" s="263"/>
      <c r="AM2630" s="264"/>
      <c r="AN2630" s="263"/>
      <c r="AO2630" s="263"/>
      <c r="AP2630" s="265"/>
      <c r="AQ2630" s="265"/>
      <c r="AR2630" s="285"/>
      <c r="AS2630" s="263"/>
      <c r="AT2630" s="263"/>
      <c r="AU2630" s="263"/>
      <c r="AV2630" s="264"/>
      <c r="AW2630" s="263"/>
      <c r="AX2630" s="263"/>
      <c r="AY2630" s="263"/>
      <c r="AZ2630" s="263"/>
      <c r="BA2630" s="263">
        <v>58</v>
      </c>
      <c r="BB2630" s="263"/>
      <c r="BC2630" s="263"/>
      <c r="BD2630" s="264"/>
      <c r="BE2630" s="263"/>
      <c r="BF2630" s="263"/>
      <c r="BG2630" s="263"/>
      <c r="BH2630" s="263"/>
      <c r="BI2630" s="263"/>
      <c r="BJ2630" s="404">
        <f>altaz(J2000_Bas,$O2630,$M2630,DecLat,DecLong,2)</f>
        <v>208.13628278261703</v>
      </c>
      <c r="BK2630" s="378" t="s">
        <v>5446</v>
      </c>
      <c r="BL2630" s="379">
        <f>IF((2*G2630)/60&lt;0.2,0.2,(2*G2630)/60)</f>
        <v>0.3</v>
      </c>
      <c r="BM2630" s="380">
        <f>MOD((50000+AD2630-$B$3+(0/24)),1)</f>
        <v>0.67096360332652694</v>
      </c>
      <c r="BN2630" s="381"/>
      <c r="BO2630" s="382">
        <v>2621</v>
      </c>
    </row>
    <row r="2631" spans="1:67" s="24" customFormat="1" ht="15" customHeight="1" x14ac:dyDescent="0.25">
      <c r="A2631" s="287" t="s">
        <v>5503</v>
      </c>
      <c r="B2631" s="241" t="str">
        <f>HYPERLINK(CONCATENATE($AT$3,BK2631,$AU$3),$AV$3)</f>
        <v>S</v>
      </c>
      <c r="C2631" s="242" t="str">
        <f>HYPERLINK(CONCATENATE($AT$4,BK2631,$AU$4,BL2631),$AV$4)</f>
        <v>A</v>
      </c>
      <c r="D2631" s="243" t="s">
        <v>5187</v>
      </c>
      <c r="E2631" s="244" t="s">
        <v>16</v>
      </c>
      <c r="F2631" s="269"/>
      <c r="G2631" s="276">
        <v>10</v>
      </c>
      <c r="H2631" s="283">
        <v>9000</v>
      </c>
      <c r="I2631" s="246">
        <v>25</v>
      </c>
      <c r="J2631" s="246">
        <v>3</v>
      </c>
      <c r="K2631" s="247" t="s">
        <v>5504</v>
      </c>
      <c r="L2631" s="248">
        <v>144029</v>
      </c>
      <c r="M2631" s="249">
        <f>15*(LEFT(TEXT($L2631,"000000"),2)+(MID(TEXT($L2631,"000000"),3,2)/60)+(RIGHT(TEXT($L2631,"000000"),2)/3600))</f>
        <v>220.12083333333334</v>
      </c>
      <c r="N2631" s="250">
        <v>-623842</v>
      </c>
      <c r="O2631" s="251">
        <f>IF($N2631&gt;0,(LEFT(TEXT($N2631,"000000"),2)+(MID(TEXT($N2631,"000000"),3,2)/60)+(RIGHT(TEXT($N2631,"000000"),2)/3600)),-(MID(TEXT($N2631,"000000"),2,2)+(MID(TEXT($N2631,"000000"),4,2)/60)+(RIGHT(TEXT($N2631,"000000"),2)/3600)))</f>
        <v>-62.644999999999996</v>
      </c>
      <c r="P2631" s="252" t="s">
        <v>927</v>
      </c>
      <c r="Q2631" s="253"/>
      <c r="R2631" s="277" t="s">
        <v>6056</v>
      </c>
      <c r="S2631" s="272" t="s">
        <v>3293</v>
      </c>
      <c r="T2631" s="273">
        <v>18</v>
      </c>
      <c r="U2631" s="274"/>
      <c r="V2631" s="280"/>
      <c r="W2631" s="244"/>
      <c r="X2631" s="244"/>
      <c r="Y2631" s="362"/>
      <c r="Z2631" s="257">
        <f>altaz(J2000_Bas,$O2631,$M2631,DecLat,DecLong,1)</f>
        <v>-17.247579137680258</v>
      </c>
      <c r="AA2631" s="257">
        <f>altaz((J2000_Bas+(2*0.04167)),$O2631,$M2631,DecLat,DecLong,1)</f>
        <v>-29.893227118211911</v>
      </c>
      <c r="AB2631" s="257">
        <f>altaz((J2000_Bas+(4*0.04167)),$O2631,$M2631,DecLat,DecLong,1)</f>
        <v>-43.569886006280598</v>
      </c>
      <c r="AC2631" s="257">
        <f>altaz((J2000_Bas+(6*0.04167)),$O2631,$M2631,DecLat,DecLong,1)</f>
        <v>-54.849331176970637</v>
      </c>
      <c r="AD2631" s="258">
        <f>1+ transit((J2000_Bas-1),$O2631,$M2631,DecLat,DecLong)/360 + (GMTOffset/24) + (IF(DST="Y", 1, 0)/24)</f>
        <v>1.6043466587442914</v>
      </c>
      <c r="AE2631" s="259">
        <f>DATE(2001,9,21)+(M2631/360)*365 - (360*((DecLong/360)- (GMTOffset/24) ))</f>
        <v>37383.178067129629</v>
      </c>
      <c r="AF2631" s="260">
        <f>IF(DecLat&gt;0,IF((90 - (DecLat-O2631))&gt;90, (90 - (O2631-DecLat)), (90 - (DecLat-O2631))),IF((90 + (DecLat-O2631))&gt;90, (90 + (O2631-DecLat)), (90 + (DecLat-O2631))))</f>
        <v>-3.644999999999996</v>
      </c>
      <c r="AG2631" s="257">
        <f>angularseperation(MoonRA,MoonDec,$M2631,$O2631)</f>
        <v>40.37835378612894</v>
      </c>
      <c r="AH2631" s="261">
        <f ca="1">MIN(100,IF($O$5&gt;80,0+30*($AG2631/100),IF($O$5&gt;70,0+50*($AG2631/100),IF($O$5&gt;60,5+50*($AG2631/100),IF($O$5&gt;50,10+60*($AG2631/100),IF($O$5&gt;40,15+70*($AG2631/100),IF($O$5&gt;30,20+70*($AG2631/100),IF($O$5&gt;20,40+55*($AG2631/100),(80+(20-$O$5)+30*($AG2631/100))))))))))</f>
        <v>95.384566479989104</v>
      </c>
      <c r="AI2631" s="263"/>
      <c r="AJ2631" s="263"/>
      <c r="AK2631" s="263"/>
      <c r="AL2631" s="263"/>
      <c r="AM2631" s="264"/>
      <c r="AN2631" s="263"/>
      <c r="AO2631" s="263"/>
      <c r="AP2631" s="265"/>
      <c r="AQ2631" s="265"/>
      <c r="AR2631" s="285"/>
      <c r="AS2631" s="263"/>
      <c r="AT2631" s="263"/>
      <c r="AU2631" s="263"/>
      <c r="AV2631" s="264"/>
      <c r="AW2631" s="263"/>
      <c r="AX2631" s="263"/>
      <c r="AY2631" s="263"/>
      <c r="AZ2631" s="263"/>
      <c r="BA2631" s="263">
        <v>86</v>
      </c>
      <c r="BB2631" s="263"/>
      <c r="BC2631" s="268" t="s">
        <v>9294</v>
      </c>
      <c r="BD2631" s="264"/>
      <c r="BE2631" s="263"/>
      <c r="BF2631" s="263"/>
      <c r="BG2631" s="263"/>
      <c r="BH2631" s="263"/>
      <c r="BI2631" s="263"/>
      <c r="BJ2631" s="404">
        <f>altaz(J2000_Bas,$O2631,$M2631,DecLat,DecLong,2)</f>
        <v>206.04881234555521</v>
      </c>
      <c r="BK2631" s="378" t="s">
        <v>5503</v>
      </c>
      <c r="BL2631" s="379">
        <f>IF((2*G2631)/60&lt;0.2,0.2,(2*G2631)/60)</f>
        <v>0.33333333333333331</v>
      </c>
      <c r="BM2631" s="380">
        <f>MOD((50000+AD2631-$B$3+(0/24)),1)</f>
        <v>0.81971358844748465</v>
      </c>
      <c r="BN2631" s="381"/>
      <c r="BO2631" s="382">
        <v>2622</v>
      </c>
    </row>
    <row r="2632" spans="1:67" s="24" customFormat="1" ht="15" customHeight="1" x14ac:dyDescent="0.25">
      <c r="A2632" s="287" t="s">
        <v>5523</v>
      </c>
      <c r="B2632" s="241" t="str">
        <f>HYPERLINK(CONCATENATE($AT$3,BK2632,$AU$3),$AV$3)</f>
        <v>S</v>
      </c>
      <c r="C2632" s="242" t="str">
        <f>HYPERLINK(CONCATENATE($AT$4,BK2632,$AU$4,BL2632),$AV$4)</f>
        <v>A</v>
      </c>
      <c r="D2632" s="243" t="s">
        <v>5187</v>
      </c>
      <c r="E2632" s="244" t="s">
        <v>5183</v>
      </c>
      <c r="F2632" s="269" t="s">
        <v>5180</v>
      </c>
      <c r="G2632" s="276">
        <v>18</v>
      </c>
      <c r="H2632" s="283">
        <v>10000</v>
      </c>
      <c r="I2632" s="246">
        <v>50</v>
      </c>
      <c r="J2632" s="246">
        <v>3</v>
      </c>
      <c r="K2632" s="247" t="s">
        <v>5524</v>
      </c>
      <c r="L2632" s="248">
        <v>154048</v>
      </c>
      <c r="M2632" s="249">
        <f>15*(LEFT(TEXT($L2632,"000000"),2)+(MID(TEXT($L2632,"000000"),3,2)/60)+(RIGHT(TEXT($L2632,"000000"),2)/3600))</f>
        <v>235.2</v>
      </c>
      <c r="N2632" s="250">
        <v>-541012</v>
      </c>
      <c r="O2632" s="251">
        <f>IF($N2632&gt;0,(LEFT(TEXT($N2632,"000000"),2)+(MID(TEXT($N2632,"000000"),3,2)/60)+(RIGHT(TEXT($N2632,"000000"),2)/3600)),-(MID(TEXT($N2632,"000000"),2,2)+(MID(TEXT($N2632,"000000"),4,2)/60)+(RIGHT(TEXT($N2632,"000000"),2)/3600)))</f>
        <v>-54.169999999999995</v>
      </c>
      <c r="P2632" s="252" t="s">
        <v>1012</v>
      </c>
      <c r="Q2632" s="253"/>
      <c r="R2632" s="277" t="s">
        <v>6057</v>
      </c>
      <c r="S2632" s="272" t="s">
        <v>3293</v>
      </c>
      <c r="T2632" s="273"/>
      <c r="U2632" s="274"/>
      <c r="V2632" s="280"/>
      <c r="W2632" s="244"/>
      <c r="X2632" s="244"/>
      <c r="Y2632" s="362"/>
      <c r="Z2632" s="257">
        <f>altaz(J2000_Bas,$O2632,$M2632,DecLat,DecLong,1)</f>
        <v>-5.7653771085519354</v>
      </c>
      <c r="AA2632" s="257">
        <f>altaz((J2000_Bas+(2*0.04167)),$O2632,$M2632,DecLat,DecLong,1)</f>
        <v>-19.761215767207435</v>
      </c>
      <c r="AB2632" s="257">
        <f>altaz((J2000_Bas+(4*0.04167)),$O2632,$M2632,DecLat,DecLong,1)</f>
        <v>-36.666634590065023</v>
      </c>
      <c r="AC2632" s="257">
        <f>altaz((J2000_Bas+(6*0.04167)),$O2632,$M2632,DecLat,DecLong,1)</f>
        <v>-53.884431799308011</v>
      </c>
      <c r="AD2632" s="258">
        <f>1+ transit((J2000_Bas-1),$O2632,$M2632,DecLat,DecLong)/360 + (GMTOffset/24) + (IF(DST="Y", 1, 0)/24)</f>
        <v>1.6462332286297079</v>
      </c>
      <c r="AE2632" s="259">
        <f>DATE(2001,9,21)+(M2632/360)*365 - (360*((DecLong/360)- (GMTOffset/24) ))</f>
        <v>37398.466666666667</v>
      </c>
      <c r="AF2632" s="260">
        <f>IF(DecLat&gt;0,IF((90 - (DecLat-O2632))&gt;90, (90 - (O2632-DecLat)), (90 - (DecLat-O2632))),IF((90 + (DecLat-O2632))&gt;90, (90 + (O2632-DecLat)), (90 + (DecLat-O2632))))</f>
        <v>4.8300000000000125</v>
      </c>
      <c r="AG2632" s="257">
        <f>angularseperation(MoonRA,MoonDec,$M2632,$O2632)</f>
        <v>28.984488630916406</v>
      </c>
      <c r="AH2632" s="261">
        <f ca="1">MIN(100,IF($O$5&gt;80,0+30*($AG2632/100),IF($O$5&gt;70,0+50*($AG2632/100),IF($O$5&gt;60,5+50*($AG2632/100),IF($O$5&gt;50,10+60*($AG2632/100),IF($O$5&gt;40,15+70*($AG2632/100),IF($O$5&gt;30,20+70*($AG2632/100),IF($O$5&gt;20,40+55*($AG2632/100),(80+(20-$O$5)+30*($AG2632/100))))))))))</f>
        <v>91.966406933425347</v>
      </c>
      <c r="AI2632" s="263"/>
      <c r="AJ2632" s="263"/>
      <c r="AK2632" s="263"/>
      <c r="AL2632" s="263"/>
      <c r="AM2632" s="264"/>
      <c r="AN2632" s="263"/>
      <c r="AO2632" s="263"/>
      <c r="AP2632" s="265"/>
      <c r="AQ2632" s="265"/>
      <c r="AR2632" s="285"/>
      <c r="AS2632" s="263"/>
      <c r="AT2632" s="263"/>
      <c r="AU2632" s="263"/>
      <c r="AV2632" s="264"/>
      <c r="AW2632" s="263"/>
      <c r="AX2632" s="263"/>
      <c r="AY2632" s="263"/>
      <c r="AZ2632" s="263"/>
      <c r="BA2632" s="263">
        <v>94</v>
      </c>
      <c r="BB2632" s="263"/>
      <c r="BC2632" s="263"/>
      <c r="BD2632" s="264"/>
      <c r="BE2632" s="263"/>
      <c r="BF2632" s="263"/>
      <c r="BG2632" s="263"/>
      <c r="BH2632" s="263"/>
      <c r="BI2632" s="263"/>
      <c r="BJ2632" s="404">
        <f>altaz(J2000_Bas,$O2632,$M2632,DecLat,DecLong,2)</f>
        <v>207.12685878617785</v>
      </c>
      <c r="BK2632" s="378" t="s">
        <v>5523</v>
      </c>
      <c r="BL2632" s="379">
        <f>IF((2*G2632)/60&lt;0.2,0.2,(2*G2632)/60)</f>
        <v>0.6</v>
      </c>
      <c r="BM2632" s="380">
        <f>MOD((50000+AD2632-$B$3+(0/24)),1)</f>
        <v>0.86160015833593206</v>
      </c>
      <c r="BN2632" s="381"/>
      <c r="BO2632" s="382">
        <v>2623</v>
      </c>
    </row>
    <row r="2633" spans="1:67" s="24" customFormat="1" ht="15" customHeight="1" x14ac:dyDescent="0.25">
      <c r="A2633" s="297" t="s">
        <v>5525</v>
      </c>
      <c r="B2633" s="241" t="str">
        <f>HYPERLINK(CONCATENATE($AT$3,BK2633,$AU$3),$AV$3)</f>
        <v>S</v>
      </c>
      <c r="C2633" s="242" t="str">
        <f>HYPERLINK(CONCATENATE($AT$4,BK2633,$AU$4,BL2633),$AV$4)</f>
        <v>A</v>
      </c>
      <c r="D2633" s="243" t="s">
        <v>5187</v>
      </c>
      <c r="E2633" s="244" t="s">
        <v>5183</v>
      </c>
      <c r="F2633" s="269" t="s">
        <v>5180</v>
      </c>
      <c r="G2633" s="330">
        <v>10</v>
      </c>
      <c r="H2633" s="336">
        <v>10000</v>
      </c>
      <c r="I2633" s="337">
        <v>30</v>
      </c>
      <c r="J2633" s="246">
        <v>4</v>
      </c>
      <c r="K2633" s="247" t="s">
        <v>5527</v>
      </c>
      <c r="L2633" s="312">
        <v>155500</v>
      </c>
      <c r="M2633" s="249">
        <f>15*(LEFT(TEXT($L2633,"000000"),2)+(MID(TEXT($L2633,"000000"),3,2)/60)+(RIGHT(TEXT($L2633,"000000"),2)/3600))</f>
        <v>238.75</v>
      </c>
      <c r="N2633" s="313">
        <v>-543800</v>
      </c>
      <c r="O2633" s="251">
        <f>IF($N2633&gt;0,(LEFT(TEXT($N2633,"000000"),2)+(MID(TEXT($N2633,"000000"),3,2)/60)+(RIGHT(TEXT($N2633,"000000"),2)/3600)),-(MID(TEXT($N2633,"000000"),2,2)+(MID(TEXT($N2633,"000000"),4,2)/60)+(RIGHT(TEXT($N2633,"000000"),2)/3600)))</f>
        <v>-54.633333333333333</v>
      </c>
      <c r="P2633" s="314" t="s">
        <v>1012</v>
      </c>
      <c r="Q2633" s="315" t="s">
        <v>6958</v>
      </c>
      <c r="R2633" s="277" t="s">
        <v>5526</v>
      </c>
      <c r="S2633" s="272" t="s">
        <v>3293</v>
      </c>
      <c r="T2633" s="311"/>
      <c r="U2633" s="316"/>
      <c r="V2633" s="317"/>
      <c r="W2633" s="318"/>
      <c r="X2633" s="318"/>
      <c r="Y2633" s="363"/>
      <c r="Z2633" s="257">
        <f>altaz(J2000_Bas,$O2633,$M2633,DecLat,DecLong,1)</f>
        <v>-4.7745795396519606</v>
      </c>
      <c r="AA2633" s="257">
        <f>altaz((J2000_Bas+(2*0.04167)),$O2633,$M2633,DecLat,DecLong,1)</f>
        <v>-18.133740999159091</v>
      </c>
      <c r="AB2633" s="257">
        <f>altaz((J2000_Bas+(4*0.04167)),$O2633,$M2633,DecLat,DecLong,1)</f>
        <v>-34.648420071562121</v>
      </c>
      <c r="AC2633" s="257">
        <f>altaz((J2000_Bas+(6*0.04167)),$O2633,$M2633,DecLat,DecLong,1)</f>
        <v>-51.796632443159723</v>
      </c>
      <c r="AD2633" s="258">
        <f>1+ transit((J2000_Bas-1),$O2633,$M2633,DecLat,DecLong)/360 + (GMTOffset/24) + (IF(DST="Y", 1, 0)/24)</f>
        <v>1.656094338754708</v>
      </c>
      <c r="AE2633" s="259">
        <f>DATE(2001,9,21)+(M2633/360)*365 - (360*((DecLong/360)- (GMTOffset/24) ))</f>
        <v>37402.065972222219</v>
      </c>
      <c r="AF2633" s="260">
        <f>IF(DecLat&gt;0,IF((90 - (DecLat-O2633))&gt;90, (90 - (O2633-DecLat)), (90 - (DecLat-O2633))),IF((90 + (DecLat-O2633))&gt;90, (90 + (O2633-DecLat)), (90 + (DecLat-O2633))))</f>
        <v>4.3666666666666742</v>
      </c>
      <c r="AG2633" s="257">
        <f>angularseperation(MoonRA,MoonDec,$M2633,$O2633)</f>
        <v>28.59824885818011</v>
      </c>
      <c r="AH2633" s="261">
        <f ca="1">MIN(100,IF($O$5&gt;80,0+30*($AG2633/100),IF($O$5&gt;70,0+50*($AG2633/100),IF($O$5&gt;60,5+50*($AG2633/100),IF($O$5&gt;50,10+60*($AG2633/100),IF($O$5&gt;40,15+70*($AG2633/100),IF($O$5&gt;30,20+70*($AG2633/100),IF($O$5&gt;20,40+55*($AG2633/100),(80+(20-$O$5)+30*($AG2633/100))))))))))</f>
        <v>91.850535001604456</v>
      </c>
      <c r="AI2633" s="319"/>
      <c r="AJ2633" s="319"/>
      <c r="AK2633" s="319"/>
      <c r="AL2633" s="319"/>
      <c r="AM2633" s="320"/>
      <c r="AN2633" s="319"/>
      <c r="AO2633" s="319"/>
      <c r="AP2633" s="265"/>
      <c r="AQ2633" s="265"/>
      <c r="AR2633" s="285"/>
      <c r="AS2633" s="319"/>
      <c r="AT2633" s="319"/>
      <c r="AU2633" s="319"/>
      <c r="AV2633" s="320"/>
      <c r="AW2633" s="319"/>
      <c r="AX2633" s="263">
        <v>49</v>
      </c>
      <c r="AY2633" s="319"/>
      <c r="AZ2633" s="319"/>
      <c r="BA2633" s="319">
        <v>98</v>
      </c>
      <c r="BB2633" s="319"/>
      <c r="BC2633" s="319"/>
      <c r="BD2633" s="320"/>
      <c r="BE2633" s="319"/>
      <c r="BF2633" s="319"/>
      <c r="BG2633" s="319"/>
      <c r="BH2633" s="319"/>
      <c r="BI2633" s="319"/>
      <c r="BJ2633" s="404">
        <f>altaz(J2000_Bas,$O2633,$M2633,DecLat,DecLong,2)</f>
        <v>205.24748368745728</v>
      </c>
      <c r="BK2633" s="378" t="s">
        <v>5525</v>
      </c>
      <c r="BL2633" s="379">
        <f>IF((2*G2633)/60&lt;0.2,0.2,(2*G2633)/60)</f>
        <v>0.33333333333333331</v>
      </c>
      <c r="BM2633" s="380">
        <f>MOD((50000+AD2633-$B$3+(0/24)),1)</f>
        <v>0.8714612684561871</v>
      </c>
      <c r="BN2633" s="381"/>
      <c r="BO2633" s="382">
        <v>2624</v>
      </c>
    </row>
    <row r="2634" spans="1:67" s="24" customFormat="1" ht="15" customHeight="1" x14ac:dyDescent="0.25">
      <c r="A2634" s="288" t="s">
        <v>2451</v>
      </c>
      <c r="B2634" s="241" t="str">
        <f>HYPERLINK(CONCATENATE($AT$3,BK2634,$AU$3),$AV$3)</f>
        <v>S</v>
      </c>
      <c r="C2634" s="242" t="str">
        <f>HYPERLINK(CONCATENATE($AT$4,BK2634,$AU$4,BL2634),$AV$4)</f>
        <v>A</v>
      </c>
      <c r="D2634" s="243" t="s">
        <v>5187</v>
      </c>
      <c r="E2634" s="244" t="s">
        <v>936</v>
      </c>
      <c r="F2634" s="269" t="s">
        <v>9121</v>
      </c>
      <c r="G2634" s="270">
        <v>0.2</v>
      </c>
      <c r="H2634" s="283">
        <v>2300</v>
      </c>
      <c r="I2634" s="309">
        <v>0.15</v>
      </c>
      <c r="J2634" s="246">
        <v>4</v>
      </c>
      <c r="K2634" s="247" t="s">
        <v>5104</v>
      </c>
      <c r="L2634" s="248">
        <v>61958</v>
      </c>
      <c r="M2634" s="249">
        <f>15*(LEFT(TEXT($L2634,"000000"),2)+(MID(TEXT($L2634,"000000"),3,2)/60)+(RIGHT(TEXT($L2634,"000000"),2)/3600))</f>
        <v>94.99166666666666</v>
      </c>
      <c r="N2634" s="250">
        <v>-103815</v>
      </c>
      <c r="O2634" s="251">
        <f>IF($N2634&gt;0,(LEFT(TEXT($N2634,"000000"),2)+(MID(TEXT($N2634,"000000"),3,2)/60)+(RIGHT(TEXT($N2634,"000000"),2)/3600)),-(MID(TEXT($N2634,"000000"),2,2)+(MID(TEXT($N2634,"000000"),4,2)/60)+(RIGHT(TEXT($N2634,"000000"),2)/3600)))</f>
        <v>-10.637499999999999</v>
      </c>
      <c r="P2634" s="252" t="s">
        <v>47</v>
      </c>
      <c r="Q2634" s="253" t="s">
        <v>2451</v>
      </c>
      <c r="R2634" s="247" t="s">
        <v>2452</v>
      </c>
      <c r="S2634" s="272" t="s">
        <v>3293</v>
      </c>
      <c r="T2634" s="273"/>
      <c r="U2634" s="274"/>
      <c r="V2634" s="280"/>
      <c r="W2634" s="244"/>
      <c r="X2634" s="244"/>
      <c r="Y2634" s="362"/>
      <c r="Z2634" s="257">
        <f>altaz(J2000_Bas,$O2634,$M2634,DecLat,DecLong,1)</f>
        <v>-67.220424111519819</v>
      </c>
      <c r="AA2634" s="257">
        <f>altaz((J2000_Bas+(2*0.04167)),$O2634,$M2634,DecLat,DecLong,1)</f>
        <v>-46.881879721312487</v>
      </c>
      <c r="AB2634" s="257">
        <f>altaz((J2000_Bas+(4*0.04167)),$O2634,$M2634,DecLat,DecLong,1)</f>
        <v>-21.520826265408093</v>
      </c>
      <c r="AC2634" s="257">
        <f>altaz((J2000_Bas+(6*0.04167)),$O2634,$M2634,DecLat,DecLong,1)</f>
        <v>3.9846026437847226</v>
      </c>
      <c r="AD2634" s="258">
        <f>1+ transit((J2000_Bas-1),$O2634,$M2634,DecLat,DecLong)/360 + (GMTOffset/24) + (IF(DST="Y", 1, 0)/24)</f>
        <v>1.2567656749838745</v>
      </c>
      <c r="AE2634" s="259">
        <f>DATE(2001,9,21)+(M2634/360)*365 - (360*((DecLong/360)- (GMTOffset/24) ))</f>
        <v>37256.310995370368</v>
      </c>
      <c r="AF2634" s="260">
        <f>IF(DecLat&gt;0,IF((90 - (DecLat-O2634))&gt;90, (90 - (O2634-DecLat)), (90 - (DecLat-O2634))),IF((90 + (DecLat-O2634))&gt;90, (90 + (O2634-DecLat)), (90 + (DecLat-O2634))))</f>
        <v>48.362499999999997</v>
      </c>
      <c r="AG2634" s="257">
        <f>angularseperation(MoonRA,MoonDec,$M2634,$O2634)</f>
        <v>134.75702322368872</v>
      </c>
      <c r="AH2634" s="261">
        <f ca="1">MIN(100,IF($O$5&gt;80,0+30*($AG2634/100),IF($O$5&gt;70,0+50*($AG2634/100),IF($O$5&gt;60,5+50*($AG2634/100),IF($O$5&gt;50,10+60*($AG2634/100),IF($O$5&gt;40,15+70*($AG2634/100),IF($O$5&gt;30,20+70*($AG2634/100),IF($O$5&gt;20,40+55*($AG2634/100),(80+(20-$O$5)+30*($AG2634/100))))))))))</f>
        <v>100</v>
      </c>
      <c r="AI2634" s="262"/>
      <c r="AJ2634" s="262"/>
      <c r="AK2634" s="262"/>
      <c r="AL2634" s="263"/>
      <c r="AM2634" s="264"/>
      <c r="AN2634" s="263"/>
      <c r="AO2634" s="263"/>
      <c r="AP2634" s="265"/>
      <c r="AQ2634" s="266"/>
      <c r="AR2634" s="267"/>
      <c r="AS2634" s="263"/>
      <c r="AT2634" s="263">
        <v>11</v>
      </c>
      <c r="AU2634" s="263"/>
      <c r="AV2634" s="264"/>
      <c r="AW2634" s="263"/>
      <c r="AX2634" s="263"/>
      <c r="AY2634" s="263"/>
      <c r="AZ2634" s="263"/>
      <c r="BA2634" s="263"/>
      <c r="BB2634" s="263"/>
      <c r="BC2634" s="263"/>
      <c r="BD2634" s="264"/>
      <c r="BE2634" s="263"/>
      <c r="BF2634" s="263"/>
      <c r="BG2634" s="263"/>
      <c r="BH2634" s="263">
        <v>44</v>
      </c>
      <c r="BI2634" s="263"/>
      <c r="BJ2634" s="404">
        <f>altaz(J2000_Bas,$O2634,$M2634,DecLat,DecLong,2)</f>
        <v>29.000420459890037</v>
      </c>
      <c r="BK2634" s="378" t="s">
        <v>2451</v>
      </c>
      <c r="BL2634" s="379">
        <f>IF((2*G2634)/60&lt;0.2,0.2,(2*G2634)/60)</f>
        <v>0.2</v>
      </c>
      <c r="BM2634" s="380">
        <f>MOD((50000+AD2634-$B$3+(0/24)),1)</f>
        <v>0.47213260468561202</v>
      </c>
      <c r="BN2634" s="381" t="s">
        <v>9232</v>
      </c>
      <c r="BO2634" s="382">
        <v>2625</v>
      </c>
    </row>
    <row r="2635" spans="1:67" s="24" customFormat="1" ht="15" customHeight="1" x14ac:dyDescent="0.25">
      <c r="A2635" s="288" t="s">
        <v>2453</v>
      </c>
      <c r="B2635" s="241" t="str">
        <f>HYPERLINK(CONCATENATE($AT$3,BK2635,$AU$3),$AV$3)</f>
        <v>S</v>
      </c>
      <c r="C2635" s="242" t="str">
        <f>HYPERLINK(CONCATENATE($AT$4,BK2635,$AU$4,BL2635),$AV$4)</f>
        <v>A</v>
      </c>
      <c r="D2635" s="243" t="s">
        <v>5187</v>
      </c>
      <c r="E2635" s="244" t="s">
        <v>5186</v>
      </c>
      <c r="F2635" s="269"/>
      <c r="G2635" s="276">
        <v>300</v>
      </c>
      <c r="H2635" s="271" t="s">
        <v>6500</v>
      </c>
      <c r="I2635" s="244" t="s">
        <v>6500</v>
      </c>
      <c r="J2635" s="246">
        <v>5</v>
      </c>
      <c r="K2635" s="247" t="s">
        <v>8602</v>
      </c>
      <c r="L2635" s="248">
        <v>162535</v>
      </c>
      <c r="M2635" s="249">
        <f>15*(LEFT(TEXT($L2635,"000000"),2)+(MID(TEXT($L2635,"000000"),3,2)/60)+(RIGHT(TEXT($L2635,"000000"),2)/3600))</f>
        <v>246.39583333333337</v>
      </c>
      <c r="N2635" s="250">
        <v>-232650</v>
      </c>
      <c r="O2635" s="251">
        <f>IF($N2635&gt;0,(LEFT(TEXT($N2635,"000000"),2)+(MID(TEXT($N2635,"000000"),3,2)/60)+(RIGHT(TEXT($N2635,"000000"),2)/3600)),-(MID(TEXT($N2635,"000000"),2,2)+(MID(TEXT($N2635,"000000"),4,2)/60)+(RIGHT(TEXT($N2635,"000000"),2)/3600)))</f>
        <v>-23.447222222222223</v>
      </c>
      <c r="P2635" s="252" t="s">
        <v>113</v>
      </c>
      <c r="Q2635" s="253" t="s">
        <v>2453</v>
      </c>
      <c r="R2635" s="247" t="s">
        <v>3746</v>
      </c>
      <c r="S2635" s="272" t="s">
        <v>3293</v>
      </c>
      <c r="T2635" s="273"/>
      <c r="U2635" s="274"/>
      <c r="V2635" s="280"/>
      <c r="W2635" s="244"/>
      <c r="X2635" s="244"/>
      <c r="Y2635" s="362"/>
      <c r="Z2635" s="257">
        <f>altaz(J2000_Bas,$O2635,$M2635,DecLat,DecLong,1)</f>
        <v>23.636171354226249</v>
      </c>
      <c r="AA2635" s="257">
        <f>altaz((J2000_Bas+(2*0.04167)),$O2635,$M2635,DecLat,DecLong,1)</f>
        <v>3.8992306896349667</v>
      </c>
      <c r="AB2635" s="257">
        <f>altaz((J2000_Bas+(4*0.04167)),$O2635,$M2635,DecLat,DecLong,1)</f>
        <v>-19.783098390897873</v>
      </c>
      <c r="AC2635" s="257">
        <f>altaz((J2000_Bas+(6*0.04167)),$O2635,$M2635,DecLat,DecLong,1)</f>
        <v>-45.149347959063995</v>
      </c>
      <c r="AD2635" s="258">
        <f>1+ transit((J2000_Bas-1),$O2635,$M2635,DecLat,DecLong)/360 + (GMTOffset/24) + (IF(DST="Y", 1, 0)/24)</f>
        <v>1.6773327625567915</v>
      </c>
      <c r="AE2635" s="259">
        <f>DATE(2001,9,21)+(M2635/360)*365 - (360*((DecLong/360)- (GMTOffset/24) ))</f>
        <v>37409.817997685182</v>
      </c>
      <c r="AF2635" s="260">
        <f>IF(DecLat&gt;0,IF((90 - (DecLat-O2635))&gt;90, (90 - (O2635-DecLat)), (90 - (DecLat-O2635))),IF((90 + (DecLat-O2635))&gt;90, (90 + (O2635-DecLat)), (90 + (DecLat-O2635))))</f>
        <v>35.552777777777777</v>
      </c>
      <c r="AG2635" s="257">
        <f>angularseperation(MoonRA,MoonDec,$M2635,$O2635)</f>
        <v>4.4550436276022074</v>
      </c>
      <c r="AH2635" s="261">
        <f ca="1">MIN(100,IF($O$5&gt;80,0+30*($AG2635/100),IF($O$5&gt;70,0+50*($AG2635/100),IF($O$5&gt;60,5+50*($AG2635/100),IF($O$5&gt;50,10+60*($AG2635/100),IF($O$5&gt;40,15+70*($AG2635/100),IF($O$5&gt;30,20+70*($AG2635/100),IF($O$5&gt;20,40+55*($AG2635/100),(80+(20-$O$5)+30*($AG2635/100))))))))))</f>
        <v>84.607573432431096</v>
      </c>
      <c r="AI2635" s="262"/>
      <c r="AJ2635" s="262">
        <v>4604</v>
      </c>
      <c r="AK2635" s="262"/>
      <c r="AL2635" s="263"/>
      <c r="AM2635" s="264"/>
      <c r="AN2635" s="263"/>
      <c r="AO2635" s="263"/>
      <c r="AP2635" s="265"/>
      <c r="AQ2635" s="266"/>
      <c r="AR2635" s="267"/>
      <c r="AS2635" s="263"/>
      <c r="AT2635" s="263"/>
      <c r="AU2635" s="263"/>
      <c r="AV2635" s="264"/>
      <c r="AW2635" s="263"/>
      <c r="AX2635" s="263"/>
      <c r="AY2635" s="263"/>
      <c r="AZ2635" s="263"/>
      <c r="BA2635" s="263"/>
      <c r="BB2635" s="263"/>
      <c r="BC2635" s="263"/>
      <c r="BD2635" s="264"/>
      <c r="BE2635" s="263"/>
      <c r="BF2635" s="263"/>
      <c r="BG2635" s="263">
        <v>69</v>
      </c>
      <c r="BH2635" s="263"/>
      <c r="BI2635" s="263"/>
      <c r="BJ2635" s="404">
        <f>altaz(J2000_Bas,$O2635,$M2635,DecLat,DecLong,2)</f>
        <v>219.67499454176797</v>
      </c>
      <c r="BK2635" s="378" t="s">
        <v>2453</v>
      </c>
      <c r="BL2635" s="379">
        <f>IF((2*G2635)/60&lt;0.2,0.2,(2*G2635)/60)</f>
        <v>10</v>
      </c>
      <c r="BM2635" s="380">
        <f>MOD((50000+AD2635-$B$3+(0/24)),1)</f>
        <v>0.89269969226006651</v>
      </c>
      <c r="BN2635" s="381"/>
      <c r="BO2635" s="382">
        <v>2626</v>
      </c>
    </row>
    <row r="2636" spans="1:67" s="24" customFormat="1" ht="15" customHeight="1" x14ac:dyDescent="0.25">
      <c r="A2636" s="288" t="s">
        <v>2454</v>
      </c>
      <c r="B2636" s="241" t="str">
        <f>HYPERLINK(CONCATENATE($AT$3,BK2636,$AU$3),$AV$3)</f>
        <v>S</v>
      </c>
      <c r="C2636" s="242" t="str">
        <f>HYPERLINK(CONCATENATE($AT$4,BK2636,$AU$4,BL2636),$AV$4)</f>
        <v>A</v>
      </c>
      <c r="D2636" s="243" t="s">
        <v>5335</v>
      </c>
      <c r="E2636" s="244" t="s">
        <v>31</v>
      </c>
      <c r="F2636" s="269"/>
      <c r="G2636" s="273">
        <v>6</v>
      </c>
      <c r="H2636" s="283">
        <v>500</v>
      </c>
      <c r="I2636" s="309">
        <v>0.9</v>
      </c>
      <c r="J2636" s="246">
        <v>2</v>
      </c>
      <c r="K2636" s="247" t="s">
        <v>5376</v>
      </c>
      <c r="L2636" s="248">
        <v>42157</v>
      </c>
      <c r="M2636" s="249">
        <f>15*(LEFT(TEXT($L2636,"000000"),2)+(MID(TEXT($L2636,"000000"),3,2)/60)+(RIGHT(TEXT($L2636,"000000"),2)/3600))</f>
        <v>65.487499999999997</v>
      </c>
      <c r="N2636" s="286">
        <v>282636</v>
      </c>
      <c r="O2636" s="251">
        <f>IF($N2636&gt;0,(LEFT(TEXT($N2636,"000000"),2)+(MID(TEXT($N2636,"000000"),3,2)/60)+(RIGHT(TEXT($N2636,"000000"),2)/3600)),-(MID(TEXT($N2636,"000000"),2,2)+(MID(TEXT($N2636,"000000"),4,2)/60)+(RIGHT(TEXT($N2636,"000000"),2)/3600)))</f>
        <v>28.443333333333335</v>
      </c>
      <c r="P2636" s="252" t="s">
        <v>56</v>
      </c>
      <c r="Q2636" s="253"/>
      <c r="R2636" s="247" t="s">
        <v>5360</v>
      </c>
      <c r="S2636" s="272" t="s">
        <v>5105</v>
      </c>
      <c r="T2636" s="273"/>
      <c r="U2636" s="274"/>
      <c r="V2636" s="280"/>
      <c r="W2636" s="244"/>
      <c r="X2636" s="244"/>
      <c r="Y2636" s="362"/>
      <c r="Z2636" s="257">
        <f>altaz(J2000_Bas,$O2636,$M2636,DecLat,DecLong,1)</f>
        <v>-19.127998302450109</v>
      </c>
      <c r="AA2636" s="257">
        <f>altaz((J2000_Bas+(2*0.04167)),$O2636,$M2636,DecLat,DecLong,1)</f>
        <v>-0.28911135716965153</v>
      </c>
      <c r="AB2636" s="257">
        <f>altaz((J2000_Bas+(4*0.04167)),$O2636,$M2636,DecLat,DecLong,1)</f>
        <v>22.646196464117292</v>
      </c>
      <c r="AC2636" s="257">
        <f>altaz((J2000_Bas+(6*0.04167)),$O2636,$M2636,DecLat,DecLong,1)</f>
        <v>47.516971261236186</v>
      </c>
      <c r="AD2636" s="258">
        <f>1+ transit((J2000_Bas-1),$O2636,$M2636,DecLat,DecLong)/360 + (GMTOffset/24) + (IF(DST="Y", 1, 0)/24)</f>
        <v>1.174809664660958</v>
      </c>
      <c r="AE2636" s="259">
        <f>DATE(2001,9,21)+(M2636/360)*365 - (360*((DecLong/360)- (GMTOffset/24) ))</f>
        <v>37226.397048611114</v>
      </c>
      <c r="AF2636" s="260">
        <f>IF(DecLat&gt;0,IF((90 - (DecLat-O2636))&gt;90, (90 - (O2636-DecLat)), (90 - (DecLat-O2636))),IF((90 + (DecLat-O2636))&gt;90, (90 + (O2636-DecLat)), (90 + (DecLat-O2636))))</f>
        <v>87.443333333333328</v>
      </c>
      <c r="AG2636" s="257">
        <f>angularseperation(MoonRA,MoonDec,$M2636,$O2636)</f>
        <v>176.41075568741024</v>
      </c>
      <c r="AH2636" s="261">
        <f ca="1">MIN(100,IF($O$5&gt;80,0+30*($AG2636/100),IF($O$5&gt;70,0+50*($AG2636/100),IF($O$5&gt;60,5+50*($AG2636/100),IF($O$5&gt;50,10+60*($AG2636/100),IF($O$5&gt;40,15+70*($AG2636/100),IF($O$5&gt;30,20+70*($AG2636/100),IF($O$5&gt;20,40+55*($AG2636/100),(80+(20-$O$5)+30*($AG2636/100))))))))))</f>
        <v>100</v>
      </c>
      <c r="AI2636" s="262"/>
      <c r="AJ2636" s="262"/>
      <c r="AK2636" s="262"/>
      <c r="AL2636" s="263"/>
      <c r="AM2636" s="264"/>
      <c r="AN2636" s="263"/>
      <c r="AO2636" s="263"/>
      <c r="AP2636" s="265"/>
      <c r="AQ2636" s="266"/>
      <c r="AR2636" s="267"/>
      <c r="AS2636" s="263"/>
      <c r="AT2636" s="263"/>
      <c r="AU2636" s="263"/>
      <c r="AV2636" s="264"/>
      <c r="AW2636" s="263"/>
      <c r="AX2636" s="263"/>
      <c r="AY2636" s="263"/>
      <c r="AZ2636" s="263"/>
      <c r="BA2636" s="263"/>
      <c r="BB2636" s="263"/>
      <c r="BC2636" s="263"/>
      <c r="BD2636" s="264"/>
      <c r="BE2636" s="263"/>
      <c r="BF2636" s="263"/>
      <c r="BG2636" s="263"/>
      <c r="BH2636" s="263"/>
      <c r="BI2636" s="263"/>
      <c r="BJ2636" s="404">
        <f>altaz(J2000_Bas,$O2636,$M2636,DecLat,DecLong,2)</f>
        <v>37.20077954499493</v>
      </c>
      <c r="BK2636" s="378" t="s">
        <v>2454</v>
      </c>
      <c r="BL2636" s="379">
        <f>IF((2*G2636)/60&lt;0.2,0.2,(2*G2636)/60)</f>
        <v>0.2</v>
      </c>
      <c r="BM2636" s="380">
        <f>MOD((50000+AD2636-$B$3+(0/24)),1)</f>
        <v>0.3901765943664941</v>
      </c>
      <c r="BN2636" s="381"/>
      <c r="BO2636" s="382">
        <v>2627</v>
      </c>
    </row>
    <row r="2637" spans="1:67" s="24" customFormat="1" ht="15" customHeight="1" x14ac:dyDescent="0.25">
      <c r="A2637" s="288" t="s">
        <v>2455</v>
      </c>
      <c r="B2637" s="241" t="str">
        <f>HYPERLINK(CONCATENATE($AT$3,BK2637,$AU$3),$AV$3)</f>
        <v>S</v>
      </c>
      <c r="C2637" s="242" t="str">
        <f>HYPERLINK(CONCATENATE($AT$4,BK2637,$AU$4,BL2637),$AV$4)</f>
        <v>A</v>
      </c>
      <c r="D2637" s="243" t="s">
        <v>5187</v>
      </c>
      <c r="E2637" s="244" t="s">
        <v>5181</v>
      </c>
      <c r="F2637" s="269" t="s">
        <v>6188</v>
      </c>
      <c r="G2637" s="270">
        <v>0.9</v>
      </c>
      <c r="H2637" s="283">
        <v>11000</v>
      </c>
      <c r="I2637" s="279">
        <v>3</v>
      </c>
      <c r="J2637" s="246">
        <v>2</v>
      </c>
      <c r="K2637" s="247" t="s">
        <v>5106</v>
      </c>
      <c r="L2637" s="248">
        <v>80842</v>
      </c>
      <c r="M2637" s="249">
        <f>15*(LEFT(TEXT($L2637,"000000"),2)+(MID(TEXT($L2637,"000000"),3,2)/60)+(RIGHT(TEXT($L2637,"000000"),2)/3600))</f>
        <v>122.175</v>
      </c>
      <c r="N2637" s="250">
        <v>-190800</v>
      </c>
      <c r="O2637" s="251">
        <f>IF($N2637&gt;0,(LEFT(TEXT($N2637,"000000"),2)+(MID(TEXT($N2637,"000000"),3,2)/60)+(RIGHT(TEXT($N2637,"000000"),2)/3600)),-(MID(TEXT($N2637,"000000"),2,2)+(MID(TEXT($N2637,"000000"),4,2)/60)+(RIGHT(TEXT($N2637,"000000"),2)/3600)))</f>
        <v>-19.133333333333333</v>
      </c>
      <c r="P2637" s="252" t="s">
        <v>91</v>
      </c>
      <c r="Q2637" s="253"/>
      <c r="R2637" s="247" t="s">
        <v>3293</v>
      </c>
      <c r="S2637" s="272" t="s">
        <v>3293</v>
      </c>
      <c r="T2637" s="273">
        <v>13.7</v>
      </c>
      <c r="U2637" s="274"/>
      <c r="V2637" s="280"/>
      <c r="W2637" s="244"/>
      <c r="X2637" s="244"/>
      <c r="Y2637" s="362"/>
      <c r="Z2637" s="257">
        <f>altaz(J2000_Bas,$O2637,$M2637,DecLat,DecLong,1)</f>
        <v>-71.188192106806696</v>
      </c>
      <c r="AA2637" s="257">
        <f>altaz((J2000_Bas+(2*0.04167)),$O2637,$M2637,DecLat,DecLong,1)</f>
        <v>-72.721665804896716</v>
      </c>
      <c r="AB2637" s="257">
        <f>altaz((J2000_Bas+(4*0.04167)),$O2637,$M2637,DecLat,DecLong,1)</f>
        <v>-48.709879032961986</v>
      </c>
      <c r="AC2637" s="257">
        <f>altaz((J2000_Bas+(6*0.04167)),$O2637,$M2637,DecLat,DecLong,1)</f>
        <v>-23.012011329042696</v>
      </c>
      <c r="AD2637" s="258">
        <f>1+ transit((J2000_Bas-1),$O2637,$M2637,DecLat,DecLong)/360 + (GMTOffset/24) + (IF(DST="Y", 1, 0)/24)</f>
        <v>1.332274926692208</v>
      </c>
      <c r="AE2637" s="259">
        <f>DATE(2001,9,21)+(M2637/360)*365 - (360*((DecLong/360)- (GMTOffset/24) ))</f>
        <v>37283.871874999997</v>
      </c>
      <c r="AF2637" s="260">
        <f>IF(DecLat&gt;0,IF((90 - (DecLat-O2637))&gt;90, (90 - (O2637-DecLat)), (90 - (DecLat-O2637))),IF((90 + (DecLat-O2637))&gt;90, (90 + (O2637-DecLat)), (90 + (DecLat-O2637))))</f>
        <v>39.866666666666667</v>
      </c>
      <c r="AG2637" s="257">
        <f>angularseperation(MoonRA,MoonDec,$M2637,$O2637)</f>
        <v>110.96345018225556</v>
      </c>
      <c r="AH2637" s="261">
        <f ca="1">MIN(100,IF($O$5&gt;80,0+30*($AG2637/100),IF($O$5&gt;70,0+50*($AG2637/100),IF($O$5&gt;60,5+50*($AG2637/100),IF($O$5&gt;50,10+60*($AG2637/100),IF($O$5&gt;40,15+70*($AG2637/100),IF($O$5&gt;30,20+70*($AG2637/100),IF($O$5&gt;20,40+55*($AG2637/100),(80+(20-$O$5)+30*($AG2637/100))))))))))</f>
        <v>100</v>
      </c>
      <c r="AI2637" s="262"/>
      <c r="AJ2637" s="262"/>
      <c r="AK2637" s="262"/>
      <c r="AL2637" s="263"/>
      <c r="AM2637" s="264"/>
      <c r="AN2637" s="263"/>
      <c r="AO2637" s="263"/>
      <c r="AP2637" s="265"/>
      <c r="AQ2637" s="266"/>
      <c r="AR2637" s="267"/>
      <c r="AS2637" s="263"/>
      <c r="AT2637" s="263"/>
      <c r="AU2637" s="263"/>
      <c r="AV2637" s="264"/>
      <c r="AW2637" s="263"/>
      <c r="AX2637" s="263"/>
      <c r="AY2637" s="263"/>
      <c r="AZ2637" s="263"/>
      <c r="BA2637" s="263"/>
      <c r="BB2637" s="263"/>
      <c r="BC2637" s="263"/>
      <c r="BD2637" s="264"/>
      <c r="BE2637" s="263"/>
      <c r="BF2637" s="263"/>
      <c r="BG2637" s="263"/>
      <c r="BH2637" s="263"/>
      <c r="BI2637" s="263"/>
      <c r="BJ2637" s="404">
        <f>altaz(J2000_Bas,$O2637,$M2637,DecLat,DecLong,2)</f>
        <v>305.30942792246026</v>
      </c>
      <c r="BK2637" s="378" t="s">
        <v>4127</v>
      </c>
      <c r="BL2637" s="379">
        <f>IF((2*G2637)/60&lt;0.2,0.2,(2*G2637)/60)</f>
        <v>0.2</v>
      </c>
      <c r="BM2637" s="380">
        <f>MOD((50000+AD2637-$B$3+(0/24)),1)</f>
        <v>0.54764185639942298</v>
      </c>
      <c r="BN2637" s="381" t="s">
        <v>8647</v>
      </c>
      <c r="BO2637" s="382">
        <v>2628</v>
      </c>
    </row>
    <row r="2638" spans="1:67" s="24" customFormat="1" ht="15" customHeight="1" x14ac:dyDescent="0.25">
      <c r="A2638" s="288" t="s">
        <v>2456</v>
      </c>
      <c r="B2638" s="241" t="str">
        <f>HYPERLINK(CONCATENATE($AT$3,BK2638,$AU$3),$AV$3)</f>
        <v>S</v>
      </c>
      <c r="C2638" s="242" t="str">
        <f>HYPERLINK(CONCATENATE($AT$4,BK2638,$AU$4,BL2638),$AV$4)</f>
        <v>A</v>
      </c>
      <c r="D2638" s="243" t="s">
        <v>5335</v>
      </c>
      <c r="E2638" s="244" t="s">
        <v>5185</v>
      </c>
      <c r="F2638" s="269" t="s">
        <v>5108</v>
      </c>
      <c r="G2638" s="273">
        <v>1.7</v>
      </c>
      <c r="H2638" s="283">
        <v>40000</v>
      </c>
      <c r="I2638" s="246">
        <v>20</v>
      </c>
      <c r="J2638" s="246">
        <v>1</v>
      </c>
      <c r="K2638" s="247" t="s">
        <v>5107</v>
      </c>
      <c r="L2638" s="248">
        <v>72054</v>
      </c>
      <c r="M2638" s="249">
        <f>15*(LEFT(TEXT($L2638,"000000"),2)+(MID(TEXT($L2638,"000000"),3,2)/60)+(RIGHT(TEXT($L2638,"000000"),2)/3600))</f>
        <v>110.22499999999999</v>
      </c>
      <c r="N2638" s="250">
        <v>14800</v>
      </c>
      <c r="O2638" s="251">
        <f>IF($N2638&gt;0,(LEFT(TEXT($N2638,"000000"),2)+(MID(TEXT($N2638,"000000"),3,2)/60)+(RIGHT(TEXT($N2638,"000000"),2)/3600)),-(MID(TEXT($N2638,"000000"),2,2)+(MID(TEXT($N2638,"000000"),4,2)/60)+(RIGHT(TEXT($N2638,"000000"),2)/3600)))</f>
        <v>1.8</v>
      </c>
      <c r="P2638" s="252" t="s">
        <v>87</v>
      </c>
      <c r="Q2638" s="253"/>
      <c r="R2638" s="247" t="s">
        <v>3293</v>
      </c>
      <c r="S2638" s="272" t="s">
        <v>3293</v>
      </c>
      <c r="T2638" s="273"/>
      <c r="U2638" s="274"/>
      <c r="V2638" s="280"/>
      <c r="W2638" s="244"/>
      <c r="X2638" s="244"/>
      <c r="Y2638" s="362"/>
      <c r="Z2638" s="257">
        <f>altaz(J2000_Bas,$O2638,$M2638,DecLat,DecLong,1)</f>
        <v>-56.954861270194996</v>
      </c>
      <c r="AA2638" s="257">
        <f>altaz((J2000_Bas+(2*0.04167)),$O2638,$M2638,DecLat,DecLong,1)</f>
        <v>-49.004422075548696</v>
      </c>
      <c r="AB2638" s="257">
        <f>altaz((J2000_Bas+(4*0.04167)),$O2638,$M2638,DecLat,DecLong,1)</f>
        <v>-27.617582731325978</v>
      </c>
      <c r="AC2638" s="257">
        <f>altaz((J2000_Bas+(6*0.04167)),$O2638,$M2638,DecLat,DecLong,1)</f>
        <v>-2.4713286072646095</v>
      </c>
      <c r="AD2638" s="258">
        <f>1+ transit((J2000_Bas-1),$O2638,$M2638,DecLat,DecLong)/360 + (GMTOffset/24) + (IF(DST="Y", 1, 0)/24)</f>
        <v>1.299080485567208</v>
      </c>
      <c r="AE2638" s="259">
        <f>DATE(2001,9,21)+(M2638/360)*365 - (360*((DecLong/360)- (GMTOffset/24) ))</f>
        <v>37271.755902777775</v>
      </c>
      <c r="AF2638" s="260">
        <f>IF(DecLat&gt;0,IF((90 - (DecLat-O2638))&gt;90, (90 - (O2638-DecLat)), (90 - (DecLat-O2638))),IF((90 + (DecLat-O2638))&gt;90, (90 + (O2638-DecLat)), (90 + (DecLat-O2638))))</f>
        <v>60.8</v>
      </c>
      <c r="AG2638" s="257">
        <f>angularseperation(MoonRA,MoonDec,$M2638,$O2638)</f>
        <v>133.32135360322414</v>
      </c>
      <c r="AH2638" s="261">
        <f ca="1">MIN(100,IF($O$5&gt;80,0+30*($AG2638/100),IF($O$5&gt;70,0+50*($AG2638/100),IF($O$5&gt;60,5+50*($AG2638/100),IF($O$5&gt;50,10+60*($AG2638/100),IF($O$5&gt;40,15+70*($AG2638/100),IF($O$5&gt;30,20+70*($AG2638/100),IF($O$5&gt;20,40+55*($AG2638/100),(80+(20-$O$5)+30*($AG2638/100))))))))))</f>
        <v>100</v>
      </c>
      <c r="AI2638" s="262"/>
      <c r="AJ2638" s="262"/>
      <c r="AK2638" s="262"/>
      <c r="AL2638" s="263"/>
      <c r="AM2638" s="264"/>
      <c r="AN2638" s="263"/>
      <c r="AO2638" s="263"/>
      <c r="AP2638" s="265"/>
      <c r="AQ2638" s="266"/>
      <c r="AR2638" s="267"/>
      <c r="AS2638" s="263"/>
      <c r="AT2638" s="263"/>
      <c r="AU2638" s="263"/>
      <c r="AV2638" s="264"/>
      <c r="AW2638" s="263"/>
      <c r="AX2638" s="263"/>
      <c r="AY2638" s="263"/>
      <c r="AZ2638" s="263"/>
      <c r="BA2638" s="263"/>
      <c r="BB2638" s="263"/>
      <c r="BC2638" s="263"/>
      <c r="BD2638" s="264"/>
      <c r="BE2638" s="263"/>
      <c r="BF2638" s="263"/>
      <c r="BG2638" s="263"/>
      <c r="BH2638" s="263"/>
      <c r="BI2638" s="263"/>
      <c r="BJ2638" s="404">
        <f>altaz(J2000_Bas,$O2638,$M2638,DecLat,DecLong,2)</f>
        <v>352.24394092823923</v>
      </c>
      <c r="BK2638" s="378" t="s">
        <v>2456</v>
      </c>
      <c r="BL2638" s="379">
        <f>IF((2*G2638)/60&lt;0.2,0.2,(2*G2638)/60)</f>
        <v>0.2</v>
      </c>
      <c r="BM2638" s="380">
        <f>MOD((50000+AD2638-$B$3+(0/24)),1)</f>
        <v>0.51444741526938742</v>
      </c>
      <c r="BN2638" s="381" t="s">
        <v>8646</v>
      </c>
      <c r="BO2638" s="382">
        <v>2629</v>
      </c>
    </row>
    <row r="2639" spans="1:67" s="24" customFormat="1" ht="15" customHeight="1" x14ac:dyDescent="0.25">
      <c r="A2639" s="287" t="s">
        <v>2457</v>
      </c>
      <c r="B2639" s="241" t="str">
        <f>HYPERLINK(CONCATENATE($AT$3,BK2639,$AU$3),$AV$3)</f>
        <v>S</v>
      </c>
      <c r="C2639" s="242" t="str">
        <f>HYPERLINK(CONCATENATE($AT$4,BK2639,$AU$4,BL2639),$AV$4)</f>
        <v>A</v>
      </c>
      <c r="D2639" s="243" t="s">
        <v>5187</v>
      </c>
      <c r="E2639" s="244" t="s">
        <v>5181</v>
      </c>
      <c r="F2639" s="269" t="s">
        <v>4797</v>
      </c>
      <c r="G2639" s="273">
        <v>2</v>
      </c>
      <c r="H2639" s="271" t="s">
        <v>6500</v>
      </c>
      <c r="I2639" s="244" t="s">
        <v>6500</v>
      </c>
      <c r="J2639" s="246">
        <v>2</v>
      </c>
      <c r="K2639" s="247" t="s">
        <v>6245</v>
      </c>
      <c r="L2639" s="248">
        <v>182606</v>
      </c>
      <c r="M2639" s="249">
        <f>15*(LEFT(TEXT($L2639,"000000"),2)+(MID(TEXT($L2639,"000000"),3,2)/60)+(RIGHT(TEXT($L2639,"000000"),2)/3600))</f>
        <v>276.52499999999998</v>
      </c>
      <c r="N2639" s="250">
        <v>-180700</v>
      </c>
      <c r="O2639" s="251">
        <f>IF($N2639&gt;0,(LEFT(TEXT($N2639,"000000"),2)+(MID(TEXT($N2639,"000000"),3,2)/60)+(RIGHT(TEXT($N2639,"000000"),2)/3600)),-(MID(TEXT($N2639,"000000"),2,2)+(MID(TEXT($N2639,"000000"),4,2)/60)+(RIGHT(TEXT($N2639,"000000"),2)/3600)))</f>
        <v>-18.116666666666667</v>
      </c>
      <c r="P2639" s="252" t="s">
        <v>119</v>
      </c>
      <c r="Q2639" s="253"/>
      <c r="R2639" s="277" t="s">
        <v>3293</v>
      </c>
      <c r="S2639" s="272" t="s">
        <v>3293</v>
      </c>
      <c r="T2639" s="273"/>
      <c r="U2639" s="274"/>
      <c r="V2639" s="280"/>
      <c r="W2639" s="244"/>
      <c r="X2639" s="244"/>
      <c r="Y2639" s="362"/>
      <c r="Z2639" s="257">
        <f>altaz(J2000_Bas,$O2639,$M2639,DecLat,DecLong,1)</f>
        <v>40.045863843003538</v>
      </c>
      <c r="AA2639" s="257">
        <f>altaz((J2000_Bas+(2*0.04167)),$O2639,$M2639,DecLat,DecLong,1)</f>
        <v>27.898511787673286</v>
      </c>
      <c r="AB2639" s="257">
        <f>altaz((J2000_Bas+(4*0.04167)),$O2639,$M2639,DecLat,DecLong,1)</f>
        <v>7.0766561942620623</v>
      </c>
      <c r="AC2639" s="257">
        <f>altaz((J2000_Bas+(6*0.04167)),$O2639,$M2639,DecLat,DecLong,1)</f>
        <v>-17.328785122337774</v>
      </c>
      <c r="AD2639" s="258">
        <f>1+ transit((J2000_Bas-1),$O2639,$M2639,DecLat,DecLong)/360 + (GMTOffset/24) + (IF(DST="Y", 1, 0)/24)</f>
        <v>1.761024883817208</v>
      </c>
      <c r="AE2639" s="259">
        <f>DATE(2001,9,21)+(M2639/360)*365 - (360*((DecLong/360)- (GMTOffset/24) ))</f>
        <v>37440.365624999999</v>
      </c>
      <c r="AF2639" s="260">
        <f>IF(DecLat&gt;0,IF((90 - (DecLat-O2639))&gt;90, (90 - (O2639-DecLat)), (90 - (DecLat-O2639))),IF((90 + (DecLat-O2639))&gt;90, (90 + (O2639-DecLat)), (90 + (DecLat-O2639))))</f>
        <v>40.883333333333333</v>
      </c>
      <c r="AG2639" s="257">
        <f>angularseperation(MoonRA,MoonDec,$M2639,$O2639)</f>
        <v>26.665798663139974</v>
      </c>
      <c r="AH2639" s="261">
        <f ca="1">MIN(100,IF($O$5&gt;80,0+30*($AG2639/100),IF($O$5&gt;70,0+50*($AG2639/100),IF($O$5&gt;60,5+50*($AG2639/100),IF($O$5&gt;50,10+60*($AG2639/100),IF($O$5&gt;40,15+70*($AG2639/100),IF($O$5&gt;30,20+70*($AG2639/100),IF($O$5&gt;20,40+55*($AG2639/100),(80+(20-$O$5)+30*($AG2639/100))))))))))</f>
        <v>91.270799943092413</v>
      </c>
      <c r="AI2639" s="263"/>
      <c r="AJ2639" s="263"/>
      <c r="AK2639" s="263"/>
      <c r="AL2639" s="263"/>
      <c r="AM2639" s="264"/>
      <c r="AN2639" s="263"/>
      <c r="AO2639" s="263"/>
      <c r="AP2639" s="265"/>
      <c r="AQ2639" s="265"/>
      <c r="AR2639" s="285"/>
      <c r="AS2639" s="263"/>
      <c r="AT2639" s="263"/>
      <c r="AU2639" s="263"/>
      <c r="AV2639" s="264"/>
      <c r="AW2639" s="263"/>
      <c r="AX2639" s="263"/>
      <c r="AY2639" s="263"/>
      <c r="AZ2639" s="263"/>
      <c r="BA2639" s="263"/>
      <c r="BB2639" s="263"/>
      <c r="BC2639" s="263"/>
      <c r="BD2639" s="264"/>
      <c r="BE2639" s="263"/>
      <c r="BF2639" s="263"/>
      <c r="BG2639" s="263"/>
      <c r="BH2639" s="263"/>
      <c r="BI2639" s="263"/>
      <c r="BJ2639" s="404">
        <f>altaz(J2000_Bas,$O2639,$M2639,DecLat,DecLong,2)</f>
        <v>191.79629801701617</v>
      </c>
      <c r="BK2639" s="378" t="s">
        <v>4128</v>
      </c>
      <c r="BL2639" s="379">
        <f>IF((2*G2639)/60&lt;0.2,0.2,(2*G2639)/60)</f>
        <v>0.2</v>
      </c>
      <c r="BM2639" s="380">
        <f>MOD((50000+AD2639-$B$3+(0/24)),1)</f>
        <v>0.97639181352133164</v>
      </c>
      <c r="BN2639" s="381"/>
      <c r="BO2639" s="382">
        <v>2630</v>
      </c>
    </row>
    <row r="2640" spans="1:67" s="24" customFormat="1" ht="15" customHeight="1" x14ac:dyDescent="0.25">
      <c r="A2640" s="287" t="s">
        <v>2458</v>
      </c>
      <c r="B2640" s="241" t="str">
        <f>HYPERLINK(CONCATENATE($AT$3,BK2640,$AU$3),$AV$3)</f>
        <v>S</v>
      </c>
      <c r="C2640" s="242" t="str">
        <f>HYPERLINK(CONCATENATE($AT$4,BK2640,$AU$4,BL2640),$AV$4)</f>
        <v>A</v>
      </c>
      <c r="D2640" s="243" t="s">
        <v>5187</v>
      </c>
      <c r="E2640" s="244" t="s">
        <v>5181</v>
      </c>
      <c r="F2640" s="269" t="s">
        <v>4798</v>
      </c>
      <c r="G2640" s="273">
        <v>1.5</v>
      </c>
      <c r="H2640" s="271" t="s">
        <v>6500</v>
      </c>
      <c r="I2640" s="244" t="s">
        <v>6500</v>
      </c>
      <c r="J2640" s="246">
        <v>2</v>
      </c>
      <c r="K2640" s="247" t="s">
        <v>6246</v>
      </c>
      <c r="L2640" s="248">
        <v>190202</v>
      </c>
      <c r="M2640" s="249">
        <f>15*(LEFT(TEXT($L2640,"000000"),2)+(MID(TEXT($L2640,"000000"),3,2)/60)+(RIGHT(TEXT($L2640,"000000"),2)/3600))</f>
        <v>285.50833333333333</v>
      </c>
      <c r="N2640" s="250">
        <v>-211800</v>
      </c>
      <c r="O2640" s="251">
        <f>IF($N2640&gt;0,(LEFT(TEXT($N2640,"000000"),2)+(MID(TEXT($N2640,"000000"),3,2)/60)+(RIGHT(TEXT($N2640,"000000"),2)/3600)),-(MID(TEXT($N2640,"000000"),2,2)+(MID(TEXT($N2640,"000000"),4,2)/60)+(RIGHT(TEXT($N2640,"000000"),2)/3600)))</f>
        <v>-21.3</v>
      </c>
      <c r="P2640" s="252" t="s">
        <v>119</v>
      </c>
      <c r="Q2640" s="253"/>
      <c r="R2640" s="277" t="s">
        <v>3293</v>
      </c>
      <c r="S2640" s="272" t="s">
        <v>3293</v>
      </c>
      <c r="T2640" s="273"/>
      <c r="U2640" s="274"/>
      <c r="V2640" s="280"/>
      <c r="W2640" s="244"/>
      <c r="X2640" s="244"/>
      <c r="Y2640" s="362"/>
      <c r="Z2640" s="257">
        <f>altaz(J2000_Bas,$O2640,$M2640,DecLat,DecLong,1)</f>
        <v>37.697847977513845</v>
      </c>
      <c r="AA2640" s="257">
        <f>altaz((J2000_Bas+(2*0.04167)),$O2640,$M2640,DecLat,DecLong,1)</f>
        <v>30.030676618121248</v>
      </c>
      <c r="AB2640" s="257">
        <f>altaz((J2000_Bas+(4*0.04167)),$O2640,$M2640,DecLat,DecLong,1)</f>
        <v>11.781800222682072</v>
      </c>
      <c r="AC2640" s="257">
        <f>altaz((J2000_Bas+(6*0.04167)),$O2640,$M2640,DecLat,DecLong,1)</f>
        <v>-11.39155469632496</v>
      </c>
      <c r="AD2640" s="258">
        <f>1+ transit((J2000_Bas-1),$O2640,$M2640,DecLat,DecLong)/360 + (GMTOffset/24) + (IF(DST="Y", 1, 0)/24)</f>
        <v>1.7859785850255412</v>
      </c>
      <c r="AE2640" s="259">
        <f>DATE(2001,9,21)+(M2640/360)*365 - (360*((DecLong/360)- (GMTOffset/24) ))</f>
        <v>37449.473726851851</v>
      </c>
      <c r="AF2640" s="260">
        <f>IF(DecLat&gt;0,IF((90 - (DecLat-O2640))&gt;90, (90 - (O2640-DecLat)), (90 - (DecLat-O2640))),IF((90 + (DecLat-O2640))&gt;90, (90 + (O2640-DecLat)), (90 + (DecLat-O2640))))</f>
        <v>37.700000000000003</v>
      </c>
      <c r="AG2640" s="257">
        <f>angularseperation(MoonRA,MoonDec,$M2640,$O2640)</f>
        <v>33.466353009855858</v>
      </c>
      <c r="AH2640" s="261">
        <f ca="1">MIN(100,IF($O$5&gt;80,0+30*($AG2640/100),IF($O$5&gt;70,0+50*($AG2640/100),IF($O$5&gt;60,5+50*($AG2640/100),IF($O$5&gt;50,10+60*($AG2640/100),IF($O$5&gt;40,15+70*($AG2640/100),IF($O$5&gt;30,20+70*($AG2640/100),IF($O$5&gt;20,40+55*($AG2640/100),(80+(20-$O$5)+30*($AG2640/100))))))))))</f>
        <v>93.310966247107189</v>
      </c>
      <c r="AI2640" s="263"/>
      <c r="AJ2640" s="263"/>
      <c r="AK2640" s="263"/>
      <c r="AL2640" s="263"/>
      <c r="AM2640" s="264"/>
      <c r="AN2640" s="263"/>
      <c r="AO2640" s="263"/>
      <c r="AP2640" s="265"/>
      <c r="AQ2640" s="265"/>
      <c r="AR2640" s="285"/>
      <c r="AS2640" s="263"/>
      <c r="AT2640" s="263"/>
      <c r="AU2640" s="263"/>
      <c r="AV2640" s="264"/>
      <c r="AW2640" s="263"/>
      <c r="AX2640" s="263"/>
      <c r="AY2640" s="263"/>
      <c r="AZ2640" s="263"/>
      <c r="BA2640" s="263"/>
      <c r="BB2640" s="263"/>
      <c r="BC2640" s="263"/>
      <c r="BD2640" s="264"/>
      <c r="BE2640" s="263"/>
      <c r="BF2640" s="263"/>
      <c r="BG2640" s="263"/>
      <c r="BH2640" s="263"/>
      <c r="BI2640" s="263"/>
      <c r="BJ2640" s="404">
        <f>altaz(J2000_Bas,$O2640,$M2640,DecLat,DecLong,2)</f>
        <v>180.58203258343497</v>
      </c>
      <c r="BK2640" s="378" t="s">
        <v>4129</v>
      </c>
      <c r="BL2640" s="379">
        <f>IF((2*G2640)/60&lt;0.2,0.2,(2*G2640)/60)</f>
        <v>0.2</v>
      </c>
      <c r="BM2640" s="380">
        <f>MOD((50000+AD2640-$B$3+(0/24)),1)</f>
        <v>1.3455147272907197E-3</v>
      </c>
      <c r="BN2640" s="381"/>
      <c r="BO2640" s="382">
        <v>2631</v>
      </c>
    </row>
    <row r="2641" spans="1:67" s="24" customFormat="1" ht="15" customHeight="1" x14ac:dyDescent="0.25">
      <c r="A2641" s="288" t="s">
        <v>2460</v>
      </c>
      <c r="B2641" s="306"/>
      <c r="C2641" s="242" t="str">
        <f>HYPERLINK(CONCATENATE($AT$4,BK2641,$AU$4,BL2641),$AV$4)</f>
        <v>A</v>
      </c>
      <c r="D2641" s="243" t="s">
        <v>5187</v>
      </c>
      <c r="E2641" s="244" t="s">
        <v>5179</v>
      </c>
      <c r="F2641" s="269"/>
      <c r="G2641" s="276">
        <v>80</v>
      </c>
      <c r="H2641" s="271" t="s">
        <v>6500</v>
      </c>
      <c r="I2641" s="244" t="s">
        <v>6500</v>
      </c>
      <c r="J2641" s="246">
        <v>2</v>
      </c>
      <c r="K2641" s="247" t="s">
        <v>5109</v>
      </c>
      <c r="L2641" s="248">
        <v>175642</v>
      </c>
      <c r="M2641" s="249">
        <f>15*(LEFT(TEXT($L2641,"000000"),2)+(MID(TEXT($L2641,"000000"),3,2)/60)+(RIGHT(TEXT($L2641,"000000"),2)/3600))</f>
        <v>269.17500000000001</v>
      </c>
      <c r="N2641" s="250">
        <v>-303000</v>
      </c>
      <c r="O2641" s="251">
        <f>IF($N2641&gt;0,(LEFT(TEXT($N2641,"000000"),2)+(MID(TEXT($N2641,"000000"),3,2)/60)+(RIGHT(TEXT($N2641,"000000"),2)/3600)),-(MID(TEXT($N2641,"000000"),2,2)+(MID(TEXT($N2641,"000000"),4,2)/60)+(RIGHT(TEXT($N2641,"000000"),2)/3600)))</f>
        <v>-30.5</v>
      </c>
      <c r="P2641" s="252" t="s">
        <v>109</v>
      </c>
      <c r="Q2641" s="253"/>
      <c r="R2641" s="247" t="s">
        <v>3293</v>
      </c>
      <c r="S2641" s="272" t="s">
        <v>3293</v>
      </c>
      <c r="T2641" s="273"/>
      <c r="U2641" s="274"/>
      <c r="V2641" s="280"/>
      <c r="W2641" s="244"/>
      <c r="X2641" s="244"/>
      <c r="Y2641" s="362"/>
      <c r="Z2641" s="257">
        <f>altaz(J2000_Bas,$O2641,$M2641,DecLat,DecLong,1)</f>
        <v>26.457484772401987</v>
      </c>
      <c r="AA2641" s="257">
        <f>altaz((J2000_Bas+(2*0.04167)),$O2641,$M2641,DecLat,DecLong,1)</f>
        <v>14.070922194188036</v>
      </c>
      <c r="AB2641" s="257">
        <f>altaz((J2000_Bas+(4*0.04167)),$O2641,$M2641,DecLat,DecLong,1)</f>
        <v>-5.4640047647856624</v>
      </c>
      <c r="AC2641" s="257">
        <f>altaz((J2000_Bas+(6*0.04167)),$O2641,$M2641,DecLat,DecLong,1)</f>
        <v>-28.576857415137795</v>
      </c>
      <c r="AD2641" s="258">
        <f>1+ transit((J2000_Bas-1),$O2641,$M2641,DecLat,DecLong)/360 + (GMTOffset/24) + (IF(DST="Y", 1, 0)/24)</f>
        <v>1.7406082191922081</v>
      </c>
      <c r="AE2641" s="259">
        <f>DATE(2001,9,21)+(M2641/360)*365 - (360*((DecLong/360)- (GMTOffset/24) ))</f>
        <v>37432.913541666669</v>
      </c>
      <c r="AF2641" s="260">
        <f>IF(DecLat&gt;0,IF((90 - (DecLat-O2641))&gt;90, (90 - (O2641-DecLat)), (90 - (DecLat-O2641))),IF((90 + (DecLat-O2641))&gt;90, (90 + (O2641-DecLat)), (90 + (DecLat-O2641))))</f>
        <v>28.5</v>
      </c>
      <c r="AG2641" s="257">
        <f>angularseperation(MoonRA,MoonDec,$M2641,$O2641)</f>
        <v>17.774582869587704</v>
      </c>
      <c r="AH2641" s="261">
        <f ca="1">MIN(100,IF($O$5&gt;80,0+30*($AG2641/100),IF($O$5&gt;70,0+50*($AG2641/100),IF($O$5&gt;60,5+50*($AG2641/100),IF($O$5&gt;50,10+60*($AG2641/100),IF($O$5&gt;40,15+70*($AG2641/100),IF($O$5&gt;30,20+70*($AG2641/100),IF($O$5&gt;20,40+55*($AG2641/100),(80+(20-$O$5)+30*($AG2641/100))))))))))</f>
        <v>88.603435205026742</v>
      </c>
      <c r="AI2641" s="262"/>
      <c r="AJ2641" s="262"/>
      <c r="AK2641" s="262"/>
      <c r="AL2641" s="263"/>
      <c r="AM2641" s="264"/>
      <c r="AN2641" s="263"/>
      <c r="AO2641" s="263"/>
      <c r="AP2641" s="265"/>
      <c r="AQ2641" s="266"/>
      <c r="AR2641" s="267"/>
      <c r="AS2641" s="263"/>
      <c r="AT2641" s="263"/>
      <c r="AU2641" s="263"/>
      <c r="AV2641" s="264"/>
      <c r="AW2641" s="263"/>
      <c r="AX2641" s="263"/>
      <c r="AY2641" s="263"/>
      <c r="AZ2641" s="263"/>
      <c r="BA2641" s="263"/>
      <c r="BB2641" s="263"/>
      <c r="BC2641" s="263"/>
      <c r="BD2641" s="264"/>
      <c r="BE2641" s="263"/>
      <c r="BF2641" s="263"/>
      <c r="BG2641" s="263"/>
      <c r="BH2641" s="263"/>
      <c r="BI2641" s="263">
        <v>76</v>
      </c>
      <c r="BJ2641" s="404">
        <f>altaz(J2000_Bas,$O2641,$M2641,DecLat,DecLong,2)</f>
        <v>196.1776681995641</v>
      </c>
      <c r="BK2641" s="378" t="s">
        <v>6483</v>
      </c>
      <c r="BL2641" s="379">
        <f>IF((2*G2641)/60&lt;0.2,0.2,(2*G2641)/60)</f>
        <v>2.6666666666666665</v>
      </c>
      <c r="BM2641" s="380">
        <f>MOD((50000+AD2641-$B$3+(0/24)),1)</f>
        <v>0.95597514889959712</v>
      </c>
      <c r="BN2641" s="381"/>
      <c r="BO2641" s="382">
        <v>2632</v>
      </c>
    </row>
    <row r="2642" spans="1:67" s="24" customFormat="1" ht="15" customHeight="1" x14ac:dyDescent="0.25">
      <c r="A2642" s="288" t="s">
        <v>6432</v>
      </c>
      <c r="B2642" s="241"/>
      <c r="C2642" s="242" t="str">
        <f>HYPERLINK(CONCATENATE($AT$4,BK2642,$AU$4,BL2642),$AV$4)</f>
        <v>A</v>
      </c>
      <c r="D2642" s="243" t="s">
        <v>5187</v>
      </c>
      <c r="E2642" s="244" t="s">
        <v>5183</v>
      </c>
      <c r="F2642" s="269" t="s">
        <v>9184</v>
      </c>
      <c r="G2642" s="276">
        <v>240</v>
      </c>
      <c r="H2642" s="283">
        <v>3600</v>
      </c>
      <c r="I2642" s="246">
        <v>250</v>
      </c>
      <c r="J2642" s="246">
        <v>5</v>
      </c>
      <c r="K2642" s="247" t="s">
        <v>6840</v>
      </c>
      <c r="L2642" s="248">
        <v>70549</v>
      </c>
      <c r="M2642" s="249">
        <f>15*(LEFT(TEXT($L2642,"000000"),2)+(MID(TEXT($L2642,"000000"),3,2)/60)+(RIGHT(TEXT($L2642,"000000"),2)/3600))</f>
        <v>106.45416666666667</v>
      </c>
      <c r="N2642" s="250">
        <v>-110549</v>
      </c>
      <c r="O2642" s="251">
        <f>IF($N2642&gt;0,(LEFT(TEXT($N2642,"000000"),2)+(MID(TEXT($N2642,"000000"),3,2)/60)+(RIGHT(TEXT($N2642,"000000"),2)/3600)),-(MID(TEXT($N2642,"000000"),2,2)+(MID(TEXT($N2642,"000000"),4,2)/60)+(RIGHT(TEXT($N2642,"000000"),2)/3600)))</f>
        <v>-11.096944444444444</v>
      </c>
      <c r="P2642" s="252" t="s">
        <v>80</v>
      </c>
      <c r="Q2642" s="253" t="s">
        <v>6432</v>
      </c>
      <c r="R2642" s="277" t="s">
        <v>3293</v>
      </c>
      <c r="S2642" s="272" t="s">
        <v>8729</v>
      </c>
      <c r="T2642" s="273"/>
      <c r="U2642" s="274"/>
      <c r="V2642" s="280"/>
      <c r="W2642" s="244"/>
      <c r="X2642" s="244"/>
      <c r="Y2642" s="362"/>
      <c r="Z2642" s="257">
        <f>altaz(J2000_Bas,$O2642,$M2642,DecLat,DecLong,1)</f>
        <v>-70.092548701797554</v>
      </c>
      <c r="AA2642" s="257">
        <f>altaz((J2000_Bas+(2*0.04167)),$O2642,$M2642,DecLat,DecLong,1)</f>
        <v>-56.125187112988904</v>
      </c>
      <c r="AB2642" s="257">
        <f>altaz((J2000_Bas+(4*0.04167)),$O2642,$M2642,DecLat,DecLong,1)</f>
        <v>-31.552895904560103</v>
      </c>
      <c r="AC2642" s="257">
        <f>altaz((J2000_Bas+(6*0.04167)),$O2642,$M2642,DecLat,DecLong,1)</f>
        <v>-5.8563444274872785</v>
      </c>
      <c r="AD2642" s="258">
        <f>1+ transit((J2000_Bas-1),$O2642,$M2642,DecLat,DecLong)/360 + (GMTOffset/24) + (IF(DST="Y", 1, 0)/24)</f>
        <v>1.2886059495776248</v>
      </c>
      <c r="AE2642" s="259">
        <f>DATE(2001,9,21)+(M2642/360)*365 - (360*((DecLong/360)- (GMTOffset/24) ))</f>
        <v>37267.932696759257</v>
      </c>
      <c r="AF2642" s="260">
        <f>IF(DecLat&gt;0,IF((90 - (DecLat-O2642))&gt;90, (90 - (O2642-DecLat)), (90 - (DecLat-O2642))),IF((90 + (DecLat-O2642))&gt;90, (90 + (O2642-DecLat)), (90 + (DecLat-O2642))))</f>
        <v>47.903055555555554</v>
      </c>
      <c r="AG2642" s="257">
        <f>angularseperation(MoonRA,MoonDec,$M2642,$O2642)</f>
        <v>127.45789384363913</v>
      </c>
      <c r="AH2642" s="261">
        <f ca="1">MIN(100,IF($O$5&gt;80,0+30*($AG2642/100),IF($O$5&gt;70,0+50*($AG2642/100),IF($O$5&gt;60,5+50*($AG2642/100),IF($O$5&gt;50,10+60*($AG2642/100),IF($O$5&gt;40,15+70*($AG2642/100),IF($O$5&gt;30,20+70*($AG2642/100),IF($O$5&gt;20,40+55*($AG2642/100),(80+(20-$O$5)+30*($AG2642/100))))))))))</f>
        <v>100</v>
      </c>
      <c r="AI2642" s="262"/>
      <c r="AJ2642" s="262"/>
      <c r="AK2642" s="262"/>
      <c r="AL2642" s="263"/>
      <c r="AM2642" s="264"/>
      <c r="AN2642" s="263"/>
      <c r="AO2642" s="263"/>
      <c r="AP2642" s="265"/>
      <c r="AQ2642" s="266"/>
      <c r="AR2642" s="267"/>
      <c r="AS2642" s="263"/>
      <c r="AT2642" s="263"/>
      <c r="AU2642" s="263"/>
      <c r="AV2642" s="264"/>
      <c r="AW2642" s="263"/>
      <c r="AX2642" s="263"/>
      <c r="AY2642" s="263"/>
      <c r="AZ2642" s="263"/>
      <c r="BA2642" s="263"/>
      <c r="BB2642" s="263"/>
      <c r="BC2642" s="263"/>
      <c r="BD2642" s="264"/>
      <c r="BE2642" s="263"/>
      <c r="BF2642" s="263"/>
      <c r="BG2642" s="263">
        <v>41</v>
      </c>
      <c r="BH2642" s="263"/>
      <c r="BI2642" s="263"/>
      <c r="BJ2642" s="404">
        <f>altaz(J2000_Bas,$O2642,$M2642,DecLat,DecLong,2)</f>
        <v>358.69859510295066</v>
      </c>
      <c r="BK2642" s="378" t="s">
        <v>1730</v>
      </c>
      <c r="BL2642" s="379">
        <f>IF((2*G2642)/60&lt;0.2,0.2,(2*G2642)/60)</f>
        <v>8</v>
      </c>
      <c r="BM2642" s="380">
        <f>MOD((50000+AD2642-$B$3+(0/24)),1)</f>
        <v>0.50397287928353762</v>
      </c>
      <c r="BN2642" s="381"/>
      <c r="BO2642" s="382">
        <v>2633</v>
      </c>
    </row>
    <row r="2643" spans="1:67" s="24" customFormat="1" ht="15" customHeight="1" x14ac:dyDescent="0.25">
      <c r="A2643" s="288" t="s">
        <v>6147</v>
      </c>
      <c r="B2643" s="241" t="str">
        <f>HYPERLINK(CONCATENATE($AT$3,BK2643,$AU$3),$AV$3)</f>
        <v>S</v>
      </c>
      <c r="C2643" s="242" t="str">
        <f>HYPERLINK(CONCATENATE($AT$4,BK2643,$AU$4,BL2643),$AV$4)</f>
        <v>A</v>
      </c>
      <c r="D2643" s="243" t="s">
        <v>5638</v>
      </c>
      <c r="E2643" s="244" t="s">
        <v>13</v>
      </c>
      <c r="F2643" s="269"/>
      <c r="G2643" s="273">
        <v>4</v>
      </c>
      <c r="H2643" s="289">
        <v>4.3</v>
      </c>
      <c r="I2643" s="279">
        <v>5</v>
      </c>
      <c r="J2643" s="246">
        <v>3</v>
      </c>
      <c r="K2643" s="247" t="s">
        <v>6149</v>
      </c>
      <c r="L2643" s="248">
        <v>101101</v>
      </c>
      <c r="M2643" s="249">
        <f>15*(LEFT(TEXT($L2643,"000000"),2)+(MID(TEXT($L2643,"000000"),3,2)/60)+(RIGHT(TEXT($L2643,"000000"),2)/3600))</f>
        <v>152.75416666666666</v>
      </c>
      <c r="N2643" s="250">
        <v>-44130</v>
      </c>
      <c r="O2643" s="251">
        <f>IF($N2643&gt;0,(LEFT(TEXT($N2643,"000000"),2)+(MID(TEXT($N2643,"000000"),3,2)/60)+(RIGHT(TEXT($N2643,"000000"),2)/3600)),-(MID(TEXT($N2643,"000000"),2,2)+(MID(TEXT($N2643,"000000"),4,2)/60)+(RIGHT(TEXT($N2643,"000000"),2)/3600)))</f>
        <v>-4.6916666666666673</v>
      </c>
      <c r="P2643" s="252" t="s">
        <v>263</v>
      </c>
      <c r="Q2643" s="253"/>
      <c r="R2643" s="277" t="s">
        <v>3293</v>
      </c>
      <c r="S2643" s="272" t="s">
        <v>3293</v>
      </c>
      <c r="T2643" s="273">
        <v>11.9</v>
      </c>
      <c r="U2643" s="274"/>
      <c r="V2643" s="280"/>
      <c r="W2643" s="244"/>
      <c r="X2643" s="244"/>
      <c r="Y2643" s="362"/>
      <c r="Z2643" s="257">
        <f>altaz(J2000_Bas,$O2643,$M2643,DecLat,DecLong,1)</f>
        <v>-38.862870666415091</v>
      </c>
      <c r="AA2643" s="257">
        <f>altaz((J2000_Bas+(2*0.04167)),$O2643,$M2643,DecLat,DecLong,1)</f>
        <v>-59.376279957527395</v>
      </c>
      <c r="AB2643" s="257">
        <f>altaz((J2000_Bas+(4*0.04167)),$O2643,$M2643,DecLat,DecLong,1)</f>
        <v>-60.82135719176356</v>
      </c>
      <c r="AC2643" s="257">
        <f>altaz((J2000_Bas+(6*0.04167)),$O2643,$M2643,DecLat,DecLong,1)</f>
        <v>-41.436467164065633</v>
      </c>
      <c r="AD2643" s="258">
        <f>1+ transit((J2000_Bas-1),$O2643,$M2643,DecLat,DecLong)/360 + (GMTOffset/24) + (IF(DST="Y", 1, 0)/24)</f>
        <v>1.4172170478276247</v>
      </c>
      <c r="AE2643" s="259">
        <f>DATE(2001,9,21)+(M2643/360)*365 - (360*((DecLong/360)- (GMTOffset/24) ))</f>
        <v>37314.875752314816</v>
      </c>
      <c r="AF2643" s="260">
        <f>IF(DecLat&gt;0,IF((90 - (DecLat-O2643))&gt;90, (90 - (O2643-DecLat)), (90 - (DecLat-O2643))),IF((90 + (DecLat-O2643))&gt;90, (90 + (O2643-DecLat)), (90 + (DecLat-O2643))))</f>
        <v>54.30833333333333</v>
      </c>
      <c r="AG2643" s="257">
        <f>angularseperation(MoonRA,MoonDec,$M2643,$O2643)</f>
        <v>93.613321246282922</v>
      </c>
      <c r="AH2643" s="261">
        <f ca="1">MIN(100,IF($O$5&gt;80,0+30*($AG2643/100),IF($O$5&gt;70,0+50*($AG2643/100),IF($O$5&gt;60,5+50*($AG2643/100),IF($O$5&gt;50,10+60*($AG2643/100),IF($O$5&gt;40,15+70*($AG2643/100),IF($O$5&gt;30,20+70*($AG2643/100),IF($O$5&gt;20,40+55*($AG2643/100),(80+(20-$O$5)+30*($AG2643/100))))))))))</f>
        <v>100</v>
      </c>
      <c r="AI2643" s="263"/>
      <c r="AJ2643" s="263"/>
      <c r="AK2643" s="263"/>
      <c r="AL2643" s="263"/>
      <c r="AM2643" s="264"/>
      <c r="AN2643" s="263"/>
      <c r="AO2643" s="263"/>
      <c r="AP2643" s="265"/>
      <c r="AQ2643" s="265"/>
      <c r="AR2643" s="285"/>
      <c r="AS2643" s="263"/>
      <c r="AT2643" s="263"/>
      <c r="AU2643" s="263"/>
      <c r="AV2643" s="264"/>
      <c r="AW2643" s="263"/>
      <c r="AX2643" s="263"/>
      <c r="AY2643" s="263"/>
      <c r="AZ2643" s="263"/>
      <c r="BA2643" s="263"/>
      <c r="BB2643" s="263"/>
      <c r="BC2643" s="263"/>
      <c r="BD2643" s="264"/>
      <c r="BE2643" s="263"/>
      <c r="BF2643" s="263"/>
      <c r="BG2643" s="263"/>
      <c r="BH2643" s="263"/>
      <c r="BI2643" s="263"/>
      <c r="BJ2643" s="404">
        <f>altaz(J2000_Bas,$O2643,$M2643,DecLat,DecLong,2)</f>
        <v>291.20103626091986</v>
      </c>
      <c r="BK2643" s="378" t="s">
        <v>6148</v>
      </c>
      <c r="BL2643" s="379">
        <f>IF((2*G2643)/60&lt;0.2,0.2,(2*G2643)/60)</f>
        <v>0.2</v>
      </c>
      <c r="BM2643" s="380">
        <f>MOD((50000+AD2643-$B$3+(0/24)),1)</f>
        <v>0.63258397753088502</v>
      </c>
      <c r="BN2643" s="381" t="s">
        <v>9235</v>
      </c>
      <c r="BO2643" s="382">
        <v>2634</v>
      </c>
    </row>
    <row r="2644" spans="1:67" s="24" customFormat="1" ht="15" customHeight="1" x14ac:dyDescent="0.25">
      <c r="A2644" s="288" t="s">
        <v>2462</v>
      </c>
      <c r="B2644" s="241" t="str">
        <f>HYPERLINK(CONCATENATE($AT$3,BK2644,$AU$3),$AV$3)</f>
        <v>S</v>
      </c>
      <c r="C2644" s="242" t="str">
        <f>HYPERLINK(CONCATENATE($AT$4,BK2644,$AU$4,BL2644),$AV$4)</f>
        <v>A</v>
      </c>
      <c r="D2644" s="243" t="s">
        <v>5187</v>
      </c>
      <c r="E2644" s="244" t="s">
        <v>5181</v>
      </c>
      <c r="F2644" s="269" t="s">
        <v>5739</v>
      </c>
      <c r="G2644" s="273">
        <v>3</v>
      </c>
      <c r="H2644" s="283">
        <v>6400</v>
      </c>
      <c r="I2644" s="279">
        <v>6</v>
      </c>
      <c r="J2644" s="246">
        <v>3</v>
      </c>
      <c r="K2644" s="247" t="s">
        <v>4809</v>
      </c>
      <c r="L2644" s="248">
        <v>211406</v>
      </c>
      <c r="M2644" s="249">
        <f>15*(LEFT(TEXT($L2644,"000000"),2)+(MID(TEXT($L2644,"000000"),3,2)/60)+(RIGHT(TEXT($L2644,"000000"),2)/3600))</f>
        <v>318.52499999999998</v>
      </c>
      <c r="N2644" s="250">
        <v>474600</v>
      </c>
      <c r="O2644" s="251">
        <f>IF($N2644&gt;0,(LEFT(TEXT($N2644,"000000"),2)+(MID(TEXT($N2644,"000000"),3,2)/60)+(RIGHT(TEXT($N2644,"000000"),2)/3600)),-(MID(TEXT($N2644,"000000"),2,2)+(MID(TEXT($N2644,"000000"),4,2)/60)+(RIGHT(TEXT($N2644,"000000"),2)/3600)))</f>
        <v>47.766666666666666</v>
      </c>
      <c r="P2644" s="252" t="s">
        <v>60</v>
      </c>
      <c r="Q2644" s="253"/>
      <c r="R2644" s="247" t="s">
        <v>3293</v>
      </c>
      <c r="S2644" s="272" t="s">
        <v>3293</v>
      </c>
      <c r="T2644" s="273"/>
      <c r="U2644" s="274"/>
      <c r="V2644" s="280"/>
      <c r="W2644" s="244"/>
      <c r="X2644" s="244"/>
      <c r="Y2644" s="362"/>
      <c r="Z2644" s="257">
        <f>altaz(J2000_Bas,$O2644,$M2644,DecLat,DecLong,1)</f>
        <v>60.127641924106477</v>
      </c>
      <c r="AA2644" s="257">
        <f>altaz((J2000_Bas+(2*0.04167)),$O2644,$M2644,DecLat,DecLong,1)</f>
        <v>73.130077039419817</v>
      </c>
      <c r="AB2644" s="257">
        <f>altaz((J2000_Bas+(4*0.04167)),$O2644,$M2644,DecLat,DecLong,1)</f>
        <v>63.088449709836574</v>
      </c>
      <c r="AC2644" s="257">
        <f>altaz((J2000_Bas+(6*0.04167)),$O2644,$M2644,DecLat,DecLong,1)</f>
        <v>43.54630710500691</v>
      </c>
      <c r="AD2644" s="258">
        <f>1+ transit((J2000_Bas-1),$O2644,$M2644,DecLat,DecLong)/360 + (GMTOffset/24) + (IF(DST="Y", 1, 0)/24)</f>
        <v>1.877691538817208</v>
      </c>
      <c r="AE2644" s="259">
        <f>DATE(2001,9,21)+(M2644/360)*365 - (360*((DecLong/360)- (GMTOffset/24) ))</f>
        <v>37482.948958333334</v>
      </c>
      <c r="AF2644" s="260">
        <f>IF(DecLat&gt;0,IF((90 - (DecLat-O2644))&gt;90, (90 - (O2644-DecLat)), (90 - (DecLat-O2644))),IF((90 + (DecLat-O2644))&gt;90, (90 + (O2644-DecLat)), (90 + (DecLat-O2644))))</f>
        <v>73.233333333333334</v>
      </c>
      <c r="AG2644" s="257">
        <f>angularseperation(MoonRA,MoonDec,$M2644,$O2644)</f>
        <v>97.204373418370352</v>
      </c>
      <c r="AH2644" s="261">
        <f ca="1">MIN(100,IF($O$5&gt;80,0+30*($AG2644/100),IF($O$5&gt;70,0+50*($AG2644/100),IF($O$5&gt;60,5+50*($AG2644/100),IF($O$5&gt;50,10+60*($AG2644/100),IF($O$5&gt;40,15+70*($AG2644/100),IF($O$5&gt;30,20+70*($AG2644/100),IF($O$5&gt;20,40+55*($AG2644/100),(80+(20-$O$5)+30*($AG2644/100))))))))))</f>
        <v>100</v>
      </c>
      <c r="AI2644" s="262"/>
      <c r="AJ2644" s="262"/>
      <c r="AK2644" s="262"/>
      <c r="AL2644" s="263"/>
      <c r="AM2644" s="264"/>
      <c r="AN2644" s="263"/>
      <c r="AO2644" s="263"/>
      <c r="AP2644" s="265"/>
      <c r="AQ2644" s="266"/>
      <c r="AR2644" s="267"/>
      <c r="AS2644" s="263"/>
      <c r="AT2644" s="263"/>
      <c r="AU2644" s="263"/>
      <c r="AV2644" s="264"/>
      <c r="AW2644" s="263"/>
      <c r="AX2644" s="263"/>
      <c r="AY2644" s="263"/>
      <c r="AZ2644" s="263"/>
      <c r="BA2644" s="263"/>
      <c r="BB2644" s="263"/>
      <c r="BC2644" s="263"/>
      <c r="BD2644" s="264"/>
      <c r="BE2644" s="263"/>
      <c r="BF2644" s="263"/>
      <c r="BG2644" s="263"/>
      <c r="BH2644" s="263">
        <v>34</v>
      </c>
      <c r="BI2644" s="263"/>
      <c r="BJ2644" s="404">
        <f>altaz(J2000_Bas,$O2644,$M2644,DecLat,DecLong,2)</f>
        <v>46.513576721132132</v>
      </c>
      <c r="BK2644" s="378" t="s">
        <v>2462</v>
      </c>
      <c r="BL2644" s="379">
        <f>IF((2*G2644)/60&lt;0.2,0.2,(2*G2644)/60)</f>
        <v>0.2</v>
      </c>
      <c r="BM2644" s="380">
        <f>MOD((50000+AD2644-$B$3+(0/24)),1)</f>
        <v>9.3058468519302551E-2</v>
      </c>
      <c r="BN2644" s="381"/>
      <c r="BO2644" s="382">
        <v>2635</v>
      </c>
    </row>
    <row r="2645" spans="1:67" s="24" customFormat="1" ht="15" customHeight="1" x14ac:dyDescent="0.25">
      <c r="A2645" s="288" t="s">
        <v>2463</v>
      </c>
      <c r="B2645" s="241" t="str">
        <f>HYPERLINK(CONCATENATE($AT$3,BK2645,$AU$3),$AV$3)</f>
        <v>S</v>
      </c>
      <c r="C2645" s="242" t="str">
        <f>HYPERLINK(CONCATENATE($AT$4,BK2645,$AU$4,BL2645),$AV$4)</f>
        <v>A</v>
      </c>
      <c r="D2645" s="243" t="s">
        <v>5187</v>
      </c>
      <c r="E2645" s="244" t="s">
        <v>5181</v>
      </c>
      <c r="F2645" s="269" t="s">
        <v>4793</v>
      </c>
      <c r="G2645" s="273">
        <v>3</v>
      </c>
      <c r="H2645" s="283">
        <v>4000</v>
      </c>
      <c r="I2645" s="279">
        <v>3.4</v>
      </c>
      <c r="J2645" s="246">
        <v>1</v>
      </c>
      <c r="K2645" s="247" t="s">
        <v>8603</v>
      </c>
      <c r="L2645" s="248">
        <v>720</v>
      </c>
      <c r="M2645" s="249">
        <f>15*(LEFT(TEXT($L2645,"000000"),2)+(MID(TEXT($L2645,"000000"),3,2)/60)+(RIGHT(TEXT($L2645,"000000"),2)/3600))</f>
        <v>1.8333333333333333</v>
      </c>
      <c r="N2645" s="250">
        <v>645721</v>
      </c>
      <c r="O2645" s="251">
        <f>IF($N2645&gt;0,(LEFT(TEXT($N2645,"000000"),2)+(MID(TEXT($N2645,"000000"),3,2)/60)+(RIGHT(TEXT($N2645,"000000"),2)/3600)),-(MID(TEXT($N2645,"000000"),2,2)+(MID(TEXT($N2645,"000000"),4,2)/60)+(RIGHT(TEXT($N2645,"000000"),2)/3600)))</f>
        <v>64.955833333333331</v>
      </c>
      <c r="P2645" s="252" t="s">
        <v>49</v>
      </c>
      <c r="Q2645" s="253"/>
      <c r="R2645" s="247" t="s">
        <v>3293</v>
      </c>
      <c r="S2645" s="272" t="s">
        <v>3293</v>
      </c>
      <c r="T2645" s="273">
        <v>13.9</v>
      </c>
      <c r="U2645" s="274"/>
      <c r="V2645" s="280"/>
      <c r="W2645" s="244"/>
      <c r="X2645" s="244"/>
      <c r="Y2645" s="362"/>
      <c r="Z2645" s="257">
        <f>altaz(J2000_Bas,$O2645,$M2645,DecLat,DecLong,1)</f>
        <v>33.740829857066181</v>
      </c>
      <c r="AA2645" s="257">
        <f>altaz((J2000_Bas+(2*0.04167)),$O2645,$M2645,DecLat,DecLong,1)</f>
        <v>46.040286876258044</v>
      </c>
      <c r="AB2645" s="257">
        <f>altaz((J2000_Bas+(4*0.04167)),$O2645,$M2645,DecLat,DecLong,1)</f>
        <v>54.686028461577635</v>
      </c>
      <c r="AC2645" s="257">
        <f>altaz((J2000_Bas+(6*0.04167)),$O2645,$M2645,DecLat,DecLong,1)</f>
        <v>54.88832613753965</v>
      </c>
      <c r="AD2645" s="258">
        <f>1+ transit((J2000_Bas-1),$O2645,$M2645,DecLat,DecLong)/360 + (GMTOffset/24) + (IF(DST="Y", 1, 0)/24)</f>
        <v>0.99799255271304121</v>
      </c>
      <c r="AE2645" s="259">
        <f>DATE(2001,9,21)+(M2645/360)*365 - (360*((DecLong/360)- (GMTOffset/24) ))</f>
        <v>37161.858796296299</v>
      </c>
      <c r="AF2645" s="260">
        <f>IF(DecLat&gt;0,IF((90 - (DecLat-O2645))&gt;90, (90 - (O2645-DecLat)), (90 - (DecLat-O2645))),IF((90 + (DecLat-O2645))&gt;90, (90 + (O2645-DecLat)), (90 + (DecLat-O2645))))</f>
        <v>56.044166666666669</v>
      </c>
      <c r="AG2645" s="257">
        <f>angularseperation(MoonRA,MoonDec,$M2645,$O2645)</f>
        <v>123.8677980542505</v>
      </c>
      <c r="AH2645" s="261">
        <f ca="1">MIN(100,IF($O$5&gt;80,0+30*($AG2645/100),IF($O$5&gt;70,0+50*($AG2645/100),IF($O$5&gt;60,5+50*($AG2645/100),IF($O$5&gt;50,10+60*($AG2645/100),IF($O$5&gt;40,15+70*($AG2645/100),IF($O$5&gt;30,20+70*($AG2645/100),IF($O$5&gt;20,40+55*($AG2645/100),(80+(20-$O$5)+30*($AG2645/100))))))))))</f>
        <v>100</v>
      </c>
      <c r="AI2645" s="262"/>
      <c r="AJ2645" s="262"/>
      <c r="AK2645" s="262"/>
      <c r="AL2645" s="263"/>
      <c r="AM2645" s="264"/>
      <c r="AN2645" s="263"/>
      <c r="AO2645" s="263"/>
      <c r="AP2645" s="265"/>
      <c r="AQ2645" s="266"/>
      <c r="AR2645" s="267"/>
      <c r="AS2645" s="263"/>
      <c r="AT2645" s="263"/>
      <c r="AU2645" s="263"/>
      <c r="AV2645" s="264"/>
      <c r="AW2645" s="263"/>
      <c r="AX2645" s="263"/>
      <c r="AY2645" s="263"/>
      <c r="AZ2645" s="263"/>
      <c r="BA2645" s="263"/>
      <c r="BB2645" s="263"/>
      <c r="BC2645" s="263"/>
      <c r="BD2645" s="264"/>
      <c r="BE2645" s="263"/>
      <c r="BF2645" s="263"/>
      <c r="BG2645" s="263"/>
      <c r="BH2645" s="263"/>
      <c r="BI2645" s="263"/>
      <c r="BJ2645" s="404">
        <f>altaz(J2000_Bas,$O2645,$M2645,DecLat,DecLong,2)</f>
        <v>29.575952254533728</v>
      </c>
      <c r="BK2645" s="378" t="s">
        <v>2463</v>
      </c>
      <c r="BL2645" s="379">
        <f>IF((2*G2645)/60&lt;0.2,0.2,(2*G2645)/60)</f>
        <v>0.2</v>
      </c>
      <c r="BM2645" s="380">
        <f>MOD((50000+AD2645-$B$3+(0/24)),1)</f>
        <v>0.21335948241903679</v>
      </c>
      <c r="BN2645" s="381"/>
      <c r="BO2645" s="382">
        <v>2636</v>
      </c>
    </row>
    <row r="2646" spans="1:67" s="24" customFormat="1" ht="15" customHeight="1" x14ac:dyDescent="0.25">
      <c r="A2646" s="288" t="s">
        <v>3284</v>
      </c>
      <c r="B2646" s="241" t="str">
        <f>HYPERLINK(CONCATENATE($AT$3,BK2646,$AU$3),$AV$3)</f>
        <v>S</v>
      </c>
      <c r="C2646" s="242" t="str">
        <f>HYPERLINK(CONCATENATE($AT$4,BK2646,$AU$4,BL2646),$AV$4)</f>
        <v>A</v>
      </c>
      <c r="D2646" s="243" t="s">
        <v>5187</v>
      </c>
      <c r="E2646" s="244" t="s">
        <v>7522</v>
      </c>
      <c r="F2646" s="269"/>
      <c r="G2646" s="276">
        <v>90</v>
      </c>
      <c r="H2646" s="283">
        <v>700</v>
      </c>
      <c r="I2646" s="246">
        <v>18</v>
      </c>
      <c r="J2646" s="246">
        <v>2</v>
      </c>
      <c r="K2646" s="247" t="s">
        <v>9364</v>
      </c>
      <c r="L2646" s="248">
        <v>155848</v>
      </c>
      <c r="M2646" s="249">
        <f>15*(LEFT(TEXT($L2646,"000000"),2)+(MID(TEXT($L2646,"000000"),3,2)/60)+(RIGHT(TEXT($L2646,"000000"),2)/3600))</f>
        <v>239.70000000000002</v>
      </c>
      <c r="N2646" s="250">
        <v>-260701</v>
      </c>
      <c r="O2646" s="251">
        <f>IF($N2646&gt;0,(LEFT(TEXT($N2646,"000000"),2)+(MID(TEXT($N2646,"000000"),3,2)/60)+(RIGHT(TEXT($N2646,"000000"),2)/3600)),-(MID(TEXT($N2646,"000000"),2,2)+(MID(TEXT($N2646,"000000"),4,2)/60)+(RIGHT(TEXT($N2646,"000000"),2)/3600)))</f>
        <v>-26.116944444444446</v>
      </c>
      <c r="P2646" s="252" t="s">
        <v>109</v>
      </c>
      <c r="Q2646" s="253"/>
      <c r="R2646" s="277" t="s">
        <v>3293</v>
      </c>
      <c r="S2646" s="272" t="s">
        <v>5110</v>
      </c>
      <c r="T2646" s="273"/>
      <c r="U2646" s="274"/>
      <c r="V2646" s="280"/>
      <c r="W2646" s="244"/>
      <c r="X2646" s="244"/>
      <c r="Y2646" s="362"/>
      <c r="Z2646" s="257">
        <f>altaz(J2000_Bas,$O2646,$M2646,DecLat,DecLong,1)</f>
        <v>17.757488625657427</v>
      </c>
      <c r="AA2646" s="257">
        <f>altaz((J2000_Bas+(2*0.04167)),$O2646,$M2646,DecLat,DecLong,1)</f>
        <v>-2.612330226517058</v>
      </c>
      <c r="AB2646" s="257">
        <f>altaz((J2000_Bas+(4*0.04167)),$O2646,$M2646,DecLat,DecLong,1)</f>
        <v>-26.420126690681904</v>
      </c>
      <c r="AC2646" s="257">
        <f>altaz((J2000_Bas+(6*0.04167)),$O2646,$M2646,DecLat,DecLong,1)</f>
        <v>-51.769287387463166</v>
      </c>
      <c r="AD2646" s="258">
        <f>1+ transit((J2000_Bas-1),$O2646,$M2646,DecLat,DecLong)/360 + (GMTOffset/24) + (IF(DST="Y", 1, 0)/24)</f>
        <v>1.658733227379708</v>
      </c>
      <c r="AE2646" s="259">
        <f>DATE(2001,9,21)+(M2646/360)*365 - (360*((DecLong/360)- (GMTOffset/24) ))</f>
        <v>37403.029166666667</v>
      </c>
      <c r="AF2646" s="260">
        <f>IF(DecLat&gt;0,IF((90 - (DecLat-O2646))&gt;90, (90 - (O2646-DecLat)), (90 - (DecLat-O2646))),IF((90 + (DecLat-O2646))&gt;90, (90 + (O2646-DecLat)), (90 + (DecLat-O2646))))</f>
        <v>32.883055555555558</v>
      </c>
      <c r="AG2646" s="257">
        <f>angularseperation(MoonRA,MoonDec,$M2646,$O2646)</f>
        <v>8.5843990653335158</v>
      </c>
      <c r="AH2646" s="261">
        <f ca="1">MIN(100,IF($O$5&gt;80,0+30*($AG2646/100),IF($O$5&gt;70,0+50*($AG2646/100),IF($O$5&gt;60,5+50*($AG2646/100),IF($O$5&gt;50,10+60*($AG2646/100),IF($O$5&gt;40,15+70*($AG2646/100),IF($O$5&gt;30,20+70*($AG2646/100),IF($O$5&gt;20,40+55*($AG2646/100),(80+(20-$O$5)+30*($AG2646/100))))))))))</f>
        <v>85.846380063750487</v>
      </c>
      <c r="AI2646" s="263"/>
      <c r="AJ2646" s="263"/>
      <c r="AK2646" s="263"/>
      <c r="AL2646" s="263"/>
      <c r="AM2646" s="264"/>
      <c r="AN2646" s="263"/>
      <c r="AO2646" s="263"/>
      <c r="AP2646" s="265"/>
      <c r="AQ2646" s="265"/>
      <c r="AR2646" s="285"/>
      <c r="AS2646" s="263"/>
      <c r="AT2646" s="263"/>
      <c r="AU2646" s="263"/>
      <c r="AV2646" s="264"/>
      <c r="AW2646" s="263"/>
      <c r="AX2646" s="263"/>
      <c r="AY2646" s="263">
        <v>1093</v>
      </c>
      <c r="AZ2646" s="263"/>
      <c r="BA2646" s="263"/>
      <c r="BB2646" s="263"/>
      <c r="BC2646" s="263"/>
      <c r="BD2646" s="264"/>
      <c r="BE2646" s="263"/>
      <c r="BF2646" s="263"/>
      <c r="BG2646" s="263"/>
      <c r="BH2646" s="263"/>
      <c r="BI2646" s="263">
        <v>68</v>
      </c>
      <c r="BJ2646" s="404">
        <f>altaz(J2000_Bas,$O2646,$M2646,DecLat,DecLong,2)</f>
        <v>222.97315502661664</v>
      </c>
      <c r="BK2646" s="378" t="s">
        <v>3284</v>
      </c>
      <c r="BL2646" s="379">
        <f>IF((2*G2646)/60&lt;0.2,0.2,(2*G2646)/60)</f>
        <v>3</v>
      </c>
      <c r="BM2646" s="380">
        <f>MOD((50000+AD2646-$B$3+(0/24)),1)</f>
        <v>0.87410015708155697</v>
      </c>
      <c r="BN2646" s="381"/>
      <c r="BO2646" s="382">
        <v>2637</v>
      </c>
    </row>
    <row r="2647" spans="1:67" s="24" customFormat="1" ht="15" customHeight="1" x14ac:dyDescent="0.25">
      <c r="A2647" s="288" t="s">
        <v>2464</v>
      </c>
      <c r="B2647" s="241" t="str">
        <f>HYPERLINK(CONCATENATE($AT$3,BK2647,$AU$3),$AV$3)</f>
        <v>S</v>
      </c>
      <c r="C2647" s="242" t="str">
        <f>HYPERLINK(CONCATENATE($AT$4,BK2647,$AU$4,BL2647),$AV$4)</f>
        <v>A</v>
      </c>
      <c r="D2647" s="243" t="s">
        <v>5187</v>
      </c>
      <c r="E2647" s="244" t="s">
        <v>5183</v>
      </c>
      <c r="F2647" s="269" t="s">
        <v>5180</v>
      </c>
      <c r="G2647" s="273">
        <v>8</v>
      </c>
      <c r="H2647" s="283">
        <v>4000</v>
      </c>
      <c r="I2647" s="244">
        <v>10</v>
      </c>
      <c r="J2647" s="246">
        <v>3</v>
      </c>
      <c r="K2647" s="247" t="s">
        <v>5111</v>
      </c>
      <c r="L2647" s="248">
        <v>171225</v>
      </c>
      <c r="M2647" s="249">
        <f>15*(LEFT(TEXT($L2647,"000000"),2)+(MID(TEXT($L2647,"000000"),3,2)/60)+(RIGHT(TEXT($L2647,"000000"),2)/3600))</f>
        <v>258.10416666666663</v>
      </c>
      <c r="N2647" s="250">
        <v>-382734</v>
      </c>
      <c r="O2647" s="251">
        <f>IF($N2647&gt;0,(LEFT(TEXT($N2647,"000000"),2)+(MID(TEXT($N2647,"000000"),3,2)/60)+(RIGHT(TEXT($N2647,"000000"),2)/3600)),-(MID(TEXT($N2647,"000000"),2,2)+(MID(TEXT($N2647,"000000"),4,2)/60)+(RIGHT(TEXT($N2647,"000000"),2)/3600)))</f>
        <v>-38.459444444444451</v>
      </c>
      <c r="P2647" s="252" t="s">
        <v>109</v>
      </c>
      <c r="Q2647" s="253"/>
      <c r="R2647" s="247" t="s">
        <v>5623</v>
      </c>
      <c r="S2647" s="272" t="s">
        <v>3293</v>
      </c>
      <c r="T2647" s="273">
        <v>18</v>
      </c>
      <c r="U2647" s="274"/>
      <c r="V2647" s="280"/>
      <c r="W2647" s="244"/>
      <c r="X2647" s="244"/>
      <c r="Y2647" s="362"/>
      <c r="Z2647" s="257">
        <f>altaz(J2000_Bas,$O2647,$M2647,DecLat,DecLong,1)</f>
        <v>15.834632014097112</v>
      </c>
      <c r="AA2647" s="257">
        <f>altaz((J2000_Bas+(2*0.04167)),$O2647,$M2647,DecLat,DecLong,1)</f>
        <v>2.0355297208906564</v>
      </c>
      <c r="AB2647" s="257">
        <f>altaz((J2000_Bas+(4*0.04167)),$O2647,$M2647,DecLat,DecLong,1)</f>
        <v>-17.319483435403924</v>
      </c>
      <c r="AC2647" s="257">
        <f>altaz((J2000_Bas+(6*0.04167)),$O2647,$M2647,DecLat,DecLong,1)</f>
        <v>-39.569700002319678</v>
      </c>
      <c r="AD2647" s="258">
        <f>1+ transit((J2000_Bas-1),$O2647,$M2647,DecLat,DecLong)/360 + (GMTOffset/24) + (IF(DST="Y", 1, 0)/24)</f>
        <v>1.7098559074526245</v>
      </c>
      <c r="AE2647" s="259">
        <f>DATE(2001,9,21)+(M2647/360)*365 - (360*((DecLong/360)- (GMTOffset/24) ))</f>
        <v>37421.688946759263</v>
      </c>
      <c r="AF2647" s="260">
        <f>IF(DecLat&gt;0,IF((90 - (DecLat-O2647))&gt;90, (90 - (O2647-DecLat)), (90 - (DecLat-O2647))),IF((90 + (DecLat-O2647))&gt;90, (90 + (O2647-DecLat)), (90 + (DecLat-O2647))))</f>
        <v>20.540555555555557</v>
      </c>
      <c r="AG2647" s="257">
        <f>angularseperation(MoonRA,MoonDec,$M2647,$O2647)</f>
        <v>13.582470475126906</v>
      </c>
      <c r="AH2647" s="261">
        <f ca="1">MIN(100,IF($O$5&gt;80,0+30*($AG2647/100),IF($O$5&gt;70,0+50*($AG2647/100),IF($O$5&gt;60,5+50*($AG2647/100),IF($O$5&gt;50,10+60*($AG2647/100),IF($O$5&gt;40,15+70*($AG2647/100),IF($O$5&gt;30,20+70*($AG2647/100),IF($O$5&gt;20,40+55*($AG2647/100),(80+(20-$O$5)+30*($AG2647/100))))))))))</f>
        <v>87.345801486688501</v>
      </c>
      <c r="AI2647" s="262"/>
      <c r="AJ2647" s="262"/>
      <c r="AK2647" s="262"/>
      <c r="AL2647" s="263"/>
      <c r="AM2647" s="264"/>
      <c r="AN2647" s="263"/>
      <c r="AO2647" s="263"/>
      <c r="AP2647" s="265"/>
      <c r="AQ2647" s="266"/>
      <c r="AR2647" s="267"/>
      <c r="AS2647" s="263"/>
      <c r="AT2647" s="263"/>
      <c r="AU2647" s="263"/>
      <c r="AV2647" s="264"/>
      <c r="AW2647" s="263"/>
      <c r="AX2647" s="263">
        <v>58</v>
      </c>
      <c r="AY2647" s="263"/>
      <c r="AZ2647" s="263"/>
      <c r="BA2647" s="263">
        <v>120</v>
      </c>
      <c r="BB2647" s="263">
        <v>3</v>
      </c>
      <c r="BC2647" s="263"/>
      <c r="BD2647" s="264"/>
      <c r="BE2647" s="263"/>
      <c r="BF2647" s="263"/>
      <c r="BG2647" s="263">
        <v>72</v>
      </c>
      <c r="BH2647" s="263"/>
      <c r="BI2647" s="263"/>
      <c r="BJ2647" s="404">
        <f>altaz(J2000_Bas,$O2647,$M2647,DecLat,DecLong,2)</f>
        <v>202.3860350089474</v>
      </c>
      <c r="BK2647" s="378" t="s">
        <v>2464</v>
      </c>
      <c r="BL2647" s="379">
        <f>IF((2*G2647)/60&lt;0.2,0.2,(2*G2647)/60)</f>
        <v>0.26666666666666666</v>
      </c>
      <c r="BM2647" s="380">
        <f>MOD((50000+AD2647-$B$3+(0/24)),1)</f>
        <v>0.92522283715516096</v>
      </c>
      <c r="BN2647" s="381"/>
      <c r="BO2647" s="382">
        <v>2638</v>
      </c>
    </row>
    <row r="2648" spans="1:67" s="24" customFormat="1" ht="15" customHeight="1" x14ac:dyDescent="0.25">
      <c r="A2648" s="288" t="s">
        <v>2465</v>
      </c>
      <c r="B2648" s="241" t="str">
        <f>HYPERLINK(CONCATENATE($AT$3,BK2648,$AU$3),$AV$3)</f>
        <v>S</v>
      </c>
      <c r="C2648" s="242" t="str">
        <f>HYPERLINK(CONCATENATE($AT$4,BK2648,$AU$4,BL2648),$AV$4)</f>
        <v>A</v>
      </c>
      <c r="D2648" s="243" t="s">
        <v>5187</v>
      </c>
      <c r="E2648" s="244" t="s">
        <v>5183</v>
      </c>
      <c r="F2648" s="269" t="s">
        <v>5180</v>
      </c>
      <c r="G2648" s="273">
        <v>2</v>
      </c>
      <c r="H2648" s="283">
        <v>8000</v>
      </c>
      <c r="I2648" s="279">
        <v>5</v>
      </c>
      <c r="J2648" s="246">
        <v>1</v>
      </c>
      <c r="K2648" s="247" t="s">
        <v>6247</v>
      </c>
      <c r="L2648" s="248">
        <v>171800</v>
      </c>
      <c r="M2648" s="249">
        <f>15*(LEFT(TEXT($L2648,"000000"),2)+(MID(TEXT($L2648,"000000"),3,2)/60)+(RIGHT(TEXT($L2648,"000000"),2)/3600))</f>
        <v>259.5</v>
      </c>
      <c r="N2648" s="286">
        <v>-391800</v>
      </c>
      <c r="O2648" s="251">
        <f>IF($N2648&gt;0,(LEFT(TEXT($N2648,"000000"),2)+(MID(TEXT($N2648,"000000"),3,2)/60)+(RIGHT(TEXT($N2648,"000000"),2)/3600)),-(MID(TEXT($N2648,"000000"),2,2)+(MID(TEXT($N2648,"000000"),4,2)/60)+(RIGHT(TEXT($N2648,"000000"),2)/3600)))</f>
        <v>-39.299999999999997</v>
      </c>
      <c r="P2648" s="252" t="s">
        <v>109</v>
      </c>
      <c r="Q2648" s="253"/>
      <c r="R2648" s="277" t="s">
        <v>6059</v>
      </c>
      <c r="S2648" s="272" t="s">
        <v>3293</v>
      </c>
      <c r="T2648" s="273"/>
      <c r="U2648" s="274"/>
      <c r="V2648" s="280"/>
      <c r="W2648" s="244"/>
      <c r="X2648" s="244"/>
      <c r="Y2648" s="362"/>
      <c r="Z2648" s="257">
        <f>altaz(J2000_Bas,$O2648,$M2648,DecLat,DecLong,1)</f>
        <v>15.509047854444381</v>
      </c>
      <c r="AA2648" s="257">
        <f>altaz((J2000_Bas+(2*0.04167)),$O2648,$M2648,DecLat,DecLong,1)</f>
        <v>2.2378767599489677</v>
      </c>
      <c r="AB2648" s="257">
        <f>altaz((J2000_Bas+(4*0.04167)),$O2648,$M2648,DecLat,DecLong,1)</f>
        <v>-16.720639212066249</v>
      </c>
      <c r="AC2648" s="257">
        <f>altaz((J2000_Bas+(6*0.04167)),$O2648,$M2648,DecLat,DecLong,1)</f>
        <v>-38.670077667525369</v>
      </c>
      <c r="AD2648" s="258">
        <f>1+ transit((J2000_Bas-1),$O2648,$M2648,DecLat,DecLong)/360 + (GMTOffset/24) + (IF(DST="Y", 1, 0)/24)</f>
        <v>1.7137332218797081</v>
      </c>
      <c r="AE2648" s="259">
        <f>DATE(2001,9,21)+(M2648/360)*365 - (360*((DecLong/360)- (GMTOffset/24) ))</f>
        <v>37423.104166666664</v>
      </c>
      <c r="AF2648" s="260">
        <f>IF(DecLat&gt;0,IF((90 - (DecLat-O2648))&gt;90, (90 - (O2648-DecLat)), (90 - (DecLat-O2648))),IF((90 + (DecLat-O2648))&gt;90, (90 + (O2648-DecLat)), (90 + (DecLat-O2648))))</f>
        <v>19.700000000000003</v>
      </c>
      <c r="AG2648" s="257">
        <f>angularseperation(MoonRA,MoonDec,$M2648,$O2648)</f>
        <v>14.907095335045403</v>
      </c>
      <c r="AH2648" s="261">
        <f ca="1">MIN(100,IF($O$5&gt;80,0+30*($AG2648/100),IF($O$5&gt;70,0+50*($AG2648/100),IF($O$5&gt;60,5+50*($AG2648/100),IF($O$5&gt;50,10+60*($AG2648/100),IF($O$5&gt;40,15+70*($AG2648/100),IF($O$5&gt;30,20+70*($AG2648/100),IF($O$5&gt;20,40+55*($AG2648/100),(80+(20-$O$5)+30*($AG2648/100))))))))))</f>
        <v>87.743188944664041</v>
      </c>
      <c r="AI2648" s="263"/>
      <c r="AJ2648" s="263"/>
      <c r="AK2648" s="263"/>
      <c r="AL2648" s="263"/>
      <c r="AM2648" s="264"/>
      <c r="AN2648" s="263"/>
      <c r="AO2648" s="263"/>
      <c r="AP2648" s="265"/>
      <c r="AQ2648" s="265"/>
      <c r="AR2648" s="285"/>
      <c r="AS2648" s="263"/>
      <c r="AT2648" s="263"/>
      <c r="AU2648" s="263"/>
      <c r="AV2648" s="264"/>
      <c r="AW2648" s="263"/>
      <c r="AX2648" s="263"/>
      <c r="AY2648" s="263"/>
      <c r="AZ2648" s="263"/>
      <c r="BA2648" s="263">
        <v>121</v>
      </c>
      <c r="BB2648" s="263">
        <v>4</v>
      </c>
      <c r="BC2648" s="263"/>
      <c r="BD2648" s="264"/>
      <c r="BE2648" s="263"/>
      <c r="BF2648" s="263"/>
      <c r="BG2648" s="263"/>
      <c r="BH2648" s="263"/>
      <c r="BI2648" s="263"/>
      <c r="BJ2648" s="404">
        <f>altaz(J2000_Bas,$O2648,$M2648,DecLat,DecLong,2)</f>
        <v>200.99989931809878</v>
      </c>
      <c r="BK2648" s="378" t="s">
        <v>2465</v>
      </c>
      <c r="BL2648" s="379">
        <f>IF((2*G2648)/60&lt;0.2,0.2,(2*G2648)/60)</f>
        <v>0.2</v>
      </c>
      <c r="BM2648" s="380">
        <f>MOD((50000+AD2648-$B$3+(0/24)),1)</f>
        <v>0.92910015158122405</v>
      </c>
      <c r="BN2648" s="381"/>
      <c r="BO2648" s="382">
        <v>2639</v>
      </c>
    </row>
    <row r="2649" spans="1:67" s="24" customFormat="1" ht="15" customHeight="1" x14ac:dyDescent="0.25">
      <c r="A2649" s="288" t="s">
        <v>2466</v>
      </c>
      <c r="B2649" s="241" t="str">
        <f>HYPERLINK(CONCATENATE($AT$3,BK2649,$AU$3),$AV$3)</f>
        <v>S</v>
      </c>
      <c r="C2649" s="242" t="str">
        <f>HYPERLINK(CONCATENATE($AT$4,BK2649,$AU$4,BL2649),$AV$4)</f>
        <v>A</v>
      </c>
      <c r="D2649" s="243" t="s">
        <v>5187</v>
      </c>
      <c r="E2649" s="244" t="s">
        <v>5183</v>
      </c>
      <c r="F2649" s="269" t="s">
        <v>5180</v>
      </c>
      <c r="G2649" s="276">
        <v>100</v>
      </c>
      <c r="H2649" s="283">
        <v>3000</v>
      </c>
      <c r="I2649" s="246">
        <v>90</v>
      </c>
      <c r="J2649" s="246">
        <v>1</v>
      </c>
      <c r="K2649" s="247" t="s">
        <v>6248</v>
      </c>
      <c r="L2649" s="248">
        <v>171950</v>
      </c>
      <c r="M2649" s="249">
        <f>15*(LEFT(TEXT($L2649,"000000"),2)+(MID(TEXT($L2649,"000000"),3,2)/60)+(RIGHT(TEXT($L2649,"000000"),2)/3600))</f>
        <v>259.95833333333331</v>
      </c>
      <c r="N2649" s="286">
        <v>-382400</v>
      </c>
      <c r="O2649" s="251">
        <f>IF($N2649&gt;0,(LEFT(TEXT($N2649,"000000"),2)+(MID(TEXT($N2649,"000000"),3,2)/60)+(RIGHT(TEXT($N2649,"000000"),2)/3600)),-(MID(TEXT($N2649,"000000"),2,2)+(MID(TEXT($N2649,"000000"),4,2)/60)+(RIGHT(TEXT($N2649,"000000"),2)/3600)))</f>
        <v>-38.4</v>
      </c>
      <c r="P2649" s="252" t="s">
        <v>109</v>
      </c>
      <c r="Q2649" s="253"/>
      <c r="R2649" s="277" t="s">
        <v>6060</v>
      </c>
      <c r="S2649" s="272" t="s">
        <v>3293</v>
      </c>
      <c r="T2649" s="273"/>
      <c r="U2649" s="274"/>
      <c r="V2649" s="280"/>
      <c r="W2649" s="244"/>
      <c r="X2649" s="244"/>
      <c r="Y2649" s="362"/>
      <c r="Z2649" s="257">
        <f>altaz(J2000_Bas,$O2649,$M2649,DecLat,DecLong,1)</f>
        <v>16.476859047352448</v>
      </c>
      <c r="AA2649" s="257">
        <f>altaz((J2000_Bas+(2*0.04167)),$O2649,$M2649,DecLat,DecLong,1)</f>
        <v>3.1226425261795412</v>
      </c>
      <c r="AB2649" s="257">
        <f>altaz((J2000_Bas+(4*0.04167)),$O2649,$M2649,DecLat,DecLong,1)</f>
        <v>-15.99487572060921</v>
      </c>
      <c r="AC2649" s="257">
        <f>altaz((J2000_Bas+(6*0.04167)),$O2649,$M2649,DecLat,DecLong,1)</f>
        <v>-38.135902408477826</v>
      </c>
      <c r="AD2649" s="258">
        <f>1+ transit((J2000_Bas-1),$O2649,$M2649,DecLat,DecLong)/360 + (GMTOffset/24) + (IF(DST="Y", 1, 0)/24)</f>
        <v>1.7150063699005413</v>
      </c>
      <c r="AE2649" s="259">
        <f>DATE(2001,9,21)+(M2649/360)*365 - (360*((DecLong/360)- (GMTOffset/24) ))</f>
        <v>37423.568865740737</v>
      </c>
      <c r="AF2649" s="260">
        <f>IF(DecLat&gt;0,IF((90 - (DecLat-O2649))&gt;90, (90 - (O2649-DecLat)), (90 - (DecLat-O2649))),IF((90 + (DecLat-O2649))&gt;90, (90 + (O2649-DecLat)), (90 + (DecLat-O2649))))</f>
        <v>20.599999999999994</v>
      </c>
      <c r="AG2649" s="257">
        <f>angularseperation(MoonRA,MoonDec,$M2649,$O2649)</f>
        <v>14.444185148456787</v>
      </c>
      <c r="AH2649" s="261">
        <f ca="1">MIN(100,IF($O$5&gt;80,0+30*($AG2649/100),IF($O$5&gt;70,0+50*($AG2649/100),IF($O$5&gt;60,5+50*($AG2649/100),IF($O$5&gt;50,10+60*($AG2649/100),IF($O$5&gt;40,15+70*($AG2649/100),IF($O$5&gt;30,20+70*($AG2649/100),IF($O$5&gt;20,40+55*($AG2649/100),(80+(20-$O$5)+30*($AG2649/100))))))))))</f>
        <v>87.604315888687466</v>
      </c>
      <c r="AI2649" s="263"/>
      <c r="AJ2649" s="263"/>
      <c r="AK2649" s="263"/>
      <c r="AL2649" s="263"/>
      <c r="AM2649" s="264"/>
      <c r="AN2649" s="263"/>
      <c r="AO2649" s="263"/>
      <c r="AP2649" s="265"/>
      <c r="AQ2649" s="265"/>
      <c r="AR2649" s="285"/>
      <c r="AS2649" s="263"/>
      <c r="AT2649" s="263"/>
      <c r="AU2649" s="263"/>
      <c r="AV2649" s="264"/>
      <c r="AW2649" s="263"/>
      <c r="AX2649" s="263">
        <v>59</v>
      </c>
      <c r="AY2649" s="263"/>
      <c r="AZ2649" s="263"/>
      <c r="BA2649" s="263">
        <v>123</v>
      </c>
      <c r="BB2649" s="263">
        <v>5</v>
      </c>
      <c r="BC2649" s="263"/>
      <c r="BD2649" s="264"/>
      <c r="BE2649" s="263"/>
      <c r="BF2649" s="263"/>
      <c r="BG2649" s="263"/>
      <c r="BH2649" s="263"/>
      <c r="BI2649" s="263"/>
      <c r="BJ2649" s="404">
        <f>altaz(J2000_Bas,$O2649,$M2649,DecLat,DecLong,2)</f>
        <v>201.02827086213821</v>
      </c>
      <c r="BK2649" s="378" t="s">
        <v>2466</v>
      </c>
      <c r="BL2649" s="379">
        <f>IF((2*G2649)/60&lt;0.2,0.2,(2*G2649)/60)</f>
        <v>3.3333333333333335</v>
      </c>
      <c r="BM2649" s="380">
        <f>MOD((50000+AD2649-$B$3+(0/24)),1)</f>
        <v>0.93037329960498028</v>
      </c>
      <c r="BN2649" s="381"/>
      <c r="BO2649" s="382">
        <v>2640</v>
      </c>
    </row>
    <row r="2650" spans="1:67" s="24" customFormat="1" ht="15" customHeight="1" x14ac:dyDescent="0.25">
      <c r="A2650" s="288" t="s">
        <v>2467</v>
      </c>
      <c r="B2650" s="241" t="str">
        <f>HYPERLINK(CONCATENATE($AT$3,BK2650,$AU$3),$AV$3)</f>
        <v>S</v>
      </c>
      <c r="C2650" s="242" t="str">
        <f>HYPERLINK(CONCATENATE($AT$4,BK2650,$AU$4,BL2650),$AV$4)</f>
        <v>A</v>
      </c>
      <c r="D2650" s="243" t="s">
        <v>5187</v>
      </c>
      <c r="E2650" s="244" t="s">
        <v>5183</v>
      </c>
      <c r="F2650" s="269" t="s">
        <v>5180</v>
      </c>
      <c r="G2650" s="276">
        <v>270</v>
      </c>
      <c r="H2650" s="283">
        <v>700</v>
      </c>
      <c r="I2650" s="246">
        <v>60</v>
      </c>
      <c r="J2650" s="246">
        <v>1</v>
      </c>
      <c r="K2650" s="247" t="s">
        <v>6248</v>
      </c>
      <c r="L2650" s="248">
        <v>155900</v>
      </c>
      <c r="M2650" s="249">
        <f>15*(LEFT(TEXT($L2650,"000000"),2)+(MID(TEXT($L2650,"000000"),3,2)/60)+(RIGHT(TEXT($L2650,"000000"),2)/3600))</f>
        <v>239.75</v>
      </c>
      <c r="N2650" s="286">
        <v>-220300</v>
      </c>
      <c r="O2650" s="251">
        <f>IF($N2650&gt;0,(LEFT(TEXT($N2650,"000000"),2)+(MID(TEXT($N2650,"000000"),3,2)/60)+(RIGHT(TEXT($N2650,"000000"),2)/3600)),-(MID(TEXT($N2650,"000000"),2,2)+(MID(TEXT($N2650,"000000"),4,2)/60)+(RIGHT(TEXT($N2650,"000000"),2)/3600)))</f>
        <v>-22.05</v>
      </c>
      <c r="P2650" s="252" t="s">
        <v>109</v>
      </c>
      <c r="Q2650" s="253"/>
      <c r="R2650" s="277" t="s">
        <v>3293</v>
      </c>
      <c r="S2650" s="272" t="s">
        <v>3293</v>
      </c>
      <c r="T2650" s="273"/>
      <c r="U2650" s="274"/>
      <c r="V2650" s="280"/>
      <c r="W2650" s="244"/>
      <c r="X2650" s="244"/>
      <c r="Y2650" s="362"/>
      <c r="Z2650" s="257">
        <f>altaz(J2000_Bas,$O2650,$M2650,DecLat,DecLong,1)</f>
        <v>20.855207888921491</v>
      </c>
      <c r="AA2650" s="257">
        <f>altaz((J2000_Bas+(2*0.04167)),$O2650,$M2650,DecLat,DecLong,1)</f>
        <v>-0.32618813199397045</v>
      </c>
      <c r="AB2650" s="257">
        <f>altaz((J2000_Bas+(4*0.04167)),$O2650,$M2650,DecLat,DecLong,1)</f>
        <v>-24.705500574695336</v>
      </c>
      <c r="AC2650" s="257">
        <f>altaz((J2000_Bas+(6*0.04167)),$O2650,$M2650,DecLat,DecLong,1)</f>
        <v>-50.327142404967809</v>
      </c>
      <c r="AD2650" s="258">
        <f>1+ transit((J2000_Bas-1),$O2650,$M2650,DecLat,DecLong)/360 + (GMTOffset/24) + (IF(DST="Y", 1, 0)/24)</f>
        <v>1.658872116254708</v>
      </c>
      <c r="AE2650" s="259">
        <f>DATE(2001,9,21)+(M2650/360)*365 - (360*((DecLong/360)- (GMTOffset/24) ))</f>
        <v>37403.079861111109</v>
      </c>
      <c r="AF2650" s="260">
        <f>IF(DecLat&gt;0,IF((90 - (DecLat-O2650))&gt;90, (90 - (O2650-DecLat)), (90 - (DecLat-O2650))),IF((90 + (DecLat-O2650))&gt;90, (90 + (O2650-DecLat)), (90 + (DecLat-O2650))))</f>
        <v>36.950000000000003</v>
      </c>
      <c r="AG2650" s="257">
        <f>angularseperation(MoonRA,MoonDec,$M2650,$O2650)</f>
        <v>9.987859198574693</v>
      </c>
      <c r="AH2650" s="261">
        <f ca="1">MIN(100,IF($O$5&gt;80,0+30*($AG2650/100),IF($O$5&gt;70,0+50*($AG2650/100),IF($O$5&gt;60,5+50*($AG2650/100),IF($O$5&gt;50,10+60*($AG2650/100),IF($O$5&gt;40,15+70*($AG2650/100),IF($O$5&gt;30,20+70*($AG2650/100),IF($O$5&gt;20,40+55*($AG2650/100),(80+(20-$O$5)+30*($AG2650/100))))))))))</f>
        <v>86.267418103722832</v>
      </c>
      <c r="AI2650" s="263"/>
      <c r="AJ2650" s="263"/>
      <c r="AK2650" s="263"/>
      <c r="AL2650" s="263"/>
      <c r="AM2650" s="264"/>
      <c r="AN2650" s="263"/>
      <c r="AO2650" s="263"/>
      <c r="AP2650" s="265"/>
      <c r="AQ2650" s="265"/>
      <c r="AR2650" s="285"/>
      <c r="AS2650" s="263"/>
      <c r="AT2650" s="263"/>
      <c r="AU2650" s="263"/>
      <c r="AV2650" s="264"/>
      <c r="AW2650" s="263"/>
      <c r="AX2650" s="263"/>
      <c r="AY2650" s="263">
        <v>1099</v>
      </c>
      <c r="AZ2650" s="263"/>
      <c r="BA2650" s="263"/>
      <c r="BB2650" s="263">
        <v>7</v>
      </c>
      <c r="BC2650" s="263"/>
      <c r="BD2650" s="264"/>
      <c r="BE2650" s="263"/>
      <c r="BF2650" s="263"/>
      <c r="BG2650" s="263"/>
      <c r="BH2650" s="263"/>
      <c r="BI2650" s="263"/>
      <c r="BJ2650" s="404">
        <f>altaz(J2000_Bas,$O2650,$M2650,DecLat,DecLong,2)</f>
        <v>225.7662705139557</v>
      </c>
      <c r="BK2650" s="378" t="s">
        <v>2467</v>
      </c>
      <c r="BL2650" s="379">
        <f>IF((2*G2650)/60&lt;0.2,0.2,(2*G2650)/60)</f>
        <v>9</v>
      </c>
      <c r="BM2650" s="380">
        <f>MOD((50000+AD2650-$B$3+(0/24)),1)</f>
        <v>0.87423904595925706</v>
      </c>
      <c r="BN2650" s="381"/>
      <c r="BO2650" s="382">
        <v>2641</v>
      </c>
    </row>
    <row r="2651" spans="1:67" s="24" customFormat="1" ht="15" customHeight="1" x14ac:dyDescent="0.25">
      <c r="A2651" s="288" t="s">
        <v>2468</v>
      </c>
      <c r="B2651" s="241" t="str">
        <f>HYPERLINK(CONCATENATE($AT$3,BK2651,$AU$3),$AV$3)</f>
        <v>S</v>
      </c>
      <c r="C2651" s="242" t="str">
        <f>HYPERLINK(CONCATENATE($AT$4,BK2651,$AU$4,BL2651),$AV$4)</f>
        <v>A</v>
      </c>
      <c r="D2651" s="243" t="s">
        <v>5187</v>
      </c>
      <c r="E2651" s="244" t="s">
        <v>5183</v>
      </c>
      <c r="F2651" s="269" t="s">
        <v>5180</v>
      </c>
      <c r="G2651" s="276">
        <v>55</v>
      </c>
      <c r="H2651" s="283">
        <v>3300</v>
      </c>
      <c r="I2651" s="246">
        <v>50</v>
      </c>
      <c r="J2651" s="246">
        <v>1</v>
      </c>
      <c r="K2651" s="247" t="s">
        <v>6256</v>
      </c>
      <c r="L2651" s="248">
        <v>171700</v>
      </c>
      <c r="M2651" s="249">
        <f>15*(LEFT(TEXT($L2651,"000000"),2)+(MID(TEXT($L2651,"000000"),3,2)/60)+(RIGHT(TEXT($L2651,"000000"),2)/3600))</f>
        <v>259.25</v>
      </c>
      <c r="N2651" s="286">
        <v>-340500</v>
      </c>
      <c r="O2651" s="251">
        <f>IF($N2651&gt;0,(LEFT(TEXT($N2651,"000000"),2)+(MID(TEXT($N2651,"000000"),3,2)/60)+(RIGHT(TEXT($N2651,"000000"),2)/3600)),-(MID(TEXT($N2651,"000000"),2,2)+(MID(TEXT($N2651,"000000"),4,2)/60)+(RIGHT(TEXT($N2651,"000000"),2)/3600)))</f>
        <v>-34.083333333333336</v>
      </c>
      <c r="P2651" s="252" t="s">
        <v>109</v>
      </c>
      <c r="Q2651" s="253"/>
      <c r="R2651" s="277" t="s">
        <v>6062</v>
      </c>
      <c r="S2651" s="272" t="s">
        <v>3293</v>
      </c>
      <c r="T2651" s="273"/>
      <c r="U2651" s="274"/>
      <c r="V2651" s="280"/>
      <c r="W2651" s="244"/>
      <c r="X2651" s="244"/>
      <c r="Y2651" s="362"/>
      <c r="Z2651" s="257">
        <f>altaz(J2000_Bas,$O2651,$M2651,DecLat,DecLong,1)</f>
        <v>20.200596043072164</v>
      </c>
      <c r="AA2651" s="257">
        <f>altaz((J2000_Bas+(2*0.04167)),$O2651,$M2651,DecLat,DecLong,1)</f>
        <v>5.7229056865155625</v>
      </c>
      <c r="AB2651" s="257">
        <f>altaz((J2000_Bas+(4*0.04167)),$O2651,$M2651,DecLat,DecLong,1)</f>
        <v>-14.507283124728772</v>
      </c>
      <c r="AC2651" s="257">
        <f>altaz((J2000_Bas+(6*0.04167)),$O2651,$M2651,DecLat,DecLong,1)</f>
        <v>-37.66149073848446</v>
      </c>
      <c r="AD2651" s="258">
        <f>1+ transit((J2000_Bas-1),$O2651,$M2651,DecLat,DecLong)/360 + (GMTOffset/24) + (IF(DST="Y", 1, 0)/24)</f>
        <v>1.713038777504708</v>
      </c>
      <c r="AE2651" s="259">
        <f>DATE(2001,9,21)+(M2651/360)*365 - (360*((DecLong/360)- (GMTOffset/24) ))</f>
        <v>37422.850694444445</v>
      </c>
      <c r="AF2651" s="260">
        <f>IF(DecLat&gt;0,IF((90 - (DecLat-O2651))&gt;90, (90 - (O2651-DecLat)), (90 - (DecLat-O2651))),IF((90 + (DecLat-O2651))&gt;90, (90 + (O2651-DecLat)), (90 + (DecLat-O2651))))</f>
        <v>24.916666666666657</v>
      </c>
      <c r="AG2651" s="257">
        <f>angularseperation(MoonRA,MoonDec,$M2651,$O2651)</f>
        <v>11.089798828505559</v>
      </c>
      <c r="AH2651" s="261">
        <f ca="1">MIN(100,IF($O$5&gt;80,0+30*($AG2651/100),IF($O$5&gt;70,0+50*($AG2651/100),IF($O$5&gt;60,5+50*($AG2651/100),IF($O$5&gt;50,10+60*($AG2651/100),IF($O$5&gt;40,15+70*($AG2651/100),IF($O$5&gt;30,20+70*($AG2651/100),IF($O$5&gt;20,40+55*($AG2651/100),(80+(20-$O$5)+30*($AG2651/100))))))))))</f>
        <v>86.5979999927021</v>
      </c>
      <c r="AI2651" s="263"/>
      <c r="AJ2651" s="263"/>
      <c r="AK2651" s="263"/>
      <c r="AL2651" s="263"/>
      <c r="AM2651" s="264"/>
      <c r="AN2651" s="263"/>
      <c r="AO2651" s="263"/>
      <c r="AP2651" s="265"/>
      <c r="AQ2651" s="265"/>
      <c r="AR2651" s="285"/>
      <c r="AS2651" s="263"/>
      <c r="AT2651" s="263"/>
      <c r="AU2651" s="263"/>
      <c r="AV2651" s="264"/>
      <c r="AW2651" s="263"/>
      <c r="AX2651" s="263"/>
      <c r="AY2651" s="263"/>
      <c r="AZ2651" s="263"/>
      <c r="BA2651" s="263">
        <v>130</v>
      </c>
      <c r="BB2651" s="263">
        <v>10</v>
      </c>
      <c r="BC2651" s="263"/>
      <c r="BD2651" s="264"/>
      <c r="BE2651" s="263"/>
      <c r="BF2651" s="263"/>
      <c r="BG2651" s="263"/>
      <c r="BH2651" s="263"/>
      <c r="BI2651" s="263"/>
      <c r="BJ2651" s="404">
        <f>altaz(J2000_Bas,$O2651,$M2651,DecLat,DecLong,2)</f>
        <v>203.40644381021042</v>
      </c>
      <c r="BK2651" s="378" t="s">
        <v>2468</v>
      </c>
      <c r="BL2651" s="379">
        <f>IF((2*G2651)/60&lt;0.2,0.2,(2*G2651)/60)</f>
        <v>1.8333333333333333</v>
      </c>
      <c r="BM2651" s="380">
        <f>MOD((50000+AD2651-$B$3+(0/24)),1)</f>
        <v>0.92840570720727555</v>
      </c>
      <c r="BN2651" s="381"/>
      <c r="BO2651" s="382">
        <v>2642</v>
      </c>
    </row>
    <row r="2652" spans="1:67" s="24" customFormat="1" ht="15" customHeight="1" x14ac:dyDescent="0.25">
      <c r="A2652" s="288" t="s">
        <v>2469</v>
      </c>
      <c r="B2652" s="241" t="str">
        <f>HYPERLINK(CONCATENATE($AT$3,BK2652,$AU$3),$AV$3)</f>
        <v>S</v>
      </c>
      <c r="C2652" s="242" t="str">
        <f>HYPERLINK(CONCATENATE($AT$4,BK2652,$AU$4,BL2652),$AV$4)</f>
        <v>A</v>
      </c>
      <c r="D2652" s="243" t="s">
        <v>5187</v>
      </c>
      <c r="E2652" s="244" t="s">
        <v>5186</v>
      </c>
      <c r="F2652" s="269"/>
      <c r="G2652" s="276">
        <v>30</v>
      </c>
      <c r="H2652" s="283">
        <v>700</v>
      </c>
      <c r="I2652" s="279">
        <v>6</v>
      </c>
      <c r="J2652" s="246">
        <v>1</v>
      </c>
      <c r="K2652" s="277" t="s">
        <v>6249</v>
      </c>
      <c r="L2652" s="248">
        <v>173018</v>
      </c>
      <c r="M2652" s="249">
        <f>15*(LEFT(TEXT($L2652,"000000"),2)+(MID(TEXT($L2652,"000000"),3,2)/60)+(RIGHT(TEXT($L2652,"000000"),2)/3600))</f>
        <v>262.57499999999999</v>
      </c>
      <c r="N2652" s="286">
        <v>-301618</v>
      </c>
      <c r="O2652" s="251">
        <f>IF($N2652&gt;0,(LEFT(TEXT($N2652,"000000"),2)+(MID(TEXT($N2652,"000000"),3,2)/60)+(RIGHT(TEXT($N2652,"000000"),2)/3600)),-(MID(TEXT($N2652,"000000"),2,2)+(MID(TEXT($N2652,"000000"),4,2)/60)+(RIGHT(TEXT($N2652,"000000"),2)/3600)))</f>
        <v>-30.271666666666665</v>
      </c>
      <c r="P2652" s="252" t="s">
        <v>109</v>
      </c>
      <c r="Q2652" s="253"/>
      <c r="R2652" s="277" t="s">
        <v>3293</v>
      </c>
      <c r="S2652" s="272" t="s">
        <v>3293</v>
      </c>
      <c r="T2652" s="273"/>
      <c r="U2652" s="274"/>
      <c r="V2652" s="280"/>
      <c r="W2652" s="244"/>
      <c r="X2652" s="244"/>
      <c r="Y2652" s="362"/>
      <c r="Z2652" s="257">
        <f>altaz(J2000_Bas,$O2652,$M2652,DecLat,DecLong,1)</f>
        <v>24.811234709834416</v>
      </c>
      <c r="AA2652" s="257">
        <f>altaz((J2000_Bas+(2*0.04167)),$O2652,$M2652,DecLat,DecLong,1)</f>
        <v>10.403712014580798</v>
      </c>
      <c r="AB2652" s="257">
        <f>altaz((J2000_Bas+(4*0.04167)),$O2652,$M2652,DecLat,DecLong,1)</f>
        <v>-10.199123612949743</v>
      </c>
      <c r="AC2652" s="257">
        <f>altaz((J2000_Bas+(6*0.04167)),$O2652,$M2652,DecLat,DecLong,1)</f>
        <v>-33.846266683732978</v>
      </c>
      <c r="AD2652" s="258">
        <f>1+ transit((J2000_Bas-1),$O2652,$M2652,DecLat,DecLong)/360 + (GMTOffset/24) + (IF(DST="Y", 1, 0)/24)</f>
        <v>1.722274887692208</v>
      </c>
      <c r="AE2652" s="259">
        <f>DATE(2001,9,21)+(M2652/360)*365 - (360*((DecLong/360)- (GMTOffset/24) ))</f>
        <v>37426.221875000003</v>
      </c>
      <c r="AF2652" s="260">
        <f>IF(DecLat&gt;0,IF((90 - (DecLat-O2652))&gt;90, (90 - (O2652-DecLat)), (90 - (DecLat-O2652))),IF((90 + (DecLat-O2652))&gt;90, (90 + (O2652-DecLat)), (90 + (DecLat-O2652))))</f>
        <v>28.728333333333339</v>
      </c>
      <c r="AG2652" s="257">
        <f>angularseperation(MoonRA,MoonDec,$M2652,$O2652)</f>
        <v>12.115413198507969</v>
      </c>
      <c r="AH2652" s="261">
        <f ca="1">MIN(100,IF($O$5&gt;80,0+30*($AG2652/100),IF($O$5&gt;70,0+50*($AG2652/100),IF($O$5&gt;60,5+50*($AG2652/100),IF($O$5&gt;50,10+60*($AG2652/100),IF($O$5&gt;40,15+70*($AG2652/100),IF($O$5&gt;30,20+70*($AG2652/100),IF($O$5&gt;20,40+55*($AG2652/100),(80+(20-$O$5)+30*($AG2652/100))))))))))</f>
        <v>86.905684303702813</v>
      </c>
      <c r="AI2652" s="263"/>
      <c r="AJ2652" s="263"/>
      <c r="AK2652" s="263"/>
      <c r="AL2652" s="263"/>
      <c r="AM2652" s="264"/>
      <c r="AN2652" s="263"/>
      <c r="AO2652" s="263"/>
      <c r="AP2652" s="265"/>
      <c r="AQ2652" s="265"/>
      <c r="AR2652" s="285"/>
      <c r="AS2652" s="263"/>
      <c r="AT2652" s="263"/>
      <c r="AU2652" s="263"/>
      <c r="AV2652" s="264"/>
      <c r="AW2652" s="263"/>
      <c r="AX2652" s="263"/>
      <c r="AY2652" s="263">
        <v>13</v>
      </c>
      <c r="AZ2652" s="263"/>
      <c r="BA2652" s="263"/>
      <c r="BB2652" s="263">
        <v>14</v>
      </c>
      <c r="BC2652" s="263"/>
      <c r="BD2652" s="264"/>
      <c r="BE2652" s="263"/>
      <c r="BF2652" s="263"/>
      <c r="BG2652" s="263"/>
      <c r="BH2652" s="263"/>
      <c r="BI2652" s="263"/>
      <c r="BJ2652" s="404">
        <f>altaz(J2000_Bas,$O2652,$M2652,DecLat,DecLong,2)</f>
        <v>202.22813473830448</v>
      </c>
      <c r="BK2652" s="378" t="s">
        <v>2469</v>
      </c>
      <c r="BL2652" s="379">
        <f>IF((2*G2652)/60&lt;0.2,0.2,(2*G2652)/60)</f>
        <v>1</v>
      </c>
      <c r="BM2652" s="380">
        <f>MOD((50000+AD2652-$B$3+(0/24)),1)</f>
        <v>0.93764181739970809</v>
      </c>
      <c r="BN2652" s="381"/>
      <c r="BO2652" s="382">
        <v>2643</v>
      </c>
    </row>
    <row r="2653" spans="1:67" s="24" customFormat="1" ht="15" customHeight="1" x14ac:dyDescent="0.25">
      <c r="A2653" s="288" t="s">
        <v>2470</v>
      </c>
      <c r="B2653" s="241" t="str">
        <f>HYPERLINK(CONCATENATE($AT$3,BK2653,$AU$3),$AV$3)</f>
        <v>S</v>
      </c>
      <c r="C2653" s="242" t="str">
        <f>HYPERLINK(CONCATENATE($AT$4,BK2653,$AU$4,BL2653),$AV$4)</f>
        <v>A</v>
      </c>
      <c r="D2653" s="243" t="s">
        <v>5187</v>
      </c>
      <c r="E2653" s="244" t="s">
        <v>5183</v>
      </c>
      <c r="F2653" s="269" t="s">
        <v>5180</v>
      </c>
      <c r="G2653" s="276">
        <v>25</v>
      </c>
      <c r="H2653" s="283">
        <v>5000</v>
      </c>
      <c r="I2653" s="246">
        <v>40</v>
      </c>
      <c r="J2653" s="246">
        <v>2</v>
      </c>
      <c r="K2653" s="247" t="s">
        <v>5114</v>
      </c>
      <c r="L2653" s="248">
        <v>174918</v>
      </c>
      <c r="M2653" s="249">
        <f>15*(LEFT(TEXT($L2653,"000000"),2)+(MID(TEXT($L2653,"000000"),3,2)/60)+(RIGHT(TEXT($L2653,"000000"),2)/3600))</f>
        <v>267.32499999999999</v>
      </c>
      <c r="N2653" s="250">
        <v>-311518</v>
      </c>
      <c r="O2653" s="251">
        <f>IF($N2653&gt;0,(LEFT(TEXT($N2653,"000000"),2)+(MID(TEXT($N2653,"000000"),3,2)/60)+(RIGHT(TEXT($N2653,"000000"),2)/3600)),-(MID(TEXT($N2653,"000000"),2,2)+(MID(TEXT($N2653,"000000"),4,2)/60)+(RIGHT(TEXT($N2653,"000000"),2)/3600)))</f>
        <v>-31.254999999999999</v>
      </c>
      <c r="P2653" s="252" t="s">
        <v>109</v>
      </c>
      <c r="Q2653" s="253"/>
      <c r="R2653" s="247" t="s">
        <v>5112</v>
      </c>
      <c r="S2653" s="272" t="s">
        <v>5113</v>
      </c>
      <c r="T2653" s="273"/>
      <c r="U2653" s="274"/>
      <c r="V2653" s="280"/>
      <c r="W2653" s="244"/>
      <c r="X2653" s="244"/>
      <c r="Y2653" s="362"/>
      <c r="Z2653" s="257">
        <f>altaz(J2000_Bas,$O2653,$M2653,DecLat,DecLong,1)</f>
        <v>25.273938029312891</v>
      </c>
      <c r="AA2653" s="257">
        <f>altaz((J2000_Bas+(2*0.04167)),$O2653,$M2653,DecLat,DecLong,1)</f>
        <v>12.462538088306317</v>
      </c>
      <c r="AB2653" s="257">
        <f>altaz((J2000_Bas+(4*0.04167)),$O2653,$M2653,DecLat,DecLong,1)</f>
        <v>-7.2087435607602197</v>
      </c>
      <c r="AC2653" s="257">
        <f>altaz((J2000_Bas+(6*0.04167)),$O2653,$M2653,DecLat,DecLong,1)</f>
        <v>-30.328664440415061</v>
      </c>
      <c r="AD2653" s="258">
        <f>1+ transit((J2000_Bas-1),$O2653,$M2653,DecLat,DecLong)/360 + (GMTOffset/24) + (IF(DST="Y", 1, 0)/24)</f>
        <v>1.7354693308172078</v>
      </c>
      <c r="AE2653" s="259">
        <f>DATE(2001,9,21)+(M2653/360)*365 - (360*((DecLong/360)- (GMTOffset/24) ))</f>
        <v>37431.037847222222</v>
      </c>
      <c r="AF2653" s="260">
        <f>IF(DecLat&gt;0,IF((90 - (DecLat-O2653))&gt;90, (90 - (O2653-DecLat)), (90 - (DecLat-O2653))),IF((90 + (DecLat-O2653))&gt;90, (90 + (O2653-DecLat)), (90 + (DecLat-O2653))))</f>
        <v>27.745000000000005</v>
      </c>
      <c r="AG2653" s="257">
        <f>angularseperation(MoonRA,MoonDec,$M2653,$O2653)</f>
        <v>16.309697696389556</v>
      </c>
      <c r="AH2653" s="261">
        <f ca="1">MIN(100,IF($O$5&gt;80,0+30*($AG2653/100),IF($O$5&gt;70,0+50*($AG2653/100),IF($O$5&gt;60,5+50*($AG2653/100),IF($O$5&gt;50,10+60*($AG2653/100),IF($O$5&gt;40,15+70*($AG2653/100),IF($O$5&gt;30,20+70*($AG2653/100),IF($O$5&gt;20,40+55*($AG2653/100),(80+(20-$O$5)+30*($AG2653/100))))))))))</f>
        <v>88.163969653067298</v>
      </c>
      <c r="AI2653" s="262"/>
      <c r="AJ2653" s="262"/>
      <c r="AK2653" s="262"/>
      <c r="AL2653" s="263"/>
      <c r="AM2653" s="264"/>
      <c r="AN2653" s="263"/>
      <c r="AO2653" s="263"/>
      <c r="AP2653" s="265"/>
      <c r="AQ2653" s="266"/>
      <c r="AR2653" s="267"/>
      <c r="AS2653" s="263"/>
      <c r="AT2653" s="263"/>
      <c r="AU2653" s="263"/>
      <c r="AV2653" s="264"/>
      <c r="AW2653" s="263"/>
      <c r="AX2653" s="263">
        <v>69</v>
      </c>
      <c r="AY2653" s="263">
        <v>1121</v>
      </c>
      <c r="AZ2653" s="263"/>
      <c r="BA2653" s="263">
        <v>134</v>
      </c>
      <c r="BB2653" s="263">
        <v>15</v>
      </c>
      <c r="BC2653" s="263"/>
      <c r="BD2653" s="264"/>
      <c r="BE2653" s="263"/>
      <c r="BF2653" s="263"/>
      <c r="BG2653" s="263"/>
      <c r="BH2653" s="263"/>
      <c r="BI2653" s="263"/>
      <c r="BJ2653" s="404">
        <f>altaz(J2000_Bas,$O2653,$M2653,DecLat,DecLong,2)</f>
        <v>197.62253783078614</v>
      </c>
      <c r="BK2653" s="378" t="s">
        <v>2470</v>
      </c>
      <c r="BL2653" s="379">
        <f>IF((2*G2653)/60&lt;0.2,0.2,(2*G2653)/60)</f>
        <v>0.83333333333333337</v>
      </c>
      <c r="BM2653" s="380">
        <f>MOD((50000+AD2653-$B$3+(0/24)),1)</f>
        <v>0.9508362605192815</v>
      </c>
      <c r="BN2653" s="381"/>
      <c r="BO2653" s="382">
        <v>2644</v>
      </c>
    </row>
    <row r="2654" spans="1:67" s="24" customFormat="1" ht="15" customHeight="1" x14ac:dyDescent="0.25">
      <c r="A2654" s="288" t="s">
        <v>2471</v>
      </c>
      <c r="B2654" s="241" t="str">
        <f>HYPERLINK(CONCATENATE($AT$3,BK2654,$AU$3),$AV$3)</f>
        <v>S</v>
      </c>
      <c r="C2654" s="242" t="str">
        <f>HYPERLINK(CONCATENATE($AT$4,BK2654,$AU$4,BL2654),$AV$4)</f>
        <v>A</v>
      </c>
      <c r="D2654" s="243" t="s">
        <v>5187</v>
      </c>
      <c r="E2654" s="244" t="s">
        <v>5183</v>
      </c>
      <c r="F2654" s="269" t="s">
        <v>5180</v>
      </c>
      <c r="G2654" s="276">
        <v>25</v>
      </c>
      <c r="H2654" s="283">
        <v>5000</v>
      </c>
      <c r="I2654" s="246">
        <v>40</v>
      </c>
      <c r="J2654" s="246">
        <v>2</v>
      </c>
      <c r="K2654" s="247" t="s">
        <v>6252</v>
      </c>
      <c r="L2654" s="248">
        <v>174637</v>
      </c>
      <c r="M2654" s="249">
        <f>15*(LEFT(TEXT($L2654,"000000"),2)+(MID(TEXT($L2654,"000000"),3,2)/60)+(RIGHT(TEXT($L2654,"000000"),2)/3600))</f>
        <v>266.65416666666664</v>
      </c>
      <c r="N2654" s="250">
        <v>-292307</v>
      </c>
      <c r="O2654" s="251">
        <f>IF($N2654&gt;0,(LEFT(TEXT($N2654,"000000"),2)+(MID(TEXT($N2654,"000000"),3,2)/60)+(RIGHT(TEXT($N2654,"000000"),2)/3600)),-(MID(TEXT($N2654,"000000"),2,2)+(MID(TEXT($N2654,"000000"),4,2)/60)+(RIGHT(TEXT($N2654,"000000"),2)/3600)))</f>
        <v>-29.385277777777777</v>
      </c>
      <c r="P2654" s="252" t="s">
        <v>119</v>
      </c>
      <c r="Q2654" s="253"/>
      <c r="R2654" s="247" t="s">
        <v>5115</v>
      </c>
      <c r="S2654" s="272" t="s">
        <v>3293</v>
      </c>
      <c r="T2654" s="273"/>
      <c r="U2654" s="274"/>
      <c r="V2654" s="280"/>
      <c r="W2654" s="244"/>
      <c r="X2654" s="244"/>
      <c r="Y2654" s="362"/>
      <c r="Z2654" s="257">
        <f>altaz(J2000_Bas,$O2654,$M2654,DecLat,DecLong,1)</f>
        <v>26.870921649179074</v>
      </c>
      <c r="AA2654" s="257">
        <f>altaz((J2000_Bas+(2*0.04167)),$O2654,$M2654,DecLat,DecLong,1)</f>
        <v>13.47419176688946</v>
      </c>
      <c r="AB2654" s="257">
        <f>altaz((J2000_Bas+(4*0.04167)),$O2654,$M2654,DecLat,DecLong,1)</f>
        <v>-6.7094723375211176</v>
      </c>
      <c r="AC2654" s="257">
        <f>altaz((J2000_Bas+(6*0.04167)),$O2654,$M2654,DecLat,DecLong,1)</f>
        <v>-30.217768328220618</v>
      </c>
      <c r="AD2654" s="258">
        <f>1+ transit((J2000_Bas-1),$O2654,$M2654,DecLat,DecLong)/360 + (GMTOffset/24) + (IF(DST="Y", 1, 0)/24)</f>
        <v>1.7336059050776247</v>
      </c>
      <c r="AE2654" s="259">
        <f>DATE(2001,9,21)+(M2654/360)*365 - (360*((DecLong/360)- (GMTOffset/24) ))</f>
        <v>37430.35769675926</v>
      </c>
      <c r="AF2654" s="260">
        <f>IF(DecLat&gt;0,IF((90 - (DecLat-O2654))&gt;90, (90 - (O2654-DecLat)), (90 - (DecLat-O2654))),IF((90 + (DecLat-O2654))&gt;90, (90 + (O2654-DecLat)), (90 + (DecLat-O2654))))</f>
        <v>29.614722222222227</v>
      </c>
      <c r="AG2654" s="257">
        <f>angularseperation(MoonRA,MoonDec,$M2654,$O2654)</f>
        <v>15.497069575283971</v>
      </c>
      <c r="AH2654" s="261">
        <f ca="1">MIN(100,IF($O$5&gt;80,0+30*($AG2654/100),IF($O$5&gt;70,0+50*($AG2654/100),IF($O$5&gt;60,5+50*($AG2654/100),IF($O$5&gt;50,10+60*($AG2654/100),IF($O$5&gt;40,15+70*($AG2654/100),IF($O$5&gt;30,20+70*($AG2654/100),IF($O$5&gt;20,40+55*($AG2654/100),(80+(20-$O$5)+30*($AG2654/100))))))))))</f>
        <v>87.920181216735614</v>
      </c>
      <c r="AI2654" s="262"/>
      <c r="AJ2654" s="262"/>
      <c r="AK2654" s="262"/>
      <c r="AL2654" s="263"/>
      <c r="AM2654" s="264"/>
      <c r="AN2654" s="263"/>
      <c r="AO2654" s="263"/>
      <c r="AP2654" s="265"/>
      <c r="AQ2654" s="266"/>
      <c r="AR2654" s="267"/>
      <c r="AS2654" s="263"/>
      <c r="AT2654" s="263"/>
      <c r="AU2654" s="263"/>
      <c r="AV2654" s="264"/>
      <c r="AW2654" s="263"/>
      <c r="AX2654" s="263">
        <v>70</v>
      </c>
      <c r="AY2654" s="263">
        <v>1124</v>
      </c>
      <c r="AZ2654" s="263"/>
      <c r="BA2654" s="263">
        <v>137</v>
      </c>
      <c r="BB2654" s="263">
        <v>16</v>
      </c>
      <c r="BC2654" s="263"/>
      <c r="BD2654" s="264"/>
      <c r="BE2654" s="263"/>
      <c r="BF2654" s="263"/>
      <c r="BG2654" s="263"/>
      <c r="BH2654" s="263"/>
      <c r="BI2654" s="263"/>
      <c r="BJ2654" s="404">
        <f>altaz(J2000_Bas,$O2654,$M2654,DecLat,DecLong,2)</f>
        <v>198.88253543752512</v>
      </c>
      <c r="BK2654" s="378" t="s">
        <v>2471</v>
      </c>
      <c r="BL2654" s="379">
        <f>IF((2*G2654)/60&lt;0.2,0.2,(2*G2654)/60)</f>
        <v>0.83333333333333337</v>
      </c>
      <c r="BM2654" s="380">
        <f>MOD((50000+AD2654-$B$3+(0/24)),1)</f>
        <v>0.94897283478348982</v>
      </c>
      <c r="BN2654" s="381"/>
      <c r="BO2654" s="382">
        <v>2645</v>
      </c>
    </row>
    <row r="2655" spans="1:67" s="24" customFormat="1" ht="15" customHeight="1" x14ac:dyDescent="0.25">
      <c r="A2655" s="288" t="s">
        <v>2472</v>
      </c>
      <c r="B2655" s="241" t="str">
        <f>HYPERLINK(CONCATENATE($AT$3,BK2655,$AU$3),$AV$3)</f>
        <v>S</v>
      </c>
      <c r="C2655" s="242" t="str">
        <f>HYPERLINK(CONCATENATE($AT$4,BK2655,$AU$4,BL2655),$AV$4)</f>
        <v>A</v>
      </c>
      <c r="D2655" s="243" t="s">
        <v>5187</v>
      </c>
      <c r="E2655" s="244" t="s">
        <v>5183</v>
      </c>
      <c r="F2655" s="269" t="s">
        <v>5180</v>
      </c>
      <c r="G2655" s="276">
        <v>30</v>
      </c>
      <c r="H2655" s="283">
        <v>5000</v>
      </c>
      <c r="I2655" s="246">
        <v>45</v>
      </c>
      <c r="J2655" s="246">
        <v>1</v>
      </c>
      <c r="K2655" s="247" t="s">
        <v>6251</v>
      </c>
      <c r="L2655" s="248">
        <v>174612</v>
      </c>
      <c r="M2655" s="249">
        <f>15*(LEFT(TEXT($L2655,"000000"),2)+(MID(TEXT($L2655,"000000"),3,2)/60)+(RIGHT(TEXT($L2655,"000000"),2)/3600))</f>
        <v>266.55</v>
      </c>
      <c r="N2655" s="250">
        <v>-285100</v>
      </c>
      <c r="O2655" s="251">
        <f>IF($N2655&gt;0,(LEFT(TEXT($N2655,"000000"),2)+(MID(TEXT($N2655,"000000"),3,2)/60)+(RIGHT(TEXT($N2655,"000000"),2)/3600)),-(MID(TEXT($N2655,"000000"),2,2)+(MID(TEXT($N2655,"000000"),4,2)/60)+(RIGHT(TEXT($N2655,"000000"),2)/3600)))</f>
        <v>-28.85</v>
      </c>
      <c r="P2655" s="252" t="s">
        <v>119</v>
      </c>
      <c r="Q2655" s="253"/>
      <c r="R2655" s="277" t="s">
        <v>6066</v>
      </c>
      <c r="S2655" s="272" t="s">
        <v>3293</v>
      </c>
      <c r="T2655" s="273"/>
      <c r="U2655" s="274"/>
      <c r="V2655" s="280"/>
      <c r="W2655" s="244"/>
      <c r="X2655" s="244"/>
      <c r="Y2655" s="362"/>
      <c r="Z2655" s="257">
        <f>altaz(J2000_Bas,$O2655,$M2655,DecLat,DecLong,1)</f>
        <v>27.348967470779517</v>
      </c>
      <c r="AA2655" s="257">
        <f>altaz((J2000_Bas+(2*0.04167)),$O2655,$M2655,DecLat,DecLong,1)</f>
        <v>13.810261996602824</v>
      </c>
      <c r="AB2655" s="257">
        <f>altaz((J2000_Bas+(4*0.04167)),$O2655,$M2655,DecLat,DecLong,1)</f>
        <v>-6.5035526917595181</v>
      </c>
      <c r="AC2655" s="257">
        <f>altaz((J2000_Bas+(6*0.04167)),$O2655,$M2655,DecLat,DecLong,1)</f>
        <v>-30.111018301746</v>
      </c>
      <c r="AD2655" s="258">
        <f>1+ transit((J2000_Bas-1),$O2655,$M2655,DecLat,DecLong)/360 + (GMTOffset/24) + (IF(DST="Y", 1, 0)/24)</f>
        <v>1.7333165532547081</v>
      </c>
      <c r="AE2655" s="259">
        <f>DATE(2001,9,21)+(M2655/360)*365 - (360*((DecLong/360)- (GMTOffset/24) ))</f>
        <v>37430.252083333333</v>
      </c>
      <c r="AF2655" s="260">
        <f>IF(DecLat&gt;0,IF((90 - (DecLat-O2655))&gt;90, (90 - (O2655-DecLat)), (90 - (DecLat-O2655))),IF((90 + (DecLat-O2655))&gt;90, (90 + (O2655-DecLat)), (90 + (DecLat-O2655))))</f>
        <v>30.15</v>
      </c>
      <c r="AG2655" s="257">
        <f>angularseperation(MoonRA,MoonDec,$M2655,$O2655)</f>
        <v>15.374565980943192</v>
      </c>
      <c r="AH2655" s="261">
        <f ca="1">MIN(100,IF($O$5&gt;80,0+30*($AG2655/100),IF($O$5&gt;70,0+50*($AG2655/100),IF($O$5&gt;60,5+50*($AG2655/100),IF($O$5&gt;50,10+60*($AG2655/100),IF($O$5&gt;40,15+70*($AG2655/100),IF($O$5&gt;30,20+70*($AG2655/100),IF($O$5&gt;20,40+55*($AG2655/100),(80+(20-$O$5)+30*($AG2655/100))))))))))</f>
        <v>87.883430138433383</v>
      </c>
      <c r="AI2655" s="263"/>
      <c r="AJ2655" s="263"/>
      <c r="AK2655" s="263"/>
      <c r="AL2655" s="263"/>
      <c r="AM2655" s="264"/>
      <c r="AN2655" s="263"/>
      <c r="AO2655" s="263"/>
      <c r="AP2655" s="265"/>
      <c r="AQ2655" s="265"/>
      <c r="AR2655" s="285"/>
      <c r="AS2655" s="263"/>
      <c r="AT2655" s="263"/>
      <c r="AU2655" s="263"/>
      <c r="AV2655" s="264"/>
      <c r="AW2655" s="263"/>
      <c r="AX2655" s="263"/>
      <c r="AY2655" s="263">
        <v>1</v>
      </c>
      <c r="AZ2655" s="263"/>
      <c r="BA2655" s="263">
        <v>138</v>
      </c>
      <c r="BB2655" s="263">
        <v>17</v>
      </c>
      <c r="BC2655" s="263"/>
      <c r="BD2655" s="264"/>
      <c r="BE2655" s="263"/>
      <c r="BF2655" s="263"/>
      <c r="BG2655" s="263"/>
      <c r="BH2655" s="263"/>
      <c r="BI2655" s="263"/>
      <c r="BJ2655" s="404">
        <f>altaz(J2000_Bas,$O2655,$M2655,DecLat,DecLong,2)</f>
        <v>199.17175294735125</v>
      </c>
      <c r="BK2655" s="378" t="s">
        <v>2472</v>
      </c>
      <c r="BL2655" s="379">
        <f>IF((2*G2655)/60&lt;0.2,0.2,(2*G2655)/60)</f>
        <v>1</v>
      </c>
      <c r="BM2655" s="380">
        <f>MOD((50000+AD2655-$B$3+(0/24)),1)</f>
        <v>0.94868348295858596</v>
      </c>
      <c r="BN2655" s="381"/>
      <c r="BO2655" s="382">
        <v>2646</v>
      </c>
    </row>
    <row r="2656" spans="1:67" s="24" customFormat="1" ht="15" customHeight="1" x14ac:dyDescent="0.25">
      <c r="A2656" s="288" t="s">
        <v>2473</v>
      </c>
      <c r="B2656" s="241" t="str">
        <f>HYPERLINK(CONCATENATE($AT$3,BK2656,$AU$3),$AV$3)</f>
        <v>S</v>
      </c>
      <c r="C2656" s="242" t="str">
        <f>HYPERLINK(CONCATENATE($AT$4,BK2656,$AU$4,BL2656),$AV$4)</f>
        <v>A</v>
      </c>
      <c r="D2656" s="243" t="s">
        <v>5187</v>
      </c>
      <c r="E2656" s="244" t="s">
        <v>5183</v>
      </c>
      <c r="F2656" s="269" t="s">
        <v>5180</v>
      </c>
      <c r="G2656" s="273">
        <v>4</v>
      </c>
      <c r="H2656" s="283">
        <v>5000</v>
      </c>
      <c r="I2656" s="279">
        <v>6</v>
      </c>
      <c r="J2656" s="246">
        <v>1</v>
      </c>
      <c r="K2656" s="247" t="s">
        <v>6253</v>
      </c>
      <c r="L2656" s="248">
        <v>174848</v>
      </c>
      <c r="M2656" s="249">
        <f>15*(LEFT(TEXT($L2656,"000000"),2)+(MID(TEXT($L2656,"000000"),3,2)/60)+(RIGHT(TEXT($L2656,"000000"),2)/3600))</f>
        <v>267.2</v>
      </c>
      <c r="N2656" s="250">
        <v>-291500</v>
      </c>
      <c r="O2656" s="251">
        <f>IF($N2656&gt;0,(LEFT(TEXT($N2656,"000000"),2)+(MID(TEXT($N2656,"000000"),3,2)/60)+(RIGHT(TEXT($N2656,"000000"),2)/3600)),-(MID(TEXT($N2656,"000000"),2,2)+(MID(TEXT($N2656,"000000"),4,2)/60)+(RIGHT(TEXT($N2656,"000000"),2)/3600)))</f>
        <v>-29.25</v>
      </c>
      <c r="P2656" s="252" t="s">
        <v>119</v>
      </c>
      <c r="Q2656" s="253"/>
      <c r="R2656" s="247" t="s">
        <v>6067</v>
      </c>
      <c r="S2656" s="272" t="s">
        <v>3293</v>
      </c>
      <c r="T2656" s="273"/>
      <c r="U2656" s="274"/>
      <c r="V2656" s="280"/>
      <c r="W2656" s="244"/>
      <c r="X2656" s="244"/>
      <c r="Y2656" s="362"/>
      <c r="Z2656" s="257">
        <f>altaz(J2000_Bas,$O2656,$M2656,DecLat,DecLong,1)</f>
        <v>27.148980997499212</v>
      </c>
      <c r="AA2656" s="257">
        <f>altaz((J2000_Bas+(2*0.04167)),$O2656,$M2656,DecLat,DecLong,1)</f>
        <v>13.892571021035332</v>
      </c>
      <c r="AB2656" s="257">
        <f>altaz((J2000_Bas+(4*0.04167)),$O2656,$M2656,DecLat,DecLong,1)</f>
        <v>-6.2343213268225561</v>
      </c>
      <c r="AC2656" s="257">
        <f>altaz((J2000_Bas+(6*0.04167)),$O2656,$M2656,DecLat,DecLong,1)</f>
        <v>-29.72496172451536</v>
      </c>
      <c r="AD2656" s="258">
        <f>1+ transit((J2000_Bas-1),$O2656,$M2656,DecLat,DecLong)/360 + (GMTOffset/24) + (IF(DST="Y", 1, 0)/24)</f>
        <v>1.7351221086297082</v>
      </c>
      <c r="AE2656" s="259">
        <f>DATE(2001,9,21)+(M2656/360)*365 - (360*((DecLong/360)- (GMTOffset/24) ))</f>
        <v>37430.911111111112</v>
      </c>
      <c r="AF2656" s="260">
        <f>IF(DecLat&gt;0,IF((90 - (DecLat-O2656))&gt;90, (90 - (O2656-DecLat)), (90 - (DecLat-O2656))),IF((90 + (DecLat-O2656))&gt;90, (90 + (O2656-DecLat)), (90 + (DecLat-O2656))))</f>
        <v>29.75</v>
      </c>
      <c r="AG2656" s="257">
        <f>angularseperation(MoonRA,MoonDec,$M2656,$O2656)</f>
        <v>15.96272159263245</v>
      </c>
      <c r="AH2656" s="261">
        <f ca="1">MIN(100,IF($O$5&gt;80,0+30*($AG2656/100),IF($O$5&gt;70,0+50*($AG2656/100),IF($O$5&gt;60,5+50*($AG2656/100),IF($O$5&gt;50,10+60*($AG2656/100),IF($O$5&gt;40,15+70*($AG2656/100),IF($O$5&gt;30,20+70*($AG2656/100),IF($O$5&gt;20,40+55*($AG2656/100),(80+(20-$O$5)+30*($AG2656/100))))))))))</f>
        <v>88.059876821940165</v>
      </c>
      <c r="AI2656" s="262"/>
      <c r="AJ2656" s="262"/>
      <c r="AK2656" s="262"/>
      <c r="AL2656" s="263"/>
      <c r="AM2656" s="264"/>
      <c r="AN2656" s="263"/>
      <c r="AO2656" s="263"/>
      <c r="AP2656" s="265"/>
      <c r="AQ2656" s="266"/>
      <c r="AR2656" s="267"/>
      <c r="AS2656" s="263"/>
      <c r="AT2656" s="263"/>
      <c r="AU2656" s="263"/>
      <c r="AV2656" s="264"/>
      <c r="AW2656" s="263"/>
      <c r="AX2656" s="263"/>
      <c r="AY2656" s="263">
        <v>1125</v>
      </c>
      <c r="AZ2656" s="263"/>
      <c r="BA2656" s="263">
        <v>139</v>
      </c>
      <c r="BB2656" s="263">
        <v>18</v>
      </c>
      <c r="BC2656" s="263"/>
      <c r="BD2656" s="264"/>
      <c r="BE2656" s="263"/>
      <c r="BF2656" s="263"/>
      <c r="BG2656" s="263"/>
      <c r="BH2656" s="263"/>
      <c r="BI2656" s="263"/>
      <c r="BJ2656" s="404">
        <f>altaz(J2000_Bas,$O2656,$M2656,DecLat,DecLong,2)</f>
        <v>198.42318327746986</v>
      </c>
      <c r="BK2656" s="378" t="s">
        <v>2473</v>
      </c>
      <c r="BL2656" s="379">
        <f>IF((2*G2656)/60&lt;0.2,0.2,(2*G2656)/60)</f>
        <v>0.2</v>
      </c>
      <c r="BM2656" s="380">
        <f>MOD((50000+AD2656-$B$3+(0/24)),1)</f>
        <v>0.95048903833230725</v>
      </c>
      <c r="BN2656" s="381"/>
      <c r="BO2656" s="382">
        <v>2647</v>
      </c>
    </row>
    <row r="2657" spans="1:67" s="24" customFormat="1" ht="15" customHeight="1" x14ac:dyDescent="0.25">
      <c r="A2657" s="288" t="s">
        <v>2474</v>
      </c>
      <c r="B2657" s="241" t="str">
        <f>HYPERLINK(CONCATENATE($AT$3,BK2657,$AU$3),$AV$3)</f>
        <v>S</v>
      </c>
      <c r="C2657" s="242" t="str">
        <f>HYPERLINK(CONCATENATE($AT$4,BK2657,$AU$4,BL2657),$AV$4)</f>
        <v>A</v>
      </c>
      <c r="D2657" s="243" t="s">
        <v>5187</v>
      </c>
      <c r="E2657" s="244" t="s">
        <v>5183</v>
      </c>
      <c r="F2657" s="269" t="s">
        <v>5180</v>
      </c>
      <c r="G2657" s="276">
        <v>15</v>
      </c>
      <c r="H2657" s="283">
        <v>5000</v>
      </c>
      <c r="I2657" s="246">
        <v>22</v>
      </c>
      <c r="J2657" s="246">
        <v>1</v>
      </c>
      <c r="K2657" s="247" t="s">
        <v>6254</v>
      </c>
      <c r="L2657" s="248">
        <v>174924</v>
      </c>
      <c r="M2657" s="249">
        <f>15*(LEFT(TEXT($L2657,"000000"),2)+(MID(TEXT($L2657,"000000"),3,2)/60)+(RIGHT(TEXT($L2657,"000000"),2)/3600))</f>
        <v>267.35000000000002</v>
      </c>
      <c r="N2657" s="250">
        <v>-290700</v>
      </c>
      <c r="O2657" s="251">
        <f>IF($N2657&gt;0,(LEFT(TEXT($N2657,"000000"),2)+(MID(TEXT($N2657,"000000"),3,2)/60)+(RIGHT(TEXT($N2657,"000000"),2)/3600)),-(MID(TEXT($N2657,"000000"),2,2)+(MID(TEXT($N2657,"000000"),4,2)/60)+(RIGHT(TEXT($N2657,"000000"),2)/3600)))</f>
        <v>-29.116666666666667</v>
      </c>
      <c r="P2657" s="252" t="s">
        <v>119</v>
      </c>
      <c r="Q2657" s="253"/>
      <c r="R2657" s="247" t="s">
        <v>6068</v>
      </c>
      <c r="S2657" s="272" t="s">
        <v>3293</v>
      </c>
      <c r="T2657" s="273"/>
      <c r="U2657" s="274"/>
      <c r="V2657" s="280"/>
      <c r="W2657" s="244"/>
      <c r="X2657" s="244"/>
      <c r="Y2657" s="362"/>
      <c r="Z2657" s="257">
        <f>altaz(J2000_Bas,$O2657,$M2657,DecLat,DecLong,1)</f>
        <v>27.316301151566964</v>
      </c>
      <c r="AA2657" s="257">
        <f>altaz((J2000_Bas+(2*0.04167)),$O2657,$M2657,DecLat,DecLong,1)</f>
        <v>14.07923542482691</v>
      </c>
      <c r="AB2657" s="257">
        <f>altaz((J2000_Bas+(4*0.04167)),$O2657,$M2657,DecLat,DecLong,1)</f>
        <v>-6.0524369796678315</v>
      </c>
      <c r="AC2657" s="257">
        <f>altaz((J2000_Bas+(6*0.04167)),$O2657,$M2657,DecLat,DecLong,1)</f>
        <v>-29.554704574529069</v>
      </c>
      <c r="AD2657" s="258">
        <f>1+ transit((J2000_Bas-1),$O2657,$M2657,DecLat,DecLong)/360 + (GMTOffset/24) + (IF(DST="Y", 1, 0)/24)</f>
        <v>1.7355387752547082</v>
      </c>
      <c r="AE2657" s="259">
        <f>DATE(2001,9,21)+(M2657/360)*365 - (360*((DecLong/360)- (GMTOffset/24) ))</f>
        <v>37431.063194444447</v>
      </c>
      <c r="AF2657" s="260">
        <f>IF(DecLat&gt;0,IF((90 - (DecLat-O2657))&gt;90, (90 - (O2657-DecLat)), (90 - (DecLat-O2657))),IF((90 + (DecLat-O2657))&gt;90, (90 + (O2657-DecLat)), (90 + (DecLat-O2657))))</f>
        <v>29.883333333333333</v>
      </c>
      <c r="AG2657" s="257">
        <f>angularseperation(MoonRA,MoonDec,$M2657,$O2657)</f>
        <v>16.086085880015755</v>
      </c>
      <c r="AH2657" s="261">
        <f ca="1">MIN(100,IF($O$5&gt;80,0+30*($AG2657/100),IF($O$5&gt;70,0+50*($AG2657/100),IF($O$5&gt;60,5+50*($AG2657/100),IF($O$5&gt;50,10+60*($AG2657/100),IF($O$5&gt;40,15+70*($AG2657/100),IF($O$5&gt;30,20+70*($AG2657/100),IF($O$5&gt;20,40+55*($AG2657/100),(80+(20-$O$5)+30*($AG2657/100))))))))))</f>
        <v>88.096886108155161</v>
      </c>
      <c r="AI2657" s="262"/>
      <c r="AJ2657" s="262"/>
      <c r="AK2657" s="262"/>
      <c r="AL2657" s="263"/>
      <c r="AM2657" s="264"/>
      <c r="AN2657" s="263"/>
      <c r="AO2657" s="263"/>
      <c r="AP2657" s="265"/>
      <c r="AQ2657" s="266"/>
      <c r="AR2657" s="267"/>
      <c r="AS2657" s="263"/>
      <c r="AT2657" s="263"/>
      <c r="AU2657" s="263"/>
      <c r="AV2657" s="264"/>
      <c r="AW2657" s="263"/>
      <c r="AX2657" s="263"/>
      <c r="AY2657" s="263">
        <v>2</v>
      </c>
      <c r="AZ2657" s="263"/>
      <c r="BA2657" s="263">
        <v>140</v>
      </c>
      <c r="BB2657" s="263">
        <v>19</v>
      </c>
      <c r="BC2657" s="263"/>
      <c r="BD2657" s="264"/>
      <c r="BE2657" s="263"/>
      <c r="BF2657" s="263"/>
      <c r="BG2657" s="263"/>
      <c r="BH2657" s="263"/>
      <c r="BI2657" s="263"/>
      <c r="BJ2657" s="404">
        <f>altaz(J2000_Bas,$O2657,$M2657,DecLat,DecLong,2)</f>
        <v>198.32954441711527</v>
      </c>
      <c r="BK2657" s="378" t="s">
        <v>2474</v>
      </c>
      <c r="BL2657" s="379">
        <f>IF((2*G2657)/60&lt;0.2,0.2,(2*G2657)/60)</f>
        <v>0.5</v>
      </c>
      <c r="BM2657" s="380">
        <f>MOD((50000+AD2657-$B$3+(0/24)),1)</f>
        <v>0.95090570495813154</v>
      </c>
      <c r="BN2657" s="381"/>
      <c r="BO2657" s="382">
        <v>2648</v>
      </c>
    </row>
    <row r="2658" spans="1:67" s="24" customFormat="1" ht="15" customHeight="1" x14ac:dyDescent="0.25">
      <c r="A2658" s="288" t="s">
        <v>2475</v>
      </c>
      <c r="B2658" s="241" t="str">
        <f>HYPERLINK(CONCATENATE($AT$3,BK2658,$AU$3),$AV$3)</f>
        <v>S</v>
      </c>
      <c r="C2658" s="242" t="str">
        <f>HYPERLINK(CONCATENATE($AT$4,BK2658,$AU$4,BL2658),$AV$4)</f>
        <v>A</v>
      </c>
      <c r="D2658" s="243" t="s">
        <v>5187</v>
      </c>
      <c r="E2658" s="244" t="s">
        <v>5183</v>
      </c>
      <c r="F2658" s="269" t="s">
        <v>5180</v>
      </c>
      <c r="G2658" s="276">
        <v>10</v>
      </c>
      <c r="H2658" s="283">
        <v>5000</v>
      </c>
      <c r="I2658" s="246">
        <v>15</v>
      </c>
      <c r="J2658" s="246">
        <v>1</v>
      </c>
      <c r="K2658" s="247" t="s">
        <v>6255</v>
      </c>
      <c r="L2658" s="248">
        <v>174708</v>
      </c>
      <c r="M2658" s="249">
        <f>15*(LEFT(TEXT($L2658,"000000"),2)+(MID(TEXT($L2658,"000000"),3,2)/60)+(RIGHT(TEXT($L2658,"000000"),2)/3600))</f>
        <v>266.78333333333336</v>
      </c>
      <c r="N2658" s="250">
        <v>-284630</v>
      </c>
      <c r="O2658" s="251">
        <f>IF($N2658&gt;0,(LEFT(TEXT($N2658,"000000"),2)+(MID(TEXT($N2658,"000000"),3,2)/60)+(RIGHT(TEXT($N2658,"000000"),2)/3600)),-(MID(TEXT($N2658,"000000"),2,2)+(MID(TEXT($N2658,"000000"),4,2)/60)+(RIGHT(TEXT($N2658,"000000"),2)/3600)))</f>
        <v>-28.774999999999999</v>
      </c>
      <c r="P2658" s="252" t="s">
        <v>119</v>
      </c>
      <c r="Q2658" s="253"/>
      <c r="R2658" s="277" t="s">
        <v>6069</v>
      </c>
      <c r="S2658" s="272" t="s">
        <v>3293</v>
      </c>
      <c r="T2658" s="273"/>
      <c r="U2658" s="274"/>
      <c r="V2658" s="280"/>
      <c r="W2658" s="244"/>
      <c r="X2658" s="244"/>
      <c r="Y2658" s="362"/>
      <c r="Z2658" s="257">
        <f>altaz(J2000_Bas,$O2658,$M2658,DecLat,DecLong,1)</f>
        <v>27.485397665799834</v>
      </c>
      <c r="AA2658" s="257">
        <f>altaz((J2000_Bas+(2*0.04167)),$O2658,$M2658,DecLat,DecLong,1)</f>
        <v>14.003011546171633</v>
      </c>
      <c r="AB2658" s="257">
        <f>altaz((J2000_Bas+(4*0.04167)),$O2658,$M2658,DecLat,DecLong,1)</f>
        <v>-6.2904228073419111</v>
      </c>
      <c r="AC2658" s="257">
        <f>altaz((J2000_Bas+(6*0.04167)),$O2658,$M2658,DecLat,DecLong,1)</f>
        <v>-29.893283727424041</v>
      </c>
      <c r="AD2658" s="258">
        <f>1+ transit((J2000_Bas-1),$O2658,$M2658,DecLat,DecLong)/360 + (GMTOffset/24) + (IF(DST="Y", 1, 0)/24)</f>
        <v>1.7339647013380415</v>
      </c>
      <c r="AE2658" s="259">
        <f>DATE(2001,9,21)+(M2658/360)*365 - (360*((DecLong/360)- (GMTOffset/24) ))</f>
        <v>37430.488657407404</v>
      </c>
      <c r="AF2658" s="260">
        <f>IF(DecLat&gt;0,IF((90 - (DecLat-O2658))&gt;90, (90 - (O2658-DecLat)), (90 - (DecLat-O2658))),IF((90 + (DecLat-O2658))&gt;90, (90 + (O2658-DecLat)), (90 + (DecLat-O2658))))</f>
        <v>30.225000000000001</v>
      </c>
      <c r="AG2658" s="257">
        <f>angularseperation(MoonRA,MoonDec,$M2658,$O2658)</f>
        <v>15.575911186796057</v>
      </c>
      <c r="AH2658" s="261">
        <f ca="1">MIN(100,IF($O$5&gt;80,0+30*($AG2658/100),IF($O$5&gt;70,0+50*($AG2658/100),IF($O$5&gt;60,5+50*($AG2658/100),IF($O$5&gt;50,10+60*($AG2658/100),IF($O$5&gt;40,15+70*($AG2658/100),IF($O$5&gt;30,20+70*($AG2658/100),IF($O$5&gt;20,40+55*($AG2658/100),(80+(20-$O$5)+30*($AG2658/100))))))))))</f>
        <v>87.943833700189245</v>
      </c>
      <c r="AI2658" s="263"/>
      <c r="AJ2658" s="263"/>
      <c r="AK2658" s="263"/>
      <c r="AL2658" s="263"/>
      <c r="AM2658" s="264"/>
      <c r="AN2658" s="263"/>
      <c r="AO2658" s="263"/>
      <c r="AP2658" s="265"/>
      <c r="AQ2658" s="265"/>
      <c r="AR2658" s="285"/>
      <c r="AS2658" s="263"/>
      <c r="AT2658" s="263"/>
      <c r="AU2658" s="263"/>
      <c r="AV2658" s="264"/>
      <c r="AW2658" s="263"/>
      <c r="AX2658" s="263"/>
      <c r="AY2658" s="263">
        <v>3</v>
      </c>
      <c r="AZ2658" s="263"/>
      <c r="BA2658" s="263">
        <v>141</v>
      </c>
      <c r="BB2658" s="263">
        <v>20</v>
      </c>
      <c r="BC2658" s="263"/>
      <c r="BD2658" s="264"/>
      <c r="BE2658" s="263"/>
      <c r="BF2658" s="263"/>
      <c r="BG2658" s="263"/>
      <c r="BH2658" s="263"/>
      <c r="BI2658" s="263"/>
      <c r="BJ2658" s="404">
        <f>altaz(J2000_Bas,$O2658,$M2658,DecLat,DecLong,2)</f>
        <v>198.98053903908425</v>
      </c>
      <c r="BK2658" s="378" t="s">
        <v>2475</v>
      </c>
      <c r="BL2658" s="379">
        <f>IF((2*G2658)/60&lt;0.2,0.2,(2*G2658)/60)</f>
        <v>0.33333333333333331</v>
      </c>
      <c r="BM2658" s="380">
        <f>MOD((50000+AD2658-$B$3+(0/24)),1)</f>
        <v>0.94933163103996776</v>
      </c>
      <c r="BN2658" s="381"/>
      <c r="BO2658" s="382">
        <v>2649</v>
      </c>
    </row>
    <row r="2659" spans="1:67" s="24" customFormat="1" ht="15" customHeight="1" x14ac:dyDescent="0.25">
      <c r="A2659" s="288" t="s">
        <v>2476</v>
      </c>
      <c r="B2659" s="241" t="str">
        <f>HYPERLINK(CONCATENATE($AT$3,BK2659,$AU$3),$AV$3)</f>
        <v>S</v>
      </c>
      <c r="C2659" s="242" t="str">
        <f>HYPERLINK(CONCATENATE($AT$4,BK2659,$AU$4,BL2659),$AV$4)</f>
        <v>A</v>
      </c>
      <c r="D2659" s="243" t="s">
        <v>5187</v>
      </c>
      <c r="E2659" s="244" t="s">
        <v>5183</v>
      </c>
      <c r="F2659" s="269" t="s">
        <v>5180</v>
      </c>
      <c r="G2659" s="273">
        <v>4</v>
      </c>
      <c r="H2659" s="283">
        <v>27000</v>
      </c>
      <c r="I2659" s="246">
        <v>30</v>
      </c>
      <c r="J2659" s="246">
        <v>2</v>
      </c>
      <c r="K2659" s="247" t="s">
        <v>7244</v>
      </c>
      <c r="L2659" s="248">
        <v>175140</v>
      </c>
      <c r="M2659" s="249">
        <f>15*(LEFT(TEXT($L2659,"000000"),2)+(MID(TEXT($L2659,"000000"),3,2)/60)+(RIGHT(TEXT($L2659,"000000"),2)/3600))</f>
        <v>267.91666666666674</v>
      </c>
      <c r="N2659" s="286">
        <v>-285400</v>
      </c>
      <c r="O2659" s="251">
        <f>IF($N2659&gt;0,(LEFT(TEXT($N2659,"000000"),2)+(MID(TEXT($N2659,"000000"),3,2)/60)+(RIGHT(TEXT($N2659,"000000"),2)/3600)),-(MID(TEXT($N2659,"000000"),2,2)+(MID(TEXT($N2659,"000000"),4,2)/60)+(RIGHT(TEXT($N2659,"000000"),2)/3600)))</f>
        <v>-28.9</v>
      </c>
      <c r="P2659" s="252" t="s">
        <v>119</v>
      </c>
      <c r="Q2659" s="253"/>
      <c r="R2659" s="277" t="s">
        <v>6070</v>
      </c>
      <c r="S2659" s="272" t="s">
        <v>3293</v>
      </c>
      <c r="T2659" s="273"/>
      <c r="U2659" s="274"/>
      <c r="V2659" s="280"/>
      <c r="W2659" s="244"/>
      <c r="X2659" s="244"/>
      <c r="Y2659" s="362"/>
      <c r="Z2659" s="257">
        <f>altaz(J2000_Bas,$O2659,$M2659,DecLat,DecLong,1)</f>
        <v>27.673589914916569</v>
      </c>
      <c r="AA2659" s="257">
        <f>altaz((J2000_Bas+(2*0.04167)),$O2659,$M2659,DecLat,DecLong,1)</f>
        <v>14.569731759996857</v>
      </c>
      <c r="AB2659" s="257">
        <f>altaz((J2000_Bas+(4*0.04167)),$O2659,$M2659,DecLat,DecLong,1)</f>
        <v>-5.5179046468788941</v>
      </c>
      <c r="AC2659" s="257">
        <f>altaz((J2000_Bas+(6*0.04167)),$O2659,$M2659,DecLat,DecLong,1)</f>
        <v>-29.01425286939153</v>
      </c>
      <c r="AD2659" s="258">
        <f>1+ transit((J2000_Bas-1),$O2659,$M2659,DecLat,DecLong)/360 + (GMTOffset/24) + (IF(DST="Y", 1, 0)/24)</f>
        <v>1.737112849171375</v>
      </c>
      <c r="AE2659" s="259">
        <f>DATE(2001,9,21)+(M2659/360)*365 - (360*((DecLong/360)- (GMTOffset/24) ))</f>
        <v>37431.637731481482</v>
      </c>
      <c r="AF2659" s="260">
        <f>IF(DecLat&gt;0,IF((90 - (DecLat-O2659))&gt;90, (90 - (O2659-DecLat)), (90 - (DecLat-O2659))),IF((90 + (DecLat-O2659))&gt;90, (90 + (O2659-DecLat)), (90 + (DecLat-O2659))))</f>
        <v>30.1</v>
      </c>
      <c r="AG2659" s="257">
        <f>angularseperation(MoonRA,MoonDec,$M2659,$O2659)</f>
        <v>16.57234760618778</v>
      </c>
      <c r="AH2659" s="261">
        <f ca="1">MIN(100,IF($O$5&gt;80,0+30*($AG2659/100),IF($O$5&gt;70,0+50*($AG2659/100),IF($O$5&gt;60,5+50*($AG2659/100),IF($O$5&gt;50,10+60*($AG2659/100),IF($O$5&gt;40,15+70*($AG2659/100),IF($O$5&gt;30,20+70*($AG2659/100),IF($O$5&gt;20,40+55*($AG2659/100),(80+(20-$O$5)+30*($AG2659/100))))))))))</f>
        <v>88.24276462600676</v>
      </c>
      <c r="AI2659" s="263"/>
      <c r="AJ2659" s="263"/>
      <c r="AK2659" s="263"/>
      <c r="AL2659" s="263"/>
      <c r="AM2659" s="264"/>
      <c r="AN2659" s="263"/>
      <c r="AO2659" s="263"/>
      <c r="AP2659" s="265"/>
      <c r="AQ2659" s="265"/>
      <c r="AR2659" s="285"/>
      <c r="AS2659" s="263"/>
      <c r="AT2659" s="263"/>
      <c r="AU2659" s="263"/>
      <c r="AV2659" s="264"/>
      <c r="AW2659" s="263"/>
      <c r="AX2659" s="263"/>
      <c r="AY2659" s="263">
        <v>4</v>
      </c>
      <c r="AZ2659" s="263"/>
      <c r="BA2659" s="263">
        <v>142</v>
      </c>
      <c r="BB2659" s="263">
        <v>21</v>
      </c>
      <c r="BC2659" s="263"/>
      <c r="BD2659" s="264"/>
      <c r="BE2659" s="263"/>
      <c r="BF2659" s="263"/>
      <c r="BG2659" s="263"/>
      <c r="BH2659" s="263"/>
      <c r="BI2659" s="263"/>
      <c r="BJ2659" s="404">
        <f>altaz(J2000_Bas,$O2659,$M2659,DecLat,DecLong,2)</f>
        <v>197.87177793468004</v>
      </c>
      <c r="BK2659" s="378" t="s">
        <v>2476</v>
      </c>
      <c r="BL2659" s="379">
        <f>IF((2*G2659)/60&lt;0.2,0.2,(2*G2659)/60)</f>
        <v>0.2</v>
      </c>
      <c r="BM2659" s="380">
        <f>MOD((50000+AD2659-$B$3+(0/24)),1)</f>
        <v>0.95247977887629531</v>
      </c>
      <c r="BN2659" s="381"/>
      <c r="BO2659" s="382">
        <v>2650</v>
      </c>
    </row>
    <row r="2660" spans="1:67" s="24" customFormat="1" ht="15" customHeight="1" x14ac:dyDescent="0.25">
      <c r="A2660" s="288" t="s">
        <v>2477</v>
      </c>
      <c r="B2660" s="241" t="str">
        <f>HYPERLINK(CONCATENATE($AT$3,BK2660,$AU$3),$AV$3)</f>
        <v>S</v>
      </c>
      <c r="C2660" s="242" t="str">
        <f>HYPERLINK(CONCATENATE($AT$4,BK2660,$AU$4,BL2660),$AV$4)</f>
        <v>A</v>
      </c>
      <c r="D2660" s="243" t="s">
        <v>5187</v>
      </c>
      <c r="E2660" s="244" t="s">
        <v>5183</v>
      </c>
      <c r="F2660" s="269" t="s">
        <v>5180</v>
      </c>
      <c r="G2660" s="276">
        <v>55</v>
      </c>
      <c r="H2660" s="283">
        <v>2700</v>
      </c>
      <c r="I2660" s="246">
        <v>40</v>
      </c>
      <c r="J2660" s="246">
        <v>2</v>
      </c>
      <c r="K2660" s="247" t="s">
        <v>6257</v>
      </c>
      <c r="L2660" s="248">
        <v>175300</v>
      </c>
      <c r="M2660" s="249">
        <f>15*(LEFT(TEXT($L2660,"000000"),2)+(MID(TEXT($L2660,"000000"),3,2)/60)+(RIGHT(TEXT($L2660,"000000"),2)/3600))</f>
        <v>268.25</v>
      </c>
      <c r="N2660" s="286">
        <v>-250600</v>
      </c>
      <c r="O2660" s="251">
        <f>IF($N2660&gt;0,(LEFT(TEXT($N2660,"000000"),2)+(MID(TEXT($N2660,"000000"),3,2)/60)+(RIGHT(TEXT($N2660,"000000"),2)/3600)),-(MID(TEXT($N2660,"000000"),2,2)+(MID(TEXT($N2660,"000000"),4,2)/60)+(RIGHT(TEXT($N2660,"000000"),2)/3600)))</f>
        <v>-25.1</v>
      </c>
      <c r="P2660" s="252" t="s">
        <v>119</v>
      </c>
      <c r="Q2660" s="253"/>
      <c r="R2660" s="277" t="s">
        <v>6071</v>
      </c>
      <c r="S2660" s="272" t="s">
        <v>3293</v>
      </c>
      <c r="T2660" s="273"/>
      <c r="U2660" s="274"/>
      <c r="V2660" s="280"/>
      <c r="W2660" s="244"/>
      <c r="X2660" s="244"/>
      <c r="Y2660" s="362"/>
      <c r="Z2660" s="257">
        <f>altaz(J2000_Bas,$O2660,$M2660,DecLat,DecLong,1)</f>
        <v>31.384770622949464</v>
      </c>
      <c r="AA2660" s="257">
        <f>altaz((J2000_Bas+(2*0.04167)),$O2660,$M2660,DecLat,DecLong,1)</f>
        <v>17.61104309073507</v>
      </c>
      <c r="AB2660" s="257">
        <f>altaz((J2000_Bas+(4*0.04167)),$O2660,$M2660,DecLat,DecLong,1)</f>
        <v>-3.213431470637679</v>
      </c>
      <c r="AC2660" s="257">
        <f>altaz((J2000_Bas+(6*0.04167)),$O2660,$M2660,DecLat,DecLong,1)</f>
        <v>-27.285579433468914</v>
      </c>
      <c r="AD2660" s="258">
        <f>1+ transit((J2000_Bas-1),$O2660,$M2660,DecLat,DecLong)/360 + (GMTOffset/24) + (IF(DST="Y", 1, 0)/24)</f>
        <v>1.7380387750047079</v>
      </c>
      <c r="AE2660" s="259">
        <f>DATE(2001,9,21)+(M2660/360)*365 - (360*((DecLong/360)- (GMTOffset/24) ))</f>
        <v>37431.975694444445</v>
      </c>
      <c r="AF2660" s="260">
        <f>IF(DecLat&gt;0,IF((90 - (DecLat-O2660))&gt;90, (90 - (O2660-DecLat)), (90 - (DecLat-O2660))),IF((90 + (DecLat-O2660))&gt;90, (90 + (O2660-DecLat)), (90 + (DecLat-O2660))))</f>
        <v>33.9</v>
      </c>
      <c r="AG2660" s="257">
        <f>angularseperation(MoonRA,MoonDec,$M2660,$O2660)</f>
        <v>17.169228905366818</v>
      </c>
      <c r="AH2660" s="261">
        <f ca="1">MIN(100,IF($O$5&gt;80,0+30*($AG2660/100),IF($O$5&gt;70,0+50*($AG2660/100),IF($O$5&gt;60,5+50*($AG2660/100),IF($O$5&gt;50,10+60*($AG2660/100),IF($O$5&gt;40,15+70*($AG2660/100),IF($O$5&gt;30,20+70*($AG2660/100),IF($O$5&gt;20,40+55*($AG2660/100),(80+(20-$O$5)+30*($AG2660/100))))))))))</f>
        <v>88.421829015760466</v>
      </c>
      <c r="AI2660" s="263"/>
      <c r="AJ2660" s="263"/>
      <c r="AK2660" s="263"/>
      <c r="AL2660" s="263"/>
      <c r="AM2660" s="264"/>
      <c r="AN2660" s="263"/>
      <c r="AO2660" s="263"/>
      <c r="AP2660" s="265"/>
      <c r="AQ2660" s="265"/>
      <c r="AR2660" s="285"/>
      <c r="AS2660" s="263"/>
      <c r="AT2660" s="263"/>
      <c r="AU2660" s="263"/>
      <c r="AV2660" s="264"/>
      <c r="AW2660" s="263"/>
      <c r="AX2660" s="263">
        <v>71</v>
      </c>
      <c r="AY2660" s="263">
        <v>14</v>
      </c>
      <c r="AZ2660" s="263"/>
      <c r="BA2660" s="263">
        <v>144</v>
      </c>
      <c r="BB2660" s="263">
        <v>22</v>
      </c>
      <c r="BC2660" s="263"/>
      <c r="BD2660" s="264"/>
      <c r="BE2660" s="263"/>
      <c r="BF2660" s="263"/>
      <c r="BG2660" s="263"/>
      <c r="BH2660" s="263"/>
      <c r="BI2660" s="263"/>
      <c r="BJ2660" s="404">
        <f>altaz(J2000_Bas,$O2660,$M2660,DecLat,DecLong,2)</f>
        <v>198.87093981480677</v>
      </c>
      <c r="BK2660" s="378" t="s">
        <v>2477</v>
      </c>
      <c r="BL2660" s="379">
        <f>IF((2*G2660)/60&lt;0.2,0.2,(2*G2660)/60)</f>
        <v>1.8333333333333333</v>
      </c>
      <c r="BM2660" s="380">
        <f>MOD((50000+AD2660-$B$3+(0/24)),1)</f>
        <v>0.95340570470580133</v>
      </c>
      <c r="BN2660" s="381"/>
      <c r="BO2660" s="382">
        <v>2651</v>
      </c>
    </row>
    <row r="2661" spans="1:67" s="24" customFormat="1" ht="15" customHeight="1" x14ac:dyDescent="0.25">
      <c r="A2661" s="288" t="s">
        <v>2478</v>
      </c>
      <c r="B2661" s="241" t="str">
        <f>HYPERLINK(CONCATENATE($AT$3,BK2661,$AU$3),$AV$3)</f>
        <v>S</v>
      </c>
      <c r="C2661" s="242" t="str">
        <f>HYPERLINK(CONCATENATE($AT$4,BK2661,$AU$4,BL2661),$AV$4)</f>
        <v>A</v>
      </c>
      <c r="D2661" s="243" t="s">
        <v>5187</v>
      </c>
      <c r="E2661" s="244" t="s">
        <v>7522</v>
      </c>
      <c r="F2661" s="269"/>
      <c r="G2661" s="276">
        <v>50</v>
      </c>
      <c r="H2661" s="283">
        <v>700</v>
      </c>
      <c r="I2661" s="244">
        <v>10</v>
      </c>
      <c r="J2661" s="246">
        <v>0</v>
      </c>
      <c r="K2661" s="247" t="s">
        <v>6264</v>
      </c>
      <c r="L2661" s="248">
        <v>161324</v>
      </c>
      <c r="M2661" s="249">
        <f>15*(LEFT(TEXT($L2661,"000000"),2)+(MID(TEXT($L2661,"000000"),3,2)/60)+(RIGHT(TEXT($L2661,"000000"),2)/3600))</f>
        <v>243.35</v>
      </c>
      <c r="N2661" s="250">
        <v>-82200</v>
      </c>
      <c r="O2661" s="251">
        <f>IF($N2661&gt;0,(LEFT(TEXT($N2661,"000000"),2)+(MID(TEXT($N2661,"000000"),3,2)/60)+(RIGHT(TEXT($N2661,"000000"),2)/3600)),-(MID(TEXT($N2661,"000000"),2,2)+(MID(TEXT($N2661,"000000"),4,2)/60)+(RIGHT(TEXT($N2661,"000000"),2)/3600)))</f>
        <v>-8.3666666666666671</v>
      </c>
      <c r="P2661" s="252" t="s">
        <v>109</v>
      </c>
      <c r="Q2661" s="253"/>
      <c r="R2661" s="277" t="s">
        <v>3293</v>
      </c>
      <c r="S2661" s="272" t="s">
        <v>3293</v>
      </c>
      <c r="T2661" s="273"/>
      <c r="U2661" s="274"/>
      <c r="V2661" s="280"/>
      <c r="W2661" s="244"/>
      <c r="X2661" s="244"/>
      <c r="Y2661" s="362"/>
      <c r="Z2661" s="257">
        <f>altaz(J2000_Bas,$O2661,$M2661,DecLat,DecLong,1)</f>
        <v>33.282928678944153</v>
      </c>
      <c r="AA2661" s="257">
        <f>altaz((J2000_Bas+(2*0.04167)),$O2661,$M2661,DecLat,DecLong,1)</f>
        <v>10.17876322959666</v>
      </c>
      <c r="AB2661" s="257">
        <f>altaz((J2000_Bas+(4*0.04167)),$O2661,$M2661,DecLat,DecLong,1)</f>
        <v>-15.25635931572163</v>
      </c>
      <c r="AC2661" s="257">
        <f>altaz((J2000_Bas+(6*0.04167)),$O2661,$M2661,DecLat,DecLong,1)</f>
        <v>-40.714587097919754</v>
      </c>
      <c r="AD2661" s="258">
        <f>1+ transit((J2000_Bas-1),$O2661,$M2661,DecLat,DecLong)/360 + (GMTOffset/24) + (IF(DST="Y", 1, 0)/24)</f>
        <v>1.6688721152547081</v>
      </c>
      <c r="AE2661" s="259">
        <f>DATE(2001,9,21)+(M2661/360)*365 - (360*((DecLong/360)- (GMTOffset/24) ))</f>
        <v>37406.729861111111</v>
      </c>
      <c r="AF2661" s="260">
        <f>IF(DecLat&gt;0,IF((90 - (DecLat-O2661))&gt;90, (90 - (O2661-DecLat)), (90 - (DecLat-O2661))),IF((90 + (DecLat-O2661))&gt;90, (90 + (O2661-DecLat)), (90 + (DecLat-O2661))))</f>
        <v>50.633333333333333</v>
      </c>
      <c r="AG2661" s="257">
        <f>angularseperation(MoonRA,MoonDec,$M2661,$O2661)</f>
        <v>19.531231164740131</v>
      </c>
      <c r="AH2661" s="261">
        <f ca="1">MIN(100,IF($O$5&gt;80,0+30*($AG2661/100),IF($O$5&gt;70,0+50*($AG2661/100),IF($O$5&gt;60,5+50*($AG2661/100),IF($O$5&gt;50,10+60*($AG2661/100),IF($O$5&gt;40,15+70*($AG2661/100),IF($O$5&gt;30,20+70*($AG2661/100),IF($O$5&gt;20,40+55*($AG2661/100),(80+(20-$O$5)+30*($AG2661/100))))))))))</f>
        <v>89.130429693572466</v>
      </c>
      <c r="AI2661" s="263"/>
      <c r="AJ2661" s="263"/>
      <c r="AK2661" s="263"/>
      <c r="AL2661" s="263"/>
      <c r="AM2661" s="264"/>
      <c r="AN2661" s="263"/>
      <c r="AO2661" s="263"/>
      <c r="AP2661" s="265"/>
      <c r="AQ2661" s="265"/>
      <c r="AR2661" s="285"/>
      <c r="AS2661" s="263"/>
      <c r="AT2661" s="263"/>
      <c r="AU2661" s="263"/>
      <c r="AV2661" s="264"/>
      <c r="AW2661" s="263"/>
      <c r="AX2661" s="263"/>
      <c r="AY2661" s="263"/>
      <c r="AZ2661" s="263"/>
      <c r="BA2661" s="263"/>
      <c r="BB2661" s="263">
        <v>23</v>
      </c>
      <c r="BC2661" s="263"/>
      <c r="BD2661" s="264"/>
      <c r="BE2661" s="263"/>
      <c r="BF2661" s="263"/>
      <c r="BG2661" s="263"/>
      <c r="BH2661" s="263"/>
      <c r="BI2661" s="263"/>
      <c r="BJ2661" s="404">
        <f>altaz(J2000_Bas,$O2661,$M2661,DecLat,DecLong,2)</f>
        <v>233.30913069011149</v>
      </c>
      <c r="BK2661" s="378" t="s">
        <v>2478</v>
      </c>
      <c r="BL2661" s="379">
        <f>IF((2*G2661)/60&lt;0.2,0.2,(2*G2661)/60)</f>
        <v>1.6666666666666667</v>
      </c>
      <c r="BM2661" s="380">
        <f>MOD((50000+AD2661-$B$3+(0/24)),1)</f>
        <v>0.88423904495721217</v>
      </c>
      <c r="BN2661" s="381"/>
      <c r="BO2661" s="382">
        <v>2652</v>
      </c>
    </row>
    <row r="2662" spans="1:67" s="24" customFormat="1" ht="15" customHeight="1" x14ac:dyDescent="0.25">
      <c r="A2662" s="288" t="s">
        <v>2479</v>
      </c>
      <c r="B2662" s="241" t="str">
        <f>HYPERLINK(CONCATENATE($AT$3,BK2662,$AU$3),$AV$3)</f>
        <v>S</v>
      </c>
      <c r="C2662" s="242" t="str">
        <f>HYPERLINK(CONCATENATE($AT$4,BK2662,$AU$4,BL2662),$AV$4)</f>
        <v>A</v>
      </c>
      <c r="D2662" s="243" t="s">
        <v>5187</v>
      </c>
      <c r="E2662" s="244" t="s">
        <v>7522</v>
      </c>
      <c r="F2662" s="269"/>
      <c r="G2662" s="276">
        <v>60</v>
      </c>
      <c r="H2662" s="283">
        <v>700</v>
      </c>
      <c r="I2662" s="246">
        <v>12</v>
      </c>
      <c r="J2662" s="246">
        <v>1</v>
      </c>
      <c r="K2662" s="247" t="s">
        <v>6258</v>
      </c>
      <c r="L2662" s="248">
        <v>161101</v>
      </c>
      <c r="M2662" s="249">
        <f>15*(LEFT(TEXT($L2662,"000000"),2)+(MID(TEXT($L2662,"000000"),3,2)/60)+(RIGHT(TEXT($L2662,"000000"),2)/3600))</f>
        <v>242.75416666666669</v>
      </c>
      <c r="N2662" s="250">
        <v>-70136</v>
      </c>
      <c r="O2662" s="251">
        <f>IF($N2662&gt;0,(LEFT(TEXT($N2662,"000000"),2)+(MID(TEXT($N2662,"000000"),3,2)/60)+(RIGHT(TEXT($N2662,"000000"),2)/3600)),-(MID(TEXT($N2662,"000000"),2,2)+(MID(TEXT($N2662,"000000"),4,2)/60)+(RIGHT(TEXT($N2662,"000000"),2)/3600)))</f>
        <v>-7.0266666666666664</v>
      </c>
      <c r="P2662" s="252" t="s">
        <v>113</v>
      </c>
      <c r="Q2662" s="253"/>
      <c r="R2662" s="277" t="s">
        <v>6259</v>
      </c>
      <c r="S2662" s="272" t="s">
        <v>3293</v>
      </c>
      <c r="T2662" s="273"/>
      <c r="U2662" s="274"/>
      <c r="V2662" s="280"/>
      <c r="W2662" s="244"/>
      <c r="X2662" s="244"/>
      <c r="Y2662" s="362"/>
      <c r="Z2662" s="257">
        <f>altaz(J2000_Bas,$O2662,$M2662,DecLat,DecLong,1)</f>
        <v>33.82492015643038</v>
      </c>
      <c r="AA2662" s="257">
        <f>altaz((J2000_Bas+(2*0.04167)),$O2662,$M2662,DecLat,DecLong,1)</f>
        <v>10.427508739537812</v>
      </c>
      <c r="AB2662" s="257">
        <f>altaz((J2000_Bas+(4*0.04167)),$O2662,$M2662,DecLat,DecLong,1)</f>
        <v>-15.094597534170985</v>
      </c>
      <c r="AC2662" s="257">
        <f>altaz((J2000_Bas+(6*0.04167)),$O2662,$M2662,DecLat,DecLong,1)</f>
        <v>-40.438484743594231</v>
      </c>
      <c r="AD2662" s="258">
        <f>1+ transit((J2000_Bas-1),$O2662,$M2662,DecLat,DecLong)/360 + (GMTOffset/24) + (IF(DST="Y", 1, 0)/24)</f>
        <v>1.6672170228276249</v>
      </c>
      <c r="AE2662" s="259">
        <f>DATE(2001,9,21)+(M2662/360)*365 - (360*((DecLong/360)- (GMTOffset/24) ))</f>
        <v>37406.125752314816</v>
      </c>
      <c r="AF2662" s="260">
        <f>IF(DecLat&gt;0,IF((90 - (DecLat-O2662))&gt;90, (90 - (O2662-DecLat)), (90 - (DecLat-O2662))),IF((90 + (DecLat-O2662))&gt;90, (90 + (O2662-DecLat)), (90 + (DecLat-O2662))))</f>
        <v>51.973333333333336</v>
      </c>
      <c r="AG2662" s="257">
        <f>angularseperation(MoonRA,MoonDec,$M2662,$O2662)</f>
        <v>20.982397676431589</v>
      </c>
      <c r="AH2662" s="261">
        <f ca="1">MIN(100,IF($O$5&gt;80,0+30*($AG2662/100),IF($O$5&gt;70,0+50*($AG2662/100),IF($O$5&gt;60,5+50*($AG2662/100),IF($O$5&gt;50,10+60*($AG2662/100),IF($O$5&gt;40,15+70*($AG2662/100),IF($O$5&gt;30,20+70*($AG2662/100),IF($O$5&gt;20,40+55*($AG2662/100),(80+(20-$O$5)+30*($AG2662/100))))))))))</f>
        <v>89.565779647079907</v>
      </c>
      <c r="AI2662" s="263"/>
      <c r="AJ2662" s="263"/>
      <c r="AK2662" s="263"/>
      <c r="AL2662" s="263"/>
      <c r="AM2662" s="264"/>
      <c r="AN2662" s="263"/>
      <c r="AO2662" s="263"/>
      <c r="AP2662" s="265"/>
      <c r="AQ2662" s="265"/>
      <c r="AR2662" s="285"/>
      <c r="AS2662" s="263"/>
      <c r="AT2662" s="263"/>
      <c r="AU2662" s="263"/>
      <c r="AV2662" s="264"/>
      <c r="AW2662" s="263"/>
      <c r="AX2662" s="263"/>
      <c r="AY2662" s="263">
        <v>17</v>
      </c>
      <c r="AZ2662" s="263"/>
      <c r="BA2662" s="263"/>
      <c r="BB2662" s="263">
        <v>24</v>
      </c>
      <c r="BC2662" s="263"/>
      <c r="BD2662" s="264"/>
      <c r="BE2662" s="263"/>
      <c r="BF2662" s="263"/>
      <c r="BG2662" s="263"/>
      <c r="BH2662" s="263"/>
      <c r="BI2662" s="263"/>
      <c r="BJ2662" s="404">
        <f>altaz(J2000_Bas,$O2662,$M2662,DecLat,DecLong,2)</f>
        <v>234.94148495920265</v>
      </c>
      <c r="BK2662" s="378" t="s">
        <v>2479</v>
      </c>
      <c r="BL2662" s="379">
        <f>IF((2*G2662)/60&lt;0.2,0.2,(2*G2662)/60)</f>
        <v>2</v>
      </c>
      <c r="BM2662" s="380">
        <f>MOD((50000+AD2662-$B$3+(0/24)),1)</f>
        <v>0.88258395253069466</v>
      </c>
      <c r="BN2662" s="381"/>
      <c r="BO2662" s="382">
        <v>2653</v>
      </c>
    </row>
    <row r="2663" spans="1:67" s="24" customFormat="1" ht="15" customHeight="1" x14ac:dyDescent="0.25">
      <c r="A2663" s="288" t="s">
        <v>8638</v>
      </c>
      <c r="B2663" s="241" t="str">
        <f>HYPERLINK(CONCATENATE($AT$3,BK2663,$AU$3),$AV$3)</f>
        <v>S</v>
      </c>
      <c r="C2663" s="242" t="str">
        <f>HYPERLINK(CONCATENATE($AT$4,BK2663,$AU$4,BL2663),$AV$4)</f>
        <v>A</v>
      </c>
      <c r="D2663" s="243" t="s">
        <v>5187</v>
      </c>
      <c r="E2663" s="244" t="s">
        <v>5183</v>
      </c>
      <c r="F2663" s="269" t="s">
        <v>5180</v>
      </c>
      <c r="G2663" s="276">
        <v>24</v>
      </c>
      <c r="H2663" s="271">
        <v>2500</v>
      </c>
      <c r="I2663" s="246">
        <v>18</v>
      </c>
      <c r="J2663" s="246">
        <v>1</v>
      </c>
      <c r="K2663" s="247" t="s">
        <v>8639</v>
      </c>
      <c r="L2663" s="248">
        <v>175810</v>
      </c>
      <c r="M2663" s="249">
        <f>15*(LEFT(TEXT($L2663,"000000"),2)+(MID(TEXT($L2663,"000000"),3,2)/60)+(RIGHT(TEXT($L2663,"000000"),2)/3600))</f>
        <v>269.54166666666663</v>
      </c>
      <c r="N2663" s="286">
        <v>-232802</v>
      </c>
      <c r="O2663" s="251">
        <f>IF($N2663&gt;0,(LEFT(TEXT($N2663,"000000"),2)+(MID(TEXT($N2663,"000000"),3,2)/60)+(RIGHT(TEXT($N2663,"000000"),2)/3600)),-(MID(TEXT($N2663,"000000"),2,2)+(MID(TEXT($N2663,"000000"),4,2)/60)+(RIGHT(TEXT($N2663,"000000"),2)/3600)))</f>
        <v>-23.467222222222219</v>
      </c>
      <c r="P2663" s="252" t="s">
        <v>113</v>
      </c>
      <c r="Q2663" s="253"/>
      <c r="R2663" s="277" t="s">
        <v>3293</v>
      </c>
      <c r="S2663" s="272" t="s">
        <v>3293</v>
      </c>
      <c r="T2663" s="273"/>
      <c r="U2663" s="274"/>
      <c r="V2663" s="256"/>
      <c r="W2663" s="244"/>
      <c r="X2663" s="244"/>
      <c r="Y2663" s="362"/>
      <c r="Z2663" s="257">
        <f>altaz(J2000_Bas,$O2663,$M2663,DecLat,DecLong,1)</f>
        <v>33.294446616982391</v>
      </c>
      <c r="AA2663" s="257">
        <f>altaz((J2000_Bas+(2*0.04167)),$O2663,$M2663,DecLat,DecLong,1)</f>
        <v>19.613786230573396</v>
      </c>
      <c r="AB2663" s="257">
        <f>altaz((J2000_Bas+(4*0.04167)),$O2663,$M2663,DecLat,DecLong,1)</f>
        <v>-1.334286992273656</v>
      </c>
      <c r="AC2663" s="257">
        <f>altaz((J2000_Bas+(6*0.04167)),$O2663,$M2663,DecLat,DecLong,1)</f>
        <v>-25.545978625633843</v>
      </c>
      <c r="AD2663" s="258">
        <f>1+ transit((J2000_Bas-1),$O2663,$M2663,DecLat,DecLong)/360 + (GMTOffset/24) + (IF(DST="Y", 1, 0)/24)</f>
        <v>1.7416267376088745</v>
      </c>
      <c r="AE2663" s="259">
        <f>DATE(2001,9,21)+(M2663/360)*365 - (360*((DecLong/360)- (GMTOffset/24) ))</f>
        <v>37433.285300925927</v>
      </c>
      <c r="AF2663" s="260">
        <f>IF(DecLat&gt;0,IF((90 - (DecLat-O2663))&gt;90, (90 - (O2663-DecLat)), (90 - (DecLat-O2663))),IF((90 + (DecLat-O2663))&gt;90, (90 + (O2663-DecLat)), (90 + (DecLat-O2663))))</f>
        <v>35.532777777777781</v>
      </c>
      <c r="AG2663" s="257">
        <f>angularseperation(MoonRA,MoonDec,$M2663,$O2663)</f>
        <v>18.686918017566434</v>
      </c>
      <c r="AH2663" s="261">
        <f ca="1">MIN(100,IF($O$5&gt;80,0+30*($AG2663/100),IF($O$5&gt;70,0+50*($AG2663/100),IF($O$5&gt;60,5+50*($AG2663/100),IF($O$5&gt;50,10+60*($AG2663/100),IF($O$5&gt;40,15+70*($AG2663/100),IF($O$5&gt;30,20+70*($AG2663/100),IF($O$5&gt;20,40+55*($AG2663/100),(80+(20-$O$5)+30*($AG2663/100))))))))))</f>
        <v>88.877135749420361</v>
      </c>
      <c r="AI2663" s="263"/>
      <c r="AJ2663" s="263"/>
      <c r="AK2663" s="263"/>
      <c r="AL2663" s="263"/>
      <c r="AM2663" s="264"/>
      <c r="AN2663" s="263"/>
      <c r="AO2663" s="263"/>
      <c r="AP2663" s="265"/>
      <c r="AQ2663" s="265"/>
      <c r="AR2663" s="285"/>
      <c r="AS2663" s="263"/>
      <c r="AT2663" s="263"/>
      <c r="AU2663" s="263"/>
      <c r="AV2663" s="264"/>
      <c r="AW2663" s="263"/>
      <c r="AX2663" s="263"/>
      <c r="AY2663" s="263"/>
      <c r="AZ2663" s="263"/>
      <c r="BA2663" s="263">
        <v>145</v>
      </c>
      <c r="BB2663" s="263">
        <v>26</v>
      </c>
      <c r="BC2663" s="263"/>
      <c r="BD2663" s="264"/>
      <c r="BE2663" s="263"/>
      <c r="BF2663" s="263"/>
      <c r="BG2663" s="263"/>
      <c r="BH2663" s="263"/>
      <c r="BI2663" s="263"/>
      <c r="BJ2663" s="404">
        <f>altaz(J2000_Bas,$O2663,$M2663,DecLat,DecLong,2)</f>
        <v>198.11747918480822</v>
      </c>
      <c r="BK2663" s="378" t="s">
        <v>8638</v>
      </c>
      <c r="BL2663" s="379">
        <f>IF((2*G2663)/60&lt;0.2,0.2,(2*G2663)/60)</f>
        <v>0.8</v>
      </c>
      <c r="BM2663" s="380">
        <f>MOD((50000+AD2663-$B$3+(0/24)),1)</f>
        <v>0.95699366731423652</v>
      </c>
      <c r="BN2663" s="381"/>
      <c r="BO2663" s="382">
        <v>2654</v>
      </c>
    </row>
    <row r="2664" spans="1:67" s="24" customFormat="1" ht="15" customHeight="1" x14ac:dyDescent="0.25">
      <c r="A2664" s="288" t="s">
        <v>2480</v>
      </c>
      <c r="B2664" s="241" t="str">
        <f>HYPERLINK(CONCATENATE($AT$3,BK2664,$AU$3),$AV$3)</f>
        <v>S</v>
      </c>
      <c r="C2664" s="242" t="str">
        <f>HYPERLINK(CONCATENATE($AT$4,BK2664,$AU$4,BL2664),$AV$4)</f>
        <v>A</v>
      </c>
      <c r="D2664" s="243" t="s">
        <v>5187</v>
      </c>
      <c r="E2664" s="244" t="s">
        <v>5183</v>
      </c>
      <c r="F2664" s="269" t="s">
        <v>5180</v>
      </c>
      <c r="G2664" s="276">
        <v>25</v>
      </c>
      <c r="H2664" s="283">
        <v>4000</v>
      </c>
      <c r="I2664" s="246">
        <v>30</v>
      </c>
      <c r="J2664" s="246">
        <v>3</v>
      </c>
      <c r="K2664" s="247" t="s">
        <v>5116</v>
      </c>
      <c r="L2664" s="248">
        <v>180912</v>
      </c>
      <c r="M2664" s="249">
        <f>15*(LEFT(TEXT($L2664,"000000"),2)+(MID(TEXT($L2664,"000000"),3,2)/60)+(RIGHT(TEXT($L2664,"000000"),2)/3600))</f>
        <v>272.3</v>
      </c>
      <c r="N2664" s="286">
        <v>-240416</v>
      </c>
      <c r="O2664" s="251">
        <f>IF($N2664&gt;0,(LEFT(TEXT($N2664,"000000"),2)+(MID(TEXT($N2664,"000000"),3,2)/60)+(RIGHT(TEXT($N2664,"000000"),2)/3600)),-(MID(TEXT($N2664,"000000"),2,2)+(MID(TEXT($N2664,"000000"),4,2)/60)+(RIGHT(TEXT($N2664,"000000"),2)/3600)))</f>
        <v>-24.071111111111112</v>
      </c>
      <c r="P2664" s="252" t="s">
        <v>119</v>
      </c>
      <c r="Q2664" s="253"/>
      <c r="R2664" s="247" t="s">
        <v>3293</v>
      </c>
      <c r="S2664" s="272" t="s">
        <v>5117</v>
      </c>
      <c r="T2664" s="273"/>
      <c r="U2664" s="274"/>
      <c r="V2664" s="280"/>
      <c r="W2664" s="244"/>
      <c r="X2664" s="244"/>
      <c r="Y2664" s="362"/>
      <c r="Z2664" s="257">
        <f>altaz(J2000_Bas,$O2664,$M2664,DecLat,DecLong,1)</f>
        <v>33.386524283786883</v>
      </c>
      <c r="AA2664" s="257">
        <f>altaz((J2000_Bas+(2*0.04167)),$O2664,$M2664,DecLat,DecLong,1)</f>
        <v>20.78868676734503</v>
      </c>
      <c r="AB2664" s="257">
        <f>altaz((J2000_Bas+(4*0.04167)),$O2664,$M2664,DecLat,DecLong,1)</f>
        <v>0.42036755533786424</v>
      </c>
      <c r="AC2664" s="257">
        <f>altaz((J2000_Bas+(6*0.04167)),$O2664,$M2664,DecLat,DecLong,1)</f>
        <v>-23.504663611664441</v>
      </c>
      <c r="AD2664" s="258">
        <f>1+ transit((J2000_Bas-1),$O2664,$M2664,DecLat,DecLong)/360 + (GMTOffset/24) + (IF(DST="Y", 1, 0)/24)</f>
        <v>1.749288773879708</v>
      </c>
      <c r="AE2664" s="259">
        <f>DATE(2001,9,21)+(M2664/360)*365 - (360*((DecLong/360)- (GMTOffset/24) ))</f>
        <v>37436.081944444442</v>
      </c>
      <c r="AF2664" s="260">
        <f>IF(DecLat&gt;0,IF((90 - (DecLat-O2664))&gt;90, (90 - (O2664-DecLat)), (90 - (DecLat-O2664))),IF((90 + (DecLat-O2664))&gt;90, (90 + (O2664-DecLat)), (90 + (DecLat-O2664))))</f>
        <v>34.928888888888892</v>
      </c>
      <c r="AG2664" s="257">
        <f>angularseperation(MoonRA,MoonDec,$M2664,$O2664)</f>
        <v>20.985286470301734</v>
      </c>
      <c r="AH2664" s="261">
        <f ca="1">MIN(100,IF($O$5&gt;80,0+30*($AG2664/100),IF($O$5&gt;70,0+50*($AG2664/100),IF($O$5&gt;60,5+50*($AG2664/100),IF($O$5&gt;50,10+60*($AG2664/100),IF($O$5&gt;40,15+70*($AG2664/100),IF($O$5&gt;30,20+70*($AG2664/100),IF($O$5&gt;20,40+55*($AG2664/100),(80+(20-$O$5)+30*($AG2664/100))))))))))</f>
        <v>89.56664628524095</v>
      </c>
      <c r="AI2664" s="262"/>
      <c r="AJ2664" s="262"/>
      <c r="AK2664" s="262"/>
      <c r="AL2664" s="263"/>
      <c r="AM2664" s="264"/>
      <c r="AN2664" s="263"/>
      <c r="AO2664" s="263"/>
      <c r="AP2664" s="265"/>
      <c r="AQ2664" s="266"/>
      <c r="AR2664" s="267"/>
      <c r="AS2664" s="263"/>
      <c r="AT2664" s="263"/>
      <c r="AU2664" s="263"/>
      <c r="AV2664" s="264"/>
      <c r="AW2664" s="263"/>
      <c r="AX2664" s="263"/>
      <c r="AY2664" s="263">
        <v>29</v>
      </c>
      <c r="AZ2664" s="263"/>
      <c r="BA2664" s="263"/>
      <c r="BB2664" s="263">
        <v>29</v>
      </c>
      <c r="BC2664" s="263"/>
      <c r="BD2664" s="264"/>
      <c r="BE2664" s="263"/>
      <c r="BF2664" s="263"/>
      <c r="BG2664" s="263"/>
      <c r="BH2664" s="263"/>
      <c r="BI2664" s="263"/>
      <c r="BJ2664" s="404">
        <f>altaz(J2000_Bas,$O2664,$M2664,DecLat,DecLong,2)</f>
        <v>195.01245571226733</v>
      </c>
      <c r="BK2664" s="378" t="s">
        <v>2480</v>
      </c>
      <c r="BL2664" s="379">
        <f>IF((2*G2664)/60&lt;0.2,0.2,(2*G2664)/60)</f>
        <v>0.83333333333333337</v>
      </c>
      <c r="BM2664" s="380">
        <f>MOD((50000+AD2664-$B$3+(0/24)),1)</f>
        <v>0.96465570358122932</v>
      </c>
      <c r="BN2664" s="381"/>
      <c r="BO2664" s="382">
        <v>2655</v>
      </c>
    </row>
    <row r="2665" spans="1:67" s="24" customFormat="1" ht="15" customHeight="1" x14ac:dyDescent="0.25">
      <c r="A2665" s="288" t="s">
        <v>2481</v>
      </c>
      <c r="B2665" s="241" t="str">
        <f>HYPERLINK(CONCATENATE($AT$3,BK2665,$AU$3),$AV$3)</f>
        <v>S</v>
      </c>
      <c r="C2665" s="242" t="str">
        <f>HYPERLINK(CONCATENATE($AT$4,BK2665,$AU$4,BL2665),$AV$4)</f>
        <v>A</v>
      </c>
      <c r="D2665" s="243" t="s">
        <v>5187</v>
      </c>
      <c r="E2665" s="244" t="s">
        <v>5183</v>
      </c>
      <c r="F2665" s="269" t="s">
        <v>5180</v>
      </c>
      <c r="G2665" s="273">
        <v>9</v>
      </c>
      <c r="H2665" s="283">
        <v>4000</v>
      </c>
      <c r="I2665" s="244">
        <v>10</v>
      </c>
      <c r="J2665" s="246">
        <v>1</v>
      </c>
      <c r="K2665" s="247" t="s">
        <v>5118</v>
      </c>
      <c r="L2665" s="248">
        <v>181124</v>
      </c>
      <c r="M2665" s="249">
        <f>15*(LEFT(TEXT($L2665,"000000"),2)+(MID(TEXT($L2665,"000000"),3,2)/60)+(RIGHT(TEXT($L2665,"000000"),2)/3600))</f>
        <v>272.85000000000002</v>
      </c>
      <c r="N2665" s="286">
        <v>-234659</v>
      </c>
      <c r="O2665" s="251">
        <f>IF($N2665&gt;0,(LEFT(TEXT($N2665,"000000"),2)+(MID(TEXT($N2665,"000000"),3,2)/60)+(RIGHT(TEXT($N2665,"000000"),2)/3600)),-(MID(TEXT($N2665,"000000"),2,2)+(MID(TEXT($N2665,"000000"),4,2)/60)+(RIGHT(TEXT($N2665,"000000"),2)/3600)))</f>
        <v>-23.783055555555556</v>
      </c>
      <c r="P2665" s="252" t="s">
        <v>119</v>
      </c>
      <c r="Q2665" s="253"/>
      <c r="R2665" s="247" t="s">
        <v>3730</v>
      </c>
      <c r="S2665" s="272" t="s">
        <v>5121</v>
      </c>
      <c r="T2665" s="273"/>
      <c r="U2665" s="274"/>
      <c r="V2665" s="280"/>
      <c r="W2665" s="244"/>
      <c r="X2665" s="244"/>
      <c r="Y2665" s="362"/>
      <c r="Z2665" s="257">
        <f>altaz(J2000_Bas,$O2665,$M2665,DecLat,DecLong,1)</f>
        <v>33.786355938086182</v>
      </c>
      <c r="AA2665" s="257">
        <f>altaz((J2000_Bas+(2*0.04167)),$O2665,$M2665,DecLat,DecLong,1)</f>
        <v>21.329755947269533</v>
      </c>
      <c r="AB2665" s="257">
        <f>altaz((J2000_Bas+(4*0.04167)),$O2665,$M2665,DecLat,DecLong,1)</f>
        <v>0.9976878543577099</v>
      </c>
      <c r="AC2665" s="257">
        <f>altaz((J2000_Bas+(6*0.04167)),$O2665,$M2665,DecLat,DecLong,1)</f>
        <v>-22.927286250550662</v>
      </c>
      <c r="AD2665" s="258">
        <f>1+ transit((J2000_Bas-1),$O2665,$M2665,DecLat,DecLong)/360 + (GMTOffset/24) + (IF(DST="Y", 1, 0)/24)</f>
        <v>1.7508165515047083</v>
      </c>
      <c r="AE2665" s="259">
        <f>DATE(2001,9,21)+(M2665/360)*365 - (360*((DecLong/360)- (GMTOffset/24) ))</f>
        <v>37436.63958333333</v>
      </c>
      <c r="AF2665" s="260">
        <f>IF(DecLat&gt;0,IF((90 - (DecLat-O2665))&gt;90, (90 - (O2665-DecLat)), (90 - (DecLat-O2665))),IF((90 + (DecLat-O2665))&gt;90, (90 + (O2665-DecLat)), (90 + (DecLat-O2665))))</f>
        <v>35.216944444444444</v>
      </c>
      <c r="AG2665" s="257">
        <f>angularseperation(MoonRA,MoonDec,$M2665,$O2665)</f>
        <v>21.541342696822905</v>
      </c>
      <c r="AH2665" s="261">
        <f ca="1">MIN(100,IF($O$5&gt;80,0+30*($AG2665/100),IF($O$5&gt;70,0+50*($AG2665/100),IF($O$5&gt;60,5+50*($AG2665/100),IF($O$5&gt;50,10+60*($AG2665/100),IF($O$5&gt;40,15+70*($AG2665/100),IF($O$5&gt;30,20+70*($AG2665/100),IF($O$5&gt;20,40+55*($AG2665/100),(80+(20-$O$5)+30*($AG2665/100))))))))))</f>
        <v>89.733463153197306</v>
      </c>
      <c r="AI2665" s="262"/>
      <c r="AJ2665" s="262">
        <v>1275</v>
      </c>
      <c r="AK2665" s="262"/>
      <c r="AL2665" s="263"/>
      <c r="AM2665" s="264"/>
      <c r="AN2665" s="263"/>
      <c r="AO2665" s="263"/>
      <c r="AP2665" s="265"/>
      <c r="AQ2665" s="266"/>
      <c r="AR2665" s="267"/>
      <c r="AS2665" s="263"/>
      <c r="AT2665" s="263"/>
      <c r="AU2665" s="263"/>
      <c r="AV2665" s="264"/>
      <c r="AW2665" s="263"/>
      <c r="AX2665" s="263"/>
      <c r="AY2665" s="263"/>
      <c r="AZ2665" s="263"/>
      <c r="BA2665" s="263"/>
      <c r="BB2665" s="263">
        <v>31</v>
      </c>
      <c r="BC2665" s="263"/>
      <c r="BD2665" s="264"/>
      <c r="BE2665" s="263"/>
      <c r="BF2665" s="263"/>
      <c r="BG2665" s="263"/>
      <c r="BH2665" s="263"/>
      <c r="BI2665" s="263"/>
      <c r="BJ2665" s="404">
        <f>altaz(J2000_Bas,$O2665,$M2665,DecLat,DecLong,2)</f>
        <v>194.50906755032022</v>
      </c>
      <c r="BK2665" s="378" t="s">
        <v>2481</v>
      </c>
      <c r="BL2665" s="379">
        <f>IF((2*G2665)/60&lt;0.2,0.2,(2*G2665)/60)</f>
        <v>0.3</v>
      </c>
      <c r="BM2665" s="380">
        <f>MOD((50000+AD2665-$B$3+(0/24)),1)</f>
        <v>0.9661834812068264</v>
      </c>
      <c r="BN2665" s="381"/>
      <c r="BO2665" s="382">
        <v>2656</v>
      </c>
    </row>
    <row r="2666" spans="1:67" s="24" customFormat="1" ht="15" customHeight="1" x14ac:dyDescent="0.25">
      <c r="A2666" s="288" t="s">
        <v>2482</v>
      </c>
      <c r="B2666" s="241" t="str">
        <f>HYPERLINK(CONCATENATE($AT$3,BK2666,$AU$3),$AV$3)</f>
        <v>S</v>
      </c>
      <c r="C2666" s="242" t="str">
        <f>HYPERLINK(CONCATENATE($AT$4,BK2666,$AU$4,BL2666),$AV$4)</f>
        <v>A</v>
      </c>
      <c r="D2666" s="243" t="s">
        <v>5187</v>
      </c>
      <c r="E2666" s="244" t="s">
        <v>5183</v>
      </c>
      <c r="F2666" s="269" t="s">
        <v>5180</v>
      </c>
      <c r="G2666" s="273">
        <v>9</v>
      </c>
      <c r="H2666" s="283">
        <v>4000</v>
      </c>
      <c r="I2666" s="244">
        <v>10</v>
      </c>
      <c r="J2666" s="246">
        <v>2</v>
      </c>
      <c r="K2666" s="247" t="s">
        <v>5119</v>
      </c>
      <c r="L2666" s="248">
        <v>181100</v>
      </c>
      <c r="M2666" s="249">
        <f>15*(LEFT(TEXT($L2666,"000000"),2)+(MID(TEXT($L2666,"000000"),3,2)/60)+(RIGHT(TEXT($L2666,"000000"),2)/3600))</f>
        <v>272.75</v>
      </c>
      <c r="N2666" s="286">
        <v>-233400</v>
      </c>
      <c r="O2666" s="251">
        <f>IF($N2666&gt;0,(LEFT(TEXT($N2666,"000000"),2)+(MID(TEXT($N2666,"000000"),3,2)/60)+(RIGHT(TEXT($N2666,"000000"),2)/3600)),-(MID(TEXT($N2666,"000000"),2,2)+(MID(TEXT($N2666,"000000"),4,2)/60)+(RIGHT(TEXT($N2666,"000000"),2)/3600)))</f>
        <v>-23.566666666666666</v>
      </c>
      <c r="P2666" s="252" t="s">
        <v>119</v>
      </c>
      <c r="Q2666" s="253"/>
      <c r="R2666" s="247" t="s">
        <v>3729</v>
      </c>
      <c r="S2666" s="272" t="s">
        <v>5122</v>
      </c>
      <c r="T2666" s="273"/>
      <c r="U2666" s="274"/>
      <c r="V2666" s="280"/>
      <c r="W2666" s="244"/>
      <c r="X2666" s="244"/>
      <c r="Y2666" s="362"/>
      <c r="Z2666" s="257">
        <f>altaz(J2000_Bas,$O2666,$M2666,DecLat,DecLong,1)</f>
        <v>33.975045298478229</v>
      </c>
      <c r="AA2666" s="257">
        <f>altaz((J2000_Bas+(2*0.04167)),$O2666,$M2666,DecLat,DecLong,1)</f>
        <v>21.439790045832854</v>
      </c>
      <c r="AB2666" s="257">
        <f>altaz((J2000_Bas+(4*0.04167)),$O2666,$M2666,DecLat,DecLong,1)</f>
        <v>1.0458577349936993</v>
      </c>
      <c r="AC2666" s="257">
        <f>altaz((J2000_Bas+(6*0.04167)),$O2666,$M2666,DecLat,DecLong,1)</f>
        <v>-22.918177135867385</v>
      </c>
      <c r="AD2666" s="258">
        <f>1+ transit((J2000_Bas-1),$O2666,$M2666,DecLat,DecLong)/360 + (GMTOffset/24) + (IF(DST="Y", 1, 0)/24)</f>
        <v>1.7505387737547082</v>
      </c>
      <c r="AE2666" s="259">
        <f>DATE(2001,9,21)+(M2666/360)*365 - (360*((DecLong/360)- (GMTOffset/24) ))</f>
        <v>37436.538194444445</v>
      </c>
      <c r="AF2666" s="260">
        <f>IF(DecLat&gt;0,IF((90 - (DecLat-O2666))&gt;90, (90 - (O2666-DecLat)), (90 - (DecLat-O2666))),IF((90 + (DecLat-O2666))&gt;90, (90 + (O2666-DecLat)), (90 + (DecLat-O2666))))</f>
        <v>35.433333333333337</v>
      </c>
      <c r="AG2666" s="257">
        <f>angularseperation(MoonRA,MoonDec,$M2666,$O2666)</f>
        <v>21.505161044663389</v>
      </c>
      <c r="AH2666" s="261">
        <f ca="1">MIN(100,IF($O$5&gt;80,0+30*($AG2666/100),IF($O$5&gt;70,0+50*($AG2666/100),IF($O$5&gt;60,5+50*($AG2666/100),IF($O$5&gt;50,10+60*($AG2666/100),IF($O$5&gt;40,15+70*($AG2666/100),IF($O$5&gt;30,20+70*($AG2666/100),IF($O$5&gt;20,40+55*($AG2666/100),(80+(20-$O$5)+30*($AG2666/100))))))))))</f>
        <v>89.722608657549443</v>
      </c>
      <c r="AI2666" s="262"/>
      <c r="AJ2666" s="262">
        <v>1274</v>
      </c>
      <c r="AK2666" s="262"/>
      <c r="AL2666" s="263"/>
      <c r="AM2666" s="264"/>
      <c r="AN2666" s="263"/>
      <c r="AO2666" s="263"/>
      <c r="AP2666" s="265"/>
      <c r="AQ2666" s="266"/>
      <c r="AR2666" s="267"/>
      <c r="AS2666" s="263"/>
      <c r="AT2666" s="263"/>
      <c r="AU2666" s="263"/>
      <c r="AV2666" s="264"/>
      <c r="AW2666" s="263"/>
      <c r="AX2666" s="263"/>
      <c r="AY2666" s="263">
        <v>33</v>
      </c>
      <c r="AZ2666" s="263"/>
      <c r="BA2666" s="263"/>
      <c r="BB2666" s="263">
        <v>32</v>
      </c>
      <c r="BC2666" s="263"/>
      <c r="BD2666" s="264"/>
      <c r="BE2666" s="263"/>
      <c r="BF2666" s="263"/>
      <c r="BG2666" s="263"/>
      <c r="BH2666" s="263"/>
      <c r="BI2666" s="263"/>
      <c r="BJ2666" s="404">
        <f>altaz(J2000_Bas,$O2666,$M2666,DecLat,DecLong,2)</f>
        <v>194.67773649771868</v>
      </c>
      <c r="BK2666" s="378" t="s">
        <v>2482</v>
      </c>
      <c r="BL2666" s="379">
        <f>IF((2*G2666)/60&lt;0.2,0.2,(2*G2666)/60)</f>
        <v>0.3</v>
      </c>
      <c r="BM2666" s="380">
        <f>MOD((50000+AD2666-$B$3+(0/24)),1)</f>
        <v>0.96590570345870219</v>
      </c>
      <c r="BN2666" s="381"/>
      <c r="BO2666" s="382">
        <v>2657</v>
      </c>
    </row>
    <row r="2667" spans="1:67" s="24" customFormat="1" ht="15" customHeight="1" x14ac:dyDescent="0.25">
      <c r="A2667" s="288" t="s">
        <v>2483</v>
      </c>
      <c r="B2667" s="241" t="str">
        <f>HYPERLINK(CONCATENATE($AT$3,BK2667,$AU$3),$AV$3)</f>
        <v>S</v>
      </c>
      <c r="C2667" s="242" t="str">
        <f>HYPERLINK(CONCATENATE($AT$4,BK2667,$AU$4,BL2667),$AV$4)</f>
        <v>A</v>
      </c>
      <c r="D2667" s="243" t="s">
        <v>5187</v>
      </c>
      <c r="E2667" s="244" t="s">
        <v>7522</v>
      </c>
      <c r="F2667" s="269"/>
      <c r="G2667" s="276">
        <v>60</v>
      </c>
      <c r="H2667" s="283">
        <v>1000</v>
      </c>
      <c r="I2667" s="246">
        <v>18</v>
      </c>
      <c r="J2667" s="246">
        <v>2</v>
      </c>
      <c r="K2667" s="247" t="s">
        <v>9365</v>
      </c>
      <c r="L2667" s="248">
        <v>155954</v>
      </c>
      <c r="M2667" s="249">
        <f>15*(LEFT(TEXT($L2667,"000000"),2)+(MID(TEXT($L2667,"000000"),3,2)/60)+(RIGHT(TEXT($L2667,"000000"),2)/3600))</f>
        <v>239.97499999999999</v>
      </c>
      <c r="N2667" s="250">
        <v>-13600</v>
      </c>
      <c r="O2667" s="251">
        <f>IF($N2667&gt;0,(LEFT(TEXT($N2667,"000000"),2)+(MID(TEXT($N2667,"000000"),3,2)/60)+(RIGHT(TEXT($N2667,"000000"),2)/3600)),-(MID(TEXT($N2667,"000000"),2,2)+(MID(TEXT($N2667,"000000"),4,2)/60)+(RIGHT(TEXT($N2667,"000000"),2)/3600)))</f>
        <v>-1.6</v>
      </c>
      <c r="P2667" s="252" t="s">
        <v>115</v>
      </c>
      <c r="Q2667" s="253"/>
      <c r="R2667" s="277" t="s">
        <v>6263</v>
      </c>
      <c r="S2667" s="272" t="s">
        <v>3293</v>
      </c>
      <c r="T2667" s="273"/>
      <c r="U2667" s="274"/>
      <c r="V2667" s="280"/>
      <c r="W2667" s="244"/>
      <c r="X2667" s="244"/>
      <c r="Y2667" s="362"/>
      <c r="Z2667" s="257">
        <f>altaz(J2000_Bas,$O2667,$M2667,DecLat,DecLong,1)</f>
        <v>35.487710229651533</v>
      </c>
      <c r="AA2667" s="257">
        <f>altaz((J2000_Bas+(2*0.04167)),$O2667,$M2667,DecLat,DecLong,1)</f>
        <v>11.027373197340681</v>
      </c>
      <c r="AB2667" s="257">
        <f>altaz((J2000_Bas+(4*0.04167)),$O2667,$M2667,DecLat,DecLong,1)</f>
        <v>-14.677752447947075</v>
      </c>
      <c r="AC2667" s="257">
        <f>altaz((J2000_Bas+(6*0.04167)),$O2667,$M2667,DecLat,DecLong,1)</f>
        <v>-39.319871756689814</v>
      </c>
      <c r="AD2667" s="258">
        <f>1+ transit((J2000_Bas-1),$O2667,$M2667,DecLat,DecLong)/360 + (GMTOffset/24) + (IF(DST="Y", 1, 0)/24)</f>
        <v>1.6594971161922081</v>
      </c>
      <c r="AE2667" s="259">
        <f>DATE(2001,9,21)+(M2667/360)*365 - (360*((DecLong/360)- (GMTOffset/24) ))</f>
        <v>37403.307986111111</v>
      </c>
      <c r="AF2667" s="260">
        <f>IF(DecLat&gt;0,IF((90 - (DecLat-O2667))&gt;90, (90 - (O2667-DecLat)), (90 - (DecLat-O2667))),IF((90 + (DecLat-O2667))&gt;90, (90 + (O2667-DecLat)), (90 + (DecLat-O2667))))</f>
        <v>57.4</v>
      </c>
      <c r="AG2667" s="257">
        <f>angularseperation(MoonRA,MoonDec,$M2667,$O2667)</f>
        <v>26.98954204407007</v>
      </c>
      <c r="AH2667" s="261">
        <f ca="1">MIN(100,IF($O$5&gt;80,0+30*($AG2667/100),IF($O$5&gt;70,0+50*($AG2667/100),IF($O$5&gt;60,5+50*($AG2667/100),IF($O$5&gt;50,10+60*($AG2667/100),IF($O$5&gt;40,15+70*($AG2667/100),IF($O$5&gt;30,20+70*($AG2667/100),IF($O$5&gt;20,40+55*($AG2667/100),(80+(20-$O$5)+30*($AG2667/100))))))))))</f>
        <v>91.367922957371448</v>
      </c>
      <c r="AI2667" s="263"/>
      <c r="AJ2667" s="263"/>
      <c r="AK2667" s="263"/>
      <c r="AL2667" s="263"/>
      <c r="AM2667" s="264"/>
      <c r="AN2667" s="263"/>
      <c r="AO2667" s="263"/>
      <c r="AP2667" s="265"/>
      <c r="AQ2667" s="265"/>
      <c r="AR2667" s="285"/>
      <c r="AS2667" s="263"/>
      <c r="AT2667" s="263"/>
      <c r="AU2667" s="263"/>
      <c r="AV2667" s="264"/>
      <c r="AW2667" s="263"/>
      <c r="AX2667" s="263"/>
      <c r="AY2667" s="263">
        <v>37</v>
      </c>
      <c r="AZ2667" s="263"/>
      <c r="BA2667" s="263"/>
      <c r="BB2667" s="263">
        <v>33</v>
      </c>
      <c r="BC2667" s="263"/>
      <c r="BD2667" s="264"/>
      <c r="BE2667" s="263"/>
      <c r="BF2667" s="263"/>
      <c r="BG2667" s="263"/>
      <c r="BH2667" s="263"/>
      <c r="BI2667" s="263">
        <v>69</v>
      </c>
      <c r="BJ2667" s="404">
        <f>altaz(J2000_Bas,$O2667,$M2667,DecLat,DecLong,2)</f>
        <v>242.06944306970817</v>
      </c>
      <c r="BK2667" s="378" t="s">
        <v>2483</v>
      </c>
      <c r="BL2667" s="379">
        <f>IF((2*G2667)/60&lt;0.2,0.2,(2*G2667)/60)</f>
        <v>2</v>
      </c>
      <c r="BM2667" s="380">
        <f>MOD((50000+AD2667-$B$3+(0/24)),1)</f>
        <v>0.87486404589435551</v>
      </c>
      <c r="BN2667" s="381"/>
      <c r="BO2667" s="382">
        <v>2658</v>
      </c>
    </row>
    <row r="2668" spans="1:67" s="24" customFormat="1" ht="15" customHeight="1" x14ac:dyDescent="0.25">
      <c r="A2668" s="288" t="s">
        <v>2484</v>
      </c>
      <c r="B2668" s="241" t="str">
        <f>HYPERLINK(CONCATENATE($AT$3,BK2668,$AU$3),$AV$3)</f>
        <v>S</v>
      </c>
      <c r="C2668" s="242" t="str">
        <f>HYPERLINK(CONCATENATE($AT$4,BK2668,$AU$4,BL2668),$AV$4)</f>
        <v>A</v>
      </c>
      <c r="D2668" s="243" t="s">
        <v>5187</v>
      </c>
      <c r="E2668" s="244" t="s">
        <v>5183</v>
      </c>
      <c r="F2668" s="269" t="s">
        <v>5180</v>
      </c>
      <c r="G2668" s="276">
        <v>120</v>
      </c>
      <c r="H2668" s="283">
        <v>6500</v>
      </c>
      <c r="I2668" s="246">
        <v>220</v>
      </c>
      <c r="J2668" s="246">
        <v>2</v>
      </c>
      <c r="K2668" s="247" t="s">
        <v>5123</v>
      </c>
      <c r="L2668" s="248">
        <v>180624</v>
      </c>
      <c r="M2668" s="249">
        <f>15*(LEFT(TEXT($L2668,"000000"),2)+(MID(TEXT($L2668,"000000"),3,2)/60)+(RIGHT(TEXT($L2668,"000000"),2)/3600))</f>
        <v>271.60000000000002</v>
      </c>
      <c r="N2668" s="250">
        <v>-213900</v>
      </c>
      <c r="O2668" s="251">
        <f>IF($N2668&gt;0,(LEFT(TEXT($N2668,"000000"),2)+(MID(TEXT($N2668,"000000"),3,2)/60)+(RIGHT(TEXT($N2668,"000000"),2)/3600)),-(MID(TEXT($N2668,"000000"),2,2)+(MID(TEXT($N2668,"000000"),4,2)/60)+(RIGHT(TEXT($N2668,"000000"),2)/3600)))</f>
        <v>-21.65</v>
      </c>
      <c r="P2668" s="252" t="s">
        <v>119</v>
      </c>
      <c r="Q2668" s="253"/>
      <c r="R2668" s="247"/>
      <c r="S2668" s="272" t="s">
        <v>5120</v>
      </c>
      <c r="T2668" s="273"/>
      <c r="U2668" s="274"/>
      <c r="V2668" s="280"/>
      <c r="W2668" s="244"/>
      <c r="X2668" s="244"/>
      <c r="Y2668" s="362"/>
      <c r="Z2668" s="257">
        <f>altaz(J2000_Bas,$O2668,$M2668,DecLat,DecLong,1)</f>
        <v>35.566222501986836</v>
      </c>
      <c r="AA2668" s="257">
        <f>altaz((J2000_Bas+(2*0.04167)),$O2668,$M2668,DecLat,DecLong,1)</f>
        <v>22.23179272332402</v>
      </c>
      <c r="AB2668" s="257">
        <f>altaz((J2000_Bas+(4*0.04167)),$O2668,$M2668,DecLat,DecLong,1)</f>
        <v>1.256671378428903</v>
      </c>
      <c r="AC2668" s="257">
        <f>altaz((J2000_Bas+(6*0.04167)),$O2668,$M2668,DecLat,DecLong,1)</f>
        <v>-23.053852240950317</v>
      </c>
      <c r="AD2668" s="258">
        <f>1+ transit((J2000_Bas-1),$O2668,$M2668,DecLat,DecLong)/360 + (GMTOffset/24) + (IF(DST="Y", 1, 0)/24)</f>
        <v>1.7473443296297082</v>
      </c>
      <c r="AE2668" s="259">
        <f>DATE(2001,9,21)+(M2668/360)*365 - (360*((DecLong/360)- (GMTOffset/24) ))</f>
        <v>37435.37222222222</v>
      </c>
      <c r="AF2668" s="260">
        <f>IF(DecLat&gt;0,IF((90 - (DecLat-O2668))&gt;90, (90 - (O2668-DecLat)), (90 - (DecLat-O2668))),IF((90 + (DecLat-O2668))&gt;90, (90 + (O2668-DecLat)), (90 + (DecLat-O2668))))</f>
        <v>37.35</v>
      </c>
      <c r="AG2668" s="257">
        <f>angularseperation(MoonRA,MoonDec,$M2668,$O2668)</f>
        <v>21.04545396265663</v>
      </c>
      <c r="AH2668" s="261">
        <f ca="1">MIN(100,IF($O$5&gt;80,0+30*($AG2668/100),IF($O$5&gt;70,0+50*($AG2668/100),IF($O$5&gt;60,5+50*($AG2668/100),IF($O$5&gt;50,10+60*($AG2668/100),IF($O$5&gt;40,15+70*($AG2668/100),IF($O$5&gt;30,20+70*($AG2668/100),IF($O$5&gt;20,40+55*($AG2668/100),(80+(20-$O$5)+30*($AG2668/100))))))))))</f>
        <v>89.584696532947419</v>
      </c>
      <c r="AI2668" s="262"/>
      <c r="AJ2668" s="262"/>
      <c r="AK2668" s="262"/>
      <c r="AL2668" s="263"/>
      <c r="AM2668" s="264"/>
      <c r="AN2668" s="263"/>
      <c r="AO2668" s="263"/>
      <c r="AP2668" s="265"/>
      <c r="AQ2668" s="266"/>
      <c r="AR2668" s="267"/>
      <c r="AS2668" s="263"/>
      <c r="AT2668" s="263"/>
      <c r="AU2668" s="263"/>
      <c r="AV2668" s="264"/>
      <c r="AW2668" s="263"/>
      <c r="AX2668" s="263">
        <v>77</v>
      </c>
      <c r="AY2668" s="263">
        <v>38</v>
      </c>
      <c r="AZ2668" s="263"/>
      <c r="BA2668" s="263">
        <v>149</v>
      </c>
      <c r="BB2668" s="263">
        <v>34</v>
      </c>
      <c r="BC2668" s="263"/>
      <c r="BD2668" s="264"/>
      <c r="BE2668" s="263"/>
      <c r="BF2668" s="263"/>
      <c r="BG2668" s="263"/>
      <c r="BH2668" s="263"/>
      <c r="BI2668" s="263">
        <v>78</v>
      </c>
      <c r="BJ2668" s="404">
        <f>altaz(J2000_Bas,$O2668,$M2668,DecLat,DecLong,2)</f>
        <v>196.51151795072329</v>
      </c>
      <c r="BK2668" s="378" t="s">
        <v>2484</v>
      </c>
      <c r="BL2668" s="379">
        <f>IF((2*G2668)/60&lt;0.2,0.2,(2*G2668)/60)</f>
        <v>4</v>
      </c>
      <c r="BM2668" s="380">
        <f>MOD((50000+AD2668-$B$3+(0/24)),1)</f>
        <v>0.9627112593370839</v>
      </c>
      <c r="BN2668" s="381"/>
      <c r="BO2668" s="382">
        <v>2659</v>
      </c>
    </row>
    <row r="2669" spans="1:67" s="24" customFormat="1" ht="15" customHeight="1" x14ac:dyDescent="0.25">
      <c r="A2669" s="288" t="s">
        <v>2485</v>
      </c>
      <c r="B2669" s="241" t="str">
        <f>HYPERLINK(CONCATENATE($AT$3,BK2669,$AU$3),$AV$3)</f>
        <v>S</v>
      </c>
      <c r="C2669" s="242" t="str">
        <f>HYPERLINK(CONCATENATE($AT$4,BK2669,$AU$4,BL2669),$AV$4)</f>
        <v>A</v>
      </c>
      <c r="D2669" s="243" t="s">
        <v>5187</v>
      </c>
      <c r="E2669" s="244" t="s">
        <v>5183</v>
      </c>
      <c r="F2669" s="269" t="s">
        <v>5180</v>
      </c>
      <c r="G2669" s="276">
        <v>40</v>
      </c>
      <c r="H2669" s="283">
        <v>6000</v>
      </c>
      <c r="I2669" s="246">
        <v>70</v>
      </c>
      <c r="J2669" s="246">
        <v>1</v>
      </c>
      <c r="K2669" s="247" t="s">
        <v>6265</v>
      </c>
      <c r="L2669" s="248">
        <v>181554</v>
      </c>
      <c r="M2669" s="249">
        <f>15*(LEFT(TEXT($L2669,"000000"),2)+(MID(TEXT($L2669,"000000"),3,2)/60)+(RIGHT(TEXT($L2669,"000000"),2)/3600))</f>
        <v>273.97500000000002</v>
      </c>
      <c r="N2669" s="250">
        <v>-201500</v>
      </c>
      <c r="O2669" s="251">
        <f>IF($N2669&gt;0,(LEFT(TEXT($N2669,"000000"),2)+(MID(TEXT($N2669,"000000"),3,2)/60)+(RIGHT(TEXT($N2669,"000000"),2)/3600)),-(MID(TEXT($N2669,"000000"),2,2)+(MID(TEXT($N2669,"000000"),4,2)/60)+(RIGHT(TEXT($N2669,"000000"),2)/3600)))</f>
        <v>-20.25</v>
      </c>
      <c r="P2669" s="252" t="s">
        <v>119</v>
      </c>
      <c r="Q2669" s="253"/>
      <c r="R2669" s="277" t="s">
        <v>6073</v>
      </c>
      <c r="S2669" s="272" t="s">
        <v>6266</v>
      </c>
      <c r="T2669" s="273"/>
      <c r="U2669" s="274"/>
      <c r="V2669" s="280"/>
      <c r="W2669" s="244"/>
      <c r="X2669" s="244"/>
      <c r="Y2669" s="362"/>
      <c r="Z2669" s="257">
        <f>altaz(J2000_Bas,$O2669,$M2669,DecLat,DecLong,1)</f>
        <v>37.464470345164614</v>
      </c>
      <c r="AA2669" s="257">
        <f>altaz((J2000_Bas+(2*0.04167)),$O2669,$M2669,DecLat,DecLong,1)</f>
        <v>24.727890877757858</v>
      </c>
      <c r="AB2669" s="257">
        <f>altaz((J2000_Bas+(4*0.04167)),$O2669,$M2669,DecLat,DecLong,1)</f>
        <v>3.8771046715991542</v>
      </c>
      <c r="AC2669" s="257">
        <f>altaz((J2000_Bas+(6*0.04167)),$O2669,$M2669,DecLat,DecLong,1)</f>
        <v>-20.445893727387194</v>
      </c>
      <c r="AD2669" s="258">
        <f>1+ transit((J2000_Bas-1),$O2669,$M2669,DecLat,DecLong)/360 + (GMTOffset/24) + (IF(DST="Y", 1, 0)/24)</f>
        <v>1.7539415511922083</v>
      </c>
      <c r="AE2669" s="259">
        <f>DATE(2001,9,21)+(M2669/360)*365 - (360*((DecLong/360)- (GMTOffset/24) ))</f>
        <v>37437.78020833333</v>
      </c>
      <c r="AF2669" s="260">
        <f>IF(DecLat&gt;0,IF((90 - (DecLat-O2669))&gt;90, (90 - (O2669-DecLat)), (90 - (DecLat-O2669))),IF((90 + (DecLat-O2669))&gt;90, (90 + (O2669-DecLat)), (90 + (DecLat-O2669))))</f>
        <v>38.75</v>
      </c>
      <c r="AG2669" s="257">
        <f>angularseperation(MoonRA,MoonDec,$M2669,$O2669)</f>
        <v>23.61337091274158</v>
      </c>
      <c r="AH2669" s="261">
        <f ca="1">MIN(100,IF($O$5&gt;80,0+30*($AG2669/100),IF($O$5&gt;70,0+50*($AG2669/100),IF($O$5&gt;60,5+50*($AG2669/100),IF($O$5&gt;50,10+60*($AG2669/100),IF($O$5&gt;40,15+70*($AG2669/100),IF($O$5&gt;30,20+70*($AG2669/100),IF($O$5&gt;20,40+55*($AG2669/100),(80+(20-$O$5)+30*($AG2669/100))))))))))</f>
        <v>90.355071617972897</v>
      </c>
      <c r="AI2669" s="263"/>
      <c r="AJ2669" s="263"/>
      <c r="AK2669" s="263"/>
      <c r="AL2669" s="263"/>
      <c r="AM2669" s="264"/>
      <c r="AN2669" s="263"/>
      <c r="AO2669" s="263"/>
      <c r="AP2669" s="265"/>
      <c r="AQ2669" s="265"/>
      <c r="AR2669" s="285"/>
      <c r="AS2669" s="263"/>
      <c r="AT2669" s="263"/>
      <c r="AU2669" s="263"/>
      <c r="AV2669" s="264"/>
      <c r="AW2669" s="263"/>
      <c r="AX2669" s="263"/>
      <c r="AY2669" s="263">
        <v>42</v>
      </c>
      <c r="AZ2669" s="263"/>
      <c r="BA2669" s="263">
        <v>151</v>
      </c>
      <c r="BB2669" s="263">
        <v>35</v>
      </c>
      <c r="BC2669" s="263"/>
      <c r="BD2669" s="264"/>
      <c r="BE2669" s="263"/>
      <c r="BF2669" s="263"/>
      <c r="BG2669" s="263"/>
      <c r="BH2669" s="263"/>
      <c r="BI2669" s="263"/>
      <c r="BJ2669" s="404">
        <f>altaz(J2000_Bas,$O2669,$M2669,DecLat,DecLong,2)</f>
        <v>194.25923495919312</v>
      </c>
      <c r="BK2669" s="378" t="s">
        <v>2485</v>
      </c>
      <c r="BL2669" s="379">
        <f>IF((2*G2669)/60&lt;0.2,0.2,(2*G2669)/60)</f>
        <v>1.3333333333333333</v>
      </c>
      <c r="BM2669" s="380">
        <f>MOD((50000+AD2669-$B$3+(0/24)),1)</f>
        <v>0.96930848089687061</v>
      </c>
      <c r="BN2669" s="381"/>
      <c r="BO2669" s="382">
        <v>2660</v>
      </c>
    </row>
    <row r="2670" spans="1:67" s="24" customFormat="1" ht="15" customHeight="1" x14ac:dyDescent="0.25">
      <c r="A2670" s="288" t="s">
        <v>2486</v>
      </c>
      <c r="B2670" s="241" t="str">
        <f>HYPERLINK(CONCATENATE($AT$3,BK2670,$AU$3),$AV$3)</f>
        <v>S</v>
      </c>
      <c r="C2670" s="242" t="str">
        <f>HYPERLINK(CONCATENATE($AT$4,BK2670,$AU$4,BL2670),$AV$4)</f>
        <v>A</v>
      </c>
      <c r="D2670" s="243" t="s">
        <v>5187</v>
      </c>
      <c r="E2670" s="244" t="s">
        <v>7522</v>
      </c>
      <c r="F2670" s="269"/>
      <c r="G2670" s="276">
        <v>50</v>
      </c>
      <c r="H2670" s="283">
        <v>360</v>
      </c>
      <c r="I2670" s="279">
        <v>5</v>
      </c>
      <c r="J2670" s="246">
        <v>1</v>
      </c>
      <c r="K2670" s="247" t="s">
        <v>9366</v>
      </c>
      <c r="L2670" s="248">
        <v>160536</v>
      </c>
      <c r="M2670" s="249">
        <f>15*(LEFT(TEXT($L2670,"000000"),2)+(MID(TEXT($L2670,"000000"),3,2)/60)+(RIGHT(TEXT($L2670,"000000"),2)/3600))</f>
        <v>241.4</v>
      </c>
      <c r="N2670" s="250">
        <v>2300</v>
      </c>
      <c r="O2670" s="251">
        <f>IF($N2670&gt;0,(LEFT(TEXT($N2670,"000000"),2)+(MID(TEXT($N2670,"000000"),3,2)/60)+(RIGHT(TEXT($N2670,"000000"),2)/3600)),-(MID(TEXT($N2670,"000000"),2,2)+(MID(TEXT($N2670,"000000"),4,2)/60)+(RIGHT(TEXT($N2670,"000000"),2)/3600)))</f>
        <v>0.38333333333333336</v>
      </c>
      <c r="P2670" s="252" t="s">
        <v>115</v>
      </c>
      <c r="Q2670" s="253"/>
      <c r="R2670" s="277" t="s">
        <v>3293</v>
      </c>
      <c r="S2670" s="272" t="s">
        <v>5124</v>
      </c>
      <c r="T2670" s="273"/>
      <c r="U2670" s="274"/>
      <c r="V2670" s="280"/>
      <c r="W2670" s="244"/>
      <c r="X2670" s="244"/>
      <c r="Y2670" s="362"/>
      <c r="Z2670" s="257">
        <f>altaz(J2000_Bas,$O2670,$M2670,DecLat,DecLong,1)</f>
        <v>37.859696900865039</v>
      </c>
      <c r="AA2670" s="257">
        <f>altaz((J2000_Bas+(2*0.04167)),$O2670,$M2670,DecLat,DecLong,1)</f>
        <v>13.28583911330734</v>
      </c>
      <c r="AB2670" s="257">
        <f>altaz((J2000_Bas+(4*0.04167)),$O2670,$M2670,DecLat,DecLong,1)</f>
        <v>-12.421389001601833</v>
      </c>
      <c r="AC2670" s="257">
        <f>altaz((J2000_Bas+(6*0.04167)),$O2670,$M2670,DecLat,DecLong,1)</f>
        <v>-36.950655163519308</v>
      </c>
      <c r="AD2670" s="258">
        <f>1+ transit((J2000_Bas-1),$O2670,$M2670,DecLat,DecLong)/360 + (GMTOffset/24) + (IF(DST="Y", 1, 0)/24)</f>
        <v>1.663455449129708</v>
      </c>
      <c r="AE2670" s="259">
        <f>DATE(2001,9,21)+(M2670/360)*365 - (360*((DecLong/360)- (GMTOffset/24) ))</f>
        <v>37404.75277777778</v>
      </c>
      <c r="AF2670" s="260">
        <f>IF(DecLat&gt;0,IF((90 - (DecLat-O2670))&gt;90, (90 - (O2670-DecLat)), (90 - (DecLat-O2670))),IF((90 + (DecLat-O2670))&gt;90, (90 + (O2670-DecLat)), (90 + (DecLat-O2670))))</f>
        <v>59.383333333333333</v>
      </c>
      <c r="AG2670" s="257">
        <f>angularseperation(MoonRA,MoonDec,$M2670,$O2670)</f>
        <v>28.484375491849711</v>
      </c>
      <c r="AH2670" s="261">
        <f ca="1">MIN(100,IF($O$5&gt;80,0+30*($AG2670/100),IF($O$5&gt;70,0+50*($AG2670/100),IF($O$5&gt;60,5+50*($AG2670/100),IF($O$5&gt;50,10+60*($AG2670/100),IF($O$5&gt;40,15+70*($AG2670/100),IF($O$5&gt;30,20+70*($AG2670/100),IF($O$5&gt;20,40+55*($AG2670/100),(80+(20-$O$5)+30*($AG2670/100))))))))))</f>
        <v>91.816372991705336</v>
      </c>
      <c r="AI2670" s="263"/>
      <c r="AJ2670" s="263"/>
      <c r="AK2670" s="263"/>
      <c r="AL2670" s="263"/>
      <c r="AM2670" s="264"/>
      <c r="AN2670" s="263"/>
      <c r="AO2670" s="263"/>
      <c r="AP2670" s="265"/>
      <c r="AQ2670" s="265"/>
      <c r="AR2670" s="285"/>
      <c r="AS2670" s="263"/>
      <c r="AT2670" s="263"/>
      <c r="AU2670" s="263"/>
      <c r="AV2670" s="264"/>
      <c r="AW2670" s="263"/>
      <c r="AX2670" s="263"/>
      <c r="AY2670" s="263">
        <v>45</v>
      </c>
      <c r="AZ2670" s="263"/>
      <c r="BA2670" s="263"/>
      <c r="BB2670" s="263">
        <v>36</v>
      </c>
      <c r="BC2670" s="263"/>
      <c r="BD2670" s="264"/>
      <c r="BE2670" s="263"/>
      <c r="BF2670" s="263"/>
      <c r="BG2670" s="263"/>
      <c r="BH2670" s="263"/>
      <c r="BI2670" s="263">
        <v>70</v>
      </c>
      <c r="BJ2670" s="404">
        <f>altaz(J2000_Bas,$O2670,$M2670,DecLat,DecLong,2)</f>
        <v>242.79389345400105</v>
      </c>
      <c r="BK2670" s="378" t="s">
        <v>2486</v>
      </c>
      <c r="BL2670" s="379">
        <f>IF((2*G2670)/60&lt;0.2,0.2,(2*G2670)/60)</f>
        <v>1.6666666666666667</v>
      </c>
      <c r="BM2670" s="380">
        <f>MOD((50000+AD2670-$B$3+(0/24)),1)</f>
        <v>0.8788223788360483</v>
      </c>
      <c r="BN2670" s="381"/>
      <c r="BO2670" s="382">
        <v>2661</v>
      </c>
    </row>
    <row r="2671" spans="1:67" s="24" customFormat="1" ht="15" customHeight="1" x14ac:dyDescent="0.25">
      <c r="A2671" s="288" t="s">
        <v>2487</v>
      </c>
      <c r="B2671" s="241" t="str">
        <f>HYPERLINK(CONCATENATE($AT$3,BK2671,$AU$3),$AV$3)</f>
        <v>S</v>
      </c>
      <c r="C2671" s="242" t="str">
        <f>HYPERLINK(CONCATENATE($AT$4,BK2671,$AU$4,BL2671),$AV$4)</f>
        <v>A</v>
      </c>
      <c r="D2671" s="243" t="s">
        <v>5187</v>
      </c>
      <c r="E2671" s="244" t="s">
        <v>5183</v>
      </c>
      <c r="F2671" s="269" t="s">
        <v>5180</v>
      </c>
      <c r="G2671" s="276">
        <v>40</v>
      </c>
      <c r="H2671" s="283">
        <v>5000</v>
      </c>
      <c r="I2671" s="246">
        <v>60</v>
      </c>
      <c r="J2671" s="246">
        <v>3</v>
      </c>
      <c r="K2671" s="247" t="s">
        <v>5125</v>
      </c>
      <c r="L2671" s="248">
        <v>181654</v>
      </c>
      <c r="M2671" s="249">
        <f>15*(LEFT(TEXT($L2671,"000000"),2)+(MID(TEXT($L2671,"000000"),3,2)/60)+(RIGHT(TEXT($L2671,"000000"),2)/3600))</f>
        <v>274.22500000000002</v>
      </c>
      <c r="N2671" s="250">
        <v>-194639</v>
      </c>
      <c r="O2671" s="251">
        <f>IF($N2671&gt;0,(LEFT(TEXT($N2671,"000000"),2)+(MID(TEXT($N2671,"000000"),3,2)/60)+(RIGHT(TEXT($N2671,"000000"),2)/3600)),-(MID(TEXT($N2671,"000000"),2,2)+(MID(TEXT($N2671,"000000"),4,2)/60)+(RIGHT(TEXT($N2671,"000000"),2)/3600)))</f>
        <v>-19.7775</v>
      </c>
      <c r="P2671" s="252" t="s">
        <v>119</v>
      </c>
      <c r="Q2671" s="253"/>
      <c r="R2671" s="247" t="s">
        <v>6078</v>
      </c>
      <c r="S2671" s="272" t="s">
        <v>3293</v>
      </c>
      <c r="T2671" s="273"/>
      <c r="U2671" s="274"/>
      <c r="V2671" s="280"/>
      <c r="W2671" s="244"/>
      <c r="X2671" s="244"/>
      <c r="Y2671" s="362"/>
      <c r="Z2671" s="257">
        <f>altaz(J2000_Bas,$O2671,$M2671,DecLat,DecLong,1)</f>
        <v>37.977518264354657</v>
      </c>
      <c r="AA2671" s="257">
        <f>altaz((J2000_Bas+(2*0.04167)),$O2671,$M2671,DecLat,DecLong,1)</f>
        <v>25.242428368905067</v>
      </c>
      <c r="AB2671" s="257">
        <f>altaz((J2000_Bas+(4*0.04167)),$O2671,$M2671,DecLat,DecLong,1)</f>
        <v>4.3411983246871939</v>
      </c>
      <c r="AC2671" s="257">
        <f>altaz((J2000_Bas+(6*0.04167)),$O2671,$M2671,DecLat,DecLong,1)</f>
        <v>-20.023521590073891</v>
      </c>
      <c r="AD2671" s="258">
        <f>1+ transit((J2000_Bas-1),$O2671,$M2671,DecLat,DecLong)/360 + (GMTOffset/24) + (IF(DST="Y", 1, 0)/24)</f>
        <v>1.754635995567208</v>
      </c>
      <c r="AE2671" s="259">
        <f>DATE(2001,9,21)+(M2671/360)*365 - (360*((DecLong/360)- (GMTOffset/24) ))</f>
        <v>37438.033680555556</v>
      </c>
      <c r="AF2671" s="260">
        <f>IF(DecLat&gt;0,IF((90 - (DecLat-O2671))&gt;90, (90 - (O2671-DecLat)), (90 - (DecLat-O2671))),IF((90 + (DecLat-O2671))&gt;90, (90 + (O2671-DecLat)), (90 + (DecLat-O2671))))</f>
        <v>39.222499999999997</v>
      </c>
      <c r="AG2671" s="257">
        <f>angularseperation(MoonRA,MoonDec,$M2671,$O2671)</f>
        <v>24.008240244482799</v>
      </c>
      <c r="AH2671" s="261">
        <f ca="1">MIN(100,IF($O$5&gt;80,0+30*($AG2671/100),IF($O$5&gt;70,0+50*($AG2671/100),IF($O$5&gt;60,5+50*($AG2671/100),IF($O$5&gt;50,10+60*($AG2671/100),IF($O$5&gt;40,15+70*($AG2671/100),IF($O$5&gt;30,20+70*($AG2671/100),IF($O$5&gt;20,40+55*($AG2671/100),(80+(20-$O$5)+30*($AG2671/100))))))))))</f>
        <v>90.473532417495264</v>
      </c>
      <c r="AI2671" s="262"/>
      <c r="AJ2671" s="262"/>
      <c r="AK2671" s="262"/>
      <c r="AL2671" s="263"/>
      <c r="AM2671" s="264"/>
      <c r="AN2671" s="263"/>
      <c r="AO2671" s="263"/>
      <c r="AP2671" s="265"/>
      <c r="AQ2671" s="266"/>
      <c r="AR2671" s="267"/>
      <c r="AS2671" s="263"/>
      <c r="AT2671" s="263"/>
      <c r="AU2671" s="263"/>
      <c r="AV2671" s="264"/>
      <c r="AW2671" s="263"/>
      <c r="AX2671" s="263">
        <v>78</v>
      </c>
      <c r="AY2671" s="263"/>
      <c r="AZ2671" s="263"/>
      <c r="BA2671" s="263">
        <v>153</v>
      </c>
      <c r="BB2671" s="263">
        <v>37</v>
      </c>
      <c r="BC2671" s="263"/>
      <c r="BD2671" s="264"/>
      <c r="BE2671" s="263"/>
      <c r="BF2671" s="263"/>
      <c r="BG2671" s="263"/>
      <c r="BH2671" s="263"/>
      <c r="BI2671" s="263"/>
      <c r="BJ2671" s="404">
        <f>altaz(J2000_Bas,$O2671,$M2671,DecLat,DecLong,2)</f>
        <v>194.10328302740535</v>
      </c>
      <c r="BK2671" s="378" t="s">
        <v>2487</v>
      </c>
      <c r="BL2671" s="379">
        <f>IF((2*G2671)/60&lt;0.2,0.2,(2*G2671)/60)</f>
        <v>1.3333333333333333</v>
      </c>
      <c r="BM2671" s="380">
        <f>MOD((50000+AD2671-$B$3+(0/24)),1)</f>
        <v>0.97000292527081911</v>
      </c>
      <c r="BN2671" s="381"/>
      <c r="BO2671" s="382">
        <v>2662</v>
      </c>
    </row>
    <row r="2672" spans="1:67" s="24" customFormat="1" ht="15" customHeight="1" x14ac:dyDescent="0.25">
      <c r="A2672" s="288" t="s">
        <v>2488</v>
      </c>
      <c r="B2672" s="241" t="str">
        <f>HYPERLINK(CONCATENATE($AT$3,BK2672,$AU$3),$AV$3)</f>
        <v>S</v>
      </c>
      <c r="C2672" s="242" t="str">
        <f>HYPERLINK(CONCATENATE($AT$4,BK2672,$AU$4,BL2672),$AV$4)</f>
        <v>A</v>
      </c>
      <c r="D2672" s="243" t="s">
        <v>5187</v>
      </c>
      <c r="E2672" s="244" t="s">
        <v>5183</v>
      </c>
      <c r="F2672" s="269" t="s">
        <v>5180</v>
      </c>
      <c r="G2672" s="273">
        <v>3</v>
      </c>
      <c r="H2672" s="283">
        <v>8000</v>
      </c>
      <c r="I2672" s="279">
        <v>7</v>
      </c>
      <c r="J2672" s="246">
        <v>1</v>
      </c>
      <c r="K2672" s="277" t="s">
        <v>6267</v>
      </c>
      <c r="L2672" s="248">
        <v>180811</v>
      </c>
      <c r="M2672" s="249">
        <f>15*(LEFT(TEXT($L2672,"000000"),2)+(MID(TEXT($L2672,"000000"),3,2)/60)+(RIGHT(TEXT($L2672,"000000"),2)/3600))</f>
        <v>272.04583333333335</v>
      </c>
      <c r="N2672" s="286">
        <v>-181500</v>
      </c>
      <c r="O2672" s="251">
        <f>IF($N2672&gt;0,(LEFT(TEXT($N2672,"000000"),2)+(MID(TEXT($N2672,"000000"),3,2)/60)+(RIGHT(TEXT($N2672,"000000"),2)/3600)),-(MID(TEXT($N2672,"000000"),2,2)+(MID(TEXT($N2672,"000000"),4,2)/60)+(RIGHT(TEXT($N2672,"000000"),2)/3600)))</f>
        <v>-18.25</v>
      </c>
      <c r="P2672" s="252" t="s">
        <v>119</v>
      </c>
      <c r="Q2672" s="253"/>
      <c r="R2672" s="277" t="s">
        <v>3293</v>
      </c>
      <c r="S2672" s="272" t="s">
        <v>3293</v>
      </c>
      <c r="T2672" s="273"/>
      <c r="U2672" s="274"/>
      <c r="V2672" s="280"/>
      <c r="W2672" s="244"/>
      <c r="X2672" s="244"/>
      <c r="Y2672" s="362"/>
      <c r="Z2672" s="257">
        <f>altaz(J2000_Bas,$O2672,$M2672,DecLat,DecLong,1)</f>
        <v>38.956283042227348</v>
      </c>
      <c r="AA2672" s="257">
        <f>altaz((J2000_Bas+(2*0.04167)),$O2672,$M2672,DecLat,DecLong,1)</f>
        <v>25.079784588196979</v>
      </c>
      <c r="AB2672" s="257">
        <f>altaz((J2000_Bas+(4*0.04167)),$O2672,$M2672,DecLat,DecLong,1)</f>
        <v>3.5185579183051932</v>
      </c>
      <c r="AC2672" s="257">
        <f>altaz((J2000_Bas+(6*0.04167)),$O2672,$M2672,DecLat,DecLong,1)</f>
        <v>-21.169462346211176</v>
      </c>
      <c r="AD2672" s="258">
        <f>1+ transit((J2000_Bas-1),$O2672,$M2672,DecLat,DecLong)/360 + (GMTOffset/24) + (IF(DST="Y", 1, 0)/24)</f>
        <v>1.7485827554317914</v>
      </c>
      <c r="AE2672" s="259">
        <f>DATE(2001,9,21)+(M2672/360)*365 - (360*((DecLong/360)- (GMTOffset/24) ))</f>
        <v>37435.824247685188</v>
      </c>
      <c r="AF2672" s="260">
        <f>IF(DecLat&gt;0,IF((90 - (DecLat-O2672))&gt;90, (90 - (O2672-DecLat)), (90 - (DecLat-O2672))),IF((90 + (DecLat-O2672))&gt;90, (90 + (O2672-DecLat)), (90 + (DecLat-O2672))))</f>
        <v>40.75</v>
      </c>
      <c r="AG2672" s="257">
        <f>angularseperation(MoonRA,MoonDec,$M2672,$O2672)</f>
        <v>22.772980640609681</v>
      </c>
      <c r="AH2672" s="261">
        <f ca="1">MIN(100,IF($O$5&gt;80,0+30*($AG2672/100),IF($O$5&gt;70,0+50*($AG2672/100),IF($O$5&gt;60,5+50*($AG2672/100),IF($O$5&gt;50,10+60*($AG2672/100),IF($O$5&gt;40,15+70*($AG2672/100),IF($O$5&gt;30,20+70*($AG2672/100),IF($O$5&gt;20,40+55*($AG2672/100),(80+(20-$O$5)+30*($AG2672/100))))))))))</f>
        <v>90.102954536333328</v>
      </c>
      <c r="AI2672" s="263"/>
      <c r="AJ2672" s="263"/>
      <c r="AK2672" s="263"/>
      <c r="AL2672" s="263"/>
      <c r="AM2672" s="264"/>
      <c r="AN2672" s="263"/>
      <c r="AO2672" s="263"/>
      <c r="AP2672" s="265"/>
      <c r="AQ2672" s="265"/>
      <c r="AR2672" s="285"/>
      <c r="AS2672" s="263"/>
      <c r="AT2672" s="263"/>
      <c r="AU2672" s="263"/>
      <c r="AV2672" s="264"/>
      <c r="AW2672" s="263"/>
      <c r="AX2672" s="263"/>
      <c r="AY2672" s="263">
        <v>48</v>
      </c>
      <c r="AZ2672" s="263"/>
      <c r="BA2672" s="263"/>
      <c r="BB2672" s="263">
        <v>38</v>
      </c>
      <c r="BC2672" s="263"/>
      <c r="BD2672" s="264"/>
      <c r="BE2672" s="263"/>
      <c r="BF2672" s="263"/>
      <c r="BG2672" s="263"/>
      <c r="BH2672" s="263"/>
      <c r="BI2672" s="263"/>
      <c r="BJ2672" s="404">
        <f>altaz(J2000_Bas,$O2672,$M2672,DecLat,DecLong,2)</f>
        <v>197.13119893939918</v>
      </c>
      <c r="BK2672" s="378" t="s">
        <v>2488</v>
      </c>
      <c r="BL2672" s="379">
        <f>IF((2*G2672)/60&lt;0.2,0.2,(2*G2672)/60)</f>
        <v>0.2</v>
      </c>
      <c r="BM2672" s="380">
        <f>MOD((50000+AD2672-$B$3+(0/24)),1)</f>
        <v>0.96394968513777712</v>
      </c>
      <c r="BN2672" s="381"/>
      <c r="BO2672" s="382">
        <v>2663</v>
      </c>
    </row>
    <row r="2673" spans="1:67" s="24" customFormat="1" ht="15" customHeight="1" x14ac:dyDescent="0.25">
      <c r="A2673" s="288" t="s">
        <v>2489</v>
      </c>
      <c r="B2673" s="241" t="str">
        <f>HYPERLINK(CONCATENATE($AT$3,BK2673,$AU$3),$AV$3)</f>
        <v>S</v>
      </c>
      <c r="C2673" s="242" t="str">
        <f>HYPERLINK(CONCATENATE($AT$4,BK2673,$AU$4,BL2673),$AV$4)</f>
        <v>A</v>
      </c>
      <c r="D2673" s="243" t="s">
        <v>5187</v>
      </c>
      <c r="E2673" s="244" t="s">
        <v>5183</v>
      </c>
      <c r="F2673" s="269" t="s">
        <v>5180</v>
      </c>
      <c r="G2673" s="273">
        <v>1.1000000000000001</v>
      </c>
      <c r="H2673" s="283">
        <v>14000</v>
      </c>
      <c r="I2673" s="279">
        <v>5</v>
      </c>
      <c r="J2673" s="246">
        <v>0</v>
      </c>
      <c r="K2673" s="277" t="s">
        <v>6268</v>
      </c>
      <c r="L2673" s="248">
        <v>181700</v>
      </c>
      <c r="M2673" s="249">
        <f>15*(LEFT(TEXT($L2673,"000000"),2)+(MID(TEXT($L2673,"000000"),3,2)/60)+(RIGHT(TEXT($L2673,"000000"),2)/3600))</f>
        <v>274.25</v>
      </c>
      <c r="N2673" s="286">
        <v>-184300</v>
      </c>
      <c r="O2673" s="251">
        <f>IF($N2673&gt;0,(LEFT(TEXT($N2673,"000000"),2)+(MID(TEXT($N2673,"000000"),3,2)/60)+(RIGHT(TEXT($N2673,"000000"),2)/3600)),-(MID(TEXT($N2673,"000000"),2,2)+(MID(TEXT($N2673,"000000"),4,2)/60)+(RIGHT(TEXT($N2673,"000000"),2)/3600)))</f>
        <v>-18.716666666666665</v>
      </c>
      <c r="P2673" s="252" t="s">
        <v>119</v>
      </c>
      <c r="Q2673" s="253"/>
      <c r="R2673" s="277" t="s">
        <v>3293</v>
      </c>
      <c r="S2673" s="272" t="s">
        <v>3293</v>
      </c>
      <c r="T2673" s="273"/>
      <c r="U2673" s="274"/>
      <c r="V2673" s="280"/>
      <c r="W2673" s="244"/>
      <c r="X2673" s="244"/>
      <c r="Y2673" s="362"/>
      <c r="Z2673" s="257">
        <f>altaz(J2000_Bas,$O2673,$M2673,DecLat,DecLong,1)</f>
        <v>39.016830204623204</v>
      </c>
      <c r="AA2673" s="257">
        <f>altaz((J2000_Bas+(2*0.04167)),$O2673,$M2673,DecLat,DecLong,1)</f>
        <v>26.077376387829428</v>
      </c>
      <c r="AB2673" s="257">
        <f>altaz((J2000_Bas+(4*0.04167)),$O2673,$M2673,DecLat,DecLong,1)</f>
        <v>4.9712906106690182</v>
      </c>
      <c r="AC2673" s="257">
        <f>altaz((J2000_Bas+(6*0.04167)),$O2673,$M2673,DecLat,DecLong,1)</f>
        <v>-19.520681207072506</v>
      </c>
      <c r="AD2673" s="258">
        <f>1+ transit((J2000_Bas-1),$O2673,$M2673,DecLat,DecLong)/360 + (GMTOffset/24) + (IF(DST="Y", 1, 0)/24)</f>
        <v>1.754705440004708</v>
      </c>
      <c r="AE2673" s="259">
        <f>DATE(2001,9,21)+(M2673/360)*365 - (360*((DecLong/360)- (GMTOffset/24) ))</f>
        <v>37438.059027777781</v>
      </c>
      <c r="AF2673" s="260">
        <f>IF(DecLat&gt;0,IF((90 - (DecLat-O2673))&gt;90, (90 - (O2673-DecLat)), (90 - (DecLat-O2673))),IF((90 + (DecLat-O2673))&gt;90, (90 + (O2673-DecLat)), (90 + (DecLat-O2673))))</f>
        <v>40.283333333333331</v>
      </c>
      <c r="AG2673" s="257">
        <f>angularseperation(MoonRA,MoonDec,$M2673,$O2673)</f>
        <v>24.453372894182042</v>
      </c>
      <c r="AH2673" s="261">
        <f ca="1">MIN(100,IF($O$5&gt;80,0+30*($AG2673/100),IF($O$5&gt;70,0+50*($AG2673/100),IF($O$5&gt;60,5+50*($AG2673/100),IF($O$5&gt;50,10+60*($AG2673/100),IF($O$5&gt;40,15+70*($AG2673/100),IF($O$5&gt;30,20+70*($AG2673/100),IF($O$5&gt;20,40+55*($AG2673/100),(80+(20-$O$5)+30*($AG2673/100))))))))))</f>
        <v>90.607072212405043</v>
      </c>
      <c r="AI2673" s="263"/>
      <c r="AJ2673" s="263"/>
      <c r="AK2673" s="263"/>
      <c r="AL2673" s="263"/>
      <c r="AM2673" s="264"/>
      <c r="AN2673" s="263"/>
      <c r="AO2673" s="263"/>
      <c r="AP2673" s="265"/>
      <c r="AQ2673" s="265"/>
      <c r="AR2673" s="285"/>
      <c r="AS2673" s="263"/>
      <c r="AT2673" s="263"/>
      <c r="AU2673" s="263"/>
      <c r="AV2673" s="264"/>
      <c r="AW2673" s="263"/>
      <c r="AX2673" s="263"/>
      <c r="AY2673" s="263">
        <v>49</v>
      </c>
      <c r="AZ2673" s="263"/>
      <c r="BA2673" s="263"/>
      <c r="BB2673" s="263">
        <v>39</v>
      </c>
      <c r="BC2673" s="263"/>
      <c r="BD2673" s="264"/>
      <c r="BE2673" s="263"/>
      <c r="BF2673" s="263"/>
      <c r="BG2673" s="263"/>
      <c r="BH2673" s="263"/>
      <c r="BI2673" s="263"/>
      <c r="BJ2673" s="404">
        <f>altaz(J2000_Bas,$O2673,$M2673,DecLat,DecLong,2)</f>
        <v>194.37660581007069</v>
      </c>
      <c r="BK2673" s="378" t="s">
        <v>2489</v>
      </c>
      <c r="BL2673" s="379">
        <f>IF((2*G2673)/60&lt;0.2,0.2,(2*G2673)/60)</f>
        <v>0.2</v>
      </c>
      <c r="BM2673" s="380">
        <f>MOD((50000+AD2673-$B$3+(0/24)),1)</f>
        <v>0.97007236970966915</v>
      </c>
      <c r="BN2673" s="381"/>
      <c r="BO2673" s="382">
        <v>2664</v>
      </c>
    </row>
    <row r="2674" spans="1:67" s="24" customFormat="1" ht="15" customHeight="1" x14ac:dyDescent="0.25">
      <c r="A2674" s="288" t="s">
        <v>2490</v>
      </c>
      <c r="B2674" s="241" t="str">
        <f>HYPERLINK(CONCATENATE($AT$3,BK2674,$AU$3),$AV$3)</f>
        <v>S</v>
      </c>
      <c r="C2674" s="242" t="str">
        <f>HYPERLINK(CONCATENATE($AT$4,BK2674,$AU$4,BL2674),$AV$4)</f>
        <v>A</v>
      </c>
      <c r="D2674" s="243" t="s">
        <v>5187</v>
      </c>
      <c r="E2674" s="244" t="s">
        <v>5183</v>
      </c>
      <c r="F2674" s="269" t="s">
        <v>5180</v>
      </c>
      <c r="G2674" s="276">
        <v>15</v>
      </c>
      <c r="H2674" s="283">
        <v>8000</v>
      </c>
      <c r="I2674" s="246">
        <v>36</v>
      </c>
      <c r="J2674" s="246">
        <v>2</v>
      </c>
      <c r="K2674" s="247" t="s">
        <v>6269</v>
      </c>
      <c r="L2674" s="248">
        <v>181211</v>
      </c>
      <c r="M2674" s="249">
        <f>15*(LEFT(TEXT($L2674,"000000"),2)+(MID(TEXT($L2674,"000000"),3,2)/60)+(RIGHT(TEXT($L2674,"000000"),2)/3600))</f>
        <v>273.04583333333329</v>
      </c>
      <c r="N2674" s="250">
        <v>-174248</v>
      </c>
      <c r="O2674" s="251">
        <f>IF($N2674&gt;0,(LEFT(TEXT($N2674,"000000"),2)+(MID(TEXT($N2674,"000000"),3,2)/60)+(RIGHT(TEXT($N2674,"000000"),2)/3600)),-(MID(TEXT($N2674,"000000"),2,2)+(MID(TEXT($N2674,"000000"),4,2)/60)+(RIGHT(TEXT($N2674,"000000"),2)/3600)))</f>
        <v>-17.713333333333331</v>
      </c>
      <c r="P2674" s="252" t="s">
        <v>119</v>
      </c>
      <c r="Q2674" s="253"/>
      <c r="R2674" s="277" t="s">
        <v>6074</v>
      </c>
      <c r="S2674" s="272" t="s">
        <v>3293</v>
      </c>
      <c r="T2674" s="273"/>
      <c r="U2674" s="274"/>
      <c r="V2674" s="280"/>
      <c r="W2674" s="244"/>
      <c r="X2674" s="244"/>
      <c r="Y2674" s="362"/>
      <c r="Z2674" s="257">
        <f>altaz(J2000_Bas,$O2674,$M2674,DecLat,DecLong,1)</f>
        <v>39.720086224260612</v>
      </c>
      <c r="AA2674" s="257">
        <f>altaz((J2000_Bas+(2*0.04167)),$O2674,$M2674,DecLat,DecLong,1)</f>
        <v>26.108171599789721</v>
      </c>
      <c r="AB2674" s="257">
        <f>altaz((J2000_Bas+(4*0.04167)),$O2674,$M2674,DecLat,DecLong,1)</f>
        <v>4.6064556733406157</v>
      </c>
      <c r="AC2674" s="257">
        <f>altaz((J2000_Bas+(6*0.04167)),$O2674,$M2674,DecLat,DecLong,1)</f>
        <v>-20.078218609346703</v>
      </c>
      <c r="AD2674" s="258">
        <f>1+ transit((J2000_Bas-1),$O2674,$M2674,DecLat,DecLong)/360 + (GMTOffset/24) + (IF(DST="Y", 1, 0)/24)</f>
        <v>1.7513605329317914</v>
      </c>
      <c r="AE2674" s="259">
        <f>DATE(2001,9,21)+(M2674/360)*365 - (360*((DecLong/360)- (GMTOffset/24) ))</f>
        <v>37436.838136574072</v>
      </c>
      <c r="AF2674" s="260">
        <f>IF(DecLat&gt;0,IF((90 - (DecLat-O2674))&gt;90, (90 - (O2674-DecLat)), (90 - (DecLat-O2674))),IF((90 + (DecLat-O2674))&gt;90, (90 + (O2674-DecLat)), (90 + (DecLat-O2674))))</f>
        <v>41.286666666666669</v>
      </c>
      <c r="AG2674" s="257">
        <f>angularseperation(MoonRA,MoonDec,$M2674,$O2674)</f>
        <v>23.864217350688293</v>
      </c>
      <c r="AH2674" s="261">
        <f ca="1">MIN(100,IF($O$5&gt;80,0+30*($AG2674/100),IF($O$5&gt;70,0+50*($AG2674/100),IF($O$5&gt;60,5+50*($AG2674/100),IF($O$5&gt;50,10+60*($AG2674/100),IF($O$5&gt;40,15+70*($AG2674/100),IF($O$5&gt;30,20+70*($AG2674/100),IF($O$5&gt;20,40+55*($AG2674/100),(80+(20-$O$5)+30*($AG2674/100))))))))))</f>
        <v>90.430325549356922</v>
      </c>
      <c r="AI2674" s="263"/>
      <c r="AJ2674" s="263"/>
      <c r="AK2674" s="263"/>
      <c r="AL2674" s="263"/>
      <c r="AM2674" s="264"/>
      <c r="AN2674" s="263"/>
      <c r="AO2674" s="263"/>
      <c r="AP2674" s="265"/>
      <c r="AQ2674" s="265"/>
      <c r="AR2674" s="285"/>
      <c r="AS2674" s="263"/>
      <c r="AT2674" s="263"/>
      <c r="AU2674" s="263"/>
      <c r="AV2674" s="264"/>
      <c r="AW2674" s="263"/>
      <c r="AX2674" s="263"/>
      <c r="AY2674" s="263">
        <v>49</v>
      </c>
      <c r="AZ2674" s="263"/>
      <c r="BA2674" s="263">
        <v>155</v>
      </c>
      <c r="BB2674" s="263">
        <v>40</v>
      </c>
      <c r="BC2674" s="263"/>
      <c r="BD2674" s="264"/>
      <c r="BE2674" s="263"/>
      <c r="BF2674" s="263"/>
      <c r="BG2674" s="263"/>
      <c r="BH2674" s="263"/>
      <c r="BI2674" s="263"/>
      <c r="BJ2674" s="404">
        <f>altaz(J2000_Bas,$O2674,$M2674,DecLat,DecLong,2)</f>
        <v>196.12191395419214</v>
      </c>
      <c r="BK2674" s="378" t="s">
        <v>2490</v>
      </c>
      <c r="BL2674" s="379">
        <f>IF((2*G2674)/60&lt;0.2,0.2,(2*G2674)/60)</f>
        <v>0.5</v>
      </c>
      <c r="BM2674" s="380">
        <f>MOD((50000+AD2674-$B$3+(0/24)),1)</f>
        <v>0.96672746263357112</v>
      </c>
      <c r="BN2674" s="381"/>
      <c r="BO2674" s="382">
        <v>2665</v>
      </c>
    </row>
    <row r="2675" spans="1:67" s="24" customFormat="1" ht="15" customHeight="1" x14ac:dyDescent="0.25">
      <c r="A2675" s="288" t="s">
        <v>2491</v>
      </c>
      <c r="B2675" s="241" t="str">
        <f>HYPERLINK(CONCATENATE($AT$3,BK2675,$AU$3),$AV$3)</f>
        <v>S</v>
      </c>
      <c r="C2675" s="242" t="str">
        <f>HYPERLINK(CONCATENATE($AT$4,BK2675,$AU$4,BL2675),$AV$4)</f>
        <v>A</v>
      </c>
      <c r="D2675" s="243" t="s">
        <v>5187</v>
      </c>
      <c r="E2675" s="244" t="s">
        <v>5183</v>
      </c>
      <c r="F2675" s="269" t="s">
        <v>5180</v>
      </c>
      <c r="G2675" s="276">
        <v>60</v>
      </c>
      <c r="H2675" s="283">
        <v>7000</v>
      </c>
      <c r="I2675" s="246">
        <v>120</v>
      </c>
      <c r="J2675" s="246">
        <v>4</v>
      </c>
      <c r="K2675" s="247" t="s">
        <v>6271</v>
      </c>
      <c r="L2675" s="248">
        <v>181548</v>
      </c>
      <c r="M2675" s="249">
        <f>15*(LEFT(TEXT($L2675,"000000"),2)+(MID(TEXT($L2675,"000000"),3,2)/60)+(RIGHT(TEXT($L2675,"000000"),2)/3600))</f>
        <v>273.95</v>
      </c>
      <c r="N2675" s="250">
        <v>-181400</v>
      </c>
      <c r="O2675" s="251">
        <f>IF($N2675&gt;0,(LEFT(TEXT($N2675,"000000"),2)+(MID(TEXT($N2675,"000000"),3,2)/60)+(RIGHT(TEXT($N2675,"000000"),2)/3600)),-(MID(TEXT($N2675,"000000"),2,2)+(MID(TEXT($N2675,"000000"),4,2)/60)+(RIGHT(TEXT($N2675,"000000"),2)/3600)))</f>
        <v>-18.233333333333334</v>
      </c>
      <c r="P2675" s="252" t="s">
        <v>119</v>
      </c>
      <c r="Q2675" s="253"/>
      <c r="R2675" s="277" t="s">
        <v>3293</v>
      </c>
      <c r="S2675" s="272" t="s">
        <v>6270</v>
      </c>
      <c r="T2675" s="273"/>
      <c r="U2675" s="274"/>
      <c r="V2675" s="280"/>
      <c r="W2675" s="244"/>
      <c r="X2675" s="244"/>
      <c r="Y2675" s="362"/>
      <c r="Z2675" s="257">
        <f>altaz(J2000_Bas,$O2675,$M2675,DecLat,DecLong,1)</f>
        <v>39.422477138515937</v>
      </c>
      <c r="AA2675" s="257">
        <f>altaz((J2000_Bas+(2*0.04167)),$O2675,$M2675,DecLat,DecLong,1)</f>
        <v>26.267390709128676</v>
      </c>
      <c r="AB2675" s="257">
        <f>altaz((J2000_Bas+(4*0.04167)),$O2675,$M2675,DecLat,DecLong,1)</f>
        <v>5.0159263231409721</v>
      </c>
      <c r="AC2675" s="257">
        <f>altaz((J2000_Bas+(6*0.04167)),$O2675,$M2675,DecLat,DecLong,1)</f>
        <v>-19.55247905108072</v>
      </c>
      <c r="AD2675" s="258">
        <f>1+ transit((J2000_Bas-1),$O2675,$M2675,DecLat,DecLong)/360 + (GMTOffset/24) + (IF(DST="Y", 1, 0)/24)</f>
        <v>1.7538721067547078</v>
      </c>
      <c r="AE2675" s="259">
        <f>DATE(2001,9,21)+(M2675/360)*365 - (360*((DecLong/360)- (GMTOffset/24) ))</f>
        <v>37437.754861111112</v>
      </c>
      <c r="AF2675" s="260">
        <f>IF(DecLat&gt;0,IF((90 - (DecLat-O2675))&gt;90, (90 - (O2675-DecLat)), (90 - (DecLat-O2675))),IF((90 + (DecLat-O2675))&gt;90, (90 + (O2675-DecLat)), (90 + (DecLat-O2675))))</f>
        <v>40.766666666666666</v>
      </c>
      <c r="AG2675" s="257">
        <f>angularseperation(MoonRA,MoonDec,$M2675,$O2675)</f>
        <v>24.40136183297264</v>
      </c>
      <c r="AH2675" s="261">
        <f ca="1">MIN(100,IF($O$5&gt;80,0+30*($AG2675/100),IF($O$5&gt;70,0+50*($AG2675/100),IF($O$5&gt;60,5+50*($AG2675/100),IF($O$5&gt;50,10+60*($AG2675/100),IF($O$5&gt;40,15+70*($AG2675/100),IF($O$5&gt;30,20+70*($AG2675/100),IF($O$5&gt;20,40+55*($AG2675/100),(80+(20-$O$5)+30*($AG2675/100))))))))))</f>
        <v>90.591468894042222</v>
      </c>
      <c r="AI2675" s="263"/>
      <c r="AJ2675" s="263"/>
      <c r="AK2675" s="263"/>
      <c r="AL2675" s="263"/>
      <c r="AM2675" s="264"/>
      <c r="AN2675" s="263"/>
      <c r="AO2675" s="263"/>
      <c r="AP2675" s="265"/>
      <c r="AQ2675" s="265"/>
      <c r="AR2675" s="285"/>
      <c r="AS2675" s="263"/>
      <c r="AT2675" s="263"/>
      <c r="AU2675" s="263"/>
      <c r="AV2675" s="264"/>
      <c r="AW2675" s="263"/>
      <c r="AX2675" s="263"/>
      <c r="AY2675" s="263">
        <v>51</v>
      </c>
      <c r="AZ2675" s="263"/>
      <c r="BA2675" s="263"/>
      <c r="BB2675" s="263">
        <v>41</v>
      </c>
      <c r="BC2675" s="263"/>
      <c r="BD2675" s="264"/>
      <c r="BE2675" s="263"/>
      <c r="BF2675" s="263"/>
      <c r="BG2675" s="263"/>
      <c r="BH2675" s="263"/>
      <c r="BI2675" s="263"/>
      <c r="BJ2675" s="404">
        <f>altaz(J2000_Bas,$O2675,$M2675,DecLat,DecLong,2)</f>
        <v>194.87656376120873</v>
      </c>
      <c r="BK2675" s="378" t="s">
        <v>2491</v>
      </c>
      <c r="BL2675" s="379">
        <f>IF((2*G2675)/60&lt;0.2,0.2,(2*G2675)/60)</f>
        <v>2</v>
      </c>
      <c r="BM2675" s="380">
        <f>MOD((50000+AD2675-$B$3+(0/24)),1)</f>
        <v>0.96923903645802056</v>
      </c>
      <c r="BN2675" s="381"/>
      <c r="BO2675" s="382">
        <v>2666</v>
      </c>
    </row>
    <row r="2676" spans="1:67" s="24" customFormat="1" ht="15" customHeight="1" x14ac:dyDescent="0.25">
      <c r="A2676" s="288" t="s">
        <v>2492</v>
      </c>
      <c r="B2676" s="241" t="str">
        <f>HYPERLINK(CONCATENATE($AT$3,BK2676,$AU$3),$AV$3)</f>
        <v>S</v>
      </c>
      <c r="C2676" s="242" t="str">
        <f>HYPERLINK(CONCATENATE($AT$4,BK2676,$AU$4,BL2676),$AV$4)</f>
        <v>A</v>
      </c>
      <c r="D2676" s="243" t="s">
        <v>5187</v>
      </c>
      <c r="E2676" s="244" t="s">
        <v>5181</v>
      </c>
      <c r="F2676" s="269" t="s">
        <v>4793</v>
      </c>
      <c r="G2676" s="273">
        <v>2</v>
      </c>
      <c r="H2676" s="283">
        <v>8000</v>
      </c>
      <c r="I2676" s="279">
        <v>5</v>
      </c>
      <c r="J2676" s="246">
        <v>1</v>
      </c>
      <c r="K2676" s="277" t="s">
        <v>6274</v>
      </c>
      <c r="L2676" s="248">
        <v>181000</v>
      </c>
      <c r="M2676" s="249">
        <f>15*(LEFT(TEXT($L2676,"000000"),2)+(MID(TEXT($L2676,"000000"),3,2)/60)+(RIGHT(TEXT($L2676,"000000"),2)/3600))</f>
        <v>272.5</v>
      </c>
      <c r="N2676" s="286">
        <v>-164600</v>
      </c>
      <c r="O2676" s="251">
        <f>IF($N2676&gt;0,(LEFT(TEXT($N2676,"000000"),2)+(MID(TEXT($N2676,"000000"),3,2)/60)+(RIGHT(TEXT($N2676,"000000"),2)/3600)),-(MID(TEXT($N2676,"000000"),2,2)+(MID(TEXT($N2676,"000000"),4,2)/60)+(RIGHT(TEXT($N2676,"000000"),2)/3600)))</f>
        <v>-16.766666666666666</v>
      </c>
      <c r="P2676" s="252" t="s">
        <v>119</v>
      </c>
      <c r="Q2676" s="253"/>
      <c r="R2676" s="277" t="s">
        <v>3293</v>
      </c>
      <c r="S2676" s="272" t="s">
        <v>3293</v>
      </c>
      <c r="T2676" s="273"/>
      <c r="U2676" s="274"/>
      <c r="V2676" s="280"/>
      <c r="W2676" s="244"/>
      <c r="X2676" s="244"/>
      <c r="Y2676" s="362"/>
      <c r="Z2676" s="257">
        <f>altaz(J2000_Bas,$O2676,$M2676,DecLat,DecLong,1)</f>
        <v>40.501346744784463</v>
      </c>
      <c r="AA2676" s="257">
        <f>altaz((J2000_Bas+(2*0.04167)),$O2676,$M2676,DecLat,DecLong,1)</f>
        <v>26.480844245353104</v>
      </c>
      <c r="AB2676" s="257">
        <f>altaz((J2000_Bas+(4*0.04167)),$O2676,$M2676,DecLat,DecLong,1)</f>
        <v>4.7129683449084316</v>
      </c>
      <c r="AC2676" s="257">
        <f>altaz((J2000_Bas+(6*0.04167)),$O2676,$M2676,DecLat,DecLong,1)</f>
        <v>-20.104765841275775</v>
      </c>
      <c r="AD2676" s="258">
        <f>1+ transit((J2000_Bas-1),$O2676,$M2676,DecLat,DecLong)/360 + (GMTOffset/24) + (IF(DST="Y", 1, 0)/24)</f>
        <v>1.7498443293797081</v>
      </c>
      <c r="AE2676" s="259">
        <f>DATE(2001,9,21)+(M2676/360)*365 - (360*((DecLong/360)- (GMTOffset/24) ))</f>
        <v>37436.284722222219</v>
      </c>
      <c r="AF2676" s="260">
        <f>IF(DecLat&gt;0,IF((90 - (DecLat-O2676))&gt;90, (90 - (O2676-DecLat)), (90 - (DecLat-O2676))),IF((90 + (DecLat-O2676))&gt;90, (90 + (O2676-DecLat)), (90 + (DecLat-O2676))))</f>
        <v>42.233333333333334</v>
      </c>
      <c r="AG2676" s="257">
        <f>angularseperation(MoonRA,MoonDec,$M2676,$O2676)</f>
        <v>23.857598791794409</v>
      </c>
      <c r="AH2676" s="261">
        <f ca="1">MIN(100,IF($O$5&gt;80,0+30*($AG2676/100),IF($O$5&gt;70,0+50*($AG2676/100),IF($O$5&gt;60,5+50*($AG2676/100),IF($O$5&gt;50,10+60*($AG2676/100),IF($O$5&gt;40,15+70*($AG2676/100),IF($O$5&gt;30,20+70*($AG2676/100),IF($O$5&gt;20,40+55*($AG2676/100),(80+(20-$O$5)+30*($AG2676/100))))))))))</f>
        <v>90.428339981688751</v>
      </c>
      <c r="AI2676" s="263"/>
      <c r="AJ2676" s="263"/>
      <c r="AK2676" s="263"/>
      <c r="AL2676" s="263"/>
      <c r="AM2676" s="264"/>
      <c r="AN2676" s="263"/>
      <c r="AO2676" s="263"/>
      <c r="AP2676" s="265"/>
      <c r="AQ2676" s="265"/>
      <c r="AR2676" s="285"/>
      <c r="AS2676" s="263"/>
      <c r="AT2676" s="263"/>
      <c r="AU2676" s="263"/>
      <c r="AV2676" s="264"/>
      <c r="AW2676" s="263"/>
      <c r="AX2676" s="263"/>
      <c r="AY2676" s="263">
        <v>56</v>
      </c>
      <c r="AZ2676" s="263"/>
      <c r="BA2676" s="263"/>
      <c r="BB2676" s="263">
        <v>42</v>
      </c>
      <c r="BC2676" s="263"/>
      <c r="BD2676" s="264"/>
      <c r="BE2676" s="263"/>
      <c r="BF2676" s="263"/>
      <c r="BG2676" s="263"/>
      <c r="BH2676" s="263"/>
      <c r="BI2676" s="263"/>
      <c r="BJ2676" s="404">
        <f>altaz(J2000_Bas,$O2676,$M2676,DecLat,DecLong,2)</f>
        <v>197.09827925818126</v>
      </c>
      <c r="BK2676" s="378" t="s">
        <v>2492</v>
      </c>
      <c r="BL2676" s="379">
        <f>IF((2*G2676)/60&lt;0.2,0.2,(2*G2676)/60)</f>
        <v>0.2</v>
      </c>
      <c r="BM2676" s="380">
        <f>MOD((50000+AD2676-$B$3+(0/24)),1)</f>
        <v>0.96521125908475369</v>
      </c>
      <c r="BN2676" s="381"/>
      <c r="BO2676" s="382">
        <v>2667</v>
      </c>
    </row>
    <row r="2677" spans="1:67" s="24" customFormat="1" ht="15" customHeight="1" x14ac:dyDescent="0.25">
      <c r="A2677" s="288" t="s">
        <v>2493</v>
      </c>
      <c r="B2677" s="241" t="str">
        <f>HYPERLINK(CONCATENATE($AT$3,BK2677,$AU$3),$AV$3)</f>
        <v>S</v>
      </c>
      <c r="C2677" s="242" t="str">
        <f>HYPERLINK(CONCATENATE($AT$4,BK2677,$AU$4,BL2677),$AV$4)</f>
        <v>A</v>
      </c>
      <c r="D2677" s="243" t="s">
        <v>5187</v>
      </c>
      <c r="E2677" s="244" t="s">
        <v>5183</v>
      </c>
      <c r="F2677" s="269" t="s">
        <v>5180</v>
      </c>
      <c r="G2677" s="276">
        <v>15</v>
      </c>
      <c r="H2677" s="283">
        <v>5200</v>
      </c>
      <c r="I2677" s="246">
        <v>24</v>
      </c>
      <c r="J2677" s="246">
        <v>0</v>
      </c>
      <c r="K2677" s="277" t="s">
        <v>6275</v>
      </c>
      <c r="L2677" s="248">
        <v>181600</v>
      </c>
      <c r="M2677" s="249">
        <f>15*(LEFT(TEXT($L2677,"000000"),2)+(MID(TEXT($L2677,"000000"),3,2)/60)+(RIGHT(TEXT($L2677,"000000"),2)/3600))</f>
        <v>274</v>
      </c>
      <c r="N2677" s="286">
        <v>-172300</v>
      </c>
      <c r="O2677" s="251">
        <f>IF($N2677&gt;0,(LEFT(TEXT($N2677,"000000"),2)+(MID(TEXT($N2677,"000000"),3,2)/60)+(RIGHT(TEXT($N2677,"000000"),2)/3600)),-(MID(TEXT($N2677,"000000"),2,2)+(MID(TEXT($N2677,"000000"),4,2)/60)+(RIGHT(TEXT($N2677,"000000"),2)/3600)))</f>
        <v>-17.383333333333333</v>
      </c>
      <c r="P2677" s="252" t="s">
        <v>119</v>
      </c>
      <c r="Q2677" s="253"/>
      <c r="R2677" s="277" t="s">
        <v>6079</v>
      </c>
      <c r="S2677" s="272" t="s">
        <v>3293</v>
      </c>
      <c r="T2677" s="273"/>
      <c r="U2677" s="274"/>
      <c r="V2677" s="280"/>
      <c r="W2677" s="244"/>
      <c r="X2677" s="244"/>
      <c r="Y2677" s="362"/>
      <c r="Z2677" s="257">
        <f>altaz(J2000_Bas,$O2677,$M2677,DecLat,DecLong,1)</f>
        <v>40.26023077422326</v>
      </c>
      <c r="AA2677" s="257">
        <f>altaz((J2000_Bas+(2*0.04167)),$O2677,$M2677,DecLat,DecLong,1)</f>
        <v>26.949053502694966</v>
      </c>
      <c r="AB2677" s="257">
        <f>altaz((J2000_Bas+(4*0.04167)),$O2677,$M2677,DecLat,DecLong,1)</f>
        <v>5.5419400735970035</v>
      </c>
      <c r="AC2677" s="257">
        <f>altaz((J2000_Bas+(6*0.04167)),$O2677,$M2677,DecLat,DecLong,1)</f>
        <v>-19.118738537629721</v>
      </c>
      <c r="AD2677" s="258">
        <f>1+ transit((J2000_Bas-1),$O2677,$M2677,DecLat,DecLong)/360 + (GMTOffset/24) + (IF(DST="Y", 1, 0)/24)</f>
        <v>1.7540109956297079</v>
      </c>
      <c r="AE2677" s="259">
        <f>DATE(2001,9,21)+(M2677/360)*365 - (360*((DecLong/360)- (GMTOffset/24) ))</f>
        <v>37437.805555555555</v>
      </c>
      <c r="AF2677" s="260">
        <f>IF(DecLat&gt;0,IF((90 - (DecLat-O2677))&gt;90, (90 - (O2677-DecLat)), (90 - (DecLat-O2677))),IF((90 + (DecLat-O2677))&gt;90, (90 + (O2677-DecLat)), (90 + (DecLat-O2677))))</f>
        <v>41.616666666666667</v>
      </c>
      <c r="AG2677" s="257">
        <f>angularseperation(MoonRA,MoonDec,$M2677,$O2677)</f>
        <v>24.823882140340736</v>
      </c>
      <c r="AH2677" s="261">
        <f ca="1">MIN(100,IF($O$5&gt;80,0+30*($AG2677/100),IF($O$5&gt;70,0+50*($AG2677/100),IF($O$5&gt;60,5+50*($AG2677/100),IF($O$5&gt;50,10+60*($AG2677/100),IF($O$5&gt;40,15+70*($AG2677/100),IF($O$5&gt;30,20+70*($AG2677/100),IF($O$5&gt;20,40+55*($AG2677/100),(80+(20-$O$5)+30*($AG2677/100))))))))))</f>
        <v>90.71822498625265</v>
      </c>
      <c r="AI2677" s="263"/>
      <c r="AJ2677" s="263"/>
      <c r="AK2677" s="263"/>
      <c r="AL2677" s="263"/>
      <c r="AM2677" s="264"/>
      <c r="AN2677" s="263"/>
      <c r="AO2677" s="263"/>
      <c r="AP2677" s="265"/>
      <c r="AQ2677" s="265"/>
      <c r="AR2677" s="285"/>
      <c r="AS2677" s="263"/>
      <c r="AT2677" s="263"/>
      <c r="AU2677" s="263"/>
      <c r="AV2677" s="264"/>
      <c r="AW2677" s="263"/>
      <c r="AX2677" s="263"/>
      <c r="AY2677" s="263"/>
      <c r="AZ2677" s="263"/>
      <c r="BA2677" s="263">
        <v>156</v>
      </c>
      <c r="BB2677" s="263">
        <v>43</v>
      </c>
      <c r="BC2677" s="263"/>
      <c r="BD2677" s="264"/>
      <c r="BE2677" s="263"/>
      <c r="BF2677" s="263"/>
      <c r="BG2677" s="263"/>
      <c r="BH2677" s="263"/>
      <c r="BI2677" s="263"/>
      <c r="BJ2677" s="404">
        <f>altaz(J2000_Bas,$O2677,$M2677,DecLat,DecLong,2)</f>
        <v>195.07380640949913</v>
      </c>
      <c r="BK2677" s="378" t="s">
        <v>2493</v>
      </c>
      <c r="BL2677" s="379">
        <f>IF((2*G2677)/60&lt;0.2,0.2,(2*G2677)/60)</f>
        <v>0.5</v>
      </c>
      <c r="BM2677" s="380">
        <f>MOD((50000+AD2677-$B$3+(0/24)),1)</f>
        <v>0.96937792533572065</v>
      </c>
      <c r="BN2677" s="381"/>
      <c r="BO2677" s="382">
        <v>2668</v>
      </c>
    </row>
    <row r="2678" spans="1:67" s="24" customFormat="1" ht="15" customHeight="1" x14ac:dyDescent="0.25">
      <c r="A2678" s="288" t="s">
        <v>2494</v>
      </c>
      <c r="B2678" s="241" t="str">
        <f>HYPERLINK(CONCATENATE($AT$3,BK2678,$AU$3),$AV$3)</f>
        <v>S</v>
      </c>
      <c r="C2678" s="242" t="str">
        <f>HYPERLINK(CONCATENATE($AT$4,BK2678,$AU$4,BL2678),$AV$4)</f>
        <v>A</v>
      </c>
      <c r="D2678" s="243" t="s">
        <v>5187</v>
      </c>
      <c r="E2678" s="244" t="s">
        <v>5183</v>
      </c>
      <c r="F2678" s="269" t="s">
        <v>5180</v>
      </c>
      <c r="G2678" s="276">
        <v>50</v>
      </c>
      <c r="H2678" s="283">
        <v>12000</v>
      </c>
      <c r="I2678" s="246">
        <v>165</v>
      </c>
      <c r="J2678" s="246">
        <v>2</v>
      </c>
      <c r="K2678" s="247" t="s">
        <v>6276</v>
      </c>
      <c r="L2678" s="248">
        <v>181630</v>
      </c>
      <c r="M2678" s="249">
        <f>15*(LEFT(TEXT($L2678,"000000"),2)+(MID(TEXT($L2678,"000000"),3,2)/60)+(RIGHT(TEXT($L2678,"000000"),2)/3600))</f>
        <v>274.125</v>
      </c>
      <c r="N2678" s="250">
        <v>-164400</v>
      </c>
      <c r="O2678" s="251">
        <f>IF($N2678&gt;0,(LEFT(TEXT($N2678,"000000"),2)+(MID(TEXT($N2678,"000000"),3,2)/60)+(RIGHT(TEXT($N2678,"000000"),2)/3600)),-(MID(TEXT($N2678,"000000"),2,2)+(MID(TEXT($N2678,"000000"),4,2)/60)+(RIGHT(TEXT($N2678,"000000"),2)/3600)))</f>
        <v>-16.733333333333334</v>
      </c>
      <c r="P2678" s="252" t="s">
        <v>119</v>
      </c>
      <c r="Q2678" s="253"/>
      <c r="R2678" s="277" t="s">
        <v>6167</v>
      </c>
      <c r="S2678" s="272" t="s">
        <v>3293</v>
      </c>
      <c r="T2678" s="273"/>
      <c r="U2678" s="274"/>
      <c r="V2678" s="280"/>
      <c r="W2678" s="244"/>
      <c r="X2678" s="244"/>
      <c r="Y2678" s="362"/>
      <c r="Z2678" s="257">
        <f>altaz(J2000_Bas,$O2678,$M2678,DecLat,DecLong,1)</f>
        <v>40.920164833866643</v>
      </c>
      <c r="AA2678" s="257">
        <f>altaz((J2000_Bas+(2*0.04167)),$O2678,$M2678,DecLat,DecLong,1)</f>
        <v>27.522682855455251</v>
      </c>
      <c r="AB2678" s="257">
        <f>altaz((J2000_Bas+(4*0.04167)),$O2678,$M2678,DecLat,DecLong,1)</f>
        <v>6.0120605695438281</v>
      </c>
      <c r="AC2678" s="257">
        <f>altaz((J2000_Bas+(6*0.04167)),$O2678,$M2678,DecLat,DecLong,1)</f>
        <v>-18.711081192963544</v>
      </c>
      <c r="AD2678" s="258">
        <f>1+ transit((J2000_Bas-1),$O2678,$M2678,DecLat,DecLong)/360 + (GMTOffset/24) + (IF(DST="Y", 1, 0)/24)</f>
        <v>1.7543582178172079</v>
      </c>
      <c r="AE2678" s="259">
        <f>DATE(2001,9,21)+(M2678/360)*365 - (360*((DecLong/360)- (GMTOffset/24) ))</f>
        <v>37437.932291666664</v>
      </c>
      <c r="AF2678" s="260">
        <f>IF(DecLat&gt;0,IF((90 - (DecLat-O2678))&gt;90, (90 - (O2678-DecLat)), (90 - (DecLat-O2678))),IF((90 + (DecLat-O2678))&gt;90, (90 + (O2678-DecLat)), (90 + (DecLat-O2678))))</f>
        <v>42.266666666666666</v>
      </c>
      <c r="AG2678" s="257">
        <f>angularseperation(MoonRA,MoonDec,$M2678,$O2678)</f>
        <v>25.233980535070984</v>
      </c>
      <c r="AH2678" s="261">
        <f ca="1">MIN(100,IF($O$5&gt;80,0+30*($AG2678/100),IF($O$5&gt;70,0+50*($AG2678/100),IF($O$5&gt;60,5+50*($AG2678/100),IF($O$5&gt;50,10+60*($AG2678/100),IF($O$5&gt;40,15+70*($AG2678/100),IF($O$5&gt;30,20+70*($AG2678/100),IF($O$5&gt;20,40+55*($AG2678/100),(80+(20-$O$5)+30*($AG2678/100))))))))))</f>
        <v>90.841254504671724</v>
      </c>
      <c r="AI2678" s="263"/>
      <c r="AJ2678" s="263">
        <v>4701</v>
      </c>
      <c r="AK2678" s="263"/>
      <c r="AL2678" s="263"/>
      <c r="AM2678" s="264"/>
      <c r="AN2678" s="263"/>
      <c r="AO2678" s="263"/>
      <c r="AP2678" s="265"/>
      <c r="AQ2678" s="265"/>
      <c r="AR2678" s="285"/>
      <c r="AS2678" s="263"/>
      <c r="AT2678" s="263"/>
      <c r="AU2678" s="263"/>
      <c r="AV2678" s="264"/>
      <c r="AW2678" s="263"/>
      <c r="AX2678" s="263">
        <v>79</v>
      </c>
      <c r="AY2678" s="263">
        <v>55</v>
      </c>
      <c r="AZ2678" s="263"/>
      <c r="BA2678" s="263">
        <v>157</v>
      </c>
      <c r="BB2678" s="263">
        <v>44</v>
      </c>
      <c r="BC2678" s="263"/>
      <c r="BD2678" s="264"/>
      <c r="BE2678" s="263"/>
      <c r="BF2678" s="263"/>
      <c r="BG2678" s="263"/>
      <c r="BH2678" s="263"/>
      <c r="BI2678" s="263"/>
      <c r="BJ2678" s="404">
        <f>altaz(J2000_Bas,$O2678,$M2678,DecLat,DecLong,2)</f>
        <v>195.12068607738604</v>
      </c>
      <c r="BK2678" s="378" t="s">
        <v>2494</v>
      </c>
      <c r="BL2678" s="379">
        <f>IF((2*G2678)/60&lt;0.2,0.2,(2*G2678)/60)</f>
        <v>1.6666666666666667</v>
      </c>
      <c r="BM2678" s="380">
        <f>MOD((50000+AD2678-$B$3+(0/24)),1)</f>
        <v>0.9697251475226949</v>
      </c>
      <c r="BN2678" s="381"/>
      <c r="BO2678" s="382">
        <v>2669</v>
      </c>
    </row>
    <row r="2679" spans="1:67" s="24" customFormat="1" ht="15" customHeight="1" x14ac:dyDescent="0.25">
      <c r="A2679" s="288" t="s">
        <v>2495</v>
      </c>
      <c r="B2679" s="241" t="str">
        <f>HYPERLINK(CONCATENATE($AT$3,BK2679,$AU$3),$AV$3)</f>
        <v>S</v>
      </c>
      <c r="C2679" s="242" t="str">
        <f>HYPERLINK(CONCATENATE($AT$4,BK2679,$AU$4,BL2679),$AV$4)</f>
        <v>A</v>
      </c>
      <c r="D2679" s="243" t="s">
        <v>5187</v>
      </c>
      <c r="E2679" s="244" t="s">
        <v>5183</v>
      </c>
      <c r="F2679" s="269" t="s">
        <v>5180</v>
      </c>
      <c r="G2679" s="276">
        <v>25</v>
      </c>
      <c r="H2679" s="283">
        <v>5000</v>
      </c>
      <c r="I2679" s="246">
        <v>35</v>
      </c>
      <c r="J2679" s="246">
        <v>3</v>
      </c>
      <c r="K2679" s="247" t="s">
        <v>9371</v>
      </c>
      <c r="L2679" s="248">
        <v>180606</v>
      </c>
      <c r="M2679" s="249">
        <f>15*(LEFT(TEXT($L2679,"000000"),2)+(MID(TEXT($L2679,"000000"),3,2)/60)+(RIGHT(TEXT($L2679,"000000"),2)/3600))</f>
        <v>271.52499999999998</v>
      </c>
      <c r="N2679" s="250">
        <v>-140900</v>
      </c>
      <c r="O2679" s="251">
        <f>IF($N2679&gt;0,(LEFT(TEXT($N2679,"000000"),2)+(MID(TEXT($N2679,"000000"),3,2)/60)+(RIGHT(TEXT($N2679,"000000"),2)/3600)),-(MID(TEXT($N2679,"000000"),2,2)+(MID(TEXT($N2679,"000000"),4,2)/60)+(RIGHT(TEXT($N2679,"000000"),2)/3600)))</f>
        <v>-14.15</v>
      </c>
      <c r="P2679" s="252" t="s">
        <v>115</v>
      </c>
      <c r="Q2679" s="253"/>
      <c r="R2679" s="277" t="s">
        <v>5126</v>
      </c>
      <c r="S2679" s="272" t="s">
        <v>3293</v>
      </c>
      <c r="T2679" s="273"/>
      <c r="U2679" s="274"/>
      <c r="V2679" s="280"/>
      <c r="W2679" s="244"/>
      <c r="X2679" s="244"/>
      <c r="Y2679" s="362"/>
      <c r="Z2679" s="257">
        <f>altaz(J2000_Bas,$O2679,$M2679,DecLat,DecLong,1)</f>
        <v>42.754619708227217</v>
      </c>
      <c r="AA2679" s="257">
        <f>altaz((J2000_Bas+(2*0.04167)),$O2679,$M2679,DecLat,DecLong,1)</f>
        <v>27.793475617224669</v>
      </c>
      <c r="AB2679" s="257">
        <f>altaz((J2000_Bas+(4*0.04167)),$O2679,$M2679,DecLat,DecLong,1)</f>
        <v>5.4029372649270195</v>
      </c>
      <c r="AC2679" s="257">
        <f>altaz((J2000_Bas+(6*0.04167)),$O2679,$M2679,DecLat,DecLong,1)</f>
        <v>-19.709959879207613</v>
      </c>
      <c r="AD2679" s="258">
        <f>1+ transit((J2000_Bas-1),$O2679,$M2679,DecLat,DecLong)/360 + (GMTOffset/24) + (IF(DST="Y", 1, 0)/24)</f>
        <v>1.747135996317208</v>
      </c>
      <c r="AE2679" s="259">
        <f>DATE(2001,9,21)+(M2679/360)*365 - (360*((DecLong/360)- (GMTOffset/24) ))</f>
        <v>37435.296180555553</v>
      </c>
      <c r="AF2679" s="260">
        <f>IF(DecLat&gt;0,IF((90 - (DecLat-O2679))&gt;90, (90 - (O2679-DecLat)), (90 - (DecLat-O2679))),IF((90 + (DecLat-O2679))&gt;90, (90 + (O2679-DecLat)), (90 + (DecLat-O2679))))</f>
        <v>44.85</v>
      </c>
      <c r="AG2679" s="257">
        <f>angularseperation(MoonRA,MoonDec,$M2679,$O2679)</f>
        <v>24.473014502953546</v>
      </c>
      <c r="AH2679" s="261">
        <f ca="1">MIN(100,IF($O$5&gt;80,0+30*($AG2679/100),IF($O$5&gt;70,0+50*($AG2679/100),IF($O$5&gt;60,5+50*($AG2679/100),IF($O$5&gt;50,10+60*($AG2679/100),IF($O$5&gt;40,15+70*($AG2679/100),IF($O$5&gt;30,20+70*($AG2679/100),IF($O$5&gt;20,40+55*($AG2679/100),(80+(20-$O$5)+30*($AG2679/100))))))))))</f>
        <v>90.612964695036496</v>
      </c>
      <c r="AI2679" s="263"/>
      <c r="AJ2679" s="263"/>
      <c r="AK2679" s="263"/>
      <c r="AL2679" s="263"/>
      <c r="AM2679" s="264"/>
      <c r="AN2679" s="263"/>
      <c r="AO2679" s="263"/>
      <c r="AP2679" s="265"/>
      <c r="AQ2679" s="265"/>
      <c r="AR2679" s="285"/>
      <c r="AS2679" s="263"/>
      <c r="AT2679" s="263"/>
      <c r="AU2679" s="263"/>
      <c r="AV2679" s="264"/>
      <c r="AW2679" s="263"/>
      <c r="AX2679" s="263">
        <v>80</v>
      </c>
      <c r="AY2679" s="263">
        <v>58</v>
      </c>
      <c r="AZ2679" s="263"/>
      <c r="BA2679" s="263">
        <v>158</v>
      </c>
      <c r="BB2679" s="263">
        <v>46</v>
      </c>
      <c r="BC2679" s="263"/>
      <c r="BD2679" s="264"/>
      <c r="BE2679" s="263"/>
      <c r="BF2679" s="263"/>
      <c r="BG2679" s="263"/>
      <c r="BH2679" s="263"/>
      <c r="BI2679" s="263">
        <v>77</v>
      </c>
      <c r="BJ2679" s="404">
        <f>altaz(J2000_Bas,$O2679,$M2679,DecLat,DecLong,2)</f>
        <v>199.27772616256115</v>
      </c>
      <c r="BK2679" s="378" t="s">
        <v>2495</v>
      </c>
      <c r="BL2679" s="379">
        <f>IF((2*G2679)/60&lt;0.2,0.2,(2*G2679)/60)</f>
        <v>0.83333333333333337</v>
      </c>
      <c r="BM2679" s="380">
        <f>MOD((50000+AD2679-$B$3+(0/24)),1)</f>
        <v>0.96250292602053378</v>
      </c>
      <c r="BN2679" s="381"/>
      <c r="BO2679" s="382">
        <v>2670</v>
      </c>
    </row>
    <row r="2680" spans="1:67" s="24" customFormat="1" ht="15" customHeight="1" x14ac:dyDescent="0.25">
      <c r="A2680" s="288" t="s">
        <v>2496</v>
      </c>
      <c r="B2680" s="241" t="str">
        <f>HYPERLINK(CONCATENATE($AT$3,BK2680,$AU$3),$AV$3)</f>
        <v>S</v>
      </c>
      <c r="C2680" s="242" t="str">
        <f>HYPERLINK(CONCATENATE($AT$4,BK2680,$AU$4,BL2680),$AV$4)</f>
        <v>A</v>
      </c>
      <c r="D2680" s="243" t="s">
        <v>5187</v>
      </c>
      <c r="E2680" s="244" t="s">
        <v>5183</v>
      </c>
      <c r="F2680" s="269" t="s">
        <v>5180</v>
      </c>
      <c r="G2680" s="273">
        <v>7</v>
      </c>
      <c r="H2680" s="283">
        <v>10000</v>
      </c>
      <c r="I2680" s="246">
        <v>20</v>
      </c>
      <c r="J2680" s="246">
        <v>1</v>
      </c>
      <c r="K2680" s="277" t="s">
        <v>6277</v>
      </c>
      <c r="L2680" s="248">
        <v>181800</v>
      </c>
      <c r="M2680" s="249">
        <f>15*(LEFT(TEXT($L2680,"000000"),2)+(MID(TEXT($L2680,"000000"),3,2)/60)+(RIGHT(TEXT($L2680,"000000"),2)/3600))</f>
        <v>274.5</v>
      </c>
      <c r="N2680" s="286">
        <v>-153600</v>
      </c>
      <c r="O2680" s="251">
        <f>IF($N2680&gt;0,(LEFT(TEXT($N2680,"000000"),2)+(MID(TEXT($N2680,"000000"),3,2)/60)+(RIGHT(TEXT($N2680,"000000"),2)/3600)),-(MID(TEXT($N2680,"000000"),2,2)+(MID(TEXT($N2680,"000000"),4,2)/60)+(RIGHT(TEXT($N2680,"000000"),2)/3600)))</f>
        <v>-15.6</v>
      </c>
      <c r="P2680" s="252" t="s">
        <v>115</v>
      </c>
      <c r="Q2680" s="253"/>
      <c r="R2680" s="277" t="s">
        <v>3293</v>
      </c>
      <c r="S2680" s="272" t="s">
        <v>3293</v>
      </c>
      <c r="T2680" s="273"/>
      <c r="U2680" s="274"/>
      <c r="V2680" s="280"/>
      <c r="W2680" s="244"/>
      <c r="X2680" s="244"/>
      <c r="Y2680" s="362"/>
      <c r="Z2680" s="257">
        <f>altaz(J2000_Bas,$O2680,$M2680,DecLat,DecLong,1)</f>
        <v>42.106127902309005</v>
      </c>
      <c r="AA2680" s="257">
        <f>altaz((J2000_Bas+(2*0.04167)),$O2680,$M2680,DecLat,DecLong,1)</f>
        <v>28.619750905247717</v>
      </c>
      <c r="AB2680" s="257">
        <f>altaz((J2000_Bas+(4*0.04167)),$O2680,$M2680,DecLat,DecLong,1)</f>
        <v>6.9563107136358227</v>
      </c>
      <c r="AC2680" s="257">
        <f>altaz((J2000_Bas+(6*0.04167)),$O2680,$M2680,DecLat,DecLong,1)</f>
        <v>-17.861500241834634</v>
      </c>
      <c r="AD2680" s="258">
        <f>1+ transit((J2000_Bas-1),$O2680,$M2680,DecLat,DecLong)/360 + (GMTOffset/24) + (IF(DST="Y", 1, 0)/24)</f>
        <v>1.7553998843797081</v>
      </c>
      <c r="AE2680" s="259">
        <f>DATE(2001,9,21)+(M2680/360)*365 - (360*((DecLong/360)- (GMTOffset/24) ))</f>
        <v>37438.3125</v>
      </c>
      <c r="AF2680" s="260">
        <f>IF(DecLat&gt;0,IF((90 - (DecLat-O2680))&gt;90, (90 - (O2680-DecLat)), (90 - (DecLat-O2680))),IF((90 + (DecLat-O2680))&gt;90, (90 + (O2680-DecLat)), (90 + (DecLat-O2680))))</f>
        <v>43.4</v>
      </c>
      <c r="AG2680" s="257">
        <f>angularseperation(MoonRA,MoonDec,$M2680,$O2680)</f>
        <v>26.104280952052338</v>
      </c>
      <c r="AH2680" s="261">
        <f ca="1">MIN(100,IF($O$5&gt;80,0+30*($AG2680/100),IF($O$5&gt;70,0+50*($AG2680/100),IF($O$5&gt;60,5+50*($AG2680/100),IF($O$5&gt;50,10+60*($AG2680/100),IF($O$5&gt;40,15+70*($AG2680/100),IF($O$5&gt;30,20+70*($AG2680/100),IF($O$5&gt;20,40+55*($AG2680/100),(80+(20-$O$5)+30*($AG2680/100))))))))))</f>
        <v>91.102344629766122</v>
      </c>
      <c r="AI2680" s="263"/>
      <c r="AJ2680" s="263"/>
      <c r="AK2680" s="263"/>
      <c r="AL2680" s="263"/>
      <c r="AM2680" s="264"/>
      <c r="AN2680" s="263"/>
      <c r="AO2680" s="263"/>
      <c r="AP2680" s="265"/>
      <c r="AQ2680" s="265"/>
      <c r="AR2680" s="285"/>
      <c r="AS2680" s="263"/>
      <c r="AT2680" s="263"/>
      <c r="AU2680" s="263"/>
      <c r="AV2680" s="264"/>
      <c r="AW2680" s="263"/>
      <c r="AX2680" s="263"/>
      <c r="AY2680" s="263">
        <v>59</v>
      </c>
      <c r="AZ2680" s="263"/>
      <c r="BA2680" s="263"/>
      <c r="BB2680" s="263">
        <v>47</v>
      </c>
      <c r="BC2680" s="263"/>
      <c r="BD2680" s="264"/>
      <c r="BE2680" s="263"/>
      <c r="BF2680" s="263"/>
      <c r="BG2680" s="263"/>
      <c r="BH2680" s="263"/>
      <c r="BI2680" s="263"/>
      <c r="BJ2680" s="404">
        <f>altaz(J2000_Bas,$O2680,$M2680,DecLat,DecLong,2)</f>
        <v>195.00384458722058</v>
      </c>
      <c r="BK2680" s="378" t="s">
        <v>2496</v>
      </c>
      <c r="BL2680" s="379">
        <f>IF((2*G2680)/60&lt;0.2,0.2,(2*G2680)/60)</f>
        <v>0.23333333333333334</v>
      </c>
      <c r="BM2680" s="380">
        <f>MOD((50000+AD2680-$B$3+(0/24)),1)</f>
        <v>0.97076681408361765</v>
      </c>
      <c r="BN2680" s="381"/>
      <c r="BO2680" s="382">
        <v>2671</v>
      </c>
    </row>
    <row r="2681" spans="1:67" s="24" customFormat="1" ht="15" customHeight="1" x14ac:dyDescent="0.25">
      <c r="A2681" s="288" t="s">
        <v>2497</v>
      </c>
      <c r="B2681" s="241" t="str">
        <f>HYPERLINK(CONCATENATE($AT$3,BK2681,$AU$3),$AV$3)</f>
        <v>S</v>
      </c>
      <c r="C2681" s="242" t="str">
        <f>HYPERLINK(CONCATENATE($AT$4,BK2681,$AU$4,BL2681),$AV$4)</f>
        <v>A</v>
      </c>
      <c r="D2681" s="243" t="s">
        <v>5187</v>
      </c>
      <c r="E2681" s="244" t="s">
        <v>5183</v>
      </c>
      <c r="F2681" s="269" t="s">
        <v>5180</v>
      </c>
      <c r="G2681" s="276">
        <v>10</v>
      </c>
      <c r="H2681" s="283">
        <v>13000</v>
      </c>
      <c r="I2681" s="246">
        <v>40</v>
      </c>
      <c r="J2681" s="246">
        <v>1</v>
      </c>
      <c r="K2681" s="247" t="s">
        <v>6278</v>
      </c>
      <c r="L2681" s="248">
        <v>182222</v>
      </c>
      <c r="M2681" s="249">
        <f>15*(LEFT(TEXT($L2681,"000000"),2)+(MID(TEXT($L2681,"000000"),3,2)/60)+(RIGHT(TEXT($L2681,"000000"),2)/3600))</f>
        <v>275.59166666666664</v>
      </c>
      <c r="N2681" s="250">
        <v>-143205</v>
      </c>
      <c r="O2681" s="251">
        <f>IF($N2681&gt;0,(LEFT(TEXT($N2681,"000000"),2)+(MID(TEXT($N2681,"000000"),3,2)/60)+(RIGHT(TEXT($N2681,"000000"),2)/3600)),-(MID(TEXT($N2681,"000000"),2,2)+(MID(TEXT($N2681,"000000"),4,2)/60)+(RIGHT(TEXT($N2681,"000000"),2)/3600)))</f>
        <v>-14.534722222222221</v>
      </c>
      <c r="P2681" s="252" t="s">
        <v>121</v>
      </c>
      <c r="Q2681" s="253"/>
      <c r="R2681" s="277" t="s">
        <v>6081</v>
      </c>
      <c r="S2681" s="272" t="s">
        <v>3293</v>
      </c>
      <c r="T2681" s="273"/>
      <c r="U2681" s="274"/>
      <c r="V2681" s="280"/>
      <c r="W2681" s="244"/>
      <c r="X2681" s="244"/>
      <c r="Y2681" s="362"/>
      <c r="Z2681" s="257">
        <f>altaz(J2000_Bas,$O2681,$M2681,DecLat,DecLong,1)</f>
        <v>43.378665067789719</v>
      </c>
      <c r="AA2681" s="257">
        <f>altaz((J2000_Bas+(2*0.04167)),$O2681,$M2681,DecLat,DecLong,1)</f>
        <v>30.113845800358131</v>
      </c>
      <c r="AB2681" s="257">
        <f>altaz((J2000_Bas+(4*0.04167)),$O2681,$M2681,DecLat,DecLong,1)</f>
        <v>8.4311359853505792</v>
      </c>
      <c r="AC2681" s="257">
        <f>altaz((J2000_Bas+(6*0.04167)),$O2681,$M2681,DecLat,DecLong,1)</f>
        <v>-16.427834859530719</v>
      </c>
      <c r="AD2681" s="258">
        <f>1+ transit((J2000_Bas-1),$O2681,$M2681,DecLat,DecLong)/360 + (GMTOffset/24) + (IF(DST="Y", 1, 0)/24)</f>
        <v>1.7584322914838746</v>
      </c>
      <c r="AE2681" s="259">
        <f>DATE(2001,9,21)+(M2681/360)*365 - (360*((DecLong/360)- (GMTOffset/24) ))</f>
        <v>37439.419328703705</v>
      </c>
      <c r="AF2681" s="260">
        <f>IF(DecLat&gt;0,IF((90 - (DecLat-O2681))&gt;90, (90 - (O2681-DecLat)), (90 - (DecLat-O2681))),IF((90 + (DecLat-O2681))&gt;90, (90 + (O2681-DecLat)), (90 + (DecLat-O2681))))</f>
        <v>44.465277777777779</v>
      </c>
      <c r="AG2681" s="257">
        <f>angularseperation(MoonRA,MoonDec,$M2681,$O2681)</f>
        <v>27.555313827371094</v>
      </c>
      <c r="AH2681" s="261">
        <f ca="1">MIN(100,IF($O$5&gt;80,0+30*($AG2681/100),IF($O$5&gt;70,0+50*($AG2681/100),IF($O$5&gt;60,5+50*($AG2681/100),IF($O$5&gt;50,10+60*($AG2681/100),IF($O$5&gt;40,15+70*($AG2681/100),IF($O$5&gt;30,20+70*($AG2681/100),IF($O$5&gt;20,40+55*($AG2681/100),(80+(20-$O$5)+30*($AG2681/100))))))))))</f>
        <v>91.537654492361753</v>
      </c>
      <c r="AI2681" s="263"/>
      <c r="AJ2681" s="263"/>
      <c r="AK2681" s="263"/>
      <c r="AL2681" s="263"/>
      <c r="AM2681" s="264"/>
      <c r="AN2681" s="263"/>
      <c r="AO2681" s="263"/>
      <c r="AP2681" s="265"/>
      <c r="AQ2681" s="265"/>
      <c r="AR2681" s="285"/>
      <c r="AS2681" s="263"/>
      <c r="AT2681" s="263"/>
      <c r="AU2681" s="263"/>
      <c r="AV2681" s="264"/>
      <c r="AW2681" s="263"/>
      <c r="AX2681" s="263">
        <v>82</v>
      </c>
      <c r="AY2681" s="263"/>
      <c r="AZ2681" s="263"/>
      <c r="BA2681" s="263">
        <v>162</v>
      </c>
      <c r="BB2681" s="263">
        <v>48</v>
      </c>
      <c r="BC2681" s="263"/>
      <c r="BD2681" s="264"/>
      <c r="BE2681" s="263"/>
      <c r="BF2681" s="263"/>
      <c r="BG2681" s="263"/>
      <c r="BH2681" s="263"/>
      <c r="BI2681" s="263"/>
      <c r="BJ2681" s="404">
        <f>altaz(J2000_Bas,$O2681,$M2681,DecLat,DecLong,2)</f>
        <v>193.92589262426478</v>
      </c>
      <c r="BK2681" s="378" t="s">
        <v>2497</v>
      </c>
      <c r="BL2681" s="379">
        <f>IF((2*G2681)/60&lt;0.2,0.2,(2*G2681)/60)</f>
        <v>0.33333333333333331</v>
      </c>
      <c r="BM2681" s="380">
        <f>MOD((50000+AD2681-$B$3+(0/24)),1)</f>
        <v>0.97379922118852846</v>
      </c>
      <c r="BN2681" s="381"/>
      <c r="BO2681" s="382">
        <v>2672</v>
      </c>
    </row>
    <row r="2682" spans="1:67" s="24" customFormat="1" ht="15" customHeight="1" x14ac:dyDescent="0.25">
      <c r="A2682" s="288" t="s">
        <v>2498</v>
      </c>
      <c r="B2682" s="241" t="str">
        <f>HYPERLINK(CONCATENATE($AT$3,BK2682,$AU$3),$AV$3)</f>
        <v>S</v>
      </c>
      <c r="C2682" s="242" t="str">
        <f>HYPERLINK(CONCATENATE($AT$4,BK2682,$AU$4,BL2682),$AV$4)</f>
        <v>A</v>
      </c>
      <c r="D2682" s="243" t="s">
        <v>5187</v>
      </c>
      <c r="E2682" s="244" t="s">
        <v>5183</v>
      </c>
      <c r="F2682" s="269" t="s">
        <v>5180</v>
      </c>
      <c r="G2682" s="276">
        <v>15</v>
      </c>
      <c r="H2682" s="283">
        <v>6000</v>
      </c>
      <c r="I2682" s="246">
        <v>28</v>
      </c>
      <c r="J2682" s="246">
        <v>1</v>
      </c>
      <c r="K2682" s="247" t="s">
        <v>6279</v>
      </c>
      <c r="L2682" s="248">
        <v>182536</v>
      </c>
      <c r="M2682" s="249">
        <f>15*(LEFT(TEXT($L2682,"000000"),2)+(MID(TEXT($L2682,"000000"),3,2)/60)+(RIGHT(TEXT($L2682,"000000"),2)/3600))</f>
        <v>276.40000000000003</v>
      </c>
      <c r="N2682" s="250">
        <v>-144200</v>
      </c>
      <c r="O2682" s="251">
        <f>IF($N2682&gt;0,(LEFT(TEXT($N2682,"000000"),2)+(MID(TEXT($N2682,"000000"),3,2)/60)+(RIGHT(TEXT($N2682,"000000"),2)/3600)),-(MID(TEXT($N2682,"000000"),2,2)+(MID(TEXT($N2682,"000000"),4,2)/60)+(RIGHT(TEXT($N2682,"000000"),2)/3600)))</f>
        <v>-14.7</v>
      </c>
      <c r="P2682" s="252" t="s">
        <v>121</v>
      </c>
      <c r="Q2682" s="253"/>
      <c r="R2682" s="277" t="s">
        <v>6082</v>
      </c>
      <c r="S2682" s="272" t="s">
        <v>3293</v>
      </c>
      <c r="T2682" s="273"/>
      <c r="U2682" s="274"/>
      <c r="V2682" s="280"/>
      <c r="W2682" s="244"/>
      <c r="X2682" s="244"/>
      <c r="Y2682" s="362"/>
      <c r="Z2682" s="257">
        <f>altaz(J2000_Bas,$O2682,$M2682,DecLat,DecLong,1)</f>
        <v>43.377183320909289</v>
      </c>
      <c r="AA2682" s="257">
        <f>altaz((J2000_Bas+(2*0.04167)),$O2682,$M2682,DecLat,DecLong,1)</f>
        <v>30.486853797355607</v>
      </c>
      <c r="AB2682" s="257">
        <f>altaz((J2000_Bas+(4*0.04167)),$O2682,$M2682,DecLat,DecLong,1)</f>
        <v>8.9736017588088899</v>
      </c>
      <c r="AC2682" s="257">
        <f>altaz((J2000_Bas+(6*0.04167)),$O2682,$M2682,DecLat,DecLong,1)</f>
        <v>-15.82020814188966</v>
      </c>
      <c r="AD2682" s="258">
        <f>1+ transit((J2000_Bas-1),$O2682,$M2682,DecLat,DecLong)/360 + (GMTOffset/24) + (IF(DST="Y", 1, 0)/24)</f>
        <v>1.7606776616297082</v>
      </c>
      <c r="AE2682" s="259">
        <f>DATE(2001,9,21)+(M2682/360)*365 - (360*((DecLong/360)- (GMTOffset/24) ))</f>
        <v>37440.238888888889</v>
      </c>
      <c r="AF2682" s="260">
        <f>IF(DecLat&gt;0,IF((90 - (DecLat-O2682))&gt;90, (90 - (O2682-DecLat)), (90 - (DecLat-O2682))),IF((90 + (DecLat-O2682))&gt;90, (90 + (O2682-DecLat)), (90 + (DecLat-O2682))))</f>
        <v>44.3</v>
      </c>
      <c r="AG2682" s="257">
        <f>angularseperation(MoonRA,MoonDec,$M2682,$O2682)</f>
        <v>28.141510932356475</v>
      </c>
      <c r="AH2682" s="261">
        <f ca="1">MIN(100,IF($O$5&gt;80,0+30*($AG2682/100),IF($O$5&gt;70,0+50*($AG2682/100),IF($O$5&gt;60,5+50*($AG2682/100),IF($O$5&gt;50,10+60*($AG2682/100),IF($O$5&gt;40,15+70*($AG2682/100),IF($O$5&gt;30,20+70*($AG2682/100),IF($O$5&gt;20,40+55*($AG2682/100),(80+(20-$O$5)+30*($AG2682/100))))))))))</f>
        <v>91.713513623857366</v>
      </c>
      <c r="AI2682" s="263"/>
      <c r="AJ2682" s="263"/>
      <c r="AK2682" s="263"/>
      <c r="AL2682" s="263"/>
      <c r="AM2682" s="264"/>
      <c r="AN2682" s="263"/>
      <c r="AO2682" s="263"/>
      <c r="AP2682" s="265"/>
      <c r="AQ2682" s="265"/>
      <c r="AR2682" s="285"/>
      <c r="AS2682" s="263"/>
      <c r="AT2682" s="263"/>
      <c r="AU2682" s="263"/>
      <c r="AV2682" s="264"/>
      <c r="AW2682" s="263"/>
      <c r="AX2682" s="263"/>
      <c r="AY2682" s="263"/>
      <c r="AZ2682" s="263"/>
      <c r="BA2682" s="263">
        <v>164</v>
      </c>
      <c r="BB2682" s="263">
        <v>50</v>
      </c>
      <c r="BC2682" s="263"/>
      <c r="BD2682" s="264"/>
      <c r="BE2682" s="263"/>
      <c r="BF2682" s="263"/>
      <c r="BG2682" s="263"/>
      <c r="BH2682" s="263"/>
      <c r="BI2682" s="263"/>
      <c r="BJ2682" s="404">
        <f>altaz(J2000_Bas,$O2682,$M2682,DecLat,DecLong,2)</f>
        <v>192.82600037716858</v>
      </c>
      <c r="BK2682" s="378" t="s">
        <v>2498</v>
      </c>
      <c r="BL2682" s="379">
        <f>IF((2*G2682)/60&lt;0.2,0.2,(2*G2682)/60)</f>
        <v>0.5</v>
      </c>
      <c r="BM2682" s="380">
        <f>MOD((50000+AD2682-$B$3+(0/24)),1)</f>
        <v>0.97604459133435739</v>
      </c>
      <c r="BN2682" s="381"/>
      <c r="BO2682" s="382">
        <v>2673</v>
      </c>
    </row>
    <row r="2683" spans="1:67" s="24" customFormat="1" ht="15" customHeight="1" x14ac:dyDescent="0.25">
      <c r="A2683" s="288" t="s">
        <v>2499</v>
      </c>
      <c r="B2683" s="241" t="str">
        <f>HYPERLINK(CONCATENATE($AT$3,BK2683,$AU$3),$AV$3)</f>
        <v>S</v>
      </c>
      <c r="C2683" s="242" t="str">
        <f>HYPERLINK(CONCATENATE($AT$4,BK2683,$AU$4,BL2683),$AV$4)</f>
        <v>A</v>
      </c>
      <c r="D2683" s="243" t="s">
        <v>5187</v>
      </c>
      <c r="E2683" s="244" t="s">
        <v>5183</v>
      </c>
      <c r="F2683" s="269" t="s">
        <v>5180</v>
      </c>
      <c r="G2683" s="276">
        <v>28</v>
      </c>
      <c r="H2683" s="271" t="s">
        <v>6500</v>
      </c>
      <c r="I2683" s="244" t="s">
        <v>6500</v>
      </c>
      <c r="J2683" s="246">
        <v>1</v>
      </c>
      <c r="K2683" s="277" t="s">
        <v>6280</v>
      </c>
      <c r="L2683" s="248">
        <v>184000</v>
      </c>
      <c r="M2683" s="249">
        <f>15*(LEFT(TEXT($L2683,"000000"),2)+(MID(TEXT($L2683,"000000"),3,2)/60)+(RIGHT(TEXT($L2683,"000000"),2)/3600))</f>
        <v>280</v>
      </c>
      <c r="N2683" s="286">
        <v>-164000</v>
      </c>
      <c r="O2683" s="251">
        <f>IF($N2683&gt;0,(LEFT(TEXT($N2683,"000000"),2)+(MID(TEXT($N2683,"000000"),3,2)/60)+(RIGHT(TEXT($N2683,"000000"),2)/3600)),-(MID(TEXT($N2683,"000000"),2,2)+(MID(TEXT($N2683,"000000"),4,2)/60)+(RIGHT(TEXT($N2683,"000000"),2)/3600)))</f>
        <v>-16.666666666666668</v>
      </c>
      <c r="P2683" s="252" t="s">
        <v>121</v>
      </c>
      <c r="Q2683" s="253"/>
      <c r="R2683" s="277" t="s">
        <v>3293</v>
      </c>
      <c r="S2683" s="272" t="s">
        <v>3293</v>
      </c>
      <c r="T2683" s="273"/>
      <c r="U2683" s="274"/>
      <c r="V2683" s="280"/>
      <c r="W2683" s="244"/>
      <c r="X2683" s="244"/>
      <c r="Y2683" s="362"/>
      <c r="Z2683" s="257">
        <f>altaz(J2000_Bas,$O2683,$M2683,DecLat,DecLong,1)</f>
        <v>41.985335236499367</v>
      </c>
      <c r="AA2683" s="257">
        <f>altaz((J2000_Bas+(2*0.04167)),$O2683,$M2683,DecLat,DecLong,1)</f>
        <v>31.056327738132929</v>
      </c>
      <c r="AB2683" s="257">
        <f>altaz((J2000_Bas+(4*0.04167)),$O2683,$M2683,DecLat,DecLong,1)</f>
        <v>10.604610373833495</v>
      </c>
      <c r="AC2683" s="257">
        <f>altaz((J2000_Bas+(6*0.04167)),$O2683,$M2683,DecLat,DecLong,1)</f>
        <v>-13.721374719358332</v>
      </c>
      <c r="AD2683" s="258">
        <f>1+ transit((J2000_Bas-1),$O2683,$M2683,DecLat,DecLong)/360 + (GMTOffset/24) + (IF(DST="Y", 1, 0)/24)</f>
        <v>1.7706776606297081</v>
      </c>
      <c r="AE2683" s="259">
        <f>DATE(2001,9,21)+(M2683/360)*365 - (360*((DecLong/360)- (GMTOffset/24) ))</f>
        <v>37443.888888888891</v>
      </c>
      <c r="AF2683" s="260">
        <f>IF(DecLat&gt;0,IF((90 - (DecLat-O2683))&gt;90, (90 - (O2683-DecLat)), (90 - (DecLat-O2683))),IF((90 + (DecLat-O2683))&gt;90, (90 + (O2683-DecLat)), (90 + (DecLat-O2683))))</f>
        <v>42.333333333333329</v>
      </c>
      <c r="AG2683" s="257">
        <f>angularseperation(MoonRA,MoonDec,$M2683,$O2683)</f>
        <v>30.283856601206249</v>
      </c>
      <c r="AH2683" s="261">
        <f ca="1">MIN(100,IF($O$5&gt;80,0+30*($AG2683/100),IF($O$5&gt;70,0+50*($AG2683/100),IF($O$5&gt;60,5+50*($AG2683/100),IF($O$5&gt;50,10+60*($AG2683/100),IF($O$5&gt;40,15+70*($AG2683/100),IF($O$5&gt;30,20+70*($AG2683/100),IF($O$5&gt;20,40+55*($AG2683/100),(80+(20-$O$5)+30*($AG2683/100))))))))))</f>
        <v>92.356217324512301</v>
      </c>
      <c r="AI2683" s="263"/>
      <c r="AJ2683" s="263"/>
      <c r="AK2683" s="263"/>
      <c r="AL2683" s="263"/>
      <c r="AM2683" s="264"/>
      <c r="AN2683" s="263"/>
      <c r="AO2683" s="263"/>
      <c r="AP2683" s="265"/>
      <c r="AQ2683" s="265"/>
      <c r="AR2683" s="285"/>
      <c r="AS2683" s="263"/>
      <c r="AT2683" s="263"/>
      <c r="AU2683" s="263"/>
      <c r="AV2683" s="264"/>
      <c r="AW2683" s="263"/>
      <c r="AX2683" s="263"/>
      <c r="AY2683" s="263">
        <v>65</v>
      </c>
      <c r="AZ2683" s="263"/>
      <c r="BA2683" s="263"/>
      <c r="BB2683" s="263">
        <v>51</v>
      </c>
      <c r="BC2683" s="263"/>
      <c r="BD2683" s="264"/>
      <c r="BE2683" s="263"/>
      <c r="BF2683" s="263"/>
      <c r="BG2683" s="263"/>
      <c r="BH2683" s="263"/>
      <c r="BI2683" s="263"/>
      <c r="BJ2683" s="404">
        <f>altaz(J2000_Bas,$O2683,$M2683,DecLat,DecLong,2)</f>
        <v>187.74564298441854</v>
      </c>
      <c r="BK2683" s="378" t="s">
        <v>2499</v>
      </c>
      <c r="BL2683" s="379">
        <f>IF((2*G2683)/60&lt;0.2,0.2,(2*G2683)/60)</f>
        <v>0.93333333333333335</v>
      </c>
      <c r="BM2683" s="380">
        <f>MOD((50000+AD2683-$B$3+(0/24)),1)</f>
        <v>0.98604459033231251</v>
      </c>
      <c r="BN2683" s="381"/>
      <c r="BO2683" s="382">
        <v>2674</v>
      </c>
    </row>
    <row r="2684" spans="1:67" s="24" customFormat="1" ht="15" customHeight="1" x14ac:dyDescent="0.25">
      <c r="A2684" s="288" t="s">
        <v>3277</v>
      </c>
      <c r="B2684" s="241" t="str">
        <f>HYPERLINK(CONCATENATE($AT$3,BK2684,$AU$3),$AV$3)</f>
        <v>S</v>
      </c>
      <c r="C2684" s="242" t="str">
        <f>HYPERLINK(CONCATENATE($AT$4,BK2684,$AU$4,BL2684),$AV$4)</f>
        <v>A</v>
      </c>
      <c r="D2684" s="243" t="s">
        <v>5187</v>
      </c>
      <c r="E2684" s="244" t="s">
        <v>5183</v>
      </c>
      <c r="F2684" s="269" t="s">
        <v>5180</v>
      </c>
      <c r="G2684" s="276">
        <v>15</v>
      </c>
      <c r="H2684" s="283">
        <v>15000</v>
      </c>
      <c r="I2684" s="246">
        <v>70</v>
      </c>
      <c r="J2684" s="246">
        <v>2</v>
      </c>
      <c r="K2684" s="247" t="s">
        <v>5127</v>
      </c>
      <c r="L2684" s="248">
        <v>182519</v>
      </c>
      <c r="M2684" s="249">
        <f>15*(LEFT(TEXT($L2684,"000000"),2)+(MID(TEXT($L2684,"000000"),3,2)/60)+(RIGHT(TEXT($L2684,"000000"),2)/3600))</f>
        <v>276.32916666666671</v>
      </c>
      <c r="N2684" s="250">
        <v>-131127</v>
      </c>
      <c r="O2684" s="251">
        <f>IF($N2684&gt;0,(LEFT(TEXT($N2684,"000000"),2)+(MID(TEXT($N2684,"000000"),3,2)/60)+(RIGHT(TEXT($N2684,"000000"),2)/3600)),-(MID(TEXT($N2684,"000000"),2,2)+(MID(TEXT($N2684,"000000"),4,2)/60)+(RIGHT(TEXT($N2684,"000000"),2)/3600)))</f>
        <v>-13.190833333333334</v>
      </c>
      <c r="P2684" s="252" t="s">
        <v>121</v>
      </c>
      <c r="Q2684" s="253"/>
      <c r="R2684" s="277" t="s">
        <v>6084</v>
      </c>
      <c r="S2684" s="272" t="s">
        <v>3293</v>
      </c>
      <c r="T2684" s="273"/>
      <c r="U2684" s="274"/>
      <c r="V2684" s="280"/>
      <c r="W2684" s="244"/>
      <c r="X2684" s="244"/>
      <c r="Y2684" s="362"/>
      <c r="Z2684" s="257">
        <f>altaz(J2000_Bas,$O2684,$M2684,DecLat,DecLong,1)</f>
        <v>44.842147849197296</v>
      </c>
      <c r="AA2684" s="257">
        <f>altaz((J2000_Bas+(2*0.04167)),$O2684,$M2684,DecLat,DecLong,1)</f>
        <v>31.603250852874304</v>
      </c>
      <c r="AB2684" s="257">
        <f>altaz((J2000_Bas+(4*0.04167)),$O2684,$M2684,DecLat,DecLong,1)</f>
        <v>9.7912025640856406</v>
      </c>
      <c r="AC2684" s="257">
        <f>altaz((J2000_Bas+(6*0.04167)),$O2684,$M2684,DecLat,DecLong,1)</f>
        <v>-15.153240933404614</v>
      </c>
      <c r="AD2684" s="258">
        <f>1+ transit((J2000_Bas-1),$O2684,$M2684,DecLat,DecLong)/360 + (GMTOffset/24) + (IF(DST="Y", 1, 0)/24)</f>
        <v>1.7604809023901249</v>
      </c>
      <c r="AE2684" s="259">
        <f>DATE(2001,9,21)+(M2684/360)*365 - (360*((DecLong/360)- (GMTOffset/24) ))</f>
        <v>37440.167071759257</v>
      </c>
      <c r="AF2684" s="260">
        <f>IF(DecLat&gt;0,IF((90 - (DecLat-O2684))&gt;90, (90 - (O2684-DecLat)), (90 - (DecLat-O2684))),IF((90 + (DecLat-O2684))&gt;90, (90 + (O2684-DecLat)), (90 + (DecLat-O2684))))</f>
        <v>45.80916666666667</v>
      </c>
      <c r="AG2684" s="257">
        <f>angularseperation(MoonRA,MoonDec,$M2684,$O2684)</f>
        <v>28.876372542760681</v>
      </c>
      <c r="AH2684" s="261">
        <f ca="1">MIN(100,IF($O$5&gt;80,0+30*($AG2684/100),IF($O$5&gt;70,0+50*($AG2684/100),IF($O$5&gt;60,5+50*($AG2684/100),IF($O$5&gt;50,10+60*($AG2684/100),IF($O$5&gt;40,15+70*($AG2684/100),IF($O$5&gt;30,20+70*($AG2684/100),IF($O$5&gt;20,40+55*($AG2684/100),(80+(20-$O$5)+30*($AG2684/100))))))))))</f>
        <v>91.933972106978629</v>
      </c>
      <c r="AI2684" s="263"/>
      <c r="AJ2684" s="263"/>
      <c r="AK2684" s="263"/>
      <c r="AL2684" s="263"/>
      <c r="AM2684" s="264"/>
      <c r="AN2684" s="263"/>
      <c r="AO2684" s="263"/>
      <c r="AP2684" s="265"/>
      <c r="AQ2684" s="265"/>
      <c r="AR2684" s="285"/>
      <c r="AS2684" s="263"/>
      <c r="AT2684" s="263"/>
      <c r="AU2684" s="263"/>
      <c r="AV2684" s="264"/>
      <c r="AW2684" s="263"/>
      <c r="AX2684" s="263"/>
      <c r="AY2684" s="263"/>
      <c r="AZ2684" s="263"/>
      <c r="BA2684" s="263">
        <v>166</v>
      </c>
      <c r="BB2684" s="263">
        <v>53</v>
      </c>
      <c r="BC2684" s="263"/>
      <c r="BD2684" s="264"/>
      <c r="BE2684" s="263"/>
      <c r="BF2684" s="263"/>
      <c r="BG2684" s="263"/>
      <c r="BH2684" s="263"/>
      <c r="BI2684" s="263"/>
      <c r="BJ2684" s="404">
        <f>altaz(J2000_Bas,$O2684,$M2684,DecLat,DecLong,2)</f>
        <v>193.34002796899932</v>
      </c>
      <c r="BK2684" s="378" t="s">
        <v>3277</v>
      </c>
      <c r="BL2684" s="379">
        <f>IF((2*G2684)/60&lt;0.2,0.2,(2*G2684)/60)</f>
        <v>0.5</v>
      </c>
      <c r="BM2684" s="380">
        <f>MOD((50000+AD2684-$B$3+(0/24)),1)</f>
        <v>0.97584783209458692</v>
      </c>
      <c r="BN2684" s="381"/>
      <c r="BO2684" s="382">
        <v>2675</v>
      </c>
    </row>
    <row r="2685" spans="1:67" s="24" customFormat="1" ht="15" customHeight="1" x14ac:dyDescent="0.25">
      <c r="A2685" s="288" t="s">
        <v>2500</v>
      </c>
      <c r="B2685" s="241" t="str">
        <f>HYPERLINK(CONCATENATE($AT$3,BK2685,$AU$3),$AV$3)</f>
        <v>S</v>
      </c>
      <c r="C2685" s="242" t="str">
        <f>HYPERLINK(CONCATENATE($AT$4,BK2685,$AU$4,BL2685),$AV$4)</f>
        <v>A</v>
      </c>
      <c r="D2685" s="243" t="s">
        <v>5187</v>
      </c>
      <c r="E2685" s="244" t="s">
        <v>5183</v>
      </c>
      <c r="F2685" s="269" t="s">
        <v>5180</v>
      </c>
      <c r="G2685" s="276">
        <v>80</v>
      </c>
      <c r="H2685" s="283">
        <v>6000</v>
      </c>
      <c r="I2685" s="246">
        <v>130</v>
      </c>
      <c r="J2685" s="246">
        <v>3</v>
      </c>
      <c r="K2685" s="247" t="s">
        <v>5130</v>
      </c>
      <c r="L2685" s="248">
        <v>181752</v>
      </c>
      <c r="M2685" s="249">
        <f>15*(LEFT(TEXT($L2685,"000000"),2)+(MID(TEXT($L2685,"000000"),3,2)/60)+(RIGHT(TEXT($L2685,"000000"),2)/3600))</f>
        <v>274.4666666666667</v>
      </c>
      <c r="N2685" s="250">
        <v>-114058</v>
      </c>
      <c r="O2685" s="251">
        <f>IF($N2685&gt;0,(LEFT(TEXT($N2685,"000000"),2)+(MID(TEXT($N2685,"000000"),3,2)/60)+(RIGHT(TEXT($N2685,"000000"),2)/3600)),-(MID(TEXT($N2685,"000000"),2,2)+(MID(TEXT($N2685,"000000"),4,2)/60)+(RIGHT(TEXT($N2685,"000000"),2)/3600)))</f>
        <v>-11.682777777777778</v>
      </c>
      <c r="P2685" s="252" t="s">
        <v>115</v>
      </c>
      <c r="Q2685" s="253" t="s">
        <v>7036</v>
      </c>
      <c r="R2685" s="247" t="s">
        <v>5128</v>
      </c>
      <c r="S2685" s="272" t="s">
        <v>3293</v>
      </c>
      <c r="T2685" s="273"/>
      <c r="U2685" s="274"/>
      <c r="V2685" s="280"/>
      <c r="W2685" s="244"/>
      <c r="X2685" s="244"/>
      <c r="Y2685" s="362"/>
      <c r="Z2685" s="257">
        <f>altaz(J2000_Bas,$O2685,$M2685,DecLat,DecLong,1)</f>
        <v>45.902923602311581</v>
      </c>
      <c r="AA2685" s="257">
        <f>altaz((J2000_Bas+(2*0.04167)),$O2685,$M2685,DecLat,DecLong,1)</f>
        <v>31.548365576606933</v>
      </c>
      <c r="AB2685" s="257">
        <f>altaz((J2000_Bas+(4*0.04167)),$O2685,$M2685,DecLat,DecLong,1)</f>
        <v>9.1608479515694299</v>
      </c>
      <c r="AC2685" s="257">
        <f>altaz((J2000_Bas+(6*0.04167)),$O2685,$M2685,DecLat,DecLong,1)</f>
        <v>-16.009595684333249</v>
      </c>
      <c r="AD2685" s="258">
        <f>1+ transit((J2000_Bas-1),$O2685,$M2685,DecLat,DecLong)/360 + (GMTOffset/24) + (IF(DST="Y", 1, 0)/24)</f>
        <v>1.7553072917963748</v>
      </c>
      <c r="AE2685" s="259">
        <f>DATE(2001,9,21)+(M2685/360)*365 - (360*((DecLong/360)- (GMTOffset/24) ))</f>
        <v>37438.278703703705</v>
      </c>
      <c r="AF2685" s="260">
        <f>IF(DecLat&gt;0,IF((90 - (DecLat-O2685))&gt;90, (90 - (O2685-DecLat)), (90 - (DecLat-O2685))),IF((90 + (DecLat-O2685))&gt;90, (90 + (O2685-DecLat)), (90 + (DecLat-O2685))))</f>
        <v>47.31722222222222</v>
      </c>
      <c r="AG2685" s="257">
        <f>angularseperation(MoonRA,MoonDec,$M2685,$O2685)</f>
        <v>28.243061264850088</v>
      </c>
      <c r="AH2685" s="261">
        <f ca="1">MIN(100,IF($O$5&gt;80,0+30*($AG2685/100),IF($O$5&gt;70,0+50*($AG2685/100),IF($O$5&gt;60,5+50*($AG2685/100),IF($O$5&gt;50,10+60*($AG2685/100),IF($O$5&gt;40,15+70*($AG2685/100),IF($O$5&gt;30,20+70*($AG2685/100),IF($O$5&gt;20,40+55*($AG2685/100),(80+(20-$O$5)+30*($AG2685/100))))))))))</f>
        <v>91.743978723605451</v>
      </c>
      <c r="AI2685" s="262"/>
      <c r="AJ2685" s="262"/>
      <c r="AK2685" s="262"/>
      <c r="AL2685" s="263"/>
      <c r="AM2685" s="264"/>
      <c r="AN2685" s="263"/>
      <c r="AO2685" s="263"/>
      <c r="AP2685" s="265"/>
      <c r="AQ2685" s="266"/>
      <c r="AR2685" s="267"/>
      <c r="AS2685" s="263"/>
      <c r="AT2685" s="263"/>
      <c r="AU2685" s="263"/>
      <c r="AV2685" s="264"/>
      <c r="AW2685" s="263"/>
      <c r="AX2685" s="263"/>
      <c r="AY2685" s="263"/>
      <c r="AZ2685" s="263"/>
      <c r="BA2685" s="263"/>
      <c r="BB2685" s="263">
        <v>54</v>
      </c>
      <c r="BC2685" s="263"/>
      <c r="BD2685" s="264"/>
      <c r="BE2685" s="263"/>
      <c r="BF2685" s="263"/>
      <c r="BG2685" s="263">
        <v>79</v>
      </c>
      <c r="BH2685" s="263"/>
      <c r="BI2685" s="263"/>
      <c r="BJ2685" s="404">
        <f>altaz(J2000_Bas,$O2685,$M2685,DecLat,DecLong,2)</f>
        <v>196.34553523837226</v>
      </c>
      <c r="BK2685" s="378" t="s">
        <v>2500</v>
      </c>
      <c r="BL2685" s="379">
        <f>IF((2*G2685)/60&lt;0.2,0.2,(2*G2685)/60)</f>
        <v>2.6666666666666665</v>
      </c>
      <c r="BM2685" s="380">
        <f>MOD((50000+AD2685-$B$3+(0/24)),1)</f>
        <v>0.97067422149848426</v>
      </c>
      <c r="BN2685" s="381"/>
      <c r="BO2685" s="382">
        <v>2676</v>
      </c>
    </row>
    <row r="2686" spans="1:67" s="24" customFormat="1" ht="15" customHeight="1" x14ac:dyDescent="0.25">
      <c r="A2686" s="288" t="s">
        <v>2501</v>
      </c>
      <c r="B2686" s="241" t="str">
        <f>HYPERLINK(CONCATENATE($AT$3,BK2686,$AU$3),$AV$3)</f>
        <v>S</v>
      </c>
      <c r="C2686" s="242" t="str">
        <f>HYPERLINK(CONCATENATE($AT$4,BK2686,$AU$4,BL2686),$AV$4)</f>
        <v>A</v>
      </c>
      <c r="D2686" s="243" t="s">
        <v>5187</v>
      </c>
      <c r="E2686" s="244" t="s">
        <v>5183</v>
      </c>
      <c r="F2686" s="269" t="s">
        <v>5180</v>
      </c>
      <c r="G2686" s="273">
        <v>4</v>
      </c>
      <c r="H2686" s="283">
        <v>11000</v>
      </c>
      <c r="I2686" s="246">
        <v>14</v>
      </c>
      <c r="J2686" s="246">
        <v>1</v>
      </c>
      <c r="K2686" s="247" t="s">
        <v>6275</v>
      </c>
      <c r="L2686" s="248">
        <v>183200</v>
      </c>
      <c r="M2686" s="249">
        <f>15*(LEFT(TEXT($L2686,"000000"),2)+(MID(TEXT($L2686,"000000"),3,2)/60)+(RIGHT(TEXT($L2686,"000000"),2)/3600))</f>
        <v>278</v>
      </c>
      <c r="N2686" s="286">
        <v>-114500</v>
      </c>
      <c r="O2686" s="251">
        <f>IF($N2686&gt;0,(LEFT(TEXT($N2686,"000000"),2)+(MID(TEXT($N2686,"000000"),3,2)/60)+(RIGHT(TEXT($N2686,"000000"),2)/3600)),-(MID(TEXT($N2686,"000000"),2,2)+(MID(TEXT($N2686,"000000"),4,2)/60)+(RIGHT(TEXT($N2686,"000000"),2)/3600)))</f>
        <v>-11.75</v>
      </c>
      <c r="P2686" s="252" t="s">
        <v>121</v>
      </c>
      <c r="Q2686" s="253"/>
      <c r="R2686" s="277" t="s">
        <v>3293</v>
      </c>
      <c r="S2686" s="272" t="s">
        <v>3293</v>
      </c>
      <c r="T2686" s="273"/>
      <c r="U2686" s="274"/>
      <c r="V2686" s="280"/>
      <c r="W2686" s="244"/>
      <c r="X2686" s="244"/>
      <c r="Y2686" s="362"/>
      <c r="Z2686" s="257">
        <f>altaz(J2000_Bas,$O2686,$M2686,DecLat,DecLong,1)</f>
        <v>46.564603594766645</v>
      </c>
      <c r="AA2686" s="257">
        <f>altaz((J2000_Bas+(2*0.04167)),$O2686,$M2686,DecLat,DecLong,1)</f>
        <v>33.754330897061017</v>
      </c>
      <c r="AB2686" s="257">
        <f>altaz((J2000_Bas+(4*0.04167)),$O2686,$M2686,DecLat,DecLong,1)</f>
        <v>11.955703282993882</v>
      </c>
      <c r="AC2686" s="257">
        <f>altaz((J2000_Bas+(6*0.04167)),$O2686,$M2686,DecLat,DecLong,1)</f>
        <v>-13.026036658496288</v>
      </c>
      <c r="AD2686" s="258">
        <f>1+ transit((J2000_Bas-1),$O2686,$M2686,DecLat,DecLong)/360 + (GMTOffset/24) + (IF(DST="Y", 1, 0)/24)</f>
        <v>1.7651221056297082</v>
      </c>
      <c r="AE2686" s="259">
        <f>DATE(2001,9,21)+(M2686/360)*365 - (360*((DecLong/360)- (GMTOffset/24) ))</f>
        <v>37441.861111111109</v>
      </c>
      <c r="AF2686" s="260">
        <f>IF(DecLat&gt;0,IF((90 - (DecLat-O2686))&gt;90, (90 - (O2686-DecLat)), (90 - (DecLat-O2686))),IF((90 + (DecLat-O2686))&gt;90, (90 + (O2686-DecLat)), (90 + (DecLat-O2686))))</f>
        <v>47.25</v>
      </c>
      <c r="AG2686" s="257">
        <f>angularseperation(MoonRA,MoonDec,$M2686,$O2686)</f>
        <v>31.031290389045807</v>
      </c>
      <c r="AH2686" s="261">
        <f ca="1">MIN(100,IF($O$5&gt;80,0+30*($AG2686/100),IF($O$5&gt;70,0+50*($AG2686/100),IF($O$5&gt;60,5+50*($AG2686/100),IF($O$5&gt;50,10+60*($AG2686/100),IF($O$5&gt;40,15+70*($AG2686/100),IF($O$5&gt;30,20+70*($AG2686/100),IF($O$5&gt;20,40+55*($AG2686/100),(80+(20-$O$5)+30*($AG2686/100))))))))))</f>
        <v>92.580447460864164</v>
      </c>
      <c r="AI2686" s="263"/>
      <c r="AJ2686" s="263"/>
      <c r="AK2686" s="263"/>
      <c r="AL2686" s="263"/>
      <c r="AM2686" s="264"/>
      <c r="AN2686" s="263"/>
      <c r="AO2686" s="263"/>
      <c r="AP2686" s="265"/>
      <c r="AQ2686" s="265"/>
      <c r="AR2686" s="285"/>
      <c r="AS2686" s="263"/>
      <c r="AT2686" s="263"/>
      <c r="AU2686" s="263"/>
      <c r="AV2686" s="264"/>
      <c r="AW2686" s="263"/>
      <c r="AX2686" s="263"/>
      <c r="AY2686" s="263">
        <v>73</v>
      </c>
      <c r="AZ2686" s="263"/>
      <c r="BA2686" s="263"/>
      <c r="BB2686" s="263">
        <v>55</v>
      </c>
      <c r="BC2686" s="263"/>
      <c r="BD2686" s="264"/>
      <c r="BE2686" s="263"/>
      <c r="BF2686" s="263"/>
      <c r="BG2686" s="263"/>
      <c r="BH2686" s="263"/>
      <c r="BI2686" s="263"/>
      <c r="BJ2686" s="404">
        <f>altaz(J2000_Bas,$O2686,$M2686,DecLat,DecLong,2)</f>
        <v>191.43440308807249</v>
      </c>
      <c r="BK2686" s="378" t="s">
        <v>2501</v>
      </c>
      <c r="BL2686" s="379">
        <f>IF((2*G2686)/60&lt;0.2,0.2,(2*G2686)/60)</f>
        <v>0.2</v>
      </c>
      <c r="BM2686" s="380">
        <f>MOD((50000+AD2686-$B$3+(0/24)),1)</f>
        <v>0.98048903533344856</v>
      </c>
      <c r="BN2686" s="381"/>
      <c r="BO2686" s="382">
        <v>2677</v>
      </c>
    </row>
    <row r="2687" spans="1:67" s="24" customFormat="1" ht="15" customHeight="1" x14ac:dyDescent="0.25">
      <c r="A2687" s="288" t="s">
        <v>2502</v>
      </c>
      <c r="B2687" s="241" t="str">
        <f>HYPERLINK(CONCATENATE($AT$3,BK2687,$AU$3),$AV$3)</f>
        <v>S</v>
      </c>
      <c r="C2687" s="242" t="str">
        <f>HYPERLINK(CONCATENATE($AT$4,BK2687,$AU$4,BL2687),$AV$4)</f>
        <v>A</v>
      </c>
      <c r="D2687" s="243" t="s">
        <v>5187</v>
      </c>
      <c r="E2687" s="244" t="s">
        <v>5183</v>
      </c>
      <c r="F2687" s="269" t="s">
        <v>5180</v>
      </c>
      <c r="G2687" s="273">
        <v>7</v>
      </c>
      <c r="H2687" s="283">
        <v>16000</v>
      </c>
      <c r="I2687" s="246">
        <v>35</v>
      </c>
      <c r="J2687" s="246">
        <v>1</v>
      </c>
      <c r="K2687" s="247" t="s">
        <v>6281</v>
      </c>
      <c r="L2687" s="248">
        <v>183100</v>
      </c>
      <c r="M2687" s="249">
        <f>15*(LEFT(TEXT($L2687,"000000"),2)+(MID(TEXT($L2687,"000000"),3,2)/60)+(RIGHT(TEXT($L2687,"000000"),2)/3600))</f>
        <v>277.75</v>
      </c>
      <c r="N2687" s="286">
        <v>-94200</v>
      </c>
      <c r="O2687" s="251">
        <f>IF($N2687&gt;0,(LEFT(TEXT($N2687,"000000"),2)+(MID(TEXT($N2687,"000000"),3,2)/60)+(RIGHT(TEXT($N2687,"000000"),2)/3600)),-(MID(TEXT($N2687,"000000"),2,2)+(MID(TEXT($N2687,"000000"),4,2)/60)+(RIGHT(TEXT($N2687,"000000"),2)/3600)))</f>
        <v>-9.6999999999999993</v>
      </c>
      <c r="P2687" s="252" t="s">
        <v>121</v>
      </c>
      <c r="Q2687" s="253"/>
      <c r="R2687" s="277" t="s">
        <v>6085</v>
      </c>
      <c r="S2687" s="272" t="s">
        <v>3293</v>
      </c>
      <c r="T2687" s="273"/>
      <c r="U2687" s="274"/>
      <c r="V2687" s="280"/>
      <c r="W2687" s="244"/>
      <c r="X2687" s="244"/>
      <c r="Y2687" s="362"/>
      <c r="Z2687" s="257">
        <f>altaz(J2000_Bas,$O2687,$M2687,DecLat,DecLong,1)</f>
        <v>48.537141490449415</v>
      </c>
      <c r="AA2687" s="257">
        <f>altaz((J2000_Bas+(2*0.04167)),$O2687,$M2687,DecLat,DecLong,1)</f>
        <v>35.16613768653685</v>
      </c>
      <c r="AB2687" s="257">
        <f>altaz((J2000_Bas+(4*0.04167)),$O2687,$M2687,DecLat,DecLong,1)</f>
        <v>12.941550248502034</v>
      </c>
      <c r="AC2687" s="257">
        <f>altaz((J2000_Bas+(6*0.04167)),$O2687,$M2687,DecLat,DecLong,1)</f>
        <v>-12.225265500904262</v>
      </c>
      <c r="AD2687" s="258">
        <f>1+ transit((J2000_Bas-1),$O2687,$M2687,DecLat,DecLong)/360 + (GMTOffset/24) + (IF(DST="Y", 1, 0)/24)</f>
        <v>1.7644276612547081</v>
      </c>
      <c r="AE2687" s="259">
        <f>DATE(2001,9,21)+(M2687/360)*365 - (360*((DecLong/360)- (GMTOffset/24) ))</f>
        <v>37441.607638888891</v>
      </c>
      <c r="AF2687" s="260">
        <f>IF(DecLat&gt;0,IF((90 - (DecLat-O2687))&gt;90, (90 - (O2687-DecLat)), (90 - (DecLat-O2687))),IF((90 + (DecLat-O2687))&gt;90, (90 + (O2687-DecLat)), (90 + (DecLat-O2687))))</f>
        <v>49.3</v>
      </c>
      <c r="AG2687" s="257">
        <f>angularseperation(MoonRA,MoonDec,$M2687,$O2687)</f>
        <v>32.014622978244084</v>
      </c>
      <c r="AH2687" s="261">
        <f ca="1">MIN(100,IF($O$5&gt;80,0+30*($AG2687/100),IF($O$5&gt;70,0+50*($AG2687/100),IF($O$5&gt;60,5+50*($AG2687/100),IF($O$5&gt;50,10+60*($AG2687/100),IF($O$5&gt;40,15+70*($AG2687/100),IF($O$5&gt;30,20+70*($AG2687/100),IF($O$5&gt;20,40+55*($AG2687/100),(80+(20-$O$5)+30*($AG2687/100))))))))))</f>
        <v>92.875447237623661</v>
      </c>
      <c r="AI2687" s="263"/>
      <c r="AJ2687" s="263"/>
      <c r="AK2687" s="263"/>
      <c r="AL2687" s="263"/>
      <c r="AM2687" s="264"/>
      <c r="AN2687" s="263"/>
      <c r="AO2687" s="263"/>
      <c r="AP2687" s="265"/>
      <c r="AQ2687" s="265"/>
      <c r="AR2687" s="285"/>
      <c r="AS2687" s="263"/>
      <c r="AT2687" s="263"/>
      <c r="AU2687" s="263"/>
      <c r="AV2687" s="264"/>
      <c r="AW2687" s="263"/>
      <c r="AX2687" s="263"/>
      <c r="AY2687" s="263">
        <v>77</v>
      </c>
      <c r="AZ2687" s="263"/>
      <c r="BA2687" s="263">
        <v>169</v>
      </c>
      <c r="BB2687" s="263">
        <v>56</v>
      </c>
      <c r="BC2687" s="263"/>
      <c r="BD2687" s="264"/>
      <c r="BE2687" s="263"/>
      <c r="BF2687" s="263"/>
      <c r="BG2687" s="263"/>
      <c r="BH2687" s="263"/>
      <c r="BI2687" s="263"/>
      <c r="BJ2687" s="404">
        <f>altaz(J2000_Bas,$O2687,$M2687,DecLat,DecLong,2)</f>
        <v>192.33818780400071</v>
      </c>
      <c r="BK2687" s="378" t="s">
        <v>2502</v>
      </c>
      <c r="BL2687" s="379">
        <f>IF((2*G2687)/60&lt;0.2,0.2,(2*G2687)/60)</f>
        <v>0.23333333333333334</v>
      </c>
      <c r="BM2687" s="380">
        <f>MOD((50000+AD2687-$B$3+(0/24)),1)</f>
        <v>0.97979459095950006</v>
      </c>
      <c r="BN2687" s="381"/>
      <c r="BO2687" s="382">
        <v>2678</v>
      </c>
    </row>
    <row r="2688" spans="1:67" s="24" customFormat="1" ht="15" customHeight="1" x14ac:dyDescent="0.25">
      <c r="A2688" s="288" t="s">
        <v>2503</v>
      </c>
      <c r="B2688" s="241" t="str">
        <f>HYPERLINK(CONCATENATE($AT$3,BK2688,$AU$3),$AV$3)</f>
        <v>S</v>
      </c>
      <c r="C2688" s="242" t="str">
        <f>HYPERLINK(CONCATENATE($AT$4,BK2688,$AU$4,BL2688),$AV$4)</f>
        <v>A</v>
      </c>
      <c r="D2688" s="243" t="s">
        <v>5187</v>
      </c>
      <c r="E2688" s="244" t="s">
        <v>5183</v>
      </c>
      <c r="F2688" s="269" t="s">
        <v>5180</v>
      </c>
      <c r="G2688" s="273">
        <v>3</v>
      </c>
      <c r="H2688" s="283">
        <v>5000</v>
      </c>
      <c r="I2688" s="279">
        <v>4.4000000000000004</v>
      </c>
      <c r="J2688" s="246">
        <v>1</v>
      </c>
      <c r="K2688" s="247" t="s">
        <v>6284</v>
      </c>
      <c r="L2688" s="248">
        <v>183000</v>
      </c>
      <c r="M2688" s="249">
        <f>15*(LEFT(TEXT($L2688,"000000"),2)+(MID(TEXT($L2688,"000000"),3,2)/60)+(RIGHT(TEXT($L2688,"000000"),2)/3600))</f>
        <v>277.5</v>
      </c>
      <c r="N2688" s="286">
        <v>-83700</v>
      </c>
      <c r="O2688" s="251">
        <f>IF($N2688&gt;0,(LEFT(TEXT($N2688,"000000"),2)+(MID(TEXT($N2688,"000000"),3,2)/60)+(RIGHT(TEXT($N2688,"000000"),2)/3600)),-(MID(TEXT($N2688,"000000"),2,2)+(MID(TEXT($N2688,"000000"),4,2)/60)+(RIGHT(TEXT($N2688,"000000"),2)/3600)))</f>
        <v>-8.6166666666666671</v>
      </c>
      <c r="P2688" s="252" t="s">
        <v>121</v>
      </c>
      <c r="Q2688" s="253"/>
      <c r="R2688" s="277" t="s">
        <v>3293</v>
      </c>
      <c r="S2688" s="272" t="s">
        <v>6283</v>
      </c>
      <c r="T2688" s="273"/>
      <c r="U2688" s="274"/>
      <c r="V2688" s="280"/>
      <c r="W2688" s="244"/>
      <c r="X2688" s="244"/>
      <c r="Y2688" s="362"/>
      <c r="Z2688" s="257">
        <f>altaz(J2000_Bas,$O2688,$M2688,DecLat,DecLong,1)</f>
        <v>49.553589951735646</v>
      </c>
      <c r="AA2688" s="257">
        <f>altaz((J2000_Bas+(2*0.04167)),$O2688,$M2688,DecLat,DecLong,1)</f>
        <v>35.82322846080627</v>
      </c>
      <c r="AB2688" s="257">
        <f>altaz((J2000_Bas+(4*0.04167)),$O2688,$M2688,DecLat,DecLong,1)</f>
        <v>13.36053861030754</v>
      </c>
      <c r="AC2688" s="257">
        <f>altaz((J2000_Bas+(6*0.04167)),$O2688,$M2688,DecLat,DecLong,1)</f>
        <v>-11.89855000970482</v>
      </c>
      <c r="AD2688" s="258">
        <f>1+ transit((J2000_Bas-1),$O2688,$M2688,DecLat,DecLong)/360 + (GMTOffset/24) + (IF(DST="Y", 1, 0)/24)</f>
        <v>1.763733216879708</v>
      </c>
      <c r="AE2688" s="259">
        <f>DATE(2001,9,21)+(M2688/360)*365 - (360*((DecLong/360)- (GMTOffset/24) ))</f>
        <v>37441.354166666664</v>
      </c>
      <c r="AF2688" s="260">
        <f>IF(DecLat&gt;0,IF((90 - (DecLat-O2688))&gt;90, (90 - (O2688-DecLat)), (90 - (DecLat-O2688))),IF((90 + (DecLat-O2688))&gt;90, (90 + (O2688-DecLat)), (90 + (DecLat-O2688))))</f>
        <v>50.383333333333333</v>
      </c>
      <c r="AG2688" s="257">
        <f>angularseperation(MoonRA,MoonDec,$M2688,$O2688)</f>
        <v>32.478351333916088</v>
      </c>
      <c r="AH2688" s="261">
        <f ca="1">MIN(100,IF($O$5&gt;80,0+30*($AG2688/100),IF($O$5&gt;70,0+50*($AG2688/100),IF($O$5&gt;60,5+50*($AG2688/100),IF($O$5&gt;50,10+60*($AG2688/100),IF($O$5&gt;40,15+70*($AG2688/100),IF($O$5&gt;30,20+70*($AG2688/100),IF($O$5&gt;20,40+55*($AG2688/100),(80+(20-$O$5)+30*($AG2688/100))))))))))</f>
        <v>93.014565744325253</v>
      </c>
      <c r="AI2688" s="263"/>
      <c r="AJ2688" s="263"/>
      <c r="AK2688" s="263"/>
      <c r="AL2688" s="263"/>
      <c r="AM2688" s="264"/>
      <c r="AN2688" s="263"/>
      <c r="AO2688" s="263"/>
      <c r="AP2688" s="265"/>
      <c r="AQ2688" s="265"/>
      <c r="AR2688" s="285"/>
      <c r="AS2688" s="263"/>
      <c r="AT2688" s="263"/>
      <c r="AU2688" s="263"/>
      <c r="AV2688" s="264"/>
      <c r="AW2688" s="263"/>
      <c r="AX2688" s="263"/>
      <c r="AY2688" s="263">
        <v>78</v>
      </c>
      <c r="AZ2688" s="263"/>
      <c r="BA2688" s="263"/>
      <c r="BB2688" s="263">
        <v>57</v>
      </c>
      <c r="BC2688" s="263"/>
      <c r="BD2688" s="264"/>
      <c r="BE2688" s="263"/>
      <c r="BF2688" s="263"/>
      <c r="BG2688" s="263"/>
      <c r="BH2688" s="263"/>
      <c r="BI2688" s="263"/>
      <c r="BJ2688" s="404">
        <f>altaz(J2000_Bas,$O2688,$M2688,DecLat,DecLong,2)</f>
        <v>193.02283631475439</v>
      </c>
      <c r="BK2688" s="378" t="s">
        <v>2503</v>
      </c>
      <c r="BL2688" s="379">
        <f>IF((2*G2688)/60&lt;0.2,0.2,(2*G2688)/60)</f>
        <v>0.2</v>
      </c>
      <c r="BM2688" s="380">
        <f>MOD((50000+AD2688-$B$3+(0/24)),1)</f>
        <v>0.97910014658555156</v>
      </c>
      <c r="BN2688" s="381"/>
      <c r="BO2688" s="382">
        <v>2679</v>
      </c>
    </row>
    <row r="2689" spans="1:67" s="24" customFormat="1" ht="15" customHeight="1" x14ac:dyDescent="0.25">
      <c r="A2689" s="288" t="s">
        <v>2504</v>
      </c>
      <c r="B2689" s="241" t="str">
        <f>HYPERLINK(CONCATENATE($AT$3,BK2689,$AU$3),$AV$3)</f>
        <v>S</v>
      </c>
      <c r="C2689" s="242" t="str">
        <f>HYPERLINK(CONCATENATE($AT$4,BK2689,$AU$4,BL2689),$AV$4)</f>
        <v>A</v>
      </c>
      <c r="D2689" s="243" t="s">
        <v>5187</v>
      </c>
      <c r="E2689" s="244" t="s">
        <v>5183</v>
      </c>
      <c r="F2689" s="269" t="s">
        <v>5180</v>
      </c>
      <c r="G2689" s="276">
        <v>10</v>
      </c>
      <c r="H2689" s="283">
        <v>8000</v>
      </c>
      <c r="I2689" s="246">
        <v>24</v>
      </c>
      <c r="J2689" s="246">
        <v>1</v>
      </c>
      <c r="K2689" s="247" t="s">
        <v>6285</v>
      </c>
      <c r="L2689" s="248">
        <v>183100</v>
      </c>
      <c r="M2689" s="249">
        <f>15*(LEFT(TEXT($L2689,"000000"),2)+(MID(TEXT($L2689,"000000"),3,2)/60)+(RIGHT(TEXT($L2689,"000000"),2)/3600))</f>
        <v>277.75</v>
      </c>
      <c r="N2689" s="286">
        <v>-82800</v>
      </c>
      <c r="O2689" s="251">
        <f>IF($N2689&gt;0,(LEFT(TEXT($N2689,"000000"),2)+(MID(TEXT($N2689,"000000"),3,2)/60)+(RIGHT(TEXT($N2689,"000000"),2)/3600)),-(MID(TEXT($N2689,"000000"),2,2)+(MID(TEXT($N2689,"000000"),4,2)/60)+(RIGHT(TEXT($N2689,"000000"),2)/3600)))</f>
        <v>-8.4666666666666668</v>
      </c>
      <c r="P2689" s="252" t="s">
        <v>121</v>
      </c>
      <c r="Q2689" s="253"/>
      <c r="R2689" s="277" t="s">
        <v>6086</v>
      </c>
      <c r="S2689" s="272" t="s">
        <v>6282</v>
      </c>
      <c r="T2689" s="273"/>
      <c r="U2689" s="274"/>
      <c r="V2689" s="280"/>
      <c r="W2689" s="244"/>
      <c r="X2689" s="244"/>
      <c r="Y2689" s="362"/>
      <c r="Z2689" s="257">
        <f>altaz(J2000_Bas,$O2689,$M2689,DecLat,DecLong,1)</f>
        <v>49.748460619509615</v>
      </c>
      <c r="AA2689" s="257">
        <f>altaz((J2000_Bas+(2*0.04167)),$O2689,$M2689,DecLat,DecLong,1)</f>
        <v>36.098936763285657</v>
      </c>
      <c r="AB2689" s="257">
        <f>altaz((J2000_Bas+(4*0.04167)),$O2689,$M2689,DecLat,DecLong,1)</f>
        <v>13.649134187849628</v>
      </c>
      <c r="AC2689" s="257">
        <f>altaz((J2000_Bas+(6*0.04167)),$O2689,$M2689,DecLat,DecLong,1)</f>
        <v>-11.609440077237981</v>
      </c>
      <c r="AD2689" s="258">
        <f>1+ transit((J2000_Bas-1),$O2689,$M2689,DecLat,DecLong)/360 + (GMTOffset/24) + (IF(DST="Y", 1, 0)/24)</f>
        <v>1.7644276612547081</v>
      </c>
      <c r="AE2689" s="259">
        <f>DATE(2001,9,21)+(M2689/360)*365 - (360*((DecLong/360)- (GMTOffset/24) ))</f>
        <v>37441.607638888891</v>
      </c>
      <c r="AF2689" s="260">
        <f>IF(DecLat&gt;0,IF((90 - (DecLat-O2689))&gt;90, (90 - (O2689-DecLat)), (90 - (DecLat-O2689))),IF((90 + (DecLat-O2689))&gt;90, (90 + (O2689-DecLat)), (90 + (DecLat-O2689))))</f>
        <v>50.533333333333331</v>
      </c>
      <c r="AG2689" s="257">
        <f>angularseperation(MoonRA,MoonDec,$M2689,$O2689)</f>
        <v>32.765354005987163</v>
      </c>
      <c r="AH2689" s="261">
        <f ca="1">MIN(100,IF($O$5&gt;80,0+30*($AG2689/100),IF($O$5&gt;70,0+50*($AG2689/100),IF($O$5&gt;60,5+50*($AG2689/100),IF($O$5&gt;50,10+60*($AG2689/100),IF($O$5&gt;40,15+70*($AG2689/100),IF($O$5&gt;30,20+70*($AG2689/100),IF($O$5&gt;20,40+55*($AG2689/100),(80+(20-$O$5)+30*($AG2689/100))))))))))</f>
        <v>93.100666545946581</v>
      </c>
      <c r="AI2689" s="263"/>
      <c r="AJ2689" s="263"/>
      <c r="AK2689" s="263"/>
      <c r="AL2689" s="263"/>
      <c r="AM2689" s="264"/>
      <c r="AN2689" s="263"/>
      <c r="AO2689" s="263"/>
      <c r="AP2689" s="265"/>
      <c r="AQ2689" s="265"/>
      <c r="AR2689" s="285"/>
      <c r="AS2689" s="263"/>
      <c r="AT2689" s="263"/>
      <c r="AU2689" s="263"/>
      <c r="AV2689" s="264"/>
      <c r="AW2689" s="263"/>
      <c r="AX2689" s="263"/>
      <c r="AY2689" s="263">
        <v>79</v>
      </c>
      <c r="AZ2689" s="263"/>
      <c r="BA2689" s="263">
        <v>171</v>
      </c>
      <c r="BB2689" s="263">
        <v>58</v>
      </c>
      <c r="BC2689" s="263"/>
      <c r="BD2689" s="264"/>
      <c r="BE2689" s="263"/>
      <c r="BF2689" s="263"/>
      <c r="BG2689" s="263"/>
      <c r="BH2689" s="263"/>
      <c r="BI2689" s="263"/>
      <c r="BJ2689" s="404">
        <f>altaz(J2000_Bas,$O2689,$M2689,DecLat,DecLong,2)</f>
        <v>192.692843044607</v>
      </c>
      <c r="BK2689" s="378" t="s">
        <v>2504</v>
      </c>
      <c r="BL2689" s="379">
        <f>IF((2*G2689)/60&lt;0.2,0.2,(2*G2689)/60)</f>
        <v>0.33333333333333331</v>
      </c>
      <c r="BM2689" s="380">
        <f>MOD((50000+AD2689-$B$3+(0/24)),1)</f>
        <v>0.97979459095950006</v>
      </c>
      <c r="BN2689" s="381"/>
      <c r="BO2689" s="382">
        <v>2680</v>
      </c>
    </row>
    <row r="2690" spans="1:67" s="24" customFormat="1" ht="15" customHeight="1" x14ac:dyDescent="0.25">
      <c r="A2690" s="288" t="s">
        <v>2505</v>
      </c>
      <c r="B2690" s="241" t="str">
        <f>HYPERLINK(CONCATENATE($AT$3,BK2690,$AU$3),$AV$3)</f>
        <v>S</v>
      </c>
      <c r="C2690" s="242" t="str">
        <f>HYPERLINK(CONCATENATE($AT$4,BK2690,$AU$4,BL2690),$AV$4)</f>
        <v>A</v>
      </c>
      <c r="D2690" s="243" t="s">
        <v>5187</v>
      </c>
      <c r="E2690" s="244" t="s">
        <v>5183</v>
      </c>
      <c r="F2690" s="269" t="s">
        <v>5180</v>
      </c>
      <c r="G2690" s="276">
        <v>28</v>
      </c>
      <c r="H2690" s="283">
        <v>18000</v>
      </c>
      <c r="I2690" s="246">
        <v>150</v>
      </c>
      <c r="J2690" s="246">
        <v>1</v>
      </c>
      <c r="K2690" s="247" t="s">
        <v>6286</v>
      </c>
      <c r="L2690" s="248">
        <v>183700</v>
      </c>
      <c r="M2690" s="249">
        <f>15*(LEFT(TEXT($L2690,"000000"),2)+(MID(TEXT($L2690,"000000"),3,2)/60)+(RIGHT(TEXT($L2690,"000000"),2)/3600))</f>
        <v>279.25</v>
      </c>
      <c r="N2690" s="250">
        <v>-73500</v>
      </c>
      <c r="O2690" s="251">
        <f>IF($N2690&gt;0,(LEFT(TEXT($N2690,"000000"),2)+(MID(TEXT($N2690,"000000"),3,2)/60)+(RIGHT(TEXT($N2690,"000000"),2)/3600)),-(MID(TEXT($N2690,"000000"),2,2)+(MID(TEXT($N2690,"000000"),4,2)/60)+(RIGHT(TEXT($N2690,"000000"),2)/3600)))</f>
        <v>-7.583333333333333</v>
      </c>
      <c r="P2690" s="252" t="s">
        <v>121</v>
      </c>
      <c r="Q2690" s="253"/>
      <c r="R2690" s="277" t="s">
        <v>6087</v>
      </c>
      <c r="S2690" s="272" t="s">
        <v>3293</v>
      </c>
      <c r="T2690" s="273"/>
      <c r="U2690" s="274"/>
      <c r="V2690" s="280"/>
      <c r="W2690" s="244"/>
      <c r="X2690" s="244"/>
      <c r="Y2690" s="362"/>
      <c r="Z2690" s="257">
        <f>altaz(J2000_Bas,$O2690,$M2690,DecLat,DecLong,1)</f>
        <v>50.878329034848242</v>
      </c>
      <c r="AA2690" s="257">
        <f>altaz((J2000_Bas+(2*0.04167)),$O2690,$M2690,DecLat,DecLong,1)</f>
        <v>37.738524490786546</v>
      </c>
      <c r="AB2690" s="257">
        <f>altaz((J2000_Bas+(4*0.04167)),$O2690,$M2690,DecLat,DecLong,1)</f>
        <v>15.372447754807016</v>
      </c>
      <c r="AC2690" s="257">
        <f>altaz((J2000_Bas+(6*0.04167)),$O2690,$M2690,DecLat,DecLong,1)</f>
        <v>-9.8814105058901909</v>
      </c>
      <c r="AD2690" s="258">
        <f>1+ transit((J2000_Bas-1),$O2690,$M2690,DecLat,DecLong)/360 + (GMTOffset/24) + (IF(DST="Y", 1, 0)/24)</f>
        <v>1.7685943275047082</v>
      </c>
      <c r="AE2690" s="259">
        <f>DATE(2001,9,21)+(M2690/360)*365 - (360*((DecLong/360)- (GMTOffset/24) ))</f>
        <v>37443.128472222219</v>
      </c>
      <c r="AF2690" s="260">
        <f>IF(DecLat&gt;0,IF((90 - (DecLat-O2690))&gt;90, (90 - (O2690-DecLat)), (90 - (DecLat-O2690))),IF((90 + (DecLat-O2690))&gt;90, (90 + (O2690-DecLat)), (90 + (DecLat-O2690))))</f>
        <v>51.416666666666664</v>
      </c>
      <c r="AG2690" s="257">
        <f>angularseperation(MoonRA,MoonDec,$M2690,$O2690)</f>
        <v>34.478853627900435</v>
      </c>
      <c r="AH2690" s="261">
        <f ca="1">MIN(100,IF($O$5&gt;80,0+30*($AG2690/100),IF($O$5&gt;70,0+50*($AG2690/100),IF($O$5&gt;60,5+50*($AG2690/100),IF($O$5&gt;50,10+60*($AG2690/100),IF($O$5&gt;40,15+70*($AG2690/100),IF($O$5&gt;30,20+70*($AG2690/100),IF($O$5&gt;20,40+55*($AG2690/100),(80+(20-$O$5)+30*($AG2690/100))))))))))</f>
        <v>93.614716432520552</v>
      </c>
      <c r="AI2690" s="263"/>
      <c r="AJ2690" s="263"/>
      <c r="AK2690" s="263"/>
      <c r="AL2690" s="263"/>
      <c r="AM2690" s="264"/>
      <c r="AN2690" s="263"/>
      <c r="AO2690" s="263"/>
      <c r="AP2690" s="265"/>
      <c r="AQ2690" s="265"/>
      <c r="AR2690" s="285"/>
      <c r="AS2690" s="263"/>
      <c r="AT2690" s="263"/>
      <c r="AU2690" s="263"/>
      <c r="AV2690" s="264"/>
      <c r="AW2690" s="263"/>
      <c r="AX2690" s="263"/>
      <c r="AY2690" s="263">
        <v>80</v>
      </c>
      <c r="AZ2690" s="263"/>
      <c r="BA2690" s="263">
        <v>172</v>
      </c>
      <c r="BB2690" s="263">
        <v>59</v>
      </c>
      <c r="BC2690" s="263"/>
      <c r="BD2690" s="264"/>
      <c r="BE2690" s="263"/>
      <c r="BF2690" s="263"/>
      <c r="BG2690" s="263"/>
      <c r="BH2690" s="263"/>
      <c r="BI2690" s="263"/>
      <c r="BJ2690" s="404">
        <f>altaz(J2000_Bas,$O2690,$M2690,DecLat,DecLong,2)</f>
        <v>190.64498362761651</v>
      </c>
      <c r="BK2690" s="378" t="s">
        <v>2505</v>
      </c>
      <c r="BL2690" s="379">
        <f>IF((2*G2690)/60&lt;0.2,0.2,(2*G2690)/60)</f>
        <v>0.93333333333333335</v>
      </c>
      <c r="BM2690" s="380">
        <f>MOD((50000+AD2690-$B$3+(0/24)),1)</f>
        <v>0.98396125721046701</v>
      </c>
      <c r="BN2690" s="381"/>
      <c r="BO2690" s="382">
        <v>2681</v>
      </c>
    </row>
    <row r="2691" spans="1:67" s="24" customFormat="1" ht="15" customHeight="1" x14ac:dyDescent="0.25">
      <c r="A2691" s="288" t="s">
        <v>2506</v>
      </c>
      <c r="B2691" s="241" t="str">
        <f>HYPERLINK(CONCATENATE($AT$3,BK2691,$AU$3),$AV$3)</f>
        <v>S</v>
      </c>
      <c r="C2691" s="242" t="str">
        <f>HYPERLINK(CONCATENATE($AT$4,BK2691,$AU$4,BL2691),$AV$4)</f>
        <v>A</v>
      </c>
      <c r="D2691" s="243" t="s">
        <v>5187</v>
      </c>
      <c r="E2691" s="244" t="s">
        <v>5183</v>
      </c>
      <c r="F2691" s="269" t="s">
        <v>5180</v>
      </c>
      <c r="G2691" s="276">
        <v>14</v>
      </c>
      <c r="H2691" s="283">
        <v>6500</v>
      </c>
      <c r="I2691" s="246">
        <v>28</v>
      </c>
      <c r="J2691" s="246">
        <v>2</v>
      </c>
      <c r="K2691" s="247" t="s">
        <v>6287</v>
      </c>
      <c r="L2691" s="248">
        <v>183642</v>
      </c>
      <c r="M2691" s="249">
        <f>15*(LEFT(TEXT($L2691,"000000"),2)+(MID(TEXT($L2691,"000000"),3,2)/60)+(RIGHT(TEXT($L2691,"000000"),2)/3600))</f>
        <v>279.17500000000001</v>
      </c>
      <c r="N2691" s="250">
        <v>-63728</v>
      </c>
      <c r="O2691" s="251">
        <f>IF($N2691&gt;0,(LEFT(TEXT($N2691,"000000"),2)+(MID(TEXT($N2691,"000000"),3,2)/60)+(RIGHT(TEXT($N2691,"000000"),2)/3600)),-(MID(TEXT($N2691,"000000"),2,2)+(MID(TEXT($N2691,"000000"),4,2)/60)+(RIGHT(TEXT($N2691,"000000"),2)/3600)))</f>
        <v>-6.6244444444444452</v>
      </c>
      <c r="P2691" s="252" t="s">
        <v>121</v>
      </c>
      <c r="Q2691" s="253"/>
      <c r="R2691" s="277" t="s">
        <v>6088</v>
      </c>
      <c r="S2691" s="272" t="s">
        <v>3293</v>
      </c>
      <c r="T2691" s="273"/>
      <c r="U2691" s="274"/>
      <c r="V2691" s="280"/>
      <c r="W2691" s="244"/>
      <c r="X2691" s="244"/>
      <c r="Y2691" s="362"/>
      <c r="Z2691" s="257">
        <f>altaz(J2000_Bas,$O2691,$M2691,DecLat,DecLong,1)</f>
        <v>51.812433480436241</v>
      </c>
      <c r="AA2691" s="257">
        <f>altaz((J2000_Bas+(2*0.04167)),$O2691,$M2691,DecLat,DecLong,1)</f>
        <v>38.415754476663963</v>
      </c>
      <c r="AB2691" s="257">
        <f>altaz((J2000_Bas+(4*0.04167)),$O2691,$M2691,DecLat,DecLong,1)</f>
        <v>15.861656825869128</v>
      </c>
      <c r="AC2691" s="257">
        <f>altaz((J2000_Bas+(6*0.04167)),$O2691,$M2691,DecLat,DecLong,1)</f>
        <v>-9.461144129697372</v>
      </c>
      <c r="AD2691" s="258">
        <f>1+ transit((J2000_Bas-1),$O2691,$M2691,DecLat,DecLong)/360 + (GMTOffset/24) + (IF(DST="Y", 1, 0)/24)</f>
        <v>1.7683859941922082</v>
      </c>
      <c r="AE2691" s="259">
        <f>DATE(2001,9,21)+(M2691/360)*365 - (360*((DecLong/360)- (GMTOffset/24) ))</f>
        <v>37443.052430555559</v>
      </c>
      <c r="AF2691" s="260">
        <f>IF(DecLat&gt;0,IF((90 - (DecLat-O2691))&gt;90, (90 - (O2691-DecLat)), (90 - (DecLat-O2691))),IF((90 + (DecLat-O2691))&gt;90, (90 + (O2691-DecLat)), (90 + (DecLat-O2691))))</f>
        <v>52.375555555555557</v>
      </c>
      <c r="AG2691" s="257">
        <f>angularseperation(MoonRA,MoonDec,$M2691,$O2691)</f>
        <v>35.020374919785674</v>
      </c>
      <c r="AH2691" s="261">
        <f ca="1">MIN(100,IF($O$5&gt;80,0+30*($AG2691/100),IF($O$5&gt;70,0+50*($AG2691/100),IF($O$5&gt;60,5+50*($AG2691/100),IF($O$5&gt;50,10+60*($AG2691/100),IF($O$5&gt;40,15+70*($AG2691/100),IF($O$5&gt;30,20+70*($AG2691/100),IF($O$5&gt;20,40+55*($AG2691/100),(80+(20-$O$5)+30*($AG2691/100))))))))))</f>
        <v>93.777172820086122</v>
      </c>
      <c r="AI2691" s="263"/>
      <c r="AJ2691" s="263"/>
      <c r="AK2691" s="263"/>
      <c r="AL2691" s="263"/>
      <c r="AM2691" s="264"/>
      <c r="AN2691" s="263"/>
      <c r="AO2691" s="263"/>
      <c r="AP2691" s="265"/>
      <c r="AQ2691" s="265"/>
      <c r="AR2691" s="285"/>
      <c r="AS2691" s="263"/>
      <c r="AT2691" s="263"/>
      <c r="AU2691" s="263"/>
      <c r="AV2691" s="264"/>
      <c r="AW2691" s="263"/>
      <c r="AX2691" s="263"/>
      <c r="AY2691" s="263">
        <v>82</v>
      </c>
      <c r="AZ2691" s="263"/>
      <c r="BA2691" s="263">
        <v>173</v>
      </c>
      <c r="BB2691" s="263">
        <v>60</v>
      </c>
      <c r="BC2691" s="263"/>
      <c r="BD2691" s="264"/>
      <c r="BE2691" s="263"/>
      <c r="BF2691" s="263"/>
      <c r="BG2691" s="263"/>
      <c r="BH2691" s="263"/>
      <c r="BI2691" s="263"/>
      <c r="BJ2691" s="404">
        <f>altaz(J2000_Bas,$O2691,$M2691,DecLat,DecLong,2)</f>
        <v>191.01167859519273</v>
      </c>
      <c r="BK2691" s="378" t="s">
        <v>2506</v>
      </c>
      <c r="BL2691" s="379">
        <f>IF((2*G2691)/60&lt;0.2,0.2,(2*G2691)/60)</f>
        <v>0.46666666666666667</v>
      </c>
      <c r="BM2691" s="380">
        <f>MOD((50000+AD2691-$B$3+(0/24)),1)</f>
        <v>0.98375292389391689</v>
      </c>
      <c r="BN2691" s="381"/>
      <c r="BO2691" s="382">
        <v>2682</v>
      </c>
    </row>
    <row r="2692" spans="1:67" s="24" customFormat="1" ht="15" customHeight="1" x14ac:dyDescent="0.25">
      <c r="A2692" s="288" t="s">
        <v>2507</v>
      </c>
      <c r="B2692" s="241" t="str">
        <f>HYPERLINK(CONCATENATE($AT$3,BK2692,$AU$3),$AV$3)</f>
        <v>S</v>
      </c>
      <c r="C2692" s="242" t="str">
        <f>HYPERLINK(CONCATENATE($AT$4,BK2692,$AU$4,BL2692),$AV$4)</f>
        <v>A</v>
      </c>
      <c r="D2692" s="243" t="s">
        <v>5187</v>
      </c>
      <c r="E2692" s="244" t="s">
        <v>5183</v>
      </c>
      <c r="F2692" s="269" t="s">
        <v>5180</v>
      </c>
      <c r="G2692" s="273">
        <v>2</v>
      </c>
      <c r="H2692" s="283">
        <v>11000</v>
      </c>
      <c r="I2692" s="279">
        <v>6</v>
      </c>
      <c r="J2692" s="246">
        <v>1</v>
      </c>
      <c r="K2692" s="247" t="s">
        <v>6289</v>
      </c>
      <c r="L2692" s="248">
        <v>183321</v>
      </c>
      <c r="M2692" s="249">
        <f>15*(LEFT(TEXT($L2692,"000000"),2)+(MID(TEXT($L2692,"000000"),3,2)/60)+(RIGHT(TEXT($L2692,"000000"),2)/3600))</f>
        <v>278.33749999999998</v>
      </c>
      <c r="N2692" s="250">
        <v>-45817</v>
      </c>
      <c r="O2692" s="251">
        <f>IF($N2692&gt;0,(LEFT(TEXT($N2692,"000000"),2)+(MID(TEXT($N2692,"000000"),3,2)/60)+(RIGHT(TEXT($N2692,"000000"),2)/3600)),-(MID(TEXT($N2692,"000000"),2,2)+(MID(TEXT($N2692,"000000"),4,2)/60)+(RIGHT(TEXT($N2692,"000000"),2)/3600)))</f>
        <v>-4.9713888888888889</v>
      </c>
      <c r="P2692" s="252" t="s">
        <v>121</v>
      </c>
      <c r="Q2692" s="253"/>
      <c r="R2692" s="277" t="s">
        <v>3293</v>
      </c>
      <c r="S2692" s="272" t="s">
        <v>3293</v>
      </c>
      <c r="T2692" s="273"/>
      <c r="U2692" s="274"/>
      <c r="V2692" s="280"/>
      <c r="W2692" s="244"/>
      <c r="X2692" s="244"/>
      <c r="Y2692" s="362"/>
      <c r="Z2692" s="257">
        <f>altaz(J2000_Bas,$O2692,$M2692,DecLat,DecLong,1)</f>
        <v>53.290837151136699</v>
      </c>
      <c r="AA2692" s="257">
        <f>altaz((J2000_Bas+(2*0.04167)),$O2692,$M2692,DecLat,DecLong,1)</f>
        <v>39.092505912627715</v>
      </c>
      <c r="AB2692" s="257">
        <f>altaz((J2000_Bas+(4*0.04167)),$O2692,$M2692,DecLat,DecLong,1)</f>
        <v>16.114028358945205</v>
      </c>
      <c r="AC2692" s="257">
        <f>altaz((J2000_Bas+(6*0.04167)),$O2692,$M2692,DecLat,DecLong,1)</f>
        <v>-9.3392023258049086</v>
      </c>
      <c r="AD2692" s="258">
        <f>1+ transit((J2000_Bas-1),$O2692,$M2692,DecLat,DecLong)/360 + (GMTOffset/24) + (IF(DST="Y", 1, 0)/24)</f>
        <v>1.7660596055359581</v>
      </c>
      <c r="AE2692" s="259">
        <f>DATE(2001,9,21)+(M2692/360)*365 - (360*((DecLong/360)- (GMTOffset/24) ))</f>
        <v>37442.203298611108</v>
      </c>
      <c r="AF2692" s="260">
        <f>IF(DecLat&gt;0,IF((90 - (DecLat-O2692))&gt;90, (90 - (O2692-DecLat)), (90 - (DecLat-O2692))),IF((90 + (DecLat-O2692))&gt;90, (90 + (O2692-DecLat)), (90 + (DecLat-O2692))))</f>
        <v>54.028611111111111</v>
      </c>
      <c r="AG2692" s="257">
        <f>angularseperation(MoonRA,MoonDec,$M2692,$O2692)</f>
        <v>35.460501892008672</v>
      </c>
      <c r="AH2692" s="261">
        <f ca="1">MIN(100,IF($O$5&gt;80,0+30*($AG2692/100),IF($O$5&gt;70,0+50*($AG2692/100),IF($O$5&gt;60,5+50*($AG2692/100),IF($O$5&gt;50,10+60*($AG2692/100),IF($O$5&gt;40,15+70*($AG2692/100),IF($O$5&gt;30,20+70*($AG2692/100),IF($O$5&gt;20,40+55*($AG2692/100),(80+(20-$O$5)+30*($AG2692/100))))))))))</f>
        <v>93.909210911753036</v>
      </c>
      <c r="AI2692" s="263"/>
      <c r="AJ2692" s="263"/>
      <c r="AK2692" s="263"/>
      <c r="AL2692" s="263"/>
      <c r="AM2692" s="264"/>
      <c r="AN2692" s="263"/>
      <c r="AO2692" s="263"/>
      <c r="AP2692" s="265"/>
      <c r="AQ2692" s="265"/>
      <c r="AR2692" s="285"/>
      <c r="AS2692" s="263"/>
      <c r="AT2692" s="263"/>
      <c r="AU2692" s="263"/>
      <c r="AV2692" s="264"/>
      <c r="AW2692" s="263"/>
      <c r="AX2692" s="263"/>
      <c r="AY2692" s="263">
        <v>84</v>
      </c>
      <c r="AZ2692" s="263"/>
      <c r="BA2692" s="263"/>
      <c r="BB2692" s="263">
        <v>61</v>
      </c>
      <c r="BC2692" s="263"/>
      <c r="BD2692" s="264"/>
      <c r="BE2692" s="263"/>
      <c r="BF2692" s="263"/>
      <c r="BG2692" s="263"/>
      <c r="BH2692" s="263"/>
      <c r="BI2692" s="263"/>
      <c r="BJ2692" s="404">
        <f>altaz(J2000_Bas,$O2692,$M2692,DecLat,DecLong,2)</f>
        <v>192.84422328736915</v>
      </c>
      <c r="BK2692" s="378" t="s">
        <v>2507</v>
      </c>
      <c r="BL2692" s="379">
        <f>IF((2*G2692)/60&lt;0.2,0.2,(2*G2692)/60)</f>
        <v>0.2</v>
      </c>
      <c r="BM2692" s="380">
        <f>MOD((50000+AD2692-$B$3+(0/24)),1)</f>
        <v>0.98142653523973422</v>
      </c>
      <c r="BN2692" s="381"/>
      <c r="BO2692" s="382">
        <v>2683</v>
      </c>
    </row>
    <row r="2693" spans="1:67" s="24" customFormat="1" ht="15" customHeight="1" x14ac:dyDescent="0.25">
      <c r="A2693" s="288" t="s">
        <v>2508</v>
      </c>
      <c r="B2693" s="241" t="str">
        <f>HYPERLINK(CONCATENATE($AT$3,BK2693,$AU$3),$AV$3)</f>
        <v>S</v>
      </c>
      <c r="C2693" s="242" t="str">
        <f>HYPERLINK(CONCATENATE($AT$4,BK2693,$AU$4,BL2693),$AV$4)</f>
        <v>A</v>
      </c>
      <c r="D2693" s="243" t="s">
        <v>5187</v>
      </c>
      <c r="E2693" s="244" t="s">
        <v>5183</v>
      </c>
      <c r="F2693" s="269" t="s">
        <v>5180</v>
      </c>
      <c r="G2693" s="273">
        <v>3</v>
      </c>
      <c r="H2693" s="283">
        <v>800</v>
      </c>
      <c r="I2693" s="309">
        <v>0.75</v>
      </c>
      <c r="J2693" s="246">
        <v>1</v>
      </c>
      <c r="K2693" s="247" t="s">
        <v>6290</v>
      </c>
      <c r="L2693" s="248">
        <v>182730</v>
      </c>
      <c r="M2693" s="249">
        <f>15*(LEFT(TEXT($L2693,"000000"),2)+(MID(TEXT($L2693,"000000"),3,2)/60)+(RIGHT(TEXT($L2693,"000000"),2)/3600))</f>
        <v>276.875</v>
      </c>
      <c r="N2693" s="250">
        <v>-35100</v>
      </c>
      <c r="O2693" s="251">
        <f>IF($N2693&gt;0,(LEFT(TEXT($N2693,"000000"),2)+(MID(TEXT($N2693,"000000"),3,2)/60)+(RIGHT(TEXT($N2693,"000000"),2)/3600)),-(MID(TEXT($N2693,"000000"),2,2)+(MID(TEXT($N2693,"000000"),4,2)/60)+(RIGHT(TEXT($N2693,"000000"),2)/3600)))</f>
        <v>-3.85</v>
      </c>
      <c r="P2693" s="252" t="s">
        <v>126</v>
      </c>
      <c r="Q2693" s="253"/>
      <c r="R2693" s="277" t="s">
        <v>3293</v>
      </c>
      <c r="S2693" s="272" t="s">
        <v>3293</v>
      </c>
      <c r="T2693" s="273"/>
      <c r="U2693" s="274"/>
      <c r="V2693" s="280"/>
      <c r="W2693" s="244"/>
      <c r="X2693" s="244"/>
      <c r="Y2693" s="362"/>
      <c r="Z2693" s="257">
        <f>altaz(J2000_Bas,$O2693,$M2693,DecLat,DecLong,1)</f>
        <v>54.078486317068233</v>
      </c>
      <c r="AA2693" s="257">
        <f>altaz((J2000_Bas+(2*0.04167)),$O2693,$M2693,DecLat,DecLong,1)</f>
        <v>38.907221684228922</v>
      </c>
      <c r="AB2693" s="257">
        <f>altaz((J2000_Bas+(4*0.04167)),$O2693,$M2693,DecLat,DecLong,1)</f>
        <v>15.531442305900891</v>
      </c>
      <c r="AC2693" s="257">
        <f>altaz((J2000_Bas+(6*0.04167)),$O2693,$M2693,DecLat,DecLong,1)</f>
        <v>-10.019758146326513</v>
      </c>
      <c r="AD2693" s="258">
        <f>1+ transit((J2000_Bas-1),$O2693,$M2693,DecLat,DecLong)/360 + (GMTOffset/24) + (IF(DST="Y", 1, 0)/24)</f>
        <v>1.7619971059422082</v>
      </c>
      <c r="AE2693" s="259">
        <f>DATE(2001,9,21)+(M2693/360)*365 - (360*((DecLong/360)- (GMTOffset/24) ))</f>
        <v>37440.720486111109</v>
      </c>
      <c r="AF2693" s="260">
        <f>IF(DecLat&gt;0,IF((90 - (DecLat-O2693))&gt;90, (90 - (O2693-DecLat)), (90 - (DecLat-O2693))),IF((90 + (DecLat-O2693))&gt;90, (90 + (O2693-DecLat)), (90 + (DecLat-O2693))))</f>
        <v>55.15</v>
      </c>
      <c r="AG2693" s="257">
        <f>angularseperation(MoonRA,MoonDec,$M2693,$O2693)</f>
        <v>35.157306811451903</v>
      </c>
      <c r="AH2693" s="261">
        <f ca="1">MIN(100,IF($O$5&gt;80,0+30*($AG2693/100),IF($O$5&gt;70,0+50*($AG2693/100),IF($O$5&gt;60,5+50*($AG2693/100),IF($O$5&gt;50,10+60*($AG2693/100),IF($O$5&gt;40,15+70*($AG2693/100),IF($O$5&gt;30,20+70*($AG2693/100),IF($O$5&gt;20,40+55*($AG2693/100),(80+(20-$O$5)+30*($AG2693/100))))))))))</f>
        <v>93.818252387586</v>
      </c>
      <c r="AI2693" s="263"/>
      <c r="AJ2693" s="263"/>
      <c r="AK2693" s="263"/>
      <c r="AL2693" s="263"/>
      <c r="AM2693" s="264"/>
      <c r="AN2693" s="263"/>
      <c r="AO2693" s="263"/>
      <c r="AP2693" s="265"/>
      <c r="AQ2693" s="265"/>
      <c r="AR2693" s="285"/>
      <c r="AS2693" s="263"/>
      <c r="AT2693" s="263"/>
      <c r="AU2693" s="263"/>
      <c r="AV2693" s="264"/>
      <c r="AW2693" s="263"/>
      <c r="AX2693" s="263"/>
      <c r="AY2693" s="263">
        <v>85</v>
      </c>
      <c r="AZ2693" s="263"/>
      <c r="BA2693" s="263"/>
      <c r="BB2693" s="263">
        <v>62</v>
      </c>
      <c r="BC2693" s="263"/>
      <c r="BD2693" s="264"/>
      <c r="BE2693" s="263"/>
      <c r="BF2693" s="263"/>
      <c r="BG2693" s="263"/>
      <c r="BH2693" s="263"/>
      <c r="BI2693" s="263"/>
      <c r="BJ2693" s="404">
        <f>altaz(J2000_Bas,$O2693,$M2693,DecLat,DecLong,2)</f>
        <v>195.65143820371947</v>
      </c>
      <c r="BK2693" s="378" t="s">
        <v>2508</v>
      </c>
      <c r="BL2693" s="379">
        <f>IF((2*G2693)/60&lt;0.2,0.2,(2*G2693)/60)</f>
        <v>0.2</v>
      </c>
      <c r="BM2693" s="380">
        <f>MOD((50000+AD2693-$B$3+(0/24)),1)</f>
        <v>0.97736403564340435</v>
      </c>
      <c r="BN2693" s="381"/>
      <c r="BO2693" s="382">
        <v>2684</v>
      </c>
    </row>
    <row r="2694" spans="1:67" s="24" customFormat="1" ht="15" customHeight="1" x14ac:dyDescent="0.25">
      <c r="A2694" s="288" t="s">
        <v>2509</v>
      </c>
      <c r="B2694" s="241" t="str">
        <f>HYPERLINK(CONCATENATE($AT$3,BK2694,$AU$3),$AV$3)</f>
        <v>S</v>
      </c>
      <c r="C2694" s="242" t="str">
        <f>HYPERLINK(CONCATENATE($AT$4,BK2694,$AU$4,BL2694),$AV$4)</f>
        <v>A</v>
      </c>
      <c r="D2694" s="243" t="s">
        <v>5187</v>
      </c>
      <c r="E2694" s="244" t="s">
        <v>7522</v>
      </c>
      <c r="F2694" s="269"/>
      <c r="G2694" s="276">
        <v>50</v>
      </c>
      <c r="H2694" s="283">
        <v>1000</v>
      </c>
      <c r="I2694" s="246">
        <v>15</v>
      </c>
      <c r="J2694" s="246">
        <v>2</v>
      </c>
      <c r="K2694" s="247" t="s">
        <v>5132</v>
      </c>
      <c r="L2694" s="248">
        <v>195742</v>
      </c>
      <c r="M2694" s="249">
        <f>15*(LEFT(TEXT($L2694,"000000"),2)+(MID(TEXT($L2694,"000000"),3,2)/60)+(RIGHT(TEXT($L2694,"000000"),2)/3600))</f>
        <v>299.42500000000001</v>
      </c>
      <c r="N2694" s="250">
        <v>-140700</v>
      </c>
      <c r="O2694" s="251">
        <f>IF($N2694&gt;0,(LEFT(TEXT($N2694,"000000"),2)+(MID(TEXT($N2694,"000000"),3,2)/60)+(RIGHT(TEXT($N2694,"000000"),2)/3600)),-(MID(TEXT($N2694,"000000"),2,2)+(MID(TEXT($N2694,"000000"),4,2)/60)+(RIGHT(TEXT($N2694,"000000"),2)/3600)))</f>
        <v>-14.116666666666667</v>
      </c>
      <c r="P2694" s="252" t="s">
        <v>119</v>
      </c>
      <c r="Q2694" s="253"/>
      <c r="R2694" s="247" t="s">
        <v>3293</v>
      </c>
      <c r="S2694" s="272" t="s">
        <v>3293</v>
      </c>
      <c r="T2694" s="273"/>
      <c r="U2694" s="274"/>
      <c r="V2694" s="280"/>
      <c r="W2694" s="244"/>
      <c r="X2694" s="244"/>
      <c r="Y2694" s="362"/>
      <c r="Z2694" s="257">
        <f>altaz(J2000_Bas,$O2694,$M2694,DecLat,DecLong,1)</f>
        <v>43.07532736399564</v>
      </c>
      <c r="AA2694" s="257">
        <f>altaz((J2000_Bas+(2*0.04167)),$O2694,$M2694,DecLat,DecLong,1)</f>
        <v>42.125876145849041</v>
      </c>
      <c r="AB2694" s="257">
        <f>altaz((J2000_Bas+(4*0.04167)),$O2694,$M2694,DecLat,DecLong,1)</f>
        <v>26.359284722700931</v>
      </c>
      <c r="AC2694" s="257">
        <f>altaz((J2000_Bas+(6*0.04167)),$O2694,$M2694,DecLat,DecLong,1)</f>
        <v>3.6560061795449483</v>
      </c>
      <c r="AD2694" s="258">
        <f>1+ transit((J2000_Bas-1),$O2694,$M2694,DecLat,DecLong)/360 + (GMTOffset/24) + (IF(DST="Y", 1, 0)/24)</f>
        <v>1.8246359885672081</v>
      </c>
      <c r="AE2694" s="259">
        <f>DATE(2001,9,21)+(M2694/360)*365 - (360*((DecLong/360)- (GMTOffset/24) ))</f>
        <v>37463.583680555559</v>
      </c>
      <c r="AF2694" s="260">
        <f>IF(DecLat&gt;0,IF((90 - (DecLat-O2694))&gt;90, (90 - (O2694-DecLat)), (90 - (DecLat-O2694))),IF((90 + (DecLat-O2694))&gt;90, (90 + (O2694-DecLat)), (90 + (DecLat-O2694))))</f>
        <v>44.883333333333333</v>
      </c>
      <c r="AG2694" s="257">
        <f>angularseperation(MoonRA,MoonDec,$M2694,$O2694)</f>
        <v>48.398515390720867</v>
      </c>
      <c r="AH2694" s="261">
        <f ca="1">MIN(100,IF($O$5&gt;80,0+30*($AG2694/100),IF($O$5&gt;70,0+50*($AG2694/100),IF($O$5&gt;60,5+50*($AG2694/100),IF($O$5&gt;50,10+60*($AG2694/100),IF($O$5&gt;40,15+70*($AG2694/100),IF($O$5&gt;30,20+70*($AG2694/100),IF($O$5&gt;20,40+55*($AG2694/100),(80+(20-$O$5)+30*($AG2694/100))))))))))</f>
        <v>97.790614961366686</v>
      </c>
      <c r="AI2694" s="262"/>
      <c r="AJ2694" s="262"/>
      <c r="AK2694" s="262"/>
      <c r="AL2694" s="263"/>
      <c r="AM2694" s="264"/>
      <c r="AN2694" s="263"/>
      <c r="AO2694" s="263"/>
      <c r="AP2694" s="265"/>
      <c r="AQ2694" s="266"/>
      <c r="AR2694" s="267"/>
      <c r="AS2694" s="263"/>
      <c r="AT2694" s="263"/>
      <c r="AU2694" s="263"/>
      <c r="AV2694" s="264"/>
      <c r="AW2694" s="263"/>
      <c r="AX2694" s="263"/>
      <c r="AY2694" s="263"/>
      <c r="AZ2694" s="263"/>
      <c r="BA2694" s="263"/>
      <c r="BB2694" s="263">
        <v>63</v>
      </c>
      <c r="BC2694" s="263"/>
      <c r="BD2694" s="264"/>
      <c r="BE2694" s="263"/>
      <c r="BF2694" s="263"/>
      <c r="BG2694" s="263"/>
      <c r="BH2694" s="263"/>
      <c r="BI2694" s="263">
        <v>88</v>
      </c>
      <c r="BJ2694" s="404">
        <f>altaz(J2000_Bas,$O2694,$M2694,DecLat,DecLong,2)</f>
        <v>162.04994924898273</v>
      </c>
      <c r="BK2694" s="378" t="s">
        <v>2509</v>
      </c>
      <c r="BL2694" s="379">
        <f>IF((2*G2694)/60&lt;0.2,0.2,(2*G2694)/60)</f>
        <v>1.6666666666666667</v>
      </c>
      <c r="BM2694" s="380">
        <f>MOD((50000+AD2694-$B$3+(0/24)),1)</f>
        <v>4.0002918271056842E-2</v>
      </c>
      <c r="BN2694" s="381"/>
      <c r="BO2694" s="382">
        <v>2685</v>
      </c>
    </row>
    <row r="2695" spans="1:67" s="24" customFormat="1" ht="15" customHeight="1" x14ac:dyDescent="0.25">
      <c r="A2695" s="288" t="s">
        <v>2510</v>
      </c>
      <c r="B2695" s="241" t="str">
        <f>HYPERLINK(CONCATENATE($AT$3,BK2695,$AU$3),$AV$3)</f>
        <v>S</v>
      </c>
      <c r="C2695" s="242" t="str">
        <f>HYPERLINK(CONCATENATE($AT$4,BK2695,$AU$4,BL2695),$AV$4)</f>
        <v>A</v>
      </c>
      <c r="D2695" s="243" t="s">
        <v>5187</v>
      </c>
      <c r="E2695" s="244" t="s">
        <v>5183</v>
      </c>
      <c r="F2695" s="269" t="s">
        <v>5180</v>
      </c>
      <c r="G2695" s="276">
        <v>25</v>
      </c>
      <c r="H2695" s="283">
        <v>1000</v>
      </c>
      <c r="I2695" s="279">
        <v>7</v>
      </c>
      <c r="J2695" s="246">
        <v>2</v>
      </c>
      <c r="K2695" s="247" t="s">
        <v>6291</v>
      </c>
      <c r="L2695" s="248">
        <v>183126</v>
      </c>
      <c r="M2695" s="249">
        <f>15*(LEFT(TEXT($L2695,"000000"),2)+(MID(TEXT($L2695,"000000"),3,2)/60)+(RIGHT(TEXT($L2695,"000000"),2)/3600))</f>
        <v>277.85833333333329</v>
      </c>
      <c r="N2695" s="250">
        <v>-20422</v>
      </c>
      <c r="O2695" s="251">
        <f>IF($N2695&gt;0,(LEFT(TEXT($N2695,"000000"),2)+(MID(TEXT($N2695,"000000"),3,2)/60)+(RIGHT(TEXT($N2695,"000000"),2)/3600)),-(MID(TEXT($N2695,"000000"),2,2)+(MID(TEXT($N2695,"000000"),4,2)/60)+(RIGHT(TEXT($N2695,"000000"),2)/3600)))</f>
        <v>-2.0727777777777781</v>
      </c>
      <c r="P2695" s="252" t="s">
        <v>115</v>
      </c>
      <c r="Q2695" s="253"/>
      <c r="R2695" s="247" t="s">
        <v>6089</v>
      </c>
      <c r="S2695" s="272" t="s">
        <v>3293</v>
      </c>
      <c r="T2695" s="273"/>
      <c r="U2695" s="274"/>
      <c r="V2695" s="280"/>
      <c r="W2695" s="244"/>
      <c r="X2695" s="244"/>
      <c r="Y2695" s="362"/>
      <c r="Z2695" s="257">
        <f>altaz(J2000_Bas,$O2695,$M2695,DecLat,DecLong,1)</f>
        <v>56.030868875634845</v>
      </c>
      <c r="AA2695" s="257">
        <f>altaz((J2000_Bas+(2*0.04167)),$O2695,$M2695,DecLat,DecLong,1)</f>
        <v>40.864700510604209</v>
      </c>
      <c r="AB2695" s="257">
        <f>altaz((J2000_Bas+(4*0.04167)),$O2695,$M2695,DecLat,DecLong,1)</f>
        <v>17.332308272493776</v>
      </c>
      <c r="AC2695" s="257">
        <f>altaz((J2000_Bas+(6*0.04167)),$O2695,$M2695,DecLat,DecLong,1)</f>
        <v>-8.2639366560306016</v>
      </c>
      <c r="AD2695" s="258">
        <f>1+ transit((J2000_Bas-1),$O2695,$M2695,DecLat,DecLong)/360 + (GMTOffset/24) + (IF(DST="Y", 1, 0)/24)</f>
        <v>1.7647285871505414</v>
      </c>
      <c r="AE2695" s="259">
        <f>DATE(2001,9,21)+(M2695/360)*365 - (360*((DecLong/360)- (GMTOffset/24) ))</f>
        <v>37441.717476851853</v>
      </c>
      <c r="AF2695" s="260">
        <f>IF(DecLat&gt;0,IF((90 - (DecLat-O2695))&gt;90, (90 - (O2695-DecLat)), (90 - (DecLat-O2695))),IF((90 + (DecLat-O2695))&gt;90, (90 + (O2695-DecLat)), (90 + (DecLat-O2695))))</f>
        <v>56.92722222222222</v>
      </c>
      <c r="AG2695" s="257">
        <f>angularseperation(MoonRA,MoonDec,$M2695,$O2695)</f>
        <v>37.104481822026671</v>
      </c>
      <c r="AH2695" s="261">
        <f ca="1">MIN(100,IF($O$5&gt;80,0+30*($AG2695/100),IF($O$5&gt;70,0+50*($AG2695/100),IF($O$5&gt;60,5+50*($AG2695/100),IF($O$5&gt;50,10+60*($AG2695/100),IF($O$5&gt;40,15+70*($AG2695/100),IF($O$5&gt;30,20+70*($AG2695/100),IF($O$5&gt;20,40+55*($AG2695/100),(80+(20-$O$5)+30*($AG2695/100))))))))))</f>
        <v>94.402404890758433</v>
      </c>
      <c r="AI2695" s="262"/>
      <c r="AJ2695" s="262"/>
      <c r="AK2695" s="262"/>
      <c r="AL2695" s="263"/>
      <c r="AM2695" s="264"/>
      <c r="AN2695" s="263"/>
      <c r="AO2695" s="263"/>
      <c r="AP2695" s="265"/>
      <c r="AQ2695" s="266"/>
      <c r="AR2695" s="267"/>
      <c r="AS2695" s="263"/>
      <c r="AT2695" s="263"/>
      <c r="AU2695" s="263"/>
      <c r="AV2695" s="264"/>
      <c r="AW2695" s="263"/>
      <c r="AX2695" s="263"/>
      <c r="AY2695" s="263">
        <v>90</v>
      </c>
      <c r="AZ2695" s="263"/>
      <c r="BA2695" s="263">
        <v>174</v>
      </c>
      <c r="BB2695" s="263">
        <v>64</v>
      </c>
      <c r="BC2695" s="263"/>
      <c r="BD2695" s="264"/>
      <c r="BE2695" s="263"/>
      <c r="BF2695" s="263"/>
      <c r="BG2695" s="263"/>
      <c r="BH2695" s="263"/>
      <c r="BI2695" s="263"/>
      <c r="BJ2695" s="404">
        <f>altaz(J2000_Bas,$O2695,$M2695,DecLat,DecLong,2)</f>
        <v>194.67748116827678</v>
      </c>
      <c r="BK2695" s="378" t="s">
        <v>2510</v>
      </c>
      <c r="BL2695" s="379">
        <f>IF((2*G2695)/60&lt;0.2,0.2,(2*G2695)/60)</f>
        <v>0.83333333333333337</v>
      </c>
      <c r="BM2695" s="380">
        <f>MOD((50000+AD2695-$B$3+(0/24)),1)</f>
        <v>0.98009551685390761</v>
      </c>
      <c r="BN2695" s="381"/>
      <c r="BO2695" s="382">
        <v>2686</v>
      </c>
    </row>
    <row r="2696" spans="1:67" s="24" customFormat="1" ht="15" customHeight="1" x14ac:dyDescent="0.25">
      <c r="A2696" s="288" t="s">
        <v>2511</v>
      </c>
      <c r="B2696" s="241" t="str">
        <f>HYPERLINK(CONCATENATE($AT$3,BK2696,$AU$3),$AV$3)</f>
        <v>S</v>
      </c>
      <c r="C2696" s="242" t="str">
        <f>HYPERLINK(CONCATENATE($AT$4,BK2696,$AU$4,BL2696),$AV$4)</f>
        <v>A</v>
      </c>
      <c r="D2696" s="243" t="s">
        <v>5187</v>
      </c>
      <c r="E2696" s="244" t="s">
        <v>5183</v>
      </c>
      <c r="F2696" s="269" t="s">
        <v>5180</v>
      </c>
      <c r="G2696" s="273">
        <v>7</v>
      </c>
      <c r="H2696" s="283">
        <v>11000</v>
      </c>
      <c r="I2696" s="246">
        <v>21</v>
      </c>
      <c r="J2696" s="246">
        <v>2</v>
      </c>
      <c r="K2696" s="247" t="s">
        <v>6292</v>
      </c>
      <c r="L2696" s="248">
        <v>184704</v>
      </c>
      <c r="M2696" s="249">
        <f>15*(LEFT(TEXT($L2696,"000000"),2)+(MID(TEXT($L2696,"000000"),3,2)/60)+(RIGHT(TEXT($L2696,"000000"),2)/3600))</f>
        <v>281.76666666666671</v>
      </c>
      <c r="N2696" s="250">
        <v>-34804</v>
      </c>
      <c r="O2696" s="251">
        <f>IF($N2696&gt;0,(LEFT(TEXT($N2696,"000000"),2)+(MID(TEXT($N2696,"000000"),3,2)/60)+(RIGHT(TEXT($N2696,"000000"),2)/3600)),-(MID(TEXT($N2696,"000000"),2,2)+(MID(TEXT($N2696,"000000"),4,2)/60)+(RIGHT(TEXT($N2696,"000000"),2)/3600)))</f>
        <v>-3.8011111111111111</v>
      </c>
      <c r="P2696" s="252" t="s">
        <v>126</v>
      </c>
      <c r="Q2696" s="253"/>
      <c r="R2696" s="277" t="s">
        <v>6090</v>
      </c>
      <c r="S2696" s="272" t="s">
        <v>3293</v>
      </c>
      <c r="T2696" s="273"/>
      <c r="U2696" s="274"/>
      <c r="V2696" s="280"/>
      <c r="W2696" s="244"/>
      <c r="X2696" s="244"/>
      <c r="Y2696" s="362"/>
      <c r="Z2696" s="257">
        <f>altaz(J2000_Bas,$O2696,$M2696,DecLat,DecLong,1)</f>
        <v>54.96502668269968</v>
      </c>
      <c r="AA2696" s="257">
        <f>altaz((J2000_Bas+(2*0.04167)),$O2696,$M2696,DecLat,DecLong,1)</f>
        <v>42.239463332258438</v>
      </c>
      <c r="AB2696" s="257">
        <f>altaz((J2000_Bas+(4*0.04167)),$O2696,$M2696,DecLat,DecLong,1)</f>
        <v>19.593428757297094</v>
      </c>
      <c r="AC2696" s="257">
        <f>altaz((J2000_Bas+(6*0.04167)),$O2696,$M2696,DecLat,DecLong,1)</f>
        <v>-5.802130232010029</v>
      </c>
      <c r="AD2696" s="258">
        <f>1+ transit((J2000_Bas-1),$O2696,$M2696,DecLat,DecLong)/360 + (GMTOffset/24) + (IF(DST="Y", 1, 0)/24)</f>
        <v>1.7755850675463749</v>
      </c>
      <c r="AE2696" s="259">
        <f>DATE(2001,9,21)+(M2696/360)*365 - (360*((DecLong/360)- (GMTOffset/24) ))</f>
        <v>37445.680092592593</v>
      </c>
      <c r="AF2696" s="260">
        <f>IF(DecLat&gt;0,IF((90 - (DecLat-O2696))&gt;90, (90 - (O2696-DecLat)), (90 - (DecLat-O2696))),IF((90 + (DecLat-O2696))&gt;90, (90 + (O2696-DecLat)), (90 + (DecLat-O2696))))</f>
        <v>55.198888888888888</v>
      </c>
      <c r="AG2696" s="257">
        <f>angularseperation(MoonRA,MoonDec,$M2696,$O2696)</f>
        <v>38.809915135860734</v>
      </c>
      <c r="AH2696" s="261">
        <f ca="1">MIN(100,IF($O$5&gt;80,0+30*($AG2696/100),IF($O$5&gt;70,0+50*($AG2696/100),IF($O$5&gt;60,5+50*($AG2696/100),IF($O$5&gt;50,10+60*($AG2696/100),IF($O$5&gt;40,15+70*($AG2696/100),IF($O$5&gt;30,20+70*($AG2696/100),IF($O$5&gt;20,40+55*($AG2696/100),(80+(20-$O$5)+30*($AG2696/100))))))))))</f>
        <v>94.914034884908645</v>
      </c>
      <c r="AI2696" s="263"/>
      <c r="AJ2696" s="263"/>
      <c r="AK2696" s="263"/>
      <c r="AL2696" s="263"/>
      <c r="AM2696" s="264"/>
      <c r="AN2696" s="263"/>
      <c r="AO2696" s="263"/>
      <c r="AP2696" s="265"/>
      <c r="AQ2696" s="265"/>
      <c r="AR2696" s="285"/>
      <c r="AS2696" s="263"/>
      <c r="AT2696" s="263"/>
      <c r="AU2696" s="263"/>
      <c r="AV2696" s="264"/>
      <c r="AW2696" s="263"/>
      <c r="AX2696" s="263"/>
      <c r="AY2696" s="263">
        <v>91</v>
      </c>
      <c r="AZ2696" s="263"/>
      <c r="BA2696" s="263">
        <v>175</v>
      </c>
      <c r="BB2696" s="263">
        <v>65</v>
      </c>
      <c r="BC2696" s="263"/>
      <c r="BD2696" s="264"/>
      <c r="BE2696" s="263"/>
      <c r="BF2696" s="263"/>
      <c r="BG2696" s="263"/>
      <c r="BH2696" s="263"/>
      <c r="BI2696" s="263"/>
      <c r="BJ2696" s="404">
        <f>altaz(J2000_Bas,$O2696,$M2696,DecLat,DecLong,2)</f>
        <v>187.37616129328779</v>
      </c>
      <c r="BK2696" s="378" t="s">
        <v>2511</v>
      </c>
      <c r="BL2696" s="379">
        <f>IF((2*G2696)/60&lt;0.2,0.2,(2*G2696)/60)</f>
        <v>0.23333333333333334</v>
      </c>
      <c r="BM2696" s="380">
        <f>MOD((50000+AD2696-$B$3+(0/24)),1)</f>
        <v>0.99095199724979466</v>
      </c>
      <c r="BN2696" s="381"/>
      <c r="BO2696" s="382">
        <v>2687</v>
      </c>
    </row>
    <row r="2697" spans="1:67" s="24" customFormat="1" ht="15" customHeight="1" x14ac:dyDescent="0.25">
      <c r="A2697" s="288" t="s">
        <v>2512</v>
      </c>
      <c r="B2697" s="241" t="str">
        <f>HYPERLINK(CONCATENATE($AT$3,BK2697,$AU$3),$AV$3)</f>
        <v>S</v>
      </c>
      <c r="C2697" s="242" t="str">
        <f>HYPERLINK(CONCATENATE($AT$4,BK2697,$AU$4,BL2697),$AV$4)</f>
        <v>A</v>
      </c>
      <c r="D2697" s="243" t="s">
        <v>5187</v>
      </c>
      <c r="E2697" s="244" t="s">
        <v>5183</v>
      </c>
      <c r="F2697" s="269" t="s">
        <v>5180</v>
      </c>
      <c r="G2697" s="276">
        <v>10</v>
      </c>
      <c r="H2697" s="283">
        <v>11000</v>
      </c>
      <c r="I2697" s="246">
        <v>30</v>
      </c>
      <c r="J2697" s="246">
        <v>1</v>
      </c>
      <c r="K2697" s="247" t="s">
        <v>6293</v>
      </c>
      <c r="L2697" s="248">
        <v>184504</v>
      </c>
      <c r="M2697" s="249">
        <f>15*(LEFT(TEXT($L2697,"000000"),2)+(MID(TEXT($L2697,"000000"),3,2)/60)+(RIGHT(TEXT($L2697,"000000"),2)/3600))</f>
        <v>281.26666666666665</v>
      </c>
      <c r="N2697" s="286">
        <v>-20004</v>
      </c>
      <c r="O2697" s="251">
        <f>IF($N2697&gt;0,(LEFT(TEXT($N2697,"000000"),2)+(MID(TEXT($N2697,"000000"),3,2)/60)+(RIGHT(TEXT($N2697,"000000"),2)/3600)),-(MID(TEXT($N2697,"000000"),2,2)+(MID(TEXT($N2697,"000000"),4,2)/60)+(RIGHT(TEXT($N2697,"000000"),2)/3600)))</f>
        <v>-2.0011111111111113</v>
      </c>
      <c r="P2697" s="252" t="s">
        <v>126</v>
      </c>
      <c r="Q2697" s="253"/>
      <c r="R2697" s="277" t="s">
        <v>6091</v>
      </c>
      <c r="S2697" s="272" t="s">
        <v>3293</v>
      </c>
      <c r="T2697" s="273"/>
      <c r="U2697" s="274"/>
      <c r="V2697" s="280"/>
      <c r="W2697" s="244"/>
      <c r="X2697" s="244"/>
      <c r="Y2697" s="362"/>
      <c r="Z2697" s="257">
        <f>altaz(J2000_Bas,$O2697,$M2697,DecLat,DecLong,1)</f>
        <v>56.692472008476081</v>
      </c>
      <c r="AA2697" s="257">
        <f>altaz((J2000_Bas+(2*0.04167)),$O2697,$M2697,DecLat,DecLong,1)</f>
        <v>43.25711581156191</v>
      </c>
      <c r="AB2697" s="257">
        <f>altaz((J2000_Bas+(4*0.04167)),$O2697,$M2697,DecLat,DecLong,1)</f>
        <v>20.202260605364085</v>
      </c>
      <c r="AC2697" s="257">
        <f>altaz((J2000_Bas+(6*0.04167)),$O2697,$M2697,DecLat,DecLong,1)</f>
        <v>-5.306929941701636</v>
      </c>
      <c r="AD2697" s="258">
        <f>1+ transit((J2000_Bas-1),$O2697,$M2697,DecLat,DecLong)/360 + (GMTOffset/24) + (IF(DST="Y", 1, 0)/24)</f>
        <v>1.7741961787963747</v>
      </c>
      <c r="AE2697" s="259">
        <f>DATE(2001,9,21)+(M2697/360)*365 - (360*((DecLong/360)- (GMTOffset/24) ))</f>
        <v>37445.173148148147</v>
      </c>
      <c r="AF2697" s="260">
        <f>IF(DecLat&gt;0,IF((90 - (DecLat-O2697))&gt;90, (90 - (O2697-DecLat)), (90 - (DecLat-O2697))),IF((90 + (DecLat-O2697))&gt;90, (90 + (O2697-DecLat)), (90 + (DecLat-O2697))))</f>
        <v>56.998888888888885</v>
      </c>
      <c r="AG2697" s="257">
        <f>angularseperation(MoonRA,MoonDec,$M2697,$O2697)</f>
        <v>39.620535846864286</v>
      </c>
      <c r="AH2697" s="261">
        <f ca="1">MIN(100,IF($O$5&gt;80,0+30*($AG2697/100),IF($O$5&gt;70,0+50*($AG2697/100),IF($O$5&gt;60,5+50*($AG2697/100),IF($O$5&gt;50,10+60*($AG2697/100),IF($O$5&gt;40,15+70*($AG2697/100),IF($O$5&gt;30,20+70*($AG2697/100),IF($O$5&gt;20,40+55*($AG2697/100),(80+(20-$O$5)+30*($AG2697/100))))))))))</f>
        <v>95.157221098209718</v>
      </c>
      <c r="AI2697" s="263"/>
      <c r="AJ2697" s="263"/>
      <c r="AK2697" s="263"/>
      <c r="AL2697" s="263"/>
      <c r="AM2697" s="264"/>
      <c r="AN2697" s="263"/>
      <c r="AO2697" s="263"/>
      <c r="AP2697" s="265"/>
      <c r="AQ2697" s="265"/>
      <c r="AR2697" s="285"/>
      <c r="AS2697" s="263"/>
      <c r="AT2697" s="263"/>
      <c r="AU2697" s="263"/>
      <c r="AV2697" s="264"/>
      <c r="AW2697" s="263"/>
      <c r="AX2697" s="263"/>
      <c r="AY2697" s="263">
        <v>92</v>
      </c>
      <c r="AZ2697" s="263"/>
      <c r="BA2697" s="263">
        <v>176</v>
      </c>
      <c r="BB2697" s="263">
        <v>66</v>
      </c>
      <c r="BC2697" s="263"/>
      <c r="BD2697" s="264"/>
      <c r="BE2697" s="263"/>
      <c r="BF2697" s="263"/>
      <c r="BG2697" s="263"/>
      <c r="BH2697" s="263"/>
      <c r="BI2697" s="263"/>
      <c r="BJ2697" s="404">
        <f>altaz(J2000_Bas,$O2697,$M2697,DecLat,DecLong,2)</f>
        <v>188.64209841175682</v>
      </c>
      <c r="BK2697" s="378" t="s">
        <v>2512</v>
      </c>
      <c r="BL2697" s="379">
        <f>IF((2*G2697)/60&lt;0.2,0.2,(2*G2697)/60)</f>
        <v>0.33333333333333331</v>
      </c>
      <c r="BM2697" s="380">
        <f>MOD((50000+AD2697-$B$3+(0/24)),1)</f>
        <v>0.98956310850189766</v>
      </c>
      <c r="BN2697" s="381"/>
      <c r="BO2697" s="382">
        <v>2688</v>
      </c>
    </row>
    <row r="2698" spans="1:67" s="24" customFormat="1" ht="15" customHeight="1" x14ac:dyDescent="0.25">
      <c r="A2698" s="288" t="s">
        <v>2513</v>
      </c>
      <c r="B2698" s="241" t="str">
        <f>HYPERLINK(CONCATENATE($AT$3,BK2698,$AU$3),$AV$3)</f>
        <v>S</v>
      </c>
      <c r="C2698" s="242" t="str">
        <f>HYPERLINK(CONCATENATE($AT$4,BK2698,$AU$4,BL2698),$AV$4)</f>
        <v>A</v>
      </c>
      <c r="D2698" s="243" t="s">
        <v>5187</v>
      </c>
      <c r="E2698" s="244" t="s">
        <v>5183</v>
      </c>
      <c r="F2698" s="269" t="s">
        <v>5180</v>
      </c>
      <c r="G2698" s="276">
        <v>14</v>
      </c>
      <c r="H2698" s="283">
        <v>1600</v>
      </c>
      <c r="I2698" s="279">
        <v>6</v>
      </c>
      <c r="J2698" s="246">
        <v>0</v>
      </c>
      <c r="K2698" s="277" t="s">
        <v>6294</v>
      </c>
      <c r="L2698" s="248">
        <v>184900</v>
      </c>
      <c r="M2698" s="249">
        <f>15*(LEFT(TEXT($L2698,"000000"),2)+(MID(TEXT($L2698,"000000"),3,2)/60)+(RIGHT(TEXT($L2698,"000000"),2)/3600))</f>
        <v>282.25</v>
      </c>
      <c r="N2698" s="286">
        <v>-22104</v>
      </c>
      <c r="O2698" s="251">
        <f>IF($N2698&gt;0,(LEFT(TEXT($N2698,"000000"),2)+(MID(TEXT($N2698,"000000"),3,2)/60)+(RIGHT(TEXT($N2698,"000000"),2)/3600)),-(MID(TEXT($N2698,"000000"),2,2)+(MID(TEXT($N2698,"000000"),4,2)/60)+(RIGHT(TEXT($N2698,"000000"),2)/3600)))</f>
        <v>-2.3511111111111114</v>
      </c>
      <c r="P2698" s="252" t="s">
        <v>126</v>
      </c>
      <c r="Q2698" s="253"/>
      <c r="R2698" s="277" t="s">
        <v>3293</v>
      </c>
      <c r="S2698" s="272" t="s">
        <v>3293</v>
      </c>
      <c r="T2698" s="273"/>
      <c r="U2698" s="274"/>
      <c r="V2698" s="280"/>
      <c r="W2698" s="244"/>
      <c r="X2698" s="244"/>
      <c r="Y2698" s="362"/>
      <c r="Z2698" s="257">
        <f>altaz(J2000_Bas,$O2698,$M2698,DecLat,DecLong,1)</f>
        <v>56.457997599892565</v>
      </c>
      <c r="AA2698" s="257">
        <f>altaz((J2000_Bas+(2*0.04167)),$O2698,$M2698,DecLat,DecLong,1)</f>
        <v>43.650329306327627</v>
      </c>
      <c r="AB2698" s="257">
        <f>altaz((J2000_Bas+(4*0.04167)),$O2698,$M2698,DecLat,DecLong,1)</f>
        <v>20.815757503308991</v>
      </c>
      <c r="AC2698" s="257">
        <f>altaz((J2000_Bas+(6*0.04167)),$O2698,$M2698,DecLat,DecLong,1)</f>
        <v>-4.6440029656918407</v>
      </c>
      <c r="AD2698" s="258">
        <f>1+ transit((J2000_Bas-1),$O2698,$M2698,DecLat,DecLong)/360 + (GMTOffset/24) + (IF(DST="Y", 1, 0)/24)</f>
        <v>1.7769276600047081</v>
      </c>
      <c r="AE2698" s="259">
        <f>DATE(2001,9,21)+(M2698/360)*365 - (360*((DecLong/360)- (GMTOffset/24) ))</f>
        <v>37446.170138888891</v>
      </c>
      <c r="AF2698" s="260">
        <f>IF(DecLat&gt;0,IF((90 - (DecLat-O2698))&gt;90, (90 - (O2698-DecLat)), (90 - (DecLat-O2698))),IF((90 + (DecLat-O2698))&gt;90, (90 + (O2698-DecLat)), (90 + (DecLat-O2698))))</f>
        <v>56.648888888888891</v>
      </c>
      <c r="AG2698" s="257">
        <f>angularseperation(MoonRA,MoonDec,$M2698,$O2698)</f>
        <v>40.121283666311747</v>
      </c>
      <c r="AH2698" s="261">
        <f ca="1">MIN(100,IF($O$5&gt;80,0+30*($AG2698/100),IF($O$5&gt;70,0+50*($AG2698/100),IF($O$5&gt;60,5+50*($AG2698/100),IF($O$5&gt;50,10+60*($AG2698/100),IF($O$5&gt;40,15+70*($AG2698/100),IF($O$5&gt;30,20+70*($AG2698/100),IF($O$5&gt;20,40+55*($AG2698/100),(80+(20-$O$5)+30*($AG2698/100))))))))))</f>
        <v>95.30744544404395</v>
      </c>
      <c r="AI2698" s="263"/>
      <c r="AJ2698" s="263"/>
      <c r="AK2698" s="263"/>
      <c r="AL2698" s="263"/>
      <c r="AM2698" s="264"/>
      <c r="AN2698" s="263"/>
      <c r="AO2698" s="263"/>
      <c r="AP2698" s="265"/>
      <c r="AQ2698" s="265"/>
      <c r="AR2698" s="285"/>
      <c r="AS2698" s="263"/>
      <c r="AT2698" s="263"/>
      <c r="AU2698" s="263"/>
      <c r="AV2698" s="264"/>
      <c r="AW2698" s="263"/>
      <c r="AX2698" s="263"/>
      <c r="AY2698" s="263">
        <v>94</v>
      </c>
      <c r="AZ2698" s="263"/>
      <c r="BA2698" s="263"/>
      <c r="BB2698" s="263">
        <v>67</v>
      </c>
      <c r="BC2698" s="263"/>
      <c r="BD2698" s="264"/>
      <c r="BE2698" s="263"/>
      <c r="BF2698" s="263"/>
      <c r="BG2698" s="263"/>
      <c r="BH2698" s="263"/>
      <c r="BI2698" s="263"/>
      <c r="BJ2698" s="404">
        <f>altaz(J2000_Bas,$O2698,$M2698,DecLat,DecLong,2)</f>
        <v>186.79685592370296</v>
      </c>
      <c r="BK2698" s="378" t="s">
        <v>2513</v>
      </c>
      <c r="BL2698" s="379">
        <f>IF((2*G2698)/60&lt;0.2,0.2,(2*G2698)/60)</f>
        <v>0.46666666666666667</v>
      </c>
      <c r="BM2698" s="380">
        <f>MOD((50000+AD2698-$B$3+(0/24)),1)</f>
        <v>0.99229458970512496</v>
      </c>
      <c r="BN2698" s="381"/>
      <c r="BO2698" s="382">
        <v>2689</v>
      </c>
    </row>
    <row r="2699" spans="1:67" s="24" customFormat="1" ht="15" customHeight="1" x14ac:dyDescent="0.25">
      <c r="A2699" s="288" t="s">
        <v>2514</v>
      </c>
      <c r="B2699" s="241" t="str">
        <f>HYPERLINK(CONCATENATE($AT$3,BK2699,$AU$3),$AV$3)</f>
        <v>S</v>
      </c>
      <c r="C2699" s="242" t="str">
        <f>HYPERLINK(CONCATENATE($AT$4,BK2699,$AU$4,BL2699),$AV$4)</f>
        <v>A</v>
      </c>
      <c r="D2699" s="243" t="s">
        <v>5187</v>
      </c>
      <c r="E2699" s="244" t="s">
        <v>5181</v>
      </c>
      <c r="F2699" s="269" t="s">
        <v>6176</v>
      </c>
      <c r="G2699" s="273">
        <v>8</v>
      </c>
      <c r="H2699" s="283">
        <v>1300</v>
      </c>
      <c r="I2699" s="279">
        <v>3.3</v>
      </c>
      <c r="J2699" s="246">
        <v>3</v>
      </c>
      <c r="K2699" s="247" t="s">
        <v>5133</v>
      </c>
      <c r="L2699" s="248">
        <v>182458</v>
      </c>
      <c r="M2699" s="249">
        <f>15*(LEFT(TEXT($L2699,"000000"),2)+(MID(TEXT($L2699,"000000"),3,2)/60)+(RIGHT(TEXT($L2699,"000000"),2)/3600))</f>
        <v>276.24166666666667</v>
      </c>
      <c r="N2699" s="250">
        <v>5136</v>
      </c>
      <c r="O2699" s="251">
        <f>IF($N2699&gt;0,(LEFT(TEXT($N2699,"000000"),2)+(MID(TEXT($N2699,"000000"),3,2)/60)+(RIGHT(TEXT($N2699,"000000"),2)/3600)),-(MID(TEXT($N2699,"000000"),2,2)+(MID(TEXT($N2699,"000000"),4,2)/60)+(RIGHT(TEXT($N2699,"000000"),2)/3600)))</f>
        <v>0.86</v>
      </c>
      <c r="P2699" s="252" t="s">
        <v>115</v>
      </c>
      <c r="Q2699" s="253" t="s">
        <v>6989</v>
      </c>
      <c r="R2699" s="247" t="s">
        <v>3293</v>
      </c>
      <c r="S2699" s="272" t="s">
        <v>3293</v>
      </c>
      <c r="T2699" s="273">
        <v>16.5</v>
      </c>
      <c r="U2699" s="274"/>
      <c r="V2699" s="280"/>
      <c r="W2699" s="244"/>
      <c r="X2699" s="244"/>
      <c r="Y2699" s="362"/>
      <c r="Z2699" s="257">
        <f>altaz(J2000_Bas,$O2699,$M2699,DecLat,DecLong,1)</f>
        <v>58.472997955524221</v>
      </c>
      <c r="AA2699" s="257">
        <f>altaz((J2000_Bas+(2*0.04167)),$O2699,$M2699,DecLat,DecLong,1)</f>
        <v>41.741252579530936</v>
      </c>
      <c r="AB2699" s="257">
        <f>altaz((J2000_Bas+(4*0.04167)),$O2699,$M2699,DecLat,DecLong,1)</f>
        <v>17.568684497951821</v>
      </c>
      <c r="AC2699" s="257">
        <f>altaz((J2000_Bas+(6*0.04167)),$O2699,$M2699,DecLat,DecLong,1)</f>
        <v>-8.1238531708970427</v>
      </c>
      <c r="AD2699" s="258">
        <f>1+ transit((J2000_Bas-1),$O2699,$M2699,DecLat,DecLong)/360 + (GMTOffset/24) + (IF(DST="Y", 1, 0)/24)</f>
        <v>1.7602378468588749</v>
      </c>
      <c r="AE2699" s="259">
        <f>DATE(2001,9,21)+(M2699/360)*365 - (360*((DecLong/360)- (GMTOffset/24) ))</f>
        <v>37440.078356481485</v>
      </c>
      <c r="AF2699" s="260">
        <f>IF(DecLat&gt;0,IF((90 - (DecLat-O2699))&gt;90, (90 - (O2699-DecLat)), (90 - (DecLat-O2699))),IF((90 + (DecLat-O2699))&gt;90, (90 + (O2699-DecLat)), (90 + (DecLat-O2699))))</f>
        <v>59.86</v>
      </c>
      <c r="AG2699" s="257">
        <f>angularseperation(MoonRA,MoonDec,$M2699,$O2699)</f>
        <v>38.151808498504685</v>
      </c>
      <c r="AH2699" s="261">
        <f ca="1">MIN(100,IF($O$5&gt;80,0+30*($AG2699/100),IF($O$5&gt;70,0+50*($AG2699/100),IF($O$5&gt;60,5+50*($AG2699/100),IF($O$5&gt;50,10+60*($AG2699/100),IF($O$5&gt;40,15+70*($AG2699/100),IF($O$5&gt;30,20+70*($AG2699/100),IF($O$5&gt;20,40+55*($AG2699/100),(80+(20-$O$5)+30*($AG2699/100))))))))))</f>
        <v>94.716602893701832</v>
      </c>
      <c r="AI2699" s="262"/>
      <c r="AJ2699" s="262"/>
      <c r="AK2699" s="262"/>
      <c r="AL2699" s="263"/>
      <c r="AM2699" s="264"/>
      <c r="AN2699" s="263"/>
      <c r="AO2699" s="263"/>
      <c r="AP2699" s="265"/>
      <c r="AQ2699" s="266"/>
      <c r="AR2699" s="267"/>
      <c r="AS2699" s="263"/>
      <c r="AT2699" s="263"/>
      <c r="AU2699" s="263"/>
      <c r="AV2699" s="264"/>
      <c r="AW2699" s="263"/>
      <c r="AX2699" s="263"/>
      <c r="AY2699" s="263">
        <v>93</v>
      </c>
      <c r="AZ2699" s="263"/>
      <c r="BA2699" s="263"/>
      <c r="BB2699" s="263">
        <v>68</v>
      </c>
      <c r="BC2699" s="263"/>
      <c r="BD2699" s="264"/>
      <c r="BE2699" s="263"/>
      <c r="BF2699" s="263"/>
      <c r="BG2699" s="263"/>
      <c r="BH2699" s="263"/>
      <c r="BI2699" s="263"/>
      <c r="BJ2699" s="404">
        <f>altaz(J2000_Bas,$O2699,$M2699,DecLat,DecLong,2)</f>
        <v>198.91649400650277</v>
      </c>
      <c r="BK2699" s="378" t="s">
        <v>2514</v>
      </c>
      <c r="BL2699" s="379">
        <f>IF((2*G2699)/60&lt;0.2,0.2,(2*G2699)/60)</f>
        <v>0.26666666666666666</v>
      </c>
      <c r="BM2699" s="380">
        <f>MOD((50000+AD2699-$B$3+(0/24)),1)</f>
        <v>0.97560477656224975</v>
      </c>
      <c r="BN2699" s="381"/>
      <c r="BO2699" s="382">
        <v>2690</v>
      </c>
    </row>
    <row r="2700" spans="1:67" s="24" customFormat="1" ht="15" customHeight="1" x14ac:dyDescent="0.25">
      <c r="A2700" s="288" t="s">
        <v>2515</v>
      </c>
      <c r="B2700" s="241" t="str">
        <f>HYPERLINK(CONCATENATE($AT$3,BK2700,$AU$3),$AV$3)</f>
        <v>S</v>
      </c>
      <c r="C2700" s="242" t="str">
        <f>HYPERLINK(CONCATENATE($AT$4,BK2700,$AU$4,BL2700),$AV$4)</f>
        <v>A</v>
      </c>
      <c r="D2700" s="243" t="s">
        <v>5187</v>
      </c>
      <c r="E2700" s="244" t="s">
        <v>5183</v>
      </c>
      <c r="F2700" s="269" t="s">
        <v>5180</v>
      </c>
      <c r="G2700" s="276">
        <v>30</v>
      </c>
      <c r="H2700" s="283">
        <v>12000</v>
      </c>
      <c r="I2700" s="246">
        <v>100</v>
      </c>
      <c r="J2700" s="246">
        <v>3</v>
      </c>
      <c r="K2700" s="247" t="s">
        <v>6295</v>
      </c>
      <c r="L2700" s="248">
        <v>184414</v>
      </c>
      <c r="M2700" s="249">
        <f>15*(LEFT(TEXT($L2700,"000000"),2)+(MID(TEXT($L2700,"000000"),3,2)/60)+(RIGHT(TEXT($L2700,"000000"),2)/3600))</f>
        <v>281.05833333333334</v>
      </c>
      <c r="N2700" s="250">
        <v>-1853</v>
      </c>
      <c r="O2700" s="251">
        <f>IF($N2700&gt;0,(LEFT(TEXT($N2700,"000000"),2)+(MID(TEXT($N2700,"000000"),3,2)/60)+(RIGHT(TEXT($N2700,"000000"),2)/3600)),-(MID(TEXT($N2700,"000000"),2,2)+(MID(TEXT($N2700,"000000"),4,2)/60)+(RIGHT(TEXT($N2700,"000000"),2)/3600)))</f>
        <v>-0.31472222222222224</v>
      </c>
      <c r="P2700" s="252" t="s">
        <v>126</v>
      </c>
      <c r="Q2700" s="253" t="s">
        <v>7009</v>
      </c>
      <c r="R2700" s="247" t="s">
        <v>5134</v>
      </c>
      <c r="S2700" s="272" t="s">
        <v>5135</v>
      </c>
      <c r="T2700" s="273"/>
      <c r="U2700" s="274"/>
      <c r="V2700" s="280"/>
      <c r="W2700" s="244"/>
      <c r="X2700" s="244"/>
      <c r="Y2700" s="362"/>
      <c r="Z2700" s="257">
        <f>altaz(J2000_Bas,$O2700,$M2700,DecLat,DecLong,1)</f>
        <v>58.335422023230059</v>
      </c>
      <c r="AA2700" s="257">
        <f>altaz((J2000_Bas+(2*0.04167)),$O2700,$M2700,DecLat,DecLong,1)</f>
        <v>44.351889268762299</v>
      </c>
      <c r="AB2700" s="257">
        <f>altaz((J2000_Bas+(4*0.04167)),$O2700,$M2700,DecLat,DecLong,1)</f>
        <v>20.97018171577254</v>
      </c>
      <c r="AC2700" s="257">
        <f>altaz((J2000_Bas+(6*0.04167)),$O2700,$M2700,DecLat,DecLong,1)</f>
        <v>-4.6164014767692434</v>
      </c>
      <c r="AD2700" s="258">
        <f>1+ transit((J2000_Bas-1),$O2700,$M2700,DecLat,DecLong)/360 + (GMTOffset/24) + (IF(DST="Y", 1, 0)/24)</f>
        <v>1.7736174751505414</v>
      </c>
      <c r="AE2700" s="259">
        <f>DATE(2001,9,21)+(M2700/360)*365 - (360*((DecLong/360)- (GMTOffset/24) ))</f>
        <v>37444.961921296293</v>
      </c>
      <c r="AF2700" s="260">
        <f>IF(DecLat&gt;0,IF((90 - (DecLat-O2700))&gt;90, (90 - (O2700-DecLat)), (90 - (DecLat-O2700))),IF((90 + (DecLat-O2700))&gt;90, (90 + (O2700-DecLat)), (90 + (DecLat-O2700))))</f>
        <v>58.685277777777777</v>
      </c>
      <c r="AG2700" s="257">
        <f>angularseperation(MoonRA,MoonDec,$M2700,$O2700)</f>
        <v>40.619672714692406</v>
      </c>
      <c r="AH2700" s="261">
        <f ca="1">MIN(100,IF($O$5&gt;80,0+30*($AG2700/100),IF($O$5&gt;70,0+50*($AG2700/100),IF($O$5&gt;60,5+50*($AG2700/100),IF($O$5&gt;50,10+60*($AG2700/100),IF($O$5&gt;40,15+70*($AG2700/100),IF($O$5&gt;30,20+70*($AG2700/100),IF($O$5&gt;20,40+55*($AG2700/100),(80+(20-$O$5)+30*($AG2700/100))))))))))</f>
        <v>95.456962158558156</v>
      </c>
      <c r="AI2700" s="262"/>
      <c r="AJ2700" s="262"/>
      <c r="AK2700" s="262"/>
      <c r="AL2700" s="263"/>
      <c r="AM2700" s="264"/>
      <c r="AN2700" s="263"/>
      <c r="AO2700" s="263"/>
      <c r="AP2700" s="265"/>
      <c r="AQ2700" s="266"/>
      <c r="AR2700" s="267"/>
      <c r="AS2700" s="263"/>
      <c r="AT2700" s="263"/>
      <c r="AU2700" s="263"/>
      <c r="AV2700" s="264"/>
      <c r="AW2700" s="263"/>
      <c r="AX2700" s="263"/>
      <c r="AY2700" s="263">
        <v>99</v>
      </c>
      <c r="AZ2700" s="263"/>
      <c r="BA2700" s="263">
        <v>177</v>
      </c>
      <c r="BB2700" s="263">
        <v>69</v>
      </c>
      <c r="BC2700" s="263"/>
      <c r="BD2700" s="264"/>
      <c r="BE2700" s="263"/>
      <c r="BF2700" s="263"/>
      <c r="BG2700" s="263"/>
      <c r="BH2700" s="263"/>
      <c r="BI2700" s="263"/>
      <c r="BJ2700" s="404">
        <f>altaz(J2000_Bas,$O2700,$M2700,DecLat,DecLong,2)</f>
        <v>189.44963338631462</v>
      </c>
      <c r="BK2700" s="378" t="s">
        <v>2515</v>
      </c>
      <c r="BL2700" s="379">
        <f>IF((2*G2700)/60&lt;0.2,0.2,(2*G2700)/60)</f>
        <v>1</v>
      </c>
      <c r="BM2700" s="380">
        <f>MOD((50000+AD2700-$B$3+(0/24)),1)</f>
        <v>0.98898440485208994</v>
      </c>
      <c r="BN2700" s="381"/>
      <c r="BO2700" s="382">
        <v>2691</v>
      </c>
    </row>
    <row r="2701" spans="1:67" s="24" customFormat="1" ht="15" customHeight="1" x14ac:dyDescent="0.25">
      <c r="A2701" s="288" t="s">
        <v>2516</v>
      </c>
      <c r="B2701" s="241" t="str">
        <f>HYPERLINK(CONCATENATE($AT$3,BK2701,$AU$3),$AV$3)</f>
        <v>S</v>
      </c>
      <c r="C2701" s="242" t="str">
        <f>HYPERLINK(CONCATENATE($AT$4,BK2701,$AU$4,BL2701),$AV$4)</f>
        <v>A</v>
      </c>
      <c r="D2701" s="243" t="s">
        <v>5187</v>
      </c>
      <c r="E2701" s="244" t="s">
        <v>7522</v>
      </c>
      <c r="F2701" s="269"/>
      <c r="G2701" s="273">
        <v>9</v>
      </c>
      <c r="H2701" s="283">
        <v>4000</v>
      </c>
      <c r="I2701" s="246">
        <v>11</v>
      </c>
      <c r="J2701" s="246">
        <v>1</v>
      </c>
      <c r="K2701" s="277" t="s">
        <v>6258</v>
      </c>
      <c r="L2701" s="248">
        <v>181400</v>
      </c>
      <c r="M2701" s="249">
        <f>15*(LEFT(TEXT($L2701,"000000"),2)+(MID(TEXT($L2701,"000000"),3,2)/60)+(RIGHT(TEXT($L2701,"000000"),2)/3600))</f>
        <v>273.5</v>
      </c>
      <c r="N2701" s="286">
        <v>70500</v>
      </c>
      <c r="O2701" s="251">
        <f>IF($N2701&gt;0,(LEFT(TEXT($N2701,"000000"),2)+(MID(TEXT($N2701,"000000"),3,2)/60)+(RIGHT(TEXT($N2701,"000000"),2)/3600)),-(MID(TEXT($N2701,"000000"),2,2)+(MID(TEXT($N2701,"000000"),4,2)/60)+(RIGHT(TEXT($N2701,"000000"),2)/3600)))</f>
        <v>7.083333333333333</v>
      </c>
      <c r="P2701" s="252" t="s">
        <v>126</v>
      </c>
      <c r="Q2701" s="253"/>
      <c r="R2701" s="277" t="s">
        <v>3293</v>
      </c>
      <c r="S2701" s="272" t="s">
        <v>3293</v>
      </c>
      <c r="T2701" s="273"/>
      <c r="U2701" s="274"/>
      <c r="V2701" s="280"/>
      <c r="W2701" s="244"/>
      <c r="X2701" s="244"/>
      <c r="Y2701" s="362"/>
      <c r="Z2701" s="257">
        <f>altaz(J2000_Bas,$O2701,$M2701,DecLat,DecLong,1)</f>
        <v>63.375719571717433</v>
      </c>
      <c r="AA2701" s="257">
        <f>altaz((J2000_Bas+(2*0.04167)),$O2701,$M2701,DecLat,DecLong,1)</f>
        <v>43.612893067747187</v>
      </c>
      <c r="AB2701" s="257">
        <f>altaz((J2000_Bas+(4*0.04167)),$O2701,$M2701,DecLat,DecLong,1)</f>
        <v>18.473516187735164</v>
      </c>
      <c r="AC2701" s="257">
        <f>altaz((J2000_Bas+(6*0.04167)),$O2701,$M2701,DecLat,DecLong,1)</f>
        <v>-7.1409481174553013</v>
      </c>
      <c r="AD2701" s="258">
        <f>1+ transit((J2000_Bas-1),$O2701,$M2701,DecLat,DecLong)/360 + (GMTOffset/24) + (IF(DST="Y", 1, 0)/24)</f>
        <v>1.7526221068797081</v>
      </c>
      <c r="AE2701" s="259">
        <f>DATE(2001,9,21)+(M2701/360)*365 - (360*((DecLong/360)- (GMTOffset/24) ))</f>
        <v>37437.298611111109</v>
      </c>
      <c r="AF2701" s="260">
        <f>IF(DecLat&gt;0,IF((90 - (DecLat-O2701))&gt;90, (90 - (O2701-DecLat)), (90 - (DecLat-O2701))),IF((90 + (DecLat-O2701))&gt;90, (90 + (O2701-DecLat)), (90 + (DecLat-O2701))))</f>
        <v>66.083333333333329</v>
      </c>
      <c r="AG2701" s="257">
        <f>angularseperation(MoonRA,MoonDec,$M2701,$O2701)</f>
        <v>41.462725263227085</v>
      </c>
      <c r="AH2701" s="261">
        <f ca="1">MIN(100,IF($O$5&gt;80,0+30*($AG2701/100),IF($O$5&gt;70,0+50*($AG2701/100),IF($O$5&gt;60,5+50*($AG2701/100),IF($O$5&gt;50,10+60*($AG2701/100),IF($O$5&gt;40,15+70*($AG2701/100),IF($O$5&gt;30,20+70*($AG2701/100),IF($O$5&gt;20,40+55*($AG2701/100),(80+(20-$O$5)+30*($AG2701/100))))))))))</f>
        <v>95.709877923118555</v>
      </c>
      <c r="AI2701" s="263"/>
      <c r="AJ2701" s="263"/>
      <c r="AK2701" s="263"/>
      <c r="AL2701" s="263"/>
      <c r="AM2701" s="264"/>
      <c r="AN2701" s="263"/>
      <c r="AO2701" s="263"/>
      <c r="AP2701" s="265"/>
      <c r="AQ2701" s="265"/>
      <c r="AR2701" s="285"/>
      <c r="AS2701" s="263"/>
      <c r="AT2701" s="263"/>
      <c r="AU2701" s="263"/>
      <c r="AV2701" s="264"/>
      <c r="AW2701" s="263"/>
      <c r="AX2701" s="263"/>
      <c r="AY2701" s="263">
        <v>102</v>
      </c>
      <c r="AZ2701" s="263"/>
      <c r="BA2701" s="263"/>
      <c r="BB2701" s="263">
        <v>70</v>
      </c>
      <c r="BC2701" s="263"/>
      <c r="BD2701" s="264"/>
      <c r="BE2701" s="263"/>
      <c r="BF2701" s="263"/>
      <c r="BG2701" s="263"/>
      <c r="BH2701" s="263"/>
      <c r="BI2701" s="263"/>
      <c r="BJ2701" s="404">
        <f>altaz(J2000_Bas,$O2701,$M2701,DecLat,DecLong,2)</f>
        <v>208.64546392495981</v>
      </c>
      <c r="BK2701" s="378" t="s">
        <v>2516</v>
      </c>
      <c r="BL2701" s="379">
        <f>IF((2*G2701)/60&lt;0.2,0.2,(2*G2701)/60)</f>
        <v>0.3</v>
      </c>
      <c r="BM2701" s="380">
        <f>MOD((50000+AD2701-$B$3+(0/24)),1)</f>
        <v>0.96798903658054769</v>
      </c>
      <c r="BN2701" s="381"/>
      <c r="BO2701" s="382">
        <v>2692</v>
      </c>
    </row>
    <row r="2702" spans="1:67" s="24" customFormat="1" ht="15" customHeight="1" x14ac:dyDescent="0.25">
      <c r="A2702" s="288" t="s">
        <v>2517</v>
      </c>
      <c r="B2702" s="241" t="str">
        <f>HYPERLINK(CONCATENATE($AT$3,BK2702,$AU$3),$AV$3)</f>
        <v>S</v>
      </c>
      <c r="C2702" s="242" t="str">
        <f>HYPERLINK(CONCATENATE($AT$4,BK2702,$AU$4,BL2702),$AV$4)</f>
        <v>A</v>
      </c>
      <c r="D2702" s="243" t="s">
        <v>5187</v>
      </c>
      <c r="E2702" s="244" t="s">
        <v>5181</v>
      </c>
      <c r="F2702" s="269" t="s">
        <v>5137</v>
      </c>
      <c r="G2702" s="273">
        <v>3</v>
      </c>
      <c r="H2702" s="283">
        <v>3000</v>
      </c>
      <c r="I2702" s="279">
        <v>2.5</v>
      </c>
      <c r="J2702" s="246">
        <v>3</v>
      </c>
      <c r="K2702" s="247" t="s">
        <v>5136</v>
      </c>
      <c r="L2702" s="248">
        <v>190200</v>
      </c>
      <c r="M2702" s="249">
        <f>15*(LEFT(TEXT($L2702,"000000"),2)+(MID(TEXT($L2702,"000000"),3,2)/60)+(RIGHT(TEXT($L2702,"000000"),2)/3600))</f>
        <v>285.5</v>
      </c>
      <c r="N2702" s="250">
        <v>20911</v>
      </c>
      <c r="O2702" s="251">
        <f>IF($N2702&gt;0,(LEFT(TEXT($N2702,"000000"),2)+(MID(TEXT($N2702,"000000"),3,2)/60)+(RIGHT(TEXT($N2702,"000000"),2)/3600)),-(MID(TEXT($N2702,"000000"),2,2)+(MID(TEXT($N2702,"000000"),4,2)/60)+(RIGHT(TEXT($N2702,"000000"),2)/3600)))</f>
        <v>2.1530555555555555</v>
      </c>
      <c r="P2702" s="252" t="s">
        <v>126</v>
      </c>
      <c r="Q2702" s="253"/>
      <c r="R2702" s="247" t="s">
        <v>5499</v>
      </c>
      <c r="S2702" s="272" t="s">
        <v>3293</v>
      </c>
      <c r="T2702" s="273"/>
      <c r="U2702" s="274"/>
      <c r="V2702" s="280"/>
      <c r="W2702" s="244"/>
      <c r="X2702" s="244"/>
      <c r="Y2702" s="362"/>
      <c r="Z2702" s="257">
        <f>altaz(J2000_Bas,$O2702,$M2702,DecLat,DecLong,1)</f>
        <v>61.149141775233275</v>
      </c>
      <c r="AA2702" s="257">
        <f>altaz((J2000_Bas+(2*0.04167)),$O2702,$M2702,DecLat,DecLong,1)</f>
        <v>49.176428089778142</v>
      </c>
      <c r="AB2702" s="257">
        <f>altaz((J2000_Bas+(4*0.04167)),$O2702,$M2702,DecLat,DecLong,1)</f>
        <v>26.034017961576161</v>
      </c>
      <c r="AC2702" s="257">
        <f>altaz((J2000_Bas+(6*0.04167)),$O2702,$M2702,DecLat,DecLong,1)</f>
        <v>0.46088596931783504</v>
      </c>
      <c r="AD2702" s="258">
        <f>1+ transit((J2000_Bas-1),$O2702,$M2702,DecLat,DecLong)/360 + (GMTOffset/24) + (IF(DST="Y", 1, 0)/24)</f>
        <v>1.7859554368797079</v>
      </c>
      <c r="AE2702" s="259">
        <f>DATE(2001,9,21)+(M2702/360)*365 - (360*((DecLong/360)- (GMTOffset/24) ))</f>
        <v>37449.465277777781</v>
      </c>
      <c r="AF2702" s="260">
        <f>IF(DecLat&gt;0,IF((90 - (DecLat-O2702))&gt;90, (90 - (O2702-DecLat)), (90 - (DecLat-O2702))),IF((90 + (DecLat-O2702))&gt;90, (90 + (O2702-DecLat)), (90 + (DecLat-O2702))))</f>
        <v>61.153055555555554</v>
      </c>
      <c r="AG2702" s="257">
        <f>angularseperation(MoonRA,MoonDec,$M2702,$O2702)</f>
        <v>45.547075328658558</v>
      </c>
      <c r="AH2702" s="261">
        <f ca="1">MIN(100,IF($O$5&gt;80,0+30*($AG2702/100),IF($O$5&gt;70,0+50*($AG2702/100),IF($O$5&gt;60,5+50*($AG2702/100),IF($O$5&gt;50,10+60*($AG2702/100),IF($O$5&gt;40,15+70*($AG2702/100),IF($O$5&gt;30,20+70*($AG2702/100),IF($O$5&gt;20,40+55*($AG2702/100),(80+(20-$O$5)+30*($AG2702/100))))))))))</f>
        <v>96.935182942748</v>
      </c>
      <c r="AI2702" s="262"/>
      <c r="AJ2702" s="262"/>
      <c r="AK2702" s="262"/>
      <c r="AL2702" s="263"/>
      <c r="AM2702" s="264"/>
      <c r="AN2702" s="263"/>
      <c r="AO2702" s="263"/>
      <c r="AP2702" s="265"/>
      <c r="AQ2702" s="266"/>
      <c r="AR2702" s="267"/>
      <c r="AS2702" s="263"/>
      <c r="AT2702" s="263"/>
      <c r="AU2702" s="263"/>
      <c r="AV2702" s="264">
        <v>190</v>
      </c>
      <c r="AW2702" s="263"/>
      <c r="AX2702" s="263"/>
      <c r="AY2702" s="263">
        <v>103</v>
      </c>
      <c r="AZ2702" s="263"/>
      <c r="BA2702" s="263"/>
      <c r="BB2702" s="263">
        <v>71</v>
      </c>
      <c r="BC2702" s="263"/>
      <c r="BD2702" s="264"/>
      <c r="BE2702" s="263"/>
      <c r="BF2702" s="263"/>
      <c r="BG2702" s="263"/>
      <c r="BH2702" s="263"/>
      <c r="BI2702" s="263"/>
      <c r="BJ2702" s="404">
        <f>altaz(J2000_Bas,$O2702,$M2702,DecLat,DecLong,2)</f>
        <v>181.04095481573648</v>
      </c>
      <c r="BK2702" s="378" t="s">
        <v>2517</v>
      </c>
      <c r="BL2702" s="379">
        <f>IF((2*G2702)/60&lt;0.2,0.2,(2*G2702)/60)</f>
        <v>0.2</v>
      </c>
      <c r="BM2702" s="380">
        <f>MOD((50000+AD2702-$B$3+(0/24)),1)</f>
        <v>1.3223665810073726E-3</v>
      </c>
      <c r="BN2702" s="381"/>
      <c r="BO2702" s="382">
        <v>2693</v>
      </c>
    </row>
    <row r="2703" spans="1:67" s="24" customFormat="1" ht="15" customHeight="1" x14ac:dyDescent="0.25">
      <c r="A2703" s="288" t="s">
        <v>2518</v>
      </c>
      <c r="B2703" s="241" t="str">
        <f>HYPERLINK(CONCATENATE($AT$3,BK2703,$AU$3),$AV$3)</f>
        <v>S</v>
      </c>
      <c r="C2703" s="242" t="str">
        <f>HYPERLINK(CONCATENATE($AT$4,BK2703,$AU$4,BL2703),$AV$4)</f>
        <v>A</v>
      </c>
      <c r="D2703" s="243" t="s">
        <v>5187</v>
      </c>
      <c r="E2703" s="244" t="s">
        <v>5183</v>
      </c>
      <c r="F2703" s="269" t="s">
        <v>5180</v>
      </c>
      <c r="G2703" s="276">
        <v>25</v>
      </c>
      <c r="H2703" s="283">
        <v>13000</v>
      </c>
      <c r="I2703" s="246">
        <v>90</v>
      </c>
      <c r="J2703" s="246">
        <v>2</v>
      </c>
      <c r="K2703" s="247" t="s">
        <v>6296</v>
      </c>
      <c r="L2703" s="248">
        <v>190348</v>
      </c>
      <c r="M2703" s="249">
        <f>15*(LEFT(TEXT($L2703,"000000"),2)+(MID(TEXT($L2703,"000000"),3,2)/60)+(RIGHT(TEXT($L2703,"000000"),2)/3600))</f>
        <v>285.95</v>
      </c>
      <c r="N2703" s="250">
        <v>21900</v>
      </c>
      <c r="O2703" s="251">
        <f>IF($N2703&gt;0,(LEFT(TEXT($N2703,"000000"),2)+(MID(TEXT($N2703,"000000"),3,2)/60)+(RIGHT(TEXT($N2703,"000000"),2)/3600)),-(MID(TEXT($N2703,"000000"),2,2)+(MID(TEXT($N2703,"000000"),4,2)/60)+(RIGHT(TEXT($N2703,"000000"),2)/3600)))</f>
        <v>2.3166666666666664</v>
      </c>
      <c r="P2703" s="252" t="s">
        <v>126</v>
      </c>
      <c r="Q2703" s="253"/>
      <c r="R2703" s="277" t="s">
        <v>6092</v>
      </c>
      <c r="S2703" s="272" t="s">
        <v>3293</v>
      </c>
      <c r="T2703" s="273"/>
      <c r="U2703" s="274"/>
      <c r="V2703" s="280"/>
      <c r="W2703" s="244"/>
      <c r="X2703" s="244"/>
      <c r="Y2703" s="362"/>
      <c r="Z2703" s="257">
        <f>altaz(J2000_Bas,$O2703,$M2703,DecLat,DecLong,1)</f>
        <v>61.316623538445079</v>
      </c>
      <c r="AA2703" s="257">
        <f>altaz((J2000_Bas+(2*0.04167)),$O2703,$M2703,DecLat,DecLong,1)</f>
        <v>49.597823288578823</v>
      </c>
      <c r="AB2703" s="257">
        <f>altaz((J2000_Bas+(4*0.04167)),$O2703,$M2703,DecLat,DecLong,1)</f>
        <v>26.498799003819066</v>
      </c>
      <c r="AC2703" s="257">
        <f>altaz((J2000_Bas+(6*0.04167)),$O2703,$M2703,DecLat,DecLong,1)</f>
        <v>0.93058838944184352</v>
      </c>
      <c r="AD2703" s="258">
        <f>1+ transit((J2000_Bas-1),$O2703,$M2703,DecLat,DecLong)/360 + (GMTOffset/24) + (IF(DST="Y", 1, 0)/24)</f>
        <v>1.7872054367547079</v>
      </c>
      <c r="AE2703" s="259">
        <f>DATE(2001,9,21)+(M2703/360)*365 - (360*((DecLong/360)- (GMTOffset/24) ))</f>
        <v>37449.921527777777</v>
      </c>
      <c r="AF2703" s="260">
        <f>IF(DecLat&gt;0,IF((90 - (DecLat-O2703))&gt;90, (90 - (O2703-DecLat)), (90 - (DecLat-O2703))),IF((90 + (DecLat-O2703))&gt;90, (90 + (O2703-DecLat)), (90 + (DecLat-O2703))))</f>
        <v>61.316666666666663</v>
      </c>
      <c r="AG2703" s="257">
        <f>angularseperation(MoonRA,MoonDec,$M2703,$O2703)</f>
        <v>45.989548893863152</v>
      </c>
      <c r="AH2703" s="261">
        <f ca="1">MIN(100,IF($O$5&gt;80,0+30*($AG2703/100),IF($O$5&gt;70,0+50*($AG2703/100),IF($O$5&gt;60,5+50*($AG2703/100),IF($O$5&gt;50,10+60*($AG2703/100),IF($O$5&gt;40,15+70*($AG2703/100),IF($O$5&gt;30,20+70*($AG2703/100),IF($O$5&gt;20,40+55*($AG2703/100),(80+(20-$O$5)+30*($AG2703/100))))))))))</f>
        <v>97.067925012309374</v>
      </c>
      <c r="AI2703" s="263"/>
      <c r="AJ2703" s="263"/>
      <c r="AK2703" s="263"/>
      <c r="AL2703" s="263"/>
      <c r="AM2703" s="264"/>
      <c r="AN2703" s="263"/>
      <c r="AO2703" s="263"/>
      <c r="AP2703" s="265"/>
      <c r="AQ2703" s="265"/>
      <c r="AR2703" s="285"/>
      <c r="AS2703" s="263"/>
      <c r="AT2703" s="263"/>
      <c r="AU2703" s="263"/>
      <c r="AV2703" s="264"/>
      <c r="AW2703" s="263"/>
      <c r="AX2703" s="263"/>
      <c r="AY2703" s="263"/>
      <c r="AZ2703" s="263"/>
      <c r="BA2703" s="263">
        <v>179</v>
      </c>
      <c r="BB2703" s="263">
        <v>72</v>
      </c>
      <c r="BC2703" s="263"/>
      <c r="BD2703" s="264"/>
      <c r="BE2703" s="263"/>
      <c r="BF2703" s="263"/>
      <c r="BG2703" s="263"/>
      <c r="BH2703" s="263"/>
      <c r="BI2703" s="263"/>
      <c r="BJ2703" s="404">
        <f>altaz(J2000_Bas,$O2703,$M2703,DecLat,DecLong,2)</f>
        <v>180.10955702271761</v>
      </c>
      <c r="BK2703" s="378" t="s">
        <v>2518</v>
      </c>
      <c r="BL2703" s="379">
        <f>IF((2*G2703)/60&lt;0.2,0.2,(2*G2703)/60)</f>
        <v>0.83333333333333337</v>
      </c>
      <c r="BM2703" s="380">
        <f>MOD((50000+AD2703-$B$3+(0/24)),1)</f>
        <v>2.5723664584802464E-3</v>
      </c>
      <c r="BN2703" s="381"/>
      <c r="BO2703" s="382">
        <v>2694</v>
      </c>
    </row>
    <row r="2704" spans="1:67" s="24" customFormat="1" ht="15" customHeight="1" x14ac:dyDescent="0.25">
      <c r="A2704" s="288" t="s">
        <v>2519</v>
      </c>
      <c r="B2704" s="241" t="str">
        <f>HYPERLINK(CONCATENATE($AT$3,BK2704,$AU$3),$AV$3)</f>
        <v>S</v>
      </c>
      <c r="C2704" s="242" t="str">
        <f>HYPERLINK(CONCATENATE($AT$4,BK2704,$AU$4,BL2704),$AV$4)</f>
        <v>A</v>
      </c>
      <c r="D2704" s="243" t="s">
        <v>5187</v>
      </c>
      <c r="E2704" s="244" t="s">
        <v>7522</v>
      </c>
      <c r="F2704" s="269"/>
      <c r="G2704" s="276">
        <v>90</v>
      </c>
      <c r="H2704" s="283">
        <v>700</v>
      </c>
      <c r="I2704" s="246">
        <v>20</v>
      </c>
      <c r="J2704" s="246">
        <v>2</v>
      </c>
      <c r="K2704" s="247" t="s">
        <v>5138</v>
      </c>
      <c r="L2704" s="248">
        <v>161014</v>
      </c>
      <c r="M2704" s="249">
        <f>15*(LEFT(TEXT($L2704,"000000"),2)+(MID(TEXT($L2704,"000000"),3,2)/60)+(RIGHT(TEXT($L2704,"000000"),2)/3600))</f>
        <v>242.55833333333334</v>
      </c>
      <c r="N2704" s="250">
        <v>215208</v>
      </c>
      <c r="O2704" s="251">
        <f>IF($N2704&gt;0,(LEFT(TEXT($N2704,"000000"),2)+(MID(TEXT($N2704,"000000"),3,2)/60)+(RIGHT(TEXT($N2704,"000000"),2)/3600)),-(MID(TEXT($N2704,"000000"),2,2)+(MID(TEXT($N2704,"000000"),4,2)/60)+(RIGHT(TEXT($N2704,"000000"),2)/3600)))</f>
        <v>21.86888888888889</v>
      </c>
      <c r="P2704" s="252" t="s">
        <v>111</v>
      </c>
      <c r="Q2704" s="253"/>
      <c r="R2704" s="247" t="s">
        <v>3293</v>
      </c>
      <c r="S2704" s="272" t="s">
        <v>3293</v>
      </c>
      <c r="T2704" s="273"/>
      <c r="U2704" s="274"/>
      <c r="V2704" s="280"/>
      <c r="W2704" s="244"/>
      <c r="X2704" s="244"/>
      <c r="Y2704" s="362"/>
      <c r="Z2704" s="257">
        <f>altaz(J2000_Bas,$O2704,$M2704,DecLat,DecLong,1)</f>
        <v>50.299994766631499</v>
      </c>
      <c r="AA2704" s="257">
        <f>altaz((J2000_Bas+(2*0.04167)),$O2704,$M2704,DecLat,DecLong,1)</f>
        <v>24.669869730539428</v>
      </c>
      <c r="AB2704" s="257">
        <f>altaz((J2000_Bas+(4*0.04167)),$O2704,$M2704,DecLat,DecLong,1)</f>
        <v>0.2641890991844002</v>
      </c>
      <c r="AC2704" s="257">
        <f>altaz((J2000_Bas+(6*0.04167)),$O2704,$M2704,DecLat,DecLong,1)</f>
        <v>-20.960358278742877</v>
      </c>
      <c r="AD2704" s="258">
        <f>1+ transit((J2000_Bas-1),$O2704,$M2704,DecLat,DecLong)/360 + (GMTOffset/24) + (IF(DST="Y", 1, 0)/24)</f>
        <v>1.6666730414005413</v>
      </c>
      <c r="AE2704" s="259">
        <f>DATE(2001,9,21)+(M2704/360)*365 - (360*((DecLong/360)- (GMTOffset/24) ))</f>
        <v>37405.927199074074</v>
      </c>
      <c r="AF2704" s="260">
        <f>IF(DecLat&gt;0,IF((90 - (DecLat-O2704))&gt;90, (90 - (O2704-DecLat)), (90 - (DecLat-O2704))),IF((90 + (DecLat-O2704))&gt;90, (90 + (O2704-DecLat)), (90 + (DecLat-O2704))))</f>
        <v>80.86888888888889</v>
      </c>
      <c r="AG2704" s="257">
        <f>angularseperation(MoonRA,MoonDec,$M2704,$O2704)</f>
        <v>49.378215780170507</v>
      </c>
      <c r="AH2704" s="261">
        <f ca="1">MIN(100,IF($O$5&gt;80,0+30*($AG2704/100),IF($O$5&gt;70,0+50*($AG2704/100),IF($O$5&gt;60,5+50*($AG2704/100),IF($O$5&gt;50,10+60*($AG2704/100),IF($O$5&gt;40,15+70*($AG2704/100),IF($O$5&gt;30,20+70*($AG2704/100),IF($O$5&gt;20,40+55*($AG2704/100),(80+(20-$O$5)+30*($AG2704/100))))))))))</f>
        <v>98.08452507820158</v>
      </c>
      <c r="AI2704" s="262"/>
      <c r="AJ2704" s="262"/>
      <c r="AK2704" s="262"/>
      <c r="AL2704" s="263"/>
      <c r="AM2704" s="264"/>
      <c r="AN2704" s="263"/>
      <c r="AO2704" s="263"/>
      <c r="AP2704" s="265"/>
      <c r="AQ2704" s="266"/>
      <c r="AR2704" s="267"/>
      <c r="AS2704" s="263"/>
      <c r="AT2704" s="263"/>
      <c r="AU2704" s="263"/>
      <c r="AV2704" s="264"/>
      <c r="AW2704" s="263"/>
      <c r="AX2704" s="263"/>
      <c r="AY2704" s="263">
        <v>105</v>
      </c>
      <c r="AZ2704" s="263"/>
      <c r="BA2704" s="263"/>
      <c r="BB2704" s="263">
        <v>73</v>
      </c>
      <c r="BC2704" s="263"/>
      <c r="BD2704" s="264"/>
      <c r="BE2704" s="263"/>
      <c r="BF2704" s="263"/>
      <c r="BG2704" s="263"/>
      <c r="BH2704" s="263"/>
      <c r="BI2704" s="263">
        <v>71</v>
      </c>
      <c r="BJ2704" s="404">
        <f>altaz(J2000_Bas,$O2704,$M2704,DecLat,DecLong,2)</f>
        <v>267.51014431563044</v>
      </c>
      <c r="BK2704" s="378" t="s">
        <v>2519</v>
      </c>
      <c r="BL2704" s="379">
        <f>IF((2*G2704)/60&lt;0.2,0.2,(2*G2704)/60)</f>
        <v>3</v>
      </c>
      <c r="BM2704" s="380">
        <f>MOD((50000+AD2704-$B$3+(0/24)),1)</f>
        <v>0.88203997110394994</v>
      </c>
      <c r="BN2704" s="381"/>
      <c r="BO2704" s="382">
        <v>2695</v>
      </c>
    </row>
    <row r="2705" spans="1:67" s="24" customFormat="1" ht="15" customHeight="1" x14ac:dyDescent="0.25">
      <c r="A2705" s="288" t="s">
        <v>2520</v>
      </c>
      <c r="B2705" s="241" t="str">
        <f>HYPERLINK(CONCATENATE($AT$3,BK2705,$AU$3),$AV$3)</f>
        <v>S</v>
      </c>
      <c r="C2705" s="242" t="str">
        <f>HYPERLINK(CONCATENATE($AT$4,BK2705,$AU$4,BL2705),$AV$4)</f>
        <v>A</v>
      </c>
      <c r="D2705" s="243" t="s">
        <v>5187</v>
      </c>
      <c r="E2705" s="244" t="s">
        <v>5183</v>
      </c>
      <c r="F2705" s="269" t="s">
        <v>5180</v>
      </c>
      <c r="G2705" s="276">
        <v>17</v>
      </c>
      <c r="H2705" s="283">
        <v>10000</v>
      </c>
      <c r="I2705" s="246">
        <v>50</v>
      </c>
      <c r="J2705" s="246">
        <v>1</v>
      </c>
      <c r="K2705" s="247" t="s">
        <v>6126</v>
      </c>
      <c r="L2705" s="248">
        <v>190918</v>
      </c>
      <c r="M2705" s="249">
        <f>15*(LEFT(TEXT($L2705,"000000"),2)+(MID(TEXT($L2705,"000000"),3,2)/60)+(RIGHT(TEXT($L2705,"000000"),2)/3600))</f>
        <v>287.32499999999999</v>
      </c>
      <c r="N2705" s="286">
        <v>53300</v>
      </c>
      <c r="O2705" s="251">
        <f>IF($N2705&gt;0,(LEFT(TEXT($N2705,"000000"),2)+(MID(TEXT($N2705,"000000"),3,2)/60)+(RIGHT(TEXT($N2705,"000000"),2)/3600)),-(MID(TEXT($N2705,"000000"),2,2)+(MID(TEXT($N2705,"000000"),4,2)/60)+(RIGHT(TEXT($N2705,"000000"),2)/3600)))</f>
        <v>5.55</v>
      </c>
      <c r="P2705" s="252" t="s">
        <v>126</v>
      </c>
      <c r="Q2705" s="253"/>
      <c r="R2705" s="277" t="s">
        <v>6093</v>
      </c>
      <c r="S2705" s="272" t="s">
        <v>3293</v>
      </c>
      <c r="T2705" s="273"/>
      <c r="U2705" s="274"/>
      <c r="V2705" s="280"/>
      <c r="W2705" s="244"/>
      <c r="X2705" s="244"/>
      <c r="Y2705" s="362"/>
      <c r="Z2705" s="257">
        <f>altaz(J2000_Bas,$O2705,$M2705,DecLat,DecLong,1)</f>
        <v>64.519721729830962</v>
      </c>
      <c r="AA2705" s="257">
        <f>altaz((J2000_Bas+(2*0.04167)),$O2705,$M2705,DecLat,DecLong,1)</f>
        <v>52.911311082230064</v>
      </c>
      <c r="AB2705" s="257">
        <f>altaz((J2000_Bas+(4*0.04167)),$O2705,$M2705,DecLat,DecLong,1)</f>
        <v>29.417557314978485</v>
      </c>
      <c r="AC2705" s="257">
        <f>altaz((J2000_Bas+(6*0.04167)),$O2705,$M2705,DecLat,DecLong,1)</f>
        <v>3.7684526072923799</v>
      </c>
      <c r="AD2705" s="258">
        <f>1+ transit((J2000_Bas-1),$O2705,$M2705,DecLat,DecLong)/360 + (GMTOffset/24) + (IF(DST="Y", 1, 0)/24)</f>
        <v>1.791024880817208</v>
      </c>
      <c r="AE2705" s="259">
        <f>DATE(2001,9,21)+(M2705/360)*365 - (360*((DecLong/360)- (GMTOffset/24) ))</f>
        <v>37451.315625000003</v>
      </c>
      <c r="AF2705" s="260">
        <f>IF(DecLat&gt;0,IF((90 - (DecLat-O2705))&gt;90, (90 - (O2705-DecLat)), (90 - (DecLat-O2705))),IF((90 + (DecLat-O2705))&gt;90, (90 + (O2705-DecLat)), (90 + (DecLat-O2705))))</f>
        <v>64.55</v>
      </c>
      <c r="AG2705" s="257">
        <f>angularseperation(MoonRA,MoonDec,$M2705,$O2705)</f>
        <v>49.19533784788068</v>
      </c>
      <c r="AH2705" s="261">
        <f ca="1">MIN(100,IF($O$5&gt;80,0+30*($AG2705/100),IF($O$5&gt;70,0+50*($AG2705/100),IF($O$5&gt;60,5+50*($AG2705/100),IF($O$5&gt;50,10+60*($AG2705/100),IF($O$5&gt;40,15+70*($AG2705/100),IF($O$5&gt;30,20+70*($AG2705/100),IF($O$5&gt;20,40+55*($AG2705/100),(80+(20-$O$5)+30*($AG2705/100))))))))))</f>
        <v>98.02966169851463</v>
      </c>
      <c r="AI2705" s="263"/>
      <c r="AJ2705" s="263"/>
      <c r="AK2705" s="263"/>
      <c r="AL2705" s="263"/>
      <c r="AM2705" s="264"/>
      <c r="AN2705" s="263"/>
      <c r="AO2705" s="263"/>
      <c r="AP2705" s="265"/>
      <c r="AQ2705" s="265"/>
      <c r="AR2705" s="285"/>
      <c r="AS2705" s="263"/>
      <c r="AT2705" s="263"/>
      <c r="AU2705" s="263"/>
      <c r="AV2705" s="264"/>
      <c r="AW2705" s="263"/>
      <c r="AX2705" s="263"/>
      <c r="AY2705" s="263">
        <v>109</v>
      </c>
      <c r="AZ2705" s="263"/>
      <c r="BA2705" s="263">
        <v>182</v>
      </c>
      <c r="BB2705" s="263">
        <v>74</v>
      </c>
      <c r="BC2705" s="263"/>
      <c r="BD2705" s="264"/>
      <c r="BE2705" s="263"/>
      <c r="BF2705" s="263"/>
      <c r="BG2705" s="263"/>
      <c r="BH2705" s="263"/>
      <c r="BI2705" s="263"/>
      <c r="BJ2705" s="404">
        <f>altaz(J2000_Bas,$O2705,$M2705,DecLat,DecLong,2)</f>
        <v>176.93937229174702</v>
      </c>
      <c r="BK2705" s="378" t="s">
        <v>2520</v>
      </c>
      <c r="BL2705" s="379">
        <f>IF((2*G2705)/60&lt;0.2,0.2,(2*G2705)/60)</f>
        <v>0.56666666666666665</v>
      </c>
      <c r="BM2705" s="380">
        <f>MOD((50000+AD2705-$B$3+(0/24)),1)</f>
        <v>6.3918105224729516E-3</v>
      </c>
      <c r="BN2705" s="381"/>
      <c r="BO2705" s="382">
        <v>2696</v>
      </c>
    </row>
    <row r="2706" spans="1:67" s="24" customFormat="1" ht="15" customHeight="1" x14ac:dyDescent="0.25">
      <c r="A2706" s="288" t="s">
        <v>2521</v>
      </c>
      <c r="B2706" s="241" t="str">
        <f>HYPERLINK(CONCATENATE($AT$3,BK2706,$AU$3),$AV$3)</f>
        <v>S</v>
      </c>
      <c r="C2706" s="242" t="str">
        <f>HYPERLINK(CONCATENATE($AT$4,BK2706,$AU$4,BL2706),$AV$4)</f>
        <v>A</v>
      </c>
      <c r="D2706" s="243" t="s">
        <v>5187</v>
      </c>
      <c r="E2706" s="244" t="s">
        <v>5183</v>
      </c>
      <c r="F2706" s="269" t="s">
        <v>5180</v>
      </c>
      <c r="G2706" s="273">
        <v>7</v>
      </c>
      <c r="H2706" s="283">
        <v>7000</v>
      </c>
      <c r="I2706" s="246">
        <v>16</v>
      </c>
      <c r="J2706" s="246">
        <v>1</v>
      </c>
      <c r="K2706" s="277" t="s">
        <v>6250</v>
      </c>
      <c r="L2706" s="248">
        <v>185918</v>
      </c>
      <c r="M2706" s="249">
        <f>15*(LEFT(TEXT($L2706,"000000"),2)+(MID(TEXT($L2706,"000000"),3,2)/60)+(RIGHT(TEXT($L2706,"000000"),2)/3600))</f>
        <v>284.82499999999999</v>
      </c>
      <c r="N2706" s="286">
        <v>70700</v>
      </c>
      <c r="O2706" s="251">
        <f>IF($N2706&gt;0,(LEFT(TEXT($N2706,"000000"),2)+(MID(TEXT($N2706,"000000"),3,2)/60)+(RIGHT(TEXT($N2706,"000000"),2)/3600)),-(MID(TEXT($N2706,"000000"),2,2)+(MID(TEXT($N2706,"000000"),4,2)/60)+(RIGHT(TEXT($N2706,"000000"),2)/3600)))</f>
        <v>7.1166666666666663</v>
      </c>
      <c r="P2706" s="252" t="s">
        <v>126</v>
      </c>
      <c r="Q2706" s="253"/>
      <c r="R2706" s="277" t="s">
        <v>3293</v>
      </c>
      <c r="S2706" s="272" t="s">
        <v>3293</v>
      </c>
      <c r="T2706" s="273"/>
      <c r="U2706" s="274"/>
      <c r="V2706" s="280"/>
      <c r="W2706" s="244"/>
      <c r="X2706" s="244"/>
      <c r="Y2706" s="362"/>
      <c r="Z2706" s="257">
        <f>altaz(J2000_Bas,$O2706,$M2706,DecLat,DecLong,1)</f>
        <v>66.091256043382955</v>
      </c>
      <c r="AA2706" s="257">
        <f>altaz((J2000_Bas+(2*0.04167)),$O2706,$M2706,DecLat,DecLong,1)</f>
        <v>52.267013715688137</v>
      </c>
      <c r="AB2706" s="257">
        <f>altaz((J2000_Bas+(4*0.04167)),$O2706,$M2706,DecLat,DecLong,1)</f>
        <v>28.142127705770033</v>
      </c>
      <c r="AC2706" s="257">
        <f>altaz((J2000_Bas+(6*0.04167)),$O2706,$M2706,DecLat,DecLong,1)</f>
        <v>2.4394238442931697</v>
      </c>
      <c r="AD2706" s="258">
        <f>1+ transit((J2000_Bas-1),$O2706,$M2706,DecLat,DecLong)/360 + (GMTOffset/24) + (IF(DST="Y", 1, 0)/24)</f>
        <v>1.7840804370672079</v>
      </c>
      <c r="AE2706" s="259">
        <f>DATE(2001,9,21)+(M2706/360)*365 - (360*((DecLong/360)- (GMTOffset/24) ))</f>
        <v>37448.780902777777</v>
      </c>
      <c r="AF2706" s="260">
        <f>IF(DecLat&gt;0,IF((90 - (DecLat-O2706))&gt;90, (90 - (O2706-DecLat)), (90 - (DecLat-O2706))),IF((90 + (DecLat-O2706))&gt;90, (90 + (O2706-DecLat)), (90 + (DecLat-O2706))))</f>
        <v>66.116666666666674</v>
      </c>
      <c r="AG2706" s="257">
        <f>angularseperation(MoonRA,MoonDec,$M2706,$O2706)</f>
        <v>48.539530873814684</v>
      </c>
      <c r="AH2706" s="261">
        <f ca="1">MIN(100,IF($O$5&gt;80,0+30*($AG2706/100),IF($O$5&gt;70,0+50*($AG2706/100),IF($O$5&gt;60,5+50*($AG2706/100),IF($O$5&gt;50,10+60*($AG2706/100),IF($O$5&gt;40,15+70*($AG2706/100),IF($O$5&gt;30,20+70*($AG2706/100),IF($O$5&gt;20,40+55*($AG2706/100),(80+(20-$O$5)+30*($AG2706/100))))))))))</f>
        <v>97.832919606294837</v>
      </c>
      <c r="AI2706" s="263"/>
      <c r="AJ2706" s="263"/>
      <c r="AK2706" s="263"/>
      <c r="AL2706" s="263"/>
      <c r="AM2706" s="264"/>
      <c r="AN2706" s="263"/>
      <c r="AO2706" s="263"/>
      <c r="AP2706" s="265"/>
      <c r="AQ2706" s="265"/>
      <c r="AR2706" s="285"/>
      <c r="AS2706" s="263"/>
      <c r="AT2706" s="263"/>
      <c r="AU2706" s="263"/>
      <c r="AV2706" s="264"/>
      <c r="AW2706" s="263"/>
      <c r="AX2706" s="263"/>
      <c r="AY2706" s="263"/>
      <c r="AZ2706" s="263"/>
      <c r="BA2706" s="263"/>
      <c r="BB2706" s="263">
        <v>75</v>
      </c>
      <c r="BC2706" s="263"/>
      <c r="BD2706" s="264"/>
      <c r="BE2706" s="263"/>
      <c r="BF2706" s="263"/>
      <c r="BG2706" s="263"/>
      <c r="BH2706" s="263"/>
      <c r="BI2706" s="263"/>
      <c r="BJ2706" s="404">
        <f>altaz(J2000_Bas,$O2706,$M2706,DecLat,DecLong,2)</f>
        <v>182.88433345664438</v>
      </c>
      <c r="BK2706" s="378" t="s">
        <v>2521</v>
      </c>
      <c r="BL2706" s="379">
        <f>IF((2*G2706)/60&lt;0.2,0.2,(2*G2706)/60)</f>
        <v>0.23333333333333334</v>
      </c>
      <c r="BM2706" s="380">
        <f>MOD((50000+AD2706-$B$3+(0/24)),1)</f>
        <v>0.99944736676843604</v>
      </c>
      <c r="BN2706" s="381"/>
      <c r="BO2706" s="382">
        <v>2697</v>
      </c>
    </row>
    <row r="2707" spans="1:67" s="24" customFormat="1" ht="15" customHeight="1" x14ac:dyDescent="0.25">
      <c r="A2707" s="288" t="s">
        <v>2522</v>
      </c>
      <c r="B2707" s="241" t="str">
        <f>HYPERLINK(CONCATENATE($AT$3,BK2707,$AU$3),$AV$3)</f>
        <v>S</v>
      </c>
      <c r="C2707" s="242" t="str">
        <f>HYPERLINK(CONCATENATE($AT$4,BK2707,$AU$4,BL2707),$AV$4)</f>
        <v>A</v>
      </c>
      <c r="D2707" s="243" t="s">
        <v>5187</v>
      </c>
      <c r="E2707" s="244" t="s">
        <v>5183</v>
      </c>
      <c r="F2707" s="269" t="s">
        <v>5180</v>
      </c>
      <c r="G2707" s="273">
        <v>7</v>
      </c>
      <c r="H2707" s="283">
        <v>5500</v>
      </c>
      <c r="I2707" s="246">
        <v>12</v>
      </c>
      <c r="J2707" s="246">
        <v>1</v>
      </c>
      <c r="K2707" s="277" t="s">
        <v>6250</v>
      </c>
      <c r="L2707" s="248">
        <v>185618</v>
      </c>
      <c r="M2707" s="249">
        <f>15*(LEFT(TEXT($L2707,"000000"),2)+(MID(TEXT($L2707,"000000"),3,2)/60)+(RIGHT(TEXT($L2707,"000000"),2)/3600))</f>
        <v>284.07499999999999</v>
      </c>
      <c r="N2707" s="286">
        <v>74800</v>
      </c>
      <c r="O2707" s="251">
        <f>IF($N2707&gt;0,(LEFT(TEXT($N2707,"000000"),2)+(MID(TEXT($N2707,"000000"),3,2)/60)+(RIGHT(TEXT($N2707,"000000"),2)/3600)),-(MID(TEXT($N2707,"000000"),2,2)+(MID(TEXT($N2707,"000000"),4,2)/60)+(RIGHT(TEXT($N2707,"000000"),2)/3600)))</f>
        <v>7.8</v>
      </c>
      <c r="P2707" s="252" t="s">
        <v>126</v>
      </c>
      <c r="Q2707" s="253"/>
      <c r="R2707" s="277" t="s">
        <v>3293</v>
      </c>
      <c r="S2707" s="272" t="s">
        <v>3293</v>
      </c>
      <c r="T2707" s="273"/>
      <c r="U2707" s="274"/>
      <c r="V2707" s="280"/>
      <c r="W2707" s="244"/>
      <c r="X2707" s="244"/>
      <c r="Y2707" s="362"/>
      <c r="Z2707" s="257">
        <f>altaz(J2000_Bas,$O2707,$M2707,DecLat,DecLong,1)</f>
        <v>66.730203715905972</v>
      </c>
      <c r="AA2707" s="257">
        <f>altaz((J2000_Bas+(2*0.04167)),$O2707,$M2707,DecLat,DecLong,1)</f>
        <v>52.1851939335601</v>
      </c>
      <c r="AB2707" s="257">
        <f>altaz((J2000_Bas+(4*0.04167)),$O2707,$M2707,DecLat,DecLong,1)</f>
        <v>27.860787737976299</v>
      </c>
      <c r="AC2707" s="257">
        <f>altaz((J2000_Bas+(6*0.04167)),$O2707,$M2707,DecLat,DecLong,1)</f>
        <v>2.1534494778094961</v>
      </c>
      <c r="AD2707" s="258">
        <f>1+ transit((J2000_Bas-1),$O2707,$M2707,DecLat,DecLong)/360 + (GMTOffset/24) + (IF(DST="Y", 1, 0)/24)</f>
        <v>1.781997103942208</v>
      </c>
      <c r="AE2707" s="259">
        <f>DATE(2001,9,21)+(M2707/360)*365 - (360*((DecLong/360)- (GMTOffset/24) ))</f>
        <v>37448.020486111112</v>
      </c>
      <c r="AF2707" s="260">
        <f>IF(DecLat&gt;0,IF((90 - (DecLat-O2707))&gt;90, (90 - (O2707-DecLat)), (90 - (DecLat-O2707))),IF((90 + (DecLat-O2707))&gt;90, (90 + (O2707-DecLat)), (90 + (DecLat-O2707))))</f>
        <v>66.8</v>
      </c>
      <c r="AG2707" s="257">
        <f>angularseperation(MoonRA,MoonDec,$M2707,$O2707)</f>
        <v>48.527900665397411</v>
      </c>
      <c r="AH2707" s="261">
        <f ca="1">MIN(100,IF($O$5&gt;80,0+30*($AG2707/100),IF($O$5&gt;70,0+50*($AG2707/100),IF($O$5&gt;60,5+50*($AG2707/100),IF($O$5&gt;50,10+60*($AG2707/100),IF($O$5&gt;40,15+70*($AG2707/100),IF($O$5&gt;30,20+70*($AG2707/100),IF($O$5&gt;20,40+55*($AG2707/100),(80+(20-$O$5)+30*($AG2707/100))))))))))</f>
        <v>97.829430543769647</v>
      </c>
      <c r="AI2707" s="263"/>
      <c r="AJ2707" s="263"/>
      <c r="AK2707" s="263"/>
      <c r="AL2707" s="263"/>
      <c r="AM2707" s="264"/>
      <c r="AN2707" s="263"/>
      <c r="AO2707" s="263"/>
      <c r="AP2707" s="265"/>
      <c r="AQ2707" s="265"/>
      <c r="AR2707" s="285"/>
      <c r="AS2707" s="263"/>
      <c r="AT2707" s="263"/>
      <c r="AU2707" s="263"/>
      <c r="AV2707" s="264"/>
      <c r="AW2707" s="263"/>
      <c r="AX2707" s="263"/>
      <c r="AY2707" s="263">
        <v>110</v>
      </c>
      <c r="AZ2707" s="263"/>
      <c r="BA2707" s="263"/>
      <c r="BB2707" s="263">
        <v>76</v>
      </c>
      <c r="BC2707" s="263"/>
      <c r="BD2707" s="264"/>
      <c r="BE2707" s="263"/>
      <c r="BF2707" s="263"/>
      <c r="BG2707" s="263"/>
      <c r="BH2707" s="263"/>
      <c r="BI2707" s="263"/>
      <c r="BJ2707" s="404">
        <f>altaz(J2000_Bas,$O2707,$M2707,DecLat,DecLong,2)</f>
        <v>184.83900581344687</v>
      </c>
      <c r="BK2707" s="378" t="s">
        <v>2522</v>
      </c>
      <c r="BL2707" s="379">
        <f>IF((2*G2707)/60&lt;0.2,0.2,(2*G2707)/60)</f>
        <v>0.23333333333333334</v>
      </c>
      <c r="BM2707" s="380">
        <f>MOD((50000+AD2707-$B$3+(0/24)),1)</f>
        <v>0.99736403364659054</v>
      </c>
      <c r="BN2707" s="381"/>
      <c r="BO2707" s="382">
        <v>2698</v>
      </c>
    </row>
    <row r="2708" spans="1:67" s="24" customFormat="1" ht="15" customHeight="1" x14ac:dyDescent="0.25">
      <c r="A2708" s="288" t="s">
        <v>2523</v>
      </c>
      <c r="B2708" s="241" t="str">
        <f>HYPERLINK(CONCATENATE($AT$3,BK2708,$AU$3),$AV$3)</f>
        <v>S</v>
      </c>
      <c r="C2708" s="242" t="str">
        <f>HYPERLINK(CONCATENATE($AT$4,BK2708,$AU$4,BL2708),$AV$4)</f>
        <v>A</v>
      </c>
      <c r="D2708" s="243" t="s">
        <v>5187</v>
      </c>
      <c r="E2708" s="244" t="s">
        <v>7522</v>
      </c>
      <c r="F2708" s="269"/>
      <c r="G2708" s="276">
        <v>13</v>
      </c>
      <c r="H2708" s="283">
        <v>4000</v>
      </c>
      <c r="I2708" s="246">
        <v>15</v>
      </c>
      <c r="J2708" s="246">
        <v>0</v>
      </c>
      <c r="K2708" s="277" t="s">
        <v>6258</v>
      </c>
      <c r="L2708" s="248">
        <v>194818</v>
      </c>
      <c r="M2708" s="249">
        <f>15*(LEFT(TEXT($L2708,"000000"),2)+(MID(TEXT($L2708,"000000"),3,2)/60)+(RIGHT(TEXT($L2708,"000000"),2)/3600))</f>
        <v>297.07499999999999</v>
      </c>
      <c r="N2708" s="286">
        <v>10700</v>
      </c>
      <c r="O2708" s="251">
        <f>IF($N2708&gt;0,(LEFT(TEXT($N2708,"000000"),2)+(MID(TEXT($N2708,"000000"),3,2)/60)+(RIGHT(TEXT($N2708,"000000"),2)/3600)),-(MID(TEXT($N2708,"000000"),2,2)+(MID(TEXT($N2708,"000000"),4,2)/60)+(RIGHT(TEXT($N2708,"000000"),2)/3600)))</f>
        <v>1.1166666666666667</v>
      </c>
      <c r="P2708" s="252" t="s">
        <v>126</v>
      </c>
      <c r="Q2708" s="253"/>
      <c r="R2708" s="277" t="s">
        <v>3293</v>
      </c>
      <c r="S2708" s="272" t="s">
        <v>3293</v>
      </c>
      <c r="T2708" s="273"/>
      <c r="U2708" s="274"/>
      <c r="V2708" s="280"/>
      <c r="W2708" s="244"/>
      <c r="X2708" s="244"/>
      <c r="Y2708" s="362"/>
      <c r="Z2708" s="257">
        <f>altaz(J2000_Bas,$O2708,$M2708,DecLat,DecLong,1)</f>
        <v>58.330302770268219</v>
      </c>
      <c r="AA2708" s="257">
        <f>altaz((J2000_Bas+(2*0.04167)),$O2708,$M2708,DecLat,DecLong,1)</f>
        <v>55.113995031676929</v>
      </c>
      <c r="AB2708" s="257">
        <f>altaz((J2000_Bas+(4*0.04167)),$O2708,$M2708,DecLat,DecLong,1)</f>
        <v>34.833262256081341</v>
      </c>
      <c r="AC2708" s="257">
        <f>altaz((J2000_Bas+(6*0.04167)),$O2708,$M2708,DecLat,DecLong,1)</f>
        <v>9.8401039133144916</v>
      </c>
      <c r="AD2708" s="258">
        <f>1+ transit((J2000_Bas-1),$O2708,$M2708,DecLat,DecLong)/360 + (GMTOffset/24) + (IF(DST="Y", 1, 0)/24)</f>
        <v>1.818108211442208</v>
      </c>
      <c r="AE2708" s="259">
        <f>DATE(2001,9,21)+(M2708/360)*365 - (360*((DecLong/360)- (GMTOffset/24) ))</f>
        <v>37461.201041666667</v>
      </c>
      <c r="AF2708" s="260">
        <f>IF(DecLat&gt;0,IF((90 - (DecLat-O2708))&gt;90, (90 - (O2708-DecLat)), (90 - (DecLat-O2708))),IF((90 + (DecLat-O2708))&gt;90, (90 + (O2708-DecLat)), (90 + (DecLat-O2708))))</f>
        <v>60.116666666666667</v>
      </c>
      <c r="AG2708" s="257">
        <f>angularseperation(MoonRA,MoonDec,$M2708,$O2708)</f>
        <v>53.935775656088879</v>
      </c>
      <c r="AH2708" s="261">
        <f ca="1">MIN(100,IF($O$5&gt;80,0+30*($AG2708/100),IF($O$5&gt;70,0+50*($AG2708/100),IF($O$5&gt;60,5+50*($AG2708/100),IF($O$5&gt;50,10+60*($AG2708/100),IF($O$5&gt;40,15+70*($AG2708/100),IF($O$5&gt;30,20+70*($AG2708/100),IF($O$5&gt;20,40+55*($AG2708/100),(80+(20-$O$5)+30*($AG2708/100))))))))))</f>
        <v>99.451793040977094</v>
      </c>
      <c r="AI2708" s="263"/>
      <c r="AJ2708" s="263"/>
      <c r="AK2708" s="263"/>
      <c r="AL2708" s="263"/>
      <c r="AM2708" s="264"/>
      <c r="AN2708" s="263"/>
      <c r="AO2708" s="263"/>
      <c r="AP2708" s="265"/>
      <c r="AQ2708" s="265"/>
      <c r="AR2708" s="285"/>
      <c r="AS2708" s="263"/>
      <c r="AT2708" s="263"/>
      <c r="AU2708" s="263"/>
      <c r="AV2708" s="264"/>
      <c r="AW2708" s="263"/>
      <c r="AX2708" s="263"/>
      <c r="AY2708" s="263"/>
      <c r="AZ2708" s="263"/>
      <c r="BA2708" s="263"/>
      <c r="BB2708" s="263">
        <v>77</v>
      </c>
      <c r="BC2708" s="263"/>
      <c r="BD2708" s="264"/>
      <c r="BE2708" s="263"/>
      <c r="BF2708" s="263"/>
      <c r="BG2708" s="263"/>
      <c r="BH2708" s="263"/>
      <c r="BI2708" s="263"/>
      <c r="BJ2708" s="404">
        <f>altaz(J2000_Bas,$O2708,$M2708,DecLat,DecLong,2)</f>
        <v>158.54793506251491</v>
      </c>
      <c r="BK2708" s="378" t="s">
        <v>2523</v>
      </c>
      <c r="BL2708" s="379">
        <f>IF((2*G2708)/60&lt;0.2,0.2,(2*G2708)/60)</f>
        <v>0.43333333333333335</v>
      </c>
      <c r="BM2708" s="380">
        <f>MOD((50000+AD2708-$B$3+(0/24)),1)</f>
        <v>3.3475141142844222E-2</v>
      </c>
      <c r="BN2708" s="381"/>
      <c r="BO2708" s="382">
        <v>2699</v>
      </c>
    </row>
    <row r="2709" spans="1:67" s="24" customFormat="1" ht="15" customHeight="1" x14ac:dyDescent="0.25">
      <c r="A2709" s="288" t="s">
        <v>2524</v>
      </c>
      <c r="B2709" s="241" t="str">
        <f>HYPERLINK(CONCATENATE($AT$3,BK2709,$AU$3),$AV$3)</f>
        <v>S</v>
      </c>
      <c r="C2709" s="242" t="str">
        <f>HYPERLINK(CONCATENATE($AT$4,BK2709,$AU$4,BL2709),$AV$4)</f>
        <v>A</v>
      </c>
      <c r="D2709" s="243" t="s">
        <v>5187</v>
      </c>
      <c r="E2709" s="244" t="s">
        <v>5181</v>
      </c>
      <c r="F2709" s="269" t="s">
        <v>8829</v>
      </c>
      <c r="G2709" s="273">
        <v>7</v>
      </c>
      <c r="H2709" s="283">
        <v>2300</v>
      </c>
      <c r="I2709" s="279">
        <v>5</v>
      </c>
      <c r="J2709" s="246">
        <v>1</v>
      </c>
      <c r="K2709" s="277" t="s">
        <v>6273</v>
      </c>
      <c r="L2709" s="248">
        <v>190318</v>
      </c>
      <c r="M2709" s="249">
        <f>15*(LEFT(TEXT($L2709,"000000"),2)+(MID(TEXT($L2709,"000000"),3,2)/60)+(RIGHT(TEXT($L2709,"000000"),2)/3600))</f>
        <v>285.82499999999999</v>
      </c>
      <c r="N2709" s="286">
        <v>140700</v>
      </c>
      <c r="O2709" s="251">
        <f>IF($N2709&gt;0,(LEFT(TEXT($N2709,"000000"),2)+(MID(TEXT($N2709,"000000"),3,2)/60)+(RIGHT(TEXT($N2709,"000000"),2)/3600)),-(MID(TEXT($N2709,"000000"),2,2)+(MID(TEXT($N2709,"000000"),4,2)/60)+(RIGHT(TEXT($N2709,"000000"),2)/3600)))</f>
        <v>14.116666666666667</v>
      </c>
      <c r="P2709" s="252" t="s">
        <v>126</v>
      </c>
      <c r="Q2709" s="253"/>
      <c r="R2709" s="277" t="s">
        <v>937</v>
      </c>
      <c r="S2709" s="272" t="s">
        <v>3293</v>
      </c>
      <c r="T2709" s="273"/>
      <c r="U2709" s="274"/>
      <c r="V2709" s="280"/>
      <c r="W2709" s="244"/>
      <c r="X2709" s="244"/>
      <c r="Y2709" s="362"/>
      <c r="Z2709" s="257">
        <f>altaz(J2000_Bas,$O2709,$M2709,DecLat,DecLong,1)</f>
        <v>73.115878585511908</v>
      </c>
      <c r="AA2709" s="257">
        <f>altaz((J2000_Bas+(2*0.04167)),$O2709,$M2709,DecLat,DecLong,1)</f>
        <v>57.524173981976794</v>
      </c>
      <c r="AB2709" s="257">
        <f>altaz((J2000_Bas+(4*0.04167)),$O2709,$M2709,DecLat,DecLong,1)</f>
        <v>32.472395910741973</v>
      </c>
      <c r="AC2709" s="257">
        <f>altaz((J2000_Bas+(6*0.04167)),$O2709,$M2709,DecLat,DecLong,1)</f>
        <v>6.8551335333319008</v>
      </c>
      <c r="AD2709" s="258">
        <f>1+ transit((J2000_Bas-1),$O2709,$M2709,DecLat,DecLong)/360 + (GMTOffset/24) + (IF(DST="Y", 1, 0)/24)</f>
        <v>1.7868582145672078</v>
      </c>
      <c r="AE2709" s="259">
        <f>DATE(2001,9,21)+(M2709/360)*365 - (360*((DecLong/360)- (GMTOffset/24) ))</f>
        <v>37449.794791666667</v>
      </c>
      <c r="AF2709" s="260">
        <f>IF(DecLat&gt;0,IF((90 - (DecLat-O2709))&gt;90, (90 - (O2709-DecLat)), (90 - (DecLat-O2709))),IF((90 + (DecLat-O2709))&gt;90, (90 + (O2709-DecLat)), (90 + (DecLat-O2709))))</f>
        <v>73.116666666666674</v>
      </c>
      <c r="AG2709" s="257">
        <f>angularseperation(MoonRA,MoonDec,$M2709,$O2709)</f>
        <v>54.387492000989518</v>
      </c>
      <c r="AH2709" s="261">
        <f ca="1">MIN(100,IF($O$5&gt;80,0+30*($AG2709/100),IF($O$5&gt;70,0+50*($AG2709/100),IF($O$5&gt;60,5+50*($AG2709/100),IF($O$5&gt;50,10+60*($AG2709/100),IF($O$5&gt;40,15+70*($AG2709/100),IF($O$5&gt;30,20+70*($AG2709/100),IF($O$5&gt;20,40+55*($AG2709/100),(80+(20-$O$5)+30*($AG2709/100))))))))))</f>
        <v>99.587307944447275</v>
      </c>
      <c r="AI2709" s="263"/>
      <c r="AJ2709" s="263"/>
      <c r="AK2709" s="263"/>
      <c r="AL2709" s="263"/>
      <c r="AM2709" s="264"/>
      <c r="AN2709" s="263"/>
      <c r="AO2709" s="263"/>
      <c r="AP2709" s="265"/>
      <c r="AQ2709" s="265"/>
      <c r="AR2709" s="285"/>
      <c r="AS2709" s="263"/>
      <c r="AT2709" s="263"/>
      <c r="AU2709" s="263"/>
      <c r="AV2709" s="264"/>
      <c r="AW2709" s="263"/>
      <c r="AX2709" s="263"/>
      <c r="AY2709" s="263"/>
      <c r="AZ2709" s="263"/>
      <c r="BA2709" s="263"/>
      <c r="BB2709" s="263">
        <v>78</v>
      </c>
      <c r="BC2709" s="263"/>
      <c r="BD2709" s="264"/>
      <c r="BE2709" s="263"/>
      <c r="BF2709" s="263"/>
      <c r="BG2709" s="263"/>
      <c r="BH2709" s="263"/>
      <c r="BI2709" s="263"/>
      <c r="BJ2709" s="404">
        <f>altaz(J2000_Bas,$O2709,$M2709,DecLat,DecLong,2)</f>
        <v>180.59312558314656</v>
      </c>
      <c r="BK2709" s="378" t="s">
        <v>2524</v>
      </c>
      <c r="BL2709" s="379">
        <f>IF((2*G2709)/60&lt;0.2,0.2,(2*G2709)/60)</f>
        <v>0.23333333333333334</v>
      </c>
      <c r="BM2709" s="380">
        <f>MOD((50000+AD2709-$B$3+(0/24)),1)</f>
        <v>2.2251442715059966E-3</v>
      </c>
      <c r="BN2709" s="381"/>
      <c r="BO2709" s="382">
        <v>2700</v>
      </c>
    </row>
    <row r="2710" spans="1:67" s="24" customFormat="1" ht="15" customHeight="1" x14ac:dyDescent="0.25">
      <c r="A2710" s="288" t="s">
        <v>2525</v>
      </c>
      <c r="B2710" s="241" t="str">
        <f>HYPERLINK(CONCATENATE($AT$3,BK2710,$AU$3),$AV$3)</f>
        <v>S</v>
      </c>
      <c r="C2710" s="242" t="str">
        <f>HYPERLINK(CONCATENATE($AT$4,BK2710,$AU$4,BL2710),$AV$4)</f>
        <v>A</v>
      </c>
      <c r="D2710" s="243" t="s">
        <v>5187</v>
      </c>
      <c r="E2710" s="244" t="s">
        <v>5183</v>
      </c>
      <c r="F2710" s="269" t="s">
        <v>5180</v>
      </c>
      <c r="G2710" s="276">
        <v>40</v>
      </c>
      <c r="H2710" s="283">
        <v>19000</v>
      </c>
      <c r="I2710" s="246">
        <v>220</v>
      </c>
      <c r="J2710" s="246">
        <v>2</v>
      </c>
      <c r="K2710" s="247" t="s">
        <v>6294</v>
      </c>
      <c r="L2710" s="248">
        <v>192318</v>
      </c>
      <c r="M2710" s="249">
        <f>15*(LEFT(TEXT($L2710,"000000"),2)+(MID(TEXT($L2710,"000000"),3,2)/60)+(RIGHT(TEXT($L2710,"000000"),2)/3600))</f>
        <v>290.82499999999999</v>
      </c>
      <c r="N2710" s="250">
        <v>135800</v>
      </c>
      <c r="O2710" s="251">
        <f>IF($N2710&gt;0,(LEFT(TEXT($N2710,"000000"),2)+(MID(TEXT($N2710,"000000"),3,2)/60)+(RIGHT(TEXT($N2710,"000000"),2)/3600)),-(MID(TEXT($N2710,"000000"),2,2)+(MID(TEXT($N2710,"000000"),4,2)/60)+(RIGHT(TEXT($N2710,"000000"),2)/3600)))</f>
        <v>13.966666666666667</v>
      </c>
      <c r="P2710" s="252" t="s">
        <v>126</v>
      </c>
      <c r="Q2710" s="253"/>
      <c r="R2710" s="277" t="s">
        <v>3293</v>
      </c>
      <c r="S2710" s="272" t="s">
        <v>3293</v>
      </c>
      <c r="T2710" s="273"/>
      <c r="U2710" s="274"/>
      <c r="V2710" s="280"/>
      <c r="W2710" s="244"/>
      <c r="X2710" s="244"/>
      <c r="Y2710" s="362"/>
      <c r="Z2710" s="257">
        <f>altaz(J2000_Bas,$O2710,$M2710,DecLat,DecLong,1)</f>
        <v>72.399859139986049</v>
      </c>
      <c r="AA2710" s="257">
        <f>altaz((J2000_Bas+(2*0.04167)),$O2710,$M2710,DecLat,DecLong,1)</f>
        <v>61.232807595633773</v>
      </c>
      <c r="AB2710" s="257">
        <f>altaz((J2000_Bas+(4*0.04167)),$O2710,$M2710,DecLat,DecLong,1)</f>
        <v>36.676207317156823</v>
      </c>
      <c r="AC2710" s="257">
        <f>altaz((J2000_Bas+(6*0.04167)),$O2710,$M2710,DecLat,DecLong,1)</f>
        <v>10.985901146996607</v>
      </c>
      <c r="AD2710" s="258">
        <f>1+ transit((J2000_Bas-1),$O2710,$M2710,DecLat,DecLong)/360 + (GMTOffset/24) + (IF(DST="Y", 1, 0)/24)</f>
        <v>1.8007471020672081</v>
      </c>
      <c r="AE2710" s="259">
        <f>DATE(2001,9,21)+(M2710/360)*365 - (360*((DecLong/360)- (GMTOffset/24) ))</f>
        <v>37454.864236111112</v>
      </c>
      <c r="AF2710" s="260">
        <f>IF(DecLat&gt;0,IF((90 - (DecLat-O2710))&gt;90, (90 - (O2710-DecLat)), (90 - (DecLat-O2710))),IF((90 + (DecLat-O2710))&gt;90, (90 + (O2710-DecLat)), (90 + (DecLat-O2710))))</f>
        <v>72.966666666666669</v>
      </c>
      <c r="AG2710" s="257">
        <f>angularseperation(MoonRA,MoonDec,$M2710,$O2710)</f>
        <v>57.561739619158978</v>
      </c>
      <c r="AH2710" s="261">
        <f ca="1">MIN(100,IF($O$5&gt;80,0+30*($AG2710/100),IF($O$5&gt;70,0+50*($AG2710/100),IF($O$5&gt;60,5+50*($AG2710/100),IF($O$5&gt;50,10+60*($AG2710/100),IF($O$5&gt;40,15+70*($AG2710/100),IF($O$5&gt;30,20+70*($AG2710/100),IF($O$5&gt;20,40+55*($AG2710/100),(80+(20-$O$5)+30*($AG2710/100))))))))))</f>
        <v>100</v>
      </c>
      <c r="AI2710" s="263"/>
      <c r="AJ2710" s="263"/>
      <c r="AK2710" s="263"/>
      <c r="AL2710" s="263"/>
      <c r="AM2710" s="264"/>
      <c r="AN2710" s="263"/>
      <c r="AO2710" s="263"/>
      <c r="AP2710" s="265"/>
      <c r="AQ2710" s="265"/>
      <c r="AR2710" s="285"/>
      <c r="AS2710" s="263"/>
      <c r="AT2710" s="263"/>
      <c r="AU2710" s="263"/>
      <c r="AV2710" s="264"/>
      <c r="AW2710" s="263"/>
      <c r="AX2710" s="263"/>
      <c r="AY2710" s="263"/>
      <c r="AZ2710" s="263"/>
      <c r="BA2710" s="263"/>
      <c r="BB2710" s="263">
        <v>79</v>
      </c>
      <c r="BC2710" s="263"/>
      <c r="BD2710" s="264"/>
      <c r="BE2710" s="263"/>
      <c r="BF2710" s="263"/>
      <c r="BG2710" s="263"/>
      <c r="BH2710" s="263"/>
      <c r="BI2710" s="263"/>
      <c r="BJ2710" s="404">
        <f>altaz(J2000_Bas,$O2710,$M2710,DecLat,DecLong,2)</f>
        <v>164.34732061915918</v>
      </c>
      <c r="BK2710" s="378" t="s">
        <v>2525</v>
      </c>
      <c r="BL2710" s="379">
        <f>IF((2*G2710)/60&lt;0.2,0.2,(2*G2710)/60)</f>
        <v>1.3333333333333333</v>
      </c>
      <c r="BM2710" s="380">
        <f>MOD((50000+AD2710-$B$3+(0/24)),1)</f>
        <v>1.6114031772303861E-2</v>
      </c>
      <c r="BN2710" s="381"/>
      <c r="BO2710" s="382">
        <v>2701</v>
      </c>
    </row>
    <row r="2711" spans="1:67" s="24" customFormat="1" ht="15" customHeight="1" x14ac:dyDescent="0.25">
      <c r="A2711" s="288" t="s">
        <v>2526</v>
      </c>
      <c r="B2711" s="241" t="str">
        <f>HYPERLINK(CONCATENATE($AT$3,BK2711,$AU$3),$AV$3)</f>
        <v>S</v>
      </c>
      <c r="C2711" s="242" t="str">
        <f>HYPERLINK(CONCATENATE($AT$4,BK2711,$AU$4,BL2711),$AV$4)</f>
        <v>A</v>
      </c>
      <c r="D2711" s="243" t="s">
        <v>5187</v>
      </c>
      <c r="E2711" s="244" t="s">
        <v>5183</v>
      </c>
      <c r="F2711" s="269" t="s">
        <v>4579</v>
      </c>
      <c r="G2711" s="273">
        <v>2</v>
      </c>
      <c r="H2711" s="283">
        <v>11000</v>
      </c>
      <c r="I2711" s="279">
        <v>6</v>
      </c>
      <c r="J2711" s="246">
        <v>3</v>
      </c>
      <c r="K2711" s="247" t="s">
        <v>5140</v>
      </c>
      <c r="L2711" s="248">
        <v>191131</v>
      </c>
      <c r="M2711" s="249">
        <f>15*(LEFT(TEXT($L2711,"000000"),2)+(MID(TEXT($L2711,"000000"),3,2)/60)+(RIGHT(TEXT($L2711,"000000"),2)/3600))</f>
        <v>287.87916666666666</v>
      </c>
      <c r="N2711" s="250">
        <v>165138</v>
      </c>
      <c r="O2711" s="251">
        <f>IF($N2711&gt;0,(LEFT(TEXT($N2711,"000000"),2)+(MID(TEXT($N2711,"000000"),3,2)/60)+(RIGHT(TEXT($N2711,"000000"),2)/3600)),-(MID(TEXT($N2711,"000000"),2,2)+(MID(TEXT($N2711,"000000"),4,2)/60)+(RIGHT(TEXT($N2711,"000000"),2)/3600)))</f>
        <v>16.860555555555557</v>
      </c>
      <c r="P2711" s="252" t="s">
        <v>139</v>
      </c>
      <c r="Q2711" s="253"/>
      <c r="R2711" s="247" t="s">
        <v>5139</v>
      </c>
      <c r="S2711" s="272" t="s">
        <v>3293</v>
      </c>
      <c r="T2711" s="273"/>
      <c r="U2711" s="274"/>
      <c r="V2711" s="280"/>
      <c r="W2711" s="244"/>
      <c r="X2711" s="244"/>
      <c r="Y2711" s="362"/>
      <c r="Z2711" s="257">
        <f>altaz(J2000_Bas,$O2711,$M2711,DecLat,DecLong,1)</f>
        <v>75.757737064478277</v>
      </c>
      <c r="AA2711" s="257">
        <f>altaz((J2000_Bas+(2*0.04167)),$O2711,$M2711,DecLat,DecLong,1)</f>
        <v>60.724760713030001</v>
      </c>
      <c r="AB2711" s="257">
        <f>altaz((J2000_Bas+(4*0.04167)),$O2711,$M2711,DecLat,DecLong,1)</f>
        <v>35.487788678426966</v>
      </c>
      <c r="AC2711" s="257">
        <f>altaz((J2000_Bas+(6*0.04167)),$O2711,$M2711,DecLat,DecLong,1)</f>
        <v>9.9399511885475516</v>
      </c>
      <c r="AD2711" s="258">
        <f>1+ transit((J2000_Bas-1),$O2711,$M2711,DecLat,DecLong)/360 + (GMTOffset/24) + (IF(DST="Y", 1, 0)/24)</f>
        <v>1.7925642325151248</v>
      </c>
      <c r="AE2711" s="259">
        <f>DATE(2001,9,21)+(M2711/360)*365 - (360*((DecLong/360)- (GMTOffset/24) ))</f>
        <v>37451.877488425926</v>
      </c>
      <c r="AF2711" s="260">
        <f>IF(DecLat&gt;0,IF((90 - (DecLat-O2711))&gt;90, (90 - (O2711-DecLat)), (90 - (DecLat-O2711))),IF((90 + (DecLat-O2711))&gt;90, (90 + (O2711-DecLat)), (90 + (DecLat-O2711))))</f>
        <v>75.86055555555555</v>
      </c>
      <c r="AG2711" s="257">
        <f>angularseperation(MoonRA,MoonDec,$M2711,$O2711)</f>
        <v>57.75737565833645</v>
      </c>
      <c r="AH2711" s="261">
        <f ca="1">MIN(100,IF($O$5&gt;80,0+30*($AG2711/100),IF($O$5&gt;70,0+50*($AG2711/100),IF($O$5&gt;60,5+50*($AG2711/100),IF($O$5&gt;50,10+60*($AG2711/100),IF($O$5&gt;40,15+70*($AG2711/100),IF($O$5&gt;30,20+70*($AG2711/100),IF($O$5&gt;20,40+55*($AG2711/100),(80+(20-$O$5)+30*($AG2711/100))))))))))</f>
        <v>100</v>
      </c>
      <c r="AI2711" s="262"/>
      <c r="AJ2711" s="262"/>
      <c r="AK2711" s="262"/>
      <c r="AL2711" s="263"/>
      <c r="AM2711" s="264"/>
      <c r="AN2711" s="263"/>
      <c r="AO2711" s="263"/>
      <c r="AP2711" s="265"/>
      <c r="AQ2711" s="266"/>
      <c r="AR2711" s="267"/>
      <c r="AS2711" s="263"/>
      <c r="AT2711" s="263"/>
      <c r="AU2711" s="263"/>
      <c r="AV2711" s="264">
        <v>167</v>
      </c>
      <c r="AW2711" s="263"/>
      <c r="AX2711" s="263"/>
      <c r="AY2711" s="263"/>
      <c r="AZ2711" s="263"/>
      <c r="BA2711" s="263"/>
      <c r="BB2711" s="263">
        <v>80</v>
      </c>
      <c r="BC2711" s="263"/>
      <c r="BD2711" s="264"/>
      <c r="BE2711" s="263"/>
      <c r="BF2711" s="263"/>
      <c r="BG2711" s="263"/>
      <c r="BH2711" s="263">
        <v>67</v>
      </c>
      <c r="BI2711" s="263"/>
      <c r="BJ2711" s="404">
        <f>altaz(J2000_Bas,$O2711,$M2711,DecLat,DecLong,2)</f>
        <v>172.68178767579863</v>
      </c>
      <c r="BK2711" s="378" t="s">
        <v>2526</v>
      </c>
      <c r="BL2711" s="379">
        <f>IF((2*G2711)/60&lt;0.2,0.2,(2*G2711)/60)</f>
        <v>0.2</v>
      </c>
      <c r="BM2711" s="380">
        <f>MOD((50000+AD2711-$B$3+(0/24)),1)</f>
        <v>7.9311622175737284E-3</v>
      </c>
      <c r="BN2711" s="381"/>
      <c r="BO2711" s="382">
        <v>2702</v>
      </c>
    </row>
    <row r="2712" spans="1:67" s="24" customFormat="1" ht="15" customHeight="1" x14ac:dyDescent="0.25">
      <c r="A2712" s="288" t="s">
        <v>2527</v>
      </c>
      <c r="B2712" s="241" t="str">
        <f>HYPERLINK(CONCATENATE($AT$3,BK2712,$AU$3),$AV$3)</f>
        <v>S</v>
      </c>
      <c r="C2712" s="242" t="str">
        <f>HYPERLINK(CONCATENATE($AT$4,BK2712,$AU$4,BL2712),$AV$4)</f>
        <v>A</v>
      </c>
      <c r="D2712" s="243" t="s">
        <v>5187</v>
      </c>
      <c r="E2712" s="244" t="s">
        <v>7522</v>
      </c>
      <c r="F2712" s="269"/>
      <c r="G2712" s="276">
        <v>10</v>
      </c>
      <c r="H2712" s="283">
        <v>7000</v>
      </c>
      <c r="I2712" s="246">
        <v>22</v>
      </c>
      <c r="J2712" s="246">
        <v>0</v>
      </c>
      <c r="K2712" s="277" t="s">
        <v>6258</v>
      </c>
      <c r="L2712" s="248">
        <v>200100</v>
      </c>
      <c r="M2712" s="249">
        <f>15*(LEFT(TEXT($L2712,"000000"),2)+(MID(TEXT($L2712,"000000"),3,2)/60)+(RIGHT(TEXT($L2712,"000000"),2)/3600))</f>
        <v>300.25</v>
      </c>
      <c r="N2712" s="286">
        <v>114900</v>
      </c>
      <c r="O2712" s="251">
        <f>IF($N2712&gt;0,(LEFT(TEXT($N2712,"000000"),2)+(MID(TEXT($N2712,"000000"),3,2)/60)+(RIGHT(TEXT($N2712,"000000"),2)/3600)),-(MID(TEXT($N2712,"000000"),2,2)+(MID(TEXT($N2712,"000000"),4,2)/60)+(RIGHT(TEXT($N2712,"000000"),2)/3600)))</f>
        <v>11.816666666666666</v>
      </c>
      <c r="P2712" s="252" t="s">
        <v>139</v>
      </c>
      <c r="Q2712" s="253"/>
      <c r="R2712" s="277" t="s">
        <v>3293</v>
      </c>
      <c r="S2712" s="272" t="s">
        <v>3293</v>
      </c>
      <c r="T2712" s="273"/>
      <c r="U2712" s="274"/>
      <c r="V2712" s="280"/>
      <c r="W2712" s="244"/>
      <c r="X2712" s="244"/>
      <c r="Y2712" s="362"/>
      <c r="Z2712" s="257">
        <f>altaz(J2000_Bas,$O2712,$M2712,DecLat,DecLong,1)</f>
        <v>66.731851803711848</v>
      </c>
      <c r="AA2712" s="257">
        <f>altaz((J2000_Bas+(2*0.04167)),$O2712,$M2712,DecLat,DecLong,1)</f>
        <v>65.870586827340588</v>
      </c>
      <c r="AB2712" s="257">
        <f>altaz((J2000_Bas+(4*0.04167)),$O2712,$M2712,DecLat,DecLong,1)</f>
        <v>43.559999747760251</v>
      </c>
      <c r="AC2712" s="257">
        <f>altaz((J2000_Bas+(6*0.04167)),$O2712,$M2712,DecLat,DecLong,1)</f>
        <v>17.960060023084171</v>
      </c>
      <c r="AD2712" s="258">
        <f>1+ transit((J2000_Bas-1),$O2712,$M2712,DecLat,DecLong)/360 + (GMTOffset/24) + (IF(DST="Y", 1, 0)/24)</f>
        <v>1.826927655004708</v>
      </c>
      <c r="AE2712" s="259">
        <f>DATE(2001,9,21)+(M2712/360)*365 - (360*((DecLong/360)- (GMTOffset/24) ))</f>
        <v>37464.420138888891</v>
      </c>
      <c r="AF2712" s="260">
        <f>IF(DecLat&gt;0,IF((90 - (DecLat-O2712))&gt;90, (90 - (O2712-DecLat)), (90 - (DecLat-O2712))),IF((90 + (DecLat-O2712))&gt;90, (90 + (O2712-DecLat)), (90 + (DecLat-O2712))))</f>
        <v>70.816666666666663</v>
      </c>
      <c r="AG2712" s="257">
        <f>angularseperation(MoonRA,MoonDec,$M2712,$O2712)</f>
        <v>62.928459781572329</v>
      </c>
      <c r="AH2712" s="261">
        <f ca="1">MIN(100,IF($O$5&gt;80,0+30*($AG2712/100),IF($O$5&gt;70,0+50*($AG2712/100),IF($O$5&gt;60,5+50*($AG2712/100),IF($O$5&gt;50,10+60*($AG2712/100),IF($O$5&gt;40,15+70*($AG2712/100),IF($O$5&gt;30,20+70*($AG2712/100),IF($O$5&gt;20,40+55*($AG2712/100),(80+(20-$O$5)+30*($AG2712/100))))))))))</f>
        <v>100</v>
      </c>
      <c r="AI2712" s="263"/>
      <c r="AJ2712" s="263"/>
      <c r="AK2712" s="263"/>
      <c r="AL2712" s="263"/>
      <c r="AM2712" s="264"/>
      <c r="AN2712" s="263"/>
      <c r="AO2712" s="263"/>
      <c r="AP2712" s="265"/>
      <c r="AQ2712" s="265"/>
      <c r="AR2712" s="285"/>
      <c r="AS2712" s="263"/>
      <c r="AT2712" s="263"/>
      <c r="AU2712" s="263"/>
      <c r="AV2712" s="264"/>
      <c r="AW2712" s="263"/>
      <c r="AX2712" s="263"/>
      <c r="AY2712" s="263"/>
      <c r="AZ2712" s="263"/>
      <c r="BA2712" s="263"/>
      <c r="BB2712" s="263">
        <v>81</v>
      </c>
      <c r="BC2712" s="263"/>
      <c r="BD2712" s="264"/>
      <c r="BE2712" s="263"/>
      <c r="BF2712" s="263"/>
      <c r="BG2712" s="263"/>
      <c r="BH2712" s="263"/>
      <c r="BI2712" s="263"/>
      <c r="BJ2712" s="404">
        <f>altaz(J2000_Bas,$O2712,$M2712,DecLat,DecLong,2)</f>
        <v>142.42476953312448</v>
      </c>
      <c r="BK2712" s="378" t="s">
        <v>2527</v>
      </c>
      <c r="BL2712" s="379">
        <f>IF((2*G2712)/60&lt;0.2,0.2,(2*G2712)/60)</f>
        <v>0.33333333333333331</v>
      </c>
      <c r="BM2712" s="380">
        <f>MOD((50000+AD2712-$B$3+(0/24)),1)</f>
        <v>4.2294584709452465E-2</v>
      </c>
      <c r="BN2712" s="381"/>
      <c r="BO2712" s="382">
        <v>2703</v>
      </c>
    </row>
    <row r="2713" spans="1:67" s="24" customFormat="1" ht="15" customHeight="1" x14ac:dyDescent="0.25">
      <c r="A2713" s="288" t="s">
        <v>2528</v>
      </c>
      <c r="B2713" s="241" t="str">
        <f>HYPERLINK(CONCATENATE($AT$3,BK2713,$AU$3),$AV$3)</f>
        <v>S</v>
      </c>
      <c r="C2713" s="242" t="str">
        <f>HYPERLINK(CONCATENATE($AT$4,BK2713,$AU$4,BL2713),$AV$4)</f>
        <v>A</v>
      </c>
      <c r="D2713" s="243" t="s">
        <v>5187</v>
      </c>
      <c r="E2713" s="244" t="s">
        <v>5183</v>
      </c>
      <c r="F2713" s="269" t="s">
        <v>5180</v>
      </c>
      <c r="G2713" s="273">
        <v>9</v>
      </c>
      <c r="H2713" s="283">
        <v>3500</v>
      </c>
      <c r="I2713" s="279">
        <v>9</v>
      </c>
      <c r="J2713" s="246">
        <v>3</v>
      </c>
      <c r="K2713" s="247" t="s">
        <v>5141</v>
      </c>
      <c r="L2713" s="248">
        <v>193015</v>
      </c>
      <c r="M2713" s="249">
        <f>15*(LEFT(TEXT($L2713,"000000"),2)+(MID(TEXT($L2713,"000000"),3,2)/60)+(RIGHT(TEXT($L2713,"000000"),2)/3600))</f>
        <v>292.5625</v>
      </c>
      <c r="N2713" s="250">
        <v>181730</v>
      </c>
      <c r="O2713" s="251">
        <f>IF($N2713&gt;0,(LEFT(TEXT($N2713,"000000"),2)+(MID(TEXT($N2713,"000000"),3,2)/60)+(RIGHT(TEXT($N2713,"000000"),2)/3600)),-(MID(TEXT($N2713,"000000"),2,2)+(MID(TEXT($N2713,"000000"),4,2)/60)+(RIGHT(TEXT($N2713,"000000"),2)/3600)))</f>
        <v>18.291666666666668</v>
      </c>
      <c r="P2713" s="252" t="s">
        <v>139</v>
      </c>
      <c r="Q2713" s="253" t="s">
        <v>7018</v>
      </c>
      <c r="R2713" s="247" t="s">
        <v>3293</v>
      </c>
      <c r="S2713" s="272" t="s">
        <v>3293</v>
      </c>
      <c r="T2713" s="273"/>
      <c r="U2713" s="274"/>
      <c r="V2713" s="280"/>
      <c r="W2713" s="244"/>
      <c r="X2713" s="244"/>
      <c r="Y2713" s="362"/>
      <c r="Z2713" s="257">
        <f>altaz(J2000_Bas,$O2713,$M2713,DecLat,DecLong,1)</f>
        <v>75.971261385107667</v>
      </c>
      <c r="AA2713" s="257">
        <f>altaz((J2000_Bas+(2*0.04167)),$O2713,$M2713,DecLat,DecLong,1)</f>
        <v>65.211497233920738</v>
      </c>
      <c r="AB2713" s="257">
        <f>altaz((J2000_Bas+(4*0.04167)),$O2713,$M2713,DecLat,DecLong,1)</f>
        <v>40.128113581443401</v>
      </c>
      <c r="AC2713" s="257">
        <f>altaz((J2000_Bas+(6*0.04167)),$O2713,$M2713,DecLat,DecLong,1)</f>
        <v>14.539237364422251</v>
      </c>
      <c r="AD2713" s="258">
        <f>1+ transit((J2000_Bas-1),$O2713,$M2713,DecLat,DecLong)/360 + (GMTOffset/24) + (IF(DST="Y", 1, 0)/24)</f>
        <v>1.8055734904734579</v>
      </c>
      <c r="AE2713" s="259">
        <f>DATE(2001,9,21)+(M2713/360)*365 - (360*((DecLong/360)- (GMTOffset/24) ))</f>
        <v>37456.625868055555</v>
      </c>
      <c r="AF2713" s="260">
        <f>IF(DecLat&gt;0,IF((90 - (DecLat-O2713))&gt;90, (90 - (O2713-DecLat)), (90 - (DecLat-O2713))),IF((90 + (DecLat-O2713))&gt;90, (90 + (O2713-DecLat)), (90 + (DecLat-O2713))))</f>
        <v>77.291666666666671</v>
      </c>
      <c r="AG2713" s="257">
        <f>angularseperation(MoonRA,MoonDec,$M2713,$O2713)</f>
        <v>61.82811947128976</v>
      </c>
      <c r="AH2713" s="261">
        <f ca="1">MIN(100,IF($O$5&gt;80,0+30*($AG2713/100),IF($O$5&gt;70,0+50*($AG2713/100),IF($O$5&gt;60,5+50*($AG2713/100),IF($O$5&gt;50,10+60*($AG2713/100),IF($O$5&gt;40,15+70*($AG2713/100),IF($O$5&gt;30,20+70*($AG2713/100),IF($O$5&gt;20,40+55*($AG2713/100),(80+(20-$O$5)+30*($AG2713/100))))))))))</f>
        <v>100</v>
      </c>
      <c r="AI2713" s="262"/>
      <c r="AJ2713" s="262"/>
      <c r="AK2713" s="262"/>
      <c r="AL2713" s="263"/>
      <c r="AM2713" s="264"/>
      <c r="AN2713" s="263"/>
      <c r="AO2713" s="263"/>
      <c r="AP2713" s="265"/>
      <c r="AQ2713" s="266"/>
      <c r="AR2713" s="267"/>
      <c r="AS2713" s="263"/>
      <c r="AT2713" s="263"/>
      <c r="AU2713" s="263"/>
      <c r="AV2713" s="264"/>
      <c r="AW2713" s="263"/>
      <c r="AX2713" s="263"/>
      <c r="AY2713" s="263"/>
      <c r="AZ2713" s="263"/>
      <c r="BA2713" s="263"/>
      <c r="BB2713" s="263">
        <v>82</v>
      </c>
      <c r="BC2713" s="263"/>
      <c r="BD2713" s="264"/>
      <c r="BE2713" s="263"/>
      <c r="BF2713" s="263"/>
      <c r="BG2713" s="263">
        <v>83</v>
      </c>
      <c r="BH2713" s="263"/>
      <c r="BI2713" s="263"/>
      <c r="BJ2713" s="404">
        <f>altaz(J2000_Bas,$O2713,$M2713,DecLat,DecLong,2)</f>
        <v>153.41895259343343</v>
      </c>
      <c r="BK2713" s="378" t="s">
        <v>2528</v>
      </c>
      <c r="BL2713" s="379">
        <f>IF((2*G2713)/60&lt;0.2,0.2,(2*G2713)/60)</f>
        <v>0.3</v>
      </c>
      <c r="BM2713" s="380">
        <f>MOD((50000+AD2713-$B$3+(0/24)),1)</f>
        <v>2.0940420174156316E-2</v>
      </c>
      <c r="BN2713" s="381"/>
      <c r="BO2713" s="382">
        <v>2704</v>
      </c>
    </row>
    <row r="2714" spans="1:67" s="24" customFormat="1" ht="15" customHeight="1" x14ac:dyDescent="0.25">
      <c r="A2714" s="288" t="s">
        <v>2529</v>
      </c>
      <c r="B2714" s="241" t="str">
        <f>HYPERLINK(CONCATENATE($AT$3,BK2714,$AU$3),$AV$3)</f>
        <v>S</v>
      </c>
      <c r="C2714" s="242" t="str">
        <f>HYPERLINK(CONCATENATE($AT$4,BK2714,$AU$4,BL2714),$AV$4)</f>
        <v>A</v>
      </c>
      <c r="D2714" s="243" t="s">
        <v>5187</v>
      </c>
      <c r="E2714" s="244" t="s">
        <v>5183</v>
      </c>
      <c r="F2714" s="269" t="s">
        <v>5180</v>
      </c>
      <c r="G2714" s="273">
        <v>2</v>
      </c>
      <c r="H2714" s="271" t="s">
        <v>6500</v>
      </c>
      <c r="I2714" s="244" t="s">
        <v>6500</v>
      </c>
      <c r="J2714" s="246">
        <v>1</v>
      </c>
      <c r="K2714" s="247" t="s">
        <v>6297</v>
      </c>
      <c r="L2714" s="248">
        <v>192418</v>
      </c>
      <c r="M2714" s="249">
        <f>15*(LEFT(TEXT($L2714,"000000"),2)+(MID(TEXT($L2714,"000000"),3,2)/60)+(RIGHT(TEXT($L2714,"000000"),2)/3600))</f>
        <v>291.07499999999999</v>
      </c>
      <c r="N2714" s="286">
        <v>204700</v>
      </c>
      <c r="O2714" s="251">
        <f>IF($N2714&gt;0,(LEFT(TEXT($N2714,"000000"),2)+(MID(TEXT($N2714,"000000"),3,2)/60)+(RIGHT(TEXT($N2714,"000000"),2)/3600)),-(MID(TEXT($N2714,"000000"),2,2)+(MID(TEXT($N2714,"000000"),4,2)/60)+(RIGHT(TEXT($N2714,"000000"),2)/3600)))</f>
        <v>20.783333333333335</v>
      </c>
      <c r="P2714" s="252" t="s">
        <v>126</v>
      </c>
      <c r="Q2714" s="253"/>
      <c r="R2714" s="277" t="s">
        <v>3293</v>
      </c>
      <c r="S2714" s="272" t="s">
        <v>3293</v>
      </c>
      <c r="T2714" s="273"/>
      <c r="U2714" s="274"/>
      <c r="V2714" s="280"/>
      <c r="W2714" s="244"/>
      <c r="X2714" s="244"/>
      <c r="Y2714" s="362"/>
      <c r="Z2714" s="257">
        <f>altaz(J2000_Bas,$O2714,$M2714,DecLat,DecLong,1)</f>
        <v>78.814907561532507</v>
      </c>
      <c r="AA2714" s="257">
        <f>altaz((J2000_Bas+(2*0.04167)),$O2714,$M2714,DecLat,DecLong,1)</f>
        <v>65.365879258983398</v>
      </c>
      <c r="AB2714" s="257">
        <f>altaz((J2000_Bas+(4*0.04167)),$O2714,$M2714,DecLat,DecLong,1)</f>
        <v>39.889087346173483</v>
      </c>
      <c r="AC2714" s="257">
        <f>altaz((J2000_Bas+(6*0.04167)),$O2714,$M2714,DecLat,DecLong,1)</f>
        <v>14.481854849845778</v>
      </c>
      <c r="AD2714" s="258">
        <f>1+ transit((J2000_Bas-1),$O2714,$M2714,DecLat,DecLong)/360 + (GMTOffset/24) + (IF(DST="Y", 1, 0)/24)</f>
        <v>1.8014415464422082</v>
      </c>
      <c r="AE2714" s="259">
        <f>DATE(2001,9,21)+(M2714/360)*365 - (360*((DecLong/360)- (GMTOffset/24) ))</f>
        <v>37455.117708333331</v>
      </c>
      <c r="AF2714" s="260">
        <f>IF(DecLat&gt;0,IF((90 - (DecLat-O2714))&gt;90, (90 - (O2714-DecLat)), (90 - (DecLat-O2714))),IF((90 + (DecLat-O2714))&gt;90, (90 + (O2714-DecLat)), (90 + (DecLat-O2714))))</f>
        <v>79.783333333333331</v>
      </c>
      <c r="AG2714" s="257">
        <f>angularseperation(MoonRA,MoonDec,$M2714,$O2714)</f>
        <v>62.699258692712739</v>
      </c>
      <c r="AH2714" s="261">
        <f ca="1">MIN(100,IF($O$5&gt;80,0+30*($AG2714/100),IF($O$5&gt;70,0+50*($AG2714/100),IF($O$5&gt;60,5+50*($AG2714/100),IF($O$5&gt;50,10+60*($AG2714/100),IF($O$5&gt;40,15+70*($AG2714/100),IF($O$5&gt;30,20+70*($AG2714/100),IF($O$5&gt;20,40+55*($AG2714/100),(80+(20-$O$5)+30*($AG2714/100))))))))))</f>
        <v>100</v>
      </c>
      <c r="AI2714" s="263"/>
      <c r="AJ2714" s="263"/>
      <c r="AK2714" s="263"/>
      <c r="AL2714" s="263"/>
      <c r="AM2714" s="264"/>
      <c r="AN2714" s="263"/>
      <c r="AO2714" s="263"/>
      <c r="AP2714" s="265"/>
      <c r="AQ2714" s="265"/>
      <c r="AR2714" s="285"/>
      <c r="AS2714" s="263"/>
      <c r="AT2714" s="263"/>
      <c r="AU2714" s="263"/>
      <c r="AV2714" s="264"/>
      <c r="AW2714" s="263"/>
      <c r="AX2714" s="263"/>
      <c r="AY2714" s="263"/>
      <c r="AZ2714" s="263"/>
      <c r="BA2714" s="263"/>
      <c r="BB2714" s="263">
        <v>83</v>
      </c>
      <c r="BC2714" s="263"/>
      <c r="BD2714" s="264"/>
      <c r="BE2714" s="263"/>
      <c r="BF2714" s="263"/>
      <c r="BG2714" s="263"/>
      <c r="BH2714" s="263"/>
      <c r="BI2714" s="263"/>
      <c r="BJ2714" s="404">
        <f>altaz(J2000_Bas,$O2714,$M2714,DecLat,DecLong,2)</f>
        <v>154.77762702230027</v>
      </c>
      <c r="BK2714" s="378" t="s">
        <v>2529</v>
      </c>
      <c r="BL2714" s="379">
        <f>IF((2*G2714)/60&lt;0.2,0.2,(2*G2714)/60)</f>
        <v>0.2</v>
      </c>
      <c r="BM2714" s="380">
        <f>MOD((50000+AD2714-$B$3+(0/24)),1)</f>
        <v>1.680847614625236E-2</v>
      </c>
      <c r="BN2714" s="381"/>
      <c r="BO2714" s="382">
        <v>2705</v>
      </c>
    </row>
    <row r="2715" spans="1:67" s="24" customFormat="1" ht="15" customHeight="1" x14ac:dyDescent="0.25">
      <c r="A2715" s="288" t="s">
        <v>2530</v>
      </c>
      <c r="B2715" s="241" t="str">
        <f>HYPERLINK(CONCATENATE($AT$3,BK2715,$AU$3),$AV$3)</f>
        <v>S</v>
      </c>
      <c r="C2715" s="242" t="str">
        <f>HYPERLINK(CONCATENATE($AT$4,BK2715,$AU$4,BL2715),$AV$4)</f>
        <v>A</v>
      </c>
      <c r="D2715" s="243" t="s">
        <v>5187</v>
      </c>
      <c r="E2715" s="244" t="s">
        <v>5183</v>
      </c>
      <c r="F2715" s="269" t="s">
        <v>5180</v>
      </c>
      <c r="G2715" s="273">
        <v>5</v>
      </c>
      <c r="H2715" s="283">
        <v>7500</v>
      </c>
      <c r="I2715" s="246">
        <v>11</v>
      </c>
      <c r="J2715" s="246">
        <v>1</v>
      </c>
      <c r="K2715" s="247" t="s">
        <v>6290</v>
      </c>
      <c r="L2715" s="248">
        <v>194918</v>
      </c>
      <c r="M2715" s="249">
        <f>15*(LEFT(TEXT($L2715,"000000"),2)+(MID(TEXT($L2715,"000000"),3,2)/60)+(RIGHT(TEXT($L2715,"000000"),2)/3600))</f>
        <v>297.32499999999999</v>
      </c>
      <c r="N2715" s="286">
        <v>182300</v>
      </c>
      <c r="O2715" s="251">
        <f>IF($N2715&gt;0,(LEFT(TEXT($N2715,"000000"),2)+(MID(TEXT($N2715,"000000"),3,2)/60)+(RIGHT(TEXT($N2715,"000000"),2)/3600)),-(MID(TEXT($N2715,"000000"),2,2)+(MID(TEXT($N2715,"000000"),4,2)/60)+(RIGHT(TEXT($N2715,"000000"),2)/3600)))</f>
        <v>18.383333333333333</v>
      </c>
      <c r="P2715" s="252" t="s">
        <v>126</v>
      </c>
      <c r="Q2715" s="253"/>
      <c r="R2715" s="277" t="s">
        <v>3293</v>
      </c>
      <c r="S2715" s="272" t="s">
        <v>3293</v>
      </c>
      <c r="T2715" s="273"/>
      <c r="U2715" s="274"/>
      <c r="V2715" s="280"/>
      <c r="W2715" s="244"/>
      <c r="X2715" s="244"/>
      <c r="Y2715" s="362"/>
      <c r="Z2715" s="257">
        <f>altaz(J2000_Bas,$O2715,$M2715,DecLat,DecLong,1)</f>
        <v>73.744392150839005</v>
      </c>
      <c r="AA2715" s="257">
        <f>altaz((J2000_Bas+(2*0.04167)),$O2715,$M2715,DecLat,DecLong,1)</f>
        <v>68.848470692772111</v>
      </c>
      <c r="AB2715" s="257">
        <f>altaz((J2000_Bas+(4*0.04167)),$O2715,$M2715,DecLat,DecLong,1)</f>
        <v>44.244671691688595</v>
      </c>
      <c r="AC2715" s="257">
        <f>altaz((J2000_Bas+(6*0.04167)),$O2715,$M2715,DecLat,DecLong,1)</f>
        <v>18.578015699993927</v>
      </c>
      <c r="AD2715" s="258">
        <f>1+ transit((J2000_Bas-1),$O2715,$M2715,DecLat,DecLong)/360 + (GMTOffset/24) + (IF(DST="Y", 1, 0)/24)</f>
        <v>1.8188026558172081</v>
      </c>
      <c r="AE2715" s="259">
        <f>DATE(2001,9,21)+(M2715/360)*365 - (360*((DecLong/360)- (GMTOffset/24) ))</f>
        <v>37461.454513888886</v>
      </c>
      <c r="AF2715" s="260">
        <f>IF(DecLat&gt;0,IF((90 - (DecLat-O2715))&gt;90, (90 - (O2715-DecLat)), (90 - (DecLat-O2715))),IF((90 + (DecLat-O2715))&gt;90, (90 + (O2715-DecLat)), (90 + (DecLat-O2715))))</f>
        <v>77.383333333333326</v>
      </c>
      <c r="AG2715" s="257">
        <f>angularseperation(MoonRA,MoonDec,$M2715,$O2715)</f>
        <v>65.111680632623788</v>
      </c>
      <c r="AH2715" s="261">
        <f ca="1">MIN(100,IF($O$5&gt;80,0+30*($AG2715/100),IF($O$5&gt;70,0+50*($AG2715/100),IF($O$5&gt;60,5+50*($AG2715/100),IF($O$5&gt;50,10+60*($AG2715/100),IF($O$5&gt;40,15+70*($AG2715/100),IF($O$5&gt;30,20+70*($AG2715/100),IF($O$5&gt;20,40+55*($AG2715/100),(80+(20-$O$5)+30*($AG2715/100))))))))))</f>
        <v>100</v>
      </c>
      <c r="AI2715" s="263"/>
      <c r="AJ2715" s="263"/>
      <c r="AK2715" s="263"/>
      <c r="AL2715" s="263"/>
      <c r="AM2715" s="264"/>
      <c r="AN2715" s="263"/>
      <c r="AO2715" s="263"/>
      <c r="AP2715" s="265"/>
      <c r="AQ2715" s="265"/>
      <c r="AR2715" s="285"/>
      <c r="AS2715" s="263"/>
      <c r="AT2715" s="263"/>
      <c r="AU2715" s="263"/>
      <c r="AV2715" s="264"/>
      <c r="AW2715" s="263"/>
      <c r="AX2715" s="263"/>
      <c r="AY2715" s="263">
        <v>131</v>
      </c>
      <c r="AZ2715" s="263"/>
      <c r="BA2715" s="263"/>
      <c r="BB2715" s="263">
        <v>84</v>
      </c>
      <c r="BC2715" s="263"/>
      <c r="BD2715" s="264"/>
      <c r="BE2715" s="263"/>
      <c r="BF2715" s="263"/>
      <c r="BG2715" s="263"/>
      <c r="BH2715" s="263"/>
      <c r="BI2715" s="263"/>
      <c r="BJ2715" s="404">
        <f>altaz(J2000_Bas,$O2715,$M2715,DecLat,DecLong,2)</f>
        <v>138.2734916917799</v>
      </c>
      <c r="BK2715" s="378" t="s">
        <v>2530</v>
      </c>
      <c r="BL2715" s="379">
        <f>IF((2*G2715)/60&lt;0.2,0.2,(2*G2715)/60)</f>
        <v>0.2</v>
      </c>
      <c r="BM2715" s="380">
        <f>MOD((50000+AD2715-$B$3+(0/24)),1)</f>
        <v>3.416958552406868E-2</v>
      </c>
      <c r="BN2715" s="381"/>
      <c r="BO2715" s="382">
        <v>2706</v>
      </c>
    </row>
    <row r="2716" spans="1:67" s="24" customFormat="1" ht="15" customHeight="1" x14ac:dyDescent="0.25">
      <c r="A2716" s="288" t="s">
        <v>2531</v>
      </c>
      <c r="B2716" s="241" t="str">
        <f>HYPERLINK(CONCATENATE($AT$3,BK2716,$AU$3),$AV$3)</f>
        <v>S</v>
      </c>
      <c r="C2716" s="242" t="str">
        <f>HYPERLINK(CONCATENATE($AT$4,BK2716,$AU$4,BL2716),$AV$4)</f>
        <v>A</v>
      </c>
      <c r="D2716" s="243" t="s">
        <v>5187</v>
      </c>
      <c r="E2716" s="244" t="s">
        <v>5183</v>
      </c>
      <c r="F2716" s="269" t="s">
        <v>9158</v>
      </c>
      <c r="G2716" s="273">
        <v>3</v>
      </c>
      <c r="H2716" s="283">
        <v>1300</v>
      </c>
      <c r="I2716" s="279">
        <v>1.1000000000000001</v>
      </c>
      <c r="J2716" s="246">
        <v>0</v>
      </c>
      <c r="K2716" s="277" t="s">
        <v>6298</v>
      </c>
      <c r="L2716" s="248">
        <v>190318</v>
      </c>
      <c r="M2716" s="249">
        <f>15*(LEFT(TEXT($L2716,"000000"),2)+(MID(TEXT($L2716,"000000"),3,2)/60)+(RIGHT(TEXT($L2716,"000000"),2)/3600))</f>
        <v>285.82499999999999</v>
      </c>
      <c r="N2716" s="286">
        <v>255000</v>
      </c>
      <c r="O2716" s="251">
        <f>IF($N2716&gt;0,(LEFT(TEXT($N2716,"000000"),2)+(MID(TEXT($N2716,"000000"),3,2)/60)+(RIGHT(TEXT($N2716,"000000"),2)/3600)),-(MID(TEXT($N2716,"000000"),2,2)+(MID(TEXT($N2716,"000000"),4,2)/60)+(RIGHT(TEXT($N2716,"000000"),2)/3600)))</f>
        <v>25.833333333333332</v>
      </c>
      <c r="P2716" s="252" t="s">
        <v>126</v>
      </c>
      <c r="Q2716" s="253"/>
      <c r="R2716" s="277" t="s">
        <v>3293</v>
      </c>
      <c r="S2716" s="272" t="s">
        <v>3293</v>
      </c>
      <c r="T2716" s="273"/>
      <c r="U2716" s="274"/>
      <c r="V2716" s="280"/>
      <c r="W2716" s="244"/>
      <c r="X2716" s="244"/>
      <c r="Y2716" s="362"/>
      <c r="Z2716" s="257">
        <f>altaz(J2000_Bas,$O2716,$M2716,DecLat,DecLong,1)</f>
        <v>84.830974992549713</v>
      </c>
      <c r="AA2716" s="257">
        <f>altaz((J2000_Bas+(2*0.04167)),$O2716,$M2716,DecLat,DecLong,1)</f>
        <v>62.974271418275826</v>
      </c>
      <c r="AB2716" s="257">
        <f>altaz((J2000_Bas+(4*0.04167)),$O2716,$M2716,DecLat,DecLong,1)</f>
        <v>37.310448249205514</v>
      </c>
      <c r="AC2716" s="257">
        <f>altaz((J2000_Bas+(6*0.04167)),$O2716,$M2716,DecLat,DecLong,1)</f>
        <v>12.628187675808745</v>
      </c>
      <c r="AD2716" s="258">
        <f>1+ transit((J2000_Bas-1),$O2716,$M2716,DecLat,DecLong)/360 + (GMTOffset/24) + (IF(DST="Y", 1, 0)/24)</f>
        <v>1.7868582145672078</v>
      </c>
      <c r="AE2716" s="259">
        <f>DATE(2001,9,21)+(M2716/360)*365 - (360*((DecLong/360)- (GMTOffset/24) ))</f>
        <v>37449.794791666667</v>
      </c>
      <c r="AF2716" s="260">
        <f>IF(DecLat&gt;0,IF((90 - (DecLat-O2716))&gt;90, (90 - (O2716-DecLat)), (90 - (DecLat-O2716))),IF((90 + (DecLat-O2716))&gt;90, (90 + (O2716-DecLat)), (90 + (DecLat-O2716))))</f>
        <v>84.833333333333329</v>
      </c>
      <c r="AG2716" s="257">
        <f>angularseperation(MoonRA,MoonDec,$M2716,$O2716)</f>
        <v>63.5708075479711</v>
      </c>
      <c r="AH2716" s="261">
        <f ca="1">MIN(100,IF($O$5&gt;80,0+30*($AG2716/100),IF($O$5&gt;70,0+50*($AG2716/100),IF($O$5&gt;60,5+50*($AG2716/100),IF($O$5&gt;50,10+60*($AG2716/100),IF($O$5&gt;40,15+70*($AG2716/100),IF($O$5&gt;30,20+70*($AG2716/100),IF($O$5&gt;20,40+55*($AG2716/100),(80+(20-$O$5)+30*($AG2716/100))))))))))</f>
        <v>100</v>
      </c>
      <c r="AI2716" s="263"/>
      <c r="AJ2716" s="263"/>
      <c r="AK2716" s="263"/>
      <c r="AL2716" s="263"/>
      <c r="AM2716" s="264"/>
      <c r="AN2716" s="263"/>
      <c r="AO2716" s="263"/>
      <c r="AP2716" s="265"/>
      <c r="AQ2716" s="265"/>
      <c r="AR2716" s="285"/>
      <c r="AS2716" s="263"/>
      <c r="AT2716" s="263"/>
      <c r="AU2716" s="263"/>
      <c r="AV2716" s="264"/>
      <c r="AW2716" s="263"/>
      <c r="AX2716" s="263"/>
      <c r="AY2716" s="263"/>
      <c r="AZ2716" s="263"/>
      <c r="BA2716" s="263"/>
      <c r="BB2716" s="263">
        <v>85</v>
      </c>
      <c r="BC2716" s="263"/>
      <c r="BD2716" s="264"/>
      <c r="BE2716" s="263"/>
      <c r="BF2716" s="263"/>
      <c r="BG2716" s="263"/>
      <c r="BH2716" s="263"/>
      <c r="BI2716" s="263"/>
      <c r="BJ2716" s="404">
        <f>altaz(J2000_Bas,$O2716,$M2716,DecLat,DecLong,2)</f>
        <v>181.77482280803235</v>
      </c>
      <c r="BK2716" s="378" t="s">
        <v>2531</v>
      </c>
      <c r="BL2716" s="379">
        <f>IF((2*G2716)/60&lt;0.2,0.2,(2*G2716)/60)</f>
        <v>0.2</v>
      </c>
      <c r="BM2716" s="380">
        <f>MOD((50000+AD2716-$B$3+(0/24)),1)</f>
        <v>2.2251442715059966E-3</v>
      </c>
      <c r="BN2716" s="381"/>
      <c r="BO2716" s="382">
        <v>2707</v>
      </c>
    </row>
    <row r="2717" spans="1:67" s="24" customFormat="1" ht="15" customHeight="1" x14ac:dyDescent="0.25">
      <c r="A2717" s="288" t="s">
        <v>2532</v>
      </c>
      <c r="B2717" s="241" t="str">
        <f>HYPERLINK(CONCATENATE($AT$3,BK2717,$AU$3),$AV$3)</f>
        <v>S</v>
      </c>
      <c r="C2717" s="242" t="str">
        <f>HYPERLINK(CONCATENATE($AT$4,BK2717,$AU$4,BL2717),$AV$4)</f>
        <v>A</v>
      </c>
      <c r="D2717" s="243" t="s">
        <v>5187</v>
      </c>
      <c r="E2717" s="244" t="s">
        <v>5183</v>
      </c>
      <c r="F2717" s="269" t="s">
        <v>5180</v>
      </c>
      <c r="G2717" s="276">
        <v>10</v>
      </c>
      <c r="H2717" s="283">
        <v>7500</v>
      </c>
      <c r="I2717" s="246">
        <v>24</v>
      </c>
      <c r="J2717" s="246">
        <v>2</v>
      </c>
      <c r="K2717" s="247" t="s">
        <v>8604</v>
      </c>
      <c r="L2717" s="248">
        <v>194621</v>
      </c>
      <c r="M2717" s="249">
        <f>15*(LEFT(TEXT($L2717,"000000"),2)+(MID(TEXT($L2717,"000000"),3,2)/60)+(RIGHT(TEXT($L2717,"000000"),2)/3600))</f>
        <v>296.58749999999998</v>
      </c>
      <c r="N2717" s="250">
        <v>243515</v>
      </c>
      <c r="O2717" s="251">
        <f>IF($N2717&gt;0,(LEFT(TEXT($N2717,"000000"),2)+(MID(TEXT($N2717,"000000"),3,2)/60)+(RIGHT(TEXT($N2717,"000000"),2)/3600)),-(MID(TEXT($N2717,"000000"),2,2)+(MID(TEXT($N2717,"000000"),4,2)/60)+(RIGHT(TEXT($N2717,"000000"),2)/3600)))</f>
        <v>24.587499999999999</v>
      </c>
      <c r="P2717" s="252" t="s">
        <v>133</v>
      </c>
      <c r="Q2717" s="253"/>
      <c r="R2717" s="247" t="s">
        <v>3293</v>
      </c>
      <c r="S2717" s="272" t="s">
        <v>3293</v>
      </c>
      <c r="T2717" s="273"/>
      <c r="U2717" s="274"/>
      <c r="V2717" s="280"/>
      <c r="W2717" s="244"/>
      <c r="X2717" s="244"/>
      <c r="Y2717" s="362"/>
      <c r="Z2717" s="257">
        <f>altaz(J2000_Bas,$O2717,$M2717,DecLat,DecLong,1)</f>
        <v>78.660821592441309</v>
      </c>
      <c r="AA2717" s="257">
        <f>altaz((J2000_Bas+(2*0.04167)),$O2717,$M2717,DecLat,DecLong,1)</f>
        <v>71.6292904386125</v>
      </c>
      <c r="AB2717" s="257">
        <f>altaz((J2000_Bas+(4*0.04167)),$O2717,$M2717,DecLat,DecLong,1)</f>
        <v>46.024420110025055</v>
      </c>
      <c r="AC2717" s="257">
        <f>altaz((J2000_Bas+(6*0.04167)),$O2717,$M2717,DecLat,DecLong,1)</f>
        <v>20.737252057391174</v>
      </c>
      <c r="AD2717" s="258">
        <f>1+ transit((J2000_Bas-1),$O2717,$M2717,DecLat,DecLong)/360 + (GMTOffset/24) + (IF(DST="Y", 1, 0)/24)</f>
        <v>1.8167540449109578</v>
      </c>
      <c r="AE2717" s="259">
        <f>DATE(2001,9,21)+(M2717/360)*365 - (360*((DecLong/360)- (GMTOffset/24) ))</f>
        <v>37460.706770833334</v>
      </c>
      <c r="AF2717" s="260">
        <f>IF(DecLat&gt;0,IF((90 - (DecLat-O2717))&gt;90, (90 - (O2717-DecLat)), (90 - (DecLat-O2717))),IF((90 + (DecLat-O2717))&gt;90, (90 + (O2717-DecLat)), (90 + (DecLat-O2717))))</f>
        <v>83.587500000000006</v>
      </c>
      <c r="AG2717" s="257">
        <f>angularseperation(MoonRA,MoonDec,$M2717,$O2717)</f>
        <v>68.953255165792882</v>
      </c>
      <c r="AH2717" s="261">
        <f ca="1">MIN(100,IF($O$5&gt;80,0+30*($AG2717/100),IF($O$5&gt;70,0+50*($AG2717/100),IF($O$5&gt;60,5+50*($AG2717/100),IF($O$5&gt;50,10+60*($AG2717/100),IF($O$5&gt;40,15+70*($AG2717/100),IF($O$5&gt;30,20+70*($AG2717/100),IF($O$5&gt;20,40+55*($AG2717/100),(80+(20-$O$5)+30*($AG2717/100))))))))))</f>
        <v>100</v>
      </c>
      <c r="AI2717" s="262"/>
      <c r="AJ2717" s="262"/>
      <c r="AK2717" s="262"/>
      <c r="AL2717" s="263"/>
      <c r="AM2717" s="264"/>
      <c r="AN2717" s="263"/>
      <c r="AO2717" s="263"/>
      <c r="AP2717" s="265"/>
      <c r="AQ2717" s="266"/>
      <c r="AR2717" s="267"/>
      <c r="AS2717" s="263"/>
      <c r="AT2717" s="263"/>
      <c r="AU2717" s="263"/>
      <c r="AV2717" s="264"/>
      <c r="AW2717" s="263"/>
      <c r="AX2717" s="263"/>
      <c r="AY2717" s="263">
        <v>136</v>
      </c>
      <c r="AZ2717" s="263"/>
      <c r="BA2717" s="263"/>
      <c r="BB2717" s="263">
        <v>87</v>
      </c>
      <c r="BC2717" s="263"/>
      <c r="BD2717" s="264"/>
      <c r="BE2717" s="263"/>
      <c r="BF2717" s="263"/>
      <c r="BG2717" s="263"/>
      <c r="BH2717" s="263"/>
      <c r="BI2717" s="263"/>
      <c r="BJ2717" s="404">
        <f>altaz(J2000_Bas,$O2717,$M2717,DecLat,DecLong,2)</f>
        <v>121.8370950419923</v>
      </c>
      <c r="BK2717" s="378" t="s">
        <v>2532</v>
      </c>
      <c r="BL2717" s="379">
        <f>IF((2*G2717)/60&lt;0.2,0.2,(2*G2717)/60)</f>
        <v>0.33333333333333331</v>
      </c>
      <c r="BM2717" s="380">
        <f>MOD((50000+AD2717-$B$3+(0/24)),1)</f>
        <v>3.2120974618010223E-2</v>
      </c>
      <c r="BN2717" s="381"/>
      <c r="BO2717" s="382">
        <v>2708</v>
      </c>
    </row>
    <row r="2718" spans="1:67" s="24" customFormat="1" ht="15" customHeight="1" x14ac:dyDescent="0.25">
      <c r="A2718" s="288" t="s">
        <v>2533</v>
      </c>
      <c r="B2718" s="241" t="str">
        <f>HYPERLINK(CONCATENATE($AT$3,BK2718,$AU$3),$AV$3)</f>
        <v>S</v>
      </c>
      <c r="C2718" s="242" t="str">
        <f>HYPERLINK(CONCATENATE($AT$4,BK2718,$AU$4,BL2718),$AV$4)</f>
        <v>A</v>
      </c>
      <c r="D2718" s="243" t="s">
        <v>5187</v>
      </c>
      <c r="E2718" s="244" t="s">
        <v>5183</v>
      </c>
      <c r="F2718" s="269" t="s">
        <v>5180</v>
      </c>
      <c r="G2718" s="276">
        <v>25</v>
      </c>
      <c r="H2718" s="283">
        <v>8000</v>
      </c>
      <c r="I2718" s="246">
        <v>60</v>
      </c>
      <c r="J2718" s="246">
        <v>2</v>
      </c>
      <c r="K2718" s="247" t="s">
        <v>5142</v>
      </c>
      <c r="L2718" s="248">
        <v>194646</v>
      </c>
      <c r="M2718" s="249">
        <f>15*(LEFT(TEXT($L2718,"000000"),2)+(MID(TEXT($L2718,"000000"),3,2)/60)+(RIGHT(TEXT($L2718,"000000"),2)/3600))</f>
        <v>296.69166666666666</v>
      </c>
      <c r="N2718" s="250">
        <v>251256</v>
      </c>
      <c r="O2718" s="251">
        <f>IF($N2718&gt;0,(LEFT(TEXT($N2718,"000000"),2)+(MID(TEXT($N2718,"000000"),3,2)/60)+(RIGHT(TEXT($N2718,"000000"),2)/3600)),-(MID(TEXT($N2718,"000000"),2,2)+(MID(TEXT($N2718,"000000"),4,2)/60)+(RIGHT(TEXT($N2718,"000000"),2)/3600)))</f>
        <v>25.215555555555554</v>
      </c>
      <c r="P2718" s="252" t="s">
        <v>133</v>
      </c>
      <c r="Q2718" s="253"/>
      <c r="R2718" s="247" t="s">
        <v>3293</v>
      </c>
      <c r="S2718" s="272" t="s">
        <v>3293</v>
      </c>
      <c r="T2718" s="273"/>
      <c r="U2718" s="274"/>
      <c r="V2718" s="280"/>
      <c r="W2718" s="244"/>
      <c r="X2718" s="244"/>
      <c r="Y2718" s="362"/>
      <c r="Z2718" s="257">
        <f>altaz(J2000_Bas,$O2718,$M2718,DecLat,DecLong,1)</f>
        <v>78.947535288729895</v>
      </c>
      <c r="AA2718" s="257">
        <f>altaz((J2000_Bas+(2*0.04167)),$O2718,$M2718,DecLat,DecLong,1)</f>
        <v>71.970652829448213</v>
      </c>
      <c r="AB2718" s="257">
        <f>altaz((J2000_Bas+(4*0.04167)),$O2718,$M2718,DecLat,DecLong,1)</f>
        <v>46.324642645502479</v>
      </c>
      <c r="AC2718" s="257">
        <f>altaz((J2000_Bas+(6*0.04167)),$O2718,$M2718,DecLat,DecLong,1)</f>
        <v>21.09288951851979</v>
      </c>
      <c r="AD2718" s="258">
        <f>1+ transit((J2000_Bas-1),$O2718,$M2718,DecLat,DecLong)/360 + (GMTOffset/24) + (IF(DST="Y", 1, 0)/24)</f>
        <v>1.8170433967338748</v>
      </c>
      <c r="AE2718" s="259">
        <f>DATE(2001,9,21)+(M2718/360)*365 - (360*((DecLong/360)- (GMTOffset/24) ))</f>
        <v>37460.812384259261</v>
      </c>
      <c r="AF2718" s="260">
        <f>IF(DecLat&gt;0,IF((90 - (DecLat-O2718))&gt;90, (90 - (O2718-DecLat)), (90 - (DecLat-O2718))),IF((90 + (DecLat-O2718))&gt;90, (90 + (O2718-DecLat)), (90 + (DecLat-O2718))))</f>
        <v>84.215555555555554</v>
      </c>
      <c r="AG2718" s="257">
        <f>angularseperation(MoonRA,MoonDec,$M2718,$O2718)</f>
        <v>69.467393911117242</v>
      </c>
      <c r="AH2718" s="261">
        <f ca="1">MIN(100,IF($O$5&gt;80,0+30*($AG2718/100),IF($O$5&gt;70,0+50*($AG2718/100),IF($O$5&gt;60,5+50*($AG2718/100),IF($O$5&gt;50,10+60*($AG2718/100),IF($O$5&gt;40,15+70*($AG2718/100),IF($O$5&gt;30,20+70*($AG2718/100),IF($O$5&gt;20,40+55*($AG2718/100),(80+(20-$O$5)+30*($AG2718/100))))))))))</f>
        <v>100</v>
      </c>
      <c r="AI2718" s="262"/>
      <c r="AJ2718" s="262"/>
      <c r="AK2718" s="262"/>
      <c r="AL2718" s="263"/>
      <c r="AM2718" s="264"/>
      <c r="AN2718" s="263"/>
      <c r="AO2718" s="263"/>
      <c r="AP2718" s="265"/>
      <c r="AQ2718" s="266"/>
      <c r="AR2718" s="267"/>
      <c r="AS2718" s="263"/>
      <c r="AT2718" s="263"/>
      <c r="AU2718" s="263"/>
      <c r="AV2718" s="264"/>
      <c r="AW2718" s="263"/>
      <c r="AX2718" s="263"/>
      <c r="AY2718" s="263">
        <v>139</v>
      </c>
      <c r="AZ2718" s="263"/>
      <c r="BA2718" s="263"/>
      <c r="BB2718" s="263">
        <v>88</v>
      </c>
      <c r="BC2718" s="263"/>
      <c r="BD2718" s="264"/>
      <c r="BE2718" s="263"/>
      <c r="BF2718" s="263"/>
      <c r="BG2718" s="263"/>
      <c r="BH2718" s="263"/>
      <c r="BI2718" s="263"/>
      <c r="BJ2718" s="404">
        <f>altaz(J2000_Bas,$O2718,$M2718,DecLat,DecLong,2)</f>
        <v>118.9177478270044</v>
      </c>
      <c r="BK2718" s="378" t="s">
        <v>2533</v>
      </c>
      <c r="BL2718" s="379">
        <f>IF((2*G2718)/60&lt;0.2,0.2,(2*G2718)/60)</f>
        <v>0.83333333333333337</v>
      </c>
      <c r="BM2718" s="380">
        <f>MOD((50000+AD2718-$B$3+(0/24)),1)</f>
        <v>3.2410326435638126E-2</v>
      </c>
      <c r="BN2718" s="381"/>
      <c r="BO2718" s="382">
        <v>2709</v>
      </c>
    </row>
    <row r="2719" spans="1:67" s="24" customFormat="1" ht="15" customHeight="1" x14ac:dyDescent="0.25">
      <c r="A2719" s="288" t="s">
        <v>2534</v>
      </c>
      <c r="B2719" s="241" t="str">
        <f>HYPERLINK(CONCATENATE($AT$3,BK2719,$AU$3),$AV$3)</f>
        <v>S</v>
      </c>
      <c r="C2719" s="242" t="str">
        <f>HYPERLINK(CONCATENATE($AT$4,BK2719,$AU$4,BL2719),$AV$4)</f>
        <v>A</v>
      </c>
      <c r="D2719" s="243" t="s">
        <v>5187</v>
      </c>
      <c r="E2719" s="244" t="s">
        <v>5183</v>
      </c>
      <c r="F2719" s="269" t="s">
        <v>5180</v>
      </c>
      <c r="G2719" s="276">
        <v>30</v>
      </c>
      <c r="H2719" s="283">
        <v>8500</v>
      </c>
      <c r="I2719" s="246">
        <v>70</v>
      </c>
      <c r="J2719" s="246">
        <v>1</v>
      </c>
      <c r="K2719" s="247" t="s">
        <v>6299</v>
      </c>
      <c r="L2719" s="248">
        <v>195012</v>
      </c>
      <c r="M2719" s="249">
        <f>15*(LEFT(TEXT($L2719,"000000"),2)+(MID(TEXT($L2719,"000000"),3,2)/60)+(RIGHT(TEXT($L2719,"000000"),2)/3600))</f>
        <v>297.55</v>
      </c>
      <c r="N2719" s="286">
        <v>262536</v>
      </c>
      <c r="O2719" s="251">
        <f>IF($N2719&gt;0,(LEFT(TEXT($N2719,"000000"),2)+(MID(TEXT($N2719,"000000"),3,2)/60)+(RIGHT(TEXT($N2719,"000000"),2)/3600)),-(MID(TEXT($N2719,"000000"),2,2)+(MID(TEXT($N2719,"000000"),4,2)/60)+(RIGHT(TEXT($N2719,"000000"),2)/3600)))</f>
        <v>26.426666666666669</v>
      </c>
      <c r="P2719" s="252" t="s">
        <v>133</v>
      </c>
      <c r="Q2719" s="253"/>
      <c r="R2719" s="277" t="s">
        <v>3293</v>
      </c>
      <c r="S2719" s="272" t="s">
        <v>3293</v>
      </c>
      <c r="T2719" s="273"/>
      <c r="U2719" s="274"/>
      <c r="V2719" s="280"/>
      <c r="W2719" s="244"/>
      <c r="X2719" s="244"/>
      <c r="Y2719" s="362"/>
      <c r="Z2719" s="257">
        <f>altaz(J2000_Bas,$O2719,$M2719,DecLat,DecLong,1)</f>
        <v>78.896102250272435</v>
      </c>
      <c r="AA2719" s="257">
        <f>altaz((J2000_Bas+(2*0.04167)),$O2719,$M2719,DecLat,DecLong,1)</f>
        <v>73.13506327907362</v>
      </c>
      <c r="AB2719" s="257">
        <f>altaz((J2000_Bas+(4*0.04167)),$O2719,$M2719,DecLat,DecLong,1)</f>
        <v>47.444427822826228</v>
      </c>
      <c r="AC2719" s="257">
        <f>altaz((J2000_Bas+(6*0.04167)),$O2719,$M2719,DecLat,DecLong,1)</f>
        <v>22.305455622097853</v>
      </c>
      <c r="AD2719" s="258">
        <f>1+ transit((J2000_Bas-1),$O2719,$M2719,DecLat,DecLong)/360 + (GMTOffset/24) + (IF(DST="Y", 1, 0)/24)</f>
        <v>1.8194276557547082</v>
      </c>
      <c r="AE2719" s="259">
        <f>DATE(2001,9,21)+(M2719/360)*365 - (360*((DecLong/360)- (GMTOffset/24) ))</f>
        <v>37461.682638888888</v>
      </c>
      <c r="AF2719" s="260">
        <f>IF(DecLat&gt;0,IF((90 - (DecLat-O2719))&gt;90, (90 - (O2719-DecLat)), (90 - (DecLat-O2719))),IF((90 + (DecLat-O2719))&gt;90, (90 + (O2719-DecLat)), (90 + (DecLat-O2719))))</f>
        <v>85.426666666666677</v>
      </c>
      <c r="AG2719" s="257">
        <f>angularseperation(MoonRA,MoonDec,$M2719,$O2719)</f>
        <v>70.872285545710298</v>
      </c>
      <c r="AH2719" s="261">
        <f ca="1">MIN(100,IF($O$5&gt;80,0+30*($AG2719/100),IF($O$5&gt;70,0+50*($AG2719/100),IF($O$5&gt;60,5+50*($AG2719/100),IF($O$5&gt;50,10+60*($AG2719/100),IF($O$5&gt;40,15+70*($AG2719/100),IF($O$5&gt;30,20+70*($AG2719/100),IF($O$5&gt;20,40+55*($AG2719/100),(80+(20-$O$5)+30*($AG2719/100))))))))))</f>
        <v>100</v>
      </c>
      <c r="AI2719" s="263"/>
      <c r="AJ2719" s="263"/>
      <c r="AK2719" s="263"/>
      <c r="AL2719" s="263"/>
      <c r="AM2719" s="264"/>
      <c r="AN2719" s="263"/>
      <c r="AO2719" s="263"/>
      <c r="AP2719" s="265"/>
      <c r="AQ2719" s="265"/>
      <c r="AR2719" s="285"/>
      <c r="AS2719" s="263"/>
      <c r="AT2719" s="263"/>
      <c r="AU2719" s="263"/>
      <c r="AV2719" s="264"/>
      <c r="AW2719" s="263"/>
      <c r="AX2719" s="263"/>
      <c r="AY2719" s="263"/>
      <c r="AZ2719" s="263"/>
      <c r="BA2719" s="263"/>
      <c r="BB2719" s="263">
        <v>89</v>
      </c>
      <c r="BC2719" s="263"/>
      <c r="BD2719" s="264"/>
      <c r="BE2719" s="263"/>
      <c r="BF2719" s="263"/>
      <c r="BG2719" s="263"/>
      <c r="BH2719" s="263"/>
      <c r="BI2719" s="263"/>
      <c r="BJ2719" s="404">
        <f>altaz(J2000_Bas,$O2719,$M2719,DecLat,DecLong,2)</f>
        <v>111.441081729242</v>
      </c>
      <c r="BK2719" s="378" t="s">
        <v>2534</v>
      </c>
      <c r="BL2719" s="379">
        <f>IF((2*G2719)/60&lt;0.2,0.2,(2*G2719)/60)</f>
        <v>1</v>
      </c>
      <c r="BM2719" s="380">
        <f>MOD((50000+AD2719-$B$3+(0/24)),1)</f>
        <v>3.4794585459167138E-2</v>
      </c>
      <c r="BN2719" s="381"/>
      <c r="BO2719" s="382">
        <v>2710</v>
      </c>
    </row>
    <row r="2720" spans="1:67" s="24" customFormat="1" ht="15" customHeight="1" x14ac:dyDescent="0.25">
      <c r="A2720" s="288" t="s">
        <v>2535</v>
      </c>
      <c r="B2720" s="241" t="str">
        <f>HYPERLINK(CONCATENATE($AT$3,BK2720,$AU$3),$AV$3)</f>
        <v>S</v>
      </c>
      <c r="C2720" s="242" t="str">
        <f>HYPERLINK(CONCATENATE($AT$4,BK2720,$AU$4,BL2720),$AV$4)</f>
        <v>A</v>
      </c>
      <c r="D2720" s="243" t="s">
        <v>5187</v>
      </c>
      <c r="E2720" s="244" t="s">
        <v>5183</v>
      </c>
      <c r="F2720" s="269" t="s">
        <v>5180</v>
      </c>
      <c r="G2720" s="273">
        <v>6</v>
      </c>
      <c r="H2720" s="283">
        <v>22000</v>
      </c>
      <c r="I2720" s="246">
        <v>40</v>
      </c>
      <c r="J2720" s="246">
        <v>2</v>
      </c>
      <c r="K2720" s="247" t="s">
        <v>7242</v>
      </c>
      <c r="L2720" s="248">
        <v>194912</v>
      </c>
      <c r="M2720" s="249">
        <f>15*(LEFT(TEXT($L2720,"000000"),2)+(MID(TEXT($L2720,"000000"),3,2)/60)+(RIGHT(TEXT($L2720,"000000"),2)/3600))</f>
        <v>297.3</v>
      </c>
      <c r="N2720" s="250">
        <v>265136</v>
      </c>
      <c r="O2720" s="251">
        <f>IF($N2720&gt;0,(LEFT(TEXT($N2720,"000000"),2)+(MID(TEXT($N2720,"000000"),3,2)/60)+(RIGHT(TEXT($N2720,"000000"),2)/3600)),-(MID(TEXT($N2720,"000000"),2,2)+(MID(TEXT($N2720,"000000"),4,2)/60)+(RIGHT(TEXT($N2720,"000000"),2)/3600)))</f>
        <v>26.860000000000003</v>
      </c>
      <c r="P2720" s="252" t="s">
        <v>133</v>
      </c>
      <c r="Q2720" s="253"/>
      <c r="R2720" s="277" t="s">
        <v>3293</v>
      </c>
      <c r="S2720" s="272" t="s">
        <v>3293</v>
      </c>
      <c r="T2720" s="273"/>
      <c r="U2720" s="274"/>
      <c r="V2720" s="280"/>
      <c r="W2720" s="244"/>
      <c r="X2720" s="244"/>
      <c r="Y2720" s="362"/>
      <c r="Z2720" s="257">
        <f>altaz(J2000_Bas,$O2720,$M2720,DecLat,DecLong,1)</f>
        <v>79.287945727526406</v>
      </c>
      <c r="AA2720" s="257">
        <f>altaz((J2000_Bas+(2*0.04167)),$O2720,$M2720,DecLat,DecLong,1)</f>
        <v>73.067590848399732</v>
      </c>
      <c r="AB2720" s="257">
        <f>altaz((J2000_Bas+(4*0.04167)),$O2720,$M2720,DecLat,DecLong,1)</f>
        <v>47.364134126865679</v>
      </c>
      <c r="AC2720" s="257">
        <f>altaz((J2000_Bas+(6*0.04167)),$O2720,$M2720,DecLat,DecLong,1)</f>
        <v>22.283096361078076</v>
      </c>
      <c r="AD2720" s="258">
        <f>1+ transit((J2000_Bas-1),$O2720,$M2720,DecLat,DecLong)/360 + (GMTOffset/24) + (IF(DST="Y", 1, 0)/24)</f>
        <v>1.8187332113797081</v>
      </c>
      <c r="AE2720" s="259">
        <f>DATE(2001,9,21)+(M2720/360)*365 - (360*((DecLong/360)- (GMTOffset/24) ))</f>
        <v>37461.429166666669</v>
      </c>
      <c r="AF2720" s="260">
        <f>IF(DecLat&gt;0,IF((90 - (DecLat-O2720))&gt;90, (90 - (O2720-DecLat)), (90 - (DecLat-O2720))),IF((90 + (DecLat-O2720))&gt;90, (90 + (O2720-DecLat)), (90 + (DecLat-O2720))))</f>
        <v>85.86</v>
      </c>
      <c r="AG2720" s="257">
        <f>angularseperation(MoonRA,MoonDec,$M2720,$O2720)</f>
        <v>71.024026936784949</v>
      </c>
      <c r="AH2720" s="261">
        <f ca="1">MIN(100,IF($O$5&gt;80,0+30*($AG2720/100),IF($O$5&gt;70,0+50*($AG2720/100),IF($O$5&gt;60,5+50*($AG2720/100),IF($O$5&gt;50,10+60*($AG2720/100),IF($O$5&gt;40,15+70*($AG2720/100),IF($O$5&gt;30,20+70*($AG2720/100),IF($O$5&gt;20,40+55*($AG2720/100),(80+(20-$O$5)+30*($AG2720/100))))))))))</f>
        <v>100</v>
      </c>
      <c r="AI2720" s="263"/>
      <c r="AJ2720" s="263"/>
      <c r="AK2720" s="263"/>
      <c r="AL2720" s="263"/>
      <c r="AM2720" s="264"/>
      <c r="AN2720" s="263"/>
      <c r="AO2720" s="263"/>
      <c r="AP2720" s="265"/>
      <c r="AQ2720" s="265"/>
      <c r="AR2720" s="285"/>
      <c r="AS2720" s="263"/>
      <c r="AT2720" s="263"/>
      <c r="AU2720" s="263"/>
      <c r="AV2720" s="264"/>
      <c r="AW2720" s="263"/>
      <c r="AX2720" s="263"/>
      <c r="AY2720" s="263">
        <v>144</v>
      </c>
      <c r="AZ2720" s="263"/>
      <c r="BA2720" s="263"/>
      <c r="BB2720" s="263">
        <v>90</v>
      </c>
      <c r="BC2720" s="263"/>
      <c r="BD2720" s="264"/>
      <c r="BE2720" s="263"/>
      <c r="BF2720" s="263"/>
      <c r="BG2720" s="263"/>
      <c r="BH2720" s="263"/>
      <c r="BI2720" s="263"/>
      <c r="BJ2720" s="404">
        <f>altaz(J2000_Bas,$O2720,$M2720,DecLat,DecLong,2)</f>
        <v>109.90766771880159</v>
      </c>
      <c r="BK2720" s="378" t="s">
        <v>2535</v>
      </c>
      <c r="BL2720" s="379">
        <f>IF((2*G2720)/60&lt;0.2,0.2,(2*G2720)/60)</f>
        <v>0.2</v>
      </c>
      <c r="BM2720" s="380">
        <f>MOD((50000+AD2720-$B$3+(0/24)),1)</f>
        <v>3.4100141085218638E-2</v>
      </c>
      <c r="BN2720" s="381"/>
      <c r="BO2720" s="382">
        <v>2711</v>
      </c>
    </row>
    <row r="2721" spans="1:67" s="24" customFormat="1" ht="15" customHeight="1" x14ac:dyDescent="0.25">
      <c r="A2721" s="288" t="s">
        <v>2536</v>
      </c>
      <c r="B2721" s="241" t="str">
        <f>HYPERLINK(CONCATENATE($AT$3,BK2721,$AU$3),$AV$3)</f>
        <v>S</v>
      </c>
      <c r="C2721" s="242" t="str">
        <f>HYPERLINK(CONCATENATE($AT$4,BK2721,$AU$4,BL2721),$AV$4)</f>
        <v>A</v>
      </c>
      <c r="D2721" s="243" t="s">
        <v>5187</v>
      </c>
      <c r="E2721" s="244" t="s">
        <v>16</v>
      </c>
      <c r="F2721" s="269"/>
      <c r="G2721" s="276">
        <v>150</v>
      </c>
      <c r="H2721" s="283">
        <v>2500</v>
      </c>
      <c r="I2721" s="246">
        <v>110</v>
      </c>
      <c r="J2721" s="246">
        <v>3</v>
      </c>
      <c r="K2721" s="247" t="s">
        <v>9375</v>
      </c>
      <c r="L2721" s="248">
        <v>193536</v>
      </c>
      <c r="M2721" s="249">
        <f>15*(LEFT(TEXT($L2721,"000000"),2)+(MID(TEXT($L2721,"000000"),3,2)/60)+(RIGHT(TEXT($L2721,"000000"),2)/3600))</f>
        <v>293.89999999999998</v>
      </c>
      <c r="N2721" s="250">
        <v>293600</v>
      </c>
      <c r="O2721" s="251">
        <f>IF($N2721&gt;0,(LEFT(TEXT($N2721,"000000"),2)+(MID(TEXT($N2721,"000000"),3,2)/60)+(RIGHT(TEXT($N2721,"000000"),2)/3600)),-(MID(TEXT($N2721,"000000"),2,2)+(MID(TEXT($N2721,"000000"),4,2)/60)+(RIGHT(TEXT($N2721,"000000"),2)/3600)))</f>
        <v>29.6</v>
      </c>
      <c r="P2721" s="252" t="s">
        <v>60</v>
      </c>
      <c r="Q2721" s="253"/>
      <c r="R2721" s="247" t="s">
        <v>3293</v>
      </c>
      <c r="S2721" s="272" t="s">
        <v>3293</v>
      </c>
      <c r="T2721" s="273"/>
      <c r="U2721" s="274"/>
      <c r="V2721" s="280"/>
      <c r="W2721" s="244"/>
      <c r="X2721" s="244"/>
      <c r="Y2721" s="362"/>
      <c r="Z2721" s="257">
        <f>altaz(J2000_Bas,$O2721,$M2721,DecLat,DecLong,1)</f>
        <v>83.040885736562927</v>
      </c>
      <c r="AA2721" s="257">
        <f>altaz((J2000_Bas+(2*0.04167)),$O2721,$M2721,DecLat,DecLong,1)</f>
        <v>70.824285555369158</v>
      </c>
      <c r="AB2721" s="257">
        <f>altaz((J2000_Bas+(4*0.04167)),$O2721,$M2721,DecLat,DecLong,1)</f>
        <v>45.272569286684742</v>
      </c>
      <c r="AC2721" s="257">
        <f>altaz((J2000_Bas+(6*0.04167)),$O2721,$M2721,DecLat,DecLong,1)</f>
        <v>20.703615019532315</v>
      </c>
      <c r="AD2721" s="258">
        <f>1+ transit((J2000_Bas-1),$O2721,$M2721,DecLat,DecLong)/360 + (GMTOffset/24) + (IF(DST="Y", 1, 0)/24)</f>
        <v>1.809288767879708</v>
      </c>
      <c r="AE2721" s="259">
        <f>DATE(2001,9,21)+(M2721/360)*365 - (360*((DecLong/360)- (GMTOffset/24) ))</f>
        <v>37457.981944444444</v>
      </c>
      <c r="AF2721" s="260">
        <f>IF(DecLat&gt;0,IF((90 - (DecLat-O2721))&gt;90, (90 - (O2721-DecLat)), (90 - (DecLat-O2721))),IF((90 + (DecLat-O2721))&gt;90, (90 + (O2721-DecLat)), (90 + (DecLat-O2721))))</f>
        <v>88.6</v>
      </c>
      <c r="AG2721" s="257">
        <f>angularseperation(MoonRA,MoonDec,$M2721,$O2721)</f>
        <v>70.987783622747131</v>
      </c>
      <c r="AH2721" s="261">
        <f ca="1">MIN(100,IF($O$5&gt;80,0+30*($AG2721/100),IF($O$5&gt;70,0+50*($AG2721/100),IF($O$5&gt;60,5+50*($AG2721/100),IF($O$5&gt;50,10+60*($AG2721/100),IF($O$5&gt;40,15+70*($AG2721/100),IF($O$5&gt;30,20+70*($AG2721/100),IF($O$5&gt;20,40+55*($AG2721/100),(80+(20-$O$5)+30*($AG2721/100))))))))))</f>
        <v>100</v>
      </c>
      <c r="AI2721" s="262"/>
      <c r="AJ2721" s="262"/>
      <c r="AK2721" s="262"/>
      <c r="AL2721" s="263"/>
      <c r="AM2721" s="264"/>
      <c r="AN2721" s="263"/>
      <c r="AO2721" s="263"/>
      <c r="AP2721" s="265"/>
      <c r="AQ2721" s="266"/>
      <c r="AR2721" s="267"/>
      <c r="AS2721" s="263"/>
      <c r="AT2721" s="263"/>
      <c r="AU2721" s="263"/>
      <c r="AV2721" s="264"/>
      <c r="AW2721" s="263"/>
      <c r="AX2721" s="263"/>
      <c r="AY2721" s="263">
        <v>147</v>
      </c>
      <c r="AZ2721" s="263"/>
      <c r="BA2721" s="263"/>
      <c r="BB2721" s="263">
        <v>91</v>
      </c>
      <c r="BC2721" s="361" t="s">
        <v>3064</v>
      </c>
      <c r="BD2721" s="264"/>
      <c r="BE2721" s="263"/>
      <c r="BF2721" s="263"/>
      <c r="BG2721" s="263"/>
      <c r="BH2721" s="263"/>
      <c r="BI2721" s="263">
        <v>86</v>
      </c>
      <c r="BJ2721" s="404">
        <f>altaz(J2000_Bas,$O2721,$M2721,DecLat,DecLong,2)</f>
        <v>99.589949641319095</v>
      </c>
      <c r="BK2721" s="378" t="s">
        <v>2536</v>
      </c>
      <c r="BL2721" s="379">
        <f>IF((2*G2721)/60&lt;0.2,0.2,(2*G2721)/60)</f>
        <v>5</v>
      </c>
      <c r="BM2721" s="380">
        <f>MOD((50000+AD2721-$B$3+(0/24)),1)</f>
        <v>2.4655697583511937E-2</v>
      </c>
      <c r="BN2721" s="381"/>
      <c r="BO2721" s="382">
        <v>2712</v>
      </c>
    </row>
    <row r="2722" spans="1:67" s="24" customFormat="1" ht="15" customHeight="1" x14ac:dyDescent="0.25">
      <c r="A2722" s="288" t="s">
        <v>2537</v>
      </c>
      <c r="B2722" s="241" t="str">
        <f>HYPERLINK(CONCATENATE($AT$3,BK2722,$AU$3),$AV$3)</f>
        <v>S</v>
      </c>
      <c r="C2722" s="242" t="str">
        <f>HYPERLINK(CONCATENATE($AT$4,BK2722,$AU$4,BL2722),$AV$4)</f>
        <v>A</v>
      </c>
      <c r="D2722" s="243" t="s">
        <v>5187</v>
      </c>
      <c r="E2722" s="244" t="s">
        <v>5183</v>
      </c>
      <c r="F2722" s="269" t="s">
        <v>5180</v>
      </c>
      <c r="G2722" s="276">
        <v>50</v>
      </c>
      <c r="H2722" s="283">
        <v>12000</v>
      </c>
      <c r="I2722" s="246">
        <v>170</v>
      </c>
      <c r="J2722" s="246">
        <v>1</v>
      </c>
      <c r="K2722" s="247" t="s">
        <v>6126</v>
      </c>
      <c r="L2722" s="248">
        <v>194640</v>
      </c>
      <c r="M2722" s="249">
        <f>15*(LEFT(TEXT($L2722,"000000"),2)+(MID(TEXT($L2722,"000000"),3,2)/60)+(RIGHT(TEXT($L2722,"000000"),2)/3600))</f>
        <v>296.66666666666669</v>
      </c>
      <c r="N2722" s="250">
        <v>281158</v>
      </c>
      <c r="O2722" s="251">
        <f>IF($N2722&gt;0,(LEFT(TEXT($N2722,"000000"),2)+(MID(TEXT($N2722,"000000"),3,2)/60)+(RIGHT(TEXT($N2722,"000000"),2)/3600)),-(MID(TEXT($N2722,"000000"),2,2)+(MID(TEXT($N2722,"000000"),4,2)/60)+(RIGHT(TEXT($N2722,"000000"),2)/3600)))</f>
        <v>28.199444444444445</v>
      </c>
      <c r="P2722" s="252" t="s">
        <v>133</v>
      </c>
      <c r="Q2722" s="253"/>
      <c r="R2722" s="277" t="s">
        <v>3293</v>
      </c>
      <c r="S2722" s="272" t="s">
        <v>3293</v>
      </c>
      <c r="T2722" s="273"/>
      <c r="U2722" s="274"/>
      <c r="V2722" s="280"/>
      <c r="W2722" s="244"/>
      <c r="X2722" s="244"/>
      <c r="Y2722" s="362"/>
      <c r="Z2722" s="257">
        <f>altaz(J2000_Bas,$O2722,$M2722,DecLat,DecLong,1)</f>
        <v>80.318819749515868</v>
      </c>
      <c r="AA2722" s="257">
        <f>altaz((J2000_Bas+(2*0.04167)),$O2722,$M2722,DecLat,DecLong,1)</f>
        <v>72.906156224640014</v>
      </c>
      <c r="AB2722" s="257">
        <f>altaz((J2000_Bas+(4*0.04167)),$O2722,$M2722,DecLat,DecLong,1)</f>
        <v>47.217566474472846</v>
      </c>
      <c r="AC2722" s="257">
        <f>altaz((J2000_Bas+(6*0.04167)),$O2722,$M2722,DecLat,DecLong,1)</f>
        <v>22.326342752775595</v>
      </c>
      <c r="AD2722" s="258">
        <f>1+ transit((J2000_Bas-1),$O2722,$M2722,DecLat,DecLong)/360 + (GMTOffset/24) + (IF(DST="Y", 1, 0)/24)</f>
        <v>1.8169739522963748</v>
      </c>
      <c r="AE2722" s="259">
        <f>DATE(2001,9,21)+(M2722/360)*365 - (360*((DecLong/360)- (GMTOffset/24) ))</f>
        <v>37460.787037037036</v>
      </c>
      <c r="AF2722" s="260">
        <f>IF(DecLat&gt;0,IF((90 - (DecLat-O2722))&gt;90, (90 - (O2722-DecLat)), (90 - (DecLat-O2722))),IF((90 + (DecLat-O2722))&gt;90, (90 + (O2722-DecLat)), (90 + (DecLat-O2722))))</f>
        <v>87.199444444444453</v>
      </c>
      <c r="AG2722" s="257">
        <f>angularseperation(MoonRA,MoonDec,$M2722,$O2722)</f>
        <v>71.595557078711053</v>
      </c>
      <c r="AH2722" s="261">
        <f ca="1">MIN(100,IF($O$5&gt;80,0+30*($AG2722/100),IF($O$5&gt;70,0+50*($AG2722/100),IF($O$5&gt;60,5+50*($AG2722/100),IF($O$5&gt;50,10+60*($AG2722/100),IF($O$5&gt;40,15+70*($AG2722/100),IF($O$5&gt;30,20+70*($AG2722/100),IF($O$5&gt;20,40+55*($AG2722/100),(80+(20-$O$5)+30*($AG2722/100))))))))))</f>
        <v>100</v>
      </c>
      <c r="AI2722" s="263"/>
      <c r="AJ2722" s="263"/>
      <c r="AK2722" s="263"/>
      <c r="AL2722" s="263"/>
      <c r="AM2722" s="264"/>
      <c r="AN2722" s="263"/>
      <c r="AO2722" s="263"/>
      <c r="AP2722" s="265"/>
      <c r="AQ2722" s="265"/>
      <c r="AR2722" s="285"/>
      <c r="AS2722" s="263"/>
      <c r="AT2722" s="263"/>
      <c r="AU2722" s="263"/>
      <c r="AV2722" s="264"/>
      <c r="AW2722" s="263"/>
      <c r="AX2722" s="263"/>
      <c r="AY2722" s="263">
        <v>145</v>
      </c>
      <c r="AZ2722" s="263"/>
      <c r="BA2722" s="263"/>
      <c r="BB2722" s="263">
        <v>92</v>
      </c>
      <c r="BC2722" s="263"/>
      <c r="BD2722" s="264"/>
      <c r="BE2722" s="263"/>
      <c r="BF2722" s="263"/>
      <c r="BG2722" s="263"/>
      <c r="BH2722" s="263"/>
      <c r="BI2722" s="263"/>
      <c r="BJ2722" s="404">
        <f>altaz(J2000_Bas,$O2722,$M2722,DecLat,DecLong,2)</f>
        <v>104.11841514633848</v>
      </c>
      <c r="BK2722" s="378" t="s">
        <v>2537</v>
      </c>
      <c r="BL2722" s="379">
        <f>IF((2*G2722)/60&lt;0.2,0.2,(2*G2722)/60)</f>
        <v>1.6666666666666667</v>
      </c>
      <c r="BM2722" s="380">
        <f>MOD((50000+AD2722-$B$3+(0/24)),1)</f>
        <v>3.2340881996788085E-2</v>
      </c>
      <c r="BN2722" s="381"/>
      <c r="BO2722" s="382">
        <v>2713</v>
      </c>
    </row>
    <row r="2723" spans="1:67" s="24" customFormat="1" ht="15" customHeight="1" x14ac:dyDescent="0.25">
      <c r="A2723" s="288" t="s">
        <v>2538</v>
      </c>
      <c r="B2723" s="241" t="str">
        <f>HYPERLINK(CONCATENATE($AT$3,BK2723,$AU$3),$AV$3)</f>
        <v>S</v>
      </c>
      <c r="C2723" s="242" t="str">
        <f>HYPERLINK(CONCATENATE($AT$4,BK2723,$AU$4,BL2723),$AV$4)</f>
        <v>A</v>
      </c>
      <c r="D2723" s="243" t="s">
        <v>5187</v>
      </c>
      <c r="E2723" s="244" t="s">
        <v>5183</v>
      </c>
      <c r="F2723" s="269" t="s">
        <v>5180</v>
      </c>
      <c r="G2723" s="273">
        <v>2</v>
      </c>
      <c r="H2723" s="283">
        <v>12000</v>
      </c>
      <c r="I2723" s="279">
        <v>7</v>
      </c>
      <c r="J2723" s="246">
        <v>2</v>
      </c>
      <c r="K2723" s="247" t="s">
        <v>7243</v>
      </c>
      <c r="L2723" s="248">
        <v>195516</v>
      </c>
      <c r="M2723" s="249">
        <f>15*(LEFT(TEXT($L2723,"000000"),2)+(MID(TEXT($L2723,"000000"),3,2)/60)+(RIGHT(TEXT($L2723,"000000"),2)/3600))</f>
        <v>298.81666666666672</v>
      </c>
      <c r="N2723" s="286">
        <v>271254</v>
      </c>
      <c r="O2723" s="251">
        <f>IF($N2723&gt;0,(LEFT(TEXT($N2723,"000000"),2)+(MID(TEXT($N2723,"000000"),3,2)/60)+(RIGHT(TEXT($N2723,"000000"),2)/3600)),-(MID(TEXT($N2723,"000000"),2,2)+(MID(TEXT($N2723,"000000"),4,2)/60)+(RIGHT(TEXT($N2723,"000000"),2)/3600)))</f>
        <v>27.215</v>
      </c>
      <c r="P2723" s="252" t="s">
        <v>60</v>
      </c>
      <c r="Q2723" s="253"/>
      <c r="R2723" s="277" t="s">
        <v>3293</v>
      </c>
      <c r="S2723" s="272" t="s">
        <v>3293</v>
      </c>
      <c r="T2723" s="273"/>
      <c r="U2723" s="274"/>
      <c r="V2723" s="280"/>
      <c r="W2723" s="244"/>
      <c r="X2723" s="244"/>
      <c r="Y2723" s="362"/>
      <c r="Z2723" s="257">
        <f>altaz(J2000_Bas,$O2723,$M2723,DecLat,DecLong,1)</f>
        <v>78.190740668190799</v>
      </c>
      <c r="AA2723" s="257">
        <f>altaz((J2000_Bas+(2*0.04167)),$O2723,$M2723,DecLat,DecLong,1)</f>
        <v>74.46149171832387</v>
      </c>
      <c r="AB2723" s="257">
        <f>altaz((J2000_Bas+(4*0.04167)),$O2723,$M2723,DecLat,DecLong,1)</f>
        <v>48.759502243799709</v>
      </c>
      <c r="AC2723" s="257">
        <f>altaz((J2000_Bas+(6*0.04167)),$O2723,$M2723,DecLat,DecLong,1)</f>
        <v>23.660350279728064</v>
      </c>
      <c r="AD2723" s="258">
        <f>1+ transit((J2000_Bas-1),$O2723,$M2723,DecLat,DecLong)/360 + (GMTOffset/24) + (IF(DST="Y", 1, 0)/24)</f>
        <v>1.8229461739213748</v>
      </c>
      <c r="AE2723" s="259">
        <f>DATE(2001,9,21)+(M2723/360)*365 - (360*((DecLong/360)- (GMTOffset/24) ))</f>
        <v>37462.966898148152</v>
      </c>
      <c r="AF2723" s="260">
        <f>IF(DecLat&gt;0,IF((90 - (DecLat-O2723))&gt;90, (90 - (O2723-DecLat)), (90 - (DecLat-O2723))),IF((90 + (DecLat-O2723))&gt;90, (90 + (O2723-DecLat)), (90 + (DecLat-O2723))))</f>
        <v>86.215000000000003</v>
      </c>
      <c r="AG2723" s="257">
        <f>angularseperation(MoonRA,MoonDec,$M2723,$O2723)</f>
        <v>72.229227255845501</v>
      </c>
      <c r="AH2723" s="261">
        <f ca="1">MIN(100,IF($O$5&gt;80,0+30*($AG2723/100),IF($O$5&gt;70,0+50*($AG2723/100),IF($O$5&gt;60,5+50*($AG2723/100),IF($O$5&gt;50,10+60*($AG2723/100),IF($O$5&gt;40,15+70*($AG2723/100),IF($O$5&gt;30,20+70*($AG2723/100),IF($O$5&gt;20,40+55*($AG2723/100),(80+(20-$O$5)+30*($AG2723/100))))))))))</f>
        <v>100</v>
      </c>
      <c r="AI2723" s="263"/>
      <c r="AJ2723" s="263"/>
      <c r="AK2723" s="263"/>
      <c r="AL2723" s="263"/>
      <c r="AM2723" s="264"/>
      <c r="AN2723" s="263"/>
      <c r="AO2723" s="263"/>
      <c r="AP2723" s="265"/>
      <c r="AQ2723" s="265"/>
      <c r="AR2723" s="285"/>
      <c r="AS2723" s="263"/>
      <c r="AT2723" s="263"/>
      <c r="AU2723" s="263"/>
      <c r="AV2723" s="264"/>
      <c r="AW2723" s="263"/>
      <c r="AX2723" s="263"/>
      <c r="AY2723" s="263">
        <v>146</v>
      </c>
      <c r="AZ2723" s="263"/>
      <c r="BA2723" s="263"/>
      <c r="BB2723" s="263">
        <v>93</v>
      </c>
      <c r="BC2723" s="263"/>
      <c r="BD2723" s="264"/>
      <c r="BE2723" s="263"/>
      <c r="BF2723" s="263"/>
      <c r="BG2723" s="263"/>
      <c r="BH2723" s="263"/>
      <c r="BI2723" s="263"/>
      <c r="BJ2723" s="404">
        <f>altaz(J2000_Bas,$O2723,$M2723,DecLat,DecLong,2)</f>
        <v>105.47507267551276</v>
      </c>
      <c r="BK2723" s="378" t="s">
        <v>2538</v>
      </c>
      <c r="BL2723" s="379">
        <f>IF((2*G2723)/60&lt;0.2,0.2,(2*G2723)/60)</f>
        <v>0.2</v>
      </c>
      <c r="BM2723" s="380">
        <f>MOD((50000+AD2723-$B$3+(0/24)),1)</f>
        <v>3.8313103628752287E-2</v>
      </c>
      <c r="BN2723" s="381"/>
      <c r="BO2723" s="382">
        <v>2714</v>
      </c>
    </row>
    <row r="2724" spans="1:67" s="24" customFormat="1" ht="15" customHeight="1" x14ac:dyDescent="0.25">
      <c r="A2724" s="288" t="s">
        <v>2539</v>
      </c>
      <c r="B2724" s="241" t="str">
        <f>HYPERLINK(CONCATENATE($AT$3,BK2724,$AU$3),$AV$3)</f>
        <v>S</v>
      </c>
      <c r="C2724" s="242" t="str">
        <f>HYPERLINK(CONCATENATE($AT$4,BK2724,$AU$4,BL2724),$AV$4)</f>
        <v>A</v>
      </c>
      <c r="D2724" s="243" t="s">
        <v>5187</v>
      </c>
      <c r="E2724" s="244" t="s">
        <v>16</v>
      </c>
      <c r="F2724" s="269"/>
      <c r="G2724" s="276">
        <v>100</v>
      </c>
      <c r="H2724" s="283">
        <v>2500</v>
      </c>
      <c r="I2724" s="246">
        <v>75</v>
      </c>
      <c r="J2724" s="246">
        <v>2</v>
      </c>
      <c r="K2724" s="247" t="s">
        <v>6300</v>
      </c>
      <c r="L2724" s="248">
        <v>192816</v>
      </c>
      <c r="M2724" s="249">
        <f>15*(LEFT(TEXT($L2724,"000000"),2)+(MID(TEXT($L2724,"000000"),3,2)/60)+(RIGHT(TEXT($L2724,"000000"),2)/3600))</f>
        <v>292.06666666666666</v>
      </c>
      <c r="N2724" s="250">
        <v>312754</v>
      </c>
      <c r="O2724" s="251">
        <f>IF($N2724&gt;0,(LEFT(TEXT($N2724,"000000"),2)+(MID(TEXT($N2724,"000000"),3,2)/60)+(RIGHT(TEXT($N2724,"000000"),2)/3600)),-(MID(TEXT($N2724,"000000"),2,2)+(MID(TEXT($N2724,"000000"),4,2)/60)+(RIGHT(TEXT($N2724,"000000"),2)/3600)))</f>
        <v>31.465</v>
      </c>
      <c r="P2724" s="252" t="s">
        <v>60</v>
      </c>
      <c r="Q2724" s="253"/>
      <c r="R2724" s="277" t="s">
        <v>3293</v>
      </c>
      <c r="S2724" s="272" t="s">
        <v>3293</v>
      </c>
      <c r="T2724" s="273"/>
      <c r="U2724" s="274"/>
      <c r="V2724" s="280"/>
      <c r="W2724" s="244"/>
      <c r="X2724" s="244"/>
      <c r="Y2724" s="362"/>
      <c r="Z2724" s="257">
        <f>altaz(J2000_Bas,$O2724,$M2724,DecLat,DecLong,1)</f>
        <v>84.794689706132772</v>
      </c>
      <c r="AA2724" s="257">
        <f>altaz((J2000_Bas+(2*0.04167)),$O2724,$M2724,DecLat,DecLong,1)</f>
        <v>69.49656712761454</v>
      </c>
      <c r="AB2724" s="257">
        <f>altaz((J2000_Bas+(4*0.04167)),$O2724,$M2724,DecLat,DecLong,1)</f>
        <v>44.226758184814187</v>
      </c>
      <c r="AC2724" s="257">
        <f>altaz((J2000_Bas+(6*0.04167)),$O2724,$M2724,DecLat,DecLong,1)</f>
        <v>20.050951043631223</v>
      </c>
      <c r="AD2724" s="258">
        <f>1+ transit((J2000_Bas-1),$O2724,$M2724,DecLat,DecLong)/360 + (GMTOffset/24) + (IF(DST="Y", 1, 0)/24)</f>
        <v>1.8041961757963747</v>
      </c>
      <c r="AE2724" s="259">
        <f>DATE(2001,9,21)+(M2724/360)*365 - (360*((DecLong/360)- (GMTOffset/24) ))</f>
        <v>37456.123148148152</v>
      </c>
      <c r="AF2724" s="260">
        <f>IF(DecLat&gt;0,IF((90 - (DecLat-O2724))&gt;90, (90 - (O2724-DecLat)), (90 - (DecLat-O2724))),IF((90 + (DecLat-O2724))&gt;90, (90 + (O2724-DecLat)), (90 + (DecLat-O2724))))</f>
        <v>89.534999999999997</v>
      </c>
      <c r="AG2724" s="257">
        <f>angularseperation(MoonRA,MoonDec,$M2724,$O2724)</f>
        <v>71.377398820561268</v>
      </c>
      <c r="AH2724" s="261">
        <f ca="1">MIN(100,IF($O$5&gt;80,0+30*($AG2724/100),IF($O$5&gt;70,0+50*($AG2724/100),IF($O$5&gt;60,5+50*($AG2724/100),IF($O$5&gt;50,10+60*($AG2724/100),IF($O$5&gt;40,15+70*($AG2724/100),IF($O$5&gt;30,20+70*($AG2724/100),IF($O$5&gt;20,40+55*($AG2724/100),(80+(20-$O$5)+30*($AG2724/100))))))))))</f>
        <v>100</v>
      </c>
      <c r="AI2724" s="263"/>
      <c r="AJ2724" s="263"/>
      <c r="AK2724" s="263"/>
      <c r="AL2724" s="263"/>
      <c r="AM2724" s="264"/>
      <c r="AN2724" s="263"/>
      <c r="AO2724" s="263"/>
      <c r="AP2724" s="265"/>
      <c r="AQ2724" s="265"/>
      <c r="AR2724" s="285"/>
      <c r="AS2724" s="263"/>
      <c r="AT2724" s="263"/>
      <c r="AU2724" s="263"/>
      <c r="AV2724" s="264"/>
      <c r="AW2724" s="263"/>
      <c r="AX2724" s="263"/>
      <c r="AY2724" s="263">
        <v>148</v>
      </c>
      <c r="AZ2724" s="263"/>
      <c r="BA2724" s="263"/>
      <c r="BB2724" s="263">
        <v>94</v>
      </c>
      <c r="BC2724" s="361" t="s">
        <v>3062</v>
      </c>
      <c r="BD2724" s="264"/>
      <c r="BE2724" s="263"/>
      <c r="BF2724" s="263"/>
      <c r="BG2724" s="263"/>
      <c r="BH2724" s="263"/>
      <c r="BI2724" s="263"/>
      <c r="BJ2724" s="404">
        <f>altaz(J2000_Bas,$O2724,$M2724,DecLat,DecLong,2)</f>
        <v>83.30704681933463</v>
      </c>
      <c r="BK2724" s="378" t="s">
        <v>2539</v>
      </c>
      <c r="BL2724" s="379">
        <f>IF((2*G2724)/60&lt;0.2,0.2,(2*G2724)/60)</f>
        <v>3.3333333333333335</v>
      </c>
      <c r="BM2724" s="380">
        <f>MOD((50000+AD2724-$B$3+(0/24)),1)</f>
        <v>1.9563105503038969E-2</v>
      </c>
      <c r="BN2724" s="381"/>
      <c r="BO2724" s="382">
        <v>2715</v>
      </c>
    </row>
    <row r="2725" spans="1:67" s="24" customFormat="1" ht="15" customHeight="1" x14ac:dyDescent="0.25">
      <c r="A2725" s="288" t="s">
        <v>2540</v>
      </c>
      <c r="B2725" s="241" t="str">
        <f>HYPERLINK(CONCATENATE($AT$3,BK2725,$AU$3),$AV$3)</f>
        <v>S</v>
      </c>
      <c r="C2725" s="242" t="str">
        <f>HYPERLINK(CONCATENATE($AT$4,BK2725,$AU$4,BL2725),$AV$4)</f>
        <v>A</v>
      </c>
      <c r="D2725" s="243" t="s">
        <v>5187</v>
      </c>
      <c r="E2725" s="244" t="s">
        <v>16</v>
      </c>
      <c r="F2725" s="269"/>
      <c r="G2725" s="276">
        <v>100</v>
      </c>
      <c r="H2725" s="283">
        <v>2500</v>
      </c>
      <c r="I2725" s="246">
        <v>75</v>
      </c>
      <c r="J2725" s="246">
        <v>2</v>
      </c>
      <c r="K2725" s="247" t="s">
        <v>6301</v>
      </c>
      <c r="L2725" s="248">
        <v>192842</v>
      </c>
      <c r="M2725" s="249">
        <f>15*(LEFT(TEXT($L2725,"000000"),2)+(MID(TEXT($L2725,"000000"),3,2)/60)+(RIGHT(TEXT($L2725,"000000"),2)/3600))</f>
        <v>292.17499999999995</v>
      </c>
      <c r="N2725" s="250">
        <v>324100</v>
      </c>
      <c r="O2725" s="251">
        <f>IF($N2725&gt;0,(LEFT(TEXT($N2725,"000000"),2)+(MID(TEXT($N2725,"000000"),3,2)/60)+(RIGHT(TEXT($N2725,"000000"),2)/3600)),-(MID(TEXT($N2725,"000000"),2,2)+(MID(TEXT($N2725,"000000"),4,2)/60)+(RIGHT(TEXT($N2725,"000000"),2)/3600)))</f>
        <v>32.68333333333333</v>
      </c>
      <c r="P2725" s="252" t="s">
        <v>60</v>
      </c>
      <c r="Q2725" s="253"/>
      <c r="R2725" s="277" t="s">
        <v>3293</v>
      </c>
      <c r="S2725" s="272" t="s">
        <v>3293</v>
      </c>
      <c r="T2725" s="273"/>
      <c r="U2725" s="274"/>
      <c r="V2725" s="280"/>
      <c r="W2725" s="244"/>
      <c r="X2725" s="244"/>
      <c r="Y2725" s="362"/>
      <c r="Z2725" s="257">
        <f>altaz(J2000_Bas,$O2725,$M2725,DecLat,DecLong,1)</f>
        <v>84.493993770559712</v>
      </c>
      <c r="AA2725" s="257">
        <f>altaz((J2000_Bas+(2*0.04167)),$O2725,$M2725,DecLat,DecLong,1)</f>
        <v>69.659727006856869</v>
      </c>
      <c r="AB2725" s="257">
        <f>altaz((J2000_Bas+(4*0.04167)),$O2725,$M2725,DecLat,DecLong,1)</f>
        <v>44.604542593060877</v>
      </c>
      <c r="AC2725" s="257">
        <f>altaz((J2000_Bas+(6*0.04167)),$O2725,$M2725,DecLat,DecLong,1)</f>
        <v>20.641078942907779</v>
      </c>
      <c r="AD2725" s="258">
        <f>1+ transit((J2000_Bas-1),$O2725,$M2725,DecLat,DecLong)/360 + (GMTOffset/24) + (IF(DST="Y", 1, 0)/24)</f>
        <v>1.8044971016922078</v>
      </c>
      <c r="AE2725" s="259">
        <f>DATE(2001,9,21)+(M2725/360)*365 - (360*((DecLong/360)- (GMTOffset/24) ))</f>
        <v>37456.232986111114</v>
      </c>
      <c r="AF2725" s="260">
        <f>IF(DecLat&gt;0,IF((90 - (DecLat-O2725))&gt;90, (90 - (O2725-DecLat)), (90 - (DecLat-O2725))),IF((90 + (DecLat-O2725))&gt;90, (90 + (O2725-DecLat)), (90 + (DecLat-O2725))))</f>
        <v>88.316666666666663</v>
      </c>
      <c r="AG2725" s="257">
        <f>angularseperation(MoonRA,MoonDec,$M2725,$O2725)</f>
        <v>72.374611815033504</v>
      </c>
      <c r="AH2725" s="261">
        <f ca="1">MIN(100,IF($O$5&gt;80,0+30*($AG2725/100),IF($O$5&gt;70,0+50*($AG2725/100),IF($O$5&gt;60,5+50*($AG2725/100),IF($O$5&gt;50,10+60*($AG2725/100),IF($O$5&gt;40,15+70*($AG2725/100),IF($O$5&gt;30,20+70*($AG2725/100),IF($O$5&gt;20,40+55*($AG2725/100),(80+(20-$O$5)+30*($AG2725/100))))))))))</f>
        <v>100</v>
      </c>
      <c r="AI2725" s="263"/>
      <c r="AJ2725" s="263"/>
      <c r="AK2725" s="263"/>
      <c r="AL2725" s="263"/>
      <c r="AM2725" s="264"/>
      <c r="AN2725" s="263"/>
      <c r="AO2725" s="263"/>
      <c r="AP2725" s="265"/>
      <c r="AQ2725" s="265"/>
      <c r="AR2725" s="285"/>
      <c r="AS2725" s="263"/>
      <c r="AT2725" s="263"/>
      <c r="AU2725" s="263"/>
      <c r="AV2725" s="264"/>
      <c r="AW2725" s="263"/>
      <c r="AX2725" s="263"/>
      <c r="AY2725" s="263">
        <v>150</v>
      </c>
      <c r="AZ2725" s="263"/>
      <c r="BA2725" s="263"/>
      <c r="BB2725" s="263">
        <v>96</v>
      </c>
      <c r="BC2725" s="361" t="s">
        <v>3063</v>
      </c>
      <c r="BD2725" s="264"/>
      <c r="BE2725" s="263"/>
      <c r="BF2725" s="263"/>
      <c r="BG2725" s="263"/>
      <c r="BH2725" s="263"/>
      <c r="BI2725" s="263"/>
      <c r="BJ2725" s="404">
        <f>altaz(J2000_Bas,$O2725,$M2725,DecLat,DecLong,2)</f>
        <v>70.58887627316831</v>
      </c>
      <c r="BK2725" s="378" t="s">
        <v>2540</v>
      </c>
      <c r="BL2725" s="379">
        <f>IF((2*G2725)/60&lt;0.2,0.2,(2*G2725)/60)</f>
        <v>3.3333333333333335</v>
      </c>
      <c r="BM2725" s="380">
        <f>MOD((50000+AD2725-$B$3+(0/24)),1)</f>
        <v>1.9864031397446524E-2</v>
      </c>
      <c r="BN2725" s="381"/>
      <c r="BO2725" s="382">
        <v>2716</v>
      </c>
    </row>
    <row r="2726" spans="1:67" s="24" customFormat="1" ht="15" customHeight="1" x14ac:dyDescent="0.25">
      <c r="A2726" s="288" t="s">
        <v>2541</v>
      </c>
      <c r="B2726" s="241" t="str">
        <f>HYPERLINK(CONCATENATE($AT$3,BK2726,$AU$3),$AV$3)</f>
        <v>S</v>
      </c>
      <c r="C2726" s="242" t="str">
        <f>HYPERLINK(CONCATENATE($AT$4,BK2726,$AU$4,BL2726),$AV$4)</f>
        <v>A</v>
      </c>
      <c r="D2726" s="243" t="s">
        <v>5187</v>
      </c>
      <c r="E2726" s="244" t="s">
        <v>5183</v>
      </c>
      <c r="F2726" s="269" t="s">
        <v>5180</v>
      </c>
      <c r="G2726" s="276">
        <v>10</v>
      </c>
      <c r="H2726" s="283">
        <v>13000</v>
      </c>
      <c r="I2726" s="246">
        <v>35</v>
      </c>
      <c r="J2726" s="246">
        <v>2</v>
      </c>
      <c r="K2726" s="247" t="s">
        <v>6302</v>
      </c>
      <c r="L2726" s="248">
        <v>195637</v>
      </c>
      <c r="M2726" s="249">
        <f>15*(LEFT(TEXT($L2726,"000000"),2)+(MID(TEXT($L2726,"000000"),3,2)/60)+(RIGHT(TEXT($L2726,"000000"),2)/3600))</f>
        <v>299.15416666666664</v>
      </c>
      <c r="N2726" s="250">
        <v>301248</v>
      </c>
      <c r="O2726" s="251">
        <f>IF($N2726&gt;0,(LEFT(TEXT($N2726,"000000"),2)+(MID(TEXT($N2726,"000000"),3,2)/60)+(RIGHT(TEXT($N2726,"000000"),2)/3600)),-(MID(TEXT($N2726,"000000"),2,2)+(MID(TEXT($N2726,"000000"),4,2)/60)+(RIGHT(TEXT($N2726,"000000"),2)/3600)))</f>
        <v>30.213333333333331</v>
      </c>
      <c r="P2726" s="252" t="s">
        <v>60</v>
      </c>
      <c r="Q2726" s="253"/>
      <c r="R2726" s="277" t="s">
        <v>3293</v>
      </c>
      <c r="S2726" s="272" t="s">
        <v>3293</v>
      </c>
      <c r="T2726" s="273"/>
      <c r="U2726" s="274"/>
      <c r="V2726" s="280"/>
      <c r="W2726" s="244"/>
      <c r="X2726" s="244"/>
      <c r="Y2726" s="362"/>
      <c r="Z2726" s="257">
        <f>altaz(J2000_Bas,$O2726,$M2726,DecLat,DecLong,1)</f>
        <v>78.66002543849217</v>
      </c>
      <c r="AA2726" s="257">
        <f>altaz((J2000_Bas+(2*0.04167)),$O2726,$M2726,DecLat,DecLong,1)</f>
        <v>75.418888052721783</v>
      </c>
      <c r="AB2726" s="257">
        <f>altaz((J2000_Bas+(4*0.04167)),$O2726,$M2726,DecLat,DecLong,1)</f>
        <v>49.834733086361261</v>
      </c>
      <c r="AC2726" s="257">
        <f>altaz((J2000_Bas+(6*0.04167)),$O2726,$M2726,DecLat,DecLong,1)</f>
        <v>25.120234020677092</v>
      </c>
      <c r="AD2726" s="258">
        <f>1+ transit((J2000_Bas-1),$O2726,$M2726,DecLat,DecLong)/360 + (GMTOffset/24) + (IF(DST="Y", 1, 0)/24)</f>
        <v>1.8238836738276245</v>
      </c>
      <c r="AE2726" s="259">
        <f>DATE(2001,9,21)+(M2726/360)*365 - (360*((DecLong/360)- (GMTOffset/24) ))</f>
        <v>37463.30908564815</v>
      </c>
      <c r="AF2726" s="260">
        <f>IF(DecLat&gt;0,IF((90 - (DecLat-O2726))&gt;90, (90 - (O2726-DecLat)), (90 - (DecLat-O2726))),IF((90 + (DecLat-O2726))&gt;90, (90 + (O2726-DecLat)), (90 + (DecLat-O2726))))</f>
        <v>89.213333333333338</v>
      </c>
      <c r="AG2726" s="257">
        <f>angularseperation(MoonRA,MoonDec,$M2726,$O2726)</f>
        <v>74.553215407362828</v>
      </c>
      <c r="AH2726" s="261">
        <f ca="1">MIN(100,IF($O$5&gt;80,0+30*($AG2726/100),IF($O$5&gt;70,0+50*($AG2726/100),IF($O$5&gt;60,5+50*($AG2726/100),IF($O$5&gt;50,10+60*($AG2726/100),IF($O$5&gt;40,15+70*($AG2726/100),IF($O$5&gt;30,20+70*($AG2726/100),IF($O$5&gt;20,40+55*($AG2726/100),(80+(20-$O$5)+30*($AG2726/100))))))))))</f>
        <v>100</v>
      </c>
      <c r="AI2726" s="263"/>
      <c r="AJ2726" s="263"/>
      <c r="AK2726" s="263"/>
      <c r="AL2726" s="263"/>
      <c r="AM2726" s="264"/>
      <c r="AN2726" s="263"/>
      <c r="AO2726" s="263"/>
      <c r="AP2726" s="265"/>
      <c r="AQ2726" s="265"/>
      <c r="AR2726" s="285"/>
      <c r="AS2726" s="263"/>
      <c r="AT2726" s="263"/>
      <c r="AU2726" s="263"/>
      <c r="AV2726" s="264"/>
      <c r="AW2726" s="263"/>
      <c r="AX2726" s="263"/>
      <c r="AY2726" s="263">
        <v>151</v>
      </c>
      <c r="AZ2726" s="263"/>
      <c r="BA2726" s="263"/>
      <c r="BB2726" s="263">
        <v>97</v>
      </c>
      <c r="BC2726" s="263"/>
      <c r="BD2726" s="264"/>
      <c r="BE2726" s="263"/>
      <c r="BF2726" s="263"/>
      <c r="BG2726" s="263"/>
      <c r="BH2726" s="263"/>
      <c r="BI2726" s="263"/>
      <c r="BJ2726" s="404">
        <f>altaz(J2000_Bas,$O2726,$M2726,DecLat,DecLong,2)</f>
        <v>90.599091130845522</v>
      </c>
      <c r="BK2726" s="378" t="s">
        <v>2541</v>
      </c>
      <c r="BL2726" s="379">
        <f>IF((2*G2726)/60&lt;0.2,0.2,(2*G2726)/60)</f>
        <v>0.33333333333333331</v>
      </c>
      <c r="BM2726" s="380">
        <f>MOD((50000+AD2726-$B$3+(0/24)),1)</f>
        <v>3.9250603535037953E-2</v>
      </c>
      <c r="BN2726" s="381"/>
      <c r="BO2726" s="382">
        <v>2717</v>
      </c>
    </row>
    <row r="2727" spans="1:67" s="24" customFormat="1" ht="15" customHeight="1" x14ac:dyDescent="0.25">
      <c r="A2727" s="288" t="s">
        <v>2542</v>
      </c>
      <c r="B2727" s="241" t="str">
        <f>HYPERLINK(CONCATENATE($AT$3,BK2727,$AU$3),$AV$3)</f>
        <v>S</v>
      </c>
      <c r="C2727" s="242" t="str">
        <f>HYPERLINK(CONCATENATE($AT$4,BK2727,$AU$4,BL2727),$AV$4)</f>
        <v>A</v>
      </c>
      <c r="D2727" s="243" t="s">
        <v>5187</v>
      </c>
      <c r="E2727" s="244" t="s">
        <v>5183</v>
      </c>
      <c r="F2727" s="269" t="s">
        <v>5180</v>
      </c>
      <c r="G2727" s="276">
        <v>17</v>
      </c>
      <c r="H2727" s="283">
        <v>12000</v>
      </c>
      <c r="I2727" s="246">
        <v>60</v>
      </c>
      <c r="J2727" s="246">
        <v>2</v>
      </c>
      <c r="K2727" s="247" t="s">
        <v>5143</v>
      </c>
      <c r="L2727" s="248">
        <v>195901</v>
      </c>
      <c r="M2727" s="249">
        <f>15*(LEFT(TEXT($L2727,"000000"),2)+(MID(TEXT($L2727,"000000"),3,2)/60)+(RIGHT(TEXT($L2727,"000000"),2)/3600))</f>
        <v>299.75416666666672</v>
      </c>
      <c r="N2727" s="250">
        <v>312230</v>
      </c>
      <c r="O2727" s="251">
        <f>IF($N2727&gt;0,(LEFT(TEXT($N2727,"000000"),2)+(MID(TEXT($N2727,"000000"),3,2)/60)+(RIGHT(TEXT($N2727,"000000"),2)/3600)),-(MID(TEXT($N2727,"000000"),2,2)+(MID(TEXT($N2727,"000000"),4,2)/60)+(RIGHT(TEXT($N2727,"000000"),2)/3600)))</f>
        <v>31.375</v>
      </c>
      <c r="P2727" s="252" t="s">
        <v>60</v>
      </c>
      <c r="Q2727" s="253"/>
      <c r="R2727" s="247" t="s">
        <v>3293</v>
      </c>
      <c r="S2727" s="272" t="s">
        <v>3293</v>
      </c>
      <c r="T2727" s="273"/>
      <c r="U2727" s="274"/>
      <c r="V2727" s="280"/>
      <c r="W2727" s="244"/>
      <c r="X2727" s="244"/>
      <c r="Y2727" s="362"/>
      <c r="Z2727" s="257">
        <f>altaz(J2000_Bas,$O2727,$M2727,DecLat,DecLong,1)</f>
        <v>78.237537814071587</v>
      </c>
      <c r="AA2727" s="257">
        <f>altaz((J2000_Bas+(2*0.04167)),$O2727,$M2727,DecLat,DecLong,1)</f>
        <v>76.035261835532168</v>
      </c>
      <c r="AB2727" s="257">
        <f>altaz((J2000_Bas+(4*0.04167)),$O2727,$M2727,DecLat,DecLong,1)</f>
        <v>50.594290582205204</v>
      </c>
      <c r="AC2727" s="257">
        <f>altaz((J2000_Bas+(6*0.04167)),$O2727,$M2727,DecLat,DecLong,1)</f>
        <v>26.037827097421076</v>
      </c>
      <c r="AD2727" s="258">
        <f>1+ transit((J2000_Bas-1),$O2727,$M2727,DecLat,DecLong)/360 + (GMTOffset/24) + (IF(DST="Y", 1, 0)/24)</f>
        <v>1.8255503403276248</v>
      </c>
      <c r="AE2727" s="259">
        <f>DATE(2001,9,21)+(M2727/360)*365 - (360*((DecLong/360)- (GMTOffset/24) ))</f>
        <v>37463.91741898148</v>
      </c>
      <c r="AF2727" s="260">
        <f>IF(DecLat&gt;0,IF((90 - (DecLat-O2727))&gt;90, (90 - (O2727-DecLat)), (90 - (DecLat-O2727))),IF((90 + (DecLat-O2727))&gt;90, (90 + (O2727-DecLat)), (90 + (DecLat-O2727))))</f>
        <v>89.625</v>
      </c>
      <c r="AG2727" s="257">
        <f>angularseperation(MoonRA,MoonDec,$M2727,$O2727)</f>
        <v>75.738618889817246</v>
      </c>
      <c r="AH2727" s="261">
        <f ca="1">MIN(100,IF($O$5&gt;80,0+30*($AG2727/100),IF($O$5&gt;70,0+50*($AG2727/100),IF($O$5&gt;60,5+50*($AG2727/100),IF($O$5&gt;50,10+60*($AG2727/100),IF($O$5&gt;40,15+70*($AG2727/100),IF($O$5&gt;30,20+70*($AG2727/100),IF($O$5&gt;20,40+55*($AG2727/100),(80+(20-$O$5)+30*($AG2727/100))))))))))</f>
        <v>100</v>
      </c>
      <c r="AI2727" s="262"/>
      <c r="AJ2727" s="262"/>
      <c r="AK2727" s="262"/>
      <c r="AL2727" s="263"/>
      <c r="AM2727" s="264"/>
      <c r="AN2727" s="263"/>
      <c r="AO2727" s="263"/>
      <c r="AP2727" s="265"/>
      <c r="AQ2727" s="266"/>
      <c r="AR2727" s="267"/>
      <c r="AS2727" s="263"/>
      <c r="AT2727" s="263"/>
      <c r="AU2727" s="263"/>
      <c r="AV2727" s="264"/>
      <c r="AW2727" s="263"/>
      <c r="AX2727" s="263"/>
      <c r="AY2727" s="263">
        <v>154</v>
      </c>
      <c r="AZ2727" s="263"/>
      <c r="BA2727" s="263"/>
      <c r="BB2727" s="263">
        <v>98</v>
      </c>
      <c r="BC2727" s="263"/>
      <c r="BD2727" s="264"/>
      <c r="BE2727" s="263"/>
      <c r="BF2727" s="263"/>
      <c r="BG2727" s="263"/>
      <c r="BH2727" s="263"/>
      <c r="BI2727" s="263"/>
      <c r="BJ2727" s="404">
        <f>altaz(J2000_Bas,$O2727,$M2727,DecLat,DecLong,2)</f>
        <v>84.609873749488969</v>
      </c>
      <c r="BK2727" s="378" t="s">
        <v>2542</v>
      </c>
      <c r="BL2727" s="379">
        <f>IF((2*G2727)/60&lt;0.2,0.2,(2*G2727)/60)</f>
        <v>0.56666666666666665</v>
      </c>
      <c r="BM2727" s="380">
        <f>MOD((50000+AD2727-$B$3+(0/24)),1)</f>
        <v>4.0917270031059161E-2</v>
      </c>
      <c r="BN2727" s="381"/>
      <c r="BO2727" s="382">
        <v>2718</v>
      </c>
    </row>
    <row r="2728" spans="1:67" s="24" customFormat="1" ht="15" customHeight="1" x14ac:dyDescent="0.25">
      <c r="A2728" s="288" t="s">
        <v>2543</v>
      </c>
      <c r="B2728" s="241" t="str">
        <f>HYPERLINK(CONCATENATE($AT$3,BK2728,$AU$3),$AV$3)</f>
        <v>S</v>
      </c>
      <c r="C2728" s="242" t="str">
        <f>HYPERLINK(CONCATENATE($AT$4,BK2728,$AU$4,BL2728),$AV$4)</f>
        <v>A</v>
      </c>
      <c r="D2728" s="243" t="s">
        <v>5187</v>
      </c>
      <c r="E2728" s="244" t="s">
        <v>5183</v>
      </c>
      <c r="F2728" s="269" t="s">
        <v>5180</v>
      </c>
      <c r="G2728" s="273">
        <v>6</v>
      </c>
      <c r="H2728" s="283">
        <v>22000</v>
      </c>
      <c r="I2728" s="246">
        <v>40</v>
      </c>
      <c r="J2728" s="246">
        <v>1</v>
      </c>
      <c r="K2728" s="247" t="s">
        <v>6126</v>
      </c>
      <c r="L2728" s="248">
        <v>200001</v>
      </c>
      <c r="M2728" s="249">
        <f>15*(LEFT(TEXT($L2728,"000000"),2)+(MID(TEXT($L2728,"000000"),3,2)/60)+(RIGHT(TEXT($L2728,"000000"),2)/3600))</f>
        <v>300.00416666666666</v>
      </c>
      <c r="N2728" s="286">
        <v>333004</v>
      </c>
      <c r="O2728" s="251">
        <f>IF($N2728&gt;0,(LEFT(TEXT($N2728,"000000"),2)+(MID(TEXT($N2728,"000000"),3,2)/60)+(RIGHT(TEXT($N2728,"000000"),2)/3600)),-(MID(TEXT($N2728,"000000"),2,2)+(MID(TEXT($N2728,"000000"),4,2)/60)+(RIGHT(TEXT($N2728,"000000"),2)/3600)))</f>
        <v>33.501111111111108</v>
      </c>
      <c r="P2728" s="252" t="s">
        <v>60</v>
      </c>
      <c r="Q2728" s="253"/>
      <c r="R2728" s="277" t="s">
        <v>3293</v>
      </c>
      <c r="S2728" s="272" t="s">
        <v>3293</v>
      </c>
      <c r="T2728" s="273"/>
      <c r="U2728" s="274"/>
      <c r="V2728" s="280"/>
      <c r="W2728" s="244"/>
      <c r="X2728" s="244"/>
      <c r="Y2728" s="362"/>
      <c r="Z2728" s="257">
        <f>altaz(J2000_Bas,$O2728,$M2728,DecLat,DecLong,1)</f>
        <v>77.907588318474268</v>
      </c>
      <c r="AA2728" s="257">
        <f>altaz((J2000_Bas+(2*0.04167)),$O2728,$M2728,DecLat,DecLong,1)</f>
        <v>76.185105867213238</v>
      </c>
      <c r="AB2728" s="257">
        <f>altaz((J2000_Bas+(4*0.04167)),$O2728,$M2728,DecLat,DecLong,1)</f>
        <v>51.195844965289339</v>
      </c>
      <c r="AC2728" s="257">
        <f>altaz((J2000_Bas+(6*0.04167)),$O2728,$M2728,DecLat,DecLong,1)</f>
        <v>27.009768508734151</v>
      </c>
      <c r="AD2728" s="258">
        <f>1+ transit((J2000_Bas-1),$O2728,$M2728,DecLat,DecLong)/360 + (GMTOffset/24) + (IF(DST="Y", 1, 0)/24)</f>
        <v>1.8262447847026249</v>
      </c>
      <c r="AE2728" s="259">
        <f>DATE(2001,9,21)+(M2728/360)*365 - (360*((DecLong/360)- (GMTOffset/24) ))</f>
        <v>37464.170891203707</v>
      </c>
      <c r="AF2728" s="260">
        <f>IF(DecLat&gt;0,IF((90 - (DecLat-O2728))&gt;90, (90 - (O2728-DecLat)), (90 - (DecLat-O2728))),IF((90 + (DecLat-O2728))&gt;90, (90 + (O2728-DecLat)), (90 + (DecLat-O2728))))</f>
        <v>87.498888888888899</v>
      </c>
      <c r="AG2728" s="257">
        <f>angularseperation(MoonRA,MoonDec,$M2728,$O2728)</f>
        <v>77.38994435808219</v>
      </c>
      <c r="AH2728" s="261">
        <f ca="1">MIN(100,IF($O$5&gt;80,0+30*($AG2728/100),IF($O$5&gt;70,0+50*($AG2728/100),IF($O$5&gt;60,5+50*($AG2728/100),IF($O$5&gt;50,10+60*($AG2728/100),IF($O$5&gt;40,15+70*($AG2728/100),IF($O$5&gt;30,20+70*($AG2728/100),IF($O$5&gt;20,40+55*($AG2728/100),(80+(20-$O$5)+30*($AG2728/100))))))))))</f>
        <v>100</v>
      </c>
      <c r="AI2728" s="263"/>
      <c r="AJ2728" s="263"/>
      <c r="AK2728" s="263"/>
      <c r="AL2728" s="263"/>
      <c r="AM2728" s="264"/>
      <c r="AN2728" s="263"/>
      <c r="AO2728" s="263"/>
      <c r="AP2728" s="265"/>
      <c r="AQ2728" s="265"/>
      <c r="AR2728" s="285"/>
      <c r="AS2728" s="263"/>
      <c r="AT2728" s="263"/>
      <c r="AU2728" s="263"/>
      <c r="AV2728" s="264"/>
      <c r="AW2728" s="263"/>
      <c r="AX2728" s="263"/>
      <c r="AY2728" s="263">
        <v>160</v>
      </c>
      <c r="AZ2728" s="263"/>
      <c r="BA2728" s="263"/>
      <c r="BB2728" s="263">
        <v>99</v>
      </c>
      <c r="BC2728" s="263"/>
      <c r="BD2728" s="264"/>
      <c r="BE2728" s="263"/>
      <c r="BF2728" s="263"/>
      <c r="BG2728" s="263"/>
      <c r="BH2728" s="263"/>
      <c r="BI2728" s="263"/>
      <c r="BJ2728" s="404">
        <f>altaz(J2000_Bas,$O2728,$M2728,DecLat,DecLong,2)</f>
        <v>74.382078900624776</v>
      </c>
      <c r="BK2728" s="378" t="s">
        <v>2543</v>
      </c>
      <c r="BL2728" s="379">
        <f>IF((2*G2728)/60&lt;0.2,0.2,(2*G2728)/60)</f>
        <v>0.2</v>
      </c>
      <c r="BM2728" s="380">
        <f>MOD((50000+AD2728-$B$3+(0/24)),1)</f>
        <v>4.161171440500766E-2</v>
      </c>
      <c r="BN2728" s="381"/>
      <c r="BO2728" s="382">
        <v>2719</v>
      </c>
    </row>
    <row r="2729" spans="1:67" s="24" customFormat="1" ht="15" customHeight="1" x14ac:dyDescent="0.25">
      <c r="A2729" s="288" t="s">
        <v>2544</v>
      </c>
      <c r="B2729" s="241" t="str">
        <f>HYPERLINK(CONCATENATE($AT$3,BK2729,$AU$3),$AV$3)</f>
        <v>S</v>
      </c>
      <c r="C2729" s="242" t="str">
        <f>HYPERLINK(CONCATENATE($AT$4,BK2729,$AU$4,BL2729),$AV$4)</f>
        <v>A</v>
      </c>
      <c r="D2729" s="243" t="s">
        <v>5187</v>
      </c>
      <c r="E2729" s="244" t="s">
        <v>5183</v>
      </c>
      <c r="F2729" s="269" t="s">
        <v>9159</v>
      </c>
      <c r="G2729" s="276">
        <v>28</v>
      </c>
      <c r="H2729" s="283">
        <v>6000</v>
      </c>
      <c r="I2729" s="246">
        <v>50</v>
      </c>
      <c r="J2729" s="246">
        <v>5</v>
      </c>
      <c r="K2729" s="247" t="s">
        <v>5144</v>
      </c>
      <c r="L2729" s="248">
        <v>195955</v>
      </c>
      <c r="M2729" s="249">
        <f>15*(LEFT(TEXT($L2729,"000000"),2)+(MID(TEXT($L2729,"000000"),3,2)/60)+(RIGHT(TEXT($L2729,"000000"),2)/3600))</f>
        <v>299.97916666666669</v>
      </c>
      <c r="N2729" s="250">
        <v>351636</v>
      </c>
      <c r="O2729" s="251">
        <f>IF($N2729&gt;0,(LEFT(TEXT($N2729,"000000"),2)+(MID(TEXT($N2729,"000000"),3,2)/60)+(RIGHT(TEXT($N2729,"000000"),2)/3600)),-(MID(TEXT($N2729,"000000"),2,2)+(MID(TEXT($N2729,"000000"),4,2)/60)+(RIGHT(TEXT($N2729,"000000"),2)/3600)))</f>
        <v>35.276666666666664</v>
      </c>
      <c r="P2729" s="252" t="s">
        <v>60</v>
      </c>
      <c r="Q2729" s="253" t="s">
        <v>7086</v>
      </c>
      <c r="R2729" s="247" t="s">
        <v>3293</v>
      </c>
      <c r="S2729" s="272" t="s">
        <v>5145</v>
      </c>
      <c r="T2729" s="273"/>
      <c r="U2729" s="274"/>
      <c r="V2729" s="280"/>
      <c r="W2729" s="244"/>
      <c r="X2729" s="244"/>
      <c r="Y2729" s="362"/>
      <c r="Z2729" s="257">
        <f>altaz(J2000_Bas,$O2729,$M2729,DecLat,DecLong,1)</f>
        <v>77.553781734861133</v>
      </c>
      <c r="AA2729" s="257">
        <f>altaz((J2000_Bas+(2*0.04167)),$O2729,$M2729,DecLat,DecLong,1)</f>
        <v>75.869682310896181</v>
      </c>
      <c r="AB2729" s="257">
        <f>altaz((J2000_Bas+(4*0.04167)),$O2729,$M2729,DecLat,DecLong,1)</f>
        <v>51.430537867240403</v>
      </c>
      <c r="AC2729" s="257">
        <f>altaz((J2000_Bas+(6*0.04167)),$O2729,$M2729,DecLat,DecLong,1)</f>
        <v>27.610023592574866</v>
      </c>
      <c r="AD2729" s="258">
        <f>1+ transit((J2000_Bas-1),$O2729,$M2729,DecLat,DecLong)/360 + (GMTOffset/24) + (IF(DST="Y", 1, 0)/24)</f>
        <v>1.8261753402651248</v>
      </c>
      <c r="AE2729" s="259">
        <f>DATE(2001,9,21)+(M2729/360)*365 - (360*((DecLong/360)- (GMTOffset/24) ))</f>
        <v>37464.145543981482</v>
      </c>
      <c r="AF2729" s="260">
        <f>IF(DecLat&gt;0,IF((90 - (DecLat-O2729))&gt;90, (90 - (O2729-DecLat)), (90 - (DecLat-O2729))),IF((90 + (DecLat-O2729))&gt;90, (90 + (O2729-DecLat)), (90 + (DecLat-O2729))))</f>
        <v>85.723333333333329</v>
      </c>
      <c r="AG2729" s="257">
        <f>angularseperation(MoonRA,MoonDec,$M2729,$O2729)</f>
        <v>78.63488981045478</v>
      </c>
      <c r="AH2729" s="261">
        <f ca="1">MIN(100,IF($O$5&gt;80,0+30*($AG2729/100),IF($O$5&gt;70,0+50*($AG2729/100),IF($O$5&gt;60,5+50*($AG2729/100),IF($O$5&gt;50,10+60*($AG2729/100),IF($O$5&gt;40,15+70*($AG2729/100),IF($O$5&gt;30,20+70*($AG2729/100),IF($O$5&gt;20,40+55*($AG2729/100),(80+(20-$O$5)+30*($AG2729/100))))))))))</f>
        <v>100</v>
      </c>
      <c r="AI2729" s="262"/>
      <c r="AJ2729" s="262"/>
      <c r="AK2729" s="262"/>
      <c r="AL2729" s="263"/>
      <c r="AM2729" s="264"/>
      <c r="AN2729" s="263"/>
      <c r="AO2729" s="263"/>
      <c r="AP2729" s="265"/>
      <c r="AQ2729" s="266"/>
      <c r="AR2729" s="267"/>
      <c r="AS2729" s="263"/>
      <c r="AT2729" s="263"/>
      <c r="AU2729" s="263"/>
      <c r="AV2729" s="264"/>
      <c r="AW2729" s="263"/>
      <c r="AX2729" s="263"/>
      <c r="AY2729" s="263">
        <v>168</v>
      </c>
      <c r="AZ2729" s="263"/>
      <c r="BA2729" s="263"/>
      <c r="BB2729" s="263">
        <v>101</v>
      </c>
      <c r="BC2729" s="263"/>
      <c r="BD2729" s="264"/>
      <c r="BE2729" s="263"/>
      <c r="BF2729" s="263"/>
      <c r="BG2729" s="263">
        <v>85</v>
      </c>
      <c r="BH2729" s="263"/>
      <c r="BI2729" s="263"/>
      <c r="BJ2729" s="404">
        <f>altaz(J2000_Bas,$O2729,$M2729,DecLat,DecLong,2)</f>
        <v>66.186277761343661</v>
      </c>
      <c r="BK2729" s="378" t="s">
        <v>2544</v>
      </c>
      <c r="BL2729" s="379">
        <f>IF((2*G2729)/60&lt;0.2,0.2,(2*G2729)/60)</f>
        <v>0.93333333333333335</v>
      </c>
      <c r="BM2729" s="380">
        <f>MOD((50000+AD2729-$B$3+(0/24)),1)</f>
        <v>4.1542269966157619E-2</v>
      </c>
      <c r="BN2729" s="381"/>
      <c r="BO2729" s="382">
        <v>2720</v>
      </c>
    </row>
    <row r="2730" spans="1:67" s="24" customFormat="1" ht="15" customHeight="1" x14ac:dyDescent="0.25">
      <c r="A2730" s="288" t="s">
        <v>2545</v>
      </c>
      <c r="B2730" s="241" t="str">
        <f>HYPERLINK(CONCATENATE($AT$3,BK2730,$AU$3),$AV$3)</f>
        <v>S</v>
      </c>
      <c r="C2730" s="242" t="str">
        <f>HYPERLINK(CONCATENATE($AT$4,BK2730,$AU$4,BL2730),$AV$4)</f>
        <v>A</v>
      </c>
      <c r="D2730" s="243" t="s">
        <v>5187</v>
      </c>
      <c r="E2730" s="244" t="s">
        <v>5183</v>
      </c>
      <c r="F2730" s="269" t="s">
        <v>5180</v>
      </c>
      <c r="G2730" s="276">
        <v>40</v>
      </c>
      <c r="H2730" s="271" t="s">
        <v>6500</v>
      </c>
      <c r="I2730" s="244" t="s">
        <v>6500</v>
      </c>
      <c r="J2730" s="246">
        <v>1</v>
      </c>
      <c r="K2730" s="247" t="s">
        <v>5146</v>
      </c>
      <c r="L2730" s="248">
        <v>203142</v>
      </c>
      <c r="M2730" s="249">
        <f>15*(LEFT(TEXT($L2730,"000000"),2)+(MID(TEXT($L2730,"000000"),3,2)/60)+(RIGHT(TEXT($L2730,"000000"),2)/3600))</f>
        <v>307.92500000000001</v>
      </c>
      <c r="N2730" s="250">
        <v>303600</v>
      </c>
      <c r="O2730" s="251">
        <f>IF($N2730&gt;0,(LEFT(TEXT($N2730,"000000"),2)+(MID(TEXT($N2730,"000000"),3,2)/60)+(RIGHT(TEXT($N2730,"000000"),2)/3600)),-(MID(TEXT($N2730,"000000"),2,2)+(MID(TEXT($N2730,"000000"),4,2)/60)+(RIGHT(TEXT($N2730,"000000"),2)/3600)))</f>
        <v>30.6</v>
      </c>
      <c r="P2730" s="252" t="s">
        <v>60</v>
      </c>
      <c r="Q2730" s="253"/>
      <c r="R2730" s="247" t="s">
        <v>3293</v>
      </c>
      <c r="S2730" s="272" t="s">
        <v>3293</v>
      </c>
      <c r="T2730" s="273"/>
      <c r="U2730" s="274"/>
      <c r="V2730" s="280"/>
      <c r="W2730" s="244"/>
      <c r="X2730" s="244"/>
      <c r="Y2730" s="362"/>
      <c r="Z2730" s="257">
        <f>altaz(J2000_Bas,$O2730,$M2730,DecLat,DecLong,1)</f>
        <v>71.195814390229515</v>
      </c>
      <c r="AA2730" s="257">
        <f>altaz((J2000_Bas+(2*0.04167)),$O2730,$M2730,DecLat,DecLong,1)</f>
        <v>82.979204616579381</v>
      </c>
      <c r="AB2730" s="257">
        <f>altaz((J2000_Bas+(4*0.04167)),$O2730,$M2730,DecLat,DecLong,1)</f>
        <v>57.310383043319078</v>
      </c>
      <c r="AC2730" s="257">
        <f>altaz((J2000_Bas+(6*0.04167)),$O2730,$M2730,DecLat,DecLong,1)</f>
        <v>32.316843135596201</v>
      </c>
      <c r="AD2730" s="258">
        <f>1+ transit((J2000_Bas-1),$O2730,$M2730,DecLat,DecLong)/360 + (GMTOffset/24) + (IF(DST="Y", 1, 0)/24)</f>
        <v>1.848247097317208</v>
      </c>
      <c r="AE2730" s="259">
        <f>DATE(2001,9,21)+(M2730/360)*365 - (360*((DecLong/360)- (GMTOffset/24) ))</f>
        <v>37472.201736111114</v>
      </c>
      <c r="AF2730" s="260">
        <f>IF(DecLat&gt;0,IF((90 - (DecLat-O2730))&gt;90, (90 - (O2730-DecLat)), (90 - (DecLat-O2730))),IF((90 + (DecLat-O2730))&gt;90, (90 + (O2730-DecLat)), (90 + (DecLat-O2730))))</f>
        <v>89.6</v>
      </c>
      <c r="AG2730" s="257">
        <f>angularseperation(MoonRA,MoonDec,$M2730,$O2730)</f>
        <v>80.41197998438939</v>
      </c>
      <c r="AH2730" s="261">
        <f ca="1">MIN(100,IF($O$5&gt;80,0+30*($AG2730/100),IF($O$5&gt;70,0+50*($AG2730/100),IF($O$5&gt;60,5+50*($AG2730/100),IF($O$5&gt;50,10+60*($AG2730/100),IF($O$5&gt;40,15+70*($AG2730/100),IF($O$5&gt;30,20+70*($AG2730/100),IF($O$5&gt;20,40+55*($AG2730/100),(80+(20-$O$5)+30*($AG2730/100))))))))))</f>
        <v>100</v>
      </c>
      <c r="AI2730" s="262"/>
      <c r="AJ2730" s="262"/>
      <c r="AK2730" s="262"/>
      <c r="AL2730" s="263"/>
      <c r="AM2730" s="264"/>
      <c r="AN2730" s="263"/>
      <c r="AO2730" s="263"/>
      <c r="AP2730" s="265"/>
      <c r="AQ2730" s="266"/>
      <c r="AR2730" s="267"/>
      <c r="AS2730" s="263"/>
      <c r="AT2730" s="263"/>
      <c r="AU2730" s="263"/>
      <c r="AV2730" s="264"/>
      <c r="AW2730" s="263"/>
      <c r="AX2730" s="263"/>
      <c r="AY2730" s="263">
        <v>169</v>
      </c>
      <c r="AZ2730" s="263"/>
      <c r="BA2730" s="263"/>
      <c r="BB2730" s="263">
        <v>102</v>
      </c>
      <c r="BC2730" s="263"/>
      <c r="BD2730" s="264"/>
      <c r="BE2730" s="263"/>
      <c r="BF2730" s="263"/>
      <c r="BG2730" s="263"/>
      <c r="BH2730" s="263"/>
      <c r="BI2730" s="263"/>
      <c r="BJ2730" s="404">
        <f>altaz(J2000_Bas,$O2730,$M2730,DecLat,DecLong,2)</f>
        <v>85.538422692235216</v>
      </c>
      <c r="BK2730" s="378" t="s">
        <v>2545</v>
      </c>
      <c r="BL2730" s="379">
        <f>IF((2*G2730)/60&lt;0.2,0.2,(2*G2730)/60)</f>
        <v>1.3333333333333333</v>
      </c>
      <c r="BM2730" s="380">
        <f>MOD((50000+AD2730-$B$3+(0/24)),1)</f>
        <v>6.3614027021685615E-2</v>
      </c>
      <c r="BN2730" s="381"/>
      <c r="BO2730" s="382">
        <v>2721</v>
      </c>
    </row>
    <row r="2731" spans="1:67" s="24" customFormat="1" ht="15" customHeight="1" x14ac:dyDescent="0.25">
      <c r="A2731" s="288" t="s">
        <v>2546</v>
      </c>
      <c r="B2731" s="241" t="str">
        <f>HYPERLINK(CONCATENATE($AT$3,BK2731,$AU$3),$AV$3)</f>
        <v>S</v>
      </c>
      <c r="C2731" s="242" t="str">
        <f>HYPERLINK(CONCATENATE($AT$4,BK2731,$AU$4,BL2731),$AV$4)</f>
        <v>A</v>
      </c>
      <c r="D2731" s="243" t="s">
        <v>5187</v>
      </c>
      <c r="E2731" s="244" t="s">
        <v>5183</v>
      </c>
      <c r="F2731" s="269" t="s">
        <v>5180</v>
      </c>
      <c r="G2731" s="273">
        <v>7</v>
      </c>
      <c r="H2731" s="283">
        <v>16000</v>
      </c>
      <c r="I2731" s="246">
        <v>35</v>
      </c>
      <c r="J2731" s="246">
        <v>3</v>
      </c>
      <c r="K2731" s="247" t="s">
        <v>5147</v>
      </c>
      <c r="L2731" s="248">
        <v>201741</v>
      </c>
      <c r="M2731" s="249">
        <f>15*(LEFT(TEXT($L2731,"000000"),2)+(MID(TEXT($L2731,"000000"),3,2)/60)+(RIGHT(TEXT($L2731,"000000"),2)/3600))</f>
        <v>304.42083333333335</v>
      </c>
      <c r="N2731" s="250">
        <v>364539</v>
      </c>
      <c r="O2731" s="251">
        <f>IF($N2731&gt;0,(LEFT(TEXT($N2731,"000000"),2)+(MID(TEXT($N2731,"000000"),3,2)/60)+(RIGHT(TEXT($N2731,"000000"),2)/3600)),-(MID(TEXT($N2731,"000000"),2,2)+(MID(TEXT($N2731,"000000"),4,2)/60)+(RIGHT(TEXT($N2731,"000000"),2)/3600)))</f>
        <v>36.760833333333331</v>
      </c>
      <c r="P2731" s="252" t="s">
        <v>60</v>
      </c>
      <c r="Q2731" s="253"/>
      <c r="R2731" s="277" t="s">
        <v>3293</v>
      </c>
      <c r="S2731" s="272" t="s">
        <v>3293</v>
      </c>
      <c r="T2731" s="273"/>
      <c r="U2731" s="274"/>
      <c r="V2731" s="280"/>
      <c r="W2731" s="244"/>
      <c r="X2731" s="244"/>
      <c r="Y2731" s="362"/>
      <c r="Z2731" s="257">
        <f>altaz(J2000_Bas,$O2731,$M2731,DecLat,DecLong,1)</f>
        <v>73.69345229062634</v>
      </c>
      <c r="AA2731" s="257">
        <f>altaz((J2000_Bas+(2*0.04167)),$O2731,$M2731,DecLat,DecLong,1)</f>
        <v>78.743552492988812</v>
      </c>
      <c r="AB2731" s="257">
        <f>altaz((J2000_Bas+(4*0.04167)),$O2731,$M2731,DecLat,DecLong,1)</f>
        <v>55.140608659821424</v>
      </c>
      <c r="AC2731" s="257">
        <f>altaz((J2000_Bas+(6*0.04167)),$O2731,$M2731,DecLat,DecLong,1)</f>
        <v>31.48790718524938</v>
      </c>
      <c r="AD2731" s="258">
        <f>1+ transit((J2000_Bas-1),$O2731,$M2731,DecLat,DecLong)/360 + (GMTOffset/24) + (IF(DST="Y", 1, 0)/24)</f>
        <v>1.8385133019942914</v>
      </c>
      <c r="AE2731" s="259">
        <f>DATE(2001,9,21)+(M2731/360)*365 - (360*((DecLong/360)- (GMTOffset/24) ))</f>
        <v>37468.648900462962</v>
      </c>
      <c r="AF2731" s="260">
        <f>IF(DecLat&gt;0,IF((90 - (DecLat-O2731))&gt;90, (90 - (O2731-DecLat)), (90 - (DecLat-O2731))),IF((90 + (DecLat-O2731))&gt;90, (90 + (O2731-DecLat)), (90 + (DecLat-O2731))))</f>
        <v>84.239166666666677</v>
      </c>
      <c r="AG2731" s="257">
        <f>angularseperation(MoonRA,MoonDec,$M2731,$O2731)</f>
        <v>82.252181827800683</v>
      </c>
      <c r="AH2731" s="261">
        <f ca="1">MIN(100,IF($O$5&gt;80,0+30*($AG2731/100),IF($O$5&gt;70,0+50*($AG2731/100),IF($O$5&gt;60,5+50*($AG2731/100),IF($O$5&gt;50,10+60*($AG2731/100),IF($O$5&gt;40,15+70*($AG2731/100),IF($O$5&gt;30,20+70*($AG2731/100),IF($O$5&gt;20,40+55*($AG2731/100),(80+(20-$O$5)+30*($AG2731/100))))))))))</f>
        <v>100</v>
      </c>
      <c r="AI2731" s="263"/>
      <c r="AJ2731" s="263"/>
      <c r="AK2731" s="263"/>
      <c r="AL2731" s="263"/>
      <c r="AM2731" s="264"/>
      <c r="AN2731" s="263"/>
      <c r="AO2731" s="263"/>
      <c r="AP2731" s="265"/>
      <c r="AQ2731" s="265"/>
      <c r="AR2731" s="285"/>
      <c r="AS2731" s="263"/>
      <c r="AT2731" s="263"/>
      <c r="AU2731" s="263"/>
      <c r="AV2731" s="264"/>
      <c r="AW2731" s="263"/>
      <c r="AX2731" s="263"/>
      <c r="AY2731" s="263">
        <v>195</v>
      </c>
      <c r="AZ2731" s="263"/>
      <c r="BA2731" s="263"/>
      <c r="BB2731" s="263">
        <v>104</v>
      </c>
      <c r="BC2731" s="263"/>
      <c r="BD2731" s="264"/>
      <c r="BE2731" s="263"/>
      <c r="BF2731" s="263"/>
      <c r="BG2731" s="263"/>
      <c r="BH2731" s="263"/>
      <c r="BI2731" s="263"/>
      <c r="BJ2731" s="404">
        <f>altaz(J2000_Bas,$O2731,$M2731,DecLat,DecLong,2)</f>
        <v>64.356368789265943</v>
      </c>
      <c r="BK2731" s="378" t="s">
        <v>2546</v>
      </c>
      <c r="BL2731" s="379">
        <f>IF((2*G2731)/60&lt;0.2,0.2,(2*G2731)/60)</f>
        <v>0.23333333333333334</v>
      </c>
      <c r="BM2731" s="380">
        <f>MOD((50000+AD2731-$B$3+(0/24)),1)</f>
        <v>5.3880231695075054E-2</v>
      </c>
      <c r="BN2731" s="381"/>
      <c r="BO2731" s="382">
        <v>2722</v>
      </c>
    </row>
    <row r="2732" spans="1:67" s="24" customFormat="1" ht="15" customHeight="1" x14ac:dyDescent="0.25">
      <c r="A2732" s="288" t="s">
        <v>2547</v>
      </c>
      <c r="B2732" s="241" t="str">
        <f>HYPERLINK(CONCATENATE($AT$3,BK2732,$AU$3),$AV$3)</f>
        <v>S</v>
      </c>
      <c r="C2732" s="242" t="str">
        <f>HYPERLINK(CONCATENATE($AT$4,BK2732,$AU$4,BL2732),$AV$4)</f>
        <v>A</v>
      </c>
      <c r="D2732" s="243" t="s">
        <v>5187</v>
      </c>
      <c r="E2732" s="244" t="s">
        <v>5181</v>
      </c>
      <c r="F2732" s="269" t="s">
        <v>5211</v>
      </c>
      <c r="G2732" s="273">
        <v>3</v>
      </c>
      <c r="H2732" s="283">
        <v>2000</v>
      </c>
      <c r="I2732" s="279">
        <v>1.8</v>
      </c>
      <c r="J2732" s="246">
        <v>4</v>
      </c>
      <c r="K2732" s="247" t="s">
        <v>5148</v>
      </c>
      <c r="L2732" s="248">
        <v>202727</v>
      </c>
      <c r="M2732" s="249">
        <f>15*(LEFT(TEXT($L2732,"000000"),2)+(MID(TEXT($L2732,"000000"),3,2)/60)+(RIGHT(TEXT($L2732,"000000"),2)/3600))</f>
        <v>306.86250000000001</v>
      </c>
      <c r="N2732" s="250">
        <v>372249</v>
      </c>
      <c r="O2732" s="251">
        <f>IF($N2732&gt;0,(LEFT(TEXT($N2732,"000000"),2)+(MID(TEXT($N2732,"000000"),3,2)/60)+(RIGHT(TEXT($N2732,"000000"),2)/3600)),-(MID(TEXT($N2732,"000000"),2,2)+(MID(TEXT($N2732,"000000"),4,2)/60)+(RIGHT(TEXT($N2732,"000000"),2)/3600)))</f>
        <v>37.380277777777778</v>
      </c>
      <c r="P2732" s="252" t="s">
        <v>60</v>
      </c>
      <c r="Q2732" s="253" t="s">
        <v>7007</v>
      </c>
      <c r="R2732" s="247" t="s">
        <v>3293</v>
      </c>
      <c r="S2732" s="272" t="s">
        <v>3293</v>
      </c>
      <c r="T2732" s="273"/>
      <c r="U2732" s="274"/>
      <c r="V2732" s="280"/>
      <c r="W2732" s="244"/>
      <c r="X2732" s="244"/>
      <c r="Y2732" s="362"/>
      <c r="Z2732" s="257">
        <f>altaz(J2000_Bas,$O2732,$M2732,DecLat,DecLong,1)</f>
        <v>71.651844894381952</v>
      </c>
      <c r="AA2732" s="257">
        <f>altaz((J2000_Bas+(2*0.04167)),$O2732,$M2732,DecLat,DecLong,1)</f>
        <v>80.062789687615464</v>
      </c>
      <c r="AB2732" s="257">
        <f>altaz((J2000_Bas+(4*0.04167)),$O2732,$M2732,DecLat,DecLong,1)</f>
        <v>57.107785250749643</v>
      </c>
      <c r="AC2732" s="257">
        <f>altaz((J2000_Bas+(6*0.04167)),$O2732,$M2732,DecLat,DecLong,1)</f>
        <v>33.531720576792672</v>
      </c>
      <c r="AD2732" s="258">
        <f>1+ transit((J2000_Bas-1),$O2732,$M2732,DecLat,DecLong)/360 + (GMTOffset/24) + (IF(DST="Y", 1, 0)/24)</f>
        <v>1.8452957087234581</v>
      </c>
      <c r="AE2732" s="259">
        <f>DATE(2001,9,21)+(M2732/360)*365 - (360*((DecLong/360)- (GMTOffset/24) ))</f>
        <v>37471.124479166669</v>
      </c>
      <c r="AF2732" s="260">
        <f>IF(DecLat&gt;0,IF((90 - (DecLat-O2732))&gt;90, (90 - (O2732-DecLat)), (90 - (DecLat-O2732))),IF((90 + (DecLat-O2732))&gt;90, (90 + (O2732-DecLat)), (90 + (DecLat-O2732))))</f>
        <v>83.619722222222222</v>
      </c>
      <c r="AG2732" s="257">
        <f>angularseperation(MoonRA,MoonDec,$M2732,$O2732)</f>
        <v>84.11902645847826</v>
      </c>
      <c r="AH2732" s="261">
        <f ca="1">MIN(100,IF($O$5&gt;80,0+30*($AG2732/100),IF($O$5&gt;70,0+50*($AG2732/100),IF($O$5&gt;60,5+50*($AG2732/100),IF($O$5&gt;50,10+60*($AG2732/100),IF($O$5&gt;40,15+70*($AG2732/100),IF($O$5&gt;30,20+70*($AG2732/100),IF($O$5&gt;20,40+55*($AG2732/100),(80+(20-$O$5)+30*($AG2732/100))))))))))</f>
        <v>100</v>
      </c>
      <c r="AI2732" s="262"/>
      <c r="AJ2732" s="262"/>
      <c r="AK2732" s="262"/>
      <c r="AL2732" s="263"/>
      <c r="AM2732" s="264"/>
      <c r="AN2732" s="263"/>
      <c r="AO2732" s="263"/>
      <c r="AP2732" s="265"/>
      <c r="AQ2732" s="266"/>
      <c r="AR2732" s="267"/>
      <c r="AS2732" s="263"/>
      <c r="AT2732" s="263"/>
      <c r="AU2732" s="263"/>
      <c r="AV2732" s="264"/>
      <c r="AW2732" s="263"/>
      <c r="AX2732" s="263"/>
      <c r="AY2732" s="263"/>
      <c r="AZ2732" s="263"/>
      <c r="BA2732" s="263"/>
      <c r="BB2732" s="263">
        <v>106</v>
      </c>
      <c r="BC2732" s="263"/>
      <c r="BD2732" s="264"/>
      <c r="BE2732" s="263"/>
      <c r="BF2732" s="263"/>
      <c r="BG2732" s="263"/>
      <c r="BH2732" s="263">
        <v>69</v>
      </c>
      <c r="BI2732" s="263"/>
      <c r="BJ2732" s="404">
        <f>altaz(J2000_Bas,$O2732,$M2732,DecLat,DecLong,2)</f>
        <v>64.008650559520959</v>
      </c>
      <c r="BK2732" s="378" t="s">
        <v>2547</v>
      </c>
      <c r="BL2732" s="379">
        <f>IF((2*G2732)/60&lt;0.2,0.2,(2*G2732)/60)</f>
        <v>0.2</v>
      </c>
      <c r="BM2732" s="380">
        <f>MOD((50000+AD2732-$B$3+(0/24)),1)</f>
        <v>6.0662638425128534E-2</v>
      </c>
      <c r="BN2732" s="381"/>
      <c r="BO2732" s="382">
        <v>2723</v>
      </c>
    </row>
    <row r="2733" spans="1:67" s="24" customFormat="1" ht="15" customHeight="1" x14ac:dyDescent="0.25">
      <c r="A2733" s="288" t="s">
        <v>2548</v>
      </c>
      <c r="B2733" s="241" t="str">
        <f>HYPERLINK(CONCATENATE($AT$3,BK2733,$AU$3),$AV$3)</f>
        <v>S</v>
      </c>
      <c r="C2733" s="242" t="str">
        <f>HYPERLINK(CONCATENATE($AT$4,BK2733,$AU$4,BL2733),$AV$4)</f>
        <v>A</v>
      </c>
      <c r="D2733" s="243" t="s">
        <v>5187</v>
      </c>
      <c r="E2733" s="244" t="s">
        <v>5183</v>
      </c>
      <c r="F2733" s="269" t="s">
        <v>5180</v>
      </c>
      <c r="G2733" s="273">
        <v>8</v>
      </c>
      <c r="H2733" s="283">
        <v>6500</v>
      </c>
      <c r="I2733" s="246">
        <v>16</v>
      </c>
      <c r="J2733" s="246">
        <v>2</v>
      </c>
      <c r="K2733" s="247" t="s">
        <v>6303</v>
      </c>
      <c r="L2733" s="248">
        <v>204237</v>
      </c>
      <c r="M2733" s="249">
        <f>15*(LEFT(TEXT($L2733,"000000"),2)+(MID(TEXT($L2733,"000000"),3,2)/60)+(RIGHT(TEXT($L2733,"000000"),2)/3600))</f>
        <v>310.65416666666664</v>
      </c>
      <c r="N2733" s="250">
        <v>362048</v>
      </c>
      <c r="O2733" s="251">
        <f>IF($N2733&gt;0,(LEFT(TEXT($N2733,"000000"),2)+(MID(TEXT($N2733,"000000"),3,2)/60)+(RIGHT(TEXT($N2733,"000000"),2)/3600)),-(MID(TEXT($N2733,"000000"),2,2)+(MID(TEXT($N2733,"000000"),4,2)/60)+(RIGHT(TEXT($N2733,"000000"),2)/3600)))</f>
        <v>36.346666666666671</v>
      </c>
      <c r="P2733" s="252" t="s">
        <v>60</v>
      </c>
      <c r="Q2733" s="253"/>
      <c r="R2733" s="277" t="s">
        <v>3293</v>
      </c>
      <c r="S2733" s="272" t="s">
        <v>3293</v>
      </c>
      <c r="T2733" s="273"/>
      <c r="U2733" s="274"/>
      <c r="V2733" s="280"/>
      <c r="W2733" s="244"/>
      <c r="X2733" s="244"/>
      <c r="Y2733" s="362"/>
      <c r="Z2733" s="257">
        <f>altaz(J2000_Bas,$O2733,$M2733,DecLat,DecLong,1)</f>
        <v>68.863942359015581</v>
      </c>
      <c r="AA2733" s="257">
        <f>altaz((J2000_Bas+(2*0.04167)),$O2733,$M2733,DecLat,DecLong,1)</f>
        <v>83.000664648404012</v>
      </c>
      <c r="AB2733" s="257">
        <f>altaz((J2000_Bas+(4*0.04167)),$O2733,$M2733,DecLat,DecLong,1)</f>
        <v>60.133876548035232</v>
      </c>
      <c r="AC2733" s="257">
        <f>altaz((J2000_Bas+(6*0.04167)),$O2733,$M2733,DecLat,DecLong,1)</f>
        <v>36.187698951076612</v>
      </c>
      <c r="AD2733" s="258">
        <f>1+ transit((J2000_Bas-1),$O2733,$M2733,DecLat,DecLong)/360 + (GMTOffset/24) + (IF(DST="Y", 1, 0)/24)</f>
        <v>1.8558281150776244</v>
      </c>
      <c r="AE2733" s="259">
        <f>DATE(2001,9,21)+(M2733/360)*365 - (360*((DecLong/360)- (GMTOffset/24) ))</f>
        <v>37474.968807870369</v>
      </c>
      <c r="AF2733" s="260">
        <f>IF(DecLat&gt;0,IF((90 - (DecLat-O2733))&gt;90, (90 - (O2733-DecLat)), (90 - (DecLat-O2733))),IF((90 + (DecLat-O2733))&gt;90, (90 + (O2733-DecLat)), (90 + (DecLat-O2733))))</f>
        <v>84.653333333333336</v>
      </c>
      <c r="AG2733" s="257">
        <f>angularseperation(MoonRA,MoonDec,$M2733,$O2733)</f>
        <v>85.796230634373472</v>
      </c>
      <c r="AH2733" s="261">
        <f ca="1">MIN(100,IF($O$5&gt;80,0+30*($AG2733/100),IF($O$5&gt;70,0+50*($AG2733/100),IF($O$5&gt;60,5+50*($AG2733/100),IF($O$5&gt;50,10+60*($AG2733/100),IF($O$5&gt;40,15+70*($AG2733/100),IF($O$5&gt;30,20+70*($AG2733/100),IF($O$5&gt;20,40+55*($AG2733/100),(80+(20-$O$5)+30*($AG2733/100))))))))))</f>
        <v>100</v>
      </c>
      <c r="AI2733" s="263"/>
      <c r="AJ2733" s="263"/>
      <c r="AK2733" s="263"/>
      <c r="AL2733" s="263"/>
      <c r="AM2733" s="264"/>
      <c r="AN2733" s="263"/>
      <c r="AO2733" s="263"/>
      <c r="AP2733" s="265"/>
      <c r="AQ2733" s="265"/>
      <c r="AR2733" s="285"/>
      <c r="AS2733" s="263"/>
      <c r="AT2733" s="263"/>
      <c r="AU2733" s="263"/>
      <c r="AV2733" s="264"/>
      <c r="AW2733" s="263"/>
      <c r="AX2733" s="263"/>
      <c r="AY2733" s="263">
        <v>231</v>
      </c>
      <c r="AZ2733" s="263"/>
      <c r="BA2733" s="263"/>
      <c r="BB2733" s="263">
        <v>107</v>
      </c>
      <c r="BC2733" s="263"/>
      <c r="BD2733" s="264"/>
      <c r="BE2733" s="263"/>
      <c r="BF2733" s="263"/>
      <c r="BG2733" s="263"/>
      <c r="BH2733" s="263"/>
      <c r="BI2733" s="263"/>
      <c r="BJ2733" s="404">
        <f>altaz(J2000_Bas,$O2733,$M2733,DecLat,DecLong,2)</f>
        <v>68.698877286463969</v>
      </c>
      <c r="BK2733" s="378" t="s">
        <v>2548</v>
      </c>
      <c r="BL2733" s="379">
        <f>IF((2*G2733)/60&lt;0.2,0.2,(2*G2733)/60)</f>
        <v>0.26666666666666666</v>
      </c>
      <c r="BM2733" s="380">
        <f>MOD((50000+AD2733-$B$3+(0/24)),1)</f>
        <v>7.1195044780324679E-2</v>
      </c>
      <c r="BN2733" s="381"/>
      <c r="BO2733" s="382">
        <v>2724</v>
      </c>
    </row>
    <row r="2734" spans="1:67" s="24" customFormat="1" ht="15" customHeight="1" x14ac:dyDescent="0.25">
      <c r="A2734" s="288" t="s">
        <v>2549</v>
      </c>
      <c r="B2734" s="241" t="str">
        <f>HYPERLINK(CONCATENATE($AT$3,BK2734,$AU$3),$AV$3)</f>
        <v>S</v>
      </c>
      <c r="C2734" s="242" t="str">
        <f>HYPERLINK(CONCATENATE($AT$4,BK2734,$AU$4,BL2734),$AV$4)</f>
        <v>A</v>
      </c>
      <c r="D2734" s="243" t="s">
        <v>5187</v>
      </c>
      <c r="E2734" s="244" t="s">
        <v>5183</v>
      </c>
      <c r="F2734" s="269" t="s">
        <v>5180</v>
      </c>
      <c r="G2734" s="276">
        <v>1000</v>
      </c>
      <c r="H2734" s="283">
        <v>4700</v>
      </c>
      <c r="I2734" s="246">
        <v>1500</v>
      </c>
      <c r="J2734" s="246">
        <v>3</v>
      </c>
      <c r="K2734" s="247" t="s">
        <v>6304</v>
      </c>
      <c r="L2734" s="248">
        <v>203337</v>
      </c>
      <c r="M2734" s="249">
        <f>15*(LEFT(TEXT($L2734,"000000"),2)+(MID(TEXT($L2734,"000000"),3,2)/60)+(RIGHT(TEXT($L2734,"000000"),2)/3600))</f>
        <v>308.40416666666664</v>
      </c>
      <c r="N2734" s="286">
        <v>402000</v>
      </c>
      <c r="O2734" s="251">
        <f>IF($N2734&gt;0,(LEFT(TEXT($N2734,"000000"),2)+(MID(TEXT($N2734,"000000"),3,2)/60)+(RIGHT(TEXT($N2734,"000000"),2)/3600)),-(MID(TEXT($N2734,"000000"),2,2)+(MID(TEXT($N2734,"000000"),4,2)/60)+(RIGHT(TEXT($N2734,"000000"),2)/3600)))</f>
        <v>40.333333333333336</v>
      </c>
      <c r="P2734" s="252" t="s">
        <v>60</v>
      </c>
      <c r="Q2734" s="253" t="s">
        <v>2550</v>
      </c>
      <c r="R2734" s="277" t="s">
        <v>3293</v>
      </c>
      <c r="S2734" s="272" t="s">
        <v>3293</v>
      </c>
      <c r="T2734" s="273"/>
      <c r="U2734" s="274"/>
      <c r="V2734" s="280"/>
      <c r="W2734" s="244"/>
      <c r="X2734" s="244"/>
      <c r="Y2734" s="362"/>
      <c r="Z2734" s="257">
        <f>altaz(J2000_Bas,$O2734,$M2734,DecLat,DecLong,1)</f>
        <v>69.62801877164074</v>
      </c>
      <c r="AA2734" s="257">
        <f>altaz((J2000_Bas+(2*0.04167)),$O2734,$M2734,DecLat,DecLong,1)</f>
        <v>78.782501895865323</v>
      </c>
      <c r="AB2734" s="257">
        <f>altaz((J2000_Bas+(4*0.04167)),$O2734,$M2734,DecLat,DecLong,1)</f>
        <v>58.197870670816179</v>
      </c>
      <c r="AC2734" s="257">
        <f>altaz((J2000_Bas+(6*0.04167)),$O2734,$M2734,DecLat,DecLong,1)</f>
        <v>35.42841082444437</v>
      </c>
      <c r="AD2734" s="258">
        <f>1+ transit((J2000_Bas-1),$O2734,$M2734,DecLat,DecLong)/360 + (GMTOffset/24) + (IF(DST="Y", 1, 0)/24)</f>
        <v>1.8495781157026243</v>
      </c>
      <c r="AE2734" s="259">
        <f>DATE(2001,9,21)+(M2734/360)*365 - (360*((DecLong/360)- (GMTOffset/24) ))</f>
        <v>37472.687557870369</v>
      </c>
      <c r="AF2734" s="260">
        <f>IF(DecLat&gt;0,IF((90 - (DecLat-O2734))&gt;90, (90 - (O2734-DecLat)), (90 - (DecLat-O2734))),IF((90 + (DecLat-O2734))&gt;90, (90 + (O2734-DecLat)), (90 + (DecLat-O2734))))</f>
        <v>80.666666666666657</v>
      </c>
      <c r="AG2734" s="257">
        <f>angularseperation(MoonRA,MoonDec,$M2734,$O2734)</f>
        <v>86.949118857791291</v>
      </c>
      <c r="AH2734" s="261">
        <f ca="1">MIN(100,IF($O$5&gt;80,0+30*($AG2734/100),IF($O$5&gt;70,0+50*($AG2734/100),IF($O$5&gt;60,5+50*($AG2734/100),IF($O$5&gt;50,10+60*($AG2734/100),IF($O$5&gt;40,15+70*($AG2734/100),IF($O$5&gt;30,20+70*($AG2734/100),IF($O$5&gt;20,40+55*($AG2734/100),(80+(20-$O$5)+30*($AG2734/100))))))))))</f>
        <v>100</v>
      </c>
      <c r="AI2734" s="263"/>
      <c r="AJ2734" s="263"/>
      <c r="AK2734" s="263"/>
      <c r="AL2734" s="263"/>
      <c r="AM2734" s="264"/>
      <c r="AN2734" s="263"/>
      <c r="AO2734" s="263"/>
      <c r="AP2734" s="265"/>
      <c r="AQ2734" s="265"/>
      <c r="AR2734" s="285"/>
      <c r="AS2734" s="263"/>
      <c r="AT2734" s="263"/>
      <c r="AU2734" s="263"/>
      <c r="AV2734" s="264"/>
      <c r="AW2734" s="263"/>
      <c r="AX2734" s="263"/>
      <c r="AY2734" s="263"/>
      <c r="AZ2734" s="263"/>
      <c r="BA2734" s="263"/>
      <c r="BB2734" s="263">
        <v>109</v>
      </c>
      <c r="BC2734" s="263"/>
      <c r="BD2734" s="264"/>
      <c r="BE2734" s="263"/>
      <c r="BF2734" s="263"/>
      <c r="BG2734" s="263"/>
      <c r="BH2734" s="263"/>
      <c r="BI2734" s="263"/>
      <c r="BJ2734" s="404">
        <f>altaz(J2000_Bas,$O2734,$M2734,DecLat,DecLong,2)</f>
        <v>56.565292094356195</v>
      </c>
      <c r="BK2734" s="378" t="s">
        <v>2549</v>
      </c>
      <c r="BL2734" s="379">
        <f>IF((2*G2734)/60&lt;0.2,0.2,(2*G2734)/60)</f>
        <v>33.333333333333336</v>
      </c>
      <c r="BM2734" s="380">
        <f>MOD((50000+AD2734-$B$3+(0/24)),1)</f>
        <v>6.4945045407512225E-2</v>
      </c>
      <c r="BN2734" s="381"/>
      <c r="BO2734" s="382">
        <v>2725</v>
      </c>
    </row>
    <row r="2735" spans="1:67" s="24" customFormat="1" ht="15" customHeight="1" x14ac:dyDescent="0.25">
      <c r="A2735" s="288" t="s">
        <v>2551</v>
      </c>
      <c r="B2735" s="241" t="str">
        <f>HYPERLINK(CONCATENATE($AT$3,BK2735,$AU$3),$AV$3)</f>
        <v>S</v>
      </c>
      <c r="C2735" s="242" t="str">
        <f>HYPERLINK(CONCATENATE($AT$4,BK2735,$AU$4,BL2735),$AV$4)</f>
        <v>A</v>
      </c>
      <c r="D2735" s="243" t="s">
        <v>5187</v>
      </c>
      <c r="E2735" s="244" t="s">
        <v>5183</v>
      </c>
      <c r="F2735" s="269" t="s">
        <v>5180</v>
      </c>
      <c r="G2735" s="276">
        <v>80</v>
      </c>
      <c r="H2735" s="271" t="s">
        <v>6500</v>
      </c>
      <c r="I2735" s="244" t="s">
        <v>6500</v>
      </c>
      <c r="J2735" s="246">
        <v>1</v>
      </c>
      <c r="K2735" s="247" t="s">
        <v>6305</v>
      </c>
      <c r="L2735" s="248">
        <v>211937</v>
      </c>
      <c r="M2735" s="249">
        <f>15*(LEFT(TEXT($L2735,"000000"),2)+(MID(TEXT($L2735,"000000"),3,2)/60)+(RIGHT(TEXT($L2735,"000000"),2)/3600))</f>
        <v>319.90416666666664</v>
      </c>
      <c r="N2735" s="286">
        <v>322100</v>
      </c>
      <c r="O2735" s="251">
        <f>IF($N2735&gt;0,(LEFT(TEXT($N2735,"000000"),2)+(MID(TEXT($N2735,"000000"),3,2)/60)+(RIGHT(TEXT($N2735,"000000"),2)/3600)),-(MID(TEXT($N2735,"000000"),2,2)+(MID(TEXT($N2735,"000000"),4,2)/60)+(RIGHT(TEXT($N2735,"000000"),2)/3600)))</f>
        <v>32.35</v>
      </c>
      <c r="P2735" s="252" t="s">
        <v>60</v>
      </c>
      <c r="Q2735" s="253"/>
      <c r="R2735" s="277" t="s">
        <v>3293</v>
      </c>
      <c r="S2735" s="272" t="s">
        <v>3293</v>
      </c>
      <c r="T2735" s="273"/>
      <c r="U2735" s="274"/>
      <c r="V2735" s="280"/>
      <c r="W2735" s="244"/>
      <c r="X2735" s="244"/>
      <c r="Y2735" s="362"/>
      <c r="Z2735" s="257">
        <f>altaz(J2000_Bas,$O2735,$M2735,DecLat,DecLong,1)</f>
        <v>61.237075319755711</v>
      </c>
      <c r="AA2735" s="257">
        <f>altaz((J2000_Bas+(2*0.04167)),$O2735,$M2735,DecLat,DecLong,1)</f>
        <v>86.482530324301905</v>
      </c>
      <c r="AB2735" s="257">
        <f>altaz((J2000_Bas+(4*0.04167)),$O2735,$M2735,DecLat,DecLong,1)</f>
        <v>67.660316557202961</v>
      </c>
      <c r="AC2735" s="257">
        <f>altaz((J2000_Bas+(6*0.04167)),$O2735,$M2735,DecLat,DecLong,1)</f>
        <v>42.595929055040145</v>
      </c>
      <c r="AD2735" s="258">
        <f>1+ transit((J2000_Bas-1),$O2735,$M2735,DecLat,DecLong)/360 + (GMTOffset/24) + (IF(DST="Y", 1, 0)/24)</f>
        <v>1.8815225569526246</v>
      </c>
      <c r="AE2735" s="259">
        <f>DATE(2001,9,21)+(M2735/360)*365 - (360*((DecLong/360)- (GMTOffset/24) ))</f>
        <v>37484.347280092596</v>
      </c>
      <c r="AF2735" s="260">
        <f>IF(DecLat&gt;0,IF((90 - (DecLat-O2735))&gt;90, (90 - (O2735-DecLat)), (90 - (DecLat-O2735))),IF((90 + (DecLat-O2735))&gt;90, (90 + (O2735-DecLat)), (90 + (DecLat-O2735))))</f>
        <v>88.65</v>
      </c>
      <c r="AG2735" s="257">
        <f>angularseperation(MoonRA,MoonDec,$M2735,$O2735)</f>
        <v>89.688294064044882</v>
      </c>
      <c r="AH2735" s="261">
        <f ca="1">MIN(100,IF($O$5&gt;80,0+30*($AG2735/100),IF($O$5&gt;70,0+50*($AG2735/100),IF($O$5&gt;60,5+50*($AG2735/100),IF($O$5&gt;50,10+60*($AG2735/100),IF($O$5&gt;40,15+70*($AG2735/100),IF($O$5&gt;30,20+70*($AG2735/100),IF($O$5&gt;20,40+55*($AG2735/100),(80+(20-$O$5)+30*($AG2735/100))))))))))</f>
        <v>100</v>
      </c>
      <c r="AI2735" s="263"/>
      <c r="AJ2735" s="263"/>
      <c r="AK2735" s="263"/>
      <c r="AL2735" s="263"/>
      <c r="AM2735" s="264"/>
      <c r="AN2735" s="263"/>
      <c r="AO2735" s="263"/>
      <c r="AP2735" s="265"/>
      <c r="AQ2735" s="265"/>
      <c r="AR2735" s="285"/>
      <c r="AS2735" s="263"/>
      <c r="AT2735" s="263"/>
      <c r="AU2735" s="263"/>
      <c r="AV2735" s="264"/>
      <c r="AW2735" s="263"/>
      <c r="AX2735" s="263"/>
      <c r="AY2735" s="263">
        <v>254</v>
      </c>
      <c r="AZ2735" s="263"/>
      <c r="BA2735" s="263"/>
      <c r="BB2735" s="263">
        <v>110</v>
      </c>
      <c r="BC2735" s="263"/>
      <c r="BD2735" s="264"/>
      <c r="BE2735" s="263"/>
      <c r="BF2735" s="263"/>
      <c r="BG2735" s="263"/>
      <c r="BH2735" s="263"/>
      <c r="BI2735" s="263"/>
      <c r="BJ2735" s="404">
        <f>altaz(J2000_Bas,$O2735,$M2735,DecLat,DecLong,2)</f>
        <v>78.306114542543355</v>
      </c>
      <c r="BK2735" s="378" t="s">
        <v>2551</v>
      </c>
      <c r="BL2735" s="379">
        <f>IF((2*G2735)/60&lt;0.2,0.2,(2*G2735)/60)</f>
        <v>2.6666666666666665</v>
      </c>
      <c r="BM2735" s="380">
        <f>MOD((50000+AD2735-$B$3+(0/24)),1)</f>
        <v>9.6889486660074908E-2</v>
      </c>
      <c r="BN2735" s="381"/>
      <c r="BO2735" s="382">
        <v>2726</v>
      </c>
    </row>
    <row r="2736" spans="1:67" s="24" customFormat="1" ht="15" customHeight="1" x14ac:dyDescent="0.25">
      <c r="A2736" s="288" t="s">
        <v>2552</v>
      </c>
      <c r="B2736" s="241" t="str">
        <f>HYPERLINK(CONCATENATE($AT$3,BK2736,$AU$3),$AV$3)</f>
        <v>S</v>
      </c>
      <c r="C2736" s="242" t="str">
        <f>HYPERLINK(CONCATENATE($AT$4,BK2736,$AU$4,BL2736),$AV$4)</f>
        <v>A</v>
      </c>
      <c r="D2736" s="243" t="s">
        <v>5187</v>
      </c>
      <c r="E2736" s="244" t="s">
        <v>5183</v>
      </c>
      <c r="F2736" s="269" t="s">
        <v>5180</v>
      </c>
      <c r="G2736" s="276">
        <v>24</v>
      </c>
      <c r="H2736" s="271" t="s">
        <v>6500</v>
      </c>
      <c r="I2736" s="244" t="s">
        <v>6500</v>
      </c>
      <c r="J2736" s="246">
        <v>1</v>
      </c>
      <c r="K2736" s="247" t="s">
        <v>6306</v>
      </c>
      <c r="L2736" s="248">
        <v>214037</v>
      </c>
      <c r="M2736" s="249">
        <f>15*(LEFT(TEXT($L2736,"000000"),2)+(MID(TEXT($L2736,"000000"),3,2)/60)+(RIGHT(TEXT($L2736,"000000"),2)/3600))</f>
        <v>325.1541666666667</v>
      </c>
      <c r="N2736" s="286">
        <v>301500</v>
      </c>
      <c r="O2736" s="251">
        <f>IF($N2736&gt;0,(LEFT(TEXT($N2736,"000000"),2)+(MID(TEXT($N2736,"000000"),3,2)/60)+(RIGHT(TEXT($N2736,"000000"),2)/3600)),-(MID(TEXT($N2736,"000000"),2,2)+(MID(TEXT($N2736,"000000"),4,2)/60)+(RIGHT(TEXT($N2736,"000000"),2)/3600)))</f>
        <v>30.25</v>
      </c>
      <c r="P2736" s="252" t="s">
        <v>60</v>
      </c>
      <c r="Q2736" s="253"/>
      <c r="R2736" s="277" t="s">
        <v>3293</v>
      </c>
      <c r="S2736" s="272" t="s">
        <v>3293</v>
      </c>
      <c r="T2736" s="273"/>
      <c r="U2736" s="274"/>
      <c r="V2736" s="280"/>
      <c r="W2736" s="244"/>
      <c r="X2736" s="244"/>
      <c r="Y2736" s="362"/>
      <c r="Z2736" s="257">
        <f>altaz(J2000_Bas,$O2736,$M2736,DecLat,DecLong,1)</f>
        <v>56.477316105063004</v>
      </c>
      <c r="AA2736" s="257">
        <f>altaz((J2000_Bas+(2*0.04167)),$O2736,$M2736,DecLat,DecLong,1)</f>
        <v>82.163926774061608</v>
      </c>
      <c r="AB2736" s="257">
        <f>altaz((J2000_Bas+(4*0.04167)),$O2736,$M2736,DecLat,DecLong,1)</f>
        <v>71.925249252759073</v>
      </c>
      <c r="AC2736" s="257">
        <f>altaz((J2000_Bas+(6*0.04167)),$O2736,$M2736,DecLat,DecLong,1)</f>
        <v>46.420450361015284</v>
      </c>
      <c r="AD2736" s="258">
        <f>1+ transit((J2000_Bas-1),$O2736,$M2736,DecLat,DecLong)/360 + (GMTOffset/24) + (IF(DST="Y", 1, 0)/24)</f>
        <v>1.896105888827625</v>
      </c>
      <c r="AE2736" s="259">
        <f>DATE(2001,9,21)+(M2736/360)*365 - (360*((DecLong/360)- (GMTOffset/24) ))</f>
        <v>37489.67019675926</v>
      </c>
      <c r="AF2736" s="260">
        <f>IF(DecLat&gt;0,IF((90 - (DecLat-O2736))&gt;90, (90 - (O2736-DecLat)), (90 - (DecLat-O2736))),IF((90 + (DecLat-O2736))&gt;90, (90 + (O2736-DecLat)), (90 + (DecLat-O2736))))</f>
        <v>89.25</v>
      </c>
      <c r="AG2736" s="257">
        <f>angularseperation(MoonRA,MoonDec,$M2736,$O2736)</f>
        <v>92.416350603747063</v>
      </c>
      <c r="AH2736" s="261">
        <f ca="1">MIN(100,IF($O$5&gt;80,0+30*($AG2736/100),IF($O$5&gt;70,0+50*($AG2736/100),IF($O$5&gt;60,5+50*($AG2736/100),IF($O$5&gt;50,10+60*($AG2736/100),IF($O$5&gt;40,15+70*($AG2736/100),IF($O$5&gt;30,20+70*($AG2736/100),IF($O$5&gt;20,40+55*($AG2736/100),(80+(20-$O$5)+30*($AG2736/100))))))))))</f>
        <v>100</v>
      </c>
      <c r="AI2736" s="263"/>
      <c r="AJ2736" s="263"/>
      <c r="AK2736" s="263"/>
      <c r="AL2736" s="263"/>
      <c r="AM2736" s="264"/>
      <c r="AN2736" s="263"/>
      <c r="AO2736" s="263"/>
      <c r="AP2736" s="265"/>
      <c r="AQ2736" s="265"/>
      <c r="AR2736" s="285"/>
      <c r="AS2736" s="263"/>
      <c r="AT2736" s="263"/>
      <c r="AU2736" s="263"/>
      <c r="AV2736" s="264"/>
      <c r="AW2736" s="263"/>
      <c r="AX2736" s="263"/>
      <c r="AY2736" s="263">
        <v>287</v>
      </c>
      <c r="AZ2736" s="263"/>
      <c r="BA2736" s="263"/>
      <c r="BB2736" s="263">
        <v>111</v>
      </c>
      <c r="BC2736" s="263"/>
      <c r="BD2736" s="264"/>
      <c r="BE2736" s="263"/>
      <c r="BF2736" s="263"/>
      <c r="BG2736" s="263"/>
      <c r="BH2736" s="263"/>
      <c r="BI2736" s="263"/>
      <c r="BJ2736" s="404">
        <f>altaz(J2000_Bas,$O2736,$M2736,DecLat,DecLong,2)</f>
        <v>80.957127976167527</v>
      </c>
      <c r="BK2736" s="378" t="s">
        <v>2552</v>
      </c>
      <c r="BL2736" s="379">
        <f>IF((2*G2736)/60&lt;0.2,0.2,(2*G2736)/60)</f>
        <v>0.8</v>
      </c>
      <c r="BM2736" s="380">
        <f>MOD((50000+AD2736-$B$3+(0/24)),1)</f>
        <v>0.11147281853482127</v>
      </c>
      <c r="BN2736" s="381"/>
      <c r="BO2736" s="382">
        <v>2727</v>
      </c>
    </row>
    <row r="2737" spans="1:67" s="24" customFormat="1" ht="15" customHeight="1" x14ac:dyDescent="0.25">
      <c r="A2737" s="288" t="s">
        <v>2553</v>
      </c>
      <c r="B2737" s="241" t="str">
        <f>HYPERLINK(CONCATENATE($AT$3,BK2737,$AU$3),$AV$3)</f>
        <v>S</v>
      </c>
      <c r="C2737" s="242" t="str">
        <f>HYPERLINK(CONCATENATE($AT$4,BK2737,$AU$4,BL2737),$AV$4)</f>
        <v>A</v>
      </c>
      <c r="D2737" s="243" t="s">
        <v>5187</v>
      </c>
      <c r="E2737" s="244" t="s">
        <v>5183</v>
      </c>
      <c r="F2737" s="269" t="s">
        <v>9172</v>
      </c>
      <c r="G2737" s="276">
        <v>15</v>
      </c>
      <c r="H2737" s="283">
        <v>5500</v>
      </c>
      <c r="I2737" s="246">
        <v>25</v>
      </c>
      <c r="J2737" s="246">
        <v>4</v>
      </c>
      <c r="K2737" s="247" t="s">
        <v>5149</v>
      </c>
      <c r="L2737" s="248">
        <v>203349</v>
      </c>
      <c r="M2737" s="249">
        <f>15*(LEFT(TEXT($L2737,"000000"),2)+(MID(TEXT($L2737,"000000"),3,2)/60)+(RIGHT(TEXT($L2737,"000000"),2)/3600))</f>
        <v>308.45416666666665</v>
      </c>
      <c r="N2737" s="250">
        <v>453800</v>
      </c>
      <c r="O2737" s="251">
        <f>IF($N2737&gt;0,(LEFT(TEXT($N2737,"000000"),2)+(MID(TEXT($N2737,"000000"),3,2)/60)+(RIGHT(TEXT($N2737,"000000"),2)/3600)),-(MID(TEXT($N2737,"000000"),2,2)+(MID(TEXT($N2737,"000000"),4,2)/60)+(RIGHT(TEXT($N2737,"000000"),2)/3600)))</f>
        <v>45.633333333333333</v>
      </c>
      <c r="P2737" s="252" t="s">
        <v>60</v>
      </c>
      <c r="Q2737" s="253" t="s">
        <v>7003</v>
      </c>
      <c r="R2737" s="247" t="s">
        <v>3293</v>
      </c>
      <c r="S2737" s="272" t="s">
        <v>3293</v>
      </c>
      <c r="T2737" s="273"/>
      <c r="U2737" s="274"/>
      <c r="V2737" s="280"/>
      <c r="W2737" s="244"/>
      <c r="X2737" s="244"/>
      <c r="Y2737" s="362"/>
      <c r="Z2737" s="257">
        <f>altaz(J2000_Bas,$O2737,$M2737,DecLat,DecLong,1)</f>
        <v>67.239734632052659</v>
      </c>
      <c r="AA2737" s="257">
        <f>altaz((J2000_Bas+(2*0.04167)),$O2737,$M2737,DecLat,DecLong,1)</f>
        <v>74.207039072224561</v>
      </c>
      <c r="AB2737" s="257">
        <f>altaz((J2000_Bas+(4*0.04167)),$O2737,$M2737,DecLat,DecLong,1)</f>
        <v>57.385421157794667</v>
      </c>
      <c r="AC2737" s="257">
        <f>altaz((J2000_Bas+(6*0.04167)),$O2737,$M2737,DecLat,DecLong,1)</f>
        <v>36.486773036079285</v>
      </c>
      <c r="AD2737" s="258">
        <f>1+ transit((J2000_Bas-1),$O2737,$M2737,DecLat,DecLong)/360 + (GMTOffset/24) + (IF(DST="Y", 1, 0)/24)</f>
        <v>1.8497170045776243</v>
      </c>
      <c r="AE2737" s="259">
        <f>DATE(2001,9,21)+(M2737/360)*365 - (360*((DecLong/360)- (GMTOffset/24) ))</f>
        <v>37472.738252314812</v>
      </c>
      <c r="AF2737" s="260">
        <f>IF(DecLat&gt;0,IF((90 - (DecLat-O2737))&gt;90, (90 - (O2737-DecLat)), (90 - (DecLat-O2737))),IF((90 + (DecLat-O2737))&gt;90, (90 + (O2737-DecLat)), (90 + (DecLat-O2737))))</f>
        <v>75.366666666666674</v>
      </c>
      <c r="AG2737" s="257">
        <f>angularseperation(MoonRA,MoonDec,$M2737,$O2737)</f>
        <v>90.390541645060949</v>
      </c>
      <c r="AH2737" s="261">
        <f ca="1">MIN(100,IF($O$5&gt;80,0+30*($AG2737/100),IF($O$5&gt;70,0+50*($AG2737/100),IF($O$5&gt;60,5+50*($AG2737/100),IF($O$5&gt;50,10+60*($AG2737/100),IF($O$5&gt;40,15+70*($AG2737/100),IF($O$5&gt;30,20+70*($AG2737/100),IF($O$5&gt;20,40+55*($AG2737/100),(80+(20-$O$5)+30*($AG2737/100))))))))))</f>
        <v>100</v>
      </c>
      <c r="AI2737" s="262"/>
      <c r="AJ2737" s="262"/>
      <c r="AK2737" s="262"/>
      <c r="AL2737" s="263"/>
      <c r="AM2737" s="264"/>
      <c r="AN2737" s="263"/>
      <c r="AO2737" s="263"/>
      <c r="AP2737" s="265"/>
      <c r="AQ2737" s="266"/>
      <c r="AR2737" s="267"/>
      <c r="AS2737" s="263"/>
      <c r="AT2737" s="263"/>
      <c r="AU2737" s="263"/>
      <c r="AV2737" s="264"/>
      <c r="AW2737" s="263"/>
      <c r="AX2737" s="263"/>
      <c r="AY2737" s="263"/>
      <c r="AZ2737" s="263"/>
      <c r="BA2737" s="263"/>
      <c r="BB2737" s="263">
        <v>112</v>
      </c>
      <c r="BC2737" s="263"/>
      <c r="BD2737" s="264"/>
      <c r="BE2737" s="263"/>
      <c r="BF2737" s="263"/>
      <c r="BG2737" s="263">
        <v>90</v>
      </c>
      <c r="BH2737" s="263"/>
      <c r="BI2737" s="263"/>
      <c r="BJ2737" s="404">
        <f>altaz(J2000_Bas,$O2737,$M2737,DecLat,DecLong,2)</f>
        <v>43.650449806678871</v>
      </c>
      <c r="BK2737" s="378" t="s">
        <v>2553</v>
      </c>
      <c r="BL2737" s="379">
        <f>IF((2*G2737)/60&lt;0.2,0.2,(2*G2737)/60)</f>
        <v>0.5</v>
      </c>
      <c r="BM2737" s="380">
        <f>MOD((50000+AD2737-$B$3+(0/24)),1)</f>
        <v>6.5083934285212308E-2</v>
      </c>
      <c r="BN2737" s="381"/>
      <c r="BO2737" s="382">
        <v>2728</v>
      </c>
    </row>
    <row r="2738" spans="1:67" s="24" customFormat="1" ht="15" customHeight="1" x14ac:dyDescent="0.25">
      <c r="A2738" s="288" t="s">
        <v>2554</v>
      </c>
      <c r="B2738" s="241" t="str">
        <f>HYPERLINK(CONCATENATE($AT$3,BK2738,$AU$3),$AV$3)</f>
        <v>S</v>
      </c>
      <c r="C2738" s="242" t="str">
        <f>HYPERLINK(CONCATENATE($AT$4,BK2738,$AU$4,BL2738),$AV$4)</f>
        <v>A</v>
      </c>
      <c r="D2738" s="243" t="s">
        <v>5187</v>
      </c>
      <c r="E2738" s="244" t="s">
        <v>5183</v>
      </c>
      <c r="F2738" s="269" t="s">
        <v>5180</v>
      </c>
      <c r="G2738" s="276">
        <v>60</v>
      </c>
      <c r="H2738" s="283">
        <v>13000</v>
      </c>
      <c r="I2738" s="246">
        <v>240</v>
      </c>
      <c r="J2738" s="246">
        <v>2</v>
      </c>
      <c r="K2738" s="247" t="s">
        <v>6307</v>
      </c>
      <c r="L2738" s="248">
        <v>212048</v>
      </c>
      <c r="M2738" s="249">
        <f>15*(LEFT(TEXT($L2738,"000000"),2)+(MID(TEXT($L2738,"000000"),3,2)/60)+(RIGHT(TEXT($L2738,"000000"),2)/3600))</f>
        <v>320.19999999999993</v>
      </c>
      <c r="N2738" s="250">
        <v>380500</v>
      </c>
      <c r="O2738" s="251">
        <f>IF($N2738&gt;0,(LEFT(TEXT($N2738,"000000"),2)+(MID(TEXT($N2738,"000000"),3,2)/60)+(RIGHT(TEXT($N2738,"000000"),2)/3600)),-(MID(TEXT($N2738,"000000"),2,2)+(MID(TEXT($N2738,"000000"),4,2)/60)+(RIGHT(TEXT($N2738,"000000"),2)/3600)))</f>
        <v>38.083333333333336</v>
      </c>
      <c r="P2738" s="252" t="s">
        <v>60</v>
      </c>
      <c r="Q2738" s="253"/>
      <c r="R2738" s="277" t="s">
        <v>3293</v>
      </c>
      <c r="S2738" s="272" t="s">
        <v>2555</v>
      </c>
      <c r="T2738" s="273"/>
      <c r="U2738" s="274"/>
      <c r="V2738" s="280"/>
      <c r="W2738" s="244"/>
      <c r="X2738" s="244"/>
      <c r="Y2738" s="362"/>
      <c r="Z2738" s="257">
        <f>altaz(J2000_Bas,$O2738,$M2738,DecLat,DecLong,1)</f>
        <v>61.130116948070111</v>
      </c>
      <c r="AA2738" s="257">
        <f>altaz((J2000_Bas+(2*0.04167)),$O2738,$M2738,DecLat,DecLong,1)</f>
        <v>82.150557099014918</v>
      </c>
      <c r="AB2738" s="257">
        <f>altaz((J2000_Bas+(4*0.04167)),$O2738,$M2738,DecLat,DecLong,1)</f>
        <v>67.552720202275651</v>
      </c>
      <c r="AC2738" s="257">
        <f>altaz((J2000_Bas+(6*0.04167)),$O2738,$M2738,DecLat,DecLong,1)</f>
        <v>43.98028772784145</v>
      </c>
      <c r="AD2738" s="258">
        <f>1+ transit((J2000_Bas-1),$O2738,$M2738,DecLat,DecLong)/360 + (GMTOffset/24) + (IF(DST="Y", 1, 0)/24)</f>
        <v>1.8823443161297078</v>
      </c>
      <c r="AE2738" s="259">
        <f>DATE(2001,9,21)+(M2738/360)*365 - (360*((DecLong/360)- (GMTOffset/24) ))</f>
        <v>37484.647222222222</v>
      </c>
      <c r="AF2738" s="260">
        <f>IF(DecLat&gt;0,IF((90 - (DecLat-O2738))&gt;90, (90 - (O2738-DecLat)), (90 - (DecLat-O2738))),IF((90 + (DecLat-O2738))&gt;90, (90 + (O2738-DecLat)), (90 + (DecLat-O2738))))</f>
        <v>82.916666666666657</v>
      </c>
      <c r="AG2738" s="257">
        <f>angularseperation(MoonRA,MoonDec,$M2738,$O2738)</f>
        <v>92.991531264132462</v>
      </c>
      <c r="AH2738" s="261">
        <f ca="1">MIN(100,IF($O$5&gt;80,0+30*($AG2738/100),IF($O$5&gt;70,0+50*($AG2738/100),IF($O$5&gt;60,5+50*($AG2738/100),IF($O$5&gt;50,10+60*($AG2738/100),IF($O$5&gt;40,15+70*($AG2738/100),IF($O$5&gt;30,20+70*($AG2738/100),IF($O$5&gt;20,40+55*($AG2738/100),(80+(20-$O$5)+30*($AG2738/100))))))))))</f>
        <v>100</v>
      </c>
      <c r="AI2738" s="263"/>
      <c r="AJ2738" s="263"/>
      <c r="AK2738" s="263"/>
      <c r="AL2738" s="263"/>
      <c r="AM2738" s="264"/>
      <c r="AN2738" s="263"/>
      <c r="AO2738" s="263"/>
      <c r="AP2738" s="265"/>
      <c r="AQ2738" s="265"/>
      <c r="AR2738" s="285"/>
      <c r="AS2738" s="263"/>
      <c r="AT2738" s="263"/>
      <c r="AU2738" s="263"/>
      <c r="AV2738" s="264"/>
      <c r="AW2738" s="263"/>
      <c r="AX2738" s="263"/>
      <c r="AY2738" s="263">
        <v>333</v>
      </c>
      <c r="AZ2738" s="263"/>
      <c r="BA2738" s="263"/>
      <c r="BB2738" s="263">
        <v>113</v>
      </c>
      <c r="BC2738" s="263"/>
      <c r="BD2738" s="264"/>
      <c r="BE2738" s="263"/>
      <c r="BF2738" s="263"/>
      <c r="BG2738" s="263"/>
      <c r="BH2738" s="263"/>
      <c r="BI2738" s="263"/>
      <c r="BJ2738" s="404">
        <f>altaz(J2000_Bas,$O2738,$M2738,DecLat,DecLong,2)</f>
        <v>66.386340215934581</v>
      </c>
      <c r="BK2738" s="378" t="s">
        <v>2554</v>
      </c>
      <c r="BL2738" s="379">
        <f>IF((2*G2738)/60&lt;0.2,0.2,(2*G2738)/60)</f>
        <v>2</v>
      </c>
      <c r="BM2738" s="380">
        <f>MOD((50000+AD2738-$B$3+(0/24)),1)</f>
        <v>9.7711245834943838E-2</v>
      </c>
      <c r="BN2738" s="381"/>
      <c r="BO2738" s="382">
        <v>2729</v>
      </c>
    </row>
    <row r="2739" spans="1:67" s="24" customFormat="1" ht="15" customHeight="1" x14ac:dyDescent="0.25">
      <c r="A2739" s="288" t="s">
        <v>2555</v>
      </c>
      <c r="B2739" s="241" t="str">
        <f>HYPERLINK(CONCATENATE($AT$3,BK2739,$AU$3),$AV$3)</f>
        <v>S</v>
      </c>
      <c r="C2739" s="242" t="str">
        <f>HYPERLINK(CONCATENATE($AT$4,BK2739,$AU$4,BL2739),$AV$4)</f>
        <v>A</v>
      </c>
      <c r="D2739" s="243" t="s">
        <v>5187</v>
      </c>
      <c r="E2739" s="244" t="s">
        <v>5183</v>
      </c>
      <c r="F2739" s="269" t="s">
        <v>5180</v>
      </c>
      <c r="G2739" s="276">
        <v>60</v>
      </c>
      <c r="H2739" s="283">
        <v>13000</v>
      </c>
      <c r="I2739" s="246">
        <v>240</v>
      </c>
      <c r="J2739" s="246">
        <v>4</v>
      </c>
      <c r="K2739" s="247" t="s">
        <v>5151</v>
      </c>
      <c r="L2739" s="248">
        <v>212112</v>
      </c>
      <c r="M2739" s="249">
        <f>15*(LEFT(TEXT($L2739,"000000"),2)+(MID(TEXT($L2739,"000000"),3,2)/60)+(RIGHT(TEXT($L2739,"000000"),2)/3600))</f>
        <v>320.3</v>
      </c>
      <c r="N2739" s="250">
        <v>384200</v>
      </c>
      <c r="O2739" s="251">
        <f>IF($N2739&gt;0,(LEFT(TEXT($N2739,"000000"),2)+(MID(TEXT($N2739,"000000"),3,2)/60)+(RIGHT(TEXT($N2739,"000000"),2)/3600)),-(MID(TEXT($N2739,"000000"),2,2)+(MID(TEXT($N2739,"000000"),4,2)/60)+(RIGHT(TEXT($N2739,"000000"),2)/3600)))</f>
        <v>38.700000000000003</v>
      </c>
      <c r="P2739" s="252" t="s">
        <v>60</v>
      </c>
      <c r="Q2739" s="253" t="s">
        <v>6991</v>
      </c>
      <c r="R2739" s="247" t="s">
        <v>3293</v>
      </c>
      <c r="S2739" s="272" t="s">
        <v>5150</v>
      </c>
      <c r="T2739" s="273"/>
      <c r="U2739" s="274"/>
      <c r="V2739" s="280"/>
      <c r="W2739" s="244"/>
      <c r="X2739" s="244"/>
      <c r="Y2739" s="362"/>
      <c r="Z2739" s="257">
        <f>altaz(J2000_Bas,$O2739,$M2739,DecLat,DecLong,1)</f>
        <v>61.005624896894119</v>
      </c>
      <c r="AA2739" s="257">
        <f>altaz((J2000_Bas+(2*0.04167)),$O2739,$M2739,DecLat,DecLong,1)</f>
        <v>81.562186474341217</v>
      </c>
      <c r="AB2739" s="257">
        <f>altaz((J2000_Bas+(4*0.04167)),$O2739,$M2739,DecLat,DecLong,1)</f>
        <v>67.50839720155895</v>
      </c>
      <c r="AC2739" s="257">
        <f>altaz((J2000_Bas+(6*0.04167)),$O2739,$M2739,DecLat,DecLong,1)</f>
        <v>44.148818811733236</v>
      </c>
      <c r="AD2739" s="258">
        <f>1+ transit((J2000_Bas-1),$O2739,$M2739,DecLat,DecLong)/360 + (GMTOffset/24) + (IF(DST="Y", 1, 0)/24)</f>
        <v>1.8826220938797078</v>
      </c>
      <c r="AE2739" s="259">
        <f>DATE(2001,9,21)+(M2739/360)*365 - (360*((DecLong/360)- (GMTOffset/24) ))</f>
        <v>37484.748611111114</v>
      </c>
      <c r="AF2739" s="260">
        <f>IF(DecLat&gt;0,IF((90 - (DecLat-O2739))&gt;90, (90 - (O2739-DecLat)), (90 - (DecLat-O2739))),IF((90 + (DecLat-O2739))&gt;90, (90 + (O2739-DecLat)), (90 + (DecLat-O2739))))</f>
        <v>82.3</v>
      </c>
      <c r="AG2739" s="257">
        <f>angularseperation(MoonRA,MoonDec,$M2739,$O2739)</f>
        <v>93.389155700896453</v>
      </c>
      <c r="AH2739" s="261">
        <f ca="1">MIN(100,IF($O$5&gt;80,0+30*($AG2739/100),IF($O$5&gt;70,0+50*($AG2739/100),IF($O$5&gt;60,5+50*($AG2739/100),IF($O$5&gt;50,10+60*($AG2739/100),IF($O$5&gt;40,15+70*($AG2739/100),IF($O$5&gt;30,20+70*($AG2739/100),IF($O$5&gt;20,40+55*($AG2739/100),(80+(20-$O$5)+30*($AG2739/100))))))))))</f>
        <v>100</v>
      </c>
      <c r="AI2739" s="262"/>
      <c r="AJ2739" s="262"/>
      <c r="AK2739" s="262"/>
      <c r="AL2739" s="263"/>
      <c r="AM2739" s="264"/>
      <c r="AN2739" s="263"/>
      <c r="AO2739" s="263"/>
      <c r="AP2739" s="265"/>
      <c r="AQ2739" s="266"/>
      <c r="AR2739" s="267"/>
      <c r="AS2739" s="263"/>
      <c r="AT2739" s="263"/>
      <c r="AU2739" s="263"/>
      <c r="AV2739" s="264"/>
      <c r="AW2739" s="263"/>
      <c r="AX2739" s="263"/>
      <c r="AY2739" s="263">
        <v>347</v>
      </c>
      <c r="AZ2739" s="263"/>
      <c r="BA2739" s="263"/>
      <c r="BB2739" s="263">
        <v>114</v>
      </c>
      <c r="BC2739" s="263"/>
      <c r="BD2739" s="264"/>
      <c r="BE2739" s="263"/>
      <c r="BF2739" s="263"/>
      <c r="BG2739" s="263">
        <v>98</v>
      </c>
      <c r="BH2739" s="263"/>
      <c r="BI2739" s="263"/>
      <c r="BJ2739" s="404">
        <f>altaz(J2000_Bas,$O2739,$M2739,DecLat,DecLong,2)</f>
        <v>65.127393425331675</v>
      </c>
      <c r="BK2739" s="378" t="s">
        <v>2555</v>
      </c>
      <c r="BL2739" s="379">
        <f>IF((2*G2739)/60&lt;0.2,0.2,(2*G2739)/60)</f>
        <v>2</v>
      </c>
      <c r="BM2739" s="380">
        <f>MOD((50000+AD2739-$B$3+(0/24)),1)</f>
        <v>9.7989023583068047E-2</v>
      </c>
      <c r="BN2739" s="381"/>
      <c r="BO2739" s="382">
        <v>2730</v>
      </c>
    </row>
    <row r="2740" spans="1:67" s="24" customFormat="1" ht="15" customHeight="1" x14ac:dyDescent="0.25">
      <c r="A2740" s="288" t="s">
        <v>2556</v>
      </c>
      <c r="B2740" s="241" t="str">
        <f>HYPERLINK(CONCATENATE($AT$3,BK2740,$AU$3),$AV$3)</f>
        <v>S</v>
      </c>
      <c r="C2740" s="242" t="str">
        <f>HYPERLINK(CONCATENATE($AT$4,BK2740,$AU$4,BL2740),$AV$4)</f>
        <v>A</v>
      </c>
      <c r="D2740" s="243" t="s">
        <v>5187</v>
      </c>
      <c r="E2740" s="244" t="s">
        <v>5183</v>
      </c>
      <c r="F2740" s="269" t="s">
        <v>5180</v>
      </c>
      <c r="G2740" s="276">
        <v>35</v>
      </c>
      <c r="H2740" s="283">
        <v>7500</v>
      </c>
      <c r="I2740" s="246">
        <v>80</v>
      </c>
      <c r="J2740" s="246">
        <v>3</v>
      </c>
      <c r="K2740" s="247" t="s">
        <v>5152</v>
      </c>
      <c r="L2740" s="248">
        <v>203502</v>
      </c>
      <c r="M2740" s="249">
        <f>15*(LEFT(TEXT($L2740,"000000"),2)+(MID(TEXT($L2740,"000000"),3,2)/60)+(RIGHT(TEXT($L2740,"000000"),2)/3600))</f>
        <v>308.75833333333327</v>
      </c>
      <c r="N2740" s="250">
        <v>470224</v>
      </c>
      <c r="O2740" s="251">
        <f>IF($N2740&gt;0,(LEFT(TEXT($N2740,"000000"),2)+(MID(TEXT($N2740,"000000"),3,2)/60)+(RIGHT(TEXT($N2740,"000000"),2)/3600)),-(MID(TEXT($N2740,"000000"),2,2)+(MID(TEXT($N2740,"000000"),4,2)/60)+(RIGHT(TEXT($N2740,"000000"),2)/3600)))</f>
        <v>47.04</v>
      </c>
      <c r="P2740" s="252" t="s">
        <v>60</v>
      </c>
      <c r="Q2740" s="253"/>
      <c r="R2740" s="247" t="s">
        <v>3293</v>
      </c>
      <c r="S2740" s="272" t="s">
        <v>151</v>
      </c>
      <c r="T2740" s="273"/>
      <c r="U2740" s="274"/>
      <c r="V2740" s="280"/>
      <c r="W2740" s="244"/>
      <c r="X2740" s="244"/>
      <c r="Y2740" s="362"/>
      <c r="Z2740" s="257">
        <f>altaz(J2000_Bas,$O2740,$M2740,DecLat,DecLong,1)</f>
        <v>66.291123801272093</v>
      </c>
      <c r="AA2740" s="257">
        <f>altaz((J2000_Bas+(2*0.04167)),$O2740,$M2740,DecLat,DecLong,1)</f>
        <v>72.998430519085318</v>
      </c>
      <c r="AB2740" s="257">
        <f>altaz((J2000_Bas+(4*0.04167)),$O2740,$M2740,DecLat,DecLong,1)</f>
        <v>57.234610965969189</v>
      </c>
      <c r="AC2740" s="257">
        <f>altaz((J2000_Bas+(6*0.04167)),$O2740,$M2740,DecLat,DecLong,1)</f>
        <v>36.904553787038253</v>
      </c>
      <c r="AD2740" s="258">
        <f>1+ transit((J2000_Bas-1),$O2740,$M2740,DecLat,DecLong)/360 + (GMTOffset/24) + (IF(DST="Y", 1, 0)/24)</f>
        <v>1.8505619119005414</v>
      </c>
      <c r="AE2740" s="259">
        <f>DATE(2001,9,21)+(M2740/360)*365 - (360*((DecLong/360)- (GMTOffset/24) ))</f>
        <v>37473.046643518515</v>
      </c>
      <c r="AF2740" s="260">
        <f>IF(DecLat&gt;0,IF((90 - (DecLat-O2740))&gt;90, (90 - (O2740-DecLat)), (90 - (DecLat-O2740))),IF((90 + (DecLat-O2740))&gt;90, (90 + (O2740-DecLat)), (90 + (DecLat-O2740))))</f>
        <v>73.960000000000008</v>
      </c>
      <c r="AG2740" s="257">
        <f>angularseperation(MoonRA,MoonDec,$M2740,$O2740)</f>
        <v>91.455395441546685</v>
      </c>
      <c r="AH2740" s="261">
        <f ca="1">MIN(100,IF($O$5&gt;80,0+30*($AG2740/100),IF($O$5&gt;70,0+50*($AG2740/100),IF($O$5&gt;60,5+50*($AG2740/100),IF($O$5&gt;50,10+60*($AG2740/100),IF($O$5&gt;40,15+70*($AG2740/100),IF($O$5&gt;30,20+70*($AG2740/100),IF($O$5&gt;20,40+55*($AG2740/100),(80+(20-$O$5)+30*($AG2740/100))))))))))</f>
        <v>100</v>
      </c>
      <c r="AI2740" s="262"/>
      <c r="AJ2740" s="262"/>
      <c r="AK2740" s="262"/>
      <c r="AL2740" s="263"/>
      <c r="AM2740" s="264"/>
      <c r="AN2740" s="263"/>
      <c r="AO2740" s="263"/>
      <c r="AP2740" s="265"/>
      <c r="AQ2740" s="266"/>
      <c r="AR2740" s="267"/>
      <c r="AS2740" s="263"/>
      <c r="AT2740" s="263"/>
      <c r="AU2740" s="263"/>
      <c r="AV2740" s="264"/>
      <c r="AW2740" s="263"/>
      <c r="AX2740" s="263"/>
      <c r="AY2740" s="263">
        <v>357</v>
      </c>
      <c r="AZ2740" s="263"/>
      <c r="BA2740" s="263"/>
      <c r="BB2740" s="263">
        <v>115</v>
      </c>
      <c r="BC2740" s="263"/>
      <c r="BD2740" s="264"/>
      <c r="BE2740" s="263"/>
      <c r="BF2740" s="263"/>
      <c r="BG2740" s="263">
        <v>91</v>
      </c>
      <c r="BH2740" s="263"/>
      <c r="BI2740" s="263"/>
      <c r="BJ2740" s="404">
        <f>altaz(J2000_Bas,$O2740,$M2740,DecLat,DecLong,2)</f>
        <v>40.963530899287669</v>
      </c>
      <c r="BK2740" s="378" t="s">
        <v>2556</v>
      </c>
      <c r="BL2740" s="379">
        <f>IF((2*G2740)/60&lt;0.2,0.2,(2*G2740)/60)</f>
        <v>1.1666666666666667</v>
      </c>
      <c r="BM2740" s="380">
        <f>MOD((50000+AD2740-$B$3+(0/24)),1)</f>
        <v>6.5928841606364585E-2</v>
      </c>
      <c r="BN2740" s="381"/>
      <c r="BO2740" s="382">
        <v>2731</v>
      </c>
    </row>
    <row r="2741" spans="1:67" s="24" customFormat="1" ht="15" customHeight="1" x14ac:dyDescent="0.25">
      <c r="A2741" s="288" t="s">
        <v>2557</v>
      </c>
      <c r="B2741" s="241" t="str">
        <f>HYPERLINK(CONCATENATE($AT$3,BK2741,$AU$3),$AV$3)</f>
        <v>S</v>
      </c>
      <c r="C2741" s="242" t="str">
        <f>HYPERLINK(CONCATENATE($AT$4,BK2741,$AU$4,BL2741),$AV$4)</f>
        <v>A</v>
      </c>
      <c r="D2741" s="243" t="s">
        <v>5187</v>
      </c>
      <c r="E2741" s="244" t="s">
        <v>5183</v>
      </c>
      <c r="F2741" s="269" t="s">
        <v>5180</v>
      </c>
      <c r="G2741" s="276">
        <v>360</v>
      </c>
      <c r="H2741" s="283">
        <v>13000</v>
      </c>
      <c r="I2741" s="246">
        <v>1400</v>
      </c>
      <c r="J2741" s="246">
        <v>1</v>
      </c>
      <c r="K2741" s="277" t="s">
        <v>6308</v>
      </c>
      <c r="L2741" s="248">
        <v>213730</v>
      </c>
      <c r="M2741" s="249">
        <f>15*(LEFT(TEXT($L2741,"000000"),2)+(MID(TEXT($L2741,"000000"),3,2)/60)+(RIGHT(TEXT($L2741,"000000"),2)/3600))</f>
        <v>324.375</v>
      </c>
      <c r="N2741" s="286">
        <v>401200</v>
      </c>
      <c r="O2741" s="251">
        <f>IF($N2741&gt;0,(LEFT(TEXT($N2741,"000000"),2)+(MID(TEXT($N2741,"000000"),3,2)/60)+(RIGHT(TEXT($N2741,"000000"),2)/3600)),-(MID(TEXT($N2741,"000000"),2,2)+(MID(TEXT($N2741,"000000"),4,2)/60)+(RIGHT(TEXT($N2741,"000000"),2)/3600)))</f>
        <v>40.200000000000003</v>
      </c>
      <c r="P2741" s="252" t="s">
        <v>60</v>
      </c>
      <c r="Q2741" s="253"/>
      <c r="R2741" s="277" t="s">
        <v>3293</v>
      </c>
      <c r="S2741" s="272" t="s">
        <v>3293</v>
      </c>
      <c r="T2741" s="273"/>
      <c r="U2741" s="274"/>
      <c r="V2741" s="280"/>
      <c r="W2741" s="244"/>
      <c r="X2741" s="244"/>
      <c r="Y2741" s="362"/>
      <c r="Z2741" s="257">
        <f>altaz(J2000_Bas,$O2741,$M2741,DecLat,DecLong,1)</f>
        <v>57.748750741380483</v>
      </c>
      <c r="AA2741" s="257">
        <f>altaz((J2000_Bas+(2*0.04167)),$O2741,$M2741,DecLat,DecLong,1)</f>
        <v>78.608025229023283</v>
      </c>
      <c r="AB2741" s="257">
        <f>altaz((J2000_Bas+(4*0.04167)),$O2741,$M2741,DecLat,DecLong,1)</f>
        <v>70.107017001536491</v>
      </c>
      <c r="AC2741" s="257">
        <f>altaz((J2000_Bas+(6*0.04167)),$O2741,$M2741,DecLat,DecLong,1)</f>
        <v>47.440705130528521</v>
      </c>
      <c r="AD2741" s="258">
        <f>1+ transit((J2000_Bas-1),$O2741,$M2741,DecLat,DecLong)/360 + (GMTOffset/24) + (IF(DST="Y", 1, 0)/24)</f>
        <v>1.8939415371922077</v>
      </c>
      <c r="AE2741" s="259">
        <f>DATE(2001,9,21)+(M2741/360)*365 - (360*((DecLong/360)- (GMTOffset/24) ))</f>
        <v>37488.880208333336</v>
      </c>
      <c r="AF2741" s="260">
        <f>IF(DecLat&gt;0,IF((90 - (DecLat-O2741))&gt;90, (90 - (O2741-DecLat)), (90 - (DecLat-O2741))),IF((90 + (DecLat-O2741))&gt;90, (90 + (O2741-DecLat)), (90 + (DecLat-O2741))))</f>
        <v>80.8</v>
      </c>
      <c r="AG2741" s="257">
        <f>angularseperation(MoonRA,MoonDec,$M2741,$O2741)</f>
        <v>96.857187927837046</v>
      </c>
      <c r="AH2741" s="261">
        <f ca="1">MIN(100,IF($O$5&gt;80,0+30*($AG2741/100),IF($O$5&gt;70,0+50*($AG2741/100),IF($O$5&gt;60,5+50*($AG2741/100),IF($O$5&gt;50,10+60*($AG2741/100),IF($O$5&gt;40,15+70*($AG2741/100),IF($O$5&gt;30,20+70*($AG2741/100),IF($O$5&gt;20,40+55*($AG2741/100),(80+(20-$O$5)+30*($AG2741/100))))))))))</f>
        <v>100</v>
      </c>
      <c r="AI2741" s="263"/>
      <c r="AJ2741" s="263"/>
      <c r="AK2741" s="263"/>
      <c r="AL2741" s="263"/>
      <c r="AM2741" s="264"/>
      <c r="AN2741" s="263"/>
      <c r="AO2741" s="263"/>
      <c r="AP2741" s="265"/>
      <c r="AQ2741" s="265"/>
      <c r="AR2741" s="285"/>
      <c r="AS2741" s="263"/>
      <c r="AT2741" s="263"/>
      <c r="AU2741" s="263"/>
      <c r="AV2741" s="264"/>
      <c r="AW2741" s="263"/>
      <c r="AX2741" s="263"/>
      <c r="AY2741" s="263"/>
      <c r="AZ2741" s="263"/>
      <c r="BA2741" s="263"/>
      <c r="BB2741" s="263">
        <v>118</v>
      </c>
      <c r="BC2741" s="263"/>
      <c r="BD2741" s="264"/>
      <c r="BE2741" s="263"/>
      <c r="BF2741" s="263"/>
      <c r="BG2741" s="263"/>
      <c r="BH2741" s="263"/>
      <c r="BI2741" s="263"/>
      <c r="BJ2741" s="404">
        <f>altaz(J2000_Bas,$O2741,$M2741,DecLat,DecLong,2)</f>
        <v>62.687381756046392</v>
      </c>
      <c r="BK2741" s="378" t="s">
        <v>2557</v>
      </c>
      <c r="BL2741" s="379">
        <f>IF((2*G2741)/60&lt;0.2,0.2,(2*G2741)/60)</f>
        <v>12</v>
      </c>
      <c r="BM2741" s="380">
        <f>MOD((50000+AD2741-$B$3+(0/24)),1)</f>
        <v>0.10930846689734608</v>
      </c>
      <c r="BN2741" s="381"/>
      <c r="BO2741" s="382">
        <v>2732</v>
      </c>
    </row>
    <row r="2742" spans="1:67" s="24" customFormat="1" ht="15" customHeight="1" x14ac:dyDescent="0.25">
      <c r="A2742" s="288" t="s">
        <v>2558</v>
      </c>
      <c r="B2742" s="241" t="str">
        <f>HYPERLINK(CONCATENATE($AT$3,BK2742,$AU$3),$AV$3)</f>
        <v>S</v>
      </c>
      <c r="C2742" s="242" t="str">
        <f>HYPERLINK(CONCATENATE($AT$4,BK2742,$AU$4,BL2742),$AV$4)</f>
        <v>A</v>
      </c>
      <c r="D2742" s="243" t="s">
        <v>5187</v>
      </c>
      <c r="E2742" s="244" t="s">
        <v>5183</v>
      </c>
      <c r="F2742" s="353" t="s">
        <v>9178</v>
      </c>
      <c r="G2742" s="276">
        <v>120</v>
      </c>
      <c r="H2742" s="283">
        <v>1800</v>
      </c>
      <c r="I2742" s="246">
        <v>60</v>
      </c>
      <c r="J2742" s="246">
        <v>3</v>
      </c>
      <c r="K2742" s="247" t="s">
        <v>9381</v>
      </c>
      <c r="L2742" s="248">
        <v>211830</v>
      </c>
      <c r="M2742" s="249">
        <f>15*(LEFT(TEXT($L2742,"000000"),2)+(MID(TEXT($L2742,"000000"),3,2)/60)+(RIGHT(TEXT($L2742,"000000"),2)/3600))</f>
        <v>319.625</v>
      </c>
      <c r="N2742" s="250">
        <v>435600</v>
      </c>
      <c r="O2742" s="251">
        <f>IF($N2742&gt;0,(LEFT(TEXT($N2742,"000000"),2)+(MID(TEXT($N2742,"000000"),3,2)/60)+(RIGHT(TEXT($N2742,"000000"),2)/3600)),-(MID(TEXT($N2742,"000000"),2,2)+(MID(TEXT($N2742,"000000"),4,2)/60)+(RIGHT(TEXT($N2742,"000000"),2)/3600)))</f>
        <v>43.93333333333333</v>
      </c>
      <c r="P2742" s="252" t="s">
        <v>60</v>
      </c>
      <c r="Q2742" s="253"/>
      <c r="R2742" s="247" t="s">
        <v>3293</v>
      </c>
      <c r="S2742" s="272" t="s">
        <v>3293</v>
      </c>
      <c r="T2742" s="273"/>
      <c r="U2742" s="274"/>
      <c r="V2742" s="280"/>
      <c r="W2742" s="244"/>
      <c r="X2742" s="244"/>
      <c r="Y2742" s="362"/>
      <c r="Z2742" s="257">
        <f>altaz(J2000_Bas,$O2742,$M2742,DecLat,DecLong,1)</f>
        <v>60.61732140489115</v>
      </c>
      <c r="AA2742" s="257">
        <f>altaz((J2000_Bas+(2*0.04167)),$O2742,$M2742,DecLat,DecLong,1)</f>
        <v>76.768889120944607</v>
      </c>
      <c r="AB2742" s="257">
        <f>altaz((J2000_Bas+(4*0.04167)),$O2742,$M2742,DecLat,DecLong,1)</f>
        <v>65.443341976074365</v>
      </c>
      <c r="AC2742" s="257">
        <f>altaz((J2000_Bas+(6*0.04167)),$O2742,$M2742,DecLat,DecLong,1)</f>
        <v>44.176225659726327</v>
      </c>
      <c r="AD2742" s="258">
        <f>1+ transit((J2000_Bas-1),$O2742,$M2742,DecLat,DecLong)/360 + (GMTOffset/24) + (IF(DST="Y", 1, 0)/24)</f>
        <v>1.8807470940672084</v>
      </c>
      <c r="AE2742" s="259">
        <f>DATE(2001,9,21)+(M2742/360)*365 - (360*((DecLong/360)- (GMTOffset/24) ))</f>
        <v>37484.064236111109</v>
      </c>
      <c r="AF2742" s="260">
        <f>IF(DecLat&gt;0,IF((90 - (DecLat-O2742))&gt;90, (90 - (O2742-DecLat)), (90 - (DecLat-O2742))),IF((90 + (DecLat-O2742))&gt;90, (90 + (O2742-DecLat)), (90 + (DecLat-O2742))))</f>
        <v>77.066666666666663</v>
      </c>
      <c r="AG2742" s="257">
        <f>angularseperation(MoonRA,MoonDec,$M2742,$O2742)</f>
        <v>95.775647391604224</v>
      </c>
      <c r="AH2742" s="261">
        <f ca="1">MIN(100,IF($O$5&gt;80,0+30*($AG2742/100),IF($O$5&gt;70,0+50*($AG2742/100),IF($O$5&gt;60,5+50*($AG2742/100),IF($O$5&gt;50,10+60*($AG2742/100),IF($O$5&gt;40,15+70*($AG2742/100),IF($O$5&gt;30,20+70*($AG2742/100),IF($O$5&gt;20,40+55*($AG2742/100),(80+(20-$O$5)+30*($AG2742/100))))))))))</f>
        <v>100</v>
      </c>
      <c r="AI2742" s="262"/>
      <c r="AJ2742" s="262"/>
      <c r="AK2742" s="262"/>
      <c r="AL2742" s="263"/>
      <c r="AM2742" s="264"/>
      <c r="AN2742" s="263"/>
      <c r="AO2742" s="263"/>
      <c r="AP2742" s="265"/>
      <c r="AQ2742" s="266"/>
      <c r="AR2742" s="267"/>
      <c r="AS2742" s="263"/>
      <c r="AT2742" s="263"/>
      <c r="AU2742" s="263"/>
      <c r="AV2742" s="264"/>
      <c r="AW2742" s="263"/>
      <c r="AX2742" s="263"/>
      <c r="AY2742" s="263">
        <v>391</v>
      </c>
      <c r="AZ2742" s="263"/>
      <c r="BA2742" s="263"/>
      <c r="BB2742" s="263">
        <v>119</v>
      </c>
      <c r="BC2742" s="263"/>
      <c r="BD2742" s="264"/>
      <c r="BE2742" s="263"/>
      <c r="BF2742" s="263"/>
      <c r="BG2742" s="263"/>
      <c r="BH2742" s="263"/>
      <c r="BI2742" s="263">
        <v>95</v>
      </c>
      <c r="BJ2742" s="404">
        <f>altaz(J2000_Bas,$O2742,$M2742,DecLat,DecLong,2)</f>
        <v>54.363453292081751</v>
      </c>
      <c r="BK2742" s="378" t="s">
        <v>2558</v>
      </c>
      <c r="BL2742" s="379">
        <f>IF((2*G2742)/60&lt;0.2,0.2,(2*G2742)/60)</f>
        <v>4</v>
      </c>
      <c r="BM2742" s="380">
        <f>MOD((50000+AD2742-$B$3+(0/24)),1)</f>
        <v>9.6114023770496715E-2</v>
      </c>
      <c r="BN2742" s="381" t="s">
        <v>9217</v>
      </c>
      <c r="BO2742" s="382">
        <v>2733</v>
      </c>
    </row>
    <row r="2743" spans="1:67" s="24" customFormat="1" ht="15" customHeight="1" x14ac:dyDescent="0.25">
      <c r="A2743" s="288" t="s">
        <v>2559</v>
      </c>
      <c r="B2743" s="241" t="str">
        <f>HYPERLINK(CONCATENATE($AT$3,BK2743,$AU$3),$AV$3)</f>
        <v>S</v>
      </c>
      <c r="C2743" s="242" t="str">
        <f>HYPERLINK(CONCATENATE($AT$4,BK2743,$AU$4,BL2743),$AV$4)</f>
        <v>A</v>
      </c>
      <c r="D2743" s="243" t="s">
        <v>5187</v>
      </c>
      <c r="E2743" s="244" t="s">
        <v>5183</v>
      </c>
      <c r="F2743" s="269" t="s">
        <v>5180</v>
      </c>
      <c r="G2743" s="273">
        <v>1</v>
      </c>
      <c r="H2743" s="283">
        <v>21000</v>
      </c>
      <c r="I2743" s="279">
        <v>6</v>
      </c>
      <c r="J2743" s="246">
        <v>1</v>
      </c>
      <c r="K2743" s="277" t="s">
        <v>6309</v>
      </c>
      <c r="L2743" s="248">
        <v>210300</v>
      </c>
      <c r="M2743" s="249">
        <f>15*(LEFT(TEXT($L2743,"000000"),2)+(MID(TEXT($L2743,"000000"),3,2)/60)+(RIGHT(TEXT($L2743,"000000"),2)/3600))</f>
        <v>315.75</v>
      </c>
      <c r="N2743" s="286">
        <v>495200</v>
      </c>
      <c r="O2743" s="251">
        <f>IF($N2743&gt;0,(LEFT(TEXT($N2743,"000000"),2)+(MID(TEXT($N2743,"000000"),3,2)/60)+(RIGHT(TEXT($N2743,"000000"),2)/3600)),-(MID(TEXT($N2743,"000000"),2,2)+(MID(TEXT($N2743,"000000"),4,2)/60)+(RIGHT(TEXT($N2743,"000000"),2)/3600)))</f>
        <v>49.866666666666667</v>
      </c>
      <c r="P2743" s="252" t="s">
        <v>60</v>
      </c>
      <c r="Q2743" s="253"/>
      <c r="R2743" s="277" t="s">
        <v>3293</v>
      </c>
      <c r="S2743" s="272" t="s">
        <v>3293</v>
      </c>
      <c r="T2743" s="273"/>
      <c r="U2743" s="274"/>
      <c r="V2743" s="280"/>
      <c r="W2743" s="244"/>
      <c r="X2743" s="244"/>
      <c r="Y2743" s="362"/>
      <c r="Z2743" s="257">
        <f>altaz(J2000_Bas,$O2743,$M2743,DecLat,DecLong,1)</f>
        <v>60.863903391752672</v>
      </c>
      <c r="AA2743" s="257">
        <f>altaz((J2000_Bas+(2*0.04167)),$O2743,$M2743,DecLat,DecLong,1)</f>
        <v>71.131638346501049</v>
      </c>
      <c r="AB2743" s="257">
        <f>altaz((J2000_Bas+(4*0.04167)),$O2743,$M2743,DecLat,DecLong,1)</f>
        <v>60.482590510653978</v>
      </c>
      <c r="AC2743" s="257">
        <f>altaz((J2000_Bas+(6*0.04167)),$O2743,$M2743,DecLat,DecLong,1)</f>
        <v>41.742467347070168</v>
      </c>
      <c r="AD2743" s="258">
        <f>1+ transit((J2000_Bas-1),$O2743,$M2743,DecLat,DecLong)/360 + (GMTOffset/24) + (IF(DST="Y", 1, 0)/24)</f>
        <v>1.8699832062547082</v>
      </c>
      <c r="AE2743" s="259">
        <f>DATE(2001,9,21)+(M2743/360)*365 - (360*((DecLong/360)- (GMTOffset/24) ))</f>
        <v>37480.135416666664</v>
      </c>
      <c r="AF2743" s="260">
        <f>IF(DecLat&gt;0,IF((90 - (DecLat-O2743))&gt;90, (90 - (O2743-DecLat)), (90 - (DecLat-O2743))),IF((90 + (DecLat-O2743))&gt;90, (90 + (O2743-DecLat)), (90 + (DecLat-O2743))))</f>
        <v>71.133333333333326</v>
      </c>
      <c r="AG2743" s="257">
        <f>angularseperation(MoonRA,MoonDec,$M2743,$O2743)</f>
        <v>96.853703705582902</v>
      </c>
      <c r="AH2743" s="261">
        <f ca="1">MIN(100,IF($O$5&gt;80,0+30*($AG2743/100),IF($O$5&gt;70,0+50*($AG2743/100),IF($O$5&gt;60,5+50*($AG2743/100),IF($O$5&gt;50,10+60*($AG2743/100),IF($O$5&gt;40,15+70*($AG2743/100),IF($O$5&gt;30,20+70*($AG2743/100),IF($O$5&gt;20,40+55*($AG2743/100),(80+(20-$O$5)+30*($AG2743/100))))))))))</f>
        <v>100</v>
      </c>
      <c r="AI2743" s="263"/>
      <c r="AJ2743" s="263"/>
      <c r="AK2743" s="263"/>
      <c r="AL2743" s="263"/>
      <c r="AM2743" s="264"/>
      <c r="AN2743" s="263"/>
      <c r="AO2743" s="263"/>
      <c r="AP2743" s="265"/>
      <c r="AQ2743" s="265"/>
      <c r="AR2743" s="285"/>
      <c r="AS2743" s="263"/>
      <c r="AT2743" s="263"/>
      <c r="AU2743" s="263"/>
      <c r="AV2743" s="264"/>
      <c r="AW2743" s="263"/>
      <c r="AX2743" s="263"/>
      <c r="AY2743" s="263"/>
      <c r="AZ2743" s="263"/>
      <c r="BA2743" s="263"/>
      <c r="BB2743" s="263">
        <v>120</v>
      </c>
      <c r="BC2743" s="263"/>
      <c r="BD2743" s="264"/>
      <c r="BE2743" s="263"/>
      <c r="BF2743" s="263"/>
      <c r="BG2743" s="263"/>
      <c r="BH2743" s="263"/>
      <c r="BI2743" s="263"/>
      <c r="BJ2743" s="404">
        <f>altaz(J2000_Bas,$O2743,$M2743,DecLat,DecLong,2)</f>
        <v>41.06147627004659</v>
      </c>
      <c r="BK2743" s="378" t="s">
        <v>2559</v>
      </c>
      <c r="BL2743" s="379">
        <f>IF((2*G2743)/60&lt;0.2,0.2,(2*G2743)/60)</f>
        <v>0.2</v>
      </c>
      <c r="BM2743" s="380">
        <f>MOD((50000+AD2743-$B$3+(0/24)),1)</f>
        <v>8.5350135959743056E-2</v>
      </c>
      <c r="BN2743" s="381"/>
      <c r="BO2743" s="382">
        <v>2734</v>
      </c>
    </row>
    <row r="2744" spans="1:67" s="24" customFormat="1" ht="15" customHeight="1" x14ac:dyDescent="0.25">
      <c r="A2744" s="288" t="s">
        <v>2560</v>
      </c>
      <c r="B2744" s="241" t="str">
        <f>HYPERLINK(CONCATENATE($AT$3,BK2744,$AU$3),$AV$3)</f>
        <v>S</v>
      </c>
      <c r="C2744" s="242" t="str">
        <f>HYPERLINK(CONCATENATE($AT$4,BK2744,$AU$4,BL2744),$AV$4)</f>
        <v>A</v>
      </c>
      <c r="D2744" s="243" t="s">
        <v>5187</v>
      </c>
      <c r="E2744" s="244" t="s">
        <v>5183</v>
      </c>
      <c r="F2744" s="269" t="s">
        <v>5180</v>
      </c>
      <c r="G2744" s="273">
        <v>2</v>
      </c>
      <c r="H2744" s="283">
        <v>15000</v>
      </c>
      <c r="I2744" s="279">
        <v>9</v>
      </c>
      <c r="J2744" s="246">
        <v>1</v>
      </c>
      <c r="K2744" s="277" t="s">
        <v>6310</v>
      </c>
      <c r="L2744" s="248">
        <v>210530</v>
      </c>
      <c r="M2744" s="249">
        <f>15*(LEFT(TEXT($L2744,"000000"),2)+(MID(TEXT($L2744,"000000"),3,2)/60)+(RIGHT(TEXT($L2744,"000000"),2)/3600))</f>
        <v>316.375</v>
      </c>
      <c r="N2744" s="286">
        <v>493900</v>
      </c>
      <c r="O2744" s="251">
        <f>IF($N2744&gt;0,(LEFT(TEXT($N2744,"000000"),2)+(MID(TEXT($N2744,"000000"),3,2)/60)+(RIGHT(TEXT($N2744,"000000"),2)/3600)),-(MID(TEXT($N2744,"000000"),2,2)+(MID(TEXT($N2744,"000000"),4,2)/60)+(RIGHT(TEXT($N2744,"000000"),2)/3600)))</f>
        <v>49.65</v>
      </c>
      <c r="P2744" s="252" t="s">
        <v>60</v>
      </c>
      <c r="Q2744" s="253"/>
      <c r="R2744" s="277" t="s">
        <v>3293</v>
      </c>
      <c r="S2744" s="272" t="s">
        <v>3293</v>
      </c>
      <c r="T2744" s="273"/>
      <c r="U2744" s="274"/>
      <c r="V2744" s="280"/>
      <c r="W2744" s="244"/>
      <c r="X2744" s="244"/>
      <c r="Y2744" s="362"/>
      <c r="Z2744" s="257">
        <f>altaz(J2000_Bas,$O2744,$M2744,DecLat,DecLong,1)</f>
        <v>60.612777645133079</v>
      </c>
      <c r="AA2744" s="257">
        <f>altaz((J2000_Bas+(2*0.04167)),$O2744,$M2744,DecLat,DecLong,1)</f>
        <v>71.348745364827394</v>
      </c>
      <c r="AB2744" s="257">
        <f>altaz((J2000_Bas+(4*0.04167)),$O2744,$M2744,DecLat,DecLong,1)</f>
        <v>60.940802960405918</v>
      </c>
      <c r="AC2744" s="257">
        <f>altaz((J2000_Bas+(6*0.04167)),$O2744,$M2744,DecLat,DecLong,1)</f>
        <v>42.144022117083132</v>
      </c>
      <c r="AD2744" s="258">
        <f>1+ transit((J2000_Bas-1),$O2744,$M2744,DecLat,DecLong)/360 + (GMTOffset/24) + (IF(DST="Y", 1, 0)/24)</f>
        <v>1.871719317192208</v>
      </c>
      <c r="AE2744" s="259">
        <f>DATE(2001,9,21)+(M2744/360)*365 - (360*((DecLong/360)- (GMTOffset/24) ))</f>
        <v>37480.769097222219</v>
      </c>
      <c r="AF2744" s="260">
        <f>IF(DecLat&gt;0,IF((90 - (DecLat-O2744))&gt;90, (90 - (O2744-DecLat)), (90 - (DecLat-O2744))),IF((90 + (DecLat-O2744))&gt;90, (90 + (O2744-DecLat)), (90 + (DecLat-O2744))))</f>
        <v>71.349999999999994</v>
      </c>
      <c r="AG2744" s="257">
        <f>angularseperation(MoonRA,MoonDec,$M2744,$O2744)</f>
        <v>97.064027640083339</v>
      </c>
      <c r="AH2744" s="261">
        <f ca="1">MIN(100,IF($O$5&gt;80,0+30*($AG2744/100),IF($O$5&gt;70,0+50*($AG2744/100),IF($O$5&gt;60,5+50*($AG2744/100),IF($O$5&gt;50,10+60*($AG2744/100),IF($O$5&gt;40,15+70*($AG2744/100),IF($O$5&gt;30,20+70*($AG2744/100),IF($O$5&gt;20,40+55*($AG2744/100),(80+(20-$O$5)+30*($AG2744/100))))))))))</f>
        <v>100</v>
      </c>
      <c r="AI2744" s="263"/>
      <c r="AJ2744" s="263"/>
      <c r="AK2744" s="263"/>
      <c r="AL2744" s="263"/>
      <c r="AM2744" s="264"/>
      <c r="AN2744" s="263"/>
      <c r="AO2744" s="263"/>
      <c r="AP2744" s="265"/>
      <c r="AQ2744" s="265"/>
      <c r="AR2744" s="285"/>
      <c r="AS2744" s="263"/>
      <c r="AT2744" s="263"/>
      <c r="AU2744" s="263"/>
      <c r="AV2744" s="264"/>
      <c r="AW2744" s="263"/>
      <c r="AX2744" s="263"/>
      <c r="AY2744" s="263"/>
      <c r="AZ2744" s="263"/>
      <c r="BA2744" s="263"/>
      <c r="BB2744" s="263">
        <v>121</v>
      </c>
      <c r="BC2744" s="263"/>
      <c r="BD2744" s="264"/>
      <c r="BE2744" s="263"/>
      <c r="BF2744" s="263"/>
      <c r="BG2744" s="263"/>
      <c r="BH2744" s="263"/>
      <c r="BI2744" s="263"/>
      <c r="BJ2744" s="404">
        <f>altaz(J2000_Bas,$O2744,$M2744,DecLat,DecLong,2)</f>
        <v>41.845601621634309</v>
      </c>
      <c r="BK2744" s="378" t="s">
        <v>2560</v>
      </c>
      <c r="BL2744" s="379">
        <f>IF((2*G2744)/60&lt;0.2,0.2,(2*G2744)/60)</f>
        <v>0.2</v>
      </c>
      <c r="BM2744" s="380">
        <f>MOD((50000+AD2744-$B$3+(0/24)),1)</f>
        <v>8.7086246894614305E-2</v>
      </c>
      <c r="BN2744" s="381"/>
      <c r="BO2744" s="382">
        <v>2735</v>
      </c>
    </row>
    <row r="2745" spans="1:67" s="24" customFormat="1" ht="15" customHeight="1" x14ac:dyDescent="0.25">
      <c r="A2745" s="288" t="s">
        <v>2561</v>
      </c>
      <c r="B2745" s="241" t="str">
        <f>HYPERLINK(CONCATENATE($AT$3,BK2745,$AU$3),$AV$3)</f>
        <v>S</v>
      </c>
      <c r="C2745" s="242" t="str">
        <f>HYPERLINK(CONCATENATE($AT$4,BK2745,$AU$4,BL2745),$AV$4)</f>
        <v>A</v>
      </c>
      <c r="D2745" s="243" t="s">
        <v>5187</v>
      </c>
      <c r="E2745" s="244" t="s">
        <v>7522</v>
      </c>
      <c r="F2745" s="269"/>
      <c r="G2745" s="276">
        <v>40</v>
      </c>
      <c r="H2745" s="271" t="s">
        <v>6500</v>
      </c>
      <c r="I2745" s="244" t="s">
        <v>6500</v>
      </c>
      <c r="J2745" s="246">
        <v>1</v>
      </c>
      <c r="K2745" s="247" t="s">
        <v>5158</v>
      </c>
      <c r="L2745" s="248">
        <v>230848</v>
      </c>
      <c r="M2745" s="249">
        <f>15*(LEFT(TEXT($L2745,"000000"),2)+(MID(TEXT($L2745,"000000"),3,2)/60)+(RIGHT(TEXT($L2745,"000000"),2)/3600))</f>
        <v>347.2</v>
      </c>
      <c r="N2745" s="250">
        <v>145500</v>
      </c>
      <c r="O2745" s="251">
        <f>IF($N2745&gt;0,(LEFT(TEXT($N2745,"000000"),2)+(MID(TEXT($N2745,"000000"),3,2)/60)+(RIGHT(TEXT($N2745,"000000"),2)/3600)),-(MID(TEXT($N2745,"000000"),2,2)+(MID(TEXT($N2745,"000000"),4,2)/60)+(RIGHT(TEXT($N2745,"000000"),2)/3600)))</f>
        <v>14.916666666666666</v>
      </c>
      <c r="P2745" s="252" t="s">
        <v>39</v>
      </c>
      <c r="Q2745" s="253"/>
      <c r="R2745" s="247" t="s">
        <v>3293</v>
      </c>
      <c r="S2745" s="272" t="s">
        <v>3293</v>
      </c>
      <c r="T2745" s="273"/>
      <c r="U2745" s="274"/>
      <c r="V2745" s="280"/>
      <c r="W2745" s="244"/>
      <c r="X2745" s="244"/>
      <c r="Y2745" s="362"/>
      <c r="Z2745" s="257">
        <f>altaz(J2000_Bas,$O2745,$M2745,DecLat,DecLong,1)</f>
        <v>32.116265573268372</v>
      </c>
      <c r="AA2745" s="257">
        <f>altaz((J2000_Bas+(2*0.04167)),$O2745,$M2745,DecLat,DecLong,1)</f>
        <v>57.321410723729777</v>
      </c>
      <c r="AB2745" s="257">
        <f>altaz((J2000_Bas+(4*0.04167)),$O2745,$M2745,DecLat,DecLong,1)</f>
        <v>73.889102550145353</v>
      </c>
      <c r="AC2745" s="257">
        <f>altaz((J2000_Bas+(6*0.04167)),$O2745,$M2745,DecLat,DecLong,1)</f>
        <v>58.938605253760663</v>
      </c>
      <c r="AD2745" s="258">
        <f>1+ transit((J2000_Bas-1),$O2745,$M2745,DecLat,DecLong)/360 + (GMTOffset/24) + (IF(DST="Y", 1, 0)/24)</f>
        <v>1.9573443086297082</v>
      </c>
      <c r="AE2745" s="259">
        <f>DATE(2001,9,21)+(M2745/360)*365 - (360*((DecLong/360)- (GMTOffset/24) ))</f>
        <v>37512.022222222222</v>
      </c>
      <c r="AF2745" s="260">
        <f>IF(DecLat&gt;0,IF((90 - (DecLat-O2745))&gt;90, (90 - (O2745-DecLat)), (90 - (DecLat-O2745))),IF((90 + (DecLat-O2745))&gt;90, (90 + (O2745-DecLat)), (90 + (DecLat-O2745))))</f>
        <v>73.916666666666657</v>
      </c>
      <c r="AG2745" s="257">
        <f>angularseperation(MoonRA,MoonDec,$M2745,$O2745)</f>
        <v>103.66899281872608</v>
      </c>
      <c r="AH2745" s="261">
        <f ca="1">MIN(100,IF($O$5&gt;80,0+30*($AG2745/100),IF($O$5&gt;70,0+50*($AG2745/100),IF($O$5&gt;60,5+50*($AG2745/100),IF($O$5&gt;50,10+60*($AG2745/100),IF($O$5&gt;40,15+70*($AG2745/100),IF($O$5&gt;30,20+70*($AG2745/100),IF($O$5&gt;20,40+55*($AG2745/100),(80+(20-$O$5)+30*($AG2745/100))))))))))</f>
        <v>100</v>
      </c>
      <c r="AI2745" s="262"/>
      <c r="AJ2745" s="262"/>
      <c r="AK2745" s="262"/>
      <c r="AL2745" s="263"/>
      <c r="AM2745" s="264"/>
      <c r="AN2745" s="263"/>
      <c r="AO2745" s="263"/>
      <c r="AP2745" s="265"/>
      <c r="AQ2745" s="266"/>
      <c r="AR2745" s="267"/>
      <c r="AS2745" s="263"/>
      <c r="AT2745" s="263"/>
      <c r="AU2745" s="263"/>
      <c r="AV2745" s="264"/>
      <c r="AW2745" s="263"/>
      <c r="AX2745" s="263"/>
      <c r="AY2745" s="263"/>
      <c r="AZ2745" s="263"/>
      <c r="BA2745" s="263"/>
      <c r="BB2745" s="263">
        <v>122</v>
      </c>
      <c r="BC2745" s="263"/>
      <c r="BD2745" s="264"/>
      <c r="BE2745" s="263"/>
      <c r="BF2745" s="263"/>
      <c r="BG2745" s="263"/>
      <c r="BH2745" s="263"/>
      <c r="BI2745" s="263">
        <v>107</v>
      </c>
      <c r="BJ2745" s="404">
        <f>altaz(J2000_Bas,$O2745,$M2745,DecLat,DecLong,2)</f>
        <v>91.294438678608785</v>
      </c>
      <c r="BK2745" s="378" t="s">
        <v>2561</v>
      </c>
      <c r="BL2745" s="379">
        <f>IF((2*G2745)/60&lt;0.2,0.2,(2*G2745)/60)</f>
        <v>1.3333333333333333</v>
      </c>
      <c r="BM2745" s="380">
        <f>MOD((50000+AD2745-$B$3+(0/24)),1)</f>
        <v>0.17271123833052116</v>
      </c>
      <c r="BN2745" s="381"/>
      <c r="BO2745" s="382">
        <v>2736</v>
      </c>
    </row>
    <row r="2746" spans="1:67" s="24" customFormat="1" ht="15" customHeight="1" x14ac:dyDescent="0.25">
      <c r="A2746" s="288" t="s">
        <v>2562</v>
      </c>
      <c r="B2746" s="241" t="str">
        <f>HYPERLINK(CONCATENATE($AT$3,BK2746,$AU$3),$AV$3)</f>
        <v>S</v>
      </c>
      <c r="C2746" s="242" t="str">
        <f>HYPERLINK(CONCATENATE($AT$4,BK2746,$AU$4,BL2746),$AV$4)</f>
        <v>A</v>
      </c>
      <c r="D2746" s="243" t="s">
        <v>5187</v>
      </c>
      <c r="E2746" s="244" t="s">
        <v>5183</v>
      </c>
      <c r="F2746" s="269" t="s">
        <v>5180</v>
      </c>
      <c r="G2746" s="276">
        <v>15</v>
      </c>
      <c r="H2746" s="283">
        <v>13000</v>
      </c>
      <c r="I2746" s="246">
        <v>60</v>
      </c>
      <c r="J2746" s="246">
        <v>2</v>
      </c>
      <c r="K2746" s="247" t="s">
        <v>6311</v>
      </c>
      <c r="L2746" s="248">
        <v>214218</v>
      </c>
      <c r="M2746" s="249">
        <f>15*(LEFT(TEXT($L2746,"000000"),2)+(MID(TEXT($L2746,"000000"),3,2)/60)+(RIGHT(TEXT($L2746,"000000"),2)/3600))</f>
        <v>325.57499999999999</v>
      </c>
      <c r="N2746" s="250">
        <v>443200</v>
      </c>
      <c r="O2746" s="251">
        <f>IF($N2746&gt;0,(LEFT(TEXT($N2746,"000000"),2)+(MID(TEXT($N2746,"000000"),3,2)/60)+(RIGHT(TEXT($N2746,"000000"),2)/3600)),-(MID(TEXT($N2746,"000000"),2,2)+(MID(TEXT($N2746,"000000"),4,2)/60)+(RIGHT(TEXT($N2746,"000000"),2)/3600)))</f>
        <v>44.533333333333331</v>
      </c>
      <c r="P2746" s="252" t="s">
        <v>60</v>
      </c>
      <c r="Q2746" s="253"/>
      <c r="R2746" s="277" t="s">
        <v>3293</v>
      </c>
      <c r="S2746" s="272" t="s">
        <v>3293</v>
      </c>
      <c r="T2746" s="273"/>
      <c r="U2746" s="274"/>
      <c r="V2746" s="280"/>
      <c r="W2746" s="244"/>
      <c r="X2746" s="244"/>
      <c r="Y2746" s="362"/>
      <c r="Z2746" s="257">
        <f>altaz(J2000_Bas,$O2746,$M2746,DecLat,DecLong,1)</f>
        <v>56.32534391757946</v>
      </c>
      <c r="AA2746" s="257">
        <f>altaz((J2000_Bas+(2*0.04167)),$O2746,$M2746,DecLat,DecLong,1)</f>
        <v>74.552626502220619</v>
      </c>
      <c r="AB2746" s="257">
        <f>altaz((J2000_Bas+(4*0.04167)),$O2746,$M2746,DecLat,DecLong,1)</f>
        <v>68.935598675002524</v>
      </c>
      <c r="AC2746" s="257">
        <f>altaz((J2000_Bas+(6*0.04167)),$O2746,$M2746,DecLat,DecLong,1)</f>
        <v>48.44981197212671</v>
      </c>
      <c r="AD2746" s="258">
        <f>1+ transit((J2000_Bas-1),$O2746,$M2746,DecLat,DecLong)/360 + (GMTOffset/24) + (IF(DST="Y", 1, 0)/24)</f>
        <v>1.8972748701922082</v>
      </c>
      <c r="AE2746" s="259">
        <f>DATE(2001,9,21)+(M2746/360)*365 - (360*((DecLong/360)- (GMTOffset/24) ))</f>
        <v>37490.096875000003</v>
      </c>
      <c r="AF2746" s="260">
        <f>IF(DecLat&gt;0,IF((90 - (DecLat-O2746))&gt;90, (90 - (O2746-DecLat)), (90 - (DecLat-O2746))),IF((90 + (DecLat-O2746))&gt;90, (90 + (O2746-DecLat)), (90 + (DecLat-O2746))))</f>
        <v>76.466666666666669</v>
      </c>
      <c r="AG2746" s="257">
        <f>angularseperation(MoonRA,MoonDec,$M2746,$O2746)</f>
        <v>99.750198779662597</v>
      </c>
      <c r="AH2746" s="261">
        <f ca="1">MIN(100,IF($O$5&gt;80,0+30*($AG2746/100),IF($O$5&gt;70,0+50*($AG2746/100),IF($O$5&gt;60,5+50*($AG2746/100),IF($O$5&gt;50,10+60*($AG2746/100),IF($O$5&gt;40,15+70*($AG2746/100),IF($O$5&gt;30,20+70*($AG2746/100),IF($O$5&gt;20,40+55*($AG2746/100),(80+(20-$O$5)+30*($AG2746/100))))))))))</f>
        <v>100</v>
      </c>
      <c r="AI2746" s="263"/>
      <c r="AJ2746" s="263"/>
      <c r="AK2746" s="263"/>
      <c r="AL2746" s="263"/>
      <c r="AM2746" s="264"/>
      <c r="AN2746" s="263"/>
      <c r="AO2746" s="263"/>
      <c r="AP2746" s="265"/>
      <c r="AQ2746" s="265"/>
      <c r="AR2746" s="285"/>
      <c r="AS2746" s="263"/>
      <c r="AT2746" s="263"/>
      <c r="AU2746" s="263"/>
      <c r="AV2746" s="264"/>
      <c r="AW2746" s="263"/>
      <c r="AX2746" s="263"/>
      <c r="AY2746" s="263">
        <v>414</v>
      </c>
      <c r="AZ2746" s="263"/>
      <c r="BA2746" s="263"/>
      <c r="BB2746" s="263">
        <v>123</v>
      </c>
      <c r="BC2746" s="263"/>
      <c r="BD2746" s="264"/>
      <c r="BE2746" s="263"/>
      <c r="BF2746" s="263"/>
      <c r="BG2746" s="263"/>
      <c r="BH2746" s="263"/>
      <c r="BI2746" s="263"/>
      <c r="BJ2746" s="404">
        <f>altaz(J2000_Bas,$O2746,$M2746,DecLat,DecLong,2)</f>
        <v>54.985157934600807</v>
      </c>
      <c r="BK2746" s="378" t="s">
        <v>2562</v>
      </c>
      <c r="BL2746" s="379">
        <f>IF((2*G2746)/60&lt;0.2,0.2,(2*G2746)/60)</f>
        <v>0.5</v>
      </c>
      <c r="BM2746" s="380">
        <f>MOD((50000+AD2746-$B$3+(0/24)),1)</f>
        <v>0.11264179989666445</v>
      </c>
      <c r="BN2746" s="381"/>
      <c r="BO2746" s="382">
        <v>2737</v>
      </c>
    </row>
    <row r="2747" spans="1:67" s="24" customFormat="1" ht="15" customHeight="1" x14ac:dyDescent="0.25">
      <c r="A2747" s="288" t="s">
        <v>2563</v>
      </c>
      <c r="B2747" s="241" t="str">
        <f>HYPERLINK(CONCATENATE($AT$3,BK2747,$AU$3),$AV$3)</f>
        <v>S</v>
      </c>
      <c r="C2747" s="242" t="str">
        <f>HYPERLINK(CONCATENATE($AT$4,BK2747,$AU$4,BL2747),$AV$4)</f>
        <v>A</v>
      </c>
      <c r="D2747" s="243" t="s">
        <v>5187</v>
      </c>
      <c r="E2747" s="244" t="s">
        <v>5183</v>
      </c>
      <c r="F2747" s="269" t="s">
        <v>5180</v>
      </c>
      <c r="G2747" s="276">
        <v>20</v>
      </c>
      <c r="H2747" s="283">
        <v>13000</v>
      </c>
      <c r="I2747" s="246">
        <v>75</v>
      </c>
      <c r="J2747" s="246">
        <v>2</v>
      </c>
      <c r="K2747" s="247" t="s">
        <v>6312</v>
      </c>
      <c r="L2747" s="248">
        <v>213817</v>
      </c>
      <c r="M2747" s="249">
        <f>15*(LEFT(TEXT($L2747,"000000"),2)+(MID(TEXT($L2747,"000000"),3,2)/60)+(RIGHT(TEXT($L2747,"000000"),2)/3600))</f>
        <v>324.57083333333333</v>
      </c>
      <c r="N2747" s="250">
        <v>501948</v>
      </c>
      <c r="O2747" s="251">
        <f>IF($N2747&gt;0,(LEFT(TEXT($N2747,"000000"),2)+(MID(TEXT($N2747,"000000"),3,2)/60)+(RIGHT(TEXT($N2747,"000000"),2)/3600)),-(MID(TEXT($N2747,"000000"),2,2)+(MID(TEXT($N2747,"000000"),4,2)/60)+(RIGHT(TEXT($N2747,"000000"),2)/3600)))</f>
        <v>50.330000000000005</v>
      </c>
      <c r="P2747" s="252" t="s">
        <v>60</v>
      </c>
      <c r="Q2747" s="253"/>
      <c r="R2747" s="247" t="s">
        <v>3293</v>
      </c>
      <c r="S2747" s="272" t="s">
        <v>3293</v>
      </c>
      <c r="T2747" s="273"/>
      <c r="U2747" s="274"/>
      <c r="V2747" s="280"/>
      <c r="W2747" s="244"/>
      <c r="X2747" s="244"/>
      <c r="Y2747" s="362"/>
      <c r="Z2747" s="257">
        <f>altaz(J2000_Bas,$O2747,$M2747,DecLat,DecLong,1)</f>
        <v>55.514378413951334</v>
      </c>
      <c r="AA2747" s="257">
        <f>altaz((J2000_Bas+(2*0.04167)),$O2747,$M2747,DecLat,DecLong,1)</f>
        <v>69.659002075585917</v>
      </c>
      <c r="AB2747" s="257">
        <f>altaz((J2000_Bas+(4*0.04167)),$O2747,$M2747,DecLat,DecLong,1)</f>
        <v>64.850149377076718</v>
      </c>
      <c r="AC2747" s="257">
        <f>altaz((J2000_Bas+(6*0.04167)),$O2747,$M2747,DecLat,DecLong,1)</f>
        <v>47.365179373383711</v>
      </c>
      <c r="AD2747" s="258">
        <f>1+ transit((J2000_Bas-1),$O2747,$M2747,DecLat,DecLong)/360 + (GMTOffset/24) + (IF(DST="Y", 1, 0)/24)</f>
        <v>1.8944855186192917</v>
      </c>
      <c r="AE2747" s="259">
        <f>DATE(2001,9,21)+(M2747/360)*365 - (360*((DecLong/360)- (GMTOffset/24) ))</f>
        <v>37489.078761574077</v>
      </c>
      <c r="AF2747" s="260">
        <f>IF(DecLat&gt;0,IF((90 - (DecLat-O2747))&gt;90, (90 - (O2747-DecLat)), (90 - (DecLat-O2747))),IF((90 + (DecLat-O2747))&gt;90, (90 + (O2747-DecLat)), (90 + (DecLat-O2747))))</f>
        <v>70.669999999999987</v>
      </c>
      <c r="AG2747" s="257">
        <f>angularseperation(MoonRA,MoonDec,$M2747,$O2747)</f>
        <v>101.91787415622169</v>
      </c>
      <c r="AH2747" s="261">
        <f ca="1">MIN(100,IF($O$5&gt;80,0+30*($AG2747/100),IF($O$5&gt;70,0+50*($AG2747/100),IF($O$5&gt;60,5+50*($AG2747/100),IF($O$5&gt;50,10+60*($AG2747/100),IF($O$5&gt;40,15+70*($AG2747/100),IF($O$5&gt;30,20+70*($AG2747/100),IF($O$5&gt;20,40+55*($AG2747/100),(80+(20-$O$5)+30*($AG2747/100))))))))))</f>
        <v>100</v>
      </c>
      <c r="AI2747" s="262"/>
      <c r="AJ2747" s="262"/>
      <c r="AK2747" s="262"/>
      <c r="AL2747" s="263"/>
      <c r="AM2747" s="264"/>
      <c r="AN2747" s="263"/>
      <c r="AO2747" s="263"/>
      <c r="AP2747" s="265"/>
      <c r="AQ2747" s="266"/>
      <c r="AR2747" s="267"/>
      <c r="AS2747" s="263"/>
      <c r="AT2747" s="263"/>
      <c r="AU2747" s="263"/>
      <c r="AV2747" s="264"/>
      <c r="AW2747" s="263"/>
      <c r="AX2747" s="263"/>
      <c r="AY2747" s="263">
        <v>426</v>
      </c>
      <c r="AZ2747" s="263"/>
      <c r="BA2747" s="263"/>
      <c r="BB2747" s="263">
        <v>124</v>
      </c>
      <c r="BC2747" s="263"/>
      <c r="BD2747" s="264"/>
      <c r="BE2747" s="263"/>
      <c r="BF2747" s="263"/>
      <c r="BG2747" s="263"/>
      <c r="BH2747" s="263"/>
      <c r="BI2747" s="263">
        <v>96</v>
      </c>
      <c r="BJ2747" s="404">
        <f>altaz(J2000_Bas,$O2747,$M2747,DecLat,DecLong,2)</f>
        <v>44.660757045884722</v>
      </c>
      <c r="BK2747" s="378" t="s">
        <v>2563</v>
      </c>
      <c r="BL2747" s="379">
        <f>IF((2*G2747)/60&lt;0.2,0.2,(2*G2747)/60)</f>
        <v>0.66666666666666663</v>
      </c>
      <c r="BM2747" s="380">
        <f>MOD((50000+AD2747-$B$3+(0/24)),1)</f>
        <v>0.1098524483240908</v>
      </c>
      <c r="BN2747" s="381"/>
      <c r="BO2747" s="382">
        <v>2738</v>
      </c>
    </row>
    <row r="2748" spans="1:67" s="24" customFormat="1" ht="15" customHeight="1" x14ac:dyDescent="0.25">
      <c r="A2748" s="288" t="s">
        <v>2564</v>
      </c>
      <c r="B2748" s="241" t="str">
        <f>HYPERLINK(CONCATENATE($AT$3,BK2748,$AU$3),$AV$3)</f>
        <v>S</v>
      </c>
      <c r="C2748" s="242" t="str">
        <f>HYPERLINK(CONCATENATE($AT$4,BK2748,$AU$4,BL2748),$AV$4)</f>
        <v>A</v>
      </c>
      <c r="D2748" s="243" t="s">
        <v>5187</v>
      </c>
      <c r="E2748" s="244" t="s">
        <v>5183</v>
      </c>
      <c r="F2748" s="269" t="s">
        <v>5180</v>
      </c>
      <c r="G2748" s="273">
        <v>2</v>
      </c>
      <c r="H2748" s="283">
        <v>32000</v>
      </c>
      <c r="I2748" s="246">
        <v>20</v>
      </c>
      <c r="J2748" s="246">
        <v>1</v>
      </c>
      <c r="K2748" s="247" t="s">
        <v>6313</v>
      </c>
      <c r="L2748" s="248">
        <v>212800</v>
      </c>
      <c r="M2748" s="249">
        <f>15*(LEFT(TEXT($L2748,"000000"),2)+(MID(TEXT($L2748,"000000"),3,2)/60)+(RIGHT(TEXT($L2748,"000000"),2)/3600))</f>
        <v>322</v>
      </c>
      <c r="N2748" s="286">
        <v>543700</v>
      </c>
      <c r="O2748" s="251">
        <f>IF($N2748&gt;0,(LEFT(TEXT($N2748,"000000"),2)+(MID(TEXT($N2748,"000000"),3,2)/60)+(RIGHT(TEXT($N2748,"000000"),2)/3600)),-(MID(TEXT($N2748,"000000"),2,2)+(MID(TEXT($N2748,"000000"),4,2)/60)+(RIGHT(TEXT($N2748,"000000"),2)/3600)))</f>
        <v>54.616666666666667</v>
      </c>
      <c r="P2748" s="252" t="s">
        <v>52</v>
      </c>
      <c r="Q2748" s="253"/>
      <c r="R2748" s="277" t="s">
        <v>3293</v>
      </c>
      <c r="S2748" s="272" t="s">
        <v>3293</v>
      </c>
      <c r="T2748" s="273"/>
      <c r="U2748" s="274"/>
      <c r="V2748" s="280"/>
      <c r="W2748" s="244"/>
      <c r="X2748" s="244"/>
      <c r="Y2748" s="362"/>
      <c r="Z2748" s="257">
        <f>altaz(J2000_Bas,$O2748,$M2748,DecLat,DecLong,1)</f>
        <v>55.231973135515055</v>
      </c>
      <c r="AA2748" s="257">
        <f>altaz((J2000_Bas+(2*0.04167)),$O2748,$M2748,DecLat,DecLong,1)</f>
        <v>66.008474407801458</v>
      </c>
      <c r="AB2748" s="257">
        <f>altaz((J2000_Bas+(4*0.04167)),$O2748,$M2748,DecLat,DecLong,1)</f>
        <v>60.777277213103524</v>
      </c>
      <c r="AC2748" s="257">
        <f>altaz((J2000_Bas+(6*0.04167)),$O2748,$M2748,DecLat,DecLong,1)</f>
        <v>45.222688078529906</v>
      </c>
      <c r="AD2748" s="258">
        <f>1+ transit((J2000_Bas-1),$O2748,$M2748,DecLat,DecLong)/360 + (GMTOffset/24) + (IF(DST="Y", 1, 0)/24)</f>
        <v>1.8873443156297081</v>
      </c>
      <c r="AE2748" s="259">
        <f>DATE(2001,9,21)+(M2748/360)*365 - (360*((DecLong/360)- (GMTOffset/24) ))</f>
        <v>37486.472222222219</v>
      </c>
      <c r="AF2748" s="260">
        <f>IF(DecLat&gt;0,IF((90 - (DecLat-O2748))&gt;90, (90 - (O2748-DecLat)), (90 - (DecLat-O2748))),IF((90 + (DecLat-O2748))&gt;90, (90 + (O2748-DecLat)), (90 + (DecLat-O2748))))</f>
        <v>66.383333333333326</v>
      </c>
      <c r="AG2748" s="257">
        <f>angularseperation(MoonRA,MoonDec,$M2748,$O2748)</f>
        <v>102.61456610607233</v>
      </c>
      <c r="AH2748" s="261">
        <f ca="1">MIN(100,IF($O$5&gt;80,0+30*($AG2748/100),IF($O$5&gt;70,0+50*($AG2748/100),IF($O$5&gt;60,5+50*($AG2748/100),IF($O$5&gt;50,10+60*($AG2748/100),IF($O$5&gt;40,15+70*($AG2748/100),IF($O$5&gt;30,20+70*($AG2748/100),IF($O$5&gt;20,40+55*($AG2748/100),(80+(20-$O$5)+30*($AG2748/100))))))))))</f>
        <v>100</v>
      </c>
      <c r="AI2748" s="263"/>
      <c r="AJ2748" s="263"/>
      <c r="AK2748" s="263"/>
      <c r="AL2748" s="263"/>
      <c r="AM2748" s="264"/>
      <c r="AN2748" s="263"/>
      <c r="AO2748" s="263"/>
      <c r="AP2748" s="265"/>
      <c r="AQ2748" s="265"/>
      <c r="AR2748" s="285"/>
      <c r="AS2748" s="263"/>
      <c r="AT2748" s="263"/>
      <c r="AU2748" s="263"/>
      <c r="AV2748" s="264"/>
      <c r="AW2748" s="263"/>
      <c r="AX2748" s="263"/>
      <c r="AY2748" s="263">
        <v>436</v>
      </c>
      <c r="AZ2748" s="263"/>
      <c r="BA2748" s="263"/>
      <c r="BB2748" s="263">
        <v>127</v>
      </c>
      <c r="BC2748" s="263"/>
      <c r="BD2748" s="264"/>
      <c r="BE2748" s="263"/>
      <c r="BF2748" s="263"/>
      <c r="BG2748" s="263"/>
      <c r="BH2748" s="263"/>
      <c r="BI2748" s="263"/>
      <c r="BJ2748" s="404">
        <f>altaz(J2000_Bas,$O2748,$M2748,DecLat,DecLong,2)</f>
        <v>36.64152433231947</v>
      </c>
      <c r="BK2748" s="378" t="s">
        <v>2564</v>
      </c>
      <c r="BL2748" s="379">
        <f>IF((2*G2748)/60&lt;0.2,0.2,(2*G2748)/60)</f>
        <v>0.2</v>
      </c>
      <c r="BM2748" s="380">
        <f>MOD((50000+AD2748-$B$3+(0/24)),1)</f>
        <v>0.10271124533028342</v>
      </c>
      <c r="BN2748" s="381"/>
      <c r="BO2748" s="382">
        <v>2739</v>
      </c>
    </row>
    <row r="2749" spans="1:67" s="24" customFormat="1" ht="15" customHeight="1" x14ac:dyDescent="0.25">
      <c r="A2749" s="288" t="s">
        <v>2565</v>
      </c>
      <c r="B2749" s="241" t="str">
        <f>HYPERLINK(CONCATENATE($AT$3,BK2749,$AU$3),$AV$3)</f>
        <v>S</v>
      </c>
      <c r="C2749" s="242" t="str">
        <f>HYPERLINK(CONCATENATE($AT$4,BK2749,$AU$4,BL2749),$AV$4)</f>
        <v>A</v>
      </c>
      <c r="D2749" s="243" t="s">
        <v>5187</v>
      </c>
      <c r="E2749" s="244" t="s">
        <v>5183</v>
      </c>
      <c r="F2749" s="269" t="s">
        <v>5180</v>
      </c>
      <c r="G2749" s="273">
        <v>3</v>
      </c>
      <c r="H2749" s="283">
        <v>2000</v>
      </c>
      <c r="I2749" s="279">
        <v>1.8</v>
      </c>
      <c r="J2749" s="246">
        <v>1</v>
      </c>
      <c r="K2749" s="247" t="s">
        <v>6314</v>
      </c>
      <c r="L2749" s="248">
        <v>204300</v>
      </c>
      <c r="M2749" s="249">
        <f>15*(LEFT(TEXT($L2749,"000000"),2)+(MID(TEXT($L2749,"000000"),3,2)/60)+(RIGHT(TEXT($L2749,"000000"),2)/3600))</f>
        <v>310.75</v>
      </c>
      <c r="N2749" s="250">
        <v>631300</v>
      </c>
      <c r="O2749" s="251">
        <f>IF($N2749&gt;0,(LEFT(TEXT($N2749,"000000"),2)+(MID(TEXT($N2749,"000000"),3,2)/60)+(RIGHT(TEXT($N2749,"000000"),2)/3600)),-(MID(TEXT($N2749,"000000"),2,2)+(MID(TEXT($N2749,"000000"),4,2)/60)+(RIGHT(TEXT($N2749,"000000"),2)/3600)))</f>
        <v>63.216666666666669</v>
      </c>
      <c r="P2749" s="252" t="s">
        <v>52</v>
      </c>
      <c r="Q2749" s="253"/>
      <c r="R2749" s="277" t="s">
        <v>3293</v>
      </c>
      <c r="S2749" s="272" t="s">
        <v>3293</v>
      </c>
      <c r="T2749" s="273"/>
      <c r="U2749" s="274"/>
      <c r="V2749" s="280"/>
      <c r="W2749" s="244"/>
      <c r="X2749" s="244"/>
      <c r="Y2749" s="362"/>
      <c r="Z2749" s="257">
        <f>altaz(J2000_Bas,$O2749,$M2749,DecLat,DecLong,1)</f>
        <v>54.151208045516803</v>
      </c>
      <c r="AA2749" s="257">
        <f>altaz((J2000_Bas+(2*0.04167)),$O2749,$M2749,DecLat,DecLong,1)</f>
        <v>57.603808344215459</v>
      </c>
      <c r="AB2749" s="257">
        <f>altaz((J2000_Bas+(4*0.04167)),$O2749,$M2749,DecLat,DecLong,1)</f>
        <v>50.763844543126126</v>
      </c>
      <c r="AC2749" s="257">
        <f>altaz((J2000_Bas+(6*0.04167)),$O2749,$M2749,DecLat,DecLong,1)</f>
        <v>38.310447492483299</v>
      </c>
      <c r="AD2749" s="258">
        <f>1+ transit((J2000_Bas-1),$O2749,$M2749,DecLat,DecLong)/360 + (GMTOffset/24) + (IF(DST="Y", 1, 0)/24)</f>
        <v>1.8560943187547083</v>
      </c>
      <c r="AE2749" s="259">
        <f>DATE(2001,9,21)+(M2749/360)*365 - (360*((DecLong/360)- (GMTOffset/24) ))</f>
        <v>37475.065972222219</v>
      </c>
      <c r="AF2749" s="260">
        <f>IF(DecLat&gt;0,IF((90 - (DecLat-O2749))&gt;90, (90 - (O2749-DecLat)), (90 - (DecLat-O2749))),IF((90 + (DecLat-O2749))&gt;90, (90 + (O2749-DecLat)), (90 + (DecLat-O2749))))</f>
        <v>57.783333333333331</v>
      </c>
      <c r="AG2749" s="257">
        <f>angularseperation(MoonRA,MoonDec,$M2749,$O2749)</f>
        <v>102.41930292115755</v>
      </c>
      <c r="AH2749" s="261">
        <f ca="1">MIN(100,IF($O$5&gt;80,0+30*($AG2749/100),IF($O$5&gt;70,0+50*($AG2749/100),IF($O$5&gt;60,5+50*($AG2749/100),IF($O$5&gt;50,10+60*($AG2749/100),IF($O$5&gt;40,15+70*($AG2749/100),IF($O$5&gt;30,20+70*($AG2749/100),IF($O$5&gt;20,40+55*($AG2749/100),(80+(20-$O$5)+30*($AG2749/100))))))))))</f>
        <v>100</v>
      </c>
      <c r="AI2749" s="263"/>
      <c r="AJ2749" s="263"/>
      <c r="AK2749" s="263"/>
      <c r="AL2749" s="263"/>
      <c r="AM2749" s="264"/>
      <c r="AN2749" s="263"/>
      <c r="AO2749" s="263"/>
      <c r="AP2749" s="265"/>
      <c r="AQ2749" s="265"/>
      <c r="AR2749" s="285"/>
      <c r="AS2749" s="263"/>
      <c r="AT2749" s="263"/>
      <c r="AU2749" s="263"/>
      <c r="AV2749" s="264"/>
      <c r="AW2749" s="263"/>
      <c r="AX2749" s="263"/>
      <c r="AY2749" s="263"/>
      <c r="AZ2749" s="263"/>
      <c r="BA2749" s="263"/>
      <c r="BB2749" s="263">
        <v>130</v>
      </c>
      <c r="BC2749" s="263"/>
      <c r="BD2749" s="264"/>
      <c r="BE2749" s="263"/>
      <c r="BF2749" s="263"/>
      <c r="BG2749" s="263"/>
      <c r="BH2749" s="263"/>
      <c r="BI2749" s="263"/>
      <c r="BJ2749" s="404">
        <f>altaz(J2000_Bas,$O2749,$M2749,DecLat,DecLong,2)</f>
        <v>18.789923196753104</v>
      </c>
      <c r="BK2749" s="378" t="s">
        <v>2565</v>
      </c>
      <c r="BL2749" s="379">
        <f>IF((2*G2749)/60&lt;0.2,0.2,(2*G2749)/60)</f>
        <v>0.2</v>
      </c>
      <c r="BM2749" s="380">
        <f>MOD((50000+AD2749-$B$3+(0/24)),1)</f>
        <v>7.1461248458945192E-2</v>
      </c>
      <c r="BN2749" s="381"/>
      <c r="BO2749" s="382">
        <v>2740</v>
      </c>
    </row>
    <row r="2750" spans="1:67" s="24" customFormat="1" ht="15" customHeight="1" x14ac:dyDescent="0.25">
      <c r="A2750" s="288" t="s">
        <v>2566</v>
      </c>
      <c r="B2750" s="241" t="str">
        <f>HYPERLINK(CONCATENATE($AT$3,BK2750,$AU$3),$AV$3)</f>
        <v>S</v>
      </c>
      <c r="C2750" s="242" t="str">
        <f>HYPERLINK(CONCATENATE($AT$4,BK2750,$AU$4,BL2750),$AV$4)</f>
        <v>A</v>
      </c>
      <c r="D2750" s="243" t="s">
        <v>5187</v>
      </c>
      <c r="E2750" s="244" t="s">
        <v>5183</v>
      </c>
      <c r="F2750" s="353" t="s">
        <v>9179</v>
      </c>
      <c r="G2750" s="276">
        <v>60</v>
      </c>
      <c r="H2750" s="283">
        <v>12000</v>
      </c>
      <c r="I2750" s="246">
        <v>200</v>
      </c>
      <c r="J2750" s="246">
        <v>4</v>
      </c>
      <c r="K2750" s="247" t="s">
        <v>5159</v>
      </c>
      <c r="L2750" s="248">
        <v>221909</v>
      </c>
      <c r="M2750" s="249">
        <f>15*(LEFT(TEXT($L2750,"000000"),2)+(MID(TEXT($L2750,"000000"),3,2)/60)+(RIGHT(TEXT($L2750,"000000"),2)/3600))</f>
        <v>334.78750000000002</v>
      </c>
      <c r="N2750" s="250">
        <v>560445</v>
      </c>
      <c r="O2750" s="251">
        <f>IF($N2750&gt;0,(LEFT(TEXT($N2750,"000000"),2)+(MID(TEXT($N2750,"000000"),3,2)/60)+(RIGHT(TEXT($N2750,"000000"),2)/3600)),-(MID(TEXT($N2750,"000000"),2,2)+(MID(TEXT($N2750,"000000"),4,2)/60)+(RIGHT(TEXT($N2750,"000000"),2)/3600)))</f>
        <v>56.079166666666673</v>
      </c>
      <c r="P2750" s="252" t="s">
        <v>52</v>
      </c>
      <c r="Q2750" s="253" t="s">
        <v>7017</v>
      </c>
      <c r="R2750" s="247" t="s">
        <v>3293</v>
      </c>
      <c r="S2750" s="272" t="s">
        <v>3293</v>
      </c>
      <c r="T2750" s="273"/>
      <c r="U2750" s="274"/>
      <c r="V2750" s="280"/>
      <c r="W2750" s="244"/>
      <c r="X2750" s="244"/>
      <c r="Y2750" s="362"/>
      <c r="Z2750" s="257">
        <f>altaz(J2000_Bas,$O2750,$M2750,DecLat,DecLong,1)</f>
        <v>47.949576837115124</v>
      </c>
      <c r="AA2750" s="257">
        <f>altaz((J2000_Bas+(2*0.04167)),$O2750,$M2750,DecLat,DecLong,1)</f>
        <v>61.699194723801298</v>
      </c>
      <c r="AB2750" s="257">
        <f>altaz((J2000_Bas+(4*0.04167)),$O2750,$M2750,DecLat,DecLong,1)</f>
        <v>63.677444213968641</v>
      </c>
      <c r="AC2750" s="257">
        <f>altaz((J2000_Bas+(6*0.04167)),$O2750,$M2750,DecLat,DecLong,1)</f>
        <v>51.795780831475469</v>
      </c>
      <c r="AD2750" s="258">
        <f>1+ transit((J2000_Bas-1),$O2750,$M2750,DecLat,DecLong)/360 + (GMTOffset/24) + (IF(DST="Y", 1, 0)/24)</f>
        <v>1.922865145410958</v>
      </c>
      <c r="AE2750" s="259">
        <f>DATE(2001,9,21)+(M2750/360)*365 - (360*((DecLong/360)- (GMTOffset/24) ))</f>
        <v>37499.437326388892</v>
      </c>
      <c r="AF2750" s="260">
        <f>IF(DecLat&gt;0,IF((90 - (DecLat-O2750))&gt;90, (90 - (O2750-DecLat)), (90 - (DecLat-O2750))),IF((90 + (DecLat-O2750))&gt;90, (90 + (O2750-DecLat)), (90 + (DecLat-O2750))))</f>
        <v>64.92083333333332</v>
      </c>
      <c r="AG2750" s="257">
        <f>angularseperation(MoonRA,MoonDec,$M2750,$O2750)</f>
        <v>109.82948076356433</v>
      </c>
      <c r="AH2750" s="261">
        <f ca="1">MIN(100,IF($O$5&gt;80,0+30*($AG2750/100),IF($O$5&gt;70,0+50*($AG2750/100),IF($O$5&gt;60,5+50*($AG2750/100),IF($O$5&gt;50,10+60*($AG2750/100),IF($O$5&gt;40,15+70*($AG2750/100),IF($O$5&gt;30,20+70*($AG2750/100),IF($O$5&gt;20,40+55*($AG2750/100),(80+(20-$O$5)+30*($AG2750/100))))))))))</f>
        <v>100</v>
      </c>
      <c r="AI2750" s="262"/>
      <c r="AJ2750" s="262"/>
      <c r="AK2750" s="262"/>
      <c r="AL2750" s="263"/>
      <c r="AM2750" s="264"/>
      <c r="AN2750" s="263"/>
      <c r="AO2750" s="263"/>
      <c r="AP2750" s="265"/>
      <c r="AQ2750" s="266"/>
      <c r="AR2750" s="267"/>
      <c r="AS2750" s="263"/>
      <c r="AT2750" s="263"/>
      <c r="AU2750" s="263"/>
      <c r="AV2750" s="264"/>
      <c r="AW2750" s="263"/>
      <c r="AX2750" s="263"/>
      <c r="AY2750" s="263">
        <v>473</v>
      </c>
      <c r="AZ2750" s="263">
        <v>1150</v>
      </c>
      <c r="BA2750" s="263"/>
      <c r="BB2750" s="263">
        <v>132</v>
      </c>
      <c r="BC2750" s="263"/>
      <c r="BD2750" s="264"/>
      <c r="BE2750" s="263"/>
      <c r="BF2750" s="263"/>
      <c r="BG2750" s="263">
        <v>101</v>
      </c>
      <c r="BH2750" s="263"/>
      <c r="BI2750" s="263"/>
      <c r="BJ2750" s="404">
        <f>altaz(J2000_Bas,$O2750,$M2750,DecLat,DecLong,2)</f>
        <v>38.810570905900413</v>
      </c>
      <c r="BK2750" s="378" t="s">
        <v>2566</v>
      </c>
      <c r="BL2750" s="379">
        <f>IF((2*G2750)/60&lt;0.2,0.2,(2*G2750)/60)</f>
        <v>2</v>
      </c>
      <c r="BM2750" s="380">
        <f>MOD((50000+AD2750-$B$3+(0/24)),1)</f>
        <v>0.13823207511450164</v>
      </c>
      <c r="BN2750" s="381"/>
      <c r="BO2750" s="382">
        <v>2741</v>
      </c>
    </row>
    <row r="2751" spans="1:67" s="24" customFormat="1" ht="15" customHeight="1" x14ac:dyDescent="0.25">
      <c r="A2751" s="288" t="s">
        <v>2567</v>
      </c>
      <c r="B2751" s="241" t="str">
        <f>HYPERLINK(CONCATENATE($AT$3,BK2751,$AU$3),$AV$3)</f>
        <v>S</v>
      </c>
      <c r="C2751" s="242" t="str">
        <f>HYPERLINK(CONCATENATE($AT$4,BK2751,$AU$4,BL2751),$AV$4)</f>
        <v>A</v>
      </c>
      <c r="D2751" s="243" t="s">
        <v>5187</v>
      </c>
      <c r="E2751" s="244" t="s">
        <v>5183</v>
      </c>
      <c r="F2751" s="269" t="s">
        <v>5180</v>
      </c>
      <c r="G2751" s="276">
        <v>40</v>
      </c>
      <c r="H2751" s="283">
        <v>2600</v>
      </c>
      <c r="I2751" s="246">
        <v>32</v>
      </c>
      <c r="J2751" s="246">
        <v>1</v>
      </c>
      <c r="K2751" s="277" t="s">
        <v>6294</v>
      </c>
      <c r="L2751" s="248">
        <v>212700</v>
      </c>
      <c r="M2751" s="249">
        <f>15*(LEFT(TEXT($L2751,"000000"),2)+(MID(TEXT($L2751,"000000"),3,2)/60)+(RIGHT(TEXT($L2751,"000000"),2)/3600))</f>
        <v>321.75</v>
      </c>
      <c r="N2751" s="286">
        <v>640400</v>
      </c>
      <c r="O2751" s="251">
        <f>IF($N2751&gt;0,(LEFT(TEXT($N2751,"000000"),2)+(MID(TEXT($N2751,"000000"),3,2)/60)+(RIGHT(TEXT($N2751,"000000"),2)/3600)),-(MID(TEXT($N2751,"000000"),2,2)+(MID(TEXT($N2751,"000000"),4,2)/60)+(RIGHT(TEXT($N2751,"000000"),2)/3600)))</f>
        <v>64.066666666666663</v>
      </c>
      <c r="P2751" s="252" t="s">
        <v>52</v>
      </c>
      <c r="Q2751" s="253"/>
      <c r="R2751" s="277" t="s">
        <v>3293</v>
      </c>
      <c r="S2751" s="272" t="s">
        <v>3293</v>
      </c>
      <c r="T2751" s="273"/>
      <c r="U2751" s="274"/>
      <c r="V2751" s="280"/>
      <c r="W2751" s="244"/>
      <c r="X2751" s="244"/>
      <c r="Y2751" s="362"/>
      <c r="Z2751" s="257">
        <f>altaz(J2000_Bas,$O2751,$M2751,DecLat,DecLong,1)</f>
        <v>50.12212644219904</v>
      </c>
      <c r="AA2751" s="257">
        <f>altaz((J2000_Bas+(2*0.04167)),$O2751,$M2751,DecLat,DecLong,1)</f>
        <v>56.741717407831537</v>
      </c>
      <c r="AB2751" s="257">
        <f>altaz((J2000_Bas+(4*0.04167)),$O2751,$M2751,DecLat,DecLong,1)</f>
        <v>53.561646091756757</v>
      </c>
      <c r="AC2751" s="257">
        <f>altaz((J2000_Bas+(6*0.04167)),$O2751,$M2751,DecLat,DecLong,1)</f>
        <v>42.908141078496172</v>
      </c>
      <c r="AD2751" s="258">
        <f>1+ transit((J2000_Bas-1),$O2751,$M2751,DecLat,DecLong)/360 + (GMTOffset/24) + (IF(DST="Y", 1, 0)/24)</f>
        <v>1.886649871254708</v>
      </c>
      <c r="AE2751" s="259">
        <f>DATE(2001,9,21)+(M2751/360)*365 - (360*((DecLong/360)- (GMTOffset/24) ))</f>
        <v>37486.21875</v>
      </c>
      <c r="AF2751" s="260">
        <f>IF(DecLat&gt;0,IF((90 - (DecLat-O2751))&gt;90, (90 - (O2751-DecLat)), (90 - (DecLat-O2751))),IF((90 + (DecLat-O2751))&gt;90, (90 + (O2751-DecLat)), (90 + (DecLat-O2751))))</f>
        <v>56.933333333333337</v>
      </c>
      <c r="AG2751" s="257">
        <f>angularseperation(MoonRA,MoonDec,$M2751,$O2751)</f>
        <v>107.00278344977063</v>
      </c>
      <c r="AH2751" s="261">
        <f ca="1">MIN(100,IF($O$5&gt;80,0+30*($AG2751/100),IF($O$5&gt;70,0+50*($AG2751/100),IF($O$5&gt;60,5+50*($AG2751/100),IF($O$5&gt;50,10+60*($AG2751/100),IF($O$5&gt;40,15+70*($AG2751/100),IF($O$5&gt;30,20+70*($AG2751/100),IF($O$5&gt;20,40+55*($AG2751/100),(80+(20-$O$5)+30*($AG2751/100))))))))))</f>
        <v>100</v>
      </c>
      <c r="AI2751" s="263"/>
      <c r="AJ2751" s="263"/>
      <c r="AK2751" s="263"/>
      <c r="AL2751" s="263"/>
      <c r="AM2751" s="264"/>
      <c r="AN2751" s="263"/>
      <c r="AO2751" s="263"/>
      <c r="AP2751" s="265"/>
      <c r="AQ2751" s="265"/>
      <c r="AR2751" s="285"/>
      <c r="AS2751" s="263"/>
      <c r="AT2751" s="263"/>
      <c r="AU2751" s="263"/>
      <c r="AV2751" s="264"/>
      <c r="AW2751" s="263"/>
      <c r="AX2751" s="263"/>
      <c r="AY2751" s="263"/>
      <c r="AZ2751" s="263"/>
      <c r="BA2751" s="263"/>
      <c r="BB2751" s="263">
        <v>133</v>
      </c>
      <c r="BC2751" s="263"/>
      <c r="BD2751" s="264"/>
      <c r="BE2751" s="263"/>
      <c r="BF2751" s="263"/>
      <c r="BG2751" s="263"/>
      <c r="BH2751" s="263"/>
      <c r="BI2751" s="263"/>
      <c r="BJ2751" s="404">
        <f>altaz(J2000_Bas,$O2751,$M2751,DecLat,DecLong,2)</f>
        <v>23.483577027854054</v>
      </c>
      <c r="BK2751" s="378" t="s">
        <v>2567</v>
      </c>
      <c r="BL2751" s="379">
        <f>IF((2*G2751)/60&lt;0.2,0.2,(2*G2751)/60)</f>
        <v>1.3333333333333333</v>
      </c>
      <c r="BM2751" s="380">
        <f>MOD((50000+AD2751-$B$3+(0/24)),1)</f>
        <v>0.10201680095633492</v>
      </c>
      <c r="BN2751" s="381"/>
      <c r="BO2751" s="382">
        <v>2742</v>
      </c>
    </row>
    <row r="2752" spans="1:67" s="24" customFormat="1" ht="15" customHeight="1" x14ac:dyDescent="0.25">
      <c r="A2752" s="288" t="s">
        <v>2568</v>
      </c>
      <c r="B2752" s="241" t="str">
        <f>HYPERLINK(CONCATENATE($AT$3,BK2752,$AU$3),$AV$3)</f>
        <v>S</v>
      </c>
      <c r="C2752" s="242" t="str">
        <f>HYPERLINK(CONCATENATE($AT$4,BK2752,$AU$4,BL2752),$AV$4)</f>
        <v>A</v>
      </c>
      <c r="D2752" s="243" t="s">
        <v>5187</v>
      </c>
      <c r="E2752" s="244" t="s">
        <v>5183</v>
      </c>
      <c r="F2752" s="269" t="s">
        <v>5180</v>
      </c>
      <c r="G2752" s="276">
        <v>200</v>
      </c>
      <c r="H2752" s="283">
        <v>2800</v>
      </c>
      <c r="I2752" s="246">
        <v>160</v>
      </c>
      <c r="J2752" s="246">
        <v>2</v>
      </c>
      <c r="K2752" s="247" t="s">
        <v>9383</v>
      </c>
      <c r="L2752" s="248">
        <v>221800</v>
      </c>
      <c r="M2752" s="249">
        <f>15*(LEFT(TEXT($L2752,"000000"),2)+(MID(TEXT($L2752,"000000"),3,2)/60)+(RIGHT(TEXT($L2752,"000000"),2)/3600))</f>
        <v>334.5</v>
      </c>
      <c r="N2752" s="286">
        <v>585800</v>
      </c>
      <c r="O2752" s="251">
        <f>IF($N2752&gt;0,(LEFT(TEXT($N2752,"000000"),2)+(MID(TEXT($N2752,"000000"),3,2)/60)+(RIGHT(TEXT($N2752,"000000"),2)/3600)),-(MID(TEXT($N2752,"000000"),2,2)+(MID(TEXT($N2752,"000000"),4,2)/60)+(RIGHT(TEXT($N2752,"000000"),2)/3600)))</f>
        <v>58.966666666666669</v>
      </c>
      <c r="P2752" s="252" t="s">
        <v>52</v>
      </c>
      <c r="Q2752" s="253"/>
      <c r="R2752" s="277" t="s">
        <v>3293</v>
      </c>
      <c r="S2752" s="272" t="s">
        <v>3293</v>
      </c>
      <c r="T2752" s="273"/>
      <c r="U2752" s="274"/>
      <c r="V2752" s="280"/>
      <c r="W2752" s="244"/>
      <c r="X2752" s="244"/>
      <c r="Y2752" s="362"/>
      <c r="Z2752" s="257">
        <f>altaz(J2000_Bas,$O2752,$M2752,DecLat,DecLong,1)</f>
        <v>47.235200302737333</v>
      </c>
      <c r="AA2752" s="257">
        <f>altaz((J2000_Bas+(2*0.04167)),$O2752,$M2752,DecLat,DecLong,1)</f>
        <v>59.383745205968594</v>
      </c>
      <c r="AB2752" s="257">
        <f>altaz((J2000_Bas+(4*0.04167)),$O2752,$M2752,DecLat,DecLong,1)</f>
        <v>60.936668593466514</v>
      </c>
      <c r="AC2752" s="257">
        <f>altaz((J2000_Bas+(6*0.04167)),$O2752,$M2752,DecLat,DecLong,1)</f>
        <v>50.441153530844595</v>
      </c>
      <c r="AD2752" s="258">
        <f>1+ transit((J2000_Bas-1),$O2752,$M2752,DecLat,DecLong)/360 + (GMTOffset/24) + (IF(DST="Y", 1, 0)/24)</f>
        <v>1.9220665343797083</v>
      </c>
      <c r="AE2752" s="259">
        <f>DATE(2001,9,21)+(M2752/360)*365 - (360*((DecLong/360)- (GMTOffset/24) ))</f>
        <v>37499.145833333336</v>
      </c>
      <c r="AF2752" s="260">
        <f>IF(DecLat&gt;0,IF((90 - (DecLat-O2752))&gt;90, (90 - (O2752-DecLat)), (90 - (DecLat-O2752))),IF((90 + (DecLat-O2752))&gt;90, (90 + (O2752-DecLat)), (90 + (DecLat-O2752))))</f>
        <v>62.033333333333331</v>
      </c>
      <c r="AG2752" s="257">
        <f>angularseperation(MoonRA,MoonDec,$M2752,$O2752)</f>
        <v>110.62103251636802</v>
      </c>
      <c r="AH2752" s="261">
        <f ca="1">MIN(100,IF($O$5&gt;80,0+30*($AG2752/100),IF($O$5&gt;70,0+50*($AG2752/100),IF($O$5&gt;60,5+50*($AG2752/100),IF($O$5&gt;50,10+60*($AG2752/100),IF($O$5&gt;40,15+70*($AG2752/100),IF($O$5&gt;30,20+70*($AG2752/100),IF($O$5&gt;20,40+55*($AG2752/100),(80+(20-$O$5)+30*($AG2752/100))))))))))</f>
        <v>100</v>
      </c>
      <c r="AI2752" s="263"/>
      <c r="AJ2752" s="263"/>
      <c r="AK2752" s="263"/>
      <c r="AL2752" s="263"/>
      <c r="AM2752" s="264"/>
      <c r="AN2752" s="263"/>
      <c r="AO2752" s="263"/>
      <c r="AP2752" s="265"/>
      <c r="AQ2752" s="265"/>
      <c r="AR2752" s="285"/>
      <c r="AS2752" s="263"/>
      <c r="AT2752" s="263"/>
      <c r="AU2752" s="263"/>
      <c r="AV2752" s="264"/>
      <c r="AW2752" s="263"/>
      <c r="AX2752" s="263"/>
      <c r="AY2752" s="263"/>
      <c r="AZ2752" s="263"/>
      <c r="BA2752" s="263"/>
      <c r="BB2752" s="263">
        <v>134</v>
      </c>
      <c r="BC2752" s="263"/>
      <c r="BD2752" s="264"/>
      <c r="BE2752" s="263"/>
      <c r="BF2752" s="263"/>
      <c r="BG2752" s="263"/>
      <c r="BH2752" s="263"/>
      <c r="BI2752" s="263">
        <v>99</v>
      </c>
      <c r="BJ2752" s="404">
        <f>altaz(J2000_Bas,$O2752,$M2752,DecLat,DecLong,2)</f>
        <v>34.655173587140617</v>
      </c>
      <c r="BK2752" s="378" t="s">
        <v>2568</v>
      </c>
      <c r="BL2752" s="379">
        <f>IF((2*G2752)/60&lt;0.2,0.2,(2*G2752)/60)</f>
        <v>6.666666666666667</v>
      </c>
      <c r="BM2752" s="380">
        <f>MOD((50000+AD2752-$B$3+(0/24)),1)</f>
        <v>0.13743346408591606</v>
      </c>
      <c r="BN2752" s="381"/>
      <c r="BO2752" s="382">
        <v>2743</v>
      </c>
    </row>
    <row r="2753" spans="1:67" s="24" customFormat="1" ht="15" customHeight="1" x14ac:dyDescent="0.25">
      <c r="A2753" s="288" t="s">
        <v>2569</v>
      </c>
      <c r="B2753" s="241" t="str">
        <f>HYPERLINK(CONCATENATE($AT$3,BK2753,$AU$3),$AV$3)</f>
        <v>S</v>
      </c>
      <c r="C2753" s="242" t="str">
        <f>HYPERLINK(CONCATENATE($AT$4,BK2753,$AU$4,BL2753),$AV$4)</f>
        <v>A</v>
      </c>
      <c r="D2753" s="243" t="s">
        <v>5187</v>
      </c>
      <c r="E2753" s="244" t="s">
        <v>5183</v>
      </c>
      <c r="F2753" s="269" t="s">
        <v>5180</v>
      </c>
      <c r="G2753" s="276">
        <v>12</v>
      </c>
      <c r="H2753" s="283">
        <v>10000</v>
      </c>
      <c r="I2753" s="246">
        <v>34</v>
      </c>
      <c r="J2753" s="246">
        <v>2</v>
      </c>
      <c r="K2753" s="247" t="s">
        <v>5160</v>
      </c>
      <c r="L2753" s="248">
        <v>222212</v>
      </c>
      <c r="M2753" s="249">
        <f>15*(LEFT(TEXT($L2753,"000000"),2)+(MID(TEXT($L2753,"000000"),3,2)/60)+(RIGHT(TEXT($L2753,"000000"),2)/3600))</f>
        <v>335.55</v>
      </c>
      <c r="N2753" s="250">
        <v>584418</v>
      </c>
      <c r="O2753" s="251">
        <f>IF($N2753&gt;0,(LEFT(TEXT($N2753,"000000"),2)+(MID(TEXT($N2753,"000000"),3,2)/60)+(RIGHT(TEXT($N2753,"000000"),2)/3600)),-(MID(TEXT($N2753,"000000"),2,2)+(MID(TEXT($N2753,"000000"),4,2)/60)+(RIGHT(TEXT($N2753,"000000"),2)/3600)))</f>
        <v>58.738333333333337</v>
      </c>
      <c r="P2753" s="252" t="s">
        <v>52</v>
      </c>
      <c r="Q2753" s="253"/>
      <c r="R2753" s="247" t="s">
        <v>3293</v>
      </c>
      <c r="S2753" s="272" t="s">
        <v>5161</v>
      </c>
      <c r="T2753" s="273"/>
      <c r="U2753" s="274"/>
      <c r="V2753" s="280"/>
      <c r="W2753" s="244"/>
      <c r="X2753" s="244"/>
      <c r="Y2753" s="362"/>
      <c r="Z2753" s="257">
        <f>altaz(J2000_Bas,$O2753,$M2753,DecLat,DecLong,1)</f>
        <v>46.791620293708263</v>
      </c>
      <c r="AA2753" s="257">
        <f>altaz((J2000_Bas+(2*0.04167)),$O2753,$M2753,DecLat,DecLong,1)</f>
        <v>59.278899078446869</v>
      </c>
      <c r="AB2753" s="257">
        <f>altaz((J2000_Bas+(4*0.04167)),$O2753,$M2753,DecLat,DecLong,1)</f>
        <v>61.337538977441632</v>
      </c>
      <c r="AC2753" s="257">
        <f>altaz((J2000_Bas+(6*0.04167)),$O2753,$M2753,DecLat,DecLong,1)</f>
        <v>51.028866610256713</v>
      </c>
      <c r="AD2753" s="258">
        <f>1+ transit((J2000_Bas-1),$O2753,$M2753,DecLat,DecLong)/360 + (GMTOffset/24) + (IF(DST="Y", 1, 0)/24)</f>
        <v>1.9249832007547079</v>
      </c>
      <c r="AE2753" s="259">
        <f>DATE(2001,9,21)+(M2753/360)*365 - (360*((DecLong/360)- (GMTOffset/24) ))</f>
        <v>37500.210416666669</v>
      </c>
      <c r="AF2753" s="260">
        <f>IF(DecLat&gt;0,IF((90 - (DecLat-O2753))&gt;90, (90 - (O2753-DecLat)), (90 - (DecLat-O2753))),IF((90 + (DecLat-O2753))&gt;90, (90 + (O2753-DecLat)), (90 + (DecLat-O2753))))</f>
        <v>62.261666666666663</v>
      </c>
      <c r="AG2753" s="257">
        <f>angularseperation(MoonRA,MoonDec,$M2753,$O2753)</f>
        <v>111.06580679238138</v>
      </c>
      <c r="AH2753" s="261">
        <f ca="1">MIN(100,IF($O$5&gt;80,0+30*($AG2753/100),IF($O$5&gt;70,0+50*($AG2753/100),IF($O$5&gt;60,5+50*($AG2753/100),IF($O$5&gt;50,10+60*($AG2753/100),IF($O$5&gt;40,15+70*($AG2753/100),IF($O$5&gt;30,20+70*($AG2753/100),IF($O$5&gt;20,40+55*($AG2753/100),(80+(20-$O$5)+30*($AG2753/100))))))))))</f>
        <v>100</v>
      </c>
      <c r="AI2753" s="262"/>
      <c r="AJ2753" s="262"/>
      <c r="AK2753" s="262"/>
      <c r="AL2753" s="263"/>
      <c r="AM2753" s="264"/>
      <c r="AN2753" s="263"/>
      <c r="AO2753" s="263"/>
      <c r="AP2753" s="265"/>
      <c r="AQ2753" s="266"/>
      <c r="AR2753" s="267"/>
      <c r="AS2753" s="263"/>
      <c r="AT2753" s="263"/>
      <c r="AU2753" s="263"/>
      <c r="AV2753" s="264"/>
      <c r="AW2753" s="263"/>
      <c r="AX2753" s="263"/>
      <c r="AY2753" s="263">
        <v>492</v>
      </c>
      <c r="AZ2753" s="263"/>
      <c r="BA2753" s="263"/>
      <c r="BB2753" s="263">
        <v>135</v>
      </c>
      <c r="BC2753" s="263"/>
      <c r="BD2753" s="264"/>
      <c r="BE2753" s="263"/>
      <c r="BF2753" s="263"/>
      <c r="BG2753" s="263"/>
      <c r="BH2753" s="263"/>
      <c r="BI2753" s="263"/>
      <c r="BJ2753" s="404">
        <f>altaz(J2000_Bas,$O2753,$M2753,DecLat,DecLong,2)</f>
        <v>35.223829055353484</v>
      </c>
      <c r="BK2753" s="378" t="s">
        <v>2569</v>
      </c>
      <c r="BL2753" s="379">
        <f>IF((2*G2753)/60&lt;0.2,0.2,(2*G2753)/60)</f>
        <v>0.4</v>
      </c>
      <c r="BM2753" s="380">
        <f>MOD((50000+AD2753-$B$3+(0/24)),1)</f>
        <v>0.14035013045941014</v>
      </c>
      <c r="BN2753" s="381"/>
      <c r="BO2753" s="382">
        <v>2744</v>
      </c>
    </row>
    <row r="2754" spans="1:67" s="24" customFormat="1" ht="15" customHeight="1" x14ac:dyDescent="0.25">
      <c r="A2754" s="288" t="s">
        <v>2570</v>
      </c>
      <c r="B2754" s="241" t="str">
        <f>HYPERLINK(CONCATENATE($AT$3,BK2754,$AU$3),$AV$3)</f>
        <v>S</v>
      </c>
      <c r="C2754" s="242" t="str">
        <f>HYPERLINK(CONCATENATE($AT$4,BK2754,$AU$4,BL2754),$AV$4)</f>
        <v>A</v>
      </c>
      <c r="D2754" s="243" t="s">
        <v>5187</v>
      </c>
      <c r="E2754" s="244" t="s">
        <v>5183</v>
      </c>
      <c r="F2754" s="269" t="s">
        <v>5180</v>
      </c>
      <c r="G2754" s="276">
        <v>50</v>
      </c>
      <c r="H2754" s="283">
        <v>2300</v>
      </c>
      <c r="I2754" s="246">
        <v>34</v>
      </c>
      <c r="J2754" s="246">
        <v>1</v>
      </c>
      <c r="K2754" s="247" t="s">
        <v>6250</v>
      </c>
      <c r="L2754" s="248">
        <v>215800</v>
      </c>
      <c r="M2754" s="249">
        <f>15*(LEFT(TEXT($L2754,"000000"),2)+(MID(TEXT($L2754,"000000"),3,2)/60)+(RIGHT(TEXT($L2754,"000000"),2)/3600))</f>
        <v>329.5</v>
      </c>
      <c r="N2754" s="286">
        <v>644200</v>
      </c>
      <c r="O2754" s="251">
        <f>IF($N2754&gt;0,(LEFT(TEXT($N2754,"000000"),2)+(MID(TEXT($N2754,"000000"),3,2)/60)+(RIGHT(TEXT($N2754,"000000"),2)/3600)),-(MID(TEXT($N2754,"000000"),2,2)+(MID(TEXT($N2754,"000000"),4,2)/60)+(RIGHT(TEXT($N2754,"000000"),2)/3600)))</f>
        <v>64.7</v>
      </c>
      <c r="P2754" s="252" t="s">
        <v>52</v>
      </c>
      <c r="Q2754" s="253"/>
      <c r="R2754" s="277" t="s">
        <v>3293</v>
      </c>
      <c r="S2754" s="272" t="s">
        <v>3293</v>
      </c>
      <c r="T2754" s="273"/>
      <c r="U2754" s="274"/>
      <c r="V2754" s="280"/>
      <c r="W2754" s="244"/>
      <c r="X2754" s="244"/>
      <c r="Y2754" s="362"/>
      <c r="Z2754" s="257">
        <f>altaz(J2000_Bas,$O2754,$M2754,DecLat,DecLong,1)</f>
        <v>47.000999218436284</v>
      </c>
      <c r="AA2754" s="257">
        <f>altaz((J2000_Bas+(2*0.04167)),$O2754,$M2754,DecLat,DecLong,1)</f>
        <v>55.281726860981493</v>
      </c>
      <c r="AB2754" s="257">
        <f>altaz((J2000_Bas+(4*0.04167)),$O2754,$M2754,DecLat,DecLong,1)</f>
        <v>54.741477752753681</v>
      </c>
      <c r="AC2754" s="257">
        <f>altaz((J2000_Bas+(6*0.04167)),$O2754,$M2754,DecLat,DecLong,1)</f>
        <v>45.774650965131151</v>
      </c>
      <c r="AD2754" s="258">
        <f>1+ transit((J2000_Bas-1),$O2754,$M2754,DecLat,DecLong)/360 + (GMTOffset/24) + (IF(DST="Y", 1, 0)/24)</f>
        <v>1.908177646879708</v>
      </c>
      <c r="AE2754" s="259">
        <f>DATE(2001,9,21)+(M2754/360)*365 - (360*((DecLong/360)- (GMTOffset/24) ))</f>
        <v>37494.076388888891</v>
      </c>
      <c r="AF2754" s="260">
        <f>IF(DecLat&gt;0,IF((90 - (DecLat-O2754))&gt;90, (90 - (O2754-DecLat)), (90 - (DecLat-O2754))),IF((90 + (DecLat-O2754))&gt;90, (90 + (O2754-DecLat)), (90 + (DecLat-O2754))))</f>
        <v>56.3</v>
      </c>
      <c r="AG2754" s="257">
        <f>angularseperation(MoonRA,MoonDec,$M2754,$O2754)</f>
        <v>110.31879521733083</v>
      </c>
      <c r="AH2754" s="261">
        <f ca="1">MIN(100,IF($O$5&gt;80,0+30*($AG2754/100),IF($O$5&gt;70,0+50*($AG2754/100),IF($O$5&gt;60,5+50*($AG2754/100),IF($O$5&gt;50,10+60*($AG2754/100),IF($O$5&gt;40,15+70*($AG2754/100),IF($O$5&gt;30,20+70*($AG2754/100),IF($O$5&gt;20,40+55*($AG2754/100),(80+(20-$O$5)+30*($AG2754/100))))))))))</f>
        <v>100</v>
      </c>
      <c r="AI2754" s="263"/>
      <c r="AJ2754" s="263"/>
      <c r="AK2754" s="263"/>
      <c r="AL2754" s="263"/>
      <c r="AM2754" s="264"/>
      <c r="AN2754" s="263"/>
      <c r="AO2754" s="263"/>
      <c r="AP2754" s="265"/>
      <c r="AQ2754" s="265"/>
      <c r="AR2754" s="285"/>
      <c r="AS2754" s="263"/>
      <c r="AT2754" s="263"/>
      <c r="AU2754" s="263"/>
      <c r="AV2754" s="264"/>
      <c r="AW2754" s="263"/>
      <c r="AX2754" s="263"/>
      <c r="AY2754" s="263">
        <v>498</v>
      </c>
      <c r="AZ2754" s="263"/>
      <c r="BA2754" s="263"/>
      <c r="BB2754" s="263">
        <v>137</v>
      </c>
      <c r="BC2754" s="263"/>
      <c r="BD2754" s="264"/>
      <c r="BE2754" s="263"/>
      <c r="BF2754" s="263"/>
      <c r="BG2754" s="263"/>
      <c r="BH2754" s="263"/>
      <c r="BI2754" s="263"/>
      <c r="BJ2754" s="404">
        <f>altaz(J2000_Bas,$O2754,$M2754,DecLat,DecLong,2)</f>
        <v>25.551871663265022</v>
      </c>
      <c r="BK2754" s="378" t="s">
        <v>2570</v>
      </c>
      <c r="BL2754" s="379">
        <f>IF((2*G2754)/60&lt;0.2,0.2,(2*G2754)/60)</f>
        <v>1.6666666666666667</v>
      </c>
      <c r="BM2754" s="380">
        <f>MOD((50000+AD2754-$B$3+(0/24)),1)</f>
        <v>0.12354457658511819</v>
      </c>
      <c r="BN2754" s="381"/>
      <c r="BO2754" s="382">
        <v>2745</v>
      </c>
    </row>
    <row r="2755" spans="1:67" s="24" customFormat="1" ht="15" customHeight="1" x14ac:dyDescent="0.25">
      <c r="A2755" s="288" t="s">
        <v>2571</v>
      </c>
      <c r="B2755" s="241" t="str">
        <f>HYPERLINK(CONCATENATE($AT$3,BK2755,$AU$3),$AV$3)</f>
        <v>S</v>
      </c>
      <c r="C2755" s="242" t="str">
        <f>HYPERLINK(CONCATENATE($AT$4,BK2755,$AU$4,BL2755),$AV$4)</f>
        <v>A</v>
      </c>
      <c r="D2755" s="243" t="s">
        <v>5187</v>
      </c>
      <c r="E2755" s="244" t="s">
        <v>5183</v>
      </c>
      <c r="F2755" s="269" t="s">
        <v>5180</v>
      </c>
      <c r="G2755" s="273">
        <v>1</v>
      </c>
      <c r="H2755" s="283">
        <v>10000</v>
      </c>
      <c r="I2755" s="279">
        <v>3</v>
      </c>
      <c r="J2755" s="246">
        <v>2</v>
      </c>
      <c r="K2755" s="247" t="s">
        <v>5162</v>
      </c>
      <c r="L2755" s="248">
        <v>223246</v>
      </c>
      <c r="M2755" s="249">
        <f>15*(LEFT(TEXT($L2755,"000000"),2)+(MID(TEXT($L2755,"000000"),3,2)/60)+(RIGHT(TEXT($L2755,"000000"),2)/3600))</f>
        <v>338.19166666666672</v>
      </c>
      <c r="N2755" s="250">
        <v>582820</v>
      </c>
      <c r="O2755" s="251">
        <f>IF($N2755&gt;0,(LEFT(TEXT($N2755,"000000"),2)+(MID(TEXT($N2755,"000000"),3,2)/60)+(RIGHT(TEXT($N2755,"000000"),2)/3600)),-(MID(TEXT($N2755,"000000"),2,2)+(MID(TEXT($N2755,"000000"),4,2)/60)+(RIGHT(TEXT($N2755,"000000"),2)/3600)))</f>
        <v>58.472222222222221</v>
      </c>
      <c r="P2755" s="252" t="s">
        <v>52</v>
      </c>
      <c r="Q2755" s="253"/>
      <c r="R2755" s="247" t="s">
        <v>3293</v>
      </c>
      <c r="S2755" s="272" t="s">
        <v>3293</v>
      </c>
      <c r="T2755" s="273"/>
      <c r="U2755" s="274"/>
      <c r="V2755" s="280"/>
      <c r="W2755" s="244"/>
      <c r="X2755" s="244"/>
      <c r="Y2755" s="362"/>
      <c r="Z2755" s="257">
        <f>altaz(J2000_Bas,$O2755,$M2755,DecLat,DecLong,1)</f>
        <v>45.544809147962262</v>
      </c>
      <c r="AA2755" s="257">
        <f>altaz((J2000_Bas+(2*0.04167)),$O2755,$M2755,DecLat,DecLong,1)</f>
        <v>58.68136362443731</v>
      </c>
      <c r="AB2755" s="257">
        <f>altaz((J2000_Bas+(4*0.04167)),$O2755,$M2755,DecLat,DecLong,1)</f>
        <v>61.993485891587547</v>
      </c>
      <c r="AC2755" s="257">
        <f>altaz((J2000_Bas+(6*0.04167)),$O2755,$M2755,DecLat,DecLong,1)</f>
        <v>52.363878386295369</v>
      </c>
      <c r="AD2755" s="258">
        <f>1+ transit((J2000_Bas-1),$O2755,$M2755,DecLat,DecLong)/360 + (GMTOffset/24) + (IF(DST="Y", 1, 0)/24)</f>
        <v>1.932321162983875</v>
      </c>
      <c r="AE2755" s="259">
        <f>DATE(2001,9,21)+(M2755/360)*365 - (360*((DecLong/360)- (GMTOffset/24) ))</f>
        <v>37502.888773148152</v>
      </c>
      <c r="AF2755" s="260">
        <f>IF(DecLat&gt;0,IF((90 - (DecLat-O2755))&gt;90, (90 - (O2755-DecLat)), (90 - (DecLat-O2755))),IF((90 + (DecLat-O2755))&gt;90, (90 + (O2755-DecLat)), (90 + (DecLat-O2755))))</f>
        <v>62.527777777777779</v>
      </c>
      <c r="AG2755" s="257">
        <f>angularseperation(MoonRA,MoonDec,$M2755,$O2755)</f>
        <v>112.30619834506338</v>
      </c>
      <c r="AH2755" s="261">
        <f ca="1">MIN(100,IF($O$5&gt;80,0+30*($AG2755/100),IF($O$5&gt;70,0+50*($AG2755/100),IF($O$5&gt;60,5+50*($AG2755/100),IF($O$5&gt;50,10+60*($AG2755/100),IF($O$5&gt;40,15+70*($AG2755/100),IF($O$5&gt;30,20+70*($AG2755/100),IF($O$5&gt;20,40+55*($AG2755/100),(80+(20-$O$5)+30*($AG2755/100))))))))))</f>
        <v>100</v>
      </c>
      <c r="AI2755" s="262"/>
      <c r="AJ2755" s="262"/>
      <c r="AK2755" s="262"/>
      <c r="AL2755" s="263"/>
      <c r="AM2755" s="264"/>
      <c r="AN2755" s="263"/>
      <c r="AO2755" s="263"/>
      <c r="AP2755" s="265"/>
      <c r="AQ2755" s="266"/>
      <c r="AR2755" s="267"/>
      <c r="AS2755" s="263"/>
      <c r="AT2755" s="263"/>
      <c r="AU2755" s="263"/>
      <c r="AV2755" s="264"/>
      <c r="AW2755" s="263"/>
      <c r="AX2755" s="263"/>
      <c r="AY2755" s="263"/>
      <c r="AZ2755" s="263"/>
      <c r="BA2755" s="263"/>
      <c r="BB2755" s="263">
        <v>138</v>
      </c>
      <c r="BC2755" s="263"/>
      <c r="BD2755" s="264"/>
      <c r="BE2755" s="263"/>
      <c r="BF2755" s="263"/>
      <c r="BG2755" s="263"/>
      <c r="BH2755" s="263"/>
      <c r="BI2755" s="263"/>
      <c r="BJ2755" s="404">
        <f>altaz(J2000_Bas,$O2755,$M2755,DecLat,DecLong,2)</f>
        <v>36.148182375383961</v>
      </c>
      <c r="BK2755" s="378" t="s">
        <v>2571</v>
      </c>
      <c r="BL2755" s="379">
        <f>IF((2*G2755)/60&lt;0.2,0.2,(2*G2755)/60)</f>
        <v>0.2</v>
      </c>
      <c r="BM2755" s="380">
        <f>MOD((50000+AD2755-$B$3+(0/24)),1)</f>
        <v>0.14768809268571204</v>
      </c>
      <c r="BN2755" s="381"/>
      <c r="BO2755" s="382">
        <v>2746</v>
      </c>
    </row>
    <row r="2756" spans="1:67" s="24" customFormat="1" ht="15" customHeight="1" x14ac:dyDescent="0.25">
      <c r="A2756" s="288" t="s">
        <v>2572</v>
      </c>
      <c r="B2756" s="241" t="str">
        <f>HYPERLINK(CONCATENATE($AT$3,BK2756,$AU$3),$AV$3)</f>
        <v>S</v>
      </c>
      <c r="C2756" s="242" t="str">
        <f>HYPERLINK(CONCATENATE($AT$4,BK2756,$AU$4,BL2756),$AV$4)</f>
        <v>A</v>
      </c>
      <c r="D2756" s="243" t="s">
        <v>5187</v>
      </c>
      <c r="E2756" s="244" t="s">
        <v>5183</v>
      </c>
      <c r="F2756" s="269" t="s">
        <v>5180</v>
      </c>
      <c r="G2756" s="276">
        <v>11</v>
      </c>
      <c r="H2756" s="283">
        <v>9500</v>
      </c>
      <c r="I2756" s="246">
        <v>30</v>
      </c>
      <c r="J2756" s="246">
        <v>2</v>
      </c>
      <c r="K2756" s="247" t="s">
        <v>6315</v>
      </c>
      <c r="L2756" s="248">
        <v>223400</v>
      </c>
      <c r="M2756" s="249">
        <f>15*(LEFT(TEXT($L2756,"000000"),2)+(MID(TEXT($L2756,"000000"),3,2)/60)+(RIGHT(TEXT($L2756,"000000"),2)/3600))</f>
        <v>338.5</v>
      </c>
      <c r="N2756" s="286">
        <v>581300</v>
      </c>
      <c r="O2756" s="251">
        <f>IF($N2756&gt;0,(LEFT(TEXT($N2756,"000000"),2)+(MID(TEXT($N2756,"000000"),3,2)/60)+(RIGHT(TEXT($N2756,"000000"),2)/3600)),-(MID(TEXT($N2756,"000000"),2,2)+(MID(TEXT($N2756,"000000"),4,2)/60)+(RIGHT(TEXT($N2756,"000000"),2)/3600)))</f>
        <v>58.216666666666669</v>
      </c>
      <c r="P2756" s="252" t="s">
        <v>52</v>
      </c>
      <c r="Q2756" s="253"/>
      <c r="R2756" s="277" t="s">
        <v>3293</v>
      </c>
      <c r="S2756" s="272" t="s">
        <v>3293</v>
      </c>
      <c r="T2756" s="273"/>
      <c r="U2756" s="274"/>
      <c r="V2756" s="280"/>
      <c r="W2756" s="244"/>
      <c r="X2756" s="244"/>
      <c r="Y2756" s="362"/>
      <c r="Z2756" s="257">
        <f>altaz(J2000_Bas,$O2756,$M2756,DecLat,DecLong,1)</f>
        <v>45.452117219668764</v>
      </c>
      <c r="AA2756" s="257">
        <f>altaz((J2000_Bas+(2*0.04167)),$O2756,$M2756,DecLat,DecLong,1)</f>
        <v>58.779524575479002</v>
      </c>
      <c r="AB2756" s="257">
        <f>altaz((J2000_Bas+(4*0.04167)),$O2756,$M2756,DecLat,DecLong,1)</f>
        <v>62.281353427145469</v>
      </c>
      <c r="AC2756" s="257">
        <f>altaz((J2000_Bas+(6*0.04167)),$O2756,$M2756,DecLat,DecLong,1)</f>
        <v>52.632051195545777</v>
      </c>
      <c r="AD2756" s="258">
        <f>1+ transit((J2000_Bas-1),$O2756,$M2756,DecLat,DecLong)/360 + (GMTOffset/24) + (IF(DST="Y", 1, 0)/24)</f>
        <v>1.9331776443797082</v>
      </c>
      <c r="AE2756" s="259">
        <f>DATE(2001,9,21)+(M2756/360)*365 - (360*((DecLong/360)- (GMTOffset/24) ))</f>
        <v>37503.201388888891</v>
      </c>
      <c r="AF2756" s="260">
        <f>IF(DecLat&gt;0,IF((90 - (DecLat-O2756))&gt;90, (90 - (O2756-DecLat)), (90 - (DecLat-O2756))),IF((90 + (DecLat-O2756))&gt;90, (90 + (O2756-DecLat)), (90 + (DecLat-O2756))))</f>
        <v>62.783333333333331</v>
      </c>
      <c r="AG2756" s="257">
        <f>angularseperation(MoonRA,MoonDec,$M2756,$O2756)</f>
        <v>112.39265377369703</v>
      </c>
      <c r="AH2756" s="261">
        <f ca="1">MIN(100,IF($O$5&gt;80,0+30*($AG2756/100),IF($O$5&gt;70,0+50*($AG2756/100),IF($O$5&gt;60,5+50*($AG2756/100),IF($O$5&gt;50,10+60*($AG2756/100),IF($O$5&gt;40,15+70*($AG2756/100),IF($O$5&gt;30,20+70*($AG2756/100),IF($O$5&gt;20,40+55*($AG2756/100),(80+(20-$O$5)+30*($AG2756/100))))))))))</f>
        <v>100</v>
      </c>
      <c r="AI2756" s="263"/>
      <c r="AJ2756" s="263"/>
      <c r="AK2756" s="263"/>
      <c r="AL2756" s="263"/>
      <c r="AM2756" s="264"/>
      <c r="AN2756" s="263"/>
      <c r="AO2756" s="263"/>
      <c r="AP2756" s="265"/>
      <c r="AQ2756" s="265"/>
      <c r="AR2756" s="285"/>
      <c r="AS2756" s="263"/>
      <c r="AT2756" s="263"/>
      <c r="AU2756" s="263"/>
      <c r="AV2756" s="264"/>
      <c r="AW2756" s="263"/>
      <c r="AX2756" s="263"/>
      <c r="AY2756" s="263">
        <v>502</v>
      </c>
      <c r="AZ2756" s="263"/>
      <c r="BA2756" s="263"/>
      <c r="BB2756" s="263">
        <v>139</v>
      </c>
      <c r="BC2756" s="263"/>
      <c r="BD2756" s="264"/>
      <c r="BE2756" s="263"/>
      <c r="BF2756" s="263"/>
      <c r="BG2756" s="263"/>
      <c r="BH2756" s="263"/>
      <c r="BI2756" s="263"/>
      <c r="BJ2756" s="404">
        <f>altaz(J2000_Bas,$O2756,$M2756,DecLat,DecLong,2)</f>
        <v>36.558960411707552</v>
      </c>
      <c r="BK2756" s="378" t="s">
        <v>2572</v>
      </c>
      <c r="BL2756" s="379">
        <f>IF((2*G2756)/60&lt;0.2,0.2,(2*G2756)/60)</f>
        <v>0.36666666666666664</v>
      </c>
      <c r="BM2756" s="380">
        <f>MOD((50000+AD2756-$B$3+(0/24)),1)</f>
        <v>0.14854457408364397</v>
      </c>
      <c r="BN2756" s="381"/>
      <c r="BO2756" s="382">
        <v>2747</v>
      </c>
    </row>
    <row r="2757" spans="1:67" s="24" customFormat="1" ht="15" customHeight="1" x14ac:dyDescent="0.25">
      <c r="A2757" s="288" t="s">
        <v>2573</v>
      </c>
      <c r="B2757" s="241" t="str">
        <f>HYPERLINK(CONCATENATE($AT$3,BK2757,$AU$3),$AV$3)</f>
        <v>S</v>
      </c>
      <c r="C2757" s="242" t="str">
        <f>HYPERLINK(CONCATENATE($AT$4,BK2757,$AU$4,BL2757),$AV$4)</f>
        <v>A</v>
      </c>
      <c r="D2757" s="243" t="s">
        <v>5187</v>
      </c>
      <c r="E2757" s="244" t="s">
        <v>5183</v>
      </c>
      <c r="F2757" s="269" t="s">
        <v>5180</v>
      </c>
      <c r="G2757" s="273">
        <v>9</v>
      </c>
      <c r="H2757" s="283">
        <v>3000</v>
      </c>
      <c r="I2757" s="279">
        <v>8</v>
      </c>
      <c r="J2757" s="246">
        <v>3</v>
      </c>
      <c r="K2757" s="247" t="s">
        <v>5163</v>
      </c>
      <c r="L2757" s="248">
        <v>221908</v>
      </c>
      <c r="M2757" s="249">
        <f>15*(LEFT(TEXT($L2757,"000000"),2)+(MID(TEXT($L2757,"000000"),3,2)/60)+(RIGHT(TEXT($L2757,"000000"),2)/3600))</f>
        <v>334.78333333333336</v>
      </c>
      <c r="N2757" s="250">
        <v>631707</v>
      </c>
      <c r="O2757" s="251">
        <f>IF($N2757&gt;0,(LEFT(TEXT($N2757,"000000"),2)+(MID(TEXT($N2757,"000000"),3,2)/60)+(RIGHT(TEXT($N2757,"000000"),2)/3600)),-(MID(TEXT($N2757,"000000"),2,2)+(MID(TEXT($N2757,"000000"),4,2)/60)+(RIGHT(TEXT($N2757,"000000"),2)/3600)))</f>
        <v>63.285277777777779</v>
      </c>
      <c r="P2757" s="252" t="s">
        <v>52</v>
      </c>
      <c r="Q2757" s="253"/>
      <c r="R2757" s="247" t="s">
        <v>3293</v>
      </c>
      <c r="S2757" s="272" t="s">
        <v>3293</v>
      </c>
      <c r="T2757" s="273"/>
      <c r="U2757" s="274"/>
      <c r="V2757" s="280"/>
      <c r="W2757" s="244"/>
      <c r="X2757" s="244"/>
      <c r="Y2757" s="362"/>
      <c r="Z2757" s="257">
        <f>altaz(J2000_Bas,$O2757,$M2757,DecLat,DecLong,1)</f>
        <v>45.559398664777454</v>
      </c>
      <c r="AA2757" s="257">
        <f>altaz((J2000_Bas+(2*0.04167)),$O2757,$M2757,DecLat,DecLong,1)</f>
        <v>55.595130503983221</v>
      </c>
      <c r="AB2757" s="257">
        <f>altaz((J2000_Bas+(4*0.04167)),$O2757,$M2757,DecLat,DecLong,1)</f>
        <v>56.909817007283792</v>
      </c>
      <c r="AC2757" s="257">
        <f>altaz((J2000_Bas+(6*0.04167)),$O2757,$M2757,DecLat,DecLong,1)</f>
        <v>48.485046072306694</v>
      </c>
      <c r="AD2757" s="258">
        <f>1+ transit((J2000_Bas-1),$O2757,$M2757,DecLat,DecLong)/360 + (GMTOffset/24) + (IF(DST="Y", 1, 0)/24)</f>
        <v>1.9228535713380415</v>
      </c>
      <c r="AE2757" s="259">
        <f>DATE(2001,9,21)+(M2757/360)*365 - (360*((DecLong/360)- (GMTOffset/24) ))</f>
        <v>37499.43310185185</v>
      </c>
      <c r="AF2757" s="260">
        <f>IF(DecLat&gt;0,IF((90 - (DecLat-O2757))&gt;90, (90 - (O2757-DecLat)), (90 - (DecLat-O2757))),IF((90 + (DecLat-O2757))&gt;90, (90 + (O2757-DecLat)), (90 + (DecLat-O2757))))</f>
        <v>57.714722222222221</v>
      </c>
      <c r="AG2757" s="257">
        <f>angularseperation(MoonRA,MoonDec,$M2757,$O2757)</f>
        <v>112.06032315988389</v>
      </c>
      <c r="AH2757" s="261">
        <f ca="1">MIN(100,IF($O$5&gt;80,0+30*($AG2757/100),IF($O$5&gt;70,0+50*($AG2757/100),IF($O$5&gt;60,5+50*($AG2757/100),IF($O$5&gt;50,10+60*($AG2757/100),IF($O$5&gt;40,15+70*($AG2757/100),IF($O$5&gt;30,20+70*($AG2757/100),IF($O$5&gt;20,40+55*($AG2757/100),(80+(20-$O$5)+30*($AG2757/100))))))))))</f>
        <v>100</v>
      </c>
      <c r="AI2757" s="262"/>
      <c r="AJ2757" s="262"/>
      <c r="AK2757" s="262"/>
      <c r="AL2757" s="263"/>
      <c r="AM2757" s="264"/>
      <c r="AN2757" s="263"/>
      <c r="AO2757" s="263"/>
      <c r="AP2757" s="265"/>
      <c r="AQ2757" s="266"/>
      <c r="AR2757" s="267"/>
      <c r="AS2757" s="263"/>
      <c r="AT2757" s="263"/>
      <c r="AU2757" s="263"/>
      <c r="AV2757" s="264"/>
      <c r="AW2757" s="263"/>
      <c r="AX2757" s="263"/>
      <c r="AY2757" s="263">
        <v>505</v>
      </c>
      <c r="AZ2757" s="263"/>
      <c r="BA2757" s="263"/>
      <c r="BB2757" s="263">
        <v>140</v>
      </c>
      <c r="BC2757" s="263"/>
      <c r="BD2757" s="264"/>
      <c r="BE2757" s="263"/>
      <c r="BF2757" s="263"/>
      <c r="BG2757" s="263"/>
      <c r="BH2757" s="263"/>
      <c r="BI2757" s="263"/>
      <c r="BJ2757" s="404">
        <f>altaz(J2000_Bas,$O2757,$M2757,DecLat,DecLong,2)</f>
        <v>28.878291073072578</v>
      </c>
      <c r="BK2757" s="378" t="s">
        <v>2573</v>
      </c>
      <c r="BL2757" s="379">
        <f>IF((2*G2757)/60&lt;0.2,0.2,(2*G2757)/60)</f>
        <v>0.3</v>
      </c>
      <c r="BM2757" s="380">
        <f>MOD((50000+AD2757-$B$3+(0/24)),1)</f>
        <v>0.13822050104499795</v>
      </c>
      <c r="BN2757" s="381"/>
      <c r="BO2757" s="382">
        <v>2748</v>
      </c>
    </row>
    <row r="2758" spans="1:67" s="24" customFormat="1" ht="15" customHeight="1" x14ac:dyDescent="0.25">
      <c r="A2758" s="288" t="s">
        <v>2574</v>
      </c>
      <c r="B2758" s="241" t="str">
        <f>HYPERLINK(CONCATENATE($AT$3,BK2758,$AU$3),$AV$3)</f>
        <v>S</v>
      </c>
      <c r="C2758" s="242" t="str">
        <f>HYPERLINK(CONCATENATE($AT$4,BK2758,$AU$4,BL2758),$AV$4)</f>
        <v>A</v>
      </c>
      <c r="D2758" s="243" t="s">
        <v>5187</v>
      </c>
      <c r="E2758" s="244" t="s">
        <v>5183</v>
      </c>
      <c r="F2758" s="269" t="s">
        <v>5180</v>
      </c>
      <c r="G2758" s="273">
        <v>5</v>
      </c>
      <c r="H2758" s="283">
        <v>27000</v>
      </c>
      <c r="I2758" s="246">
        <v>40</v>
      </c>
      <c r="J2758" s="246">
        <v>1</v>
      </c>
      <c r="K2758" s="247" t="s">
        <v>6316</v>
      </c>
      <c r="L2758" s="248">
        <v>222800</v>
      </c>
      <c r="M2758" s="249">
        <f>15*(LEFT(TEXT($L2758,"000000"),2)+(MID(TEXT($L2758,"000000"),3,2)/60)+(RIGHT(TEXT($L2758,"000000"),2)/3600))</f>
        <v>337</v>
      </c>
      <c r="N2758" s="286">
        <v>613700</v>
      </c>
      <c r="O2758" s="251">
        <f>IF($N2758&gt;0,(LEFT(TEXT($N2758,"000000"),2)+(MID(TEXT($N2758,"000000"),3,2)/60)+(RIGHT(TEXT($N2758,"000000"),2)/3600)),-(MID(TEXT($N2758,"000000"),2,2)+(MID(TEXT($N2758,"000000"),4,2)/60)+(RIGHT(TEXT($N2758,"000000"),2)/3600)))</f>
        <v>61.616666666666667</v>
      </c>
      <c r="P2758" s="252" t="s">
        <v>52</v>
      </c>
      <c r="Q2758" s="253"/>
      <c r="R2758" s="277" t="s">
        <v>3293</v>
      </c>
      <c r="S2758" s="272" t="s">
        <v>3293</v>
      </c>
      <c r="T2758" s="273"/>
      <c r="U2758" s="274"/>
      <c r="V2758" s="280"/>
      <c r="W2758" s="244"/>
      <c r="X2758" s="244"/>
      <c r="Y2758" s="362"/>
      <c r="Z2758" s="257">
        <f>altaz(J2000_Bas,$O2758,$M2758,DecLat,DecLong,1)</f>
        <v>45.199741007033388</v>
      </c>
      <c r="AA2758" s="257">
        <f>altaz((J2000_Bas+(2*0.04167)),$O2758,$M2758,DecLat,DecLong,1)</f>
        <v>56.486073831381724</v>
      </c>
      <c r="AB2758" s="257">
        <f>altaz((J2000_Bas+(4*0.04167)),$O2758,$M2758,DecLat,DecLong,1)</f>
        <v>58.802232076587295</v>
      </c>
      <c r="AC2758" s="257">
        <f>altaz((J2000_Bas+(6*0.04167)),$O2758,$M2758,DecLat,DecLong,1)</f>
        <v>50.231693441008638</v>
      </c>
      <c r="AD2758" s="258">
        <f>1+ transit((J2000_Bas-1),$O2758,$M2758,DecLat,DecLong)/360 + (GMTOffset/24) + (IF(DST="Y", 1, 0)/24)</f>
        <v>1.929010978129708</v>
      </c>
      <c r="AE2758" s="259">
        <f>DATE(2001,9,21)+(M2758/360)*365 - (360*((DecLong/360)- (GMTOffset/24) ))</f>
        <v>37501.680555555555</v>
      </c>
      <c r="AF2758" s="260">
        <f>IF(DecLat&gt;0,IF((90 - (DecLat-O2758))&gt;90, (90 - (O2758-DecLat)), (90 - (DecLat-O2758))),IF((90 + (DecLat-O2758))&gt;90, (90 + (O2758-DecLat)), (90 + (DecLat-O2758))))</f>
        <v>59.383333333333333</v>
      </c>
      <c r="AG2758" s="257">
        <f>angularseperation(MoonRA,MoonDec,$M2758,$O2758)</f>
        <v>112.58219394539573</v>
      </c>
      <c r="AH2758" s="261">
        <f ca="1">MIN(100,IF($O$5&gt;80,0+30*($AG2758/100),IF($O$5&gt;70,0+50*($AG2758/100),IF($O$5&gt;60,5+50*($AG2758/100),IF($O$5&gt;50,10+60*($AG2758/100),IF($O$5&gt;40,15+70*($AG2758/100),IF($O$5&gt;30,20+70*($AG2758/100),IF($O$5&gt;20,40+55*($AG2758/100),(80+(20-$O$5)+30*($AG2758/100))))))))))</f>
        <v>100</v>
      </c>
      <c r="AI2758" s="263"/>
      <c r="AJ2758" s="263"/>
      <c r="AK2758" s="263"/>
      <c r="AL2758" s="263"/>
      <c r="AM2758" s="264"/>
      <c r="AN2758" s="263"/>
      <c r="AO2758" s="263"/>
      <c r="AP2758" s="265"/>
      <c r="AQ2758" s="265"/>
      <c r="AR2758" s="285"/>
      <c r="AS2758" s="263"/>
      <c r="AT2758" s="263"/>
      <c r="AU2758" s="263"/>
      <c r="AV2758" s="264"/>
      <c r="AW2758" s="263"/>
      <c r="AX2758" s="263"/>
      <c r="AY2758" s="263">
        <v>509</v>
      </c>
      <c r="AZ2758" s="263"/>
      <c r="BA2758" s="263"/>
      <c r="BB2758" s="263">
        <v>141</v>
      </c>
      <c r="BC2758" s="263"/>
      <c r="BD2758" s="264"/>
      <c r="BE2758" s="263"/>
      <c r="BF2758" s="263"/>
      <c r="BG2758" s="263"/>
      <c r="BH2758" s="263"/>
      <c r="BI2758" s="263"/>
      <c r="BJ2758" s="404">
        <f>altaz(J2000_Bas,$O2758,$M2758,DecLat,DecLong,2)</f>
        <v>31.618787065412096</v>
      </c>
      <c r="BK2758" s="378" t="s">
        <v>2574</v>
      </c>
      <c r="BL2758" s="379">
        <f>IF((2*G2758)/60&lt;0.2,0.2,(2*G2758)/60)</f>
        <v>0.2</v>
      </c>
      <c r="BM2758" s="380">
        <f>MOD((50000+AD2758-$B$3+(0/24)),1)</f>
        <v>0.14437790783267701</v>
      </c>
      <c r="BN2758" s="381"/>
      <c r="BO2758" s="382">
        <v>2749</v>
      </c>
    </row>
    <row r="2759" spans="1:67" s="24" customFormat="1" ht="15" customHeight="1" x14ac:dyDescent="0.25">
      <c r="A2759" s="288" t="s">
        <v>2575</v>
      </c>
      <c r="B2759" s="241" t="str">
        <f>HYPERLINK(CONCATENATE($AT$3,BK2759,$AU$3),$AV$3)</f>
        <v>S</v>
      </c>
      <c r="C2759" s="242" t="str">
        <f>HYPERLINK(CONCATENATE($AT$4,BK2759,$AU$4,BL2759),$AV$4)</f>
        <v>A</v>
      </c>
      <c r="D2759" s="243" t="s">
        <v>5187</v>
      </c>
      <c r="E2759" s="244" t="s">
        <v>5183</v>
      </c>
      <c r="F2759" s="269" t="s">
        <v>5180</v>
      </c>
      <c r="G2759" s="276">
        <v>13</v>
      </c>
      <c r="H2759" s="283">
        <v>12000</v>
      </c>
      <c r="I2759" s="246">
        <v>44</v>
      </c>
      <c r="J2759" s="246">
        <v>1</v>
      </c>
      <c r="K2759" s="247" t="s">
        <v>6317</v>
      </c>
      <c r="L2759" s="248">
        <v>224900</v>
      </c>
      <c r="M2759" s="249">
        <f>15*(LEFT(TEXT($L2759,"000000"),2)+(MID(TEXT($L2759,"000000"),3,2)/60)+(RIGHT(TEXT($L2759,"000000"),2)/3600))</f>
        <v>342.25</v>
      </c>
      <c r="N2759" s="286">
        <v>574500</v>
      </c>
      <c r="O2759" s="251">
        <f>IF($N2759&gt;0,(LEFT(TEXT($N2759,"000000"),2)+(MID(TEXT($N2759,"000000"),3,2)/60)+(RIGHT(TEXT($N2759,"000000"),2)/3600)),-(MID(TEXT($N2759,"000000"),2,2)+(MID(TEXT($N2759,"000000"),4,2)/60)+(RIGHT(TEXT($N2759,"000000"),2)/3600)))</f>
        <v>57.75</v>
      </c>
      <c r="P2759" s="252" t="s">
        <v>52</v>
      </c>
      <c r="Q2759" s="253"/>
      <c r="R2759" s="277" t="s">
        <v>3293</v>
      </c>
      <c r="S2759" s="272" t="s">
        <v>6318</v>
      </c>
      <c r="T2759" s="273"/>
      <c r="U2759" s="274"/>
      <c r="V2759" s="280"/>
      <c r="W2759" s="244"/>
      <c r="X2759" s="244"/>
      <c r="Y2759" s="362"/>
      <c r="Z2759" s="257">
        <f>altaz(J2000_Bas,$O2759,$M2759,DecLat,DecLong,1)</f>
        <v>43.607598467554688</v>
      </c>
      <c r="AA2759" s="257">
        <f>altaz((J2000_Bas+(2*0.04167)),$O2759,$M2759,DecLat,DecLong,1)</f>
        <v>57.791721523453127</v>
      </c>
      <c r="AB2759" s="257">
        <f>altaz((J2000_Bas+(4*0.04167)),$O2759,$M2759,DecLat,DecLong,1)</f>
        <v>63.113982621763064</v>
      </c>
      <c r="AC2759" s="257">
        <f>altaz((J2000_Bas+(6*0.04167)),$O2759,$M2759,DecLat,DecLong,1)</f>
        <v>54.562977618951408</v>
      </c>
      <c r="AD2759" s="258">
        <f>1+ transit((J2000_Bas-1),$O2759,$M2759,DecLat,DecLong)/360 + (GMTOffset/24) + (IF(DST="Y", 1, 0)/24)</f>
        <v>1.9435943100047079</v>
      </c>
      <c r="AE2759" s="259">
        <f>DATE(2001,9,21)+(M2759/360)*365 - (360*((DecLong/360)- (GMTOffset/24) ))</f>
        <v>37507.003472222219</v>
      </c>
      <c r="AF2759" s="260">
        <f>IF(DecLat&gt;0,IF((90 - (DecLat-O2759))&gt;90, (90 - (O2759-DecLat)), (90 - (DecLat-O2759))),IF((90 + (DecLat-O2759))&gt;90, (90 + (O2759-DecLat)), (90 + (DecLat-O2759))))</f>
        <v>63.25</v>
      </c>
      <c r="AG2759" s="257">
        <f>angularseperation(MoonRA,MoonDec,$M2759,$O2759)</f>
        <v>114.20418427895947</v>
      </c>
      <c r="AH2759" s="261">
        <f ca="1">MIN(100,IF($O$5&gt;80,0+30*($AG2759/100),IF($O$5&gt;70,0+50*($AG2759/100),IF($O$5&gt;60,5+50*($AG2759/100),IF($O$5&gt;50,10+60*($AG2759/100),IF($O$5&gt;40,15+70*($AG2759/100),IF($O$5&gt;30,20+70*($AG2759/100),IF($O$5&gt;20,40+55*($AG2759/100),(80+(20-$O$5)+30*($AG2759/100))))))))))</f>
        <v>100</v>
      </c>
      <c r="AI2759" s="263"/>
      <c r="AJ2759" s="263"/>
      <c r="AK2759" s="263"/>
      <c r="AL2759" s="263"/>
      <c r="AM2759" s="264"/>
      <c r="AN2759" s="263"/>
      <c r="AO2759" s="263"/>
      <c r="AP2759" s="265"/>
      <c r="AQ2759" s="265"/>
      <c r="AR2759" s="285"/>
      <c r="AS2759" s="263"/>
      <c r="AT2759" s="263"/>
      <c r="AU2759" s="263"/>
      <c r="AV2759" s="264"/>
      <c r="AW2759" s="263"/>
      <c r="AX2759" s="263"/>
      <c r="AY2759" s="263"/>
      <c r="AZ2759" s="263"/>
      <c r="BA2759" s="263"/>
      <c r="BB2759" s="263">
        <v>143</v>
      </c>
      <c r="BC2759" s="263"/>
      <c r="BD2759" s="264"/>
      <c r="BE2759" s="263"/>
      <c r="BF2759" s="263"/>
      <c r="BG2759" s="263"/>
      <c r="BH2759" s="263"/>
      <c r="BI2759" s="263"/>
      <c r="BJ2759" s="404">
        <f>altaz(J2000_Bas,$O2759,$M2759,DecLat,DecLong,2)</f>
        <v>37.787651098017399</v>
      </c>
      <c r="BK2759" s="378" t="s">
        <v>2575</v>
      </c>
      <c r="BL2759" s="379">
        <f>IF((2*G2759)/60&lt;0.2,0.2,(2*G2759)/60)</f>
        <v>0.43333333333333335</v>
      </c>
      <c r="BM2759" s="380">
        <f>MOD((50000+AD2759-$B$3+(0/24)),1)</f>
        <v>0.15896123970742337</v>
      </c>
      <c r="BN2759" s="381"/>
      <c r="BO2759" s="382">
        <v>2750</v>
      </c>
    </row>
    <row r="2760" spans="1:67" s="24" customFormat="1" ht="15" customHeight="1" x14ac:dyDescent="0.25">
      <c r="A2760" s="288" t="s">
        <v>2576</v>
      </c>
      <c r="B2760" s="241" t="str">
        <f>HYPERLINK(CONCATENATE($AT$3,BK2760,$AU$3),$AV$3)</f>
        <v>S</v>
      </c>
      <c r="C2760" s="242" t="str">
        <f>HYPERLINK(CONCATENATE($AT$4,BK2760,$AU$4,BL2760),$AV$4)</f>
        <v>A</v>
      </c>
      <c r="D2760" s="243" t="s">
        <v>5187</v>
      </c>
      <c r="E2760" s="244" t="s">
        <v>5183</v>
      </c>
      <c r="F2760" s="269" t="s">
        <v>5180</v>
      </c>
      <c r="G2760" s="273">
        <v>7</v>
      </c>
      <c r="H2760" s="283">
        <v>2600</v>
      </c>
      <c r="I2760" s="279">
        <v>5</v>
      </c>
      <c r="J2760" s="246">
        <v>1</v>
      </c>
      <c r="K2760" s="247" t="s">
        <v>6294</v>
      </c>
      <c r="L2760" s="248">
        <v>224400</v>
      </c>
      <c r="M2760" s="249">
        <f>15*(LEFT(TEXT($L2760,"000000"),2)+(MID(TEXT($L2760,"000000"),3,2)/60)+(RIGHT(TEXT($L2760,"000000"),2)/3600))</f>
        <v>341</v>
      </c>
      <c r="N2760" s="286">
        <v>595300</v>
      </c>
      <c r="O2760" s="251">
        <f>IF($N2760&gt;0,(LEFT(TEXT($N2760,"000000"),2)+(MID(TEXT($N2760,"000000"),3,2)/60)+(RIGHT(TEXT($N2760,"000000"),2)/3600)),-(MID(TEXT($N2760,"000000"),2,2)+(MID(TEXT($N2760,"000000"),4,2)/60)+(RIGHT(TEXT($N2760,"000000"),2)/3600)))</f>
        <v>59.883333333333333</v>
      </c>
      <c r="P2760" s="252" t="s">
        <v>52</v>
      </c>
      <c r="Q2760" s="253"/>
      <c r="R2760" s="277" t="s">
        <v>3293</v>
      </c>
      <c r="S2760" s="272" t="s">
        <v>3293</v>
      </c>
      <c r="T2760" s="273"/>
      <c r="U2760" s="274"/>
      <c r="V2760" s="280"/>
      <c r="W2760" s="244"/>
      <c r="X2760" s="244"/>
      <c r="Y2760" s="362"/>
      <c r="Z2760" s="257">
        <f>altaz(J2000_Bas,$O2760,$M2760,DecLat,DecLong,1)</f>
        <v>43.806009994408242</v>
      </c>
      <c r="AA2760" s="257">
        <f>altaz((J2000_Bas+(2*0.04167)),$O2760,$M2760,DecLat,DecLong,1)</f>
        <v>56.676767651850554</v>
      </c>
      <c r="AB2760" s="257">
        <f>altaz((J2000_Bas+(4*0.04167)),$O2760,$M2760,DecLat,DecLong,1)</f>
        <v>60.909655243399364</v>
      </c>
      <c r="AC2760" s="257">
        <f>altaz((J2000_Bas+(6*0.04167)),$O2760,$M2760,DecLat,DecLong,1)</f>
        <v>52.817688377153814</v>
      </c>
      <c r="AD2760" s="258">
        <f>1+ transit((J2000_Bas-1),$O2760,$M2760,DecLat,DecLong)/360 + (GMTOffset/24) + (IF(DST="Y", 1, 0)/24)</f>
        <v>1.9401220881297083</v>
      </c>
      <c r="AE2760" s="259">
        <f>DATE(2001,9,21)+(M2760/360)*365 - (360*((DecLong/360)- (GMTOffset/24) ))</f>
        <v>37505.736111111109</v>
      </c>
      <c r="AF2760" s="260">
        <f>IF(DecLat&gt;0,IF((90 - (DecLat-O2760))&gt;90, (90 - (O2760-DecLat)), (90 - (DecLat-O2760))),IF((90 + (DecLat-O2760))&gt;90, (90 + (O2760-DecLat)), (90 + (DecLat-O2760))))</f>
        <v>61.116666666666667</v>
      </c>
      <c r="AG2760" s="257">
        <f>angularseperation(MoonRA,MoonDec,$M2760,$O2760)</f>
        <v>114.05044623301056</v>
      </c>
      <c r="AH2760" s="261">
        <f ca="1">MIN(100,IF($O$5&gt;80,0+30*($AG2760/100),IF($O$5&gt;70,0+50*($AG2760/100),IF($O$5&gt;60,5+50*($AG2760/100),IF($O$5&gt;50,10+60*($AG2760/100),IF($O$5&gt;40,15+70*($AG2760/100),IF($O$5&gt;30,20+70*($AG2760/100),IF($O$5&gt;20,40+55*($AG2760/100),(80+(20-$O$5)+30*($AG2760/100))))))))))</f>
        <v>100</v>
      </c>
      <c r="AI2760" s="263"/>
      <c r="AJ2760" s="263"/>
      <c r="AK2760" s="263"/>
      <c r="AL2760" s="263"/>
      <c r="AM2760" s="264"/>
      <c r="AN2760" s="263"/>
      <c r="AO2760" s="263"/>
      <c r="AP2760" s="265"/>
      <c r="AQ2760" s="265"/>
      <c r="AR2760" s="285"/>
      <c r="AS2760" s="263"/>
      <c r="AT2760" s="263"/>
      <c r="AU2760" s="263"/>
      <c r="AV2760" s="264"/>
      <c r="AW2760" s="263"/>
      <c r="AX2760" s="263"/>
      <c r="AY2760" s="263">
        <v>512</v>
      </c>
      <c r="AZ2760" s="263"/>
      <c r="BA2760" s="263"/>
      <c r="BB2760" s="263">
        <v>144</v>
      </c>
      <c r="BC2760" s="263"/>
      <c r="BD2760" s="264"/>
      <c r="BE2760" s="263"/>
      <c r="BF2760" s="263"/>
      <c r="BG2760" s="263"/>
      <c r="BH2760" s="263"/>
      <c r="BI2760" s="263"/>
      <c r="BJ2760" s="404">
        <f>altaz(J2000_Bas,$O2760,$M2760,DecLat,DecLong,2)</f>
        <v>34.715886333509872</v>
      </c>
      <c r="BK2760" s="378" t="s">
        <v>2576</v>
      </c>
      <c r="BL2760" s="379">
        <f>IF((2*G2760)/60&lt;0.2,0.2,(2*G2760)/60)</f>
        <v>0.23333333333333334</v>
      </c>
      <c r="BM2760" s="380">
        <f>MOD((50000+AD2760-$B$3+(0/24)),1)</f>
        <v>0.15548901783040492</v>
      </c>
      <c r="BN2760" s="381"/>
      <c r="BO2760" s="382">
        <v>2751</v>
      </c>
    </row>
    <row r="2761" spans="1:67" s="24" customFormat="1" ht="15" customHeight="1" x14ac:dyDescent="0.25">
      <c r="A2761" s="288" t="s">
        <v>2577</v>
      </c>
      <c r="B2761" s="241" t="str">
        <f>HYPERLINK(CONCATENATE($AT$3,BK2761,$AU$3),$AV$3)</f>
        <v>S</v>
      </c>
      <c r="C2761" s="242" t="str">
        <f>HYPERLINK(CONCATENATE($AT$4,BK2761,$AU$4,BL2761),$AV$4)</f>
        <v>A</v>
      </c>
      <c r="D2761" s="243" t="s">
        <v>5187</v>
      </c>
      <c r="E2761" s="244" t="s">
        <v>5183</v>
      </c>
      <c r="F2761" s="269" t="s">
        <v>5180</v>
      </c>
      <c r="G2761" s="276">
        <v>60</v>
      </c>
      <c r="H2761" s="283">
        <v>3000</v>
      </c>
      <c r="I2761" s="246">
        <v>55</v>
      </c>
      <c r="J2761" s="246">
        <v>2</v>
      </c>
      <c r="K2761" s="247" t="s">
        <v>5403</v>
      </c>
      <c r="L2761" s="248">
        <v>222530</v>
      </c>
      <c r="M2761" s="249">
        <f>15*(LEFT(TEXT($L2761,"000000"),2)+(MID(TEXT($L2761,"000000"),3,2)/60)+(RIGHT(TEXT($L2761,"000000"),2)/3600))</f>
        <v>336.375</v>
      </c>
      <c r="N2761" s="250">
        <v>641800</v>
      </c>
      <c r="O2761" s="251">
        <f>IF($N2761&gt;0,(LEFT(TEXT($N2761,"000000"),2)+(MID(TEXT($N2761,"000000"),3,2)/60)+(RIGHT(TEXT($N2761,"000000"),2)/3600)),-(MID(TEXT($N2761,"000000"),2,2)+(MID(TEXT($N2761,"000000"),4,2)/60)+(RIGHT(TEXT($N2761,"000000"),2)/3600)))</f>
        <v>64.3</v>
      </c>
      <c r="P2761" s="252" t="s">
        <v>52</v>
      </c>
      <c r="Q2761" s="253"/>
      <c r="R2761" s="247" t="s">
        <v>3293</v>
      </c>
      <c r="S2761" s="272" t="s">
        <v>5164</v>
      </c>
      <c r="T2761" s="273"/>
      <c r="U2761" s="274"/>
      <c r="V2761" s="280"/>
      <c r="W2761" s="244"/>
      <c r="X2761" s="244"/>
      <c r="Y2761" s="362"/>
      <c r="Z2761" s="257">
        <f>altaz(J2000_Bas,$O2761,$M2761,DecLat,DecLong,1)</f>
        <v>44.520889944999212</v>
      </c>
      <c r="AA2761" s="257">
        <f>altaz((J2000_Bas+(2*0.04167)),$O2761,$M2761,DecLat,DecLong,1)</f>
        <v>54.365188036752407</v>
      </c>
      <c r="AB2761" s="257">
        <f>altaz((J2000_Bas+(4*0.04167)),$O2761,$M2761,DecLat,DecLong,1)</f>
        <v>56.138495961926047</v>
      </c>
      <c r="AC2761" s="257">
        <f>altaz((J2000_Bas+(6*0.04167)),$O2761,$M2761,DecLat,DecLong,1)</f>
        <v>48.532922736192702</v>
      </c>
      <c r="AD2761" s="258">
        <f>1+ transit((J2000_Bas-1),$O2761,$M2761,DecLat,DecLong)/360 + (GMTOffset/24) + (IF(DST="Y", 1, 0)/24)</f>
        <v>1.9272748671922082</v>
      </c>
      <c r="AE2761" s="259">
        <f>DATE(2001,9,21)+(M2761/360)*365 - (360*((DecLong/360)- (GMTOffset/24) ))</f>
        <v>37501.046875</v>
      </c>
      <c r="AF2761" s="260">
        <f>IF(DecLat&gt;0,IF((90 - (DecLat-O2761))&gt;90, (90 - (O2761-DecLat)), (90 - (DecLat-O2761))),IF((90 + (DecLat-O2761))&gt;90, (90 + (O2761-DecLat)), (90 + (DecLat-O2761))))</f>
        <v>56.7</v>
      </c>
      <c r="AG2761" s="257">
        <f>angularseperation(MoonRA,MoonDec,$M2761,$O2761)</f>
        <v>113.01343115514592</v>
      </c>
      <c r="AH2761" s="261">
        <f ca="1">MIN(100,IF($O$5&gt;80,0+30*($AG2761/100),IF($O$5&gt;70,0+50*($AG2761/100),IF($O$5&gt;60,5+50*($AG2761/100),IF($O$5&gt;50,10+60*($AG2761/100),IF($O$5&gt;40,15+70*($AG2761/100),IF($O$5&gt;30,20+70*($AG2761/100),IF($O$5&gt;20,40+55*($AG2761/100),(80+(20-$O$5)+30*($AG2761/100))))))))))</f>
        <v>100</v>
      </c>
      <c r="AI2761" s="262"/>
      <c r="AJ2761" s="262"/>
      <c r="AK2761" s="262"/>
      <c r="AL2761" s="263"/>
      <c r="AM2761" s="264"/>
      <c r="AN2761" s="263"/>
      <c r="AO2761" s="263"/>
      <c r="AP2761" s="265"/>
      <c r="AQ2761" s="266"/>
      <c r="AR2761" s="267"/>
      <c r="AS2761" s="263"/>
      <c r="AT2761" s="263"/>
      <c r="AU2761" s="263"/>
      <c r="AV2761" s="264"/>
      <c r="AW2761" s="263"/>
      <c r="AX2761" s="263"/>
      <c r="AY2761" s="263"/>
      <c r="AZ2761" s="263"/>
      <c r="BA2761" s="263"/>
      <c r="BB2761" s="263">
        <v>145</v>
      </c>
      <c r="BC2761" s="263"/>
      <c r="BD2761" s="264"/>
      <c r="BE2761" s="263"/>
      <c r="BF2761" s="263"/>
      <c r="BG2761" s="263"/>
      <c r="BH2761" s="263"/>
      <c r="BI2761" s="263"/>
      <c r="BJ2761" s="404">
        <f>altaz(J2000_Bas,$O2761,$M2761,DecLat,DecLong,2)</f>
        <v>27.934121087241131</v>
      </c>
      <c r="BK2761" s="378" t="s">
        <v>2577</v>
      </c>
      <c r="BL2761" s="379">
        <f>IF((2*G2761)/60&lt;0.2,0.2,(2*G2761)/60)</f>
        <v>2</v>
      </c>
      <c r="BM2761" s="380">
        <f>MOD((50000+AD2761-$B$3+(0/24)),1)</f>
        <v>0.14264179689780576</v>
      </c>
      <c r="BN2761" s="381"/>
      <c r="BO2761" s="382">
        <v>2752</v>
      </c>
    </row>
    <row r="2762" spans="1:67" s="24" customFormat="1" ht="15" customHeight="1" x14ac:dyDescent="0.25">
      <c r="A2762" s="288" t="s">
        <v>2578</v>
      </c>
      <c r="B2762" s="241" t="str">
        <f>HYPERLINK(CONCATENATE($AT$3,BK2762,$AU$3),$AV$3)</f>
        <v>S</v>
      </c>
      <c r="C2762" s="242" t="str">
        <f>HYPERLINK(CONCATENATE($AT$4,BK2762,$AU$4,BL2762),$AV$4)</f>
        <v>A</v>
      </c>
      <c r="D2762" s="243" t="s">
        <v>5187</v>
      </c>
      <c r="E2762" s="244" t="s">
        <v>5183</v>
      </c>
      <c r="F2762" s="269" t="s">
        <v>5180</v>
      </c>
      <c r="G2762" s="273">
        <v>2</v>
      </c>
      <c r="H2762" s="283">
        <v>18000</v>
      </c>
      <c r="I2762" s="244">
        <v>10</v>
      </c>
      <c r="J2762" s="246">
        <v>2</v>
      </c>
      <c r="K2762" s="247" t="s">
        <v>6288</v>
      </c>
      <c r="L2762" s="248">
        <v>224929</v>
      </c>
      <c r="M2762" s="249">
        <f>15*(LEFT(TEXT($L2762,"000000"),2)+(MID(TEXT($L2762,"000000"),3,2)/60)+(RIGHT(TEXT($L2762,"000000"),2)/3600))</f>
        <v>342.37083333333328</v>
      </c>
      <c r="N2762" s="250">
        <v>595456</v>
      </c>
      <c r="O2762" s="251">
        <f>IF($N2762&gt;0,(LEFT(TEXT($N2762,"000000"),2)+(MID(TEXT($N2762,"000000"),3,2)/60)+(RIGHT(TEXT($N2762,"000000"),2)/3600)),-(MID(TEXT($N2762,"000000"),2,2)+(MID(TEXT($N2762,"000000"),4,2)/60)+(RIGHT(TEXT($N2762,"000000"),2)/3600)))</f>
        <v>59.915555555555557</v>
      </c>
      <c r="P2762" s="252" t="s">
        <v>52</v>
      </c>
      <c r="Q2762" s="253"/>
      <c r="R2762" s="247" t="s">
        <v>3293</v>
      </c>
      <c r="S2762" s="272" t="s">
        <v>3293</v>
      </c>
      <c r="T2762" s="273"/>
      <c r="U2762" s="274"/>
      <c r="V2762" s="280"/>
      <c r="W2762" s="244"/>
      <c r="X2762" s="244"/>
      <c r="Y2762" s="362"/>
      <c r="Z2762" s="257">
        <f>altaz(J2000_Bas,$O2762,$M2762,DecLat,DecLong,1)</f>
        <v>43.128300900123001</v>
      </c>
      <c r="AA2762" s="257">
        <f>altaz((J2000_Bas+(2*0.04167)),$O2762,$M2762,DecLat,DecLong,1)</f>
        <v>56.192344024388845</v>
      </c>
      <c r="AB2762" s="257">
        <f>altaz((J2000_Bas+(4*0.04167)),$O2762,$M2762,DecLat,DecLong,1)</f>
        <v>60.972650437330479</v>
      </c>
      <c r="AC2762" s="257">
        <f>altaz((J2000_Bas+(6*0.04167)),$O2762,$M2762,DecLat,DecLong,1)</f>
        <v>53.355521058612148</v>
      </c>
      <c r="AD2762" s="258">
        <f>1+ transit((J2000_Bas-1),$O2762,$M2762,DecLat,DecLong)/360 + (GMTOffset/24) + (IF(DST="Y", 1, 0)/24)</f>
        <v>1.943929958119291</v>
      </c>
      <c r="AE2762" s="259">
        <f>DATE(2001,9,21)+(M2762/360)*365 - (360*((DecLong/360)- (GMTOffset/24) ))</f>
        <v>37507.125983796293</v>
      </c>
      <c r="AF2762" s="260">
        <f>IF(DecLat&gt;0,IF((90 - (DecLat-O2762))&gt;90, (90 - (O2762-DecLat)), (90 - (DecLat-O2762))),IF((90 + (DecLat-O2762))&gt;90, (90 + (O2762-DecLat)), (90 + (DecLat-O2762))))</f>
        <v>61.084444444444443</v>
      </c>
      <c r="AG2762" s="257">
        <f>angularseperation(MoonRA,MoonDec,$M2762,$O2762)</f>
        <v>114.7288253177979</v>
      </c>
      <c r="AH2762" s="261">
        <f ca="1">MIN(100,IF($O$5&gt;80,0+30*($AG2762/100),IF($O$5&gt;70,0+50*($AG2762/100),IF($O$5&gt;60,5+50*($AG2762/100),IF($O$5&gt;50,10+60*($AG2762/100),IF($O$5&gt;40,15+70*($AG2762/100),IF($O$5&gt;30,20+70*($AG2762/100),IF($O$5&gt;20,40+55*($AG2762/100),(80+(20-$O$5)+30*($AG2762/100))))))))))</f>
        <v>100</v>
      </c>
      <c r="AI2762" s="262"/>
      <c r="AJ2762" s="262"/>
      <c r="AK2762" s="262"/>
      <c r="AL2762" s="263"/>
      <c r="AM2762" s="264"/>
      <c r="AN2762" s="263"/>
      <c r="AO2762" s="263"/>
      <c r="AP2762" s="265"/>
      <c r="AQ2762" s="266"/>
      <c r="AR2762" s="267"/>
      <c r="AS2762" s="263"/>
      <c r="AT2762" s="263"/>
      <c r="AU2762" s="263"/>
      <c r="AV2762" s="264"/>
      <c r="AW2762" s="263"/>
      <c r="AX2762" s="263"/>
      <c r="AY2762" s="263">
        <v>514</v>
      </c>
      <c r="AZ2762" s="263"/>
      <c r="BA2762" s="263"/>
      <c r="BB2762" s="263">
        <v>146</v>
      </c>
      <c r="BC2762" s="263"/>
      <c r="BD2762" s="264"/>
      <c r="BE2762" s="263"/>
      <c r="BF2762" s="263"/>
      <c r="BG2762" s="263"/>
      <c r="BH2762" s="263">
        <v>70</v>
      </c>
      <c r="BI2762" s="263"/>
      <c r="BJ2762" s="404">
        <f>altaz(J2000_Bas,$O2762,$M2762,DecLat,DecLong,2)</f>
        <v>34.88115554067339</v>
      </c>
      <c r="BK2762" s="378" t="s">
        <v>2578</v>
      </c>
      <c r="BL2762" s="379">
        <f>IF((2*G2762)/60&lt;0.2,0.2,(2*G2762)/60)</f>
        <v>0.2</v>
      </c>
      <c r="BM2762" s="380">
        <f>MOD((50000+AD2762-$B$3+(0/24)),1)</f>
        <v>0.15929688782489393</v>
      </c>
      <c r="BN2762" s="381"/>
      <c r="BO2762" s="382">
        <v>2753</v>
      </c>
    </row>
    <row r="2763" spans="1:67" s="24" customFormat="1" ht="15" customHeight="1" x14ac:dyDescent="0.25">
      <c r="A2763" s="288" t="s">
        <v>2579</v>
      </c>
      <c r="B2763" s="241" t="str">
        <f>HYPERLINK(CONCATENATE($AT$3,BK2763,$AU$3),$AV$3)</f>
        <v>S</v>
      </c>
      <c r="C2763" s="242" t="str">
        <f>HYPERLINK(CONCATENATE($AT$4,BK2763,$AU$4,BL2763),$AV$4)</f>
        <v>A</v>
      </c>
      <c r="D2763" s="243" t="s">
        <v>5187</v>
      </c>
      <c r="E2763" s="244" t="s">
        <v>5183</v>
      </c>
      <c r="F2763" s="269" t="s">
        <v>5180</v>
      </c>
      <c r="G2763" s="273">
        <v>4</v>
      </c>
      <c r="H2763" s="283">
        <v>17000</v>
      </c>
      <c r="I2763" s="246">
        <v>20</v>
      </c>
      <c r="J2763" s="246">
        <v>0</v>
      </c>
      <c r="K2763" s="247" t="s">
        <v>6294</v>
      </c>
      <c r="L2763" s="248">
        <v>225500</v>
      </c>
      <c r="M2763" s="249">
        <f>15*(LEFT(TEXT($L2763,"000000"),2)+(MID(TEXT($L2763,"000000"),3,2)/60)+(RIGHT(TEXT($L2763,"000000"),2)/3600))</f>
        <v>343.75</v>
      </c>
      <c r="N2763" s="286">
        <v>582800</v>
      </c>
      <c r="O2763" s="251">
        <f>IF($N2763&gt;0,(LEFT(TEXT($N2763,"000000"),2)+(MID(TEXT($N2763,"000000"),3,2)/60)+(RIGHT(TEXT($N2763,"000000"),2)/3600)),-(MID(TEXT($N2763,"000000"),2,2)+(MID(TEXT($N2763,"000000"),4,2)/60)+(RIGHT(TEXT($N2763,"000000"),2)/3600)))</f>
        <v>58.466666666666669</v>
      </c>
      <c r="P2763" s="252" t="s">
        <v>52</v>
      </c>
      <c r="Q2763" s="253"/>
      <c r="R2763" s="277" t="s">
        <v>3293</v>
      </c>
      <c r="S2763" s="272" t="s">
        <v>3293</v>
      </c>
      <c r="T2763" s="273"/>
      <c r="U2763" s="274"/>
      <c r="V2763" s="280"/>
      <c r="W2763" s="244"/>
      <c r="X2763" s="244"/>
      <c r="Y2763" s="362"/>
      <c r="Z2763" s="257">
        <f>altaz(J2000_Bas,$O2763,$M2763,DecLat,DecLong,1)</f>
        <v>42.704623980505623</v>
      </c>
      <c r="AA2763" s="257">
        <f>altaz((J2000_Bas+(2*0.04167)),$O2763,$M2763,DecLat,DecLong,1)</f>
        <v>56.723982809649996</v>
      </c>
      <c r="AB2763" s="257">
        <f>altaz((J2000_Bas+(4*0.04167)),$O2763,$M2763,DecLat,DecLong,1)</f>
        <v>62.483638711035816</v>
      </c>
      <c r="AC2763" s="257">
        <f>altaz((J2000_Bas+(6*0.04167)),$O2763,$M2763,DecLat,DecLong,1)</f>
        <v>54.790206797016744</v>
      </c>
      <c r="AD2763" s="258">
        <f>1+ transit((J2000_Bas-1),$O2763,$M2763,DecLat,DecLong)/360 + (GMTOffset/24) + (IF(DST="Y", 1, 0)/24)</f>
        <v>1.9477609762547081</v>
      </c>
      <c r="AE2763" s="259">
        <f>DATE(2001,9,21)+(M2763/360)*365 - (360*((DecLong/360)- (GMTOffset/24) ))</f>
        <v>37508.524305555555</v>
      </c>
      <c r="AF2763" s="260">
        <f>IF(DecLat&gt;0,IF((90 - (DecLat-O2763))&gt;90, (90 - (O2763-DecLat)), (90 - (DecLat-O2763))),IF((90 + (DecLat-O2763))&gt;90, (90 + (O2763-DecLat)), (90 + (DecLat-O2763))))</f>
        <v>62.533333333333331</v>
      </c>
      <c r="AG2763" s="257">
        <f>angularseperation(MoonRA,MoonDec,$M2763,$O2763)</f>
        <v>115.12953014077058</v>
      </c>
      <c r="AH2763" s="261">
        <f ca="1">MIN(100,IF($O$5&gt;80,0+30*($AG2763/100),IF($O$5&gt;70,0+50*($AG2763/100),IF($O$5&gt;60,5+50*($AG2763/100),IF($O$5&gt;50,10+60*($AG2763/100),IF($O$5&gt;40,15+70*($AG2763/100),IF($O$5&gt;30,20+70*($AG2763/100),IF($O$5&gt;20,40+55*($AG2763/100),(80+(20-$O$5)+30*($AG2763/100))))))))))</f>
        <v>100</v>
      </c>
      <c r="AI2763" s="263"/>
      <c r="AJ2763" s="263"/>
      <c r="AK2763" s="263"/>
      <c r="AL2763" s="263"/>
      <c r="AM2763" s="264"/>
      <c r="AN2763" s="263"/>
      <c r="AO2763" s="263"/>
      <c r="AP2763" s="265"/>
      <c r="AQ2763" s="265"/>
      <c r="AR2763" s="285"/>
      <c r="AS2763" s="263"/>
      <c r="AT2763" s="263"/>
      <c r="AU2763" s="263"/>
      <c r="AV2763" s="264"/>
      <c r="AW2763" s="263"/>
      <c r="AX2763" s="263"/>
      <c r="AY2763" s="263"/>
      <c r="AZ2763" s="263"/>
      <c r="BA2763" s="263"/>
      <c r="BB2763" s="263">
        <v>147</v>
      </c>
      <c r="BC2763" s="263"/>
      <c r="BD2763" s="264"/>
      <c r="BE2763" s="263"/>
      <c r="BF2763" s="263"/>
      <c r="BG2763" s="263"/>
      <c r="BH2763" s="263"/>
      <c r="BI2763" s="263"/>
      <c r="BJ2763" s="404">
        <f>altaz(J2000_Bas,$O2763,$M2763,DecLat,DecLong,2)</f>
        <v>37.004736689817818</v>
      </c>
      <c r="BK2763" s="378" t="s">
        <v>2579</v>
      </c>
      <c r="BL2763" s="379">
        <f>IF((2*G2763)/60&lt;0.2,0.2,(2*G2763)/60)</f>
        <v>0.2</v>
      </c>
      <c r="BM2763" s="380">
        <f>MOD((50000+AD2763-$B$3+(0/24)),1)</f>
        <v>0.16312790595839033</v>
      </c>
      <c r="BN2763" s="381"/>
      <c r="BO2763" s="382">
        <v>2754</v>
      </c>
    </row>
    <row r="2764" spans="1:67" s="24" customFormat="1" ht="15" customHeight="1" x14ac:dyDescent="0.25">
      <c r="A2764" s="288" t="s">
        <v>2580</v>
      </c>
      <c r="B2764" s="241" t="str">
        <f>HYPERLINK(CONCATENATE($AT$3,BK2764,$AU$3),$AV$3)</f>
        <v>S</v>
      </c>
      <c r="C2764" s="242" t="str">
        <f>HYPERLINK(CONCATENATE($AT$4,BK2764,$AU$4,BL2764),$AV$4)</f>
        <v>A</v>
      </c>
      <c r="D2764" s="243" t="s">
        <v>5187</v>
      </c>
      <c r="E2764" s="244" t="s">
        <v>5183</v>
      </c>
      <c r="F2764" s="269" t="s">
        <v>5180</v>
      </c>
      <c r="G2764" s="273">
        <v>1</v>
      </c>
      <c r="H2764" s="283">
        <v>19000</v>
      </c>
      <c r="I2764" s="279">
        <v>5.4</v>
      </c>
      <c r="J2764" s="246">
        <v>2</v>
      </c>
      <c r="K2764" s="247" t="s">
        <v>6320</v>
      </c>
      <c r="L2764" s="248">
        <v>225600</v>
      </c>
      <c r="M2764" s="249">
        <f>15*(LEFT(TEXT($L2764,"000000"),2)+(MID(TEXT($L2764,"000000"),3,2)/60)+(RIGHT(TEXT($L2764,"000000"),2)/3600))</f>
        <v>344</v>
      </c>
      <c r="N2764" s="286">
        <v>583100</v>
      </c>
      <c r="O2764" s="251">
        <f>IF($N2764&gt;0,(LEFT(TEXT($N2764,"000000"),2)+(MID(TEXT($N2764,"000000"),3,2)/60)+(RIGHT(TEXT($N2764,"000000"),2)/3600)),-(MID(TEXT($N2764,"000000"),2,2)+(MID(TEXT($N2764,"000000"),4,2)/60)+(RIGHT(TEXT($N2764,"000000"),2)/3600)))</f>
        <v>58.516666666666666</v>
      </c>
      <c r="P2764" s="252" t="s">
        <v>52</v>
      </c>
      <c r="Q2764" s="253"/>
      <c r="R2764" s="277" t="s">
        <v>3293</v>
      </c>
      <c r="S2764" s="272" t="s">
        <v>3293</v>
      </c>
      <c r="T2764" s="273"/>
      <c r="U2764" s="274"/>
      <c r="V2764" s="280"/>
      <c r="W2764" s="244"/>
      <c r="X2764" s="244"/>
      <c r="Y2764" s="362"/>
      <c r="Z2764" s="257">
        <f>altaz(J2000_Bas,$O2764,$M2764,DecLat,DecLong,1)</f>
        <v>42.567583021464564</v>
      </c>
      <c r="AA2764" s="257">
        <f>altaz((J2000_Bas+(2*0.04167)),$O2764,$M2764,DecLat,DecLong,1)</f>
        <v>56.594658944250853</v>
      </c>
      <c r="AB2764" s="257">
        <f>altaz((J2000_Bas+(4*0.04167)),$O2764,$M2764,DecLat,DecLong,1)</f>
        <v>62.443485252037341</v>
      </c>
      <c r="AC2764" s="257">
        <f>altaz((J2000_Bas+(6*0.04167)),$O2764,$M2764,DecLat,DecLong,1)</f>
        <v>54.864123157912125</v>
      </c>
      <c r="AD2764" s="258">
        <f>1+ transit((J2000_Bas-1),$O2764,$M2764,DecLat,DecLong)/360 + (GMTOffset/24) + (IF(DST="Y", 1, 0)/24)</f>
        <v>1.9484554206297078</v>
      </c>
      <c r="AE2764" s="259">
        <f>DATE(2001,9,21)+(M2764/360)*365 - (360*((DecLong/360)- (GMTOffset/24) ))</f>
        <v>37508.777777777781</v>
      </c>
      <c r="AF2764" s="260">
        <f>IF(DecLat&gt;0,IF((90 - (DecLat-O2764))&gt;90, (90 - (O2764-DecLat)), (90 - (DecLat-O2764))),IF((90 + (DecLat-O2764))&gt;90, (90 + (O2764-DecLat)), (90 + (DecLat-O2764))))</f>
        <v>62.483333333333334</v>
      </c>
      <c r="AG2764" s="257">
        <f>angularseperation(MoonRA,MoonDec,$M2764,$O2764)</f>
        <v>115.26743259655689</v>
      </c>
      <c r="AH2764" s="261">
        <f ca="1">MIN(100,IF($O$5&gt;80,0+30*($AG2764/100),IF($O$5&gt;70,0+50*($AG2764/100),IF($O$5&gt;60,5+50*($AG2764/100),IF($O$5&gt;50,10+60*($AG2764/100),IF($O$5&gt;40,15+70*($AG2764/100),IF($O$5&gt;30,20+70*($AG2764/100),IF($O$5&gt;20,40+55*($AG2764/100),(80+(20-$O$5)+30*($AG2764/100))))))))))</f>
        <v>100</v>
      </c>
      <c r="AI2764" s="263"/>
      <c r="AJ2764" s="263"/>
      <c r="AK2764" s="263"/>
      <c r="AL2764" s="263"/>
      <c r="AM2764" s="264"/>
      <c r="AN2764" s="263"/>
      <c r="AO2764" s="263"/>
      <c r="AP2764" s="265"/>
      <c r="AQ2764" s="265"/>
      <c r="AR2764" s="285"/>
      <c r="AS2764" s="263"/>
      <c r="AT2764" s="263"/>
      <c r="AU2764" s="263"/>
      <c r="AV2764" s="264"/>
      <c r="AW2764" s="263"/>
      <c r="AX2764" s="263"/>
      <c r="AY2764" s="263"/>
      <c r="AZ2764" s="263"/>
      <c r="BA2764" s="263"/>
      <c r="BB2764" s="263">
        <v>148</v>
      </c>
      <c r="BC2764" s="263"/>
      <c r="BD2764" s="264"/>
      <c r="BE2764" s="263"/>
      <c r="BF2764" s="263"/>
      <c r="BG2764" s="263"/>
      <c r="BH2764" s="263"/>
      <c r="BI2764" s="263"/>
      <c r="BJ2764" s="404">
        <f>altaz(J2000_Bas,$O2764,$M2764,DecLat,DecLong,2)</f>
        <v>36.966515226266246</v>
      </c>
      <c r="BK2764" s="378" t="s">
        <v>2580</v>
      </c>
      <c r="BL2764" s="379">
        <f>IF((2*G2764)/60&lt;0.2,0.2,(2*G2764)/60)</f>
        <v>0.2</v>
      </c>
      <c r="BM2764" s="380">
        <f>MOD((50000+AD2764-$B$3+(0/24)),1)</f>
        <v>0.16382235033233883</v>
      </c>
      <c r="BN2764" s="381"/>
      <c r="BO2764" s="382">
        <v>2755</v>
      </c>
    </row>
    <row r="2765" spans="1:67" s="24" customFormat="1" ht="15" customHeight="1" x14ac:dyDescent="0.25">
      <c r="A2765" s="288" t="s">
        <v>2581</v>
      </c>
      <c r="B2765" s="241" t="str">
        <f>HYPERLINK(CONCATENATE($AT$3,BK2765,$AU$3),$AV$3)</f>
        <v>S</v>
      </c>
      <c r="C2765" s="242" t="str">
        <f>HYPERLINK(CONCATENATE($AT$4,BK2765,$AU$4,BL2765),$AV$4)</f>
        <v>A</v>
      </c>
      <c r="D2765" s="243" t="s">
        <v>5187</v>
      </c>
      <c r="E2765" s="244" t="s">
        <v>5183</v>
      </c>
      <c r="F2765" s="269" t="s">
        <v>5180</v>
      </c>
      <c r="G2765" s="273">
        <v>2</v>
      </c>
      <c r="H2765" s="283">
        <v>15000</v>
      </c>
      <c r="I2765" s="279">
        <v>9</v>
      </c>
      <c r="J2765" s="246">
        <v>1</v>
      </c>
      <c r="K2765" s="247" t="s">
        <v>6319</v>
      </c>
      <c r="L2765" s="248">
        <v>225600</v>
      </c>
      <c r="M2765" s="249">
        <f>15*(LEFT(TEXT($L2765,"000000"),2)+(MID(TEXT($L2765,"000000"),3,2)/60)+(RIGHT(TEXT($L2765,"000000"),2)/3600))</f>
        <v>344</v>
      </c>
      <c r="N2765" s="286">
        <v>583200</v>
      </c>
      <c r="O2765" s="251">
        <f>IF($N2765&gt;0,(LEFT(TEXT($N2765,"000000"),2)+(MID(TEXT($N2765,"000000"),3,2)/60)+(RIGHT(TEXT($N2765,"000000"),2)/3600)),-(MID(TEXT($N2765,"000000"),2,2)+(MID(TEXT($N2765,"000000"),4,2)/60)+(RIGHT(TEXT($N2765,"000000"),2)/3600)))</f>
        <v>58.533333333333331</v>
      </c>
      <c r="P2765" s="252" t="s">
        <v>52</v>
      </c>
      <c r="Q2765" s="253"/>
      <c r="R2765" s="277" t="s">
        <v>3293</v>
      </c>
      <c r="S2765" s="272" t="s">
        <v>3293</v>
      </c>
      <c r="T2765" s="273"/>
      <c r="U2765" s="274"/>
      <c r="V2765" s="280"/>
      <c r="W2765" s="244"/>
      <c r="X2765" s="244"/>
      <c r="Y2765" s="362"/>
      <c r="Z2765" s="257">
        <f>altaz(J2000_Bas,$O2765,$M2765,DecLat,DecLong,1)</f>
        <v>42.564901150142163</v>
      </c>
      <c r="AA2765" s="257">
        <f>altaz((J2000_Bas+(2*0.04167)),$O2765,$M2765,DecLat,DecLong,1)</f>
        <v>56.583245419022006</v>
      </c>
      <c r="AB2765" s="257">
        <f>altaz((J2000_Bas+(4*0.04167)),$O2765,$M2765,DecLat,DecLong,1)</f>
        <v>62.426859694825438</v>
      </c>
      <c r="AC2765" s="257">
        <f>altaz((J2000_Bas+(6*0.04167)),$O2765,$M2765,DecLat,DecLong,1)</f>
        <v>54.85400853801503</v>
      </c>
      <c r="AD2765" s="258">
        <f>1+ transit((J2000_Bas-1),$O2765,$M2765,DecLat,DecLong)/360 + (GMTOffset/24) + (IF(DST="Y", 1, 0)/24)</f>
        <v>1.9484554206297078</v>
      </c>
      <c r="AE2765" s="259">
        <f>DATE(2001,9,21)+(M2765/360)*365 - (360*((DecLong/360)- (GMTOffset/24) ))</f>
        <v>37508.777777777781</v>
      </c>
      <c r="AF2765" s="260">
        <f>IF(DecLat&gt;0,IF((90 - (DecLat-O2765))&gt;90, (90 - (O2765-DecLat)), (90 - (DecLat-O2765))),IF((90 + (DecLat-O2765))&gt;90, (90 + (O2765-DecLat)), (90 + (DecLat-O2765))))</f>
        <v>62.466666666666669</v>
      </c>
      <c r="AG2765" s="257">
        <f>angularseperation(MoonRA,MoonDec,$M2765,$O2765)</f>
        <v>115.27065302253209</v>
      </c>
      <c r="AH2765" s="261">
        <f ca="1">MIN(100,IF($O$5&gt;80,0+30*($AG2765/100),IF($O$5&gt;70,0+50*($AG2765/100),IF($O$5&gt;60,5+50*($AG2765/100),IF($O$5&gt;50,10+60*($AG2765/100),IF($O$5&gt;40,15+70*($AG2765/100),IF($O$5&gt;30,20+70*($AG2765/100),IF($O$5&gt;20,40+55*($AG2765/100),(80+(20-$O$5)+30*($AG2765/100))))))))))</f>
        <v>100</v>
      </c>
      <c r="AI2765" s="263"/>
      <c r="AJ2765" s="263"/>
      <c r="AK2765" s="263"/>
      <c r="AL2765" s="263"/>
      <c r="AM2765" s="264"/>
      <c r="AN2765" s="263"/>
      <c r="AO2765" s="263"/>
      <c r="AP2765" s="265"/>
      <c r="AQ2765" s="265"/>
      <c r="AR2765" s="285"/>
      <c r="AS2765" s="263"/>
      <c r="AT2765" s="263"/>
      <c r="AU2765" s="263"/>
      <c r="AV2765" s="264"/>
      <c r="AW2765" s="263"/>
      <c r="AX2765" s="263"/>
      <c r="AY2765" s="263">
        <v>516</v>
      </c>
      <c r="AZ2765" s="263"/>
      <c r="BA2765" s="263"/>
      <c r="BB2765" s="263">
        <v>149</v>
      </c>
      <c r="BC2765" s="263"/>
      <c r="BD2765" s="264"/>
      <c r="BE2765" s="263"/>
      <c r="BF2765" s="263"/>
      <c r="BG2765" s="263"/>
      <c r="BH2765" s="263"/>
      <c r="BI2765" s="263"/>
      <c r="BJ2765" s="404">
        <f>altaz(J2000_Bas,$O2765,$M2765,DecLat,DecLong,2)</f>
        <v>36.944180435827839</v>
      </c>
      <c r="BK2765" s="378" t="s">
        <v>2581</v>
      </c>
      <c r="BL2765" s="379">
        <f>IF((2*G2765)/60&lt;0.2,0.2,(2*G2765)/60)</f>
        <v>0.2</v>
      </c>
      <c r="BM2765" s="380">
        <f>MOD((50000+AD2765-$B$3+(0/24)),1)</f>
        <v>0.16382235033233883</v>
      </c>
      <c r="BN2765" s="381"/>
      <c r="BO2765" s="382">
        <v>2756</v>
      </c>
    </row>
    <row r="2766" spans="1:67" s="24" customFormat="1" ht="15" customHeight="1" x14ac:dyDescent="0.25">
      <c r="A2766" s="288" t="s">
        <v>2582</v>
      </c>
      <c r="B2766" s="241" t="str">
        <f>HYPERLINK(CONCATENATE($AT$3,BK2766,$AU$3),$AV$3)</f>
        <v>S</v>
      </c>
      <c r="C2766" s="242" t="str">
        <f>HYPERLINK(CONCATENATE($AT$4,BK2766,$AU$4,BL2766),$AV$4)</f>
        <v>A</v>
      </c>
      <c r="D2766" s="243" t="s">
        <v>5187</v>
      </c>
      <c r="E2766" s="244" t="s">
        <v>5183</v>
      </c>
      <c r="F2766" s="269" t="s">
        <v>5180</v>
      </c>
      <c r="G2766" s="276">
        <v>60</v>
      </c>
      <c r="H2766" s="283">
        <v>3000</v>
      </c>
      <c r="I2766" s="246">
        <v>50</v>
      </c>
      <c r="J2766" s="246">
        <v>3</v>
      </c>
      <c r="K2766" s="247" t="s">
        <v>9384</v>
      </c>
      <c r="L2766" s="248">
        <v>222916</v>
      </c>
      <c r="M2766" s="249">
        <f>15*(LEFT(TEXT($L2766,"000000"),2)+(MID(TEXT($L2766,"000000"),3,2)/60)+(RIGHT(TEXT($L2766,"000000"),2)/3600))</f>
        <v>337.31666666666672</v>
      </c>
      <c r="N2766" s="250">
        <v>645108</v>
      </c>
      <c r="O2766" s="251">
        <f>IF($N2766&gt;0,(LEFT(TEXT($N2766,"000000"),2)+(MID(TEXT($N2766,"000000"),3,2)/60)+(RIGHT(TEXT($N2766,"000000"),2)/3600)),-(MID(TEXT($N2766,"000000"),2,2)+(MID(TEXT($N2766,"000000"),4,2)/60)+(RIGHT(TEXT($N2766,"000000"),2)/3600)))</f>
        <v>64.85222222222221</v>
      </c>
      <c r="P2766" s="252" t="s">
        <v>52</v>
      </c>
      <c r="Q2766" s="253"/>
      <c r="R2766" s="247" t="s">
        <v>3293</v>
      </c>
      <c r="S2766" s="272" t="s">
        <v>5165</v>
      </c>
      <c r="T2766" s="273"/>
      <c r="U2766" s="274"/>
      <c r="V2766" s="280"/>
      <c r="W2766" s="244"/>
      <c r="X2766" s="244"/>
      <c r="Y2766" s="362"/>
      <c r="Z2766" s="257">
        <f>altaz(J2000_Bas,$O2766,$M2766,DecLat,DecLong,1)</f>
        <v>43.939580580766879</v>
      </c>
      <c r="AA2766" s="257">
        <f>altaz((J2000_Bas+(2*0.04167)),$O2766,$M2766,DecLat,DecLong,1)</f>
        <v>53.683494191596019</v>
      </c>
      <c r="AB2766" s="257">
        <f>altaz((J2000_Bas+(4*0.04167)),$O2766,$M2766,DecLat,DecLong,1)</f>
        <v>55.703781768744584</v>
      </c>
      <c r="AC2766" s="257">
        <f>altaz((J2000_Bas+(6*0.04167)),$O2766,$M2766,DecLat,DecLong,1)</f>
        <v>48.550760664693236</v>
      </c>
      <c r="AD2766" s="258">
        <f>1+ transit((J2000_Bas-1),$O2766,$M2766,DecLat,DecLong)/360 + (GMTOffset/24) + (IF(DST="Y", 1, 0)/24)</f>
        <v>1.9298906076713747</v>
      </c>
      <c r="AE2766" s="259">
        <f>DATE(2001,9,21)+(M2766/360)*365 - (360*((DecLong/360)- (GMTOffset/24) ))</f>
        <v>37502.001620370371</v>
      </c>
      <c r="AF2766" s="260">
        <f>IF(DecLat&gt;0,IF((90 - (DecLat-O2766))&gt;90, (90 - (O2766-DecLat)), (90 - (DecLat-O2766))),IF((90 + (DecLat-O2766))&gt;90, (90 + (O2766-DecLat)), (90 + (DecLat-O2766))))</f>
        <v>56.14777777777779</v>
      </c>
      <c r="AG2766" s="257">
        <f>angularseperation(MoonRA,MoonDec,$M2766,$O2766)</f>
        <v>113.54262708558491</v>
      </c>
      <c r="AH2766" s="261">
        <f ca="1">MIN(100,IF($O$5&gt;80,0+30*($AG2766/100),IF($O$5&gt;70,0+50*($AG2766/100),IF($O$5&gt;60,5+50*($AG2766/100),IF($O$5&gt;50,10+60*($AG2766/100),IF($O$5&gt;40,15+70*($AG2766/100),IF($O$5&gt;30,20+70*($AG2766/100),IF($O$5&gt;20,40+55*($AG2766/100),(80+(20-$O$5)+30*($AG2766/100))))))))))</f>
        <v>100</v>
      </c>
      <c r="AI2766" s="262"/>
      <c r="AJ2766" s="262"/>
      <c r="AK2766" s="262"/>
      <c r="AL2766" s="263"/>
      <c r="AM2766" s="264"/>
      <c r="AN2766" s="263"/>
      <c r="AO2766" s="263"/>
      <c r="AP2766" s="265"/>
      <c r="AQ2766" s="266"/>
      <c r="AR2766" s="267"/>
      <c r="AS2766" s="263"/>
      <c r="AT2766" s="263"/>
      <c r="AU2766" s="263"/>
      <c r="AV2766" s="264"/>
      <c r="AW2766" s="263"/>
      <c r="AX2766" s="263"/>
      <c r="AY2766" s="263">
        <v>520</v>
      </c>
      <c r="AZ2766" s="263">
        <v>1209</v>
      </c>
      <c r="BA2766" s="263"/>
      <c r="BB2766" s="263">
        <v>150</v>
      </c>
      <c r="BC2766" s="263"/>
      <c r="BD2766" s="264"/>
      <c r="BE2766" s="263"/>
      <c r="BF2766" s="263"/>
      <c r="BG2766" s="263"/>
      <c r="BH2766" s="263"/>
      <c r="BI2766" s="263">
        <v>100</v>
      </c>
      <c r="BJ2766" s="404">
        <f>altaz(J2000_Bas,$O2766,$M2766,DecLat,DecLong,2)</f>
        <v>27.430072330508466</v>
      </c>
      <c r="BK2766" s="378" t="s">
        <v>2582</v>
      </c>
      <c r="BL2766" s="379">
        <f>IF((2*G2766)/60&lt;0.2,0.2,(2*G2766)/60)</f>
        <v>2</v>
      </c>
      <c r="BM2766" s="380">
        <f>MOD((50000+AD2766-$B$3+(0/24)),1)</f>
        <v>0.14525753737689229</v>
      </c>
      <c r="BN2766" s="381"/>
      <c r="BO2766" s="382">
        <v>2757</v>
      </c>
    </row>
    <row r="2767" spans="1:67" s="24" customFormat="1" ht="15" customHeight="1" x14ac:dyDescent="0.25">
      <c r="A2767" s="288" t="s">
        <v>2583</v>
      </c>
      <c r="B2767" s="241" t="str">
        <f>HYPERLINK(CONCATENATE($AT$3,BK2767,$AU$3),$AV$3)</f>
        <v>S</v>
      </c>
      <c r="C2767" s="242" t="str">
        <f>HYPERLINK(CONCATENATE($AT$4,BK2767,$AU$4,BL2767),$AV$4)</f>
        <v>A</v>
      </c>
      <c r="D2767" s="243" t="s">
        <v>5187</v>
      </c>
      <c r="E2767" s="244" t="s">
        <v>5183</v>
      </c>
      <c r="F2767" s="269" t="s">
        <v>5180</v>
      </c>
      <c r="G2767" s="276">
        <v>30</v>
      </c>
      <c r="H2767" s="283">
        <v>19000</v>
      </c>
      <c r="I2767" s="246">
        <v>180</v>
      </c>
      <c r="J2767" s="246">
        <v>2</v>
      </c>
      <c r="K2767" s="247" t="s">
        <v>6321</v>
      </c>
      <c r="L2767" s="248">
        <v>230300</v>
      </c>
      <c r="M2767" s="249">
        <f>15*(LEFT(TEXT($L2767,"000000"),2)+(MID(TEXT($L2767,"000000"),3,2)/60)+(RIGHT(TEXT($L2767,"000000"),2)/3600))</f>
        <v>345.75</v>
      </c>
      <c r="N2767" s="286">
        <v>570500</v>
      </c>
      <c r="O2767" s="251">
        <f>IF($N2767&gt;0,(LEFT(TEXT($N2767,"000000"),2)+(MID(TEXT($N2767,"000000"),3,2)/60)+(RIGHT(TEXT($N2767,"000000"),2)/3600)),-(MID(TEXT($N2767,"000000"),2,2)+(MID(TEXT($N2767,"000000"),4,2)/60)+(RIGHT(TEXT($N2767,"000000"),2)/3600)))</f>
        <v>57.083333333333336</v>
      </c>
      <c r="P2767" s="252" t="s">
        <v>52</v>
      </c>
      <c r="Q2767" s="253"/>
      <c r="R2767" s="277" t="s">
        <v>3293</v>
      </c>
      <c r="S2767" s="272" t="s">
        <v>3293</v>
      </c>
      <c r="T2767" s="273"/>
      <c r="U2767" s="274"/>
      <c r="V2767" s="280"/>
      <c r="W2767" s="244"/>
      <c r="X2767" s="244"/>
      <c r="Y2767" s="362"/>
      <c r="Z2767" s="257">
        <f>altaz(J2000_Bas,$O2767,$M2767,DecLat,DecLong,1)</f>
        <v>41.838367931280516</v>
      </c>
      <c r="AA2767" s="257">
        <f>altaz((J2000_Bas+(2*0.04167)),$O2767,$M2767,DecLat,DecLong,1)</f>
        <v>56.836567919039894</v>
      </c>
      <c r="AB2767" s="257">
        <f>altaz((J2000_Bas+(4*0.04167)),$O2767,$M2767,DecLat,DecLong,1)</f>
        <v>63.915022538860534</v>
      </c>
      <c r="AC2767" s="257">
        <f>altaz((J2000_Bas+(6*0.04167)),$O2767,$M2767,DecLat,DecLong,1)</f>
        <v>56.478271590252362</v>
      </c>
      <c r="AD2767" s="258">
        <f>1+ transit((J2000_Bas-1),$O2767,$M2767,DecLat,DecLong)/360 + (GMTOffset/24) + (IF(DST="Y", 1, 0)/24)</f>
        <v>1.9533165312547081</v>
      </c>
      <c r="AE2767" s="259">
        <f>DATE(2001,9,21)+(M2767/360)*365 - (360*((DecLong/360)- (GMTOffset/24) ))</f>
        <v>37510.552083333336</v>
      </c>
      <c r="AF2767" s="260">
        <f>IF(DecLat&gt;0,IF((90 - (DecLat-O2767))&gt;90, (90 - (O2767-DecLat)), (90 - (DecLat-O2767))),IF((90 + (DecLat-O2767))&gt;90, (90 + (O2767-DecLat)), (90 + (DecLat-O2767))))</f>
        <v>63.916666666666664</v>
      </c>
      <c r="AG2767" s="257">
        <f>angularseperation(MoonRA,MoonDec,$M2767,$O2767)</f>
        <v>115.91540896080551</v>
      </c>
      <c r="AH2767" s="261">
        <f ca="1">MIN(100,IF($O$5&gt;80,0+30*($AG2767/100),IF($O$5&gt;70,0+50*($AG2767/100),IF($O$5&gt;60,5+50*($AG2767/100),IF($O$5&gt;50,10+60*($AG2767/100),IF($O$5&gt;40,15+70*($AG2767/100),IF($O$5&gt;30,20+70*($AG2767/100),IF($O$5&gt;20,40+55*($AG2767/100),(80+(20-$O$5)+30*($AG2767/100))))))))))</f>
        <v>100</v>
      </c>
      <c r="AI2767" s="263"/>
      <c r="AJ2767" s="263"/>
      <c r="AK2767" s="263"/>
      <c r="AL2767" s="263"/>
      <c r="AM2767" s="264"/>
      <c r="AN2767" s="263"/>
      <c r="AO2767" s="263"/>
      <c r="AP2767" s="265"/>
      <c r="AQ2767" s="265"/>
      <c r="AR2767" s="285"/>
      <c r="AS2767" s="263"/>
      <c r="AT2767" s="263"/>
      <c r="AU2767" s="263"/>
      <c r="AV2767" s="264"/>
      <c r="AW2767" s="263"/>
      <c r="AX2767" s="263"/>
      <c r="AY2767" s="263">
        <v>517</v>
      </c>
      <c r="AZ2767" s="263"/>
      <c r="BA2767" s="263"/>
      <c r="BB2767" s="263">
        <v>151</v>
      </c>
      <c r="BC2767" s="263"/>
      <c r="BD2767" s="264"/>
      <c r="BE2767" s="263"/>
      <c r="BF2767" s="263"/>
      <c r="BG2767" s="263"/>
      <c r="BH2767" s="263"/>
      <c r="BI2767" s="263"/>
      <c r="BJ2767" s="404">
        <f>altaz(J2000_Bas,$O2767,$M2767,DecLat,DecLong,2)</f>
        <v>39.05440095553238</v>
      </c>
      <c r="BK2767" s="378" t="s">
        <v>2583</v>
      </c>
      <c r="BL2767" s="379">
        <f>IF((2*G2767)/60&lt;0.2,0.2,(2*G2767)/60)</f>
        <v>1</v>
      </c>
      <c r="BM2767" s="380">
        <f>MOD((50000+AD2767-$B$3+(0/24)),1)</f>
        <v>0.16868346095725428</v>
      </c>
      <c r="BN2767" s="381"/>
      <c r="BO2767" s="382">
        <v>2758</v>
      </c>
    </row>
    <row r="2768" spans="1:67" s="24" customFormat="1" ht="15" customHeight="1" x14ac:dyDescent="0.25">
      <c r="A2768" s="288" t="s">
        <v>2584</v>
      </c>
      <c r="B2768" s="241" t="str">
        <f>HYPERLINK(CONCATENATE($AT$3,BK2768,$AU$3),$AV$3)</f>
        <v>S</v>
      </c>
      <c r="C2768" s="242" t="str">
        <f>HYPERLINK(CONCATENATE($AT$4,BK2768,$AU$4,BL2768),$AV$4)</f>
        <v>A</v>
      </c>
      <c r="D2768" s="243" t="s">
        <v>5187</v>
      </c>
      <c r="E2768" s="244" t="s">
        <v>5183</v>
      </c>
      <c r="F2768" s="269" t="s">
        <v>5180</v>
      </c>
      <c r="G2768" s="273">
        <v>1</v>
      </c>
      <c r="H2768" s="283">
        <v>8000</v>
      </c>
      <c r="I2768" s="279">
        <v>2.2999999999999998</v>
      </c>
      <c r="J2768" s="246">
        <v>3</v>
      </c>
      <c r="K2768" s="247" t="s">
        <v>5166</v>
      </c>
      <c r="L2768" s="248">
        <v>225841</v>
      </c>
      <c r="M2768" s="249">
        <f>15*(LEFT(TEXT($L2768,"000000"),2)+(MID(TEXT($L2768,"000000"),3,2)/60)+(RIGHT(TEXT($L2768,"000000"),2)/3600))</f>
        <v>344.67083333333329</v>
      </c>
      <c r="N2768" s="250">
        <v>584659</v>
      </c>
      <c r="O2768" s="251">
        <f>IF($N2768&gt;0,(LEFT(TEXT($N2768,"000000"),2)+(MID(TEXT($N2768,"000000"),3,2)/60)+(RIGHT(TEXT($N2768,"000000"),2)/3600)),-(MID(TEXT($N2768,"000000"),2,2)+(MID(TEXT($N2768,"000000"),4,2)/60)+(RIGHT(TEXT($N2768,"000000"),2)/3600)))</f>
        <v>58.783055555555556</v>
      </c>
      <c r="P2768" s="252" t="s">
        <v>49</v>
      </c>
      <c r="Q2768" s="253"/>
      <c r="R2768" s="247" t="s">
        <v>3293</v>
      </c>
      <c r="S2768" s="272" t="s">
        <v>2585</v>
      </c>
      <c r="T2768" s="273"/>
      <c r="U2768" s="274"/>
      <c r="V2768" s="280"/>
      <c r="W2768" s="244"/>
      <c r="X2768" s="244"/>
      <c r="Y2768" s="362"/>
      <c r="Z2768" s="257">
        <f>altaz(J2000_Bas,$O2768,$M2768,DecLat,DecLong,1)</f>
        <v>42.180975205799307</v>
      </c>
      <c r="AA2768" s="257">
        <f>altaz((J2000_Bas+(2*0.04167)),$O2768,$M2768,DecLat,DecLong,1)</f>
        <v>56.157654639586518</v>
      </c>
      <c r="AB2768" s="257">
        <f>altaz((J2000_Bas+(4*0.04167)),$O2768,$M2768,DecLat,DecLong,1)</f>
        <v>62.198215722365269</v>
      </c>
      <c r="AC2768" s="257">
        <f>altaz((J2000_Bas+(6*0.04167)),$O2768,$M2768,DecLat,DecLong,1)</f>
        <v>54.975566183780529</v>
      </c>
      <c r="AD2768" s="258">
        <f>1+ transit((J2000_Bas-1),$O2768,$M2768,DecLat,DecLong)/360 + (GMTOffset/24) + (IF(DST="Y", 1, 0)/24)</f>
        <v>1.9503188463692911</v>
      </c>
      <c r="AE2768" s="259">
        <f>DATE(2001,9,21)+(M2768/360)*365 - (360*((DecLong/360)- (GMTOffset/24) ))</f>
        <v>37509.457928240743</v>
      </c>
      <c r="AF2768" s="260">
        <f>IF(DecLat&gt;0,IF((90 - (DecLat-O2768))&gt;90, (90 - (O2768-DecLat)), (90 - (DecLat-O2768))),IF((90 + (DecLat-O2768))&gt;90, (90 + (O2768-DecLat)), (90 + (DecLat-O2768))))</f>
        <v>62.216944444444444</v>
      </c>
      <c r="AG2768" s="257">
        <f>angularseperation(MoonRA,MoonDec,$M2768,$O2768)</f>
        <v>115.66021810471595</v>
      </c>
      <c r="AH2768" s="261">
        <f ca="1">MIN(100,IF($O$5&gt;80,0+30*($AG2768/100),IF($O$5&gt;70,0+50*($AG2768/100),IF($O$5&gt;60,5+50*($AG2768/100),IF($O$5&gt;50,10+60*($AG2768/100),IF($O$5&gt;40,15+70*($AG2768/100),IF($O$5&gt;30,20+70*($AG2768/100),IF($O$5&gt;20,40+55*($AG2768/100),(80+(20-$O$5)+30*($AG2768/100))))))))))</f>
        <v>100</v>
      </c>
      <c r="AI2768" s="262"/>
      <c r="AJ2768" s="262"/>
      <c r="AK2768" s="262"/>
      <c r="AL2768" s="263"/>
      <c r="AM2768" s="264"/>
      <c r="AN2768" s="263"/>
      <c r="AO2768" s="263"/>
      <c r="AP2768" s="265"/>
      <c r="AQ2768" s="266"/>
      <c r="AR2768" s="267"/>
      <c r="AS2768" s="263"/>
      <c r="AT2768" s="263"/>
      <c r="AU2768" s="263"/>
      <c r="AV2768" s="264"/>
      <c r="AW2768" s="263"/>
      <c r="AX2768" s="263"/>
      <c r="AY2768" s="263">
        <v>519</v>
      </c>
      <c r="AZ2768" s="263"/>
      <c r="BA2768" s="263"/>
      <c r="BB2768" s="263">
        <v>152</v>
      </c>
      <c r="BC2768" s="263"/>
      <c r="BD2768" s="264"/>
      <c r="BE2768" s="263"/>
      <c r="BF2768" s="263"/>
      <c r="BG2768" s="263"/>
      <c r="BH2768" s="263">
        <v>73</v>
      </c>
      <c r="BI2768" s="263"/>
      <c r="BJ2768" s="404">
        <f>altaz(J2000_Bas,$O2768,$M2768,DecLat,DecLong,2)</f>
        <v>36.684829626254817</v>
      </c>
      <c r="BK2768" s="378" t="s">
        <v>2584</v>
      </c>
      <c r="BL2768" s="379">
        <f>IF((2*G2768)/60&lt;0.2,0.2,(2*G2768)/60)</f>
        <v>0.2</v>
      </c>
      <c r="BM2768" s="380">
        <f>MOD((50000+AD2768-$B$3+(0/24)),1)</f>
        <v>0.16568577607540647</v>
      </c>
      <c r="BN2768" s="381"/>
      <c r="BO2768" s="382">
        <v>2759</v>
      </c>
    </row>
    <row r="2769" spans="1:67" s="24" customFormat="1" ht="15" customHeight="1" x14ac:dyDescent="0.25">
      <c r="A2769" s="288" t="s">
        <v>2585</v>
      </c>
      <c r="B2769" s="241" t="str">
        <f>HYPERLINK(CONCATENATE($AT$3,BK2769,$AU$3),$AV$3)</f>
        <v>S</v>
      </c>
      <c r="C2769" s="242" t="str">
        <f>HYPERLINK(CONCATENATE($AT$4,BK2769,$AU$4,BL2769),$AV$4)</f>
        <v>A</v>
      </c>
      <c r="D2769" s="243" t="s">
        <v>5187</v>
      </c>
      <c r="E2769" s="244" t="s">
        <v>5183</v>
      </c>
      <c r="F2769" s="269" t="s">
        <v>5180</v>
      </c>
      <c r="G2769" s="273">
        <v>3</v>
      </c>
      <c r="H2769" s="283">
        <v>8000</v>
      </c>
      <c r="I2769" s="279">
        <v>7</v>
      </c>
      <c r="J2769" s="246">
        <v>1</v>
      </c>
      <c r="K2769" s="247" t="s">
        <v>5167</v>
      </c>
      <c r="L2769" s="248">
        <v>225841</v>
      </c>
      <c r="M2769" s="249">
        <f>15*(LEFT(TEXT($L2769,"000000"),2)+(MID(TEXT($L2769,"000000"),3,2)/60)+(RIGHT(TEXT($L2769,"000000"),2)/3600))</f>
        <v>344.67083333333329</v>
      </c>
      <c r="N2769" s="286">
        <v>584720</v>
      </c>
      <c r="O2769" s="251">
        <f>IF($N2769&gt;0,(LEFT(TEXT($N2769,"000000"),2)+(MID(TEXT($N2769,"000000"),3,2)/60)+(RIGHT(TEXT($N2769,"000000"),2)/3600)),-(MID(TEXT($N2769,"000000"),2,2)+(MID(TEXT($N2769,"000000"),4,2)/60)+(RIGHT(TEXT($N2769,"000000"),2)/3600)))</f>
        <v>58.788888888888884</v>
      </c>
      <c r="P2769" s="252" t="s">
        <v>49</v>
      </c>
      <c r="Q2769" s="253"/>
      <c r="R2769" s="247" t="s">
        <v>3293</v>
      </c>
      <c r="S2769" s="272" t="s">
        <v>2584</v>
      </c>
      <c r="T2769" s="273"/>
      <c r="U2769" s="274"/>
      <c r="V2769" s="280"/>
      <c r="W2769" s="244"/>
      <c r="X2769" s="244"/>
      <c r="Y2769" s="362"/>
      <c r="Z2769" s="257">
        <f>altaz(J2000_Bas,$O2769,$M2769,DecLat,DecLong,1)</f>
        <v>42.180075559044987</v>
      </c>
      <c r="AA2769" s="257">
        <f>altaz((J2000_Bas+(2*0.04167)),$O2769,$M2769,DecLat,DecLong,1)</f>
        <v>56.1537078349482</v>
      </c>
      <c r="AB2769" s="257">
        <f>altaz((J2000_Bas+(4*0.04167)),$O2769,$M2769,DecLat,DecLong,1)</f>
        <v>62.19238914971509</v>
      </c>
      <c r="AC2769" s="257">
        <f>altaz((J2000_Bas+(6*0.04167)),$O2769,$M2769,DecLat,DecLong,1)</f>
        <v>54.971932021170822</v>
      </c>
      <c r="AD2769" s="258">
        <f>1+ transit((J2000_Bas-1),$O2769,$M2769,DecLat,DecLong)/360 + (GMTOffset/24) + (IF(DST="Y", 1, 0)/24)</f>
        <v>1.9503188463692911</v>
      </c>
      <c r="AE2769" s="259">
        <f>DATE(2001,9,21)+(M2769/360)*365 - (360*((DecLong/360)- (GMTOffset/24) ))</f>
        <v>37509.457928240743</v>
      </c>
      <c r="AF2769" s="260">
        <f>IF(DecLat&gt;0,IF((90 - (DecLat-O2769))&gt;90, (90 - (O2769-DecLat)), (90 - (DecLat-O2769))),IF((90 + (DecLat-O2769))&gt;90, (90 + (O2769-DecLat)), (90 + (DecLat-O2769))))</f>
        <v>62.211111111111116</v>
      </c>
      <c r="AG2769" s="257">
        <f>angularseperation(MoonRA,MoonDec,$M2769,$O2769)</f>
        <v>115.66127886710083</v>
      </c>
      <c r="AH2769" s="261">
        <f ca="1">MIN(100,IF($O$5&gt;80,0+30*($AG2769/100),IF($O$5&gt;70,0+50*($AG2769/100),IF($O$5&gt;60,5+50*($AG2769/100),IF($O$5&gt;50,10+60*($AG2769/100),IF($O$5&gt;40,15+70*($AG2769/100),IF($O$5&gt;30,20+70*($AG2769/100),IF($O$5&gt;20,40+55*($AG2769/100),(80+(20-$O$5)+30*($AG2769/100))))))))))</f>
        <v>100</v>
      </c>
      <c r="AI2769" s="262"/>
      <c r="AJ2769" s="262"/>
      <c r="AK2769" s="262"/>
      <c r="AL2769" s="263"/>
      <c r="AM2769" s="264"/>
      <c r="AN2769" s="263"/>
      <c r="AO2769" s="263"/>
      <c r="AP2769" s="265"/>
      <c r="AQ2769" s="266"/>
      <c r="AR2769" s="267"/>
      <c r="AS2769" s="263"/>
      <c r="AT2769" s="263"/>
      <c r="AU2769" s="263"/>
      <c r="AV2769" s="264"/>
      <c r="AW2769" s="263"/>
      <c r="AX2769" s="263"/>
      <c r="AY2769" s="263">
        <v>518</v>
      </c>
      <c r="AZ2769" s="263"/>
      <c r="BA2769" s="263"/>
      <c r="BB2769" s="263">
        <v>153</v>
      </c>
      <c r="BC2769" s="263"/>
      <c r="BD2769" s="264"/>
      <c r="BE2769" s="263"/>
      <c r="BF2769" s="263"/>
      <c r="BG2769" s="263"/>
      <c r="BH2769" s="263"/>
      <c r="BI2769" s="263"/>
      <c r="BJ2769" s="404">
        <f>altaz(J2000_Bas,$O2769,$M2769,DecLat,DecLong,2)</f>
        <v>36.67705191220945</v>
      </c>
      <c r="BK2769" s="378" t="s">
        <v>2585</v>
      </c>
      <c r="BL2769" s="379">
        <f>IF((2*G2769)/60&lt;0.2,0.2,(2*G2769)/60)</f>
        <v>0.2</v>
      </c>
      <c r="BM2769" s="380">
        <f>MOD((50000+AD2769-$B$3+(0/24)),1)</f>
        <v>0.16568577607540647</v>
      </c>
      <c r="BN2769" s="381"/>
      <c r="BO2769" s="382">
        <v>2760</v>
      </c>
    </row>
    <row r="2770" spans="1:67" s="24" customFormat="1" ht="15" customHeight="1" x14ac:dyDescent="0.25">
      <c r="A2770" s="288" t="s">
        <v>2586</v>
      </c>
      <c r="B2770" s="241" t="str">
        <f>HYPERLINK(CONCATENATE($AT$3,BK2770,$AU$3),$AV$3)</f>
        <v>S</v>
      </c>
      <c r="C2770" s="242" t="str">
        <f>HYPERLINK(CONCATENATE($AT$4,BK2770,$AU$4,BL2770),$AV$4)</f>
        <v>A</v>
      </c>
      <c r="D2770" s="243" t="s">
        <v>5187</v>
      </c>
      <c r="E2770" s="244" t="s">
        <v>5183</v>
      </c>
      <c r="F2770" s="269" t="s">
        <v>5180</v>
      </c>
      <c r="G2770" s="276">
        <v>40</v>
      </c>
      <c r="H2770" s="283">
        <v>3400</v>
      </c>
      <c r="I2770" s="246">
        <v>40</v>
      </c>
      <c r="J2770" s="246">
        <v>2</v>
      </c>
      <c r="K2770" s="247" t="s">
        <v>6322</v>
      </c>
      <c r="L2770" s="248">
        <v>225200</v>
      </c>
      <c r="M2770" s="249">
        <f>15*(LEFT(TEXT($L2770,"000000"),2)+(MID(TEXT($L2770,"000000"),3,2)/60)+(RIGHT(TEXT($L2770,"000000"),2)/3600))</f>
        <v>343</v>
      </c>
      <c r="N2770" s="286">
        <v>611300</v>
      </c>
      <c r="O2770" s="251">
        <f>IF($N2770&gt;0,(LEFT(TEXT($N2770,"000000"),2)+(MID(TEXT($N2770,"000000"),3,2)/60)+(RIGHT(TEXT($N2770,"000000"),2)/3600)),-(MID(TEXT($N2770,"000000"),2,2)+(MID(TEXT($N2770,"000000"),4,2)/60)+(RIGHT(TEXT($N2770,"000000"),2)/3600)))</f>
        <v>61.216666666666669</v>
      </c>
      <c r="P2770" s="252" t="s">
        <v>49</v>
      </c>
      <c r="Q2770" s="253"/>
      <c r="R2770" s="277" t="s">
        <v>3293</v>
      </c>
      <c r="S2770" s="272" t="s">
        <v>3293</v>
      </c>
      <c r="T2770" s="273"/>
      <c r="U2770" s="274"/>
      <c r="V2770" s="280"/>
      <c r="W2770" s="244"/>
      <c r="X2770" s="244"/>
      <c r="Y2770" s="362"/>
      <c r="Z2770" s="257">
        <f>altaz(J2000_Bas,$O2770,$M2770,DecLat,DecLong,1)</f>
        <v>42.547831763699136</v>
      </c>
      <c r="AA2770" s="257">
        <f>altaz((J2000_Bas+(2*0.04167)),$O2770,$M2770,DecLat,DecLong,1)</f>
        <v>55.027651238270273</v>
      </c>
      <c r="AB2770" s="257">
        <f>altaz((J2000_Bas+(4*0.04167)),$O2770,$M2770,DecLat,DecLong,1)</f>
        <v>59.711435509301893</v>
      </c>
      <c r="AC2770" s="257">
        <f>altaz((J2000_Bas+(6*0.04167)),$O2770,$M2770,DecLat,DecLong,1)</f>
        <v>52.800474881024911</v>
      </c>
      <c r="AD2770" s="258">
        <f>1+ transit((J2000_Bas-1),$O2770,$M2770,DecLat,DecLong)/360 + (GMTOffset/24) + (IF(DST="Y", 1, 0)/24)</f>
        <v>1.9456776431297083</v>
      </c>
      <c r="AE2770" s="259">
        <f>DATE(2001,9,21)+(M2770/360)*365 - (360*((DecLong/360)- (GMTOffset/24) ))</f>
        <v>37507.763888888891</v>
      </c>
      <c r="AF2770" s="260">
        <f>IF(DecLat&gt;0,IF((90 - (DecLat-O2770))&gt;90, (90 - (O2770-DecLat)), (90 - (DecLat-O2770))),IF((90 + (DecLat-O2770))&gt;90, (90 + (O2770-DecLat)), (90 + (DecLat-O2770))))</f>
        <v>59.783333333333331</v>
      </c>
      <c r="AG2770" s="257">
        <f>angularseperation(MoonRA,MoonDec,$M2770,$O2770)</f>
        <v>115.28636895233912</v>
      </c>
      <c r="AH2770" s="261">
        <f ca="1">MIN(100,IF($O$5&gt;80,0+30*($AG2770/100),IF($O$5&gt;70,0+50*($AG2770/100),IF($O$5&gt;60,5+50*($AG2770/100),IF($O$5&gt;50,10+60*($AG2770/100),IF($O$5&gt;40,15+70*($AG2770/100),IF($O$5&gt;30,20+70*($AG2770/100),IF($O$5&gt;20,40+55*($AG2770/100),(80+(20-$O$5)+30*($AG2770/100))))))))))</f>
        <v>100</v>
      </c>
      <c r="AI2770" s="263"/>
      <c r="AJ2770" s="263"/>
      <c r="AK2770" s="263"/>
      <c r="AL2770" s="263"/>
      <c r="AM2770" s="264"/>
      <c r="AN2770" s="263"/>
      <c r="AO2770" s="263"/>
      <c r="AP2770" s="265"/>
      <c r="AQ2770" s="265"/>
      <c r="AR2770" s="285"/>
      <c r="AS2770" s="263"/>
      <c r="AT2770" s="263"/>
      <c r="AU2770" s="263"/>
      <c r="AV2770" s="264"/>
      <c r="AW2770" s="263"/>
      <c r="AX2770" s="263"/>
      <c r="AY2770" s="263">
        <v>521</v>
      </c>
      <c r="AZ2770" s="263"/>
      <c r="BA2770" s="263"/>
      <c r="BB2770" s="263">
        <v>154</v>
      </c>
      <c r="BC2770" s="263"/>
      <c r="BD2770" s="264"/>
      <c r="BE2770" s="263"/>
      <c r="BF2770" s="263"/>
      <c r="BG2770" s="263"/>
      <c r="BH2770" s="263"/>
      <c r="BI2770" s="263">
        <v>103</v>
      </c>
      <c r="BJ2770" s="404">
        <f>altaz(J2000_Bas,$O2770,$M2770,DecLat,DecLong,2)</f>
        <v>33.238097912790742</v>
      </c>
      <c r="BK2770" s="378" t="s">
        <v>2586</v>
      </c>
      <c r="BL2770" s="379">
        <f>IF((2*G2770)/60&lt;0.2,0.2,(2*G2770)/60)</f>
        <v>1.3333333333333333</v>
      </c>
      <c r="BM2770" s="380">
        <f>MOD((50000+AD2770-$B$3+(0/24)),1)</f>
        <v>0.16104457283654483</v>
      </c>
      <c r="BN2770" s="381"/>
      <c r="BO2770" s="382">
        <v>2761</v>
      </c>
    </row>
    <row r="2771" spans="1:67" s="24" customFormat="1" ht="15" customHeight="1" x14ac:dyDescent="0.25">
      <c r="A2771" s="288" t="s">
        <v>2587</v>
      </c>
      <c r="B2771" s="241" t="str">
        <f>HYPERLINK(CONCATENATE($AT$3,BK2771,$AU$3),$AV$3)</f>
        <v>S</v>
      </c>
      <c r="C2771" s="242" t="str">
        <f>HYPERLINK(CONCATENATE($AT$4,BK2771,$AU$4,BL2771),$AV$4)</f>
        <v>A</v>
      </c>
      <c r="D2771" s="243" t="s">
        <v>5187</v>
      </c>
      <c r="E2771" s="244" t="s">
        <v>5183</v>
      </c>
      <c r="F2771" s="269" t="s">
        <v>5180</v>
      </c>
      <c r="G2771" s="276">
        <v>50</v>
      </c>
      <c r="H2771" s="283">
        <v>2400</v>
      </c>
      <c r="I2771" s="246">
        <v>35</v>
      </c>
      <c r="J2771" s="246">
        <v>4</v>
      </c>
      <c r="K2771" s="247" t="s">
        <v>5169</v>
      </c>
      <c r="L2771" s="248">
        <v>225754</v>
      </c>
      <c r="M2771" s="249">
        <f>15*(LEFT(TEXT($L2771,"000000"),2)+(MID(TEXT($L2771,"000000"),3,2)/60)+(RIGHT(TEXT($L2771,"000000"),2)/3600))</f>
        <v>344.47500000000002</v>
      </c>
      <c r="N2771" s="250">
        <v>623106</v>
      </c>
      <c r="O2771" s="251">
        <f>IF($N2771&gt;0,(LEFT(TEXT($N2771,"000000"),2)+(MID(TEXT($N2771,"000000"),3,2)/60)+(RIGHT(TEXT($N2771,"000000"),2)/3600)),-(MID(TEXT($N2771,"000000"),2,2)+(MID(TEXT($N2771,"000000"),4,2)/60)+(RIGHT(TEXT($N2771,"000000"),2)/3600)))</f>
        <v>62.518333333333331</v>
      </c>
      <c r="P2771" s="252" t="s">
        <v>52</v>
      </c>
      <c r="Q2771" s="253" t="s">
        <v>5168</v>
      </c>
      <c r="R2771" s="247" t="s">
        <v>7333</v>
      </c>
      <c r="S2771" s="272" t="s">
        <v>3293</v>
      </c>
      <c r="T2771" s="273"/>
      <c r="U2771" s="274"/>
      <c r="V2771" s="280"/>
      <c r="W2771" s="244"/>
      <c r="X2771" s="244"/>
      <c r="Y2771" s="362"/>
      <c r="Z2771" s="257">
        <f>altaz(J2000_Bas,$O2771,$M2771,DecLat,DecLong,1)</f>
        <v>41.587162060687888</v>
      </c>
      <c r="AA2771" s="257">
        <f>altaz((J2000_Bas+(2*0.04167)),$O2771,$M2771,DecLat,DecLong,1)</f>
        <v>53.601330770851106</v>
      </c>
      <c r="AB2771" s="257">
        <f>altaz((J2000_Bas+(4*0.04167)),$O2771,$M2771,DecLat,DecLong,1)</f>
        <v>58.4626642778262</v>
      </c>
      <c r="AC2771" s="257">
        <f>altaz((J2000_Bas+(6*0.04167)),$O2771,$M2771,DecLat,DecLong,1)</f>
        <v>52.482350044964242</v>
      </c>
      <c r="AD2771" s="258">
        <f>1+ transit((J2000_Bas-1),$O2771,$M2771,DecLat,DecLong)/360 + (GMTOffset/24) + (IF(DST="Y", 1, 0)/24)</f>
        <v>1.949774864942208</v>
      </c>
      <c r="AE2771" s="259">
        <f>DATE(2001,9,21)+(M2771/360)*365 - (360*((DecLong/360)- (GMTOffset/24) ))</f>
        <v>37509.259375000001</v>
      </c>
      <c r="AF2771" s="260">
        <f>IF(DecLat&gt;0,IF((90 - (DecLat-O2771))&gt;90, (90 - (O2771-DecLat)), (90 - (DecLat-O2771))),IF((90 + (DecLat-O2771))&gt;90, (90 + (O2771-DecLat)), (90 + (DecLat-O2771))))</f>
        <v>58.481666666666669</v>
      </c>
      <c r="AG2771" s="257">
        <f>angularseperation(MoonRA,MoonDec,$M2771,$O2771)</f>
        <v>116.19291405382555</v>
      </c>
      <c r="AH2771" s="261">
        <f ca="1">MIN(100,IF($O$5&gt;80,0+30*($AG2771/100),IF($O$5&gt;70,0+50*($AG2771/100),IF($O$5&gt;60,5+50*($AG2771/100),IF($O$5&gt;50,10+60*($AG2771/100),IF($O$5&gt;40,15+70*($AG2771/100),IF($O$5&gt;30,20+70*($AG2771/100),IF($O$5&gt;20,40+55*($AG2771/100),(80+(20-$O$5)+30*($AG2771/100))))))))))</f>
        <v>100</v>
      </c>
      <c r="AI2771" s="262"/>
      <c r="AJ2771" s="262"/>
      <c r="AK2771" s="262"/>
      <c r="AL2771" s="263"/>
      <c r="AM2771" s="264">
        <v>9</v>
      </c>
      <c r="AN2771" s="263"/>
      <c r="AO2771" s="263"/>
      <c r="AP2771" s="265"/>
      <c r="AQ2771" s="266"/>
      <c r="AR2771" s="267"/>
      <c r="AS2771" s="263"/>
      <c r="AT2771" s="263"/>
      <c r="AU2771" s="263"/>
      <c r="AV2771" s="264"/>
      <c r="AW2771" s="263"/>
      <c r="AX2771" s="263"/>
      <c r="AY2771" s="263">
        <v>529</v>
      </c>
      <c r="AZ2771" s="263"/>
      <c r="BA2771" s="263"/>
      <c r="BB2771" s="263">
        <v>155</v>
      </c>
      <c r="BC2771" s="263"/>
      <c r="BD2771" s="264"/>
      <c r="BE2771" s="263"/>
      <c r="BF2771" s="263"/>
      <c r="BG2771" s="263"/>
      <c r="BH2771" s="263"/>
      <c r="BI2771" s="263"/>
      <c r="BJ2771" s="404">
        <f>altaz(J2000_Bas,$O2771,$M2771,DecLat,DecLong,2)</f>
        <v>31.729016999891066</v>
      </c>
      <c r="BK2771" s="378" t="s">
        <v>2587</v>
      </c>
      <c r="BL2771" s="379">
        <f>IF((2*G2771)/60&lt;0.2,0.2,(2*G2771)/60)</f>
        <v>1.6666666666666667</v>
      </c>
      <c r="BM2771" s="380">
        <f>MOD((50000+AD2771-$B$3+(0/24)),1)</f>
        <v>0.16514179464866174</v>
      </c>
      <c r="BN2771" s="381"/>
      <c r="BO2771" s="382">
        <v>2762</v>
      </c>
    </row>
    <row r="2772" spans="1:67" s="24" customFormat="1" ht="15" customHeight="1" x14ac:dyDescent="0.25">
      <c r="A2772" s="288" t="s">
        <v>2588</v>
      </c>
      <c r="B2772" s="241" t="str">
        <f>HYPERLINK(CONCATENATE($AT$3,BK2772,$AU$3),$AV$3)</f>
        <v>S</v>
      </c>
      <c r="C2772" s="242" t="str">
        <f>HYPERLINK(CONCATENATE($AT$4,BK2772,$AU$4,BL2772),$AV$4)</f>
        <v>A</v>
      </c>
      <c r="D2772" s="243" t="s">
        <v>5187</v>
      </c>
      <c r="E2772" s="244" t="s">
        <v>5183</v>
      </c>
      <c r="F2772" s="269" t="s">
        <v>5180</v>
      </c>
      <c r="G2772" s="273">
        <v>3</v>
      </c>
      <c r="H2772" s="283">
        <v>9000</v>
      </c>
      <c r="I2772" s="279">
        <v>8</v>
      </c>
      <c r="J2772" s="246">
        <v>3</v>
      </c>
      <c r="K2772" s="247" t="s">
        <v>5170</v>
      </c>
      <c r="L2772" s="248">
        <v>230510</v>
      </c>
      <c r="M2772" s="249">
        <f>15*(LEFT(TEXT($L2772,"000000"),2)+(MID(TEXT($L2772,"000000"),3,2)/60)+(RIGHT(TEXT($L2772,"000000"),2)/3600))</f>
        <v>346.29166666666663</v>
      </c>
      <c r="N2772" s="250">
        <v>601431</v>
      </c>
      <c r="O2772" s="251">
        <f>IF($N2772&gt;0,(LEFT(TEXT($N2772,"000000"),2)+(MID(TEXT($N2772,"000000"),3,2)/60)+(RIGHT(TEXT($N2772,"000000"),2)/3600)),-(MID(TEXT($N2772,"000000"),2,2)+(MID(TEXT($N2772,"000000"),4,2)/60)+(RIGHT(TEXT($N2772,"000000"),2)/3600)))</f>
        <v>60.241944444444442</v>
      </c>
      <c r="P2772" s="252" t="s">
        <v>52</v>
      </c>
      <c r="Q2772" s="253"/>
      <c r="R2772" s="247" t="s">
        <v>3732</v>
      </c>
      <c r="S2772" s="272" t="s">
        <v>3293</v>
      </c>
      <c r="T2772" s="273"/>
      <c r="U2772" s="274"/>
      <c r="V2772" s="280"/>
      <c r="W2772" s="244"/>
      <c r="X2772" s="244"/>
      <c r="Y2772" s="362"/>
      <c r="Z2772" s="257">
        <f>altaz(J2000_Bas,$O2772,$M2772,DecLat,DecLong,1)</f>
        <v>41.146051098643667</v>
      </c>
      <c r="AA2772" s="257">
        <f>altaz((J2000_Bas+(2*0.04167)),$O2772,$M2772,DecLat,DecLong,1)</f>
        <v>54.568013205651006</v>
      </c>
      <c r="AB2772" s="257">
        <f>altaz((J2000_Bas+(4*0.04167)),$O2772,$M2772,DecLat,DecLong,1)</f>
        <v>60.75794619976439</v>
      </c>
      <c r="AC2772" s="257">
        <f>altaz((J2000_Bas+(6*0.04167)),$O2772,$M2772,DecLat,DecLong,1)</f>
        <v>54.656361772712152</v>
      </c>
      <c r="AD2772" s="258">
        <f>1+ transit((J2000_Bas-1),$O2772,$M2772,DecLat,DecLong)/360 + (GMTOffset/24) + (IF(DST="Y", 1, 0)/24)</f>
        <v>1.9548211607338748</v>
      </c>
      <c r="AE2772" s="259">
        <f>DATE(2001,9,21)+(M2772/360)*365 - (360*((DecLong/360)- (GMTOffset/24) ))</f>
        <v>37511.101273148146</v>
      </c>
      <c r="AF2772" s="260">
        <f>IF(DecLat&gt;0,IF((90 - (DecLat-O2772))&gt;90, (90 - (O2772-DecLat)), (90 - (DecLat-O2772))),IF((90 + (DecLat-O2772))&gt;90, (90 + (O2772-DecLat)), (90 + (DecLat-O2772))))</f>
        <v>60.758055555555558</v>
      </c>
      <c r="AG2772" s="257">
        <f>angularseperation(MoonRA,MoonDec,$M2772,$O2772)</f>
        <v>116.71117930207201</v>
      </c>
      <c r="AH2772" s="261">
        <f ca="1">MIN(100,IF($O$5&gt;80,0+30*($AG2772/100),IF($O$5&gt;70,0+50*($AG2772/100),IF($O$5&gt;60,5+50*($AG2772/100),IF($O$5&gt;50,10+60*($AG2772/100),IF($O$5&gt;40,15+70*($AG2772/100),IF($O$5&gt;30,20+70*($AG2772/100),IF($O$5&gt;20,40+55*($AG2772/100),(80+(20-$O$5)+30*($AG2772/100))))))))))</f>
        <v>100</v>
      </c>
      <c r="AI2772" s="262"/>
      <c r="AJ2772" s="262">
        <v>1470</v>
      </c>
      <c r="AK2772" s="262"/>
      <c r="AL2772" s="263"/>
      <c r="AM2772" s="264"/>
      <c r="AN2772" s="263"/>
      <c r="AO2772" s="263"/>
      <c r="AP2772" s="265"/>
      <c r="AQ2772" s="266"/>
      <c r="AR2772" s="267"/>
      <c r="AS2772" s="263"/>
      <c r="AT2772" s="263"/>
      <c r="AU2772" s="263"/>
      <c r="AV2772" s="264"/>
      <c r="AW2772" s="263"/>
      <c r="AX2772" s="263"/>
      <c r="AY2772" s="263"/>
      <c r="AZ2772" s="263"/>
      <c r="BA2772" s="263"/>
      <c r="BB2772" s="263">
        <v>156</v>
      </c>
      <c r="BC2772" s="263"/>
      <c r="BD2772" s="264"/>
      <c r="BE2772" s="263"/>
      <c r="BF2772" s="263"/>
      <c r="BG2772" s="263"/>
      <c r="BH2772" s="263"/>
      <c r="BI2772" s="263"/>
      <c r="BJ2772" s="404">
        <f>altaz(J2000_Bas,$O2772,$M2772,DecLat,DecLong,2)</f>
        <v>34.922502166627467</v>
      </c>
      <c r="BK2772" s="378" t="s">
        <v>2588</v>
      </c>
      <c r="BL2772" s="379">
        <f>IF((2*G2772)/60&lt;0.2,0.2,(2*G2772)/60)</f>
        <v>0.2</v>
      </c>
      <c r="BM2772" s="380">
        <f>MOD((50000+AD2772-$B$3+(0/24)),1)</f>
        <v>0.17018809043656802</v>
      </c>
      <c r="BN2772" s="381"/>
      <c r="BO2772" s="382">
        <v>2763</v>
      </c>
    </row>
    <row r="2773" spans="1:67" s="24" customFormat="1" ht="15" customHeight="1" x14ac:dyDescent="0.25">
      <c r="A2773" s="288" t="s">
        <v>2589</v>
      </c>
      <c r="B2773" s="241" t="str">
        <f>HYPERLINK(CONCATENATE($AT$3,BK2773,$AU$3),$AV$3)</f>
        <v>S</v>
      </c>
      <c r="C2773" s="242" t="str">
        <f>HYPERLINK(CONCATENATE($AT$4,BK2773,$AU$4,BL2773),$AV$4)</f>
        <v>A</v>
      </c>
      <c r="D2773" s="243" t="s">
        <v>5187</v>
      </c>
      <c r="E2773" s="244" t="s">
        <v>5183</v>
      </c>
      <c r="F2773" s="353" t="s">
        <v>9180</v>
      </c>
      <c r="G2773" s="276">
        <v>85</v>
      </c>
      <c r="H2773" s="283">
        <v>8000</v>
      </c>
      <c r="I2773" s="246">
        <v>200</v>
      </c>
      <c r="J2773" s="246">
        <v>4</v>
      </c>
      <c r="K2773" s="247" t="s">
        <v>5171</v>
      </c>
      <c r="L2773" s="248">
        <v>231604</v>
      </c>
      <c r="M2773" s="249">
        <f>15*(LEFT(TEXT($L2773,"000000"),2)+(MID(TEXT($L2773,"000000"),3,2)/60)+(RIGHT(TEXT($L2773,"000000"),2)/3600))</f>
        <v>349.01666666666665</v>
      </c>
      <c r="N2773" s="250">
        <v>602436</v>
      </c>
      <c r="O2773" s="251">
        <f>IF($N2773&gt;0,(LEFT(TEXT($N2773,"000000"),2)+(MID(TEXT($N2773,"000000"),3,2)/60)+(RIGHT(TEXT($N2773,"000000"),2)/3600)),-(MID(TEXT($N2773,"000000"),2,2)+(MID(TEXT($N2773,"000000"),4,2)/60)+(RIGHT(TEXT($N2773,"000000"),2)/3600)))</f>
        <v>60.41</v>
      </c>
      <c r="P2773" s="252" t="s">
        <v>49</v>
      </c>
      <c r="Q2773" s="253" t="s">
        <v>7022</v>
      </c>
      <c r="R2773" s="247" t="s">
        <v>3293</v>
      </c>
      <c r="S2773" s="272" t="s">
        <v>5172</v>
      </c>
      <c r="T2773" s="273"/>
      <c r="U2773" s="274"/>
      <c r="V2773" s="280"/>
      <c r="W2773" s="244"/>
      <c r="X2773" s="244"/>
      <c r="Y2773" s="362"/>
      <c r="Z2773" s="257">
        <f>altaz(J2000_Bas,$O2773,$M2773,DecLat,DecLong,1)</f>
        <v>39.786698569396002</v>
      </c>
      <c r="AA2773" s="257">
        <f>altaz((J2000_Bas+(2*0.04167)),$O2773,$M2773,DecLat,DecLong,1)</f>
        <v>53.429764988991195</v>
      </c>
      <c r="AB2773" s="257">
        <f>altaz((J2000_Bas+(4*0.04167)),$O2773,$M2773,DecLat,DecLong,1)</f>
        <v>60.529189778367773</v>
      </c>
      <c r="AC2773" s="257">
        <f>altaz((J2000_Bas+(6*0.04167)),$O2773,$M2773,DecLat,DecLong,1)</f>
        <v>55.506317079567239</v>
      </c>
      <c r="AD2773" s="258">
        <f>1+ transit((J2000_Bas-1),$O2773,$M2773,DecLat,DecLong)/360 + (GMTOffset/24) + (IF(DST="Y", 1, 0)/24)</f>
        <v>1.962390604421375</v>
      </c>
      <c r="AE2773" s="259">
        <f>DATE(2001,9,21)+(M2773/360)*365 - (360*((DecLong/360)- (GMTOffset/24) ))</f>
        <v>37513.864120370374</v>
      </c>
      <c r="AF2773" s="260">
        <f>IF(DecLat&gt;0,IF((90 - (DecLat-O2773))&gt;90, (90 - (O2773-DecLat)), (90 - (DecLat-O2773))),IF((90 + (DecLat-O2773))&gt;90, (90 + (O2773-DecLat)), (90 + (DecLat-O2773))))</f>
        <v>60.59</v>
      </c>
      <c r="AG2773" s="257">
        <f>angularseperation(MoonRA,MoonDec,$M2773,$O2773)</f>
        <v>118.07055302707201</v>
      </c>
      <c r="AH2773" s="261">
        <f ca="1">MIN(100,IF($O$5&gt;80,0+30*($AG2773/100),IF($O$5&gt;70,0+50*($AG2773/100),IF($O$5&gt;60,5+50*($AG2773/100),IF($O$5&gt;50,10+60*($AG2773/100),IF($O$5&gt;40,15+70*($AG2773/100),IF($O$5&gt;30,20+70*($AG2773/100),IF($O$5&gt;20,40+55*($AG2773/100),(80+(20-$O$5)+30*($AG2773/100))))))))))</f>
        <v>100</v>
      </c>
      <c r="AI2773" s="262"/>
      <c r="AJ2773" s="262"/>
      <c r="AK2773" s="262"/>
      <c r="AL2773" s="263"/>
      <c r="AM2773" s="264"/>
      <c r="AN2773" s="263"/>
      <c r="AO2773" s="263"/>
      <c r="AP2773" s="265"/>
      <c r="AQ2773" s="266"/>
      <c r="AR2773" s="267"/>
      <c r="AS2773" s="263"/>
      <c r="AT2773" s="263"/>
      <c r="AU2773" s="263"/>
      <c r="AV2773" s="264"/>
      <c r="AW2773" s="263"/>
      <c r="AX2773" s="263"/>
      <c r="AY2773" s="263">
        <v>537</v>
      </c>
      <c r="AZ2773" s="263"/>
      <c r="BA2773" s="263"/>
      <c r="BB2773" s="263">
        <v>157</v>
      </c>
      <c r="BC2773" s="263"/>
      <c r="BD2773" s="264"/>
      <c r="BE2773" s="263"/>
      <c r="BF2773" s="263"/>
      <c r="BG2773" s="263">
        <v>105</v>
      </c>
      <c r="BH2773" s="263"/>
      <c r="BI2773" s="263"/>
      <c r="BJ2773" s="404">
        <f>altaz(J2000_Bas,$O2773,$M2773,DecLat,DecLong,2)</f>
        <v>34.93363205666175</v>
      </c>
      <c r="BK2773" s="378" t="s">
        <v>2589</v>
      </c>
      <c r="BL2773" s="379">
        <f>IF((2*G2773)/60&lt;0.2,0.2,(2*G2773)/60)</f>
        <v>2.8333333333333335</v>
      </c>
      <c r="BM2773" s="380">
        <f>MOD((50000+AD2773-$B$3+(0/24)),1)</f>
        <v>0.17775753412570339</v>
      </c>
      <c r="BN2773" s="381"/>
      <c r="BO2773" s="382">
        <v>2764</v>
      </c>
    </row>
    <row r="2774" spans="1:67" s="24" customFormat="1" ht="15" customHeight="1" x14ac:dyDescent="0.25">
      <c r="A2774" s="288" t="s">
        <v>2590</v>
      </c>
      <c r="B2774" s="241" t="str">
        <f>HYPERLINK(CONCATENATE($AT$3,BK2774,$AU$3),$AV$3)</f>
        <v>S</v>
      </c>
      <c r="C2774" s="242" t="str">
        <f>HYPERLINK(CONCATENATE($AT$4,BK2774,$AU$4,BL2774),$AV$4)</f>
        <v>A</v>
      </c>
      <c r="D2774" s="243" t="s">
        <v>5187</v>
      </c>
      <c r="E2774" s="244" t="s">
        <v>5183</v>
      </c>
      <c r="F2774" s="269" t="s">
        <v>9159</v>
      </c>
      <c r="G2774" s="273">
        <v>9</v>
      </c>
      <c r="H2774" s="283">
        <v>9000</v>
      </c>
      <c r="I2774" s="246">
        <v>25</v>
      </c>
      <c r="J2774" s="246">
        <v>4</v>
      </c>
      <c r="K2774" s="247" t="s">
        <v>7241</v>
      </c>
      <c r="L2774" s="248">
        <v>231337</v>
      </c>
      <c r="M2774" s="249">
        <f>15*(LEFT(TEXT($L2774,"000000"),2)+(MID(TEXT($L2774,"000000"),3,2)/60)+(RIGHT(TEXT($L2774,"000000"),2)/3600))</f>
        <v>348.40416666666664</v>
      </c>
      <c r="N2774" s="250">
        <v>613000</v>
      </c>
      <c r="O2774" s="251">
        <f>IF($N2774&gt;0,(LEFT(TEXT($N2774,"000000"),2)+(MID(TEXT($N2774,"000000"),3,2)/60)+(RIGHT(TEXT($N2774,"000000"),2)/3600)),-(MID(TEXT($N2774,"000000"),2,2)+(MID(TEXT($N2774,"000000"),4,2)/60)+(RIGHT(TEXT($N2774,"000000"),2)/3600)))</f>
        <v>61.5</v>
      </c>
      <c r="P2774" s="252" t="s">
        <v>52</v>
      </c>
      <c r="Q2774" s="253" t="s">
        <v>7038</v>
      </c>
      <c r="R2774" s="247" t="s">
        <v>3695</v>
      </c>
      <c r="S2774" s="272" t="s">
        <v>3293</v>
      </c>
      <c r="T2774" s="273"/>
      <c r="U2774" s="274"/>
      <c r="V2774" s="280"/>
      <c r="W2774" s="244"/>
      <c r="X2774" s="244"/>
      <c r="Y2774" s="362"/>
      <c r="Z2774" s="257">
        <f>altaz(J2000_Bas,$O2774,$M2774,DecLat,DecLong,1)</f>
        <v>39.94895444404758</v>
      </c>
      <c r="AA2774" s="257">
        <f>altaz((J2000_Bas+(2*0.04167)),$O2774,$M2774,DecLat,DecLong,1)</f>
        <v>52.965753002666432</v>
      </c>
      <c r="AB2774" s="257">
        <f>altaz((J2000_Bas+(4*0.04167)),$O2774,$M2774,DecLat,DecLong,1)</f>
        <v>59.464973960257382</v>
      </c>
      <c r="AC2774" s="257">
        <f>altaz((J2000_Bas+(6*0.04167)),$O2774,$M2774,DecLat,DecLong,1)</f>
        <v>54.513136406650084</v>
      </c>
      <c r="AD2774" s="258">
        <f>1+ transit((J2000_Bas-1),$O2774,$M2774,DecLat,DecLong)/360 + (GMTOffset/24) + (IF(DST="Y", 1, 0)/24)</f>
        <v>1.9606892157026248</v>
      </c>
      <c r="AE2774" s="259">
        <f>DATE(2001,9,21)+(M2774/360)*365 - (360*((DecLong/360)- (GMTOffset/24) ))</f>
        <v>37513.243113425924</v>
      </c>
      <c r="AF2774" s="260">
        <f>IF(DecLat&gt;0,IF((90 - (DecLat-O2774))&gt;90, (90 - (O2774-DecLat)), (90 - (DecLat-O2774))),IF((90 + (DecLat-O2774))&gt;90, (90 + (O2774-DecLat)), (90 + (DecLat-O2774))))</f>
        <v>59.5</v>
      </c>
      <c r="AG2774" s="257">
        <f>angularseperation(MoonRA,MoonDec,$M2774,$O2774)</f>
        <v>117.88963889660536</v>
      </c>
      <c r="AH2774" s="261">
        <f ca="1">MIN(100,IF($O$5&gt;80,0+30*($AG2774/100),IF($O$5&gt;70,0+50*($AG2774/100),IF($O$5&gt;60,5+50*($AG2774/100),IF($O$5&gt;50,10+60*($AG2774/100),IF($O$5&gt;40,15+70*($AG2774/100),IF($O$5&gt;30,20+70*($AG2774/100),IF($O$5&gt;20,40+55*($AG2774/100),(80+(20-$O$5)+30*($AG2774/100))))))))))</f>
        <v>100</v>
      </c>
      <c r="AI2774" s="262">
        <v>7538</v>
      </c>
      <c r="AJ2774" s="262"/>
      <c r="AK2774" s="262"/>
      <c r="AL2774" s="263"/>
      <c r="AM2774" s="264"/>
      <c r="AN2774" s="263"/>
      <c r="AO2774" s="263"/>
      <c r="AP2774" s="265"/>
      <c r="AQ2774" s="266"/>
      <c r="AR2774" s="267"/>
      <c r="AS2774" s="263"/>
      <c r="AT2774" s="263"/>
      <c r="AU2774" s="263"/>
      <c r="AV2774" s="264"/>
      <c r="AW2774" s="263"/>
      <c r="AX2774" s="263"/>
      <c r="AY2774" s="263">
        <v>543</v>
      </c>
      <c r="AZ2774" s="263"/>
      <c r="BA2774" s="263"/>
      <c r="BB2774" s="263">
        <v>158</v>
      </c>
      <c r="BC2774" s="263"/>
      <c r="BD2774" s="264"/>
      <c r="BE2774" s="263"/>
      <c r="BF2774" s="263">
        <v>108</v>
      </c>
      <c r="BG2774" s="263"/>
      <c r="BH2774" s="263"/>
      <c r="BI2774" s="263"/>
      <c r="BJ2774" s="404">
        <f>altaz(J2000_Bas,$O2774,$M2774,DecLat,DecLong,2)</f>
        <v>33.476841073298608</v>
      </c>
      <c r="BK2774" s="378" t="s">
        <v>2590</v>
      </c>
      <c r="BL2774" s="379">
        <f>IF((2*G2774)/60&lt;0.2,0.2,(2*G2774)/60)</f>
        <v>0.3</v>
      </c>
      <c r="BM2774" s="380">
        <f>MOD((50000+AD2774-$B$3+(0/24)),1)</f>
        <v>0.17605614540661918</v>
      </c>
      <c r="BN2774" s="381"/>
      <c r="BO2774" s="382">
        <v>2765</v>
      </c>
    </row>
    <row r="2775" spans="1:67" s="24" customFormat="1" ht="15" customHeight="1" x14ac:dyDescent="0.25">
      <c r="A2775" s="288" t="s">
        <v>2591</v>
      </c>
      <c r="B2775" s="241" t="str">
        <f>HYPERLINK(CONCATENATE($AT$3,BK2775,$AU$3),$AV$3)</f>
        <v>S</v>
      </c>
      <c r="C2775" s="242" t="str">
        <f>HYPERLINK(CONCATENATE($AT$4,BK2775,$AU$4,BL2775),$AV$4)</f>
        <v>A</v>
      </c>
      <c r="D2775" s="243" t="s">
        <v>5187</v>
      </c>
      <c r="E2775" s="244" t="s">
        <v>5183</v>
      </c>
      <c r="F2775" s="269" t="s">
        <v>5180</v>
      </c>
      <c r="G2775" s="273">
        <v>7</v>
      </c>
      <c r="H2775" s="283">
        <v>9500</v>
      </c>
      <c r="I2775" s="246">
        <v>20</v>
      </c>
      <c r="J2775" s="246">
        <v>2</v>
      </c>
      <c r="K2775" s="247" t="s">
        <v>6323</v>
      </c>
      <c r="L2775" s="248">
        <v>231500</v>
      </c>
      <c r="M2775" s="249">
        <f>15*(LEFT(TEXT($L2775,"000000"),2)+(MID(TEXT($L2775,"000000"),3,2)/60)+(RIGHT(TEXT($L2775,"000000"),2)/3600))</f>
        <v>348.75</v>
      </c>
      <c r="N2775" s="286">
        <v>610700</v>
      </c>
      <c r="O2775" s="251">
        <f>IF($N2775&gt;0,(LEFT(TEXT($N2775,"000000"),2)+(MID(TEXT($N2775,"000000"),3,2)/60)+(RIGHT(TEXT($N2775,"000000"),2)/3600)),-(MID(TEXT($N2775,"000000"),2,2)+(MID(TEXT($N2775,"000000"),4,2)/60)+(RIGHT(TEXT($N2775,"000000"),2)/3600)))</f>
        <v>61.116666666666667</v>
      </c>
      <c r="P2775" s="252" t="s">
        <v>49</v>
      </c>
      <c r="Q2775" s="253"/>
      <c r="R2775" s="277" t="s">
        <v>3293</v>
      </c>
      <c r="S2775" s="272" t="s">
        <v>3293</v>
      </c>
      <c r="T2775" s="273"/>
      <c r="U2775" s="274"/>
      <c r="V2775" s="280"/>
      <c r="W2775" s="244"/>
      <c r="X2775" s="244"/>
      <c r="Y2775" s="362"/>
      <c r="Z2775" s="257">
        <f>altaz(J2000_Bas,$O2775,$M2775,DecLat,DecLong,1)</f>
        <v>39.833806704347445</v>
      </c>
      <c r="AA2775" s="257">
        <f>altaz((J2000_Bas+(2*0.04167)),$O2775,$M2775,DecLat,DecLong,1)</f>
        <v>53.085279243156606</v>
      </c>
      <c r="AB2775" s="257">
        <f>altaz((J2000_Bas+(4*0.04167)),$O2775,$M2775,DecLat,DecLong,1)</f>
        <v>59.835507420704388</v>
      </c>
      <c r="AC2775" s="257">
        <f>altaz((J2000_Bas+(6*0.04167)),$O2775,$M2775,DecLat,DecLong,1)</f>
        <v>54.905317946812282</v>
      </c>
      <c r="AD2775" s="258">
        <f>1+ transit((J2000_Bas-1),$O2775,$M2775,DecLat,DecLong)/360 + (GMTOffset/24) + (IF(DST="Y", 1, 0)/24)</f>
        <v>1.961649863754708</v>
      </c>
      <c r="AE2775" s="259">
        <f>DATE(2001,9,21)+(M2775/360)*365 - (360*((DecLong/360)- (GMTOffset/24) ))</f>
        <v>37513.59375</v>
      </c>
      <c r="AF2775" s="260">
        <f>IF(DecLat&gt;0,IF((90 - (DecLat-O2775))&gt;90, (90 - (O2775-DecLat)), (90 - (DecLat-O2775))),IF((90 + (DecLat-O2775))&gt;90, (90 + (O2775-DecLat)), (90 + (DecLat-O2775))))</f>
        <v>59.883333333333333</v>
      </c>
      <c r="AG2775" s="257">
        <f>angularseperation(MoonRA,MoonDec,$M2775,$O2775)</f>
        <v>118.01489040610484</v>
      </c>
      <c r="AH2775" s="261">
        <f ca="1">MIN(100,IF($O$5&gt;80,0+30*($AG2775/100),IF($O$5&gt;70,0+50*($AG2775/100),IF($O$5&gt;60,5+50*($AG2775/100),IF($O$5&gt;50,10+60*($AG2775/100),IF($O$5&gt;40,15+70*($AG2775/100),IF($O$5&gt;30,20+70*($AG2775/100),IF($O$5&gt;20,40+55*($AG2775/100),(80+(20-$O$5)+30*($AG2775/100))))))))))</f>
        <v>100</v>
      </c>
      <c r="AI2775" s="263"/>
      <c r="AJ2775" s="263"/>
      <c r="AK2775" s="263"/>
      <c r="AL2775" s="263"/>
      <c r="AM2775" s="264"/>
      <c r="AN2775" s="263"/>
      <c r="AO2775" s="263"/>
      <c r="AP2775" s="265"/>
      <c r="AQ2775" s="265"/>
      <c r="AR2775" s="285"/>
      <c r="AS2775" s="263"/>
      <c r="AT2775" s="263"/>
      <c r="AU2775" s="263"/>
      <c r="AV2775" s="264"/>
      <c r="AW2775" s="263"/>
      <c r="AX2775" s="263"/>
      <c r="AY2775" s="263"/>
      <c r="AZ2775" s="263"/>
      <c r="BA2775" s="263"/>
      <c r="BB2775" s="263">
        <v>159</v>
      </c>
      <c r="BC2775" s="263"/>
      <c r="BD2775" s="264"/>
      <c r="BE2775" s="263"/>
      <c r="BF2775" s="263"/>
      <c r="BG2775" s="263"/>
      <c r="BH2775" s="263"/>
      <c r="BI2775" s="263"/>
      <c r="BJ2775" s="404">
        <f>altaz(J2000_Bas,$O2775,$M2775,DecLat,DecLong,2)</f>
        <v>34.000211185945112</v>
      </c>
      <c r="BK2775" s="378" t="s">
        <v>2591</v>
      </c>
      <c r="BL2775" s="379">
        <f>IF((2*G2775)/60&lt;0.2,0.2,(2*G2775)/60)</f>
        <v>0.23333333333333334</v>
      </c>
      <c r="BM2775" s="380">
        <f>MOD((50000+AD2775-$B$3+(0/24)),1)</f>
        <v>0.17701679345918819</v>
      </c>
      <c r="BN2775" s="381"/>
      <c r="BO2775" s="382">
        <v>2766</v>
      </c>
    </row>
    <row r="2776" spans="1:67" s="24" customFormat="1" ht="15" customHeight="1" x14ac:dyDescent="0.25">
      <c r="A2776" s="288" t="s">
        <v>2592</v>
      </c>
      <c r="B2776" s="241" t="str">
        <f>HYPERLINK(CONCATENATE($AT$3,BK2776,$AU$3),$AV$3)</f>
        <v>S</v>
      </c>
      <c r="C2776" s="242" t="str">
        <f>HYPERLINK(CONCATENATE($AT$4,BK2776,$AU$4,BL2776),$AV$4)</f>
        <v>A</v>
      </c>
      <c r="D2776" s="243" t="s">
        <v>5187</v>
      </c>
      <c r="E2776" s="244" t="s">
        <v>5183</v>
      </c>
      <c r="F2776" s="269" t="s">
        <v>5180</v>
      </c>
      <c r="G2776" s="276">
        <v>40</v>
      </c>
      <c r="H2776" s="283">
        <v>2900</v>
      </c>
      <c r="I2776" s="246">
        <v>34</v>
      </c>
      <c r="J2776" s="246">
        <v>2</v>
      </c>
      <c r="K2776" s="247" t="s">
        <v>6324</v>
      </c>
      <c r="L2776" s="248">
        <v>230400</v>
      </c>
      <c r="M2776" s="249">
        <f>15*(LEFT(TEXT($L2776,"000000"),2)+(MID(TEXT($L2776,"000000"),3,2)/60)+(RIGHT(TEXT($L2776,"000000"),2)/3600))</f>
        <v>346</v>
      </c>
      <c r="N2776" s="286">
        <v>643600</v>
      </c>
      <c r="O2776" s="251">
        <f>IF($N2776&gt;0,(LEFT(TEXT($N2776,"000000"),2)+(MID(TEXT($N2776,"000000"),3,2)/60)+(RIGHT(TEXT($N2776,"000000"),2)/3600)),-(MID(TEXT($N2776,"000000"),2,2)+(MID(TEXT($N2776,"000000"),4,2)/60)+(RIGHT(TEXT($N2776,"000000"),2)/3600)))</f>
        <v>64.599999999999994</v>
      </c>
      <c r="P2776" s="252" t="s">
        <v>49</v>
      </c>
      <c r="Q2776" s="253"/>
      <c r="R2776" s="277" t="s">
        <v>3293</v>
      </c>
      <c r="S2776" s="272" t="s">
        <v>3293</v>
      </c>
      <c r="T2776" s="273"/>
      <c r="U2776" s="274"/>
      <c r="V2776" s="280"/>
      <c r="W2776" s="244"/>
      <c r="X2776" s="244"/>
      <c r="Y2776" s="362"/>
      <c r="Z2776" s="257">
        <f>altaz(J2000_Bas,$O2776,$M2776,DecLat,DecLong,1)</f>
        <v>40.47387451333713</v>
      </c>
      <c r="AA2776" s="257">
        <f>altaz((J2000_Bas+(2*0.04167)),$O2776,$M2776,DecLat,DecLong,1)</f>
        <v>51.622953278839056</v>
      </c>
      <c r="AB2776" s="257">
        <f>altaz((J2000_Bas+(4*0.04167)),$O2776,$M2776,DecLat,DecLong,1)</f>
        <v>56.399829043529792</v>
      </c>
      <c r="AC2776" s="257">
        <f>altaz((J2000_Bas+(6*0.04167)),$O2776,$M2776,DecLat,DecLong,1)</f>
        <v>51.521115287829687</v>
      </c>
      <c r="AD2776" s="258">
        <f>1+ transit((J2000_Bas-1),$O2776,$M2776,DecLat,DecLong)/360 + (GMTOffset/24) + (IF(DST="Y", 1, 0)/24)</f>
        <v>1.9540109756297082</v>
      </c>
      <c r="AE2776" s="259">
        <f>DATE(2001,9,21)+(M2776/360)*365 - (360*((DecLong/360)- (GMTOffset/24) ))</f>
        <v>37510.805555555555</v>
      </c>
      <c r="AF2776" s="260">
        <f>IF(DecLat&gt;0,IF((90 - (DecLat-O2776))&gt;90, (90 - (O2776-DecLat)), (90 - (DecLat-O2776))),IF((90 + (DecLat-O2776))&gt;90, (90 + (O2776-DecLat)), (90 + (DecLat-O2776))))</f>
        <v>56.400000000000006</v>
      </c>
      <c r="AG2776" s="257">
        <f>angularseperation(MoonRA,MoonDec,$M2776,$O2776)</f>
        <v>117.1439302682421</v>
      </c>
      <c r="AH2776" s="261">
        <f ca="1">MIN(100,IF($O$5&gt;80,0+30*($AG2776/100),IF($O$5&gt;70,0+50*($AG2776/100),IF($O$5&gt;60,5+50*($AG2776/100),IF($O$5&gt;50,10+60*($AG2776/100),IF($O$5&gt;40,15+70*($AG2776/100),IF($O$5&gt;30,20+70*($AG2776/100),IF($O$5&gt;20,40+55*($AG2776/100),(80+(20-$O$5)+30*($AG2776/100))))))))))</f>
        <v>100</v>
      </c>
      <c r="AI2776" s="263"/>
      <c r="AJ2776" s="263"/>
      <c r="AK2776" s="263"/>
      <c r="AL2776" s="263"/>
      <c r="AM2776" s="264"/>
      <c r="AN2776" s="263"/>
      <c r="AO2776" s="263"/>
      <c r="AP2776" s="265"/>
      <c r="AQ2776" s="265"/>
      <c r="AR2776" s="285"/>
      <c r="AS2776" s="263"/>
      <c r="AT2776" s="263"/>
      <c r="AU2776" s="263"/>
      <c r="AV2776" s="264"/>
      <c r="AW2776" s="263"/>
      <c r="AX2776" s="263"/>
      <c r="AY2776" s="263">
        <v>551</v>
      </c>
      <c r="AZ2776" s="263"/>
      <c r="BA2776" s="263"/>
      <c r="BB2776" s="263">
        <v>160</v>
      </c>
      <c r="BC2776" s="263"/>
      <c r="BD2776" s="264"/>
      <c r="BE2776" s="263"/>
      <c r="BF2776" s="263"/>
      <c r="BG2776" s="263"/>
      <c r="BH2776" s="263"/>
      <c r="BI2776" s="263">
        <v>105</v>
      </c>
      <c r="BJ2776" s="404">
        <f>altaz(J2000_Bas,$O2776,$M2776,DecLat,DecLong,2)</f>
        <v>29.229605092985597</v>
      </c>
      <c r="BK2776" s="378" t="s">
        <v>2592</v>
      </c>
      <c r="BL2776" s="379">
        <f>IF((2*G2776)/60&lt;0.2,0.2,(2*G2776)/60)</f>
        <v>1.3333333333333333</v>
      </c>
      <c r="BM2776" s="380">
        <f>MOD((50000+AD2776-$B$3+(0/24)),1)</f>
        <v>0.16937790533120278</v>
      </c>
      <c r="BN2776" s="381"/>
      <c r="BO2776" s="382">
        <v>2767</v>
      </c>
    </row>
    <row r="2777" spans="1:67" s="24" customFormat="1" ht="15" customHeight="1" x14ac:dyDescent="0.25">
      <c r="A2777" s="288" t="s">
        <v>2593</v>
      </c>
      <c r="B2777" s="241" t="str">
        <f>HYPERLINK(CONCATENATE($AT$3,BK2777,$AU$3),$AV$3)</f>
        <v>S</v>
      </c>
      <c r="C2777" s="242" t="str">
        <f>HYPERLINK(CONCATENATE($AT$4,BK2777,$AU$4,BL2777),$AV$4)</f>
        <v>A</v>
      </c>
      <c r="D2777" s="243" t="s">
        <v>5187</v>
      </c>
      <c r="E2777" s="244" t="s">
        <v>5183</v>
      </c>
      <c r="F2777" s="269" t="s">
        <v>5180</v>
      </c>
      <c r="G2777" s="276">
        <v>55</v>
      </c>
      <c r="H2777" s="283">
        <v>9000</v>
      </c>
      <c r="I2777" s="246">
        <v>140</v>
      </c>
      <c r="J2777" s="246">
        <v>1</v>
      </c>
      <c r="K2777" s="247" t="s">
        <v>6325</v>
      </c>
      <c r="L2777" s="248">
        <v>231500</v>
      </c>
      <c r="M2777" s="249">
        <f>15*(LEFT(TEXT($L2777,"000000"),2)+(MID(TEXT($L2777,"000000"),3,2)/60)+(RIGHT(TEXT($L2777,"000000"),2)/3600))</f>
        <v>348.75</v>
      </c>
      <c r="N2777" s="286">
        <v>615100</v>
      </c>
      <c r="O2777" s="251">
        <f>IF($N2777&gt;0,(LEFT(TEXT($N2777,"000000"),2)+(MID(TEXT($N2777,"000000"),3,2)/60)+(RIGHT(TEXT($N2777,"000000"),2)/3600)),-(MID(TEXT($N2777,"000000"),2,2)+(MID(TEXT($N2777,"000000"),4,2)/60)+(RIGHT(TEXT($N2777,"000000"),2)/3600)))</f>
        <v>61.85</v>
      </c>
      <c r="P2777" s="252" t="s">
        <v>49</v>
      </c>
      <c r="Q2777" s="253"/>
      <c r="R2777" s="277" t="s">
        <v>3293</v>
      </c>
      <c r="S2777" s="272" t="s">
        <v>3293</v>
      </c>
      <c r="T2777" s="273"/>
      <c r="U2777" s="274"/>
      <c r="V2777" s="280"/>
      <c r="W2777" s="244"/>
      <c r="X2777" s="244"/>
      <c r="Y2777" s="362"/>
      <c r="Z2777" s="257">
        <f>altaz(J2000_Bas,$O2777,$M2777,DecLat,DecLong,1)</f>
        <v>39.739326586212506</v>
      </c>
      <c r="AA2777" s="257">
        <f>altaz((J2000_Bas+(2*0.04167)),$O2777,$M2777,DecLat,DecLong,1)</f>
        <v>52.61390835836044</v>
      </c>
      <c r="AB2777" s="257">
        <f>altaz((J2000_Bas+(4*0.04167)),$O2777,$M2777,DecLat,DecLong,1)</f>
        <v>59.104290002322692</v>
      </c>
      <c r="AC2777" s="257">
        <f>altaz((J2000_Bas+(6*0.04167)),$O2777,$M2777,DecLat,DecLong,1)</f>
        <v>54.37040797066642</v>
      </c>
      <c r="AD2777" s="258">
        <f>1+ transit((J2000_Bas-1),$O2777,$M2777,DecLat,DecLong)/360 + (GMTOffset/24) + (IF(DST="Y", 1, 0)/24)</f>
        <v>1.961649863754708</v>
      </c>
      <c r="AE2777" s="259">
        <f>DATE(2001,9,21)+(M2777/360)*365 - (360*((DecLong/360)- (GMTOffset/24) ))</f>
        <v>37513.59375</v>
      </c>
      <c r="AF2777" s="260">
        <f>IF(DecLat&gt;0,IF((90 - (DecLat-O2777))&gt;90, (90 - (O2777-DecLat)), (90 - (DecLat-O2777))),IF((90 + (DecLat-O2777))&gt;90, (90 + (O2777-DecLat)), (90 + (DecLat-O2777))))</f>
        <v>59.15</v>
      </c>
      <c r="AG2777" s="257">
        <f>angularseperation(MoonRA,MoonDec,$M2777,$O2777)</f>
        <v>118.08812679041985</v>
      </c>
      <c r="AH2777" s="261">
        <f ca="1">MIN(100,IF($O$5&gt;80,0+30*($AG2777/100),IF($O$5&gt;70,0+50*($AG2777/100),IF($O$5&gt;60,5+50*($AG2777/100),IF($O$5&gt;50,10+60*($AG2777/100),IF($O$5&gt;40,15+70*($AG2777/100),IF($O$5&gt;30,20+70*($AG2777/100),IF($O$5&gt;20,40+55*($AG2777/100),(80+(20-$O$5)+30*($AG2777/100))))))))))</f>
        <v>100</v>
      </c>
      <c r="AI2777" s="263"/>
      <c r="AJ2777" s="263"/>
      <c r="AK2777" s="263"/>
      <c r="AL2777" s="263"/>
      <c r="AM2777" s="264"/>
      <c r="AN2777" s="263"/>
      <c r="AO2777" s="263"/>
      <c r="AP2777" s="265"/>
      <c r="AQ2777" s="265"/>
      <c r="AR2777" s="285"/>
      <c r="AS2777" s="263"/>
      <c r="AT2777" s="263"/>
      <c r="AU2777" s="263"/>
      <c r="AV2777" s="264"/>
      <c r="AW2777" s="263"/>
      <c r="AX2777" s="263"/>
      <c r="AY2777" s="263">
        <v>547</v>
      </c>
      <c r="AZ2777" s="263"/>
      <c r="BA2777" s="263"/>
      <c r="BB2777" s="263">
        <v>161</v>
      </c>
      <c r="BC2777" s="263"/>
      <c r="BD2777" s="264"/>
      <c r="BE2777" s="263"/>
      <c r="BF2777" s="263"/>
      <c r="BG2777" s="263"/>
      <c r="BH2777" s="263"/>
      <c r="BI2777" s="263"/>
      <c r="BJ2777" s="404">
        <f>altaz(J2000_Bas,$O2777,$M2777,DecLat,DecLong,2)</f>
        <v>33.053837578321719</v>
      </c>
      <c r="BK2777" s="378" t="s">
        <v>2593</v>
      </c>
      <c r="BL2777" s="379">
        <f>IF((2*G2777)/60&lt;0.2,0.2,(2*G2777)/60)</f>
        <v>1.8333333333333333</v>
      </c>
      <c r="BM2777" s="380">
        <f>MOD((50000+AD2777-$B$3+(0/24)),1)</f>
        <v>0.17701679345918819</v>
      </c>
      <c r="BN2777" s="381"/>
      <c r="BO2777" s="382">
        <v>2768</v>
      </c>
    </row>
    <row r="2778" spans="1:67" s="24" customFormat="1" ht="15" customHeight="1" x14ac:dyDescent="0.25">
      <c r="A2778" s="288" t="s">
        <v>2594</v>
      </c>
      <c r="B2778" s="241" t="str">
        <f>HYPERLINK(CONCATENATE($AT$3,BK2778,$AU$3),$AV$3)</f>
        <v>S</v>
      </c>
      <c r="C2778" s="242" t="str">
        <f>HYPERLINK(CONCATENATE($AT$4,BK2778,$AU$4,BL2778),$AV$4)</f>
        <v>A</v>
      </c>
      <c r="D2778" s="243" t="s">
        <v>5187</v>
      </c>
      <c r="E2778" s="244" t="s">
        <v>5183</v>
      </c>
      <c r="F2778" s="269" t="s">
        <v>5180</v>
      </c>
      <c r="G2778" s="276">
        <v>15</v>
      </c>
      <c r="H2778" s="283">
        <v>10000</v>
      </c>
      <c r="I2778" s="246">
        <v>45</v>
      </c>
      <c r="J2778" s="246">
        <v>3</v>
      </c>
      <c r="K2778" s="247" t="s">
        <v>5173</v>
      </c>
      <c r="L2778" s="248">
        <v>233258</v>
      </c>
      <c r="M2778" s="249">
        <f>15*(LEFT(TEXT($L2778,"000000"),2)+(MID(TEXT($L2778,"000000"),3,2)/60)+(RIGHT(TEXT($L2778,"000000"),2)/3600))</f>
        <v>353.24166666666667</v>
      </c>
      <c r="N2778" s="250">
        <v>604801</v>
      </c>
      <c r="O2778" s="251">
        <f>IF($N2778&gt;0,(LEFT(TEXT($N2778,"000000"),2)+(MID(TEXT($N2778,"000000"),3,2)/60)+(RIGHT(TEXT($N2778,"000000"),2)/3600)),-(MID(TEXT($N2778,"000000"),2,2)+(MID(TEXT($N2778,"000000"),4,2)/60)+(RIGHT(TEXT($N2778,"000000"),2)/3600)))</f>
        <v>60.800277777777772</v>
      </c>
      <c r="P2778" s="252" t="s">
        <v>49</v>
      </c>
      <c r="Q2778" s="253"/>
      <c r="R2778" s="247" t="s">
        <v>3293</v>
      </c>
      <c r="S2778" s="272" t="s">
        <v>3293</v>
      </c>
      <c r="T2778" s="273"/>
      <c r="U2778" s="274"/>
      <c r="V2778" s="280"/>
      <c r="W2778" s="244"/>
      <c r="X2778" s="244"/>
      <c r="Y2778" s="362"/>
      <c r="Z2778" s="257">
        <f>altaz(J2000_Bas,$O2778,$M2778,DecLat,DecLong,1)</f>
        <v>37.689023756842019</v>
      </c>
      <c r="AA2778" s="257">
        <f>altaz((J2000_Bas+(2*0.04167)),$O2778,$M2778,DecLat,DecLong,1)</f>
        <v>51.524833055524013</v>
      </c>
      <c r="AB2778" s="257">
        <f>altaz((J2000_Bas+(4*0.04167)),$O2778,$M2778,DecLat,DecLong,1)</f>
        <v>59.835181668267388</v>
      </c>
      <c r="AC2778" s="257">
        <f>altaz((J2000_Bas+(6*0.04167)),$O2778,$M2778,DecLat,DecLong,1)</f>
        <v>56.561589386341829</v>
      </c>
      <c r="AD2778" s="258">
        <f>1+ transit((J2000_Bas-1),$O2778,$M2778,DecLat,DecLong)/360 + (GMTOffset/24) + (IF(DST="Y", 1, 0)/24)</f>
        <v>1.974126714358875</v>
      </c>
      <c r="AE2778" s="259">
        <f>DATE(2001,9,21)+(M2778/360)*365 - (360*((DecLong/360)- (GMTOffset/24) ))</f>
        <v>37518.147800925923</v>
      </c>
      <c r="AF2778" s="260">
        <f>IF(DecLat&gt;0,IF((90 - (DecLat-O2778))&gt;90, (90 - (O2778-DecLat)), (90 - (DecLat-O2778))),IF((90 + (DecLat-O2778))&gt;90, (90 + (O2778-DecLat)), (90 + (DecLat-O2778))))</f>
        <v>60.199722222222228</v>
      </c>
      <c r="AG2778" s="257">
        <f>angularseperation(MoonRA,MoonDec,$M2778,$O2778)</f>
        <v>120.16680598489481</v>
      </c>
      <c r="AH2778" s="261">
        <f ca="1">MIN(100,IF($O$5&gt;80,0+30*($AG2778/100),IF($O$5&gt;70,0+50*($AG2778/100),IF($O$5&gt;60,5+50*($AG2778/100),IF($O$5&gt;50,10+60*($AG2778/100),IF($O$5&gt;40,15+70*($AG2778/100),IF($O$5&gt;30,20+70*($AG2778/100),IF($O$5&gt;20,40+55*($AG2778/100),(80+(20-$O$5)+30*($AG2778/100))))))))))</f>
        <v>100</v>
      </c>
      <c r="AI2778" s="262"/>
      <c r="AJ2778" s="262"/>
      <c r="AK2778" s="262"/>
      <c r="AL2778" s="263"/>
      <c r="AM2778" s="264"/>
      <c r="AN2778" s="263"/>
      <c r="AO2778" s="263"/>
      <c r="AP2778" s="265"/>
      <c r="AQ2778" s="266"/>
      <c r="AR2778" s="267"/>
      <c r="AS2778" s="263"/>
      <c r="AT2778" s="263"/>
      <c r="AU2778" s="263"/>
      <c r="AV2778" s="264"/>
      <c r="AW2778" s="263"/>
      <c r="AX2778" s="263"/>
      <c r="AY2778" s="263">
        <v>557</v>
      </c>
      <c r="AZ2778" s="263"/>
      <c r="BA2778" s="263"/>
      <c r="BB2778" s="263">
        <v>163</v>
      </c>
      <c r="BC2778" s="263"/>
      <c r="BD2778" s="264"/>
      <c r="BE2778" s="263"/>
      <c r="BF2778" s="263"/>
      <c r="BG2778" s="263"/>
      <c r="BH2778" s="263"/>
      <c r="BI2778" s="263"/>
      <c r="BJ2778" s="404">
        <f>altaz(J2000_Bas,$O2778,$M2778,DecLat,DecLong,2)</f>
        <v>34.644590497254683</v>
      </c>
      <c r="BK2778" s="378" t="s">
        <v>2594</v>
      </c>
      <c r="BL2778" s="379">
        <f>IF((2*G2778)/60&lt;0.2,0.2,(2*G2778)/60)</f>
        <v>0.5</v>
      </c>
      <c r="BM2778" s="380">
        <f>MOD((50000+AD2778-$B$3+(0/24)),1)</f>
        <v>0.18949364406580571</v>
      </c>
      <c r="BN2778" s="381"/>
      <c r="BO2778" s="382">
        <v>2769</v>
      </c>
    </row>
    <row r="2779" spans="1:67" s="24" customFormat="1" ht="15" customHeight="1" x14ac:dyDescent="0.25">
      <c r="A2779" s="288" t="s">
        <v>2595</v>
      </c>
      <c r="B2779" s="241" t="str">
        <f>HYPERLINK(CONCATENATE($AT$3,BK2779,$AU$3),$AV$3)</f>
        <v>S</v>
      </c>
      <c r="C2779" s="242" t="str">
        <f>HYPERLINK(CONCATENATE($AT$4,BK2779,$AU$4,BL2779),$AV$4)</f>
        <v>A</v>
      </c>
      <c r="D2779" s="243" t="s">
        <v>5187</v>
      </c>
      <c r="E2779" s="244" t="s">
        <v>5183</v>
      </c>
      <c r="F2779" s="269" t="s">
        <v>5180</v>
      </c>
      <c r="G2779" s="273">
        <v>5</v>
      </c>
      <c r="H2779" s="283">
        <v>9500</v>
      </c>
      <c r="I2779" s="246">
        <v>14</v>
      </c>
      <c r="J2779" s="246">
        <v>1</v>
      </c>
      <c r="K2779" s="247" t="s">
        <v>6326</v>
      </c>
      <c r="L2779" s="248">
        <v>233800</v>
      </c>
      <c r="M2779" s="249">
        <f>15*(LEFT(TEXT($L2779,"000000"),2)+(MID(TEXT($L2779,"000000"),3,2)/60)+(RIGHT(TEXT($L2779,"000000"),2)/3600))</f>
        <v>354.5</v>
      </c>
      <c r="N2779" s="286">
        <v>595800</v>
      </c>
      <c r="O2779" s="251">
        <f>IF($N2779&gt;0,(LEFT(TEXT($N2779,"000000"),2)+(MID(TEXT($N2779,"000000"),3,2)/60)+(RIGHT(TEXT($N2779,"000000"),2)/3600)),-(MID(TEXT($N2779,"000000"),2,2)+(MID(TEXT($N2779,"000000"),4,2)/60)+(RIGHT(TEXT($N2779,"000000"),2)/3600)))</f>
        <v>59.966666666666669</v>
      </c>
      <c r="P2779" s="252" t="s">
        <v>49</v>
      </c>
      <c r="Q2779" s="253"/>
      <c r="R2779" s="277" t="s">
        <v>3293</v>
      </c>
      <c r="S2779" s="272" t="s">
        <v>3293</v>
      </c>
      <c r="T2779" s="273"/>
      <c r="U2779" s="274"/>
      <c r="V2779" s="280"/>
      <c r="W2779" s="244"/>
      <c r="X2779" s="244"/>
      <c r="Y2779" s="362"/>
      <c r="Z2779" s="257">
        <f>altaz(J2000_Bas,$O2779,$M2779,DecLat,DecLong,1)</f>
        <v>37.095055200763355</v>
      </c>
      <c r="AA2779" s="257">
        <f>altaz((J2000_Bas+(2*0.04167)),$O2779,$M2779,DecLat,DecLong,1)</f>
        <v>51.44802084314334</v>
      </c>
      <c r="AB2779" s="257">
        <f>altaz((J2000_Bas+(4*0.04167)),$O2779,$M2779,DecLat,DecLong,1)</f>
        <v>60.502523868858972</v>
      </c>
      <c r="AC2779" s="257">
        <f>altaz((J2000_Bas+(6*0.04167)),$O2779,$M2779,DecLat,DecLong,1)</f>
        <v>57.601552163188572</v>
      </c>
      <c r="AD2779" s="258">
        <f>1+ transit((J2000_Bas-1),$O2779,$M2779,DecLat,DecLong)/360 + (GMTOffset/24) + (IF(DST="Y", 1, 0)/24)</f>
        <v>1.9776220843797081</v>
      </c>
      <c r="AE2779" s="259">
        <f>DATE(2001,9,21)+(M2779/360)*365 - (360*((DecLong/360)- (GMTOffset/24) ))</f>
        <v>37519.423611111109</v>
      </c>
      <c r="AF2779" s="260">
        <f>IF(DecLat&gt;0,IF((90 - (DecLat-O2779))&gt;90, (90 - (O2779-DecLat)), (90 - (DecLat-O2779))),IF((90 + (DecLat-O2779))&gt;90, (90 + (O2779-DecLat)), (90 + (DecLat-O2779))))</f>
        <v>61.033333333333331</v>
      </c>
      <c r="AG2779" s="257">
        <f>angularseperation(MoonRA,MoonDec,$M2779,$O2779)</f>
        <v>120.75973290678088</v>
      </c>
      <c r="AH2779" s="261">
        <f ca="1">MIN(100,IF($O$5&gt;80,0+30*($AG2779/100),IF($O$5&gt;70,0+50*($AG2779/100),IF($O$5&gt;60,5+50*($AG2779/100),IF($O$5&gt;50,10+60*($AG2779/100),IF($O$5&gt;40,15+70*($AG2779/100),IF($O$5&gt;30,20+70*($AG2779/100),IF($O$5&gt;20,40+55*($AG2779/100),(80+(20-$O$5)+30*($AG2779/100))))))))))</f>
        <v>100</v>
      </c>
      <c r="AI2779" s="263"/>
      <c r="AJ2779" s="263"/>
      <c r="AK2779" s="263"/>
      <c r="AL2779" s="263"/>
      <c r="AM2779" s="264"/>
      <c r="AN2779" s="263"/>
      <c r="AO2779" s="263"/>
      <c r="AP2779" s="265"/>
      <c r="AQ2779" s="265"/>
      <c r="AR2779" s="285"/>
      <c r="AS2779" s="263"/>
      <c r="AT2779" s="263"/>
      <c r="AU2779" s="263"/>
      <c r="AV2779" s="264"/>
      <c r="AW2779" s="263"/>
      <c r="AX2779" s="263"/>
      <c r="AY2779" s="263">
        <v>554</v>
      </c>
      <c r="AZ2779" s="263"/>
      <c r="BA2779" s="263"/>
      <c r="BB2779" s="263">
        <v>164</v>
      </c>
      <c r="BC2779" s="263"/>
      <c r="BD2779" s="264"/>
      <c r="BE2779" s="263"/>
      <c r="BF2779" s="263"/>
      <c r="BG2779" s="263"/>
      <c r="BH2779" s="263"/>
      <c r="BI2779" s="263"/>
      <c r="BJ2779" s="404">
        <f>altaz(J2000_Bas,$O2779,$M2779,DecLat,DecLong,2)</f>
        <v>35.719073038788096</v>
      </c>
      <c r="BK2779" s="378" t="s">
        <v>2595</v>
      </c>
      <c r="BL2779" s="379">
        <f>IF((2*G2779)/60&lt;0.2,0.2,(2*G2779)/60)</f>
        <v>0.2</v>
      </c>
      <c r="BM2779" s="380">
        <f>MOD((50000+AD2779-$B$3+(0/24)),1)</f>
        <v>0.19298901408183156</v>
      </c>
      <c r="BN2779" s="381"/>
      <c r="BO2779" s="382">
        <v>2770</v>
      </c>
    </row>
    <row r="2780" spans="1:67" s="24" customFormat="1" ht="15" customHeight="1" x14ac:dyDescent="0.25">
      <c r="A2780" s="288" t="s">
        <v>2596</v>
      </c>
      <c r="B2780" s="241" t="str">
        <f>HYPERLINK(CONCATENATE($AT$3,BK2780,$AU$3),$AV$3)</f>
        <v>S</v>
      </c>
      <c r="C2780" s="242" t="str">
        <f>HYPERLINK(CONCATENATE($AT$4,BK2780,$AU$4,BL2780),$AV$4)</f>
        <v>A</v>
      </c>
      <c r="D2780" s="243" t="s">
        <v>5187</v>
      </c>
      <c r="E2780" s="244" t="s">
        <v>5183</v>
      </c>
      <c r="F2780" s="269" t="s">
        <v>5180</v>
      </c>
      <c r="G2780" s="276">
        <v>10</v>
      </c>
      <c r="H2780" s="283">
        <v>7000</v>
      </c>
      <c r="I2780" s="246">
        <v>22</v>
      </c>
      <c r="J2780" s="246">
        <v>2</v>
      </c>
      <c r="K2780" s="247" t="s">
        <v>6316</v>
      </c>
      <c r="L2780" s="248">
        <v>233948</v>
      </c>
      <c r="M2780" s="249">
        <f>15*(LEFT(TEXT($L2780,"000000"),2)+(MID(TEXT($L2780,"000000"),3,2)/60)+(RIGHT(TEXT($L2780,"000000"),2)/3600))</f>
        <v>354.94999999999993</v>
      </c>
      <c r="N2780" s="250">
        <v>615600</v>
      </c>
      <c r="O2780" s="251">
        <f>IF($N2780&gt;0,(LEFT(TEXT($N2780,"000000"),2)+(MID(TEXT($N2780,"000000"),3,2)/60)+(RIGHT(TEXT($N2780,"000000"),2)/3600)),-(MID(TEXT($N2780,"000000"),2,2)+(MID(TEXT($N2780,"000000"),4,2)/60)+(RIGHT(TEXT($N2780,"000000"),2)/3600)))</f>
        <v>61.93333333333333</v>
      </c>
      <c r="P2780" s="252" t="s">
        <v>49</v>
      </c>
      <c r="Q2780" s="253"/>
      <c r="R2780" s="277" t="s">
        <v>3293</v>
      </c>
      <c r="S2780" s="272" t="s">
        <v>3293</v>
      </c>
      <c r="T2780" s="273"/>
      <c r="U2780" s="274"/>
      <c r="V2780" s="280"/>
      <c r="W2780" s="244"/>
      <c r="X2780" s="244"/>
      <c r="Y2780" s="362"/>
      <c r="Z2780" s="257">
        <f>altaz(J2000_Bas,$O2780,$M2780,DecLat,DecLong,1)</f>
        <v>36.822937609182333</v>
      </c>
      <c r="AA2780" s="257">
        <f>altaz((J2000_Bas+(2*0.04167)),$O2780,$M2780,DecLat,DecLong,1)</f>
        <v>50.219073768358427</v>
      </c>
      <c r="AB2780" s="257">
        <f>altaz((J2000_Bas+(4*0.04167)),$O2780,$M2780,DecLat,DecLong,1)</f>
        <v>58.544081155814297</v>
      </c>
      <c r="AC2780" s="257">
        <f>altaz((J2000_Bas+(6*0.04167)),$O2780,$M2780,DecLat,DecLong,1)</f>
        <v>56.119425442529717</v>
      </c>
      <c r="AD2780" s="258">
        <f>1+ transit((J2000_Bas-1),$O2780,$M2780,DecLat,DecLong)/360 + (GMTOffset/24) + (IF(DST="Y", 1, 0)/24)</f>
        <v>1.9788720842547078</v>
      </c>
      <c r="AE2780" s="259">
        <f>DATE(2001,9,21)+(M2780/360)*365 - (360*((DecLong/360)- (GMTOffset/24) ))</f>
        <v>37519.879861111112</v>
      </c>
      <c r="AF2780" s="260">
        <f>IF(DecLat&gt;0,IF((90 - (DecLat-O2780))&gt;90, (90 - (O2780-DecLat)), (90 - (DecLat-O2780))),IF((90 + (DecLat-O2780))&gt;90, (90 + (O2780-DecLat)), (90 + (DecLat-O2780))))</f>
        <v>59.06666666666667</v>
      </c>
      <c r="AG2780" s="257">
        <f>angularseperation(MoonRA,MoonDec,$M2780,$O2780)</f>
        <v>121.00864669595384</v>
      </c>
      <c r="AH2780" s="261">
        <f ca="1">MIN(100,IF($O$5&gt;80,0+30*($AG2780/100),IF($O$5&gt;70,0+50*($AG2780/100),IF($O$5&gt;60,5+50*($AG2780/100),IF($O$5&gt;50,10+60*($AG2780/100),IF($O$5&gt;40,15+70*($AG2780/100),IF($O$5&gt;30,20+70*($AG2780/100),IF($O$5&gt;20,40+55*($AG2780/100),(80+(20-$O$5)+30*($AG2780/100))))))))))</f>
        <v>100</v>
      </c>
      <c r="AI2780" s="263"/>
      <c r="AJ2780" s="263"/>
      <c r="AK2780" s="263"/>
      <c r="AL2780" s="263"/>
      <c r="AM2780" s="264"/>
      <c r="AN2780" s="263"/>
      <c r="AO2780" s="263"/>
      <c r="AP2780" s="265"/>
      <c r="AQ2780" s="265"/>
      <c r="AR2780" s="285"/>
      <c r="AS2780" s="263"/>
      <c r="AT2780" s="263"/>
      <c r="AU2780" s="263"/>
      <c r="AV2780" s="264"/>
      <c r="AW2780" s="263"/>
      <c r="AX2780" s="263"/>
      <c r="AY2780" s="263">
        <v>565</v>
      </c>
      <c r="AZ2780" s="263"/>
      <c r="BA2780" s="263"/>
      <c r="BB2780" s="263">
        <v>165</v>
      </c>
      <c r="BC2780" s="263"/>
      <c r="BD2780" s="264"/>
      <c r="BE2780" s="263"/>
      <c r="BF2780" s="263"/>
      <c r="BG2780" s="263"/>
      <c r="BH2780" s="263"/>
      <c r="BI2780" s="263"/>
      <c r="BJ2780" s="404">
        <f>altaz(J2000_Bas,$O2780,$M2780,DecLat,DecLong,2)</f>
        <v>33.266191242604222</v>
      </c>
      <c r="BK2780" s="378" t="s">
        <v>2596</v>
      </c>
      <c r="BL2780" s="379">
        <f>IF((2*G2780)/60&lt;0.2,0.2,(2*G2780)/60)</f>
        <v>0.33333333333333331</v>
      </c>
      <c r="BM2780" s="380">
        <f>MOD((50000+AD2780-$B$3+(0/24)),1)</f>
        <v>0.19423901395930443</v>
      </c>
      <c r="BN2780" s="381"/>
      <c r="BO2780" s="382">
        <v>2771</v>
      </c>
    </row>
    <row r="2781" spans="1:67" s="24" customFormat="1" ht="15" customHeight="1" x14ac:dyDescent="0.25">
      <c r="A2781" s="288" t="s">
        <v>2597</v>
      </c>
      <c r="B2781" s="241" t="str">
        <f>HYPERLINK(CONCATENATE($AT$3,BK2781,$AU$3),$AV$3)</f>
        <v>S</v>
      </c>
      <c r="C2781" s="242" t="str">
        <f>HYPERLINK(CONCATENATE($AT$4,BK2781,$AU$4,BL2781),$AV$4)</f>
        <v>A</v>
      </c>
      <c r="D2781" s="243" t="s">
        <v>5187</v>
      </c>
      <c r="E2781" s="244" t="s">
        <v>5183</v>
      </c>
      <c r="F2781" s="269" t="s">
        <v>5180</v>
      </c>
      <c r="G2781" s="276">
        <v>14</v>
      </c>
      <c r="H2781" s="283">
        <v>12000</v>
      </c>
      <c r="I2781" s="246">
        <v>50</v>
      </c>
      <c r="J2781" s="246">
        <v>0</v>
      </c>
      <c r="K2781" s="247" t="s">
        <v>6327</v>
      </c>
      <c r="L2781" s="248">
        <v>234200</v>
      </c>
      <c r="M2781" s="249">
        <f>15*(LEFT(TEXT($L2781,"000000"),2)+(MID(TEXT($L2781,"000000"),3,2)/60)+(RIGHT(TEXT($L2781,"000000"),2)/3600))</f>
        <v>355.5</v>
      </c>
      <c r="N2781" s="286">
        <v>605600</v>
      </c>
      <c r="O2781" s="251">
        <f>IF($N2781&gt;0,(LEFT(TEXT($N2781,"000000"),2)+(MID(TEXT($N2781,"000000"),3,2)/60)+(RIGHT(TEXT($N2781,"000000"),2)/3600)),-(MID(TEXT($N2781,"000000"),2,2)+(MID(TEXT($N2781,"000000"),4,2)/60)+(RIGHT(TEXT($N2781,"000000"),2)/3600)))</f>
        <v>60.93333333333333</v>
      </c>
      <c r="P2781" s="252" t="s">
        <v>49</v>
      </c>
      <c r="Q2781" s="253"/>
      <c r="R2781" s="277" t="s">
        <v>3293</v>
      </c>
      <c r="S2781" s="272" t="s">
        <v>3293</v>
      </c>
      <c r="T2781" s="273"/>
      <c r="U2781" s="274"/>
      <c r="V2781" s="280"/>
      <c r="W2781" s="244"/>
      <c r="X2781" s="244"/>
      <c r="Y2781" s="362"/>
      <c r="Z2781" s="257">
        <f>altaz(J2000_Bas,$O2781,$M2781,DecLat,DecLong,1)</f>
        <v>36.585957773296904</v>
      </c>
      <c r="AA2781" s="257">
        <f>altaz((J2000_Bas+(2*0.04167)),$O2781,$M2781,DecLat,DecLong,1)</f>
        <v>50.525329755066458</v>
      </c>
      <c r="AB2781" s="257">
        <f>altaz((J2000_Bas+(4*0.04167)),$O2781,$M2781,DecLat,DecLong,1)</f>
        <v>59.440268898821394</v>
      </c>
      <c r="AC2781" s="257">
        <f>altaz((J2000_Bas+(6*0.04167)),$O2781,$M2781,DecLat,DecLong,1)</f>
        <v>57.095637810265295</v>
      </c>
      <c r="AD2781" s="258">
        <f>1+ transit((J2000_Bas-1),$O2781,$M2781,DecLat,DecLong)/360 + (GMTOffset/24) + (IF(DST="Y", 1, 0)/24)</f>
        <v>1.9803998618797081</v>
      </c>
      <c r="AE2781" s="259">
        <f>DATE(2001,9,21)+(M2781/360)*365 - (360*((DecLong/360)- (GMTOffset/24) ))</f>
        <v>37520.4375</v>
      </c>
      <c r="AF2781" s="260">
        <f>IF(DecLat&gt;0,IF((90 - (DecLat-O2781))&gt;90, (90 - (O2781-DecLat)), (90 - (DecLat-O2781))),IF((90 + (DecLat-O2781))&gt;90, (90 + (O2781-DecLat)), (90 + (DecLat-O2781))))</f>
        <v>60.06666666666667</v>
      </c>
      <c r="AG2781" s="257">
        <f>angularseperation(MoonRA,MoonDec,$M2781,$O2781)</f>
        <v>121.26882758038656</v>
      </c>
      <c r="AH2781" s="261">
        <f ca="1">MIN(100,IF($O$5&gt;80,0+30*($AG2781/100),IF($O$5&gt;70,0+50*($AG2781/100),IF($O$5&gt;60,5+50*($AG2781/100),IF($O$5&gt;50,10+60*($AG2781/100),IF($O$5&gt;40,15+70*($AG2781/100),IF($O$5&gt;30,20+70*($AG2781/100),IF($O$5&gt;20,40+55*($AG2781/100),(80+(20-$O$5)+30*($AG2781/100))))))))))</f>
        <v>100</v>
      </c>
      <c r="AI2781" s="263"/>
      <c r="AJ2781" s="263"/>
      <c r="AK2781" s="263"/>
      <c r="AL2781" s="263"/>
      <c r="AM2781" s="264"/>
      <c r="AN2781" s="263"/>
      <c r="AO2781" s="263"/>
      <c r="AP2781" s="265"/>
      <c r="AQ2781" s="265"/>
      <c r="AR2781" s="285"/>
      <c r="AS2781" s="263"/>
      <c r="AT2781" s="263"/>
      <c r="AU2781" s="263"/>
      <c r="AV2781" s="264"/>
      <c r="AW2781" s="263"/>
      <c r="AX2781" s="263"/>
      <c r="AY2781" s="263">
        <v>566</v>
      </c>
      <c r="AZ2781" s="263"/>
      <c r="BA2781" s="263"/>
      <c r="BB2781" s="263">
        <v>166</v>
      </c>
      <c r="BC2781" s="263"/>
      <c r="BD2781" s="264"/>
      <c r="BE2781" s="263"/>
      <c r="BF2781" s="263"/>
      <c r="BG2781" s="263"/>
      <c r="BH2781" s="263"/>
      <c r="BI2781" s="263"/>
      <c r="BJ2781" s="404">
        <f>altaz(J2000_Bas,$O2781,$M2781,DecLat,DecLong,2)</f>
        <v>34.521581191420459</v>
      </c>
      <c r="BK2781" s="378" t="s">
        <v>2597</v>
      </c>
      <c r="BL2781" s="379">
        <f>IF((2*G2781)/60&lt;0.2,0.2,(2*G2781)/60)</f>
        <v>0.46666666666666667</v>
      </c>
      <c r="BM2781" s="380">
        <f>MOD((50000+AD2781-$B$3+(0/24)),1)</f>
        <v>0.19576679158490151</v>
      </c>
      <c r="BN2781" s="381"/>
      <c r="BO2781" s="382">
        <v>2772</v>
      </c>
    </row>
    <row r="2782" spans="1:67" s="24" customFormat="1" ht="15" customHeight="1" x14ac:dyDescent="0.25">
      <c r="A2782" s="288" t="s">
        <v>2598</v>
      </c>
      <c r="B2782" s="241" t="str">
        <f>HYPERLINK(CONCATENATE($AT$3,BK2782,$AU$3),$AV$3)</f>
        <v>S</v>
      </c>
      <c r="C2782" s="242" t="str">
        <f>HYPERLINK(CONCATENATE($AT$4,BK2782,$AU$4,BL2782),$AV$4)</f>
        <v>A</v>
      </c>
      <c r="D2782" s="243" t="s">
        <v>5187</v>
      </c>
      <c r="E2782" s="244" t="s">
        <v>5183</v>
      </c>
      <c r="F2782" s="269" t="s">
        <v>5180</v>
      </c>
      <c r="G2782" s="273">
        <v>3</v>
      </c>
      <c r="H2782" s="283">
        <v>21000</v>
      </c>
      <c r="I2782" s="246">
        <v>20</v>
      </c>
      <c r="J2782" s="246">
        <v>2</v>
      </c>
      <c r="K2782" s="247" t="s">
        <v>6316</v>
      </c>
      <c r="L2782" s="248">
        <v>233500</v>
      </c>
      <c r="M2782" s="249">
        <f>15*(LEFT(TEXT($L2782,"000000"),2)+(MID(TEXT($L2782,"000000"),3,2)/60)+(RIGHT(TEXT($L2782,"000000"),2)/3600))</f>
        <v>353.75</v>
      </c>
      <c r="N2782" s="286">
        <v>645200</v>
      </c>
      <c r="O2782" s="251">
        <f>IF($N2782&gt;0,(LEFT(TEXT($N2782,"000000"),2)+(MID(TEXT($N2782,"000000"),3,2)/60)+(RIGHT(TEXT($N2782,"000000"),2)/3600)),-(MID(TEXT($N2782,"000000"),2,2)+(MID(TEXT($N2782,"000000"),4,2)/60)+(RIGHT(TEXT($N2782,"000000"),2)/3600)))</f>
        <v>64.86666666666666</v>
      </c>
      <c r="P2782" s="252" t="s">
        <v>49</v>
      </c>
      <c r="Q2782" s="253"/>
      <c r="R2782" s="277" t="s">
        <v>3293</v>
      </c>
      <c r="S2782" s="272"/>
      <c r="T2782" s="273"/>
      <c r="U2782" s="274"/>
      <c r="V2782" s="280"/>
      <c r="W2782" s="244"/>
      <c r="X2782" s="244"/>
      <c r="Y2782" s="362"/>
      <c r="Z2782" s="257">
        <f>altaz(J2000_Bas,$O2782,$M2782,DecLat,DecLong,1)</f>
        <v>37.167127624345177</v>
      </c>
      <c r="AA2782" s="257">
        <f>altaz((J2000_Bas+(2*0.04167)),$O2782,$M2782,DecLat,DecLong,1)</f>
        <v>48.979390786361513</v>
      </c>
      <c r="AB2782" s="257">
        <f>altaz((J2000_Bas+(4*0.04167)),$O2782,$M2782,DecLat,DecLong,1)</f>
        <v>55.807767474468051</v>
      </c>
      <c r="AC2782" s="257">
        <f>altaz((J2000_Bas+(6*0.04167)),$O2782,$M2782,DecLat,DecLong,1)</f>
        <v>53.379959538133669</v>
      </c>
      <c r="AD2782" s="258">
        <f>1+ transit((J2000_Bas-1),$O2782,$M2782,DecLat,DecLong)/360 + (GMTOffset/24) + (IF(DST="Y", 1, 0)/24)</f>
        <v>1.9755387512547082</v>
      </c>
      <c r="AE2782" s="259">
        <f>DATE(2001,9,21)+(M2782/360)*365 - (360*((DecLong/360)- (GMTOffset/24) ))</f>
        <v>37518.663194444445</v>
      </c>
      <c r="AF2782" s="260">
        <f>IF(DecLat&gt;0,IF((90 - (DecLat-O2782))&gt;90, (90 - (O2782-DecLat)), (90 - (DecLat-O2782))),IF((90 + (DecLat-O2782))&gt;90, (90 + (O2782-DecLat)), (90 + (DecLat-O2782))))</f>
        <v>56.13333333333334</v>
      </c>
      <c r="AG2782" s="257">
        <f>angularseperation(MoonRA,MoonDec,$M2782,$O2782)</f>
        <v>120.45915339024997</v>
      </c>
      <c r="AH2782" s="261">
        <f ca="1">MIN(100,IF($O$5&gt;80,0+30*($AG2782/100),IF($O$5&gt;70,0+50*($AG2782/100),IF($O$5&gt;60,5+50*($AG2782/100),IF($O$5&gt;50,10+60*($AG2782/100),IF($O$5&gt;40,15+70*($AG2782/100),IF($O$5&gt;30,20+70*($AG2782/100),IF($O$5&gt;20,40+55*($AG2782/100),(80+(20-$O$5)+30*($AG2782/100))))))))))</f>
        <v>100</v>
      </c>
      <c r="AI2782" s="263"/>
      <c r="AJ2782" s="263"/>
      <c r="AK2782" s="263"/>
      <c r="AL2782" s="263"/>
      <c r="AM2782" s="264"/>
      <c r="AN2782" s="263"/>
      <c r="AO2782" s="263"/>
      <c r="AP2782" s="265"/>
      <c r="AQ2782" s="265"/>
      <c r="AR2782" s="285"/>
      <c r="AS2782" s="263"/>
      <c r="AT2782" s="263"/>
      <c r="AU2782" s="263"/>
      <c r="AV2782" s="264"/>
      <c r="AW2782" s="263"/>
      <c r="AX2782" s="263"/>
      <c r="AY2782" s="263"/>
      <c r="AZ2782" s="263"/>
      <c r="BA2782" s="263"/>
      <c r="BB2782" s="263">
        <v>167</v>
      </c>
      <c r="BC2782" s="263"/>
      <c r="BD2782" s="264"/>
      <c r="BE2782" s="263"/>
      <c r="BF2782" s="263"/>
      <c r="BG2782" s="263"/>
      <c r="BH2782" s="263"/>
      <c r="BI2782" s="263"/>
      <c r="BJ2782" s="404">
        <f>altaz(J2000_Bas,$O2782,$M2782,DecLat,DecLong,2)</f>
        <v>29.557271290060843</v>
      </c>
      <c r="BK2782" s="378" t="s">
        <v>2598</v>
      </c>
      <c r="BL2782" s="379">
        <f>IF((2*G2782)/60&lt;0.2,0.2,(2*G2782)/60)</f>
        <v>0.2</v>
      </c>
      <c r="BM2782" s="380">
        <f>MOD((50000+AD2782-$B$3+(0/24)),1)</f>
        <v>0.19090568095998606</v>
      </c>
      <c r="BN2782" s="381"/>
      <c r="BO2782" s="382">
        <v>2773</v>
      </c>
    </row>
    <row r="2783" spans="1:67" s="24" customFormat="1" ht="15" customHeight="1" x14ac:dyDescent="0.25">
      <c r="A2783" s="288" t="s">
        <v>2599</v>
      </c>
      <c r="B2783" s="241" t="str">
        <f>HYPERLINK(CONCATENATE($AT$3,BK2783,$AU$3),$AV$3)</f>
        <v>S</v>
      </c>
      <c r="C2783" s="242" t="str">
        <f>HYPERLINK(CONCATENATE($AT$4,BK2783,$AU$4,BL2783),$AV$4)</f>
        <v>A</v>
      </c>
      <c r="D2783" s="243" t="s">
        <v>5187</v>
      </c>
      <c r="E2783" s="244" t="s">
        <v>5183</v>
      </c>
      <c r="F2783" s="269" t="s">
        <v>5180</v>
      </c>
      <c r="G2783" s="273">
        <v>8</v>
      </c>
      <c r="H2783" s="283">
        <v>12000</v>
      </c>
      <c r="I2783" s="246">
        <v>30</v>
      </c>
      <c r="J2783" s="246">
        <v>3</v>
      </c>
      <c r="K2783" s="247" t="s">
        <v>5174</v>
      </c>
      <c r="L2783" s="248">
        <v>235256</v>
      </c>
      <c r="M2783" s="249">
        <f>15*(LEFT(TEXT($L2783,"000000"),2)+(MID(TEXT($L2783,"000000"),3,2)/60)+(RIGHT(TEXT($L2783,"000000"),2)/3600))</f>
        <v>358.23333333333335</v>
      </c>
      <c r="N2783" s="250">
        <v>602904</v>
      </c>
      <c r="O2783" s="251">
        <f>IF($N2783&gt;0,(LEFT(TEXT($N2783,"000000"),2)+(MID(TEXT($N2783,"000000"),3,2)/60)+(RIGHT(TEXT($N2783,"000000"),2)/3600)),-(MID(TEXT($N2783,"000000"),2,2)+(MID(TEXT($N2783,"000000"),4,2)/60)+(RIGHT(TEXT($N2783,"000000"),2)/3600)))</f>
        <v>60.484444444444442</v>
      </c>
      <c r="P2783" s="252" t="s">
        <v>49</v>
      </c>
      <c r="Q2783" s="253"/>
      <c r="R2783" s="247" t="s">
        <v>3293</v>
      </c>
      <c r="S2783" s="272" t="s">
        <v>2600</v>
      </c>
      <c r="T2783" s="273"/>
      <c r="U2783" s="274"/>
      <c r="V2783" s="280"/>
      <c r="W2783" s="244"/>
      <c r="X2783" s="244"/>
      <c r="Y2783" s="362"/>
      <c r="Z2783" s="257">
        <f>altaz(J2000_Bas,$O2783,$M2783,DecLat,DecLong,1)</f>
        <v>35.245047542405786</v>
      </c>
      <c r="AA2783" s="257">
        <f>altaz((J2000_Bas+(2*0.04167)),$O2783,$M2783,DecLat,DecLong,1)</f>
        <v>49.578905309787274</v>
      </c>
      <c r="AB2783" s="257">
        <f>altaz((J2000_Bas+(4*0.04167)),$O2783,$M2783,DecLat,DecLong,1)</f>
        <v>59.447822173004425</v>
      </c>
      <c r="AC2783" s="257">
        <f>altaz((J2000_Bas+(6*0.04167)),$O2783,$M2783,DecLat,DecLong,1)</f>
        <v>58.186517763824448</v>
      </c>
      <c r="AD2783" s="258">
        <f>1+ transit((J2000_Bas-1),$O2783,$M2783,DecLat,DecLong)/360 + (GMTOffset/24) + (IF(DST="Y", 1, 0)/24)</f>
        <v>1.9879924537130413</v>
      </c>
      <c r="AE2783" s="259">
        <f>DATE(2001,9,21)+(M2783/360)*365 - (360*((DecLong/360)- (GMTOffset/24) ))</f>
        <v>37523.208796296298</v>
      </c>
      <c r="AF2783" s="260">
        <f>IF(DecLat&gt;0,IF((90 - (DecLat-O2783))&gt;90, (90 - (O2783-DecLat)), (90 - (DecLat-O2783))),IF((90 + (DecLat-O2783))&gt;90, (90 + (O2783-DecLat)), (90 + (DecLat-O2783))))</f>
        <v>60.515555555555558</v>
      </c>
      <c r="AG2783" s="257">
        <f>angularseperation(MoonRA,MoonDec,$M2783,$O2783)</f>
        <v>122.61241977157775</v>
      </c>
      <c r="AH2783" s="261">
        <f ca="1">MIN(100,IF($O$5&gt;80,0+30*($AG2783/100),IF($O$5&gt;70,0+50*($AG2783/100),IF($O$5&gt;60,5+50*($AG2783/100),IF($O$5&gt;50,10+60*($AG2783/100),IF($O$5&gt;40,15+70*($AG2783/100),IF($O$5&gt;30,20+70*($AG2783/100),IF($O$5&gt;20,40+55*($AG2783/100),(80+(20-$O$5)+30*($AG2783/100))))))))))</f>
        <v>100</v>
      </c>
      <c r="AI2783" s="262"/>
      <c r="AJ2783" s="262"/>
      <c r="AK2783" s="262"/>
      <c r="AL2783" s="263"/>
      <c r="AM2783" s="264"/>
      <c r="AN2783" s="263"/>
      <c r="AO2783" s="263"/>
      <c r="AP2783" s="265"/>
      <c r="AQ2783" s="266"/>
      <c r="AR2783" s="267"/>
      <c r="AS2783" s="263"/>
      <c r="AT2783" s="263"/>
      <c r="AU2783" s="263"/>
      <c r="AV2783" s="264"/>
      <c r="AW2783" s="263"/>
      <c r="AX2783" s="263"/>
      <c r="AY2783" s="263">
        <v>568</v>
      </c>
      <c r="AZ2783" s="263"/>
      <c r="BA2783" s="263"/>
      <c r="BB2783" s="263">
        <v>168</v>
      </c>
      <c r="BC2783" s="263"/>
      <c r="BD2783" s="264"/>
      <c r="BE2783" s="263"/>
      <c r="BF2783" s="263"/>
      <c r="BG2783" s="263"/>
      <c r="BH2783" s="263"/>
      <c r="BI2783" s="263"/>
      <c r="BJ2783" s="404">
        <f>altaz(J2000_Bas,$O2783,$M2783,DecLat,DecLong,2)</f>
        <v>35.061824048776131</v>
      </c>
      <c r="BK2783" s="378" t="s">
        <v>2599</v>
      </c>
      <c r="BL2783" s="379">
        <f>IF((2*G2783)/60&lt;0.2,0.2,(2*G2783)/60)</f>
        <v>0.26666666666666666</v>
      </c>
      <c r="BM2783" s="380">
        <f>MOD((50000+AD2783-$B$3+(0/24)),1)</f>
        <v>0.20335938342032023</v>
      </c>
      <c r="BN2783" s="381"/>
      <c r="BO2783" s="382">
        <v>2774</v>
      </c>
    </row>
    <row r="2784" spans="1:67" s="24" customFormat="1" ht="15" customHeight="1" x14ac:dyDescent="0.25">
      <c r="A2784" s="288" t="s">
        <v>2600</v>
      </c>
      <c r="B2784" s="241" t="str">
        <f>HYPERLINK(CONCATENATE($AT$3,BK2784,$AU$3),$AV$3)</f>
        <v>S</v>
      </c>
      <c r="C2784" s="242" t="str">
        <f>HYPERLINK(CONCATENATE($AT$4,BK2784,$AU$4,BL2784),$AV$4)</f>
        <v>A</v>
      </c>
      <c r="D2784" s="243" t="s">
        <v>5187</v>
      </c>
      <c r="E2784" s="244" t="s">
        <v>5183</v>
      </c>
      <c r="F2784" s="269" t="s">
        <v>5180</v>
      </c>
      <c r="G2784" s="273">
        <v>9</v>
      </c>
      <c r="H2784" s="283">
        <v>7500</v>
      </c>
      <c r="I2784" s="246">
        <v>20</v>
      </c>
      <c r="J2784" s="246">
        <v>0</v>
      </c>
      <c r="K2784" s="247" t="s">
        <v>6328</v>
      </c>
      <c r="L2784" s="248">
        <v>235400</v>
      </c>
      <c r="M2784" s="249">
        <f>15*(LEFT(TEXT($L2784,"000000"),2)+(MID(TEXT($L2784,"000000"),3,2)/60)+(RIGHT(TEXT($L2784,"000000"),2)/3600))</f>
        <v>358.5</v>
      </c>
      <c r="N2784" s="286">
        <v>602200</v>
      </c>
      <c r="O2784" s="251">
        <f>IF($N2784&gt;0,(LEFT(TEXT($N2784,"000000"),2)+(MID(TEXT($N2784,"000000"),3,2)/60)+(RIGHT(TEXT($N2784,"000000"),2)/3600)),-(MID(TEXT($N2784,"000000"),2,2)+(MID(TEXT($N2784,"000000"),4,2)/60)+(RIGHT(TEXT($N2784,"000000"),2)/3600)))</f>
        <v>60.366666666666667</v>
      </c>
      <c r="P2784" s="252" t="s">
        <v>49</v>
      </c>
      <c r="Q2784" s="253"/>
      <c r="R2784" s="277" t="s">
        <v>3293</v>
      </c>
      <c r="S2784" s="272" t="s">
        <v>3293</v>
      </c>
      <c r="T2784" s="273"/>
      <c r="U2784" s="274"/>
      <c r="V2784" s="280"/>
      <c r="W2784" s="244"/>
      <c r="X2784" s="244"/>
      <c r="Y2784" s="362"/>
      <c r="Z2784" s="257">
        <f>altaz(J2000_Bas,$O2784,$M2784,DecLat,DecLong,1)</f>
        <v>35.109429111429108</v>
      </c>
      <c r="AA2784" s="257">
        <f>altaz((J2000_Bas+(2*0.04167)),$O2784,$M2784,DecLat,DecLong,1)</f>
        <v>49.515909233293911</v>
      </c>
      <c r="AB2784" s="257">
        <f>altaz((J2000_Bas+(4*0.04167)),$O2784,$M2784,DecLat,DecLong,1)</f>
        <v>59.510933116917776</v>
      </c>
      <c r="AC2784" s="257">
        <f>altaz((J2000_Bas+(6*0.04167)),$O2784,$M2784,DecLat,DecLong,1)</f>
        <v>58.354365607567793</v>
      </c>
      <c r="AD2784" s="258">
        <f>1+ transit((J2000_Bas-1),$O2784,$M2784,DecLat,DecLong)/360 + (GMTOffset/24) + (IF(DST="Y", 1, 0)/24)</f>
        <v>1.988733194379708</v>
      </c>
      <c r="AE2784" s="259">
        <f>DATE(2001,9,21)+(M2784/360)*365 - (360*((DecLong/360)- (GMTOffset/24) ))</f>
        <v>37523.479166666664</v>
      </c>
      <c r="AF2784" s="260">
        <f>IF(DecLat&gt;0,IF((90 - (DecLat-O2784))&gt;90, (90 - (O2784-DecLat)), (90 - (DecLat-O2784))),IF((90 + (DecLat-O2784))&gt;90, (90 + (O2784-DecLat)), (90 + (DecLat-O2784))))</f>
        <v>60.633333333333333</v>
      </c>
      <c r="AG2784" s="257">
        <f>angularseperation(MoonRA,MoonDec,$M2784,$O2784)</f>
        <v>122.74801123556402</v>
      </c>
      <c r="AH2784" s="261">
        <f ca="1">MIN(100,IF($O$5&gt;80,0+30*($AG2784/100),IF($O$5&gt;70,0+50*($AG2784/100),IF($O$5&gt;60,5+50*($AG2784/100),IF($O$5&gt;50,10+60*($AG2784/100),IF($O$5&gt;40,15+70*($AG2784/100),IF($O$5&gt;30,20+70*($AG2784/100),IF($O$5&gt;20,40+55*($AG2784/100),(80+(20-$O$5)+30*($AG2784/100))))))))))</f>
        <v>100</v>
      </c>
      <c r="AI2784" s="263"/>
      <c r="AJ2784" s="263"/>
      <c r="AK2784" s="263"/>
      <c r="AL2784" s="263"/>
      <c r="AM2784" s="264"/>
      <c r="AN2784" s="263"/>
      <c r="AO2784" s="263"/>
      <c r="AP2784" s="265"/>
      <c r="AQ2784" s="265"/>
      <c r="AR2784" s="285"/>
      <c r="AS2784" s="263"/>
      <c r="AT2784" s="263"/>
      <c r="AU2784" s="263"/>
      <c r="AV2784" s="264"/>
      <c r="AW2784" s="263"/>
      <c r="AX2784" s="263"/>
      <c r="AY2784" s="263"/>
      <c r="AZ2784" s="263"/>
      <c r="BA2784" s="263"/>
      <c r="BB2784" s="263">
        <v>169</v>
      </c>
      <c r="BC2784" s="263"/>
      <c r="BD2784" s="264"/>
      <c r="BE2784" s="263"/>
      <c r="BF2784" s="263"/>
      <c r="BG2784" s="263"/>
      <c r="BH2784" s="263"/>
      <c r="BI2784" s="263"/>
      <c r="BJ2784" s="404">
        <f>altaz(J2000_Bas,$O2784,$M2784,DecLat,DecLong,2)</f>
        <v>35.200247652936596</v>
      </c>
      <c r="BK2784" s="378" t="s">
        <v>2600</v>
      </c>
      <c r="BL2784" s="379">
        <f>IF((2*G2784)/60&lt;0.2,0.2,(2*G2784)/60)</f>
        <v>0.3</v>
      </c>
      <c r="BM2784" s="380">
        <f>MOD((50000+AD2784-$B$3+(0/24)),1)</f>
        <v>0.20410012408683542</v>
      </c>
      <c r="BN2784" s="381"/>
      <c r="BO2784" s="382">
        <v>2775</v>
      </c>
    </row>
    <row r="2785" spans="1:67" s="24" customFormat="1" ht="15" customHeight="1" x14ac:dyDescent="0.25">
      <c r="A2785" s="288" t="s">
        <v>2601</v>
      </c>
      <c r="B2785" s="241" t="str">
        <f>HYPERLINK(CONCATENATE($AT$3,BK2785,$AU$3),$AV$3)</f>
        <v>S</v>
      </c>
      <c r="C2785" s="242" t="str">
        <f>HYPERLINK(CONCATENATE($AT$4,BK2785,$AU$4,BL2785),$AV$4)</f>
        <v>A</v>
      </c>
      <c r="D2785" s="243" t="s">
        <v>5187</v>
      </c>
      <c r="E2785" s="244" t="s">
        <v>5183</v>
      </c>
      <c r="F2785" s="269" t="s">
        <v>5180</v>
      </c>
      <c r="G2785" s="276">
        <v>20</v>
      </c>
      <c r="H2785" s="283">
        <v>7500</v>
      </c>
      <c r="I2785" s="246">
        <v>45</v>
      </c>
      <c r="J2785" s="246">
        <v>2</v>
      </c>
      <c r="K2785" s="247" t="s">
        <v>5176</v>
      </c>
      <c r="L2785" s="248">
        <v>134</v>
      </c>
      <c r="M2785" s="249">
        <f>15*(LEFT(TEXT($L2785,"000000"),2)+(MID(TEXT($L2785,"000000"),3,2)/60)+(RIGHT(TEXT($L2785,"000000"),2)/3600))</f>
        <v>0.39166666666666672</v>
      </c>
      <c r="N2785" s="250">
        <v>643642</v>
      </c>
      <c r="O2785" s="251">
        <f>IF($N2785&gt;0,(LEFT(TEXT($N2785,"000000"),2)+(MID(TEXT($N2785,"000000"),3,2)/60)+(RIGHT(TEXT($N2785,"000000"),2)/3600)),-(MID(TEXT($N2785,"000000"),2,2)+(MID(TEXT($N2785,"000000"),4,2)/60)+(RIGHT(TEXT($N2785,"000000"),2)/3600)))</f>
        <v>64.611666666666665</v>
      </c>
      <c r="P2785" s="252" t="s">
        <v>49</v>
      </c>
      <c r="Q2785" s="253"/>
      <c r="R2785" s="247" t="s">
        <v>3293</v>
      </c>
      <c r="S2785" s="272" t="s">
        <v>5175</v>
      </c>
      <c r="T2785" s="273"/>
      <c r="U2785" s="274"/>
      <c r="V2785" s="280"/>
      <c r="W2785" s="244"/>
      <c r="X2785" s="244"/>
      <c r="Y2785" s="362"/>
      <c r="Z2785" s="257">
        <f>altaz(J2000_Bas,$O2785,$M2785,DecLat,DecLong,1)</f>
        <v>34.34647046191067</v>
      </c>
      <c r="AA2785" s="257">
        <f>altaz((J2000_Bas+(2*0.04167)),$O2785,$M2785,DecLat,DecLong,1)</f>
        <v>46.744250566127164</v>
      </c>
      <c r="AB2785" s="257">
        <f>altaz((J2000_Bas+(4*0.04167)),$O2785,$M2785,DecLat,DecLong,1)</f>
        <v>55.240050042827349</v>
      </c>
      <c r="AC2785" s="257">
        <f>altaz((J2000_Bas+(6*0.04167)),$O2785,$M2785,DecLat,DecLong,1)</f>
        <v>54.965865549405791</v>
      </c>
      <c r="AD2785" s="258">
        <f>1+ transit((J2000_Bas-1),$O2785,$M2785,DecLat,DecLong)/360 + (GMTOffset/24) + (IF(DST="Y", 1, 0)/24)</f>
        <v>0.99398792348387455</v>
      </c>
      <c r="AE2785" s="259">
        <f>DATE(2001,9,21)+(M2785/360)*365 - (360*((DecLong/360)- (GMTOffset/24) ))</f>
        <v>37160.397106481483</v>
      </c>
      <c r="AF2785" s="260">
        <f>IF(DecLat&gt;0,IF((90 - (DecLat-O2785))&gt;90, (90 - (O2785-DecLat)), (90 - (DecLat-O2785))),IF((90 + (DecLat-O2785))&gt;90, (90 + (O2785-DecLat)), (90 + (DecLat-O2785))))</f>
        <v>56.388333333333335</v>
      </c>
      <c r="AG2785" s="257">
        <f>angularseperation(MoonRA,MoonDec,$M2785,$O2785)</f>
        <v>123.30244695379682</v>
      </c>
      <c r="AH2785" s="261">
        <f ca="1">MIN(100,IF($O$5&gt;80,0+30*($AG2785/100),IF($O$5&gt;70,0+50*($AG2785/100),IF($O$5&gt;60,5+50*($AG2785/100),IF($O$5&gt;50,10+60*($AG2785/100),IF($O$5&gt;40,15+70*($AG2785/100),IF($O$5&gt;30,20+70*($AG2785/100),IF($O$5&gt;20,40+55*($AG2785/100),(80+(20-$O$5)+30*($AG2785/100))))))))))</f>
        <v>100</v>
      </c>
      <c r="AI2785" s="262"/>
      <c r="AJ2785" s="262"/>
      <c r="AK2785" s="262"/>
      <c r="AL2785" s="263"/>
      <c r="AM2785" s="264"/>
      <c r="AN2785" s="263"/>
      <c r="AO2785" s="263"/>
      <c r="AP2785" s="265"/>
      <c r="AQ2785" s="266"/>
      <c r="AR2785" s="267"/>
      <c r="AS2785" s="263"/>
      <c r="AT2785" s="263"/>
      <c r="AU2785" s="263"/>
      <c r="AV2785" s="264"/>
      <c r="AW2785" s="263"/>
      <c r="AX2785" s="263"/>
      <c r="AY2785" s="263">
        <v>577</v>
      </c>
      <c r="AZ2785" s="263"/>
      <c r="BA2785" s="263"/>
      <c r="BB2785" s="263">
        <v>170</v>
      </c>
      <c r="BC2785" s="263"/>
      <c r="BD2785" s="264"/>
      <c r="BE2785" s="263"/>
      <c r="BF2785" s="263"/>
      <c r="BG2785" s="263"/>
      <c r="BH2785" s="263"/>
      <c r="BI2785" s="263">
        <v>2</v>
      </c>
      <c r="BJ2785" s="404">
        <f>altaz(J2000_Bas,$O2785,$M2785,DecLat,DecLong,2)</f>
        <v>30.009179038552524</v>
      </c>
      <c r="BK2785" s="378" t="s">
        <v>2601</v>
      </c>
      <c r="BL2785" s="379">
        <f>IF((2*G2785)/60&lt;0.2,0.2,(2*G2785)/60)</f>
        <v>0.66666666666666663</v>
      </c>
      <c r="BM2785" s="380">
        <f>MOD((50000+AD2785-$B$3+(0/24)),1)</f>
        <v>0.20935485318477731</v>
      </c>
      <c r="BN2785" s="381"/>
      <c r="BO2785" s="382">
        <v>2776</v>
      </c>
    </row>
    <row r="2786" spans="1:67" s="24" customFormat="1" ht="15" customHeight="1" x14ac:dyDescent="0.25">
      <c r="A2786" s="288" t="s">
        <v>2602</v>
      </c>
      <c r="B2786" s="241" t="str">
        <f>HYPERLINK(CONCATENATE($AT$3,BK2786,$AU$3),$AV$3)</f>
        <v>S</v>
      </c>
      <c r="C2786" s="242" t="str">
        <f>HYPERLINK(CONCATENATE($AT$4,BK2786,$AU$4,BL2786),$AV$4)</f>
        <v>A</v>
      </c>
      <c r="D2786" s="243" t="s">
        <v>5187</v>
      </c>
      <c r="E2786" s="244" t="s">
        <v>5183</v>
      </c>
      <c r="F2786" s="269" t="s">
        <v>5180</v>
      </c>
      <c r="G2786" s="273">
        <v>3</v>
      </c>
      <c r="H2786" s="283">
        <v>10500</v>
      </c>
      <c r="I2786" s="244">
        <v>10</v>
      </c>
      <c r="J2786" s="246">
        <v>1</v>
      </c>
      <c r="K2786" s="247" t="s">
        <v>6329</v>
      </c>
      <c r="L2786" s="248">
        <v>1500</v>
      </c>
      <c r="M2786" s="249">
        <f>15*(LEFT(TEXT($L2786,"000000"),2)+(MID(TEXT($L2786,"000000"),3,2)/60)+(RIGHT(TEXT($L2786,"000000"),2)/3600))</f>
        <v>3.75</v>
      </c>
      <c r="N2786" s="286">
        <v>611500</v>
      </c>
      <c r="O2786" s="251">
        <f>IF($N2786&gt;0,(LEFT(TEXT($N2786,"000000"),2)+(MID(TEXT($N2786,"000000"),3,2)/60)+(RIGHT(TEXT($N2786,"000000"),2)/3600)),-(MID(TEXT($N2786,"000000"),2,2)+(MID(TEXT($N2786,"000000"),4,2)/60)+(RIGHT(TEXT($N2786,"000000"),2)/3600)))</f>
        <v>61.25</v>
      </c>
      <c r="P2786" s="252" t="s">
        <v>49</v>
      </c>
      <c r="Q2786" s="253"/>
      <c r="R2786" s="277" t="s">
        <v>3293</v>
      </c>
      <c r="S2786" s="272" t="s">
        <v>3293</v>
      </c>
      <c r="T2786" s="273"/>
      <c r="U2786" s="274"/>
      <c r="V2786" s="280"/>
      <c r="W2786" s="244"/>
      <c r="X2786" s="244"/>
      <c r="Y2786" s="362"/>
      <c r="Z2786" s="257">
        <f>altaz(J2000_Bas,$O2786,$M2786,DecLat,DecLong,1)</f>
        <v>32.618611237620676</v>
      </c>
      <c r="AA2786" s="257">
        <f>altaz((J2000_Bas+(2*0.04167)),$O2786,$M2786,DecLat,DecLong,1)</f>
        <v>46.821069834205559</v>
      </c>
      <c r="AB2786" s="257">
        <f>altaz((J2000_Bas+(4*0.04167)),$O2786,$M2786,DecLat,DecLong,1)</f>
        <v>57.627371389198323</v>
      </c>
      <c r="AC2786" s="257">
        <f>altaz((J2000_Bas+(6*0.04167)),$O2786,$M2786,DecLat,DecLong,1)</f>
        <v>58.655258844199231</v>
      </c>
      <c r="AD2786" s="258">
        <f>1+ transit((J2000_Bas-1),$O2786,$M2786,DecLat,DecLong)/360 + (GMTOffset/24) + (IF(DST="Y", 1, 0)/24)</f>
        <v>1.003316626254708</v>
      </c>
      <c r="AE2786" s="259">
        <f>DATE(2001,9,21)+(M2786/360)*365 - (360*((DecLong/360)- (GMTOffset/24) ))</f>
        <v>37163.802083333336</v>
      </c>
      <c r="AF2786" s="260">
        <f>IF(DecLat&gt;0,IF((90 - (DecLat-O2786))&gt;90, (90 - (O2786-DecLat)), (90 - (DecLat-O2786))),IF((90 + (DecLat-O2786))&gt;90, (90 + (O2786-DecLat)), (90 + (DecLat-O2786))))</f>
        <v>59.75</v>
      </c>
      <c r="AG2786" s="257">
        <f>angularseperation(MoonRA,MoonDec,$M2786,$O2786)</f>
        <v>125.22692608428885</v>
      </c>
      <c r="AH2786" s="261">
        <f ca="1">MIN(100,IF($O$5&gt;80,0+30*($AG2786/100),IF($O$5&gt;70,0+50*($AG2786/100),IF($O$5&gt;60,5+50*($AG2786/100),IF($O$5&gt;50,10+60*($AG2786/100),IF($O$5&gt;40,15+70*($AG2786/100),IF($O$5&gt;30,20+70*($AG2786/100),IF($O$5&gt;20,40+55*($AG2786/100),(80+(20-$O$5)+30*($AG2786/100))))))))))</f>
        <v>100</v>
      </c>
      <c r="AI2786" s="263"/>
      <c r="AJ2786" s="263"/>
      <c r="AK2786" s="263"/>
      <c r="AL2786" s="263"/>
      <c r="AM2786" s="264"/>
      <c r="AN2786" s="263"/>
      <c r="AO2786" s="263"/>
      <c r="AP2786" s="265"/>
      <c r="AQ2786" s="265"/>
      <c r="AR2786" s="285"/>
      <c r="AS2786" s="263"/>
      <c r="AT2786" s="263"/>
      <c r="AU2786" s="263"/>
      <c r="AV2786" s="264"/>
      <c r="AW2786" s="263"/>
      <c r="AX2786" s="263"/>
      <c r="AY2786" s="263"/>
      <c r="AZ2786" s="263"/>
      <c r="BA2786" s="263"/>
      <c r="BB2786" s="263">
        <v>172</v>
      </c>
      <c r="BC2786" s="263"/>
      <c r="BD2786" s="264"/>
      <c r="BE2786" s="263"/>
      <c r="BF2786" s="263"/>
      <c r="BG2786" s="263"/>
      <c r="BH2786" s="263"/>
      <c r="BI2786" s="263"/>
      <c r="BJ2786" s="404">
        <f>altaz(J2000_Bas,$O2786,$M2786,DecLat,DecLong,2)</f>
        <v>33.921019299710402</v>
      </c>
      <c r="BK2786" s="378" t="s">
        <v>2602</v>
      </c>
      <c r="BL2786" s="379">
        <f>IF((2*G2786)/60&lt;0.2,0.2,(2*G2786)/60)</f>
        <v>0.2</v>
      </c>
      <c r="BM2786" s="380">
        <f>MOD((50000+AD2786-$B$3+(0/24)),1)</f>
        <v>0.21868355596234323</v>
      </c>
      <c r="BN2786" s="381"/>
      <c r="BO2786" s="382">
        <v>2777</v>
      </c>
    </row>
    <row r="2787" spans="1:67" s="24" customFormat="1" ht="15" customHeight="1" x14ac:dyDescent="0.25">
      <c r="A2787" s="288" t="s">
        <v>2603</v>
      </c>
      <c r="B2787" s="241" t="str">
        <f>HYPERLINK(CONCATENATE($AT$3,BK2787,$AU$3),$AV$3)</f>
        <v>S</v>
      </c>
      <c r="C2787" s="242" t="str">
        <f>HYPERLINK(CONCATENATE($AT$4,BK2787,$AU$4,BL2787),$AV$4)</f>
        <v>A</v>
      </c>
      <c r="D2787" s="243" t="s">
        <v>5187</v>
      </c>
      <c r="E2787" s="244" t="s">
        <v>5183</v>
      </c>
      <c r="F2787" s="269" t="s">
        <v>5180</v>
      </c>
      <c r="G2787" s="276">
        <v>25</v>
      </c>
      <c r="H2787" s="283">
        <v>9000</v>
      </c>
      <c r="I2787" s="246">
        <v>70</v>
      </c>
      <c r="J2787" s="246">
        <v>4</v>
      </c>
      <c r="K2787" s="247" t="s">
        <v>5229</v>
      </c>
      <c r="L2787" s="248">
        <v>2116</v>
      </c>
      <c r="M2787" s="249">
        <f>15*(LEFT(TEXT($L2787,"000000"),2)+(MID(TEXT($L2787,"000000"),3,2)/60)+(RIGHT(TEXT($L2787,"000000"),2)/3600))</f>
        <v>5.3166666666666655</v>
      </c>
      <c r="N2787" s="250">
        <v>614330</v>
      </c>
      <c r="O2787" s="251">
        <f>IF($N2787&gt;0,(LEFT(TEXT($N2787,"000000"),2)+(MID(TEXT($N2787,"000000"),3,2)/60)+(RIGHT(TEXT($N2787,"000000"),2)/3600)),-(MID(TEXT($N2787,"000000"),2,2)+(MID(TEXT($N2787,"000000"),4,2)/60)+(RIGHT(TEXT($N2787,"000000"),2)/3600)))</f>
        <v>61.725000000000001</v>
      </c>
      <c r="P2787" s="252" t="s">
        <v>49</v>
      </c>
      <c r="Q2787" s="253" t="s">
        <v>7048</v>
      </c>
      <c r="R2787" s="247" t="s">
        <v>3293</v>
      </c>
      <c r="S2787" s="272" t="s">
        <v>3293</v>
      </c>
      <c r="T2787" s="273"/>
      <c r="U2787" s="274"/>
      <c r="V2787" s="280"/>
      <c r="W2787" s="244"/>
      <c r="X2787" s="244"/>
      <c r="Y2787" s="362"/>
      <c r="Z2787" s="257">
        <f>altaz(J2000_Bas,$O2787,$M2787,DecLat,DecLong,1)</f>
        <v>31.929597737401675</v>
      </c>
      <c r="AA2787" s="257">
        <f>altaz((J2000_Bas+(2*0.04167)),$O2787,$M2787,DecLat,DecLong,1)</f>
        <v>45.950947397398444</v>
      </c>
      <c r="AB2787" s="257">
        <f>altaz((J2000_Bas+(4*0.04167)),$O2787,$M2787,DecLat,DecLong,1)</f>
        <v>56.842675838246294</v>
      </c>
      <c r="AC2787" s="257">
        <f>altaz((J2000_Bas+(6*0.04167)),$O2787,$M2787,DecLat,DecLong,1)</f>
        <v>58.4573208822029</v>
      </c>
      <c r="AD2787" s="258">
        <f>1+ transit((J2000_Bas-1),$O2787,$M2787,DecLat,DecLong)/360 + (GMTOffset/24) + (IF(DST="Y", 1, 0)/24)</f>
        <v>1.0076684776713747</v>
      </c>
      <c r="AE2787" s="259">
        <f>DATE(2001,9,21)+(M2787/360)*365 - (360*((DecLong/360)- (GMTOffset/24) ))</f>
        <v>37165.390509259261</v>
      </c>
      <c r="AF2787" s="260">
        <f>IF(DecLat&gt;0,IF((90 - (DecLat-O2787))&gt;90, (90 - (O2787-DecLat)), (90 - (DecLat-O2787))),IF((90 + (DecLat-O2787))&gt;90, (90 + (O2787-DecLat)), (90 + (DecLat-O2787))))</f>
        <v>59.274999999999999</v>
      </c>
      <c r="AG2787" s="257">
        <f>angularseperation(MoonRA,MoonDec,$M2787,$O2787)</f>
        <v>125.89871051185595</v>
      </c>
      <c r="AH2787" s="261">
        <f ca="1">MIN(100,IF($O$5&gt;80,0+30*($AG2787/100),IF($O$5&gt;70,0+50*($AG2787/100),IF($O$5&gt;60,5+50*($AG2787/100),IF($O$5&gt;50,10+60*($AG2787/100),IF($O$5&gt;40,15+70*($AG2787/100),IF($O$5&gt;30,20+70*($AG2787/100),IF($O$5&gt;20,40+55*($AG2787/100),(80+(20-$O$5)+30*($AG2787/100))))))))))</f>
        <v>100</v>
      </c>
      <c r="AI2787" s="262"/>
      <c r="AJ2787" s="262"/>
      <c r="AK2787" s="262"/>
      <c r="AL2787" s="263"/>
      <c r="AM2787" s="264"/>
      <c r="AN2787" s="263"/>
      <c r="AO2787" s="263"/>
      <c r="AP2787" s="265"/>
      <c r="AQ2787" s="266"/>
      <c r="AR2787" s="267"/>
      <c r="AS2787" s="263"/>
      <c r="AT2787" s="263"/>
      <c r="AU2787" s="263"/>
      <c r="AV2787" s="264"/>
      <c r="AW2787" s="263"/>
      <c r="AX2787" s="263"/>
      <c r="AY2787" s="263">
        <v>593</v>
      </c>
      <c r="AZ2787" s="263">
        <v>1282</v>
      </c>
      <c r="BA2787" s="263"/>
      <c r="BB2787" s="263">
        <v>173</v>
      </c>
      <c r="BC2787" s="263"/>
      <c r="BD2787" s="264"/>
      <c r="BE2787" s="263"/>
      <c r="BF2787" s="263"/>
      <c r="BG2787" s="263">
        <v>2</v>
      </c>
      <c r="BH2787" s="263"/>
      <c r="BI2787" s="263"/>
      <c r="BJ2787" s="404">
        <f>altaz(J2000_Bas,$O2787,$M2787,DecLat,DecLong,2)</f>
        <v>33.262387476265708</v>
      </c>
      <c r="BK2787" s="378" t="s">
        <v>2603</v>
      </c>
      <c r="BL2787" s="379">
        <f>IF((2*G2787)/60&lt;0.2,0.2,(2*G2787)/60)</f>
        <v>0.83333333333333337</v>
      </c>
      <c r="BM2787" s="380">
        <f>MOD((50000+AD2787-$B$3+(0/24)),1)</f>
        <v>0.22303540737630101</v>
      </c>
      <c r="BN2787" s="381"/>
      <c r="BO2787" s="382">
        <v>2778</v>
      </c>
    </row>
    <row r="2788" spans="1:67" s="24" customFormat="1" ht="15" customHeight="1" x14ac:dyDescent="0.25">
      <c r="A2788" s="288" t="s">
        <v>2604</v>
      </c>
      <c r="B2788" s="241" t="str">
        <f>HYPERLINK(CONCATENATE($AT$3,BK2788,$AU$3),$AV$3)</f>
        <v>S</v>
      </c>
      <c r="C2788" s="242" t="str">
        <f>HYPERLINK(CONCATENATE($AT$4,BK2788,$AU$4,BL2788),$AV$4)</f>
        <v>A</v>
      </c>
      <c r="D2788" s="243" t="s">
        <v>5187</v>
      </c>
      <c r="E2788" s="244" t="s">
        <v>5181</v>
      </c>
      <c r="F2788" s="293" t="s">
        <v>6176</v>
      </c>
      <c r="G2788" s="276">
        <v>17</v>
      </c>
      <c r="H2788" s="283">
        <v>1000</v>
      </c>
      <c r="I2788" s="279">
        <v>5</v>
      </c>
      <c r="J2788" s="246">
        <v>4</v>
      </c>
      <c r="K2788" s="247" t="s">
        <v>5230</v>
      </c>
      <c r="L2788" s="248">
        <v>234708</v>
      </c>
      <c r="M2788" s="249">
        <f>15*(LEFT(TEXT($L2788,"000000"),2)+(MID(TEXT($L2788,"000000"),3,2)/60)+(RIGHT(TEXT($L2788,"000000"),2)/3600))</f>
        <v>356.78333333333336</v>
      </c>
      <c r="N2788" s="250">
        <v>804922</v>
      </c>
      <c r="O2788" s="251">
        <f>IF($N2788&gt;0,(LEFT(TEXT($N2788,"000000"),2)+(MID(TEXT($N2788,"000000"),3,2)/60)+(RIGHT(TEXT($N2788,"000000"),2)/3600)),-(MID(TEXT($N2788,"000000"),2,2)+(MID(TEXT($N2788,"000000"),4,2)/60)+(RIGHT(TEXT($N2788,"000000"),2)/3600)))</f>
        <v>80.822777777777773</v>
      </c>
      <c r="P2788" s="252" t="s">
        <v>52</v>
      </c>
      <c r="Q2788" s="253" t="s">
        <v>7088</v>
      </c>
      <c r="R2788" s="247" t="s">
        <v>3293</v>
      </c>
      <c r="S2788" s="272" t="s">
        <v>3293</v>
      </c>
      <c r="T2788" s="273"/>
      <c r="U2788" s="274"/>
      <c r="V2788" s="280"/>
      <c r="W2788" s="244"/>
      <c r="X2788" s="244"/>
      <c r="Y2788" s="362"/>
      <c r="Z2788" s="257">
        <f>altaz(J2000_Bas,$O2788,$M2788,DecLat,DecLong,1)</f>
        <v>33.60386995711405</v>
      </c>
      <c r="AA2788" s="257">
        <f>altaz((J2000_Bas+(2*0.04167)),$O2788,$M2788,DecLat,DecLong,1)</f>
        <v>37.741129740662238</v>
      </c>
      <c r="AB2788" s="257">
        <f>altaz((J2000_Bas+(4*0.04167)),$O2788,$M2788,DecLat,DecLong,1)</f>
        <v>40.002123917413094</v>
      </c>
      <c r="AC2788" s="257">
        <f>altaz((J2000_Bas+(6*0.04167)),$O2788,$M2788,DecLat,DecLong,1)</f>
        <v>39.593319335744091</v>
      </c>
      <c r="AD2788" s="258">
        <f>1+ transit((J2000_Bas-1),$O2788,$M2788,DecLat,DecLong)/360 + (GMTOffset/24) + (IF(DST="Y", 1, 0)/24)</f>
        <v>1.9839646763380416</v>
      </c>
      <c r="AE2788" s="259">
        <f>DATE(2001,9,21)+(M2788/360)*365 - (360*((DecLong/360)- (GMTOffset/24) ))</f>
        <v>37521.738657407404</v>
      </c>
      <c r="AF2788" s="260">
        <f>IF(DecLat&gt;0,IF((90 - (DecLat-O2788))&gt;90, (90 - (O2788-DecLat)), (90 - (DecLat-O2788))),IF((90 + (DecLat-O2788))&gt;90, (90 + (O2788-DecLat)), (90 + (DecLat-O2788))))</f>
        <v>40.177222222222227</v>
      </c>
      <c r="AG2788" s="257">
        <f>angularseperation(MoonRA,MoonDec,$M2788,$O2788)</f>
        <v>119.4897374396907</v>
      </c>
      <c r="AH2788" s="261">
        <f ca="1">MIN(100,IF($O$5&gt;80,0+30*($AG2788/100),IF($O$5&gt;70,0+50*($AG2788/100),IF($O$5&gt;60,5+50*($AG2788/100),IF($O$5&gt;50,10+60*($AG2788/100),IF($O$5&gt;40,15+70*($AG2788/100),IF($O$5&gt;30,20+70*($AG2788/100),IF($O$5&gt;20,40+55*($AG2788/100),(80+(20-$O$5)+30*($AG2788/100))))))))))</f>
        <v>100</v>
      </c>
      <c r="AI2788" s="262"/>
      <c r="AJ2788" s="262"/>
      <c r="AK2788" s="262"/>
      <c r="AL2788" s="263"/>
      <c r="AM2788" s="264"/>
      <c r="AN2788" s="263"/>
      <c r="AO2788" s="263"/>
      <c r="AP2788" s="265"/>
      <c r="AQ2788" s="266"/>
      <c r="AR2788" s="267"/>
      <c r="AS2788" s="263"/>
      <c r="AT2788" s="263"/>
      <c r="AU2788" s="263"/>
      <c r="AV2788" s="264"/>
      <c r="AW2788" s="263"/>
      <c r="AX2788" s="263"/>
      <c r="AY2788" s="263">
        <v>598</v>
      </c>
      <c r="AZ2788" s="263"/>
      <c r="BA2788" s="263"/>
      <c r="BB2788" s="263">
        <v>174</v>
      </c>
      <c r="BC2788" s="263"/>
      <c r="BD2788" s="264"/>
      <c r="BE2788" s="263"/>
      <c r="BF2788" s="263"/>
      <c r="BG2788" s="263">
        <v>108</v>
      </c>
      <c r="BH2788" s="263"/>
      <c r="BI2788" s="263"/>
      <c r="BJ2788" s="404">
        <f>altaz(J2000_Bas,$O2788,$M2788,DecLat,DecLong,2)</f>
        <v>10.41736306171658</v>
      </c>
      <c r="BK2788" s="378" t="s">
        <v>2604</v>
      </c>
      <c r="BL2788" s="379">
        <f>IF((2*G2788)/60&lt;0.2,0.2,(2*G2788)/60)</f>
        <v>0.56666666666666665</v>
      </c>
      <c r="BM2788" s="380">
        <f>MOD((50000+AD2788-$B$3+(0/24)),1)</f>
        <v>0.1993316060397774</v>
      </c>
      <c r="BN2788" s="381"/>
      <c r="BO2788" s="382">
        <v>2779</v>
      </c>
    </row>
    <row r="2789" spans="1:67" s="24" customFormat="1" ht="15" customHeight="1" x14ac:dyDescent="0.25">
      <c r="A2789" s="288" t="s">
        <v>2605</v>
      </c>
      <c r="B2789" s="241" t="str">
        <f>HYPERLINK(CONCATENATE($AT$3,BK2789,$AU$3),$AV$3)</f>
        <v>S</v>
      </c>
      <c r="C2789" s="242" t="str">
        <f>HYPERLINK(CONCATENATE($AT$4,BK2789,$AU$4,BL2789),$AV$4)</f>
        <v>A</v>
      </c>
      <c r="D2789" s="243" t="s">
        <v>5187</v>
      </c>
      <c r="E2789" s="244" t="s">
        <v>5183</v>
      </c>
      <c r="F2789" s="269" t="s">
        <v>5180</v>
      </c>
      <c r="G2789" s="273">
        <v>3</v>
      </c>
      <c r="H2789" s="283">
        <v>3600</v>
      </c>
      <c r="I2789" s="279">
        <v>3</v>
      </c>
      <c r="J2789" s="246">
        <v>2</v>
      </c>
      <c r="K2789" s="247" t="s">
        <v>6330</v>
      </c>
      <c r="L2789" s="248">
        <v>2700</v>
      </c>
      <c r="M2789" s="249">
        <f>15*(LEFT(TEXT($L2789,"000000"),2)+(MID(TEXT($L2789,"000000"),3,2)/60)+(RIGHT(TEXT($L2789,"000000"),2)/3600))</f>
        <v>6.75</v>
      </c>
      <c r="N2789" s="286">
        <v>644200</v>
      </c>
      <c r="O2789" s="251">
        <f>IF($N2789&gt;0,(LEFT(TEXT($N2789,"000000"),2)+(MID(TEXT($N2789,"000000"),3,2)/60)+(RIGHT(TEXT($N2789,"000000"),2)/3600)),-(MID(TEXT($N2789,"000000"),2,2)+(MID(TEXT($N2789,"000000"),4,2)/60)+(RIGHT(TEXT($N2789,"000000"),2)/3600)))</f>
        <v>64.7</v>
      </c>
      <c r="P2789" s="252" t="s">
        <v>49</v>
      </c>
      <c r="Q2789" s="253"/>
      <c r="R2789" s="277" t="s">
        <v>3293</v>
      </c>
      <c r="S2789" s="272" t="s">
        <v>3293</v>
      </c>
      <c r="T2789" s="273"/>
      <c r="U2789" s="274"/>
      <c r="V2789" s="280"/>
      <c r="W2789" s="244"/>
      <c r="X2789" s="244"/>
      <c r="Y2789" s="362"/>
      <c r="Z2789" s="257">
        <f>altaz(J2000_Bas,$O2789,$M2789,DecLat,DecLong,1)</f>
        <v>31.63703090285394</v>
      </c>
      <c r="AA2789" s="257">
        <f>altaz((J2000_Bas+(2*0.04167)),$O2789,$M2789,DecLat,DecLong,1)</f>
        <v>44.253889877509508</v>
      </c>
      <c r="AB2789" s="257">
        <f>altaz((J2000_Bas+(4*0.04167)),$O2789,$M2789,DecLat,DecLong,1)</f>
        <v>53.957468826574441</v>
      </c>
      <c r="AC2789" s="257">
        <f>altaz((J2000_Bas+(6*0.04167)),$O2789,$M2789,DecLat,DecLong,1)</f>
        <v>55.784011947508141</v>
      </c>
      <c r="AD2789" s="258">
        <f>1+ transit((J2000_Bas-1),$O2789,$M2789,DecLat,DecLong)/360 + (GMTOffset/24) + (IF(DST="Y", 1, 0)/24)</f>
        <v>1.0116499587547081</v>
      </c>
      <c r="AE2789" s="259">
        <f>DATE(2001,9,21)+(M2789/360)*365 - (360*((DecLong/360)- (GMTOffset/24) ))</f>
        <v>37166.84375</v>
      </c>
      <c r="AF2789" s="260">
        <f>IF(DecLat&gt;0,IF((90 - (DecLat-O2789))&gt;90, (90 - (O2789-DecLat)), (90 - (DecLat-O2789))),IF((90 + (DecLat-O2789))&gt;90, (90 + (O2789-DecLat)), (90 + (DecLat-O2789))))</f>
        <v>56.3</v>
      </c>
      <c r="AG2789" s="257">
        <f>angularseperation(MoonRA,MoonDec,$M2789,$O2789)</f>
        <v>125.97036432828349</v>
      </c>
      <c r="AH2789" s="261">
        <f ca="1">MIN(100,IF($O$5&gt;80,0+30*($AG2789/100),IF($O$5&gt;70,0+50*($AG2789/100),IF($O$5&gt;60,5+50*($AG2789/100),IF($O$5&gt;50,10+60*($AG2789/100),IF($O$5&gt;40,15+70*($AG2789/100),IF($O$5&gt;30,20+70*($AG2789/100),IF($O$5&gt;20,40+55*($AG2789/100),(80+(20-$O$5)+30*($AG2789/100))))))))))</f>
        <v>100</v>
      </c>
      <c r="AI2789" s="263"/>
      <c r="AJ2789" s="263"/>
      <c r="AK2789" s="263"/>
      <c r="AL2789" s="263"/>
      <c r="AM2789" s="264"/>
      <c r="AN2789" s="263"/>
      <c r="AO2789" s="263"/>
      <c r="AP2789" s="265"/>
      <c r="AQ2789" s="265"/>
      <c r="AR2789" s="285"/>
      <c r="AS2789" s="263"/>
      <c r="AT2789" s="263"/>
      <c r="AU2789" s="263"/>
      <c r="AV2789" s="264"/>
      <c r="AW2789" s="263"/>
      <c r="AX2789" s="263"/>
      <c r="AY2789" s="263">
        <v>596</v>
      </c>
      <c r="AZ2789" s="263"/>
      <c r="BA2789" s="263"/>
      <c r="BB2789" s="263">
        <v>175</v>
      </c>
      <c r="BC2789" s="263"/>
      <c r="BD2789" s="264"/>
      <c r="BE2789" s="263"/>
      <c r="BF2789" s="263"/>
      <c r="BG2789" s="263"/>
      <c r="BH2789" s="263"/>
      <c r="BI2789" s="263"/>
      <c r="BJ2789" s="404">
        <f>altaz(J2000_Bas,$O2789,$M2789,DecLat,DecLong,2)</f>
        <v>29.697667640909334</v>
      </c>
      <c r="BK2789" s="378" t="s">
        <v>2605</v>
      </c>
      <c r="BL2789" s="379">
        <f>IF((2*G2789)/60&lt;0.2,0.2,(2*G2789)/60)</f>
        <v>0.2</v>
      </c>
      <c r="BM2789" s="380">
        <f>MOD((50000+AD2789-$B$3+(0/24)),1)</f>
        <v>0.22701688845700119</v>
      </c>
      <c r="BN2789" s="381"/>
      <c r="BO2789" s="382">
        <v>2780</v>
      </c>
    </row>
    <row r="2790" spans="1:67" s="24" customFormat="1" ht="15" customHeight="1" x14ac:dyDescent="0.25">
      <c r="A2790" s="288" t="s">
        <v>2606</v>
      </c>
      <c r="B2790" s="241" t="str">
        <f>HYPERLINK(CONCATENATE($AT$3,BK2790,$AU$3),$AV$3)</f>
        <v>S</v>
      </c>
      <c r="C2790" s="242" t="str">
        <f>HYPERLINK(CONCATENATE($AT$4,BK2790,$AU$4,BL2790),$AV$4)</f>
        <v>A</v>
      </c>
      <c r="D2790" s="243" t="s">
        <v>5187</v>
      </c>
      <c r="E2790" s="244" t="s">
        <v>5183</v>
      </c>
      <c r="F2790" s="269" t="s">
        <v>5180</v>
      </c>
      <c r="G2790" s="276">
        <v>10</v>
      </c>
      <c r="H2790" s="283">
        <v>500</v>
      </c>
      <c r="I2790" s="279">
        <v>1.5</v>
      </c>
      <c r="J2790" s="246">
        <v>3</v>
      </c>
      <c r="K2790" s="247" t="s">
        <v>5232</v>
      </c>
      <c r="L2790" s="248">
        <v>3154</v>
      </c>
      <c r="M2790" s="249">
        <f>15*(LEFT(TEXT($L2790,"000000"),2)+(MID(TEXT($L2790,"000000"),3,2)/60)+(RIGHT(TEXT($L2790,"000000"),2)/3600))</f>
        <v>7.9750000000000014</v>
      </c>
      <c r="N2790" s="250">
        <v>572236</v>
      </c>
      <c r="O2790" s="251">
        <f>IF($N2790&gt;0,(LEFT(TEXT($N2790,"000000"),2)+(MID(TEXT($N2790,"000000"),3,2)/60)+(RIGHT(TEXT($N2790,"000000"),2)/3600)),-(MID(TEXT($N2790,"000000"),2,2)+(MID(TEXT($N2790,"000000"),4,2)/60)+(RIGHT(TEXT($N2790,"000000"),2)/3600)))</f>
        <v>57.376666666666665</v>
      </c>
      <c r="P2790" s="252" t="s">
        <v>49</v>
      </c>
      <c r="Q2790" s="253"/>
      <c r="R2790" s="247" t="s">
        <v>3293</v>
      </c>
      <c r="S2790" s="272" t="s">
        <v>3293</v>
      </c>
      <c r="T2790" s="273"/>
      <c r="U2790" s="274"/>
      <c r="V2790" s="280"/>
      <c r="W2790" s="244"/>
      <c r="X2790" s="244"/>
      <c r="Y2790" s="362"/>
      <c r="Z2790" s="257">
        <f>altaz(J2000_Bas,$O2790,$M2790,DecLat,DecLong,1)</f>
        <v>29.888653152223604</v>
      </c>
      <c r="AA2790" s="257">
        <f>altaz((J2000_Bas+(2*0.04167)),$O2790,$M2790,DecLat,DecLong,1)</f>
        <v>45.971828983933989</v>
      </c>
      <c r="AB2790" s="257">
        <f>altaz((J2000_Bas+(4*0.04167)),$O2790,$M2790,DecLat,DecLong,1)</f>
        <v>59.636453719369264</v>
      </c>
      <c r="AC2790" s="257">
        <f>altaz((J2000_Bas+(6*0.04167)),$O2790,$M2790,DecLat,DecLong,1)</f>
        <v>63.008556313953967</v>
      </c>
      <c r="AD2790" s="258">
        <f>1+ transit((J2000_Bas-1),$O2790,$M2790,DecLat,DecLong)/360 + (GMTOffset/24) + (IF(DST="Y", 1, 0)/24)</f>
        <v>1.0150527361922079</v>
      </c>
      <c r="AE2790" s="259">
        <f>DATE(2001,9,21)+(M2790/360)*365 - (360*((DecLong/360)- (GMTOffset/24) ))</f>
        <v>37168.085763888892</v>
      </c>
      <c r="AF2790" s="260">
        <f>IF(DecLat&gt;0,IF((90 - (DecLat-O2790))&gt;90, (90 - (O2790-DecLat)), (90 - (DecLat-O2790))),IF((90 + (DecLat-O2790))&gt;90, (90 + (O2790-DecLat)), (90 + (DecLat-O2790))))</f>
        <v>63.623333333333335</v>
      </c>
      <c r="AG2790" s="257">
        <f>angularseperation(MoonRA,MoonDec,$M2790,$O2790)</f>
        <v>127.89485459678998</v>
      </c>
      <c r="AH2790" s="261">
        <f ca="1">MIN(100,IF($O$5&gt;80,0+30*($AG2790/100),IF($O$5&gt;70,0+50*($AG2790/100),IF($O$5&gt;60,5+50*($AG2790/100),IF($O$5&gt;50,10+60*($AG2790/100),IF($O$5&gt;40,15+70*($AG2790/100),IF($O$5&gt;30,20+70*($AG2790/100),IF($O$5&gt;20,40+55*($AG2790/100),(80+(20-$O$5)+30*($AG2790/100))))))))))</f>
        <v>100</v>
      </c>
      <c r="AI2790" s="262"/>
      <c r="AJ2790" s="262"/>
      <c r="AK2790" s="262"/>
      <c r="AL2790" s="263"/>
      <c r="AM2790" s="264"/>
      <c r="AN2790" s="263"/>
      <c r="AO2790" s="263"/>
      <c r="AP2790" s="265"/>
      <c r="AQ2790" s="266"/>
      <c r="AR2790" s="267"/>
      <c r="AS2790" s="263"/>
      <c r="AT2790" s="263"/>
      <c r="AU2790" s="263"/>
      <c r="AV2790" s="264"/>
      <c r="AW2790" s="263"/>
      <c r="AX2790" s="263"/>
      <c r="AY2790" s="263">
        <v>597</v>
      </c>
      <c r="AZ2790" s="263"/>
      <c r="BA2790" s="263"/>
      <c r="BB2790" s="263">
        <v>176</v>
      </c>
      <c r="BC2790" s="263"/>
      <c r="BD2790" s="264"/>
      <c r="BE2790" s="263"/>
      <c r="BF2790" s="263"/>
      <c r="BG2790" s="263"/>
      <c r="BH2790" s="263"/>
      <c r="BI2790" s="263"/>
      <c r="BJ2790" s="404">
        <f>altaz(J2000_Bas,$O2790,$M2790,DecLat,DecLong,2)</f>
        <v>38.004634903084195</v>
      </c>
      <c r="BK2790" s="378" t="s">
        <v>2606</v>
      </c>
      <c r="BL2790" s="379">
        <f>IF((2*G2790)/60&lt;0.2,0.2,(2*G2790)/60)</f>
        <v>0.33333333333333331</v>
      </c>
      <c r="BM2790" s="380">
        <f>MOD((50000+AD2790-$B$3+(0/24)),1)</f>
        <v>0.2304196658951696</v>
      </c>
      <c r="BN2790" s="381"/>
      <c r="BO2790" s="382">
        <v>2781</v>
      </c>
    </row>
    <row r="2791" spans="1:67" s="24" customFormat="1" ht="15" customHeight="1" x14ac:dyDescent="0.25">
      <c r="A2791" s="288" t="s">
        <v>2607</v>
      </c>
      <c r="B2791" s="241" t="str">
        <f>HYPERLINK(CONCATENATE($AT$3,BK2791,$AU$3),$AV$3)</f>
        <v>S</v>
      </c>
      <c r="C2791" s="242" t="str">
        <f>HYPERLINK(CONCATENATE($AT$4,BK2791,$AU$4,BL2791),$AV$4)</f>
        <v>A</v>
      </c>
      <c r="D2791" s="243" t="s">
        <v>5187</v>
      </c>
      <c r="E2791" s="244" t="s">
        <v>5183</v>
      </c>
      <c r="F2791" s="269" t="s">
        <v>5180</v>
      </c>
      <c r="G2791" s="276">
        <v>14</v>
      </c>
      <c r="H2791" s="283">
        <v>10000</v>
      </c>
      <c r="I2791" s="246">
        <v>42</v>
      </c>
      <c r="J2791" s="246">
        <v>1</v>
      </c>
      <c r="K2791" s="247" t="s">
        <v>6250</v>
      </c>
      <c r="L2791" s="248">
        <v>3130</v>
      </c>
      <c r="M2791" s="249">
        <f>15*(LEFT(TEXT($L2791,"000000"),2)+(MID(TEXT($L2791,"000000"),3,2)/60)+(RIGHT(TEXT($L2791,"000000"),2)/3600))</f>
        <v>7.875</v>
      </c>
      <c r="N2791" s="286">
        <v>622800</v>
      </c>
      <c r="O2791" s="251">
        <f>IF($N2791&gt;0,(LEFT(TEXT($N2791,"000000"),2)+(MID(TEXT($N2791,"000000"),3,2)/60)+(RIGHT(TEXT($N2791,"000000"),2)/3600)),-(MID(TEXT($N2791,"000000"),2,2)+(MID(TEXT($N2791,"000000"),4,2)/60)+(RIGHT(TEXT($N2791,"000000"),2)/3600)))</f>
        <v>62.466666666666669</v>
      </c>
      <c r="P2791" s="252" t="s">
        <v>49</v>
      </c>
      <c r="Q2791" s="253"/>
      <c r="R2791" s="277" t="s">
        <v>3293</v>
      </c>
      <c r="S2791" s="272" t="s">
        <v>3293</v>
      </c>
      <c r="T2791" s="273"/>
      <c r="U2791" s="274"/>
      <c r="V2791" s="280"/>
      <c r="W2791" s="244"/>
      <c r="X2791" s="244"/>
      <c r="Y2791" s="362"/>
      <c r="Z2791" s="257">
        <f>altaz(J2000_Bas,$O2791,$M2791,DecLat,DecLong,1)</f>
        <v>30.845544887319349</v>
      </c>
      <c r="AA2791" s="257">
        <f>altaz((J2000_Bas+(2*0.04167)),$O2791,$M2791,DecLat,DecLong,1)</f>
        <v>44.572322085885688</v>
      </c>
      <c r="AB2791" s="257">
        <f>altaz((J2000_Bas+(4*0.04167)),$O2791,$M2791,DecLat,DecLong,1)</f>
        <v>55.573815835560609</v>
      </c>
      <c r="AC2791" s="257">
        <f>altaz((J2000_Bas+(6*0.04167)),$O2791,$M2791,DecLat,DecLong,1)</f>
        <v>58.071876214620211</v>
      </c>
      <c r="AD2791" s="258">
        <f>1+ transit((J2000_Bas-1),$O2791,$M2791,DecLat,DecLong)/360 + (GMTOffset/24) + (IF(DST="Y", 1, 0)/24)</f>
        <v>1.0147749584422081</v>
      </c>
      <c r="AE2791" s="259">
        <f>DATE(2001,9,21)+(M2791/360)*365 - (360*((DecLong/360)- (GMTOffset/24) ))</f>
        <v>37167.984375</v>
      </c>
      <c r="AF2791" s="260">
        <f>IF(DecLat&gt;0,IF((90 - (DecLat-O2791))&gt;90, (90 - (O2791-DecLat)), (90 - (DecLat-O2791))),IF((90 + (DecLat-O2791))&gt;90, (90 + (O2791-DecLat)), (90 + (DecLat-O2791))))</f>
        <v>58.533333333333331</v>
      </c>
      <c r="AG2791" s="257">
        <f>angularseperation(MoonRA,MoonDec,$M2791,$O2791)</f>
        <v>126.93844008102573</v>
      </c>
      <c r="AH2791" s="261">
        <f ca="1">MIN(100,IF($O$5&gt;80,0+30*($AG2791/100),IF($O$5&gt;70,0+50*($AG2791/100),IF($O$5&gt;60,5+50*($AG2791/100),IF($O$5&gt;50,10+60*($AG2791/100),IF($O$5&gt;40,15+70*($AG2791/100),IF($O$5&gt;30,20+70*($AG2791/100),IF($O$5&gt;20,40+55*($AG2791/100),(80+(20-$O$5)+30*($AG2791/100))))))))))</f>
        <v>100</v>
      </c>
      <c r="AI2791" s="263"/>
      <c r="AJ2791" s="263"/>
      <c r="AK2791" s="263"/>
      <c r="AL2791" s="263"/>
      <c r="AM2791" s="264"/>
      <c r="AN2791" s="263"/>
      <c r="AO2791" s="263"/>
      <c r="AP2791" s="265"/>
      <c r="AQ2791" s="265"/>
      <c r="AR2791" s="285"/>
      <c r="AS2791" s="263"/>
      <c r="AT2791" s="263"/>
      <c r="AU2791" s="263"/>
      <c r="AV2791" s="264"/>
      <c r="AW2791" s="263"/>
      <c r="AX2791" s="263"/>
      <c r="AY2791" s="263"/>
      <c r="AZ2791" s="263"/>
      <c r="BA2791" s="263"/>
      <c r="BB2791" s="263">
        <v>177</v>
      </c>
      <c r="BC2791" s="263"/>
      <c r="BD2791" s="264"/>
      <c r="BE2791" s="263"/>
      <c r="BF2791" s="263"/>
      <c r="BG2791" s="263"/>
      <c r="BH2791" s="263"/>
      <c r="BI2791" s="263"/>
      <c r="BJ2791" s="404">
        <f>altaz(J2000_Bas,$O2791,$M2791,DecLat,DecLong,2)</f>
        <v>32.209393068768136</v>
      </c>
      <c r="BK2791" s="378" t="s">
        <v>2607</v>
      </c>
      <c r="BL2791" s="379">
        <f>IF((2*G2791)/60&lt;0.2,0.2,(2*G2791)/60)</f>
        <v>0.46666666666666667</v>
      </c>
      <c r="BM2791" s="380">
        <f>MOD((50000+AD2791-$B$3+(0/24)),1)</f>
        <v>0.23014188814704539</v>
      </c>
      <c r="BN2791" s="381"/>
      <c r="BO2791" s="382">
        <v>2782</v>
      </c>
    </row>
    <row r="2792" spans="1:67" s="24" customFormat="1" ht="15" customHeight="1" x14ac:dyDescent="0.25">
      <c r="A2792" s="288" t="s">
        <v>2608</v>
      </c>
      <c r="B2792" s="241" t="str">
        <f>HYPERLINK(CONCATENATE($AT$3,BK2792,$AU$3),$AV$3)</f>
        <v>S</v>
      </c>
      <c r="C2792" s="242" t="str">
        <f>HYPERLINK(CONCATENATE($AT$4,BK2792,$AU$4,BL2792),$AV$4)</f>
        <v>A</v>
      </c>
      <c r="D2792" s="243" t="s">
        <v>5187</v>
      </c>
      <c r="E2792" s="244" t="s">
        <v>5183</v>
      </c>
      <c r="F2792" s="269" t="s">
        <v>5180</v>
      </c>
      <c r="G2792" s="276">
        <v>420</v>
      </c>
      <c r="H2792" s="283">
        <v>700</v>
      </c>
      <c r="I2792" s="246">
        <v>85</v>
      </c>
      <c r="J2792" s="246">
        <v>1</v>
      </c>
      <c r="K2792" s="247" t="s">
        <v>6331</v>
      </c>
      <c r="L2792" s="248">
        <v>221900</v>
      </c>
      <c r="M2792" s="249">
        <f>15*(LEFT(TEXT($L2792,"000000"),2)+(MID(TEXT($L2792,"000000"),3,2)/60)+(RIGHT(TEXT($L2792,"000000"),2)/3600))</f>
        <v>334.75</v>
      </c>
      <c r="N2792" s="286">
        <v>874500</v>
      </c>
      <c r="O2792" s="251">
        <f>IF($N2792&gt;0,(LEFT(TEXT($N2792,"000000"),2)+(MID(TEXT($N2792,"000000"),3,2)/60)+(RIGHT(TEXT($N2792,"000000"),2)/3600)),-(MID(TEXT($N2792,"000000"),2,2)+(MID(TEXT($N2792,"000000"),4,2)/60)+(RIGHT(TEXT($N2792,"000000"),2)/3600)))</f>
        <v>87.75</v>
      </c>
      <c r="P2792" s="252" t="s">
        <v>49</v>
      </c>
      <c r="Q2792" s="253"/>
      <c r="R2792" s="277" t="s">
        <v>3293</v>
      </c>
      <c r="S2792" s="272" t="s">
        <v>3293</v>
      </c>
      <c r="T2792" s="273"/>
      <c r="U2792" s="274"/>
      <c r="V2792" s="280"/>
      <c r="W2792" s="244"/>
      <c r="X2792" s="244"/>
      <c r="Y2792" s="362"/>
      <c r="Z2792" s="257">
        <f>altaz(J2000_Bas,$O2792,$M2792,DecLat,DecLong,1)</f>
        <v>32.468144685359555</v>
      </c>
      <c r="AA2792" s="257">
        <f>altaz((J2000_Bas+(2*0.04167)),$O2792,$M2792,DecLat,DecLong,1)</f>
        <v>33.128851667356813</v>
      </c>
      <c r="AB2792" s="257">
        <f>altaz((J2000_Bas+(4*0.04167)),$O2792,$M2792,DecLat,DecLong,1)</f>
        <v>33.204352511698524</v>
      </c>
      <c r="AC2792" s="257">
        <f>altaz((J2000_Bas+(6*0.04167)),$O2792,$M2792,DecLat,DecLong,1)</f>
        <v>32.672924164483454</v>
      </c>
      <c r="AD2792" s="258">
        <f>1+ transit((J2000_Bas-1),$O2792,$M2792,DecLat,DecLong)/360 + (GMTOffset/24) + (IF(DST="Y", 1, 0)/24)</f>
        <v>1.922760978754708</v>
      </c>
      <c r="AE2792" s="259">
        <f>DATE(2001,9,21)+(M2792/360)*365 - (360*((DecLong/360)- (GMTOffset/24) ))</f>
        <v>37499.399305555555</v>
      </c>
      <c r="AF2792" s="260">
        <f>IF(DecLat&gt;0,IF((90 - (DecLat-O2792))&gt;90, (90 - (O2792-DecLat)), (90 - (DecLat-O2792))),IF((90 + (DecLat-O2792))&gt;90, (90 + (O2792-DecLat)), (90 + (DecLat-O2792))))</f>
        <v>33.25</v>
      </c>
      <c r="AG2792" s="257">
        <f>angularseperation(MoonRA,MoonDec,$M2792,$O2792)</f>
        <v>116.88550867009749</v>
      </c>
      <c r="AH2792" s="261">
        <f ca="1">MIN(100,IF($O$5&gt;80,0+30*($AG2792/100),IF($O$5&gt;70,0+50*($AG2792/100),IF($O$5&gt;60,5+50*($AG2792/100),IF($O$5&gt;50,10+60*($AG2792/100),IF($O$5&gt;40,15+70*($AG2792/100),IF($O$5&gt;30,20+70*($AG2792/100),IF($O$5&gt;20,40+55*($AG2792/100),(80+(20-$O$5)+30*($AG2792/100))))))))))</f>
        <v>100</v>
      </c>
      <c r="AI2792" s="263"/>
      <c r="AJ2792" s="263"/>
      <c r="AK2792" s="263"/>
      <c r="AL2792" s="263"/>
      <c r="AM2792" s="264"/>
      <c r="AN2792" s="263"/>
      <c r="AO2792" s="263"/>
      <c r="AP2792" s="265"/>
      <c r="AQ2792" s="265"/>
      <c r="AR2792" s="285"/>
      <c r="AS2792" s="263"/>
      <c r="AT2792" s="263"/>
      <c r="AU2792" s="263"/>
      <c r="AV2792" s="264"/>
      <c r="AW2792" s="263"/>
      <c r="AX2792" s="263"/>
      <c r="AY2792" s="263">
        <v>617</v>
      </c>
      <c r="AZ2792" s="263"/>
      <c r="BA2792" s="263"/>
      <c r="BB2792" s="263">
        <v>178</v>
      </c>
      <c r="BC2792" s="263"/>
      <c r="BD2792" s="264"/>
      <c r="BE2792" s="263"/>
      <c r="BF2792" s="263"/>
      <c r="BG2792" s="263"/>
      <c r="BH2792" s="263"/>
      <c r="BI2792" s="263"/>
      <c r="BJ2792" s="404">
        <f>altaz(J2000_Bas,$O2792,$M2792,DecLat,DecLong,2)</f>
        <v>2.0048618308536015</v>
      </c>
      <c r="BK2792" s="378" t="s">
        <v>2608</v>
      </c>
      <c r="BL2792" s="379">
        <f>IF((2*G2792)/60&lt;0.2,0.2,(2*G2792)/60)</f>
        <v>14</v>
      </c>
      <c r="BM2792" s="380">
        <f>MOD((50000+AD2792-$B$3+(0/24)),1)</f>
        <v>0.13812790845986456</v>
      </c>
      <c r="BN2792" s="381"/>
      <c r="BO2792" s="382">
        <v>2783</v>
      </c>
    </row>
    <row r="2793" spans="1:67" s="24" customFormat="1" ht="15" customHeight="1" x14ac:dyDescent="0.25">
      <c r="A2793" s="288" t="s">
        <v>2609</v>
      </c>
      <c r="B2793" s="241" t="str">
        <f>HYPERLINK(CONCATENATE($AT$3,BK2793,$AU$3),$AV$3)</f>
        <v>S</v>
      </c>
      <c r="C2793" s="242" t="str">
        <f>HYPERLINK(CONCATENATE($AT$4,BK2793,$AU$4,BL2793),$AV$4)</f>
        <v>A</v>
      </c>
      <c r="D2793" s="243" t="s">
        <v>5187</v>
      </c>
      <c r="E2793" s="244" t="s">
        <v>5181</v>
      </c>
      <c r="F2793" s="269" t="s">
        <v>5234</v>
      </c>
      <c r="G2793" s="270">
        <v>0.7</v>
      </c>
      <c r="H2793" s="283">
        <v>650</v>
      </c>
      <c r="I2793" s="309">
        <v>0.14000000000000001</v>
      </c>
      <c r="J2793" s="246">
        <v>3</v>
      </c>
      <c r="K2793" s="247" t="s">
        <v>5233</v>
      </c>
      <c r="L2793" s="248">
        <v>4024</v>
      </c>
      <c r="M2793" s="249">
        <f>15*(LEFT(TEXT($L2793,"000000"),2)+(MID(TEXT($L2793,"000000"),3,2)/60)+(RIGHT(TEXT($L2793,"000000"),2)/3600))</f>
        <v>10.1</v>
      </c>
      <c r="N2793" s="250">
        <v>625100</v>
      </c>
      <c r="O2793" s="251">
        <f>IF($N2793&gt;0,(LEFT(TEXT($N2793,"000000"),2)+(MID(TEXT($N2793,"000000"),3,2)/60)+(RIGHT(TEXT($N2793,"000000"),2)/3600)),-(MID(TEXT($N2793,"000000"),2,2)+(MID(TEXT($N2793,"000000"),4,2)/60)+(RIGHT(TEXT($N2793,"000000"),2)/3600)))</f>
        <v>62.85</v>
      </c>
      <c r="P2793" s="252" t="s">
        <v>49</v>
      </c>
      <c r="Q2793" s="253"/>
      <c r="R2793" s="253" t="s">
        <v>2610</v>
      </c>
      <c r="S2793" s="272" t="s">
        <v>3293</v>
      </c>
      <c r="T2793" s="273"/>
      <c r="U2793" s="274"/>
      <c r="V2793" s="280"/>
      <c r="W2793" s="244"/>
      <c r="X2793" s="244"/>
      <c r="Y2793" s="362"/>
      <c r="Z2793" s="257">
        <f>altaz(J2000_Bas,$O2793,$M2793,DecLat,DecLong,1)</f>
        <v>29.901675122567859</v>
      </c>
      <c r="AA2793" s="257">
        <f>altaz((J2000_Bas+(2*0.04167)),$O2793,$M2793,DecLat,DecLong,1)</f>
        <v>43.481975611378999</v>
      </c>
      <c r="AB2793" s="257">
        <f>altaz((J2000_Bas+(4*0.04167)),$O2793,$M2793,DecLat,DecLong,1)</f>
        <v>54.66804617168075</v>
      </c>
      <c r="AC2793" s="257">
        <f>altaz((J2000_Bas+(6*0.04167)),$O2793,$M2793,DecLat,DecLong,1)</f>
        <v>57.905921347490313</v>
      </c>
      <c r="AD2793" s="258">
        <f>1+ transit((J2000_Bas-1),$O2793,$M2793,DecLat,DecLong)/360 + (GMTOffset/24) + (IF(DST="Y", 1, 0)/24)</f>
        <v>1.0209555133797079</v>
      </c>
      <c r="AE2793" s="259">
        <f>DATE(2001,9,21)+(M2793/360)*365 - (360*((DecLong/360)- (GMTOffset/24) ))</f>
        <v>37170.240277777775</v>
      </c>
      <c r="AF2793" s="260">
        <f>IF(DecLat&gt;0,IF((90 - (DecLat-O2793))&gt;90, (90 - (O2793-DecLat)), (90 - (DecLat-O2793))),IF((90 + (DecLat-O2793))&gt;90, (90 + (O2793-DecLat)), (90 + (DecLat-O2793))))</f>
        <v>58.15</v>
      </c>
      <c r="AG2793" s="257">
        <f>angularseperation(MoonRA,MoonDec,$M2793,$O2793)</f>
        <v>127.84429399820415</v>
      </c>
      <c r="AH2793" s="261">
        <f ca="1">MIN(100,IF($O$5&gt;80,0+30*($AG2793/100),IF($O$5&gt;70,0+50*($AG2793/100),IF($O$5&gt;60,5+50*($AG2793/100),IF($O$5&gt;50,10+60*($AG2793/100),IF($O$5&gt;40,15+70*($AG2793/100),IF($O$5&gt;30,20+70*($AG2793/100),IF($O$5&gt;20,40+55*($AG2793/100),(80+(20-$O$5)+30*($AG2793/100))))))))))</f>
        <v>100</v>
      </c>
      <c r="AI2793" s="262"/>
      <c r="AJ2793" s="262"/>
      <c r="AK2793" s="262"/>
      <c r="AL2793" s="263"/>
      <c r="AM2793" s="264"/>
      <c r="AN2793" s="263"/>
      <c r="AO2793" s="263"/>
      <c r="AP2793" s="265"/>
      <c r="AQ2793" s="266"/>
      <c r="AR2793" s="267"/>
      <c r="AS2793" s="263"/>
      <c r="AT2793" s="263"/>
      <c r="AU2793" s="263"/>
      <c r="AV2793" s="264"/>
      <c r="AW2793" s="263"/>
      <c r="AX2793" s="263"/>
      <c r="AY2793" s="263"/>
      <c r="AZ2793" s="263"/>
      <c r="BA2793" s="263"/>
      <c r="BB2793" s="263">
        <v>179</v>
      </c>
      <c r="BC2793" s="263"/>
      <c r="BD2793" s="264"/>
      <c r="BE2793" s="263"/>
      <c r="BF2793" s="263"/>
      <c r="BG2793" s="263"/>
      <c r="BH2793" s="263"/>
      <c r="BI2793" s="263"/>
      <c r="BJ2793" s="404">
        <f>altaz(J2000_Bas,$O2793,$M2793,DecLat,DecLong,2)</f>
        <v>31.574254241844336</v>
      </c>
      <c r="BK2793" s="378" t="s">
        <v>2609</v>
      </c>
      <c r="BL2793" s="379">
        <f>IF((2*G2793)/60&lt;0.2,0.2,(2*G2793)/60)</f>
        <v>0.2</v>
      </c>
      <c r="BM2793" s="380">
        <f>MOD((50000+AD2793-$B$3+(0/24)),1)</f>
        <v>0.2363224430810078</v>
      </c>
      <c r="BN2793" s="381"/>
      <c r="BO2793" s="382">
        <v>2784</v>
      </c>
    </row>
    <row r="2794" spans="1:67" s="24" customFormat="1" ht="15" customHeight="1" x14ac:dyDescent="0.25">
      <c r="A2794" s="288" t="s">
        <v>2611</v>
      </c>
      <c r="B2794" s="241" t="str">
        <f>HYPERLINK(CONCATENATE($AT$3,BK2794,$AU$3),$AV$3)</f>
        <v>S</v>
      </c>
      <c r="C2794" s="242" t="str">
        <f>HYPERLINK(CONCATENATE($AT$4,BK2794,$AU$4,BL2794),$AV$4)</f>
        <v>A</v>
      </c>
      <c r="D2794" s="243" t="s">
        <v>5187</v>
      </c>
      <c r="E2794" s="244" t="s">
        <v>5183</v>
      </c>
      <c r="F2794" s="269" t="s">
        <v>5180</v>
      </c>
      <c r="G2794" s="276">
        <v>17</v>
      </c>
      <c r="H2794" s="283">
        <v>20000</v>
      </c>
      <c r="I2794" s="246">
        <v>100</v>
      </c>
      <c r="J2794" s="246">
        <v>3</v>
      </c>
      <c r="K2794" s="247" t="s">
        <v>5235</v>
      </c>
      <c r="L2794" s="248">
        <v>4848</v>
      </c>
      <c r="M2794" s="249">
        <f>15*(LEFT(TEXT($L2794,"000000"),2)+(MID(TEXT($L2794,"000000"),3,2)/60)+(RIGHT(TEXT($L2794,"000000"),2)/3600))</f>
        <v>12.200000000000001</v>
      </c>
      <c r="N2794" s="250">
        <v>625500</v>
      </c>
      <c r="O2794" s="251">
        <f>IF($N2794&gt;0,(LEFT(TEXT($N2794,"000000"),2)+(MID(TEXT($N2794,"000000"),3,2)/60)+(RIGHT(TEXT($N2794,"000000"),2)/3600)),-(MID(TEXT($N2794,"000000"),2,2)+(MID(TEXT($N2794,"000000"),4,2)/60)+(RIGHT(TEXT($N2794,"000000"),2)/3600)))</f>
        <v>62.916666666666664</v>
      </c>
      <c r="P2794" s="252" t="s">
        <v>49</v>
      </c>
      <c r="Q2794" s="253"/>
      <c r="R2794" s="247" t="s">
        <v>3293</v>
      </c>
      <c r="S2794" s="272" t="s">
        <v>3293</v>
      </c>
      <c r="T2794" s="273"/>
      <c r="U2794" s="274"/>
      <c r="V2794" s="280"/>
      <c r="W2794" s="244"/>
      <c r="X2794" s="244"/>
      <c r="Y2794" s="362"/>
      <c r="Z2794" s="257">
        <f>altaz(J2000_Bas,$O2794,$M2794,DecLat,DecLong,1)</f>
        <v>28.976010222719147</v>
      </c>
      <c r="AA2794" s="257">
        <f>altaz((J2000_Bas+(2*0.04167)),$O2794,$M2794,DecLat,DecLong,1)</f>
        <v>42.54372655120585</v>
      </c>
      <c r="AB2794" s="257">
        <f>altaz((J2000_Bas+(4*0.04167)),$O2794,$M2794,DecLat,DecLong,1)</f>
        <v>54.021469042478365</v>
      </c>
      <c r="AC2794" s="257">
        <f>altaz((J2000_Bas+(6*0.04167)),$O2794,$M2794,DecLat,DecLong,1)</f>
        <v>57.977547653004471</v>
      </c>
      <c r="AD2794" s="258">
        <f>1+ transit((J2000_Bas-1),$O2794,$M2794,DecLat,DecLong)/360 + (GMTOffset/24) + (IF(DST="Y", 1, 0)/24)</f>
        <v>1.0267888461297081</v>
      </c>
      <c r="AE2794" s="259">
        <f>DATE(2001,9,21)+(M2794/360)*365 - (360*((DecLong/360)- (GMTOffset/24) ))</f>
        <v>37172.369444444441</v>
      </c>
      <c r="AF2794" s="260">
        <f>IF(DecLat&gt;0,IF((90 - (DecLat-O2794))&gt;90, (90 - (O2794-DecLat)), (90 - (DecLat-O2794))),IF((90 + (DecLat-O2794))&gt;90, (90 + (O2794-DecLat)), (90 + (DecLat-O2794))))</f>
        <v>58.083333333333336</v>
      </c>
      <c r="AG2794" s="257">
        <f>angularseperation(MoonRA,MoonDec,$M2794,$O2794)</f>
        <v>128.74811032828234</v>
      </c>
      <c r="AH2794" s="261">
        <f ca="1">MIN(100,IF($O$5&gt;80,0+30*($AG2794/100),IF($O$5&gt;70,0+50*($AG2794/100),IF($O$5&gt;60,5+50*($AG2794/100),IF($O$5&gt;50,10+60*($AG2794/100),IF($O$5&gt;40,15+70*($AG2794/100),IF($O$5&gt;30,20+70*($AG2794/100),IF($O$5&gt;20,40+55*($AG2794/100),(80+(20-$O$5)+30*($AG2794/100))))))))))</f>
        <v>100</v>
      </c>
      <c r="AI2794" s="262"/>
      <c r="AJ2794" s="262"/>
      <c r="AK2794" s="262"/>
      <c r="AL2794" s="263"/>
      <c r="AM2794" s="264"/>
      <c r="AN2794" s="263"/>
      <c r="AO2794" s="263"/>
      <c r="AP2794" s="265"/>
      <c r="AQ2794" s="266"/>
      <c r="AR2794" s="267"/>
      <c r="AS2794" s="263"/>
      <c r="AT2794" s="263"/>
      <c r="AU2794" s="263"/>
      <c r="AV2794" s="264"/>
      <c r="AW2794" s="263"/>
      <c r="AX2794" s="263"/>
      <c r="AY2794" s="263"/>
      <c r="AZ2794" s="263"/>
      <c r="BA2794" s="263"/>
      <c r="BB2794" s="263">
        <v>180</v>
      </c>
      <c r="BC2794" s="263"/>
      <c r="BD2794" s="264"/>
      <c r="BE2794" s="263"/>
      <c r="BF2794" s="263"/>
      <c r="BG2794" s="263"/>
      <c r="BH2794" s="263"/>
      <c r="BI2794" s="263"/>
      <c r="BJ2794" s="404">
        <f>altaz(J2000_Bas,$O2794,$M2794,DecLat,DecLong,2)</f>
        <v>31.284404587932045</v>
      </c>
      <c r="BK2794" s="378" t="s">
        <v>2611</v>
      </c>
      <c r="BL2794" s="379">
        <f>IF((2*G2794)/60&lt;0.2,0.2,(2*G2794)/60)</f>
        <v>0.56666666666666665</v>
      </c>
      <c r="BM2794" s="380">
        <f>MOD((50000+AD2794-$B$3+(0/24)),1)</f>
        <v>0.24215577583527192</v>
      </c>
      <c r="BN2794" s="381"/>
      <c r="BO2794" s="382">
        <v>2785</v>
      </c>
    </row>
    <row r="2795" spans="1:67" s="24" customFormat="1" ht="15" customHeight="1" x14ac:dyDescent="0.25">
      <c r="A2795" s="288" t="s">
        <v>2612</v>
      </c>
      <c r="B2795" s="241" t="str">
        <f>HYPERLINK(CONCATENATE($AT$3,BK2795,$AU$3),$AV$3)</f>
        <v>S</v>
      </c>
      <c r="C2795" s="242" t="str">
        <f>HYPERLINK(CONCATENATE($AT$4,BK2795,$AU$4,BL2795),$AV$4)</f>
        <v>A</v>
      </c>
      <c r="D2795" s="243" t="s">
        <v>5187</v>
      </c>
      <c r="E2795" s="244" t="s">
        <v>5183</v>
      </c>
      <c r="F2795" s="269" t="s">
        <v>5180</v>
      </c>
      <c r="G2795" s="276">
        <v>15</v>
      </c>
      <c r="H2795" s="283">
        <v>6500</v>
      </c>
      <c r="I2795" s="246">
        <v>30</v>
      </c>
      <c r="J2795" s="246">
        <v>2</v>
      </c>
      <c r="K2795" s="247" t="s">
        <v>6332</v>
      </c>
      <c r="L2795" s="248">
        <v>4936</v>
      </c>
      <c r="M2795" s="249">
        <f>15*(LEFT(TEXT($L2795,"000000"),2)+(MID(TEXT($L2795,"000000"),3,2)/60)+(RIGHT(TEXT($L2795,"000000"),2)/3600))</f>
        <v>12.4</v>
      </c>
      <c r="N2795" s="286">
        <v>651741</v>
      </c>
      <c r="O2795" s="251">
        <f>IF($N2795&gt;0,(LEFT(TEXT($N2795,"000000"),2)+(MID(TEXT($N2795,"000000"),3,2)/60)+(RIGHT(TEXT($N2795,"000000"),2)/3600)),-(MID(TEXT($N2795,"000000"),2,2)+(MID(TEXT($N2795,"000000"),4,2)/60)+(RIGHT(TEXT($N2795,"000000"),2)/3600)))</f>
        <v>65.294722222222219</v>
      </c>
      <c r="P2795" s="252" t="s">
        <v>49</v>
      </c>
      <c r="Q2795" s="253"/>
      <c r="R2795" s="277" t="s">
        <v>3293</v>
      </c>
      <c r="S2795" s="272" t="s">
        <v>3293</v>
      </c>
      <c r="T2795" s="273"/>
      <c r="U2795" s="274"/>
      <c r="V2795" s="280"/>
      <c r="W2795" s="244"/>
      <c r="X2795" s="244"/>
      <c r="Y2795" s="362"/>
      <c r="Z2795" s="257">
        <f>altaz(J2000_Bas,$O2795,$M2795,DecLat,DecLong,1)</f>
        <v>29.367389053523475</v>
      </c>
      <c r="AA2795" s="257">
        <f>altaz((J2000_Bas+(2*0.04167)),$O2795,$M2795,DecLat,DecLong,1)</f>
        <v>41.805560624065528</v>
      </c>
      <c r="AB2795" s="257">
        <f>altaz((J2000_Bas+(4*0.04167)),$O2795,$M2795,DecLat,DecLong,1)</f>
        <v>52.11683132517755</v>
      </c>
      <c r="AC2795" s="257">
        <f>altaz((J2000_Bas+(6*0.04167)),$O2795,$M2795,DecLat,DecLong,1)</f>
        <v>55.622884153306146</v>
      </c>
      <c r="AD2795" s="258">
        <f>1+ transit((J2000_Bas-1),$O2795,$M2795,DecLat,DecLong)/360 + (GMTOffset/24) + (IF(DST="Y", 1, 0)/24)</f>
        <v>1.027344401629708</v>
      </c>
      <c r="AE2795" s="259">
        <f>DATE(2001,9,21)+(M2795/360)*365 - (360*((DecLong/360)- (GMTOffset/24) ))</f>
        <v>37172.572222222225</v>
      </c>
      <c r="AF2795" s="260">
        <f>IF(DecLat&gt;0,IF((90 - (DecLat-O2795))&gt;90, (90 - (O2795-DecLat)), (90 - (DecLat-O2795))),IF((90 + (DecLat-O2795))&gt;90, (90 + (O2795-DecLat)), (90 + (DecLat-O2795))))</f>
        <v>55.705277777777781</v>
      </c>
      <c r="AG2795" s="257">
        <f>angularseperation(MoonRA,MoonDec,$M2795,$O2795)</f>
        <v>128.10863585422646</v>
      </c>
      <c r="AH2795" s="261">
        <f ca="1">MIN(100,IF($O$5&gt;80,0+30*($AG2795/100),IF($O$5&gt;70,0+50*($AG2795/100),IF($O$5&gt;60,5+50*($AG2795/100),IF($O$5&gt;50,10+60*($AG2795/100),IF($O$5&gt;40,15+70*($AG2795/100),IF($O$5&gt;30,20+70*($AG2795/100),IF($O$5&gt;20,40+55*($AG2795/100),(80+(20-$O$5)+30*($AG2795/100))))))))))</f>
        <v>100</v>
      </c>
      <c r="AI2795" s="263"/>
      <c r="AJ2795" s="263"/>
      <c r="AK2795" s="263"/>
      <c r="AL2795" s="263"/>
      <c r="AM2795" s="264"/>
      <c r="AN2795" s="263"/>
      <c r="AO2795" s="263"/>
      <c r="AP2795" s="265"/>
      <c r="AQ2795" s="265"/>
      <c r="AR2795" s="285"/>
      <c r="AS2795" s="263"/>
      <c r="AT2795" s="263"/>
      <c r="AU2795" s="263"/>
      <c r="AV2795" s="264"/>
      <c r="AW2795" s="263"/>
      <c r="AX2795" s="263"/>
      <c r="AY2795" s="263">
        <v>614</v>
      </c>
      <c r="AZ2795" s="263"/>
      <c r="BA2795" s="263"/>
      <c r="BB2795" s="263">
        <v>181</v>
      </c>
      <c r="BC2795" s="263"/>
      <c r="BD2795" s="264"/>
      <c r="BE2795" s="263"/>
      <c r="BF2795" s="263"/>
      <c r="BG2795" s="263"/>
      <c r="BH2795" s="263"/>
      <c r="BI2795" s="263"/>
      <c r="BJ2795" s="404">
        <f>altaz(J2000_Bas,$O2795,$M2795,DecLat,DecLong,2)</f>
        <v>28.59612008257546</v>
      </c>
      <c r="BK2795" s="378" t="s">
        <v>2612</v>
      </c>
      <c r="BL2795" s="379">
        <f>IF((2*G2795)/60&lt;0.2,0.2,(2*G2795)/60)</f>
        <v>0.5</v>
      </c>
      <c r="BM2795" s="380">
        <f>MOD((50000+AD2795-$B$3+(0/24)),1)</f>
        <v>0.24271133133152034</v>
      </c>
      <c r="BN2795" s="381"/>
      <c r="BO2795" s="382">
        <v>2786</v>
      </c>
    </row>
    <row r="2796" spans="1:67" s="24" customFormat="1" ht="15" customHeight="1" x14ac:dyDescent="0.25">
      <c r="A2796" s="288" t="s">
        <v>2613</v>
      </c>
      <c r="B2796" s="241" t="str">
        <f>HYPERLINK(CONCATENATE($AT$3,BK2796,$AU$3),$AV$3)</f>
        <v>S</v>
      </c>
      <c r="C2796" s="242" t="str">
        <f>HYPERLINK(CONCATENATE($AT$4,BK2796,$AU$4,BL2796),$AV$4)</f>
        <v>A</v>
      </c>
      <c r="D2796" s="243" t="s">
        <v>5187</v>
      </c>
      <c r="E2796" s="244" t="s">
        <v>5183</v>
      </c>
      <c r="F2796" s="269" t="s">
        <v>5180</v>
      </c>
      <c r="G2796" s="273">
        <v>2</v>
      </c>
      <c r="H2796" s="283">
        <v>12000</v>
      </c>
      <c r="I2796" s="279">
        <v>7</v>
      </c>
      <c r="J2796" s="246">
        <v>1</v>
      </c>
      <c r="K2796" s="277" t="s">
        <v>9583</v>
      </c>
      <c r="L2796" s="248">
        <v>5000</v>
      </c>
      <c r="M2796" s="249">
        <f>15*(LEFT(TEXT($L2796,"000000"),2)+(MID(TEXT($L2796,"000000"),3,2)/60)+(RIGHT(TEXT($L2796,"000000"),2)/3600))</f>
        <v>12.5</v>
      </c>
      <c r="N2796" s="286">
        <v>644500</v>
      </c>
      <c r="O2796" s="251">
        <f>IF($N2796&gt;0,(LEFT(TEXT($N2796,"000000"),2)+(MID(TEXT($N2796,"000000"),3,2)/60)+(RIGHT(TEXT($N2796,"000000"),2)/3600)),-(MID(TEXT($N2796,"000000"),2,2)+(MID(TEXT($N2796,"000000"),4,2)/60)+(RIGHT(TEXT($N2796,"000000"),2)/3600)))</f>
        <v>64.75</v>
      </c>
      <c r="P2796" s="252" t="s">
        <v>49</v>
      </c>
      <c r="Q2796" s="253"/>
      <c r="R2796" s="277" t="s">
        <v>3293</v>
      </c>
      <c r="S2796" s="272" t="s">
        <v>3293</v>
      </c>
      <c r="T2796" s="273"/>
      <c r="U2796" s="274"/>
      <c r="V2796" s="280"/>
      <c r="W2796" s="244"/>
      <c r="X2796" s="244"/>
      <c r="Y2796" s="362"/>
      <c r="Z2796" s="257">
        <f>altaz(J2000_Bas,$O2796,$M2796,DecLat,DecLong,1)</f>
        <v>29.220201452974415</v>
      </c>
      <c r="AA2796" s="257">
        <f>altaz((J2000_Bas+(2*0.04167)),$O2796,$M2796,DecLat,DecLong,1)</f>
        <v>41.920833651542921</v>
      </c>
      <c r="AB2796" s="257">
        <f>altaz((J2000_Bas+(4*0.04167)),$O2796,$M2796,DecLat,DecLong,1)</f>
        <v>52.517648231547362</v>
      </c>
      <c r="AC2796" s="257">
        <f>altaz((J2000_Bas+(6*0.04167)),$O2796,$M2796,DecLat,DecLong,1)</f>
        <v>56.169079264973803</v>
      </c>
      <c r="AD2796" s="258">
        <f>1+ transit((J2000_Bas-1),$O2796,$M2796,DecLat,DecLong)/360 + (GMTOffset/24) + (IF(DST="Y", 1, 0)/24)</f>
        <v>1.027622179379708</v>
      </c>
      <c r="AE2796" s="259">
        <f>DATE(2001,9,21)+(M2796/360)*365 - (360*((DecLong/360)- (GMTOffset/24) ))</f>
        <v>37172.673611111109</v>
      </c>
      <c r="AF2796" s="260">
        <f>IF(DecLat&gt;0,IF((90 - (DecLat-O2796))&gt;90, (90 - (O2796-DecLat)), (90 - (DecLat-O2796))),IF((90 + (DecLat-O2796))&gt;90, (90 + (O2796-DecLat)), (90 + (DecLat-O2796))))</f>
        <v>56.25</v>
      </c>
      <c r="AG2796" s="257">
        <f>angularseperation(MoonRA,MoonDec,$M2796,$O2796)</f>
        <v>128.32182993463488</v>
      </c>
      <c r="AH2796" s="261">
        <f ca="1">MIN(100,IF($O$5&gt;80,0+30*($AG2796/100),IF($O$5&gt;70,0+50*($AG2796/100),IF($O$5&gt;60,5+50*($AG2796/100),IF($O$5&gt;50,10+60*($AG2796/100),IF($O$5&gt;40,15+70*($AG2796/100),IF($O$5&gt;30,20+70*($AG2796/100),IF($O$5&gt;20,40+55*($AG2796/100),(80+(20-$O$5)+30*($AG2796/100))))))))))</f>
        <v>100</v>
      </c>
      <c r="AI2796" s="263"/>
      <c r="AJ2796" s="263"/>
      <c r="AK2796" s="263"/>
      <c r="AL2796" s="263"/>
      <c r="AM2796" s="264"/>
      <c r="AN2796" s="263"/>
      <c r="AO2796" s="263"/>
      <c r="AP2796" s="265"/>
      <c r="AQ2796" s="265"/>
      <c r="AR2796" s="285"/>
      <c r="AS2796" s="263"/>
      <c r="AT2796" s="263"/>
      <c r="AU2796" s="263"/>
      <c r="AV2796" s="264"/>
      <c r="AW2796" s="263"/>
      <c r="AX2796" s="263"/>
      <c r="AY2796" s="263"/>
      <c r="AZ2796" s="263"/>
      <c r="BA2796" s="263"/>
      <c r="BB2796" s="263">
        <v>182</v>
      </c>
      <c r="BC2796" s="263"/>
      <c r="BD2796" s="264"/>
      <c r="BE2796" s="263"/>
      <c r="BF2796" s="263"/>
      <c r="BG2796" s="263"/>
      <c r="BH2796" s="263"/>
      <c r="BI2796" s="263"/>
      <c r="BJ2796" s="404">
        <f>altaz(J2000_Bas,$O2796,$M2796,DecLat,DecLong,2)</f>
        <v>29.19942731346476</v>
      </c>
      <c r="BK2796" s="378" t="s">
        <v>2613</v>
      </c>
      <c r="BL2796" s="379">
        <f>IF((2*G2796)/60&lt;0.2,0.2,(2*G2796)/60)</f>
        <v>0.2</v>
      </c>
      <c r="BM2796" s="380">
        <f>MOD((50000+AD2796-$B$3+(0/24)),1)</f>
        <v>0.24298910908692051</v>
      </c>
      <c r="BN2796" s="381"/>
      <c r="BO2796" s="382">
        <v>2787</v>
      </c>
    </row>
    <row r="2797" spans="1:67" s="24" customFormat="1" ht="15" customHeight="1" x14ac:dyDescent="0.25">
      <c r="A2797" s="288" t="s">
        <v>2614</v>
      </c>
      <c r="B2797" s="241" t="str">
        <f>HYPERLINK(CONCATENATE($AT$3,BK2797,$AU$3),$AV$3)</f>
        <v>S</v>
      </c>
      <c r="C2797" s="242" t="str">
        <f>HYPERLINK(CONCATENATE($AT$4,BK2797,$AU$4,BL2797),$AV$4)</f>
        <v>A</v>
      </c>
      <c r="D2797" s="243" t="s">
        <v>5187</v>
      </c>
      <c r="E2797" s="244" t="s">
        <v>5183</v>
      </c>
      <c r="F2797" s="269" t="s">
        <v>5180</v>
      </c>
      <c r="G2797" s="276">
        <v>45</v>
      </c>
      <c r="H2797" s="283">
        <v>23000</v>
      </c>
      <c r="I2797" s="246">
        <v>300</v>
      </c>
      <c r="J2797" s="246">
        <v>2</v>
      </c>
      <c r="K2797" s="247" t="s">
        <v>6333</v>
      </c>
      <c r="L2797" s="248">
        <v>5400</v>
      </c>
      <c r="M2797" s="249">
        <f>15*(LEFT(TEXT($L2797,"000000"),2)+(MID(TEXT($L2797,"000000"),3,2)/60)+(RIGHT(TEXT($L2797,"000000"),2)/3600))</f>
        <v>13.5</v>
      </c>
      <c r="N2797" s="286">
        <v>654100</v>
      </c>
      <c r="O2797" s="251">
        <f>IF($N2797&gt;0,(LEFT(TEXT($N2797,"000000"),2)+(MID(TEXT($N2797,"000000"),3,2)/60)+(RIGHT(TEXT($N2797,"000000"),2)/3600)),-(MID(TEXT($N2797,"000000"),2,2)+(MID(TEXT($N2797,"000000"),4,2)/60)+(RIGHT(TEXT($N2797,"000000"),2)/3600)))</f>
        <v>65.683333333333337</v>
      </c>
      <c r="P2797" s="252" t="s">
        <v>49</v>
      </c>
      <c r="Q2797" s="253"/>
      <c r="R2797" s="277" t="s">
        <v>3293</v>
      </c>
      <c r="S2797" s="272" t="s">
        <v>3293</v>
      </c>
      <c r="T2797" s="273"/>
      <c r="U2797" s="274"/>
      <c r="V2797" s="280"/>
      <c r="W2797" s="244"/>
      <c r="X2797" s="244"/>
      <c r="Y2797" s="362"/>
      <c r="Z2797" s="257">
        <f>altaz(J2000_Bas,$O2797,$M2797,DecLat,DecLong,1)</f>
        <v>28.996615359643592</v>
      </c>
      <c r="AA2797" s="257">
        <f>altaz((J2000_Bas+(2*0.04167)),$O2797,$M2797,DecLat,DecLong,1)</f>
        <v>41.257617044750312</v>
      </c>
      <c r="AB2797" s="257">
        <f>altaz((J2000_Bas+(4*0.04167)),$O2797,$M2797,DecLat,DecLong,1)</f>
        <v>51.528301145246132</v>
      </c>
      <c r="AC2797" s="257">
        <f>altaz((J2000_Bas+(6*0.04167)),$O2797,$M2797,DecLat,DecLong,1)</f>
        <v>55.275573863562499</v>
      </c>
      <c r="AD2797" s="258">
        <f>1+ transit((J2000_Bas-1),$O2797,$M2797,DecLat,DecLong)/360 + (GMTOffset/24) + (IF(DST="Y", 1, 0)/24)</f>
        <v>1.030399956879708</v>
      </c>
      <c r="AE2797" s="259">
        <f>DATE(2001,9,21)+(M2797/360)*365 - (360*((DecLong/360)- (GMTOffset/24) ))</f>
        <v>37173.6875</v>
      </c>
      <c r="AF2797" s="260">
        <f>IF(DecLat&gt;0,IF((90 - (DecLat-O2797))&gt;90, (90 - (O2797-DecLat)), (90 - (DecLat-O2797))),IF((90 + (DecLat-O2797))&gt;90, (90 + (O2797-DecLat)), (90 + (DecLat-O2797))))</f>
        <v>55.316666666666663</v>
      </c>
      <c r="AG2797" s="257">
        <f>angularseperation(MoonRA,MoonDec,$M2797,$O2797)</f>
        <v>128.41007467552771</v>
      </c>
      <c r="AH2797" s="261">
        <f ca="1">MIN(100,IF($O$5&gt;80,0+30*($AG2797/100),IF($O$5&gt;70,0+50*($AG2797/100),IF($O$5&gt;60,5+50*($AG2797/100),IF($O$5&gt;50,10+60*($AG2797/100),IF($O$5&gt;40,15+70*($AG2797/100),IF($O$5&gt;30,20+70*($AG2797/100),IF($O$5&gt;20,40+55*($AG2797/100),(80+(20-$O$5)+30*($AG2797/100))))))))))</f>
        <v>100</v>
      </c>
      <c r="AI2797" s="263"/>
      <c r="AJ2797" s="263"/>
      <c r="AK2797" s="263"/>
      <c r="AL2797" s="263"/>
      <c r="AM2797" s="264"/>
      <c r="AN2797" s="263"/>
      <c r="AO2797" s="263"/>
      <c r="AP2797" s="265"/>
      <c r="AQ2797" s="265"/>
      <c r="AR2797" s="285"/>
      <c r="AS2797" s="263"/>
      <c r="AT2797" s="263"/>
      <c r="AU2797" s="263"/>
      <c r="AV2797" s="264"/>
      <c r="AW2797" s="263"/>
      <c r="AX2797" s="263"/>
      <c r="AY2797" s="263"/>
      <c r="AZ2797" s="263"/>
      <c r="BA2797" s="263"/>
      <c r="BB2797" s="263">
        <v>183</v>
      </c>
      <c r="BC2797" s="263"/>
      <c r="BD2797" s="264"/>
      <c r="BE2797" s="263"/>
      <c r="BF2797" s="263"/>
      <c r="BG2797" s="263"/>
      <c r="BH2797" s="263"/>
      <c r="BI2797" s="263"/>
      <c r="BJ2797" s="404">
        <f>altaz(J2000_Bas,$O2797,$M2797,DecLat,DecLong,2)</f>
        <v>28.056711015578976</v>
      </c>
      <c r="BK2797" s="378" t="s">
        <v>2614</v>
      </c>
      <c r="BL2797" s="379">
        <f>IF((2*G2797)/60&lt;0.2,0.2,(2*G2797)/60)</f>
        <v>1.5</v>
      </c>
      <c r="BM2797" s="380">
        <f>MOD((50000+AD2797-$B$3+(0/24)),1)</f>
        <v>0.24576688658271451</v>
      </c>
      <c r="BN2797" s="381"/>
      <c r="BO2797" s="382">
        <v>2788</v>
      </c>
    </row>
    <row r="2798" spans="1:67" s="24" customFormat="1" ht="15" customHeight="1" x14ac:dyDescent="0.25">
      <c r="A2798" s="288" t="s">
        <v>2615</v>
      </c>
      <c r="B2798" s="241" t="str">
        <f>HYPERLINK(CONCATENATE($AT$3,BK2798,$AU$3),$AV$3)</f>
        <v>S</v>
      </c>
      <c r="C2798" s="242" t="str">
        <f>HYPERLINK(CONCATENATE($AT$4,BK2798,$AU$4,BL2798),$AV$4)</f>
        <v>A</v>
      </c>
      <c r="D2798" s="243" t="s">
        <v>5187</v>
      </c>
      <c r="E2798" s="244" t="s">
        <v>5183</v>
      </c>
      <c r="F2798" s="269" t="s">
        <v>5180</v>
      </c>
      <c r="G2798" s="273">
        <v>1</v>
      </c>
      <c r="H2798" s="283">
        <v>8500</v>
      </c>
      <c r="I2798" s="279">
        <v>2.5</v>
      </c>
      <c r="J2798" s="246">
        <v>2</v>
      </c>
      <c r="K2798" s="277" t="s">
        <v>6334</v>
      </c>
      <c r="L2798" s="248">
        <v>10818</v>
      </c>
      <c r="M2798" s="249">
        <f>15*(LEFT(TEXT($L2798,"000000"),2)+(MID(TEXT($L2798,"000000"),3,2)/60)+(RIGHT(TEXT($L2798,"000000"),2)/3600))</f>
        <v>17.074999999999999</v>
      </c>
      <c r="N2798" s="286">
        <v>630700</v>
      </c>
      <c r="O2798" s="251">
        <f>IF($N2798&gt;0,(LEFT(TEXT($N2798,"000000"),2)+(MID(TEXT($N2798,"000000"),3,2)/60)+(RIGHT(TEXT($N2798,"000000"),2)/3600)),-(MID(TEXT($N2798,"000000"),2,2)+(MID(TEXT($N2798,"000000"),4,2)/60)+(RIGHT(TEXT($N2798,"000000"),2)/3600)))</f>
        <v>63.116666666666667</v>
      </c>
      <c r="P2798" s="252" t="s">
        <v>49</v>
      </c>
      <c r="Q2798" s="253"/>
      <c r="R2798" s="277" t="s">
        <v>3293</v>
      </c>
      <c r="S2798" s="272" t="s">
        <v>3293</v>
      </c>
      <c r="T2798" s="273"/>
      <c r="U2798" s="274"/>
      <c r="V2798" s="280"/>
      <c r="W2798" s="244"/>
      <c r="X2798" s="244"/>
      <c r="Y2798" s="362"/>
      <c r="Z2798" s="257">
        <f>altaz(J2000_Bas,$O2798,$M2798,DecLat,DecLong,1)</f>
        <v>26.88001168059942</v>
      </c>
      <c r="AA2798" s="257">
        <f>altaz((J2000_Bas+(2*0.04167)),$O2798,$M2798,DecLat,DecLong,1)</f>
        <v>40.34260696927884</v>
      </c>
      <c r="AB2798" s="257">
        <f>altaz((J2000_Bas+(4*0.04167)),$O2798,$M2798,DecLat,DecLong,1)</f>
        <v>52.367487680888075</v>
      </c>
      <c r="AC2798" s="257">
        <f>altaz((J2000_Bas+(6*0.04167)),$O2798,$M2798,DecLat,DecLong,1)</f>
        <v>57.879068927581109</v>
      </c>
      <c r="AD2798" s="258">
        <f>1+ transit((J2000_Bas-1),$O2798,$M2798,DecLat,DecLong)/360 + (GMTOffset/24) + (IF(DST="Y", 1, 0)/24)</f>
        <v>1.0403305114422079</v>
      </c>
      <c r="AE2798" s="259">
        <f>DATE(2001,9,21)+(M2798/360)*365 - (360*((DecLong/360)- (GMTOffset/24) ))</f>
        <v>37177.312152777777</v>
      </c>
      <c r="AF2798" s="260">
        <f>IF(DecLat&gt;0,IF((90 - (DecLat-O2798))&gt;90, (90 - (O2798-DecLat)), (90 - (DecLat-O2798))),IF((90 + (DecLat-O2798))&gt;90, (90 + (O2798-DecLat)), (90 + (DecLat-O2798))))</f>
        <v>57.883333333333333</v>
      </c>
      <c r="AG2798" s="257">
        <f>angularseperation(MoonRA,MoonDec,$M2798,$O2798)</f>
        <v>130.77020383891389</v>
      </c>
      <c r="AH2798" s="261">
        <f ca="1">MIN(100,IF($O$5&gt;80,0+30*($AG2798/100),IF($O$5&gt;70,0+50*($AG2798/100),IF($O$5&gt;60,5+50*($AG2798/100),IF($O$5&gt;50,10+60*($AG2798/100),IF($O$5&gt;40,15+70*($AG2798/100),IF($O$5&gt;30,20+70*($AG2798/100),IF($O$5&gt;20,40+55*($AG2798/100),(80+(20-$O$5)+30*($AG2798/100))))))))))</f>
        <v>100</v>
      </c>
      <c r="AI2798" s="263"/>
      <c r="AJ2798" s="263"/>
      <c r="AK2798" s="263"/>
      <c r="AL2798" s="263"/>
      <c r="AM2798" s="264"/>
      <c r="AN2798" s="263"/>
      <c r="AO2798" s="263"/>
      <c r="AP2798" s="265"/>
      <c r="AQ2798" s="265"/>
      <c r="AR2798" s="285"/>
      <c r="AS2798" s="263"/>
      <c r="AT2798" s="263"/>
      <c r="AU2798" s="263"/>
      <c r="AV2798" s="264"/>
      <c r="AW2798" s="263"/>
      <c r="AX2798" s="263"/>
      <c r="AY2798" s="263"/>
      <c r="AZ2798" s="263"/>
      <c r="BA2798" s="263"/>
      <c r="BB2798" s="263">
        <v>186</v>
      </c>
      <c r="BC2798" s="263"/>
      <c r="BD2798" s="264"/>
      <c r="BE2798" s="263"/>
      <c r="BF2798" s="263"/>
      <c r="BG2798" s="263"/>
      <c r="BH2798" s="263"/>
      <c r="BI2798" s="263"/>
      <c r="BJ2798" s="404">
        <f>altaz(J2000_Bas,$O2798,$M2798,DecLat,DecLong,2)</f>
        <v>30.454872243870536</v>
      </c>
      <c r="BK2798" s="378" t="s">
        <v>2615</v>
      </c>
      <c r="BL2798" s="379">
        <f>IF((2*G2798)/60&lt;0.2,0.2,(2*G2798)/60)</f>
        <v>0.2</v>
      </c>
      <c r="BM2798" s="380">
        <f>MOD((50000+AD2798-$B$3+(0/24)),1)</f>
        <v>0.25569744114909554</v>
      </c>
      <c r="BN2798" s="381"/>
      <c r="BO2798" s="382">
        <v>2789</v>
      </c>
    </row>
    <row r="2799" spans="1:67" s="24" customFormat="1" ht="15" customHeight="1" x14ac:dyDescent="0.25">
      <c r="A2799" s="288" t="s">
        <v>2616</v>
      </c>
      <c r="B2799" s="241" t="str">
        <f>HYPERLINK(CONCATENATE($AT$3,BK2799,$AU$3),$AV$3)</f>
        <v>S</v>
      </c>
      <c r="C2799" s="242" t="str">
        <f>HYPERLINK(CONCATENATE($AT$4,BK2799,$AU$4,BL2799),$AV$4)</f>
        <v>A</v>
      </c>
      <c r="D2799" s="243" t="s">
        <v>5187</v>
      </c>
      <c r="E2799" s="244" t="s">
        <v>5183</v>
      </c>
      <c r="F2799" s="269" t="s">
        <v>5180</v>
      </c>
      <c r="G2799" s="276">
        <v>10</v>
      </c>
      <c r="H2799" s="283">
        <v>5000</v>
      </c>
      <c r="I2799" s="246">
        <v>15</v>
      </c>
      <c r="J2799" s="246">
        <v>3</v>
      </c>
      <c r="K2799" s="247" t="s">
        <v>7240</v>
      </c>
      <c r="L2799" s="248">
        <v>12318</v>
      </c>
      <c r="M2799" s="249">
        <f>15*(LEFT(TEXT($L2799,"000000"),2)+(MID(TEXT($L2799,"000000"),3,2)/60)+(RIGHT(TEXT($L2799,"000000"),2)/3600))</f>
        <v>20.824999999999999</v>
      </c>
      <c r="N2799" s="250">
        <v>614900</v>
      </c>
      <c r="O2799" s="251">
        <f>IF($N2799&gt;0,(LEFT(TEXT($N2799,"000000"),2)+(MID(TEXT($N2799,"000000"),3,2)/60)+(RIGHT(TEXT($N2799,"000000"),2)/3600)),-(MID(TEXT($N2799,"000000"),2,2)+(MID(TEXT($N2799,"000000"),4,2)/60)+(RIGHT(TEXT($N2799,"000000"),2)/3600)))</f>
        <v>61.81666666666667</v>
      </c>
      <c r="P2799" s="252" t="s">
        <v>49</v>
      </c>
      <c r="Q2799" s="253"/>
      <c r="R2799" s="247" t="s">
        <v>5236</v>
      </c>
      <c r="S2799" s="272" t="s">
        <v>3293</v>
      </c>
      <c r="T2799" s="273"/>
      <c r="U2799" s="274"/>
      <c r="V2799" s="280"/>
      <c r="W2799" s="244"/>
      <c r="X2799" s="244"/>
      <c r="Y2799" s="362"/>
      <c r="Z2799" s="257">
        <f>altaz(J2000_Bas,$O2799,$M2799,DecLat,DecLong,1)</f>
        <v>24.830947329542408</v>
      </c>
      <c r="AA2799" s="257">
        <f>altaz((J2000_Bas+(2*0.04167)),$O2799,$M2799,DecLat,DecLong,1)</f>
        <v>38.810268303695693</v>
      </c>
      <c r="AB2799" s="257">
        <f>altaz((J2000_Bas+(4*0.04167)),$O2799,$M2799,DecLat,DecLong,1)</f>
        <v>51.905693687870681</v>
      </c>
      <c r="AC2799" s="257">
        <f>altaz((J2000_Bas+(6*0.04167)),$O2799,$M2799,DecLat,DecLong,1)</f>
        <v>59.039764600533736</v>
      </c>
      <c r="AD2799" s="258">
        <f>1+ transit((J2000_Bas-1),$O2799,$M2799,DecLat,DecLong)/360 + (GMTOffset/24) + (IF(DST="Y", 1, 0)/24)</f>
        <v>1.0507471770672081</v>
      </c>
      <c r="AE2799" s="259">
        <f>DATE(2001,9,21)+(M2799/360)*365 - (360*((DecLong/360)- (GMTOffset/24) ))</f>
        <v>37181.114236111112</v>
      </c>
      <c r="AF2799" s="260">
        <f>IF(DecLat&gt;0,IF((90 - (DecLat-O2799))&gt;90, (90 - (O2799-DecLat)), (90 - (DecLat-O2799))),IF((90 + (DecLat-O2799))&gt;90, (90 + (O2799-DecLat)), (90 + (DecLat-O2799))))</f>
        <v>59.18333333333333</v>
      </c>
      <c r="AG2799" s="257">
        <f>angularseperation(MoonRA,MoonDec,$M2799,$O2799)</f>
        <v>132.8755071528478</v>
      </c>
      <c r="AH2799" s="261">
        <f ca="1">MIN(100,IF($O$5&gt;80,0+30*($AG2799/100),IF($O$5&gt;70,0+50*($AG2799/100),IF($O$5&gt;60,5+50*($AG2799/100),IF($O$5&gt;50,10+60*($AG2799/100),IF($O$5&gt;40,15+70*($AG2799/100),IF($O$5&gt;30,20+70*($AG2799/100),IF($O$5&gt;20,40+55*($AG2799/100),(80+(20-$O$5)+30*($AG2799/100))))))))))</f>
        <v>100</v>
      </c>
      <c r="AI2799" s="262"/>
      <c r="AJ2799" s="262"/>
      <c r="AK2799" s="262"/>
      <c r="AL2799" s="263"/>
      <c r="AM2799" s="264"/>
      <c r="AN2799" s="263"/>
      <c r="AO2799" s="263"/>
      <c r="AP2799" s="265"/>
      <c r="AQ2799" s="266"/>
      <c r="AR2799" s="267"/>
      <c r="AS2799" s="263"/>
      <c r="AT2799" s="263"/>
      <c r="AU2799" s="263"/>
      <c r="AV2799" s="264"/>
      <c r="AW2799" s="263"/>
      <c r="AX2799" s="263"/>
      <c r="AY2799" s="263">
        <v>630</v>
      </c>
      <c r="AZ2799" s="263">
        <v>1317</v>
      </c>
      <c r="BA2799" s="263"/>
      <c r="BB2799" s="263">
        <v>187</v>
      </c>
      <c r="BC2799" s="263"/>
      <c r="BD2799" s="264"/>
      <c r="BE2799" s="263"/>
      <c r="BF2799" s="263"/>
      <c r="BG2799" s="263"/>
      <c r="BH2799" s="263"/>
      <c r="BI2799" s="263"/>
      <c r="BJ2799" s="404">
        <f>altaz(J2000_Bas,$O2799,$M2799,DecLat,DecLong,2)</f>
        <v>31.23592846595248</v>
      </c>
      <c r="BK2799" s="378" t="s">
        <v>2616</v>
      </c>
      <c r="BL2799" s="379">
        <f>IF((2*G2799)/60&lt;0.2,0.2,(2*G2799)/60)</f>
        <v>0.33333333333333331</v>
      </c>
      <c r="BM2799" s="380">
        <f>MOD((50000+AD2799-$B$3+(0/24)),1)</f>
        <v>0.26611410677287495</v>
      </c>
      <c r="BN2799" s="381"/>
      <c r="BO2799" s="382">
        <v>2790</v>
      </c>
    </row>
    <row r="2800" spans="1:67" s="24" customFormat="1" ht="15" customHeight="1" x14ac:dyDescent="0.25">
      <c r="A2800" s="288" t="s">
        <v>2617</v>
      </c>
      <c r="B2800" s="241" t="str">
        <f>HYPERLINK(CONCATENATE($AT$3,BK2800,$AU$3),$AV$3)</f>
        <v>S</v>
      </c>
      <c r="C2800" s="242" t="str">
        <f>HYPERLINK(CONCATENATE($AT$4,BK2800,$AU$4,BL2800),$AV$4)</f>
        <v>A</v>
      </c>
      <c r="D2800" s="243" t="s">
        <v>5187</v>
      </c>
      <c r="E2800" s="244" t="s">
        <v>5181</v>
      </c>
      <c r="F2800" s="269" t="s">
        <v>5749</v>
      </c>
      <c r="G2800" s="273">
        <v>9</v>
      </c>
      <c r="H2800" s="283">
        <v>850</v>
      </c>
      <c r="I2800" s="279">
        <v>2.1</v>
      </c>
      <c r="J2800" s="246">
        <v>4</v>
      </c>
      <c r="K2800" s="247" t="s">
        <v>5237</v>
      </c>
      <c r="L2800" s="248">
        <v>13033</v>
      </c>
      <c r="M2800" s="249">
        <f>15*(LEFT(TEXT($L2800,"000000"),2)+(MID(TEXT($L2800,"000000"),3,2)/60)+(RIGHT(TEXT($L2800,"000000"),2)/3600))</f>
        <v>22.637500000000003</v>
      </c>
      <c r="N2800" s="250">
        <v>582451</v>
      </c>
      <c r="O2800" s="251">
        <f>IF($N2800&gt;0,(LEFT(TEXT($N2800,"000000"),2)+(MID(TEXT($N2800,"000000"),3,2)/60)+(RIGHT(TEXT($N2800,"000000"),2)/3600)),-(MID(TEXT($N2800,"000000"),2,2)+(MID(TEXT($N2800,"000000"),4,2)/60)+(RIGHT(TEXT($N2800,"000000"),2)/3600)))</f>
        <v>58.414166666666667</v>
      </c>
      <c r="P2800" s="252" t="s">
        <v>49</v>
      </c>
      <c r="Q2800" s="253" t="s">
        <v>6971</v>
      </c>
      <c r="R2800" s="277" t="s">
        <v>3293</v>
      </c>
      <c r="S2800" s="272" t="s">
        <v>3293</v>
      </c>
      <c r="T2800" s="273"/>
      <c r="U2800" s="274"/>
      <c r="V2800" s="280"/>
      <c r="W2800" s="244"/>
      <c r="X2800" s="244"/>
      <c r="Y2800" s="362"/>
      <c r="Z2800" s="257">
        <f>altaz(J2000_Bas,$O2800,$M2800,DecLat,DecLong,1)</f>
        <v>22.759542031957086</v>
      </c>
      <c r="AA2800" s="257">
        <f>altaz((J2000_Bas+(2*0.04167)),$O2800,$M2800,DecLat,DecLong,1)</f>
        <v>38.126544123486248</v>
      </c>
      <c r="AB2800" s="257">
        <f>altaz((J2000_Bas+(4*0.04167)),$O2800,$M2800,DecLat,DecLong,1)</f>
        <v>53.1110038773122</v>
      </c>
      <c r="AC2800" s="257">
        <f>altaz((J2000_Bas+(6*0.04167)),$O2800,$M2800,DecLat,DecLong,1)</f>
        <v>62.241672926991583</v>
      </c>
      <c r="AD2800" s="258">
        <f>1+ transit((J2000_Bas-1),$O2800,$M2800,DecLat,DecLong)/360 + (GMTOffset/24) + (IF(DST="Y", 1, 0)/24)</f>
        <v>1.055781898785958</v>
      </c>
      <c r="AE2800" s="259">
        <f>DATE(2001,9,21)+(M2800/360)*365 - (360*((DecLong/360)- (GMTOffset/24) ))</f>
        <v>37182.951909722222</v>
      </c>
      <c r="AF2800" s="260">
        <f>IF(DecLat&gt;0,IF((90 - (DecLat-O2800))&gt;90, (90 - (O2800-DecLat)), (90 - (DecLat-O2800))),IF((90 + (DecLat-O2800))&gt;90, (90 + (O2800-DecLat)), (90 + (DecLat-O2800))))</f>
        <v>62.585833333333333</v>
      </c>
      <c r="AG2800" s="257">
        <f>angularseperation(MoonRA,MoonDec,$M2800,$O2800)</f>
        <v>135.09165662531416</v>
      </c>
      <c r="AH2800" s="261">
        <f ca="1">MIN(100,IF($O$5&gt;80,0+30*($AG2800/100),IF($O$5&gt;70,0+50*($AG2800/100),IF($O$5&gt;60,5+50*($AG2800/100),IF($O$5&gt;50,10+60*($AG2800/100),IF($O$5&gt;40,15+70*($AG2800/100),IF($O$5&gt;30,20+70*($AG2800/100),IF($O$5&gt;20,40+55*($AG2800/100),(80+(20-$O$5)+30*($AG2800/100))))))))))</f>
        <v>100</v>
      </c>
      <c r="AI2800" s="262"/>
      <c r="AJ2800" s="262"/>
      <c r="AK2800" s="262"/>
      <c r="AL2800" s="263"/>
      <c r="AM2800" s="264"/>
      <c r="AN2800" s="263"/>
      <c r="AO2800" s="263"/>
      <c r="AP2800" s="265"/>
      <c r="AQ2800" s="266"/>
      <c r="AR2800" s="267"/>
      <c r="AS2800" s="263"/>
      <c r="AT2800" s="263"/>
      <c r="AU2800" s="263"/>
      <c r="AV2800" s="264"/>
      <c r="AW2800" s="263"/>
      <c r="AX2800" s="263"/>
      <c r="AY2800" s="263"/>
      <c r="AZ2800" s="263"/>
      <c r="BA2800" s="263"/>
      <c r="BB2800" s="263">
        <v>188</v>
      </c>
      <c r="BC2800" s="263"/>
      <c r="BD2800" s="264"/>
      <c r="BE2800" s="263"/>
      <c r="BF2800" s="263"/>
      <c r="BG2800" s="263">
        <v>5</v>
      </c>
      <c r="BH2800" s="263"/>
      <c r="BI2800" s="263"/>
      <c r="BJ2800" s="404">
        <f>altaz(J2000_Bas,$O2800,$M2800,DecLat,DecLong,2)</f>
        <v>34.346600665990337</v>
      </c>
      <c r="BK2800" s="378" t="s">
        <v>2617</v>
      </c>
      <c r="BL2800" s="379">
        <f>IF((2*G2800)/60&lt;0.2,0.2,(2*G2800)/60)</f>
        <v>0.3</v>
      </c>
      <c r="BM2800" s="380">
        <f>MOD((50000+AD2800-$B$3+(0/24)),1)</f>
        <v>0.27114882849127753</v>
      </c>
      <c r="BN2800" s="381"/>
      <c r="BO2800" s="382">
        <v>2791</v>
      </c>
    </row>
    <row r="2801" spans="1:67" s="24" customFormat="1" ht="15" customHeight="1" x14ac:dyDescent="0.25">
      <c r="A2801" s="288" t="s">
        <v>2618</v>
      </c>
      <c r="B2801" s="241" t="str">
        <f>HYPERLINK(CONCATENATE($AT$3,BK2801,$AU$3),$AV$3)</f>
        <v>S</v>
      </c>
      <c r="C2801" s="242" t="str">
        <f>HYPERLINK(CONCATENATE($AT$4,BK2801,$AU$4,BL2801),$AV$4)</f>
        <v>A</v>
      </c>
      <c r="D2801" s="243" t="s">
        <v>5187</v>
      </c>
      <c r="E2801" s="244" t="s">
        <v>5183</v>
      </c>
      <c r="F2801" s="269" t="s">
        <v>5180</v>
      </c>
      <c r="G2801" s="273">
        <v>2</v>
      </c>
      <c r="H2801" s="283">
        <v>8000</v>
      </c>
      <c r="I2801" s="279">
        <v>5</v>
      </c>
      <c r="J2801" s="246">
        <v>1</v>
      </c>
      <c r="K2801" s="247" t="s">
        <v>6335</v>
      </c>
      <c r="L2801" s="248">
        <v>24700</v>
      </c>
      <c r="M2801" s="249">
        <f>15*(LEFT(TEXT($L2801,"000000"),2)+(MID(TEXT($L2801,"000000"),3,2)/60)+(RIGHT(TEXT($L2801,"000000"),2)/3600))</f>
        <v>41.75</v>
      </c>
      <c r="N2801" s="286">
        <v>615500</v>
      </c>
      <c r="O2801" s="251">
        <f>IF($N2801&gt;0,(LEFT(TEXT($N2801,"000000"),2)+(MID(TEXT($N2801,"000000"),3,2)/60)+(RIGHT(TEXT($N2801,"000000"),2)/3600)),-(MID(TEXT($N2801,"000000"),2,2)+(MID(TEXT($N2801,"000000"),4,2)/60)+(RIGHT(TEXT($N2801,"000000"),2)/3600)))</f>
        <v>61.916666666666664</v>
      </c>
      <c r="P2801" s="252" t="s">
        <v>49</v>
      </c>
      <c r="Q2801" s="253"/>
      <c r="R2801" s="277" t="s">
        <v>3293</v>
      </c>
      <c r="S2801" s="272" t="s">
        <v>2619</v>
      </c>
      <c r="T2801" s="273"/>
      <c r="U2801" s="274"/>
      <c r="V2801" s="280"/>
      <c r="W2801" s="244"/>
      <c r="X2801" s="244"/>
      <c r="Y2801" s="362"/>
      <c r="Z2801" s="257">
        <f>altaz(J2000_Bas,$O2801,$M2801,DecLat,DecLong,1)</f>
        <v>16.207124602049262</v>
      </c>
      <c r="AA2801" s="257">
        <f>altaz((J2000_Bas+(2*0.04167)),$O2801,$M2801,DecLat,DecLong,1)</f>
        <v>29.00694461068338</v>
      </c>
      <c r="AB2801" s="257">
        <f>altaz((J2000_Bas+(4*0.04167)),$O2801,$M2801,DecLat,DecLong,1)</f>
        <v>43.039223706419612</v>
      </c>
      <c r="AC2801" s="257">
        <f>altaz((J2000_Bas+(6*0.04167)),$O2801,$M2801,DecLat,DecLong,1)</f>
        <v>54.947492824303218</v>
      </c>
      <c r="AD2801" s="258">
        <f>1+ transit((J2000_Bas-1),$O2801,$M2801,DecLat,DecLong)/360 + (GMTOffset/24) + (IF(DST="Y", 1, 0)/24)</f>
        <v>1.1088721712547081</v>
      </c>
      <c r="AE2801" s="259">
        <f>DATE(2001,9,21)+(M2801/360)*365 - (360*((DecLong/360)- (GMTOffset/24) ))</f>
        <v>37202.329861111109</v>
      </c>
      <c r="AF2801" s="260">
        <f>IF(DecLat&gt;0,IF((90 - (DecLat-O2801))&gt;90, (90 - (O2801-DecLat)), (90 - (DecLat-O2801))),IF((90 + (DecLat-O2801))&gt;90, (90 + (O2801-DecLat)), (90 + (DecLat-O2801))))</f>
        <v>59.083333333333336</v>
      </c>
      <c r="AG2801" s="257">
        <f>angularseperation(MoonRA,MoonDec,$M2801,$O2801)</f>
        <v>140.6687437330699</v>
      </c>
      <c r="AH2801" s="261">
        <f ca="1">MIN(100,IF($O$5&gt;80,0+30*($AG2801/100),IF($O$5&gt;70,0+50*($AG2801/100),IF($O$5&gt;60,5+50*($AG2801/100),IF($O$5&gt;50,10+60*($AG2801/100),IF($O$5&gt;40,15+70*($AG2801/100),IF($O$5&gt;30,20+70*($AG2801/100),IF($O$5&gt;20,40+55*($AG2801/100),(80+(20-$O$5)+30*($AG2801/100))))))))))</f>
        <v>100</v>
      </c>
      <c r="AI2801" s="263"/>
      <c r="AJ2801" s="263"/>
      <c r="AK2801" s="263"/>
      <c r="AL2801" s="263"/>
      <c r="AM2801" s="264"/>
      <c r="AN2801" s="263"/>
      <c r="AO2801" s="263"/>
      <c r="AP2801" s="265"/>
      <c r="AQ2801" s="265"/>
      <c r="AR2801" s="285"/>
      <c r="AS2801" s="263"/>
      <c r="AT2801" s="263"/>
      <c r="AU2801" s="263"/>
      <c r="AV2801" s="264"/>
      <c r="AW2801" s="263"/>
      <c r="AX2801" s="263"/>
      <c r="AY2801" s="263">
        <v>661</v>
      </c>
      <c r="AZ2801" s="263"/>
      <c r="BA2801" s="263"/>
      <c r="BB2801" s="263">
        <v>192</v>
      </c>
      <c r="BC2801" s="263"/>
      <c r="BD2801" s="264"/>
      <c r="BE2801" s="263"/>
      <c r="BF2801" s="263"/>
      <c r="BG2801" s="263"/>
      <c r="BH2801" s="263"/>
      <c r="BI2801" s="263"/>
      <c r="BJ2801" s="404">
        <f>altaz(J2000_Bas,$O2801,$M2801,DecLat,DecLong,2)</f>
        <v>26.203846949533883</v>
      </c>
      <c r="BK2801" s="378" t="s">
        <v>2618</v>
      </c>
      <c r="BL2801" s="379">
        <f>IF((2*G2801)/60&lt;0.2,0.2,(2*G2801)/60)</f>
        <v>0.2</v>
      </c>
      <c r="BM2801" s="380">
        <f>MOD((50000+AD2801-$B$3+(0/24)),1)</f>
        <v>0.32423910095531028</v>
      </c>
      <c r="BN2801" s="381"/>
      <c r="BO2801" s="382">
        <v>2792</v>
      </c>
    </row>
    <row r="2802" spans="1:67" s="24" customFormat="1" ht="15" customHeight="1" x14ac:dyDescent="0.25">
      <c r="A2802" s="288" t="s">
        <v>2619</v>
      </c>
      <c r="B2802" s="241" t="str">
        <f>HYPERLINK(CONCATENATE($AT$3,BK2802,$AU$3),$AV$3)</f>
        <v>S</v>
      </c>
      <c r="C2802" s="242" t="str">
        <f>HYPERLINK(CONCATENATE($AT$4,BK2802,$AU$4,BL2802),$AV$4)</f>
        <v>A</v>
      </c>
      <c r="D2802" s="243" t="s">
        <v>5187</v>
      </c>
      <c r="E2802" s="244" t="s">
        <v>5183</v>
      </c>
      <c r="F2802" s="269" t="s">
        <v>5180</v>
      </c>
      <c r="G2802" s="273">
        <v>3</v>
      </c>
      <c r="H2802" s="283">
        <v>8000</v>
      </c>
      <c r="I2802" s="279">
        <v>7</v>
      </c>
      <c r="J2802" s="246">
        <v>1</v>
      </c>
      <c r="K2802" s="247" t="s">
        <v>6337</v>
      </c>
      <c r="L2802" s="248">
        <v>24700</v>
      </c>
      <c r="M2802" s="249">
        <f>15*(LEFT(TEXT($L2802,"000000"),2)+(MID(TEXT($L2802,"000000"),3,2)/60)+(RIGHT(TEXT($L2802,"000000"),2)/3600))</f>
        <v>41.75</v>
      </c>
      <c r="N2802" s="286">
        <v>615800</v>
      </c>
      <c r="O2802" s="251">
        <f>IF($N2802&gt;0,(LEFT(TEXT($N2802,"000000"),2)+(MID(TEXT($N2802,"000000"),3,2)/60)+(RIGHT(TEXT($N2802,"000000"),2)/3600)),-(MID(TEXT($N2802,"000000"),2,2)+(MID(TEXT($N2802,"000000"),4,2)/60)+(RIGHT(TEXT($N2802,"000000"),2)/3600)))</f>
        <v>61.966666666666669</v>
      </c>
      <c r="P2802" s="252" t="s">
        <v>49</v>
      </c>
      <c r="Q2802" s="253"/>
      <c r="R2802" s="277" t="s">
        <v>3293</v>
      </c>
      <c r="S2802" s="272" t="s">
        <v>2618</v>
      </c>
      <c r="T2802" s="273"/>
      <c r="U2802" s="274"/>
      <c r="V2802" s="280"/>
      <c r="W2802" s="244"/>
      <c r="X2802" s="244"/>
      <c r="Y2802" s="362"/>
      <c r="Z2802" s="257">
        <f>altaz(J2000_Bas,$O2802,$M2802,DecLat,DecLong,1)</f>
        <v>16.236850702398989</v>
      </c>
      <c r="AA2802" s="257">
        <f>altaz((J2000_Bas+(2*0.04167)),$O2802,$M2802,DecLat,DecLong,1)</f>
        <v>29.017524950298828</v>
      </c>
      <c r="AB2802" s="257">
        <f>altaz((J2000_Bas+(4*0.04167)),$O2802,$M2802,DecLat,DecLong,1)</f>
        <v>43.026546418493176</v>
      </c>
      <c r="AC2802" s="257">
        <f>altaz((J2000_Bas+(6*0.04167)),$O2802,$M2802,DecLat,DecLong,1)</f>
        <v>54.909160649899931</v>
      </c>
      <c r="AD2802" s="258">
        <f>1+ transit((J2000_Bas-1),$O2802,$M2802,DecLat,DecLong)/360 + (GMTOffset/24) + (IF(DST="Y", 1, 0)/24)</f>
        <v>1.1088721712547081</v>
      </c>
      <c r="AE2802" s="259">
        <f>DATE(2001,9,21)+(M2802/360)*365 - (360*((DecLong/360)- (GMTOffset/24) ))</f>
        <v>37202.329861111109</v>
      </c>
      <c r="AF2802" s="260">
        <f>IF(DecLat&gt;0,IF((90 - (DecLat-O2802))&gt;90, (90 - (O2802-DecLat)), (90 - (DecLat-O2802))),IF((90 + (DecLat-O2802))&gt;90, (90 + (O2802-DecLat)), (90 + (DecLat-O2802))))</f>
        <v>59.033333333333331</v>
      </c>
      <c r="AG2802" s="257">
        <f>angularseperation(MoonRA,MoonDec,$M2802,$O2802)</f>
        <v>140.6306704866582</v>
      </c>
      <c r="AH2802" s="261">
        <f ca="1">MIN(100,IF($O$5&gt;80,0+30*($AG2802/100),IF($O$5&gt;70,0+50*($AG2802/100),IF($O$5&gt;60,5+50*($AG2802/100),IF($O$5&gt;50,10+60*($AG2802/100),IF($O$5&gt;40,15+70*($AG2802/100),IF($O$5&gt;30,20+70*($AG2802/100),IF($O$5&gt;20,40+55*($AG2802/100),(80+(20-$O$5)+30*($AG2802/100))))))))))</f>
        <v>100</v>
      </c>
      <c r="AI2802" s="263"/>
      <c r="AJ2802" s="263"/>
      <c r="AK2802" s="263"/>
      <c r="AL2802" s="263"/>
      <c r="AM2802" s="264"/>
      <c r="AN2802" s="263"/>
      <c r="AO2802" s="263"/>
      <c r="AP2802" s="265"/>
      <c r="AQ2802" s="265"/>
      <c r="AR2802" s="285"/>
      <c r="AS2802" s="263"/>
      <c r="AT2802" s="263"/>
      <c r="AU2802" s="263"/>
      <c r="AV2802" s="264"/>
      <c r="AW2802" s="263"/>
      <c r="AX2802" s="263"/>
      <c r="AY2802" s="263">
        <v>660</v>
      </c>
      <c r="AZ2802" s="263"/>
      <c r="BA2802" s="263"/>
      <c r="BB2802" s="263">
        <v>193</v>
      </c>
      <c r="BC2802" s="263"/>
      <c r="BD2802" s="264"/>
      <c r="BE2802" s="263"/>
      <c r="BF2802" s="263"/>
      <c r="BG2802" s="263"/>
      <c r="BH2802" s="263"/>
      <c r="BI2802" s="263"/>
      <c r="BJ2802" s="404">
        <f>altaz(J2000_Bas,$O2802,$M2802,DecLat,DecLong,2)</f>
        <v>26.161975953142154</v>
      </c>
      <c r="BK2802" s="378" t="s">
        <v>2619</v>
      </c>
      <c r="BL2802" s="379">
        <f>IF((2*G2802)/60&lt;0.2,0.2,(2*G2802)/60)</f>
        <v>0.2</v>
      </c>
      <c r="BM2802" s="380">
        <f>MOD((50000+AD2802-$B$3+(0/24)),1)</f>
        <v>0.32423910095531028</v>
      </c>
      <c r="BN2802" s="381"/>
      <c r="BO2802" s="382">
        <v>2793</v>
      </c>
    </row>
    <row r="2803" spans="1:67" s="24" customFormat="1" ht="15" customHeight="1" x14ac:dyDescent="0.25">
      <c r="A2803" s="288" t="s">
        <v>2620</v>
      </c>
      <c r="B2803" s="241" t="str">
        <f>HYPERLINK(CONCATENATE($AT$3,BK2803,$AU$3),$AV$3)</f>
        <v>S</v>
      </c>
      <c r="C2803" s="242" t="str">
        <f>HYPERLINK(CONCATENATE($AT$4,BK2803,$AU$4,BL2803),$AV$4)</f>
        <v>A</v>
      </c>
      <c r="D2803" s="243" t="s">
        <v>5187</v>
      </c>
      <c r="E2803" s="244" t="s">
        <v>5183</v>
      </c>
      <c r="F2803" s="269" t="s">
        <v>5180</v>
      </c>
      <c r="G2803" s="273">
        <v>2</v>
      </c>
      <c r="H2803" s="283">
        <v>8000</v>
      </c>
      <c r="I2803" s="279">
        <v>5</v>
      </c>
      <c r="J2803" s="246">
        <v>1</v>
      </c>
      <c r="K2803" s="247" t="s">
        <v>6336</v>
      </c>
      <c r="L2803" s="248">
        <v>24700</v>
      </c>
      <c r="M2803" s="249">
        <f>15*(LEFT(TEXT($L2803,"000000"),2)+(MID(TEXT($L2803,"000000"),3,2)/60)+(RIGHT(TEXT($L2803,"000000"),2)/3600))</f>
        <v>41.75</v>
      </c>
      <c r="N2803" s="286">
        <v>615700</v>
      </c>
      <c r="O2803" s="251">
        <f>IF($N2803&gt;0,(LEFT(TEXT($N2803,"000000"),2)+(MID(TEXT($N2803,"000000"),3,2)/60)+(RIGHT(TEXT($N2803,"000000"),2)/3600)),-(MID(TEXT($N2803,"000000"),2,2)+(MID(TEXT($N2803,"000000"),4,2)/60)+(RIGHT(TEXT($N2803,"000000"),2)/3600)))</f>
        <v>61.95</v>
      </c>
      <c r="P2803" s="252" t="s">
        <v>49</v>
      </c>
      <c r="Q2803" s="253"/>
      <c r="R2803" s="277" t="s">
        <v>3293</v>
      </c>
      <c r="S2803" s="272" t="s">
        <v>2618</v>
      </c>
      <c r="T2803" s="273"/>
      <c r="U2803" s="274"/>
      <c r="V2803" s="280"/>
      <c r="W2803" s="244"/>
      <c r="X2803" s="244"/>
      <c r="Y2803" s="362"/>
      <c r="Z2803" s="257">
        <f>altaz(J2000_Bas,$O2803,$M2803,DecLat,DecLong,1)</f>
        <v>16.22694291436601</v>
      </c>
      <c r="AA2803" s="257">
        <f>altaz((J2000_Bas+(2*0.04167)),$O2803,$M2803,DecLat,DecLong,1)</f>
        <v>29.014000738844253</v>
      </c>
      <c r="AB2803" s="257">
        <f>altaz((J2000_Bas+(4*0.04167)),$O2803,$M2803,DecLat,DecLong,1)</f>
        <v>43.030776416133435</v>
      </c>
      <c r="AC2803" s="257">
        <f>altaz((J2000_Bas+(6*0.04167)),$O2803,$M2803,DecLat,DecLong,1)</f>
        <v>54.921940887669294</v>
      </c>
      <c r="AD2803" s="258">
        <f>1+ transit((J2000_Bas-1),$O2803,$M2803,DecLat,DecLong)/360 + (GMTOffset/24) + (IF(DST="Y", 1, 0)/24)</f>
        <v>1.1088721712547081</v>
      </c>
      <c r="AE2803" s="259">
        <f>DATE(2001,9,21)+(M2803/360)*365 - (360*((DecLong/360)- (GMTOffset/24) ))</f>
        <v>37202.329861111109</v>
      </c>
      <c r="AF2803" s="260">
        <f>IF(DecLat&gt;0,IF((90 - (DecLat-O2803))&gt;90, (90 - (O2803-DecLat)), (90 - (DecLat-O2803))),IF((90 + (DecLat-O2803))&gt;90, (90 + (O2803-DecLat)), (90 + (DecLat-O2803))))</f>
        <v>59.05</v>
      </c>
      <c r="AG2803" s="257">
        <f>angularseperation(MoonRA,MoonDec,$M2803,$O2803)</f>
        <v>140.64336405271808</v>
      </c>
      <c r="AH2803" s="261">
        <f ca="1">MIN(100,IF($O$5&gt;80,0+30*($AG2803/100),IF($O$5&gt;70,0+50*($AG2803/100),IF($O$5&gt;60,5+50*($AG2803/100),IF($O$5&gt;50,10+60*($AG2803/100),IF($O$5&gt;40,15+70*($AG2803/100),IF($O$5&gt;30,20+70*($AG2803/100),IF($O$5&gt;20,40+55*($AG2803/100),(80+(20-$O$5)+30*($AG2803/100))))))))))</f>
        <v>100</v>
      </c>
      <c r="AI2803" s="263"/>
      <c r="AJ2803" s="263"/>
      <c r="AK2803" s="263"/>
      <c r="AL2803" s="263"/>
      <c r="AM2803" s="264"/>
      <c r="AN2803" s="263"/>
      <c r="AO2803" s="263"/>
      <c r="AP2803" s="265"/>
      <c r="AQ2803" s="265"/>
      <c r="AR2803" s="285"/>
      <c r="AS2803" s="263"/>
      <c r="AT2803" s="263"/>
      <c r="AU2803" s="263"/>
      <c r="AV2803" s="264"/>
      <c r="AW2803" s="263"/>
      <c r="AX2803" s="263"/>
      <c r="AY2803" s="263"/>
      <c r="AZ2803" s="263"/>
      <c r="BA2803" s="263"/>
      <c r="BB2803" s="263">
        <v>194</v>
      </c>
      <c r="BC2803" s="263"/>
      <c r="BD2803" s="264"/>
      <c r="BE2803" s="263"/>
      <c r="BF2803" s="263"/>
      <c r="BG2803" s="263"/>
      <c r="BH2803" s="263"/>
      <c r="BI2803" s="263"/>
      <c r="BJ2803" s="404">
        <f>altaz(J2000_Bas,$O2803,$M2803,DecLat,DecLong,2)</f>
        <v>26.175934356599981</v>
      </c>
      <c r="BK2803" s="378" t="s">
        <v>2620</v>
      </c>
      <c r="BL2803" s="379">
        <f>IF((2*G2803)/60&lt;0.2,0.2,(2*G2803)/60)</f>
        <v>0.2</v>
      </c>
      <c r="BM2803" s="380">
        <f>MOD((50000+AD2803-$B$3+(0/24)),1)</f>
        <v>0.32423910095531028</v>
      </c>
      <c r="BN2803" s="381"/>
      <c r="BO2803" s="382">
        <v>2794</v>
      </c>
    </row>
    <row r="2804" spans="1:67" s="24" customFormat="1" ht="15" customHeight="1" x14ac:dyDescent="0.25">
      <c r="A2804" s="288" t="s">
        <v>2621</v>
      </c>
      <c r="B2804" s="241" t="str">
        <f>HYPERLINK(CONCATENATE($AT$3,BK2804,$AU$3),$AV$3)</f>
        <v>S</v>
      </c>
      <c r="C2804" s="242" t="str">
        <f>HYPERLINK(CONCATENATE($AT$4,BK2804,$AU$4,BL2804),$AV$4)</f>
        <v>A</v>
      </c>
      <c r="D2804" s="243" t="s">
        <v>5187</v>
      </c>
      <c r="E2804" s="244" t="s">
        <v>5183</v>
      </c>
      <c r="F2804" s="269" t="s">
        <v>5180</v>
      </c>
      <c r="G2804" s="276">
        <v>12</v>
      </c>
      <c r="H2804" s="283" t="s">
        <v>6500</v>
      </c>
      <c r="I2804" s="244" t="s">
        <v>6500</v>
      </c>
      <c r="J2804" s="246">
        <v>0</v>
      </c>
      <c r="K2804" s="277" t="s">
        <v>6338</v>
      </c>
      <c r="L2804" s="248">
        <v>24000</v>
      </c>
      <c r="M2804" s="249">
        <f>15*(LEFT(TEXT($L2804,"000000"),2)+(MID(TEXT($L2804,"000000"),3,2)/60)+(RIGHT(TEXT($L2804,"000000"),2)/3600))</f>
        <v>40</v>
      </c>
      <c r="N2804" s="286">
        <v>593700</v>
      </c>
      <c r="O2804" s="251">
        <f>IF($N2804&gt;0,(LEFT(TEXT($N2804,"000000"),2)+(MID(TEXT($N2804,"000000"),3,2)/60)+(RIGHT(TEXT($N2804,"000000"),2)/3600)),-(MID(TEXT($N2804,"000000"),2,2)+(MID(TEXT($N2804,"000000"),4,2)/60)+(RIGHT(TEXT($N2804,"000000"),2)/3600)))</f>
        <v>59.616666666666667</v>
      </c>
      <c r="P2804" s="252" t="s">
        <v>49</v>
      </c>
      <c r="Q2804" s="253"/>
      <c r="R2804" s="277" t="s">
        <v>3293</v>
      </c>
      <c r="S2804" s="272" t="s">
        <v>3293</v>
      </c>
      <c r="T2804" s="273"/>
      <c r="U2804" s="274"/>
      <c r="V2804" s="280"/>
      <c r="W2804" s="244"/>
      <c r="X2804" s="244"/>
      <c r="Y2804" s="362"/>
      <c r="Z2804" s="257">
        <f>altaz(J2000_Bas,$O2804,$M2804,DecLat,DecLong,1)</f>
        <v>15.54436907898425</v>
      </c>
      <c r="AA2804" s="257">
        <f>altaz((J2000_Bas+(2*0.04167)),$O2804,$M2804,DecLat,DecLong,1)</f>
        <v>29.358752037162798</v>
      </c>
      <c r="AB2804" s="257">
        <f>altaz((J2000_Bas+(4*0.04167)),$O2804,$M2804,DecLat,DecLong,1)</f>
        <v>44.441601211611633</v>
      </c>
      <c r="AC2804" s="257">
        <f>altaz((J2000_Bas+(6*0.04167)),$O2804,$M2804,DecLat,DecLong,1)</f>
        <v>57.261423818499054</v>
      </c>
      <c r="AD2804" s="258">
        <f>1+ transit((J2000_Bas-1),$O2804,$M2804,DecLat,DecLong)/360 + (GMTOffset/24) + (IF(DST="Y", 1, 0)/24)</f>
        <v>1.104011060629708</v>
      </c>
      <c r="AE2804" s="259">
        <f>DATE(2001,9,21)+(M2804/360)*365 - (360*((DecLong/360)- (GMTOffset/24) ))</f>
        <v>37200.555555555555</v>
      </c>
      <c r="AF2804" s="260">
        <f>IF(DecLat&gt;0,IF((90 - (DecLat-O2804))&gt;90, (90 - (O2804-DecLat)), (90 - (DecLat-O2804))),IF((90 + (DecLat-O2804))&gt;90, (90 + (O2804-DecLat)), (90 + (DecLat-O2804))))</f>
        <v>61.383333333333333</v>
      </c>
      <c r="AG2804" s="257">
        <f>angularseperation(MoonRA,MoonDec,$M2804,$O2804)</f>
        <v>141.78542152278618</v>
      </c>
      <c r="AH2804" s="261">
        <f ca="1">MIN(100,IF($O$5&gt;80,0+30*($AG2804/100),IF($O$5&gt;70,0+50*($AG2804/100),IF($O$5&gt;60,5+50*($AG2804/100),IF($O$5&gt;50,10+60*($AG2804/100),IF($O$5&gt;40,15+70*($AG2804/100),IF($O$5&gt;30,20+70*($AG2804/100),IF($O$5&gt;20,40+55*($AG2804/100),(80+(20-$O$5)+30*($AG2804/100))))))))))</f>
        <v>100</v>
      </c>
      <c r="AI2804" s="263"/>
      <c r="AJ2804" s="263"/>
      <c r="AK2804" s="263"/>
      <c r="AL2804" s="263"/>
      <c r="AM2804" s="264"/>
      <c r="AN2804" s="263"/>
      <c r="AO2804" s="263"/>
      <c r="AP2804" s="265"/>
      <c r="AQ2804" s="265"/>
      <c r="AR2804" s="285"/>
      <c r="AS2804" s="263"/>
      <c r="AT2804" s="263"/>
      <c r="AU2804" s="263"/>
      <c r="AV2804" s="264"/>
      <c r="AW2804" s="263"/>
      <c r="AX2804" s="263"/>
      <c r="AY2804" s="263">
        <v>665</v>
      </c>
      <c r="AZ2804" s="263"/>
      <c r="BA2804" s="263"/>
      <c r="BB2804" s="263">
        <v>195</v>
      </c>
      <c r="BC2804" s="263"/>
      <c r="BD2804" s="264"/>
      <c r="BE2804" s="263"/>
      <c r="BF2804" s="263"/>
      <c r="BG2804" s="263"/>
      <c r="BH2804" s="263"/>
      <c r="BI2804" s="263"/>
      <c r="BJ2804" s="404">
        <f>altaz(J2000_Bas,$O2804,$M2804,DecLat,DecLong,2)</f>
        <v>28.659773978101764</v>
      </c>
      <c r="BK2804" s="378" t="s">
        <v>2621</v>
      </c>
      <c r="BL2804" s="379">
        <f>IF((2*G2804)/60&lt;0.2,0.2,(2*G2804)/60)</f>
        <v>0.4</v>
      </c>
      <c r="BM2804" s="380">
        <f>MOD((50000+AD2804-$B$3+(0/24)),1)</f>
        <v>0.31937799033039482</v>
      </c>
      <c r="BN2804" s="381"/>
      <c r="BO2804" s="382">
        <v>2795</v>
      </c>
    </row>
    <row r="2805" spans="1:67" s="24" customFormat="1" ht="15" customHeight="1" x14ac:dyDescent="0.25">
      <c r="A2805" s="288" t="s">
        <v>2622</v>
      </c>
      <c r="B2805" s="241" t="str">
        <f>HYPERLINK(CONCATENATE($AT$3,BK2805,$AU$3),$AV$3)</f>
        <v>S</v>
      </c>
      <c r="C2805" s="242" t="str">
        <f>HYPERLINK(CONCATENATE($AT$4,BK2805,$AU$4,BL2805),$AV$4)</f>
        <v>A</v>
      </c>
      <c r="D2805" s="243" t="s">
        <v>5187</v>
      </c>
      <c r="E2805" s="244" t="s">
        <v>5183</v>
      </c>
      <c r="F2805" s="269" t="s">
        <v>5180</v>
      </c>
      <c r="G2805" s="273">
        <v>6</v>
      </c>
      <c r="H2805" s="283">
        <v>10500</v>
      </c>
      <c r="I2805" s="246">
        <v>20</v>
      </c>
      <c r="J2805" s="246">
        <v>1</v>
      </c>
      <c r="K2805" s="247" t="s">
        <v>6126</v>
      </c>
      <c r="L2805" s="248">
        <v>25100</v>
      </c>
      <c r="M2805" s="249">
        <f>15*(LEFT(TEXT($L2805,"000000"),2)+(MID(TEXT($L2805,"000000"),3,2)/60)+(RIGHT(TEXT($L2805,"000000"),2)/3600))</f>
        <v>42.75</v>
      </c>
      <c r="N2805" s="286">
        <v>621300</v>
      </c>
      <c r="O2805" s="251">
        <f>IF($N2805&gt;0,(LEFT(TEXT($N2805,"000000"),2)+(MID(TEXT($N2805,"000000"),3,2)/60)+(RIGHT(TEXT($N2805,"000000"),2)/3600)),-(MID(TEXT($N2805,"000000"),2,2)+(MID(TEXT($N2805,"000000"),4,2)/60)+(RIGHT(TEXT($N2805,"000000"),2)/3600)))</f>
        <v>62.216666666666669</v>
      </c>
      <c r="P2805" s="252" t="s">
        <v>49</v>
      </c>
      <c r="Q2805" s="253"/>
      <c r="R2805" s="277" t="s">
        <v>3293</v>
      </c>
      <c r="S2805" s="272" t="s">
        <v>3293</v>
      </c>
      <c r="T2805" s="273"/>
      <c r="U2805" s="274"/>
      <c r="V2805" s="280"/>
      <c r="W2805" s="244"/>
      <c r="X2805" s="244"/>
      <c r="Y2805" s="362"/>
      <c r="Z2805" s="257">
        <f>altaz(J2000_Bas,$O2805,$M2805,DecLat,DecLong,1)</f>
        <v>16.012192386380445</v>
      </c>
      <c r="AA2805" s="257">
        <f>altaz((J2000_Bas+(2*0.04167)),$O2805,$M2805,DecLat,DecLong,1)</f>
        <v>28.614971793357007</v>
      </c>
      <c r="AB2805" s="257">
        <f>altaz((J2000_Bas+(4*0.04167)),$O2805,$M2805,DecLat,DecLong,1)</f>
        <v>42.511187834995553</v>
      </c>
      <c r="AC2805" s="257">
        <f>altaz((J2000_Bas+(6*0.04167)),$O2805,$M2805,DecLat,DecLong,1)</f>
        <v>54.415080261643197</v>
      </c>
      <c r="AD2805" s="258">
        <f>1+ transit((J2000_Bas-1),$O2805,$M2805,DecLat,DecLong)/360 + (GMTOffset/24) + (IF(DST="Y", 1, 0)/24)</f>
        <v>1.111649948754708</v>
      </c>
      <c r="AE2805" s="259">
        <f>DATE(2001,9,21)+(M2805/360)*365 - (360*((DecLong/360)- (GMTOffset/24) ))</f>
        <v>37203.34375</v>
      </c>
      <c r="AF2805" s="260">
        <f>IF(DecLat&gt;0,IF((90 - (DecLat-O2805))&gt;90, (90 - (O2805-DecLat)), (90 - (DecLat-O2805))),IF((90 + (DecLat-O2805))&gt;90, (90 + (O2805-DecLat)), (90 + (DecLat-O2805))))</f>
        <v>58.783333333333331</v>
      </c>
      <c r="AG2805" s="257">
        <f>angularseperation(MoonRA,MoonDec,$M2805,$O2805)</f>
        <v>140.73664920643978</v>
      </c>
      <c r="AH2805" s="261">
        <f ca="1">MIN(100,IF($O$5&gt;80,0+30*($AG2805/100),IF($O$5&gt;70,0+50*($AG2805/100),IF($O$5&gt;60,5+50*($AG2805/100),IF($O$5&gt;50,10+60*($AG2805/100),IF($O$5&gt;40,15+70*($AG2805/100),IF($O$5&gt;30,20+70*($AG2805/100),IF($O$5&gt;20,40+55*($AG2805/100),(80+(20-$O$5)+30*($AG2805/100))))))))))</f>
        <v>100</v>
      </c>
      <c r="AI2805" s="263"/>
      <c r="AJ2805" s="263"/>
      <c r="AK2805" s="263"/>
      <c r="AL2805" s="263"/>
      <c r="AM2805" s="264"/>
      <c r="AN2805" s="263"/>
      <c r="AO2805" s="263"/>
      <c r="AP2805" s="265"/>
      <c r="AQ2805" s="265"/>
      <c r="AR2805" s="285"/>
      <c r="AS2805" s="263"/>
      <c r="AT2805" s="263"/>
      <c r="AU2805" s="263"/>
      <c r="AV2805" s="264"/>
      <c r="AW2805" s="263"/>
      <c r="AX2805" s="263"/>
      <c r="AY2805" s="263">
        <v>664</v>
      </c>
      <c r="AZ2805" s="263"/>
      <c r="BA2805" s="263"/>
      <c r="BB2805" s="263">
        <v>196</v>
      </c>
      <c r="BC2805" s="263"/>
      <c r="BD2805" s="264"/>
      <c r="BE2805" s="263"/>
      <c r="BF2805" s="263"/>
      <c r="BG2805" s="263"/>
      <c r="BH2805" s="263"/>
      <c r="BI2805" s="263"/>
      <c r="BJ2805" s="404">
        <f>altaz(J2000_Bas,$O2805,$M2805,DecLat,DecLong,2)</f>
        <v>25.661561934831241</v>
      </c>
      <c r="BK2805" s="378" t="s">
        <v>2622</v>
      </c>
      <c r="BL2805" s="379">
        <f>IF((2*G2805)/60&lt;0.2,0.2,(2*G2805)/60)</f>
        <v>0.2</v>
      </c>
      <c r="BM2805" s="380">
        <f>MOD((50000+AD2805-$B$3+(0/24)),1)</f>
        <v>0.32701687845838023</v>
      </c>
      <c r="BN2805" s="381"/>
      <c r="BO2805" s="382">
        <v>2796</v>
      </c>
    </row>
    <row r="2806" spans="1:67" s="24" customFormat="1" ht="15" customHeight="1" x14ac:dyDescent="0.25">
      <c r="A2806" s="288" t="s">
        <v>2623</v>
      </c>
      <c r="B2806" s="241" t="str">
        <f>HYPERLINK(CONCATENATE($AT$3,BK2806,$AU$3),$AV$3)</f>
        <v>S</v>
      </c>
      <c r="C2806" s="242" t="str">
        <f>HYPERLINK(CONCATENATE($AT$4,BK2806,$AU$4,BL2806),$AV$4)</f>
        <v>A</v>
      </c>
      <c r="D2806" s="243" t="s">
        <v>5187</v>
      </c>
      <c r="E2806" s="244" t="s">
        <v>5183</v>
      </c>
      <c r="F2806" s="269" t="s">
        <v>5180</v>
      </c>
      <c r="G2806" s="276">
        <v>11</v>
      </c>
      <c r="H2806" s="283">
        <v>7500</v>
      </c>
      <c r="I2806" s="246">
        <v>24</v>
      </c>
      <c r="J2806" s="246">
        <v>2</v>
      </c>
      <c r="K2806" s="247" t="s">
        <v>6339</v>
      </c>
      <c r="L2806" s="248">
        <v>25000</v>
      </c>
      <c r="M2806" s="249">
        <f>15*(LEFT(TEXT($L2806,"000000"),2)+(MID(TEXT($L2806,"000000"),3,2)/60)+(RIGHT(TEXT($L2806,"000000"),2)/3600))</f>
        <v>42.5</v>
      </c>
      <c r="N2806" s="286">
        <v>594300</v>
      </c>
      <c r="O2806" s="251">
        <f>IF($N2806&gt;0,(LEFT(TEXT($N2806,"000000"),2)+(MID(TEXT($N2806,"000000"),3,2)/60)+(RIGHT(TEXT($N2806,"000000"),2)/3600)),-(MID(TEXT($N2806,"000000"),2,2)+(MID(TEXT($N2806,"000000"),4,2)/60)+(RIGHT(TEXT($N2806,"000000"),2)/3600)))</f>
        <v>59.716666666666669</v>
      </c>
      <c r="P2806" s="252" t="s">
        <v>49</v>
      </c>
      <c r="Q2806" s="253"/>
      <c r="R2806" s="277" t="s">
        <v>3293</v>
      </c>
      <c r="S2806" s="272" t="s">
        <v>3293</v>
      </c>
      <c r="T2806" s="273"/>
      <c r="U2806" s="274"/>
      <c r="V2806" s="280"/>
      <c r="W2806" s="244"/>
      <c r="X2806" s="244"/>
      <c r="Y2806" s="362"/>
      <c r="Z2806" s="257">
        <f>altaz(J2000_Bas,$O2806,$M2806,DecLat,DecLong,1)</f>
        <v>14.590340111392349</v>
      </c>
      <c r="AA2806" s="257">
        <f>altaz((J2000_Bas+(2*0.04167)),$O2806,$M2806,DecLat,DecLong,1)</f>
        <v>28.15131330818712</v>
      </c>
      <c r="AB2806" s="257">
        <f>altaz((J2000_Bas+(4*0.04167)),$O2806,$M2806,DecLat,DecLong,1)</f>
        <v>43.189279509229578</v>
      </c>
      <c r="AC2806" s="257">
        <f>altaz((J2000_Bas+(6*0.04167)),$O2806,$M2806,DecLat,DecLong,1)</f>
        <v>56.351306345749272</v>
      </c>
      <c r="AD2806" s="258">
        <f>1+ transit((J2000_Bas-1),$O2806,$M2806,DecLat,DecLong)/360 + (GMTOffset/24) + (IF(DST="Y", 1, 0)/24)</f>
        <v>1.1109555043797081</v>
      </c>
      <c r="AE2806" s="259">
        <f>DATE(2001,9,21)+(M2806/360)*365 - (360*((DecLong/360)- (GMTOffset/24) ))</f>
        <v>37203.090277777781</v>
      </c>
      <c r="AF2806" s="260">
        <f>IF(DecLat&gt;0,IF((90 - (DecLat-O2806))&gt;90, (90 - (O2806-DecLat)), (90 - (DecLat-O2806))),IF((90 + (DecLat-O2806))&gt;90, (90 + (O2806-DecLat)), (90 + (DecLat-O2806))))</f>
        <v>61.283333333333331</v>
      </c>
      <c r="AG2806" s="257">
        <f>angularseperation(MoonRA,MoonDec,$M2806,$O2806)</f>
        <v>142.57263842082949</v>
      </c>
      <c r="AH2806" s="261">
        <f ca="1">MIN(100,IF($O$5&gt;80,0+30*($AG2806/100),IF($O$5&gt;70,0+50*($AG2806/100),IF($O$5&gt;60,5+50*($AG2806/100),IF($O$5&gt;50,10+60*($AG2806/100),IF($O$5&gt;40,15+70*($AG2806/100),IF($O$5&gt;30,20+70*($AG2806/100),IF($O$5&gt;20,40+55*($AG2806/100),(80+(20-$O$5)+30*($AG2806/100))))))))))</f>
        <v>100</v>
      </c>
      <c r="AI2806" s="263"/>
      <c r="AJ2806" s="263"/>
      <c r="AK2806" s="263"/>
      <c r="AL2806" s="263"/>
      <c r="AM2806" s="264"/>
      <c r="AN2806" s="263"/>
      <c r="AO2806" s="263"/>
      <c r="AP2806" s="265"/>
      <c r="AQ2806" s="265"/>
      <c r="AR2806" s="285"/>
      <c r="AS2806" s="263"/>
      <c r="AT2806" s="263"/>
      <c r="AU2806" s="263"/>
      <c r="AV2806" s="264"/>
      <c r="AW2806" s="263"/>
      <c r="AX2806" s="263"/>
      <c r="AY2806" s="263"/>
      <c r="AZ2806" s="263"/>
      <c r="BA2806" s="263"/>
      <c r="BB2806" s="263">
        <v>198</v>
      </c>
      <c r="BC2806" s="263"/>
      <c r="BD2806" s="264"/>
      <c r="BE2806" s="263"/>
      <c r="BF2806" s="263"/>
      <c r="BG2806" s="263"/>
      <c r="BH2806" s="263"/>
      <c r="BI2806" s="263"/>
      <c r="BJ2806" s="404">
        <f>altaz(J2000_Bas,$O2806,$M2806,DecLat,DecLong,2)</f>
        <v>27.797202130520965</v>
      </c>
      <c r="BK2806" s="378" t="s">
        <v>2623</v>
      </c>
      <c r="BL2806" s="379">
        <f>IF((2*G2806)/60&lt;0.2,0.2,(2*G2806)/60)</f>
        <v>0.36666666666666664</v>
      </c>
      <c r="BM2806" s="380">
        <f>MOD((50000+AD2806-$B$3+(0/24)),1)</f>
        <v>0.32632243408443173</v>
      </c>
      <c r="BN2806" s="381"/>
      <c r="BO2806" s="382">
        <v>2797</v>
      </c>
    </row>
    <row r="2807" spans="1:67" s="24" customFormat="1" ht="15" customHeight="1" x14ac:dyDescent="0.25">
      <c r="A2807" s="288" t="s">
        <v>2624</v>
      </c>
      <c r="B2807" s="241" t="str">
        <f>HYPERLINK(CONCATENATE($AT$3,BK2807,$AU$3),$AV$3)</f>
        <v>S</v>
      </c>
      <c r="C2807" s="242" t="str">
        <f>HYPERLINK(CONCATENATE($AT$4,BK2807,$AU$4,BL2807),$AV$4)</f>
        <v>A</v>
      </c>
      <c r="D2807" s="243" t="s">
        <v>5187</v>
      </c>
      <c r="E2807" s="244" t="s">
        <v>5181</v>
      </c>
      <c r="F2807" s="269" t="s">
        <v>5239</v>
      </c>
      <c r="G2807" s="273">
        <v>6</v>
      </c>
      <c r="H2807" s="283">
        <v>3600</v>
      </c>
      <c r="I2807" s="279">
        <v>6</v>
      </c>
      <c r="J2807" s="246">
        <v>4</v>
      </c>
      <c r="K2807" s="247" t="s">
        <v>5238</v>
      </c>
      <c r="L2807" s="248">
        <v>31101</v>
      </c>
      <c r="M2807" s="249">
        <f>15*(LEFT(TEXT($L2807,"000000"),2)+(MID(TEXT($L2807,"000000"),3,2)/60)+(RIGHT(TEXT($L2807,"000000"),2)/3600))</f>
        <v>47.754166666666663</v>
      </c>
      <c r="N2807" s="250">
        <v>624745</v>
      </c>
      <c r="O2807" s="251">
        <f>IF($N2807&gt;0,(LEFT(TEXT($N2807,"000000"),2)+(MID(TEXT($N2807,"000000"),3,2)/60)+(RIGHT(TEXT($N2807,"000000"),2)/3600)),-(MID(TEXT($N2807,"000000"),2,2)+(MID(TEXT($N2807,"000000"),4,2)/60)+(RIGHT(TEXT($N2807,"000000"),2)/3600)))</f>
        <v>62.795833333333334</v>
      </c>
      <c r="P2807" s="252" t="s">
        <v>49</v>
      </c>
      <c r="Q2807" s="253"/>
      <c r="R2807" s="247" t="s">
        <v>2625</v>
      </c>
      <c r="S2807" s="272" t="s">
        <v>3293</v>
      </c>
      <c r="T2807" s="273"/>
      <c r="U2807" s="274"/>
      <c r="V2807" s="280"/>
      <c r="W2807" s="244"/>
      <c r="X2807" s="244"/>
      <c r="Y2807" s="362"/>
      <c r="Z2807" s="257">
        <f>altaz(J2000_Bas,$O2807,$M2807,DecLat,DecLong,1)</f>
        <v>14.587159941086288</v>
      </c>
      <c r="AA2807" s="257">
        <f>altaz((J2000_Bas+(2*0.04167)),$O2807,$M2807,DecLat,DecLong,1)</f>
        <v>26.530019695575159</v>
      </c>
      <c r="AB2807" s="257">
        <f>altaz((J2000_Bas+(4*0.04167)),$O2807,$M2807,DecLat,DecLong,1)</f>
        <v>40.132104907925971</v>
      </c>
      <c r="AC2807" s="257">
        <f>altaz((J2000_Bas+(6*0.04167)),$O2807,$M2807,DecLat,DecLong,1)</f>
        <v>52.390958404789195</v>
      </c>
      <c r="AD2807" s="258">
        <f>1+ transit((J2000_Bas-1),$O2807,$M2807,DecLat,DecLong)/360 + (GMTOffset/24) + (IF(DST="Y", 1, 0)/24)</f>
        <v>1.1255504103276246</v>
      </c>
      <c r="AE2807" s="259">
        <f>DATE(2001,9,21)+(M2807/360)*365 - (360*((DecLong/360)- (GMTOffset/24) ))</f>
        <v>37208.41741898148</v>
      </c>
      <c r="AF2807" s="260">
        <f>IF(DecLat&gt;0,IF((90 - (DecLat-O2807))&gt;90, (90 - (O2807-DecLat)), (90 - (DecLat-O2807))),IF((90 + (DecLat-O2807))&gt;90, (90 + (O2807-DecLat)), (90 + (DecLat-O2807))))</f>
        <v>58.204166666666666</v>
      </c>
      <c r="AG2807" s="257">
        <f>angularseperation(MoonRA,MoonDec,$M2807,$O2807)</f>
        <v>141.59817872150356</v>
      </c>
      <c r="AH2807" s="261">
        <f ca="1">MIN(100,IF($O$5&gt;80,0+30*($AG2807/100),IF($O$5&gt;70,0+50*($AG2807/100),IF($O$5&gt;60,5+50*($AG2807/100),IF($O$5&gt;50,10+60*($AG2807/100),IF($O$5&gt;40,15+70*($AG2807/100),IF($O$5&gt;30,20+70*($AG2807/100),IF($O$5&gt;20,40+55*($AG2807/100),(80+(20-$O$5)+30*($AG2807/100))))))))))</f>
        <v>100</v>
      </c>
      <c r="AI2807" s="262"/>
      <c r="AJ2807" s="262"/>
      <c r="AK2807" s="262"/>
      <c r="AL2807" s="263"/>
      <c r="AM2807" s="264"/>
      <c r="AN2807" s="263"/>
      <c r="AO2807" s="263"/>
      <c r="AP2807" s="265"/>
      <c r="AQ2807" s="266"/>
      <c r="AR2807" s="267"/>
      <c r="AS2807" s="263"/>
      <c r="AT2807" s="263"/>
      <c r="AU2807" s="263"/>
      <c r="AV2807" s="264"/>
      <c r="AW2807" s="263"/>
      <c r="AX2807" s="263"/>
      <c r="AY2807" s="263"/>
      <c r="AZ2807" s="263"/>
      <c r="BA2807" s="263"/>
      <c r="BB2807" s="263">
        <v>200</v>
      </c>
      <c r="BC2807" s="263"/>
      <c r="BD2807" s="264"/>
      <c r="BE2807" s="263"/>
      <c r="BF2807" s="263"/>
      <c r="BG2807" s="263">
        <v>15</v>
      </c>
      <c r="BH2807" s="263"/>
      <c r="BI2807" s="263"/>
      <c r="BJ2807" s="404">
        <f>altaz(J2000_Bas,$O2807,$M2807,DecLat,DecLong,2)</f>
        <v>23.683935545190703</v>
      </c>
      <c r="BK2807" s="378" t="s">
        <v>2624</v>
      </c>
      <c r="BL2807" s="379">
        <f>IF((2*G2807)/60&lt;0.2,0.2,(2*G2807)/60)</f>
        <v>0.2</v>
      </c>
      <c r="BM2807" s="380">
        <f>MOD((50000+AD2807-$B$3+(0/24)),1)</f>
        <v>0.34091734002868179</v>
      </c>
      <c r="BN2807" s="381" t="s">
        <v>8647</v>
      </c>
      <c r="BO2807" s="382">
        <v>2798</v>
      </c>
    </row>
    <row r="2808" spans="1:67" s="24" customFormat="1" ht="15" customHeight="1" x14ac:dyDescent="0.25">
      <c r="A2808" s="288" t="s">
        <v>2626</v>
      </c>
      <c r="B2808" s="241" t="str">
        <f>HYPERLINK(CONCATENATE($AT$3,BK2808,$AU$3),$AV$3)</f>
        <v>S</v>
      </c>
      <c r="C2808" s="242" t="str">
        <f>HYPERLINK(CONCATENATE($AT$4,BK2808,$AU$4,BL2808),$AV$4)</f>
        <v>A</v>
      </c>
      <c r="D2808" s="243" t="s">
        <v>5187</v>
      </c>
      <c r="E2808" s="244" t="s">
        <v>5183</v>
      </c>
      <c r="F2808" s="269" t="s">
        <v>9158</v>
      </c>
      <c r="G2808" s="276">
        <v>14</v>
      </c>
      <c r="H2808" s="283">
        <v>10000</v>
      </c>
      <c r="I2808" s="246">
        <v>40</v>
      </c>
      <c r="J2808" s="246">
        <v>2</v>
      </c>
      <c r="K2808" s="247" t="s">
        <v>6340</v>
      </c>
      <c r="L2808" s="248">
        <v>30300</v>
      </c>
      <c r="M2808" s="249">
        <f>15*(LEFT(TEXT($L2808,"000000"),2)+(MID(TEXT($L2808,"000000"),3,2)/60)+(RIGHT(TEXT($L2808,"000000"),2)/3600))</f>
        <v>45.75</v>
      </c>
      <c r="N2808" s="286">
        <v>602800</v>
      </c>
      <c r="O2808" s="251">
        <f>IF($N2808&gt;0,(LEFT(TEXT($N2808,"000000"),2)+(MID(TEXT($N2808,"000000"),3,2)/60)+(RIGHT(TEXT($N2808,"000000"),2)/3600)),-(MID(TEXT($N2808,"000000"),2,2)+(MID(TEXT($N2808,"000000"),4,2)/60)+(RIGHT(TEXT($N2808,"000000"),2)/3600)))</f>
        <v>60.466666666666669</v>
      </c>
      <c r="P2808" s="252" t="s">
        <v>49</v>
      </c>
      <c r="Q2808" s="253"/>
      <c r="R2808" s="277" t="s">
        <v>3738</v>
      </c>
      <c r="S2808" s="272" t="s">
        <v>3293</v>
      </c>
      <c r="T2808" s="273"/>
      <c r="U2808" s="274"/>
      <c r="V2808" s="280"/>
      <c r="W2808" s="244"/>
      <c r="X2808" s="244"/>
      <c r="Y2808" s="362"/>
      <c r="Z2808" s="257">
        <f>altaz(J2000_Bas,$O2808,$M2808,DecLat,DecLong,1)</f>
        <v>13.79640166268358</v>
      </c>
      <c r="AA2808" s="257">
        <f>altaz((J2000_Bas+(2*0.04167)),$O2808,$M2808,DecLat,DecLong,1)</f>
        <v>26.782514701265036</v>
      </c>
      <c r="AB2808" s="257">
        <f>altaz((J2000_Bas+(4*0.04167)),$O2808,$M2808,DecLat,DecLong,1)</f>
        <v>41.457771736280691</v>
      </c>
      <c r="AC2808" s="257">
        <f>altaz((J2000_Bas+(6*0.04167)),$O2808,$M2808,DecLat,DecLong,1)</f>
        <v>54.675162113525047</v>
      </c>
      <c r="AD2808" s="258">
        <f>1+ transit((J2000_Bas-1),$O2808,$M2808,DecLat,DecLong)/360 + (GMTOffset/24) + (IF(DST="Y", 1, 0)/24)</f>
        <v>1.1199832812547079</v>
      </c>
      <c r="AE2808" s="259">
        <f>DATE(2001,9,21)+(M2808/360)*365 - (360*((DecLong/360)- (GMTOffset/24) ))</f>
        <v>37206.385416666664</v>
      </c>
      <c r="AF2808" s="260">
        <f>IF(DecLat&gt;0,IF((90 - (DecLat-O2808))&gt;90, (90 - (O2808-DecLat)), (90 - (DecLat-O2808))),IF((90 + (DecLat-O2808))&gt;90, (90 + (O2808-DecLat)), (90 + (DecLat-O2808))))</f>
        <v>60.533333333333331</v>
      </c>
      <c r="AG2808" s="257">
        <f>angularseperation(MoonRA,MoonDec,$M2808,$O2808)</f>
        <v>143.00039991592536</v>
      </c>
      <c r="AH2808" s="261">
        <f ca="1">MIN(100,IF($O$5&gt;80,0+30*($AG2808/100),IF($O$5&gt;70,0+50*($AG2808/100),IF($O$5&gt;60,5+50*($AG2808/100),IF($O$5&gt;50,10+60*($AG2808/100),IF($O$5&gt;40,15+70*($AG2808/100),IF($O$5&gt;30,20+70*($AG2808/100),IF($O$5&gt;20,40+55*($AG2808/100),(80+(20-$O$5)+30*($AG2808/100))))))))))</f>
        <v>100</v>
      </c>
      <c r="AI2808" s="263"/>
      <c r="AJ2808" s="263">
        <v>1871</v>
      </c>
      <c r="AK2808" s="263"/>
      <c r="AL2808" s="263"/>
      <c r="AM2808" s="264"/>
      <c r="AN2808" s="263"/>
      <c r="AO2808" s="263"/>
      <c r="AP2808" s="265"/>
      <c r="AQ2808" s="265"/>
      <c r="AR2808" s="285"/>
      <c r="AS2808" s="263"/>
      <c r="AT2808" s="263"/>
      <c r="AU2808" s="263"/>
      <c r="AV2808" s="264"/>
      <c r="AW2808" s="263"/>
      <c r="AX2808" s="263"/>
      <c r="AY2808" s="263"/>
      <c r="AZ2808" s="263"/>
      <c r="BA2808" s="263"/>
      <c r="BB2808" s="263">
        <v>201</v>
      </c>
      <c r="BC2808" s="263"/>
      <c r="BD2808" s="264"/>
      <c r="BE2808" s="263"/>
      <c r="BF2808" s="263"/>
      <c r="BG2808" s="263"/>
      <c r="BH2808" s="263"/>
      <c r="BI2808" s="263"/>
      <c r="BJ2808" s="404">
        <f>altaz(J2000_Bas,$O2808,$M2808,DecLat,DecLong,2)</f>
        <v>26.147686784376592</v>
      </c>
      <c r="BK2808" s="378" t="s">
        <v>2626</v>
      </c>
      <c r="BL2808" s="379">
        <f>IF((2*G2808)/60&lt;0.2,0.2,(2*G2808)/60)</f>
        <v>0.46666666666666667</v>
      </c>
      <c r="BM2808" s="380">
        <f>MOD((50000+AD2808-$B$3+(0/24)),1)</f>
        <v>0.33535021096031414</v>
      </c>
      <c r="BN2808" s="381"/>
      <c r="BO2808" s="382">
        <v>2799</v>
      </c>
    </row>
    <row r="2809" spans="1:67" s="24" customFormat="1" ht="15" customHeight="1" x14ac:dyDescent="0.25">
      <c r="A2809" s="288" t="s">
        <v>2627</v>
      </c>
      <c r="B2809" s="241" t="str">
        <f>HYPERLINK(CONCATENATE($AT$3,BK2809,$AU$3),$AV$3)</f>
        <v>S</v>
      </c>
      <c r="C2809" s="242" t="str">
        <f>HYPERLINK(CONCATENATE($AT$4,BK2809,$AU$4,BL2809),$AV$4)</f>
        <v>A</v>
      </c>
      <c r="D2809" s="243" t="s">
        <v>5187</v>
      </c>
      <c r="E2809" s="244" t="s">
        <v>5183</v>
      </c>
      <c r="F2809" s="269" t="s">
        <v>5180</v>
      </c>
      <c r="G2809" s="276">
        <v>180</v>
      </c>
      <c r="H2809" s="283">
        <v>1200</v>
      </c>
      <c r="I2809" s="246">
        <v>60</v>
      </c>
      <c r="J2809" s="246">
        <v>3</v>
      </c>
      <c r="K2809" s="247" t="s">
        <v>9334</v>
      </c>
      <c r="L2809" s="248">
        <v>31854</v>
      </c>
      <c r="M2809" s="249">
        <f>15*(LEFT(TEXT($L2809,"000000"),2)+(MID(TEXT($L2809,"000000"),3,2)/60)+(RIGHT(TEXT($L2809,"000000"),2)/3600))</f>
        <v>49.725000000000001</v>
      </c>
      <c r="N2809" s="250">
        <v>593800</v>
      </c>
      <c r="O2809" s="251">
        <f>IF($N2809&gt;0,(LEFT(TEXT($N2809,"000000"),2)+(MID(TEXT($N2809,"000000"),3,2)/60)+(RIGHT(TEXT($N2809,"000000"),2)/3600)),-(MID(TEXT($N2809,"000000"),2,2)+(MID(TEXT($N2809,"000000"),4,2)/60)+(RIGHT(TEXT($N2809,"000000"),2)/3600)))</f>
        <v>59.633333333333333</v>
      </c>
      <c r="P2809" s="252" t="s">
        <v>226</v>
      </c>
      <c r="Q2809" s="253"/>
      <c r="R2809" s="247" t="s">
        <v>3293</v>
      </c>
      <c r="S2809" s="272" t="s">
        <v>5240</v>
      </c>
      <c r="T2809" s="273"/>
      <c r="U2809" s="274"/>
      <c r="V2809" s="280"/>
      <c r="W2809" s="244"/>
      <c r="X2809" s="244"/>
      <c r="Y2809" s="362"/>
      <c r="Z2809" s="257">
        <f>altaz(J2000_Bas,$O2809,$M2809,DecLat,DecLong,1)</f>
        <v>11.759845964164768</v>
      </c>
      <c r="AA2809" s="257">
        <f>altaz((J2000_Bas+(2*0.04167)),$O2809,$M2809,DecLat,DecLong,1)</f>
        <v>24.638059564671654</v>
      </c>
      <c r="AB2809" s="257">
        <f>altaz((J2000_Bas+(4*0.04167)),$O2809,$M2809,DecLat,DecLong,1)</f>
        <v>39.595765425617444</v>
      </c>
      <c r="AC2809" s="257">
        <f>altaz((J2000_Bas+(6*0.04167)),$O2809,$M2809,DecLat,DecLong,1)</f>
        <v>53.69274082550055</v>
      </c>
      <c r="AD2809" s="258">
        <f>1+ transit((J2000_Bas-1),$O2809,$M2809,DecLat,DecLong)/360 + (GMTOffset/24) + (IF(DST="Y", 1, 0)/24)</f>
        <v>1.131024946817208</v>
      </c>
      <c r="AE2809" s="259">
        <f>DATE(2001,9,21)+(M2809/360)*365 - (360*((DecLong/360)- (GMTOffset/24) ))</f>
        <v>37210.415625000001</v>
      </c>
      <c r="AF2809" s="260">
        <f>IF(DecLat&gt;0,IF((90 - (DecLat-O2809))&gt;90, (90 - (O2809-DecLat)), (90 - (DecLat-O2809))),IF((90 + (DecLat-O2809))&gt;90, (90 + (O2809-DecLat)), (90 + (DecLat-O2809))))</f>
        <v>61.366666666666667</v>
      </c>
      <c r="AG2809" s="257">
        <f>angularseperation(MoonRA,MoonDec,$M2809,$O2809)</f>
        <v>144.79238098804049</v>
      </c>
      <c r="AH2809" s="261">
        <f ca="1">MIN(100,IF($O$5&gt;80,0+30*($AG2809/100),IF($O$5&gt;70,0+50*($AG2809/100),IF($O$5&gt;60,5+50*($AG2809/100),IF($O$5&gt;50,10+60*($AG2809/100),IF($O$5&gt;40,15+70*($AG2809/100),IF($O$5&gt;30,20+70*($AG2809/100),IF($O$5&gt;20,40+55*($AG2809/100),(80+(20-$O$5)+30*($AG2809/100))))))))))</f>
        <v>100</v>
      </c>
      <c r="AI2809" s="262"/>
      <c r="AJ2809" s="262"/>
      <c r="AK2809" s="262"/>
      <c r="AL2809" s="263"/>
      <c r="AM2809" s="264"/>
      <c r="AN2809" s="263"/>
      <c r="AO2809" s="263"/>
      <c r="AP2809" s="265"/>
      <c r="AQ2809" s="266"/>
      <c r="AR2809" s="267"/>
      <c r="AS2809" s="263"/>
      <c r="AT2809" s="263"/>
      <c r="AU2809" s="263"/>
      <c r="AV2809" s="264"/>
      <c r="AW2809" s="263"/>
      <c r="AX2809" s="263"/>
      <c r="AY2809" s="263">
        <v>677</v>
      </c>
      <c r="AZ2809" s="263"/>
      <c r="BA2809" s="263"/>
      <c r="BB2809" s="263">
        <v>202</v>
      </c>
      <c r="BC2809" s="263"/>
      <c r="BD2809" s="264"/>
      <c r="BE2809" s="263"/>
      <c r="BF2809" s="263"/>
      <c r="BG2809" s="263"/>
      <c r="BH2809" s="263"/>
      <c r="BI2809" s="263">
        <v>16</v>
      </c>
      <c r="BJ2809" s="404">
        <f>altaz(J2000_Bas,$O2809,$M2809,DecLat,DecLong,2)</f>
        <v>25.434847062924963</v>
      </c>
      <c r="BK2809" s="378" t="s">
        <v>2627</v>
      </c>
      <c r="BL2809" s="379">
        <f>IF((2*G2809)/60&lt;0.2,0.2,(2*G2809)/60)</f>
        <v>6</v>
      </c>
      <c r="BM2809" s="380">
        <f>MOD((50000+AD2809-$B$3+(0/24)),1)</f>
        <v>0.34639187651919201</v>
      </c>
      <c r="BN2809" s="381"/>
      <c r="BO2809" s="382">
        <v>2800</v>
      </c>
    </row>
    <row r="2810" spans="1:67" s="24" customFormat="1" ht="15" customHeight="1" x14ac:dyDescent="0.25">
      <c r="A2810" s="288" t="s">
        <v>2628</v>
      </c>
      <c r="B2810" s="241" t="str">
        <f>HYPERLINK(CONCATENATE($AT$3,BK2810,$AU$3),$AV$3)</f>
        <v>S</v>
      </c>
      <c r="C2810" s="242" t="str">
        <f>HYPERLINK(CONCATENATE($AT$4,BK2810,$AU$4,BL2810),$AV$4)</f>
        <v>A</v>
      </c>
      <c r="D2810" s="243" t="s">
        <v>5187</v>
      </c>
      <c r="E2810" s="244" t="s">
        <v>5183</v>
      </c>
      <c r="F2810" s="269" t="s">
        <v>5180</v>
      </c>
      <c r="G2810" s="276">
        <v>120</v>
      </c>
      <c r="H2810" s="283">
        <v>5500</v>
      </c>
      <c r="I2810" s="246">
        <v>200</v>
      </c>
      <c r="J2810" s="246">
        <v>2</v>
      </c>
      <c r="K2810" s="247" t="s">
        <v>6294</v>
      </c>
      <c r="L2810" s="248">
        <v>32259</v>
      </c>
      <c r="M2810" s="249">
        <f>15*(LEFT(TEXT($L2810,"000000"),2)+(MID(TEXT($L2810,"000000"),3,2)/60)+(RIGHT(TEXT($L2810,"000000"),2)/3600))</f>
        <v>50.74583333333333</v>
      </c>
      <c r="N2810" s="250">
        <v>544942</v>
      </c>
      <c r="O2810" s="251">
        <f>IF($N2810&gt;0,(LEFT(TEXT($N2810,"000000"),2)+(MID(TEXT($N2810,"000000"),3,2)/60)+(RIGHT(TEXT($N2810,"000000"),2)/3600)),-(MID(TEXT($N2810,"000000"),2,2)+(MID(TEXT($N2810,"000000"),4,2)/60)+(RIGHT(TEXT($N2810,"000000"),2)/3600)))</f>
        <v>54.828333333333333</v>
      </c>
      <c r="P2810" s="252" t="s">
        <v>43</v>
      </c>
      <c r="Q2810" s="253"/>
      <c r="R2810" s="277" t="s">
        <v>3293</v>
      </c>
      <c r="S2810" s="272" t="s">
        <v>3293</v>
      </c>
      <c r="T2810" s="273"/>
      <c r="U2810" s="274"/>
      <c r="V2810" s="280"/>
      <c r="W2810" s="244"/>
      <c r="X2810" s="244"/>
      <c r="Y2810" s="362"/>
      <c r="Z2810" s="257">
        <f>altaz(J2000_Bas,$O2810,$M2810,DecLat,DecLong,1)</f>
        <v>8.0257579869936233</v>
      </c>
      <c r="AA2810" s="257">
        <f>altaz((J2000_Bas+(2*0.04167)),$O2810,$M2810,DecLat,DecLong,1)</f>
        <v>22.389763814971339</v>
      </c>
      <c r="AB2810" s="257">
        <f>altaz((J2000_Bas+(4*0.04167)),$O2810,$M2810,DecLat,DecLong,1)</f>
        <v>39.27156469605152</v>
      </c>
      <c r="AC2810" s="257">
        <f>altaz((J2000_Bas+(6*0.04167)),$O2810,$M2810,DecLat,DecLong,1)</f>
        <v>55.891049468365104</v>
      </c>
      <c r="AD2810" s="258">
        <f>1+ transit((J2000_Bas-1),$O2810,$M2810,DecLat,DecLong)/360 + (GMTOffset/24) + (IF(DST="Y", 1, 0)/24)</f>
        <v>1.1338605946817915</v>
      </c>
      <c r="AE2810" s="259">
        <f>DATE(2001,9,21)+(M2810/360)*365 - (360*((DecLong/360)- (GMTOffset/24) ))</f>
        <v>37211.450636574074</v>
      </c>
      <c r="AF2810" s="260">
        <f>IF(DecLat&gt;0,IF((90 - (DecLat-O2810))&gt;90, (90 - (O2810-DecLat)), (90 - (DecLat-O2810))),IF((90 + (DecLat-O2810))&gt;90, (90 + (O2810-DecLat)), (90 + (DecLat-O2810))))</f>
        <v>66.171666666666667</v>
      </c>
      <c r="AG2810" s="257">
        <f>angularseperation(MoonRA,MoonDec,$M2810,$O2810)</f>
        <v>149.15336248816521</v>
      </c>
      <c r="AH2810" s="261">
        <f ca="1">MIN(100,IF($O$5&gt;80,0+30*($AG2810/100),IF($O$5&gt;70,0+50*($AG2810/100),IF($O$5&gt;60,5+50*($AG2810/100),IF($O$5&gt;50,10+60*($AG2810/100),IF($O$5&gt;40,15+70*($AG2810/100),IF($O$5&gt;30,20+70*($AG2810/100),IF($O$5&gt;20,40+55*($AG2810/100),(80+(20-$O$5)+30*($AG2810/100))))))))))</f>
        <v>100</v>
      </c>
      <c r="AI2810" s="263"/>
      <c r="AJ2810" s="263"/>
      <c r="AK2810" s="263"/>
      <c r="AL2810" s="263"/>
      <c r="AM2810" s="264"/>
      <c r="AN2810" s="263"/>
      <c r="AO2810" s="263"/>
      <c r="AP2810" s="265"/>
      <c r="AQ2810" s="265"/>
      <c r="AR2810" s="285"/>
      <c r="AS2810" s="263"/>
      <c r="AT2810" s="263"/>
      <c r="AU2810" s="263"/>
      <c r="AV2810" s="264"/>
      <c r="AW2810" s="263"/>
      <c r="AX2810" s="263"/>
      <c r="AY2810" s="263">
        <v>685</v>
      </c>
      <c r="AZ2810" s="263"/>
      <c r="BA2810" s="263"/>
      <c r="BB2810" s="263">
        <v>203</v>
      </c>
      <c r="BC2810" s="263"/>
      <c r="BD2810" s="264"/>
      <c r="BE2810" s="263"/>
      <c r="BF2810" s="263"/>
      <c r="BG2810" s="263"/>
      <c r="BH2810" s="263"/>
      <c r="BI2810" s="263"/>
      <c r="BJ2810" s="404">
        <f>altaz(J2000_Bas,$O2810,$M2810,DecLat,DecLong,2)</f>
        <v>28.555684832861793</v>
      </c>
      <c r="BK2810" s="378" t="s">
        <v>2628</v>
      </c>
      <c r="BL2810" s="379">
        <f>IF((2*G2810)/60&lt;0.2,0.2,(2*G2810)/60)</f>
        <v>4</v>
      </c>
      <c r="BM2810" s="380">
        <f>MOD((50000+AD2810-$B$3+(0/24)),1)</f>
        <v>0.34922752438433236</v>
      </c>
      <c r="BN2810" s="381"/>
      <c r="BO2810" s="382">
        <v>2801</v>
      </c>
    </row>
    <row r="2811" spans="1:67" s="24" customFormat="1" ht="15" customHeight="1" x14ac:dyDescent="0.25">
      <c r="A2811" s="288" t="s">
        <v>2629</v>
      </c>
      <c r="B2811" s="241" t="str">
        <f>HYPERLINK(CONCATENATE($AT$3,BK2811,$AU$3),$AV$3)</f>
        <v>S</v>
      </c>
      <c r="C2811" s="242" t="str">
        <f>HYPERLINK(CONCATENATE($AT$4,BK2811,$AU$4,BL2811),$AV$4)</f>
        <v>A</v>
      </c>
      <c r="D2811" s="243" t="s">
        <v>5187</v>
      </c>
      <c r="E2811" s="244" t="s">
        <v>5183</v>
      </c>
      <c r="F2811" s="269" t="s">
        <v>5180</v>
      </c>
      <c r="G2811" s="276">
        <v>90</v>
      </c>
      <c r="H2811" s="283">
        <v>12000</v>
      </c>
      <c r="I2811" s="246">
        <v>350</v>
      </c>
      <c r="J2811" s="246">
        <v>3</v>
      </c>
      <c r="K2811" s="247" t="s">
        <v>9337</v>
      </c>
      <c r="L2811" s="248">
        <v>35542</v>
      </c>
      <c r="M2811" s="249">
        <f>15*(LEFT(TEXT($L2811,"000000"),2)+(MID(TEXT($L2811,"000000"),3,2)/60)+(RIGHT(TEXT($L2811,"000000"),2)/3600))</f>
        <v>58.924999999999997</v>
      </c>
      <c r="N2811" s="250">
        <v>572600</v>
      </c>
      <c r="O2811" s="251">
        <f>IF($N2811&gt;0,(LEFT(TEXT($N2811,"000000"),2)+(MID(TEXT($N2811,"000000"),3,2)/60)+(RIGHT(TEXT($N2811,"000000"),2)/3600)),-(MID(TEXT($N2811,"000000"),2,2)+(MID(TEXT($N2811,"000000"),4,2)/60)+(RIGHT(TEXT($N2811,"000000"),2)/3600)))</f>
        <v>57.43333333333333</v>
      </c>
      <c r="P2811" s="252" t="s">
        <v>226</v>
      </c>
      <c r="Q2811" s="253" t="s">
        <v>6948</v>
      </c>
      <c r="R2811" s="277" t="s">
        <v>3293</v>
      </c>
      <c r="S2811" s="272" t="s">
        <v>3293</v>
      </c>
      <c r="T2811" s="273"/>
      <c r="U2811" s="274"/>
      <c r="V2811" s="280"/>
      <c r="W2811" s="244"/>
      <c r="X2811" s="244"/>
      <c r="Y2811" s="362"/>
      <c r="Z2811" s="257">
        <f>altaz(J2000_Bas,$O2811,$M2811,DecLat,DecLong,1)</f>
        <v>6.8829976030777313</v>
      </c>
      <c r="AA2811" s="257">
        <f>altaz((J2000_Bas+(2*0.04167)),$O2811,$M2811,DecLat,DecLong,1)</f>
        <v>19.362132907917552</v>
      </c>
      <c r="AB2811" s="257">
        <f>altaz((J2000_Bas+(4*0.04167)),$O2811,$M2811,DecLat,DecLong,1)</f>
        <v>34.809827409895341</v>
      </c>
      <c r="AC2811" s="257">
        <f>altaz((J2000_Bas+(6*0.04167)),$O2811,$M2811,DecLat,DecLong,1)</f>
        <v>50.652432766227939</v>
      </c>
      <c r="AD2811" s="258">
        <f>1+ transit((J2000_Bas-1),$O2811,$M2811,DecLat,DecLong)/360 + (GMTOffset/24) + (IF(DST="Y", 1, 0)/24)</f>
        <v>1.156580499817208</v>
      </c>
      <c r="AE2811" s="259">
        <f>DATE(2001,9,21)+(M2811/360)*365 - (360*((DecLong/360)- (GMTOffset/24) ))</f>
        <v>37219.743402777778</v>
      </c>
      <c r="AF2811" s="260">
        <f>IF(DecLat&gt;0,IF((90 - (DecLat-O2811))&gt;90, (90 - (O2811-DecLat)), (90 - (DecLat-O2811))),IF((90 + (DecLat-O2811))&gt;90, (90 + (O2811-DecLat)), (90 + (DecLat-O2811))))</f>
        <v>63.56666666666667</v>
      </c>
      <c r="AG2811" s="257">
        <f>angularseperation(MoonRA,MoonDec,$M2811,$O2811)</f>
        <v>148.78329522888643</v>
      </c>
      <c r="AH2811" s="261">
        <f ca="1">MIN(100,IF($O$5&gt;80,0+30*($AG2811/100),IF($O$5&gt;70,0+50*($AG2811/100),IF($O$5&gt;60,5+50*($AG2811/100),IF($O$5&gt;50,10+60*($AG2811/100),IF($O$5&gt;40,15+70*($AG2811/100),IF($O$5&gt;30,20+70*($AG2811/100),IF($O$5&gt;20,40+55*($AG2811/100),(80+(20-$O$5)+30*($AG2811/100))))))))))</f>
        <v>100</v>
      </c>
      <c r="AI2811" s="263"/>
      <c r="AJ2811" s="263"/>
      <c r="AK2811" s="263"/>
      <c r="AL2811" s="263"/>
      <c r="AM2811" s="264"/>
      <c r="AN2811" s="263"/>
      <c r="AO2811" s="263"/>
      <c r="AP2811" s="265"/>
      <c r="AQ2811" s="265"/>
      <c r="AR2811" s="285"/>
      <c r="AS2811" s="263"/>
      <c r="AT2811" s="263"/>
      <c r="AU2811" s="263"/>
      <c r="AV2811" s="264"/>
      <c r="AW2811" s="263"/>
      <c r="AX2811" s="263"/>
      <c r="AY2811" s="263">
        <v>689</v>
      </c>
      <c r="AZ2811" s="263"/>
      <c r="BA2811" s="263"/>
      <c r="BB2811" s="263">
        <v>204</v>
      </c>
      <c r="BC2811" s="263"/>
      <c r="BD2811" s="264"/>
      <c r="BE2811" s="263"/>
      <c r="BF2811" s="263"/>
      <c r="BG2811" s="263"/>
      <c r="BH2811" s="263"/>
      <c r="BI2811" s="263">
        <v>22</v>
      </c>
      <c r="BJ2811" s="404">
        <f>altaz(J2000_Bas,$O2811,$M2811,DecLat,DecLong,2)</f>
        <v>23.392760843934202</v>
      </c>
      <c r="BK2811" s="378" t="s">
        <v>2629</v>
      </c>
      <c r="BL2811" s="379">
        <f>IF((2*G2811)/60&lt;0.2,0.2,(2*G2811)/60)</f>
        <v>3</v>
      </c>
      <c r="BM2811" s="380">
        <f>MOD((50000+AD2811-$B$3+(0/24)),1)</f>
        <v>0.37194742952124216</v>
      </c>
      <c r="BN2811" s="381"/>
      <c r="BO2811" s="382">
        <v>2802</v>
      </c>
    </row>
    <row r="2812" spans="1:67" s="24" customFormat="1" ht="15" customHeight="1" x14ac:dyDescent="0.25">
      <c r="A2812" s="288" t="s">
        <v>2630</v>
      </c>
      <c r="B2812" s="241" t="str">
        <f>HYPERLINK(CONCATENATE($AT$3,BK2812,$AU$3),$AV$3)</f>
        <v>S</v>
      </c>
      <c r="C2812" s="242" t="str">
        <f>HYPERLINK(CONCATENATE($AT$4,BK2812,$AU$4,BL2812),$AV$4)</f>
        <v>A</v>
      </c>
      <c r="D2812" s="243" t="s">
        <v>5187</v>
      </c>
      <c r="E2812" s="244" t="s">
        <v>5183</v>
      </c>
      <c r="F2812" s="269" t="s">
        <v>5180</v>
      </c>
      <c r="G2812" s="276">
        <v>180</v>
      </c>
      <c r="H2812" s="283">
        <v>3300</v>
      </c>
      <c r="I2812" s="246">
        <v>180</v>
      </c>
      <c r="J2812" s="246">
        <v>3</v>
      </c>
      <c r="K2812" s="247" t="s">
        <v>6341</v>
      </c>
      <c r="L2812" s="248">
        <v>35214</v>
      </c>
      <c r="M2812" s="249">
        <f>15*(LEFT(TEXT($L2812,"000000"),2)+(MID(TEXT($L2812,"000000"),3,2)/60)+(RIGHT(TEXT($L2812,"000000"),2)/3600))</f>
        <v>58.058333333333337</v>
      </c>
      <c r="N2812" s="250">
        <v>532500</v>
      </c>
      <c r="O2812" s="251">
        <f>IF($N2812&gt;0,(LEFT(TEXT($N2812,"000000"),2)+(MID(TEXT($N2812,"000000"),3,2)/60)+(RIGHT(TEXT($N2812,"000000"),2)/3600)),-(MID(TEXT($N2812,"000000"),2,2)+(MID(TEXT($N2812,"000000"),4,2)/60)+(RIGHT(TEXT($N2812,"000000"),2)/3600)))</f>
        <v>53.416666666666664</v>
      </c>
      <c r="P2812" s="252" t="s">
        <v>226</v>
      </c>
      <c r="Q2812" s="253" t="s">
        <v>7046</v>
      </c>
      <c r="R2812" s="277" t="s">
        <v>3293</v>
      </c>
      <c r="S2812" s="272" t="s">
        <v>3293</v>
      </c>
      <c r="T2812" s="273"/>
      <c r="U2812" s="274"/>
      <c r="V2812" s="280"/>
      <c r="W2812" s="244"/>
      <c r="X2812" s="244"/>
      <c r="Y2812" s="362"/>
      <c r="Z2812" s="257">
        <f>altaz(J2000_Bas,$O2812,$M2812,DecLat,DecLong,1)</f>
        <v>4.0925071080807935</v>
      </c>
      <c r="AA2812" s="257">
        <f>altaz((J2000_Bas+(2*0.04167)),$O2812,$M2812,DecLat,DecLong,1)</f>
        <v>17.915120661374413</v>
      </c>
      <c r="AB2812" s="257">
        <f>altaz((J2000_Bas+(4*0.04167)),$O2812,$M2812,DecLat,DecLong,1)</f>
        <v>34.917599069592612</v>
      </c>
      <c r="AC2812" s="257">
        <f>altaz((J2000_Bas+(6*0.04167)),$O2812,$M2812,DecLat,DecLong,1)</f>
        <v>52.598205482773757</v>
      </c>
      <c r="AD2812" s="258">
        <f>1+ transit((J2000_Bas-1),$O2812,$M2812,DecLat,DecLong)/360 + (GMTOffset/24) + (IF(DST="Y", 1, 0)/24)</f>
        <v>1.1541730926505414</v>
      </c>
      <c r="AE2812" s="259">
        <f>DATE(2001,9,21)+(M2812/360)*365 - (360*((DecLong/360)- (GMTOffset/24) ))</f>
        <v>37218.864699074074</v>
      </c>
      <c r="AF2812" s="260">
        <f>IF(DecLat&gt;0,IF((90 - (DecLat-O2812))&gt;90, (90 - (O2812-DecLat)), (90 - (DecLat-O2812))),IF((90 + (DecLat-O2812))&gt;90, (90 + (O2812-DecLat)), (90 + (DecLat-O2812))))</f>
        <v>67.583333333333343</v>
      </c>
      <c r="AG2812" s="257">
        <f>angularseperation(MoonRA,MoonDec,$M2812,$O2812)</f>
        <v>152.3943711231716</v>
      </c>
      <c r="AH2812" s="261">
        <f ca="1">MIN(100,IF($O$5&gt;80,0+30*($AG2812/100),IF($O$5&gt;70,0+50*($AG2812/100),IF($O$5&gt;60,5+50*($AG2812/100),IF($O$5&gt;50,10+60*($AG2812/100),IF($O$5&gt;40,15+70*($AG2812/100),IF($O$5&gt;30,20+70*($AG2812/100),IF($O$5&gt;20,40+55*($AG2812/100),(80+(20-$O$5)+30*($AG2812/100))))))))))</f>
        <v>100</v>
      </c>
      <c r="AI2812" s="263"/>
      <c r="AJ2812" s="263"/>
      <c r="AK2812" s="263"/>
      <c r="AL2812" s="263"/>
      <c r="AM2812" s="264"/>
      <c r="AN2812" s="263"/>
      <c r="AO2812" s="263"/>
      <c r="AP2812" s="265"/>
      <c r="AQ2812" s="265"/>
      <c r="AR2812" s="285"/>
      <c r="AS2812" s="263"/>
      <c r="AT2812" s="263"/>
      <c r="AU2812" s="263"/>
      <c r="AV2812" s="264"/>
      <c r="AW2812" s="263"/>
      <c r="AX2812" s="263"/>
      <c r="AY2812" s="263">
        <v>701</v>
      </c>
      <c r="AZ2812" s="263"/>
      <c r="BA2812" s="263"/>
      <c r="BB2812" s="263">
        <v>205</v>
      </c>
      <c r="BC2812" s="263"/>
      <c r="BD2812" s="264"/>
      <c r="BE2812" s="263"/>
      <c r="BF2812" s="263"/>
      <c r="BG2812" s="263"/>
      <c r="BH2812" s="263"/>
      <c r="BI2812" s="263">
        <v>21</v>
      </c>
      <c r="BJ2812" s="404">
        <f>altaz(J2000_Bas,$O2812,$M2812,DecLat,DecLong,2)</f>
        <v>26.337073766462467</v>
      </c>
      <c r="BK2812" s="378" t="s">
        <v>2630</v>
      </c>
      <c r="BL2812" s="379">
        <f>IF((2*G2812)/60&lt;0.2,0.2,(2*G2812)/60)</f>
        <v>6</v>
      </c>
      <c r="BM2812" s="380">
        <f>MOD((50000+AD2812-$B$3+(0/24)),1)</f>
        <v>0.3695400223514298</v>
      </c>
      <c r="BN2812" s="381"/>
      <c r="BO2812" s="382">
        <v>2803</v>
      </c>
    </row>
    <row r="2813" spans="1:67" s="24" customFormat="1" ht="15" customHeight="1" x14ac:dyDescent="0.25">
      <c r="A2813" s="288" t="s">
        <v>2631</v>
      </c>
      <c r="B2813" s="241" t="str">
        <f>HYPERLINK(CONCATENATE($AT$3,BK2813,$AU$3),$AV$3)</f>
        <v>S</v>
      </c>
      <c r="C2813" s="242" t="str">
        <f>HYPERLINK(CONCATENATE($AT$4,BK2813,$AU$4,BL2813),$AV$4)</f>
        <v>A</v>
      </c>
      <c r="D2813" s="243" t="s">
        <v>5187</v>
      </c>
      <c r="E2813" s="244" t="s">
        <v>5183</v>
      </c>
      <c r="F2813" s="269" t="s">
        <v>5180</v>
      </c>
      <c r="G2813" s="273">
        <v>4</v>
      </c>
      <c r="H2813" s="283">
        <v>15000</v>
      </c>
      <c r="I2813" s="246">
        <v>18</v>
      </c>
      <c r="J2813" s="246">
        <v>2</v>
      </c>
      <c r="K2813" s="247" t="s">
        <v>5242</v>
      </c>
      <c r="L2813" s="248">
        <v>41941</v>
      </c>
      <c r="M2813" s="249">
        <f>15*(LEFT(TEXT($L2813,"000000"),2)+(MID(TEXT($L2813,"000000"),3,2)/60)+(RIGHT(TEXT($L2813,"000000"),2)/3600))</f>
        <v>64.920833333333334</v>
      </c>
      <c r="N2813" s="250">
        <v>530829</v>
      </c>
      <c r="O2813" s="251">
        <f>IF($N2813&gt;0,(LEFT(TEXT($N2813,"000000"),2)+(MID(TEXT($N2813,"000000"),3,2)/60)+(RIGHT(TEXT($N2813,"000000"),2)/3600)),-(MID(TEXT($N2813,"000000"),2,2)+(MID(TEXT($N2813,"000000"),4,2)/60)+(RIGHT(TEXT($N2813,"000000"),2)/3600)))</f>
        <v>53.141388888888891</v>
      </c>
      <c r="P2813" s="252" t="s">
        <v>226</v>
      </c>
      <c r="Q2813" s="253"/>
      <c r="R2813" s="247" t="s">
        <v>3293</v>
      </c>
      <c r="S2813" s="272" t="s">
        <v>5243</v>
      </c>
      <c r="T2813" s="273"/>
      <c r="U2813" s="274"/>
      <c r="V2813" s="280"/>
      <c r="W2813" s="244"/>
      <c r="X2813" s="244"/>
      <c r="Y2813" s="362"/>
      <c r="Z2813" s="257">
        <f>altaz(J2000_Bas,$O2813,$M2813,DecLat,DecLong,1)</f>
        <v>1.4054804878243035</v>
      </c>
      <c r="AA2813" s="257">
        <f>altaz((J2000_Bas+(2*0.04167)),$O2813,$M2813,DecLat,DecLong,1)</f>
        <v>14.247296085272975</v>
      </c>
      <c r="AB2813" s="257">
        <f>altaz((J2000_Bas+(4*0.04167)),$O2813,$M2813,DecLat,DecLong,1)</f>
        <v>30.824342554538436</v>
      </c>
      <c r="AC2813" s="257">
        <f>altaz((J2000_Bas+(6*0.04167)),$O2813,$M2813,DecLat,DecLong,1)</f>
        <v>48.736118211737789</v>
      </c>
      <c r="AD2813" s="258">
        <f>1+ transit((J2000_Bas-1),$O2813,$M2813,DecLat,DecLong)/360 + (GMTOffset/24) + (IF(DST="Y", 1, 0)/24)</f>
        <v>1.1732355907442913</v>
      </c>
      <c r="AE2813" s="259">
        <f>DATE(2001,9,21)+(M2813/360)*365 - (360*((DecLong/360)- (GMTOffset/24) ))</f>
        <v>37225.822511574072</v>
      </c>
      <c r="AF2813" s="260">
        <f>IF(DecLat&gt;0,IF((90 - (DecLat-O2813))&gt;90, (90 - (O2813-DecLat)), (90 - (DecLat-O2813))),IF((90 + (DecLat-O2813))&gt;90, (90 + (O2813-DecLat)), (90 + (DecLat-O2813))))</f>
        <v>67.858611111111117</v>
      </c>
      <c r="AG2813" s="257">
        <f>angularseperation(MoonRA,MoonDec,$M2813,$O2813)</f>
        <v>153.74538858433215</v>
      </c>
      <c r="AH2813" s="261">
        <f ca="1">MIN(100,IF($O$5&gt;80,0+30*($AG2813/100),IF($O$5&gt;70,0+50*($AG2813/100),IF($O$5&gt;60,5+50*($AG2813/100),IF($O$5&gt;50,10+60*($AG2813/100),IF($O$5&gt;40,15+70*($AG2813/100),IF($O$5&gt;30,20+70*($AG2813/100),IF($O$5&gt;20,40+55*($AG2813/100),(80+(20-$O$5)+30*($AG2813/100))))))))))</f>
        <v>100</v>
      </c>
      <c r="AI2813" s="262"/>
      <c r="AJ2813" s="262"/>
      <c r="AK2813" s="262"/>
      <c r="AL2813" s="263"/>
      <c r="AM2813" s="264"/>
      <c r="AN2813" s="263"/>
      <c r="AO2813" s="263"/>
      <c r="AP2813" s="265"/>
      <c r="AQ2813" s="266"/>
      <c r="AR2813" s="267"/>
      <c r="AS2813" s="263"/>
      <c r="AT2813" s="263"/>
      <c r="AU2813" s="263"/>
      <c r="AV2813" s="264"/>
      <c r="AW2813" s="263"/>
      <c r="AX2813" s="263"/>
      <c r="AY2813" s="263">
        <v>708</v>
      </c>
      <c r="AZ2813" s="263"/>
      <c r="BA2813" s="263"/>
      <c r="BB2813" s="263">
        <v>207</v>
      </c>
      <c r="BC2813" s="263"/>
      <c r="BD2813" s="264"/>
      <c r="BE2813" s="263"/>
      <c r="BF2813" s="263"/>
      <c r="BG2813" s="263"/>
      <c r="BH2813" s="263">
        <v>71</v>
      </c>
      <c r="BI2813" s="263"/>
      <c r="BJ2813" s="404">
        <f>altaz(J2000_Bas,$O2813,$M2813,DecLat,DecLong,2)</f>
        <v>23.222106725222488</v>
      </c>
      <c r="BK2813" s="378" t="s">
        <v>2631</v>
      </c>
      <c r="BL2813" s="379">
        <f>IF((2*G2813)/60&lt;0.2,0.2,(2*G2813)/60)</f>
        <v>0.2</v>
      </c>
      <c r="BM2813" s="380">
        <f>MOD((50000+AD2813-$B$3+(0/24)),1)</f>
        <v>0.38860252044833032</v>
      </c>
      <c r="BN2813" s="381"/>
      <c r="BO2813" s="382">
        <v>2804</v>
      </c>
    </row>
    <row r="2814" spans="1:67" s="24" customFormat="1" ht="15" customHeight="1" x14ac:dyDescent="0.25">
      <c r="A2814" s="288" t="s">
        <v>2632</v>
      </c>
      <c r="B2814" s="241" t="str">
        <f>HYPERLINK(CONCATENATE($AT$3,BK2814,$AU$3),$AV$3)</f>
        <v>S</v>
      </c>
      <c r="C2814" s="242" t="str">
        <f>HYPERLINK(CONCATENATE($AT$4,BK2814,$AU$4,BL2814),$AV$4)</f>
        <v>A</v>
      </c>
      <c r="D2814" s="243" t="s">
        <v>5187</v>
      </c>
      <c r="E2814" s="244" t="s">
        <v>5183</v>
      </c>
      <c r="F2814" s="269" t="s">
        <v>5180</v>
      </c>
      <c r="G2814" s="273">
        <v>3</v>
      </c>
      <c r="H2814" s="283">
        <v>1300</v>
      </c>
      <c r="I2814" s="279">
        <v>1.1000000000000001</v>
      </c>
      <c r="J2814" s="246">
        <v>1</v>
      </c>
      <c r="K2814" s="247" t="s">
        <v>5241</v>
      </c>
      <c r="L2814" s="248">
        <v>41933</v>
      </c>
      <c r="M2814" s="249">
        <f>15*(LEFT(TEXT($L2814,"000000"),2)+(MID(TEXT($L2814,"000000"),3,2)/60)+(RIGHT(TEXT($L2814,"000000"),2)/3600))</f>
        <v>64.887499999999989</v>
      </c>
      <c r="N2814" s="286">
        <v>525842</v>
      </c>
      <c r="O2814" s="251">
        <f>IF($N2814&gt;0,(LEFT(TEXT($N2814,"000000"),2)+(MID(TEXT($N2814,"000000"),3,2)/60)+(RIGHT(TEXT($N2814,"000000"),2)/3600)),-(MID(TEXT($N2814,"000000"),2,2)+(MID(TEXT($N2814,"000000"),4,2)/60)+(RIGHT(TEXT($N2814,"000000"),2)/3600)))</f>
        <v>52.978333333333332</v>
      </c>
      <c r="P2814" s="252" t="s">
        <v>226</v>
      </c>
      <c r="Q2814" s="253"/>
      <c r="R2814" s="247" t="s">
        <v>3293</v>
      </c>
      <c r="S2814" s="272" t="s">
        <v>3293</v>
      </c>
      <c r="T2814" s="273"/>
      <c r="U2814" s="274"/>
      <c r="V2814" s="280"/>
      <c r="W2814" s="244"/>
      <c r="X2814" s="244"/>
      <c r="Y2814" s="362"/>
      <c r="Z2814" s="257">
        <f>altaz(J2000_Bas,$O2814,$M2814,DecLat,DecLong,1)</f>
        <v>1.2820816180426888</v>
      </c>
      <c r="AA2814" s="257">
        <f>altaz((J2000_Bas+(2*0.04167)),$O2814,$M2814,DecLat,DecLong,1)</f>
        <v>14.174830274157801</v>
      </c>
      <c r="AB2814" s="257">
        <f>altaz((J2000_Bas+(4*0.04167)),$O2814,$M2814,DecLat,DecLong,1)</f>
        <v>30.810599274691203</v>
      </c>
      <c r="AC2814" s="257">
        <f>altaz((J2000_Bas+(6*0.04167)),$O2814,$M2814,DecLat,DecLong,1)</f>
        <v>48.791073317128649</v>
      </c>
      <c r="AD2814" s="258">
        <f>1+ transit((J2000_Bas-1),$O2814,$M2814,DecLat,DecLong)/360 + (GMTOffset/24) + (IF(DST="Y", 1, 0)/24)</f>
        <v>1.173142998160958</v>
      </c>
      <c r="AE2814" s="259">
        <f>DATE(2001,9,21)+(M2814/360)*365 - (360*((DecLong/360)- (GMTOffset/24) ))</f>
        <v>37225.788715277777</v>
      </c>
      <c r="AF2814" s="260">
        <f>IF(DecLat&gt;0,IF((90 - (DecLat-O2814))&gt;90, (90 - (O2814-DecLat)), (90 - (DecLat-O2814))),IF((90 + (DecLat-O2814))&gt;90, (90 + (O2814-DecLat)), (90 + (DecLat-O2814))))</f>
        <v>68.021666666666675</v>
      </c>
      <c r="AG2814" s="257">
        <f>angularseperation(MoonRA,MoonDec,$M2814,$O2814)</f>
        <v>153.90347470197247</v>
      </c>
      <c r="AH2814" s="261">
        <f ca="1">MIN(100,IF($O$5&gt;80,0+30*($AG2814/100),IF($O$5&gt;70,0+50*($AG2814/100),IF($O$5&gt;60,5+50*($AG2814/100),IF($O$5&gt;50,10+60*($AG2814/100),IF($O$5&gt;40,15+70*($AG2814/100),IF($O$5&gt;30,20+70*($AG2814/100),IF($O$5&gt;20,40+55*($AG2814/100),(80+(20-$O$5)+30*($AG2814/100))))))))))</f>
        <v>100</v>
      </c>
      <c r="AI2814" s="262"/>
      <c r="AJ2814" s="262"/>
      <c r="AK2814" s="262"/>
      <c r="AL2814" s="263"/>
      <c r="AM2814" s="264"/>
      <c r="AN2814" s="263"/>
      <c r="AO2814" s="263"/>
      <c r="AP2814" s="265"/>
      <c r="AQ2814" s="266"/>
      <c r="AR2814" s="267"/>
      <c r="AS2814" s="263"/>
      <c r="AT2814" s="263"/>
      <c r="AU2814" s="263"/>
      <c r="AV2814" s="264"/>
      <c r="AW2814" s="263"/>
      <c r="AX2814" s="263"/>
      <c r="AY2814" s="263"/>
      <c r="AZ2814" s="263"/>
      <c r="BA2814" s="263"/>
      <c r="BB2814" s="263">
        <v>208</v>
      </c>
      <c r="BC2814" s="263"/>
      <c r="BD2814" s="264"/>
      <c r="BE2814" s="263"/>
      <c r="BF2814" s="263"/>
      <c r="BG2814" s="263"/>
      <c r="BH2814" s="263"/>
      <c r="BI2814" s="263"/>
      <c r="BJ2814" s="404">
        <f>altaz(J2000_Bas,$O2814,$M2814,DecLat,DecLong,2)</f>
        <v>23.330585367564989</v>
      </c>
      <c r="BK2814" s="378" t="s">
        <v>2632</v>
      </c>
      <c r="BL2814" s="379">
        <f>IF((2*G2814)/60&lt;0.2,0.2,(2*G2814)/60)</f>
        <v>0.2</v>
      </c>
      <c r="BM2814" s="380">
        <f>MOD((50000+AD2814-$B$3+(0/24)),1)</f>
        <v>0.38850992786319694</v>
      </c>
      <c r="BN2814" s="381"/>
      <c r="BO2814" s="382">
        <v>2805</v>
      </c>
    </row>
    <row r="2815" spans="1:67" s="24" customFormat="1" ht="15" customHeight="1" x14ac:dyDescent="0.25">
      <c r="A2815" s="288" t="s">
        <v>2633</v>
      </c>
      <c r="B2815" s="241" t="str">
        <f>HYPERLINK(CONCATENATE($AT$3,BK2815,$AU$3),$AV$3)</f>
        <v>S</v>
      </c>
      <c r="C2815" s="242" t="str">
        <f>HYPERLINK(CONCATENATE($AT$4,BK2815,$AU$4,BL2815),$AV$4)</f>
        <v>A</v>
      </c>
      <c r="D2815" s="243" t="s">
        <v>5187</v>
      </c>
      <c r="E2815" s="244" t="s">
        <v>5183</v>
      </c>
      <c r="F2815" s="269" t="s">
        <v>5180</v>
      </c>
      <c r="G2815" s="273">
        <v>9</v>
      </c>
      <c r="H2815" s="283">
        <v>26000</v>
      </c>
      <c r="I2815" s="246">
        <v>70</v>
      </c>
      <c r="J2815" s="246">
        <v>2</v>
      </c>
      <c r="K2815" s="247" t="s">
        <v>6342</v>
      </c>
      <c r="L2815" s="248">
        <v>41100</v>
      </c>
      <c r="M2815" s="249">
        <f>15*(LEFT(TEXT($L2815,"000000"),2)+(MID(TEXT($L2815,"000000"),3,2)/60)+(RIGHT(TEXT($L2815,"000000"),2)/3600))</f>
        <v>62.75</v>
      </c>
      <c r="N2815" s="286">
        <v>510000</v>
      </c>
      <c r="O2815" s="251">
        <f>IF($N2815&gt;0,(LEFT(TEXT($N2815,"000000"),2)+(MID(TEXT($N2815,"000000"),3,2)/60)+(RIGHT(TEXT($N2815,"000000"),2)/3600)),-(MID(TEXT($N2815,"000000"),2,2)+(MID(TEXT($N2815,"000000"),4,2)/60)+(RIGHT(TEXT($N2815,"000000"),2)/3600)))</f>
        <v>51</v>
      </c>
      <c r="P2815" s="252" t="s">
        <v>43</v>
      </c>
      <c r="Q2815" s="253"/>
      <c r="R2815" s="277" t="s">
        <v>3293</v>
      </c>
      <c r="S2815" s="272" t="s">
        <v>3293</v>
      </c>
      <c r="T2815" s="273"/>
      <c r="U2815" s="274"/>
      <c r="V2815" s="280"/>
      <c r="W2815" s="244"/>
      <c r="X2815" s="244"/>
      <c r="Y2815" s="362"/>
      <c r="Z2815" s="257">
        <f>altaz(J2000_Bas,$O2815,$M2815,DecLat,DecLong,1)</f>
        <v>0.42224338301913994</v>
      </c>
      <c r="AA2815" s="257">
        <f>altaz((J2000_Bas+(2*0.04167)),$O2815,$M2815,DecLat,DecLong,1)</f>
        <v>14.216306582209381</v>
      </c>
      <c r="AB2815" s="257">
        <f>altaz((J2000_Bas+(4*0.04167)),$O2815,$M2815,DecLat,DecLong,1)</f>
        <v>31.699960246216829</v>
      </c>
      <c r="AC2815" s="257">
        <f>altaz((J2000_Bas+(6*0.04167)),$O2815,$M2815,DecLat,DecLong,1)</f>
        <v>50.499909359761936</v>
      </c>
      <c r="AD2815" s="258">
        <f>1+ transit((J2000_Bas-1),$O2815,$M2815,DecLat,DecLong)/360 + (GMTOffset/24) + (IF(DST="Y", 1, 0)/24)</f>
        <v>1.167205498754708</v>
      </c>
      <c r="AE2815" s="259">
        <f>DATE(2001,9,21)+(M2815/360)*365 - (360*((DecLong/360)- (GMTOffset/24) ))</f>
        <v>37223.621527777781</v>
      </c>
      <c r="AF2815" s="260">
        <f>IF(DecLat&gt;0,IF((90 - (DecLat-O2815))&gt;90, (90 - (O2815-DecLat)), (90 - (DecLat-O2815))),IF((90 + (DecLat-O2815))&gt;90, (90 + (O2815-DecLat)), (90 + (DecLat-O2815))))</f>
        <v>70</v>
      </c>
      <c r="AG2815" s="257">
        <f>angularseperation(MoonRA,MoonDec,$M2815,$O2815)</f>
        <v>155.58128058552072</v>
      </c>
      <c r="AH2815" s="261">
        <f ca="1">MIN(100,IF($O$5&gt;80,0+30*($AG2815/100),IF($O$5&gt;70,0+50*($AG2815/100),IF($O$5&gt;60,5+50*($AG2815/100),IF($O$5&gt;50,10+60*($AG2815/100),IF($O$5&gt;40,15+70*($AG2815/100),IF($O$5&gt;30,20+70*($AG2815/100),IF($O$5&gt;20,40+55*($AG2815/100),(80+(20-$O$5)+30*($AG2815/100))))))))))</f>
        <v>100</v>
      </c>
      <c r="AI2815" s="263"/>
      <c r="AJ2815" s="263"/>
      <c r="AK2815" s="263"/>
      <c r="AL2815" s="263"/>
      <c r="AM2815" s="264"/>
      <c r="AN2815" s="263"/>
      <c r="AO2815" s="263"/>
      <c r="AP2815" s="265"/>
      <c r="AQ2815" s="265"/>
      <c r="AR2815" s="285"/>
      <c r="AS2815" s="263"/>
      <c r="AT2815" s="263"/>
      <c r="AU2815" s="263"/>
      <c r="AV2815" s="264"/>
      <c r="AW2815" s="263"/>
      <c r="AX2815" s="263"/>
      <c r="AY2815" s="263">
        <v>745</v>
      </c>
      <c r="AZ2815" s="263"/>
      <c r="BA2815" s="263"/>
      <c r="BB2815" s="263">
        <v>209</v>
      </c>
      <c r="BC2815" s="263"/>
      <c r="BD2815" s="264"/>
      <c r="BE2815" s="263"/>
      <c r="BF2815" s="263"/>
      <c r="BG2815" s="263"/>
      <c r="BH2815" s="263"/>
      <c r="BI2815" s="263"/>
      <c r="BJ2815" s="404">
        <f>altaz(J2000_Bas,$O2815,$M2815,DecLat,DecLong,2)</f>
        <v>25.545793828816226</v>
      </c>
      <c r="BK2815" s="378" t="s">
        <v>2633</v>
      </c>
      <c r="BL2815" s="379">
        <f>IF((2*G2815)/60&lt;0.2,0.2,(2*G2815)/60)</f>
        <v>0.3</v>
      </c>
      <c r="BM2815" s="380">
        <f>MOD((50000+AD2815-$B$3+(0/24)),1)</f>
        <v>0.38257242846157169</v>
      </c>
      <c r="BN2815" s="381"/>
      <c r="BO2815" s="382">
        <v>2806</v>
      </c>
    </row>
    <row r="2816" spans="1:67" s="24" customFormat="1" ht="15" customHeight="1" x14ac:dyDescent="0.25">
      <c r="A2816" s="288" t="s">
        <v>2634</v>
      </c>
      <c r="B2816" s="241" t="str">
        <f>HYPERLINK(CONCATENATE($AT$3,BK2816,$AU$3),$AV$3)</f>
        <v>S</v>
      </c>
      <c r="C2816" s="242" t="str">
        <f>HYPERLINK(CONCATENATE($AT$4,BK2816,$AU$4,BL2816),$AV$4)</f>
        <v>A</v>
      </c>
      <c r="D2816" s="243" t="s">
        <v>5187</v>
      </c>
      <c r="E2816" s="244" t="s">
        <v>5183</v>
      </c>
      <c r="F2816" s="269" t="s">
        <v>5180</v>
      </c>
      <c r="G2816" s="276">
        <v>20</v>
      </c>
      <c r="H2816" s="283">
        <v>7000</v>
      </c>
      <c r="I2816" s="246">
        <v>42</v>
      </c>
      <c r="J2816" s="246">
        <v>2</v>
      </c>
      <c r="K2816" s="247" t="s">
        <v>6126</v>
      </c>
      <c r="L2816" s="248">
        <v>43108</v>
      </c>
      <c r="M2816" s="249">
        <f>15*(LEFT(TEXT($L2816,"000000"),2)+(MID(TEXT($L2816,"000000"),3,2)/60)+(RIGHT(TEXT($L2816,"000000"),2)/3600))</f>
        <v>67.783333333333331</v>
      </c>
      <c r="N2816" s="286">
        <v>522924</v>
      </c>
      <c r="O2816" s="251">
        <f>IF($N2816&gt;0,(LEFT(TEXT($N2816,"000000"),2)+(MID(TEXT($N2816,"000000"),3,2)/60)+(RIGHT(TEXT($N2816,"000000"),2)/3600)),-(MID(TEXT($N2816,"000000"),2,2)+(MID(TEXT($N2816,"000000"),4,2)/60)+(RIGHT(TEXT($N2816,"000000"),2)/3600)))</f>
        <v>52.49</v>
      </c>
      <c r="P2816" s="252" t="s">
        <v>62</v>
      </c>
      <c r="Q2816" s="253"/>
      <c r="R2816" s="277" t="s">
        <v>3293</v>
      </c>
      <c r="S2816" s="272" t="s">
        <v>3293</v>
      </c>
      <c r="T2816" s="273"/>
      <c r="U2816" s="274"/>
      <c r="V2816" s="280"/>
      <c r="W2816" s="244"/>
      <c r="X2816" s="244"/>
      <c r="Y2816" s="362"/>
      <c r="Z2816" s="257">
        <f>altaz(J2000_Bas,$O2816,$M2816,DecLat,DecLong,1)</f>
        <v>-8.5966602870178571E-2</v>
      </c>
      <c r="AA2816" s="257">
        <f>altaz((J2000_Bas+(2*0.04167)),$O2816,$M2816,DecLat,DecLong,1)</f>
        <v>12.450926747069264</v>
      </c>
      <c r="AB2816" s="257">
        <f>altaz((J2000_Bas+(4*0.04167)),$O2816,$M2816,DecLat,DecLong,1)</f>
        <v>28.992342426543665</v>
      </c>
      <c r="AC2816" s="257">
        <f>altaz((J2000_Bas+(6*0.04167)),$O2816,$M2816,DecLat,DecLong,1)</f>
        <v>47.16105619256777</v>
      </c>
      <c r="AD2816" s="258">
        <f>1+ transit((J2000_Bas-1),$O2816,$M2816,DecLat,DecLong)/360 + (GMTOffset/24) + (IF(DST="Y", 1, 0)/24)</f>
        <v>1.1811869788380414</v>
      </c>
      <c r="AE2816" s="259">
        <f>DATE(2001,9,21)+(M2816/360)*365 - (360*((DecLong/360)- (GMTOffset/24) ))</f>
        <v>37228.724768518521</v>
      </c>
      <c r="AF2816" s="260">
        <f>IF(DecLat&gt;0,IF((90 - (DecLat-O2816))&gt;90, (90 - (O2816-DecLat)), (90 - (DecLat-O2816))),IF((90 + (DecLat-O2816))&gt;90, (90 + (O2816-DecLat)), (90 + (DecLat-O2816))))</f>
        <v>68.509999999999991</v>
      </c>
      <c r="AG2816" s="257">
        <f>angularseperation(MoonRA,MoonDec,$M2816,$O2816)</f>
        <v>154.57064476225818</v>
      </c>
      <c r="AH2816" s="261">
        <f ca="1">MIN(100,IF($O$5&gt;80,0+30*($AG2816/100),IF($O$5&gt;70,0+50*($AG2816/100),IF($O$5&gt;60,5+50*($AG2816/100),IF($O$5&gt;50,10+60*($AG2816/100),IF($O$5&gt;40,15+70*($AG2816/100),IF($O$5&gt;30,20+70*($AG2816/100),IF($O$5&gt;20,40+55*($AG2816/100),(80+(20-$O$5)+30*($AG2816/100))))))))))</f>
        <v>100</v>
      </c>
      <c r="AI2816" s="263"/>
      <c r="AJ2816" s="263"/>
      <c r="AK2816" s="263"/>
      <c r="AL2816" s="263"/>
      <c r="AM2816" s="264"/>
      <c r="AN2816" s="263"/>
      <c r="AO2816" s="263"/>
      <c r="AP2816" s="265"/>
      <c r="AQ2816" s="265"/>
      <c r="AR2816" s="285"/>
      <c r="AS2816" s="263"/>
      <c r="AT2816" s="263"/>
      <c r="AU2816" s="263"/>
      <c r="AV2816" s="264"/>
      <c r="AW2816" s="263"/>
      <c r="AX2816" s="263"/>
      <c r="AY2816" s="263">
        <v>712</v>
      </c>
      <c r="AZ2816" s="263"/>
      <c r="BA2816" s="263"/>
      <c r="BB2816" s="263">
        <v>210</v>
      </c>
      <c r="BC2816" s="263"/>
      <c r="BD2816" s="264"/>
      <c r="BE2816" s="263"/>
      <c r="BF2816" s="263"/>
      <c r="BG2816" s="263"/>
      <c r="BH2816" s="263"/>
      <c r="BI2816" s="263"/>
      <c r="BJ2816" s="404">
        <f>altaz(J2000_Bas,$O2816,$M2816,DecLat,DecLong,2)</f>
        <v>22.130061535896317</v>
      </c>
      <c r="BK2816" s="378" t="s">
        <v>2634</v>
      </c>
      <c r="BL2816" s="379">
        <f>IF((2*G2816)/60&lt;0.2,0.2,(2*G2816)/60)</f>
        <v>0.66666666666666663</v>
      </c>
      <c r="BM2816" s="380">
        <f>MOD((50000+AD2816-$B$3+(0/24)),1)</f>
        <v>0.39655390854022698</v>
      </c>
      <c r="BN2816" s="381"/>
      <c r="BO2816" s="382">
        <v>2807</v>
      </c>
    </row>
    <row r="2817" spans="1:67" s="24" customFormat="1" ht="15" customHeight="1" x14ac:dyDescent="0.25">
      <c r="A2817" s="288" t="s">
        <v>2635</v>
      </c>
      <c r="B2817" s="241" t="str">
        <f>HYPERLINK(CONCATENATE($AT$3,BK2817,$AU$3),$AV$3)</f>
        <v>S</v>
      </c>
      <c r="C2817" s="242" t="str">
        <f>HYPERLINK(CONCATENATE($AT$4,BK2817,$AU$4,BL2817),$AV$4)</f>
        <v>A</v>
      </c>
      <c r="D2817" s="243" t="s">
        <v>5187</v>
      </c>
      <c r="E2817" s="244" t="s">
        <v>5183</v>
      </c>
      <c r="F2817" s="269" t="s">
        <v>5180</v>
      </c>
      <c r="G2817" s="273">
        <v>2.5</v>
      </c>
      <c r="H2817" s="283">
        <v>24000</v>
      </c>
      <c r="I2817" s="246">
        <v>18</v>
      </c>
      <c r="J2817" s="246">
        <v>2</v>
      </c>
      <c r="K2817" s="247" t="s">
        <v>5246</v>
      </c>
      <c r="L2817" s="248">
        <v>43657</v>
      </c>
      <c r="M2817" s="249">
        <f>15*(LEFT(TEXT($L2817,"000000"),2)+(MID(TEXT($L2817,"000000"),3,2)/60)+(RIGHT(TEXT($L2817,"000000"),2)/3600))</f>
        <v>69.237499999999997</v>
      </c>
      <c r="N2817" s="250">
        <v>505236</v>
      </c>
      <c r="O2817" s="251">
        <f>IF($N2817&gt;0,(LEFT(TEXT($N2817,"000000"),2)+(MID(TEXT($N2817,"000000"),3,2)/60)+(RIGHT(TEXT($N2817,"000000"),2)/3600)),-(MID(TEXT($N2817,"000000"),2,2)+(MID(TEXT($N2817,"000000"),4,2)/60)+(RIGHT(TEXT($N2817,"000000"),2)/3600)))</f>
        <v>50.876666666666665</v>
      </c>
      <c r="P2817" s="252" t="s">
        <v>43</v>
      </c>
      <c r="Q2817" s="253"/>
      <c r="R2817" s="247" t="s">
        <v>5245</v>
      </c>
      <c r="S2817" s="272" t="s">
        <v>3293</v>
      </c>
      <c r="T2817" s="273"/>
      <c r="U2817" s="274"/>
      <c r="V2817" s="280"/>
      <c r="W2817" s="244"/>
      <c r="X2817" s="244"/>
      <c r="Y2817" s="362"/>
      <c r="Z2817" s="257">
        <f>altaz(J2000_Bas,$O2817,$M2817,DecLat,DecLong,1)</f>
        <v>-1.9326084179374321</v>
      </c>
      <c r="AA2817" s="257">
        <f>altaz((J2000_Bas+(2*0.04167)),$O2817,$M2817,DecLat,DecLong,1)</f>
        <v>10.773243799556422</v>
      </c>
      <c r="AB2817" s="257">
        <f>altaz((J2000_Bas+(4*0.04167)),$O2817,$M2817,DecLat,DecLong,1)</f>
        <v>27.701138558140354</v>
      </c>
      <c r="AC2817" s="257">
        <f>altaz((J2000_Bas+(6*0.04167)),$O2817,$M2817,DecLat,DecLong,1)</f>
        <v>46.485782586494345</v>
      </c>
      <c r="AD2817" s="258">
        <f>1+ transit((J2000_Bas-1),$O2817,$M2817,DecLat,DecLong)/360 + (GMTOffset/24) + (IF(DST="Y", 1, 0)/24)</f>
        <v>1.185226330285958</v>
      </c>
      <c r="AE2817" s="259">
        <f>DATE(2001,9,21)+(M2817/360)*365 - (360*((DecLong/360)- (GMTOffset/24) ))</f>
        <v>37230.199131944442</v>
      </c>
      <c r="AF2817" s="260">
        <f>IF(DecLat&gt;0,IF((90 - (DecLat-O2817))&gt;90, (90 - (O2817-DecLat)), (90 - (DecLat-O2817))),IF((90 + (DecLat-O2817))&gt;90, (90 + (O2817-DecLat)), (90 + (DecLat-O2817))))</f>
        <v>70.123333333333335</v>
      </c>
      <c r="AG2817" s="257">
        <f>angularseperation(MoonRA,MoonDec,$M2817,$O2817)</f>
        <v>156.20742620648724</v>
      </c>
      <c r="AH2817" s="261">
        <f ca="1">MIN(100,IF($O$5&gt;80,0+30*($AG2817/100),IF($O$5&gt;70,0+50*($AG2817/100),IF($O$5&gt;60,5+50*($AG2817/100),IF($O$5&gt;50,10+60*($AG2817/100),IF($O$5&gt;40,15+70*($AG2817/100),IF($O$5&gt;30,20+70*($AG2817/100),IF($O$5&gt;20,40+55*($AG2817/100),(80+(20-$O$5)+30*($AG2817/100))))))))))</f>
        <v>100</v>
      </c>
      <c r="AI2817" s="262"/>
      <c r="AJ2817" s="262"/>
      <c r="AK2817" s="262"/>
      <c r="AL2817" s="263"/>
      <c r="AM2817" s="264"/>
      <c r="AN2817" s="263"/>
      <c r="AO2817" s="263"/>
      <c r="AP2817" s="265"/>
      <c r="AQ2817" s="266"/>
      <c r="AR2817" s="267"/>
      <c r="AS2817" s="263"/>
      <c r="AT2817" s="263"/>
      <c r="AU2817" s="263"/>
      <c r="AV2817" s="264"/>
      <c r="AW2817" s="263"/>
      <c r="AX2817" s="263"/>
      <c r="AY2817" s="263">
        <v>717</v>
      </c>
      <c r="AZ2817" s="263"/>
      <c r="BA2817" s="263"/>
      <c r="BB2817" s="263">
        <v>211</v>
      </c>
      <c r="BC2817" s="263"/>
      <c r="BD2817" s="264"/>
      <c r="BE2817" s="263"/>
      <c r="BF2817" s="263"/>
      <c r="BG2817" s="263"/>
      <c r="BH2817" s="263"/>
      <c r="BI2817" s="263"/>
      <c r="BJ2817" s="404">
        <f>altaz(J2000_Bas,$O2817,$M2817,DecLat,DecLong,2)</f>
        <v>22.202818391344348</v>
      </c>
      <c r="BK2817" s="378" t="s">
        <v>2635</v>
      </c>
      <c r="BL2817" s="379">
        <f>IF((2*G2817)/60&lt;0.2,0.2,(2*G2817)/60)</f>
        <v>0.2</v>
      </c>
      <c r="BM2817" s="380">
        <f>MOD((50000+AD2817-$B$3+(0/24)),1)</f>
        <v>0.40059325999027351</v>
      </c>
      <c r="BN2817" s="381"/>
      <c r="BO2817" s="382">
        <v>2808</v>
      </c>
    </row>
    <row r="2818" spans="1:67" s="24" customFormat="1" ht="15" customHeight="1" x14ac:dyDescent="0.25">
      <c r="A2818" s="288" t="s">
        <v>2636</v>
      </c>
      <c r="B2818" s="241" t="str">
        <f>HYPERLINK(CONCATENATE($AT$3,BK2818,$AU$3),$AV$3)</f>
        <v>S</v>
      </c>
      <c r="C2818" s="242" t="str">
        <f>HYPERLINK(CONCATENATE($AT$4,BK2818,$AU$4,BL2818),$AV$4)</f>
        <v>A</v>
      </c>
      <c r="D2818" s="243" t="s">
        <v>5187</v>
      </c>
      <c r="E2818" s="244" t="s">
        <v>5183</v>
      </c>
      <c r="F2818" s="269" t="s">
        <v>5180</v>
      </c>
      <c r="G2818" s="273">
        <v>5</v>
      </c>
      <c r="H2818" s="283">
        <v>20000</v>
      </c>
      <c r="I2818" s="246">
        <v>30</v>
      </c>
      <c r="J2818" s="246">
        <v>2</v>
      </c>
      <c r="K2818" s="247" t="s">
        <v>5249</v>
      </c>
      <c r="L2818" s="248">
        <v>44036</v>
      </c>
      <c r="M2818" s="249">
        <f>15*(LEFT(TEXT($L2818,"000000"),2)+(MID(TEXT($L2818,"000000"),3,2)/60)+(RIGHT(TEXT($L2818,"000000"),2)/3600))</f>
        <v>70.150000000000006</v>
      </c>
      <c r="N2818" s="250">
        <v>502744</v>
      </c>
      <c r="O2818" s="251">
        <f>IF($N2818&gt;0,(LEFT(TEXT($N2818,"000000"),2)+(MID(TEXT($N2818,"000000"),3,2)/60)+(RIGHT(TEXT($N2818,"000000"),2)/3600)),-(MID(TEXT($N2818,"000000"),2,2)+(MID(TEXT($N2818,"000000"),4,2)/60)+(RIGHT(TEXT($N2818,"000000"),2)/3600)))</f>
        <v>50.462222222222223</v>
      </c>
      <c r="P2818" s="252" t="s">
        <v>43</v>
      </c>
      <c r="Q2818" s="253"/>
      <c r="R2818" s="247" t="s">
        <v>5500</v>
      </c>
      <c r="S2818" s="272" t="s">
        <v>3293</v>
      </c>
      <c r="T2818" s="273"/>
      <c r="U2818" s="274"/>
      <c r="V2818" s="280"/>
      <c r="W2818" s="244"/>
      <c r="X2818" s="244"/>
      <c r="Y2818" s="362"/>
      <c r="Z2818" s="257">
        <f>altaz(J2000_Bas,$O2818,$M2818,DecLat,DecLong,1)</f>
        <v>-2.5833638854579344</v>
      </c>
      <c r="AA2818" s="257">
        <f>altaz((J2000_Bas+(2*0.04167)),$O2818,$M2818,DecLat,DecLong,1)</f>
        <v>10.06195428510822</v>
      </c>
      <c r="AB2818" s="257">
        <f>altaz((J2000_Bas+(4*0.04167)),$O2818,$M2818,DecLat,DecLong,1)</f>
        <v>27.029086428487737</v>
      </c>
      <c r="AC2818" s="257">
        <f>altaz((J2000_Bas+(6*0.04167)),$O2818,$M2818,DecLat,DecLong,1)</f>
        <v>45.951360634834089</v>
      </c>
      <c r="AD2818" s="258">
        <f>1+ transit((J2000_Bas-1),$O2818,$M2818,DecLat,DecLong)/360 + (GMTOffset/24) + (IF(DST="Y", 1, 0)/24)</f>
        <v>1.187761052254708</v>
      </c>
      <c r="AE2818" s="259">
        <f>DATE(2001,9,21)+(M2818/360)*365 - (360*((DecLong/360)- (GMTOffset/24) ))</f>
        <v>37231.124305555553</v>
      </c>
      <c r="AF2818" s="260">
        <f>IF(DecLat&gt;0,IF((90 - (DecLat-O2818))&gt;90, (90 - (O2818-DecLat)), (90 - (DecLat-O2818))),IF((90 + (DecLat-O2818))&gt;90, (90 + (O2818-DecLat)), (90 + (DecLat-O2818))))</f>
        <v>70.537777777777777</v>
      </c>
      <c r="AG2818" s="257">
        <f>angularseperation(MoonRA,MoonDec,$M2818,$O2818)</f>
        <v>156.61159432110765</v>
      </c>
      <c r="AH2818" s="261">
        <f ca="1">MIN(100,IF($O$5&gt;80,0+30*($AG2818/100),IF($O$5&gt;70,0+50*($AG2818/100),IF($O$5&gt;60,5+50*($AG2818/100),IF($O$5&gt;50,10+60*($AG2818/100),IF($O$5&gt;40,15+70*($AG2818/100),IF($O$5&gt;30,20+70*($AG2818/100),IF($O$5&gt;20,40+55*($AG2818/100),(80+(20-$O$5)+30*($AG2818/100))))))))))</f>
        <v>100</v>
      </c>
      <c r="AI2818" s="262"/>
      <c r="AJ2818" s="262"/>
      <c r="AK2818" s="262"/>
      <c r="AL2818" s="263"/>
      <c r="AM2818" s="264"/>
      <c r="AN2818" s="263"/>
      <c r="AO2818" s="263"/>
      <c r="AP2818" s="265"/>
      <c r="AQ2818" s="266"/>
      <c r="AR2818" s="267"/>
      <c r="AS2818" s="263"/>
      <c r="AT2818" s="263"/>
      <c r="AU2818" s="263"/>
      <c r="AV2818" s="264"/>
      <c r="AW2818" s="263"/>
      <c r="AX2818" s="263"/>
      <c r="AY2818" s="263"/>
      <c r="AZ2818" s="263"/>
      <c r="BA2818" s="263"/>
      <c r="BB2818" s="263">
        <v>212</v>
      </c>
      <c r="BC2818" s="263"/>
      <c r="BD2818" s="264"/>
      <c r="BE2818" s="263"/>
      <c r="BF2818" s="263"/>
      <c r="BG2818" s="263">
        <v>23</v>
      </c>
      <c r="BH2818" s="263"/>
      <c r="BI2818" s="263"/>
      <c r="BJ2818" s="404">
        <f>altaz(J2000_Bas,$O2818,$M2818,DecLat,DecLong,2)</f>
        <v>21.914943414832667</v>
      </c>
      <c r="BK2818" s="378" t="s">
        <v>2636</v>
      </c>
      <c r="BL2818" s="379">
        <f>IF((2*G2818)/60&lt;0.2,0.2,(2*G2818)/60)</f>
        <v>0.2</v>
      </c>
      <c r="BM2818" s="380">
        <f>MOD((50000+AD2818-$B$3+(0/24)),1)</f>
        <v>0.4031279819610063</v>
      </c>
      <c r="BN2818" s="381"/>
      <c r="BO2818" s="382">
        <v>2809</v>
      </c>
    </row>
    <row r="2819" spans="1:67" s="24" customFormat="1" ht="15" customHeight="1" x14ac:dyDescent="0.25">
      <c r="A2819" s="288" t="s">
        <v>2637</v>
      </c>
      <c r="B2819" s="241" t="str">
        <f>HYPERLINK(CONCATENATE($AT$3,BK2819,$AU$3),$AV$3)</f>
        <v>S</v>
      </c>
      <c r="C2819" s="242" t="str">
        <f>HYPERLINK(CONCATENATE($AT$4,BK2819,$AU$4,BL2819),$AV$4)</f>
        <v>A</v>
      </c>
      <c r="D2819" s="243" t="s">
        <v>5187</v>
      </c>
      <c r="E2819" s="244" t="s">
        <v>5183</v>
      </c>
      <c r="F2819" s="269" t="s">
        <v>5180</v>
      </c>
      <c r="G2819" s="273">
        <v>7</v>
      </c>
      <c r="H2819" s="283">
        <v>17000</v>
      </c>
      <c r="I2819" s="246">
        <v>35</v>
      </c>
      <c r="J2819" s="246">
        <v>2</v>
      </c>
      <c r="K2819" s="247" t="s">
        <v>6343</v>
      </c>
      <c r="L2819" s="248">
        <v>42043</v>
      </c>
      <c r="M2819" s="249">
        <f>15*(LEFT(TEXT($L2819,"000000"),2)+(MID(TEXT($L2819,"000000"),3,2)/60)+(RIGHT(TEXT($L2819,"000000"),2)/3600))</f>
        <v>65.17916666666666</v>
      </c>
      <c r="N2819" s="286">
        <v>445626</v>
      </c>
      <c r="O2819" s="251">
        <f>IF($N2819&gt;0,(LEFT(TEXT($N2819,"000000"),2)+(MID(TEXT($N2819,"000000"),3,2)/60)+(RIGHT(TEXT($N2819,"000000"),2)/3600)),-(MID(TEXT($N2819,"000000"),2,2)+(MID(TEXT($N2819,"000000"),4,2)/60)+(RIGHT(TEXT($N2819,"000000"),2)/3600)))</f>
        <v>44.940555555555555</v>
      </c>
      <c r="P2819" s="252" t="s">
        <v>62</v>
      </c>
      <c r="Q2819" s="253"/>
      <c r="R2819" s="277" t="s">
        <v>3293</v>
      </c>
      <c r="S2819" s="272" t="s">
        <v>3293</v>
      </c>
      <c r="T2819" s="273"/>
      <c r="U2819" s="274"/>
      <c r="V2819" s="280"/>
      <c r="W2819" s="244"/>
      <c r="X2819" s="244"/>
      <c r="Y2819" s="362"/>
      <c r="Z2819" s="257">
        <f>altaz(J2000_Bas,$O2819,$M2819,DecLat,DecLong,1)</f>
        <v>-5.4700781080387983</v>
      </c>
      <c r="AA2819" s="257">
        <f>altaz((J2000_Bas+(2*0.04167)),$O2819,$M2819,DecLat,DecLong,1)</f>
        <v>9.5177798521339412</v>
      </c>
      <c r="AB2819" s="257">
        <f>altaz((J2000_Bas+(4*0.04167)),$O2819,$M2819,DecLat,DecLong,1)</f>
        <v>28.652904725272656</v>
      </c>
      <c r="AC2819" s="257">
        <f>altaz((J2000_Bas+(6*0.04167)),$O2819,$M2819,DecLat,DecLong,1)</f>
        <v>49.683331679963615</v>
      </c>
      <c r="AD2819" s="258">
        <f>1+ transit((J2000_Bas-1),$O2819,$M2819,DecLat,DecLong)/360 + (GMTOffset/24) + (IF(DST="Y", 1, 0)/24)</f>
        <v>1.1739531832651247</v>
      </c>
      <c r="AE2819" s="259">
        <f>DATE(2001,9,21)+(M2819/360)*365 - (360*((DecLong/360)- (GMTOffset/24) ))</f>
        <v>37226.084432870368</v>
      </c>
      <c r="AF2819" s="260">
        <f>IF(DecLat&gt;0,IF((90 - (DecLat-O2819))&gt;90, (90 - (O2819-DecLat)), (90 - (DecLat-O2819))),IF((90 + (DecLat-O2819))&gt;90, (90 + (O2819-DecLat)), (90 + (DecLat-O2819))))</f>
        <v>76.059444444444438</v>
      </c>
      <c r="AG2819" s="257">
        <f>angularseperation(MoonRA,MoonDec,$M2819,$O2819)</f>
        <v>161.84995013592135</v>
      </c>
      <c r="AH2819" s="261">
        <f ca="1">MIN(100,IF($O$5&gt;80,0+30*($AG2819/100),IF($O$5&gt;70,0+50*($AG2819/100),IF($O$5&gt;60,5+50*($AG2819/100),IF($O$5&gt;50,10+60*($AG2819/100),IF($O$5&gt;40,15+70*($AG2819/100),IF($O$5&gt;30,20+70*($AG2819/100),IF($O$5&gt;20,40+55*($AG2819/100),(80+(20-$O$5)+30*($AG2819/100))))))))))</f>
        <v>100</v>
      </c>
      <c r="AI2819" s="263"/>
      <c r="AJ2819" s="263"/>
      <c r="AK2819" s="263"/>
      <c r="AL2819" s="263"/>
      <c r="AM2819" s="264"/>
      <c r="AN2819" s="263"/>
      <c r="AO2819" s="263"/>
      <c r="AP2819" s="265"/>
      <c r="AQ2819" s="265"/>
      <c r="AR2819" s="285"/>
      <c r="AS2819" s="263"/>
      <c r="AT2819" s="263"/>
      <c r="AU2819" s="263"/>
      <c r="AV2819" s="264"/>
      <c r="AW2819" s="263"/>
      <c r="AX2819" s="263"/>
      <c r="AY2819" s="263">
        <v>731</v>
      </c>
      <c r="AZ2819" s="263"/>
      <c r="BA2819" s="263"/>
      <c r="BB2819" s="263">
        <v>213</v>
      </c>
      <c r="BC2819" s="263"/>
      <c r="BD2819" s="264"/>
      <c r="BE2819" s="263"/>
      <c r="BF2819" s="263"/>
      <c r="BG2819" s="263"/>
      <c r="BH2819" s="263"/>
      <c r="BI2819" s="263"/>
      <c r="BJ2819" s="404">
        <f>altaz(J2000_Bas,$O2819,$M2819,DecLat,DecLong,2)</f>
        <v>27.700741719530665</v>
      </c>
      <c r="BK2819" s="378" t="s">
        <v>2637</v>
      </c>
      <c r="BL2819" s="379">
        <f>IF((2*G2819)/60&lt;0.2,0.2,(2*G2819)/60)</f>
        <v>0.23333333333333334</v>
      </c>
      <c r="BM2819" s="380">
        <f>MOD((50000+AD2819-$B$3+(0/24)),1)</f>
        <v>0.38932011296856217</v>
      </c>
      <c r="BN2819" s="381"/>
      <c r="BO2819" s="382">
        <v>2810</v>
      </c>
    </row>
    <row r="2820" spans="1:67" s="24" customFormat="1" ht="15" customHeight="1" x14ac:dyDescent="0.25">
      <c r="A2820" s="288" t="s">
        <v>2638</v>
      </c>
      <c r="B2820" s="241" t="str">
        <f>HYPERLINK(CONCATENATE($AT$3,BK2820,$AU$3),$AV$3)</f>
        <v>S</v>
      </c>
      <c r="C2820" s="242" t="str">
        <f>HYPERLINK(CONCATENATE($AT$4,BK2820,$AU$4,BL2820),$AV$4)</f>
        <v>A</v>
      </c>
      <c r="D2820" s="243" t="s">
        <v>5187</v>
      </c>
      <c r="E2820" s="244" t="s">
        <v>5183</v>
      </c>
      <c r="F2820" s="269" t="s">
        <v>5180</v>
      </c>
      <c r="G2820" s="273">
        <v>4</v>
      </c>
      <c r="H2820" s="271" t="s">
        <v>6500</v>
      </c>
      <c r="I2820" s="244" t="s">
        <v>6500</v>
      </c>
      <c r="J2820" s="246">
        <v>0</v>
      </c>
      <c r="K2820" s="277" t="s">
        <v>6344</v>
      </c>
      <c r="L2820" s="248">
        <v>42200</v>
      </c>
      <c r="M2820" s="249">
        <f>15*(LEFT(TEXT($L2820,"000000"),2)+(MID(TEXT($L2820,"000000"),3,2)/60)+(RIGHT(TEXT($L2820,"000000"),2)/3600))</f>
        <v>65.5</v>
      </c>
      <c r="N2820" s="286">
        <v>442200</v>
      </c>
      <c r="O2820" s="251">
        <f>IF($N2820&gt;0,(LEFT(TEXT($N2820,"000000"),2)+(MID(TEXT($N2820,"000000"),3,2)/60)+(RIGHT(TEXT($N2820,"000000"),2)/3600)),-(MID(TEXT($N2820,"000000"),2,2)+(MID(TEXT($N2820,"000000"),4,2)/60)+(RIGHT(TEXT($N2820,"000000"),2)/3600)))</f>
        <v>44.366666666666667</v>
      </c>
      <c r="P2820" s="252" t="s">
        <v>62</v>
      </c>
      <c r="Q2820" s="253"/>
      <c r="R2820" s="277" t="s">
        <v>3293</v>
      </c>
      <c r="S2820" s="272" t="s">
        <v>3293</v>
      </c>
      <c r="T2820" s="273"/>
      <c r="U2820" s="274"/>
      <c r="V2820" s="280"/>
      <c r="W2820" s="244"/>
      <c r="X2820" s="244"/>
      <c r="Y2820" s="362"/>
      <c r="Z2820" s="257">
        <f>altaz(J2000_Bas,$O2820,$M2820,DecLat,DecLong,1)</f>
        <v>-6.0731263620062386</v>
      </c>
      <c r="AA2820" s="257">
        <f>altaz((J2000_Bas+(2*0.04167)),$O2820,$M2820,DecLat,DecLong,1)</f>
        <v>9.0021110455138302</v>
      </c>
      <c r="AB2820" s="257">
        <f>altaz((J2000_Bas+(4*0.04167)),$O2820,$M2820,DecLat,DecLong,1)</f>
        <v>28.269084225358007</v>
      </c>
      <c r="AC2820" s="257">
        <f>altaz((J2000_Bas+(6*0.04167)),$O2820,$M2820,DecLat,DecLong,1)</f>
        <v>49.480275495083255</v>
      </c>
      <c r="AD2820" s="258">
        <f>1+ transit((J2000_Bas-1),$O2820,$M2820,DecLat,DecLong)/360 + (GMTOffset/24) + (IF(DST="Y", 1, 0)/24)</f>
        <v>1.174844386879708</v>
      </c>
      <c r="AE2820" s="259">
        <f>DATE(2001,9,21)+(M2820/360)*365 - (360*((DecLong/360)- (GMTOffset/24) ))</f>
        <v>37226.409722222219</v>
      </c>
      <c r="AF2820" s="260">
        <f>IF(DecLat&gt;0,IF((90 - (DecLat-O2820))&gt;90, (90 - (O2820-DecLat)), (90 - (DecLat-O2820))),IF((90 + (DecLat-O2820))&gt;90, (90 + (O2820-DecLat)), (90 + (DecLat-O2820))))</f>
        <v>76.633333333333326</v>
      </c>
      <c r="AG2820" s="257">
        <f>angularseperation(MoonRA,MoonDec,$M2820,$O2820)</f>
        <v>162.45762773261544</v>
      </c>
      <c r="AH2820" s="261">
        <f ca="1">MIN(100,IF($O$5&gt;80,0+30*($AG2820/100),IF($O$5&gt;70,0+50*($AG2820/100),IF($O$5&gt;60,5+50*($AG2820/100),IF($O$5&gt;50,10+60*($AG2820/100),IF($O$5&gt;40,15+70*($AG2820/100),IF($O$5&gt;30,20+70*($AG2820/100),IF($O$5&gt;20,40+55*($AG2820/100),(80+(20-$O$5)+30*($AG2820/100))))))))))</f>
        <v>100</v>
      </c>
      <c r="AI2820" s="263"/>
      <c r="AJ2820" s="263"/>
      <c r="AK2820" s="263"/>
      <c r="AL2820" s="263"/>
      <c r="AM2820" s="264"/>
      <c r="AN2820" s="263"/>
      <c r="AO2820" s="263"/>
      <c r="AP2820" s="265"/>
      <c r="AQ2820" s="265"/>
      <c r="AR2820" s="285"/>
      <c r="AS2820" s="263"/>
      <c r="AT2820" s="263"/>
      <c r="AU2820" s="263"/>
      <c r="AV2820" s="264"/>
      <c r="AW2820" s="263"/>
      <c r="AX2820" s="263"/>
      <c r="AY2820" s="263"/>
      <c r="AZ2820" s="263"/>
      <c r="BA2820" s="263"/>
      <c r="BB2820" s="263">
        <v>214</v>
      </c>
      <c r="BC2820" s="263"/>
      <c r="BD2820" s="264"/>
      <c r="BE2820" s="263"/>
      <c r="BF2820" s="263"/>
      <c r="BG2820" s="263"/>
      <c r="BH2820" s="263"/>
      <c r="BI2820" s="263"/>
      <c r="BJ2820" s="404">
        <f>altaz(J2000_Bas,$O2820,$M2820,DecLat,DecLong,2)</f>
        <v>27.834721132816522</v>
      </c>
      <c r="BK2820" s="378" t="s">
        <v>2638</v>
      </c>
      <c r="BL2820" s="379">
        <f>IF((2*G2820)/60&lt;0.2,0.2,(2*G2820)/60)</f>
        <v>0.2</v>
      </c>
      <c r="BM2820" s="380">
        <f>MOD((50000+AD2820-$B$3+(0/24)),1)</f>
        <v>0.39021131658228114</v>
      </c>
      <c r="BN2820" s="381"/>
      <c r="BO2820" s="382">
        <v>2811</v>
      </c>
    </row>
    <row r="2821" spans="1:67" s="24" customFormat="1" ht="15" customHeight="1" x14ac:dyDescent="0.25">
      <c r="A2821" s="288" t="s">
        <v>2639</v>
      </c>
      <c r="B2821" s="241" t="str">
        <f>HYPERLINK(CONCATENATE($AT$3,BK2821,$AU$3),$AV$3)</f>
        <v>S</v>
      </c>
      <c r="C2821" s="242" t="str">
        <f>HYPERLINK(CONCATENATE($AT$4,BK2821,$AU$4,BL2821),$AV$4)</f>
        <v>A</v>
      </c>
      <c r="D2821" s="243" t="s">
        <v>5187</v>
      </c>
      <c r="E2821" s="244" t="s">
        <v>5181</v>
      </c>
      <c r="F2821" s="269" t="s">
        <v>4793</v>
      </c>
      <c r="G2821" s="273">
        <v>3</v>
      </c>
      <c r="H2821" s="271" t="s">
        <v>6500</v>
      </c>
      <c r="I2821" s="244" t="s">
        <v>6500</v>
      </c>
      <c r="J2821" s="246">
        <v>1</v>
      </c>
      <c r="K2821" s="247" t="s">
        <v>6345</v>
      </c>
      <c r="L2821" s="248">
        <v>41700</v>
      </c>
      <c r="M2821" s="249">
        <f>15*(LEFT(TEXT($L2821,"000000"),2)+(MID(TEXT($L2821,"000000"),3,2)/60)+(RIGHT(TEXT($L2821,"000000"),2)/3600))</f>
        <v>64.25</v>
      </c>
      <c r="N2821" s="286">
        <v>423600</v>
      </c>
      <c r="O2821" s="251">
        <f>IF($N2821&gt;0,(LEFT(TEXT($N2821,"000000"),2)+(MID(TEXT($N2821,"000000"),3,2)/60)+(RIGHT(TEXT($N2821,"000000"),2)/3600)),-(MID(TEXT($N2821,"000000"),2,2)+(MID(TEXT($N2821,"000000"),4,2)/60)+(RIGHT(TEXT($N2821,"000000"),2)/3600)))</f>
        <v>42.6</v>
      </c>
      <c r="P2821" s="252" t="s">
        <v>62</v>
      </c>
      <c r="Q2821" s="253"/>
      <c r="R2821" s="277" t="s">
        <v>3293</v>
      </c>
      <c r="S2821" s="272" t="s">
        <v>3293</v>
      </c>
      <c r="T2821" s="273"/>
      <c r="U2821" s="274"/>
      <c r="V2821" s="280"/>
      <c r="W2821" s="244"/>
      <c r="X2821" s="244"/>
      <c r="Y2821" s="362"/>
      <c r="Z2821" s="257">
        <f>altaz(J2000_Bas,$O2821,$M2821,DecLat,DecLong,1)</f>
        <v>-7.0130248715048911</v>
      </c>
      <c r="AA2821" s="257">
        <f>altaz((J2000_Bas+(2*0.04167)),$O2821,$M2821,DecLat,DecLong,1)</f>
        <v>8.7391065645025492</v>
      </c>
      <c r="AB2821" s="257">
        <f>altaz((J2000_Bas+(4*0.04167)),$O2821,$M2821,DecLat,DecLong,1)</f>
        <v>28.617312634446375</v>
      </c>
      <c r="AC2821" s="257">
        <f>altaz((J2000_Bas+(6*0.04167)),$O2821,$M2821,DecLat,DecLong,1)</f>
        <v>50.43132810660547</v>
      </c>
      <c r="AD2821" s="258">
        <f>1+ transit((J2000_Bas-1),$O2821,$M2821,DecLat,DecLong)/360 + (GMTOffset/24) + (IF(DST="Y", 1, 0)/24)</f>
        <v>1.171372165004708</v>
      </c>
      <c r="AE2821" s="259">
        <f>DATE(2001,9,21)+(M2821/360)*365 - (360*((DecLong/360)- (GMTOffset/24) ))</f>
        <v>37225.142361111109</v>
      </c>
      <c r="AF2821" s="260">
        <f>IF(DecLat&gt;0,IF((90 - (DecLat-O2821))&gt;90, (90 - (O2821-DecLat)), (90 - (DecLat-O2821))),IF((90 + (DecLat-O2821))&gt;90, (90 + (O2821-DecLat)), (90 + (DecLat-O2821))))</f>
        <v>78.400000000000006</v>
      </c>
      <c r="AG2821" s="257">
        <f>angularseperation(MoonRA,MoonDec,$M2821,$O2821)</f>
        <v>163.96027894166841</v>
      </c>
      <c r="AH2821" s="261">
        <f ca="1">MIN(100,IF($O$5&gt;80,0+30*($AG2821/100),IF($O$5&gt;70,0+50*($AG2821/100),IF($O$5&gt;60,5+50*($AG2821/100),IF($O$5&gt;50,10+60*($AG2821/100),IF($O$5&gt;40,15+70*($AG2821/100),IF($O$5&gt;30,20+70*($AG2821/100),IF($O$5&gt;20,40+55*($AG2821/100),(80+(20-$O$5)+30*($AG2821/100))))))))))</f>
        <v>100</v>
      </c>
      <c r="AI2821" s="263"/>
      <c r="AJ2821" s="263"/>
      <c r="AK2821" s="263"/>
      <c r="AL2821" s="263"/>
      <c r="AM2821" s="264"/>
      <c r="AN2821" s="263"/>
      <c r="AO2821" s="263"/>
      <c r="AP2821" s="265"/>
      <c r="AQ2821" s="265"/>
      <c r="AR2821" s="285"/>
      <c r="AS2821" s="263"/>
      <c r="AT2821" s="263"/>
      <c r="AU2821" s="263"/>
      <c r="AV2821" s="264"/>
      <c r="AW2821" s="263"/>
      <c r="AX2821" s="263"/>
      <c r="AY2821" s="263"/>
      <c r="AZ2821" s="263"/>
      <c r="BA2821" s="263"/>
      <c r="BB2821" s="263">
        <v>215</v>
      </c>
      <c r="BC2821" s="263"/>
      <c r="BD2821" s="264"/>
      <c r="BE2821" s="263"/>
      <c r="BF2821" s="263"/>
      <c r="BG2821" s="263"/>
      <c r="BH2821" s="263"/>
      <c r="BI2821" s="263"/>
      <c r="BJ2821" s="404">
        <f>altaz(J2000_Bas,$O2821,$M2821,DecLat,DecLong,2)</f>
        <v>29.595507426751013</v>
      </c>
      <c r="BK2821" s="378" t="s">
        <v>2639</v>
      </c>
      <c r="BL2821" s="379">
        <f>IF((2*G2821)/60&lt;0.2,0.2,(2*G2821)/60)</f>
        <v>0.2</v>
      </c>
      <c r="BM2821" s="380">
        <f>MOD((50000+AD2821-$B$3+(0/24)),1)</f>
        <v>0.38673909470526269</v>
      </c>
      <c r="BN2821" s="381"/>
      <c r="BO2821" s="382">
        <v>2812</v>
      </c>
    </row>
    <row r="2822" spans="1:67" s="24" customFormat="1" ht="15" customHeight="1" x14ac:dyDescent="0.25">
      <c r="A2822" s="288" t="s">
        <v>2640</v>
      </c>
      <c r="B2822" s="241" t="str">
        <f>HYPERLINK(CONCATENATE($AT$3,BK2822,$AU$3),$AV$3)</f>
        <v>S</v>
      </c>
      <c r="C2822" s="242" t="str">
        <f>HYPERLINK(CONCATENATE($AT$4,BK2822,$AU$4,BL2822),$AV$4)</f>
        <v>A</v>
      </c>
      <c r="D2822" s="243" t="s">
        <v>5187</v>
      </c>
      <c r="E2822" s="244" t="s">
        <v>5181</v>
      </c>
      <c r="F2822" s="269" t="s">
        <v>5251</v>
      </c>
      <c r="G2822" s="276">
        <v>120</v>
      </c>
      <c r="H2822" s="283">
        <v>420</v>
      </c>
      <c r="I2822" s="246">
        <v>15</v>
      </c>
      <c r="J2822" s="246">
        <v>3</v>
      </c>
      <c r="K2822" s="247" t="s">
        <v>5250</v>
      </c>
      <c r="L2822" s="248">
        <v>44321</v>
      </c>
      <c r="M2822" s="249">
        <f>15*(LEFT(TEXT($L2822,"000000"),2)+(MID(TEXT($L2822,"000000"),3,2)/60)+(RIGHT(TEXT($L2822,"000000"),2)/3600))</f>
        <v>70.837500000000006</v>
      </c>
      <c r="N2822" s="250">
        <v>464206</v>
      </c>
      <c r="O2822" s="251">
        <f>IF($N2822&gt;0,(LEFT(TEXT($N2822,"000000"),2)+(MID(TEXT($N2822,"000000"),3,2)/60)+(RIGHT(TEXT($N2822,"000000"),2)/3600)),-(MID(TEXT($N2822,"000000"),2,2)+(MID(TEXT($N2822,"000000"),4,2)/60)+(RIGHT(TEXT($N2822,"000000"),2)/3600)))</f>
        <v>46.701666666666668</v>
      </c>
      <c r="P2822" s="252" t="s">
        <v>43</v>
      </c>
      <c r="Q2822" s="253"/>
      <c r="R2822" s="247" t="s">
        <v>2641</v>
      </c>
      <c r="S2822" s="272" t="s">
        <v>3293</v>
      </c>
      <c r="T2822" s="273">
        <v>12.9</v>
      </c>
      <c r="U2822" s="274"/>
      <c r="V2822" s="280"/>
      <c r="W2822" s="244"/>
      <c r="X2822" s="244"/>
      <c r="Y2822" s="362"/>
      <c r="Z2822" s="257">
        <f>altaz(J2000_Bas,$O2822,$M2822,DecLat,DecLong,1)</f>
        <v>-6.0685375440684171</v>
      </c>
      <c r="AA2822" s="257">
        <f>altaz((J2000_Bas+(2*0.04167)),$O2822,$M2822,DecLat,DecLong,1)</f>
        <v>7.396309711623541</v>
      </c>
      <c r="AB2822" s="257">
        <f>altaz((J2000_Bas+(4*0.04167)),$O2822,$M2822,DecLat,DecLong,1)</f>
        <v>25.435190720733321</v>
      </c>
      <c r="AC2822" s="257">
        <f>altaz((J2000_Bas+(6*0.04167)),$O2822,$M2822,DecLat,DecLong,1)</f>
        <v>45.686171680884868</v>
      </c>
      <c r="AD2822" s="258">
        <f>1+ transit((J2000_Bas-1),$O2822,$M2822,DecLat,DecLong)/360 + (GMTOffset/24) + (IF(DST="Y", 1, 0)/24)</f>
        <v>1.189670774285958</v>
      </c>
      <c r="AE2822" s="259">
        <f>DATE(2001,9,21)+(M2822/360)*365 - (360*((DecLong/360)- (GMTOffset/24) ))</f>
        <v>37231.82135416667</v>
      </c>
      <c r="AF2822" s="260">
        <f>IF(DecLat&gt;0,IF((90 - (DecLat-O2822))&gt;90, (90 - (O2822-DecLat)), (90 - (DecLat-O2822))),IF((90 + (DecLat-O2822))&gt;90, (90 + (O2822-DecLat)), (90 + (DecLat-O2822))))</f>
        <v>74.298333333333332</v>
      </c>
      <c r="AG2822" s="257">
        <f>angularseperation(MoonRA,MoonDec,$M2822,$O2822)</f>
        <v>160.34206383337252</v>
      </c>
      <c r="AH2822" s="261">
        <f ca="1">MIN(100,IF($O$5&gt;80,0+30*($AG2822/100),IF($O$5&gt;70,0+50*($AG2822/100),IF($O$5&gt;60,5+50*($AG2822/100),IF($O$5&gt;50,10+60*($AG2822/100),IF($O$5&gt;40,15+70*($AG2822/100),IF($O$5&gt;30,20+70*($AG2822/100),IF($O$5&gt;20,40+55*($AG2822/100),(80+(20-$O$5)+30*($AG2822/100))))))))))</f>
        <v>100</v>
      </c>
      <c r="AI2822" s="262"/>
      <c r="AJ2822" s="262"/>
      <c r="AK2822" s="262"/>
      <c r="AL2822" s="263"/>
      <c r="AM2822" s="264"/>
      <c r="AN2822" s="263"/>
      <c r="AO2822" s="263"/>
      <c r="AP2822" s="265"/>
      <c r="AQ2822" s="266"/>
      <c r="AR2822" s="267"/>
      <c r="AS2822" s="263"/>
      <c r="AT2822" s="263"/>
      <c r="AU2822" s="263"/>
      <c r="AV2822" s="264"/>
      <c r="AW2822" s="263"/>
      <c r="AX2822" s="263"/>
      <c r="AY2822" s="263"/>
      <c r="AZ2822" s="263"/>
      <c r="BA2822" s="263"/>
      <c r="BB2822" s="263">
        <v>216</v>
      </c>
      <c r="BC2822" s="263"/>
      <c r="BD2822" s="264"/>
      <c r="BE2822" s="263"/>
      <c r="BF2822" s="263"/>
      <c r="BG2822" s="263"/>
      <c r="BH2822" s="263"/>
      <c r="BI2822" s="263">
        <v>32</v>
      </c>
      <c r="BJ2822" s="404">
        <f>altaz(J2000_Bas,$O2822,$M2822,DecLat,DecLong,2)</f>
        <v>23.40327531083058</v>
      </c>
      <c r="BK2822" s="378" t="s">
        <v>2640</v>
      </c>
      <c r="BL2822" s="379">
        <f>IF((2*G2822)/60&lt;0.2,0.2,(2*G2822)/60)</f>
        <v>4</v>
      </c>
      <c r="BM2822" s="380">
        <f>MOD((50000+AD2822-$B$3+(0/24)),1)</f>
        <v>0.40503770398936467</v>
      </c>
      <c r="BN2822" s="381"/>
      <c r="BO2822" s="382">
        <v>2813</v>
      </c>
    </row>
    <row r="2823" spans="1:67" s="24" customFormat="1" ht="15" customHeight="1" x14ac:dyDescent="0.25">
      <c r="A2823" s="288" t="s">
        <v>2642</v>
      </c>
      <c r="B2823" s="241" t="str">
        <f>HYPERLINK(CONCATENATE($AT$3,BK2823,$AU$3),$AV$3)</f>
        <v>S</v>
      </c>
      <c r="C2823" s="242" t="str">
        <f>HYPERLINK(CONCATENATE($AT$4,BK2823,$AU$4,BL2823),$AV$4)</f>
        <v>A</v>
      </c>
      <c r="D2823" s="243" t="s">
        <v>5187</v>
      </c>
      <c r="E2823" s="244" t="s">
        <v>5183</v>
      </c>
      <c r="F2823" s="269" t="s">
        <v>5180</v>
      </c>
      <c r="G2823" s="273">
        <v>9</v>
      </c>
      <c r="H2823" s="283">
        <v>14000</v>
      </c>
      <c r="I2823" s="246">
        <v>36</v>
      </c>
      <c r="J2823" s="246">
        <v>1</v>
      </c>
      <c r="K2823" s="247" t="s">
        <v>6346</v>
      </c>
      <c r="L2823" s="248">
        <v>45846</v>
      </c>
      <c r="M2823" s="249">
        <f>15*(LEFT(TEXT($L2823,"000000"),2)+(MID(TEXT($L2823,"000000"),3,2)/60)+(RIGHT(TEXT($L2823,"000000"),2)/3600))</f>
        <v>74.691666666666677</v>
      </c>
      <c r="N2823" s="250">
        <v>475936</v>
      </c>
      <c r="O2823" s="251">
        <f>IF($N2823&gt;0,(LEFT(TEXT($N2823,"000000"),2)+(MID(TEXT($N2823,"000000"),3,2)/60)+(RIGHT(TEXT($N2823,"000000"),2)/3600)),-(MID(TEXT($N2823,"000000"),2,2)+(MID(TEXT($N2823,"000000"),4,2)/60)+(RIGHT(TEXT($N2823,"000000"),2)/3600)))</f>
        <v>47.993333333333332</v>
      </c>
      <c r="P2823" s="252" t="s">
        <v>62</v>
      </c>
      <c r="Q2823" s="253"/>
      <c r="R2823" s="277" t="s">
        <v>3293</v>
      </c>
      <c r="S2823" s="272" t="s">
        <v>3293</v>
      </c>
      <c r="T2823" s="273"/>
      <c r="U2823" s="274"/>
      <c r="V2823" s="280"/>
      <c r="W2823" s="244"/>
      <c r="X2823" s="244"/>
      <c r="Y2823" s="362"/>
      <c r="Z2823" s="257">
        <f>altaz(J2000_Bas,$O2823,$M2823,DecLat,DecLong,1)</f>
        <v>-6.1642638587837206</v>
      </c>
      <c r="AA2823" s="257">
        <f>altaz((J2000_Bas+(2*0.04167)),$O2823,$M2823,DecLat,DecLong,1)</f>
        <v>6.2044043218590552</v>
      </c>
      <c r="AB2823" s="257">
        <f>altaz((J2000_Bas+(4*0.04167)),$O2823,$M2823,DecLat,DecLong,1)</f>
        <v>23.423482758101716</v>
      </c>
      <c r="AC2823" s="257">
        <f>altaz((J2000_Bas+(6*0.04167)),$O2823,$M2823,DecLat,DecLong,1)</f>
        <v>43.076978607486538</v>
      </c>
      <c r="AD2823" s="258">
        <f>1+ transit((J2000_Bas-1),$O2823,$M2823,DecLat,DecLong)/360 + (GMTOffset/24) + (IF(DST="Y", 1, 0)/24)</f>
        <v>1.2003767917338748</v>
      </c>
      <c r="AE2823" s="259">
        <f>DATE(2001,9,21)+(M2823/360)*365 - (360*((DecLong/360)- (GMTOffset/24) ))</f>
        <v>37235.729050925926</v>
      </c>
      <c r="AF2823" s="260">
        <f>IF(DecLat&gt;0,IF((90 - (DecLat-O2823))&gt;90, (90 - (O2823-DecLat)), (90 - (DecLat-O2823))),IF((90 + (DecLat-O2823))&gt;90, (90 + (O2823-DecLat)), (90 + (DecLat-O2823))))</f>
        <v>73.006666666666661</v>
      </c>
      <c r="AG2823" s="257">
        <f>angularseperation(MoonRA,MoonDec,$M2823,$O2823)</f>
        <v>158.66256583217205</v>
      </c>
      <c r="AH2823" s="261">
        <f ca="1">MIN(100,IF($O$5&gt;80,0+30*($AG2823/100),IF($O$5&gt;70,0+50*($AG2823/100),IF($O$5&gt;60,5+50*($AG2823/100),IF($O$5&gt;50,10+60*($AG2823/100),IF($O$5&gt;40,15+70*($AG2823/100),IF($O$5&gt;30,20+70*($AG2823/100),IF($O$5&gt;20,40+55*($AG2823/100),(80+(20-$O$5)+30*($AG2823/100))))))))))</f>
        <v>100</v>
      </c>
      <c r="AI2823" s="263"/>
      <c r="AJ2823" s="263"/>
      <c r="AK2823" s="263"/>
      <c r="AL2823" s="263"/>
      <c r="AM2823" s="264"/>
      <c r="AN2823" s="263"/>
      <c r="AO2823" s="263"/>
      <c r="AP2823" s="265"/>
      <c r="AQ2823" s="265"/>
      <c r="AR2823" s="285"/>
      <c r="AS2823" s="263"/>
      <c r="AT2823" s="263"/>
      <c r="AU2823" s="263"/>
      <c r="AV2823" s="264"/>
      <c r="AW2823" s="263"/>
      <c r="AX2823" s="263"/>
      <c r="AY2823" s="263">
        <v>745</v>
      </c>
      <c r="AZ2823" s="263"/>
      <c r="BA2823" s="263"/>
      <c r="BB2823" s="263">
        <v>217</v>
      </c>
      <c r="BC2823" s="263"/>
      <c r="BD2823" s="264"/>
      <c r="BE2823" s="263"/>
      <c r="BF2823" s="263"/>
      <c r="BG2823" s="263"/>
      <c r="BH2823" s="263"/>
      <c r="BI2823" s="263"/>
      <c r="BJ2823" s="404">
        <f>altaz(J2000_Bas,$O2823,$M2823,DecLat,DecLong,2)</f>
        <v>20.475263231182396</v>
      </c>
      <c r="BK2823" s="378" t="s">
        <v>2642</v>
      </c>
      <c r="BL2823" s="379">
        <f>IF((2*G2823)/60&lt;0.2,0.2,(2*G2823)/60)</f>
        <v>0.3</v>
      </c>
      <c r="BM2823" s="380">
        <f>MOD((50000+AD2823-$B$3+(0/24)),1)</f>
        <v>0.41574372143804794</v>
      </c>
      <c r="BN2823" s="381"/>
      <c r="BO2823" s="382">
        <v>2814</v>
      </c>
    </row>
    <row r="2824" spans="1:67" s="24" customFormat="1" ht="15" customHeight="1" x14ac:dyDescent="0.25">
      <c r="A2824" s="288" t="s">
        <v>2643</v>
      </c>
      <c r="B2824" s="241" t="str">
        <f>HYPERLINK(CONCATENATE($AT$3,BK2824,$AU$3),$AV$3)</f>
        <v>S</v>
      </c>
      <c r="C2824" s="242" t="str">
        <f>HYPERLINK(CONCATENATE($AT$4,BK2824,$AU$4,BL2824),$AV$4)</f>
        <v>A</v>
      </c>
      <c r="D2824" s="243" t="s">
        <v>5187</v>
      </c>
      <c r="E2824" s="244" t="s">
        <v>7522</v>
      </c>
      <c r="F2824" s="269"/>
      <c r="G2824" s="276">
        <v>66</v>
      </c>
      <c r="H2824" s="271" t="s">
        <v>6500</v>
      </c>
      <c r="I2824" s="244" t="s">
        <v>6500</v>
      </c>
      <c r="J2824" s="246">
        <v>0</v>
      </c>
      <c r="K2824" s="247" t="s">
        <v>6347</v>
      </c>
      <c r="L2824" s="248">
        <v>54100</v>
      </c>
      <c r="M2824" s="249">
        <f>15*(LEFT(TEXT($L2824,"000000"),2)+(MID(TEXT($L2824,"000000"),3,2)/60)+(RIGHT(TEXT($L2824,"000000"),2)/3600))</f>
        <v>85.25</v>
      </c>
      <c r="N2824" s="286">
        <v>521000</v>
      </c>
      <c r="O2824" s="251">
        <f>IF($N2824&gt;0,(LEFT(TEXT($N2824,"000000"),2)+(MID(TEXT($N2824,"000000"),3,2)/60)+(RIGHT(TEXT($N2824,"000000"),2)/3600)),-(MID(TEXT($N2824,"000000"),2,2)+(MID(TEXT($N2824,"000000"),4,2)/60)+(RIGHT(TEXT($N2824,"000000"),2)/3600)))</f>
        <v>52.166666666666664</v>
      </c>
      <c r="P2824" s="252" t="s">
        <v>62</v>
      </c>
      <c r="Q2824" s="253"/>
      <c r="R2824" s="277" t="s">
        <v>3293</v>
      </c>
      <c r="S2824" s="272" t="s">
        <v>3293</v>
      </c>
      <c r="T2824" s="273"/>
      <c r="U2824" s="274"/>
      <c r="V2824" s="280"/>
      <c r="W2824" s="244"/>
      <c r="X2824" s="244"/>
      <c r="Y2824" s="362"/>
      <c r="Z2824" s="257">
        <f>altaz(J2000_Bas,$O2824,$M2824,DecLat,DecLong,1)</f>
        <v>-4.8685447969206619</v>
      </c>
      <c r="AA2824" s="257">
        <f>altaz((J2000_Bas+(2*0.04167)),$O2824,$M2824,DecLat,DecLong,1)</f>
        <v>4.2866418081739006</v>
      </c>
      <c r="AB2824" s="257">
        <f>altaz((J2000_Bas+(4*0.04167)),$O2824,$M2824,DecLat,DecLong,1)</f>
        <v>18.89410715291158</v>
      </c>
      <c r="AC2824" s="257">
        <f>altaz((J2000_Bas+(6*0.04167)),$O2824,$M2824,DecLat,DecLong,1)</f>
        <v>36.530068716078986</v>
      </c>
      <c r="AD2824" s="258">
        <f>1+ transit((J2000_Bas-1),$O2824,$M2824,DecLat,DecLong)/360 + (GMTOffset/24) + (IF(DST="Y", 1, 0)/24)</f>
        <v>1.229705492504708</v>
      </c>
      <c r="AE2824" s="259">
        <f>DATE(2001,9,21)+(M2824/360)*365 - (360*((DecLong/360)- (GMTOffset/24) ))</f>
        <v>37246.434027777781</v>
      </c>
      <c r="AF2824" s="260">
        <f>IF(DecLat&gt;0,IF((90 - (DecLat-O2824))&gt;90, (90 - (O2824-DecLat)), (90 - (DecLat-O2824))),IF((90 + (DecLat-O2824))&gt;90, (90 + (O2824-DecLat)), (90 + (DecLat-O2824))))</f>
        <v>68.833333333333343</v>
      </c>
      <c r="AG2824" s="257">
        <f>angularseperation(MoonRA,MoonDec,$M2824,$O2824)</f>
        <v>152.1926778255569</v>
      </c>
      <c r="AH2824" s="261">
        <f ca="1">MIN(100,IF($O$5&gt;80,0+30*($AG2824/100),IF($O$5&gt;70,0+50*($AG2824/100),IF($O$5&gt;60,5+50*($AG2824/100),IF($O$5&gt;50,10+60*($AG2824/100),IF($O$5&gt;40,15+70*($AG2824/100),IF($O$5&gt;30,20+70*($AG2824/100),IF($O$5&gt;20,40+55*($AG2824/100),(80+(20-$O$5)+30*($AG2824/100))))))))))</f>
        <v>100</v>
      </c>
      <c r="AI2824" s="263"/>
      <c r="AJ2824" s="263"/>
      <c r="AK2824" s="263"/>
      <c r="AL2824" s="263"/>
      <c r="AM2824" s="264"/>
      <c r="AN2824" s="263"/>
      <c r="AO2824" s="263"/>
      <c r="AP2824" s="265"/>
      <c r="AQ2824" s="265"/>
      <c r="AR2824" s="285"/>
      <c r="AS2824" s="263"/>
      <c r="AT2824" s="263"/>
      <c r="AU2824" s="263"/>
      <c r="AV2824" s="264"/>
      <c r="AW2824" s="263"/>
      <c r="AX2824" s="263"/>
      <c r="AY2824" s="263">
        <v>750</v>
      </c>
      <c r="AZ2824" s="263"/>
      <c r="BA2824" s="263"/>
      <c r="BB2824" s="263">
        <v>218</v>
      </c>
      <c r="BC2824" s="263"/>
      <c r="BD2824" s="264"/>
      <c r="BE2824" s="263"/>
      <c r="BF2824" s="263"/>
      <c r="BG2824" s="263"/>
      <c r="BH2824" s="263"/>
      <c r="BI2824" s="263"/>
      <c r="BJ2824" s="404">
        <f>altaz(J2000_Bas,$O2824,$M2824,DecLat,DecLong,2)</f>
        <v>12.598845921090176</v>
      </c>
      <c r="BK2824" s="378" t="s">
        <v>2643</v>
      </c>
      <c r="BL2824" s="379">
        <f>IF((2*G2824)/60&lt;0.2,0.2,(2*G2824)/60)</f>
        <v>2.2000000000000002</v>
      </c>
      <c r="BM2824" s="380">
        <f>MOD((50000+AD2824-$B$3+(0/24)),1)</f>
        <v>0.4450724222115241</v>
      </c>
      <c r="BN2824" s="381"/>
      <c r="BO2824" s="382">
        <v>2815</v>
      </c>
    </row>
    <row r="2825" spans="1:67" s="24" customFormat="1" ht="15" customHeight="1" x14ac:dyDescent="0.25">
      <c r="A2825" s="288" t="s">
        <v>2644</v>
      </c>
      <c r="B2825" s="241" t="str">
        <f>HYPERLINK(CONCATENATE($AT$3,BK2825,$AU$3),$AV$3)</f>
        <v>S</v>
      </c>
      <c r="C2825" s="242" t="str">
        <f>HYPERLINK(CONCATENATE($AT$4,BK2825,$AU$4,BL2825),$AV$4)</f>
        <v>A</v>
      </c>
      <c r="D2825" s="243" t="s">
        <v>5187</v>
      </c>
      <c r="E2825" s="244" t="s">
        <v>5183</v>
      </c>
      <c r="F2825" s="269" t="s">
        <v>5180</v>
      </c>
      <c r="G2825" s="273">
        <v>3</v>
      </c>
      <c r="H2825" s="283">
        <v>13000</v>
      </c>
      <c r="I2825" s="246">
        <v>12</v>
      </c>
      <c r="J2825" s="246">
        <v>1</v>
      </c>
      <c r="K2825" s="247" t="s">
        <v>6348</v>
      </c>
      <c r="L2825" s="248">
        <v>45606</v>
      </c>
      <c r="M2825" s="249">
        <f>15*(LEFT(TEXT($L2825,"000000"),2)+(MID(TEXT($L2825,"000000"),3,2)/60)+(RIGHT(TEXT($L2825,"000000"),2)/3600))</f>
        <v>74.025000000000006</v>
      </c>
      <c r="N2825" s="250">
        <v>472233</v>
      </c>
      <c r="O2825" s="251">
        <f>IF($N2825&gt;0,(LEFT(TEXT($N2825,"000000"),2)+(MID(TEXT($N2825,"000000"),3,2)/60)+(RIGHT(TEXT($N2825,"000000"),2)/3600)),-(MID(TEXT($N2825,"000000"),2,2)+(MID(TEXT($N2825,"000000"),4,2)/60)+(RIGHT(TEXT($N2825,"000000"),2)/3600)))</f>
        <v>47.375833333333333</v>
      </c>
      <c r="P2825" s="252" t="s">
        <v>62</v>
      </c>
      <c r="Q2825" s="253"/>
      <c r="R2825" s="277" t="s">
        <v>3293</v>
      </c>
      <c r="S2825" s="272" t="s">
        <v>3293</v>
      </c>
      <c r="T2825" s="273"/>
      <c r="U2825" s="274"/>
      <c r="V2825" s="280"/>
      <c r="W2825" s="244"/>
      <c r="X2825" s="244"/>
      <c r="Y2825" s="362"/>
      <c r="Z2825" s="257">
        <f>altaz(J2000_Bas,$O2825,$M2825,DecLat,DecLong,1)</f>
        <v>-6.5118579055328896</v>
      </c>
      <c r="AA2825" s="257">
        <f>altaz((J2000_Bas+(2*0.04167)),$O2825,$M2825,DecLat,DecLong,1)</f>
        <v>6.1433767487759185</v>
      </c>
      <c r="AB2825" s="257">
        <f>altaz((J2000_Bas+(4*0.04167)),$O2825,$M2825,DecLat,DecLong,1)</f>
        <v>23.622832417032907</v>
      </c>
      <c r="AC2825" s="257">
        <f>altaz((J2000_Bas+(6*0.04167)),$O2825,$M2825,DecLat,DecLong,1)</f>
        <v>43.515700399018769</v>
      </c>
      <c r="AD2825" s="258">
        <f>1+ transit((J2000_Bas-1),$O2825,$M2825,DecLat,DecLong)/360 + (GMTOffset/24) + (IF(DST="Y", 1, 0)/24)</f>
        <v>1.198524940067208</v>
      </c>
      <c r="AE2825" s="259">
        <f>DATE(2001,9,21)+(M2825/360)*365 - (360*((DecLong/360)- (GMTOffset/24) ))</f>
        <v>37235.053124999999</v>
      </c>
      <c r="AF2825" s="260">
        <f>IF(DecLat&gt;0,IF((90 - (DecLat-O2825))&gt;90, (90 - (O2825-DecLat)), (90 - (DecLat-O2825))),IF((90 + (DecLat-O2825))&gt;90, (90 + (O2825-DecLat)), (90 + (DecLat-O2825))))</f>
        <v>73.624166666666667</v>
      </c>
      <c r="AG2825" s="257">
        <f>angularseperation(MoonRA,MoonDec,$M2825,$O2825)</f>
        <v>159.36415894835235</v>
      </c>
      <c r="AH2825" s="261">
        <f ca="1">MIN(100,IF($O$5&gt;80,0+30*($AG2825/100),IF($O$5&gt;70,0+50*($AG2825/100),IF($O$5&gt;60,5+50*($AG2825/100),IF($O$5&gt;50,10+60*($AG2825/100),IF($O$5&gt;40,15+70*($AG2825/100),IF($O$5&gt;30,20+70*($AG2825/100),IF($O$5&gt;20,40+55*($AG2825/100),(80+(20-$O$5)+30*($AG2825/100))))))))))</f>
        <v>100</v>
      </c>
      <c r="AI2825" s="263"/>
      <c r="AJ2825" s="263"/>
      <c r="AK2825" s="263"/>
      <c r="AL2825" s="263"/>
      <c r="AM2825" s="264"/>
      <c r="AN2825" s="263"/>
      <c r="AO2825" s="263"/>
      <c r="AP2825" s="265"/>
      <c r="AQ2825" s="265"/>
      <c r="AR2825" s="285"/>
      <c r="AS2825" s="263"/>
      <c r="AT2825" s="263"/>
      <c r="AU2825" s="263"/>
      <c r="AV2825" s="264"/>
      <c r="AW2825" s="263"/>
      <c r="AX2825" s="263"/>
      <c r="AY2825" s="263">
        <v>747</v>
      </c>
      <c r="AZ2825" s="263"/>
      <c r="BA2825" s="263"/>
      <c r="BB2825" s="263">
        <v>219</v>
      </c>
      <c r="BC2825" s="263"/>
      <c r="BD2825" s="264"/>
      <c r="BE2825" s="263"/>
      <c r="BF2825" s="263"/>
      <c r="BG2825" s="263"/>
      <c r="BH2825" s="263"/>
      <c r="BI2825" s="263"/>
      <c r="BJ2825" s="404">
        <f>altaz(J2000_Bas,$O2825,$M2825,DecLat,DecLong,2)</f>
        <v>21.159078188936338</v>
      </c>
      <c r="BK2825" s="378" t="s">
        <v>2644</v>
      </c>
      <c r="BL2825" s="379">
        <f>IF((2*G2825)/60&lt;0.2,0.2,(2*G2825)/60)</f>
        <v>0.2</v>
      </c>
      <c r="BM2825" s="380">
        <f>MOD((50000+AD2825-$B$3+(0/24)),1)</f>
        <v>0.41389186977175996</v>
      </c>
      <c r="BN2825" s="381"/>
      <c r="BO2825" s="382">
        <v>2816</v>
      </c>
    </row>
    <row r="2826" spans="1:67" s="24" customFormat="1" ht="15" customHeight="1" x14ac:dyDescent="0.25">
      <c r="A2826" s="288" t="s">
        <v>2645</v>
      </c>
      <c r="B2826" s="241" t="str">
        <f>HYPERLINK(CONCATENATE($AT$3,BK2826,$AU$3),$AV$3)</f>
        <v>S</v>
      </c>
      <c r="C2826" s="242" t="str">
        <f>HYPERLINK(CONCATENATE($AT$4,BK2826,$AU$4,BL2826),$AV$4)</f>
        <v>A</v>
      </c>
      <c r="D2826" s="243" t="s">
        <v>5187</v>
      </c>
      <c r="E2826" s="244" t="s">
        <v>16</v>
      </c>
      <c r="F2826" s="269"/>
      <c r="G2826" s="276">
        <v>120</v>
      </c>
      <c r="H2826" s="283">
        <v>2600</v>
      </c>
      <c r="I2826" s="246">
        <v>90</v>
      </c>
      <c r="J2826" s="246">
        <v>2</v>
      </c>
      <c r="K2826" s="247" t="s">
        <v>6349</v>
      </c>
      <c r="L2826" s="248">
        <v>50142</v>
      </c>
      <c r="M2826" s="249">
        <f>15*(LEFT(TEXT($L2826,"000000"),2)+(MID(TEXT($L2826,"000000"),3,2)/60)+(RIGHT(TEXT($L2826,"000000"),2)/3600))</f>
        <v>75.424999999999997</v>
      </c>
      <c r="N2826" s="250">
        <v>462000</v>
      </c>
      <c r="O2826" s="251">
        <f>IF($N2826&gt;0,(LEFT(TEXT($N2826,"000000"),2)+(MID(TEXT($N2826,"000000"),3,2)/60)+(RIGHT(TEXT($N2826,"000000"),2)/3600)),-(MID(TEXT($N2826,"000000"),2,2)+(MID(TEXT($N2826,"000000"),4,2)/60)+(RIGHT(TEXT($N2826,"000000"),2)/3600)))</f>
        <v>46.333333333333336</v>
      </c>
      <c r="P2826" s="252" t="s">
        <v>62</v>
      </c>
      <c r="Q2826" s="253"/>
      <c r="R2826" s="277" t="s">
        <v>3293</v>
      </c>
      <c r="S2826" s="272" t="s">
        <v>3293</v>
      </c>
      <c r="T2826" s="273"/>
      <c r="U2826" s="274"/>
      <c r="V2826" s="280"/>
      <c r="W2826" s="244"/>
      <c r="X2826" s="244"/>
      <c r="Y2826" s="362"/>
      <c r="Z2826" s="257">
        <f>altaz(J2000_Bas,$O2826,$M2826,DecLat,DecLong,1)</f>
        <v>-7.8729918618918742</v>
      </c>
      <c r="AA2826" s="257">
        <f>altaz((J2000_Bas+(2*0.04167)),$O2826,$M2826,DecLat,DecLong,1)</f>
        <v>4.7371765669488894</v>
      </c>
      <c r="AB2826" s="257">
        <f>altaz((J2000_Bas+(4*0.04167)),$O2826,$M2826,DecLat,DecLong,1)</f>
        <v>22.350754158914576</v>
      </c>
      <c r="AC2826" s="257">
        <f>altaz((J2000_Bas+(6*0.04167)),$O2826,$M2826,DecLat,DecLong,1)</f>
        <v>42.523139876826576</v>
      </c>
      <c r="AD2826" s="258">
        <f>1+ transit((J2000_Bas-1),$O2826,$M2826,DecLat,DecLong)/360 + (GMTOffset/24) + (IF(DST="Y", 1, 0)/24)</f>
        <v>1.2024138285672079</v>
      </c>
      <c r="AE2826" s="259">
        <f>DATE(2001,9,21)+(M2826/360)*365 - (360*((DecLong/360)- (GMTOffset/24) ))</f>
        <v>37236.472569444442</v>
      </c>
      <c r="AF2826" s="260">
        <f>IF(DecLat&gt;0,IF((90 - (DecLat-O2826))&gt;90, (90 - (O2826-DecLat)), (90 - (DecLat-O2826))),IF((90 + (DecLat-O2826))&gt;90, (90 + (O2826-DecLat)), (90 + (DecLat-O2826))))</f>
        <v>74.666666666666657</v>
      </c>
      <c r="AG2826" s="257">
        <f>angularseperation(MoonRA,MoonDec,$M2826,$O2826)</f>
        <v>160.13861181501986</v>
      </c>
      <c r="AH2826" s="261">
        <f ca="1">MIN(100,IF($O$5&gt;80,0+30*($AG2826/100),IF($O$5&gt;70,0+50*($AG2826/100),IF($O$5&gt;60,5+50*($AG2826/100),IF($O$5&gt;50,10+60*($AG2826/100),IF($O$5&gt;40,15+70*($AG2826/100),IF($O$5&gt;30,20+70*($AG2826/100),IF($O$5&gt;20,40+55*($AG2826/100),(80+(20-$O$5)+30*($AG2826/100))))))))))</f>
        <v>100</v>
      </c>
      <c r="AI2826" s="263"/>
      <c r="AJ2826" s="263"/>
      <c r="AK2826" s="263"/>
      <c r="AL2826" s="263"/>
      <c r="AM2826" s="264"/>
      <c r="AN2826" s="263"/>
      <c r="AO2826" s="263"/>
      <c r="AP2826" s="265"/>
      <c r="AQ2826" s="265"/>
      <c r="AR2826" s="285"/>
      <c r="AS2826" s="263"/>
      <c r="AT2826" s="263"/>
      <c r="AU2826" s="263"/>
      <c r="AV2826" s="264"/>
      <c r="AW2826" s="263"/>
      <c r="AX2826" s="263"/>
      <c r="AY2826" s="263">
        <v>754</v>
      </c>
      <c r="AZ2826" s="263"/>
      <c r="BA2826" s="263"/>
      <c r="BB2826" s="263">
        <v>221</v>
      </c>
      <c r="BC2826" s="268" t="s">
        <v>9295</v>
      </c>
      <c r="BD2826" s="264"/>
      <c r="BE2826" s="263"/>
      <c r="BF2826" s="263"/>
      <c r="BG2826" s="263"/>
      <c r="BH2826" s="263"/>
      <c r="BI2826" s="263"/>
      <c r="BJ2826" s="404">
        <f>altaz(J2000_Bas,$O2826,$M2826,DecLat,DecLong,2)</f>
        <v>20.767935984649682</v>
      </c>
      <c r="BK2826" s="378" t="s">
        <v>2645</v>
      </c>
      <c r="BL2826" s="379">
        <f>IF((2*G2826)/60&lt;0.2,0.2,(2*G2826)/60)</f>
        <v>4</v>
      </c>
      <c r="BM2826" s="380">
        <f>MOD((50000+AD2826-$B$3+(0/24)),1)</f>
        <v>0.4177807582746027</v>
      </c>
      <c r="BN2826" s="381"/>
      <c r="BO2826" s="382">
        <v>2817</v>
      </c>
    </row>
    <row r="2827" spans="1:67" s="24" customFormat="1" ht="15" customHeight="1" x14ac:dyDescent="0.25">
      <c r="A2827" s="288" t="s">
        <v>2646</v>
      </c>
      <c r="B2827" s="241" t="str">
        <f>HYPERLINK(CONCATENATE($AT$3,BK2827,$AU$3),$AV$3)</f>
        <v>S</v>
      </c>
      <c r="C2827" s="242" t="str">
        <f>HYPERLINK(CONCATENATE($AT$4,BK2827,$AU$4,BL2827),$AV$4)</f>
        <v>A</v>
      </c>
      <c r="D2827" s="243" t="s">
        <v>5187</v>
      </c>
      <c r="E2827" s="244" t="s">
        <v>5183</v>
      </c>
      <c r="F2827" s="269" t="s">
        <v>5180</v>
      </c>
      <c r="G2827" s="276">
        <v>90</v>
      </c>
      <c r="H2827" s="283">
        <v>7000</v>
      </c>
      <c r="I2827" s="246">
        <v>180</v>
      </c>
      <c r="J2827" s="246">
        <v>4</v>
      </c>
      <c r="K2827" s="247" t="s">
        <v>5253</v>
      </c>
      <c r="L2827" s="248">
        <v>51718</v>
      </c>
      <c r="M2827" s="249">
        <f>15*(LEFT(TEXT($L2827,"000000"),2)+(MID(TEXT($L2827,"000000"),3,2)/60)+(RIGHT(TEXT($L2827,"000000"),2)/3600))</f>
        <v>79.325000000000003</v>
      </c>
      <c r="N2827" s="250">
        <v>421200</v>
      </c>
      <c r="O2827" s="251">
        <f>IF($N2827&gt;0,(LEFT(TEXT($N2827,"000000"),2)+(MID(TEXT($N2827,"000000"),3,2)/60)+(RIGHT(TEXT($N2827,"000000"),2)/3600)),-(MID(TEXT($N2827,"000000"),2,2)+(MID(TEXT($N2827,"000000"),4,2)/60)+(RIGHT(TEXT($N2827,"000000"),2)/3600)))</f>
        <v>42.2</v>
      </c>
      <c r="P2827" s="252" t="s">
        <v>62</v>
      </c>
      <c r="Q2827" s="253"/>
      <c r="R2827" s="247" t="s">
        <v>3293</v>
      </c>
      <c r="S2827" s="272" t="s">
        <v>2647</v>
      </c>
      <c r="T2827" s="273"/>
      <c r="U2827" s="274"/>
      <c r="V2827" s="280"/>
      <c r="W2827" s="244"/>
      <c r="X2827" s="244"/>
      <c r="Y2827" s="362"/>
      <c r="Z2827" s="257">
        <f>altaz(J2000_Bas,$O2827,$M2827,DecLat,DecLong,1)</f>
        <v>-12.793313306101112</v>
      </c>
      <c r="AA2827" s="257">
        <f>altaz((J2000_Bas+(2*0.04167)),$O2827,$M2827,DecLat,DecLong,1)</f>
        <v>-0.11964132800967223</v>
      </c>
      <c r="AB2827" s="257">
        <f>altaz((J2000_Bas+(4*0.04167)),$O2827,$M2827,DecLat,DecLong,1)</f>
        <v>18.121453777416384</v>
      </c>
      <c r="AC2827" s="257">
        <f>altaz((J2000_Bas+(6*0.04167)),$O2827,$M2827,DecLat,DecLong,1)</f>
        <v>39.313535802091828</v>
      </c>
      <c r="AD2827" s="258">
        <f>1+ transit((J2000_Bas-1),$O2827,$M2827,DecLat,DecLong)/360 + (GMTOffset/24) + (IF(DST="Y", 1, 0)/24)</f>
        <v>1.213247160817208</v>
      </c>
      <c r="AE2827" s="259">
        <f>DATE(2001,9,21)+(M2827/360)*365 - (360*((DecLong/360)- (GMTOffset/24) ))</f>
        <v>37240.426736111112</v>
      </c>
      <c r="AF2827" s="260">
        <f>IF(DecLat&gt;0,IF((90 - (DecLat-O2827))&gt;90, (90 - (O2827-DecLat)), (90 - (DecLat-O2827))),IF((90 + (DecLat-O2827))&gt;90, (90 + (O2827-DecLat)), (90 + (DecLat-O2827))))</f>
        <v>78.8</v>
      </c>
      <c r="AG2827" s="257">
        <f>angularseperation(MoonRA,MoonDec,$M2827,$O2827)</f>
        <v>162.78737620250777</v>
      </c>
      <c r="AH2827" s="261">
        <f ca="1">MIN(100,IF($O$5&gt;80,0+30*($AG2827/100),IF($O$5&gt;70,0+50*($AG2827/100),IF($O$5&gt;60,5+50*($AG2827/100),IF($O$5&gt;50,10+60*($AG2827/100),IF($O$5&gt;40,15+70*($AG2827/100),IF($O$5&gt;30,20+70*($AG2827/100),IF($O$5&gt;20,40+55*($AG2827/100),(80+(20-$O$5)+30*($AG2827/100))))))))))</f>
        <v>100</v>
      </c>
      <c r="AI2827" s="262"/>
      <c r="AJ2827" s="262"/>
      <c r="AK2827" s="262"/>
      <c r="AL2827" s="263"/>
      <c r="AM2827" s="264"/>
      <c r="AN2827" s="263"/>
      <c r="AO2827" s="263"/>
      <c r="AP2827" s="265"/>
      <c r="AQ2827" s="266"/>
      <c r="AR2827" s="267"/>
      <c r="AS2827" s="263"/>
      <c r="AT2827" s="263"/>
      <c r="AU2827" s="263"/>
      <c r="AV2827" s="264"/>
      <c r="AW2827" s="263"/>
      <c r="AX2827" s="263"/>
      <c r="AY2827" s="263">
        <v>768</v>
      </c>
      <c r="AZ2827" s="263"/>
      <c r="BA2827" s="263"/>
      <c r="BB2827" s="263">
        <v>223</v>
      </c>
      <c r="BC2827" s="263"/>
      <c r="BD2827" s="264"/>
      <c r="BE2827" s="263"/>
      <c r="BF2827" s="263"/>
      <c r="BG2827" s="263"/>
      <c r="BH2827" s="263"/>
      <c r="BI2827" s="263"/>
      <c r="BJ2827" s="404">
        <f>altaz(J2000_Bas,$O2827,$M2827,DecLat,DecLong,2)</f>
        <v>19.941835166149303</v>
      </c>
      <c r="BK2827" s="378" t="s">
        <v>2646</v>
      </c>
      <c r="BL2827" s="379">
        <f>IF((2*G2827)/60&lt;0.2,0.2,(2*G2827)/60)</f>
        <v>3</v>
      </c>
      <c r="BM2827" s="380">
        <f>MOD((50000+AD2827-$B$3+(0/24)),1)</f>
        <v>0.4286140905242064</v>
      </c>
      <c r="BN2827" s="381"/>
      <c r="BO2827" s="382">
        <v>2818</v>
      </c>
    </row>
    <row r="2828" spans="1:67" s="24" customFormat="1" ht="15" customHeight="1" x14ac:dyDescent="0.25">
      <c r="A2828" s="288" t="s">
        <v>2647</v>
      </c>
      <c r="B2828" s="241" t="str">
        <f>HYPERLINK(CONCATENATE($AT$3,BK2828,$AU$3),$AV$3)</f>
        <v>S</v>
      </c>
      <c r="C2828" s="242" t="str">
        <f>HYPERLINK(CONCATENATE($AT$4,BK2828,$AU$4,BL2828),$AV$4)</f>
        <v>A</v>
      </c>
      <c r="D2828" s="243" t="s">
        <v>5187</v>
      </c>
      <c r="E2828" s="244" t="s">
        <v>16</v>
      </c>
      <c r="F2828" s="269"/>
      <c r="G2828" s="276">
        <v>50</v>
      </c>
      <c r="H2828" s="283">
        <v>12000</v>
      </c>
      <c r="I2828" s="246">
        <v>170</v>
      </c>
      <c r="J2828" s="246">
        <v>4</v>
      </c>
      <c r="K2828" s="247" t="s">
        <v>5252</v>
      </c>
      <c r="L2828" s="248">
        <v>52636</v>
      </c>
      <c r="M2828" s="249">
        <f>15*(LEFT(TEXT($L2828,"000000"),2)+(MID(TEXT($L2828,"000000"),3,2)/60)+(RIGHT(TEXT($L2828,"000000"),2)/3600))</f>
        <v>81.650000000000006</v>
      </c>
      <c r="N2828" s="250">
        <v>425500</v>
      </c>
      <c r="O2828" s="251">
        <f>IF($N2828&gt;0,(LEFT(TEXT($N2828,"000000"),2)+(MID(TEXT($N2828,"000000"),3,2)/60)+(RIGHT(TEXT($N2828,"000000"),2)/3600)),-(MID(TEXT($N2828,"000000"),2,2)+(MID(TEXT($N2828,"000000"),4,2)/60)+(RIGHT(TEXT($N2828,"000000"),2)/3600)))</f>
        <v>42.916666666666664</v>
      </c>
      <c r="P2828" s="252" t="s">
        <v>62</v>
      </c>
      <c r="Q2828" s="253"/>
      <c r="R2828" s="247" t="s">
        <v>3293</v>
      </c>
      <c r="S2828" s="272" t="s">
        <v>2646</v>
      </c>
      <c r="T2828" s="273"/>
      <c r="U2828" s="274"/>
      <c r="V2828" s="280"/>
      <c r="W2828" s="244"/>
      <c r="X2828" s="244"/>
      <c r="Y2828" s="362"/>
      <c r="Z2828" s="257">
        <f>altaz(J2000_Bas,$O2828,$M2828,DecLat,DecLong,1)</f>
        <v>-12.778452697070747</v>
      </c>
      <c r="AA2828" s="257">
        <f>altaz((J2000_Bas+(2*0.04167)),$O2828,$M2828,DecLat,DecLong,1)</f>
        <v>-0.82422604575086555</v>
      </c>
      <c r="AB2828" s="257">
        <f>altaz((J2000_Bas+(4*0.04167)),$O2828,$M2828,DecLat,DecLong,1)</f>
        <v>16.904498029055794</v>
      </c>
      <c r="AC2828" s="257">
        <f>altaz((J2000_Bas+(6*0.04167)),$O2828,$M2828,DecLat,DecLong,1)</f>
        <v>37.740502623917394</v>
      </c>
      <c r="AD2828" s="258">
        <f>1+ transit((J2000_Bas-1),$O2828,$M2828,DecLat,DecLong)/360 + (GMTOffset/24) + (IF(DST="Y", 1, 0)/24)</f>
        <v>1.219705493504708</v>
      </c>
      <c r="AE2828" s="259">
        <f>DATE(2001,9,21)+(M2828/360)*365 - (360*((DecLong/360)- (GMTOffset/24) ))</f>
        <v>37242.78402777778</v>
      </c>
      <c r="AF2828" s="260">
        <f>IF(DecLat&gt;0,IF((90 - (DecLat-O2828))&gt;90, (90 - (O2828-DecLat)), (90 - (DecLat-O2828))),IF((90 + (DecLat-O2828))&gt;90, (90 + (O2828-DecLat)), (90 + (DecLat-O2828))))</f>
        <v>78.083333333333343</v>
      </c>
      <c r="AG2828" s="257">
        <f>angularseperation(MoonRA,MoonDec,$M2828,$O2828)</f>
        <v>161.23265407875724</v>
      </c>
      <c r="AH2828" s="261">
        <f ca="1">MIN(100,IF($O$5&gt;80,0+30*($AG2828/100),IF($O$5&gt;70,0+50*($AG2828/100),IF($O$5&gt;60,5+50*($AG2828/100),IF($O$5&gt;50,10+60*($AG2828/100),IF($O$5&gt;40,15+70*($AG2828/100),IF($O$5&gt;30,20+70*($AG2828/100),IF($O$5&gt;20,40+55*($AG2828/100),(80+(20-$O$5)+30*($AG2828/100))))))))))</f>
        <v>100</v>
      </c>
      <c r="AI2828" s="262"/>
      <c r="AJ2828" s="262"/>
      <c r="AK2828" s="262"/>
      <c r="AL2828" s="263"/>
      <c r="AM2828" s="264"/>
      <c r="AN2828" s="263"/>
      <c r="AO2828" s="263"/>
      <c r="AP2828" s="265"/>
      <c r="AQ2828" s="266"/>
      <c r="AR2828" s="267"/>
      <c r="AS2828" s="263"/>
      <c r="AT2828" s="263"/>
      <c r="AU2828" s="263"/>
      <c r="AV2828" s="264"/>
      <c r="AW2828" s="263"/>
      <c r="AX2828" s="263"/>
      <c r="AY2828" s="263">
        <v>769</v>
      </c>
      <c r="AZ2828" s="263"/>
      <c r="BA2828" s="263"/>
      <c r="BB2828" s="263">
        <v>224</v>
      </c>
      <c r="BC2828" s="268" t="s">
        <v>3061</v>
      </c>
      <c r="BD2828" s="264"/>
      <c r="BE2828" s="263"/>
      <c r="BF2828" s="263"/>
      <c r="BG2828" s="263">
        <v>29</v>
      </c>
      <c r="BH2828" s="263"/>
      <c r="BI2828" s="263"/>
      <c r="BJ2828" s="404">
        <f>altaz(J2000_Bas,$O2828,$M2828,DecLat,DecLong,2)</f>
        <v>18.038299331317194</v>
      </c>
      <c r="BK2828" s="378" t="s">
        <v>2647</v>
      </c>
      <c r="BL2828" s="379">
        <f>IF((2*G2828)/60&lt;0.2,0.2,(2*G2828)/60)</f>
        <v>1.6666666666666667</v>
      </c>
      <c r="BM2828" s="380">
        <f>MOD((50000+AD2828-$B$3+(0/24)),1)</f>
        <v>0.43507242320629302</v>
      </c>
      <c r="BN2828" s="381"/>
      <c r="BO2828" s="382">
        <v>2819</v>
      </c>
    </row>
    <row r="2829" spans="1:67" s="24" customFormat="1" ht="15" customHeight="1" x14ac:dyDescent="0.25">
      <c r="A2829" s="288" t="s">
        <v>2648</v>
      </c>
      <c r="B2829" s="241" t="str">
        <f>HYPERLINK(CONCATENATE($AT$3,BK2829,$AU$3),$AV$3)</f>
        <v>S</v>
      </c>
      <c r="C2829" s="242" t="str">
        <f>HYPERLINK(CONCATENATE($AT$4,BK2829,$AU$4,BL2829),$AV$4)</f>
        <v>A</v>
      </c>
      <c r="D2829" s="243" t="s">
        <v>5187</v>
      </c>
      <c r="E2829" s="244" t="s">
        <v>5183</v>
      </c>
      <c r="F2829" s="269" t="s">
        <v>5180</v>
      </c>
      <c r="G2829" s="276">
        <v>24</v>
      </c>
      <c r="H2829" s="283">
        <v>12000</v>
      </c>
      <c r="I2829" s="246">
        <v>84</v>
      </c>
      <c r="J2829" s="246">
        <v>2</v>
      </c>
      <c r="K2829" s="247" t="s">
        <v>6350</v>
      </c>
      <c r="L2829" s="248">
        <v>52700</v>
      </c>
      <c r="M2829" s="249">
        <f>15*(LEFT(TEXT($L2829,"000000"),2)+(MID(TEXT($L2829,"000000"),3,2)/60)+(RIGHT(TEXT($L2829,"000000"),2)/3600))</f>
        <v>81.75</v>
      </c>
      <c r="N2829" s="286">
        <v>403101</v>
      </c>
      <c r="O2829" s="251">
        <f>IF($N2829&gt;0,(LEFT(TEXT($N2829,"000000"),2)+(MID(TEXT($N2829,"000000"),3,2)/60)+(RIGHT(TEXT($N2829,"000000"),2)/3600)),-(MID(TEXT($N2829,"000000"),2,2)+(MID(TEXT($N2829,"000000"),4,2)/60)+(RIGHT(TEXT($N2829,"000000"),2)/3600)))</f>
        <v>40.516944444444441</v>
      </c>
      <c r="P2829" s="252" t="s">
        <v>62</v>
      </c>
      <c r="Q2829" s="253"/>
      <c r="R2829" s="277" t="s">
        <v>3293</v>
      </c>
      <c r="S2829" s="272" t="s">
        <v>3293</v>
      </c>
      <c r="T2829" s="273"/>
      <c r="U2829" s="274"/>
      <c r="V2829" s="280"/>
      <c r="W2829" s="244"/>
      <c r="X2829" s="244"/>
      <c r="Y2829" s="362"/>
      <c r="Z2829" s="257">
        <f>altaz(J2000_Bas,$O2829,$M2829,DecLat,DecLong,1)</f>
        <v>-15.041189586674211</v>
      </c>
      <c r="AA2829" s="257">
        <f>altaz((J2000_Bas+(2*0.04167)),$O2829,$M2829,DecLat,DecLong,1)</f>
        <v>-2.5965919277441523</v>
      </c>
      <c r="AB2829" s="257">
        <f>altaz((J2000_Bas+(4*0.04167)),$O2829,$M2829,DecLat,DecLong,1)</f>
        <v>15.739500690735019</v>
      </c>
      <c r="AC2829" s="257">
        <f>altaz((J2000_Bas+(6*0.04167)),$O2829,$M2829,DecLat,DecLong,1)</f>
        <v>37.221487979207453</v>
      </c>
      <c r="AD2829" s="258">
        <f>1+ transit((J2000_Bas-1),$O2829,$M2829,DecLat,DecLong)/360 + (GMTOffset/24) + (IF(DST="Y", 1, 0)/24)</f>
        <v>1.2199832712547081</v>
      </c>
      <c r="AE2829" s="259">
        <f>DATE(2001,9,21)+(M2829/360)*365 - (360*((DecLong/360)- (GMTOffset/24) ))</f>
        <v>37242.885416666664</v>
      </c>
      <c r="AF2829" s="260">
        <f>IF(DecLat&gt;0,IF((90 - (DecLat-O2829))&gt;90, (90 - (O2829-DecLat)), (90 - (DecLat-O2829))),IF((90 + (DecLat-O2829))&gt;90, (90 + (O2829-DecLat)), (90 + (DecLat-O2829))))</f>
        <v>80.483055555555552</v>
      </c>
      <c r="AG2829" s="257">
        <f>angularseperation(MoonRA,MoonDec,$M2829,$O2829)</f>
        <v>163.05365910969982</v>
      </c>
      <c r="AH2829" s="261">
        <f ca="1">MIN(100,IF($O$5&gt;80,0+30*($AG2829/100),IF($O$5&gt;70,0+50*($AG2829/100),IF($O$5&gt;60,5+50*($AG2829/100),IF($O$5&gt;50,10+60*($AG2829/100),IF($O$5&gt;40,15+70*($AG2829/100),IF($O$5&gt;30,20+70*($AG2829/100),IF($O$5&gt;20,40+55*($AG2829/100),(80+(20-$O$5)+30*($AG2829/100))))))))))</f>
        <v>100</v>
      </c>
      <c r="AI2829" s="263"/>
      <c r="AJ2829" s="263"/>
      <c r="AK2829" s="263"/>
      <c r="AL2829" s="263"/>
      <c r="AM2829" s="264"/>
      <c r="AN2829" s="263"/>
      <c r="AO2829" s="263"/>
      <c r="AP2829" s="265"/>
      <c r="AQ2829" s="265"/>
      <c r="AR2829" s="285"/>
      <c r="AS2829" s="263"/>
      <c r="AT2829" s="263"/>
      <c r="AU2829" s="263"/>
      <c r="AV2829" s="264"/>
      <c r="AW2829" s="263"/>
      <c r="AX2829" s="263"/>
      <c r="AY2829" s="263">
        <v>778</v>
      </c>
      <c r="AZ2829" s="263"/>
      <c r="BA2829" s="263"/>
      <c r="BB2829" s="263">
        <v>225</v>
      </c>
      <c r="BC2829" s="263"/>
      <c r="BD2829" s="264"/>
      <c r="BE2829" s="263"/>
      <c r="BF2829" s="263"/>
      <c r="BG2829" s="263"/>
      <c r="BH2829" s="263"/>
      <c r="BI2829" s="263"/>
      <c r="BJ2829" s="404">
        <f>altaz(J2000_Bas,$O2829,$M2829,DecLat,DecLong,2)</f>
        <v>18.865268682394017</v>
      </c>
      <c r="BK2829" s="378" t="s">
        <v>2648</v>
      </c>
      <c r="BL2829" s="379">
        <f>IF((2*G2829)/60&lt;0.2,0.2,(2*G2829)/60)</f>
        <v>0.8</v>
      </c>
      <c r="BM2829" s="380">
        <f>MOD((50000+AD2829-$B$3+(0/24)),1)</f>
        <v>0.43535020096169319</v>
      </c>
      <c r="BN2829" s="381"/>
      <c r="BO2829" s="382">
        <v>2820</v>
      </c>
    </row>
    <row r="2830" spans="1:67" s="24" customFormat="1" ht="15" customHeight="1" x14ac:dyDescent="0.25">
      <c r="A2830" s="288" t="s">
        <v>2649</v>
      </c>
      <c r="B2830" s="241" t="str">
        <f>HYPERLINK(CONCATENATE($AT$3,BK2830,$AU$3),$AV$3)</f>
        <v>S</v>
      </c>
      <c r="C2830" s="242" t="str">
        <f>HYPERLINK(CONCATENATE($AT$4,BK2830,$AU$4,BL2830),$AV$4)</f>
        <v>A</v>
      </c>
      <c r="D2830" s="243" t="s">
        <v>5187</v>
      </c>
      <c r="E2830" s="244" t="s">
        <v>5183</v>
      </c>
      <c r="F2830" s="269" t="s">
        <v>5180</v>
      </c>
      <c r="G2830" s="273">
        <v>5</v>
      </c>
      <c r="H2830" s="283">
        <v>13500</v>
      </c>
      <c r="I2830" s="246">
        <v>20</v>
      </c>
      <c r="J2830" s="246">
        <v>2</v>
      </c>
      <c r="K2830" s="247" t="s">
        <v>6351</v>
      </c>
      <c r="L2830" s="248">
        <v>51100</v>
      </c>
      <c r="M2830" s="249">
        <f>15*(LEFT(TEXT($L2830,"000000"),2)+(MID(TEXT($L2830,"000000"),3,2)/60)+(RIGHT(TEXT($L2830,"000000"),2)/3600))</f>
        <v>77.75</v>
      </c>
      <c r="N2830" s="286">
        <v>375901</v>
      </c>
      <c r="O2830" s="251">
        <f>IF($N2830&gt;0,(LEFT(TEXT($N2830,"000000"),2)+(MID(TEXT($N2830,"000000"),3,2)/60)+(RIGHT(TEXT($N2830,"000000"),2)/3600)),-(MID(TEXT($N2830,"000000"),2,2)+(MID(TEXT($N2830,"000000"),4,2)/60)+(RIGHT(TEXT($N2830,"000000"),2)/3600)))</f>
        <v>37.983611111111109</v>
      </c>
      <c r="P2830" s="252" t="s">
        <v>62</v>
      </c>
      <c r="Q2830" s="253"/>
      <c r="R2830" s="277" t="s">
        <v>3293</v>
      </c>
      <c r="S2830" s="272" t="s">
        <v>3293</v>
      </c>
      <c r="T2830" s="273"/>
      <c r="U2830" s="274"/>
      <c r="V2830" s="280"/>
      <c r="W2830" s="244"/>
      <c r="X2830" s="244"/>
      <c r="Y2830" s="362"/>
      <c r="Z2830" s="257">
        <f>altaz(J2000_Bas,$O2830,$M2830,DecLat,DecLong,1)</f>
        <v>-16.149771036938606</v>
      </c>
      <c r="AA2830" s="257">
        <f>altaz((J2000_Bas+(2*0.04167)),$O2830,$M2830,DecLat,DecLong,1)</f>
        <v>-2.15866233615347</v>
      </c>
      <c r="AB2830" s="257">
        <f>altaz((J2000_Bas+(4*0.04167)),$O2830,$M2830,DecLat,DecLong,1)</f>
        <v>17.359419699559137</v>
      </c>
      <c r="AC2830" s="257">
        <f>altaz((J2000_Bas+(6*0.04167)),$O2830,$M2830,DecLat,DecLong,1)</f>
        <v>39.747847165221167</v>
      </c>
      <c r="AD2830" s="258">
        <f>1+ transit((J2000_Bas-1),$O2830,$M2830,DecLat,DecLong)/360 + (GMTOffset/24) + (IF(DST="Y", 1, 0)/24)</f>
        <v>1.208872161254708</v>
      </c>
      <c r="AE2830" s="259">
        <f>DATE(2001,9,21)+(M2830/360)*365 - (360*((DecLong/360)- (GMTOffset/24) ))</f>
        <v>37238.829861111109</v>
      </c>
      <c r="AF2830" s="260">
        <f>IF(DecLat&gt;0,IF((90 - (DecLat-O2830))&gt;90, (90 - (O2830-DecLat)), (90 - (DecLat-O2830))),IF((90 + (DecLat-O2830))&gt;90, (90 + (O2830-DecLat)), (90 + (DecLat-O2830))))</f>
        <v>83.016388888888883</v>
      </c>
      <c r="AG2830" s="257">
        <f>angularseperation(MoonRA,MoonDec,$M2830,$O2830)</f>
        <v>166.96627745623982</v>
      </c>
      <c r="AH2830" s="261">
        <f ca="1">MIN(100,IF($O$5&gt;80,0+30*($AG2830/100),IF($O$5&gt;70,0+50*($AG2830/100),IF($O$5&gt;60,5+50*($AG2830/100),IF($O$5&gt;50,10+60*($AG2830/100),IF($O$5&gt;40,15+70*($AG2830/100),IF($O$5&gt;30,20+70*($AG2830/100),IF($O$5&gt;20,40+55*($AG2830/100),(80+(20-$O$5)+30*($AG2830/100))))))))))</f>
        <v>100</v>
      </c>
      <c r="AI2830" s="263"/>
      <c r="AJ2830" s="263"/>
      <c r="AK2830" s="263"/>
      <c r="AL2830" s="263"/>
      <c r="AM2830" s="264"/>
      <c r="AN2830" s="263"/>
      <c r="AO2830" s="263"/>
      <c r="AP2830" s="265"/>
      <c r="AQ2830" s="265"/>
      <c r="AR2830" s="285"/>
      <c r="AS2830" s="263"/>
      <c r="AT2830" s="263"/>
      <c r="AU2830" s="263"/>
      <c r="AV2830" s="264"/>
      <c r="AW2830" s="263"/>
      <c r="AX2830" s="263"/>
      <c r="AY2830" s="263">
        <v>780</v>
      </c>
      <c r="AZ2830" s="263"/>
      <c r="BA2830" s="263"/>
      <c r="BB2830" s="263">
        <v>226</v>
      </c>
      <c r="BC2830" s="263"/>
      <c r="BD2830" s="264"/>
      <c r="BE2830" s="263"/>
      <c r="BF2830" s="263"/>
      <c r="BG2830" s="263"/>
      <c r="BH2830" s="263"/>
      <c r="BI2830" s="263"/>
      <c r="BJ2830" s="404">
        <f>altaz(J2000_Bas,$O2830,$M2830,DecLat,DecLong,2)</f>
        <v>22.856483642175967</v>
      </c>
      <c r="BK2830" s="378" t="s">
        <v>2649</v>
      </c>
      <c r="BL2830" s="379">
        <f>IF((2*G2830)/60&lt;0.2,0.2,(2*G2830)/60)</f>
        <v>0.2</v>
      </c>
      <c r="BM2830" s="380">
        <f>MOD((50000+AD2830-$B$3+(0/24)),1)</f>
        <v>0.42423909095668932</v>
      </c>
      <c r="BN2830" s="381"/>
      <c r="BO2830" s="382">
        <v>2821</v>
      </c>
    </row>
    <row r="2831" spans="1:67" s="24" customFormat="1" ht="15" customHeight="1" x14ac:dyDescent="0.25">
      <c r="A2831" s="288" t="s">
        <v>2650</v>
      </c>
      <c r="B2831" s="241" t="str">
        <f>HYPERLINK(CONCATENATE($AT$3,BK2831,$AU$3),$AV$3)</f>
        <v>S</v>
      </c>
      <c r="C2831" s="242" t="str">
        <f>HYPERLINK(CONCATENATE($AT$4,BK2831,$AU$4,BL2831),$AV$4)</f>
        <v>A</v>
      </c>
      <c r="D2831" s="243" t="s">
        <v>5187</v>
      </c>
      <c r="E2831" s="244" t="s">
        <v>5183</v>
      </c>
      <c r="F2831" s="269" t="s">
        <v>5180</v>
      </c>
      <c r="G2831" s="276">
        <v>25</v>
      </c>
      <c r="H2831" s="283">
        <v>13500</v>
      </c>
      <c r="I2831" s="246">
        <v>100</v>
      </c>
      <c r="J2831" s="246">
        <v>2</v>
      </c>
      <c r="K2831" s="247" t="s">
        <v>6352</v>
      </c>
      <c r="L2831" s="248">
        <v>51900</v>
      </c>
      <c r="M2831" s="249">
        <f>15*(LEFT(TEXT($L2831,"000000"),2)+(MID(TEXT($L2831,"000000"),3,2)/60)+(RIGHT(TEXT($L2831,"000000"),2)/3600))</f>
        <v>79.75</v>
      </c>
      <c r="N2831" s="286">
        <v>385501</v>
      </c>
      <c r="O2831" s="251">
        <f>IF($N2831&gt;0,(LEFT(TEXT($N2831,"000000"),2)+(MID(TEXT($N2831,"000000"),3,2)/60)+(RIGHT(TEXT($N2831,"000000"),2)/3600)),-(MID(TEXT($N2831,"000000"),2,2)+(MID(TEXT($N2831,"000000"),4,2)/60)+(RIGHT(TEXT($N2831,"000000"),2)/3600)))</f>
        <v>38.916944444444439</v>
      </c>
      <c r="P2831" s="252" t="s">
        <v>62</v>
      </c>
      <c r="Q2831" s="253"/>
      <c r="R2831" s="277" t="s">
        <v>3293</v>
      </c>
      <c r="S2831" s="272" t="s">
        <v>3293</v>
      </c>
      <c r="T2831" s="273"/>
      <c r="U2831" s="274"/>
      <c r="V2831" s="280"/>
      <c r="W2831" s="244"/>
      <c r="X2831" s="244"/>
      <c r="Y2831" s="362"/>
      <c r="Z2831" s="257">
        <f>altaz(J2000_Bas,$O2831,$M2831,DecLat,DecLong,1)</f>
        <v>-15.937596993336774</v>
      </c>
      <c r="AA2831" s="257">
        <f>altaz((J2000_Bas+(2*0.04167)),$O2831,$M2831,DecLat,DecLong,1)</f>
        <v>-2.64435817599065</v>
      </c>
      <c r="AB2831" s="257">
        <f>altaz((J2000_Bas+(4*0.04167)),$O2831,$M2831,DecLat,DecLong,1)</f>
        <v>16.374774992347728</v>
      </c>
      <c r="AC2831" s="257">
        <f>altaz((J2000_Bas+(6*0.04167)),$O2831,$M2831,DecLat,DecLong,1)</f>
        <v>38.403031270108116</v>
      </c>
      <c r="AD2831" s="258">
        <f>1+ transit((J2000_Bas-1),$O2831,$M2831,DecLat,DecLong)/360 + (GMTOffset/24) + (IF(DST="Y", 1, 0)/24)</f>
        <v>1.2144277162547079</v>
      </c>
      <c r="AE2831" s="259">
        <f>DATE(2001,9,21)+(M2831/360)*365 - (360*((DecLong/360)- (GMTOffset/24) ))</f>
        <v>37240.857638888891</v>
      </c>
      <c r="AF2831" s="260">
        <f>IF(DecLat&gt;0,IF((90 - (DecLat-O2831))&gt;90, (90 - (O2831-DecLat)), (90 - (DecLat-O2831))),IF((90 + (DecLat-O2831))&gt;90, (90 + (O2831-DecLat)), (90 + (DecLat-O2831))))</f>
        <v>82.083055555555561</v>
      </c>
      <c r="AG2831" s="257">
        <f>angularseperation(MoonRA,MoonDec,$M2831,$O2831)</f>
        <v>165.26943338096424</v>
      </c>
      <c r="AH2831" s="261">
        <f ca="1">MIN(100,IF($O$5&gt;80,0+30*($AG2831/100),IF($O$5&gt;70,0+50*($AG2831/100),IF($O$5&gt;60,5+50*($AG2831/100),IF($O$5&gt;50,10+60*($AG2831/100),IF($O$5&gt;40,15+70*($AG2831/100),IF($O$5&gt;30,20+70*($AG2831/100),IF($O$5&gt;20,40+55*($AG2831/100),(80+(20-$O$5)+30*($AG2831/100))))))))))</f>
        <v>100</v>
      </c>
      <c r="AI2831" s="263"/>
      <c r="AJ2831" s="263"/>
      <c r="AK2831" s="263"/>
      <c r="AL2831" s="263"/>
      <c r="AM2831" s="264"/>
      <c r="AN2831" s="263"/>
      <c r="AO2831" s="263"/>
      <c r="AP2831" s="265"/>
      <c r="AQ2831" s="265"/>
      <c r="AR2831" s="285"/>
      <c r="AS2831" s="263"/>
      <c r="AT2831" s="263"/>
      <c r="AU2831" s="263"/>
      <c r="AV2831" s="264"/>
      <c r="AW2831" s="263"/>
      <c r="AX2831" s="263"/>
      <c r="AY2831" s="263">
        <v>781</v>
      </c>
      <c r="AZ2831" s="263"/>
      <c r="BA2831" s="263"/>
      <c r="BB2831" s="263">
        <v>227</v>
      </c>
      <c r="BC2831" s="263"/>
      <c r="BD2831" s="264"/>
      <c r="BE2831" s="263"/>
      <c r="BF2831" s="263"/>
      <c r="BG2831" s="263"/>
      <c r="BH2831" s="263"/>
      <c r="BI2831" s="263"/>
      <c r="BJ2831" s="404">
        <f>altaz(J2000_Bas,$O2831,$M2831,DecLat,DecLong,2)</f>
        <v>20.97225257837426</v>
      </c>
      <c r="BK2831" s="378" t="s">
        <v>2650</v>
      </c>
      <c r="BL2831" s="379">
        <f>IF((2*G2831)/60&lt;0.2,0.2,(2*G2831)/60)</f>
        <v>0.83333333333333337</v>
      </c>
      <c r="BM2831" s="380">
        <f>MOD((50000+AD2831-$B$3+(0/24)),1)</f>
        <v>0.42979464595555328</v>
      </c>
      <c r="BN2831" s="381"/>
      <c r="BO2831" s="382">
        <v>2822</v>
      </c>
    </row>
    <row r="2832" spans="1:67" s="24" customFormat="1" ht="15" customHeight="1" x14ac:dyDescent="0.25">
      <c r="A2832" s="288" t="s">
        <v>2651</v>
      </c>
      <c r="B2832" s="241" t="str">
        <f>HYPERLINK(CONCATENATE($AT$3,BK2832,$AU$3),$AV$3)</f>
        <v>S</v>
      </c>
      <c r="C2832" s="242" t="str">
        <f>HYPERLINK(CONCATENATE($AT$4,BK2832,$AU$4,BL2832),$AV$4)</f>
        <v>A</v>
      </c>
      <c r="D2832" s="243" t="s">
        <v>5187</v>
      </c>
      <c r="E2832" s="244" t="s">
        <v>5183</v>
      </c>
      <c r="F2832" s="269" t="s">
        <v>5180</v>
      </c>
      <c r="G2832" s="273">
        <v>3</v>
      </c>
      <c r="H2832" s="283">
        <v>14000</v>
      </c>
      <c r="I2832" s="246">
        <v>12</v>
      </c>
      <c r="J2832" s="246">
        <v>3</v>
      </c>
      <c r="K2832" s="247" t="s">
        <v>5255</v>
      </c>
      <c r="L2832" s="248">
        <v>51326</v>
      </c>
      <c r="M2832" s="249">
        <f>15*(LEFT(TEXT($L2832,"000000"),2)+(MID(TEXT($L2832,"000000"),3,2)/60)+(RIGHT(TEXT($L2832,"000000"),2)/3600))</f>
        <v>78.358333333333334</v>
      </c>
      <c r="N2832" s="250">
        <v>372701</v>
      </c>
      <c r="O2832" s="251">
        <f>IF($N2832&gt;0,(LEFT(TEXT($N2832,"000000"),2)+(MID(TEXT($N2832,"000000"),3,2)/60)+(RIGHT(TEXT($N2832,"000000"),2)/3600)),-(MID(TEXT($N2832,"000000"),2,2)+(MID(TEXT($N2832,"000000"),4,2)/60)+(RIGHT(TEXT($N2832,"000000"),2)/3600)))</f>
        <v>37.450277777777778</v>
      </c>
      <c r="P2832" s="252" t="s">
        <v>62</v>
      </c>
      <c r="Q2832" s="253"/>
      <c r="R2832" s="277" t="s">
        <v>5254</v>
      </c>
      <c r="S2832" s="272" t="s">
        <v>3293</v>
      </c>
      <c r="T2832" s="273"/>
      <c r="U2832" s="274"/>
      <c r="V2832" s="280"/>
      <c r="W2832" s="244"/>
      <c r="X2832" s="244"/>
      <c r="Y2832" s="362"/>
      <c r="Z2832" s="257">
        <f>altaz(J2000_Bas,$O2832,$M2832,DecLat,DecLong,1)</f>
        <v>-16.835649711056462</v>
      </c>
      <c r="AA2832" s="257">
        <f>altaz((J2000_Bas+(2*0.04167)),$O2832,$M2832,DecLat,DecLong,1)</f>
        <v>-2.874635894755857</v>
      </c>
      <c r="AB2832" s="257">
        <f>altaz((J2000_Bas+(4*0.04167)),$O2832,$M2832,DecLat,DecLong,1)</f>
        <v>16.691410500242831</v>
      </c>
      <c r="AC2832" s="257">
        <f>altaz((J2000_Bas+(6*0.04167)),$O2832,$M2832,DecLat,DecLong,1)</f>
        <v>39.166786304847157</v>
      </c>
      <c r="AD2832" s="258">
        <f>1+ transit((J2000_Bas-1),$O2832,$M2832,DecLat,DecLong)/360 + (GMTOffset/24) + (IF(DST="Y", 1, 0)/24)</f>
        <v>1.2105619759005413</v>
      </c>
      <c r="AE2832" s="259">
        <f>DATE(2001,9,21)+(M2832/360)*365 - (360*((DecLong/360)- (GMTOffset/24) ))</f>
        <v>37239.446643518517</v>
      </c>
      <c r="AF2832" s="260">
        <f>IF(DecLat&gt;0,IF((90 - (DecLat-O2832))&gt;90, (90 - (O2832-DecLat)), (90 - (DecLat-O2832))),IF((90 + (DecLat-O2832))&gt;90, (90 + (O2832-DecLat)), (90 + (DecLat-O2832))))</f>
        <v>83.549722222222215</v>
      </c>
      <c r="AG2832" s="257">
        <f>angularseperation(MoonRA,MoonDec,$M2832,$O2832)</f>
        <v>167.09701251936301</v>
      </c>
      <c r="AH2832" s="261">
        <f ca="1">MIN(100,IF($O$5&gt;80,0+30*($AG2832/100),IF($O$5&gt;70,0+50*($AG2832/100),IF($O$5&gt;60,5+50*($AG2832/100),IF($O$5&gt;50,10+60*($AG2832/100),IF($O$5&gt;40,15+70*($AG2832/100),IF($O$5&gt;30,20+70*($AG2832/100),IF($O$5&gt;20,40+55*($AG2832/100),(80+(20-$O$5)+30*($AG2832/100))))))))))</f>
        <v>100</v>
      </c>
      <c r="AI2832" s="263"/>
      <c r="AJ2832" s="263"/>
      <c r="AK2832" s="263"/>
      <c r="AL2832" s="263"/>
      <c r="AM2832" s="264"/>
      <c r="AN2832" s="263"/>
      <c r="AO2832" s="263"/>
      <c r="AP2832" s="265"/>
      <c r="AQ2832" s="265"/>
      <c r="AR2832" s="285"/>
      <c r="AS2832" s="263"/>
      <c r="AT2832" s="263"/>
      <c r="AU2832" s="263"/>
      <c r="AV2832" s="264"/>
      <c r="AW2832" s="263"/>
      <c r="AX2832" s="263"/>
      <c r="AY2832" s="263">
        <v>784</v>
      </c>
      <c r="AZ2832" s="263"/>
      <c r="BA2832" s="263"/>
      <c r="BB2832" s="263">
        <v>228</v>
      </c>
      <c r="BC2832" s="263"/>
      <c r="BD2832" s="264"/>
      <c r="BE2832" s="263"/>
      <c r="BF2832" s="263"/>
      <c r="BG2832" s="263"/>
      <c r="BH2832" s="263"/>
      <c r="BI2832" s="263"/>
      <c r="BJ2832" s="404">
        <f>altaz(J2000_Bas,$O2832,$M2832,DecLat,DecLong,2)</f>
        <v>22.633826753862067</v>
      </c>
      <c r="BK2832" s="378" t="s">
        <v>2651</v>
      </c>
      <c r="BL2832" s="379">
        <f>IF((2*G2832)/60&lt;0.2,0.2,(2*G2832)/60)</f>
        <v>0.2</v>
      </c>
      <c r="BM2832" s="380">
        <f>MOD((50000+AD2832-$B$3+(0/24)),1)</f>
        <v>0.42592890560626984</v>
      </c>
      <c r="BN2832" s="381"/>
      <c r="BO2832" s="382">
        <v>2823</v>
      </c>
    </row>
    <row r="2833" spans="1:67" s="24" customFormat="1" ht="15" customHeight="1" x14ac:dyDescent="0.25">
      <c r="A2833" s="288" t="s">
        <v>2652</v>
      </c>
      <c r="B2833" s="241" t="str">
        <f>HYPERLINK(CONCATENATE($AT$3,BK2833,$AU$3),$AV$3)</f>
        <v>S</v>
      </c>
      <c r="C2833" s="242" t="str">
        <f>HYPERLINK(CONCATENATE($AT$4,BK2833,$AU$4,BL2833),$AV$4)</f>
        <v>A</v>
      </c>
      <c r="D2833" s="243" t="s">
        <v>5187</v>
      </c>
      <c r="E2833" s="244" t="s">
        <v>5183</v>
      </c>
      <c r="F2833" s="269" t="s">
        <v>5180</v>
      </c>
      <c r="G2833" s="276">
        <v>300</v>
      </c>
      <c r="H2833" s="283">
        <v>10500</v>
      </c>
      <c r="I2833" s="246">
        <v>900</v>
      </c>
      <c r="J2833" s="246">
        <v>4</v>
      </c>
      <c r="K2833" s="247" t="s">
        <v>6353</v>
      </c>
      <c r="L2833" s="248">
        <v>52200</v>
      </c>
      <c r="M2833" s="249">
        <f>15*(LEFT(TEXT($L2833,"000000"),2)+(MID(TEXT($L2833,"000000"),3,2)/60)+(RIGHT(TEXT($L2833,"000000"),2)/3600))</f>
        <v>80.5</v>
      </c>
      <c r="N2833" s="286">
        <v>340001</v>
      </c>
      <c r="O2833" s="251">
        <f>IF($N2833&gt;0,(LEFT(TEXT($N2833,"000000"),2)+(MID(TEXT($N2833,"000000"),3,2)/60)+(RIGHT(TEXT($N2833,"000000"),2)/3600)),-(MID(TEXT($N2833,"000000"),2,2)+(MID(TEXT($N2833,"000000"),4,2)/60)+(RIGHT(TEXT($N2833,"000000"),2)/3600)))</f>
        <v>34.000277777777775</v>
      </c>
      <c r="P2833" s="252" t="s">
        <v>62</v>
      </c>
      <c r="Q2833" s="253"/>
      <c r="R2833" s="277" t="s">
        <v>3293</v>
      </c>
      <c r="S2833" s="272" t="s">
        <v>3293</v>
      </c>
      <c r="T2833" s="273"/>
      <c r="U2833" s="274"/>
      <c r="V2833" s="280"/>
      <c r="W2833" s="244"/>
      <c r="X2833" s="244"/>
      <c r="Y2833" s="362"/>
      <c r="Z2833" s="257">
        <f>altaz(J2000_Bas,$O2833,$M2833,DecLat,DecLong,1)</f>
        <v>-20.693875026773497</v>
      </c>
      <c r="AA2833" s="257">
        <f>altaz((J2000_Bas+(2*0.04167)),$O2833,$M2833,DecLat,DecLong,1)</f>
        <v>-6.5229575523190162</v>
      </c>
      <c r="AB2833" s="257">
        <f>altaz((J2000_Bas+(4*0.04167)),$O2833,$M2833,DecLat,DecLong,1)</f>
        <v>13.554865698628062</v>
      </c>
      <c r="AC2833" s="257">
        <f>altaz((J2000_Bas+(6*0.04167)),$O2833,$M2833,DecLat,DecLong,1)</f>
        <v>36.641327437838221</v>
      </c>
      <c r="AD2833" s="258">
        <f>1+ transit((J2000_Bas-1),$O2833,$M2833,DecLat,DecLong)/360 + (GMTOffset/24) + (IF(DST="Y", 1, 0)/24)</f>
        <v>1.216511049379708</v>
      </c>
      <c r="AE2833" s="259">
        <f>DATE(2001,9,21)+(M2833/360)*365 - (360*((DecLong/360)- (GMTOffset/24) ))</f>
        <v>37241.618055555555</v>
      </c>
      <c r="AF2833" s="260">
        <f>IF(DecLat&gt;0,IF((90 - (DecLat-O2833))&gt;90, (90 - (O2833-DecLat)), (90 - (DecLat-O2833))),IF((90 + (DecLat-O2833))&gt;90, (90 + (O2833-DecLat)), (90 + (DecLat-O2833))))</f>
        <v>86.999722222222232</v>
      </c>
      <c r="AG2833" s="257">
        <f>angularseperation(MoonRA,MoonDec,$M2833,$O2833)</f>
        <v>168.10312216241266</v>
      </c>
      <c r="AH2833" s="261">
        <f ca="1">MIN(100,IF($O$5&gt;80,0+30*($AG2833/100),IF($O$5&gt;70,0+50*($AG2833/100),IF($O$5&gt;60,5+50*($AG2833/100),IF($O$5&gt;50,10+60*($AG2833/100),IF($O$5&gt;40,15+70*($AG2833/100),IF($O$5&gt;30,20+70*($AG2833/100),IF($O$5&gt;20,40+55*($AG2833/100),(80+(20-$O$5)+30*($AG2833/100))))))))))</f>
        <v>100</v>
      </c>
      <c r="AI2833" s="263"/>
      <c r="AJ2833" s="263"/>
      <c r="AK2833" s="263"/>
      <c r="AL2833" s="263"/>
      <c r="AM2833" s="264"/>
      <c r="AN2833" s="263"/>
      <c r="AO2833" s="263"/>
      <c r="AP2833" s="265"/>
      <c r="AQ2833" s="265"/>
      <c r="AR2833" s="285"/>
      <c r="AS2833" s="263"/>
      <c r="AT2833" s="263"/>
      <c r="AU2833" s="263"/>
      <c r="AV2833" s="264"/>
      <c r="AW2833" s="263"/>
      <c r="AX2833" s="263"/>
      <c r="AY2833" s="263"/>
      <c r="AZ2833" s="263"/>
      <c r="BA2833" s="263"/>
      <c r="BB2833" s="263">
        <v>230</v>
      </c>
      <c r="BC2833" s="263"/>
      <c r="BD2833" s="264"/>
      <c r="BE2833" s="263"/>
      <c r="BF2833" s="263"/>
      <c r="BG2833" s="263"/>
      <c r="BH2833" s="263"/>
      <c r="BI2833" s="263"/>
      <c r="BJ2833" s="404">
        <f>altaz(J2000_Bas,$O2833,$M2833,DecLat,DecLong,2)</f>
        <v>22.430384243880201</v>
      </c>
      <c r="BK2833" s="378" t="s">
        <v>2652</v>
      </c>
      <c r="BL2833" s="379">
        <f>IF((2*G2833)/60&lt;0.2,0.2,(2*G2833)/60)</f>
        <v>10</v>
      </c>
      <c r="BM2833" s="380">
        <f>MOD((50000+AD2833-$B$3+(0/24)),1)</f>
        <v>0.43187797908467473</v>
      </c>
      <c r="BN2833" s="381"/>
      <c r="BO2833" s="382">
        <v>2824</v>
      </c>
    </row>
    <row r="2834" spans="1:67" s="24" customFormat="1" ht="15" customHeight="1" x14ac:dyDescent="0.25">
      <c r="A2834" s="288" t="s">
        <v>2653</v>
      </c>
      <c r="B2834" s="241" t="str">
        <f>HYPERLINK(CONCATENATE($AT$3,BK2834,$AU$3),$AV$3)</f>
        <v>S</v>
      </c>
      <c r="C2834" s="242" t="str">
        <f>HYPERLINK(CONCATENATE($AT$4,BK2834,$AU$4,BL2834),$AV$4)</f>
        <v>A</v>
      </c>
      <c r="D2834" s="243" t="s">
        <v>5187</v>
      </c>
      <c r="E2834" s="244" t="s">
        <v>5183</v>
      </c>
      <c r="F2834" s="269" t="s">
        <v>5180</v>
      </c>
      <c r="G2834" s="276">
        <v>12</v>
      </c>
      <c r="H2834" s="283">
        <v>6500</v>
      </c>
      <c r="I2834" s="246">
        <v>21</v>
      </c>
      <c r="J2834" s="246">
        <v>2</v>
      </c>
      <c r="K2834" s="247" t="s">
        <v>6354</v>
      </c>
      <c r="L2834" s="248">
        <v>53913</v>
      </c>
      <c r="M2834" s="249">
        <f>15*(LEFT(TEXT($L2834,"000000"),2)+(MID(TEXT($L2834,"000000"),3,2)/60)+(RIGHT(TEXT($L2834,"000000"),2)/3600))</f>
        <v>84.804166666666674</v>
      </c>
      <c r="N2834" s="250">
        <v>354554</v>
      </c>
      <c r="O2834" s="251">
        <f>IF($N2834&gt;0,(LEFT(TEXT($N2834,"000000"),2)+(MID(TEXT($N2834,"000000"),3,2)/60)+(RIGHT(TEXT($N2834,"000000"),2)/3600)),-(MID(TEXT($N2834,"000000"),2,2)+(MID(TEXT($N2834,"000000"),4,2)/60)+(RIGHT(TEXT($N2834,"000000"),2)/3600)))</f>
        <v>35.765000000000001</v>
      </c>
      <c r="P2834" s="252" t="s">
        <v>62</v>
      </c>
      <c r="Q2834" s="253"/>
      <c r="R2834" s="247" t="s">
        <v>3293</v>
      </c>
      <c r="S2834" s="272" t="s">
        <v>5258</v>
      </c>
      <c r="T2834" s="273"/>
      <c r="U2834" s="274"/>
      <c r="V2834" s="280"/>
      <c r="W2834" s="244"/>
      <c r="X2834" s="244"/>
      <c r="Y2834" s="362"/>
      <c r="Z2834" s="257">
        <f>altaz(J2000_Bas,$O2834,$M2834,DecLat,DecLong,1)</f>
        <v>-20.330793802335517</v>
      </c>
      <c r="AA2834" s="257">
        <f>altaz((J2000_Bas+(2*0.04167)),$O2834,$M2834,DecLat,DecLong,1)</f>
        <v>-7.7014776679076657</v>
      </c>
      <c r="AB2834" s="257">
        <f>altaz((J2000_Bas+(4*0.04167)),$O2834,$M2834,DecLat,DecLong,1)</f>
        <v>11.339690351356651</v>
      </c>
      <c r="AC2834" s="257">
        <f>altaz((J2000_Bas+(6*0.04167)),$O2834,$M2834,DecLat,DecLong,1)</f>
        <v>33.737532152248249</v>
      </c>
      <c r="AD2834" s="258">
        <f>1+ transit((J2000_Bas-1),$O2834,$M2834,DecLat,DecLong)/360 + (GMTOffset/24) + (IF(DST="Y", 1, 0)/24)</f>
        <v>1.2284670667026247</v>
      </c>
      <c r="AE2834" s="259">
        <f>DATE(2001,9,21)+(M2834/360)*365 - (360*((DecLong/360)- (GMTOffset/24) ))</f>
        <v>37245.982002314813</v>
      </c>
      <c r="AF2834" s="260">
        <f>IF(DecLat&gt;0,IF((90 - (DecLat-O2834))&gt;90, (90 - (O2834-DecLat)), (90 - (DecLat-O2834))),IF((90 + (DecLat-O2834))&gt;90, (90 + (O2834-DecLat)), (90 + (DecLat-O2834))))</f>
        <v>85.234999999999999</v>
      </c>
      <c r="AG2834" s="257">
        <f>angularseperation(MoonRA,MoonDec,$M2834,$O2834)</f>
        <v>164.16662808792876</v>
      </c>
      <c r="AH2834" s="261">
        <f ca="1">MIN(100,IF($O$5&gt;80,0+30*($AG2834/100),IF($O$5&gt;70,0+50*($AG2834/100),IF($O$5&gt;60,5+50*($AG2834/100),IF($O$5&gt;50,10+60*($AG2834/100),IF($O$5&gt;40,15+70*($AG2834/100),IF($O$5&gt;30,20+70*($AG2834/100),IF($O$5&gt;20,40+55*($AG2834/100),(80+(20-$O$5)+30*($AG2834/100))))))))))</f>
        <v>100</v>
      </c>
      <c r="AI2834" s="262"/>
      <c r="AJ2834" s="262"/>
      <c r="AK2834" s="262"/>
      <c r="AL2834" s="263"/>
      <c r="AM2834" s="264"/>
      <c r="AN2834" s="263"/>
      <c r="AO2834" s="263"/>
      <c r="AP2834" s="265"/>
      <c r="AQ2834" s="266"/>
      <c r="AR2834" s="267"/>
      <c r="AS2834" s="263"/>
      <c r="AT2834" s="263"/>
      <c r="AU2834" s="263"/>
      <c r="AV2834" s="264"/>
      <c r="AW2834" s="263"/>
      <c r="AX2834" s="263"/>
      <c r="AY2834" s="263">
        <v>808</v>
      </c>
      <c r="AZ2834" s="263"/>
      <c r="BA2834" s="263"/>
      <c r="BB2834" s="263">
        <v>231</v>
      </c>
      <c r="BC2834" s="263"/>
      <c r="BD2834" s="264"/>
      <c r="BE2834" s="263"/>
      <c r="BF2834" s="263"/>
      <c r="BG2834" s="263"/>
      <c r="BH2834" s="263"/>
      <c r="BI2834" s="263"/>
      <c r="BJ2834" s="404">
        <f>altaz(J2000_Bas,$O2834,$M2834,DecLat,DecLong,2)</f>
        <v>18.234238177823165</v>
      </c>
      <c r="BK2834" s="378" t="s">
        <v>2653</v>
      </c>
      <c r="BL2834" s="379">
        <f>IF((2*G2834)/60&lt;0.2,0.2,(2*G2834)/60)</f>
        <v>0.4</v>
      </c>
      <c r="BM2834" s="380">
        <f>MOD((50000+AD2834-$B$3+(0/24)),1)</f>
        <v>0.44383399640355492</v>
      </c>
      <c r="BN2834" s="381"/>
      <c r="BO2834" s="382">
        <v>2825</v>
      </c>
    </row>
    <row r="2835" spans="1:67" s="24" customFormat="1" ht="15" customHeight="1" x14ac:dyDescent="0.25">
      <c r="A2835" s="288" t="s">
        <v>2654</v>
      </c>
      <c r="B2835" s="241" t="str">
        <f>HYPERLINK(CONCATENATE($AT$3,BK2835,$AU$3),$AV$3)</f>
        <v>S</v>
      </c>
      <c r="C2835" s="242" t="str">
        <f>HYPERLINK(CONCATENATE($AT$4,BK2835,$AU$4,BL2835),$AV$4)</f>
        <v>A</v>
      </c>
      <c r="D2835" s="243" t="s">
        <v>5187</v>
      </c>
      <c r="E2835" s="244" t="s">
        <v>5183</v>
      </c>
      <c r="F2835" s="269" t="s">
        <v>5180</v>
      </c>
      <c r="G2835" s="276">
        <v>45</v>
      </c>
      <c r="H2835" s="283">
        <v>5600</v>
      </c>
      <c r="I2835" s="246">
        <v>80</v>
      </c>
      <c r="J2835" s="246">
        <v>3</v>
      </c>
      <c r="K2835" s="247" t="s">
        <v>9350</v>
      </c>
      <c r="L2835" s="248">
        <v>54230</v>
      </c>
      <c r="M2835" s="249">
        <f>15*(LEFT(TEXT($L2835,"000000"),2)+(MID(TEXT($L2835,"000000"),3,2)/60)+(RIGHT(TEXT($L2835,"000000"),2)/3600))</f>
        <v>85.625000000000014</v>
      </c>
      <c r="N2835" s="250">
        <v>361100</v>
      </c>
      <c r="O2835" s="251">
        <f>IF($N2835&gt;0,(LEFT(TEXT($N2835,"000000"),2)+(MID(TEXT($N2835,"000000"),3,2)/60)+(RIGHT(TEXT($N2835,"000000"),2)/3600)),-(MID(TEXT($N2835,"000000"),2,2)+(MID(TEXT($N2835,"000000"),4,2)/60)+(RIGHT(TEXT($N2835,"000000"),2)/3600)))</f>
        <v>36.18333333333333</v>
      </c>
      <c r="P2835" s="252" t="s">
        <v>62</v>
      </c>
      <c r="Q2835" s="253" t="s">
        <v>7012</v>
      </c>
      <c r="R2835" s="277" t="s">
        <v>3293</v>
      </c>
      <c r="S2835" s="272" t="s">
        <v>5259</v>
      </c>
      <c r="T2835" s="273"/>
      <c r="U2835" s="274"/>
      <c r="V2835" s="280"/>
      <c r="W2835" s="244"/>
      <c r="X2835" s="244"/>
      <c r="Y2835" s="362"/>
      <c r="Z2835" s="257">
        <f>altaz(J2000_Bas,$O2835,$M2835,DecLat,DecLong,1)</f>
        <v>-20.150457041718564</v>
      </c>
      <c r="AA2835" s="257">
        <f>altaz((J2000_Bas+(2*0.04167)),$O2835,$M2835,DecLat,DecLong,1)</f>
        <v>-7.8371438678222693</v>
      </c>
      <c r="AB2835" s="257">
        <f>altaz((J2000_Bas+(4*0.04167)),$O2835,$M2835,DecLat,DecLong,1)</f>
        <v>10.978005021375692</v>
      </c>
      <c r="AC2835" s="257">
        <f>altaz((J2000_Bas+(6*0.04167)),$O2835,$M2835,DecLat,DecLong,1)</f>
        <v>33.2187784630433</v>
      </c>
      <c r="AD2835" s="258">
        <f>1+ transit((J2000_Bas-1),$O2835,$M2835,DecLat,DecLong)/360 + (GMTOffset/24) + (IF(DST="Y", 1, 0)/24)</f>
        <v>1.2307471590672081</v>
      </c>
      <c r="AE2835" s="259">
        <f>DATE(2001,9,21)+(M2835/360)*365 - (360*((DecLong/360)- (GMTOffset/24) ))</f>
        <v>37246.814236111109</v>
      </c>
      <c r="AF2835" s="260">
        <f>IF(DecLat&gt;0,IF((90 - (DecLat-O2835))&gt;90, (90 - (O2835-DecLat)), (90 - (DecLat-O2835))),IF((90 + (DecLat-O2835))&gt;90, (90 + (O2835-DecLat)), (90 + (DecLat-O2835))))</f>
        <v>84.816666666666663</v>
      </c>
      <c r="AG2835" s="257">
        <f>angularseperation(MoonRA,MoonDec,$M2835,$O2835)</f>
        <v>163.38303003696413</v>
      </c>
      <c r="AH2835" s="261">
        <f ca="1">MIN(100,IF($O$5&gt;80,0+30*($AG2835/100),IF($O$5&gt;70,0+50*($AG2835/100),IF($O$5&gt;60,5+50*($AG2835/100),IF($O$5&gt;50,10+60*($AG2835/100),IF($O$5&gt;40,15+70*($AG2835/100),IF($O$5&gt;30,20+70*($AG2835/100),IF($O$5&gt;20,40+55*($AG2835/100),(80+(20-$O$5)+30*($AG2835/100))))))))))</f>
        <v>100</v>
      </c>
      <c r="AI2835" s="262"/>
      <c r="AJ2835" s="262"/>
      <c r="AK2835" s="262"/>
      <c r="AL2835" s="263"/>
      <c r="AM2835" s="264"/>
      <c r="AN2835" s="263"/>
      <c r="AO2835" s="263"/>
      <c r="AP2835" s="265"/>
      <c r="AQ2835" s="266"/>
      <c r="AR2835" s="267"/>
      <c r="AS2835" s="263"/>
      <c r="AT2835" s="263"/>
      <c r="AU2835" s="263"/>
      <c r="AV2835" s="264"/>
      <c r="AW2835" s="263"/>
      <c r="AX2835" s="263"/>
      <c r="AY2835" s="263">
        <v>805</v>
      </c>
      <c r="AZ2835" s="263"/>
      <c r="BA2835" s="263"/>
      <c r="BB2835" s="263">
        <v>232</v>
      </c>
      <c r="BC2835" s="263"/>
      <c r="BD2835" s="264"/>
      <c r="BE2835" s="263"/>
      <c r="BF2835" s="263"/>
      <c r="BG2835" s="263"/>
      <c r="BH2835" s="263"/>
      <c r="BI2835" s="263">
        <v>38</v>
      </c>
      <c r="BJ2835" s="404">
        <f>altaz(J2000_Bas,$O2835,$M2835,DecLat,DecLong,2)</f>
        <v>17.419916159195989</v>
      </c>
      <c r="BK2835" s="378" t="s">
        <v>2654</v>
      </c>
      <c r="BL2835" s="379">
        <f>IF((2*G2835)/60&lt;0.2,0.2,(2*G2835)/60)</f>
        <v>1.5</v>
      </c>
      <c r="BM2835" s="380">
        <f>MOD((50000+AD2835-$B$3+(0/24)),1)</f>
        <v>0.44611408877244685</v>
      </c>
      <c r="BN2835" s="381"/>
      <c r="BO2835" s="382">
        <v>2826</v>
      </c>
    </row>
    <row r="2836" spans="1:67" s="24" customFormat="1" ht="15" customHeight="1" x14ac:dyDescent="0.25">
      <c r="A2836" s="288" t="s">
        <v>2655</v>
      </c>
      <c r="B2836" s="241" t="str">
        <f>HYPERLINK(CONCATENATE($AT$3,BK2836,$AU$3),$AV$3)</f>
        <v>S</v>
      </c>
      <c r="C2836" s="242" t="str">
        <f>HYPERLINK(CONCATENATE($AT$4,BK2836,$AU$4,BL2836),$AV$4)</f>
        <v>A</v>
      </c>
      <c r="D2836" s="243" t="s">
        <v>5187</v>
      </c>
      <c r="E2836" s="244" t="s">
        <v>5183</v>
      </c>
      <c r="F2836" s="269" t="s">
        <v>5180</v>
      </c>
      <c r="G2836" s="273">
        <v>2</v>
      </c>
      <c r="H2836" s="283">
        <v>6000</v>
      </c>
      <c r="I2836" s="279">
        <v>3.6</v>
      </c>
      <c r="J2836" s="246">
        <v>2</v>
      </c>
      <c r="K2836" s="247" t="s">
        <v>5256</v>
      </c>
      <c r="L2836" s="248">
        <v>53832</v>
      </c>
      <c r="M2836" s="249">
        <f>15*(LEFT(TEXT($L2836,"000000"),2)+(MID(TEXT($L2836,"000000"),3,2)/60)+(RIGHT(TEXT($L2836,"000000"),2)/3600))</f>
        <v>84.633333333333326</v>
      </c>
      <c r="N2836" s="250">
        <v>355119</v>
      </c>
      <c r="O2836" s="251">
        <f>IF($N2836&gt;0,(LEFT(TEXT($N2836,"000000"),2)+(MID(TEXT($N2836,"000000"),3,2)/60)+(RIGHT(TEXT($N2836,"000000"),2)/3600)),-(MID(TEXT($N2836,"000000"),2,2)+(MID(TEXT($N2836,"000000"),4,2)/60)+(RIGHT(TEXT($N2836,"000000"),2)/3600)))</f>
        <v>35.855277777777779</v>
      </c>
      <c r="P2836" s="252" t="s">
        <v>62</v>
      </c>
      <c r="Q2836" s="253"/>
      <c r="R2836" s="247" t="s">
        <v>3293</v>
      </c>
      <c r="S2836" s="272" t="s">
        <v>5260</v>
      </c>
      <c r="T2836" s="273"/>
      <c r="U2836" s="274"/>
      <c r="V2836" s="280"/>
      <c r="W2836" s="244"/>
      <c r="X2836" s="244"/>
      <c r="Y2836" s="362"/>
      <c r="Z2836" s="257">
        <f>altaz(J2000_Bas,$O2836,$M2836,DecLat,DecLong,1)</f>
        <v>-20.199676649257569</v>
      </c>
      <c r="AA2836" s="257">
        <f>altaz((J2000_Bas+(2*0.04167)),$O2836,$M2836,DecLat,DecLong,1)</f>
        <v>-7.5413236350415698</v>
      </c>
      <c r="AB2836" s="257">
        <f>altaz((J2000_Bas+(4*0.04167)),$O2836,$M2836,DecLat,DecLong,1)</f>
        <v>11.504829252814176</v>
      </c>
      <c r="AC2836" s="257">
        <f>altaz((J2000_Bas+(6*0.04167)),$O2836,$M2836,DecLat,DecLong,1)</f>
        <v>33.895862980022109</v>
      </c>
      <c r="AD2836" s="258">
        <f>1+ transit((J2000_Bas-1),$O2836,$M2836,DecLat,DecLong)/360 + (GMTOffset/24) + (IF(DST="Y", 1, 0)/24)</f>
        <v>1.2279925297130412</v>
      </c>
      <c r="AE2836" s="259">
        <f>DATE(2001,9,21)+(M2836/360)*365 - (360*((DecLong/360)- (GMTOffset/24) ))</f>
        <v>37245.808796296296</v>
      </c>
      <c r="AF2836" s="260">
        <f>IF(DecLat&gt;0,IF((90 - (DecLat-O2836))&gt;90, (90 - (O2836-DecLat)), (90 - (DecLat-O2836))),IF((90 + (DecLat-O2836))&gt;90, (90 + (O2836-DecLat)), (90 + (DecLat-O2836))))</f>
        <v>85.144722222222214</v>
      </c>
      <c r="AG2836" s="257">
        <f>angularseperation(MoonRA,MoonDec,$M2836,$O2836)</f>
        <v>164.24350034945539</v>
      </c>
      <c r="AH2836" s="261">
        <f ca="1">MIN(100,IF($O$5&gt;80,0+30*($AG2836/100),IF($O$5&gt;70,0+50*($AG2836/100),IF($O$5&gt;60,5+50*($AG2836/100),IF($O$5&gt;50,10+60*($AG2836/100),IF($O$5&gt;40,15+70*($AG2836/100),IF($O$5&gt;30,20+70*($AG2836/100),IF($O$5&gt;20,40+55*($AG2836/100),(80+(20-$O$5)+30*($AG2836/100))))))))))</f>
        <v>100</v>
      </c>
      <c r="AI2836" s="262"/>
      <c r="AJ2836" s="262"/>
      <c r="AK2836" s="262"/>
      <c r="AL2836" s="263"/>
      <c r="AM2836" s="264"/>
      <c r="AN2836" s="263"/>
      <c r="AO2836" s="263"/>
      <c r="AP2836" s="265"/>
      <c r="AQ2836" s="266"/>
      <c r="AR2836" s="267"/>
      <c r="AS2836" s="263"/>
      <c r="AT2836" s="263"/>
      <c r="AU2836" s="263"/>
      <c r="AV2836" s="264"/>
      <c r="AW2836" s="263"/>
      <c r="AX2836" s="263"/>
      <c r="AY2836" s="263">
        <v>802</v>
      </c>
      <c r="AZ2836" s="263"/>
      <c r="BA2836" s="263"/>
      <c r="BB2836" s="263">
        <v>233</v>
      </c>
      <c r="BC2836" s="263"/>
      <c r="BD2836" s="264"/>
      <c r="BE2836" s="263"/>
      <c r="BF2836" s="263"/>
      <c r="BG2836" s="263"/>
      <c r="BH2836" s="263"/>
      <c r="BI2836" s="263"/>
      <c r="BJ2836" s="404">
        <f>altaz(J2000_Bas,$O2836,$M2836,DecLat,DecLong,2)</f>
        <v>18.341640779163246</v>
      </c>
      <c r="BK2836" s="378" t="s">
        <v>2655</v>
      </c>
      <c r="BL2836" s="379">
        <f>IF((2*G2836)/60&lt;0.2,0.2,(2*G2836)/60)</f>
        <v>0.2</v>
      </c>
      <c r="BM2836" s="380">
        <f>MOD((50000+AD2836-$B$3+(0/24)),1)</f>
        <v>0.44335945941566024</v>
      </c>
      <c r="BN2836" s="381"/>
      <c r="BO2836" s="382">
        <v>2827</v>
      </c>
    </row>
    <row r="2837" spans="1:67" s="24" customFormat="1" ht="15" customHeight="1" x14ac:dyDescent="0.25">
      <c r="A2837" s="288" t="s">
        <v>2656</v>
      </c>
      <c r="B2837" s="241" t="str">
        <f>HYPERLINK(CONCATENATE($AT$3,BK2837,$AU$3),$AV$3)</f>
        <v>S</v>
      </c>
      <c r="C2837" s="242" t="str">
        <f>HYPERLINK(CONCATENATE($AT$4,BK2837,$AU$4,BL2837),$AV$4)</f>
        <v>A</v>
      </c>
      <c r="D2837" s="243" t="s">
        <v>5187</v>
      </c>
      <c r="E2837" s="244" t="s">
        <v>5183</v>
      </c>
      <c r="F2837" s="269" t="s">
        <v>5180</v>
      </c>
      <c r="G2837" s="276">
        <v>20</v>
      </c>
      <c r="H2837" s="283">
        <v>4400</v>
      </c>
      <c r="I2837" s="246">
        <v>26</v>
      </c>
      <c r="J2837" s="246">
        <v>3</v>
      </c>
      <c r="K2837" s="247" t="s">
        <v>5257</v>
      </c>
      <c r="L2837" s="248">
        <v>54106</v>
      </c>
      <c r="M2837" s="249">
        <f>15*(LEFT(TEXT($L2837,"000000"),2)+(MID(TEXT($L2837,"000000"),3,2)/60)+(RIGHT(TEXT($L2837,"000000"),2)/3600))</f>
        <v>85.275000000000006</v>
      </c>
      <c r="N2837" s="250">
        <v>355000</v>
      </c>
      <c r="O2837" s="251">
        <f>IF($N2837&gt;0,(LEFT(TEXT($N2837,"000000"),2)+(MID(TEXT($N2837,"000000"),3,2)/60)+(RIGHT(TEXT($N2837,"000000"),2)/3600)),-(MID(TEXT($N2837,"000000"),2,2)+(MID(TEXT($N2837,"000000"),4,2)/60)+(RIGHT(TEXT($N2837,"000000"),2)/3600)))</f>
        <v>35.833333333333336</v>
      </c>
      <c r="P2837" s="252" t="s">
        <v>62</v>
      </c>
      <c r="Q2837" s="253"/>
      <c r="R2837" s="247" t="s">
        <v>3293</v>
      </c>
      <c r="S2837" s="272" t="s">
        <v>5261</v>
      </c>
      <c r="T2837" s="273"/>
      <c r="U2837" s="274"/>
      <c r="V2837" s="280"/>
      <c r="W2837" s="244"/>
      <c r="X2837" s="244"/>
      <c r="Y2837" s="362"/>
      <c r="Z2837" s="257">
        <f>altaz(J2000_Bas,$O2837,$M2837,DecLat,DecLong,1)</f>
        <v>-20.391133593983781</v>
      </c>
      <c r="AA2837" s="257">
        <f>altaz((J2000_Bas+(2*0.04167)),$O2837,$M2837,DecLat,DecLong,1)</f>
        <v>-7.9078622218540371</v>
      </c>
      <c r="AB2837" s="257">
        <f>altaz((J2000_Bas+(4*0.04167)),$O2837,$M2837,DecLat,DecLong,1)</f>
        <v>11.044481330250186</v>
      </c>
      <c r="AC2837" s="257">
        <f>altaz((J2000_Bas+(6*0.04167)),$O2837,$M2837,DecLat,DecLong,1)</f>
        <v>33.390703204246066</v>
      </c>
      <c r="AD2837" s="258">
        <f>1+ transit((J2000_Bas-1),$O2837,$M2837,DecLat,DecLong)/360 + (GMTOffset/24) + (IF(DST="Y", 1, 0)/24)</f>
        <v>1.229774936942208</v>
      </c>
      <c r="AE2837" s="259">
        <f>DATE(2001,9,21)+(M2837/360)*365 - (360*((DecLong/360)- (GMTOffset/24) ))</f>
        <v>37246.459374999999</v>
      </c>
      <c r="AF2837" s="260">
        <f>IF(DecLat&gt;0,IF((90 - (DecLat-O2837))&gt;90, (90 - (O2837-DecLat)), (90 - (DecLat-O2837))),IF((90 + (DecLat-O2837))&gt;90, (90 + (O2837-DecLat)), (90 + (DecLat-O2837))))</f>
        <v>85.166666666666657</v>
      </c>
      <c r="AG2837" s="257">
        <f>angularseperation(MoonRA,MoonDec,$M2837,$O2837)</f>
        <v>163.7985196635087</v>
      </c>
      <c r="AH2837" s="261">
        <f ca="1">MIN(100,IF($O$5&gt;80,0+30*($AG2837/100),IF($O$5&gt;70,0+50*($AG2837/100),IF($O$5&gt;60,5+50*($AG2837/100),IF($O$5&gt;50,10+60*($AG2837/100),IF($O$5&gt;40,15+70*($AG2837/100),IF($O$5&gt;30,20+70*($AG2837/100),IF($O$5&gt;20,40+55*($AG2837/100),(80+(20-$O$5)+30*($AG2837/100))))))))))</f>
        <v>100</v>
      </c>
      <c r="AI2837" s="262"/>
      <c r="AJ2837" s="262"/>
      <c r="AK2837" s="262"/>
      <c r="AL2837" s="263"/>
      <c r="AM2837" s="264"/>
      <c r="AN2837" s="263"/>
      <c r="AO2837" s="263"/>
      <c r="AP2837" s="265"/>
      <c r="AQ2837" s="266"/>
      <c r="AR2837" s="267"/>
      <c r="AS2837" s="263"/>
      <c r="AT2837" s="263"/>
      <c r="AU2837" s="263"/>
      <c r="AV2837" s="264"/>
      <c r="AW2837" s="263"/>
      <c r="AX2837" s="263"/>
      <c r="AY2837" s="263"/>
      <c r="AZ2837" s="263"/>
      <c r="BA2837" s="263"/>
      <c r="BB2837" s="263">
        <v>235</v>
      </c>
      <c r="BC2837" s="263"/>
      <c r="BD2837" s="264"/>
      <c r="BE2837" s="263"/>
      <c r="BF2837" s="263"/>
      <c r="BG2837" s="263"/>
      <c r="BH2837" s="263"/>
      <c r="BI2837" s="263"/>
      <c r="BJ2837" s="404">
        <f>altaz(J2000_Bas,$O2837,$M2837,DecLat,DecLong,2)</f>
        <v>17.825474394904496</v>
      </c>
      <c r="BK2837" s="378" t="s">
        <v>2656</v>
      </c>
      <c r="BL2837" s="379">
        <f>IF((2*G2837)/60&lt;0.2,0.2,(2*G2837)/60)</f>
        <v>0.66666666666666663</v>
      </c>
      <c r="BM2837" s="380">
        <f>MOD((50000+AD2837-$B$3+(0/24)),1)</f>
        <v>0.44514186664309818</v>
      </c>
      <c r="BN2837" s="381"/>
      <c r="BO2837" s="382">
        <v>2828</v>
      </c>
    </row>
    <row r="2838" spans="1:67" s="24" customFormat="1" ht="15" customHeight="1" x14ac:dyDescent="0.25">
      <c r="A2838" s="288" t="s">
        <v>2657</v>
      </c>
      <c r="B2838" s="241" t="str">
        <f>HYPERLINK(CONCATENATE($AT$3,BK2838,$AU$3),$AV$3)</f>
        <v>S</v>
      </c>
      <c r="C2838" s="242" t="str">
        <f>HYPERLINK(CONCATENATE($AT$4,BK2838,$AU$4,BL2838),$AV$4)</f>
        <v>A</v>
      </c>
      <c r="D2838" s="243" t="s">
        <v>5187</v>
      </c>
      <c r="E2838" s="244" t="s">
        <v>5183</v>
      </c>
      <c r="F2838" s="269" t="s">
        <v>5180</v>
      </c>
      <c r="G2838" s="273">
        <v>9</v>
      </c>
      <c r="H2838" s="283">
        <v>500</v>
      </c>
      <c r="I2838" s="279">
        <v>1.3</v>
      </c>
      <c r="J2838" s="246">
        <v>3</v>
      </c>
      <c r="K2838" s="247" t="s">
        <v>5263</v>
      </c>
      <c r="L2838" s="248">
        <v>43118</v>
      </c>
      <c r="M2838" s="249">
        <f>15*(LEFT(TEXT($L2838,"000000"),2)+(MID(TEXT($L2838,"000000"),3,2)/60)+(RIGHT(TEXT($L2838,"000000"),2)/3600))</f>
        <v>67.825000000000003</v>
      </c>
      <c r="N2838" s="250">
        <v>180600</v>
      </c>
      <c r="O2838" s="251">
        <f>IF($N2838&gt;0,(LEFT(TEXT($N2838,"000000"),2)+(MID(TEXT($N2838,"000000"),3,2)/60)+(RIGHT(TEXT($N2838,"000000"),2)/3600)),-(MID(TEXT($N2838,"000000"),2,2)+(MID(TEXT($N2838,"000000"),4,2)/60)+(RIGHT(TEXT($N2838,"000000"),2)/3600)))</f>
        <v>18.100000000000001</v>
      </c>
      <c r="P2838" s="252" t="s">
        <v>56</v>
      </c>
      <c r="Q2838" s="253"/>
      <c r="R2838" s="247" t="s">
        <v>3293</v>
      </c>
      <c r="S2838" s="272" t="s">
        <v>5262</v>
      </c>
      <c r="T2838" s="273"/>
      <c r="U2838" s="274"/>
      <c r="V2838" s="280"/>
      <c r="W2838" s="244"/>
      <c r="X2838" s="244"/>
      <c r="Y2838" s="362"/>
      <c r="Z2838" s="257">
        <f>altaz(J2000_Bas,$O2838,$M2838,DecLat,DecLong,1)</f>
        <v>-28.715723912847455</v>
      </c>
      <c r="AA2838" s="257">
        <f>altaz((J2000_Bas+(2*0.04167)),$O2838,$M2838,DecLat,DecLong,1)</f>
        <v>-8.1486086332596592</v>
      </c>
      <c r="AB2838" s="257">
        <f>altaz((J2000_Bas+(4*0.04167)),$O2838,$M2838,DecLat,DecLong,1)</f>
        <v>16.157686254847821</v>
      </c>
      <c r="AC2838" s="257">
        <f>altaz((J2000_Bas+(6*0.04167)),$O2838,$M2838,DecLat,DecLong,1)</f>
        <v>41.792835168315698</v>
      </c>
      <c r="AD2838" s="258">
        <f>1+ transit((J2000_Bas-1),$O2838,$M2838,DecLat,DecLong)/360 + (GMTOffset/24) + (IF(DST="Y", 1, 0)/24)</f>
        <v>1.1813027195672079</v>
      </c>
      <c r="AE2838" s="259">
        <f>DATE(2001,9,21)+(M2838/360)*365 - (360*((DecLong/360)- (GMTOffset/24) ))</f>
        <v>37228.767013888886</v>
      </c>
      <c r="AF2838" s="260">
        <f>IF(DecLat&gt;0,IF((90 - (DecLat-O2838))&gt;90, (90 - (O2838-DecLat)), (90 - (DecLat-O2838))),IF((90 + (DecLat-O2838))&gt;90, (90 + (O2838-DecLat)), (90 + (DecLat-O2838))))</f>
        <v>77.099999999999994</v>
      </c>
      <c r="AG2838" s="257">
        <f>angularseperation(MoonRA,MoonDec,$M2838,$O2838)</f>
        <v>170.92145787135593</v>
      </c>
      <c r="AH2838" s="261">
        <f ca="1">MIN(100,IF($O$5&gt;80,0+30*($AG2838/100),IF($O$5&gt;70,0+50*($AG2838/100),IF($O$5&gt;60,5+50*($AG2838/100),IF($O$5&gt;50,10+60*($AG2838/100),IF($O$5&gt;40,15+70*($AG2838/100),IF($O$5&gt;30,20+70*($AG2838/100),IF($O$5&gt;20,40+55*($AG2838/100),(80+(20-$O$5)+30*($AG2838/100))))))))))</f>
        <v>100</v>
      </c>
      <c r="AI2838" s="262"/>
      <c r="AJ2838" s="262"/>
      <c r="AK2838" s="262"/>
      <c r="AL2838" s="263"/>
      <c r="AM2838" s="264"/>
      <c r="AN2838" s="263"/>
      <c r="AO2838" s="263"/>
      <c r="AP2838" s="265"/>
      <c r="AQ2838" s="266"/>
      <c r="AR2838" s="267"/>
      <c r="AS2838" s="263"/>
      <c r="AT2838" s="263"/>
      <c r="AU2838" s="263"/>
      <c r="AV2838" s="264"/>
      <c r="AW2838" s="263"/>
      <c r="AX2838" s="263"/>
      <c r="AY2838" s="263">
        <v>821</v>
      </c>
      <c r="AZ2838" s="263">
        <v>1551</v>
      </c>
      <c r="BA2838" s="263"/>
      <c r="BB2838" s="263">
        <v>239</v>
      </c>
      <c r="BC2838" s="263"/>
      <c r="BD2838" s="264"/>
      <c r="BE2838" s="263"/>
      <c r="BF2838" s="263"/>
      <c r="BG2838" s="263"/>
      <c r="BH2838" s="263">
        <v>75</v>
      </c>
      <c r="BI2838" s="263"/>
      <c r="BJ2838" s="404">
        <f>altaz(J2000_Bas,$O2838,$M2838,DecLat,DecLong,2)</f>
        <v>42.05963562656477</v>
      </c>
      <c r="BK2838" s="378" t="s">
        <v>2657</v>
      </c>
      <c r="BL2838" s="379">
        <f>IF((2*G2838)/60&lt;0.2,0.2,(2*G2838)/60)</f>
        <v>0.3</v>
      </c>
      <c r="BM2838" s="380">
        <f>MOD((50000+AD2838-$B$3+(0/24)),1)</f>
        <v>0.39666964927164372</v>
      </c>
      <c r="BN2838" s="381"/>
      <c r="BO2838" s="382">
        <v>2829</v>
      </c>
    </row>
    <row r="2839" spans="1:67" s="24" customFormat="1" ht="15" customHeight="1" x14ac:dyDescent="0.25">
      <c r="A2839" s="288" t="s">
        <v>2658</v>
      </c>
      <c r="B2839" s="241" t="str">
        <f>HYPERLINK(CONCATENATE($AT$3,BK2839,$AU$3),$AV$3)</f>
        <v>S</v>
      </c>
      <c r="C2839" s="242" t="str">
        <f>HYPERLINK(CONCATENATE($AT$4,BK2839,$AU$4,BL2839),$AV$4)</f>
        <v>A</v>
      </c>
      <c r="D2839" s="243" t="s">
        <v>5187</v>
      </c>
      <c r="E2839" s="244" t="s">
        <v>16</v>
      </c>
      <c r="F2839" s="269"/>
      <c r="G2839" s="276">
        <v>150</v>
      </c>
      <c r="H2839" s="283">
        <v>3000</v>
      </c>
      <c r="I2839" s="246">
        <v>140</v>
      </c>
      <c r="J2839" s="246">
        <v>5</v>
      </c>
      <c r="K2839" s="247" t="s">
        <v>5264</v>
      </c>
      <c r="L2839" s="248">
        <v>54106</v>
      </c>
      <c r="M2839" s="249">
        <f>15*(LEFT(TEXT($L2839,"000000"),2)+(MID(TEXT($L2839,"000000"),3,2)/60)+(RIGHT(TEXT($L2839,"000000"),2)/3600))</f>
        <v>85.275000000000006</v>
      </c>
      <c r="N2839" s="250">
        <v>280500</v>
      </c>
      <c r="O2839" s="251">
        <f>IF($N2839&gt;0,(LEFT(TEXT($N2839,"000000"),2)+(MID(TEXT($N2839,"000000"),3,2)/60)+(RIGHT(TEXT($N2839,"000000"),2)/3600)),-(MID(TEXT($N2839,"000000"),2,2)+(MID(TEXT($N2839,"000000"),4,2)/60)+(RIGHT(TEXT($N2839,"000000"),2)/3600)))</f>
        <v>28.083333333333332</v>
      </c>
      <c r="P2839" s="252" t="s">
        <v>56</v>
      </c>
      <c r="Q2839" s="253" t="s">
        <v>7075</v>
      </c>
      <c r="R2839" s="247" t="s">
        <v>3388</v>
      </c>
      <c r="S2839" s="272" t="s">
        <v>2660</v>
      </c>
      <c r="T2839" s="273"/>
      <c r="U2839" s="274"/>
      <c r="V2839" s="280"/>
      <c r="W2839" s="244"/>
      <c r="X2839" s="244"/>
      <c r="Y2839" s="362"/>
      <c r="Z2839" s="257">
        <f>altaz(J2000_Bas,$O2839,$M2839,DecLat,DecLong,1)</f>
        <v>-27.699967971915562</v>
      </c>
      <c r="AA2839" s="257">
        <f>altaz((J2000_Bas+(2*0.04167)),$O2839,$M2839,DecLat,DecLong,1)</f>
        <v>-13.614573689816075</v>
      </c>
      <c r="AB2839" s="257">
        <f>altaz((J2000_Bas+(4*0.04167)),$O2839,$M2839,DecLat,DecLong,1)</f>
        <v>7.0541528425899092</v>
      </c>
      <c r="AC2839" s="257">
        <f>altaz((J2000_Bas+(6*0.04167)),$O2839,$M2839,DecLat,DecLong,1)</f>
        <v>30.879944803189002</v>
      </c>
      <c r="AD2839" s="258">
        <f>1+ transit((J2000_Bas-1),$O2839,$M2839,DecLat,DecLong)/360 + (GMTOffset/24) + (IF(DST="Y", 1, 0)/24)</f>
        <v>1.229774936942208</v>
      </c>
      <c r="AE2839" s="259">
        <f>DATE(2001,9,21)+(M2839/360)*365 - (360*((DecLong/360)- (GMTOffset/24) ))</f>
        <v>37246.459374999999</v>
      </c>
      <c r="AF2839" s="260">
        <f>IF(DecLat&gt;0,IF((90 - (DecLat-O2839))&gt;90, (90 - (O2839-DecLat)), (90 - (DecLat-O2839))),IF((90 + (DecLat-O2839))&gt;90, (90 + (O2839-DecLat)), (90 + (DecLat-O2839))))</f>
        <v>87.083333333333329</v>
      </c>
      <c r="AG2839" s="257">
        <f>angularseperation(MoonRA,MoonDec,$M2839,$O2839)</f>
        <v>165.76452470165981</v>
      </c>
      <c r="AH2839" s="261">
        <f ca="1">MIN(100,IF($O$5&gt;80,0+30*($AG2839/100),IF($O$5&gt;70,0+50*($AG2839/100),IF($O$5&gt;60,5+50*($AG2839/100),IF($O$5&gt;50,10+60*($AG2839/100),IF($O$5&gt;40,15+70*($AG2839/100),IF($O$5&gt;30,20+70*($AG2839/100),IF($O$5&gt;20,40+55*($AG2839/100),(80+(20-$O$5)+30*($AG2839/100))))))))))</f>
        <v>100</v>
      </c>
      <c r="AI2839" s="262"/>
      <c r="AJ2839" s="262"/>
      <c r="AK2839" s="262"/>
      <c r="AL2839" s="263"/>
      <c r="AM2839" s="264"/>
      <c r="AN2839" s="263"/>
      <c r="AO2839" s="263"/>
      <c r="AP2839" s="265"/>
      <c r="AQ2839" s="266"/>
      <c r="AR2839" s="267"/>
      <c r="AS2839" s="263"/>
      <c r="AT2839" s="263"/>
      <c r="AU2839" s="263"/>
      <c r="AV2839" s="264"/>
      <c r="AW2839" s="263"/>
      <c r="AX2839" s="263"/>
      <c r="AY2839" s="263"/>
      <c r="AZ2839" s="263"/>
      <c r="BA2839" s="263"/>
      <c r="BB2839" s="263">
        <v>240</v>
      </c>
      <c r="BC2839" s="268" t="s">
        <v>3058</v>
      </c>
      <c r="BD2839" s="264"/>
      <c r="BE2839" s="263"/>
      <c r="BF2839" s="263"/>
      <c r="BG2839" s="263">
        <v>31</v>
      </c>
      <c r="BH2839" s="263"/>
      <c r="BI2839" s="263"/>
      <c r="BJ2839" s="404">
        <f>altaz(J2000_Bas,$O2839,$M2839,DecLat,DecLong,2)</f>
        <v>20.650996644775251</v>
      </c>
      <c r="BK2839" s="378" t="s">
        <v>2658</v>
      </c>
      <c r="BL2839" s="379">
        <f>IF((2*G2839)/60&lt;0.2,0.2,(2*G2839)/60)</f>
        <v>5</v>
      </c>
      <c r="BM2839" s="380">
        <f>MOD((50000+AD2839-$B$3+(0/24)),1)</f>
        <v>0.44514186664309818</v>
      </c>
      <c r="BN2839" s="381"/>
      <c r="BO2839" s="382">
        <v>2830</v>
      </c>
    </row>
    <row r="2840" spans="1:67" s="24" customFormat="1" ht="15" customHeight="1" x14ac:dyDescent="0.25">
      <c r="A2840" s="288" t="s">
        <v>2659</v>
      </c>
      <c r="B2840" s="241" t="str">
        <f>HYPERLINK(CONCATENATE($AT$3,BK2840,$AU$3),$AV$3)</f>
        <v>S</v>
      </c>
      <c r="C2840" s="242" t="str">
        <f>HYPERLINK(CONCATENATE($AT$4,BK2840,$AU$4,BL2840),$AV$4)</f>
        <v>A</v>
      </c>
      <c r="D2840" s="243" t="s">
        <v>5187</v>
      </c>
      <c r="E2840" s="244" t="s">
        <v>5183</v>
      </c>
      <c r="F2840" s="269" t="s">
        <v>5180</v>
      </c>
      <c r="G2840" s="273">
        <v>4</v>
      </c>
      <c r="H2840" s="283">
        <v>15000</v>
      </c>
      <c r="I2840" s="246">
        <v>17</v>
      </c>
      <c r="J2840" s="246">
        <v>2</v>
      </c>
      <c r="K2840" s="247" t="s">
        <v>5266</v>
      </c>
      <c r="L2840" s="248">
        <v>60406</v>
      </c>
      <c r="M2840" s="249">
        <f>15*(LEFT(TEXT($L2840,"000000"),2)+(MID(TEXT($L2840,"000000"),3,2)/60)+(RIGHT(TEXT($L2840,"000000"),2)/3600))</f>
        <v>91.025000000000006</v>
      </c>
      <c r="N2840" s="250">
        <v>301500</v>
      </c>
      <c r="O2840" s="251">
        <f>IF($N2840&gt;0,(LEFT(TEXT($N2840,"000000"),2)+(MID(TEXT($N2840,"000000"),3,2)/60)+(RIGHT(TEXT($N2840,"000000"),2)/3600)),-(MID(TEXT($N2840,"000000"),2,2)+(MID(TEXT($N2840,"000000"),4,2)/60)+(RIGHT(TEXT($N2840,"000000"),2)/3600)))</f>
        <v>30.25</v>
      </c>
      <c r="P2840" s="252" t="s">
        <v>62</v>
      </c>
      <c r="Q2840" s="253"/>
      <c r="R2840" s="247" t="s">
        <v>3293</v>
      </c>
      <c r="S2840" s="272" t="s">
        <v>5265</v>
      </c>
      <c r="T2840" s="273"/>
      <c r="U2840" s="274"/>
      <c r="V2840" s="280"/>
      <c r="W2840" s="244"/>
      <c r="X2840" s="244"/>
      <c r="Y2840" s="362"/>
      <c r="Z2840" s="257">
        <f>altaz(J2000_Bas,$O2840,$M2840,DecLat,DecLong,1)</f>
        <v>-27.118561309052556</v>
      </c>
      <c r="AA2840" s="257">
        <f>altaz((J2000_Bas+(2*0.04167)),$O2840,$M2840,DecLat,DecLong,1)</f>
        <v>-15.280638884471006</v>
      </c>
      <c r="AB2840" s="257">
        <f>altaz((J2000_Bas+(4*0.04167)),$O2840,$M2840,DecLat,DecLong,1)</f>
        <v>3.9939924450784909</v>
      </c>
      <c r="AC2840" s="257">
        <f>altaz((J2000_Bas+(6*0.04167)),$O2840,$M2840,DecLat,DecLong,1)</f>
        <v>27.000029940994708</v>
      </c>
      <c r="AD2840" s="258">
        <f>1+ transit((J2000_Bas-1),$O2840,$M2840,DecLat,DecLong)/360 + (GMTOffset/24) + (IF(DST="Y", 1, 0)/24)</f>
        <v>1.2457471575672081</v>
      </c>
      <c r="AE2840" s="259">
        <f>DATE(2001,9,21)+(M2840/360)*365 - (360*((DecLong/360)- (GMTOffset/24) ))</f>
        <v>37252.289236111108</v>
      </c>
      <c r="AF2840" s="260">
        <f>IF(DecLat&gt;0,IF((90 - (DecLat-O2840))&gt;90, (90 - (O2840-DecLat)), (90 - (DecLat-O2840))),IF((90 + (DecLat-O2840))&gt;90, (90 + (O2840-DecLat)), (90 + (DecLat-O2840))))</f>
        <v>89.25</v>
      </c>
      <c r="AG2840" s="257">
        <f>angularseperation(MoonRA,MoonDec,$M2840,$O2840)</f>
        <v>160.65759105246408</v>
      </c>
      <c r="AH2840" s="261">
        <f ca="1">MIN(100,IF($O$5&gt;80,0+30*($AG2840/100),IF($O$5&gt;70,0+50*($AG2840/100),IF($O$5&gt;60,5+50*($AG2840/100),IF($O$5&gt;50,10+60*($AG2840/100),IF($O$5&gt;40,15+70*($AG2840/100),IF($O$5&gt;30,20+70*($AG2840/100),IF($O$5&gt;20,40+55*($AG2840/100),(80+(20-$O$5)+30*($AG2840/100))))))))))</f>
        <v>100</v>
      </c>
      <c r="AI2840" s="262"/>
      <c r="AJ2840" s="262"/>
      <c r="AK2840" s="262"/>
      <c r="AL2840" s="263"/>
      <c r="AM2840" s="264"/>
      <c r="AN2840" s="263"/>
      <c r="AO2840" s="263"/>
      <c r="AP2840" s="265"/>
      <c r="AQ2840" s="266"/>
      <c r="AR2840" s="267"/>
      <c r="AS2840" s="263"/>
      <c r="AT2840" s="263"/>
      <c r="AU2840" s="263"/>
      <c r="AV2840" s="264"/>
      <c r="AW2840" s="263"/>
      <c r="AX2840" s="263"/>
      <c r="AY2840" s="263"/>
      <c r="AZ2840" s="263"/>
      <c r="BA2840" s="263"/>
      <c r="BB2840" s="263">
        <v>241</v>
      </c>
      <c r="BC2840" s="263"/>
      <c r="BD2840" s="264"/>
      <c r="BE2840" s="263"/>
      <c r="BF2840" s="263"/>
      <c r="BG2840" s="263"/>
      <c r="BH2840" s="263"/>
      <c r="BI2840" s="263"/>
      <c r="BJ2840" s="404">
        <f>altaz(J2000_Bas,$O2840,$M2840,DecLat,DecLong,2)</f>
        <v>14.526379676469048</v>
      </c>
      <c r="BK2840" s="378" t="s">
        <v>2659</v>
      </c>
      <c r="BL2840" s="379">
        <f>IF((2*G2840)/60&lt;0.2,0.2,(2*G2840)/60)</f>
        <v>0.2</v>
      </c>
      <c r="BM2840" s="380">
        <f>MOD((50000+AD2840-$B$3+(0/24)),1)</f>
        <v>0.4611140872730175</v>
      </c>
      <c r="BN2840" s="381"/>
      <c r="BO2840" s="382">
        <v>2831</v>
      </c>
    </row>
    <row r="2841" spans="1:67" s="24" customFormat="1" ht="15" customHeight="1" x14ac:dyDescent="0.25">
      <c r="A2841" s="288" t="s">
        <v>2660</v>
      </c>
      <c r="B2841" s="241" t="str">
        <f>HYPERLINK(CONCATENATE($AT$3,BK2841,$AU$3),$AV$3)</f>
        <v>S</v>
      </c>
      <c r="C2841" s="242" t="str">
        <f>HYPERLINK(CONCATENATE($AT$4,BK2841,$AU$4,BL2841),$AV$4)</f>
        <v>A</v>
      </c>
      <c r="D2841" s="243" t="s">
        <v>5187</v>
      </c>
      <c r="E2841" s="244" t="s">
        <v>5183</v>
      </c>
      <c r="F2841" s="269" t="s">
        <v>5180</v>
      </c>
      <c r="G2841" s="273">
        <v>7</v>
      </c>
      <c r="H2841" s="283">
        <v>7100</v>
      </c>
      <c r="I2841" s="246">
        <v>15</v>
      </c>
      <c r="J2841" s="246">
        <v>2</v>
      </c>
      <c r="K2841" s="247" t="s">
        <v>5267</v>
      </c>
      <c r="L2841" s="248">
        <v>55154</v>
      </c>
      <c r="M2841" s="249">
        <f>15*(LEFT(TEXT($L2841,"000000"),2)+(MID(TEXT($L2841,"000000"),3,2)/60)+(RIGHT(TEXT($L2841,"000000"),2)/3600))</f>
        <v>87.974999999999994</v>
      </c>
      <c r="N2841" s="250">
        <v>270154</v>
      </c>
      <c r="O2841" s="251">
        <f>IF($N2841&gt;0,(LEFT(TEXT($N2841,"000000"),2)+(MID(TEXT($N2841,"000000"),3,2)/60)+(RIGHT(TEXT($N2841,"000000"),2)/3600)),-(MID(TEXT($N2841,"000000"),2,2)+(MID(TEXT($N2841,"000000"),4,2)/60)+(RIGHT(TEXT($N2841,"000000"),2)/3600)))</f>
        <v>27.031666666666666</v>
      </c>
      <c r="P2841" s="252" t="s">
        <v>56</v>
      </c>
      <c r="Q2841" s="253"/>
      <c r="R2841" s="247" t="s">
        <v>3293</v>
      </c>
      <c r="S2841" s="272" t="s">
        <v>2658</v>
      </c>
      <c r="T2841" s="273"/>
      <c r="U2841" s="274"/>
      <c r="V2841" s="280"/>
      <c r="W2841" s="244"/>
      <c r="X2841" s="244"/>
      <c r="Y2841" s="362"/>
      <c r="Z2841" s="257">
        <f>altaz(J2000_Bas,$O2841,$M2841,DecLat,DecLong,1)</f>
        <v>-29.469947716941931</v>
      </c>
      <c r="AA2841" s="257">
        <f>altaz((J2000_Bas+(2*0.04167)),$O2841,$M2841,DecLat,DecLong,1)</f>
        <v>-16.004396300877747</v>
      </c>
      <c r="AB2841" s="257">
        <f>altaz((J2000_Bas+(4*0.04167)),$O2841,$M2841,DecLat,DecLong,1)</f>
        <v>4.4675795746845575</v>
      </c>
      <c r="AC2841" s="257">
        <f>altaz((J2000_Bas+(6*0.04167)),$O2841,$M2841,DecLat,DecLong,1)</f>
        <v>28.266960513548188</v>
      </c>
      <c r="AD2841" s="258">
        <f>1+ transit((J2000_Bas-1),$O2841,$M2841,DecLat,DecLong)/360 + (GMTOffset/24) + (IF(DST="Y", 1, 0)/24)</f>
        <v>1.237274936192208</v>
      </c>
      <c r="AE2841" s="259">
        <f>DATE(2001,9,21)+(M2841/360)*365 - (360*((DecLong/360)- (GMTOffset/24) ))</f>
        <v>37249.196875000001</v>
      </c>
      <c r="AF2841" s="260">
        <f>IF(DecLat&gt;0,IF((90 - (DecLat-O2841))&gt;90, (90 - (O2841-DecLat)), (90 - (DecLat-O2841))),IF((90 + (DecLat-O2841))&gt;90, (90 + (O2841-DecLat)), (90 + (DecLat-O2841))))</f>
        <v>86.031666666666666</v>
      </c>
      <c r="AG2841" s="257">
        <f>angularseperation(MoonRA,MoonDec,$M2841,$O2841)</f>
        <v>163.33271804777186</v>
      </c>
      <c r="AH2841" s="261">
        <f ca="1">MIN(100,IF($O$5&gt;80,0+30*($AG2841/100),IF($O$5&gt;70,0+50*($AG2841/100),IF($O$5&gt;60,5+50*($AG2841/100),IF($O$5&gt;50,10+60*($AG2841/100),IF($O$5&gt;40,15+70*($AG2841/100),IF($O$5&gt;30,20+70*($AG2841/100),IF($O$5&gt;20,40+55*($AG2841/100),(80+(20-$O$5)+30*($AG2841/100))))))))))</f>
        <v>100</v>
      </c>
      <c r="AI2841" s="262"/>
      <c r="AJ2841" s="262"/>
      <c r="AK2841" s="262"/>
      <c r="AL2841" s="263"/>
      <c r="AM2841" s="264"/>
      <c r="AN2841" s="263"/>
      <c r="AO2841" s="263"/>
      <c r="AP2841" s="265"/>
      <c r="AQ2841" s="266"/>
      <c r="AR2841" s="267"/>
      <c r="AS2841" s="263"/>
      <c r="AT2841" s="263"/>
      <c r="AU2841" s="263"/>
      <c r="AV2841" s="264"/>
      <c r="AW2841" s="263"/>
      <c r="AX2841" s="263"/>
      <c r="AY2841" s="263">
        <v>826</v>
      </c>
      <c r="AZ2841" s="263"/>
      <c r="BA2841" s="263"/>
      <c r="BB2841" s="263">
        <v>242</v>
      </c>
      <c r="BC2841" s="263"/>
      <c r="BD2841" s="264"/>
      <c r="BE2841" s="263"/>
      <c r="BF2841" s="263"/>
      <c r="BG2841" s="263"/>
      <c r="BH2841" s="263"/>
      <c r="BI2841" s="263"/>
      <c r="BJ2841" s="404">
        <f>altaz(J2000_Bas,$O2841,$M2841,DecLat,DecLong,2)</f>
        <v>18.459560237457179</v>
      </c>
      <c r="BK2841" s="378" t="s">
        <v>2660</v>
      </c>
      <c r="BL2841" s="379">
        <f>IF((2*G2841)/60&lt;0.2,0.2,(2*G2841)/60)</f>
        <v>0.23333333333333334</v>
      </c>
      <c r="BM2841" s="380">
        <f>MOD((50000+AD2841-$B$3+(0/24)),1)</f>
        <v>0.45264186589338351</v>
      </c>
      <c r="BN2841" s="381"/>
      <c r="BO2841" s="382">
        <v>2832</v>
      </c>
    </row>
    <row r="2842" spans="1:67" s="24" customFormat="1" ht="15" customHeight="1" x14ac:dyDescent="0.25">
      <c r="A2842" s="288" t="s">
        <v>2661</v>
      </c>
      <c r="B2842" s="241" t="str">
        <f>HYPERLINK(CONCATENATE($AT$3,BK2842,$AU$3),$AV$3)</f>
        <v>S</v>
      </c>
      <c r="C2842" s="242" t="str">
        <f>HYPERLINK(CONCATENATE($AT$4,BK2842,$AU$4,BL2842),$AV$4)</f>
        <v>A</v>
      </c>
      <c r="D2842" s="243" t="s">
        <v>5187</v>
      </c>
      <c r="E2842" s="244" t="s">
        <v>5183</v>
      </c>
      <c r="F2842" s="269" t="s">
        <v>5180</v>
      </c>
      <c r="G2842" s="276">
        <v>1500</v>
      </c>
      <c r="H2842" s="283">
        <v>750</v>
      </c>
      <c r="I2842" s="246">
        <v>340</v>
      </c>
      <c r="J2842" s="246">
        <v>1</v>
      </c>
      <c r="K2842" s="247" t="s">
        <v>6355</v>
      </c>
      <c r="L2842" s="248">
        <v>34006</v>
      </c>
      <c r="M2842" s="249">
        <f>15*(LEFT(TEXT($L2842,"000000"),2)+(MID(TEXT($L2842,"000000"),3,2)/60)+(RIGHT(TEXT($L2842,"000000"),2)/3600))</f>
        <v>55.024999999999991</v>
      </c>
      <c r="N2842" s="286">
        <v>-32800</v>
      </c>
      <c r="O2842" s="251">
        <f>IF($N2842&gt;0,(LEFT(TEXT($N2842,"000000"),2)+(MID(TEXT($N2842,"000000"),3,2)/60)+(RIGHT(TEXT($N2842,"000000"),2)/3600)),-(MID(TEXT($N2842,"000000"),2,2)+(MID(TEXT($N2842,"000000"),4,2)/60)+(RIGHT(TEXT($N2842,"000000"),2)/3600)))</f>
        <v>-3.4666666666666668</v>
      </c>
      <c r="P2842" s="252" t="s">
        <v>41</v>
      </c>
      <c r="Q2842" s="253"/>
      <c r="R2842" s="277" t="s">
        <v>3293</v>
      </c>
      <c r="S2842" s="272" t="s">
        <v>3293</v>
      </c>
      <c r="T2842" s="273"/>
      <c r="U2842" s="274"/>
      <c r="V2842" s="280"/>
      <c r="W2842" s="244"/>
      <c r="X2842" s="244"/>
      <c r="Y2842" s="362"/>
      <c r="Z2842" s="257">
        <f>altaz(J2000_Bas,$O2842,$M2842,DecLat,DecLong,1)</f>
        <v>-34.739670062488685</v>
      </c>
      <c r="AA2842" s="257">
        <f>altaz((J2000_Bas+(2*0.04167)),$O2842,$M2842,DecLat,DecLong,1)</f>
        <v>-9.443290670286725</v>
      </c>
      <c r="AB2842" s="257">
        <f>altaz((J2000_Bas+(4*0.04167)),$O2842,$M2842,DecLat,DecLong,1)</f>
        <v>16.112265198742872</v>
      </c>
      <c r="AC2842" s="257">
        <f>altaz((J2000_Bas+(6*0.04167)),$O2842,$M2842,DecLat,DecLong,1)</f>
        <v>39.490463945971761</v>
      </c>
      <c r="AD2842" s="258">
        <f>1+ transit((J2000_Bas-1),$O2842,$M2842,DecLat,DecLong)/360 + (GMTOffset/24) + (IF(DST="Y", 1, 0)/24)</f>
        <v>1.145747167567208</v>
      </c>
      <c r="AE2842" s="259">
        <f>DATE(2001,9,21)+(M2842/360)*365 - (360*((DecLong/360)- (GMTOffset/24) ))</f>
        <v>37215.789236111108</v>
      </c>
      <c r="AF2842" s="260">
        <f>IF(DecLat&gt;0,IF((90 - (DecLat-O2842))&gt;90, (90 - (O2842-DecLat)), (90 - (DecLat-O2842))),IF((90 + (DecLat-O2842))&gt;90, (90 + (O2842-DecLat)), (90 + (DecLat-O2842))))</f>
        <v>55.533333333333331</v>
      </c>
      <c r="AG2842" s="257">
        <f>angularseperation(MoonRA,MoonDec,$M2842,$O2842)</f>
        <v>146.50776016137667</v>
      </c>
      <c r="AH2842" s="261">
        <f ca="1">MIN(100,IF($O$5&gt;80,0+30*($AG2842/100),IF($O$5&gt;70,0+50*($AG2842/100),IF($O$5&gt;60,5+50*($AG2842/100),IF($O$5&gt;50,10+60*($AG2842/100),IF($O$5&gt;40,15+70*($AG2842/100),IF($O$5&gt;30,20+70*($AG2842/100),IF($O$5&gt;20,40+55*($AG2842/100),(80+(20-$O$5)+30*($AG2842/100))))))))))</f>
        <v>100</v>
      </c>
      <c r="AI2842" s="263"/>
      <c r="AJ2842" s="263"/>
      <c r="AK2842" s="263"/>
      <c r="AL2842" s="263"/>
      <c r="AM2842" s="264"/>
      <c r="AN2842" s="263"/>
      <c r="AO2842" s="263"/>
      <c r="AP2842" s="265"/>
      <c r="AQ2842" s="265"/>
      <c r="AR2842" s="285"/>
      <c r="AS2842" s="263"/>
      <c r="AT2842" s="263"/>
      <c r="AU2842" s="263"/>
      <c r="AV2842" s="264"/>
      <c r="AW2842" s="263"/>
      <c r="AX2842" s="263"/>
      <c r="AY2842" s="263">
        <v>839</v>
      </c>
      <c r="AZ2842" s="263"/>
      <c r="BA2842" s="263"/>
      <c r="BB2842" s="263">
        <v>245</v>
      </c>
      <c r="BC2842" s="263"/>
      <c r="BD2842" s="264"/>
      <c r="BE2842" s="263"/>
      <c r="BF2842" s="263"/>
      <c r="BG2842" s="263"/>
      <c r="BH2842" s="263"/>
      <c r="BI2842" s="263"/>
      <c r="BJ2842" s="404">
        <f>altaz(J2000_Bas,$O2842,$M2842,DecLat,DecLong,2)</f>
        <v>70.681109287584746</v>
      </c>
      <c r="BK2842" s="378" t="s">
        <v>2661</v>
      </c>
      <c r="BL2842" s="379">
        <f>IF((2*G2842)/60&lt;0.2,0.2,(2*G2842)/60)</f>
        <v>50</v>
      </c>
      <c r="BM2842" s="380">
        <f>MOD((50000+AD2842-$B$3+(0/24)),1)</f>
        <v>0.36111409727163846</v>
      </c>
      <c r="BN2842" s="381"/>
      <c r="BO2842" s="382">
        <v>2833</v>
      </c>
    </row>
    <row r="2843" spans="1:67" s="24" customFormat="1" ht="15" customHeight="1" x14ac:dyDescent="0.25">
      <c r="A2843" s="288" t="s">
        <v>2662</v>
      </c>
      <c r="B2843" s="241" t="str">
        <f>HYPERLINK(CONCATENATE($AT$3,BK2843,$AU$3),$AV$3)</f>
        <v>S</v>
      </c>
      <c r="C2843" s="242" t="str">
        <f>HYPERLINK(CONCATENATE($AT$4,BK2843,$AU$4,BL2843),$AV$4)</f>
        <v>A</v>
      </c>
      <c r="D2843" s="243" t="s">
        <v>5187</v>
      </c>
      <c r="E2843" s="244" t="s">
        <v>7522</v>
      </c>
      <c r="F2843" s="269"/>
      <c r="G2843" s="276">
        <v>65</v>
      </c>
      <c r="H2843" s="283">
        <v>12000</v>
      </c>
      <c r="I2843" s="246">
        <v>240</v>
      </c>
      <c r="J2843" s="246">
        <v>1</v>
      </c>
      <c r="K2843" s="247" t="s">
        <v>9347</v>
      </c>
      <c r="L2843" s="248">
        <v>50206</v>
      </c>
      <c r="M2843" s="249">
        <f>15*(LEFT(TEXT($L2843,"000000"),2)+(MID(TEXT($L2843,"000000"),3,2)/60)+(RIGHT(TEXT($L2843,"000000"),2)/3600))</f>
        <v>75.525000000000006</v>
      </c>
      <c r="N2843" s="250">
        <v>140500</v>
      </c>
      <c r="O2843" s="251">
        <f>IF($N2843&gt;0,(LEFT(TEXT($N2843,"000000"),2)+(MID(TEXT($N2843,"000000"),3,2)/60)+(RIGHT(TEXT($N2843,"000000"),2)/3600)),-(MID(TEXT($N2843,"000000"),2,2)+(MID(TEXT($N2843,"000000"),4,2)/60)+(RIGHT(TEXT($N2843,"000000"),2)/3600)))</f>
        <v>14.083333333333334</v>
      </c>
      <c r="P2843" s="252" t="s">
        <v>41</v>
      </c>
      <c r="Q2843" s="253"/>
      <c r="R2843" s="277" t="s">
        <v>9323</v>
      </c>
      <c r="S2843" s="272" t="s">
        <v>3293</v>
      </c>
      <c r="T2843" s="273"/>
      <c r="U2843" s="274"/>
      <c r="V2843" s="280"/>
      <c r="W2843" s="244"/>
      <c r="X2843" s="244"/>
      <c r="Y2843" s="362"/>
      <c r="Z2843" s="257">
        <f>altaz(J2000_Bas,$O2843,$M2843,DecLat,DecLong,1)</f>
        <v>-36.242233967884175</v>
      </c>
      <c r="AA2843" s="257">
        <f>altaz((J2000_Bas+(2*0.04167)),$O2843,$M2843,DecLat,DecLong,1)</f>
        <v>-16.456746905796408</v>
      </c>
      <c r="AB2843" s="257">
        <f>altaz((J2000_Bas+(4*0.04167)),$O2843,$M2843,DecLat,DecLong,1)</f>
        <v>7.7418391290390236</v>
      </c>
      <c r="AC2843" s="257">
        <f>altaz((J2000_Bas+(6*0.04167)),$O2843,$M2843,DecLat,DecLong,1)</f>
        <v>33.379548374856668</v>
      </c>
      <c r="AD2843" s="258">
        <f>1+ transit((J2000_Bas-1),$O2843,$M2843,DecLat,DecLong)/360 + (GMTOffset/24) + (IF(DST="Y", 1, 0)/24)</f>
        <v>1.202691606317208</v>
      </c>
      <c r="AE2843" s="259">
        <f>DATE(2001,9,21)+(M2843/360)*365 - (360*((DecLong/360)- (GMTOffset/24) ))</f>
        <v>37236.573958333334</v>
      </c>
      <c r="AF2843" s="260">
        <f>IF(DecLat&gt;0,IF((90 - (DecLat-O2843))&gt;90, (90 - (O2843-DecLat)), (90 - (DecLat-O2843))),IF((90 + (DecLat-O2843))&gt;90, (90 + (O2843-DecLat)), (90 + (DecLat-O2843))))</f>
        <v>73.083333333333343</v>
      </c>
      <c r="AG2843" s="257">
        <f>angularseperation(MoonRA,MoonDec,$M2843,$O2843)</f>
        <v>165.73811512770024</v>
      </c>
      <c r="AH2843" s="261">
        <f ca="1">MIN(100,IF($O$5&gt;80,0+30*($AG2843/100),IF($O$5&gt;70,0+50*($AG2843/100),IF($O$5&gt;60,5+50*($AG2843/100),IF($O$5&gt;50,10+60*($AG2843/100),IF($O$5&gt;40,15+70*($AG2843/100),IF($O$5&gt;30,20+70*($AG2843/100),IF($O$5&gt;20,40+55*($AG2843/100),(80+(20-$O$5)+30*($AG2843/100))))))))))</f>
        <v>100</v>
      </c>
      <c r="AI2843" s="263"/>
      <c r="AJ2843" s="263"/>
      <c r="AK2843" s="263"/>
      <c r="AL2843" s="263"/>
      <c r="AM2843" s="264"/>
      <c r="AN2843" s="263"/>
      <c r="AO2843" s="263"/>
      <c r="AP2843" s="265"/>
      <c r="AQ2843" s="265"/>
      <c r="AR2843" s="285"/>
      <c r="AS2843" s="263"/>
      <c r="AT2843" s="263"/>
      <c r="AU2843" s="263"/>
      <c r="AV2843" s="264"/>
      <c r="AW2843" s="263"/>
      <c r="AX2843" s="263"/>
      <c r="AY2843" s="263">
        <v>838</v>
      </c>
      <c r="AZ2843" s="263"/>
      <c r="BA2843" s="263"/>
      <c r="BB2843" s="263">
        <v>246</v>
      </c>
      <c r="BC2843" s="263"/>
      <c r="BD2843" s="264"/>
      <c r="BE2843" s="263"/>
      <c r="BF2843" s="263"/>
      <c r="BG2843" s="263"/>
      <c r="BH2843" s="263"/>
      <c r="BI2843" s="263">
        <v>34</v>
      </c>
      <c r="BJ2843" s="404">
        <f>altaz(J2000_Bas,$O2843,$M2843,DecLat,DecLong,2)</f>
        <v>37.587416792870812</v>
      </c>
      <c r="BK2843" s="378" t="s">
        <v>2662</v>
      </c>
      <c r="BL2843" s="379">
        <f>IF((2*G2843)/60&lt;0.2,0.2,(2*G2843)/60)</f>
        <v>2.1666666666666665</v>
      </c>
      <c r="BM2843" s="380">
        <f>MOD((50000+AD2843-$B$3+(0/24)),1)</f>
        <v>0.41805853602272691</v>
      </c>
      <c r="BN2843" s="381"/>
      <c r="BO2843" s="382">
        <v>2834</v>
      </c>
    </row>
    <row r="2844" spans="1:67" s="24" customFormat="1" ht="15" customHeight="1" x14ac:dyDescent="0.25">
      <c r="A2844" s="288" t="s">
        <v>2663</v>
      </c>
      <c r="B2844" s="241" t="str">
        <f>HYPERLINK(CONCATENATE($AT$3,BK2844,$AU$3),$AV$3)</f>
        <v>S</v>
      </c>
      <c r="C2844" s="242" t="str">
        <f>HYPERLINK(CONCATENATE($AT$4,BK2844,$AU$4,BL2844),$AV$4)</f>
        <v>A</v>
      </c>
      <c r="D2844" s="243" t="s">
        <v>5187</v>
      </c>
      <c r="E2844" s="244" t="s">
        <v>5183</v>
      </c>
      <c r="F2844" s="269" t="s">
        <v>5180</v>
      </c>
      <c r="G2844" s="273">
        <v>9</v>
      </c>
      <c r="H2844" s="283">
        <v>6500</v>
      </c>
      <c r="I2844" s="246">
        <v>17</v>
      </c>
      <c r="J2844" s="246">
        <v>2</v>
      </c>
      <c r="K2844" s="247" t="s">
        <v>6356</v>
      </c>
      <c r="L2844" s="248">
        <v>60830</v>
      </c>
      <c r="M2844" s="249">
        <f>15*(LEFT(TEXT($L2844,"000000"),2)+(MID(TEXT($L2844,"000000"),3,2)/60)+(RIGHT(TEXT($L2844,"000000"),2)/3600))</f>
        <v>92.125000000000014</v>
      </c>
      <c r="N2844" s="250">
        <v>213600</v>
      </c>
      <c r="O2844" s="251">
        <f>IF($N2844&gt;0,(LEFT(TEXT($N2844,"000000"),2)+(MID(TEXT($N2844,"000000"),3,2)/60)+(RIGHT(TEXT($N2844,"000000"),2)/3600)),-(MID(TEXT($N2844,"000000"),2,2)+(MID(TEXT($N2844,"000000"),4,2)/60)+(RIGHT(TEXT($N2844,"000000"),2)/3600)))</f>
        <v>21.6</v>
      </c>
      <c r="P2844" s="252" t="s">
        <v>85</v>
      </c>
      <c r="Q2844" s="253"/>
      <c r="R2844" s="277" t="s">
        <v>3293</v>
      </c>
      <c r="S2844" s="272" t="s">
        <v>3293</v>
      </c>
      <c r="T2844" s="273"/>
      <c r="U2844" s="274"/>
      <c r="V2844" s="280"/>
      <c r="W2844" s="244"/>
      <c r="X2844" s="244"/>
      <c r="Y2844" s="362"/>
      <c r="Z2844" s="257">
        <f>altaz(J2000_Bas,$O2844,$M2844,DecLat,DecLong,1)</f>
        <v>-35.740305491142543</v>
      </c>
      <c r="AA2844" s="257">
        <f>altaz((J2000_Bas+(2*0.04167)),$O2844,$M2844,DecLat,DecLong,1)</f>
        <v>-22.585542747046251</v>
      </c>
      <c r="AB2844" s="257">
        <f>altaz((J2000_Bas+(4*0.04167)),$O2844,$M2844,DecLat,DecLong,1)</f>
        <v>-1.6877738961445472</v>
      </c>
      <c r="AC2844" s="257">
        <f>altaz((J2000_Bas+(6*0.04167)),$O2844,$M2844,DecLat,DecLong,1)</f>
        <v>22.592511906693385</v>
      </c>
      <c r="AD2844" s="258">
        <f>1+ transit((J2000_Bas-1),$O2844,$M2844,DecLat,DecLong)/360 + (GMTOffset/24) + (IF(DST="Y", 1, 0)/24)</f>
        <v>1.2488027128172081</v>
      </c>
      <c r="AE2844" s="259">
        <f>DATE(2001,9,21)+(M2844/360)*365 - (360*((DecLong/360)- (GMTOffset/24) ))</f>
        <v>37253.404513888891</v>
      </c>
      <c r="AF2844" s="260">
        <f>IF(DecLat&gt;0,IF((90 - (DecLat-O2844))&gt;90, (90 - (O2844-DecLat)), (90 - (DecLat-O2844))),IF((90 + (DecLat-O2844))&gt;90, (90 + (O2844-DecLat)), (90 + (DecLat-O2844))))</f>
        <v>80.599999999999994</v>
      </c>
      <c r="AG2844" s="257">
        <f>angularseperation(MoonRA,MoonDec,$M2844,$O2844)</f>
        <v>158.47753532431017</v>
      </c>
      <c r="AH2844" s="261">
        <f ca="1">MIN(100,IF($O$5&gt;80,0+30*($AG2844/100),IF($O$5&gt;70,0+50*($AG2844/100),IF($O$5&gt;60,5+50*($AG2844/100),IF($O$5&gt;50,10+60*($AG2844/100),IF($O$5&gt;40,15+70*($AG2844/100),IF($O$5&gt;30,20+70*($AG2844/100),IF($O$5&gt;20,40+55*($AG2844/100),(80+(20-$O$5)+30*($AG2844/100))))))))))</f>
        <v>100</v>
      </c>
      <c r="AI2844" s="263"/>
      <c r="AJ2844" s="263"/>
      <c r="AK2844" s="263"/>
      <c r="AL2844" s="263"/>
      <c r="AM2844" s="264"/>
      <c r="AN2844" s="263"/>
      <c r="AO2844" s="263"/>
      <c r="AP2844" s="265"/>
      <c r="AQ2844" s="265"/>
      <c r="AR2844" s="285"/>
      <c r="AS2844" s="263"/>
      <c r="AT2844" s="263"/>
      <c r="AU2844" s="263"/>
      <c r="AV2844" s="264"/>
      <c r="AW2844" s="263"/>
      <c r="AX2844" s="263"/>
      <c r="AY2844" s="263">
        <v>843</v>
      </c>
      <c r="AZ2844" s="263"/>
      <c r="BA2844" s="263"/>
      <c r="BB2844" s="263">
        <v>247</v>
      </c>
      <c r="BC2844" s="263"/>
      <c r="BD2844" s="264"/>
      <c r="BE2844" s="263"/>
      <c r="BF2844" s="263"/>
      <c r="BG2844" s="263"/>
      <c r="BH2844" s="263"/>
      <c r="BI2844" s="263"/>
      <c r="BJ2844" s="404">
        <f>altaz(J2000_Bas,$O2844,$M2844,DecLat,DecLong,2)</f>
        <v>15.947030372109039</v>
      </c>
      <c r="BK2844" s="378" t="s">
        <v>2663</v>
      </c>
      <c r="BL2844" s="379">
        <f>IF((2*G2844)/60&lt;0.2,0.2,(2*G2844)/60)</f>
        <v>0.3</v>
      </c>
      <c r="BM2844" s="380">
        <f>MOD((50000+AD2844-$B$3+(0/24)),1)</f>
        <v>0.46416964252421167</v>
      </c>
      <c r="BN2844" s="381"/>
      <c r="BO2844" s="382">
        <v>2835</v>
      </c>
    </row>
    <row r="2845" spans="1:67" s="24" customFormat="1" ht="15" customHeight="1" x14ac:dyDescent="0.25">
      <c r="A2845" s="301" t="s">
        <v>2664</v>
      </c>
      <c r="B2845" s="241" t="str">
        <f>HYPERLINK(CONCATENATE($AT$3,BK2845,$AU$3),$AV$3)</f>
        <v>S</v>
      </c>
      <c r="C2845" s="242" t="str">
        <f>HYPERLINK(CONCATENATE($AT$4,BK2845,$AU$4,BL2845),$AV$4)</f>
        <v>A</v>
      </c>
      <c r="D2845" s="243" t="s">
        <v>5187</v>
      </c>
      <c r="E2845" s="244" t="s">
        <v>5183</v>
      </c>
      <c r="F2845" s="269" t="s">
        <v>9158</v>
      </c>
      <c r="G2845" s="276">
        <v>80</v>
      </c>
      <c r="H2845" s="283">
        <v>6600</v>
      </c>
      <c r="I2845" s="246">
        <v>150</v>
      </c>
      <c r="J2845" s="246">
        <v>3</v>
      </c>
      <c r="K2845" s="247" t="s">
        <v>9353</v>
      </c>
      <c r="L2845" s="248">
        <v>62232</v>
      </c>
      <c r="M2845" s="249">
        <f>15*(LEFT(TEXT($L2845,"000000"),2)+(MID(TEXT($L2845,"000000"),3,2)/60)+(RIGHT(TEXT($L2845,"000000"),2)/3600))</f>
        <v>95.633333333333326</v>
      </c>
      <c r="N2845" s="250">
        <v>225830</v>
      </c>
      <c r="O2845" s="251">
        <f>IF($N2845&gt;0,(LEFT(TEXT($N2845,"000000"),2)+(MID(TEXT($N2845,"000000"),3,2)/60)+(RIGHT(TEXT($N2845,"000000"),2)/3600)),-(MID(TEXT($N2845,"000000"),2,2)+(MID(TEXT($N2845,"000000"),4,2)/60)+(RIGHT(TEXT($N2845,"000000"),2)/3600)))</f>
        <v>22.974999999999998</v>
      </c>
      <c r="P2845" s="252" t="s">
        <v>85</v>
      </c>
      <c r="Q2845" s="253"/>
      <c r="R2845" s="247" t="s">
        <v>3293</v>
      </c>
      <c r="S2845" s="272" t="s">
        <v>3293</v>
      </c>
      <c r="T2845" s="273"/>
      <c r="U2845" s="274"/>
      <c r="V2845" s="280"/>
      <c r="W2845" s="244"/>
      <c r="X2845" s="244"/>
      <c r="Y2845" s="362"/>
      <c r="Z2845" s="257">
        <f>altaz(J2000_Bas,$O2845,$M2845,DecLat,DecLong,1)</f>
        <v>-35.117105767976838</v>
      </c>
      <c r="AA2845" s="257">
        <f>altaz((J2000_Bas+(2*0.04167)),$O2845,$M2845,DecLat,DecLong,1)</f>
        <v>-23.545041169659822</v>
      </c>
      <c r="AB2845" s="257">
        <f>altaz((J2000_Bas+(4*0.04167)),$O2845,$M2845,DecLat,DecLong,1)</f>
        <v>-3.5487830427209475</v>
      </c>
      <c r="AC2845" s="257">
        <f>altaz((J2000_Bas+(6*0.04167)),$O2845,$M2845,DecLat,DecLong,1)</f>
        <v>20.274260361773237</v>
      </c>
      <c r="AD2845" s="258">
        <f>1+ transit((J2000_Bas-1),$O2845,$M2845,DecLat,DecLong)/360 + (GMTOffset/24) + (IF(DST="Y", 1, 0)/24)</f>
        <v>1.2585480822130413</v>
      </c>
      <c r="AE2845" s="259">
        <f>DATE(2001,9,21)+(M2845/360)*365 - (360*((DecLong/360)- (GMTOffset/24) ))</f>
        <v>37256.961574074077</v>
      </c>
      <c r="AF2845" s="260">
        <f>IF(DecLat&gt;0,IF((90 - (DecLat-O2845))&gt;90, (90 - (O2845-DecLat)), (90 - (DecLat-O2845))),IF((90 + (DecLat-O2845))&gt;90, (90 + (O2845-DecLat)), (90 + (DecLat-O2845))))</f>
        <v>81.974999999999994</v>
      </c>
      <c r="AG2845" s="257">
        <f>angularseperation(MoonRA,MoonDec,$M2845,$O2845)</f>
        <v>155.7828715631743</v>
      </c>
      <c r="AH2845" s="261">
        <f ca="1">MIN(100,IF($O$5&gt;80,0+30*($AG2845/100),IF($O$5&gt;70,0+50*($AG2845/100),IF($O$5&gt;60,5+50*($AG2845/100),IF($O$5&gt;50,10+60*($AG2845/100),IF($O$5&gt;40,15+70*($AG2845/100),IF($O$5&gt;30,20+70*($AG2845/100),IF($O$5&gt;20,40+55*($AG2845/100),(80+(20-$O$5)+30*($AG2845/100))))))))))</f>
        <v>100</v>
      </c>
      <c r="AI2845" s="262"/>
      <c r="AJ2845" s="262"/>
      <c r="AK2845" s="262"/>
      <c r="AL2845" s="263"/>
      <c r="AM2845" s="264"/>
      <c r="AN2845" s="263"/>
      <c r="AO2845" s="263"/>
      <c r="AP2845" s="265"/>
      <c r="AQ2845" s="266"/>
      <c r="AR2845" s="267"/>
      <c r="AS2845" s="263"/>
      <c r="AT2845" s="263"/>
      <c r="AU2845" s="263"/>
      <c r="AV2845" s="264"/>
      <c r="AW2845" s="263"/>
      <c r="AX2845" s="263"/>
      <c r="AY2845" s="263">
        <v>841</v>
      </c>
      <c r="AZ2845" s="263"/>
      <c r="BA2845" s="263"/>
      <c r="BB2845" s="263">
        <v>249</v>
      </c>
      <c r="BC2845" s="263"/>
      <c r="BD2845" s="264"/>
      <c r="BE2845" s="263"/>
      <c r="BF2845" s="263"/>
      <c r="BG2845" s="263"/>
      <c r="BH2845" s="263"/>
      <c r="BI2845" s="263">
        <v>43</v>
      </c>
      <c r="BJ2845" s="404">
        <f>altaz(J2000_Bas,$O2845,$M2845,DecLat,DecLong,2)</f>
        <v>11.688457039036143</v>
      </c>
      <c r="BK2845" s="378" t="s">
        <v>2664</v>
      </c>
      <c r="BL2845" s="379">
        <f>IF((2*G2845)/60&lt;0.2,0.2,(2*G2845)/60)</f>
        <v>2.6666666666666665</v>
      </c>
      <c r="BM2845" s="380">
        <f>MOD((50000+AD2845-$B$3+(0/24)),1)</f>
        <v>0.47391501192032592</v>
      </c>
      <c r="BN2845" s="381"/>
      <c r="BO2845" s="382">
        <v>2836</v>
      </c>
    </row>
    <row r="2846" spans="1:67" s="24" customFormat="1" ht="15" customHeight="1" x14ac:dyDescent="0.25">
      <c r="A2846" s="288" t="s">
        <v>2665</v>
      </c>
      <c r="B2846" s="241" t="str">
        <f>HYPERLINK(CONCATENATE($AT$3,BK2846,$AU$3),$AV$3)</f>
        <v>S</v>
      </c>
      <c r="C2846" s="242" t="str">
        <f>HYPERLINK(CONCATENATE($AT$4,BK2846,$AU$4,BL2846),$AV$4)</f>
        <v>A</v>
      </c>
      <c r="D2846" s="243" t="s">
        <v>5187</v>
      </c>
      <c r="E2846" s="244" t="s">
        <v>5183</v>
      </c>
      <c r="F2846" s="269" t="s">
        <v>5180</v>
      </c>
      <c r="G2846" s="276">
        <v>10</v>
      </c>
      <c r="H2846" s="271" t="s">
        <v>6500</v>
      </c>
      <c r="I2846" s="244" t="s">
        <v>6500</v>
      </c>
      <c r="J2846" s="246">
        <v>2</v>
      </c>
      <c r="K2846" s="247" t="s">
        <v>6357</v>
      </c>
      <c r="L2846" s="248">
        <v>44012</v>
      </c>
      <c r="M2846" s="249">
        <f>15*(LEFT(TEXT($L2846,"000000"),2)+(MID(TEXT($L2846,"000000"),3,2)/60)+(RIGHT(TEXT($L2846,"000000"),2)/3600))</f>
        <v>70.05</v>
      </c>
      <c r="N2846" s="250">
        <v>72200</v>
      </c>
      <c r="O2846" s="251">
        <f>IF($N2846&gt;0,(LEFT(TEXT($N2846,"000000"),2)+(MID(TEXT($N2846,"000000"),3,2)/60)+(RIGHT(TEXT($N2846,"000000"),2)/3600)),-(MID(TEXT($N2846,"000000"),2,2)+(MID(TEXT($N2846,"000000"),4,2)/60)+(RIGHT(TEXT($N2846,"000000"),2)/3600)))</f>
        <v>7.3666666666666663</v>
      </c>
      <c r="P2846" s="252" t="s">
        <v>56</v>
      </c>
      <c r="Q2846" s="253"/>
      <c r="R2846" s="277" t="s">
        <v>3293</v>
      </c>
      <c r="S2846" s="272" t="s">
        <v>3293</v>
      </c>
      <c r="T2846" s="273"/>
      <c r="U2846" s="274"/>
      <c r="V2846" s="280"/>
      <c r="W2846" s="244"/>
      <c r="X2846" s="244"/>
      <c r="Y2846" s="362"/>
      <c r="Z2846" s="257">
        <f>altaz(J2000_Bas,$O2846,$M2846,DecLat,DecLong,1)</f>
        <v>-38.470706726158674</v>
      </c>
      <c r="AA2846" s="257">
        <f>altaz((J2000_Bas+(2*0.04167)),$O2846,$M2846,DecLat,DecLong,1)</f>
        <v>-16.213792369284285</v>
      </c>
      <c r="AB2846" s="257">
        <f>altaz((J2000_Bas+(4*0.04167)),$O2846,$M2846,DecLat,DecLong,1)</f>
        <v>9.0149449593752013</v>
      </c>
      <c r="AC2846" s="257">
        <f>altaz((J2000_Bas+(6*0.04167)),$O2846,$M2846,DecLat,DecLong,1)</f>
        <v>34.623525191216281</v>
      </c>
      <c r="AD2846" s="258">
        <f>1+ transit((J2000_Bas-1),$O2846,$M2846,DecLat,DecLong)/360 + (GMTOffset/24) + (IF(DST="Y", 1, 0)/24)</f>
        <v>1.1874832745047079</v>
      </c>
      <c r="AE2846" s="259">
        <f>DATE(2001,9,21)+(M2846/360)*365 - (360*((DecLong/360)- (GMTOffset/24) ))</f>
        <v>37231.022916666669</v>
      </c>
      <c r="AF2846" s="260">
        <f>IF(DecLat&gt;0,IF((90 - (DecLat-O2846))&gt;90, (90 - (O2846-DecLat)), (90 - (DecLat-O2846))),IF((90 + (DecLat-O2846))&gt;90, (90 + (O2846-DecLat)), (90 + (DecLat-O2846))))</f>
        <v>66.366666666666674</v>
      </c>
      <c r="AG2846" s="257">
        <f>angularseperation(MoonRA,MoonDec,$M2846,$O2846)</f>
        <v>160.26766505004633</v>
      </c>
      <c r="AH2846" s="261">
        <f ca="1">MIN(100,IF($O$5&gt;80,0+30*($AG2846/100),IF($O$5&gt;70,0+50*($AG2846/100),IF($O$5&gt;60,5+50*($AG2846/100),IF($O$5&gt;50,10+60*($AG2846/100),IF($O$5&gt;40,15+70*($AG2846/100),IF($O$5&gt;30,20+70*($AG2846/100),IF($O$5&gt;20,40+55*($AG2846/100),(80+(20-$O$5)+30*($AG2846/100))))))))))</f>
        <v>100</v>
      </c>
      <c r="AI2846" s="263"/>
      <c r="AJ2846" s="263"/>
      <c r="AK2846" s="263"/>
      <c r="AL2846" s="263"/>
      <c r="AM2846" s="264"/>
      <c r="AN2846" s="263"/>
      <c r="AO2846" s="263"/>
      <c r="AP2846" s="265"/>
      <c r="AQ2846" s="265"/>
      <c r="AR2846" s="285"/>
      <c r="AS2846" s="263"/>
      <c r="AT2846" s="263"/>
      <c r="AU2846" s="263"/>
      <c r="AV2846" s="264"/>
      <c r="AW2846" s="263"/>
      <c r="AX2846" s="263"/>
      <c r="AY2846" s="263">
        <v>846</v>
      </c>
      <c r="AZ2846" s="263"/>
      <c r="BA2846" s="263"/>
      <c r="BB2846" s="263">
        <v>250</v>
      </c>
      <c r="BC2846" s="263"/>
      <c r="BD2846" s="264"/>
      <c r="BE2846" s="263"/>
      <c r="BF2846" s="263"/>
      <c r="BG2846" s="263"/>
      <c r="BH2846" s="263"/>
      <c r="BI2846" s="263"/>
      <c r="BJ2846" s="404">
        <f>altaz(J2000_Bas,$O2846,$M2846,DecLat,DecLong,2)</f>
        <v>48.048406801175609</v>
      </c>
      <c r="BK2846" s="378" t="s">
        <v>2665</v>
      </c>
      <c r="BL2846" s="379">
        <f>IF((2*G2846)/60&lt;0.2,0.2,(2*G2846)/60)</f>
        <v>0.33333333333333331</v>
      </c>
      <c r="BM2846" s="380">
        <f>MOD((50000+AD2846-$B$3+(0/24)),1)</f>
        <v>0.40285020420560613</v>
      </c>
      <c r="BN2846" s="381"/>
      <c r="BO2846" s="382">
        <v>2837</v>
      </c>
    </row>
    <row r="2847" spans="1:67" s="24" customFormat="1" ht="15" customHeight="1" x14ac:dyDescent="0.25">
      <c r="A2847" s="288" t="s">
        <v>2666</v>
      </c>
      <c r="B2847" s="241" t="str">
        <f>HYPERLINK(CONCATENATE($AT$3,BK2847,$AU$3),$AV$3)</f>
        <v>S</v>
      </c>
      <c r="C2847" s="242" t="str">
        <f>HYPERLINK(CONCATENATE($AT$4,BK2847,$AU$4,BL2847),$AV$4)</f>
        <v>A</v>
      </c>
      <c r="D2847" s="243" t="s">
        <v>5187</v>
      </c>
      <c r="E2847" s="244" t="s">
        <v>5183</v>
      </c>
      <c r="F2847" s="269" t="s">
        <v>5180</v>
      </c>
      <c r="G2847" s="276">
        <v>35</v>
      </c>
      <c r="H2847" s="271" t="s">
        <v>6500</v>
      </c>
      <c r="I2847" s="244" t="s">
        <v>6500</v>
      </c>
      <c r="J2847" s="246">
        <v>2</v>
      </c>
      <c r="K2847" s="247" t="s">
        <v>6358</v>
      </c>
      <c r="L2847" s="248">
        <v>43254</v>
      </c>
      <c r="M2847" s="249">
        <f>15*(LEFT(TEXT($L2847,"000000"),2)+(MID(TEXT($L2847,"000000"),3,2)/60)+(RIGHT(TEXT($L2847,"000000"),2)/3600))</f>
        <v>68.224999999999994</v>
      </c>
      <c r="N2847" s="250">
        <v>55100</v>
      </c>
      <c r="O2847" s="251">
        <f>IF($N2847&gt;0,(LEFT(TEXT($N2847,"000000"),2)+(MID(TEXT($N2847,"000000"),3,2)/60)+(RIGHT(TEXT($N2847,"000000"),2)/3600)),-(MID(TEXT($N2847,"000000"),2,2)+(MID(TEXT($N2847,"000000"),4,2)/60)+(RIGHT(TEXT($N2847,"000000"),2)/3600)))</f>
        <v>5.85</v>
      </c>
      <c r="P2847" s="252" t="s">
        <v>56</v>
      </c>
      <c r="Q2847" s="253"/>
      <c r="R2847" s="277" t="s">
        <v>3293</v>
      </c>
      <c r="S2847" s="272" t="s">
        <v>3293</v>
      </c>
      <c r="T2847" s="273"/>
      <c r="U2847" s="274"/>
      <c r="V2847" s="280"/>
      <c r="W2847" s="244"/>
      <c r="X2847" s="244"/>
      <c r="Y2847" s="362"/>
      <c r="Z2847" s="257">
        <f>altaz(J2000_Bas,$O2847,$M2847,DecLat,DecLong,1)</f>
        <v>-38.424061033707709</v>
      </c>
      <c r="AA2847" s="257">
        <f>altaz((J2000_Bas+(2*0.04167)),$O2847,$M2847,DecLat,DecLong,1)</f>
        <v>-15.594909811336084</v>
      </c>
      <c r="AB2847" s="257">
        <f>altaz((J2000_Bas+(4*0.04167)),$O2847,$M2847,DecLat,DecLong,1)</f>
        <v>9.8100873946629843</v>
      </c>
      <c r="AC2847" s="257">
        <f>altaz((J2000_Bas+(6*0.04167)),$O2847,$M2847,DecLat,DecLong,1)</f>
        <v>35.298625951661798</v>
      </c>
      <c r="AD2847" s="258">
        <f>1+ transit((J2000_Bas-1),$O2847,$M2847,DecLat,DecLong)/360 + (GMTOffset/24) + (IF(DST="Y", 1, 0)/24)</f>
        <v>1.1824138305672081</v>
      </c>
      <c r="AE2847" s="259">
        <f>DATE(2001,9,21)+(M2847/360)*365 - (360*((DecLong/360)- (GMTOffset/24) ))</f>
        <v>37229.172569444447</v>
      </c>
      <c r="AF2847" s="260">
        <f>IF(DecLat&gt;0,IF((90 - (DecLat-O2847))&gt;90, (90 - (O2847-DecLat)), (90 - (DecLat-O2847))),IF((90 + (DecLat-O2847))&gt;90, (90 + (O2847-DecLat)), (90 + (DecLat-O2847))))</f>
        <v>64.849999999999994</v>
      </c>
      <c r="AG2847" s="257">
        <f>angularseperation(MoonRA,MoonDec,$M2847,$O2847)</f>
        <v>158.74384960163601</v>
      </c>
      <c r="AH2847" s="261">
        <f ca="1">MIN(100,IF($O$5&gt;80,0+30*($AG2847/100),IF($O$5&gt;70,0+50*($AG2847/100),IF($O$5&gt;60,5+50*($AG2847/100),IF($O$5&gt;50,10+60*($AG2847/100),IF($O$5&gt;40,15+70*($AG2847/100),IF($O$5&gt;30,20+70*($AG2847/100),IF($O$5&gt;20,40+55*($AG2847/100),(80+(20-$O$5)+30*($AG2847/100))))))))))</f>
        <v>100</v>
      </c>
      <c r="AI2847" s="263"/>
      <c r="AJ2847" s="263"/>
      <c r="AK2847" s="263"/>
      <c r="AL2847" s="263"/>
      <c r="AM2847" s="264"/>
      <c r="AN2847" s="263"/>
      <c r="AO2847" s="263"/>
      <c r="AP2847" s="265"/>
      <c r="AQ2847" s="265"/>
      <c r="AR2847" s="285"/>
      <c r="AS2847" s="263"/>
      <c r="AT2847" s="263"/>
      <c r="AU2847" s="263"/>
      <c r="AV2847" s="264"/>
      <c r="AW2847" s="263"/>
      <c r="AX2847" s="263"/>
      <c r="AY2847" s="263">
        <v>849</v>
      </c>
      <c r="AZ2847" s="263"/>
      <c r="BA2847" s="263"/>
      <c r="BB2847" s="263">
        <v>251</v>
      </c>
      <c r="BC2847" s="263"/>
      <c r="BD2847" s="264"/>
      <c r="BE2847" s="263"/>
      <c r="BF2847" s="263"/>
      <c r="BG2847" s="263"/>
      <c r="BH2847" s="263"/>
      <c r="BI2847" s="263"/>
      <c r="BJ2847" s="404">
        <f>altaz(J2000_Bas,$O2847,$M2847,DecLat,DecLong,2)</f>
        <v>51.06590431175556</v>
      </c>
      <c r="BK2847" s="378" t="s">
        <v>2666</v>
      </c>
      <c r="BL2847" s="379">
        <f>IF((2*G2847)/60&lt;0.2,0.2,(2*G2847)/60)</f>
        <v>1.1666666666666667</v>
      </c>
      <c r="BM2847" s="380">
        <f>MOD((50000+AD2847-$B$3+(0/24)),1)</f>
        <v>0.39778076027141651</v>
      </c>
      <c r="BN2847" s="381"/>
      <c r="BO2847" s="382">
        <v>2838</v>
      </c>
    </row>
    <row r="2848" spans="1:67" s="24" customFormat="1" ht="15" customHeight="1" x14ac:dyDescent="0.25">
      <c r="A2848" s="288" t="s">
        <v>2667</v>
      </c>
      <c r="B2848" s="241" t="str">
        <f>HYPERLINK(CONCATENATE($AT$3,BK2848,$AU$3),$AV$3)</f>
        <v>S</v>
      </c>
      <c r="C2848" s="242" t="str">
        <f>HYPERLINK(CONCATENATE($AT$4,BK2848,$AU$4,BL2848),$AV$4)</f>
        <v>A</v>
      </c>
      <c r="D2848" s="243" t="s">
        <v>5187</v>
      </c>
      <c r="E2848" s="244" t="s">
        <v>5183</v>
      </c>
      <c r="F2848" s="269" t="s">
        <v>5180</v>
      </c>
      <c r="G2848" s="273">
        <v>5</v>
      </c>
      <c r="H2848" s="283">
        <v>1350</v>
      </c>
      <c r="I2848" s="279">
        <v>2</v>
      </c>
      <c r="J2848" s="246">
        <v>2</v>
      </c>
      <c r="K2848" s="247" t="s">
        <v>6359</v>
      </c>
      <c r="L2848" s="248">
        <v>62548</v>
      </c>
      <c r="M2848" s="249">
        <f>15*(LEFT(TEXT($L2848,"000000"),2)+(MID(TEXT($L2848,"000000"),3,2)/60)+(RIGHT(TEXT($L2848,"000000"),2)/3600))</f>
        <v>96.45</v>
      </c>
      <c r="N2848" s="250">
        <v>200100</v>
      </c>
      <c r="O2848" s="251">
        <f>IF($N2848&gt;0,(LEFT(TEXT($N2848,"000000"),2)+(MID(TEXT($N2848,"000000"),3,2)/60)+(RIGHT(TEXT($N2848,"000000"),2)/3600)),-(MID(TEXT($N2848,"000000"),2,2)+(MID(TEXT($N2848,"000000"),4,2)/60)+(RIGHT(TEXT($N2848,"000000"),2)/3600)))</f>
        <v>20.016666666666666</v>
      </c>
      <c r="P2848" s="252" t="s">
        <v>85</v>
      </c>
      <c r="Q2848" s="253"/>
      <c r="R2848" s="277" t="s">
        <v>3293</v>
      </c>
      <c r="S2848" s="272" t="s">
        <v>3293</v>
      </c>
      <c r="T2848" s="273"/>
      <c r="U2848" s="274"/>
      <c r="V2848" s="280"/>
      <c r="W2848" s="244"/>
      <c r="X2848" s="244"/>
      <c r="Y2848" s="362"/>
      <c r="Z2848" s="257">
        <f>altaz(J2000_Bas,$O2848,$M2848,DecLat,DecLong,1)</f>
        <v>-38.164870670508542</v>
      </c>
      <c r="AA2848" s="257">
        <f>altaz((J2000_Bas+(2*0.04167)),$O2848,$M2848,DecLat,DecLong,1)</f>
        <v>-26.355228746422682</v>
      </c>
      <c r="AB2848" s="257">
        <f>altaz((J2000_Bas+(4*0.04167)),$O2848,$M2848,DecLat,DecLong,1)</f>
        <v>-5.9025902294919295</v>
      </c>
      <c r="AC2848" s="257">
        <f>altaz((J2000_Bas+(6*0.04167)),$O2848,$M2848,DecLat,DecLong,1)</f>
        <v>18.268210122672382</v>
      </c>
      <c r="AD2848" s="258">
        <f>1+ transit((J2000_Bas-1),$O2848,$M2848,DecLat,DecLong)/360 + (GMTOffset/24) + (IF(DST="Y", 1, 0)/24)</f>
        <v>1.2608166005047081</v>
      </c>
      <c r="AE2848" s="259">
        <f>DATE(2001,9,21)+(M2848/360)*365 - (360*((DecLong/360)- (GMTOffset/24) ))</f>
        <v>37257.789583333331</v>
      </c>
      <c r="AF2848" s="260">
        <f>IF(DecLat&gt;0,IF((90 - (DecLat-O2848))&gt;90, (90 - (O2848-DecLat)), (90 - (DecLat-O2848))),IF((90 + (DecLat-O2848))&gt;90, (90 + (O2848-DecLat)), (90 + (DecLat-O2848))))</f>
        <v>79.016666666666666</v>
      </c>
      <c r="AG2848" s="257">
        <f>angularseperation(MoonRA,MoonDec,$M2848,$O2848)</f>
        <v>154.13685997302682</v>
      </c>
      <c r="AH2848" s="261">
        <f ca="1">MIN(100,IF($O$5&gt;80,0+30*($AG2848/100),IF($O$5&gt;70,0+50*($AG2848/100),IF($O$5&gt;60,5+50*($AG2848/100),IF($O$5&gt;50,10+60*($AG2848/100),IF($O$5&gt;40,15+70*($AG2848/100),IF($O$5&gt;30,20+70*($AG2848/100),IF($O$5&gt;20,40+55*($AG2848/100),(80+(20-$O$5)+30*($AG2848/100))))))))))</f>
        <v>100</v>
      </c>
      <c r="AI2848" s="263"/>
      <c r="AJ2848" s="263"/>
      <c r="AK2848" s="263"/>
      <c r="AL2848" s="263"/>
      <c r="AM2848" s="264"/>
      <c r="AN2848" s="263"/>
      <c r="AO2848" s="263"/>
      <c r="AP2848" s="265"/>
      <c r="AQ2848" s="265"/>
      <c r="AR2848" s="285"/>
      <c r="AS2848" s="263"/>
      <c r="AT2848" s="263"/>
      <c r="AU2848" s="263"/>
      <c r="AV2848" s="264"/>
      <c r="AW2848" s="263"/>
      <c r="AX2848" s="263"/>
      <c r="AY2848" s="263"/>
      <c r="AZ2848" s="263"/>
      <c r="BA2848" s="263"/>
      <c r="BB2848" s="263">
        <v>253</v>
      </c>
      <c r="BC2848" s="263"/>
      <c r="BD2848" s="264"/>
      <c r="BE2848" s="263"/>
      <c r="BF2848" s="263"/>
      <c r="BG2848" s="263"/>
      <c r="BH2848" s="263"/>
      <c r="BI2848" s="263"/>
      <c r="BJ2848" s="404">
        <f>altaz(J2000_Bas,$O2848,$M2848,DecLat,DecLong,2)</f>
        <v>11.43891379273389</v>
      </c>
      <c r="BK2848" s="378" t="s">
        <v>2667</v>
      </c>
      <c r="BL2848" s="379">
        <f>IF((2*G2848)/60&lt;0.2,0.2,(2*G2848)/60)</f>
        <v>0.2</v>
      </c>
      <c r="BM2848" s="380">
        <f>MOD((50000+AD2848-$B$3+(0/24)),1)</f>
        <v>0.47618353020516224</v>
      </c>
      <c r="BN2848" s="381"/>
      <c r="BO2848" s="382">
        <v>2839</v>
      </c>
    </row>
    <row r="2849" spans="1:67" s="24" customFormat="1" ht="15" customHeight="1" x14ac:dyDescent="0.25">
      <c r="A2849" s="288" t="s">
        <v>2668</v>
      </c>
      <c r="B2849" s="241" t="str">
        <f>HYPERLINK(CONCATENATE($AT$3,BK2849,$AU$3),$AV$3)</f>
        <v>S</v>
      </c>
      <c r="C2849" s="242" t="str">
        <f>HYPERLINK(CONCATENATE($AT$4,BK2849,$AU$4,BL2849),$AV$4)</f>
        <v>A</v>
      </c>
      <c r="D2849" s="243" t="s">
        <v>5187</v>
      </c>
      <c r="E2849" s="244" t="s">
        <v>5183</v>
      </c>
      <c r="F2849" s="269" t="s">
        <v>5180</v>
      </c>
      <c r="G2849" s="276">
        <v>10</v>
      </c>
      <c r="H2849" s="283">
        <v>8000</v>
      </c>
      <c r="I2849" s="246">
        <v>23</v>
      </c>
      <c r="J2849" s="246">
        <v>4</v>
      </c>
      <c r="K2849" s="247" t="s">
        <v>5268</v>
      </c>
      <c r="L2849" s="248">
        <v>61159</v>
      </c>
      <c r="M2849" s="249">
        <f>15*(LEFT(TEXT($L2849,"000000"),2)+(MID(TEXT($L2849,"000000"),3,2)/60)+(RIGHT(TEXT($L2849,"000000"),2)/3600))</f>
        <v>92.995833333333337</v>
      </c>
      <c r="N2849" s="250">
        <v>180318</v>
      </c>
      <c r="O2849" s="251">
        <f>IF($N2849&gt;0,(LEFT(TEXT($N2849,"000000"),2)+(MID(TEXT($N2849,"000000"),3,2)/60)+(RIGHT(TEXT($N2849,"000000"),2)/3600)),-(MID(TEXT($N2849,"000000"),2,2)+(MID(TEXT($N2849,"000000"),4,2)/60)+(RIGHT(TEXT($N2849,"000000"),2)/3600)))</f>
        <v>18.055</v>
      </c>
      <c r="P2849" s="252" t="s">
        <v>41</v>
      </c>
      <c r="Q2849" s="253" t="s">
        <v>7034</v>
      </c>
      <c r="R2849" s="277" t="s">
        <v>3293</v>
      </c>
      <c r="S2849" s="272" t="s">
        <v>3293</v>
      </c>
      <c r="T2849" s="273"/>
      <c r="U2849" s="274"/>
      <c r="V2849" s="280"/>
      <c r="W2849" s="244"/>
      <c r="X2849" s="244"/>
      <c r="Y2849" s="362"/>
      <c r="Z2849" s="257">
        <f>altaz(J2000_Bas,$O2849,$M2849,DecLat,DecLong,1)</f>
        <v>-39.377361596790735</v>
      </c>
      <c r="AA2849" s="257">
        <f>altaz((J2000_Bas+(2*0.04167)),$O2849,$M2849,DecLat,DecLong,1)</f>
        <v>-25.817846758278684</v>
      </c>
      <c r="AB2849" s="257">
        <f>altaz((J2000_Bas+(4*0.04167)),$O2849,$M2849,DecLat,DecLong,1)</f>
        <v>-4.373166829412984</v>
      </c>
      <c r="AC2849" s="257">
        <f>altaz((J2000_Bas+(6*0.04167)),$O2849,$M2849,DecLat,DecLong,1)</f>
        <v>20.276998801656308</v>
      </c>
      <c r="AD2849" s="258">
        <f>1+ transit((J2000_Bas-1),$O2849,$M2849,DecLat,DecLong)/360 + (GMTOffset/24) + (IF(DST="Y", 1, 0)/24)</f>
        <v>1.2512216940567913</v>
      </c>
      <c r="AE2849" s="259">
        <f>DATE(2001,9,21)+(M2849/360)*365 - (360*((DecLong/360)- (GMTOffset/24) ))</f>
        <v>37254.287442129629</v>
      </c>
      <c r="AF2849" s="260">
        <f>IF(DecLat&gt;0,IF((90 - (DecLat-O2849))&gt;90, (90 - (O2849-DecLat)), (90 - (DecLat-O2849))),IF((90 + (DecLat-O2849))&gt;90, (90 + (O2849-DecLat)), (90 + (DecLat-O2849))))</f>
        <v>77.055000000000007</v>
      </c>
      <c r="AG2849" s="257">
        <f>angularseperation(MoonRA,MoonDec,$M2849,$O2849)</f>
        <v>156.33339958448215</v>
      </c>
      <c r="AH2849" s="261">
        <f ca="1">MIN(100,IF($O$5&gt;80,0+30*($AG2849/100),IF($O$5&gt;70,0+50*($AG2849/100),IF($O$5&gt;60,5+50*($AG2849/100),IF($O$5&gt;50,10+60*($AG2849/100),IF($O$5&gt;40,15+70*($AG2849/100),IF($O$5&gt;30,20+70*($AG2849/100),IF($O$5&gt;20,40+55*($AG2849/100),(80+(20-$O$5)+30*($AG2849/100))))))))))</f>
        <v>100</v>
      </c>
      <c r="AI2849" s="262"/>
      <c r="AJ2849" s="262"/>
      <c r="AK2849" s="262"/>
      <c r="AL2849" s="263"/>
      <c r="AM2849" s="264"/>
      <c r="AN2849" s="263"/>
      <c r="AO2849" s="263"/>
      <c r="AP2849" s="265"/>
      <c r="AQ2849" s="266"/>
      <c r="AR2849" s="267"/>
      <c r="AS2849" s="263"/>
      <c r="AT2849" s="263"/>
      <c r="AU2849" s="263"/>
      <c r="AV2849" s="264"/>
      <c r="AW2849" s="263"/>
      <c r="AX2849" s="263"/>
      <c r="AY2849" s="263">
        <v>858</v>
      </c>
      <c r="AZ2849" s="263"/>
      <c r="BA2849" s="263"/>
      <c r="BB2849" s="263">
        <v>254</v>
      </c>
      <c r="BC2849" s="263"/>
      <c r="BD2849" s="264"/>
      <c r="BE2849" s="263"/>
      <c r="BF2849" s="263"/>
      <c r="BG2849" s="263">
        <v>34</v>
      </c>
      <c r="BH2849" s="263"/>
      <c r="BI2849" s="263"/>
      <c r="BJ2849" s="404">
        <f>altaz(J2000_Bas,$O2849,$M2849,DecLat,DecLong,2)</f>
        <v>16.071017870857105</v>
      </c>
      <c r="BK2849" s="378" t="s">
        <v>2668</v>
      </c>
      <c r="BL2849" s="379">
        <f>IF((2*G2849)/60&lt;0.2,0.2,(2*G2849)/60)</f>
        <v>0.33333333333333331</v>
      </c>
      <c r="BM2849" s="380">
        <f>MOD((50000+AD2849-$B$3+(0/24)),1)</f>
        <v>0.46658862376352772</v>
      </c>
      <c r="BN2849" s="381"/>
      <c r="BO2849" s="382">
        <v>2840</v>
      </c>
    </row>
    <row r="2850" spans="1:67" s="24" customFormat="1" ht="15" customHeight="1" x14ac:dyDescent="0.25">
      <c r="A2850" s="288" t="s">
        <v>2669</v>
      </c>
      <c r="B2850" s="241" t="str">
        <f>HYPERLINK(CONCATENATE($AT$3,BK2850,$AU$3),$AV$3)</f>
        <v>S</v>
      </c>
      <c r="C2850" s="242" t="str">
        <f>HYPERLINK(CONCATENATE($AT$4,BK2850,$AU$4,BL2850),$AV$4)</f>
        <v>A</v>
      </c>
      <c r="D2850" s="243" t="s">
        <v>5187</v>
      </c>
      <c r="E2850" s="244" t="s">
        <v>5183</v>
      </c>
      <c r="F2850" s="269" t="s">
        <v>5180</v>
      </c>
      <c r="G2850" s="273">
        <v>4</v>
      </c>
      <c r="H2850" s="283">
        <v>7400</v>
      </c>
      <c r="I2850" s="279">
        <v>8</v>
      </c>
      <c r="J2850" s="246">
        <v>3</v>
      </c>
      <c r="K2850" s="247" t="s">
        <v>8605</v>
      </c>
      <c r="L2850" s="248">
        <v>61303</v>
      </c>
      <c r="M2850" s="249">
        <f>15*(LEFT(TEXT($L2850,"000000"),2)+(MID(TEXT($L2850,"000000"),3,2)/60)+(RIGHT(TEXT($L2850,"000000"),2)/3600))</f>
        <v>93.262500000000003</v>
      </c>
      <c r="N2850" s="286">
        <v>175858</v>
      </c>
      <c r="O2850" s="251">
        <f>IF($N2850&gt;0,(LEFT(TEXT($N2850,"000000"),2)+(MID(TEXT($N2850,"000000"),3,2)/60)+(RIGHT(TEXT($N2850,"000000"),2)/3600)),-(MID(TEXT($N2850,"000000"),2,2)+(MID(TEXT($N2850,"000000"),4,2)/60)+(RIGHT(TEXT($N2850,"000000"),2)/3600)))</f>
        <v>17.982777777777777</v>
      </c>
      <c r="P2850" s="252" t="s">
        <v>41</v>
      </c>
      <c r="Q2850" s="253"/>
      <c r="R2850" s="277" t="s">
        <v>3293</v>
      </c>
      <c r="S2850" s="272" t="s">
        <v>3293</v>
      </c>
      <c r="T2850" s="273"/>
      <c r="U2850" s="274"/>
      <c r="V2850" s="280"/>
      <c r="W2850" s="244"/>
      <c r="X2850" s="244"/>
      <c r="Y2850" s="362"/>
      <c r="Z2850" s="257">
        <f>altaz(J2000_Bas,$O2850,$M2850,DecLat,DecLong,1)</f>
        <v>-39.51005208195118</v>
      </c>
      <c r="AA2850" s="257">
        <f>altaz((J2000_Bas+(2*0.04167)),$O2850,$M2850,DecLat,DecLong,1)</f>
        <v>-26.037467245150868</v>
      </c>
      <c r="AB2850" s="257">
        <f>altaz((J2000_Bas+(4*0.04167)),$O2850,$M2850,DecLat,DecLong,1)</f>
        <v>-4.6228101651841929</v>
      </c>
      <c r="AC2850" s="257">
        <f>altaz((J2000_Bas+(6*0.04167)),$O2850,$M2850,DecLat,DecLong,1)</f>
        <v>20.018467788151156</v>
      </c>
      <c r="AD2850" s="258">
        <f>1+ transit((J2000_Bas-1),$O2850,$M2850,DecLat,DecLong)/360 + (GMTOffset/24) + (IF(DST="Y", 1, 0)/24)</f>
        <v>1.2519624347234581</v>
      </c>
      <c r="AE2850" s="259">
        <f>DATE(2001,9,21)+(M2850/360)*365 - (360*((DecLong/360)- (GMTOffset/24) ))</f>
        <v>37254.557812500003</v>
      </c>
      <c r="AF2850" s="260">
        <f>IF(DecLat&gt;0,IF((90 - (DecLat-O2850))&gt;90, (90 - (O2850-DecLat)), (90 - (DecLat-O2850))),IF((90 + (DecLat-O2850))&gt;90, (90 + (O2850-DecLat)), (90 + (DecLat-O2850))))</f>
        <v>76.982777777777784</v>
      </c>
      <c r="AG2850" s="257">
        <f>angularseperation(MoonRA,MoonDec,$M2850,$O2850)</f>
        <v>156.07438097741542</v>
      </c>
      <c r="AH2850" s="261">
        <f ca="1">MIN(100,IF($O$5&gt;80,0+30*($AG2850/100),IF($O$5&gt;70,0+50*($AG2850/100),IF($O$5&gt;60,5+50*($AG2850/100),IF($O$5&gt;50,10+60*($AG2850/100),IF($O$5&gt;40,15+70*($AG2850/100),IF($O$5&gt;30,20+70*($AG2850/100),IF($O$5&gt;20,40+55*($AG2850/100),(80+(20-$O$5)+30*($AG2850/100))))))))))</f>
        <v>100</v>
      </c>
      <c r="AI2850" s="262"/>
      <c r="AJ2850" s="262"/>
      <c r="AK2850" s="262"/>
      <c r="AL2850" s="263"/>
      <c r="AM2850" s="264"/>
      <c r="AN2850" s="263"/>
      <c r="AO2850" s="263"/>
      <c r="AP2850" s="265"/>
      <c r="AQ2850" s="266"/>
      <c r="AR2850" s="267"/>
      <c r="AS2850" s="263"/>
      <c r="AT2850" s="263"/>
      <c r="AU2850" s="263"/>
      <c r="AV2850" s="264"/>
      <c r="AW2850" s="263"/>
      <c r="AX2850" s="263"/>
      <c r="AY2850" s="263"/>
      <c r="AZ2850" s="263"/>
      <c r="BA2850" s="263"/>
      <c r="BB2850" s="263">
        <v>255</v>
      </c>
      <c r="BC2850" s="263"/>
      <c r="BD2850" s="264"/>
      <c r="BE2850" s="263"/>
      <c r="BF2850" s="263"/>
      <c r="BG2850" s="263"/>
      <c r="BH2850" s="263"/>
      <c r="BI2850" s="263"/>
      <c r="BJ2850" s="404">
        <f>altaz(J2000_Bas,$O2850,$M2850,DecLat,DecLong,2)</f>
        <v>15.775968975704425</v>
      </c>
      <c r="BK2850" s="378" t="s">
        <v>2669</v>
      </c>
      <c r="BL2850" s="379">
        <f>IF((2*G2850)/60&lt;0.2,0.2,(2*G2850)/60)</f>
        <v>0.2</v>
      </c>
      <c r="BM2850" s="380">
        <f>MOD((50000+AD2850-$B$3+(0/24)),1)</f>
        <v>0.46732936443004292</v>
      </c>
      <c r="BN2850" s="381"/>
      <c r="BO2850" s="382">
        <v>2841</v>
      </c>
    </row>
    <row r="2851" spans="1:67" s="24" customFormat="1" ht="15" customHeight="1" x14ac:dyDescent="0.25">
      <c r="A2851" s="288" t="s">
        <v>2670</v>
      </c>
      <c r="B2851" s="241" t="str">
        <f>HYPERLINK(CONCATENATE($AT$3,BK2851,$AU$3),$AV$3)</f>
        <v>S</v>
      </c>
      <c r="C2851" s="242" t="str">
        <f>HYPERLINK(CONCATENATE($AT$4,BK2851,$AU$4,BL2851),$AV$4)</f>
        <v>A</v>
      </c>
      <c r="D2851" s="243" t="s">
        <v>5187</v>
      </c>
      <c r="E2851" s="244" t="s">
        <v>5183</v>
      </c>
      <c r="F2851" s="269" t="s">
        <v>5180</v>
      </c>
      <c r="G2851" s="273">
        <v>2</v>
      </c>
      <c r="H2851" s="283">
        <v>8400</v>
      </c>
      <c r="I2851" s="279">
        <v>5</v>
      </c>
      <c r="J2851" s="246">
        <v>2</v>
      </c>
      <c r="K2851" s="247" t="s">
        <v>5271</v>
      </c>
      <c r="L2851" s="248">
        <v>61236</v>
      </c>
      <c r="M2851" s="249">
        <f>15*(LEFT(TEXT($L2851,"000000"),2)+(MID(TEXT($L2851,"000000"),3,2)/60)+(RIGHT(TEXT($L2851,"000000"),2)/3600))</f>
        <v>93.15</v>
      </c>
      <c r="N2851" s="286">
        <v>175654</v>
      </c>
      <c r="O2851" s="251">
        <f>IF($N2851&gt;0,(LEFT(TEXT($N2851,"000000"),2)+(MID(TEXT($N2851,"000000"),3,2)/60)+(RIGHT(TEXT($N2851,"000000"),2)/3600)),-(MID(TEXT($N2851,"000000"),2,2)+(MID(TEXT($N2851,"000000"),4,2)/60)+(RIGHT(TEXT($N2851,"000000"),2)/3600)))</f>
        <v>17.948333333333334</v>
      </c>
      <c r="P2851" s="252" t="s">
        <v>41</v>
      </c>
      <c r="Q2851" s="253"/>
      <c r="R2851" s="277" t="s">
        <v>3293</v>
      </c>
      <c r="S2851" s="272" t="s">
        <v>3293</v>
      </c>
      <c r="T2851" s="273"/>
      <c r="U2851" s="274"/>
      <c r="V2851" s="280"/>
      <c r="W2851" s="244"/>
      <c r="X2851" s="244"/>
      <c r="Y2851" s="362"/>
      <c r="Z2851" s="257">
        <f>altaz(J2000_Bas,$O2851,$M2851,DecLat,DecLong,1)</f>
        <v>-39.517102090567192</v>
      </c>
      <c r="AA2851" s="257">
        <f>altaz((J2000_Bas+(2*0.04167)),$O2851,$M2851,DecLat,DecLong,1)</f>
        <v>-25.994212954292799</v>
      </c>
      <c r="AB2851" s="257">
        <f>altaz((J2000_Bas+(4*0.04167)),$O2851,$M2851,DecLat,DecLong,1)</f>
        <v>-4.5544288191702318</v>
      </c>
      <c r="AC2851" s="257">
        <f>altaz((J2000_Bas+(6*0.04167)),$O2851,$M2851,DecLat,DecLong,1)</f>
        <v>20.097822593147161</v>
      </c>
      <c r="AD2851" s="258">
        <f>1+ transit((J2000_Bas-1),$O2851,$M2851,DecLat,DecLong)/360 + (GMTOffset/24) + (IF(DST="Y", 1, 0)/24)</f>
        <v>1.2516499347547081</v>
      </c>
      <c r="AE2851" s="259">
        <f>DATE(2001,9,21)+(M2851/360)*365 - (360*((DecLong/360)- (GMTOffset/24) ))</f>
        <v>37254.443749999999</v>
      </c>
      <c r="AF2851" s="260">
        <f>IF(DecLat&gt;0,IF((90 - (DecLat-O2851))&gt;90, (90 - (O2851-DecLat)), (90 - (DecLat-O2851))),IF((90 + (DecLat-O2851))&gt;90, (90 + (O2851-DecLat)), (90 + (DecLat-O2851))))</f>
        <v>76.948333333333338</v>
      </c>
      <c r="AG2851" s="257">
        <f>angularseperation(MoonRA,MoonDec,$M2851,$O2851)</f>
        <v>156.15446113304139</v>
      </c>
      <c r="AH2851" s="261">
        <f ca="1">MIN(100,IF($O$5&gt;80,0+30*($AG2851/100),IF($O$5&gt;70,0+50*($AG2851/100),IF($O$5&gt;60,5+50*($AG2851/100),IF($O$5&gt;50,10+60*($AG2851/100),IF($O$5&gt;40,15+70*($AG2851/100),IF($O$5&gt;30,20+70*($AG2851/100),IF($O$5&gt;20,40+55*($AG2851/100),(80+(20-$O$5)+30*($AG2851/100))))))))))</f>
        <v>100</v>
      </c>
      <c r="AI2851" s="262"/>
      <c r="AJ2851" s="262"/>
      <c r="AK2851" s="262"/>
      <c r="AL2851" s="263"/>
      <c r="AM2851" s="264"/>
      <c r="AN2851" s="263"/>
      <c r="AO2851" s="263"/>
      <c r="AP2851" s="265"/>
      <c r="AQ2851" s="266"/>
      <c r="AR2851" s="267"/>
      <c r="AS2851" s="263"/>
      <c r="AT2851" s="263"/>
      <c r="AU2851" s="263"/>
      <c r="AV2851" s="264"/>
      <c r="AW2851" s="263"/>
      <c r="AX2851" s="263"/>
      <c r="AY2851" s="263"/>
      <c r="AZ2851" s="263"/>
      <c r="BA2851" s="263"/>
      <c r="BB2851" s="263">
        <v>256</v>
      </c>
      <c r="BC2851" s="263"/>
      <c r="BD2851" s="264"/>
      <c r="BE2851" s="263"/>
      <c r="BF2851" s="263"/>
      <c r="BG2851" s="263"/>
      <c r="BH2851" s="263"/>
      <c r="BI2851" s="263"/>
      <c r="BJ2851" s="404">
        <f>altaz(J2000_Bas,$O2851,$M2851,DecLat,DecLong,2)</f>
        <v>15.921405079145831</v>
      </c>
      <c r="BK2851" s="378" t="s">
        <v>2670</v>
      </c>
      <c r="BL2851" s="379">
        <f>IF((2*G2851)/60&lt;0.2,0.2,(2*G2851)/60)</f>
        <v>0.2</v>
      </c>
      <c r="BM2851" s="380">
        <f>MOD((50000+AD2851-$B$3+(0/24)),1)</f>
        <v>0.46701686445885571</v>
      </c>
      <c r="BN2851" s="381"/>
      <c r="BO2851" s="382">
        <v>2842</v>
      </c>
    </row>
    <row r="2852" spans="1:67" s="24" customFormat="1" ht="15" customHeight="1" x14ac:dyDescent="0.25">
      <c r="A2852" s="288" t="s">
        <v>2671</v>
      </c>
      <c r="B2852" s="241" t="str">
        <f>HYPERLINK(CONCATENATE($AT$3,BK2852,$AU$3),$AV$3)</f>
        <v>S</v>
      </c>
      <c r="C2852" s="242" t="str">
        <f>HYPERLINK(CONCATENATE($AT$4,BK2852,$AU$4,BL2852),$AV$4)</f>
        <v>A</v>
      </c>
      <c r="D2852" s="243" t="s">
        <v>5187</v>
      </c>
      <c r="E2852" s="244" t="s">
        <v>5183</v>
      </c>
      <c r="F2852" s="269" t="s">
        <v>5180</v>
      </c>
      <c r="G2852" s="273">
        <v>4</v>
      </c>
      <c r="H2852" s="283">
        <v>7000</v>
      </c>
      <c r="I2852" s="279">
        <v>8</v>
      </c>
      <c r="J2852" s="246">
        <v>2</v>
      </c>
      <c r="K2852" s="247" t="s">
        <v>5270</v>
      </c>
      <c r="L2852" s="248">
        <v>61244</v>
      </c>
      <c r="M2852" s="249">
        <f>15*(LEFT(TEXT($L2852,"000000"),2)+(MID(TEXT($L2852,"000000"),3,2)/60)+(RIGHT(TEXT($L2852,"000000"),2)/3600))</f>
        <v>93.183333333333337</v>
      </c>
      <c r="N2852" s="286">
        <v>175919</v>
      </c>
      <c r="O2852" s="251">
        <f>IF($N2852&gt;0,(LEFT(TEXT($N2852,"000000"),2)+(MID(TEXT($N2852,"000000"),3,2)/60)+(RIGHT(TEXT($N2852,"000000"),2)/3600)),-(MID(TEXT($N2852,"000000"),2,2)+(MID(TEXT($N2852,"000000"),4,2)/60)+(RIGHT(TEXT($N2852,"000000"),2)/3600)))</f>
        <v>17.988611111111112</v>
      </c>
      <c r="P2852" s="252" t="s">
        <v>41</v>
      </c>
      <c r="Q2852" s="253"/>
      <c r="R2852" s="277" t="s">
        <v>3293</v>
      </c>
      <c r="S2852" s="272" t="s">
        <v>3293</v>
      </c>
      <c r="T2852" s="273"/>
      <c r="U2852" s="274"/>
      <c r="V2852" s="280"/>
      <c r="W2852" s="244"/>
      <c r="X2852" s="244"/>
      <c r="Y2852" s="362"/>
      <c r="Z2852" s="257">
        <f>altaz(J2000_Bas,$O2852,$M2852,DecLat,DecLong,1)</f>
        <v>-39.485895448295494</v>
      </c>
      <c r="AA2852" s="257">
        <f>altaz((J2000_Bas+(2*0.04167)),$O2852,$M2852,DecLat,DecLong,1)</f>
        <v>-25.984173677459058</v>
      </c>
      <c r="AB2852" s="257">
        <f>altaz((J2000_Bas+(4*0.04167)),$O2852,$M2852,DecLat,DecLong,1)</f>
        <v>-4.5575847229977438</v>
      </c>
      <c r="AC2852" s="257">
        <f>altaz((J2000_Bas+(6*0.04167)),$O2852,$M2852,DecLat,DecLong,1)</f>
        <v>20.088077689075178</v>
      </c>
      <c r="AD2852" s="258">
        <f>1+ transit((J2000_Bas-1),$O2852,$M2852,DecLat,DecLong)/360 + (GMTOffset/24) + (IF(DST="Y", 1, 0)/24)</f>
        <v>1.2517425273380414</v>
      </c>
      <c r="AE2852" s="259">
        <f>DATE(2001,9,21)+(M2852/360)*365 - (360*((DecLong/360)- (GMTOffset/24) ))</f>
        <v>37254.477546296293</v>
      </c>
      <c r="AF2852" s="260">
        <f>IF(DecLat&gt;0,IF((90 - (DecLat-O2852))&gt;90, (90 - (O2852-DecLat)), (90 - (DecLat-O2852))),IF((90 + (DecLat-O2852))&gt;90, (90 + (O2852-DecLat)), (90 + (DecLat-O2852))))</f>
        <v>76.988611111111112</v>
      </c>
      <c r="AG2852" s="257">
        <f>angularseperation(MoonRA,MoonDec,$M2852,$O2852)</f>
        <v>156.14427980764725</v>
      </c>
      <c r="AH2852" s="261">
        <f ca="1">MIN(100,IF($O$5&gt;80,0+30*($AG2852/100),IF($O$5&gt;70,0+50*($AG2852/100),IF($O$5&gt;60,5+50*($AG2852/100),IF($O$5&gt;50,10+60*($AG2852/100),IF($O$5&gt;40,15+70*($AG2852/100),IF($O$5&gt;30,20+70*($AG2852/100),IF($O$5&gt;20,40+55*($AG2852/100),(80+(20-$O$5)+30*($AG2852/100))))))))))</f>
        <v>100</v>
      </c>
      <c r="AI2852" s="262"/>
      <c r="AJ2852" s="262"/>
      <c r="AK2852" s="262"/>
      <c r="AL2852" s="263"/>
      <c r="AM2852" s="264"/>
      <c r="AN2852" s="263"/>
      <c r="AO2852" s="263"/>
      <c r="AP2852" s="265"/>
      <c r="AQ2852" s="266"/>
      <c r="AR2852" s="267"/>
      <c r="AS2852" s="263"/>
      <c r="AT2852" s="263"/>
      <c r="AU2852" s="263"/>
      <c r="AV2852" s="264"/>
      <c r="AW2852" s="263"/>
      <c r="AX2852" s="263"/>
      <c r="AY2852" s="263">
        <v>859</v>
      </c>
      <c r="AZ2852" s="263"/>
      <c r="BA2852" s="263"/>
      <c r="BB2852" s="263">
        <v>257</v>
      </c>
      <c r="BC2852" s="263"/>
      <c r="BD2852" s="264"/>
      <c r="BE2852" s="263"/>
      <c r="BF2852" s="263"/>
      <c r="BG2852" s="263"/>
      <c r="BH2852" s="263"/>
      <c r="BI2852" s="263"/>
      <c r="BJ2852" s="404">
        <f>altaz(J2000_Bas,$O2852,$M2852,DecLat,DecLong,2)</f>
        <v>15.868700714969048</v>
      </c>
      <c r="BK2852" s="378" t="s">
        <v>2671</v>
      </c>
      <c r="BL2852" s="379">
        <f>IF((2*G2852)/60&lt;0.2,0.2,(2*G2852)/60)</f>
        <v>0.2</v>
      </c>
      <c r="BM2852" s="380">
        <f>MOD((50000+AD2852-$B$3+(0/24)),1)</f>
        <v>0.4671094570439891</v>
      </c>
      <c r="BN2852" s="381"/>
      <c r="BO2852" s="382">
        <v>2843</v>
      </c>
    </row>
    <row r="2853" spans="1:67" s="24" customFormat="1" ht="15" customHeight="1" x14ac:dyDescent="0.25">
      <c r="A2853" s="288" t="s">
        <v>2672</v>
      </c>
      <c r="B2853" s="241" t="str">
        <f>HYPERLINK(CONCATENATE($AT$3,BK2853,$AU$3),$AV$3)</f>
        <v>S</v>
      </c>
      <c r="C2853" s="242" t="str">
        <f>HYPERLINK(CONCATENATE($AT$4,BK2853,$AU$4,BL2853),$AV$4)</f>
        <v>A</v>
      </c>
      <c r="D2853" s="243" t="s">
        <v>5187</v>
      </c>
      <c r="E2853" s="244" t="s">
        <v>5183</v>
      </c>
      <c r="F2853" s="269" t="s">
        <v>5180</v>
      </c>
      <c r="G2853" s="273">
        <v>1</v>
      </c>
      <c r="H2853" s="283">
        <v>9900</v>
      </c>
      <c r="I2853" s="279">
        <v>3</v>
      </c>
      <c r="J2853" s="246">
        <v>2</v>
      </c>
      <c r="K2853" s="247" t="s">
        <v>5269</v>
      </c>
      <c r="L2853" s="248">
        <v>61328</v>
      </c>
      <c r="M2853" s="249">
        <f>15*(LEFT(TEXT($L2853,"000000"),2)+(MID(TEXT($L2853,"000000"),3,2)/60)+(RIGHT(TEXT($L2853,"000000"),2)/3600))</f>
        <v>93.366666666666674</v>
      </c>
      <c r="N2853" s="286">
        <v>175530</v>
      </c>
      <c r="O2853" s="251">
        <f>IF($N2853&gt;0,(LEFT(TEXT($N2853,"000000"),2)+(MID(TEXT($N2853,"000000"),3,2)/60)+(RIGHT(TEXT($N2853,"000000"),2)/3600)),-(MID(TEXT($N2853,"000000"),2,2)+(MID(TEXT($N2853,"000000"),4,2)/60)+(RIGHT(TEXT($N2853,"000000"),2)/3600)))</f>
        <v>17.925000000000001</v>
      </c>
      <c r="P2853" s="252" t="s">
        <v>41</v>
      </c>
      <c r="Q2853" s="253"/>
      <c r="R2853" s="277" t="s">
        <v>3293</v>
      </c>
      <c r="S2853" s="272" t="s">
        <v>3293</v>
      </c>
      <c r="T2853" s="273"/>
      <c r="U2853" s="274"/>
      <c r="V2853" s="280"/>
      <c r="W2853" s="244"/>
      <c r="X2853" s="244"/>
      <c r="Y2853" s="362"/>
      <c r="Z2853" s="257">
        <f>altaz(J2000_Bas,$O2853,$M2853,DecLat,DecLong,1)</f>
        <v>-39.590276773967119</v>
      </c>
      <c r="AA2853" s="257">
        <f>altaz((J2000_Bas+(2*0.04167)),$O2853,$M2853,DecLat,DecLong,1)</f>
        <v>-26.145693438131932</v>
      </c>
      <c r="AB2853" s="257">
        <f>altaz((J2000_Bas+(4*0.04167)),$O2853,$M2853,DecLat,DecLong,1)</f>
        <v>-4.7371666230986786</v>
      </c>
      <c r="AC2853" s="257">
        <f>altaz((J2000_Bas+(6*0.04167)),$O2853,$M2853,DecLat,DecLong,1)</f>
        <v>19.903913388951132</v>
      </c>
      <c r="AD2853" s="258">
        <f>1+ transit((J2000_Bas-1),$O2853,$M2853,DecLat,DecLong)/360 + (GMTOffset/24) + (IF(DST="Y", 1, 0)/24)</f>
        <v>1.2522517865463747</v>
      </c>
      <c r="AE2853" s="259">
        <f>DATE(2001,9,21)+(M2853/360)*365 - (360*((DecLong/360)- (GMTOffset/24) ))</f>
        <v>37254.663425925923</v>
      </c>
      <c r="AF2853" s="260">
        <f>IF(DecLat&gt;0,IF((90 - (DecLat-O2853))&gt;90, (90 - (O2853-DecLat)), (90 - (DecLat-O2853))),IF((90 + (DecLat-O2853))&gt;90, (90 + (O2853-DecLat)), (90 + (DecLat-O2853))))</f>
        <v>76.924999999999997</v>
      </c>
      <c r="AG2853" s="257">
        <f>angularseperation(MoonRA,MoonDec,$M2853,$O2853)</f>
        <v>155.95989400122517</v>
      </c>
      <c r="AH2853" s="261">
        <f ca="1">MIN(100,IF($O$5&gt;80,0+30*($AG2853/100),IF($O$5&gt;70,0+50*($AG2853/100),IF($O$5&gt;60,5+50*($AG2853/100),IF($O$5&gt;50,10+60*($AG2853/100),IF($O$5&gt;40,15+70*($AG2853/100),IF($O$5&gt;30,20+70*($AG2853/100),IF($O$5&gt;20,40+55*($AG2853/100),(80+(20-$O$5)+30*($AG2853/100))))))))))</f>
        <v>100</v>
      </c>
      <c r="AI2853" s="262"/>
      <c r="AJ2853" s="262"/>
      <c r="AK2853" s="262"/>
      <c r="AL2853" s="263"/>
      <c r="AM2853" s="264"/>
      <c r="AN2853" s="263"/>
      <c r="AO2853" s="263"/>
      <c r="AP2853" s="265"/>
      <c r="AQ2853" s="266"/>
      <c r="AR2853" s="267"/>
      <c r="AS2853" s="263"/>
      <c r="AT2853" s="263"/>
      <c r="AU2853" s="263"/>
      <c r="AV2853" s="264"/>
      <c r="AW2853" s="263"/>
      <c r="AX2853" s="263"/>
      <c r="AY2853" s="263"/>
      <c r="AZ2853" s="263"/>
      <c r="BA2853" s="263"/>
      <c r="BB2853" s="263">
        <v>258</v>
      </c>
      <c r="BC2853" s="263"/>
      <c r="BD2853" s="264"/>
      <c r="BE2853" s="263"/>
      <c r="BF2853" s="263"/>
      <c r="BG2853" s="263"/>
      <c r="BH2853" s="263"/>
      <c r="BI2853" s="263"/>
      <c r="BJ2853" s="404">
        <f>altaz(J2000_Bas,$O2853,$M2853,DecLat,DecLong,2)</f>
        <v>15.669639133699103</v>
      </c>
      <c r="BK2853" s="378" t="s">
        <v>2672</v>
      </c>
      <c r="BL2853" s="379">
        <f>IF((2*G2853)/60&lt;0.2,0.2,(2*G2853)/60)</f>
        <v>0.2</v>
      </c>
      <c r="BM2853" s="380">
        <f>MOD((50000+AD2853-$B$3+(0/24)),1)</f>
        <v>0.46761871624767082</v>
      </c>
      <c r="BN2853" s="381"/>
      <c r="BO2853" s="382">
        <v>2844</v>
      </c>
    </row>
    <row r="2854" spans="1:67" s="24" customFormat="1" ht="15" customHeight="1" x14ac:dyDescent="0.25">
      <c r="A2854" s="288" t="s">
        <v>2673</v>
      </c>
      <c r="B2854" s="241" t="str">
        <f>HYPERLINK(CONCATENATE($AT$3,BK2854,$AU$3),$AV$3)</f>
        <v>S</v>
      </c>
      <c r="C2854" s="242" t="str">
        <f>HYPERLINK(CONCATENATE($AT$4,BK2854,$AU$4,BL2854),$AV$4)</f>
        <v>A</v>
      </c>
      <c r="D2854" s="243" t="s">
        <v>5187</v>
      </c>
      <c r="E2854" s="244" t="s">
        <v>5183</v>
      </c>
      <c r="F2854" s="269" t="s">
        <v>5180</v>
      </c>
      <c r="G2854" s="273">
        <v>2</v>
      </c>
      <c r="H2854" s="283">
        <v>27000</v>
      </c>
      <c r="I2854" s="246">
        <v>16</v>
      </c>
      <c r="J2854" s="246">
        <v>1</v>
      </c>
      <c r="K2854" s="247" t="s">
        <v>6360</v>
      </c>
      <c r="L2854" s="248">
        <v>61126</v>
      </c>
      <c r="M2854" s="249">
        <f>15*(LEFT(TEXT($L2854,"000000"),2)+(MID(TEXT($L2854,"000000"),3,2)/60)+(RIGHT(TEXT($L2854,"000000"),2)/3600))</f>
        <v>92.858333333333334</v>
      </c>
      <c r="N2854" s="250">
        <v>172625</v>
      </c>
      <c r="O2854" s="251">
        <f>IF($N2854&gt;0,(LEFT(TEXT($N2854,"000000"),2)+(MID(TEXT($N2854,"000000"),3,2)/60)+(RIGHT(TEXT($N2854,"000000"),2)/3600)),-(MID(TEXT($N2854,"000000"),2,2)+(MID(TEXT($N2854,"000000"),4,2)/60)+(RIGHT(TEXT($N2854,"000000"),2)/3600)))</f>
        <v>17.440277777777776</v>
      </c>
      <c r="P2854" s="252" t="s">
        <v>41</v>
      </c>
      <c r="Q2854" s="253"/>
      <c r="R2854" s="277" t="s">
        <v>3293</v>
      </c>
      <c r="S2854" s="272" t="s">
        <v>3293</v>
      </c>
      <c r="T2854" s="273"/>
      <c r="U2854" s="274"/>
      <c r="V2854" s="280"/>
      <c r="W2854" s="244"/>
      <c r="X2854" s="244"/>
      <c r="Y2854" s="362"/>
      <c r="Z2854" s="257">
        <f>altaz(J2000_Bas,$O2854,$M2854,DecLat,DecLong,1)</f>
        <v>-39.939273892931475</v>
      </c>
      <c r="AA2854" s="257">
        <f>altaz((J2000_Bas+(2*0.04167)),$O2854,$M2854,DecLat,DecLong,1)</f>
        <v>-26.198288451064428</v>
      </c>
      <c r="AB2854" s="257">
        <f>altaz((J2000_Bas+(4*0.04167)),$O2854,$M2854,DecLat,DecLong,1)</f>
        <v>-4.6142640031733899</v>
      </c>
      <c r="AC2854" s="257">
        <f>altaz((J2000_Bas+(6*0.04167)),$O2854,$M2854,DecLat,DecLong,1)</f>
        <v>20.111547357648416</v>
      </c>
      <c r="AD2854" s="258">
        <f>1+ transit((J2000_Bas-1),$O2854,$M2854,DecLat,DecLong)/360 + (GMTOffset/24) + (IF(DST="Y", 1, 0)/24)</f>
        <v>1.2508397496505415</v>
      </c>
      <c r="AE2854" s="259">
        <f>DATE(2001,9,21)+(M2854/360)*365 - (360*((DecLong/360)- (GMTOffset/24) ))</f>
        <v>37254.148032407407</v>
      </c>
      <c r="AF2854" s="260">
        <f>IF(DecLat&gt;0,IF((90 - (DecLat-O2854))&gt;90, (90 - (O2854-DecLat)), (90 - (DecLat-O2854))),IF((90 + (DecLat-O2854))&gt;90, (90 + (O2854-DecLat)), (90 + (DecLat-O2854))))</f>
        <v>76.44027777777778</v>
      </c>
      <c r="AG2854" s="257">
        <f>angularseperation(MoonRA,MoonDec,$M2854,$O2854)</f>
        <v>156.16718135262747</v>
      </c>
      <c r="AH2854" s="261">
        <f ca="1">MIN(100,IF($O$5&gt;80,0+30*($AG2854/100),IF($O$5&gt;70,0+50*($AG2854/100),IF($O$5&gt;60,5+50*($AG2854/100),IF($O$5&gt;50,10+60*($AG2854/100),IF($O$5&gt;40,15+70*($AG2854/100),IF($O$5&gt;30,20+70*($AG2854/100),IF($O$5&gt;20,40+55*($AG2854/100),(80+(20-$O$5)+30*($AG2854/100))))))))))</f>
        <v>100</v>
      </c>
      <c r="AI2854" s="263"/>
      <c r="AJ2854" s="263"/>
      <c r="AK2854" s="263"/>
      <c r="AL2854" s="263"/>
      <c r="AM2854" s="264"/>
      <c r="AN2854" s="263"/>
      <c r="AO2854" s="263"/>
      <c r="AP2854" s="265"/>
      <c r="AQ2854" s="265"/>
      <c r="AR2854" s="285"/>
      <c r="AS2854" s="263"/>
      <c r="AT2854" s="263"/>
      <c r="AU2854" s="263"/>
      <c r="AV2854" s="264"/>
      <c r="AW2854" s="263"/>
      <c r="AX2854" s="263"/>
      <c r="AY2854" s="263"/>
      <c r="AZ2854" s="263"/>
      <c r="BA2854" s="263"/>
      <c r="BB2854" s="263">
        <v>259</v>
      </c>
      <c r="BC2854" s="263"/>
      <c r="BD2854" s="264"/>
      <c r="BE2854" s="263"/>
      <c r="BF2854" s="263"/>
      <c r="BG2854" s="263"/>
      <c r="BH2854" s="263"/>
      <c r="BI2854" s="263"/>
      <c r="BJ2854" s="404">
        <f>altaz(J2000_Bas,$O2854,$M2854,DecLat,DecLong,2)</f>
        <v>16.436775460482842</v>
      </c>
      <c r="BK2854" s="378" t="s">
        <v>2673</v>
      </c>
      <c r="BL2854" s="379">
        <f>IF((2*G2854)/60&lt;0.2,0.2,(2*G2854)/60)</f>
        <v>0.2</v>
      </c>
      <c r="BM2854" s="380">
        <f>MOD((50000+AD2854-$B$3+(0/24)),1)</f>
        <v>0.46620667935349047</v>
      </c>
      <c r="BN2854" s="381"/>
      <c r="BO2854" s="382">
        <v>2845</v>
      </c>
    </row>
    <row r="2855" spans="1:67" s="24" customFormat="1" ht="15" customHeight="1" x14ac:dyDescent="0.25">
      <c r="A2855" s="288" t="s">
        <v>2674</v>
      </c>
      <c r="B2855" s="241" t="str">
        <f>HYPERLINK(CONCATENATE($AT$3,BK2855,$AU$3),$AV$3)</f>
        <v>S</v>
      </c>
      <c r="C2855" s="242" t="str">
        <f>HYPERLINK(CONCATENATE($AT$4,BK2855,$AU$4,BL2855),$AV$4)</f>
        <v>A</v>
      </c>
      <c r="D2855" s="243" t="s">
        <v>5187</v>
      </c>
      <c r="E2855" s="244" t="s">
        <v>5183</v>
      </c>
      <c r="F2855" s="269" t="s">
        <v>5180</v>
      </c>
      <c r="G2855" s="276">
        <v>55</v>
      </c>
      <c r="H2855" s="271" t="s">
        <v>6500</v>
      </c>
      <c r="I2855" s="244" t="s">
        <v>6500</v>
      </c>
      <c r="J2855" s="246">
        <v>2</v>
      </c>
      <c r="K2855" s="247" t="s">
        <v>5272</v>
      </c>
      <c r="L2855" s="248">
        <v>45512</v>
      </c>
      <c r="M2855" s="249">
        <f>15*(LEFT(TEXT($L2855,"000000"),2)+(MID(TEXT($L2855,"000000"),3,2)/60)+(RIGHT(TEXT($L2855,"000000"),2)/3600))</f>
        <v>73.8</v>
      </c>
      <c r="N2855" s="250">
        <v>54000</v>
      </c>
      <c r="O2855" s="251">
        <f>IF($N2855&gt;0,(LEFT(TEXT($N2855,"000000"),2)+(MID(TEXT($N2855,"000000"),3,2)/60)+(RIGHT(TEXT($N2855,"000000"),2)/3600)),-(MID(TEXT($N2855,"000000"),2,2)+(MID(TEXT($N2855,"000000"),4,2)/60)+(RIGHT(TEXT($N2855,"000000"),2)/3600)))</f>
        <v>5.666666666666667</v>
      </c>
      <c r="P2855" s="252" t="s">
        <v>41</v>
      </c>
      <c r="Q2855" s="253"/>
      <c r="R2855" s="247" t="s">
        <v>3293</v>
      </c>
      <c r="S2855" s="272" t="s">
        <v>3293</v>
      </c>
      <c r="T2855" s="273"/>
      <c r="U2855" s="274"/>
      <c r="V2855" s="280"/>
      <c r="W2855" s="244"/>
      <c r="X2855" s="244"/>
      <c r="Y2855" s="362"/>
      <c r="Z2855" s="257">
        <f>altaz(J2000_Bas,$O2855,$M2855,DecLat,DecLong,1)</f>
        <v>-42.137216830672735</v>
      </c>
      <c r="AA2855" s="257">
        <f>altaz((J2000_Bas+(2*0.04167)),$O2855,$M2855,DecLat,DecLong,1)</f>
        <v>-20.231497330351306</v>
      </c>
      <c r="AB2855" s="257">
        <f>altaz((J2000_Bas+(4*0.04167)),$O2855,$M2855,DecLat,DecLong,1)</f>
        <v>4.9423642663315936</v>
      </c>
      <c r="AC2855" s="257">
        <f>altaz((J2000_Bas+(6*0.04167)),$O2855,$M2855,DecLat,DecLong,1)</f>
        <v>30.571350001476993</v>
      </c>
      <c r="AD2855" s="258">
        <f>1+ transit((J2000_Bas-1),$O2855,$M2855,DecLat,DecLong)/360 + (GMTOffset/24) + (IF(DST="Y", 1, 0)/24)</f>
        <v>1.1978999401297081</v>
      </c>
      <c r="AE2855" s="259">
        <f>DATE(2001,9,21)+(M2855/360)*365 - (360*((DecLong/360)- (GMTOffset/24) ))</f>
        <v>37234.824999999997</v>
      </c>
      <c r="AF2855" s="260">
        <f>IF(DecLat&gt;0,IF((90 - (DecLat-O2855))&gt;90, (90 - (O2855-DecLat)), (90 - (DecLat-O2855))),IF((90 + (DecLat-O2855))&gt;90, (90 + (O2855-DecLat)), (90 + (DecLat-O2855))))</f>
        <v>64.666666666666671</v>
      </c>
      <c r="AG2855" s="257">
        <f>angularseperation(MoonRA,MoonDec,$M2855,$O2855)</f>
        <v>158.14711632633242</v>
      </c>
      <c r="AH2855" s="261">
        <f ca="1">MIN(100,IF($O$5&gt;80,0+30*($AG2855/100),IF($O$5&gt;70,0+50*($AG2855/100),IF($O$5&gt;60,5+50*($AG2855/100),IF($O$5&gt;50,10+60*($AG2855/100),IF($O$5&gt;40,15+70*($AG2855/100),IF($O$5&gt;30,20+70*($AG2855/100),IF($O$5&gt;20,40+55*($AG2855/100),(80+(20-$O$5)+30*($AG2855/100))))))))))</f>
        <v>100</v>
      </c>
      <c r="AI2855" s="262"/>
      <c r="AJ2855" s="262"/>
      <c r="AK2855" s="262"/>
      <c r="AL2855" s="263"/>
      <c r="AM2855" s="264"/>
      <c r="AN2855" s="263"/>
      <c r="AO2855" s="263"/>
      <c r="AP2855" s="265"/>
      <c r="AQ2855" s="266"/>
      <c r="AR2855" s="267"/>
      <c r="AS2855" s="263"/>
      <c r="AT2855" s="263"/>
      <c r="AU2855" s="263"/>
      <c r="AV2855" s="264"/>
      <c r="AW2855" s="263"/>
      <c r="AX2855" s="263"/>
      <c r="AY2855" s="263">
        <v>860</v>
      </c>
      <c r="AZ2855" s="263"/>
      <c r="BA2855" s="263"/>
      <c r="BB2855" s="263">
        <v>260</v>
      </c>
      <c r="BC2855" s="263"/>
      <c r="BD2855" s="264"/>
      <c r="BE2855" s="263"/>
      <c r="BF2855" s="263"/>
      <c r="BG2855" s="263"/>
      <c r="BH2855" s="263"/>
      <c r="BI2855" s="263"/>
      <c r="BJ2855" s="404">
        <f>altaz(J2000_Bas,$O2855,$M2855,DecLat,DecLong,2)</f>
        <v>45.655309738717385</v>
      </c>
      <c r="BK2855" s="378" t="s">
        <v>2674</v>
      </c>
      <c r="BL2855" s="379">
        <f>IF((2*G2855)/60&lt;0.2,0.2,(2*G2855)/60)</f>
        <v>1.8333333333333333</v>
      </c>
      <c r="BM2855" s="380">
        <f>MOD((50000+AD2855-$B$3+(0/24)),1)</f>
        <v>0.4132668698366615</v>
      </c>
      <c r="BN2855" s="381"/>
      <c r="BO2855" s="382">
        <v>2846</v>
      </c>
    </row>
    <row r="2856" spans="1:67" s="24" customFormat="1" ht="15" customHeight="1" x14ac:dyDescent="0.25">
      <c r="A2856" s="288" t="s">
        <v>2675</v>
      </c>
      <c r="B2856" s="241" t="str">
        <f>HYPERLINK(CONCATENATE($AT$3,BK2856,$AU$3),$AV$3)</f>
        <v>S</v>
      </c>
      <c r="C2856" s="242" t="str">
        <f>HYPERLINK(CONCATENATE($AT$4,BK2856,$AU$4,BL2856),$AV$4)</f>
        <v>A</v>
      </c>
      <c r="D2856" s="243" t="s">
        <v>5187</v>
      </c>
      <c r="E2856" s="244" t="s">
        <v>5183</v>
      </c>
      <c r="F2856" s="269" t="s">
        <v>9163</v>
      </c>
      <c r="G2856" s="276">
        <v>60</v>
      </c>
      <c r="H2856" s="283">
        <v>6000</v>
      </c>
      <c r="I2856" s="246">
        <v>100</v>
      </c>
      <c r="J2856" s="246">
        <v>4</v>
      </c>
      <c r="K2856" s="247" t="s">
        <v>5273</v>
      </c>
      <c r="L2856" s="248">
        <v>60836</v>
      </c>
      <c r="M2856" s="249">
        <f>15*(LEFT(TEXT($L2856,"000000"),2)+(MID(TEXT($L2856,"000000"),3,2)/60)+(RIGHT(TEXT($L2856,"000000"),2)/3600))</f>
        <v>92.15</v>
      </c>
      <c r="N2856" s="250">
        <v>154700</v>
      </c>
      <c r="O2856" s="251">
        <f>IF($N2856&gt;0,(LEFT(TEXT($N2856,"000000"),2)+(MID(TEXT($N2856,"000000"),3,2)/60)+(RIGHT(TEXT($N2856,"000000"),2)/3600)),-(MID(TEXT($N2856,"000000"),2,2)+(MID(TEXT($N2856,"000000"),4,2)/60)+(RIGHT(TEXT($N2856,"000000"),2)/3600)))</f>
        <v>15.783333333333333</v>
      </c>
      <c r="P2856" s="252" t="s">
        <v>41</v>
      </c>
      <c r="Q2856" s="253" t="s">
        <v>7025</v>
      </c>
      <c r="R2856" s="277" t="s">
        <v>3293</v>
      </c>
      <c r="S2856" s="272" t="s">
        <v>3293</v>
      </c>
      <c r="T2856" s="273"/>
      <c r="U2856" s="274"/>
      <c r="V2856" s="280"/>
      <c r="W2856" s="244"/>
      <c r="X2856" s="244"/>
      <c r="Y2856" s="362"/>
      <c r="Z2856" s="257">
        <f>altaz(J2000_Bas,$O2856,$M2856,DecLat,DecLong,1)</f>
        <v>-41.358485419282218</v>
      </c>
      <c r="AA2856" s="257">
        <f>altaz((J2000_Bas+(2*0.04167)),$O2856,$M2856,DecLat,DecLong,1)</f>
        <v>-26.993191991454928</v>
      </c>
      <c r="AB2856" s="257">
        <f>altaz((J2000_Bas+(4*0.04167)),$O2856,$M2856,DecLat,DecLong,1)</f>
        <v>-4.9892210950433578</v>
      </c>
      <c r="AC2856" s="257">
        <f>altaz((J2000_Bas+(6*0.04167)),$O2856,$M2856,DecLat,DecLong,1)</f>
        <v>19.945349080814218</v>
      </c>
      <c r="AD2856" s="258">
        <f>1+ transit((J2000_Bas-1),$O2856,$M2856,DecLat,DecLong)/360 + (GMTOffset/24) + (IF(DST="Y", 1, 0)/24)</f>
        <v>1.2488721572547081</v>
      </c>
      <c r="AE2856" s="259">
        <f>DATE(2001,9,21)+(M2856/360)*365 - (360*((DecLong/360)- (GMTOffset/24) ))</f>
        <v>37253.429861111108</v>
      </c>
      <c r="AF2856" s="260">
        <f>IF(DecLat&gt;0,IF((90 - (DecLat-O2856))&gt;90, (90 - (O2856-DecLat)), (90 - (DecLat-O2856))),IF((90 + (DecLat-O2856))&gt;90, (90 + (O2856-DecLat)), (90 + (DecLat-O2856))))</f>
        <v>74.783333333333331</v>
      </c>
      <c r="AG2856" s="257">
        <f>angularseperation(MoonRA,MoonDec,$M2856,$O2856)</f>
        <v>155.92874772111347</v>
      </c>
      <c r="AH2856" s="261">
        <f ca="1">MIN(100,IF($O$5&gt;80,0+30*($AG2856/100),IF($O$5&gt;70,0+50*($AG2856/100),IF($O$5&gt;60,5+50*($AG2856/100),IF($O$5&gt;50,10+60*($AG2856/100),IF($O$5&gt;40,15+70*($AG2856/100),IF($O$5&gt;30,20+70*($AG2856/100),IF($O$5&gt;20,40+55*($AG2856/100),(80+(20-$O$5)+30*($AG2856/100))))))))))</f>
        <v>100</v>
      </c>
      <c r="AI2856" s="262"/>
      <c r="AJ2856" s="262"/>
      <c r="AK2856" s="262"/>
      <c r="AL2856" s="263"/>
      <c r="AM2856" s="264"/>
      <c r="AN2856" s="263"/>
      <c r="AO2856" s="263"/>
      <c r="AP2856" s="265"/>
      <c r="AQ2856" s="266"/>
      <c r="AR2856" s="267"/>
      <c r="AS2856" s="263"/>
      <c r="AT2856" s="263"/>
      <c r="AU2856" s="263"/>
      <c r="AV2856" s="264"/>
      <c r="AW2856" s="263"/>
      <c r="AX2856" s="263"/>
      <c r="AY2856" s="263">
        <v>863</v>
      </c>
      <c r="AZ2856" s="263"/>
      <c r="BA2856" s="263"/>
      <c r="BB2856" s="263">
        <v>261</v>
      </c>
      <c r="BC2856" s="263"/>
      <c r="BD2856" s="264"/>
      <c r="BE2856" s="263"/>
      <c r="BF2856" s="263"/>
      <c r="BG2856" s="263">
        <v>33</v>
      </c>
      <c r="BH2856" s="263"/>
      <c r="BI2856" s="263"/>
      <c r="BJ2856" s="404">
        <f>altaz(J2000_Bas,$O2856,$M2856,DecLat,DecLong,2)</f>
        <v>17.875898351196724</v>
      </c>
      <c r="BK2856" s="378" t="s">
        <v>2675</v>
      </c>
      <c r="BL2856" s="379">
        <f>IF((2*G2856)/60&lt;0.2,0.2,(2*G2856)/60)</f>
        <v>2</v>
      </c>
      <c r="BM2856" s="380">
        <f>MOD((50000+AD2856-$B$3+(0/24)),1)</f>
        <v>0.46423908695578575</v>
      </c>
      <c r="BN2856" s="381"/>
      <c r="BO2856" s="382">
        <v>2847</v>
      </c>
    </row>
    <row r="2857" spans="1:67" s="24" customFormat="1" ht="15" customHeight="1" x14ac:dyDescent="0.25">
      <c r="A2857" s="288" t="s">
        <v>2676</v>
      </c>
      <c r="B2857" s="241" t="str">
        <f>HYPERLINK(CONCATENATE($AT$3,BK2857,$AU$3),$AV$3)</f>
        <v>S</v>
      </c>
      <c r="C2857" s="242" t="str">
        <f>HYPERLINK(CONCATENATE($AT$4,BK2857,$AU$4,BL2857),$AV$4)</f>
        <v>A</v>
      </c>
      <c r="D2857" s="243" t="s">
        <v>5187</v>
      </c>
      <c r="E2857" s="244" t="s">
        <v>5183</v>
      </c>
      <c r="F2857" s="269" t="s">
        <v>5180</v>
      </c>
      <c r="G2857" s="276">
        <v>20</v>
      </c>
      <c r="H2857" s="283">
        <v>2900</v>
      </c>
      <c r="I2857" s="246">
        <v>17</v>
      </c>
      <c r="J2857" s="246">
        <v>1</v>
      </c>
      <c r="K2857" s="247" t="s">
        <v>6361</v>
      </c>
      <c r="L2857" s="248">
        <v>50648</v>
      </c>
      <c r="M2857" s="249">
        <f>15*(LEFT(TEXT($L2857,"000000"),2)+(MID(TEXT($L2857,"000000"),3,2)/60)+(RIGHT(TEXT($L2857,"000000"),2)/3600))</f>
        <v>76.7</v>
      </c>
      <c r="N2857" s="250">
        <v>61000</v>
      </c>
      <c r="O2857" s="251">
        <f>IF($N2857&gt;0,(LEFT(TEXT($N2857,"000000"),2)+(MID(TEXT($N2857,"000000"),3,2)/60)+(RIGHT(TEXT($N2857,"000000"),2)/3600)),-(MID(TEXT($N2857,"000000"),2,2)+(MID(TEXT($N2857,"000000"),4,2)/60)+(RIGHT(TEXT($N2857,"000000"),2)/3600)))</f>
        <v>6.166666666666667</v>
      </c>
      <c r="P2857" s="252" t="s">
        <v>41</v>
      </c>
      <c r="Q2857" s="253"/>
      <c r="R2857" s="277" t="s">
        <v>3293</v>
      </c>
      <c r="S2857" s="272" t="s">
        <v>3293</v>
      </c>
      <c r="T2857" s="273"/>
      <c r="U2857" s="274"/>
      <c r="V2857" s="280"/>
      <c r="W2857" s="244"/>
      <c r="X2857" s="244"/>
      <c r="Y2857" s="362"/>
      <c r="Z2857" s="257">
        <f>altaz(J2000_Bas,$O2857,$M2857,DecLat,DecLong,1)</f>
        <v>-43.459280665453981</v>
      </c>
      <c r="AA2857" s="257">
        <f>altaz((J2000_Bas+(2*0.04167)),$O2857,$M2857,DecLat,DecLong,1)</f>
        <v>-22.249913235001813</v>
      </c>
      <c r="AB2857" s="257">
        <f>altaz((J2000_Bas+(4*0.04167)),$O2857,$M2857,DecLat,DecLong,1)</f>
        <v>2.7207599030259897</v>
      </c>
      <c r="AC2857" s="257">
        <f>altaz((J2000_Bas+(6*0.04167)),$O2857,$M2857,DecLat,DecLong,1)</f>
        <v>28.405001040582935</v>
      </c>
      <c r="AD2857" s="258">
        <f>1+ transit((J2000_Bas-1),$O2857,$M2857,DecLat,DecLong)/360 + (GMTOffset/24) + (IF(DST="Y", 1, 0)/24)</f>
        <v>1.205955494879708</v>
      </c>
      <c r="AE2857" s="259">
        <f>DATE(2001,9,21)+(M2857/360)*365 - (360*((DecLong/360)- (GMTOffset/24) ))</f>
        <v>37237.765277777777</v>
      </c>
      <c r="AF2857" s="260">
        <f>IF(DecLat&gt;0,IF((90 - (DecLat-O2857))&gt;90, (90 - (O2857-DecLat)), (90 - (DecLat-O2857))),IF((90 + (DecLat-O2857))&gt;90, (90 + (O2857-DecLat)), (90 + (DecLat-O2857))))</f>
        <v>65.166666666666671</v>
      </c>
      <c r="AG2857" s="257">
        <f>angularseperation(MoonRA,MoonDec,$M2857,$O2857)</f>
        <v>157.91198560344657</v>
      </c>
      <c r="AH2857" s="261">
        <f ca="1">MIN(100,IF($O$5&gt;80,0+30*($AG2857/100),IF($O$5&gt;70,0+50*($AG2857/100),IF($O$5&gt;60,5+50*($AG2857/100),IF($O$5&gt;50,10+60*($AG2857/100),IF($O$5&gt;40,15+70*($AG2857/100),IF($O$5&gt;30,20+70*($AG2857/100),IF($O$5&gt;20,40+55*($AG2857/100),(80+(20-$O$5)+30*($AG2857/100))))))))))</f>
        <v>100</v>
      </c>
      <c r="AI2857" s="263"/>
      <c r="AJ2857" s="263"/>
      <c r="AK2857" s="263"/>
      <c r="AL2857" s="263"/>
      <c r="AM2857" s="264"/>
      <c r="AN2857" s="263"/>
      <c r="AO2857" s="263"/>
      <c r="AP2857" s="265"/>
      <c r="AQ2857" s="265"/>
      <c r="AR2857" s="285"/>
      <c r="AS2857" s="263"/>
      <c r="AT2857" s="263"/>
      <c r="AU2857" s="263"/>
      <c r="AV2857" s="264"/>
      <c r="AW2857" s="263"/>
      <c r="AX2857" s="263"/>
      <c r="AY2857" s="263">
        <v>868</v>
      </c>
      <c r="AZ2857" s="263"/>
      <c r="BA2857" s="263"/>
      <c r="BB2857" s="263">
        <v>262</v>
      </c>
      <c r="BC2857" s="263"/>
      <c r="BD2857" s="264"/>
      <c r="BE2857" s="263"/>
      <c r="BF2857" s="263"/>
      <c r="BG2857" s="263"/>
      <c r="BH2857" s="263"/>
      <c r="BI2857" s="263"/>
      <c r="BJ2857" s="404">
        <f>altaz(J2000_Bas,$O2857,$M2857,DecLat,DecLong,2)</f>
        <v>42.094927201077148</v>
      </c>
      <c r="BK2857" s="378" t="s">
        <v>2676</v>
      </c>
      <c r="BL2857" s="379">
        <f>IF((2*G2857)/60&lt;0.2,0.2,(2*G2857)/60)</f>
        <v>0.66666666666666663</v>
      </c>
      <c r="BM2857" s="380">
        <f>MOD((50000+AD2857-$B$3+(0/24)),1)</f>
        <v>0.42132242458319524</v>
      </c>
      <c r="BN2857" s="381"/>
      <c r="BO2857" s="382">
        <v>2848</v>
      </c>
    </row>
    <row r="2858" spans="1:67" s="24" customFormat="1" ht="15" customHeight="1" x14ac:dyDescent="0.25">
      <c r="A2858" s="288" t="s">
        <v>2677</v>
      </c>
      <c r="B2858" s="241" t="str">
        <f>HYPERLINK(CONCATENATE($AT$3,BK2858,$AU$3),$AV$3)</f>
        <v>S</v>
      </c>
      <c r="C2858" s="242" t="str">
        <f>HYPERLINK(CONCATENATE($AT$4,BK2858,$AU$4,BL2858),$AV$4)</f>
        <v>A</v>
      </c>
      <c r="D2858" s="243" t="s">
        <v>5187</v>
      </c>
      <c r="E2858" s="244" t="s">
        <v>5183</v>
      </c>
      <c r="F2858" s="269" t="s">
        <v>5180</v>
      </c>
      <c r="G2858" s="276">
        <v>110</v>
      </c>
      <c r="H2858" s="283">
        <v>1300</v>
      </c>
      <c r="I2858" s="246">
        <v>40</v>
      </c>
      <c r="J2858" s="246">
        <v>4</v>
      </c>
      <c r="K2858" s="247" t="s">
        <v>9440</v>
      </c>
      <c r="L2858" s="248">
        <v>52145</v>
      </c>
      <c r="M2858" s="249">
        <f>15*(LEFT(TEXT($L2858,"000000"),2)+(MID(TEXT($L2858,"000000"),3,2)/60)+(RIGHT(TEXT($L2858,"000000"),2)/3600))</f>
        <v>80.4375</v>
      </c>
      <c r="N2858" s="286">
        <v>82357</v>
      </c>
      <c r="O2858" s="251">
        <f>IF($N2858&gt;0,(LEFT(TEXT($N2858,"000000"),2)+(MID(TEXT($N2858,"000000"),3,2)/60)+(RIGHT(TEXT($N2858,"000000"),2)/3600)),-(MID(TEXT($N2858,"000000"),2,2)+(MID(TEXT($N2858,"000000"),4,2)/60)+(RIGHT(TEXT($N2858,"000000"),2)/3600)))</f>
        <v>8.399166666666666</v>
      </c>
      <c r="P2858" s="252" t="s">
        <v>41</v>
      </c>
      <c r="Q2858" s="253" t="s">
        <v>7032</v>
      </c>
      <c r="R2858" s="277" t="s">
        <v>3293</v>
      </c>
      <c r="S2858" s="272" t="s">
        <v>5274</v>
      </c>
      <c r="T2858" s="273"/>
      <c r="U2858" s="274"/>
      <c r="V2858" s="280"/>
      <c r="W2858" s="244"/>
      <c r="X2858" s="244"/>
      <c r="Y2858" s="362"/>
      <c r="Z2858" s="257">
        <f>altaz(J2000_Bas,$O2858,$M2858,DecLat,DecLong,1)</f>
        <v>-43.60812527394269</v>
      </c>
      <c r="AA2858" s="257">
        <f>altaz((J2000_Bas+(2*0.04167)),$O2858,$M2858,DecLat,DecLong,1)</f>
        <v>-23.780853174145047</v>
      </c>
      <c r="AB2858" s="257">
        <f>altaz((J2000_Bas+(4*0.04167)),$O2858,$M2858,DecLat,DecLong,1)</f>
        <v>0.69649790562180247</v>
      </c>
      <c r="AC2858" s="257">
        <f>altaz((J2000_Bas+(6*0.04167)),$O2858,$M2858,DecLat,DecLong,1)</f>
        <v>26.3942556677144</v>
      </c>
      <c r="AD2858" s="258">
        <f>1+ transit((J2000_Bas-1),$O2858,$M2858,DecLat,DecLong)/360 + (GMTOffset/24) + (IF(DST="Y", 1, 0)/24)</f>
        <v>1.216337438285958</v>
      </c>
      <c r="AE2858" s="259">
        <f>DATE(2001,9,21)+(M2858/360)*365 - (360*((DecLong/360)- (GMTOffset/24) ))</f>
        <v>37241.5546875</v>
      </c>
      <c r="AF2858" s="260">
        <f>IF(DecLat&gt;0,IF((90 - (DecLat-O2858))&gt;90, (90 - (O2858-DecLat)), (90 - (DecLat-O2858))),IF((90 + (DecLat-O2858))&gt;90, (90 + (O2858-DecLat)), (90 + (DecLat-O2858))))</f>
        <v>67.399166666666673</v>
      </c>
      <c r="AG2858" s="257">
        <f>angularseperation(MoonRA,MoonDec,$M2858,$O2858)</f>
        <v>158.51809337161697</v>
      </c>
      <c r="AH2858" s="261">
        <f ca="1">MIN(100,IF($O$5&gt;80,0+30*($AG2858/100),IF($O$5&gt;70,0+50*($AG2858/100),IF($O$5&gt;60,5+50*($AG2858/100),IF($O$5&gt;50,10+60*($AG2858/100),IF($O$5&gt;40,15+70*($AG2858/100),IF($O$5&gt;30,20+70*($AG2858/100),IF($O$5&gt;20,40+55*($AG2858/100),(80+(20-$O$5)+30*($AG2858/100))))))))))</f>
        <v>100</v>
      </c>
      <c r="AI2858" s="262"/>
      <c r="AJ2858" s="262"/>
      <c r="AK2858" s="262"/>
      <c r="AL2858" s="263"/>
      <c r="AM2858" s="264"/>
      <c r="AN2858" s="263"/>
      <c r="AO2858" s="263"/>
      <c r="AP2858" s="265"/>
      <c r="AQ2858" s="266"/>
      <c r="AR2858" s="267"/>
      <c r="AS2858" s="263"/>
      <c r="AT2858" s="263"/>
      <c r="AU2858" s="263"/>
      <c r="AV2858" s="264"/>
      <c r="AW2858" s="263"/>
      <c r="AX2858" s="263"/>
      <c r="AY2858" s="263"/>
      <c r="AZ2858" s="263"/>
      <c r="BA2858" s="263"/>
      <c r="BB2858" s="263">
        <v>263</v>
      </c>
      <c r="BC2858" s="263"/>
      <c r="BD2858" s="264">
        <v>38</v>
      </c>
      <c r="BE2858" s="263"/>
      <c r="BF2858" s="263"/>
      <c r="BG2858" s="263"/>
      <c r="BH2858" s="263"/>
      <c r="BI2858" s="263">
        <v>36</v>
      </c>
      <c r="BJ2858" s="404">
        <f>altaz(J2000_Bas,$O2858,$M2858,DecLat,DecLong,2)</f>
        <v>36.128063714604203</v>
      </c>
      <c r="BK2858" s="378" t="s">
        <v>2677</v>
      </c>
      <c r="BL2858" s="379">
        <f>IF((2*G2858)/60&lt;0.2,0.2,(2*G2858)/60)</f>
        <v>3.6666666666666665</v>
      </c>
      <c r="BM2858" s="380">
        <f>MOD((50000+AD2858-$B$3+(0/24)),1)</f>
        <v>0.43170436799118761</v>
      </c>
      <c r="BN2858" s="381"/>
      <c r="BO2858" s="382">
        <v>2849</v>
      </c>
    </row>
    <row r="2859" spans="1:67" s="24" customFormat="1" ht="15" customHeight="1" x14ac:dyDescent="0.25">
      <c r="A2859" s="288" t="s">
        <v>2678</v>
      </c>
      <c r="B2859" s="241" t="str">
        <f>HYPERLINK(CONCATENATE($AT$3,BK2859,$AU$3),$AV$3)</f>
        <v>S</v>
      </c>
      <c r="C2859" s="242" t="str">
        <f>HYPERLINK(CONCATENATE($AT$4,BK2859,$AU$4,BL2859),$AV$4)</f>
        <v>A</v>
      </c>
      <c r="D2859" s="243" t="s">
        <v>5187</v>
      </c>
      <c r="E2859" s="244" t="s">
        <v>5183</v>
      </c>
      <c r="F2859" s="269" t="s">
        <v>5180</v>
      </c>
      <c r="G2859" s="276">
        <v>420</v>
      </c>
      <c r="H2859" s="283">
        <v>1100</v>
      </c>
      <c r="I2859" s="246">
        <v>130</v>
      </c>
      <c r="J2859" s="246">
        <v>2</v>
      </c>
      <c r="K2859" s="247" t="s">
        <v>6362</v>
      </c>
      <c r="L2859" s="248">
        <v>53648</v>
      </c>
      <c r="M2859" s="249">
        <f>15*(LEFT(TEXT($L2859,"000000"),2)+(MID(TEXT($L2859,"000000"),3,2)/60)+(RIGHT(TEXT($L2859,"000000"),2)/3600))</f>
        <v>84.2</v>
      </c>
      <c r="N2859" s="286">
        <v>101000</v>
      </c>
      <c r="O2859" s="251">
        <f>IF($N2859&gt;0,(LEFT(TEXT($N2859,"000000"),2)+(MID(TEXT($N2859,"000000"),3,2)/60)+(RIGHT(TEXT($N2859,"000000"),2)/3600)),-(MID(TEXT($N2859,"000000"),2,2)+(MID(TEXT($N2859,"000000"),4,2)/60)+(RIGHT(TEXT($N2859,"000000"),2)/3600)))</f>
        <v>10.166666666666666</v>
      </c>
      <c r="P2859" s="252" t="s">
        <v>41</v>
      </c>
      <c r="Q2859" s="253" t="s">
        <v>6936</v>
      </c>
      <c r="R2859" s="277" t="s">
        <v>3293</v>
      </c>
      <c r="S2859" s="272" t="s">
        <v>3293</v>
      </c>
      <c r="T2859" s="273"/>
      <c r="U2859" s="274"/>
      <c r="V2859" s="280"/>
      <c r="W2859" s="244"/>
      <c r="X2859" s="244"/>
      <c r="Y2859" s="362"/>
      <c r="Z2859" s="257">
        <f>altaz(J2000_Bas,$O2859,$M2859,DecLat,DecLong,1)</f>
        <v>-43.824084884177353</v>
      </c>
      <c r="AA2859" s="257">
        <f>altaz((J2000_Bas+(2*0.04167)),$O2859,$M2859,DecLat,DecLong,1)</f>
        <v>-25.457189022699581</v>
      </c>
      <c r="AB2859" s="257">
        <f>altaz((J2000_Bas+(4*0.04167)),$O2859,$M2859,DecLat,DecLong,1)</f>
        <v>-1.542789527142246</v>
      </c>
      <c r="AC2859" s="257">
        <f>altaz((J2000_Bas+(6*0.04167)),$O2859,$M2859,DecLat,DecLong,1)</f>
        <v>24.062766829670061</v>
      </c>
      <c r="AD2859" s="258">
        <f>1+ transit((J2000_Bas-1),$O2859,$M2859,DecLat,DecLong)/360 + (GMTOffset/24) + (IF(DST="Y", 1, 0)/24)</f>
        <v>1.226788826129708</v>
      </c>
      <c r="AE2859" s="259">
        <f>DATE(2001,9,21)+(M2859/360)*365 - (360*((DecLong/360)- (GMTOffset/24) ))</f>
        <v>37245.369444444441</v>
      </c>
      <c r="AF2859" s="260">
        <f>IF(DecLat&gt;0,IF((90 - (DecLat-O2859))&gt;90, (90 - (O2859-DecLat)), (90 - (DecLat-O2859))),IF((90 + (DecLat-O2859))&gt;90, (90 + (O2859-DecLat)), (90 + (DecLat-O2859))))</f>
        <v>69.166666666666657</v>
      </c>
      <c r="AG2859" s="257">
        <f>angularseperation(MoonRA,MoonDec,$M2859,$O2859)</f>
        <v>157.97641712264559</v>
      </c>
      <c r="AH2859" s="261">
        <f ca="1">MIN(100,IF($O$5&gt;80,0+30*($AG2859/100),IF($O$5&gt;70,0+50*($AG2859/100),IF($O$5&gt;60,5+50*($AG2859/100),IF($O$5&gt;50,10+60*($AG2859/100),IF($O$5&gt;40,15+70*($AG2859/100),IF($O$5&gt;30,20+70*($AG2859/100),IF($O$5&gt;20,40+55*($AG2859/100),(80+(20-$O$5)+30*($AG2859/100))))))))))</f>
        <v>100</v>
      </c>
      <c r="AI2859" s="263"/>
      <c r="AJ2859" s="263"/>
      <c r="AK2859" s="263"/>
      <c r="AL2859" s="263"/>
      <c r="AM2859" s="264"/>
      <c r="AN2859" s="263"/>
      <c r="AO2859" s="263"/>
      <c r="AP2859" s="265"/>
      <c r="AQ2859" s="265"/>
      <c r="AR2859" s="285"/>
      <c r="AS2859" s="263"/>
      <c r="AT2859" s="263"/>
      <c r="AU2859" s="263"/>
      <c r="AV2859" s="264"/>
      <c r="AW2859" s="263"/>
      <c r="AX2859" s="263"/>
      <c r="AY2859" s="263"/>
      <c r="AZ2859" s="263"/>
      <c r="BA2859" s="263"/>
      <c r="BB2859" s="263">
        <v>264</v>
      </c>
      <c r="BC2859" s="263"/>
      <c r="BD2859" s="264"/>
      <c r="BE2859" s="263"/>
      <c r="BF2859" s="263"/>
      <c r="BG2859" s="263"/>
      <c r="BH2859" s="263"/>
      <c r="BI2859" s="263"/>
      <c r="BJ2859" s="404">
        <f>altaz(J2000_Bas,$O2859,$M2859,DecLat,DecLong,2)</f>
        <v>30.445210670732056</v>
      </c>
      <c r="BK2859" s="378" t="s">
        <v>2678</v>
      </c>
      <c r="BL2859" s="379">
        <f>IF((2*G2859)/60&lt;0.2,0.2,(2*G2859)/60)</f>
        <v>14</v>
      </c>
      <c r="BM2859" s="380">
        <f>MOD((50000+AD2859-$B$3+(0/24)),1)</f>
        <v>0.44215575583075406</v>
      </c>
      <c r="BN2859" s="381"/>
      <c r="BO2859" s="382">
        <v>2850</v>
      </c>
    </row>
    <row r="2860" spans="1:67" s="24" customFormat="1" ht="15" customHeight="1" x14ac:dyDescent="0.25">
      <c r="A2860" s="288" t="s">
        <v>2679</v>
      </c>
      <c r="B2860" s="241" t="str">
        <f>HYPERLINK(CONCATENATE($AT$3,BK2860,$AU$3),$AV$3)</f>
        <v>S</v>
      </c>
      <c r="C2860" s="242" t="str">
        <f>HYPERLINK(CONCATENATE($AT$4,BK2860,$AU$4,BL2860),$AV$4)</f>
        <v>A</v>
      </c>
      <c r="D2860" s="243" t="s">
        <v>5187</v>
      </c>
      <c r="E2860" s="244" t="s">
        <v>5183</v>
      </c>
      <c r="F2860" s="269" t="s">
        <v>5180</v>
      </c>
      <c r="G2860" s="276">
        <v>60</v>
      </c>
      <c r="H2860" s="271" t="s">
        <v>6500</v>
      </c>
      <c r="I2860" s="244" t="s">
        <v>6500</v>
      </c>
      <c r="J2860" s="246">
        <v>2</v>
      </c>
      <c r="K2860" s="247" t="s">
        <v>5275</v>
      </c>
      <c r="L2860" s="248">
        <v>51836</v>
      </c>
      <c r="M2860" s="249">
        <f>15*(LEFT(TEXT($L2860,"000000"),2)+(MID(TEXT($L2860,"000000"),3,2)/60)+(RIGHT(TEXT($L2860,"000000"),2)/3600))</f>
        <v>79.649999999999991</v>
      </c>
      <c r="N2860" s="250">
        <v>72600</v>
      </c>
      <c r="O2860" s="251">
        <f>IF($N2860&gt;0,(LEFT(TEXT($N2860,"000000"),2)+(MID(TEXT($N2860,"000000"),3,2)/60)+(RIGHT(TEXT($N2860,"000000"),2)/3600)),-(MID(TEXT($N2860,"000000"),2,2)+(MID(TEXT($N2860,"000000"),4,2)/60)+(RIGHT(TEXT($N2860,"000000"),2)/3600)))</f>
        <v>7.4333333333333336</v>
      </c>
      <c r="P2860" s="252" t="s">
        <v>41</v>
      </c>
      <c r="Q2860" s="253"/>
      <c r="R2860" s="247" t="s">
        <v>3293</v>
      </c>
      <c r="S2860" s="272" t="s">
        <v>2677</v>
      </c>
      <c r="T2860" s="273"/>
      <c r="U2860" s="274"/>
      <c r="V2860" s="280"/>
      <c r="W2860" s="244"/>
      <c r="X2860" s="244"/>
      <c r="Y2860" s="362"/>
      <c r="Z2860" s="257">
        <f>altaz(J2000_Bas,$O2860,$M2860,DecLat,DecLong,1)</f>
        <v>-44.02745213924721</v>
      </c>
      <c r="AA2860" s="257">
        <f>altaz((J2000_Bas+(2*0.04167)),$O2860,$M2860,DecLat,DecLong,1)</f>
        <v>-23.782861278074993</v>
      </c>
      <c r="AB2860" s="257">
        <f>altaz((J2000_Bas+(4*0.04167)),$O2860,$M2860,DecLat,DecLong,1)</f>
        <v>0.86315088475747359</v>
      </c>
      <c r="AC2860" s="257">
        <f>altaz((J2000_Bas+(6*0.04167)),$O2860,$M2860,DecLat,DecLong,1)</f>
        <v>26.570186567873627</v>
      </c>
      <c r="AD2860" s="258">
        <f>1+ transit((J2000_Bas-1),$O2860,$M2860,DecLat,DecLong)/360 + (GMTOffset/24) + (IF(DST="Y", 1, 0)/24)</f>
        <v>1.2141499385047079</v>
      </c>
      <c r="AE2860" s="259">
        <f>DATE(2001,9,21)+(M2860/360)*365 - (360*((DecLong/360)- (GMTOffset/24) ))</f>
        <v>37240.756249999999</v>
      </c>
      <c r="AF2860" s="260">
        <f>IF(DecLat&gt;0,IF((90 - (DecLat-O2860))&gt;90, (90 - (O2860-DecLat)), (90 - (DecLat-O2860))),IF((90 + (DecLat-O2860))&gt;90, (90 + (O2860-DecLat)), (90 + (DecLat-O2860))))</f>
        <v>66.433333333333337</v>
      </c>
      <c r="AG2860" s="257">
        <f>angularseperation(MoonRA,MoonDec,$M2860,$O2860)</f>
        <v>158.00757193000101</v>
      </c>
      <c r="AH2860" s="261">
        <f ca="1">MIN(100,IF($O$5&gt;80,0+30*($AG2860/100),IF($O$5&gt;70,0+50*($AG2860/100),IF($O$5&gt;60,5+50*($AG2860/100),IF($O$5&gt;50,10+60*($AG2860/100),IF($O$5&gt;40,15+70*($AG2860/100),IF($O$5&gt;30,20+70*($AG2860/100),IF($O$5&gt;20,40+55*($AG2860/100),(80+(20-$O$5)+30*($AG2860/100))))))))))</f>
        <v>100</v>
      </c>
      <c r="AI2860" s="262"/>
      <c r="AJ2860" s="262"/>
      <c r="AK2860" s="262"/>
      <c r="AL2860" s="263"/>
      <c r="AM2860" s="264"/>
      <c r="AN2860" s="263"/>
      <c r="AO2860" s="263"/>
      <c r="AP2860" s="265"/>
      <c r="AQ2860" s="266"/>
      <c r="AR2860" s="267"/>
      <c r="AS2860" s="263"/>
      <c r="AT2860" s="263"/>
      <c r="AU2860" s="263"/>
      <c r="AV2860" s="264"/>
      <c r="AW2860" s="263"/>
      <c r="AX2860" s="263"/>
      <c r="AY2860" s="263">
        <v>869</v>
      </c>
      <c r="AZ2860" s="263"/>
      <c r="BA2860" s="263"/>
      <c r="BB2860" s="263">
        <v>265</v>
      </c>
      <c r="BC2860" s="263"/>
      <c r="BD2860" s="264"/>
      <c r="BE2860" s="263"/>
      <c r="BF2860" s="263"/>
      <c r="BG2860" s="263"/>
      <c r="BH2860" s="263"/>
      <c r="BI2860" s="263"/>
      <c r="BJ2860" s="404">
        <f>altaz(J2000_Bas,$O2860,$M2860,DecLat,DecLong,2)</f>
        <v>37.747534764641159</v>
      </c>
      <c r="BK2860" s="378" t="s">
        <v>2679</v>
      </c>
      <c r="BL2860" s="379">
        <f>IF((2*G2860)/60&lt;0.2,0.2,(2*G2860)/60)</f>
        <v>2</v>
      </c>
      <c r="BM2860" s="380">
        <f>MOD((50000+AD2860-$B$3+(0/24)),1)</f>
        <v>0.42951686820742907</v>
      </c>
      <c r="BN2860" s="381"/>
      <c r="BO2860" s="382">
        <v>2851</v>
      </c>
    </row>
    <row r="2861" spans="1:67" s="24" customFormat="1" ht="15" customHeight="1" x14ac:dyDescent="0.25">
      <c r="A2861" s="288" t="s">
        <v>2680</v>
      </c>
      <c r="B2861" s="241" t="str">
        <f>HYPERLINK(CONCATENATE($AT$3,BK2861,$AU$3),$AV$3)</f>
        <v>S</v>
      </c>
      <c r="C2861" s="242" t="str">
        <f>HYPERLINK(CONCATENATE($AT$4,BK2861,$AU$4,BL2861),$AV$4)</f>
        <v>A</v>
      </c>
      <c r="D2861" s="243" t="s">
        <v>5187</v>
      </c>
      <c r="E2861" s="244" t="s">
        <v>5183</v>
      </c>
      <c r="F2861" s="269" t="s">
        <v>5180</v>
      </c>
      <c r="G2861" s="273">
        <v>2</v>
      </c>
      <c r="H2861" s="283">
        <v>2000</v>
      </c>
      <c r="I2861" s="279">
        <v>1.2</v>
      </c>
      <c r="J2861" s="246">
        <v>3</v>
      </c>
      <c r="K2861" s="247" t="s">
        <v>5276</v>
      </c>
      <c r="L2861" s="248">
        <v>61846</v>
      </c>
      <c r="M2861" s="249">
        <f>15*(LEFT(TEXT($L2861,"000000"),2)+(MID(TEXT($L2861,"000000"),3,2)/60)+(RIGHT(TEXT($L2861,"000000"),2)/3600))</f>
        <v>94.691666666666663</v>
      </c>
      <c r="N2861" s="250">
        <v>151652</v>
      </c>
      <c r="O2861" s="251">
        <f>IF($N2861&gt;0,(LEFT(TEXT($N2861,"000000"),2)+(MID(TEXT($N2861,"000000"),3,2)/60)+(RIGHT(TEXT($N2861,"000000"),2)/3600)),-(MID(TEXT($N2861,"000000"),2,2)+(MID(TEXT($N2861,"000000"),4,2)/60)+(RIGHT(TEXT($N2861,"000000"),2)/3600)))</f>
        <v>15.281111111111112</v>
      </c>
      <c r="P2861" s="252" t="s">
        <v>41</v>
      </c>
      <c r="Q2861" s="253"/>
      <c r="R2861" s="247" t="s">
        <v>3293</v>
      </c>
      <c r="S2861" s="272" t="s">
        <v>3293</v>
      </c>
      <c r="T2861" s="273"/>
      <c r="U2861" s="274"/>
      <c r="V2861" s="280"/>
      <c r="W2861" s="244"/>
      <c r="X2861" s="244"/>
      <c r="Y2861" s="362"/>
      <c r="Z2861" s="257">
        <f>altaz(J2000_Bas,$O2861,$M2861,DecLat,DecLong,1)</f>
        <v>-42.458865157250273</v>
      </c>
      <c r="AA2861" s="257">
        <f>altaz((J2000_Bas+(2*0.04167)),$O2861,$M2861,DecLat,DecLong,1)</f>
        <v>-28.982342836398015</v>
      </c>
      <c r="AB2861" s="257">
        <f>altaz((J2000_Bas+(4*0.04167)),$O2861,$M2861,DecLat,DecLong,1)</f>
        <v>-7.2904450437571606</v>
      </c>
      <c r="AC2861" s="257">
        <f>altaz((J2000_Bas+(6*0.04167)),$O2861,$M2861,DecLat,DecLong,1)</f>
        <v>17.547953828242164</v>
      </c>
      <c r="AD2861" s="258">
        <f>1+ transit((J2000_Bas-1),$O2861,$M2861,DecLat,DecLong)/360 + (GMTOffset/24) + (IF(DST="Y", 1, 0)/24)</f>
        <v>1.2559323417338746</v>
      </c>
      <c r="AE2861" s="259">
        <f>DATE(2001,9,21)+(M2861/360)*365 - (360*((DecLong/360)- (GMTOffset/24) ))</f>
        <v>37256.006828703707</v>
      </c>
      <c r="AF2861" s="260">
        <f>IF(DecLat&gt;0,IF((90 - (DecLat-O2861))&gt;90, (90 - (O2861-DecLat)), (90 - (DecLat-O2861))),IF((90 + (DecLat-O2861))&gt;90, (90 + (O2861-DecLat)), (90 + (DecLat-O2861))))</f>
        <v>74.281111111111116</v>
      </c>
      <c r="AG2861" s="257">
        <f>angularseperation(MoonRA,MoonDec,$M2861,$O2861)</f>
        <v>153.57465988447993</v>
      </c>
      <c r="AH2861" s="261">
        <f ca="1">MIN(100,IF($O$5&gt;80,0+30*($AG2861/100),IF($O$5&gt;70,0+50*($AG2861/100),IF($O$5&gt;60,5+50*($AG2861/100),IF($O$5&gt;50,10+60*($AG2861/100),IF($O$5&gt;40,15+70*($AG2861/100),IF($O$5&gt;30,20+70*($AG2861/100),IF($O$5&gt;20,40+55*($AG2861/100),(80+(20-$O$5)+30*($AG2861/100))))))))))</f>
        <v>100</v>
      </c>
      <c r="AI2861" s="262"/>
      <c r="AJ2861" s="262"/>
      <c r="AK2861" s="262"/>
      <c r="AL2861" s="263"/>
      <c r="AM2861" s="264"/>
      <c r="AN2861" s="263"/>
      <c r="AO2861" s="263"/>
      <c r="AP2861" s="265"/>
      <c r="AQ2861" s="266"/>
      <c r="AR2861" s="267"/>
      <c r="AS2861" s="263"/>
      <c r="AT2861" s="263"/>
      <c r="AU2861" s="263"/>
      <c r="AV2861" s="264"/>
      <c r="AW2861" s="263"/>
      <c r="AX2861" s="263"/>
      <c r="AY2861" s="263"/>
      <c r="AZ2861" s="263"/>
      <c r="BA2861" s="263"/>
      <c r="BB2861" s="263">
        <v>266</v>
      </c>
      <c r="BC2861" s="263"/>
      <c r="BD2861" s="264"/>
      <c r="BE2861" s="263"/>
      <c r="BF2861" s="263"/>
      <c r="BG2861" s="263"/>
      <c r="BH2861" s="263">
        <v>76</v>
      </c>
      <c r="BI2861" s="263"/>
      <c r="BJ2861" s="404">
        <f>altaz(J2000_Bas,$O2861,$M2861,DecLat,DecLong,2)</f>
        <v>14.859536004608888</v>
      </c>
      <c r="BK2861" s="378" t="s">
        <v>2680</v>
      </c>
      <c r="BL2861" s="379">
        <f>IF((2*G2861)/60&lt;0.2,0.2,(2*G2861)/60)</f>
        <v>0.2</v>
      </c>
      <c r="BM2861" s="380">
        <f>MOD((50000+AD2861-$B$3+(0/24)),1)</f>
        <v>0.4712992714412394</v>
      </c>
      <c r="BN2861" s="381"/>
      <c r="BO2861" s="382">
        <v>2852</v>
      </c>
    </row>
    <row r="2862" spans="1:67" s="24" customFormat="1" ht="15" customHeight="1" x14ac:dyDescent="0.25">
      <c r="A2862" s="288" t="s">
        <v>2681</v>
      </c>
      <c r="B2862" s="241" t="str">
        <f>HYPERLINK(CONCATENATE($AT$3,BK2862,$AU$3),$AV$3)</f>
        <v>S</v>
      </c>
      <c r="C2862" s="242" t="str">
        <f>HYPERLINK(CONCATENATE($AT$4,BK2862,$AU$4,BL2862),$AV$4)</f>
        <v>A</v>
      </c>
      <c r="D2862" s="243" t="s">
        <v>5187</v>
      </c>
      <c r="E2862" s="244" t="s">
        <v>5183</v>
      </c>
      <c r="F2862" s="269" t="s">
        <v>5180</v>
      </c>
      <c r="G2862" s="273">
        <v>6</v>
      </c>
      <c r="H2862" s="283">
        <v>11500</v>
      </c>
      <c r="I2862" s="246">
        <v>20</v>
      </c>
      <c r="J2862" s="246">
        <v>2</v>
      </c>
      <c r="K2862" s="247" t="s">
        <v>6126</v>
      </c>
      <c r="L2862" s="248">
        <v>61500</v>
      </c>
      <c r="M2862" s="249">
        <f>15*(LEFT(TEXT($L2862,"000000"),2)+(MID(TEXT($L2862,"000000"),3,2)/60)+(RIGHT(TEXT($L2862,"000000"),2)/3600))</f>
        <v>93.75</v>
      </c>
      <c r="N2862" s="286">
        <v>141600</v>
      </c>
      <c r="O2862" s="251">
        <f>IF($N2862&gt;0,(LEFT(TEXT($N2862,"000000"),2)+(MID(TEXT($N2862,"000000"),3,2)/60)+(RIGHT(TEXT($N2862,"000000"),2)/3600)),-(MID(TEXT($N2862,"000000"),2,2)+(MID(TEXT($N2862,"000000"),4,2)/60)+(RIGHT(TEXT($N2862,"000000"),2)/3600)))</f>
        <v>14.266666666666667</v>
      </c>
      <c r="P2862" s="252" t="s">
        <v>41</v>
      </c>
      <c r="Q2862" s="253"/>
      <c r="R2862" s="277" t="s">
        <v>3293</v>
      </c>
      <c r="S2862" s="272" t="s">
        <v>3293</v>
      </c>
      <c r="T2862" s="273"/>
      <c r="U2862" s="274"/>
      <c r="V2862" s="280"/>
      <c r="W2862" s="244"/>
      <c r="X2862" s="244"/>
      <c r="Y2862" s="362"/>
      <c r="Z2862" s="257">
        <f>altaz(J2000_Bas,$O2862,$M2862,DecLat,DecLong,1)</f>
        <v>-43.226578481507907</v>
      </c>
      <c r="AA2862" s="257">
        <f>altaz((J2000_Bas+(2*0.04167)),$O2862,$M2862,DecLat,DecLong,1)</f>
        <v>-29.15333783755775</v>
      </c>
      <c r="AB2862" s="257">
        <f>altaz((J2000_Bas+(4*0.04167)),$O2862,$M2862,DecLat,DecLong,1)</f>
        <v>-7.1209660810360784</v>
      </c>
      <c r="AC2862" s="257">
        <f>altaz((J2000_Bas+(6*0.04167)),$O2862,$M2862,DecLat,DecLong,1)</f>
        <v>17.867412821071383</v>
      </c>
      <c r="AD2862" s="258">
        <f>1+ transit((J2000_Bas-1),$O2862,$M2862,DecLat,DecLong)/360 + (GMTOffset/24) + (IF(DST="Y", 1, 0)/24)</f>
        <v>1.2533166012547079</v>
      </c>
      <c r="AE2862" s="259">
        <f>DATE(2001,9,21)+(M2862/360)*365 - (360*((DecLong/360)- (GMTOffset/24) ))</f>
        <v>37255.052083333336</v>
      </c>
      <c r="AF2862" s="260">
        <f>IF(DecLat&gt;0,IF((90 - (DecLat-O2862))&gt;90, (90 - (O2862-DecLat)), (90 - (DecLat-O2862))),IF((90 + (DecLat-O2862))&gt;90, (90 + (O2862-DecLat)), (90 + (DecLat-O2862))))</f>
        <v>73.266666666666666</v>
      </c>
      <c r="AG2862" s="257">
        <f>angularseperation(MoonRA,MoonDec,$M2862,$O2862)</f>
        <v>153.81043202077981</v>
      </c>
      <c r="AH2862" s="261">
        <f ca="1">MIN(100,IF($O$5&gt;80,0+30*($AG2862/100),IF($O$5&gt;70,0+50*($AG2862/100),IF($O$5&gt;60,5+50*($AG2862/100),IF($O$5&gt;50,10+60*($AG2862/100),IF($O$5&gt;40,15+70*($AG2862/100),IF($O$5&gt;30,20+70*($AG2862/100),IF($O$5&gt;20,40+55*($AG2862/100),(80+(20-$O$5)+30*($AG2862/100))))))))))</f>
        <v>100</v>
      </c>
      <c r="AI2862" s="263"/>
      <c r="AJ2862" s="263"/>
      <c r="AK2862" s="263"/>
      <c r="AL2862" s="263"/>
      <c r="AM2862" s="264"/>
      <c r="AN2862" s="263"/>
      <c r="AO2862" s="263"/>
      <c r="AP2862" s="265"/>
      <c r="AQ2862" s="265"/>
      <c r="AR2862" s="285"/>
      <c r="AS2862" s="263"/>
      <c r="AT2862" s="263"/>
      <c r="AU2862" s="263"/>
      <c r="AV2862" s="264"/>
      <c r="AW2862" s="263"/>
      <c r="AX2862" s="263"/>
      <c r="AY2862" s="263">
        <v>875</v>
      </c>
      <c r="AZ2862" s="263"/>
      <c r="BA2862" s="263"/>
      <c r="BB2862" s="263">
        <v>267</v>
      </c>
      <c r="BC2862" s="263"/>
      <c r="BD2862" s="264"/>
      <c r="BE2862" s="263"/>
      <c r="BF2862" s="263"/>
      <c r="BG2862" s="263"/>
      <c r="BH2862" s="263"/>
      <c r="BI2862" s="263"/>
      <c r="BJ2862" s="404">
        <f>altaz(J2000_Bas,$O2862,$M2862,DecLat,DecLong,2)</f>
        <v>16.395819305935365</v>
      </c>
      <c r="BK2862" s="378" t="s">
        <v>2681</v>
      </c>
      <c r="BL2862" s="379">
        <f>IF((2*G2862)/60&lt;0.2,0.2,(2*G2862)/60)</f>
        <v>0.2</v>
      </c>
      <c r="BM2862" s="380">
        <f>MOD((50000+AD2862-$B$3+(0/24)),1)</f>
        <v>0.46868353096215287</v>
      </c>
      <c r="BN2862" s="381"/>
      <c r="BO2862" s="382">
        <v>2853</v>
      </c>
    </row>
    <row r="2863" spans="1:67" s="24" customFormat="1" ht="15" customHeight="1" x14ac:dyDescent="0.25">
      <c r="A2863" s="288" t="s">
        <v>2682</v>
      </c>
      <c r="B2863" s="241" t="str">
        <f>HYPERLINK(CONCATENATE($AT$3,BK2863,$AU$3),$AV$3)</f>
        <v>S</v>
      </c>
      <c r="C2863" s="242" t="str">
        <f>HYPERLINK(CONCATENATE($AT$4,BK2863,$AU$4,BL2863),$AV$4)</f>
        <v>A</v>
      </c>
      <c r="D2863" s="243" t="s">
        <v>5187</v>
      </c>
      <c r="E2863" s="244" t="s">
        <v>5183</v>
      </c>
      <c r="F2863" s="269" t="s">
        <v>5180</v>
      </c>
      <c r="G2863" s="276">
        <v>72</v>
      </c>
      <c r="H2863" s="283">
        <v>4250</v>
      </c>
      <c r="I2863" s="246">
        <v>85</v>
      </c>
      <c r="J2863" s="246">
        <v>2</v>
      </c>
      <c r="K2863" s="247" t="s">
        <v>6363</v>
      </c>
      <c r="L2863" s="248">
        <v>61000</v>
      </c>
      <c r="M2863" s="249">
        <f>15*(LEFT(TEXT($L2863,"000000"),2)+(MID(TEXT($L2863,"000000"),3,2)/60)+(RIGHT(TEXT($L2863,"000000"),2)/3600))</f>
        <v>92.5</v>
      </c>
      <c r="N2863" s="286">
        <v>131700</v>
      </c>
      <c r="O2863" s="251">
        <f>IF($N2863&gt;0,(LEFT(TEXT($N2863,"000000"),2)+(MID(TEXT($N2863,"000000"),3,2)/60)+(RIGHT(TEXT($N2863,"000000"),2)/3600)),-(MID(TEXT($N2863,"000000"),2,2)+(MID(TEXT($N2863,"000000"),4,2)/60)+(RIGHT(TEXT($N2863,"000000"),2)/3600)))</f>
        <v>13.283333333333333</v>
      </c>
      <c r="P2863" s="252" t="s">
        <v>41</v>
      </c>
      <c r="Q2863" s="253"/>
      <c r="R2863" s="277" t="s">
        <v>3293</v>
      </c>
      <c r="S2863" s="272" t="s">
        <v>3293</v>
      </c>
      <c r="T2863" s="273"/>
      <c r="U2863" s="274"/>
      <c r="V2863" s="280"/>
      <c r="W2863" s="244"/>
      <c r="X2863" s="244"/>
      <c r="Y2863" s="362"/>
      <c r="Z2863" s="257">
        <f>altaz(J2000_Bas,$O2863,$M2863,DecLat,DecLong,1)</f>
        <v>-43.855101352580569</v>
      </c>
      <c r="AA2863" s="257">
        <f>altaz((J2000_Bas+(2*0.04167)),$O2863,$M2863,DecLat,DecLong,1)</f>
        <v>-29.072722348870897</v>
      </c>
      <c r="AB2863" s="257">
        <f>altaz((J2000_Bas+(4*0.04167)),$O2863,$M2863,DecLat,DecLong,1)</f>
        <v>-6.6727586806400527</v>
      </c>
      <c r="AC2863" s="257">
        <f>altaz((J2000_Bas+(6*0.04167)),$O2863,$M2863,DecLat,DecLong,1)</f>
        <v>18.464247171188845</v>
      </c>
      <c r="AD2863" s="258">
        <f>1+ transit((J2000_Bas-1),$O2863,$M2863,DecLat,DecLong)/360 + (GMTOffset/24) + (IF(DST="Y", 1, 0)/24)</f>
        <v>1.249844379379708</v>
      </c>
      <c r="AE2863" s="259">
        <f>DATE(2001,9,21)+(M2863/360)*365 - (360*((DecLong/360)- (GMTOffset/24) ))</f>
        <v>37253.784722222219</v>
      </c>
      <c r="AF2863" s="260">
        <f>IF(DecLat&gt;0,IF((90 - (DecLat-O2863))&gt;90, (90 - (O2863-DecLat)), (90 - (DecLat-O2863))),IF((90 + (DecLat-O2863))&gt;90, (90 + (O2863-DecLat)), (90 + (DecLat-O2863))))</f>
        <v>72.283333333333331</v>
      </c>
      <c r="AG2863" s="257">
        <f>angularseperation(MoonRA,MoonDec,$M2863,$O2863)</f>
        <v>154.25206220844615</v>
      </c>
      <c r="AH2863" s="261">
        <f ca="1">MIN(100,IF($O$5&gt;80,0+30*($AG2863/100),IF($O$5&gt;70,0+50*($AG2863/100),IF($O$5&gt;60,5+50*($AG2863/100),IF($O$5&gt;50,10+60*($AG2863/100),IF($O$5&gt;40,15+70*($AG2863/100),IF($O$5&gt;30,20+70*($AG2863/100),IF($O$5&gt;20,40+55*($AG2863/100),(80+(20-$O$5)+30*($AG2863/100))))))))))</f>
        <v>100</v>
      </c>
      <c r="AI2863" s="263"/>
      <c r="AJ2863" s="263"/>
      <c r="AK2863" s="263"/>
      <c r="AL2863" s="263"/>
      <c r="AM2863" s="264"/>
      <c r="AN2863" s="263"/>
      <c r="AO2863" s="263"/>
      <c r="AP2863" s="265"/>
      <c r="AQ2863" s="265"/>
      <c r="AR2863" s="285"/>
      <c r="AS2863" s="263"/>
      <c r="AT2863" s="263"/>
      <c r="AU2863" s="263"/>
      <c r="AV2863" s="264"/>
      <c r="AW2863" s="263"/>
      <c r="AX2863" s="263"/>
      <c r="AY2863" s="263">
        <v>874</v>
      </c>
      <c r="AZ2863" s="263"/>
      <c r="BA2863" s="263"/>
      <c r="BB2863" s="263">
        <v>268</v>
      </c>
      <c r="BC2863" s="263"/>
      <c r="BD2863" s="264"/>
      <c r="BE2863" s="263"/>
      <c r="BF2863" s="263"/>
      <c r="BG2863" s="263"/>
      <c r="BH2863" s="263"/>
      <c r="BI2863" s="263"/>
      <c r="BJ2863" s="404">
        <f>altaz(J2000_Bas,$O2863,$M2863,DecLat,DecLong,2)</f>
        <v>18.369052380191636</v>
      </c>
      <c r="BK2863" s="378" t="s">
        <v>2682</v>
      </c>
      <c r="BL2863" s="379">
        <f>IF((2*G2863)/60&lt;0.2,0.2,(2*G2863)/60)</f>
        <v>2.4</v>
      </c>
      <c r="BM2863" s="380">
        <f>MOD((50000+AD2863-$B$3+(0/24)),1)</f>
        <v>0.46521130908513442</v>
      </c>
      <c r="BN2863" s="381"/>
      <c r="BO2863" s="382">
        <v>2854</v>
      </c>
    </row>
    <row r="2864" spans="1:67" s="24" customFormat="1" ht="15" customHeight="1" x14ac:dyDescent="0.25">
      <c r="A2864" s="288" t="s">
        <v>2683</v>
      </c>
      <c r="B2864" s="241" t="str">
        <f>HYPERLINK(CONCATENATE($AT$3,BK2864,$AU$3),$AV$3)</f>
        <v>S</v>
      </c>
      <c r="C2864" s="242" t="str">
        <f>HYPERLINK(CONCATENATE($AT$4,BK2864,$AU$4,BL2864),$AV$4)</f>
        <v>A</v>
      </c>
      <c r="D2864" s="243" t="s">
        <v>5187</v>
      </c>
      <c r="E2864" s="244" t="s">
        <v>5183</v>
      </c>
      <c r="F2864" s="269" t="s">
        <v>5180</v>
      </c>
      <c r="G2864" s="273">
        <v>4</v>
      </c>
      <c r="H2864" s="283">
        <v>17000</v>
      </c>
      <c r="I2864" s="246">
        <v>20</v>
      </c>
      <c r="J2864" s="246">
        <v>2</v>
      </c>
      <c r="K2864" s="247" t="s">
        <v>6364</v>
      </c>
      <c r="L2864" s="248">
        <v>61438</v>
      </c>
      <c r="M2864" s="249">
        <f>15*(LEFT(TEXT($L2864,"000000"),2)+(MID(TEXT($L2864,"000000"),3,2)/60)+(RIGHT(TEXT($L2864,"000000"),2)/3600))</f>
        <v>93.658333333333331</v>
      </c>
      <c r="N2864" s="250">
        <v>134945</v>
      </c>
      <c r="O2864" s="251">
        <f>IF($N2864&gt;0,(LEFT(TEXT($N2864,"000000"),2)+(MID(TEXT($N2864,"000000"),3,2)/60)+(RIGHT(TEXT($N2864,"000000"),2)/3600)),-(MID(TEXT($N2864,"000000"),2,2)+(MID(TEXT($N2864,"000000"),4,2)/60)+(RIGHT(TEXT($N2864,"000000"),2)/3600)))</f>
        <v>13.829166666666666</v>
      </c>
      <c r="P2864" s="252" t="s">
        <v>41</v>
      </c>
      <c r="Q2864" s="253"/>
      <c r="R2864" s="277" t="s">
        <v>3293</v>
      </c>
      <c r="S2864" s="272" t="s">
        <v>3293</v>
      </c>
      <c r="T2864" s="273"/>
      <c r="U2864" s="274"/>
      <c r="V2864" s="280"/>
      <c r="W2864" s="244"/>
      <c r="X2864" s="244"/>
      <c r="Y2864" s="362"/>
      <c r="Z2864" s="257">
        <f>altaz(J2000_Bas,$O2864,$M2864,DecLat,DecLong,1)</f>
        <v>-43.627670527472439</v>
      </c>
      <c r="AA2864" s="257">
        <f>altaz((J2000_Bas+(2*0.04167)),$O2864,$M2864,DecLat,DecLong,1)</f>
        <v>-29.422145408685381</v>
      </c>
      <c r="AB2864" s="257">
        <f>altaz((J2000_Bas+(4*0.04167)),$O2864,$M2864,DecLat,DecLong,1)</f>
        <v>-7.2956759309606865</v>
      </c>
      <c r="AC2864" s="257">
        <f>altaz((J2000_Bas+(6*0.04167)),$O2864,$M2864,DecLat,DecLong,1)</f>
        <v>17.736750843931539</v>
      </c>
      <c r="AD2864" s="258">
        <f>1+ transit((J2000_Bas-1),$O2864,$M2864,DecLat,DecLong)/360 + (GMTOffset/24) + (IF(DST="Y", 1, 0)/24)</f>
        <v>1.2530619716505413</v>
      </c>
      <c r="AE2864" s="259">
        <f>DATE(2001,9,21)+(M2864/360)*365 - (360*((DecLong/360)- (GMTOffset/24) ))</f>
        <v>37254.959143518521</v>
      </c>
      <c r="AF2864" s="260">
        <f>IF(DecLat&gt;0,IF((90 - (DecLat-O2864))&gt;90, (90 - (O2864-DecLat)), (90 - (DecLat-O2864))),IF((90 + (DecLat-O2864))&gt;90, (90 + (O2864-DecLat)), (90 + (DecLat-O2864))))</f>
        <v>72.829166666666666</v>
      </c>
      <c r="AG2864" s="257">
        <f>angularseperation(MoonRA,MoonDec,$M2864,$O2864)</f>
        <v>153.64238499262584</v>
      </c>
      <c r="AH2864" s="261">
        <f ca="1">MIN(100,IF($O$5&gt;80,0+30*($AG2864/100),IF($O$5&gt;70,0+50*($AG2864/100),IF($O$5&gt;60,5+50*($AG2864/100),IF($O$5&gt;50,10+60*($AG2864/100),IF($O$5&gt;40,15+70*($AG2864/100),IF($O$5&gt;30,20+70*($AG2864/100),IF($O$5&gt;20,40+55*($AG2864/100),(80+(20-$O$5)+30*($AG2864/100))))))))))</f>
        <v>100</v>
      </c>
      <c r="AI2864" s="263"/>
      <c r="AJ2864" s="263"/>
      <c r="AK2864" s="263"/>
      <c r="AL2864" s="263"/>
      <c r="AM2864" s="264"/>
      <c r="AN2864" s="263"/>
      <c r="AO2864" s="263"/>
      <c r="AP2864" s="265"/>
      <c r="AQ2864" s="265"/>
      <c r="AR2864" s="285"/>
      <c r="AS2864" s="263"/>
      <c r="AT2864" s="263"/>
      <c r="AU2864" s="263"/>
      <c r="AV2864" s="264"/>
      <c r="AW2864" s="263"/>
      <c r="AX2864" s="263"/>
      <c r="AY2864" s="263">
        <v>876</v>
      </c>
      <c r="AZ2864" s="263"/>
      <c r="BA2864" s="263"/>
      <c r="BB2864" s="263">
        <v>269</v>
      </c>
      <c r="BC2864" s="263"/>
      <c r="BD2864" s="264"/>
      <c r="BE2864" s="263"/>
      <c r="BF2864" s="263"/>
      <c r="BG2864" s="263"/>
      <c r="BH2864" s="263"/>
      <c r="BI2864" s="263"/>
      <c r="BJ2864" s="404">
        <f>altaz(J2000_Bas,$O2864,$M2864,DecLat,DecLong,2)</f>
        <v>16.665782238203498</v>
      </c>
      <c r="BK2864" s="378" t="s">
        <v>2683</v>
      </c>
      <c r="BL2864" s="379">
        <f>IF((2*G2864)/60&lt;0.2,0.2,(2*G2864)/60)</f>
        <v>0.2</v>
      </c>
      <c r="BM2864" s="380">
        <f>MOD((50000+AD2864-$B$3+(0/24)),1)</f>
        <v>0.46842890135303605</v>
      </c>
      <c r="BN2864" s="381"/>
      <c r="BO2864" s="382">
        <v>2855</v>
      </c>
    </row>
    <row r="2865" spans="1:67" s="24" customFormat="1" ht="15" customHeight="1" x14ac:dyDescent="0.25">
      <c r="A2865" s="288" t="s">
        <v>2684</v>
      </c>
      <c r="B2865" s="241" t="str">
        <f>HYPERLINK(CONCATENATE($AT$3,BK2865,$AU$3),$AV$3)</f>
        <v>S</v>
      </c>
      <c r="C2865" s="242" t="str">
        <f>HYPERLINK(CONCATENATE($AT$4,BK2865,$AU$4,BL2865),$AV$4)</f>
        <v>A</v>
      </c>
      <c r="D2865" s="243" t="s">
        <v>5187</v>
      </c>
      <c r="E2865" s="244" t="s">
        <v>5183</v>
      </c>
      <c r="F2865" s="269" t="s">
        <v>5180</v>
      </c>
      <c r="G2865" s="273">
        <v>1</v>
      </c>
      <c r="H2865" s="283">
        <v>22000</v>
      </c>
      <c r="I2865" s="279">
        <v>6</v>
      </c>
      <c r="J2865" s="246">
        <v>1</v>
      </c>
      <c r="K2865" s="247" t="s">
        <v>6309</v>
      </c>
      <c r="L2865" s="248">
        <v>61000</v>
      </c>
      <c r="M2865" s="249">
        <f>15*(LEFT(TEXT($L2865,"000000"),2)+(MID(TEXT($L2865,"000000"),3,2)/60)+(RIGHT(TEXT($L2865,"000000"),2)/3600))</f>
        <v>92.5</v>
      </c>
      <c r="N2865" s="286">
        <v>124800</v>
      </c>
      <c r="O2865" s="251">
        <f>IF($N2865&gt;0,(LEFT(TEXT($N2865,"000000"),2)+(MID(TEXT($N2865,"000000"),3,2)/60)+(RIGHT(TEXT($N2865,"000000"),2)/3600)),-(MID(TEXT($N2865,"000000"),2,2)+(MID(TEXT($N2865,"000000"),4,2)/60)+(RIGHT(TEXT($N2865,"000000"),2)/3600)))</f>
        <v>12.8</v>
      </c>
      <c r="P2865" s="252" t="s">
        <v>41</v>
      </c>
      <c r="Q2865" s="253"/>
      <c r="R2865" s="277" t="s">
        <v>3293</v>
      </c>
      <c r="S2865" s="272" t="s">
        <v>3293</v>
      </c>
      <c r="T2865" s="273"/>
      <c r="U2865" s="274"/>
      <c r="V2865" s="280"/>
      <c r="W2865" s="244"/>
      <c r="X2865" s="244"/>
      <c r="Y2865" s="362"/>
      <c r="Z2865" s="257">
        <f>altaz(J2000_Bas,$O2865,$M2865,DecLat,DecLong,1)</f>
        <v>-44.319292544839854</v>
      </c>
      <c r="AA2865" s="257">
        <f>altaz((J2000_Bas+(2*0.04167)),$O2865,$M2865,DecLat,DecLong,1)</f>
        <v>-29.428291446507814</v>
      </c>
      <c r="AB2865" s="257">
        <f>altaz((J2000_Bas+(4*0.04167)),$O2865,$M2865,DecLat,DecLong,1)</f>
        <v>-6.9434649311987737</v>
      </c>
      <c r="AC2865" s="257">
        <f>altaz((J2000_Bas+(6*0.04167)),$O2865,$M2865,DecLat,DecLong,1)</f>
        <v>18.232166020212798</v>
      </c>
      <c r="AD2865" s="258">
        <f>1+ transit((J2000_Bas-1),$O2865,$M2865,DecLat,DecLong)/360 + (GMTOffset/24) + (IF(DST="Y", 1, 0)/24)</f>
        <v>1.249844379379708</v>
      </c>
      <c r="AE2865" s="259">
        <f>DATE(2001,9,21)+(M2865/360)*365 - (360*((DecLong/360)- (GMTOffset/24) ))</f>
        <v>37253.784722222219</v>
      </c>
      <c r="AF2865" s="260">
        <f>IF(DecLat&gt;0,IF((90 - (DecLat-O2865))&gt;90, (90 - (O2865-DecLat)), (90 - (DecLat-O2865))),IF((90 + (DecLat-O2865))&gt;90, (90 + (O2865-DecLat)), (90 + (DecLat-O2865))))</f>
        <v>71.8</v>
      </c>
      <c r="AG2865" s="257">
        <f>angularseperation(MoonRA,MoonDec,$M2865,$O2865)</f>
        <v>153.96541800545629</v>
      </c>
      <c r="AH2865" s="261">
        <f ca="1">MIN(100,IF($O$5&gt;80,0+30*($AG2865/100),IF($O$5&gt;70,0+50*($AG2865/100),IF($O$5&gt;60,5+50*($AG2865/100),IF($O$5&gt;50,10+60*($AG2865/100),IF($O$5&gt;40,15+70*($AG2865/100),IF($O$5&gt;30,20+70*($AG2865/100),IF($O$5&gt;20,40+55*($AG2865/100),(80+(20-$O$5)+30*($AG2865/100))))))))))</f>
        <v>100</v>
      </c>
      <c r="AI2865" s="263"/>
      <c r="AJ2865" s="263"/>
      <c r="AK2865" s="263"/>
      <c r="AL2865" s="263"/>
      <c r="AM2865" s="264"/>
      <c r="AN2865" s="263"/>
      <c r="AO2865" s="263"/>
      <c r="AP2865" s="265"/>
      <c r="AQ2865" s="265"/>
      <c r="AR2865" s="285"/>
      <c r="AS2865" s="263"/>
      <c r="AT2865" s="263"/>
      <c r="AU2865" s="263"/>
      <c r="AV2865" s="264"/>
      <c r="AW2865" s="263"/>
      <c r="AX2865" s="263"/>
      <c r="AY2865" s="263">
        <v>877</v>
      </c>
      <c r="AZ2865" s="263"/>
      <c r="BA2865" s="263"/>
      <c r="BB2865" s="263">
        <v>270</v>
      </c>
      <c r="BC2865" s="263"/>
      <c r="BD2865" s="264"/>
      <c r="BE2865" s="263"/>
      <c r="BF2865" s="263"/>
      <c r="BG2865" s="263"/>
      <c r="BH2865" s="263"/>
      <c r="BI2865" s="263"/>
      <c r="BJ2865" s="404">
        <f>altaz(J2000_Bas,$O2865,$M2865,DecLat,DecLong,2)</f>
        <v>18.556551942247122</v>
      </c>
      <c r="BK2865" s="378" t="s">
        <v>2684</v>
      </c>
      <c r="BL2865" s="379">
        <f>IF((2*G2865)/60&lt;0.2,0.2,(2*G2865)/60)</f>
        <v>0.2</v>
      </c>
      <c r="BM2865" s="380">
        <f>MOD((50000+AD2865-$B$3+(0/24)),1)</f>
        <v>0.46521130908513442</v>
      </c>
      <c r="BN2865" s="381"/>
      <c r="BO2865" s="382">
        <v>2856</v>
      </c>
    </row>
    <row r="2866" spans="1:67" s="24" customFormat="1" ht="15" customHeight="1" x14ac:dyDescent="0.25">
      <c r="A2866" s="288" t="s">
        <v>2685</v>
      </c>
      <c r="B2866" s="241" t="str">
        <f>HYPERLINK(CONCATENATE($AT$3,BK2866,$AU$3),$AV$3)</f>
        <v>S</v>
      </c>
      <c r="C2866" s="242" t="str">
        <f>HYPERLINK(CONCATENATE($AT$4,BK2866,$AU$4,BL2866),$AV$4)</f>
        <v>A</v>
      </c>
      <c r="D2866" s="243" t="s">
        <v>5187</v>
      </c>
      <c r="E2866" s="244" t="s">
        <v>5183</v>
      </c>
      <c r="F2866" s="269" t="s">
        <v>5180</v>
      </c>
      <c r="G2866" s="273">
        <v>2</v>
      </c>
      <c r="H2866" s="283">
        <v>11000</v>
      </c>
      <c r="I2866" s="279">
        <v>7</v>
      </c>
      <c r="J2866" s="246">
        <v>2</v>
      </c>
      <c r="K2866" s="247" t="s">
        <v>6366</v>
      </c>
      <c r="L2866" s="248">
        <v>61512</v>
      </c>
      <c r="M2866" s="249">
        <f>15*(LEFT(TEXT($L2866,"000000"),2)+(MID(TEXT($L2866,"000000"),3,2)/60)+(RIGHT(TEXT($L2866,"000000"),2)/3600))</f>
        <v>93.8</v>
      </c>
      <c r="N2866" s="250">
        <v>122200</v>
      </c>
      <c r="O2866" s="251">
        <f>IF($N2866&gt;0,(LEFT(TEXT($N2866,"000000"),2)+(MID(TEXT($N2866,"000000"),3,2)/60)+(RIGHT(TEXT($N2866,"000000"),2)/3600)),-(MID(TEXT($N2866,"000000"),2,2)+(MID(TEXT($N2866,"000000"),4,2)/60)+(RIGHT(TEXT($N2866,"000000"),2)/3600)))</f>
        <v>12.366666666666667</v>
      </c>
      <c r="P2866" s="252" t="s">
        <v>41</v>
      </c>
      <c r="Q2866" s="253"/>
      <c r="R2866" s="277" t="s">
        <v>3293</v>
      </c>
      <c r="S2866" s="272" t="s">
        <v>3293</v>
      </c>
      <c r="T2866" s="273"/>
      <c r="U2866" s="274"/>
      <c r="V2866" s="280"/>
      <c r="W2866" s="244"/>
      <c r="X2866" s="244"/>
      <c r="Y2866" s="362"/>
      <c r="Z2866" s="257">
        <f>altaz(J2000_Bas,$O2866,$M2866,DecLat,DecLong,1)</f>
        <v>-45.077044997067567</v>
      </c>
      <c r="AA2866" s="257">
        <f>altaz((J2000_Bas+(2*0.04167)),$O2866,$M2866,DecLat,DecLong,1)</f>
        <v>-30.60384358050494</v>
      </c>
      <c r="AB2866" s="257">
        <f>altaz((J2000_Bas+(4*0.04167)),$O2866,$M2866,DecLat,DecLong,1)</f>
        <v>-8.2363914446944193</v>
      </c>
      <c r="AC2866" s="257">
        <f>altaz((J2000_Bas+(6*0.04167)),$O2866,$M2866,DecLat,DecLong,1)</f>
        <v>16.911865049787888</v>
      </c>
      <c r="AD2866" s="258">
        <f>1+ transit((J2000_Bas-1),$O2866,$M2866,DecLat,DecLong)/360 + (GMTOffset/24) + (IF(DST="Y", 1, 0)/24)</f>
        <v>1.2534554901297079</v>
      </c>
      <c r="AE2866" s="259">
        <f>DATE(2001,9,21)+(M2866/360)*365 - (360*((DecLong/360)- (GMTOffset/24) ))</f>
        <v>37255.102777777778</v>
      </c>
      <c r="AF2866" s="260">
        <f>IF(DecLat&gt;0,IF((90 - (DecLat-O2866))&gt;90, (90 - (O2866-DecLat)), (90 - (DecLat-O2866))),IF((90 + (DecLat-O2866))&gt;90, (90 + (O2866-DecLat)), (90 + (DecLat-O2866))))</f>
        <v>71.366666666666674</v>
      </c>
      <c r="AG2866" s="257">
        <f>angularseperation(MoonRA,MoonDec,$M2866,$O2866)</f>
        <v>152.68779812070036</v>
      </c>
      <c r="AH2866" s="261">
        <f ca="1">MIN(100,IF($O$5&gt;80,0+30*($AG2866/100),IF($O$5&gt;70,0+50*($AG2866/100),IF($O$5&gt;60,5+50*($AG2866/100),IF($O$5&gt;50,10+60*($AG2866/100),IF($O$5&gt;40,15+70*($AG2866/100),IF($O$5&gt;30,20+70*($AG2866/100),IF($O$5&gt;20,40+55*($AG2866/100),(80+(20-$O$5)+30*($AG2866/100))))))))))</f>
        <v>100</v>
      </c>
      <c r="AI2866" s="263"/>
      <c r="AJ2866" s="263"/>
      <c r="AK2866" s="263"/>
      <c r="AL2866" s="263"/>
      <c r="AM2866" s="264"/>
      <c r="AN2866" s="263"/>
      <c r="AO2866" s="263"/>
      <c r="AP2866" s="265"/>
      <c r="AQ2866" s="265"/>
      <c r="AR2866" s="285"/>
      <c r="AS2866" s="263"/>
      <c r="AT2866" s="263"/>
      <c r="AU2866" s="263"/>
      <c r="AV2866" s="264"/>
      <c r="AW2866" s="263"/>
      <c r="AX2866" s="263"/>
      <c r="AY2866" s="263"/>
      <c r="AZ2866" s="263"/>
      <c r="BA2866" s="263"/>
      <c r="BB2866" s="263">
        <v>271</v>
      </c>
      <c r="BC2866" s="263"/>
      <c r="BD2866" s="264"/>
      <c r="BE2866" s="263"/>
      <c r="BF2866" s="263"/>
      <c r="BG2866" s="263"/>
      <c r="BH2866" s="263"/>
      <c r="BI2866" s="263"/>
      <c r="BJ2866" s="404">
        <f>altaz(J2000_Bas,$O2866,$M2866,DecLat,DecLong,2)</f>
        <v>17.000456432939547</v>
      </c>
      <c r="BK2866" s="378" t="s">
        <v>2685</v>
      </c>
      <c r="BL2866" s="379">
        <f>IF((2*G2866)/60&lt;0.2,0.2,(2*G2866)/60)</f>
        <v>0.2</v>
      </c>
      <c r="BM2866" s="380">
        <f>MOD((50000+AD2866-$B$3+(0/24)),1)</f>
        <v>0.468822419832577</v>
      </c>
      <c r="BN2866" s="381"/>
      <c r="BO2866" s="382">
        <v>2857</v>
      </c>
    </row>
    <row r="2867" spans="1:67" s="24" customFormat="1" ht="15" customHeight="1" x14ac:dyDescent="0.25">
      <c r="A2867" s="288" t="s">
        <v>2686</v>
      </c>
      <c r="B2867" s="241" t="str">
        <f>HYPERLINK(CONCATENATE($AT$3,BK2867,$AU$3),$AV$3)</f>
        <v>S</v>
      </c>
      <c r="C2867" s="242" t="str">
        <f>HYPERLINK(CONCATENATE($AT$4,BK2867,$AU$4,BL2867),$AV$4)</f>
        <v>A</v>
      </c>
      <c r="D2867" s="243" t="s">
        <v>5187</v>
      </c>
      <c r="E2867" s="244" t="s">
        <v>5183</v>
      </c>
      <c r="F2867" s="269" t="s">
        <v>5180</v>
      </c>
      <c r="G2867" s="273">
        <v>1</v>
      </c>
      <c r="H2867" s="283">
        <v>15000</v>
      </c>
      <c r="I2867" s="279">
        <v>4.5999999999999996</v>
      </c>
      <c r="J2867" s="246">
        <v>1</v>
      </c>
      <c r="K2867" s="247" t="s">
        <v>6367</v>
      </c>
      <c r="L2867" s="248">
        <v>61500</v>
      </c>
      <c r="M2867" s="249">
        <f>15*(LEFT(TEXT($L2867,"000000"),2)+(MID(TEXT($L2867,"000000"),3,2)/60)+(RIGHT(TEXT($L2867,"000000"),2)/3600))</f>
        <v>93.75</v>
      </c>
      <c r="N2867" s="286">
        <v>122000</v>
      </c>
      <c r="O2867" s="251">
        <f>IF($N2867&gt;0,(LEFT(TEXT($N2867,"000000"),2)+(MID(TEXT($N2867,"000000"),3,2)/60)+(RIGHT(TEXT($N2867,"000000"),2)/3600)),-(MID(TEXT($N2867,"000000"),2,2)+(MID(TEXT($N2867,"000000"),4,2)/60)+(RIGHT(TEXT($N2867,"000000"),2)/3600)))</f>
        <v>12.333333333333334</v>
      </c>
      <c r="P2867" s="252" t="s">
        <v>41</v>
      </c>
      <c r="Q2867" s="253"/>
      <c r="R2867" s="277" t="s">
        <v>3293</v>
      </c>
      <c r="S2867" s="272" t="s">
        <v>2686</v>
      </c>
      <c r="T2867" s="273"/>
      <c r="U2867" s="274"/>
      <c r="V2867" s="280"/>
      <c r="W2867" s="244"/>
      <c r="X2867" s="244"/>
      <c r="Y2867" s="362"/>
      <c r="Z2867" s="257">
        <f>altaz(J2000_Bas,$O2867,$M2867,DecLat,DecLong,1)</f>
        <v>-45.096698383219469</v>
      </c>
      <c r="AA2867" s="257">
        <f>altaz((J2000_Bas+(2*0.04167)),$O2867,$M2867,DecLat,DecLong,1)</f>
        <v>-30.595834734899597</v>
      </c>
      <c r="AB2867" s="257">
        <f>altaz((J2000_Bas+(4*0.04167)),$O2867,$M2867,DecLat,DecLong,1)</f>
        <v>-8.214882863329704</v>
      </c>
      <c r="AC2867" s="257">
        <f>altaz((J2000_Bas+(6*0.04167)),$O2867,$M2867,DecLat,DecLong,1)</f>
        <v>16.938443496384934</v>
      </c>
      <c r="AD2867" s="258">
        <f>1+ transit((J2000_Bas-1),$O2867,$M2867,DecLat,DecLong)/360 + (GMTOffset/24) + (IF(DST="Y", 1, 0)/24)</f>
        <v>1.2533166012547079</v>
      </c>
      <c r="AE2867" s="259">
        <f>DATE(2001,9,21)+(M2867/360)*365 - (360*((DecLong/360)- (GMTOffset/24) ))</f>
        <v>37255.052083333336</v>
      </c>
      <c r="AF2867" s="260">
        <f>IF(DecLat&gt;0,IF((90 - (DecLat-O2867))&gt;90, (90 - (O2867-DecLat)), (90 - (DecLat-O2867))),IF((90 + (DecLat-O2867))&gt;90, (90 + (O2867-DecLat)), (90 + (DecLat-O2867))))</f>
        <v>71.333333333333343</v>
      </c>
      <c r="AG2867" s="257">
        <f>angularseperation(MoonRA,MoonDec,$M2867,$O2867)</f>
        <v>152.70743178764238</v>
      </c>
      <c r="AH2867" s="261">
        <f ca="1">MIN(100,IF($O$5&gt;80,0+30*($AG2867/100),IF($O$5&gt;70,0+50*($AG2867/100),IF($O$5&gt;60,5+50*($AG2867/100),IF($O$5&gt;50,10+60*($AG2867/100),IF($O$5&gt;40,15+70*($AG2867/100),IF($O$5&gt;30,20+70*($AG2867/100),IF($O$5&gt;20,40+55*($AG2867/100),(80+(20-$O$5)+30*($AG2867/100))))))))))</f>
        <v>100</v>
      </c>
      <c r="AI2867" s="263"/>
      <c r="AJ2867" s="263"/>
      <c r="AK2867" s="263"/>
      <c r="AL2867" s="263"/>
      <c r="AM2867" s="264"/>
      <c r="AN2867" s="263"/>
      <c r="AO2867" s="263"/>
      <c r="AP2867" s="265"/>
      <c r="AQ2867" s="265"/>
      <c r="AR2867" s="285"/>
      <c r="AS2867" s="263"/>
      <c r="AT2867" s="263"/>
      <c r="AU2867" s="263"/>
      <c r="AV2867" s="264"/>
      <c r="AW2867" s="263"/>
      <c r="AX2867" s="263"/>
      <c r="AY2867" s="263"/>
      <c r="AZ2867" s="263"/>
      <c r="BA2867" s="263"/>
      <c r="BB2867" s="263">
        <v>272</v>
      </c>
      <c r="BC2867" s="263"/>
      <c r="BD2867" s="264"/>
      <c r="BE2867" s="263"/>
      <c r="BF2867" s="263"/>
      <c r="BG2867" s="263"/>
      <c r="BH2867" s="263"/>
      <c r="BI2867" s="263"/>
      <c r="BJ2867" s="404">
        <f>altaz(J2000_Bas,$O2867,$M2867,DecLat,DecLong,2)</f>
        <v>17.079449495175542</v>
      </c>
      <c r="BK2867" s="378" t="s">
        <v>2686</v>
      </c>
      <c r="BL2867" s="379">
        <f>IF((2*G2867)/60&lt;0.2,0.2,(2*G2867)/60)</f>
        <v>0.2</v>
      </c>
      <c r="BM2867" s="380">
        <f>MOD((50000+AD2867-$B$3+(0/24)),1)</f>
        <v>0.46868353096215287</v>
      </c>
      <c r="BN2867" s="381"/>
      <c r="BO2867" s="382">
        <v>2858</v>
      </c>
    </row>
    <row r="2868" spans="1:67" s="24" customFormat="1" ht="15" customHeight="1" x14ac:dyDescent="0.25">
      <c r="A2868" s="288" t="s">
        <v>2688</v>
      </c>
      <c r="B2868" s="241" t="str">
        <f>HYPERLINK(CONCATENATE($AT$3,BK2868,$AU$3),$AV$3)</f>
        <v>S</v>
      </c>
      <c r="C2868" s="242" t="str">
        <f>HYPERLINK(CONCATENATE($AT$4,BK2868,$AU$4,BL2868),$AV$4)</f>
        <v>A</v>
      </c>
      <c r="D2868" s="243" t="s">
        <v>5187</v>
      </c>
      <c r="E2868" s="244" t="s">
        <v>5183</v>
      </c>
      <c r="F2868" s="269" t="s">
        <v>5180</v>
      </c>
      <c r="G2868" s="276">
        <v>55</v>
      </c>
      <c r="H2868" s="283">
        <v>1700</v>
      </c>
      <c r="I2868" s="246">
        <v>26</v>
      </c>
      <c r="J2868" s="246">
        <v>3</v>
      </c>
      <c r="K2868" s="247" t="s">
        <v>6365</v>
      </c>
      <c r="L2868" s="248">
        <v>51954</v>
      </c>
      <c r="M2868" s="249">
        <f>15*(LEFT(TEXT($L2868,"000000"),2)+(MID(TEXT($L2868,"000000"),3,2)/60)+(RIGHT(TEXT($L2868,"000000"),2)/3600))</f>
        <v>79.974999999999994</v>
      </c>
      <c r="N2868" s="250">
        <v>-53900</v>
      </c>
      <c r="O2868" s="251">
        <f>IF($N2868&gt;0,(LEFT(TEXT($N2868,"000000"),2)+(MID(TEXT($N2868,"000000"),3,2)/60)+(RIGHT(TEXT($N2868,"000000"),2)/3600)),-(MID(TEXT($N2868,"000000"),2,2)+(MID(TEXT($N2868,"000000"),4,2)/60)+(RIGHT(TEXT($N2868,"000000"),2)/3600)))</f>
        <v>-5.65</v>
      </c>
      <c r="P2868" s="252" t="s">
        <v>41</v>
      </c>
      <c r="Q2868" s="253"/>
      <c r="R2868" s="247" t="s">
        <v>3293</v>
      </c>
      <c r="S2868" s="272" t="s">
        <v>3293</v>
      </c>
      <c r="T2868" s="273"/>
      <c r="U2868" s="274"/>
      <c r="V2868" s="280"/>
      <c r="W2868" s="244"/>
      <c r="X2868" s="244"/>
      <c r="Y2868" s="362"/>
      <c r="Z2868" s="257">
        <f>altaz(J2000_Bas,$O2868,$M2868,DecLat,DecLong,1)</f>
        <v>-54.805465840481673</v>
      </c>
      <c r="AA2868" s="257">
        <f>altaz((J2000_Bas+(2*0.04167)),$O2868,$M2868,DecLat,DecLong,1)</f>
        <v>-31.756748831080067</v>
      </c>
      <c r="AB2868" s="257">
        <f>altaz((J2000_Bas+(4*0.04167)),$O2868,$M2868,DecLat,DecLong,1)</f>
        <v>-6.1589374817284481</v>
      </c>
      <c r="AC2868" s="257">
        <f>altaz((J2000_Bas+(6*0.04167)),$O2868,$M2868,DecLat,DecLong,1)</f>
        <v>19.085862574268003</v>
      </c>
      <c r="AD2868" s="258">
        <f>1+ transit((J2000_Bas-1),$O2868,$M2868,DecLat,DecLong)/360 + (GMTOffset/24) + (IF(DST="Y", 1, 0)/24)</f>
        <v>1.215052716192208</v>
      </c>
      <c r="AE2868" s="259">
        <f>DATE(2001,9,21)+(M2868/360)*365 - (360*((DecLong/360)- (GMTOffset/24) ))</f>
        <v>37241.085763888892</v>
      </c>
      <c r="AF2868" s="260">
        <f>IF(DecLat&gt;0,IF((90 - (DecLat-O2868))&gt;90, (90 - (O2868-DecLat)), (90 - (DecLat-O2868))),IF((90 + (DecLat-O2868))&gt;90, (90 + (O2868-DecLat)), (90 + (DecLat-O2868))))</f>
        <v>53.35</v>
      </c>
      <c r="AG2868" s="257">
        <f>angularseperation(MoonRA,MoonDec,$M2868,$O2868)</f>
        <v>145.65837948138244</v>
      </c>
      <c r="AH2868" s="261">
        <f ca="1">MIN(100,IF($O$5&gt;80,0+30*($AG2868/100),IF($O$5&gt;70,0+50*($AG2868/100),IF($O$5&gt;60,5+50*($AG2868/100),IF($O$5&gt;50,10+60*($AG2868/100),IF($O$5&gt;40,15+70*($AG2868/100),IF($O$5&gt;30,20+70*($AG2868/100),IF($O$5&gt;20,40+55*($AG2868/100),(80+(20-$O$5)+30*($AG2868/100))))))))))</f>
        <v>100</v>
      </c>
      <c r="AI2868" s="262"/>
      <c r="AJ2868" s="262"/>
      <c r="AK2868" s="262"/>
      <c r="AL2868" s="263"/>
      <c r="AM2868" s="264"/>
      <c r="AN2868" s="263"/>
      <c r="AO2868" s="263"/>
      <c r="AP2868" s="265"/>
      <c r="AQ2868" s="266"/>
      <c r="AR2868" s="267"/>
      <c r="AS2868" s="263"/>
      <c r="AT2868" s="263"/>
      <c r="AU2868" s="263"/>
      <c r="AV2868" s="264"/>
      <c r="AW2868" s="263"/>
      <c r="AX2868" s="263"/>
      <c r="AY2868" s="263">
        <v>956</v>
      </c>
      <c r="AZ2868" s="263"/>
      <c r="BA2868" s="263"/>
      <c r="BB2868" s="263">
        <v>278</v>
      </c>
      <c r="BC2868" s="263"/>
      <c r="BD2868" s="264"/>
      <c r="BE2868" s="263"/>
      <c r="BF2868" s="263"/>
      <c r="BG2868" s="263"/>
      <c r="BH2868" s="263"/>
      <c r="BI2868" s="263"/>
      <c r="BJ2868" s="404">
        <f>altaz(J2000_Bas,$O2868,$M2868,DecLat,DecLong,2)</f>
        <v>49.257131428443103</v>
      </c>
      <c r="BK2868" s="378" t="s">
        <v>2688</v>
      </c>
      <c r="BL2868" s="379">
        <f>IF((2*G2868)/60&lt;0.2,0.2,(2*G2868)/60)</f>
        <v>1.8333333333333333</v>
      </c>
      <c r="BM2868" s="380">
        <f>MOD((50000+AD2868-$B$3+(0/24)),1)</f>
        <v>0.43041964589792769</v>
      </c>
      <c r="BN2868" s="381"/>
      <c r="BO2868" s="382">
        <v>2859</v>
      </c>
    </row>
    <row r="2869" spans="1:67" s="24" customFormat="1" ht="15" customHeight="1" x14ac:dyDescent="0.25">
      <c r="A2869" s="288" t="s">
        <v>2689</v>
      </c>
      <c r="B2869" s="241" t="str">
        <f>HYPERLINK(CONCATENATE($AT$3,BK2869,$AU$3),$AV$3)</f>
        <v>S</v>
      </c>
      <c r="C2869" s="242" t="str">
        <f>HYPERLINK(CONCATENATE($AT$4,BK2869,$AU$4,BL2869),$AV$4)</f>
        <v>A</v>
      </c>
      <c r="D2869" s="243" t="s">
        <v>5187</v>
      </c>
      <c r="E2869" s="244" t="s">
        <v>5183</v>
      </c>
      <c r="F2869" s="269" t="s">
        <v>9163</v>
      </c>
      <c r="G2869" s="276">
        <v>40</v>
      </c>
      <c r="H2869" s="283">
        <v>5000</v>
      </c>
      <c r="I2869" s="246">
        <v>56</v>
      </c>
      <c r="J2869" s="246">
        <v>3</v>
      </c>
      <c r="K2869" s="247" t="s">
        <v>9355</v>
      </c>
      <c r="L2869" s="248">
        <v>63422</v>
      </c>
      <c r="M2869" s="249">
        <f>15*(LEFT(TEXT($L2869,"000000"),2)+(MID(TEXT($L2869,"000000"),3,2)/60)+(RIGHT(TEXT($L2869,"000000"),2)/3600))</f>
        <v>98.591666666666669</v>
      </c>
      <c r="N2869" s="250">
        <v>22806</v>
      </c>
      <c r="O2869" s="251">
        <f>IF($N2869&gt;0,(LEFT(TEXT($N2869,"000000"),2)+(MID(TEXT($N2869,"000000"),3,2)/60)+(RIGHT(TEXT($N2869,"000000"),2)/3600)),-(MID(TEXT($N2869,"000000"),2,2)+(MID(TEXT($N2869,"000000"),4,2)/60)+(RIGHT(TEXT($N2869,"000000"),2)/3600)))</f>
        <v>2.4683333333333333</v>
      </c>
      <c r="P2869" s="252" t="s">
        <v>47</v>
      </c>
      <c r="Q2869" s="253"/>
      <c r="R2869" s="247" t="s">
        <v>3293</v>
      </c>
      <c r="S2869" s="272" t="s">
        <v>3293</v>
      </c>
      <c r="T2869" s="273"/>
      <c r="U2869" s="274"/>
      <c r="V2869" s="280"/>
      <c r="W2869" s="244"/>
      <c r="X2869" s="244"/>
      <c r="Y2869" s="362"/>
      <c r="Z2869" s="257">
        <f>altaz(J2000_Bas,$O2869,$M2869,DecLat,DecLong,1)</f>
        <v>-55.795563160112359</v>
      </c>
      <c r="AA2869" s="257">
        <f>altaz((J2000_Bas+(2*0.04167)),$O2869,$M2869,DecLat,DecLong,1)</f>
        <v>-41.091636066103391</v>
      </c>
      <c r="AB2869" s="257">
        <f>altaz((J2000_Bas+(4*0.04167)),$O2869,$M2869,DecLat,DecLong,1)</f>
        <v>-17.72402108957257</v>
      </c>
      <c r="AC2869" s="257">
        <f>altaz((J2000_Bas+(6*0.04167)),$O2869,$M2869,DecLat,DecLong,1)</f>
        <v>7.8395133286366026</v>
      </c>
      <c r="AD2869" s="258">
        <f>1+ transit((J2000_Bas-1),$O2869,$M2869,DecLat,DecLong)/360 + (GMTOffset/24) + (IF(DST="Y", 1, 0)/24)</f>
        <v>1.2667656739838746</v>
      </c>
      <c r="AE2869" s="259">
        <f>DATE(2001,9,21)+(M2869/360)*365 - (360*((DecLong/360)- (GMTOffset/24) ))</f>
        <v>37259.960995370369</v>
      </c>
      <c r="AF2869" s="260">
        <f>IF(DecLat&gt;0,IF((90 - (DecLat-O2869))&gt;90, (90 - (O2869-DecLat)), (90 - (DecLat-O2869))),IF((90 + (DecLat-O2869))&gt;90, (90 + (O2869-DecLat)), (90 + (DecLat-O2869))))</f>
        <v>61.468333333333334</v>
      </c>
      <c r="AG2869" s="257">
        <f>angularseperation(MoonRA,MoonDec,$M2869,$O2869)</f>
        <v>142.65026865779558</v>
      </c>
      <c r="AH2869" s="261">
        <f ca="1">MIN(100,IF($O$5&gt;80,0+30*($AG2869/100),IF($O$5&gt;70,0+50*($AG2869/100),IF($O$5&gt;60,5+50*($AG2869/100),IF($O$5&gt;50,10+60*($AG2869/100),IF($O$5&gt;40,15+70*($AG2869/100),IF($O$5&gt;30,20+70*($AG2869/100),IF($O$5&gt;20,40+55*($AG2869/100),(80+(20-$O$5)+30*($AG2869/100))))))))))</f>
        <v>100</v>
      </c>
      <c r="AI2869" s="262"/>
      <c r="AJ2869" s="262"/>
      <c r="AK2869" s="262"/>
      <c r="AL2869" s="263"/>
      <c r="AM2869" s="264"/>
      <c r="AN2869" s="263"/>
      <c r="AO2869" s="263"/>
      <c r="AP2869" s="265"/>
      <c r="AQ2869" s="266"/>
      <c r="AR2869" s="267"/>
      <c r="AS2869" s="263"/>
      <c r="AT2869" s="263"/>
      <c r="AU2869" s="263"/>
      <c r="AV2869" s="264"/>
      <c r="AW2869" s="263"/>
      <c r="AX2869" s="263"/>
      <c r="AY2869" s="263">
        <v>970</v>
      </c>
      <c r="AZ2869" s="263"/>
      <c r="BA2869" s="263"/>
      <c r="BB2869" s="263">
        <v>280</v>
      </c>
      <c r="BC2869" s="263"/>
      <c r="BD2869" s="264"/>
      <c r="BE2869" s="263"/>
      <c r="BF2869" s="263"/>
      <c r="BG2869" s="263"/>
      <c r="BH2869" s="263"/>
      <c r="BI2869" s="263">
        <v>45</v>
      </c>
      <c r="BJ2869" s="404">
        <f>altaz(J2000_Bas,$O2869,$M2869,DecLat,DecLong,2)</f>
        <v>13.252220869451463</v>
      </c>
      <c r="BK2869" s="378" t="s">
        <v>2689</v>
      </c>
      <c r="BL2869" s="379">
        <f>IF((2*G2869)/60&lt;0.2,0.2,(2*G2869)/60)</f>
        <v>1.3333333333333333</v>
      </c>
      <c r="BM2869" s="380">
        <f>MOD((50000+AD2869-$B$3+(0/24)),1)</f>
        <v>0.4821326036908431</v>
      </c>
      <c r="BN2869" s="381"/>
      <c r="BO2869" s="382">
        <v>2860</v>
      </c>
    </row>
    <row r="2870" spans="1:67" s="24" customFormat="1" ht="15" customHeight="1" x14ac:dyDescent="0.25">
      <c r="A2870" s="288" t="s">
        <v>2690</v>
      </c>
      <c r="B2870" s="241" t="str">
        <f>HYPERLINK(CONCATENATE($AT$3,BK2870,$AU$3),$AV$3)</f>
        <v>S</v>
      </c>
      <c r="C2870" s="242" t="str">
        <f>HYPERLINK(CONCATENATE($AT$4,BK2870,$AU$4,BL2870),$AV$4)</f>
        <v>A</v>
      </c>
      <c r="D2870" s="243" t="s">
        <v>5187</v>
      </c>
      <c r="E2870" s="244" t="s">
        <v>5183</v>
      </c>
      <c r="F2870" s="269" t="s">
        <v>5180</v>
      </c>
      <c r="G2870" s="276">
        <v>35</v>
      </c>
      <c r="H2870" s="283">
        <v>4250</v>
      </c>
      <c r="I2870" s="246">
        <v>45</v>
      </c>
      <c r="J2870" s="246">
        <v>3</v>
      </c>
      <c r="K2870" s="247" t="s">
        <v>6368</v>
      </c>
      <c r="L2870" s="248">
        <v>63808</v>
      </c>
      <c r="M2870" s="249">
        <f>15*(LEFT(TEXT($L2870,"000000"),2)+(MID(TEXT($L2870,"000000"),3,2)/60)+(RIGHT(TEXT($L2870,"000000"),2)/3600))</f>
        <v>99.533333333333331</v>
      </c>
      <c r="N2870" s="250">
        <v>12512</v>
      </c>
      <c r="O2870" s="251">
        <f>IF($N2870&gt;0,(LEFT(TEXT($N2870,"000000"),2)+(MID(TEXT($N2870,"000000"),3,2)/60)+(RIGHT(TEXT($N2870,"000000"),2)/3600)),-(MID(TEXT($N2870,"000000"),2,2)+(MID(TEXT($N2870,"000000"),4,2)/60)+(RIGHT(TEXT($N2870,"000000"),2)/3600)))</f>
        <v>1.4200000000000002</v>
      </c>
      <c r="P2870" s="252" t="s">
        <v>47</v>
      </c>
      <c r="Q2870" s="253"/>
      <c r="R2870" s="277" t="s">
        <v>3293</v>
      </c>
      <c r="S2870" s="272" t="s">
        <v>3293</v>
      </c>
      <c r="T2870" s="273"/>
      <c r="U2870" s="274"/>
      <c r="V2870" s="280"/>
      <c r="W2870" s="244"/>
      <c r="X2870" s="244"/>
      <c r="Y2870" s="362"/>
      <c r="Z2870" s="257">
        <f>altaz(J2000_Bas,$O2870,$M2870,DecLat,DecLong,1)</f>
        <v>-57.001454860503415</v>
      </c>
      <c r="AA2870" s="257">
        <f>altaz((J2000_Bas+(2*0.04167)),$O2870,$M2870,DecLat,DecLong,1)</f>
        <v>-42.499652568947766</v>
      </c>
      <c r="AB2870" s="257">
        <f>altaz((J2000_Bas+(4*0.04167)),$O2870,$M2870,DecLat,DecLong,1)</f>
        <v>-19.088457205296901</v>
      </c>
      <c r="AC2870" s="257">
        <f>altaz((J2000_Bas+(6*0.04167)),$O2870,$M2870,DecLat,DecLong,1)</f>
        <v>6.4928586204024681</v>
      </c>
      <c r="AD2870" s="258">
        <f>1+ transit((J2000_Bas-1),$O2870,$M2870,DecLat,DecLong)/360 + (GMTOffset/24) + (IF(DST="Y", 1, 0)/24)</f>
        <v>1.2693814144630413</v>
      </c>
      <c r="AE2870" s="259">
        <f>DATE(2001,9,21)+(M2870/360)*365 - (360*((DecLong/360)- (GMTOffset/24) ))</f>
        <v>37260.91574074074</v>
      </c>
      <c r="AF2870" s="260">
        <f>IF(DecLat&gt;0,IF((90 - (DecLat-O2870))&gt;90, (90 - (O2870-DecLat)), (90 - (DecLat-O2870))),IF((90 + (DecLat-O2870))&gt;90, (90 + (O2870-DecLat)), (90 + (DecLat-O2870))))</f>
        <v>60.42</v>
      </c>
      <c r="AG2870" s="257">
        <f>angularseperation(MoonRA,MoonDec,$M2870,$O2870)</f>
        <v>141.24491179184861</v>
      </c>
      <c r="AH2870" s="261">
        <f ca="1">MIN(100,IF($O$5&gt;80,0+30*($AG2870/100),IF($O$5&gt;70,0+50*($AG2870/100),IF($O$5&gt;60,5+50*($AG2870/100),IF($O$5&gt;50,10+60*($AG2870/100),IF($O$5&gt;40,15+70*($AG2870/100),IF($O$5&gt;30,20+70*($AG2870/100),IF($O$5&gt;20,40+55*($AG2870/100),(80+(20-$O$5)+30*($AG2870/100))))))))))</f>
        <v>100</v>
      </c>
      <c r="AI2870" s="263"/>
      <c r="AJ2870" s="263"/>
      <c r="AK2870" s="263"/>
      <c r="AL2870" s="263"/>
      <c r="AM2870" s="264"/>
      <c r="AN2870" s="263"/>
      <c r="AO2870" s="263"/>
      <c r="AP2870" s="265"/>
      <c r="AQ2870" s="265"/>
      <c r="AR2870" s="285"/>
      <c r="AS2870" s="263"/>
      <c r="AT2870" s="263"/>
      <c r="AU2870" s="263"/>
      <c r="AV2870" s="264"/>
      <c r="AW2870" s="263"/>
      <c r="AX2870" s="263"/>
      <c r="AY2870" s="263">
        <v>978</v>
      </c>
      <c r="AZ2870" s="263"/>
      <c r="BA2870" s="263"/>
      <c r="BB2870" s="263">
        <v>282</v>
      </c>
      <c r="BC2870" s="263"/>
      <c r="BD2870" s="264"/>
      <c r="BE2870" s="263"/>
      <c r="BF2870" s="263"/>
      <c r="BG2870" s="263"/>
      <c r="BH2870" s="263"/>
      <c r="BI2870" s="263">
        <v>46</v>
      </c>
      <c r="BJ2870" s="404">
        <f>altaz(J2000_Bas,$O2870,$M2870,DecLat,DecLong,2)</f>
        <v>11.935875237279967</v>
      </c>
      <c r="BK2870" s="378" t="s">
        <v>2690</v>
      </c>
      <c r="BL2870" s="379">
        <f>IF((2*G2870)/60&lt;0.2,0.2,(2*G2870)/60)</f>
        <v>1.1666666666666667</v>
      </c>
      <c r="BM2870" s="380">
        <f>MOD((50000+AD2870-$B$3+(0/24)),1)</f>
        <v>0.48474834416992962</v>
      </c>
      <c r="BN2870" s="381"/>
      <c r="BO2870" s="382">
        <v>2861</v>
      </c>
    </row>
    <row r="2871" spans="1:67" s="24" customFormat="1" ht="15" customHeight="1" x14ac:dyDescent="0.25">
      <c r="A2871" s="288" t="s">
        <v>2691</v>
      </c>
      <c r="B2871" s="241" t="str">
        <f>HYPERLINK(CONCATENATE($AT$3,BK2871,$AU$3),$AV$3)</f>
        <v>S</v>
      </c>
      <c r="C2871" s="242" t="str">
        <f>HYPERLINK(CONCATENATE($AT$4,BK2871,$AU$4,BL2871),$AV$4)</f>
        <v>A</v>
      </c>
      <c r="D2871" s="243" t="s">
        <v>5187</v>
      </c>
      <c r="E2871" s="244" t="s">
        <v>5183</v>
      </c>
      <c r="F2871" s="269" t="s">
        <v>5180</v>
      </c>
      <c r="G2871" s="273">
        <v>9</v>
      </c>
      <c r="H2871" s="283">
        <v>26000</v>
      </c>
      <c r="I2871" s="246">
        <v>68</v>
      </c>
      <c r="J2871" s="246">
        <v>1</v>
      </c>
      <c r="K2871" s="247" t="s">
        <v>6369</v>
      </c>
      <c r="L2871" s="248">
        <v>63808</v>
      </c>
      <c r="M2871" s="249">
        <f>15*(LEFT(TEXT($L2871,"000000"),2)+(MID(TEXT($L2871,"000000"),3,2)/60)+(RIGHT(TEXT($L2871,"000000"),2)/3600))</f>
        <v>99.533333333333331</v>
      </c>
      <c r="N2871" s="286">
        <v>4412</v>
      </c>
      <c r="O2871" s="251">
        <f>IF($N2871&gt;0,(LEFT(TEXT($N2871,"000000"),2)+(MID(TEXT($N2871,"000000"),3,2)/60)+(RIGHT(TEXT($N2871,"000000"),2)/3600)),-(MID(TEXT($N2871,"000000"),2,2)+(MID(TEXT($N2871,"000000"),4,2)/60)+(RIGHT(TEXT($N2871,"000000"),2)/3600)))</f>
        <v>0.73666666666666658</v>
      </c>
      <c r="P2871" s="252" t="s">
        <v>47</v>
      </c>
      <c r="Q2871" s="253"/>
      <c r="R2871" s="277" t="s">
        <v>3293</v>
      </c>
      <c r="S2871" s="272" t="s">
        <v>3293</v>
      </c>
      <c r="T2871" s="273"/>
      <c r="U2871" s="274"/>
      <c r="V2871" s="280"/>
      <c r="W2871" s="244"/>
      <c r="X2871" s="244"/>
      <c r="Y2871" s="362"/>
      <c r="Z2871" s="257">
        <f>altaz(J2000_Bas,$O2871,$M2871,DecLat,DecLong,1)</f>
        <v>-57.67375673635059</v>
      </c>
      <c r="AA2871" s="257">
        <f>altaz((J2000_Bas+(2*0.04167)),$O2871,$M2871,DecLat,DecLong,1)</f>
        <v>-42.990862539774838</v>
      </c>
      <c r="AB2871" s="257">
        <f>altaz((J2000_Bas+(4*0.04167)),$O2871,$M2871,DecLat,DecLong,1)</f>
        <v>-19.465867517213781</v>
      </c>
      <c r="AC2871" s="257">
        <f>altaz((J2000_Bas+(6*0.04167)),$O2871,$M2871,DecLat,DecLong,1)</f>
        <v>6.1401289329258546</v>
      </c>
      <c r="AD2871" s="258">
        <f>1+ transit((J2000_Bas-1),$O2871,$M2871,DecLat,DecLong)/360 + (GMTOffset/24) + (IF(DST="Y", 1, 0)/24)</f>
        <v>1.2693814144630413</v>
      </c>
      <c r="AE2871" s="259">
        <f>DATE(2001,9,21)+(M2871/360)*365 - (360*((DecLong/360)- (GMTOffset/24) ))</f>
        <v>37260.91574074074</v>
      </c>
      <c r="AF2871" s="260">
        <f>IF(DecLat&gt;0,IF((90 - (DecLat-O2871))&gt;90, (90 - (O2871-DecLat)), (90 - (DecLat-O2871))),IF((90 + (DecLat-O2871))&gt;90, (90 + (O2871-DecLat)), (90 + (DecLat-O2871))))</f>
        <v>59.736666666666665</v>
      </c>
      <c r="AG2871" s="257">
        <f>angularseperation(MoonRA,MoonDec,$M2871,$O2871)</f>
        <v>140.76627803623654</v>
      </c>
      <c r="AH2871" s="261">
        <f ca="1">MIN(100,IF($O$5&gt;80,0+30*($AG2871/100),IF($O$5&gt;70,0+50*($AG2871/100),IF($O$5&gt;60,5+50*($AG2871/100),IF($O$5&gt;50,10+60*($AG2871/100),IF($O$5&gt;40,15+70*($AG2871/100),IF($O$5&gt;30,20+70*($AG2871/100),IF($O$5&gt;20,40+55*($AG2871/100),(80+(20-$O$5)+30*($AG2871/100))))))))))</f>
        <v>100</v>
      </c>
      <c r="AI2871" s="263"/>
      <c r="AJ2871" s="263"/>
      <c r="AK2871" s="263"/>
      <c r="AL2871" s="263"/>
      <c r="AM2871" s="264"/>
      <c r="AN2871" s="263"/>
      <c r="AO2871" s="263"/>
      <c r="AP2871" s="265"/>
      <c r="AQ2871" s="265"/>
      <c r="AR2871" s="285"/>
      <c r="AS2871" s="263"/>
      <c r="AT2871" s="263"/>
      <c r="AU2871" s="263"/>
      <c r="AV2871" s="264"/>
      <c r="AW2871" s="263"/>
      <c r="AX2871" s="263"/>
      <c r="AY2871" s="263"/>
      <c r="AZ2871" s="263"/>
      <c r="BA2871" s="263"/>
      <c r="BB2871" s="263">
        <v>283</v>
      </c>
      <c r="BC2871" s="263"/>
      <c r="BD2871" s="264"/>
      <c r="BE2871" s="263"/>
      <c r="BF2871" s="263"/>
      <c r="BG2871" s="263"/>
      <c r="BH2871" s="263"/>
      <c r="BI2871" s="263"/>
      <c r="BJ2871" s="404">
        <f>altaz(J2000_Bas,$O2871,$M2871,DecLat,DecLong,2)</f>
        <v>12.162478459727327</v>
      </c>
      <c r="BK2871" s="378" t="s">
        <v>2691</v>
      </c>
      <c r="BL2871" s="379">
        <f>IF((2*G2871)/60&lt;0.2,0.2,(2*G2871)/60)</f>
        <v>0.3</v>
      </c>
      <c r="BM2871" s="380">
        <f>MOD((50000+AD2871-$B$3+(0/24)),1)</f>
        <v>0.48474834416992962</v>
      </c>
      <c r="BN2871" s="381"/>
      <c r="BO2871" s="382">
        <v>2862</v>
      </c>
    </row>
    <row r="2872" spans="1:67" s="24" customFormat="1" ht="15" customHeight="1" x14ac:dyDescent="0.25">
      <c r="A2872" s="288" t="s">
        <v>2692</v>
      </c>
      <c r="B2872" s="241" t="str">
        <f>HYPERLINK(CONCATENATE($AT$3,BK2872,$AU$3),$AV$3)</f>
        <v>S</v>
      </c>
      <c r="C2872" s="242" t="str">
        <f>HYPERLINK(CONCATENATE($AT$4,BK2872,$AU$4,BL2872),$AV$4)</f>
        <v>A</v>
      </c>
      <c r="D2872" s="243" t="s">
        <v>5187</v>
      </c>
      <c r="E2872" s="244" t="s">
        <v>5183</v>
      </c>
      <c r="F2872" s="269" t="s">
        <v>5180</v>
      </c>
      <c r="G2872" s="276">
        <v>30</v>
      </c>
      <c r="H2872" s="283">
        <v>18000</v>
      </c>
      <c r="I2872" s="246">
        <v>150</v>
      </c>
      <c r="J2872" s="246">
        <v>3</v>
      </c>
      <c r="K2872" s="247" t="s">
        <v>9356</v>
      </c>
      <c r="L2872" s="248">
        <v>64528</v>
      </c>
      <c r="M2872" s="249">
        <f>15*(LEFT(TEXT($L2872,"000000"),2)+(MID(TEXT($L2872,"000000"),3,2)/60)+(RIGHT(TEXT($L2872,"000000"),2)/3600))</f>
        <v>101.36666666666667</v>
      </c>
      <c r="N2872" s="250">
        <v>1748</v>
      </c>
      <c r="O2872" s="251">
        <f>IF($N2872&gt;0,(LEFT(TEXT($N2872,"000000"),2)+(MID(TEXT($N2872,"000000"),3,2)/60)+(RIGHT(TEXT($N2872,"000000"),2)/3600)),-(MID(TEXT($N2872,"000000"),2,2)+(MID(TEXT($N2872,"000000"),4,2)/60)+(RIGHT(TEXT($N2872,"000000"),2)/3600)))</f>
        <v>0.29666666666666663</v>
      </c>
      <c r="P2872" s="252" t="s">
        <v>47</v>
      </c>
      <c r="Q2872" s="253"/>
      <c r="R2872" s="247" t="s">
        <v>3293</v>
      </c>
      <c r="S2872" s="272" t="s">
        <v>3293</v>
      </c>
      <c r="T2872" s="273"/>
      <c r="U2872" s="274"/>
      <c r="V2872" s="280"/>
      <c r="W2872" s="244"/>
      <c r="X2872" s="244"/>
      <c r="Y2872" s="362"/>
      <c r="Z2872" s="257">
        <f>altaz(J2000_Bas,$O2872,$M2872,DecLat,DecLong,1)</f>
        <v>-58.395386202318669</v>
      </c>
      <c r="AA2872" s="257">
        <f>altaz((J2000_Bas+(2*0.04167)),$O2872,$M2872,DecLat,DecLong,1)</f>
        <v>-44.576754205842228</v>
      </c>
      <c r="AB2872" s="257">
        <f>altaz((J2000_Bas+(4*0.04167)),$O2872,$M2872,DecLat,DecLong,1)</f>
        <v>-21.236848793709523</v>
      </c>
      <c r="AC2872" s="257">
        <f>altaz((J2000_Bas+(6*0.04167)),$O2872,$M2872,DecLat,DecLong,1)</f>
        <v>4.3430083142794134</v>
      </c>
      <c r="AD2872" s="258">
        <f>1+ transit((J2000_Bas-1),$O2872,$M2872,DecLat,DecLong)/360 + (GMTOffset/24) + (IF(DST="Y", 1, 0)/24)</f>
        <v>1.2744740065463747</v>
      </c>
      <c r="AE2872" s="259">
        <f>DATE(2001,9,21)+(M2872/360)*365 - (360*((DecLong/360)- (GMTOffset/24) ))</f>
        <v>37262.774537037039</v>
      </c>
      <c r="AF2872" s="260">
        <f>IF(DecLat&gt;0,IF((90 - (DecLat-O2872))&gt;90, (90 - (O2872-DecLat)), (90 - (DecLat-O2872))),IF((90 + (DecLat-O2872))&gt;90, (90 + (O2872-DecLat)), (90 + (DecLat-O2872))))</f>
        <v>59.296666666666667</v>
      </c>
      <c r="AG2872" s="257">
        <f>angularseperation(MoonRA,MoonDec,$M2872,$O2872)</f>
        <v>139.14511091640833</v>
      </c>
      <c r="AH2872" s="261">
        <f ca="1">MIN(100,IF($O$5&gt;80,0+30*($AG2872/100),IF($O$5&gt;70,0+50*($AG2872/100),IF($O$5&gt;60,5+50*($AG2872/100),IF($O$5&gt;50,10+60*($AG2872/100),IF($O$5&gt;40,15+70*($AG2872/100),IF($O$5&gt;30,20+70*($AG2872/100),IF($O$5&gt;20,40+55*($AG2872/100),(80+(20-$O$5)+30*($AG2872/100))))))))))</f>
        <v>100</v>
      </c>
      <c r="AI2872" s="262"/>
      <c r="AJ2872" s="262"/>
      <c r="AK2872" s="262"/>
      <c r="AL2872" s="263"/>
      <c r="AM2872" s="264"/>
      <c r="AN2872" s="263"/>
      <c r="AO2872" s="263"/>
      <c r="AP2872" s="265"/>
      <c r="AQ2872" s="266"/>
      <c r="AR2872" s="267"/>
      <c r="AS2872" s="263"/>
      <c r="AT2872" s="263"/>
      <c r="AU2872" s="263"/>
      <c r="AV2872" s="264"/>
      <c r="AW2872" s="263"/>
      <c r="AX2872" s="263"/>
      <c r="AY2872" s="263">
        <v>983</v>
      </c>
      <c r="AZ2872" s="263"/>
      <c r="BA2872" s="263"/>
      <c r="BB2872" s="263">
        <v>284</v>
      </c>
      <c r="BC2872" s="263"/>
      <c r="BD2872" s="264"/>
      <c r="BE2872" s="263"/>
      <c r="BF2872" s="263"/>
      <c r="BG2872" s="263"/>
      <c r="BH2872" s="263"/>
      <c r="BI2872" s="263">
        <v>48</v>
      </c>
      <c r="BJ2872" s="404">
        <f>altaz(J2000_Bas,$O2872,$M2872,DecLat,DecLong,2)</f>
        <v>8.8719760765657281</v>
      </c>
      <c r="BK2872" s="378" t="s">
        <v>2692</v>
      </c>
      <c r="BL2872" s="379">
        <f>IF((2*G2872)/60&lt;0.2,0.2,(2*G2872)/60)</f>
        <v>1</v>
      </c>
      <c r="BM2872" s="380">
        <f>MOD((50000+AD2872-$B$3+(0/24)),1)</f>
        <v>0.48984093625040259</v>
      </c>
      <c r="BN2872" s="381"/>
      <c r="BO2872" s="382">
        <v>2863</v>
      </c>
    </row>
    <row r="2873" spans="1:67" s="24" customFormat="1" ht="15" customHeight="1" x14ac:dyDescent="0.25">
      <c r="A2873" s="288" t="s">
        <v>2693</v>
      </c>
      <c r="B2873" s="241" t="str">
        <f>HYPERLINK(CONCATENATE($AT$3,BK2873,$AU$3),$AV$3)</f>
        <v>S</v>
      </c>
      <c r="C2873" s="242" t="str">
        <f>HYPERLINK(CONCATENATE($AT$4,BK2873,$AU$4,BL2873),$AV$4)</f>
        <v>A</v>
      </c>
      <c r="D2873" s="243" t="s">
        <v>5187</v>
      </c>
      <c r="E2873" s="244" t="s">
        <v>5183</v>
      </c>
      <c r="F2873" s="269" t="s">
        <v>5180</v>
      </c>
      <c r="G2873" s="273">
        <v>5</v>
      </c>
      <c r="H2873" s="283">
        <v>25000</v>
      </c>
      <c r="I2873" s="246">
        <v>36</v>
      </c>
      <c r="J2873" s="246">
        <v>2</v>
      </c>
      <c r="K2873" s="247" t="s">
        <v>6370</v>
      </c>
      <c r="L2873" s="248">
        <v>65500</v>
      </c>
      <c r="M2873" s="249">
        <f>15*(LEFT(TEXT($L2873,"000000"),2)+(MID(TEXT($L2873,"000000"),3,2)/60)+(RIGHT(TEXT($L2873,"000000"),2)/3600))</f>
        <v>103.75</v>
      </c>
      <c r="N2873" s="286">
        <v>-3200</v>
      </c>
      <c r="O2873" s="251">
        <f>IF($N2873&gt;0,(LEFT(TEXT($N2873,"000000"),2)+(MID(TEXT($N2873,"000000"),3,2)/60)+(RIGHT(TEXT($N2873,"000000"),2)/3600)),-(MID(TEXT($N2873,"000000"),2,2)+(MID(TEXT($N2873,"000000"),4,2)/60)+(RIGHT(TEXT($N2873,"000000"),2)/3600)))</f>
        <v>-0.53333333333333333</v>
      </c>
      <c r="P2873" s="252" t="s">
        <v>47</v>
      </c>
      <c r="Q2873" s="253"/>
      <c r="R2873" s="277" t="s">
        <v>3293</v>
      </c>
      <c r="S2873" s="272" t="s">
        <v>3293</v>
      </c>
      <c r="T2873" s="273"/>
      <c r="U2873" s="274"/>
      <c r="V2873" s="280"/>
      <c r="W2873" s="244"/>
      <c r="X2873" s="244"/>
      <c r="Y2873" s="362"/>
      <c r="Z2873" s="257">
        <f>altaz(J2000_Bas,$O2873,$M2873,DecLat,DecLong,1)</f>
        <v>-59.458568766191618</v>
      </c>
      <c r="AA2873" s="257">
        <f>altaz((J2000_Bas+(2*0.04167)),$O2873,$M2873,DecLat,DecLong,1)</f>
        <v>-46.802312061734533</v>
      </c>
      <c r="AB2873" s="257">
        <f>altaz((J2000_Bas+(4*0.04167)),$O2873,$M2873,DecLat,DecLong,1)</f>
        <v>-23.678942462025656</v>
      </c>
      <c r="AC2873" s="257">
        <f>altaz((J2000_Bas+(6*0.04167)),$O2873,$M2873,DecLat,DecLong,1)</f>
        <v>1.87315543648143</v>
      </c>
      <c r="AD2873" s="258">
        <f>1+ transit((J2000_Bas-1),$O2873,$M2873,DecLat,DecLong)/360 + (GMTOffset/24) + (IF(DST="Y", 1, 0)/24)</f>
        <v>1.281094376254708</v>
      </c>
      <c r="AE2873" s="259">
        <f>DATE(2001,9,21)+(M2873/360)*365 - (360*((DecLong/360)- (GMTOffset/24) ))</f>
        <v>37265.190972222219</v>
      </c>
      <c r="AF2873" s="260">
        <f>IF(DecLat&gt;0,IF((90 - (DecLat-O2873))&gt;90, (90 - (O2873-DecLat)), (90 - (DecLat-O2873))),IF((90 + (DecLat-O2873))&gt;90, (90 + (O2873-DecLat)), (90 + (DecLat-O2873))))</f>
        <v>58.466666666666669</v>
      </c>
      <c r="AG2873" s="257">
        <f>angularseperation(MoonRA,MoonDec,$M2873,$O2873)</f>
        <v>136.83702759021156</v>
      </c>
      <c r="AH2873" s="261">
        <f ca="1">MIN(100,IF($O$5&gt;80,0+30*($AG2873/100),IF($O$5&gt;70,0+50*($AG2873/100),IF($O$5&gt;60,5+50*($AG2873/100),IF($O$5&gt;50,10+60*($AG2873/100),IF($O$5&gt;40,15+70*($AG2873/100),IF($O$5&gt;30,20+70*($AG2873/100),IF($O$5&gt;20,40+55*($AG2873/100),(80+(20-$O$5)+30*($AG2873/100))))))))))</f>
        <v>100</v>
      </c>
      <c r="AI2873" s="263"/>
      <c r="AJ2873" s="263"/>
      <c r="AK2873" s="263"/>
      <c r="AL2873" s="263"/>
      <c r="AM2873" s="264"/>
      <c r="AN2873" s="263"/>
      <c r="AO2873" s="263"/>
      <c r="AP2873" s="265"/>
      <c r="AQ2873" s="265"/>
      <c r="AR2873" s="285"/>
      <c r="AS2873" s="263"/>
      <c r="AT2873" s="263"/>
      <c r="AU2873" s="263"/>
      <c r="AV2873" s="264"/>
      <c r="AW2873" s="263"/>
      <c r="AX2873" s="263"/>
      <c r="AY2873" s="263"/>
      <c r="AZ2873" s="263"/>
      <c r="BA2873" s="263"/>
      <c r="BB2873" s="263">
        <v>285</v>
      </c>
      <c r="BC2873" s="263"/>
      <c r="BD2873" s="264"/>
      <c r="BE2873" s="263"/>
      <c r="BF2873" s="263"/>
      <c r="BG2873" s="263"/>
      <c r="BH2873" s="263"/>
      <c r="BI2873" s="263"/>
      <c r="BJ2873" s="404">
        <f>altaz(J2000_Bas,$O2873,$M2873,DecLat,DecLong,2)</f>
        <v>4.4359941637176927</v>
      </c>
      <c r="BK2873" s="378" t="s">
        <v>2693</v>
      </c>
      <c r="BL2873" s="379">
        <f>IF((2*G2873)/60&lt;0.2,0.2,(2*G2873)/60)</f>
        <v>0.2</v>
      </c>
      <c r="BM2873" s="380">
        <f>MOD((50000+AD2873-$B$3+(0/24)),1)</f>
        <v>0.49646130595647264</v>
      </c>
      <c r="BN2873" s="381"/>
      <c r="BO2873" s="382">
        <v>2864</v>
      </c>
    </row>
    <row r="2874" spans="1:67" s="24" customFormat="1" ht="15" customHeight="1" x14ac:dyDescent="0.25">
      <c r="A2874" s="288" t="s">
        <v>2694</v>
      </c>
      <c r="B2874" s="241" t="str">
        <f>HYPERLINK(CONCATENATE($AT$3,BK2874,$AU$3),$AV$3)</f>
        <v>S</v>
      </c>
      <c r="C2874" s="242" t="str">
        <f>HYPERLINK(CONCATENATE($AT$4,BK2874,$AU$4,BL2874),$AV$4)</f>
        <v>A</v>
      </c>
      <c r="D2874" s="243" t="s">
        <v>5187</v>
      </c>
      <c r="E2874" s="244" t="s">
        <v>5183</v>
      </c>
      <c r="F2874" s="269" t="s">
        <v>5180</v>
      </c>
      <c r="G2874" s="273">
        <v>7</v>
      </c>
      <c r="H2874" s="283">
        <v>22000</v>
      </c>
      <c r="I2874" s="246">
        <v>44</v>
      </c>
      <c r="J2874" s="246">
        <v>1</v>
      </c>
      <c r="K2874" s="277" t="s">
        <v>6371</v>
      </c>
      <c r="L2874" s="248">
        <v>65400</v>
      </c>
      <c r="M2874" s="249">
        <f>15*(LEFT(TEXT($L2874,"000000"),2)+(MID(TEXT($L2874,"000000"),3,2)/60)+(RIGHT(TEXT($L2874,"000000"),2)/3600))</f>
        <v>103.5</v>
      </c>
      <c r="N2874" s="286">
        <v>-43100</v>
      </c>
      <c r="O2874" s="251">
        <f>IF($N2874&gt;0,(LEFT(TEXT($N2874,"000000"),2)+(MID(TEXT($N2874,"000000"),3,2)/60)+(RIGHT(TEXT($N2874,"000000"),2)/3600)),-(MID(TEXT($N2874,"000000"),2,2)+(MID(TEXT($N2874,"000000"),4,2)/60)+(RIGHT(TEXT($N2874,"000000"),2)/3600)))</f>
        <v>-4.5166666666666666</v>
      </c>
      <c r="P2874" s="252" t="s">
        <v>47</v>
      </c>
      <c r="Q2874" s="253"/>
      <c r="R2874" s="277" t="s">
        <v>3293</v>
      </c>
      <c r="S2874" s="272" t="s">
        <v>3293</v>
      </c>
      <c r="T2874" s="273"/>
      <c r="U2874" s="274"/>
      <c r="V2874" s="280"/>
      <c r="W2874" s="244"/>
      <c r="X2874" s="244"/>
      <c r="Y2874" s="362"/>
      <c r="Z2874" s="257">
        <f>altaz(J2000_Bas,$O2874,$M2874,DecLat,DecLong,1)</f>
        <v>-63.412142375087662</v>
      </c>
      <c r="AA2874" s="257">
        <f>altaz((J2000_Bas+(2*0.04167)),$O2874,$M2874,DecLat,DecLong,1)</f>
        <v>-49.511995335187407</v>
      </c>
      <c r="AB2874" s="257">
        <f>altaz((J2000_Bas+(4*0.04167)),$O2874,$M2874,DecLat,DecLong,1)</f>
        <v>-25.648697067443937</v>
      </c>
      <c r="AC2874" s="257">
        <f>altaz((J2000_Bas+(6*0.04167)),$O2874,$M2874,DecLat,DecLong,1)</f>
        <v>3.0482608551287902E-2</v>
      </c>
      <c r="AD2874" s="258">
        <f>1+ transit((J2000_Bas-1),$O2874,$M2874,DecLat,DecLong)/360 + (GMTOffset/24) + (IF(DST="Y", 1, 0)/24)</f>
        <v>1.2803999318797079</v>
      </c>
      <c r="AE2874" s="259">
        <f>DATE(2001,9,21)+(M2874/360)*365 - (360*((DecLong/360)- (GMTOffset/24) ))</f>
        <v>37264.9375</v>
      </c>
      <c r="AF2874" s="260">
        <f>IF(DecLat&gt;0,IF((90 - (DecLat-O2874))&gt;90, (90 - (O2874-DecLat)), (90 - (DecLat-O2874))),IF((90 + (DecLat-O2874))&gt;90, (90 + (O2874-DecLat)), (90 + (DecLat-O2874))))</f>
        <v>54.483333333333334</v>
      </c>
      <c r="AG2874" s="257">
        <f>angularseperation(MoonRA,MoonDec,$M2874,$O2874)</f>
        <v>134.24556319734936</v>
      </c>
      <c r="AH2874" s="261">
        <f ca="1">MIN(100,IF($O$5&gt;80,0+30*($AG2874/100),IF($O$5&gt;70,0+50*($AG2874/100),IF($O$5&gt;60,5+50*($AG2874/100),IF($O$5&gt;50,10+60*($AG2874/100),IF($O$5&gt;40,15+70*($AG2874/100),IF($O$5&gt;30,20+70*($AG2874/100),IF($O$5&gt;20,40+55*($AG2874/100),(80+(20-$O$5)+30*($AG2874/100))))))))))</f>
        <v>100</v>
      </c>
      <c r="AI2874" s="263"/>
      <c r="AJ2874" s="263"/>
      <c r="AK2874" s="263"/>
      <c r="AL2874" s="263"/>
      <c r="AM2874" s="264"/>
      <c r="AN2874" s="263"/>
      <c r="AO2874" s="263"/>
      <c r="AP2874" s="265"/>
      <c r="AQ2874" s="265"/>
      <c r="AR2874" s="285"/>
      <c r="AS2874" s="263"/>
      <c r="AT2874" s="263"/>
      <c r="AU2874" s="263"/>
      <c r="AV2874" s="264"/>
      <c r="AW2874" s="263"/>
      <c r="AX2874" s="263"/>
      <c r="AY2874" s="263"/>
      <c r="AZ2874" s="263"/>
      <c r="BA2874" s="263"/>
      <c r="BB2874" s="263">
        <v>286</v>
      </c>
      <c r="BC2874" s="263"/>
      <c r="BD2874" s="264"/>
      <c r="BE2874" s="263"/>
      <c r="BF2874" s="263"/>
      <c r="BG2874" s="263"/>
      <c r="BH2874" s="263"/>
      <c r="BI2874" s="263"/>
      <c r="BJ2874" s="404">
        <f>altaz(J2000_Bas,$O2874,$M2874,DecLat,DecLong,2)</f>
        <v>5.5812784757211711</v>
      </c>
      <c r="BK2874" s="378" t="s">
        <v>2694</v>
      </c>
      <c r="BL2874" s="379">
        <f>IF((2*G2874)/60&lt;0.2,0.2,(2*G2874)/60)</f>
        <v>0.23333333333333334</v>
      </c>
      <c r="BM2874" s="380">
        <f>MOD((50000+AD2874-$B$3+(0/24)),1)</f>
        <v>0.49576686158252414</v>
      </c>
      <c r="BN2874" s="381"/>
      <c r="BO2874" s="382">
        <v>2865</v>
      </c>
    </row>
    <row r="2875" spans="1:67" s="24" customFormat="1" ht="15" customHeight="1" x14ac:dyDescent="0.25">
      <c r="A2875" s="288" t="s">
        <v>2695</v>
      </c>
      <c r="B2875" s="241" t="str">
        <f>HYPERLINK(CONCATENATE($AT$3,BK2875,$AU$3),$AV$3)</f>
        <v>S</v>
      </c>
      <c r="C2875" s="242" t="str">
        <f>HYPERLINK(CONCATENATE($AT$4,BK2875,$AU$4,BL2875),$AV$4)</f>
        <v>A</v>
      </c>
      <c r="D2875" s="243" t="s">
        <v>5187</v>
      </c>
      <c r="E2875" s="244" t="s">
        <v>5183</v>
      </c>
      <c r="F2875" s="269" t="s">
        <v>5180</v>
      </c>
      <c r="G2875" s="276">
        <v>16</v>
      </c>
      <c r="H2875" s="283">
        <v>7000</v>
      </c>
      <c r="I2875" s="246">
        <v>34</v>
      </c>
      <c r="J2875" s="246">
        <v>2</v>
      </c>
      <c r="K2875" s="277" t="s">
        <v>6372</v>
      </c>
      <c r="L2875" s="248">
        <v>65900</v>
      </c>
      <c r="M2875" s="249">
        <f>15*(LEFT(TEXT($L2875,"000000"),2)+(MID(TEXT($L2875,"000000"),3,2)/60)+(RIGHT(TEXT($L2875,"000000"),2)/3600))</f>
        <v>104.75</v>
      </c>
      <c r="N2875" s="286">
        <v>-44600</v>
      </c>
      <c r="O2875" s="251">
        <f>IF($N2875&gt;0,(LEFT(TEXT($N2875,"000000"),2)+(MID(TEXT($N2875,"000000"),3,2)/60)+(RIGHT(TEXT($N2875,"000000"),2)/3600)),-(MID(TEXT($N2875,"000000"),2,2)+(MID(TEXT($N2875,"000000"),4,2)/60)+(RIGHT(TEXT($N2875,"000000"),2)/3600)))</f>
        <v>-4.7666666666666666</v>
      </c>
      <c r="P2875" s="252" t="s">
        <v>47</v>
      </c>
      <c r="Q2875" s="253"/>
      <c r="R2875" s="277" t="s">
        <v>3293</v>
      </c>
      <c r="S2875" s="272" t="s">
        <v>3293</v>
      </c>
      <c r="T2875" s="273"/>
      <c r="U2875" s="274"/>
      <c r="V2875" s="280"/>
      <c r="W2875" s="244"/>
      <c r="X2875" s="244"/>
      <c r="Y2875" s="362"/>
      <c r="Z2875" s="257">
        <f>altaz(J2000_Bas,$O2875,$M2875,DecLat,DecLong,1)</f>
        <v>-63.740219350493646</v>
      </c>
      <c r="AA2875" s="257">
        <f>altaz((J2000_Bas+(2*0.04167)),$O2875,$M2875,DecLat,DecLong,1)</f>
        <v>-50.569145342443399</v>
      </c>
      <c r="AB2875" s="257">
        <f>altaz((J2000_Bas+(4*0.04167)),$O2875,$M2875,DecLat,DecLong,1)</f>
        <v>-26.834459251292188</v>
      </c>
      <c r="AC2875" s="257">
        <f>altaz((J2000_Bas+(6*0.04167)),$O2875,$M2875,DecLat,DecLong,1)</f>
        <v>-1.1657624146437007</v>
      </c>
      <c r="AD2875" s="258">
        <f>1+ transit((J2000_Bas-1),$O2875,$M2875,DecLat,DecLong)/360 + (GMTOffset/24) + (IF(DST="Y", 1, 0)/24)</f>
        <v>1.283872153754708</v>
      </c>
      <c r="AE2875" s="259">
        <f>DATE(2001,9,21)+(M2875/360)*365 - (360*((DecLong/360)- (GMTOffset/24) ))</f>
        <v>37266.204861111109</v>
      </c>
      <c r="AF2875" s="260">
        <f>IF(DecLat&gt;0,IF((90 - (DecLat-O2875))&gt;90, (90 - (O2875-DecLat)), (90 - (DecLat-O2875))),IF((90 + (DecLat-O2875))&gt;90, (90 + (O2875-DecLat)), (90 + (DecLat-O2875))))</f>
        <v>54.233333333333334</v>
      </c>
      <c r="AG2875" s="257">
        <f>angularseperation(MoonRA,MoonDec,$M2875,$O2875)</f>
        <v>133.19039829714748</v>
      </c>
      <c r="AH2875" s="261">
        <f ca="1">MIN(100,IF($O$5&gt;80,0+30*($AG2875/100),IF($O$5&gt;70,0+50*($AG2875/100),IF($O$5&gt;60,5+50*($AG2875/100),IF($O$5&gt;50,10+60*($AG2875/100),IF($O$5&gt;40,15+70*($AG2875/100),IF($O$5&gt;30,20+70*($AG2875/100),IF($O$5&gt;20,40+55*($AG2875/100),(80+(20-$O$5)+30*($AG2875/100))))))))))</f>
        <v>100</v>
      </c>
      <c r="AI2875" s="263"/>
      <c r="AJ2875" s="263"/>
      <c r="AK2875" s="263"/>
      <c r="AL2875" s="263"/>
      <c r="AM2875" s="264"/>
      <c r="AN2875" s="263"/>
      <c r="AO2875" s="263"/>
      <c r="AP2875" s="265"/>
      <c r="AQ2875" s="265"/>
      <c r="AR2875" s="285"/>
      <c r="AS2875" s="263"/>
      <c r="AT2875" s="263"/>
      <c r="AU2875" s="263"/>
      <c r="AV2875" s="264"/>
      <c r="AW2875" s="263"/>
      <c r="AX2875" s="263"/>
      <c r="AY2875" s="263">
        <v>1012</v>
      </c>
      <c r="AZ2875" s="263"/>
      <c r="BA2875" s="263"/>
      <c r="BB2875" s="263">
        <v>287</v>
      </c>
      <c r="BC2875" s="263"/>
      <c r="BD2875" s="264"/>
      <c r="BE2875" s="263"/>
      <c r="BF2875" s="263"/>
      <c r="BG2875" s="263"/>
      <c r="BH2875" s="263"/>
      <c r="BI2875" s="263"/>
      <c r="BJ2875" s="404">
        <f>altaz(J2000_Bas,$O2875,$M2875,DecLat,DecLong,2)</f>
        <v>2.8222923488871605</v>
      </c>
      <c r="BK2875" s="378" t="s">
        <v>2695</v>
      </c>
      <c r="BL2875" s="379">
        <f>IF((2*G2875)/60&lt;0.2,0.2,(2*G2875)/60)</f>
        <v>0.53333333333333333</v>
      </c>
      <c r="BM2875" s="380">
        <f>MOD((50000+AD2875-$B$3+(0/24)),1)</f>
        <v>0.4992390834595426</v>
      </c>
      <c r="BN2875" s="381"/>
      <c r="BO2875" s="382">
        <v>2866</v>
      </c>
    </row>
    <row r="2876" spans="1:67" s="24" customFormat="1" ht="15" customHeight="1" x14ac:dyDescent="0.25">
      <c r="A2876" s="288" t="s">
        <v>2696</v>
      </c>
      <c r="B2876" s="241" t="str">
        <f>HYPERLINK(CONCATENATE($AT$3,BK2876,$AU$3),$AV$3)</f>
        <v>S</v>
      </c>
      <c r="C2876" s="242" t="str">
        <f>HYPERLINK(CONCATENATE($AT$4,BK2876,$AU$4,BL2876),$AV$4)</f>
        <v>A</v>
      </c>
      <c r="D2876" s="243" t="s">
        <v>5187</v>
      </c>
      <c r="E2876" s="244" t="s">
        <v>5183</v>
      </c>
      <c r="F2876" s="269" t="s">
        <v>5180</v>
      </c>
      <c r="G2876" s="273">
        <v>3</v>
      </c>
      <c r="H2876" s="283">
        <v>13500</v>
      </c>
      <c r="I2876" s="246">
        <v>12</v>
      </c>
      <c r="J2876" s="246">
        <v>2</v>
      </c>
      <c r="K2876" s="247" t="s">
        <v>6373</v>
      </c>
      <c r="L2876" s="248">
        <v>70800</v>
      </c>
      <c r="M2876" s="249">
        <f>15*(LEFT(TEXT($L2876,"000000"),2)+(MID(TEXT($L2876,"000000"),3,2)/60)+(RIGHT(TEXT($L2876,"000000"),2)/3600))</f>
        <v>107</v>
      </c>
      <c r="N2876" s="286">
        <v>-41812</v>
      </c>
      <c r="O2876" s="251">
        <f>IF($N2876&gt;0,(LEFT(TEXT($N2876,"000000"),2)+(MID(TEXT($N2876,"000000"),3,2)/60)+(RIGHT(TEXT($N2876,"000000"),2)/3600)),-(MID(TEXT($N2876,"000000"),2,2)+(MID(TEXT($N2876,"000000"),4,2)/60)+(RIGHT(TEXT($N2876,"000000"),2)/3600)))</f>
        <v>-4.3033333333333328</v>
      </c>
      <c r="P2876" s="252" t="s">
        <v>47</v>
      </c>
      <c r="Q2876" s="253"/>
      <c r="R2876" s="277" t="s">
        <v>3716</v>
      </c>
      <c r="S2876" s="272" t="s">
        <v>3293</v>
      </c>
      <c r="T2876" s="273"/>
      <c r="U2876" s="274"/>
      <c r="V2876" s="280"/>
      <c r="W2876" s="244"/>
      <c r="X2876" s="244"/>
      <c r="Y2876" s="362"/>
      <c r="Z2876" s="257">
        <f>altaz(J2000_Bas,$O2876,$M2876,DecLat,DecLong,1)</f>
        <v>-63.286822758576555</v>
      </c>
      <c r="AA2876" s="257">
        <f>altaz((J2000_Bas+(2*0.04167)),$O2876,$M2876,DecLat,DecLong,1)</f>
        <v>-51.775955054790792</v>
      </c>
      <c r="AB2876" s="257">
        <f>altaz((J2000_Bas+(4*0.04167)),$O2876,$M2876,DecLat,DecLong,1)</f>
        <v>-28.468673790132975</v>
      </c>
      <c r="AC2876" s="257">
        <f>altaz((J2000_Bas+(6*0.04167)),$O2876,$M2876,DecLat,DecLong,1)</f>
        <v>-2.8511696042096588</v>
      </c>
      <c r="AD2876" s="258">
        <f>1+ transit((J2000_Bas-1),$O2876,$M2876,DecLat,DecLong)/360 + (GMTOffset/24) + (IF(DST="Y", 1, 0)/24)</f>
        <v>1.290122153129708</v>
      </c>
      <c r="AE2876" s="259">
        <f>DATE(2001,9,21)+(M2876/360)*365 - (360*((DecLong/360)- (GMTOffset/24) ))</f>
        <v>37268.486111111109</v>
      </c>
      <c r="AF2876" s="260">
        <f>IF(DecLat&gt;0,IF((90 - (DecLat-O2876))&gt;90, (90 - (O2876-DecLat)), (90 - (DecLat-O2876))),IF((90 + (DecLat-O2876))&gt;90, (90 + (O2876-DecLat)), (90 + (DecLat-O2876))))</f>
        <v>54.696666666666665</v>
      </c>
      <c r="AG2876" s="257">
        <f>angularseperation(MoonRA,MoonDec,$M2876,$O2876)</f>
        <v>131.89414392932804</v>
      </c>
      <c r="AH2876" s="261">
        <f ca="1">MIN(100,IF($O$5&gt;80,0+30*($AG2876/100),IF($O$5&gt;70,0+50*($AG2876/100),IF($O$5&gt;60,5+50*($AG2876/100),IF($O$5&gt;50,10+60*($AG2876/100),IF($O$5&gt;40,15+70*($AG2876/100),IF($O$5&gt;30,20+70*($AG2876/100),IF($O$5&gt;20,40+55*($AG2876/100),(80+(20-$O$5)+30*($AG2876/100))))))))))</f>
        <v>100</v>
      </c>
      <c r="AI2876" s="263"/>
      <c r="AJ2876" s="263">
        <v>466</v>
      </c>
      <c r="AK2876" s="263"/>
      <c r="AL2876" s="263"/>
      <c r="AM2876" s="264"/>
      <c r="AN2876" s="263"/>
      <c r="AO2876" s="263"/>
      <c r="AP2876" s="265"/>
      <c r="AQ2876" s="265"/>
      <c r="AR2876" s="285"/>
      <c r="AS2876" s="263"/>
      <c r="AT2876" s="263"/>
      <c r="AU2876" s="263"/>
      <c r="AV2876" s="264"/>
      <c r="AW2876" s="263"/>
      <c r="AX2876" s="263"/>
      <c r="AY2876" s="263">
        <v>1013</v>
      </c>
      <c r="AZ2876" s="263"/>
      <c r="BA2876" s="263"/>
      <c r="BB2876" s="263">
        <v>288</v>
      </c>
      <c r="BC2876" s="263"/>
      <c r="BD2876" s="264"/>
      <c r="BE2876" s="263"/>
      <c r="BF2876" s="263"/>
      <c r="BG2876" s="263"/>
      <c r="BH2876" s="263"/>
      <c r="BI2876" s="263"/>
      <c r="BJ2876" s="404">
        <f>altaz(J2000_Bas,$O2876,$M2876,DecLat,DecLong,2)</f>
        <v>357.7870874814829</v>
      </c>
      <c r="BK2876" s="378" t="s">
        <v>2696</v>
      </c>
      <c r="BL2876" s="379">
        <f>IF((2*G2876)/60&lt;0.2,0.2,(2*G2876)/60)</f>
        <v>0.2</v>
      </c>
      <c r="BM2876" s="380">
        <f>MOD((50000+AD2876-$B$3+(0/24)),1)</f>
        <v>0.50548908283235505</v>
      </c>
      <c r="BN2876" s="381"/>
      <c r="BO2876" s="382">
        <v>2867</v>
      </c>
    </row>
    <row r="2877" spans="1:67" s="24" customFormat="1" ht="15" customHeight="1" x14ac:dyDescent="0.25">
      <c r="A2877" s="288" t="s">
        <v>2697</v>
      </c>
      <c r="B2877" s="241" t="str">
        <f>HYPERLINK(CONCATENATE($AT$3,BK2877,$AU$3),$AV$3)</f>
        <v>S</v>
      </c>
      <c r="C2877" s="242" t="str">
        <f>HYPERLINK(CONCATENATE($AT$4,BK2877,$AU$4,BL2877),$AV$4)</f>
        <v>A</v>
      </c>
      <c r="D2877" s="243" t="s">
        <v>5187</v>
      </c>
      <c r="E2877" s="244" t="s">
        <v>5183</v>
      </c>
      <c r="F2877" s="269" t="s">
        <v>5180</v>
      </c>
      <c r="G2877" s="276">
        <v>19</v>
      </c>
      <c r="H2877" s="283">
        <v>33000</v>
      </c>
      <c r="I2877" s="246">
        <v>185</v>
      </c>
      <c r="J2877" s="246">
        <v>2</v>
      </c>
      <c r="K2877" s="247" t="s">
        <v>6374</v>
      </c>
      <c r="L2877" s="248">
        <v>64500</v>
      </c>
      <c r="M2877" s="249">
        <f>15*(LEFT(TEXT($L2877,"000000"),2)+(MID(TEXT($L2877,"000000"),3,2)/60)+(RIGHT(TEXT($L2877,"000000"),2)/3600))</f>
        <v>101.25</v>
      </c>
      <c r="N2877" s="286">
        <v>-72012</v>
      </c>
      <c r="O2877" s="251">
        <f>IF($N2877&gt;0,(LEFT(TEXT($N2877,"000000"),2)+(MID(TEXT($N2877,"000000"),3,2)/60)+(RIGHT(TEXT($N2877,"000000"),2)/3600)),-(MID(TEXT($N2877,"000000"),2,2)+(MID(TEXT($N2877,"000000"),4,2)/60)+(RIGHT(TEXT($N2877,"000000"),2)/3600)))</f>
        <v>-7.336666666666666</v>
      </c>
      <c r="P2877" s="252" t="s">
        <v>47</v>
      </c>
      <c r="Q2877" s="253"/>
      <c r="R2877" s="277" t="s">
        <v>3293</v>
      </c>
      <c r="S2877" s="272" t="s">
        <v>3293</v>
      </c>
      <c r="T2877" s="273"/>
      <c r="U2877" s="274"/>
      <c r="V2877" s="280"/>
      <c r="W2877" s="244"/>
      <c r="X2877" s="244"/>
      <c r="Y2877" s="362"/>
      <c r="Z2877" s="257">
        <f>altaz(J2000_Bas,$O2877,$M2877,DecLat,DecLong,1)</f>
        <v>-65.922796436562209</v>
      </c>
      <c r="AA2877" s="257">
        <f>altaz((J2000_Bas+(2*0.04167)),$O2877,$M2877,DecLat,DecLong,1)</f>
        <v>-49.778590340905197</v>
      </c>
      <c r="AB2877" s="257">
        <f>altaz((J2000_Bas+(4*0.04167)),$O2877,$M2877,DecLat,DecLong,1)</f>
        <v>-25.221018985819303</v>
      </c>
      <c r="AC2877" s="257">
        <f>altaz((J2000_Bas+(6*0.04167)),$O2877,$M2877,DecLat,DecLong,1)</f>
        <v>0.48231600170297062</v>
      </c>
      <c r="AD2877" s="258">
        <f>1+ transit((J2000_Bas-1),$O2877,$M2877,DecLat,DecLong)/360 + (GMTOffset/24) + (IF(DST="Y", 1, 0)/24)</f>
        <v>1.2741499325047079</v>
      </c>
      <c r="AE2877" s="259">
        <f>DATE(2001,9,21)+(M2877/360)*365 - (360*((DecLong/360)- (GMTOffset/24) ))</f>
        <v>37262.65625</v>
      </c>
      <c r="AF2877" s="260">
        <f>IF(DecLat&gt;0,IF((90 - (DecLat-O2877))&gt;90, (90 - (O2877-DecLat)), (90 - (DecLat-O2877))),IF((90 + (DecLat-O2877))&gt;90, (90 + (O2877-DecLat)), (90 + (DecLat-O2877))))</f>
        <v>51.663333333333334</v>
      </c>
      <c r="AG2877" s="257">
        <f>angularseperation(MoonRA,MoonDec,$M2877,$O2877)</f>
        <v>133.68249962774792</v>
      </c>
      <c r="AH2877" s="261">
        <f ca="1">MIN(100,IF($O$5&gt;80,0+30*($AG2877/100),IF($O$5&gt;70,0+50*($AG2877/100),IF($O$5&gt;60,5+50*($AG2877/100),IF($O$5&gt;50,10+60*($AG2877/100),IF($O$5&gt;40,15+70*($AG2877/100),IF($O$5&gt;30,20+70*($AG2877/100),IF($O$5&gt;20,40+55*($AG2877/100),(80+(20-$O$5)+30*($AG2877/100))))))))))</f>
        <v>100</v>
      </c>
      <c r="AI2877" s="263"/>
      <c r="AJ2877" s="263"/>
      <c r="AK2877" s="263"/>
      <c r="AL2877" s="263"/>
      <c r="AM2877" s="264"/>
      <c r="AN2877" s="263"/>
      <c r="AO2877" s="263"/>
      <c r="AP2877" s="265"/>
      <c r="AQ2877" s="265"/>
      <c r="AR2877" s="285"/>
      <c r="AS2877" s="263"/>
      <c r="AT2877" s="263"/>
      <c r="AU2877" s="263"/>
      <c r="AV2877" s="264"/>
      <c r="AW2877" s="263"/>
      <c r="AX2877" s="263"/>
      <c r="AY2877" s="263">
        <v>1014</v>
      </c>
      <c r="AZ2877" s="263"/>
      <c r="BA2877" s="263"/>
      <c r="BB2877" s="263">
        <v>289</v>
      </c>
      <c r="BC2877" s="263"/>
      <c r="BD2877" s="264"/>
      <c r="BE2877" s="263"/>
      <c r="BF2877" s="263"/>
      <c r="BG2877" s="263"/>
      <c r="BH2877" s="263"/>
      <c r="BI2877" s="263"/>
      <c r="BJ2877" s="404">
        <f>altaz(J2000_Bas,$O2877,$M2877,DecLat,DecLong,2)</f>
        <v>11.620411558481772</v>
      </c>
      <c r="BK2877" s="378" t="s">
        <v>2697</v>
      </c>
      <c r="BL2877" s="379">
        <f>IF((2*G2877)/60&lt;0.2,0.2,(2*G2877)/60)</f>
        <v>0.6333333333333333</v>
      </c>
      <c r="BM2877" s="380">
        <f>MOD((50000+AD2877-$B$3+(0/24)),1)</f>
        <v>0.48951686220971169</v>
      </c>
      <c r="BN2877" s="381"/>
      <c r="BO2877" s="382">
        <v>2868</v>
      </c>
    </row>
    <row r="2878" spans="1:67" s="24" customFormat="1" ht="15" customHeight="1" x14ac:dyDescent="0.25">
      <c r="A2878" s="288" t="s">
        <v>2698</v>
      </c>
      <c r="B2878" s="241" t="str">
        <f>HYPERLINK(CONCATENATE($AT$3,BK2878,$AU$3),$AV$3)</f>
        <v>S</v>
      </c>
      <c r="C2878" s="242" t="str">
        <f>HYPERLINK(CONCATENATE($AT$4,BK2878,$AU$4,BL2878),$AV$4)</f>
        <v>A</v>
      </c>
      <c r="D2878" s="243" t="s">
        <v>5187</v>
      </c>
      <c r="E2878" s="244" t="s">
        <v>5183</v>
      </c>
      <c r="F2878" s="269" t="s">
        <v>5180</v>
      </c>
      <c r="G2878" s="276">
        <v>10</v>
      </c>
      <c r="H2878" s="283">
        <v>28000</v>
      </c>
      <c r="I2878" s="246">
        <v>80</v>
      </c>
      <c r="J2878" s="246">
        <v>2</v>
      </c>
      <c r="K2878" s="247" t="s">
        <v>6375</v>
      </c>
      <c r="L2878" s="248">
        <v>65500</v>
      </c>
      <c r="M2878" s="249">
        <f>15*(LEFT(TEXT($L2878,"000000"),2)+(MID(TEXT($L2878,"000000"),3,2)/60)+(RIGHT(TEXT($L2878,"000000"),2)/3600))</f>
        <v>103.75</v>
      </c>
      <c r="N2878" s="286">
        <v>-80012</v>
      </c>
      <c r="O2878" s="251">
        <f>IF($N2878&gt;0,(LEFT(TEXT($N2878,"000000"),2)+(MID(TEXT($N2878,"000000"),3,2)/60)+(RIGHT(TEXT($N2878,"000000"),2)/3600)),-(MID(TEXT($N2878,"000000"),2,2)+(MID(TEXT($N2878,"000000"),4,2)/60)+(RIGHT(TEXT($N2878,"000000"),2)/3600)))</f>
        <v>-8.0033333333333339</v>
      </c>
      <c r="P2878" s="252" t="s">
        <v>47</v>
      </c>
      <c r="Q2878" s="253"/>
      <c r="R2878" s="277" t="s">
        <v>3293</v>
      </c>
      <c r="S2878" s="272" t="s">
        <v>3293</v>
      </c>
      <c r="T2878" s="273"/>
      <c r="U2878" s="274"/>
      <c r="V2878" s="280"/>
      <c r="W2878" s="244"/>
      <c r="X2878" s="244"/>
      <c r="Y2878" s="362"/>
      <c r="Z2878" s="257">
        <f>altaz(J2000_Bas,$O2878,$M2878,DecLat,DecLong,1)</f>
        <v>-66.907324760226643</v>
      </c>
      <c r="AA2878" s="257">
        <f>altaz((J2000_Bas+(2*0.04167)),$O2878,$M2878,DecLat,DecLong,1)</f>
        <v>-52.081767211541987</v>
      </c>
      <c r="AB2878" s="257">
        <f>altaz((J2000_Bas+(4*0.04167)),$O2878,$M2878,DecLat,DecLong,1)</f>
        <v>-27.689399735017119</v>
      </c>
      <c r="AC2878" s="257">
        <f>altaz((J2000_Bas+(6*0.04167)),$O2878,$M2878,DecLat,DecLong,1)</f>
        <v>-1.9823451252600417</v>
      </c>
      <c r="AD2878" s="258">
        <f>1+ transit((J2000_Bas-1),$O2878,$M2878,DecLat,DecLong)/360 + (GMTOffset/24) + (IF(DST="Y", 1, 0)/24)</f>
        <v>1.281094376254708</v>
      </c>
      <c r="AE2878" s="259">
        <f>DATE(2001,9,21)+(M2878/360)*365 - (360*((DecLong/360)- (GMTOffset/24) ))</f>
        <v>37265.190972222219</v>
      </c>
      <c r="AF2878" s="260">
        <f>IF(DecLat&gt;0,IF((90 - (DecLat-O2878))&gt;90, (90 - (O2878-DecLat)), (90 - (DecLat-O2878))),IF((90 + (DecLat-O2878))&gt;90, (90 + (O2878-DecLat)), (90 + (DecLat-O2878))))</f>
        <v>50.99666666666667</v>
      </c>
      <c r="AG2878" s="257">
        <f>angularseperation(MoonRA,MoonDec,$M2878,$O2878)</f>
        <v>131.54003344342033</v>
      </c>
      <c r="AH2878" s="261">
        <f ca="1">MIN(100,IF($O$5&gt;80,0+30*($AG2878/100),IF($O$5&gt;70,0+50*($AG2878/100),IF($O$5&gt;60,5+50*($AG2878/100),IF($O$5&gt;50,10+60*($AG2878/100),IF($O$5&gt;40,15+70*($AG2878/100),IF($O$5&gt;30,20+70*($AG2878/100),IF($O$5&gt;20,40+55*($AG2878/100),(80+(20-$O$5)+30*($AG2878/100))))))))))</f>
        <v>100</v>
      </c>
      <c r="AI2878" s="263"/>
      <c r="AJ2878" s="263"/>
      <c r="AK2878" s="263"/>
      <c r="AL2878" s="263"/>
      <c r="AM2878" s="264"/>
      <c r="AN2878" s="263"/>
      <c r="AO2878" s="263"/>
      <c r="AP2878" s="265"/>
      <c r="AQ2878" s="265"/>
      <c r="AR2878" s="285"/>
      <c r="AS2878" s="263"/>
      <c r="AT2878" s="263"/>
      <c r="AU2878" s="263"/>
      <c r="AV2878" s="264"/>
      <c r="AW2878" s="263"/>
      <c r="AX2878" s="263"/>
      <c r="AY2878" s="263">
        <v>1020</v>
      </c>
      <c r="AZ2878" s="263"/>
      <c r="BA2878" s="263"/>
      <c r="BB2878" s="263">
        <v>291</v>
      </c>
      <c r="BC2878" s="263"/>
      <c r="BD2878" s="264"/>
      <c r="BE2878" s="263"/>
      <c r="BF2878" s="263"/>
      <c r="BG2878" s="263"/>
      <c r="BH2878" s="263"/>
      <c r="BI2878" s="263"/>
      <c r="BJ2878" s="404">
        <f>altaz(J2000_Bas,$O2878,$M2878,DecLat,DecLong,2)</f>
        <v>5.6952503357172874</v>
      </c>
      <c r="BK2878" s="378" t="s">
        <v>2698</v>
      </c>
      <c r="BL2878" s="379">
        <f>IF((2*G2878)/60&lt;0.2,0.2,(2*G2878)/60)</f>
        <v>0.33333333333333331</v>
      </c>
      <c r="BM2878" s="380">
        <f>MOD((50000+AD2878-$B$3+(0/24)),1)</f>
        <v>0.49646130595647264</v>
      </c>
      <c r="BN2878" s="381"/>
      <c r="BO2878" s="382">
        <v>2869</v>
      </c>
    </row>
    <row r="2879" spans="1:67" s="24" customFormat="1" ht="15" customHeight="1" x14ac:dyDescent="0.25">
      <c r="A2879" s="288" t="s">
        <v>2699</v>
      </c>
      <c r="B2879" s="241" t="str">
        <f>HYPERLINK(CONCATENATE($AT$3,BK2879,$AU$3),$AV$3)</f>
        <v>S</v>
      </c>
      <c r="C2879" s="242" t="str">
        <f>HYPERLINK(CONCATENATE($AT$4,BK2879,$AU$4,BL2879),$AV$4)</f>
        <v>A</v>
      </c>
      <c r="D2879" s="243" t="s">
        <v>5187</v>
      </c>
      <c r="E2879" s="244" t="s">
        <v>5183</v>
      </c>
      <c r="F2879" s="269" t="s">
        <v>5180</v>
      </c>
      <c r="G2879" s="276">
        <v>14</v>
      </c>
      <c r="H2879" s="283">
        <v>3600</v>
      </c>
      <c r="I2879" s="246">
        <v>15</v>
      </c>
      <c r="J2879" s="246">
        <v>2</v>
      </c>
      <c r="K2879" s="247" t="s">
        <v>5279</v>
      </c>
      <c r="L2879" s="248">
        <v>70150</v>
      </c>
      <c r="M2879" s="249">
        <f>15*(LEFT(TEXT($L2879,"000000"),2)+(MID(TEXT($L2879,"000000"),3,2)/60)+(RIGHT(TEXT($L2879,"000000"),2)/3600))</f>
        <v>105.45833333333334</v>
      </c>
      <c r="N2879" s="250">
        <v>-111803</v>
      </c>
      <c r="O2879" s="251">
        <f>IF($N2879&gt;0,(LEFT(TEXT($N2879,"000000"),2)+(MID(TEXT($N2879,"000000"),3,2)/60)+(RIGHT(TEXT($N2879,"000000"),2)/3600)),-(MID(TEXT($N2879,"000000"),2,2)+(MID(TEXT($N2879,"000000"),4,2)/60)+(RIGHT(TEXT($N2879,"000000"),2)/3600)))</f>
        <v>-11.300833333333333</v>
      </c>
      <c r="P2879" s="252" t="s">
        <v>80</v>
      </c>
      <c r="Q2879" s="253"/>
      <c r="R2879" s="247" t="s">
        <v>6433</v>
      </c>
      <c r="S2879" s="272" t="s">
        <v>6432</v>
      </c>
      <c r="T2879" s="273"/>
      <c r="U2879" s="274"/>
      <c r="V2879" s="280"/>
      <c r="W2879" s="244"/>
      <c r="X2879" s="244"/>
      <c r="Y2879" s="362"/>
      <c r="Z2879" s="257">
        <f>altaz(J2000_Bas,$O2879,$M2879,DecLat,DecLong,1)</f>
        <v>-70.29438763324157</v>
      </c>
      <c r="AA2879" s="257">
        <f>altaz((J2000_Bas+(2*0.04167)),$O2879,$M2879,DecLat,DecLong,1)</f>
        <v>-55.508169385997128</v>
      </c>
      <c r="AB2879" s="257">
        <f>altaz((J2000_Bas+(4*0.04167)),$O2879,$M2879,DecLat,DecLong,1)</f>
        <v>-30.804177428879495</v>
      </c>
      <c r="AC2879" s="257">
        <f>altaz((J2000_Bas+(6*0.04167)),$O2879,$M2879,DecLat,DecLong,1)</f>
        <v>-5.1188289305954884</v>
      </c>
      <c r="AD2879" s="258">
        <f>1+ transit((J2000_Bas-1),$O2879,$M2879,DecLat,DecLong)/360 + (GMTOffset/24) + (IF(DST="Y", 1, 0)/24)</f>
        <v>1.2858397461505413</v>
      </c>
      <c r="AE2879" s="259">
        <f>DATE(2001,9,21)+(M2879/360)*365 - (360*((DecLong/360)- (GMTOffset/24) ))</f>
        <v>37266.923032407409</v>
      </c>
      <c r="AF2879" s="260">
        <f>IF(DecLat&gt;0,IF((90 - (DecLat-O2879))&gt;90, (90 - (O2879-DecLat)), (90 - (DecLat-O2879))),IF((90 + (DecLat-O2879))&gt;90, (90 + (O2879-DecLat)), (90 + (DecLat-O2879))))</f>
        <v>47.69916666666667</v>
      </c>
      <c r="AG2879" s="257">
        <f>angularseperation(MoonRA,MoonDec,$M2879,$O2879)</f>
        <v>127.96430907514282</v>
      </c>
      <c r="AH2879" s="261">
        <f ca="1">MIN(100,IF($O$5&gt;80,0+30*($AG2879/100),IF($O$5&gt;70,0+50*($AG2879/100),IF($O$5&gt;60,5+50*($AG2879/100),IF($O$5&gt;50,10+60*($AG2879/100),IF($O$5&gt;40,15+70*($AG2879/100),IF($O$5&gt;30,20+70*($AG2879/100),IF($O$5&gt;20,40+55*($AG2879/100),(80+(20-$O$5)+30*($AG2879/100))))))))))</f>
        <v>100</v>
      </c>
      <c r="AI2879" s="262"/>
      <c r="AJ2879" s="262"/>
      <c r="AK2879" s="262"/>
      <c r="AL2879" s="263"/>
      <c r="AM2879" s="264"/>
      <c r="AN2879" s="263"/>
      <c r="AO2879" s="263"/>
      <c r="AP2879" s="265"/>
      <c r="AQ2879" s="266"/>
      <c r="AR2879" s="267"/>
      <c r="AS2879" s="263"/>
      <c r="AT2879" s="263"/>
      <c r="AU2879" s="263"/>
      <c r="AV2879" s="264"/>
      <c r="AW2879" s="263"/>
      <c r="AX2879" s="263"/>
      <c r="AY2879" s="263"/>
      <c r="AZ2879" s="263"/>
      <c r="BA2879" s="263"/>
      <c r="BB2879" s="263">
        <v>293</v>
      </c>
      <c r="BC2879" s="263"/>
      <c r="BD2879" s="264">
        <v>88</v>
      </c>
      <c r="BE2879" s="263"/>
      <c r="BF2879" s="263"/>
      <c r="BG2879" s="263"/>
      <c r="BH2879" s="263"/>
      <c r="BI2879" s="263"/>
      <c r="BJ2879" s="404">
        <f>altaz(J2000_Bas,$O2879,$M2879,DecLat,DecLong,2)</f>
        <v>1.5830974866528393</v>
      </c>
      <c r="BK2879" s="378" t="s">
        <v>2699</v>
      </c>
      <c r="BL2879" s="379">
        <f>IF((2*G2879)/60&lt;0.2,0.2,(2*G2879)/60)</f>
        <v>0.46666666666666667</v>
      </c>
      <c r="BM2879" s="380">
        <f>MOD((50000+AD2879-$B$3+(0/24)),1)</f>
        <v>0.50120667585724732</v>
      </c>
      <c r="BN2879" s="381"/>
      <c r="BO2879" s="382">
        <v>2870</v>
      </c>
    </row>
    <row r="2880" spans="1:67" s="24" customFormat="1" ht="15" customHeight="1" x14ac:dyDescent="0.25">
      <c r="A2880" s="288" t="s">
        <v>2700</v>
      </c>
      <c r="B2880" s="241" t="str">
        <f>HYPERLINK(CONCATENATE($AT$3,BK2880,$AU$3),$AV$3)</f>
        <v>S</v>
      </c>
      <c r="C2880" s="242" t="str">
        <f>HYPERLINK(CONCATENATE($AT$4,BK2880,$AU$4,BL2880),$AV$4)</f>
        <v>A</v>
      </c>
      <c r="D2880" s="243" t="s">
        <v>5187</v>
      </c>
      <c r="E2880" s="244" t="s">
        <v>5183</v>
      </c>
      <c r="F2880" s="269" t="s">
        <v>5180</v>
      </c>
      <c r="G2880" s="273">
        <v>7</v>
      </c>
      <c r="H2880" s="283">
        <v>16000</v>
      </c>
      <c r="I2880" s="246">
        <v>30</v>
      </c>
      <c r="J2880" s="246">
        <v>3</v>
      </c>
      <c r="K2880" s="247" t="s">
        <v>5280</v>
      </c>
      <c r="L2880" s="248">
        <v>71630</v>
      </c>
      <c r="M2880" s="249">
        <f>15*(LEFT(TEXT($L2880,"000000"),2)+(MID(TEXT($L2880,"000000"),3,2)/60)+(RIGHT(TEXT($L2880,"000000"),2)/3600))</f>
        <v>109.125</v>
      </c>
      <c r="N2880" s="250">
        <v>-92606</v>
      </c>
      <c r="O2880" s="251">
        <f>IF($N2880&gt;0,(LEFT(TEXT($N2880,"000000"),2)+(MID(TEXT($N2880,"000000"),3,2)/60)+(RIGHT(TEXT($N2880,"000000"),2)/3600)),-(MID(TEXT($N2880,"000000"),2,2)+(MID(TEXT($N2880,"000000"),4,2)/60)+(RIGHT(TEXT($N2880,"000000"),2)/3600)))</f>
        <v>-9.4350000000000005</v>
      </c>
      <c r="P2880" s="252" t="s">
        <v>47</v>
      </c>
      <c r="Q2880" s="253"/>
      <c r="R2880" s="247" t="s">
        <v>6042</v>
      </c>
      <c r="S2880" s="272" t="s">
        <v>3293</v>
      </c>
      <c r="T2880" s="273"/>
      <c r="U2880" s="274"/>
      <c r="V2880" s="280"/>
      <c r="W2880" s="244"/>
      <c r="X2880" s="244"/>
      <c r="Y2880" s="362"/>
      <c r="Z2880" s="257">
        <f>altaz(J2000_Bas,$O2880,$M2880,DecLat,DecLong,1)</f>
        <v>-68.24016262958142</v>
      </c>
      <c r="AA2880" s="257">
        <f>altaz((J2000_Bas+(2*0.04167)),$O2880,$M2880,DecLat,DecLong,1)</f>
        <v>-56.939255744379757</v>
      </c>
      <c r="AB2880" s="257">
        <f>altaz((J2000_Bas+(4*0.04167)),$O2880,$M2880,DecLat,DecLong,1)</f>
        <v>-32.982475074080853</v>
      </c>
      <c r="AC2880" s="257">
        <f>altaz((J2000_Bas+(6*0.04167)),$O2880,$M2880,DecLat,DecLong,1)</f>
        <v>-7.2817521091804078</v>
      </c>
      <c r="AD2880" s="258">
        <f>1+ transit((J2000_Bas-1),$O2880,$M2880,DecLat,DecLong)/360 + (GMTOffset/24) + (IF(DST="Y", 1, 0)/24)</f>
        <v>1.296024930317208</v>
      </c>
      <c r="AE2880" s="259">
        <f>DATE(2001,9,21)+(M2880/360)*365 - (360*((DecLong/360)- (GMTOffset/24) ))</f>
        <v>37270.640625</v>
      </c>
      <c r="AF2880" s="260">
        <f>IF(DecLat&gt;0,IF((90 - (DecLat-O2880))&gt;90, (90 - (O2880-DecLat)), (90 - (DecLat-O2880))),IF((90 + (DecLat-O2880))&gt;90, (90 + (O2880-DecLat)), (90 + (DecLat-O2880))))</f>
        <v>49.564999999999998</v>
      </c>
      <c r="AG2880" s="257">
        <f>angularseperation(MoonRA,MoonDec,$M2880,$O2880)</f>
        <v>126.82172718743603</v>
      </c>
      <c r="AH2880" s="261">
        <f ca="1">MIN(100,IF($O$5&gt;80,0+30*($AG2880/100),IF($O$5&gt;70,0+50*($AG2880/100),IF($O$5&gt;60,5+50*($AG2880/100),IF($O$5&gt;50,10+60*($AG2880/100),IF($O$5&gt;40,15+70*($AG2880/100),IF($O$5&gt;30,20+70*($AG2880/100),IF($O$5&gt;20,40+55*($AG2880/100),(80+(20-$O$5)+30*($AG2880/100))))))))))</f>
        <v>100</v>
      </c>
      <c r="AI2880" s="262"/>
      <c r="AJ2880" s="262"/>
      <c r="AK2880" s="262"/>
      <c r="AL2880" s="263"/>
      <c r="AM2880" s="264"/>
      <c r="AN2880" s="263"/>
      <c r="AO2880" s="263"/>
      <c r="AP2880" s="265"/>
      <c r="AQ2880" s="266"/>
      <c r="AR2880" s="267"/>
      <c r="AS2880" s="263"/>
      <c r="AT2880" s="263"/>
      <c r="AU2880" s="263"/>
      <c r="AV2880" s="264"/>
      <c r="AW2880" s="263"/>
      <c r="AX2880" s="263"/>
      <c r="AY2880" s="263"/>
      <c r="AZ2880" s="263"/>
      <c r="BA2880" s="263">
        <v>3</v>
      </c>
      <c r="BB2880" s="263">
        <v>294</v>
      </c>
      <c r="BC2880" s="263"/>
      <c r="BD2880" s="264"/>
      <c r="BE2880" s="263"/>
      <c r="BF2880" s="263"/>
      <c r="BG2880" s="263"/>
      <c r="BH2880" s="263"/>
      <c r="BI2880" s="263"/>
      <c r="BJ2880" s="404">
        <f>altaz(J2000_Bas,$O2880,$M2880,DecLat,DecLong,2)</f>
        <v>351.66616853931703</v>
      </c>
      <c r="BK2880" s="378" t="s">
        <v>2700</v>
      </c>
      <c r="BL2880" s="379">
        <f>IF((2*G2880)/60&lt;0.2,0.2,(2*G2880)/60)</f>
        <v>0.23333333333333334</v>
      </c>
      <c r="BM2880" s="380">
        <f>MOD((50000+AD2880-$B$3+(0/24)),1)</f>
        <v>0.51139186001819326</v>
      </c>
      <c r="BN2880" s="381"/>
      <c r="BO2880" s="382">
        <v>2871</v>
      </c>
    </row>
    <row r="2881" spans="1:67" s="24" customFormat="1" ht="15" customHeight="1" x14ac:dyDescent="0.25">
      <c r="A2881" s="288" t="s">
        <v>2701</v>
      </c>
      <c r="B2881" s="241" t="str">
        <f>HYPERLINK(CONCATENATE($AT$3,BK2881,$AU$3),$AV$3)</f>
        <v>S</v>
      </c>
      <c r="C2881" s="242" t="str">
        <f>HYPERLINK(CONCATENATE($AT$4,BK2881,$AU$4,BL2881),$AV$4)</f>
        <v>A</v>
      </c>
      <c r="D2881" s="243" t="s">
        <v>5187</v>
      </c>
      <c r="E2881" s="244" t="s">
        <v>5183</v>
      </c>
      <c r="F2881" s="269" t="s">
        <v>5180</v>
      </c>
      <c r="G2881" s="276">
        <v>10</v>
      </c>
      <c r="H2881" s="283">
        <v>3600</v>
      </c>
      <c r="I2881" s="244">
        <v>10</v>
      </c>
      <c r="J2881" s="246">
        <v>2</v>
      </c>
      <c r="K2881" s="247" t="s">
        <v>9473</v>
      </c>
      <c r="L2881" s="248">
        <v>70239</v>
      </c>
      <c r="M2881" s="249">
        <f>15*(LEFT(TEXT($L2881,"000000"),2)+(MID(TEXT($L2881,"000000"),3,2)/60)+(RIGHT(TEXT($L2881,"000000"),2)/3600))</f>
        <v>105.66249999999999</v>
      </c>
      <c r="N2881" s="250">
        <v>-112724</v>
      </c>
      <c r="O2881" s="251">
        <f>IF($N2881&gt;0,(LEFT(TEXT($N2881,"000000"),2)+(MID(TEXT($N2881,"000000"),3,2)/60)+(RIGHT(TEXT($N2881,"000000"),2)/3600)),-(MID(TEXT($N2881,"000000"),2,2)+(MID(TEXT($N2881,"000000"),4,2)/60)+(RIGHT(TEXT($N2881,"000000"),2)/3600)))</f>
        <v>-11.456666666666665</v>
      </c>
      <c r="P2881" s="252" t="s">
        <v>80</v>
      </c>
      <c r="Q2881" s="253"/>
      <c r="R2881" s="247" t="s">
        <v>3293</v>
      </c>
      <c r="S2881" s="272" t="s">
        <v>6432</v>
      </c>
      <c r="T2881" s="273"/>
      <c r="U2881" s="274"/>
      <c r="V2881" s="280"/>
      <c r="W2881" s="244"/>
      <c r="X2881" s="244"/>
      <c r="Y2881" s="362"/>
      <c r="Z2881" s="257">
        <f>altaz(J2000_Bas,$O2881,$M2881,DecLat,DecLong,1)</f>
        <v>-70.454131512006043</v>
      </c>
      <c r="AA2881" s="257">
        <f>altaz((J2000_Bas+(2*0.04167)),$O2881,$M2881,DecLat,DecLong,1)</f>
        <v>-55.761731754334598</v>
      </c>
      <c r="AB2881" s="257">
        <f>altaz((J2000_Bas+(4*0.04167)),$O2881,$M2881,DecLat,DecLong,1)</f>
        <v>-31.055094562182358</v>
      </c>
      <c r="AC2881" s="257">
        <f>altaz((J2000_Bas+(6*0.04167)),$O2881,$M2881,DecLat,DecLong,1)</f>
        <v>-5.3704373202599145</v>
      </c>
      <c r="AD2881" s="258">
        <f>1+ transit((J2000_Bas-1),$O2881,$M2881,DecLat,DecLong)/360 + (GMTOffset/24) + (IF(DST="Y", 1, 0)/24)</f>
        <v>1.2864068757234579</v>
      </c>
      <c r="AE2881" s="259">
        <f>DATE(2001,9,21)+(M2881/360)*365 - (360*((DecLong/360)- (GMTOffset/24) ))</f>
        <v>37267.13003472222</v>
      </c>
      <c r="AF2881" s="260">
        <f>IF(DecLat&gt;0,IF((90 - (DecLat-O2881))&gt;90, (90 - (O2881-DecLat)), (90 - (DecLat-O2881))),IF((90 + (DecLat-O2881))&gt;90, (90 + (O2881-DecLat)), (90 + (DecLat-O2881))))</f>
        <v>47.543333333333337</v>
      </c>
      <c r="AG2881" s="257">
        <f>angularseperation(MoonRA,MoonDec,$M2881,$O2881)</f>
        <v>127.71465795130865</v>
      </c>
      <c r="AH2881" s="261">
        <f ca="1">MIN(100,IF($O$5&gt;80,0+30*($AG2881/100),IF($O$5&gt;70,0+50*($AG2881/100),IF($O$5&gt;60,5+50*($AG2881/100),IF($O$5&gt;50,10+60*($AG2881/100),IF($O$5&gt;40,15+70*($AG2881/100),IF($O$5&gt;30,20+70*($AG2881/100),IF($O$5&gt;20,40+55*($AG2881/100),(80+(20-$O$5)+30*($AG2881/100))))))))))</f>
        <v>100</v>
      </c>
      <c r="AI2881" s="262"/>
      <c r="AJ2881" s="262"/>
      <c r="AK2881" s="262"/>
      <c r="AL2881" s="263"/>
      <c r="AM2881" s="264"/>
      <c r="AN2881" s="263"/>
      <c r="AO2881" s="263"/>
      <c r="AP2881" s="265"/>
      <c r="AQ2881" s="266"/>
      <c r="AR2881" s="267"/>
      <c r="AS2881" s="263"/>
      <c r="AT2881" s="263"/>
      <c r="AU2881" s="263"/>
      <c r="AV2881" s="264"/>
      <c r="AW2881" s="263"/>
      <c r="AX2881" s="263"/>
      <c r="AY2881" s="263"/>
      <c r="AZ2881" s="263"/>
      <c r="BA2881" s="263"/>
      <c r="BB2881" s="263">
        <v>295</v>
      </c>
      <c r="BC2881" s="263"/>
      <c r="BD2881" s="264">
        <v>90</v>
      </c>
      <c r="BE2881" s="263"/>
      <c r="BF2881" s="263"/>
      <c r="BG2881" s="263"/>
      <c r="BH2881" s="263"/>
      <c r="BI2881" s="263"/>
      <c r="BJ2881" s="404">
        <f>altaz(J2000_Bas,$O2881,$M2881,DecLat,DecLong,2)</f>
        <v>0.9964235528088552</v>
      </c>
      <c r="BK2881" s="378" t="s">
        <v>2701</v>
      </c>
      <c r="BL2881" s="379">
        <f>IF((2*G2881)/60&lt;0.2,0.2,(2*G2881)/60)</f>
        <v>0.33333333333333331</v>
      </c>
      <c r="BM2881" s="380">
        <f>MOD((50000+AD2881-$B$3+(0/24)),1)</f>
        <v>0.50177380543027539</v>
      </c>
      <c r="BN2881" s="381"/>
      <c r="BO2881" s="382">
        <v>2872</v>
      </c>
    </row>
    <row r="2882" spans="1:67" s="24" customFormat="1" ht="15" customHeight="1" x14ac:dyDescent="0.25">
      <c r="A2882" s="288" t="s">
        <v>2702</v>
      </c>
      <c r="B2882" s="241" t="str">
        <f>HYPERLINK(CONCATENATE($AT$3,BK2882,$AU$3),$AV$3)</f>
        <v>S</v>
      </c>
      <c r="C2882" s="242" t="str">
        <f>HYPERLINK(CONCATENATE($AT$4,BK2882,$AU$4,BL2882),$AV$4)</f>
        <v>A</v>
      </c>
      <c r="D2882" s="243" t="s">
        <v>5187</v>
      </c>
      <c r="E2882" s="244" t="s">
        <v>5183</v>
      </c>
      <c r="F2882" s="269" t="s">
        <v>5180</v>
      </c>
      <c r="G2882" s="273">
        <v>8</v>
      </c>
      <c r="H2882" s="283">
        <v>3600</v>
      </c>
      <c r="I2882" s="279">
        <v>8</v>
      </c>
      <c r="J2882" s="246">
        <v>3</v>
      </c>
      <c r="K2882" s="247" t="s">
        <v>5281</v>
      </c>
      <c r="L2882" s="248">
        <v>70513</v>
      </c>
      <c r="M2882" s="249">
        <f>15*(LEFT(TEXT($L2882,"000000"),2)+(MID(TEXT($L2882,"000000"),3,2)/60)+(RIGHT(TEXT($L2882,"000000"),2)/3600))</f>
        <v>106.30416666666666</v>
      </c>
      <c r="N2882" s="250">
        <v>-121900</v>
      </c>
      <c r="O2882" s="251">
        <f>IF($N2882&gt;0,(LEFT(TEXT($N2882,"000000"),2)+(MID(TEXT($N2882,"000000"),3,2)/60)+(RIGHT(TEXT($N2882,"000000"),2)/3600)),-(MID(TEXT($N2882,"000000"),2,2)+(MID(TEXT($N2882,"000000"),4,2)/60)+(RIGHT(TEXT($N2882,"000000"),2)/3600)))</f>
        <v>-12.316666666666666</v>
      </c>
      <c r="P2882" s="252" t="s">
        <v>80</v>
      </c>
      <c r="Q2882" s="253"/>
      <c r="R2882" s="247" t="s">
        <v>6040</v>
      </c>
      <c r="S2882" s="272" t="s">
        <v>6432</v>
      </c>
      <c r="T2882" s="273"/>
      <c r="U2882" s="274"/>
      <c r="V2882" s="280"/>
      <c r="W2882" s="244"/>
      <c r="X2882" s="244"/>
      <c r="Y2882" s="362"/>
      <c r="Z2882" s="257">
        <f>altaz(J2000_Bas,$O2882,$M2882,DecLat,DecLong,1)</f>
        <v>-71.314592434901542</v>
      </c>
      <c r="AA2882" s="257">
        <f>altaz((J2000_Bas+(2*0.04167)),$O2882,$M2882,DecLat,DecLong,1)</f>
        <v>-56.792082550848477</v>
      </c>
      <c r="AB2882" s="257">
        <f>altaz((J2000_Bas+(4*0.04167)),$O2882,$M2882,DecLat,DecLong,1)</f>
        <v>-32.023007328501457</v>
      </c>
      <c r="AC2882" s="257">
        <f>altaz((J2000_Bas+(6*0.04167)),$O2882,$M2882,DecLat,DecLong,1)</f>
        <v>-6.3479072874999307</v>
      </c>
      <c r="AD2882" s="258">
        <f>1+ transit((J2000_Bas-1),$O2882,$M2882,DecLat,DecLong)/360 + (GMTOffset/24) + (IF(DST="Y", 1, 0)/24)</f>
        <v>1.2881892829526247</v>
      </c>
      <c r="AE2882" s="259">
        <f>DATE(2001,9,21)+(M2882/360)*365 - (360*((DecLong/360)- (GMTOffset/24) ))</f>
        <v>37267.780613425923</v>
      </c>
      <c r="AF2882" s="260">
        <f>IF(DecLat&gt;0,IF((90 - (DecLat-O2882))&gt;90, (90 - (O2882-DecLat)), (90 - (DecLat-O2882))),IF((90 + (DecLat-O2882))&gt;90, (90 + (O2882-DecLat)), (90 + (DecLat-O2882))))</f>
        <v>46.683333333333337</v>
      </c>
      <c r="AG2882" s="257">
        <f>angularseperation(MoonRA,MoonDec,$M2882,$O2882)</f>
        <v>126.65531757516575</v>
      </c>
      <c r="AH2882" s="261">
        <f ca="1">MIN(100,IF($O$5&gt;80,0+30*($AG2882/100),IF($O$5&gt;70,0+50*($AG2882/100),IF($O$5&gt;60,5+50*($AG2882/100),IF($O$5&gt;50,10+60*($AG2882/100),IF($O$5&gt;40,15+70*($AG2882/100),IF($O$5&gt;30,20+70*($AG2882/100),IF($O$5&gt;20,40+55*($AG2882/100),(80+(20-$O$5)+30*($AG2882/100))))))))))</f>
        <v>100</v>
      </c>
      <c r="AI2882" s="262"/>
      <c r="AJ2882" s="262"/>
      <c r="AK2882" s="262"/>
      <c r="AL2882" s="263"/>
      <c r="AM2882" s="264"/>
      <c r="AN2882" s="263"/>
      <c r="AO2882" s="263"/>
      <c r="AP2882" s="265"/>
      <c r="AQ2882" s="266"/>
      <c r="AR2882" s="267"/>
      <c r="AS2882" s="263"/>
      <c r="AT2882" s="263"/>
      <c r="AU2882" s="263"/>
      <c r="AV2882" s="264"/>
      <c r="AW2882" s="263"/>
      <c r="AX2882" s="263">
        <v>3</v>
      </c>
      <c r="AY2882" s="263"/>
      <c r="AZ2882" s="263"/>
      <c r="BA2882" s="263">
        <v>1</v>
      </c>
      <c r="BB2882" s="263">
        <v>297</v>
      </c>
      <c r="BC2882" s="263"/>
      <c r="BD2882" s="264">
        <v>94</v>
      </c>
      <c r="BE2882" s="263"/>
      <c r="BF2882" s="263"/>
      <c r="BG2882" s="263"/>
      <c r="BH2882" s="263"/>
      <c r="BI2882" s="263"/>
      <c r="BJ2882" s="404">
        <f>altaz(J2000_Bas,$O2882,$M2882,DecLat,DecLong,2)</f>
        <v>359.08041007149529</v>
      </c>
      <c r="BK2882" s="378" t="s">
        <v>2702</v>
      </c>
      <c r="BL2882" s="379">
        <f>IF((2*G2882)/60&lt;0.2,0.2,(2*G2882)/60)</f>
        <v>0.26666666666666666</v>
      </c>
      <c r="BM2882" s="380">
        <f>MOD((50000+AD2882-$B$3+(0/24)),1)</f>
        <v>0.50355621265771333</v>
      </c>
      <c r="BN2882" s="381"/>
      <c r="BO2882" s="382">
        <v>2873</v>
      </c>
    </row>
    <row r="2883" spans="1:67" s="24" customFormat="1" ht="15" customHeight="1" x14ac:dyDescent="0.25">
      <c r="A2883" s="288" t="s">
        <v>2703</v>
      </c>
      <c r="B2883" s="241" t="str">
        <f>HYPERLINK(CONCATENATE($AT$3,BK2883,$AU$3),$AV$3)</f>
        <v>S</v>
      </c>
      <c r="C2883" s="242" t="str">
        <f>HYPERLINK(CONCATENATE($AT$4,BK2883,$AU$4,BL2883),$AV$4)</f>
        <v>A</v>
      </c>
      <c r="D2883" s="243" t="s">
        <v>5187</v>
      </c>
      <c r="E2883" s="244" t="s">
        <v>5183</v>
      </c>
      <c r="F2883" s="269" t="s">
        <v>5180</v>
      </c>
      <c r="G2883" s="273">
        <v>2</v>
      </c>
      <c r="H2883" s="283">
        <v>14000</v>
      </c>
      <c r="I2883" s="279">
        <v>8</v>
      </c>
      <c r="J2883" s="246">
        <v>1</v>
      </c>
      <c r="K2883" s="247" t="s">
        <v>6376</v>
      </c>
      <c r="L2883" s="248">
        <v>73000</v>
      </c>
      <c r="M2883" s="249">
        <f>15*(LEFT(TEXT($L2883,"000000"),2)+(MID(TEXT($L2883,"000000"),3,2)/60)+(RIGHT(TEXT($L2883,"000000"),2)/3600))</f>
        <v>112.5</v>
      </c>
      <c r="N2883" s="286">
        <v>-151712</v>
      </c>
      <c r="O2883" s="251">
        <f>IF($N2883&gt;0,(LEFT(TEXT($N2883,"000000"),2)+(MID(TEXT($N2883,"000000"),3,2)/60)+(RIGHT(TEXT($N2883,"000000"),2)/3600)),-(MID(TEXT($N2883,"000000"),2,2)+(MID(TEXT($N2883,"000000"),4,2)/60)+(RIGHT(TEXT($N2883,"000000"),2)/3600)))</f>
        <v>-15.286666666666667</v>
      </c>
      <c r="P2883" s="252" t="s">
        <v>80</v>
      </c>
      <c r="Q2883" s="253"/>
      <c r="R2883" s="277" t="s">
        <v>3293</v>
      </c>
      <c r="S2883" s="272" t="s">
        <v>3293</v>
      </c>
      <c r="T2883" s="273"/>
      <c r="U2883" s="274"/>
      <c r="V2883" s="280"/>
      <c r="W2883" s="244"/>
      <c r="X2883" s="244"/>
      <c r="Y2883" s="362"/>
      <c r="Z2883" s="257">
        <f>altaz(J2000_Bas,$O2883,$M2883,DecLat,DecLong,1)</f>
        <v>-73.199702063889674</v>
      </c>
      <c r="AA2883" s="257">
        <f>altaz((J2000_Bas+(2*0.04167)),$O2883,$M2883,DecLat,DecLong,1)</f>
        <v>-63.322559787291922</v>
      </c>
      <c r="AB2883" s="257">
        <f>altaz((J2000_Bas+(4*0.04167)),$O2883,$M2883,DecLat,DecLong,1)</f>
        <v>-38.72755859023092</v>
      </c>
      <c r="AC2883" s="257">
        <f>altaz((J2000_Bas+(6*0.04167)),$O2883,$M2883,DecLat,DecLong,1)</f>
        <v>-13.044910379037809</v>
      </c>
      <c r="AD2883" s="258">
        <f>1+ transit((J2000_Bas-1),$O2883,$M2883,DecLat,DecLong)/360 + (GMTOffset/24) + (IF(DST="Y", 1, 0)/24)</f>
        <v>1.3053999293797081</v>
      </c>
      <c r="AE2883" s="259">
        <f>DATE(2001,9,21)+(M2883/360)*365 - (360*((DecLong/360)- (GMTOffset/24) ))</f>
        <v>37274.0625</v>
      </c>
      <c r="AF2883" s="260">
        <f>IF(DecLat&gt;0,IF((90 - (DecLat-O2883))&gt;90, (90 - (O2883-DecLat)), (90 - (DecLat-O2883))),IF((90 + (DecLat-O2883))&gt;90, (90 + (O2883-DecLat)), (90 + (DecLat-O2883))))</f>
        <v>43.713333333333331</v>
      </c>
      <c r="AG2883" s="257">
        <f>angularseperation(MoonRA,MoonDec,$M2883,$O2883)</f>
        <v>120.35996527932659</v>
      </c>
      <c r="AH2883" s="261">
        <f ca="1">MIN(100,IF($O$5&gt;80,0+30*($AG2883/100),IF($O$5&gt;70,0+50*($AG2883/100),IF($O$5&gt;60,5+50*($AG2883/100),IF($O$5&gt;50,10+60*($AG2883/100),IF($O$5&gt;40,15+70*($AG2883/100),IF($O$5&gt;30,20+70*($AG2883/100),IF($O$5&gt;20,40+55*($AG2883/100),(80+(20-$O$5)+30*($AG2883/100))))))))))</f>
        <v>100</v>
      </c>
      <c r="AI2883" s="263"/>
      <c r="AJ2883" s="263"/>
      <c r="AK2883" s="263"/>
      <c r="AL2883" s="263"/>
      <c r="AM2883" s="264"/>
      <c r="AN2883" s="263"/>
      <c r="AO2883" s="263"/>
      <c r="AP2883" s="265"/>
      <c r="AQ2883" s="265"/>
      <c r="AR2883" s="285"/>
      <c r="AS2883" s="263"/>
      <c r="AT2883" s="263"/>
      <c r="AU2883" s="263"/>
      <c r="AV2883" s="264"/>
      <c r="AW2883" s="263"/>
      <c r="AX2883" s="263"/>
      <c r="AY2883" s="263"/>
      <c r="AZ2883" s="263"/>
      <c r="BA2883" s="263"/>
      <c r="BB2883" s="263">
        <v>299</v>
      </c>
      <c r="BC2883" s="263"/>
      <c r="BD2883" s="264"/>
      <c r="BE2883" s="263"/>
      <c r="BF2883" s="263"/>
      <c r="BG2883" s="263"/>
      <c r="BH2883" s="263"/>
      <c r="BI2883" s="263"/>
      <c r="BJ2883" s="404">
        <f>altaz(J2000_Bas,$O2883,$M2883,DecLat,DecLong,2)</f>
        <v>337.81196286660651</v>
      </c>
      <c r="BK2883" s="378" t="s">
        <v>2703</v>
      </c>
      <c r="BL2883" s="379">
        <f>IF((2*G2883)/60&lt;0.2,0.2,(2*G2883)/60)</f>
        <v>0.2</v>
      </c>
      <c r="BM2883" s="380">
        <f>MOD((50000+AD2883-$B$3+(0/24)),1)</f>
        <v>0.52076685908104992</v>
      </c>
      <c r="BN2883" s="381"/>
      <c r="BO2883" s="382">
        <v>2874</v>
      </c>
    </row>
    <row r="2884" spans="1:67" s="24" customFormat="1" ht="15" customHeight="1" x14ac:dyDescent="0.25">
      <c r="A2884" s="288" t="s">
        <v>2704</v>
      </c>
      <c r="B2884" s="241" t="str">
        <f>HYPERLINK(CONCATENATE($AT$3,BK2884,$AU$3),$AV$3)</f>
        <v>S</v>
      </c>
      <c r="C2884" s="242" t="str">
        <f>HYPERLINK(CONCATENATE($AT$4,BK2884,$AU$4,BL2884),$AV$4)</f>
        <v>A</v>
      </c>
      <c r="D2884" s="243" t="s">
        <v>5187</v>
      </c>
      <c r="E2884" s="244" t="s">
        <v>5183</v>
      </c>
      <c r="F2884" s="269" t="s">
        <v>5180</v>
      </c>
      <c r="G2884" s="273">
        <v>6</v>
      </c>
      <c r="H2884" s="283">
        <v>14000</v>
      </c>
      <c r="I2884" s="246">
        <v>25</v>
      </c>
      <c r="J2884" s="246">
        <v>1</v>
      </c>
      <c r="K2884" s="247" t="s">
        <v>6316</v>
      </c>
      <c r="L2884" s="248">
        <v>73100</v>
      </c>
      <c r="M2884" s="249">
        <f>15*(LEFT(TEXT($L2884,"000000"),2)+(MID(TEXT($L2884,"000000"),3,2)/60)+(RIGHT(TEXT($L2884,"000000"),2)/3600))</f>
        <v>112.75</v>
      </c>
      <c r="N2884" s="286">
        <v>-152412</v>
      </c>
      <c r="O2884" s="251">
        <f>IF($N2884&gt;0,(LEFT(TEXT($N2884,"000000"),2)+(MID(TEXT($N2884,"000000"),3,2)/60)+(RIGHT(TEXT($N2884,"000000"),2)/3600)),-(MID(TEXT($N2884,"000000"),2,2)+(MID(TEXT($N2884,"000000"),4,2)/60)+(RIGHT(TEXT($N2884,"000000"),2)/3600)))</f>
        <v>-15.403333333333334</v>
      </c>
      <c r="P2884" s="252" t="s">
        <v>80</v>
      </c>
      <c r="Q2884" s="253"/>
      <c r="R2884" s="277" t="s">
        <v>3293</v>
      </c>
      <c r="S2884" s="272" t="s">
        <v>3293</v>
      </c>
      <c r="T2884" s="273"/>
      <c r="U2884" s="274"/>
      <c r="V2884" s="280"/>
      <c r="W2884" s="244"/>
      <c r="X2884" s="244"/>
      <c r="Y2884" s="362"/>
      <c r="Z2884" s="257">
        <f>altaz(J2000_Bas,$O2884,$M2884,DecLat,DecLong,1)</f>
        <v>-73.226800492413616</v>
      </c>
      <c r="AA2884" s="257">
        <f>altaz((J2000_Bas+(2*0.04167)),$O2884,$M2884,DecLat,DecLong,1)</f>
        <v>-63.581982227727792</v>
      </c>
      <c r="AB2884" s="257">
        <f>altaz((J2000_Bas+(4*0.04167)),$O2884,$M2884,DecLat,DecLong,1)</f>
        <v>-38.995248135239052</v>
      </c>
      <c r="AC2884" s="257">
        <f>altaz((J2000_Bas+(6*0.04167)),$O2884,$M2884,DecLat,DecLong,1)</f>
        <v>-13.312340427447104</v>
      </c>
      <c r="AD2884" s="258">
        <f>1+ transit((J2000_Bas-1),$O2884,$M2884,DecLat,DecLong)/360 + (GMTOffset/24) + (IF(DST="Y", 1, 0)/24)</f>
        <v>1.3060943737547079</v>
      </c>
      <c r="AE2884" s="259">
        <f>DATE(2001,9,21)+(M2884/360)*365 - (360*((DecLong/360)- (GMTOffset/24) ))</f>
        <v>37274.315972222219</v>
      </c>
      <c r="AF2884" s="260">
        <f>IF(DecLat&gt;0,IF((90 - (DecLat-O2884))&gt;90, (90 - (O2884-DecLat)), (90 - (DecLat-O2884))),IF((90 + (DecLat-O2884))&gt;90, (90 + (O2884-DecLat)), (90 + (DecLat-O2884))))</f>
        <v>43.596666666666664</v>
      </c>
      <c r="AG2884" s="257">
        <f>angularseperation(MoonRA,MoonDec,$M2884,$O2884)</f>
        <v>120.10690536402153</v>
      </c>
      <c r="AH2884" s="261">
        <f ca="1">MIN(100,IF($O$5&gt;80,0+30*($AG2884/100),IF($O$5&gt;70,0+50*($AG2884/100),IF($O$5&gt;60,5+50*($AG2884/100),IF($O$5&gt;50,10+60*($AG2884/100),IF($O$5&gt;40,15+70*($AG2884/100),IF($O$5&gt;30,20+70*($AG2884/100),IF($O$5&gt;20,40+55*($AG2884/100),(80+(20-$O$5)+30*($AG2884/100))))))))))</f>
        <v>100</v>
      </c>
      <c r="AI2884" s="263"/>
      <c r="AJ2884" s="263"/>
      <c r="AK2884" s="263"/>
      <c r="AL2884" s="263"/>
      <c r="AM2884" s="264"/>
      <c r="AN2884" s="263"/>
      <c r="AO2884" s="263"/>
      <c r="AP2884" s="265"/>
      <c r="AQ2884" s="265"/>
      <c r="AR2884" s="285"/>
      <c r="AS2884" s="263"/>
      <c r="AT2884" s="263"/>
      <c r="AU2884" s="263"/>
      <c r="AV2884" s="264"/>
      <c r="AW2884" s="263"/>
      <c r="AX2884" s="263"/>
      <c r="AY2884" s="263"/>
      <c r="AZ2884" s="263"/>
      <c r="BA2884" s="263"/>
      <c r="BB2884" s="263">
        <v>300</v>
      </c>
      <c r="BC2884" s="263"/>
      <c r="BD2884" s="264"/>
      <c r="BE2884" s="263"/>
      <c r="BF2884" s="263"/>
      <c r="BG2884" s="263"/>
      <c r="BH2884" s="263"/>
      <c r="BI2884" s="263"/>
      <c r="BJ2884" s="404">
        <f>altaz(J2000_Bas,$O2884,$M2884,DecLat,DecLong,2)</f>
        <v>336.88934772896954</v>
      </c>
      <c r="BK2884" s="378" t="s">
        <v>2704</v>
      </c>
      <c r="BL2884" s="379">
        <f>IF((2*G2884)/60&lt;0.2,0.2,(2*G2884)/60)</f>
        <v>0.2</v>
      </c>
      <c r="BM2884" s="380">
        <f>MOD((50000+AD2884-$B$3+(0/24)),1)</f>
        <v>0.52146130346227437</v>
      </c>
      <c r="BN2884" s="381"/>
      <c r="BO2884" s="382">
        <v>2875</v>
      </c>
    </row>
    <row r="2885" spans="1:67" s="24" customFormat="1" ht="15" customHeight="1" x14ac:dyDescent="0.25">
      <c r="A2885" s="288" t="s">
        <v>2705</v>
      </c>
      <c r="B2885" s="241" t="str">
        <f>HYPERLINK(CONCATENATE($AT$3,BK2885,$AU$3),$AV$3)</f>
        <v>S</v>
      </c>
      <c r="C2885" s="242" t="str">
        <f>HYPERLINK(CONCATENATE($AT$4,BK2885,$AU$4,BL2885),$AV$4)</f>
        <v>A</v>
      </c>
      <c r="D2885" s="243" t="s">
        <v>5187</v>
      </c>
      <c r="E2885" s="244" t="s">
        <v>5183</v>
      </c>
      <c r="F2885" s="269" t="s">
        <v>9181</v>
      </c>
      <c r="G2885" s="273">
        <v>9</v>
      </c>
      <c r="H2885" s="283">
        <v>20000</v>
      </c>
      <c r="I2885" s="246">
        <v>50</v>
      </c>
      <c r="J2885" s="246">
        <v>4</v>
      </c>
      <c r="K2885" s="247" t="s">
        <v>5282</v>
      </c>
      <c r="L2885" s="248">
        <v>70954</v>
      </c>
      <c r="M2885" s="249">
        <f>15*(LEFT(TEXT($L2885,"000000"),2)+(MID(TEXT($L2885,"000000"),3,2)/60)+(RIGHT(TEXT($L2885,"000000"),2)/3600))</f>
        <v>107.47499999999999</v>
      </c>
      <c r="N2885" s="250">
        <v>-182953</v>
      </c>
      <c r="O2885" s="251">
        <f>IF($N2885&gt;0,(LEFT(TEXT($N2885,"000000"),2)+(MID(TEXT($N2885,"000000"),3,2)/60)+(RIGHT(TEXT($N2885,"000000"),2)/3600)),-(MID(TEXT($N2885,"000000"),2,2)+(MID(TEXT($N2885,"000000"),4,2)/60)+(RIGHT(TEXT($N2885,"000000"),2)/3600)))</f>
        <v>-18.498055555555556</v>
      </c>
      <c r="P2885" s="252" t="s">
        <v>80</v>
      </c>
      <c r="Q2885" s="253" t="s">
        <v>7083</v>
      </c>
      <c r="R2885" s="247" t="s">
        <v>6044</v>
      </c>
      <c r="S2885" s="272" t="s">
        <v>3293</v>
      </c>
      <c r="T2885" s="273"/>
      <c r="U2885" s="274"/>
      <c r="V2885" s="280"/>
      <c r="W2885" s="244"/>
      <c r="X2885" s="244"/>
      <c r="Y2885" s="362"/>
      <c r="Z2885" s="257">
        <f>altaz(J2000_Bas,$O2885,$M2885,DecLat,DecLong,1)</f>
        <v>-77.427216291652684</v>
      </c>
      <c r="AA2885" s="257">
        <f>altaz((J2000_Bas+(2*0.04167)),$O2885,$M2885,DecLat,DecLong,1)</f>
        <v>-61.285026743620193</v>
      </c>
      <c r="AB2885" s="257">
        <f>altaz((J2000_Bas+(4*0.04167)),$O2885,$M2885,DecLat,DecLong,1)</f>
        <v>-35.856315445931699</v>
      </c>
      <c r="AC2885" s="257">
        <f>altaz((J2000_Bas+(6*0.04167)),$O2885,$M2885,DecLat,DecLong,1)</f>
        <v>-10.410357154776804</v>
      </c>
      <c r="AD2885" s="258">
        <f>1+ transit((J2000_Bas-1),$O2885,$M2885,DecLat,DecLong)/360 + (GMTOffset/24) + (IF(DST="Y", 1, 0)/24)</f>
        <v>1.291441597442208</v>
      </c>
      <c r="AE2885" s="259">
        <f>DATE(2001,9,21)+(M2885/360)*365 - (360*((DecLong/360)- (GMTOffset/24) ))</f>
        <v>37268.96770833333</v>
      </c>
      <c r="AF2885" s="260">
        <f>IF(DecLat&gt;0,IF((90 - (DecLat-O2885))&gt;90, (90 - (O2885-DecLat)), (90 - (DecLat-O2885))),IF((90 + (DecLat-O2885))&gt;90, (90 + (O2885-DecLat)), (90 + (DecLat-O2885))))</f>
        <v>40.501944444444447</v>
      </c>
      <c r="AG2885" s="257">
        <f>angularseperation(MoonRA,MoonDec,$M2885,$O2885)</f>
        <v>121.25010426674783</v>
      </c>
      <c r="AH2885" s="261">
        <f ca="1">MIN(100,IF($O$5&gt;80,0+30*($AG2885/100),IF($O$5&gt;70,0+50*($AG2885/100),IF($O$5&gt;60,5+50*($AG2885/100),IF($O$5&gt;50,10+60*($AG2885/100),IF($O$5&gt;40,15+70*($AG2885/100),IF($O$5&gt;30,20+70*($AG2885/100),IF($O$5&gt;20,40+55*($AG2885/100),(80+(20-$O$5)+30*($AG2885/100))))))))))</f>
        <v>100</v>
      </c>
      <c r="AI2885" s="262"/>
      <c r="AJ2885" s="262"/>
      <c r="AK2885" s="262"/>
      <c r="AL2885" s="263"/>
      <c r="AM2885" s="264"/>
      <c r="AN2885" s="263"/>
      <c r="AO2885" s="263"/>
      <c r="AP2885" s="265"/>
      <c r="AQ2885" s="266"/>
      <c r="AR2885" s="267"/>
      <c r="AS2885" s="263"/>
      <c r="AT2885" s="263"/>
      <c r="AU2885" s="263"/>
      <c r="AV2885" s="264"/>
      <c r="AW2885" s="263"/>
      <c r="AX2885" s="263">
        <v>5</v>
      </c>
      <c r="AY2885" s="263"/>
      <c r="AZ2885" s="263"/>
      <c r="BA2885" s="263">
        <v>6</v>
      </c>
      <c r="BB2885" s="263">
        <v>301</v>
      </c>
      <c r="BC2885" s="263"/>
      <c r="BD2885" s="264"/>
      <c r="BE2885" s="263"/>
      <c r="BF2885" s="263"/>
      <c r="BG2885" s="263">
        <v>42</v>
      </c>
      <c r="BH2885" s="263"/>
      <c r="BI2885" s="263"/>
      <c r="BJ2885" s="404">
        <f>altaz(J2000_Bas,$O2885,$M2885,DecLat,DecLong,2)</f>
        <v>353.57275333185743</v>
      </c>
      <c r="BK2885" s="378" t="s">
        <v>2705</v>
      </c>
      <c r="BL2885" s="379">
        <f>IF((2*G2885)/60&lt;0.2,0.2,(2*G2885)/60)</f>
        <v>0.3</v>
      </c>
      <c r="BM2885" s="380">
        <f>MOD((50000+AD2885-$B$3+(0/24)),1)</f>
        <v>0.50680852714867797</v>
      </c>
      <c r="BN2885" s="381"/>
      <c r="BO2885" s="382">
        <v>2876</v>
      </c>
    </row>
    <row r="2886" spans="1:67" s="24" customFormat="1" ht="15" customHeight="1" x14ac:dyDescent="0.25">
      <c r="A2886" s="288" t="s">
        <v>2706</v>
      </c>
      <c r="B2886" s="241" t="str">
        <f>HYPERLINK(CONCATENATE($AT$3,BK2886,$AU$3),$AV$3)</f>
        <v>S</v>
      </c>
      <c r="C2886" s="242" t="str">
        <f>HYPERLINK(CONCATENATE($AT$4,BK2886,$AU$4,BL2886),$AV$4)</f>
        <v>A</v>
      </c>
      <c r="D2886" s="243" t="s">
        <v>5187</v>
      </c>
      <c r="E2886" s="244" t="s">
        <v>5183</v>
      </c>
      <c r="F2886" s="269" t="s">
        <v>5180</v>
      </c>
      <c r="G2886" s="276">
        <v>20</v>
      </c>
      <c r="H2886" s="283">
        <v>6000</v>
      </c>
      <c r="I2886" s="246">
        <v>36</v>
      </c>
      <c r="J2886" s="246">
        <v>2</v>
      </c>
      <c r="K2886" s="247" t="s">
        <v>9476</v>
      </c>
      <c r="L2886" s="248">
        <v>73132</v>
      </c>
      <c r="M2886" s="249">
        <f>15*(LEFT(TEXT($L2886,"000000"),2)+(MID(TEXT($L2886,"000000"),3,2)/60)+(RIGHT(TEXT($L2886,"000000"),2)/3600))</f>
        <v>112.88333333333333</v>
      </c>
      <c r="N2886" s="250">
        <v>-165910</v>
      </c>
      <c r="O2886" s="251">
        <f>IF($N2886&gt;0,(LEFT(TEXT($N2886,"000000"),2)+(MID(TEXT($N2886,"000000"),3,2)/60)+(RIGHT(TEXT($N2886,"000000"),2)/3600)),-(MID(TEXT($N2886,"000000"),2,2)+(MID(TEXT($N2886,"000000"),4,2)/60)+(RIGHT(TEXT($N2886,"000000"),2)/3600)))</f>
        <v>-16.986111111111111</v>
      </c>
      <c r="P2886" s="252" t="s">
        <v>91</v>
      </c>
      <c r="Q2886" s="253" t="s">
        <v>7070</v>
      </c>
      <c r="R2886" s="247" t="s">
        <v>6045</v>
      </c>
      <c r="S2886" s="272" t="s">
        <v>5283</v>
      </c>
      <c r="T2886" s="273"/>
      <c r="U2886" s="274"/>
      <c r="V2886" s="280"/>
      <c r="W2886" s="244"/>
      <c r="X2886" s="244"/>
      <c r="Y2886" s="362"/>
      <c r="Z2886" s="257">
        <f>altaz(J2000_Bas,$O2886,$M2886,DecLat,DecLong,1)</f>
        <v>-74.651309790120678</v>
      </c>
      <c r="AA2886" s="257">
        <f>altaz((J2000_Bas+(2*0.04167)),$O2886,$M2886,DecLat,DecLong,1)</f>
        <v>-64.678843409708492</v>
      </c>
      <c r="AB2886" s="257">
        <f>altaz((J2000_Bas+(4*0.04167)),$O2886,$M2886,DecLat,DecLong,1)</f>
        <v>-39.830152617705259</v>
      </c>
      <c r="AC2886" s="257">
        <f>altaz((J2000_Bas+(6*0.04167)),$O2886,$M2886,DecLat,DecLong,1)</f>
        <v>-14.185996508652581</v>
      </c>
      <c r="AD2886" s="258">
        <f>1+ transit((J2000_Bas-1),$O2886,$M2886,DecLat,DecLong)/360 + (GMTOffset/24) + (IF(DST="Y", 1, 0)/24)</f>
        <v>1.3064647440880413</v>
      </c>
      <c r="AE2886" s="259">
        <f>DATE(2001,9,21)+(M2886/360)*365 - (360*((DecLong/360)- (GMTOffset/24) ))</f>
        <v>37274.451157407406</v>
      </c>
      <c r="AF2886" s="260">
        <f>IF(DecLat&gt;0,IF((90 - (DecLat-O2886))&gt;90, (90 - (O2886-DecLat)), (90 - (DecLat-O2886))),IF((90 + (DecLat-O2886))&gt;90, (90 + (O2886-DecLat)), (90 + (DecLat-O2886))))</f>
        <v>42.013888888888886</v>
      </c>
      <c r="AG2886" s="257">
        <f>angularseperation(MoonRA,MoonDec,$M2886,$O2886)</f>
        <v>118.8943542205034</v>
      </c>
      <c r="AH2886" s="261">
        <f ca="1">MIN(100,IF($O$5&gt;80,0+30*($AG2886/100),IF($O$5&gt;70,0+50*($AG2886/100),IF($O$5&gt;60,5+50*($AG2886/100),IF($O$5&gt;50,10+60*($AG2886/100),IF($O$5&gt;40,15+70*($AG2886/100),IF($O$5&gt;30,20+70*($AG2886/100),IF($O$5&gt;20,40+55*($AG2886/100),(80+(20-$O$5)+30*($AG2886/100))))))))))</f>
        <v>100</v>
      </c>
      <c r="AI2886" s="262"/>
      <c r="AJ2886" s="262"/>
      <c r="AK2886" s="262"/>
      <c r="AL2886" s="263"/>
      <c r="AM2886" s="264"/>
      <c r="AN2886" s="263"/>
      <c r="AO2886" s="263"/>
      <c r="AP2886" s="265"/>
      <c r="AQ2886" s="266"/>
      <c r="AR2886" s="267"/>
      <c r="AS2886" s="263"/>
      <c r="AT2886" s="263"/>
      <c r="AU2886" s="263"/>
      <c r="AV2886" s="264"/>
      <c r="AW2886" s="263"/>
      <c r="AX2886" s="263">
        <v>6</v>
      </c>
      <c r="AY2886" s="263"/>
      <c r="AZ2886" s="263"/>
      <c r="BA2886" s="263">
        <v>7</v>
      </c>
      <c r="BB2886" s="263">
        <v>302</v>
      </c>
      <c r="BC2886" s="263"/>
      <c r="BD2886" s="264">
        <v>97</v>
      </c>
      <c r="BE2886" s="263"/>
      <c r="BF2886" s="263"/>
      <c r="BG2886" s="263"/>
      <c r="BH2886" s="263"/>
      <c r="BI2886" s="263">
        <v>53</v>
      </c>
      <c r="BJ2886" s="404">
        <f>altaz(J2000_Bas,$O2886,$M2886,DecLat,DecLong,2)</f>
        <v>334.35047215279752</v>
      </c>
      <c r="BK2886" s="378" t="s">
        <v>2706</v>
      </c>
      <c r="BL2886" s="379">
        <f>IF((2*G2886)/60&lt;0.2,0.2,(2*G2886)/60)</f>
        <v>0.66666666666666663</v>
      </c>
      <c r="BM2886" s="380">
        <f>MOD((50000+AD2886-$B$3+(0/24)),1)</f>
        <v>0.52183167379553197</v>
      </c>
      <c r="BN2886" s="381"/>
      <c r="BO2886" s="382">
        <v>2877</v>
      </c>
    </row>
    <row r="2887" spans="1:67" s="24" customFormat="1" ht="15" customHeight="1" x14ac:dyDescent="0.25">
      <c r="A2887" s="288" t="s">
        <v>2707</v>
      </c>
      <c r="B2887" s="241" t="str">
        <f>HYPERLINK(CONCATENATE($AT$3,BK2887,$AU$3),$AV$3)</f>
        <v>S</v>
      </c>
      <c r="C2887" s="242" t="str">
        <f>HYPERLINK(CONCATENATE($AT$4,BK2887,$AU$4,BL2887),$AV$4)</f>
        <v>A</v>
      </c>
      <c r="D2887" s="243" t="s">
        <v>5187</v>
      </c>
      <c r="E2887" s="244" t="s">
        <v>5183</v>
      </c>
      <c r="F2887" s="269" t="s">
        <v>5180</v>
      </c>
      <c r="G2887" s="276">
        <v>72</v>
      </c>
      <c r="H2887" s="283">
        <v>1900</v>
      </c>
      <c r="I2887" s="246">
        <v>40</v>
      </c>
      <c r="J2887" s="246">
        <v>2</v>
      </c>
      <c r="K2887" s="247" t="s">
        <v>6377</v>
      </c>
      <c r="L2887" s="248">
        <v>65422</v>
      </c>
      <c r="M2887" s="249">
        <f>15*(LEFT(TEXT($L2887,"000000"),2)+(MID(TEXT($L2887,"000000"),3,2)/60)+(RIGHT(TEXT($L2887,"000000"),2)/3600))</f>
        <v>103.59166666666667</v>
      </c>
      <c r="N2887" s="286">
        <v>-222557</v>
      </c>
      <c r="O2887" s="251">
        <f>IF($N2887&gt;0,(LEFT(TEXT($N2887,"000000"),2)+(MID(TEXT($N2887,"000000"),3,2)/60)+(RIGHT(TEXT($N2887,"000000"),2)/3600)),-(MID(TEXT($N2887,"000000"),2,2)+(MID(TEXT($N2887,"000000"),4,2)/60)+(RIGHT(TEXT($N2887,"000000"),2)/3600)))</f>
        <v>-22.432500000000001</v>
      </c>
      <c r="P2887" s="252" t="s">
        <v>80</v>
      </c>
      <c r="Q2887" s="253"/>
      <c r="R2887" s="277" t="s">
        <v>3293</v>
      </c>
      <c r="S2887" s="272" t="s">
        <v>3293</v>
      </c>
      <c r="T2887" s="273"/>
      <c r="U2887" s="274"/>
      <c r="V2887" s="280"/>
      <c r="W2887" s="244"/>
      <c r="X2887" s="244"/>
      <c r="Y2887" s="362"/>
      <c r="Z2887" s="257">
        <f>altaz(J2000_Bas,$O2887,$M2887,DecLat,DecLong,1)</f>
        <v>-81.166847625242298</v>
      </c>
      <c r="AA2887" s="257">
        <f>altaz((J2000_Bas+(2*0.04167)),$O2887,$M2887,DecLat,DecLong,1)</f>
        <v>-59.859039338713195</v>
      </c>
      <c r="AB2887" s="257">
        <f>altaz((J2000_Bas+(4*0.04167)),$O2887,$M2887,DecLat,DecLong,1)</f>
        <v>-34.152633977818809</v>
      </c>
      <c r="AC2887" s="257">
        <f>altaz((J2000_Bas+(6*0.04167)),$O2887,$M2887,DecLat,DecLong,1)</f>
        <v>-9.1896133902814636</v>
      </c>
      <c r="AD2887" s="258">
        <f>1+ transit((J2000_Bas-1),$O2887,$M2887,DecLat,DecLong)/360 + (GMTOffset/24) + (IF(DST="Y", 1, 0)/24)</f>
        <v>1.2806545614838747</v>
      </c>
      <c r="AE2887" s="259">
        <f>DATE(2001,9,21)+(M2887/360)*365 - (360*((DecLong/360)- (GMTOffset/24) ))</f>
        <v>37265.030439814815</v>
      </c>
      <c r="AF2887" s="260">
        <f>IF(DecLat&gt;0,IF((90 - (DecLat-O2887))&gt;90, (90 - (O2887-DecLat)), (90 - (DecLat-O2887))),IF((90 + (DecLat-O2887))&gt;90, (90 + (O2887-DecLat)), (90 + (DecLat-O2887))))</f>
        <v>36.567499999999995</v>
      </c>
      <c r="AG2887" s="257">
        <f>angularseperation(MoonRA,MoonDec,$M2887,$O2887)</f>
        <v>120.37845894023093</v>
      </c>
      <c r="AH2887" s="261">
        <f ca="1">MIN(100,IF($O$5&gt;80,0+30*($AG2887/100),IF($O$5&gt;70,0+50*($AG2887/100),IF($O$5&gt;60,5+50*($AG2887/100),IF($O$5&gt;50,10+60*($AG2887/100),IF($O$5&gt;40,15+70*($AG2887/100),IF($O$5&gt;30,20+70*($AG2887/100),IF($O$5&gt;20,40+55*($AG2887/100),(80+(20-$O$5)+30*($AG2887/100))))))))))</f>
        <v>100</v>
      </c>
      <c r="AI2887" s="263"/>
      <c r="AJ2887" s="263"/>
      <c r="AK2887" s="263"/>
      <c r="AL2887" s="263"/>
      <c r="AM2887" s="264"/>
      <c r="AN2887" s="263"/>
      <c r="AO2887" s="263"/>
      <c r="AP2887" s="265"/>
      <c r="AQ2887" s="265"/>
      <c r="AR2887" s="285"/>
      <c r="AS2887" s="263"/>
      <c r="AT2887" s="263"/>
      <c r="AU2887" s="263"/>
      <c r="AV2887" s="264"/>
      <c r="AW2887" s="263"/>
      <c r="AX2887" s="263"/>
      <c r="AY2887" s="263">
        <v>1047</v>
      </c>
      <c r="AZ2887" s="263"/>
      <c r="BA2887" s="263"/>
      <c r="BB2887" s="263">
        <v>303</v>
      </c>
      <c r="BC2887" s="263"/>
      <c r="BD2887" s="264"/>
      <c r="BE2887" s="263"/>
      <c r="BF2887" s="263"/>
      <c r="BG2887" s="263"/>
      <c r="BH2887" s="263"/>
      <c r="BI2887" s="263"/>
      <c r="BJ2887" s="404">
        <f>altaz(J2000_Bas,$O2887,$M2887,DecLat,DecLong,2)</f>
        <v>14.668027050663929</v>
      </c>
      <c r="BK2887" s="378" t="s">
        <v>2707</v>
      </c>
      <c r="BL2887" s="379">
        <f>IF((2*G2887)/60&lt;0.2,0.2,(2*G2887)/60)</f>
        <v>2.4</v>
      </c>
      <c r="BM2887" s="380">
        <f>MOD((50000+AD2887-$B$3+(0/24)),1)</f>
        <v>0.496021491184365</v>
      </c>
      <c r="BN2887" s="381"/>
      <c r="BO2887" s="382">
        <v>2878</v>
      </c>
    </row>
    <row r="2888" spans="1:67" s="24" customFormat="1" ht="15" customHeight="1" x14ac:dyDescent="0.25">
      <c r="A2888" s="288" t="s">
        <v>2708</v>
      </c>
      <c r="B2888" s="241" t="str">
        <f>HYPERLINK(CONCATENATE($AT$3,BK2888,$AU$3),$AV$3)</f>
        <v>S</v>
      </c>
      <c r="C2888" s="242" t="str">
        <f>HYPERLINK(CONCATENATE($AT$4,BK2888,$AU$4,BL2888),$AV$4)</f>
        <v>A</v>
      </c>
      <c r="D2888" s="243" t="s">
        <v>5187</v>
      </c>
      <c r="E2888" s="244" t="s">
        <v>5183</v>
      </c>
      <c r="F2888" s="269" t="s">
        <v>5180</v>
      </c>
      <c r="G2888" s="276">
        <v>180</v>
      </c>
      <c r="H2888" s="283">
        <v>1900</v>
      </c>
      <c r="I2888" s="246">
        <v>100</v>
      </c>
      <c r="J2888" s="246">
        <v>2</v>
      </c>
      <c r="K2888" s="247" t="s">
        <v>6378</v>
      </c>
      <c r="L2888" s="248">
        <v>64400</v>
      </c>
      <c r="M2888" s="249">
        <f>15*(LEFT(TEXT($L2888,"000000"),2)+(MID(TEXT($L2888,"000000"),3,2)/60)+(RIGHT(TEXT($L2888,"000000"),2)/3600))</f>
        <v>101</v>
      </c>
      <c r="N2888" s="286">
        <v>-235412</v>
      </c>
      <c r="O2888" s="251">
        <f>IF($N2888&gt;0,(LEFT(TEXT($N2888,"000000"),2)+(MID(TEXT($N2888,"000000"),3,2)/60)+(RIGHT(TEXT($N2888,"000000"),2)/3600)),-(MID(TEXT($N2888,"000000"),2,2)+(MID(TEXT($N2888,"000000"),4,2)/60)+(RIGHT(TEXT($N2888,"000000"),2)/3600)))</f>
        <v>-23.903333333333332</v>
      </c>
      <c r="P2888" s="252" t="s">
        <v>80</v>
      </c>
      <c r="Q2888" s="253"/>
      <c r="R2888" s="277" t="s">
        <v>6047</v>
      </c>
      <c r="S2888" s="272" t="s">
        <v>3293</v>
      </c>
      <c r="T2888" s="273"/>
      <c r="U2888" s="274"/>
      <c r="V2888" s="280"/>
      <c r="W2888" s="244"/>
      <c r="X2888" s="244"/>
      <c r="Y2888" s="362"/>
      <c r="Z2888" s="257">
        <f>altaz(J2000_Bas,$O2888,$M2888,DecLat,DecLong,1)</f>
        <v>-81.632082371345859</v>
      </c>
      <c r="AA2888" s="257">
        <f>altaz((J2000_Bas+(2*0.04167)),$O2888,$M2888,DecLat,DecLong,1)</f>
        <v>-58.204418160500659</v>
      </c>
      <c r="AB2888" s="257">
        <f>altaz((J2000_Bas+(4*0.04167)),$O2888,$M2888,DecLat,DecLong,1)</f>
        <v>-32.530251468635491</v>
      </c>
      <c r="AC2888" s="257">
        <f>altaz((J2000_Bas+(6*0.04167)),$O2888,$M2888,DecLat,DecLong,1)</f>
        <v>-7.8685252659539975</v>
      </c>
      <c r="AD2888" s="258">
        <f>1+ transit((J2000_Bas-1),$O2888,$M2888,DecLat,DecLong)/360 + (GMTOffset/24) + (IF(DST="Y", 1, 0)/24)</f>
        <v>1.273455488129708</v>
      </c>
      <c r="AE2888" s="259">
        <f>DATE(2001,9,21)+(M2888/360)*365 - (360*((DecLong/360)- (GMTOffset/24) ))</f>
        <v>37262.402777777781</v>
      </c>
      <c r="AF2888" s="260">
        <f>IF(DecLat&gt;0,IF((90 - (DecLat-O2888))&gt;90, (90 - (O2888-DecLat)), (90 - (DecLat-O2888))),IF((90 + (DecLat-O2888))&gt;90, (90 + (O2888-DecLat)), (90 + (DecLat-O2888))))</f>
        <v>35.096666666666664</v>
      </c>
      <c r="AG2888" s="257">
        <f>angularseperation(MoonRA,MoonDec,$M2888,$O2888)</f>
        <v>120.50548706986351</v>
      </c>
      <c r="AH2888" s="261">
        <f ca="1">MIN(100,IF($O$5&gt;80,0+30*($AG2888/100),IF($O$5&gt;70,0+50*($AG2888/100),IF($O$5&gt;60,5+50*($AG2888/100),IF($O$5&gt;50,10+60*($AG2888/100),IF($O$5&gt;40,15+70*($AG2888/100),IF($O$5&gt;30,20+70*($AG2888/100),IF($O$5&gt;20,40+55*($AG2888/100),(80+(20-$O$5)+30*($AG2888/100))))))))))</f>
        <v>100</v>
      </c>
      <c r="AI2888" s="263"/>
      <c r="AJ2888" s="263"/>
      <c r="AK2888" s="263"/>
      <c r="AL2888" s="263"/>
      <c r="AM2888" s="264"/>
      <c r="AN2888" s="263"/>
      <c r="AO2888" s="263"/>
      <c r="AP2888" s="265"/>
      <c r="AQ2888" s="265"/>
      <c r="AR2888" s="285"/>
      <c r="AS2888" s="263"/>
      <c r="AT2888" s="263"/>
      <c r="AU2888" s="263"/>
      <c r="AV2888" s="264"/>
      <c r="AW2888" s="263"/>
      <c r="AX2888" s="263"/>
      <c r="AY2888" s="263">
        <v>1049</v>
      </c>
      <c r="AZ2888" s="263"/>
      <c r="BA2888" s="263">
        <v>9</v>
      </c>
      <c r="BB2888" s="263">
        <v>304</v>
      </c>
      <c r="BC2888" s="263"/>
      <c r="BD2888" s="264"/>
      <c r="BE2888" s="263"/>
      <c r="BF2888" s="263"/>
      <c r="BG2888" s="263"/>
      <c r="BH2888" s="263"/>
      <c r="BI2888" s="263">
        <v>47</v>
      </c>
      <c r="BJ2888" s="404">
        <f>altaz(J2000_Bas,$O2888,$M2888,DecLat,DecLong,2)</f>
        <v>33.216854738033675</v>
      </c>
      <c r="BK2888" s="378" t="s">
        <v>2708</v>
      </c>
      <c r="BL2888" s="379">
        <f>IF((2*G2888)/60&lt;0.2,0.2,(2*G2888)/60)</f>
        <v>6</v>
      </c>
      <c r="BM2888" s="380">
        <f>MOD((50000+AD2888-$B$3+(0/24)),1)</f>
        <v>0.48882241783576319</v>
      </c>
      <c r="BN2888" s="381"/>
      <c r="BO2888" s="382">
        <v>2879</v>
      </c>
    </row>
    <row r="2889" spans="1:67" s="24" customFormat="1" ht="15" customHeight="1" x14ac:dyDescent="0.25">
      <c r="A2889" s="288" t="s">
        <v>2709</v>
      </c>
      <c r="B2889" s="241" t="str">
        <f>HYPERLINK(CONCATENATE($AT$3,BK2889,$AU$3),$AV$3)</f>
        <v>S</v>
      </c>
      <c r="C2889" s="242" t="str">
        <f>HYPERLINK(CONCATENATE($AT$4,BK2889,$AU$4,BL2889),$AV$4)</f>
        <v>A</v>
      </c>
      <c r="D2889" s="243" t="s">
        <v>5187</v>
      </c>
      <c r="E2889" s="244" t="s">
        <v>5183</v>
      </c>
      <c r="F2889" s="269" t="s">
        <v>5180</v>
      </c>
      <c r="G2889" s="273">
        <v>5</v>
      </c>
      <c r="H2889" s="283">
        <v>14000</v>
      </c>
      <c r="I2889" s="246">
        <v>20</v>
      </c>
      <c r="J2889" s="246">
        <v>3</v>
      </c>
      <c r="K2889" s="247" t="s">
        <v>5285</v>
      </c>
      <c r="L2889" s="248">
        <v>73004</v>
      </c>
      <c r="M2889" s="249">
        <f>15*(LEFT(TEXT($L2889,"000000"),2)+(MID(TEXT($L2889,"000000"),3,2)/60)+(RIGHT(TEXT($L2889,"000000"),2)/3600))</f>
        <v>112.51666666666667</v>
      </c>
      <c r="N2889" s="250">
        <v>-183213</v>
      </c>
      <c r="O2889" s="251">
        <f>IF($N2889&gt;0,(LEFT(TEXT($N2889,"000000"),2)+(MID(TEXT($N2889,"000000"),3,2)/60)+(RIGHT(TEXT($N2889,"000000"),2)/3600)),-(MID(TEXT($N2889,"000000"),2,2)+(MID(TEXT($N2889,"000000"),4,2)/60)+(RIGHT(TEXT($N2889,"000000"),2)/3600)))</f>
        <v>-18.536944444444448</v>
      </c>
      <c r="P2889" s="252" t="s">
        <v>91</v>
      </c>
      <c r="Q2889" s="253"/>
      <c r="R2889" s="247" t="s">
        <v>6046</v>
      </c>
      <c r="S2889" s="272" t="s">
        <v>5284</v>
      </c>
      <c r="T2889" s="273"/>
      <c r="U2889" s="274"/>
      <c r="V2889" s="280"/>
      <c r="W2889" s="244"/>
      <c r="X2889" s="244"/>
      <c r="Y2889" s="362"/>
      <c r="Z2889" s="257">
        <f>altaz(J2000_Bas,$O2889,$M2889,DecLat,DecLong,1)</f>
        <v>-76.213069810838633</v>
      </c>
      <c r="AA2889" s="257">
        <f>altaz((J2000_Bas+(2*0.04167)),$O2889,$M2889,DecLat,DecLong,1)</f>
        <v>-65.316852623581596</v>
      </c>
      <c r="AB2889" s="257">
        <f>altaz((J2000_Bas+(4*0.04167)),$O2889,$M2889,DecLat,DecLong,1)</f>
        <v>-40.194144748140225</v>
      </c>
      <c r="AC2889" s="257">
        <f>altaz((J2000_Bas+(6*0.04167)),$O2889,$M2889,DecLat,DecLong,1)</f>
        <v>-14.617289444172712</v>
      </c>
      <c r="AD2889" s="258">
        <f>1+ transit((J2000_Bas-1),$O2889,$M2889,DecLat,DecLong)/360 + (GMTOffset/24) + (IF(DST="Y", 1, 0)/24)</f>
        <v>1.3054462256713746</v>
      </c>
      <c r="AE2889" s="259">
        <f>DATE(2001,9,21)+(M2889/360)*365 - (360*((DecLong/360)- (GMTOffset/24) ))</f>
        <v>37274.079398148147</v>
      </c>
      <c r="AF2889" s="260">
        <f>IF(DecLat&gt;0,IF((90 - (DecLat-O2889))&gt;90, (90 - (O2889-DecLat)), (90 - (DecLat-O2889))),IF((90 + (DecLat-O2889))&gt;90, (90 + (O2889-DecLat)), (90 + (DecLat-O2889))))</f>
        <v>40.463055555555556</v>
      </c>
      <c r="AG2889" s="257">
        <f>angularseperation(MoonRA,MoonDec,$M2889,$O2889)</f>
        <v>118.02495345712312</v>
      </c>
      <c r="AH2889" s="261">
        <f ca="1">MIN(100,IF($O$5&gt;80,0+30*($AG2889/100),IF($O$5&gt;70,0+50*($AG2889/100),IF($O$5&gt;60,5+50*($AG2889/100),IF($O$5&gt;50,10+60*($AG2889/100),IF($O$5&gt;40,15+70*($AG2889/100),IF($O$5&gt;30,20+70*($AG2889/100),IF($O$5&gt;20,40+55*($AG2889/100),(80+(20-$O$5)+30*($AG2889/100))))))))))</f>
        <v>100</v>
      </c>
      <c r="AI2889" s="262"/>
      <c r="AJ2889" s="262"/>
      <c r="AK2889" s="262"/>
      <c r="AL2889" s="263"/>
      <c r="AM2889" s="264"/>
      <c r="AN2889" s="263"/>
      <c r="AO2889" s="263"/>
      <c r="AP2889" s="265"/>
      <c r="AQ2889" s="266"/>
      <c r="AR2889" s="267"/>
      <c r="AS2889" s="263"/>
      <c r="AT2889" s="263"/>
      <c r="AU2889" s="263"/>
      <c r="AV2889" s="264"/>
      <c r="AW2889" s="263"/>
      <c r="AX2889" s="263"/>
      <c r="AY2889" s="263"/>
      <c r="AZ2889" s="263"/>
      <c r="BA2889" s="263">
        <v>8</v>
      </c>
      <c r="BB2889" s="263">
        <v>305</v>
      </c>
      <c r="BC2889" s="263"/>
      <c r="BD2889" s="264"/>
      <c r="BE2889" s="263"/>
      <c r="BF2889" s="263"/>
      <c r="BG2889" s="263"/>
      <c r="BH2889" s="263"/>
      <c r="BI2889" s="263"/>
      <c r="BJ2889" s="404">
        <f>altaz(J2000_Bas,$O2889,$M2889,DecLat,DecLong,2)</f>
        <v>333.16997981548457</v>
      </c>
      <c r="BK2889" s="378" t="s">
        <v>2709</v>
      </c>
      <c r="BL2889" s="379">
        <f>IF((2*G2889)/60&lt;0.2,0.2,(2*G2889)/60)</f>
        <v>0.2</v>
      </c>
      <c r="BM2889" s="380">
        <f>MOD((50000+AD2889-$B$3+(0/24)),1)</f>
        <v>0.52081315537361661</v>
      </c>
      <c r="BN2889" s="381"/>
      <c r="BO2889" s="382">
        <v>2880</v>
      </c>
    </row>
    <row r="2890" spans="1:67" s="24" customFormat="1" ht="15" customHeight="1" x14ac:dyDescent="0.25">
      <c r="A2890" s="288" t="s">
        <v>2710</v>
      </c>
      <c r="B2890" s="241" t="str">
        <f>HYPERLINK(CONCATENATE($AT$3,BK2890,$AU$3),$AV$3)</f>
        <v>S</v>
      </c>
      <c r="C2890" s="242" t="str">
        <f>HYPERLINK(CONCATENATE($AT$4,BK2890,$AU$4,BL2890),$AV$4)</f>
        <v>A</v>
      </c>
      <c r="D2890" s="243" t="s">
        <v>5187</v>
      </c>
      <c r="E2890" s="244" t="s">
        <v>5183</v>
      </c>
      <c r="F2890" s="269" t="s">
        <v>5180</v>
      </c>
      <c r="G2890" s="276">
        <v>28</v>
      </c>
      <c r="H2890" s="283">
        <v>14000</v>
      </c>
      <c r="I2890" s="246">
        <v>115</v>
      </c>
      <c r="J2890" s="246">
        <v>1</v>
      </c>
      <c r="K2890" s="247" t="s">
        <v>6379</v>
      </c>
      <c r="L2890" s="248">
        <v>73000</v>
      </c>
      <c r="M2890" s="249">
        <f>15*(LEFT(TEXT($L2890,"000000"),2)+(MID(TEXT($L2890,"000000"),3,2)/60)+(RIGHT(TEXT($L2890,"000000"),2)/3600))</f>
        <v>112.5</v>
      </c>
      <c r="N2890" s="286">
        <v>-190812</v>
      </c>
      <c r="O2890" s="251">
        <f>IF($N2890&gt;0,(LEFT(TEXT($N2890,"000000"),2)+(MID(TEXT($N2890,"000000"),3,2)/60)+(RIGHT(TEXT($N2890,"000000"),2)/3600)),-(MID(TEXT($N2890,"000000"),2,2)+(MID(TEXT($N2890,"000000"),4,2)/60)+(RIGHT(TEXT($N2890,"000000"),2)/3600)))</f>
        <v>-19.136666666666667</v>
      </c>
      <c r="P2890" s="252" t="s">
        <v>91</v>
      </c>
      <c r="Q2890" s="253"/>
      <c r="R2890" s="277" t="s">
        <v>6048</v>
      </c>
      <c r="S2890" s="272" t="s">
        <v>3293</v>
      </c>
      <c r="T2890" s="273"/>
      <c r="U2890" s="274"/>
      <c r="V2890" s="280"/>
      <c r="W2890" s="244"/>
      <c r="X2890" s="244"/>
      <c r="Y2890" s="362"/>
      <c r="Z2890" s="257">
        <f>altaz(J2000_Bas,$O2890,$M2890,DecLat,DecLong,1)</f>
        <v>-76.765052436031382</v>
      </c>
      <c r="AA2890" s="257">
        <f>altaz((J2000_Bas+(2*0.04167)),$O2890,$M2890,DecLat,DecLong,1)</f>
        <v>-65.641673594617288</v>
      </c>
      <c r="AB2890" s="257">
        <f>altaz((J2000_Bas+(4*0.04167)),$O2890,$M2890,DecLat,DecLong,1)</f>
        <v>-40.434271061905939</v>
      </c>
      <c r="AC2890" s="257">
        <f>altaz((J2000_Bas+(6*0.04167)),$O2890,$M2890,DecLat,DecLong,1)</f>
        <v>-14.887000096426236</v>
      </c>
      <c r="AD2890" s="258">
        <f>1+ transit((J2000_Bas-1),$O2890,$M2890,DecLat,DecLong)/360 + (GMTOffset/24) + (IF(DST="Y", 1, 0)/24)</f>
        <v>1.3053999293797081</v>
      </c>
      <c r="AE2890" s="259">
        <f>DATE(2001,9,21)+(M2890/360)*365 - (360*((DecLong/360)- (GMTOffset/24) ))</f>
        <v>37274.0625</v>
      </c>
      <c r="AF2890" s="260">
        <f>IF(DecLat&gt;0,IF((90 - (DecLat-O2890))&gt;90, (90 - (O2890-DecLat)), (90 - (DecLat-O2890))),IF((90 + (DecLat-O2890))&gt;90, (90 + (O2890-DecLat)), (90 + (DecLat-O2890))))</f>
        <v>39.86333333333333</v>
      </c>
      <c r="AG2890" s="257">
        <f>angularseperation(MoonRA,MoonDec,$M2890,$O2890)</f>
        <v>117.60171910859901</v>
      </c>
      <c r="AH2890" s="261">
        <f ca="1">MIN(100,IF($O$5&gt;80,0+30*($AG2890/100),IF($O$5&gt;70,0+50*($AG2890/100),IF($O$5&gt;60,5+50*($AG2890/100),IF($O$5&gt;50,10+60*($AG2890/100),IF($O$5&gt;40,15+70*($AG2890/100),IF($O$5&gt;30,20+70*($AG2890/100),IF($O$5&gt;20,40+55*($AG2890/100),(80+(20-$O$5)+30*($AG2890/100))))))))))</f>
        <v>100</v>
      </c>
      <c r="AI2890" s="263"/>
      <c r="AJ2890" s="263"/>
      <c r="AK2890" s="263"/>
      <c r="AL2890" s="263"/>
      <c r="AM2890" s="264"/>
      <c r="AN2890" s="263"/>
      <c r="AO2890" s="263"/>
      <c r="AP2890" s="265"/>
      <c r="AQ2890" s="265"/>
      <c r="AR2890" s="285"/>
      <c r="AS2890" s="263"/>
      <c r="AT2890" s="263"/>
      <c r="AU2890" s="263"/>
      <c r="AV2890" s="264"/>
      <c r="AW2890" s="263"/>
      <c r="AX2890" s="263"/>
      <c r="AY2890" s="263">
        <v>1050</v>
      </c>
      <c r="AZ2890" s="263"/>
      <c r="BA2890" s="263">
        <v>10</v>
      </c>
      <c r="BB2890" s="263">
        <v>306</v>
      </c>
      <c r="BC2890" s="263"/>
      <c r="BD2890" s="264"/>
      <c r="BE2890" s="263"/>
      <c r="BF2890" s="263"/>
      <c r="BG2890" s="263"/>
      <c r="BH2890" s="263"/>
      <c r="BI2890" s="263"/>
      <c r="BJ2890" s="404">
        <f>altaz(J2000_Bas,$O2890,$M2890,DecLat,DecLong,2)</f>
        <v>332.16384956033107</v>
      </c>
      <c r="BK2890" s="378" t="s">
        <v>2710</v>
      </c>
      <c r="BL2890" s="379">
        <f>IF((2*G2890)/60&lt;0.2,0.2,(2*G2890)/60)</f>
        <v>0.93333333333333335</v>
      </c>
      <c r="BM2890" s="380">
        <f>MOD((50000+AD2890-$B$3+(0/24)),1)</f>
        <v>0.52076685908104992</v>
      </c>
      <c r="BN2890" s="381"/>
      <c r="BO2890" s="382">
        <v>2881</v>
      </c>
    </row>
    <row r="2891" spans="1:67" s="24" customFormat="1" ht="15" customHeight="1" x14ac:dyDescent="0.25">
      <c r="A2891" s="288" t="s">
        <v>2711</v>
      </c>
      <c r="B2891" s="241" t="str">
        <f>HYPERLINK(CONCATENATE($AT$3,BK2891,$AU$3),$AV$3)</f>
        <v>S</v>
      </c>
      <c r="C2891" s="242" t="str">
        <f>HYPERLINK(CONCATENATE($AT$4,BK2891,$AU$4,BL2891),$AV$4)</f>
        <v>A</v>
      </c>
      <c r="D2891" s="243" t="s">
        <v>5187</v>
      </c>
      <c r="E2891" s="244" t="s">
        <v>5183</v>
      </c>
      <c r="F2891" s="269" t="s">
        <v>5180</v>
      </c>
      <c r="G2891" s="273">
        <v>7</v>
      </c>
      <c r="H2891" s="283">
        <v>12000</v>
      </c>
      <c r="I2891" s="246">
        <v>25</v>
      </c>
      <c r="J2891" s="246">
        <v>3</v>
      </c>
      <c r="K2891" s="247" t="s">
        <v>5286</v>
      </c>
      <c r="L2891" s="248">
        <v>73534</v>
      </c>
      <c r="M2891" s="249">
        <f>15*(LEFT(TEXT($L2891,"000000"),2)+(MID(TEXT($L2891,"000000"),3,2)/60)+(RIGHT(TEXT($L2891,"000000"),2)/3600))</f>
        <v>113.89166666666665</v>
      </c>
      <c r="N2891" s="250">
        <v>-184535</v>
      </c>
      <c r="O2891" s="251">
        <f>IF($N2891&gt;0,(LEFT(TEXT($N2891,"000000"),2)+(MID(TEXT($N2891,"000000"),3,2)/60)+(RIGHT(TEXT($N2891,"000000"),2)/3600)),-(MID(TEXT($N2891,"000000"),2,2)+(MID(TEXT($N2891,"000000"),4,2)/60)+(RIGHT(TEXT($N2891,"000000"),2)/3600)))</f>
        <v>-18.759722222222223</v>
      </c>
      <c r="P2891" s="252" t="s">
        <v>91</v>
      </c>
      <c r="Q2891" s="253"/>
      <c r="R2891" s="247" t="s">
        <v>6050</v>
      </c>
      <c r="S2891" s="272" t="s">
        <v>3293</v>
      </c>
      <c r="T2891" s="273"/>
      <c r="U2891" s="274"/>
      <c r="V2891" s="280"/>
      <c r="W2891" s="244"/>
      <c r="X2891" s="244"/>
      <c r="Y2891" s="362"/>
      <c r="Z2891" s="257">
        <f>altaz(J2000_Bas,$O2891,$M2891,DecLat,DecLong,1)</f>
        <v>-75.832796997397764</v>
      </c>
      <c r="AA2891" s="257">
        <f>altaz((J2000_Bas+(2*0.04167)),$O2891,$M2891,DecLat,DecLong,1)</f>
        <v>-66.509394341929976</v>
      </c>
      <c r="AB2891" s="257">
        <f>altaz((J2000_Bas+(4*0.04167)),$O2891,$M2891,DecLat,DecLong,1)</f>
        <v>-41.467421275547835</v>
      </c>
      <c r="AC2891" s="257">
        <f>altaz((J2000_Bas+(6*0.04167)),$O2891,$M2891,DecLat,DecLong,1)</f>
        <v>-15.871263500830695</v>
      </c>
      <c r="AD2891" s="258">
        <f>1+ transit((J2000_Bas-1),$O2891,$M2891,DecLat,DecLong)/360 + (GMTOffset/24) + (IF(DST="Y", 1, 0)/24)</f>
        <v>1.3092656697338747</v>
      </c>
      <c r="AE2891" s="259">
        <f>DATE(2001,9,21)+(M2891/360)*365 - (360*((DecLong/360)- (GMTOffset/24) ))</f>
        <v>37275.473495370374</v>
      </c>
      <c r="AF2891" s="260">
        <f>IF(DecLat&gt;0,IF((90 - (DecLat-O2891))&gt;90, (90 - (O2891-DecLat)), (90 - (DecLat-O2891))),IF((90 + (DecLat-O2891))&gt;90, (90 + (O2891-DecLat)), (90 + (DecLat-O2891))))</f>
        <v>40.240277777777777</v>
      </c>
      <c r="AG2891" s="257">
        <f>angularseperation(MoonRA,MoonDec,$M2891,$O2891)</f>
        <v>116.95745159686125</v>
      </c>
      <c r="AH2891" s="261">
        <f ca="1">MIN(100,IF($O$5&gt;80,0+30*($AG2891/100),IF($O$5&gt;70,0+50*($AG2891/100),IF($O$5&gt;60,5+50*($AG2891/100),IF($O$5&gt;50,10+60*($AG2891/100),IF($O$5&gt;40,15+70*($AG2891/100),IF($O$5&gt;30,20+70*($AG2891/100),IF($O$5&gt;20,40+55*($AG2891/100),(80+(20-$O$5)+30*($AG2891/100))))))))))</f>
        <v>100</v>
      </c>
      <c r="AI2891" s="262"/>
      <c r="AJ2891" s="262"/>
      <c r="AK2891" s="262"/>
      <c r="AL2891" s="263"/>
      <c r="AM2891" s="264"/>
      <c r="AN2891" s="263"/>
      <c r="AO2891" s="263"/>
      <c r="AP2891" s="265"/>
      <c r="AQ2891" s="266"/>
      <c r="AR2891" s="267"/>
      <c r="AS2891" s="263"/>
      <c r="AT2891" s="263"/>
      <c r="AU2891" s="263"/>
      <c r="AV2891" s="264"/>
      <c r="AW2891" s="263"/>
      <c r="AX2891" s="263">
        <v>7</v>
      </c>
      <c r="AY2891" s="263"/>
      <c r="AZ2891" s="263"/>
      <c r="BA2891" s="263">
        <v>12</v>
      </c>
      <c r="BB2891" s="263">
        <v>307</v>
      </c>
      <c r="BC2891" s="263"/>
      <c r="BD2891" s="264"/>
      <c r="BE2891" s="263"/>
      <c r="BF2891" s="263"/>
      <c r="BG2891" s="263"/>
      <c r="BH2891" s="263"/>
      <c r="BI2891" s="263"/>
      <c r="BJ2891" s="404">
        <f>altaz(J2000_Bas,$O2891,$M2891,DecLat,DecLong,2)</f>
        <v>327.92697253292374</v>
      </c>
      <c r="BK2891" s="378" t="s">
        <v>2711</v>
      </c>
      <c r="BL2891" s="379">
        <f>IF((2*G2891)/60&lt;0.2,0.2,(2*G2891)/60)</f>
        <v>0.23333333333333334</v>
      </c>
      <c r="BM2891" s="380">
        <f>MOD((50000+AD2891-$B$3+(0/24)),1)</f>
        <v>0.52463259943760931</v>
      </c>
      <c r="BN2891" s="381"/>
      <c r="BO2891" s="382">
        <v>2882</v>
      </c>
    </row>
    <row r="2892" spans="1:67" s="24" customFormat="1" ht="15" customHeight="1" x14ac:dyDescent="0.25">
      <c r="A2892" s="288" t="s">
        <v>2712</v>
      </c>
      <c r="B2892" s="241" t="str">
        <f>HYPERLINK(CONCATENATE($AT$3,BK2892,$AU$3),$AV$3)</f>
        <v>S</v>
      </c>
      <c r="C2892" s="242" t="str">
        <f>HYPERLINK(CONCATENATE($AT$4,BK2892,$AU$4,BL2892),$AV$4)</f>
        <v>A</v>
      </c>
      <c r="D2892" s="243" t="s">
        <v>5187</v>
      </c>
      <c r="E2892" s="244" t="s">
        <v>5183</v>
      </c>
      <c r="F2892" s="269" t="s">
        <v>4579</v>
      </c>
      <c r="G2892" s="276">
        <v>45</v>
      </c>
      <c r="H2892" s="283">
        <v>5000</v>
      </c>
      <c r="I2892" s="246">
        <v>66</v>
      </c>
      <c r="J2892" s="246">
        <v>5</v>
      </c>
      <c r="K2892" s="247" t="s">
        <v>5287</v>
      </c>
      <c r="L2892" s="248">
        <v>65400</v>
      </c>
      <c r="M2892" s="249">
        <f>15*(LEFT(TEXT($L2892,"000000"),2)+(MID(TEXT($L2892,"000000"),3,2)/60)+(RIGHT(TEXT($L2892,"000000"),2)/3600))</f>
        <v>103.5</v>
      </c>
      <c r="N2892" s="250">
        <v>-235600</v>
      </c>
      <c r="O2892" s="251">
        <f>IF($N2892&gt;0,(LEFT(TEXT($N2892,"000000"),2)+(MID(TEXT($N2892,"000000"),3,2)/60)+(RIGHT(TEXT($N2892,"000000"),2)/3600)),-(MID(TEXT($N2892,"000000"),2,2)+(MID(TEXT($N2892,"000000"),4,2)/60)+(RIGHT(TEXT($N2892,"000000"),2)/3600)))</f>
        <v>-23.933333333333334</v>
      </c>
      <c r="P2892" s="252" t="s">
        <v>80</v>
      </c>
      <c r="Q2892" s="253" t="s">
        <v>6998</v>
      </c>
      <c r="R2892" s="247" t="s">
        <v>6049</v>
      </c>
      <c r="S2892" s="272" t="s">
        <v>3293</v>
      </c>
      <c r="T2892" s="273"/>
      <c r="U2892" s="274"/>
      <c r="V2892" s="280"/>
      <c r="W2892" s="244"/>
      <c r="X2892" s="244"/>
      <c r="Y2892" s="362"/>
      <c r="Z2892" s="257">
        <f>altaz(J2000_Bas,$O2892,$M2892,DecLat,DecLong,1)</f>
        <v>-82.593446506015411</v>
      </c>
      <c r="AA2892" s="257">
        <f>altaz((J2000_Bas+(2*0.04167)),$O2892,$M2892,DecLat,DecLong,1)</f>
        <v>-60.350158263110998</v>
      </c>
      <c r="AB2892" s="257">
        <f>altaz((J2000_Bas+(4*0.04167)),$O2892,$M2892,DecLat,DecLong,1)</f>
        <v>-34.653871181146442</v>
      </c>
      <c r="AC2892" s="257">
        <f>altaz((J2000_Bas+(6*0.04167)),$O2892,$M2892,DecLat,DecLong,1)</f>
        <v>-9.8612326511142001</v>
      </c>
      <c r="AD2892" s="258">
        <f>1+ transit((J2000_Bas-1),$O2892,$M2892,DecLat,DecLong)/360 + (GMTOffset/24) + (IF(DST="Y", 1, 0)/24)</f>
        <v>1.2803999318797079</v>
      </c>
      <c r="AE2892" s="259">
        <f>DATE(2001,9,21)+(M2892/360)*365 - (360*((DecLong/360)- (GMTOffset/24) ))</f>
        <v>37264.9375</v>
      </c>
      <c r="AF2892" s="260">
        <f>IF(DecLat&gt;0,IF((90 - (DecLat-O2892))&gt;90, (90 - (O2892-DecLat)), (90 - (DecLat-O2892))),IF((90 + (DecLat-O2892))&gt;90, (90 + (O2892-DecLat)), (90 + (DecLat-O2892))))</f>
        <v>35.066666666666663</v>
      </c>
      <c r="AG2892" s="257">
        <f>angularseperation(MoonRA,MoonDec,$M2892,$O2892)</f>
        <v>119.20267877534572</v>
      </c>
      <c r="AH2892" s="261">
        <f ca="1">MIN(100,IF($O$5&gt;80,0+30*($AG2892/100),IF($O$5&gt;70,0+50*($AG2892/100),IF($O$5&gt;60,5+50*($AG2892/100),IF($O$5&gt;50,10+60*($AG2892/100),IF($O$5&gt;40,15+70*($AG2892/100),IF($O$5&gt;30,20+70*($AG2892/100),IF($O$5&gt;20,40+55*($AG2892/100),(80+(20-$O$5)+30*($AG2892/100))))))))))</f>
        <v>100</v>
      </c>
      <c r="AI2892" s="262"/>
      <c r="AJ2892" s="262"/>
      <c r="AK2892" s="262"/>
      <c r="AL2892" s="263"/>
      <c r="AM2892" s="264"/>
      <c r="AN2892" s="263"/>
      <c r="AO2892" s="263"/>
      <c r="AP2892" s="265"/>
      <c r="AQ2892" s="266"/>
      <c r="AR2892" s="267"/>
      <c r="AS2892" s="263"/>
      <c r="AT2892" s="263"/>
      <c r="AU2892" s="263"/>
      <c r="AV2892" s="264"/>
      <c r="AW2892" s="263"/>
      <c r="AX2892" s="263"/>
      <c r="AY2892" s="263"/>
      <c r="AZ2892" s="263"/>
      <c r="BA2892" s="263">
        <v>11</v>
      </c>
      <c r="BB2892" s="263">
        <v>308</v>
      </c>
      <c r="BC2892" s="263"/>
      <c r="BD2892" s="264"/>
      <c r="BE2892" s="263"/>
      <c r="BF2892" s="263"/>
      <c r="BG2892" s="263">
        <v>40</v>
      </c>
      <c r="BH2892" s="263"/>
      <c r="BI2892" s="263"/>
      <c r="BJ2892" s="404">
        <f>altaz(J2000_Bas,$O2892,$M2892,DecLat,DecLong,2)</f>
        <v>18.035380087802615</v>
      </c>
      <c r="BK2892" s="378" t="s">
        <v>2712</v>
      </c>
      <c r="BL2892" s="379">
        <f>IF((2*G2892)/60&lt;0.2,0.2,(2*G2892)/60)</f>
        <v>1.5</v>
      </c>
      <c r="BM2892" s="380">
        <f>MOD((50000+AD2892-$B$3+(0/24)),1)</f>
        <v>0.49576686158252414</v>
      </c>
      <c r="BN2892" s="381"/>
      <c r="BO2892" s="382">
        <v>2883</v>
      </c>
    </row>
    <row r="2893" spans="1:67" s="24" customFormat="1" ht="15" customHeight="1" x14ac:dyDescent="0.25">
      <c r="A2893" s="288" t="s">
        <v>2713</v>
      </c>
      <c r="B2893" s="241" t="str">
        <f>HYPERLINK(CONCATENATE($AT$3,BK2893,$AU$3),$AV$3)</f>
        <v>S</v>
      </c>
      <c r="C2893" s="242" t="str">
        <f>HYPERLINK(CONCATENATE($AT$4,BK2893,$AU$4,BL2893),$AV$4)</f>
        <v>A</v>
      </c>
      <c r="D2893" s="243" t="s">
        <v>5187</v>
      </c>
      <c r="E2893" s="244" t="s">
        <v>5183</v>
      </c>
      <c r="F2893" s="269" t="s">
        <v>5180</v>
      </c>
      <c r="G2893" s="276">
        <v>14</v>
      </c>
      <c r="H2893" s="283">
        <v>13000</v>
      </c>
      <c r="I2893" s="246">
        <v>55</v>
      </c>
      <c r="J2893" s="246">
        <v>1</v>
      </c>
      <c r="K2893" s="247" t="s">
        <v>6380</v>
      </c>
      <c r="L2893" s="248">
        <v>73200</v>
      </c>
      <c r="M2893" s="249">
        <f>15*(LEFT(TEXT($L2893,"000000"),2)+(MID(TEXT($L2893,"000000"),3,2)/60)+(RIGHT(TEXT($L2893,"000000"),2)/3600))</f>
        <v>113</v>
      </c>
      <c r="N2893" s="286">
        <v>-192612</v>
      </c>
      <c r="O2893" s="251">
        <f>IF($N2893&gt;0,(LEFT(TEXT($N2893,"000000"),2)+(MID(TEXT($N2893,"000000"),3,2)/60)+(RIGHT(TEXT($N2893,"000000"),2)/3600)),-(MID(TEXT($N2893,"000000"),2,2)+(MID(TEXT($N2893,"000000"),4,2)/60)+(RIGHT(TEXT($N2893,"000000"),2)/3600)))</f>
        <v>-19.436666666666667</v>
      </c>
      <c r="P2893" s="252" t="s">
        <v>91</v>
      </c>
      <c r="Q2893" s="253"/>
      <c r="R2893" s="277" t="s">
        <v>6051</v>
      </c>
      <c r="S2893" s="272" t="s">
        <v>3293</v>
      </c>
      <c r="T2893" s="273"/>
      <c r="U2893" s="274"/>
      <c r="V2893" s="280"/>
      <c r="W2893" s="244"/>
      <c r="X2893" s="244"/>
      <c r="Y2893" s="362"/>
      <c r="Z2893" s="257">
        <f>altaz(J2000_Bas,$O2893,$M2893,DecLat,DecLong,1)</f>
        <v>-76.826187591215032</v>
      </c>
      <c r="AA2893" s="257">
        <f>altaz((J2000_Bas+(2*0.04167)),$O2893,$M2893,DecLat,DecLong,1)</f>
        <v>-66.200764753932745</v>
      </c>
      <c r="AB2893" s="257">
        <f>altaz((J2000_Bas+(4*0.04167)),$O2893,$M2893,DecLat,DecLong,1)</f>
        <v>-40.988463588596005</v>
      </c>
      <c r="AC2893" s="257">
        <f>altaz((J2000_Bas+(6*0.04167)),$O2893,$M2893,DecLat,DecLong,1)</f>
        <v>-15.444588102944845</v>
      </c>
      <c r="AD2893" s="258">
        <f>1+ transit((J2000_Bas-1),$O2893,$M2893,DecLat,DecLong)/360 + (GMTOffset/24) + (IF(DST="Y", 1, 0)/24)</f>
        <v>1.306788818129708</v>
      </c>
      <c r="AE2893" s="259">
        <f>DATE(2001,9,21)+(M2893/360)*365 - (360*((DecLong/360)- (GMTOffset/24) ))</f>
        <v>37274.569444444445</v>
      </c>
      <c r="AF2893" s="260">
        <f>IF(DecLat&gt;0,IF((90 - (DecLat-O2893))&gt;90, (90 - (O2893-DecLat)), (90 - (DecLat-O2893))),IF((90 + (DecLat-O2893))&gt;90, (90 + (O2893-DecLat)), (90 + (DecLat-O2893))))</f>
        <v>39.563333333333333</v>
      </c>
      <c r="AG2893" s="257">
        <f>angularseperation(MoonRA,MoonDec,$M2893,$O2893)</f>
        <v>117.05894324863429</v>
      </c>
      <c r="AH2893" s="261">
        <f ca="1">MIN(100,IF($O$5&gt;80,0+30*($AG2893/100),IF($O$5&gt;70,0+50*($AG2893/100),IF($O$5&gt;60,5+50*($AG2893/100),IF($O$5&gt;50,10+60*($AG2893/100),IF($O$5&gt;40,15+70*($AG2893/100),IF($O$5&gt;30,20+70*($AG2893/100),IF($O$5&gt;20,40+55*($AG2893/100),(80+(20-$O$5)+30*($AG2893/100))))))))))</f>
        <v>100</v>
      </c>
      <c r="AI2893" s="263"/>
      <c r="AJ2893" s="263"/>
      <c r="AK2893" s="263"/>
      <c r="AL2893" s="263"/>
      <c r="AM2893" s="264"/>
      <c r="AN2893" s="263"/>
      <c r="AO2893" s="263"/>
      <c r="AP2893" s="265"/>
      <c r="AQ2893" s="265"/>
      <c r="AR2893" s="285"/>
      <c r="AS2893" s="263"/>
      <c r="AT2893" s="263"/>
      <c r="AU2893" s="263"/>
      <c r="AV2893" s="264"/>
      <c r="AW2893" s="263"/>
      <c r="AX2893" s="263"/>
      <c r="AY2893" s="263">
        <v>1053</v>
      </c>
      <c r="AZ2893" s="263"/>
      <c r="BA2893" s="263">
        <v>13</v>
      </c>
      <c r="BB2893" s="263">
        <v>309</v>
      </c>
      <c r="BC2893" s="263"/>
      <c r="BD2893" s="264"/>
      <c r="BE2893" s="263"/>
      <c r="BF2893" s="263"/>
      <c r="BG2893" s="263"/>
      <c r="BH2893" s="263"/>
      <c r="BI2893" s="263"/>
      <c r="BJ2893" s="404">
        <f>altaz(J2000_Bas,$O2893,$M2893,DecLat,DecLong,2)</f>
        <v>329.73019635696903</v>
      </c>
      <c r="BK2893" s="378" t="s">
        <v>2713</v>
      </c>
      <c r="BL2893" s="379">
        <f>IF((2*G2893)/60&lt;0.2,0.2,(2*G2893)/60)</f>
        <v>0.46666666666666667</v>
      </c>
      <c r="BM2893" s="380">
        <f>MOD((50000+AD2893-$B$3+(0/24)),1)</f>
        <v>0.52215574783622287</v>
      </c>
      <c r="BN2893" s="381"/>
      <c r="BO2893" s="382">
        <v>2884</v>
      </c>
    </row>
    <row r="2894" spans="1:67" s="24" customFormat="1" ht="15" customHeight="1" x14ac:dyDescent="0.25">
      <c r="A2894" s="288" t="s">
        <v>2714</v>
      </c>
      <c r="B2894" s="241" t="str">
        <f>HYPERLINK(CONCATENATE($AT$3,BK2894,$AU$3),$AV$3)</f>
        <v>S</v>
      </c>
      <c r="C2894" s="242" t="str">
        <f>HYPERLINK(CONCATENATE($AT$4,BK2894,$AU$4,BL2894),$AV$4)</f>
        <v>A</v>
      </c>
      <c r="D2894" s="243" t="s">
        <v>5187</v>
      </c>
      <c r="E2894" s="244" t="s">
        <v>5183</v>
      </c>
      <c r="F2894" s="269" t="s">
        <v>5180</v>
      </c>
      <c r="G2894" s="276">
        <v>120</v>
      </c>
      <c r="H2894" s="283">
        <v>4500</v>
      </c>
      <c r="I2894" s="246">
        <v>160</v>
      </c>
      <c r="J2894" s="246">
        <v>2</v>
      </c>
      <c r="K2894" s="247" t="s">
        <v>4428</v>
      </c>
      <c r="L2894" s="248">
        <v>72344</v>
      </c>
      <c r="M2894" s="249">
        <f>15*(LEFT(TEXT($L2894,"000000"),2)+(MID(TEXT($L2894,"000000"),3,2)/60)+(RIGHT(TEXT($L2894,"000000"),2)/3600))</f>
        <v>110.93333333333334</v>
      </c>
      <c r="N2894" s="286">
        <v>-252744</v>
      </c>
      <c r="O2894" s="251">
        <f>IF($N2894&gt;0,(LEFT(TEXT($N2894,"000000"),2)+(MID(TEXT($N2894,"000000"),3,2)/60)+(RIGHT(TEXT($N2894,"000000"),2)/3600)),-(MID(TEXT($N2894,"000000"),2,2)+(MID(TEXT($N2894,"000000"),4,2)/60)+(RIGHT(TEXT($N2894,"000000"),2)/3600)))</f>
        <v>-25.46222222222222</v>
      </c>
      <c r="P2894" s="252" t="s">
        <v>80</v>
      </c>
      <c r="Q2894" s="253"/>
      <c r="R2894" s="277" t="s">
        <v>9410</v>
      </c>
      <c r="S2894" s="272" t="s">
        <v>3293</v>
      </c>
      <c r="T2894" s="273"/>
      <c r="U2894" s="274"/>
      <c r="V2894" s="280"/>
      <c r="W2894" s="244"/>
      <c r="X2894" s="244"/>
      <c r="Y2894" s="362"/>
      <c r="Z2894" s="257">
        <f>altaz(J2000_Bas,$O2894,$M2894,DecLat,DecLong,1)</f>
        <v>-82.963744808142451</v>
      </c>
      <c r="AA2894" s="257">
        <f>altaz((J2000_Bas+(2*0.04167)),$O2894,$M2894,DecLat,DecLong,1)</f>
        <v>-67.211775455895634</v>
      </c>
      <c r="AB2894" s="257">
        <f>altaz((J2000_Bas+(4*0.04167)),$O2894,$M2894,DecLat,DecLong,1)</f>
        <v>-41.504435957913586</v>
      </c>
      <c r="AC2894" s="257">
        <f>altaz((J2000_Bas+(6*0.04167)),$O2894,$M2894,DecLat,DecLong,1)</f>
        <v>-16.530603463557</v>
      </c>
      <c r="AD2894" s="258">
        <f>1+ transit((J2000_Bas-1),$O2894,$M2894,DecLat,DecLong)/360 + (GMTOffset/24) + (IF(DST="Y", 1, 0)/24)</f>
        <v>1.3010480779630413</v>
      </c>
      <c r="AE2894" s="259">
        <f>DATE(2001,9,21)+(M2894/360)*365 - (360*((DecLong/360)- (GMTOffset/24) ))</f>
        <v>37272.474074074074</v>
      </c>
      <c r="AF2894" s="260">
        <f>IF(DecLat&gt;0,IF((90 - (DecLat-O2894))&gt;90, (90 - (O2894-DecLat)), (90 - (DecLat-O2894))),IF((90 + (DecLat-O2894))&gt;90, (90 + (O2894-DecLat)), (90 + (DecLat-O2894))))</f>
        <v>33.537777777777777</v>
      </c>
      <c r="AG2894" s="257">
        <f>angularseperation(MoonRA,MoonDec,$M2894,$O2894)</f>
        <v>113.86184317899981</v>
      </c>
      <c r="AH2894" s="261">
        <f ca="1">MIN(100,IF($O$5&gt;80,0+30*($AG2894/100),IF($O$5&gt;70,0+50*($AG2894/100),IF($O$5&gt;60,5+50*($AG2894/100),IF($O$5&gt;50,10+60*($AG2894/100),IF($O$5&gt;40,15+70*($AG2894/100),IF($O$5&gt;30,20+70*($AG2894/100),IF($O$5&gt;20,40+55*($AG2894/100),(80+(20-$O$5)+30*($AG2894/100))))))))))</f>
        <v>100</v>
      </c>
      <c r="AI2894" s="263"/>
      <c r="AJ2894" s="263"/>
      <c r="AK2894" s="263"/>
      <c r="AL2894" s="263"/>
      <c r="AM2894" s="264"/>
      <c r="AN2894" s="263"/>
      <c r="AO2894" s="263"/>
      <c r="AP2894" s="265"/>
      <c r="AQ2894" s="265"/>
      <c r="AR2894" s="285"/>
      <c r="AS2894" s="263"/>
      <c r="AT2894" s="263"/>
      <c r="AU2894" s="263"/>
      <c r="AV2894" s="264"/>
      <c r="AW2894" s="263"/>
      <c r="AX2894" s="263">
        <v>8</v>
      </c>
      <c r="AY2894" s="263">
        <v>1059</v>
      </c>
      <c r="AZ2894" s="263"/>
      <c r="BA2894" s="263">
        <v>15</v>
      </c>
      <c r="BB2894" s="263">
        <v>310</v>
      </c>
      <c r="BC2894" s="263"/>
      <c r="BD2894" s="264"/>
      <c r="BE2894" s="263"/>
      <c r="BF2894" s="263"/>
      <c r="BG2894" s="263"/>
      <c r="BH2894" s="263"/>
      <c r="BI2894" s="263">
        <v>52</v>
      </c>
      <c r="BJ2894" s="404">
        <f>altaz(J2000_Bas,$O2894,$M2894,DecLat,DecLong,2)</f>
        <v>320.69100212944318</v>
      </c>
      <c r="BK2894" s="378" t="s">
        <v>2714</v>
      </c>
      <c r="BL2894" s="379">
        <f>IF((2*G2894)/60&lt;0.2,0.2,(2*G2894)/60)</f>
        <v>4</v>
      </c>
      <c r="BM2894" s="380">
        <f>MOD((50000+AD2894-$B$3+(0/24)),1)</f>
        <v>0.51641500766709214</v>
      </c>
      <c r="BN2894" s="381"/>
      <c r="BO2894" s="382">
        <v>2885</v>
      </c>
    </row>
    <row r="2895" spans="1:67" s="24" customFormat="1" ht="15" customHeight="1" x14ac:dyDescent="0.25">
      <c r="A2895" s="288" t="s">
        <v>2715</v>
      </c>
      <c r="B2895" s="241" t="str">
        <f>HYPERLINK(CONCATENATE($AT$3,BK2895,$AU$3),$AV$3)</f>
        <v>S</v>
      </c>
      <c r="C2895" s="242" t="str">
        <f>HYPERLINK(CONCATENATE($AT$4,BK2895,$AU$4,BL2895),$AV$4)</f>
        <v>A</v>
      </c>
      <c r="D2895" s="243" t="s">
        <v>5187</v>
      </c>
      <c r="E2895" s="244" t="s">
        <v>5183</v>
      </c>
      <c r="F2895" s="269" t="s">
        <v>5180</v>
      </c>
      <c r="G2895" s="276">
        <v>300</v>
      </c>
      <c r="H2895" s="271" t="s">
        <v>6500</v>
      </c>
      <c r="I2895" s="244" t="s">
        <v>6500</v>
      </c>
      <c r="J2895" s="246">
        <v>3</v>
      </c>
      <c r="K2895" s="247" t="s">
        <v>9359</v>
      </c>
      <c r="L2895" s="248">
        <v>85900</v>
      </c>
      <c r="M2895" s="249">
        <f>15*(LEFT(TEXT($L2895,"000000"),2)+(MID(TEXT($L2895,"000000"),3,2)/60)+(RIGHT(TEXT($L2895,"000000"),2)/3600))</f>
        <v>134.75</v>
      </c>
      <c r="N2895" s="286">
        <v>-244612</v>
      </c>
      <c r="O2895" s="251">
        <f>IF($N2895&gt;0,(LEFT(TEXT($N2895,"000000"),2)+(MID(TEXT($N2895,"000000"),3,2)/60)+(RIGHT(TEXT($N2895,"000000"),2)/3600)),-(MID(TEXT($N2895,"000000"),2,2)+(MID(TEXT($N2895,"000000"),4,2)/60)+(RIGHT(TEXT($N2895,"000000"),2)/3600)))</f>
        <v>-24.77</v>
      </c>
      <c r="P2895" s="252" t="s">
        <v>96</v>
      </c>
      <c r="Q2895" s="253"/>
      <c r="R2895" s="277" t="s">
        <v>3293</v>
      </c>
      <c r="S2895" s="272" t="s">
        <v>3293</v>
      </c>
      <c r="T2895" s="273"/>
      <c r="U2895" s="274"/>
      <c r="V2895" s="280"/>
      <c r="W2895" s="244"/>
      <c r="X2895" s="244"/>
      <c r="Y2895" s="362"/>
      <c r="Z2895" s="257">
        <f>altaz(J2000_Bas,$O2895,$M2895,DecLat,DecLong,1)</f>
        <v>-63.918192663143103</v>
      </c>
      <c r="AA2895" s="257">
        <f>altaz((J2000_Bas+(2*0.04167)),$O2895,$M2895,DecLat,DecLong,1)</f>
        <v>-83.659080342945359</v>
      </c>
      <c r="AB2895" s="257">
        <f>altaz((J2000_Bas+(4*0.04167)),$O2895,$M2895,DecLat,DecLong,1)</f>
        <v>-61.637340224128792</v>
      </c>
      <c r="AC2895" s="257">
        <f>altaz((J2000_Bas+(6*0.04167)),$O2895,$M2895,DecLat,DecLong,1)</f>
        <v>-35.950737345503263</v>
      </c>
      <c r="AD2895" s="258">
        <f>1+ transit((J2000_Bas-1),$O2895,$M2895,DecLat,DecLong)/360 + (GMTOffset/24) + (IF(DST="Y", 1, 0)/24)</f>
        <v>1.3672054787547079</v>
      </c>
      <c r="AE2895" s="259">
        <f>DATE(2001,9,21)+(M2895/360)*365 - (360*((DecLong/360)- (GMTOffset/24) ))</f>
        <v>37296.621527777781</v>
      </c>
      <c r="AF2895" s="260">
        <f>IF(DecLat&gt;0,IF((90 - (DecLat-O2895))&gt;90, (90 - (O2895-DecLat)), (90 - (DecLat-O2895))),IF((90 + (DecLat-O2895))&gt;90, (90 + (O2895-DecLat)), (90 + (DecLat-O2895))))</f>
        <v>34.230000000000004</v>
      </c>
      <c r="AG2895" s="257">
        <f>angularseperation(MoonRA,MoonDec,$M2895,$O2895)</f>
        <v>98.301698259727644</v>
      </c>
      <c r="AH2895" s="261">
        <f ca="1">MIN(100,IF($O$5&gt;80,0+30*($AG2895/100),IF($O$5&gt;70,0+50*($AG2895/100),IF($O$5&gt;60,5+50*($AG2895/100),IF($O$5&gt;50,10+60*($AG2895/100),IF($O$5&gt;40,15+70*($AG2895/100),IF($O$5&gt;30,20+70*($AG2895/100),IF($O$5&gt;20,40+55*($AG2895/100),(80+(20-$O$5)+30*($AG2895/100))))))))))</f>
        <v>100</v>
      </c>
      <c r="AI2895" s="263"/>
      <c r="AJ2895" s="263"/>
      <c r="AK2895" s="263"/>
      <c r="AL2895" s="263"/>
      <c r="AM2895" s="264"/>
      <c r="AN2895" s="263"/>
      <c r="AO2895" s="263"/>
      <c r="AP2895" s="265"/>
      <c r="AQ2895" s="265"/>
      <c r="AR2895" s="285"/>
      <c r="AS2895" s="263"/>
      <c r="AT2895" s="263"/>
      <c r="AU2895" s="263"/>
      <c r="AV2895" s="264"/>
      <c r="AW2895" s="263"/>
      <c r="AX2895" s="263"/>
      <c r="AY2895" s="263">
        <v>1077</v>
      </c>
      <c r="AZ2895" s="263"/>
      <c r="BA2895" s="263"/>
      <c r="BB2895" s="263">
        <v>312</v>
      </c>
      <c r="BC2895" s="263"/>
      <c r="BD2895" s="264"/>
      <c r="BE2895" s="263"/>
      <c r="BF2895" s="263"/>
      <c r="BG2895" s="263"/>
      <c r="BH2895" s="263"/>
      <c r="BI2895" s="263">
        <v>62</v>
      </c>
      <c r="BJ2895" s="404">
        <f>altaz(J2000_Bas,$O2895,$M2895,DecLat,DecLong,2)</f>
        <v>276.64572258458168</v>
      </c>
      <c r="BK2895" s="378" t="s">
        <v>2715</v>
      </c>
      <c r="BL2895" s="379">
        <f>IF((2*G2895)/60&lt;0.2,0.2,(2*G2895)/60)</f>
        <v>10</v>
      </c>
      <c r="BM2895" s="380">
        <f>MOD((50000+AD2895-$B$3+(0/24)),1)</f>
        <v>0.58257240845705383</v>
      </c>
      <c r="BN2895" s="381"/>
      <c r="BO2895" s="382">
        <v>2886</v>
      </c>
    </row>
    <row r="2896" spans="1:67" s="24" customFormat="1" ht="15" customHeight="1" x14ac:dyDescent="0.25">
      <c r="A2896" s="288" t="s">
        <v>2716</v>
      </c>
      <c r="B2896" s="241" t="str">
        <f>HYPERLINK(CONCATENATE($AT$3,BK2896,$AU$3),$AV$3)</f>
        <v>S</v>
      </c>
      <c r="C2896" s="242" t="str">
        <f>HYPERLINK(CONCATENATE($AT$4,BK2896,$AU$4,BL2896),$AV$4)</f>
        <v>A</v>
      </c>
      <c r="D2896" s="243" t="s">
        <v>5638</v>
      </c>
      <c r="E2896" s="244" t="s">
        <v>5336</v>
      </c>
      <c r="F2896" s="269">
        <v>20</v>
      </c>
      <c r="G2896" s="291">
        <v>1.4</v>
      </c>
      <c r="H2896" s="283">
        <v>1500</v>
      </c>
      <c r="I2896" s="284">
        <v>600</v>
      </c>
      <c r="J2896" s="246">
        <v>3</v>
      </c>
      <c r="K2896" s="247" t="s">
        <v>5290</v>
      </c>
      <c r="L2896" s="248">
        <v>105506</v>
      </c>
      <c r="M2896" s="249">
        <f>15*(LEFT(TEXT($L2896,"000000"),2)+(MID(TEXT($L2896,"000000"),3,2)/60)+(RIGHT(TEXT($L2896,"000000"),2)/3600))</f>
        <v>163.77500000000001</v>
      </c>
      <c r="N2896" s="250">
        <v>402729</v>
      </c>
      <c r="O2896" s="251">
        <f>IF($N2896&gt;0,(LEFT(TEXT($N2896,"000000"),2)+(MID(TEXT($N2896,"000000"),3,2)/60)+(RIGHT(TEXT($N2896,"000000"),2)/3600)),-(MID(TEXT($N2896,"000000"),2,2)+(MID(TEXT($N2896,"000000"),4,2)/60)+(RIGHT(TEXT($N2896,"000000"),2)/3600)))</f>
        <v>40.458055555555561</v>
      </c>
      <c r="P2896" s="252" t="s">
        <v>37</v>
      </c>
      <c r="Q2896" s="253"/>
      <c r="R2896" s="247" t="s">
        <v>5288</v>
      </c>
      <c r="S2896" s="272" t="s">
        <v>3293</v>
      </c>
      <c r="T2896" s="273"/>
      <c r="U2896" s="274"/>
      <c r="V2896" s="280"/>
      <c r="W2896" s="244"/>
      <c r="X2896" s="244"/>
      <c r="Y2896" s="362"/>
      <c r="Z2896" s="257">
        <f>altaz(J2000_Bas,$O2896,$M2896,DecLat,DecLong,1)</f>
        <v>-0.77956897197121577</v>
      </c>
      <c r="AA2896" s="257">
        <f>altaz((J2000_Bas+(2*0.04167)),$O2896,$M2896,DecLat,DecLong,1)</f>
        <v>-14.082373826801572</v>
      </c>
      <c r="AB2896" s="257">
        <f>altaz((J2000_Bas+(4*0.04167)),$O2896,$M2896,DecLat,DecLong,1)</f>
        <v>-18.507469363885324</v>
      </c>
      <c r="AC2896" s="257">
        <f>altaz((J2000_Bas+(6*0.04167)),$O2896,$M2896,DecLat,DecLong,1)</f>
        <v>-12.472612440992803</v>
      </c>
      <c r="AD2896" s="258">
        <f>1+ transit((J2000_Bas-1),$O2896,$M2896,DecLat,DecLong)/360 + (GMTOffset/24) + (IF(DST="Y", 1, 0)/24)</f>
        <v>1.447830470692208</v>
      </c>
      <c r="AE2896" s="259">
        <f>DATE(2001,9,21)+(M2896/360)*365 - (360*((DecLong/360)- (GMTOffset/24) ))</f>
        <v>37326.04965277778</v>
      </c>
      <c r="AF2896" s="260">
        <f>IF(DecLat&gt;0,IF((90 - (DecLat-O2896))&gt;90, (90 - (O2896-DecLat)), (90 - (DecLat-O2896))),IF((90 + (DecLat-O2896))&gt;90, (90 + (O2896-DecLat)), (90 + (DecLat-O2896))))</f>
        <v>80.541944444444439</v>
      </c>
      <c r="AG2896" s="257">
        <f>angularseperation(MoonRA,MoonDec,$M2896,$O2896)</f>
        <v>103.99854064286409</v>
      </c>
      <c r="AH2896" s="261">
        <f ca="1">MIN(100,IF($O$5&gt;80,0+30*($AG2896/100),IF($O$5&gt;70,0+50*($AG2896/100),IF($O$5&gt;60,5+50*($AG2896/100),IF($O$5&gt;50,10+60*($AG2896/100),IF($O$5&gt;40,15+70*($AG2896/100),IF($O$5&gt;30,20+70*($AG2896/100),IF($O$5&gt;20,40+55*($AG2896/100),(80+(20-$O$5)+30*($AG2896/100))))))))))</f>
        <v>100</v>
      </c>
      <c r="AI2896" s="262"/>
      <c r="AJ2896" s="262"/>
      <c r="AK2896" s="262"/>
      <c r="AL2896" s="263"/>
      <c r="AM2896" s="264"/>
      <c r="AN2896" s="263"/>
      <c r="AO2896" s="263"/>
      <c r="AP2896" s="265"/>
      <c r="AQ2896" s="266"/>
      <c r="AR2896" s="267"/>
      <c r="AS2896" s="263"/>
      <c r="AT2896" s="263"/>
      <c r="AU2896" s="263"/>
      <c r="AV2896" s="264"/>
      <c r="AW2896" s="263"/>
      <c r="AX2896" s="263"/>
      <c r="AY2896" s="263"/>
      <c r="AZ2896" s="263"/>
      <c r="BA2896" s="263"/>
      <c r="BB2896" s="263"/>
      <c r="BC2896" s="263"/>
      <c r="BD2896" s="264"/>
      <c r="BE2896" s="263"/>
      <c r="BF2896" s="263"/>
      <c r="BG2896" s="263"/>
      <c r="BH2896" s="263"/>
      <c r="BI2896" s="263"/>
      <c r="BJ2896" s="404">
        <f>altaz(J2000_Bas,$O2896,$M2896,DecLat,DecLong,2)</f>
        <v>319.93049047649231</v>
      </c>
      <c r="BK2896" s="378" t="s">
        <v>5289</v>
      </c>
      <c r="BL2896" s="379">
        <f>IF((2*G2896)/60&lt;0.2,0.2,(2*G2896)/60)</f>
        <v>0.2</v>
      </c>
      <c r="BM2896" s="380">
        <f>MOD((50000+AD2896-$B$3+(0/24)),1)</f>
        <v>0.6631974003976211</v>
      </c>
      <c r="BN2896" s="381" t="s">
        <v>9088</v>
      </c>
      <c r="BO2896" s="382">
        <v>2887</v>
      </c>
    </row>
    <row r="2897" spans="1:67" s="24" customFormat="1" ht="15" customHeight="1" x14ac:dyDescent="0.25">
      <c r="A2897" s="288" t="s">
        <v>2717</v>
      </c>
      <c r="B2897" s="241" t="str">
        <f>HYPERLINK(CONCATENATE($AT$3,BK2897,$AU$3),$AV$3)</f>
        <v>S</v>
      </c>
      <c r="C2897" s="242" t="str">
        <f>HYPERLINK(CONCATENATE($AT$4,BK2897,$AU$4,BL2897),$AV$4)</f>
        <v>A</v>
      </c>
      <c r="D2897" s="243" t="s">
        <v>5638</v>
      </c>
      <c r="E2897" s="244" t="s">
        <v>5336</v>
      </c>
      <c r="F2897" s="269">
        <v>15</v>
      </c>
      <c r="G2897" s="282">
        <v>12</v>
      </c>
      <c r="H2897" s="283">
        <v>320</v>
      </c>
      <c r="I2897" s="284">
        <v>1200</v>
      </c>
      <c r="J2897" s="246">
        <v>3</v>
      </c>
      <c r="K2897" s="247" t="s">
        <v>5292</v>
      </c>
      <c r="L2897" s="248">
        <v>101351</v>
      </c>
      <c r="M2897" s="249">
        <f>15*(LEFT(TEXT($L2897,"000000"),2)+(MID(TEXT($L2897,"000000"),3,2)/60)+(RIGHT(TEXT($L2897,"000000"),2)/3600))</f>
        <v>153.46250000000001</v>
      </c>
      <c r="N2897" s="250">
        <v>384553</v>
      </c>
      <c r="O2897" s="251">
        <f>IF($N2897&gt;0,(LEFT(TEXT($N2897,"000000"),2)+(MID(TEXT($N2897,"000000"),3,2)/60)+(RIGHT(TEXT($N2897,"000000"),2)/3600)),-(MID(TEXT($N2897,"000000"),2,2)+(MID(TEXT($N2897,"000000"),4,2)/60)+(RIGHT(TEXT($N2897,"000000"),2)/3600)))</f>
        <v>38.764722222222225</v>
      </c>
      <c r="P2897" s="252" t="s">
        <v>239</v>
      </c>
      <c r="Q2897" s="253"/>
      <c r="R2897" s="247" t="s">
        <v>5501</v>
      </c>
      <c r="S2897" s="272" t="s">
        <v>3293</v>
      </c>
      <c r="T2897" s="273">
        <v>11.9</v>
      </c>
      <c r="U2897" s="289">
        <v>22.19</v>
      </c>
      <c r="V2897" s="280"/>
      <c r="W2897" s="244"/>
      <c r="X2897" s="244"/>
      <c r="Y2897" s="362"/>
      <c r="Z2897" s="257">
        <f>altaz(J2000_Bas,$O2897,$M2897,DecLat,DecLong,1)</f>
        <v>-7.4349519856692172</v>
      </c>
      <c r="AA2897" s="257">
        <f>altaz((J2000_Bas+(2*0.04167)),$O2897,$M2897,DecLat,DecLong,1)</f>
        <v>-18.383655059921981</v>
      </c>
      <c r="AB2897" s="257">
        <f>altaz((J2000_Bas+(4*0.04167)),$O2897,$M2897,DecLat,DecLong,1)</f>
        <v>-19.238476542309122</v>
      </c>
      <c r="AC2897" s="257">
        <f>altaz((J2000_Bas+(6*0.04167)),$O2897,$M2897,DecLat,DecLong,1)</f>
        <v>-9.6693952701175476</v>
      </c>
      <c r="AD2897" s="258">
        <f>1+ transit((J2000_Bas-1),$O2897,$M2897,DecLat,DecLong)/360 + (GMTOffset/24) + (IF(DST="Y", 1, 0)/24)</f>
        <v>1.419184640223458</v>
      </c>
      <c r="AE2897" s="259">
        <f>DATE(2001,9,21)+(M2897/360)*365 - (360*((DecLong/360)- (GMTOffset/24) ))</f>
        <v>37315.593923611108</v>
      </c>
      <c r="AF2897" s="260">
        <f>IF(DecLat&gt;0,IF((90 - (DecLat-O2897))&gt;90, (90 - (O2897-DecLat)), (90 - (DecLat-O2897))),IF((90 + (DecLat-O2897))&gt;90, (90 + (O2897-DecLat)), (90 + (DecLat-O2897))))</f>
        <v>82.235277777777782</v>
      </c>
      <c r="AG2897" s="257">
        <f>angularseperation(MoonRA,MoonDec,$M2897,$O2897)</f>
        <v>110.79220335745653</v>
      </c>
      <c r="AH2897" s="261">
        <f ca="1">MIN(100,IF($O$5&gt;80,0+30*($AG2897/100),IF($O$5&gt;70,0+50*($AG2897/100),IF($O$5&gt;60,5+50*($AG2897/100),IF($O$5&gt;50,10+60*($AG2897/100),IF($O$5&gt;40,15+70*($AG2897/100),IF($O$5&gt;30,20+70*($AG2897/100),IF($O$5&gt;20,40+55*($AG2897/100),(80+(20-$O$5)+30*($AG2897/100))))))))))</f>
        <v>100</v>
      </c>
      <c r="AI2897" s="262">
        <v>3158</v>
      </c>
      <c r="AJ2897" s="262"/>
      <c r="AK2897" s="262"/>
      <c r="AL2897" s="263"/>
      <c r="AM2897" s="264"/>
      <c r="AN2897" s="263"/>
      <c r="AO2897" s="263"/>
      <c r="AP2897" s="265"/>
      <c r="AQ2897" s="266">
        <v>5511</v>
      </c>
      <c r="AR2897" s="267">
        <v>29822</v>
      </c>
      <c r="AS2897" s="263"/>
      <c r="AT2897" s="263"/>
      <c r="AU2897" s="263"/>
      <c r="AV2897" s="264"/>
      <c r="AW2897" s="263"/>
      <c r="AX2897" s="263"/>
      <c r="AY2897" s="263"/>
      <c r="AZ2897" s="263"/>
      <c r="BA2897" s="263"/>
      <c r="BB2897" s="263"/>
      <c r="BC2897" s="263"/>
      <c r="BD2897" s="264"/>
      <c r="BE2897" s="263"/>
      <c r="BF2897" s="263"/>
      <c r="BG2897" s="263"/>
      <c r="BH2897" s="263"/>
      <c r="BI2897" s="263"/>
      <c r="BJ2897" s="404">
        <f>altaz(J2000_Bas,$O2897,$M2897,DecLat,DecLong,2)</f>
        <v>324.59343002038628</v>
      </c>
      <c r="BK2897" s="378" t="s">
        <v>5291</v>
      </c>
      <c r="BL2897" s="379">
        <f>IF((2*G2897)/60&lt;0.2,0.2,(2*G2897)/60)</f>
        <v>0.4</v>
      </c>
      <c r="BM2897" s="380">
        <f>MOD((50000+AD2897-$B$3+(0/24)),1)</f>
        <v>0.63455156992858974</v>
      </c>
      <c r="BN2897" s="381"/>
      <c r="BO2897" s="382">
        <v>2888</v>
      </c>
    </row>
    <row r="2898" spans="1:67" s="24" customFormat="1" ht="15" customHeight="1" x14ac:dyDescent="0.25">
      <c r="A2898" s="287" t="s">
        <v>5490</v>
      </c>
      <c r="B2898" s="241" t="str">
        <f>HYPERLINK(CONCATENATE($AT$3,BK2898,$AU$3),$AV$3)</f>
        <v>S</v>
      </c>
      <c r="C2898" s="242" t="str">
        <f>HYPERLINK(CONCATENATE($AT$4,BK2898,$AU$4,BL2898),$AV$4)</f>
        <v>A</v>
      </c>
      <c r="D2898" s="243" t="s">
        <v>5187</v>
      </c>
      <c r="E2898" s="244" t="s">
        <v>5181</v>
      </c>
      <c r="F2898" s="269" t="s">
        <v>6390</v>
      </c>
      <c r="G2898" s="273">
        <v>1.3</v>
      </c>
      <c r="H2898" s="283">
        <v>5500</v>
      </c>
      <c r="I2898" s="279">
        <v>2</v>
      </c>
      <c r="J2898" s="246">
        <v>4</v>
      </c>
      <c r="K2898" s="247" t="s">
        <v>5492</v>
      </c>
      <c r="L2898" s="248">
        <v>153142</v>
      </c>
      <c r="M2898" s="249">
        <f>15*(LEFT(TEXT($L2898,"000000"),2)+(MID(TEXT($L2898,"000000"),3,2)/60)+(RIGHT(TEXT($L2898,"000000"),2)/3600))</f>
        <v>232.92500000000001</v>
      </c>
      <c r="N2898" s="250">
        <v>-513100</v>
      </c>
      <c r="O2898" s="251">
        <f>IF($N2898&gt;0,(LEFT(TEXT($N2898,"000000"),2)+(MID(TEXT($N2898,"000000"),3,2)/60)+(RIGHT(TEXT($N2898,"000000"),2)/3600)),-(MID(TEXT($N2898,"000000"),2,2)+(MID(TEXT($N2898,"000000"),4,2)/60)+(RIGHT(TEXT($N2898,"000000"),2)/3600)))</f>
        <v>-51.516666666666666</v>
      </c>
      <c r="P2898" s="252" t="s">
        <v>1012</v>
      </c>
      <c r="Q2898" s="253" t="s">
        <v>6984</v>
      </c>
      <c r="R2898" s="277" t="s">
        <v>3293</v>
      </c>
      <c r="S2898" s="272" t="s">
        <v>3293</v>
      </c>
      <c r="T2898" s="273">
        <v>12.5</v>
      </c>
      <c r="U2898" s="274"/>
      <c r="V2898" s="280"/>
      <c r="W2898" s="244"/>
      <c r="X2898" s="244"/>
      <c r="Y2898" s="362"/>
      <c r="Z2898" s="257">
        <f>altaz(J2000_Bas,$O2898,$M2898,DecLat,DecLong,1)</f>
        <v>-4.7456840236357536</v>
      </c>
      <c r="AA2898" s="257">
        <f>altaz((J2000_Bas+(2*0.04167)),$O2898,$M2898,DecLat,DecLong,1)</f>
        <v>-19.856124603264739</v>
      </c>
      <c r="AB2898" s="257">
        <f>altaz((J2000_Bas+(4*0.04167)),$O2898,$M2898,DecLat,DecLong,1)</f>
        <v>-37.857238204417925</v>
      </c>
      <c r="AC2898" s="257">
        <f>altaz((J2000_Bas+(6*0.04167)),$O2898,$M2898,DecLat,DecLong,1)</f>
        <v>-56.202676659195014</v>
      </c>
      <c r="AD2898" s="258">
        <f>1+ transit((J2000_Bas-1),$O2898,$M2898,DecLat,DecLong)/360 + (GMTOffset/24) + (IF(DST="Y", 1, 0)/24)</f>
        <v>1.6399137848172078</v>
      </c>
      <c r="AE2898" s="259">
        <f>DATE(2001,9,21)+(M2898/360)*365 - (360*((DecLong/360)- (GMTOffset/24) ))</f>
        <v>37396.160069444442</v>
      </c>
      <c r="AF2898" s="260">
        <f>IF(DecLat&gt;0,IF((90 - (DecLat-O2898))&gt;90, (90 - (O2898-DecLat)), (90 - (DecLat-O2898))),IF((90 + (DecLat-O2898))&gt;90, (90 + (O2898-DecLat)), (90 + (DecLat-O2898))))</f>
        <v>7.4833333333333343</v>
      </c>
      <c r="AG2898" s="257">
        <f>angularseperation(MoonRA,MoonDec,$M2898,$O2898)</f>
        <v>27.360430402908939</v>
      </c>
      <c r="AH2898" s="261">
        <f ca="1">MIN(100,IF($O$5&gt;80,0+30*($AG2898/100),IF($O$5&gt;70,0+50*($AG2898/100),IF($O$5&gt;60,5+50*($AG2898/100),IF($O$5&gt;50,10+60*($AG2898/100),IF($O$5&gt;40,15+70*($AG2898/100),IF($O$5&gt;30,20+70*($AG2898/100),IF($O$5&gt;20,40+55*($AG2898/100),(80+(20-$O$5)+30*($AG2898/100))))))))))</f>
        <v>91.479189465023111</v>
      </c>
      <c r="AI2898" s="263"/>
      <c r="AJ2898" s="263"/>
      <c r="AK2898" s="263"/>
      <c r="AL2898" s="263"/>
      <c r="AM2898" s="264"/>
      <c r="AN2898" s="263"/>
      <c r="AO2898" s="263"/>
      <c r="AP2898" s="265"/>
      <c r="AQ2898" s="265"/>
      <c r="AR2898" s="285"/>
      <c r="AS2898" s="263"/>
      <c r="AT2898" s="263"/>
      <c r="AU2898" s="263"/>
      <c r="AV2898" s="264"/>
      <c r="AW2898" s="263"/>
      <c r="AX2898" s="263"/>
      <c r="AY2898" s="263"/>
      <c r="AZ2898" s="263"/>
      <c r="BA2898" s="263"/>
      <c r="BB2898" s="263"/>
      <c r="BC2898" s="263"/>
      <c r="BD2898" s="264"/>
      <c r="BE2898" s="263"/>
      <c r="BF2898" s="263"/>
      <c r="BG2898" s="263"/>
      <c r="BH2898" s="263"/>
      <c r="BI2898" s="263"/>
      <c r="BJ2898" s="404">
        <f>altaz(J2000_Bas,$O2898,$M2898,DecLat,DecLong,2)</f>
        <v>209.94700605420505</v>
      </c>
      <c r="BK2898" s="378" t="s">
        <v>5491</v>
      </c>
      <c r="BL2898" s="379">
        <f>IF((2*G2898)/60&lt;0.2,0.2,(2*G2898)/60)</f>
        <v>0.2</v>
      </c>
      <c r="BM2898" s="380">
        <f>MOD((50000+AD2898-$B$3+(0/24)),1)</f>
        <v>0.85528071452426957</v>
      </c>
      <c r="BN2898" s="381" t="s">
        <v>8665</v>
      </c>
      <c r="BO2898" s="382">
        <v>2889</v>
      </c>
    </row>
    <row r="2899" spans="1:67" s="24" customFormat="1" ht="15" customHeight="1" x14ac:dyDescent="0.25">
      <c r="A2899" s="288" t="s">
        <v>2718</v>
      </c>
      <c r="B2899" s="241" t="str">
        <f>HYPERLINK(CONCATENATE($AT$3,BK2899,$AU$3),$AV$3)</f>
        <v>S</v>
      </c>
      <c r="C2899" s="242" t="str">
        <f>HYPERLINK(CONCATENATE($AT$4,BK2899,$AU$4,BL2899),$AV$4)</f>
        <v>A</v>
      </c>
      <c r="D2899" s="243" t="s">
        <v>5187</v>
      </c>
      <c r="E2899" s="244" t="s">
        <v>5183</v>
      </c>
      <c r="F2899" s="269" t="s">
        <v>5180</v>
      </c>
      <c r="G2899" s="276">
        <v>20</v>
      </c>
      <c r="H2899" s="271" t="s">
        <v>6500</v>
      </c>
      <c r="I2899" s="244" t="s">
        <v>6500</v>
      </c>
      <c r="J2899" s="246">
        <v>4</v>
      </c>
      <c r="K2899" s="247" t="s">
        <v>5294</v>
      </c>
      <c r="L2899" s="248">
        <v>201610</v>
      </c>
      <c r="M2899" s="249">
        <f>15*(LEFT(TEXT($L2899,"000000"),2)+(MID(TEXT($L2899,"000000"),3,2)/60)+(RIGHT(TEXT($L2899,"000000"),2)/3600))</f>
        <v>304.04166666666663</v>
      </c>
      <c r="N2899" s="250">
        <v>434011</v>
      </c>
      <c r="O2899" s="251">
        <f>IF($N2899&gt;0,(LEFT(TEXT($N2899,"000000"),2)+(MID(TEXT($N2899,"000000"),3,2)/60)+(RIGHT(TEXT($N2899,"000000"),2)/3600)),-(MID(TEXT($N2899,"000000"),2,2)+(MID(TEXT($N2899,"000000"),4,2)/60)+(RIGHT(TEXT($N2899,"000000"),2)/3600)))</f>
        <v>43.669722222222219</v>
      </c>
      <c r="P2899" s="252" t="s">
        <v>60</v>
      </c>
      <c r="Q2899" s="253" t="s">
        <v>7051</v>
      </c>
      <c r="R2899" s="247" t="s">
        <v>5293</v>
      </c>
      <c r="S2899" s="272" t="s">
        <v>3293</v>
      </c>
      <c r="T2899" s="273"/>
      <c r="U2899" s="274"/>
      <c r="V2899" s="280"/>
      <c r="W2899" s="244"/>
      <c r="X2899" s="244"/>
      <c r="Y2899" s="362"/>
      <c r="Z2899" s="257">
        <f>altaz(J2000_Bas,$O2899,$M2899,DecLat,DecLong,1)</f>
        <v>70.939473972250369</v>
      </c>
      <c r="AA2899" s="257">
        <f>altaz((J2000_Bas+(2*0.04167)),$O2899,$M2899,DecLat,DecLong,1)</f>
        <v>74.1540168248426</v>
      </c>
      <c r="AB2899" s="257">
        <f>altaz((J2000_Bas+(4*0.04167)),$O2899,$M2899,DecLat,DecLong,1)</f>
        <v>54.632202836486961</v>
      </c>
      <c r="AC2899" s="257">
        <f>altaz((J2000_Bas+(6*0.04167)),$O2899,$M2899,DecLat,DecLong,1)</f>
        <v>33.026013827472582</v>
      </c>
      <c r="AD2899" s="258">
        <f>1+ transit((J2000_Bas-1),$O2899,$M2899,DecLat,DecLong)/360 + (GMTOffset/24) + (IF(DST="Y", 1, 0)/24)</f>
        <v>1.8374600613588743</v>
      </c>
      <c r="AE2899" s="259">
        <f>DATE(2001,9,21)+(M2899/360)*365 - (360*((DecLong/360)- (GMTOffset/24) ))</f>
        <v>37468.264467592591</v>
      </c>
      <c r="AF2899" s="260">
        <f>IF(DecLat&gt;0,IF((90 - (DecLat-O2899))&gt;90, (90 - (O2899-DecLat)), (90 - (DecLat-O2899))),IF((90 + (DecLat-O2899))&gt;90, (90 + (O2899-DecLat)), (90 + (DecLat-O2899))))</f>
        <v>77.330277777777781</v>
      </c>
      <c r="AG2899" s="257">
        <f>angularseperation(MoonRA,MoonDec,$M2899,$O2899)</f>
        <v>86.741104653116281</v>
      </c>
      <c r="AH2899" s="261">
        <f ca="1">MIN(100,IF($O$5&gt;80,0+30*($AG2899/100),IF($O$5&gt;70,0+50*($AG2899/100),IF($O$5&gt;60,5+50*($AG2899/100),IF($O$5&gt;50,10+60*($AG2899/100),IF($O$5&gt;40,15+70*($AG2899/100),IF($O$5&gt;30,20+70*($AG2899/100),IF($O$5&gt;20,40+55*($AG2899/100),(80+(20-$O$5)+30*($AG2899/100))))))))))</f>
        <v>100</v>
      </c>
      <c r="AI2899" s="262"/>
      <c r="AJ2899" s="262"/>
      <c r="AK2899" s="262"/>
      <c r="AL2899" s="263"/>
      <c r="AM2899" s="264"/>
      <c r="AN2899" s="263"/>
      <c r="AO2899" s="263"/>
      <c r="AP2899" s="265"/>
      <c r="AQ2899" s="266"/>
      <c r="AR2899" s="267"/>
      <c r="AS2899" s="263"/>
      <c r="AT2899" s="263"/>
      <c r="AU2899" s="263"/>
      <c r="AV2899" s="264"/>
      <c r="AW2899" s="263"/>
      <c r="AX2899" s="263"/>
      <c r="AY2899" s="263"/>
      <c r="AZ2899" s="263"/>
      <c r="BA2899" s="263"/>
      <c r="BB2899" s="263"/>
      <c r="BC2899" s="263"/>
      <c r="BD2899" s="264"/>
      <c r="BE2899" s="263"/>
      <c r="BF2899" s="263"/>
      <c r="BG2899" s="263">
        <v>88</v>
      </c>
      <c r="BH2899" s="263"/>
      <c r="BI2899" s="263"/>
      <c r="BJ2899" s="404">
        <f>altaz(J2000_Bas,$O2899,$M2899,DecLat,DecLong,2)</f>
        <v>43.306052252784191</v>
      </c>
      <c r="BK2899" s="378" t="s">
        <v>5295</v>
      </c>
      <c r="BL2899" s="379">
        <f>IF((2*G2899)/60&lt;0.2,0.2,(2*G2899)/60)</f>
        <v>0.66666666666666663</v>
      </c>
      <c r="BM2899" s="380">
        <f>MOD((50000+AD2899-$B$3+(0/24)),1)</f>
        <v>5.282699106464861E-2</v>
      </c>
      <c r="BN2899" s="381"/>
      <c r="BO2899" s="382">
        <v>2890</v>
      </c>
    </row>
    <row r="2900" spans="1:67" s="24" customFormat="1" ht="15" customHeight="1" x14ac:dyDescent="0.25">
      <c r="A2900" s="287" t="s">
        <v>5587</v>
      </c>
      <c r="B2900" s="241" t="str">
        <f>HYPERLINK(CONCATENATE($AT$3,BK2900,$AU$3),$AV$3)</f>
        <v>S</v>
      </c>
      <c r="C2900" s="242" t="str">
        <f>HYPERLINK(CONCATENATE($AT$4,BK2900,$AU$4,BL2900),$AV$4)</f>
        <v>A</v>
      </c>
      <c r="D2900" s="243" t="s">
        <v>5638</v>
      </c>
      <c r="E2900" s="244" t="s">
        <v>3259</v>
      </c>
      <c r="F2900" s="269"/>
      <c r="G2900" s="276">
        <v>300</v>
      </c>
      <c r="H2900" s="325">
        <v>0.2</v>
      </c>
      <c r="I2900" s="246">
        <v>18</v>
      </c>
      <c r="J2900" s="246">
        <v>5</v>
      </c>
      <c r="K2900" s="247" t="s">
        <v>5572</v>
      </c>
      <c r="L2900" s="248">
        <v>5243</v>
      </c>
      <c r="M2900" s="249">
        <f>15*(LEFT(TEXT($L2900,"000000"),2)+(MID(TEXT($L2900,"000000"),3,2)/60)+(RIGHT(TEXT($L2900,"000000"),2)/3600))</f>
        <v>13.179166666666667</v>
      </c>
      <c r="N2900" s="250">
        <v>-724943</v>
      </c>
      <c r="O2900" s="251">
        <f>IF($N2900&gt;0,(LEFT(TEXT($N2900,"000000"),2)+(MID(TEXT($N2900,"000000"),3,2)/60)+(RIGHT(TEXT($N2900,"000000"),2)/3600)),-(MID(TEXT($N2900,"000000"),2,2)+(MID(TEXT($N2900,"000000"),4,2)/60)+(RIGHT(TEXT($N2900,"000000"),2)/3600)))</f>
        <v>-72.828611111111101</v>
      </c>
      <c r="P2900" s="252" t="s">
        <v>1491</v>
      </c>
      <c r="Q2900" s="253"/>
      <c r="R2900" s="277" t="s">
        <v>5571</v>
      </c>
      <c r="S2900" s="272" t="s">
        <v>3293</v>
      </c>
      <c r="T2900" s="273">
        <v>2.7</v>
      </c>
      <c r="U2900" s="274"/>
      <c r="V2900" s="280"/>
      <c r="W2900" s="244"/>
      <c r="X2900" s="244"/>
      <c r="Y2900" s="362"/>
      <c r="Z2900" s="257">
        <f>altaz(J2000_Bas,$O2900,$M2900,DecLat,DecLong,1)</f>
        <v>-28.66027238671435</v>
      </c>
      <c r="AA2900" s="257">
        <f>altaz((J2000_Bas+(2*0.04167)),$O2900,$M2900,DecLat,DecLong,1)</f>
        <v>-20.768565889681199</v>
      </c>
      <c r="AB2900" s="257">
        <f>altaz((J2000_Bas+(4*0.04167)),$O2900,$M2900,DecLat,DecLong,1)</f>
        <v>-15.462965875553111</v>
      </c>
      <c r="AC2900" s="257">
        <f>altaz((J2000_Bas+(6*0.04167)),$O2900,$M2900,DecLat,DecLong,1)</f>
        <v>-13.850141187737005</v>
      </c>
      <c r="AD2900" s="258">
        <f>1+ transit((J2000_Bas-1),$O2900,$M2900,DecLat,DecLong)/360 + (GMTOffset/24) + (IF(DST="Y", 1, 0)/24)</f>
        <v>1.0295087532651246</v>
      </c>
      <c r="AE2900" s="259">
        <f>DATE(2001,9,21)+(M2900/360)*365 - (360*((DecLong/360)- (GMTOffset/24) ))</f>
        <v>37173.362210648149</v>
      </c>
      <c r="AF2900" s="260">
        <f>IF(DecLat&gt;0,IF((90 - (DecLat-O2900))&gt;90, (90 - (O2900-DecLat)), (90 - (DecLat-O2900))),IF((90 + (DecLat-O2900))&gt;90, (90 + (O2900-DecLat)), (90 + (DecLat-O2900))))</f>
        <v>-13.828611111111101</v>
      </c>
      <c r="AG2900" s="257">
        <f>angularseperation(MoonRA,MoonDec,$M2900,$O2900)</f>
        <v>73.246489934934999</v>
      </c>
      <c r="AH2900" s="261">
        <f ca="1">MIN(100,IF($O$5&gt;80,0+30*($AG2900/100),IF($O$5&gt;70,0+50*($AG2900/100),IF($O$5&gt;60,5+50*($AG2900/100),IF($O$5&gt;50,10+60*($AG2900/100),IF($O$5&gt;40,15+70*($AG2900/100),IF($O$5&gt;30,20+70*($AG2900/100),IF($O$5&gt;20,40+55*($AG2900/100),(80+(20-$O$5)+30*($AG2900/100))))))))))</f>
        <v>100</v>
      </c>
      <c r="AI2900" s="263">
        <v>292</v>
      </c>
      <c r="AJ2900" s="263"/>
      <c r="AK2900" s="263"/>
      <c r="AL2900" s="263"/>
      <c r="AM2900" s="264"/>
      <c r="AN2900" s="263"/>
      <c r="AO2900" s="263"/>
      <c r="AP2900" s="265"/>
      <c r="AQ2900" s="265"/>
      <c r="AR2900" s="285"/>
      <c r="AS2900" s="263"/>
      <c r="AT2900" s="263"/>
      <c r="AU2900" s="263"/>
      <c r="AV2900" s="264"/>
      <c r="AW2900" s="263"/>
      <c r="AX2900" s="263"/>
      <c r="AY2900" s="263"/>
      <c r="AZ2900" s="263"/>
      <c r="BA2900" s="263"/>
      <c r="BB2900" s="263"/>
      <c r="BC2900" s="263"/>
      <c r="BD2900" s="264"/>
      <c r="BE2900" s="263"/>
      <c r="BF2900" s="263"/>
      <c r="BG2900" s="263"/>
      <c r="BH2900" s="263"/>
      <c r="BI2900" s="263"/>
      <c r="BJ2900" s="404">
        <f>altaz(J2000_Bas,$O2900,$M2900,DecLat,DecLong,2)</f>
        <v>160.36389077091619</v>
      </c>
      <c r="BK2900" s="378" t="s">
        <v>5570</v>
      </c>
      <c r="BL2900" s="379">
        <f>IF((2*G2900)/60&lt;0.2,0.2,(2*G2900)/60)</f>
        <v>10</v>
      </c>
      <c r="BM2900" s="380">
        <f>MOD((50000+AD2900-$B$3+(0/24)),1)</f>
        <v>0.24487568296899553</v>
      </c>
      <c r="BN2900" s="381" t="s">
        <v>9235</v>
      </c>
      <c r="BO2900" s="382">
        <v>2891</v>
      </c>
    </row>
    <row r="2901" spans="1:67" s="24" customFormat="1" ht="15" customHeight="1" x14ac:dyDescent="0.25">
      <c r="A2901" s="288" t="s">
        <v>2719</v>
      </c>
      <c r="B2901" s="241" t="str">
        <f>HYPERLINK(CONCATENATE($AT$3,BK2901,$AU$3),$AV$3)</f>
        <v>S</v>
      </c>
      <c r="C2901" s="242" t="str">
        <f>HYPERLINK(CONCATENATE($AT$4,BK2901,$AU$4,BL2901),$AV$4)</f>
        <v>A</v>
      </c>
      <c r="D2901" s="243" t="s">
        <v>5187</v>
      </c>
      <c r="E2901" s="244" t="s">
        <v>5181</v>
      </c>
      <c r="F2901" s="269" t="s">
        <v>5299</v>
      </c>
      <c r="G2901" s="273">
        <v>4</v>
      </c>
      <c r="H2901" s="283">
        <v>4000</v>
      </c>
      <c r="I2901" s="279">
        <v>5</v>
      </c>
      <c r="J2901" s="246">
        <v>3</v>
      </c>
      <c r="K2901" s="247" t="s">
        <v>5298</v>
      </c>
      <c r="L2901" s="248">
        <v>201526</v>
      </c>
      <c r="M2901" s="249">
        <f>15*(LEFT(TEXT($L2901,"000000"),2)+(MID(TEXT($L2901,"000000"),3,2)/60)+(RIGHT(TEXT($L2901,"000000"),2)/3600))</f>
        <v>303.85833333333335</v>
      </c>
      <c r="N2901" s="250">
        <v>380248</v>
      </c>
      <c r="O2901" s="251">
        <f>IF($N2901&gt;0,(LEFT(TEXT($N2901,"000000"),2)+(MID(TEXT($N2901,"000000"),3,2)/60)+(RIGHT(TEXT($N2901,"000000"),2)/3600)),-(MID(TEXT($N2901,"000000"),2,2)+(MID(TEXT($N2901,"000000"),4,2)/60)+(RIGHT(TEXT($N2901,"000000"),2)/3600)))</f>
        <v>38.046666666666667</v>
      </c>
      <c r="P2901" s="252" t="s">
        <v>60</v>
      </c>
      <c r="Q2901" s="253" t="s">
        <v>2719</v>
      </c>
      <c r="R2901" s="247" t="s">
        <v>5297</v>
      </c>
      <c r="S2901" s="272" t="s">
        <v>3293</v>
      </c>
      <c r="T2901" s="273"/>
      <c r="U2901" s="274"/>
      <c r="V2901" s="280"/>
      <c r="W2901" s="244"/>
      <c r="X2901" s="244"/>
      <c r="Y2901" s="362"/>
      <c r="Z2901" s="257">
        <f>altaz(J2000_Bas,$O2901,$M2901,DecLat,DecLong,1)</f>
        <v>73.725820336792239</v>
      </c>
      <c r="AA2901" s="257">
        <f>altaz((J2000_Bas+(2*0.04167)),$O2901,$M2901,DecLat,DecLong,1)</f>
        <v>77.722673461594169</v>
      </c>
      <c r="AB2901" s="257">
        <f>altaz((J2000_Bas+(4*0.04167)),$O2901,$M2901,DecLat,DecLong,1)</f>
        <v>54.74432686488786</v>
      </c>
      <c r="AC2901" s="257">
        <f>altaz((J2000_Bas+(6*0.04167)),$O2901,$M2901,DecLat,DecLong,1)</f>
        <v>31.436327019889411</v>
      </c>
      <c r="AD2901" s="258">
        <f>1+ transit((J2000_Bas-1),$O2901,$M2901,DecLat,DecLong)/360 + (GMTOffset/24) + (IF(DST="Y", 1, 0)/24)</f>
        <v>1.8369508021505412</v>
      </c>
      <c r="AE2901" s="259">
        <f>DATE(2001,9,21)+(M2901/360)*365 - (360*((DecLong/360)- (GMTOffset/24) ))</f>
        <v>37468.078587962962</v>
      </c>
      <c r="AF2901" s="260">
        <f>IF(DecLat&gt;0,IF((90 - (DecLat-O2901))&gt;90, (90 - (O2901-DecLat)), (90 - (DecLat-O2901))),IF((90 + (DecLat-O2901))&gt;90, (90 + (O2901-DecLat)), (90 + (DecLat-O2901))))</f>
        <v>82.953333333333333</v>
      </c>
      <c r="AG2901" s="257">
        <f>angularseperation(MoonRA,MoonDec,$M2901,$O2901)</f>
        <v>82.79626612612347</v>
      </c>
      <c r="AH2901" s="261">
        <f ca="1">MIN(100,IF($O$5&gt;80,0+30*($AG2901/100),IF($O$5&gt;70,0+50*($AG2901/100),IF($O$5&gt;60,5+50*($AG2901/100),IF($O$5&gt;50,10+60*($AG2901/100),IF($O$5&gt;40,15+70*($AG2901/100),IF($O$5&gt;30,20+70*($AG2901/100),IF($O$5&gt;20,40+55*($AG2901/100),(80+(20-$O$5)+30*($AG2901/100))))))))))</f>
        <v>100</v>
      </c>
      <c r="AI2901" s="262"/>
      <c r="AJ2901" s="262"/>
      <c r="AK2901" s="262"/>
      <c r="AL2901" s="263"/>
      <c r="AM2901" s="264"/>
      <c r="AN2901" s="263"/>
      <c r="AO2901" s="263"/>
      <c r="AP2901" s="265"/>
      <c r="AQ2901" s="266"/>
      <c r="AR2901" s="267"/>
      <c r="AS2901" s="263"/>
      <c r="AT2901" s="263"/>
      <c r="AU2901" s="263"/>
      <c r="AV2901" s="264"/>
      <c r="AW2901" s="263"/>
      <c r="AX2901" s="263"/>
      <c r="AY2901" s="263"/>
      <c r="AZ2901" s="263"/>
      <c r="BA2901" s="263"/>
      <c r="BB2901" s="263"/>
      <c r="BC2901" s="263"/>
      <c r="BD2901" s="264"/>
      <c r="BE2901" s="263"/>
      <c r="BF2901" s="263"/>
      <c r="BG2901" s="263"/>
      <c r="BH2901" s="263"/>
      <c r="BI2901" s="263"/>
      <c r="BJ2901" s="404">
        <f>altaz(J2000_Bas,$O2901,$M2901,DecLat,DecLong,2)</f>
        <v>59.503546578851889</v>
      </c>
      <c r="BK2901" s="378" t="s">
        <v>5296</v>
      </c>
      <c r="BL2901" s="379">
        <f>IF((2*G2901)/60&lt;0.2,0.2,(2*G2901)/60)</f>
        <v>0.2</v>
      </c>
      <c r="BM2901" s="380">
        <f>MOD((50000+AD2901-$B$3+(0/24)),1)</f>
        <v>5.231773185369093E-2</v>
      </c>
      <c r="BN2901" s="381" t="s">
        <v>8643</v>
      </c>
      <c r="BO2901" s="382">
        <v>2892</v>
      </c>
    </row>
    <row r="2902" spans="1:67" s="24" customFormat="1" ht="15" customHeight="1" x14ac:dyDescent="0.25">
      <c r="A2902" s="288" t="s">
        <v>3273</v>
      </c>
      <c r="B2902" s="241" t="str">
        <f>HYPERLINK(CONCATENATE($AT$3,BK2902,$AU$3),$AV$3)</f>
        <v>S</v>
      </c>
      <c r="C2902" s="242" t="str">
        <f>HYPERLINK(CONCATENATE($AT$4,BK2902,$AU$4,BL2902),$AV$4)</f>
        <v>A</v>
      </c>
      <c r="D2902" s="243" t="s">
        <v>5187</v>
      </c>
      <c r="E2902" s="244" t="s">
        <v>7522</v>
      </c>
      <c r="F2902" s="269"/>
      <c r="G2902" s="276">
        <v>200</v>
      </c>
      <c r="H2902" s="283">
        <v>1200</v>
      </c>
      <c r="I2902" s="246">
        <v>70</v>
      </c>
      <c r="J2902" s="246">
        <v>1</v>
      </c>
      <c r="K2902" s="247" t="s">
        <v>9362</v>
      </c>
      <c r="L2902" s="248">
        <v>103213</v>
      </c>
      <c r="M2902" s="249">
        <f>15*(LEFT(TEXT($L2902,"000000"),2)+(MID(TEXT($L2902,"000000"),3,2)/60)+(RIGHT(TEXT($L2902,"000000"),2)/3600))</f>
        <v>158.05416666666667</v>
      </c>
      <c r="N2902" s="250">
        <v>731425</v>
      </c>
      <c r="O2902" s="251">
        <f>IF($N2902&gt;0,(LEFT(TEXT($N2902,"000000"),2)+(MID(TEXT($N2902,"000000"),3,2)/60)+(RIGHT(TEXT($N2902,"000000"),2)/3600)),-(MID(TEXT($N2902,"000000"),2,2)+(MID(TEXT($N2902,"000000"),4,2)/60)+(RIGHT(TEXT($N2902,"000000"),2)/3600)))</f>
        <v>73.240277777777777</v>
      </c>
      <c r="P2902" s="252" t="s">
        <v>37</v>
      </c>
      <c r="Q2902" s="253" t="s">
        <v>3273</v>
      </c>
      <c r="R2902" s="277" t="s">
        <v>3293</v>
      </c>
      <c r="S2902" s="272" t="s">
        <v>3293</v>
      </c>
      <c r="T2902" s="273"/>
      <c r="U2902" s="274"/>
      <c r="V2902" s="280"/>
      <c r="W2902" s="244"/>
      <c r="X2902" s="244"/>
      <c r="Y2902" s="362"/>
      <c r="Z2902" s="257">
        <f>altaz(J2000_Bas,$O2902,$M2902,DecLat,DecLong,1)</f>
        <v>19.947666717861054</v>
      </c>
      <c r="AA2902" s="257">
        <f>altaz((J2000_Bas+(2*0.04167)),$O2902,$M2902,DecLat,DecLong,1)</f>
        <v>15.30359781558165</v>
      </c>
      <c r="AB2902" s="257">
        <f>altaz((J2000_Bas+(4*0.04167)),$O2902,$M2902,DecLat,DecLong,1)</f>
        <v>14.386719436744084</v>
      </c>
      <c r="AC2902" s="257">
        <f>altaz((J2000_Bas+(6*0.04167)),$O2902,$M2902,DecLat,DecLong,1)</f>
        <v>17.393018774332806</v>
      </c>
      <c r="AD2902" s="258">
        <f>1+ transit((J2000_Bas-1),$O2902,$M2902,DecLat,DecLong)/360 + (GMTOffset/24) + (IF(DST="Y", 1, 0)/24)</f>
        <v>1.4319392685776247</v>
      </c>
      <c r="AE2902" s="259">
        <f>DATE(2001,9,21)+(M2902/360)*365 - (360*((DecLong/360)- (GMTOffset/24) ))</f>
        <v>37320.249363425923</v>
      </c>
      <c r="AF2902" s="260">
        <f>IF(DecLat&gt;0,IF((90 - (DecLat-O2902))&gt;90, (90 - (O2902-DecLat)), (90 - (DecLat-O2902))),IF((90 + (DecLat-O2902))&gt;90, (90 + (O2902-DecLat)), (90 + (DecLat-O2902))))</f>
        <v>47.759722222222223</v>
      </c>
      <c r="AG2902" s="257">
        <f>angularseperation(MoonRA,MoonDec,$M2902,$O2902)</f>
        <v>116.18555346090905</v>
      </c>
      <c r="AH2902" s="261">
        <f ca="1">MIN(100,IF($O$5&gt;80,0+30*($AG2902/100),IF($O$5&gt;70,0+50*($AG2902/100),IF($O$5&gt;60,5+50*($AG2902/100),IF($O$5&gt;50,10+60*($AG2902/100),IF($O$5&gt;40,15+70*($AG2902/100),IF($O$5&gt;30,20+70*($AG2902/100),IF($O$5&gt;20,40+55*($AG2902/100),(80+(20-$O$5)+30*($AG2902/100))))))))))</f>
        <v>100</v>
      </c>
      <c r="AI2902" s="263"/>
      <c r="AJ2902" s="263"/>
      <c r="AK2902" s="263"/>
      <c r="AL2902" s="263"/>
      <c r="AM2902" s="264"/>
      <c r="AN2902" s="263"/>
      <c r="AO2902" s="263"/>
      <c r="AP2902" s="265"/>
      <c r="AQ2902" s="265"/>
      <c r="AR2902" s="285"/>
      <c r="AS2902" s="263"/>
      <c r="AT2902" s="263"/>
      <c r="AU2902" s="263"/>
      <c r="AV2902" s="264"/>
      <c r="AW2902" s="263"/>
      <c r="AX2902" s="263"/>
      <c r="AY2902" s="263"/>
      <c r="AZ2902" s="263"/>
      <c r="BA2902" s="263"/>
      <c r="BB2902" s="263"/>
      <c r="BC2902" s="263"/>
      <c r="BD2902" s="264"/>
      <c r="BE2902" s="263"/>
      <c r="BF2902" s="263"/>
      <c r="BG2902" s="263"/>
      <c r="BH2902" s="263"/>
      <c r="BI2902" s="263">
        <v>66</v>
      </c>
      <c r="BJ2902" s="404">
        <f>altaz(J2000_Bas,$O2902,$M2902,DecLat,DecLong,2)</f>
        <v>346.00114966975457</v>
      </c>
      <c r="BK2902" s="378" t="s">
        <v>5545</v>
      </c>
      <c r="BL2902" s="379">
        <f>IF((2*G2902)/60&lt;0.2,0.2,(2*G2902)/60)</f>
        <v>6.666666666666667</v>
      </c>
      <c r="BM2902" s="380">
        <f>MOD((50000+AD2902-$B$3+(0/24)),1)</f>
        <v>0.64730619828333147</v>
      </c>
      <c r="BN2902" s="381"/>
      <c r="BO2902" s="382">
        <v>2893</v>
      </c>
    </row>
    <row r="2903" spans="1:67" s="24" customFormat="1" ht="15" customHeight="1" x14ac:dyDescent="0.25">
      <c r="A2903" s="288" t="s">
        <v>2720</v>
      </c>
      <c r="B2903" s="241"/>
      <c r="C2903" s="242" t="str">
        <f>HYPERLINK(CONCATENATE($AT$4,BK2903,$AU$4,BL2903),$AV$4)</f>
        <v>A</v>
      </c>
      <c r="D2903" s="243" t="s">
        <v>5335</v>
      </c>
      <c r="E2903" s="244" t="s">
        <v>5185</v>
      </c>
      <c r="F2903" s="269" t="s">
        <v>9070</v>
      </c>
      <c r="G2903" s="276">
        <v>15</v>
      </c>
      <c r="H2903" s="271" t="s">
        <v>6500</v>
      </c>
      <c r="I2903" s="244" t="s">
        <v>6500</v>
      </c>
      <c r="J2903" s="246">
        <v>2</v>
      </c>
      <c r="K2903" s="247" t="s">
        <v>8836</v>
      </c>
      <c r="L2903" s="248">
        <v>123543</v>
      </c>
      <c r="M2903" s="249">
        <f>15*(LEFT(TEXT($L2903,"000000"),2)+(MID(TEXT($L2903,"000000"),3,2)/60)+(RIGHT(TEXT($L2903,"000000"),2)/3600))</f>
        <v>188.92916666666667</v>
      </c>
      <c r="N2903" s="250">
        <v>-120200</v>
      </c>
      <c r="O2903" s="251">
        <f>IF($N2903&gt;0,(LEFT(TEXT($N2903,"000000"),2)+(MID(TEXT($N2903,"000000"),3,2)/60)+(RIGHT(TEXT($N2903,"000000"),2)/3600)),-(MID(TEXT($N2903,"000000"),2,2)+(MID(TEXT($N2903,"000000"),4,2)/60)+(RIGHT(TEXT($N2903,"000000"),2)/3600)))</f>
        <v>-12.033333333333333</v>
      </c>
      <c r="P2903" s="252" t="s">
        <v>192</v>
      </c>
      <c r="Q2903" s="253" t="s">
        <v>6931</v>
      </c>
      <c r="R2903" s="277" t="s">
        <v>3293</v>
      </c>
      <c r="S2903" s="272" t="s">
        <v>3293</v>
      </c>
      <c r="T2903" s="273"/>
      <c r="U2903" s="274"/>
      <c r="V2903" s="280"/>
      <c r="W2903" s="244"/>
      <c r="X2903" s="244"/>
      <c r="Y2903" s="362"/>
      <c r="Z2903" s="257">
        <f>altaz(J2000_Bas,$O2903,$M2903,DecLat,DecLong,1)</f>
        <v>-12.15805922112428</v>
      </c>
      <c r="AA2903" s="257">
        <f>altaz((J2000_Bas+(2*0.04167)),$O2903,$M2903,DecLat,DecLong,1)</f>
        <v>-37.860489059393672</v>
      </c>
      <c r="AB2903" s="257">
        <f>altaz((J2000_Bas+(4*0.04167)),$O2903,$M2903,DecLat,DecLong,1)</f>
        <v>-61.695994986798965</v>
      </c>
      <c r="AC2903" s="257">
        <f>altaz((J2000_Bas+(6*0.04167)),$O2903,$M2903,DecLat,DecLong,1)</f>
        <v>-69.861349255207998</v>
      </c>
      <c r="AD2903" s="258">
        <f>1+ transit((J2000_Bas-1),$O2903,$M2903,DecLat,DecLong)/360 + (GMTOffset/24) + (IF(DST="Y", 1, 0)/24)</f>
        <v>1.5177031488901247</v>
      </c>
      <c r="AE2903" s="259">
        <f>DATE(2001,9,21)+(M2903/360)*365 - (360*((DecLong/360)- (GMTOffset/24) ))</f>
        <v>37351.553182870368</v>
      </c>
      <c r="AF2903" s="260">
        <f>IF(DecLat&gt;0,IF((90 - (DecLat-O2903))&gt;90, (90 - (O2903-DecLat)), (90 - (DecLat-O2903))),IF((90 + (DecLat-O2903))&gt;90, (90 + (O2903-DecLat)), (90 + (DecLat-O2903))))</f>
        <v>46.966666666666669</v>
      </c>
      <c r="AG2903" s="257">
        <f>angularseperation(MoonRA,MoonDec,$M2903,$O2903)</f>
        <v>58.251899827966689</v>
      </c>
      <c r="AH2903" s="261">
        <f ca="1">MIN(100,IF($O$5&gt;80,0+30*($AG2903/100),IF($O$5&gt;70,0+50*($AG2903/100),IF($O$5&gt;60,5+50*($AG2903/100),IF($O$5&gt;50,10+60*($AG2903/100),IF($O$5&gt;40,15+70*($AG2903/100),IF($O$5&gt;30,20+70*($AG2903/100),IF($O$5&gt;20,40+55*($AG2903/100),(80+(20-$O$5)+30*($AG2903/100))))))))))</f>
        <v>100</v>
      </c>
      <c r="AI2903" s="263"/>
      <c r="AJ2903" s="263"/>
      <c r="AK2903" s="263"/>
      <c r="AL2903" s="263"/>
      <c r="AM2903" s="264"/>
      <c r="AN2903" s="263"/>
      <c r="AO2903" s="263"/>
      <c r="AP2903" s="265"/>
      <c r="AQ2903" s="265"/>
      <c r="AR2903" s="285"/>
      <c r="AS2903" s="263"/>
      <c r="AT2903" s="263"/>
      <c r="AU2903" s="263"/>
      <c r="AV2903" s="264"/>
      <c r="AW2903" s="263"/>
      <c r="AX2903" s="263"/>
      <c r="AY2903" s="263"/>
      <c r="AZ2903" s="263"/>
      <c r="BA2903" s="263"/>
      <c r="BB2903" s="263"/>
      <c r="BC2903" s="263"/>
      <c r="BD2903" s="264"/>
      <c r="BE2903" s="263"/>
      <c r="BF2903" s="263"/>
      <c r="BG2903" s="263"/>
      <c r="BH2903" s="263"/>
      <c r="BI2903" s="263"/>
      <c r="BJ2903" s="404">
        <f>altaz(J2000_Bas,$O2903,$M2903,DecLat,DecLong,2)</f>
        <v>263.14536578253887</v>
      </c>
      <c r="BK2903" s="378" t="s">
        <v>6491</v>
      </c>
      <c r="BL2903" s="379">
        <f>IF((2*G2903)/60&lt;0.2,0.2,(2*G2903)/60)</f>
        <v>0.5</v>
      </c>
      <c r="BM2903" s="380">
        <f>MOD((50000+AD2903-$B$3+(0/24)),1)</f>
        <v>0.7330700785969384</v>
      </c>
      <c r="BN2903" s="381"/>
      <c r="BO2903" s="382">
        <v>2894</v>
      </c>
    </row>
    <row r="2904" spans="1:67" s="24" customFormat="1" ht="15" customHeight="1" x14ac:dyDescent="0.25">
      <c r="A2904" s="288" t="s">
        <v>2721</v>
      </c>
      <c r="B2904" s="241" t="str">
        <f>HYPERLINK(CONCATENATE($AT$3,BK2904,$AU$3),$AV$3)</f>
        <v>S</v>
      </c>
      <c r="C2904" s="242" t="str">
        <f>HYPERLINK(CONCATENATE($AT$4,BK2904,$AU$4,BL2904),$AV$4)</f>
        <v>A</v>
      </c>
      <c r="D2904" s="243" t="s">
        <v>5335</v>
      </c>
      <c r="E2904" s="244" t="s">
        <v>5185</v>
      </c>
      <c r="F2904" s="269" t="s">
        <v>9071</v>
      </c>
      <c r="G2904" s="276">
        <v>130</v>
      </c>
      <c r="H2904" s="283">
        <v>1100</v>
      </c>
      <c r="I2904" s="246">
        <v>40</v>
      </c>
      <c r="J2904" s="246">
        <v>1</v>
      </c>
      <c r="K2904" s="247" t="s">
        <v>5300</v>
      </c>
      <c r="L2904" s="248">
        <v>21441</v>
      </c>
      <c r="M2904" s="249">
        <f>15*(LEFT(TEXT($L2904,"000000"),2)+(MID(TEXT($L2904,"000000"),3,2)/60)+(RIGHT(TEXT($L2904,"000000"),2)/3600))</f>
        <v>33.670833333333334</v>
      </c>
      <c r="N2904" s="250">
        <v>592900</v>
      </c>
      <c r="O2904" s="251">
        <f>IF($N2904&gt;0,(LEFT(TEXT($N2904,"000000"),2)+(MID(TEXT($N2904,"000000"),3,2)/60)+(RIGHT(TEXT($N2904,"000000"),2)/3600)),-(MID(TEXT($N2904,"000000"),2,2)+(MID(TEXT($N2904,"000000"),4,2)/60)+(RIGHT(TEXT($N2904,"000000"),2)/3600)))</f>
        <v>59.483333333333334</v>
      </c>
      <c r="P2904" s="252" t="s">
        <v>49</v>
      </c>
      <c r="Q2904" s="253" t="s">
        <v>7156</v>
      </c>
      <c r="R2904" s="277" t="s">
        <v>3293</v>
      </c>
      <c r="S2904" s="272" t="s">
        <v>3293</v>
      </c>
      <c r="T2904" s="273"/>
      <c r="U2904" s="274"/>
      <c r="V2904" s="280"/>
      <c r="W2904" s="244"/>
      <c r="X2904" s="244"/>
      <c r="Y2904" s="362"/>
      <c r="Z2904" s="257">
        <f>altaz(J2000_Bas,$O2904,$M2904,DecLat,DecLong,1)</f>
        <v>18.155223206599995</v>
      </c>
      <c r="AA2904" s="257">
        <f>altaz((J2000_Bas+(2*0.04167)),$O2904,$M2904,DecLat,DecLong,1)</f>
        <v>32.498851391053542</v>
      </c>
      <c r="AB2904" s="257">
        <f>altaz((J2000_Bas+(4*0.04167)),$O2904,$M2904,DecLat,DecLong,1)</f>
        <v>47.540794590285344</v>
      </c>
      <c r="AC2904" s="257">
        <f>altaz((J2000_Bas+(6*0.04167)),$O2904,$M2904,DecLat,DecLong,1)</f>
        <v>59.205091146783971</v>
      </c>
      <c r="AD2904" s="258">
        <f>1+ transit((J2000_Bas-1),$O2904,$M2904,DecLat,DecLong)/360 + (GMTOffset/24) + (IF(DST="Y", 1, 0)/24)</f>
        <v>1.0864300438692913</v>
      </c>
      <c r="AE2904" s="259">
        <f>DATE(2001,9,21)+(M2904/360)*365 - (360*((DecLong/360)- (GMTOffset/24) ))</f>
        <v>37194.138483796298</v>
      </c>
      <c r="AF2904" s="260">
        <f>IF(DecLat&gt;0,IF((90 - (DecLat-O2904))&gt;90, (90 - (O2904-DecLat)), (90 - (DecLat-O2904))),IF((90 + (DecLat-O2904))&gt;90, (90 + (O2904-DecLat)), (90 + (DecLat-O2904))))</f>
        <v>61.516666666666666</v>
      </c>
      <c r="AG2904" s="257">
        <f>angularseperation(MoonRA,MoonDec,$M2904,$O2904)</f>
        <v>139.46154004338379</v>
      </c>
      <c r="AH2904" s="261">
        <f ca="1">MIN(100,IF($O$5&gt;80,0+30*($AG2904/100),IF($O$5&gt;70,0+50*($AG2904/100),IF($O$5&gt;60,5+50*($AG2904/100),IF($O$5&gt;50,10+60*($AG2904/100),IF($O$5&gt;40,15+70*($AG2904/100),IF($O$5&gt;30,20+70*($AG2904/100),IF($O$5&gt;20,40+55*($AG2904/100),(80+(20-$O$5)+30*($AG2904/100))))))))))</f>
        <v>100</v>
      </c>
      <c r="AI2904" s="262"/>
      <c r="AJ2904" s="262"/>
      <c r="AK2904" s="262"/>
      <c r="AL2904" s="263"/>
      <c r="AM2904" s="264"/>
      <c r="AN2904" s="263"/>
      <c r="AO2904" s="263"/>
      <c r="AP2904" s="265"/>
      <c r="AQ2904" s="266"/>
      <c r="AR2904" s="267"/>
      <c r="AS2904" s="263"/>
      <c r="AT2904" s="263"/>
      <c r="AU2904" s="263"/>
      <c r="AV2904" s="264"/>
      <c r="AW2904" s="263"/>
      <c r="AX2904" s="263"/>
      <c r="AY2904" s="263"/>
      <c r="AZ2904" s="263"/>
      <c r="BA2904" s="263"/>
      <c r="BB2904" s="263"/>
      <c r="BC2904" s="263"/>
      <c r="BD2904" s="264"/>
      <c r="BE2904" s="263"/>
      <c r="BF2904" s="263">
        <v>6</v>
      </c>
      <c r="BG2904" s="263"/>
      <c r="BH2904" s="263"/>
      <c r="BI2904" s="263"/>
      <c r="BJ2904" s="404">
        <f>altaz(J2000_Bas,$O2904,$M2904,DecLat,DecLong,2)</f>
        <v>30.609623861346208</v>
      </c>
      <c r="BK2904" s="378" t="s">
        <v>2721</v>
      </c>
      <c r="BL2904" s="379">
        <f>IF((2*G2904)/60&lt;0.2,0.2,(2*G2904)/60)</f>
        <v>4.333333333333333</v>
      </c>
      <c r="BM2904" s="380">
        <f>MOD((50000+AD2904-$B$3+(0/24)),1)</f>
        <v>0.30179697357380064</v>
      </c>
      <c r="BN2904" s="381"/>
      <c r="BO2904" s="382">
        <v>2895</v>
      </c>
    </row>
    <row r="2905" spans="1:67" s="24" customFormat="1" ht="15" customHeight="1" x14ac:dyDescent="0.25">
      <c r="A2905" s="288" t="s">
        <v>2722</v>
      </c>
      <c r="B2905" s="241" t="str">
        <f>HYPERLINK(CONCATENATE($AT$3,BK2905,$AU$3),$AV$3)</f>
        <v>S</v>
      </c>
      <c r="C2905" s="242" t="str">
        <f>HYPERLINK(CONCATENATE($AT$4,BK2905,$AU$4,BL2905),$AV$4)</f>
        <v>A</v>
      </c>
      <c r="D2905" s="243" t="s">
        <v>5335</v>
      </c>
      <c r="E2905" s="244" t="s">
        <v>31</v>
      </c>
      <c r="F2905" s="269"/>
      <c r="G2905" s="273">
        <v>3</v>
      </c>
      <c r="H2905" s="283">
        <v>500</v>
      </c>
      <c r="I2905" s="309">
        <v>0.45</v>
      </c>
      <c r="J2905" s="246">
        <v>2</v>
      </c>
      <c r="K2905" s="247" t="s">
        <v>5371</v>
      </c>
      <c r="L2905" s="248">
        <v>45559</v>
      </c>
      <c r="M2905" s="249">
        <f>15*(LEFT(TEXT($L2905,"000000"),2)+(MID(TEXT($L2905,"000000"),3,2)/60)+(RIGHT(TEXT($L2905,"000000"),2)/3600))</f>
        <v>73.995833333333337</v>
      </c>
      <c r="N2905" s="286">
        <v>303401</v>
      </c>
      <c r="O2905" s="251">
        <f>IF($N2905&gt;0,(LEFT(TEXT($N2905,"000000"),2)+(MID(TEXT($N2905,"000000"),3,2)/60)+(RIGHT(TEXT($N2905,"000000"),2)/3600)),-(MID(TEXT($N2905,"000000"),2,2)+(MID(TEXT($N2905,"000000"),4,2)/60)+(RIGHT(TEXT($N2905,"000000"),2)/3600)))</f>
        <v>30.566944444444445</v>
      </c>
      <c r="P2905" s="252" t="s">
        <v>62</v>
      </c>
      <c r="Q2905" s="253"/>
      <c r="R2905" s="247" t="s">
        <v>5301</v>
      </c>
      <c r="S2905" s="272" t="s">
        <v>5301</v>
      </c>
      <c r="T2905" s="273"/>
      <c r="U2905" s="274"/>
      <c r="V2905" s="280"/>
      <c r="W2905" s="244"/>
      <c r="X2905" s="244"/>
      <c r="Y2905" s="362"/>
      <c r="Z2905" s="257">
        <f>altaz(J2000_Bas,$O2905,$M2905,DecLat,DecLong,1)</f>
        <v>-21.342172990088972</v>
      </c>
      <c r="AA2905" s="257">
        <f>altaz((J2000_Bas+(2*0.04167)),$O2905,$M2905,DecLat,DecLong,1)</f>
        <v>-4.7917881214117797</v>
      </c>
      <c r="AB2905" s="257">
        <f>altaz((J2000_Bas+(4*0.04167)),$O2905,$M2905,DecLat,DecLong,1)</f>
        <v>16.854461595595041</v>
      </c>
      <c r="AC2905" s="257">
        <f>altaz((J2000_Bas+(6*0.04167)),$O2905,$M2905,DecLat,DecLong,1)</f>
        <v>40.985535835883852</v>
      </c>
      <c r="AD2905" s="258">
        <f>1+ transit((J2000_Bas-1),$O2905,$M2905,DecLat,DecLong)/360 + (GMTOffset/24) + (IF(DST="Y", 1, 0)/24)</f>
        <v>1.1984439215567912</v>
      </c>
      <c r="AE2905" s="259">
        <f>DATE(2001,9,21)+(M2905/360)*365 - (360*((DecLong/360)- (GMTOffset/24) ))</f>
        <v>37235.023553240739</v>
      </c>
      <c r="AF2905" s="260">
        <f>IF(DecLat&gt;0,IF((90 - (DecLat-O2905))&gt;90, (90 - (O2905-DecLat)), (90 - (DecLat-O2905))),IF((90 + (DecLat-O2905))&gt;90, (90 + (O2905-DecLat)), (90 + (DecLat-O2905))))</f>
        <v>89.566944444444445</v>
      </c>
      <c r="AG2905" s="257">
        <f>angularseperation(MoonRA,MoonDec,$M2905,$O2905)</f>
        <v>174.57193375232458</v>
      </c>
      <c r="AH2905" s="261">
        <f ca="1">MIN(100,IF($O$5&gt;80,0+30*($AG2905/100),IF($O$5&gt;70,0+50*($AG2905/100),IF($O$5&gt;60,5+50*($AG2905/100),IF($O$5&gt;50,10+60*($AG2905/100),IF($O$5&gt;40,15+70*($AG2905/100),IF($O$5&gt;30,20+70*($AG2905/100),IF($O$5&gt;20,40+55*($AG2905/100),(80+(20-$O$5)+30*($AG2905/100))))))))))</f>
        <v>100</v>
      </c>
      <c r="AI2905" s="262"/>
      <c r="AJ2905" s="262"/>
      <c r="AK2905" s="262"/>
      <c r="AL2905" s="263"/>
      <c r="AM2905" s="264"/>
      <c r="AN2905" s="263"/>
      <c r="AO2905" s="263"/>
      <c r="AP2905" s="265"/>
      <c r="AQ2905" s="266"/>
      <c r="AR2905" s="267"/>
      <c r="AS2905" s="263"/>
      <c r="AT2905" s="263"/>
      <c r="AU2905" s="263"/>
      <c r="AV2905" s="264"/>
      <c r="AW2905" s="263"/>
      <c r="AX2905" s="263"/>
      <c r="AY2905" s="263"/>
      <c r="AZ2905" s="263"/>
      <c r="BA2905" s="263"/>
      <c r="BB2905" s="263"/>
      <c r="BC2905" s="263"/>
      <c r="BD2905" s="264"/>
      <c r="BE2905" s="263"/>
      <c r="BF2905" s="263"/>
      <c r="BG2905" s="263"/>
      <c r="BH2905" s="263"/>
      <c r="BI2905" s="263"/>
      <c r="BJ2905" s="404">
        <f>altaz(J2000_Bas,$O2905,$M2905,DecLat,DecLong,2)</f>
        <v>29.338347848454561</v>
      </c>
      <c r="BK2905" s="378" t="s">
        <v>2722</v>
      </c>
      <c r="BL2905" s="379">
        <f>IF((2*G2905)/60&lt;0.2,0.2,(2*G2905)/60)</f>
        <v>0.2</v>
      </c>
      <c r="BM2905" s="380">
        <f>MOD((50000+AD2905-$B$3+(0/24)),1)</f>
        <v>0.41381085126340622</v>
      </c>
      <c r="BN2905" s="381"/>
      <c r="BO2905" s="382">
        <v>2896</v>
      </c>
    </row>
    <row r="2906" spans="1:67" s="24" customFormat="1" ht="15" customHeight="1" x14ac:dyDescent="0.25">
      <c r="A2906" s="288" t="s">
        <v>2723</v>
      </c>
      <c r="B2906" s="241" t="str">
        <f>HYPERLINK(CONCATENATE($AT$3,BK2906,$AU$3),$AV$3)</f>
        <v>S</v>
      </c>
      <c r="C2906" s="242" t="str">
        <f>HYPERLINK(CONCATENATE($AT$4,BK2906,$AU$4,BL2906),$AV$4)</f>
        <v>A</v>
      </c>
      <c r="D2906" s="243" t="s">
        <v>5335</v>
      </c>
      <c r="E2906" s="244" t="s">
        <v>31</v>
      </c>
      <c r="F2906" s="269"/>
      <c r="G2906" s="273">
        <v>3</v>
      </c>
      <c r="H2906" s="283">
        <v>400</v>
      </c>
      <c r="I2906" s="309">
        <v>0.33</v>
      </c>
      <c r="J2906" s="246">
        <v>2</v>
      </c>
      <c r="K2906" s="247" t="s">
        <v>5372</v>
      </c>
      <c r="L2906" s="248">
        <v>42159</v>
      </c>
      <c r="M2906" s="249">
        <f>15*(LEFT(TEXT($L2906,"000000"),2)+(MID(TEXT($L2906,"000000"),3,2)/60)+(RIGHT(TEXT($L2906,"000000"),2)/3600))</f>
        <v>65.495833333333323</v>
      </c>
      <c r="N2906" s="286">
        <v>193207</v>
      </c>
      <c r="O2906" s="251">
        <f>IF($N2906&gt;0,(LEFT(TEXT($N2906,"000000"),2)+(MID(TEXT($N2906,"000000"),3,2)/60)+(RIGHT(TEXT($N2906,"000000"),2)/3600)),-(MID(TEXT($N2906,"000000"),2,2)+(MID(TEXT($N2906,"000000"),4,2)/60)+(RIGHT(TEXT($N2906,"000000"),2)/3600)))</f>
        <v>19.535277777777779</v>
      </c>
      <c r="P2906" s="252" t="s">
        <v>56</v>
      </c>
      <c r="Q2906" s="253"/>
      <c r="R2906" s="247" t="s">
        <v>5378</v>
      </c>
      <c r="S2906" s="272" t="s">
        <v>3293</v>
      </c>
      <c r="T2906" s="273"/>
      <c r="U2906" s="274"/>
      <c r="V2906" s="280"/>
      <c r="W2906" s="244"/>
      <c r="X2906" s="244"/>
      <c r="Y2906" s="362"/>
      <c r="Z2906" s="257">
        <f>altaz(J2000_Bas,$O2906,$M2906,DecLat,DecLong,1)</f>
        <v>-26.230965091564126</v>
      </c>
      <c r="AA2906" s="257">
        <f>altaz((J2000_Bas+(2*0.04167)),$O2906,$M2906,DecLat,DecLong,1)</f>
        <v>-5.5216098675454797</v>
      </c>
      <c r="AB2906" s="257">
        <f>altaz((J2000_Bas+(4*0.04167)),$O2906,$M2906,DecLat,DecLong,1)</f>
        <v>18.776302866612234</v>
      </c>
      <c r="AC2906" s="257">
        <f>altaz((J2000_Bas+(6*0.04167)),$O2906,$M2906,DecLat,DecLong,1)</f>
        <v>44.398867277822447</v>
      </c>
      <c r="AD2906" s="258">
        <f>1+ transit((J2000_Bas-1),$O2906,$M2906,DecLat,DecLong)/360 + (GMTOffset/24) + (IF(DST="Y", 1, 0)/24)</f>
        <v>1.1748328128067913</v>
      </c>
      <c r="AE2906" s="259">
        <f>DATE(2001,9,21)+(M2906/360)*365 - (360*((DecLong/360)- (GMTOffset/24) ))</f>
        <v>37226.405497685184</v>
      </c>
      <c r="AF2906" s="260">
        <f>IF(DecLat&gt;0,IF((90 - (DecLat-O2906))&gt;90, (90 - (O2906-DecLat)), (90 - (DecLat-O2906))),IF((90 + (DecLat-O2906))&gt;90, (90 + (O2906-DecLat)), (90 + (DecLat-O2906))))</f>
        <v>78.535277777777779</v>
      </c>
      <c r="AG2906" s="257">
        <f>angularseperation(MoonRA,MoonDec,$M2906,$O2906)</f>
        <v>171.70583994027638</v>
      </c>
      <c r="AH2906" s="261">
        <f ca="1">MIN(100,IF($O$5&gt;80,0+30*($AG2906/100),IF($O$5&gt;70,0+50*($AG2906/100),IF($O$5&gt;60,5+50*($AG2906/100),IF($O$5&gt;50,10+60*($AG2906/100),IF($O$5&gt;40,15+70*($AG2906/100),IF($O$5&gt;30,20+70*($AG2906/100),IF($O$5&gt;20,40+55*($AG2906/100),(80+(20-$O$5)+30*($AG2906/100))))))))))</f>
        <v>100</v>
      </c>
      <c r="AI2906" s="262"/>
      <c r="AJ2906" s="262"/>
      <c r="AK2906" s="262"/>
      <c r="AL2906" s="263"/>
      <c r="AM2906" s="264"/>
      <c r="AN2906" s="263"/>
      <c r="AO2906" s="263"/>
      <c r="AP2906" s="265"/>
      <c r="AQ2906" s="266"/>
      <c r="AR2906" s="267"/>
      <c r="AS2906" s="263"/>
      <c r="AT2906" s="263"/>
      <c r="AU2906" s="263"/>
      <c r="AV2906" s="264"/>
      <c r="AW2906" s="263"/>
      <c r="AX2906" s="263"/>
      <c r="AY2906" s="263"/>
      <c r="AZ2906" s="263"/>
      <c r="BA2906" s="263"/>
      <c r="BB2906" s="263"/>
      <c r="BC2906" s="263"/>
      <c r="BD2906" s="264"/>
      <c r="BE2906" s="263"/>
      <c r="BF2906" s="263"/>
      <c r="BG2906" s="263"/>
      <c r="BH2906" s="263"/>
      <c r="BI2906" s="263"/>
      <c r="BJ2906" s="404">
        <f>altaz(J2000_Bas,$O2906,$M2906,DecLat,DecLong,2)</f>
        <v>43.03338287631184</v>
      </c>
      <c r="BK2906" s="378" t="s">
        <v>2723</v>
      </c>
      <c r="BL2906" s="379">
        <f>IF((2*G2906)/60&lt;0.2,0.2,(2*G2906)/60)</f>
        <v>0.2</v>
      </c>
      <c r="BM2906" s="380">
        <f>MOD((50000+AD2906-$B$3+(0/24)),1)</f>
        <v>0.39019974251277745</v>
      </c>
      <c r="BN2906" s="381"/>
      <c r="BO2906" s="382">
        <v>2897</v>
      </c>
    </row>
    <row r="2907" spans="1:67" s="24" customFormat="1" ht="15" customHeight="1" x14ac:dyDescent="0.25">
      <c r="A2907" s="288" t="s">
        <v>2724</v>
      </c>
      <c r="B2907" s="241" t="str">
        <f>HYPERLINK(CONCATENATE($AT$3,BK2907,$AU$3),$AV$3)</f>
        <v>S</v>
      </c>
      <c r="C2907" s="242" t="str">
        <f>HYPERLINK(CONCATENATE($AT$4,BK2907,$AU$4,BL2907),$AV$4)</f>
        <v>A</v>
      </c>
      <c r="D2907" s="243" t="s">
        <v>5335</v>
      </c>
      <c r="E2907" s="244" t="s">
        <v>5184</v>
      </c>
      <c r="F2907" s="269"/>
      <c r="G2907" s="273">
        <v>1.5</v>
      </c>
      <c r="H2907" s="283">
        <v>80000</v>
      </c>
      <c r="I2907" s="246">
        <v>34</v>
      </c>
      <c r="J2907" s="246">
        <v>1</v>
      </c>
      <c r="K2907" s="247" t="s">
        <v>5302</v>
      </c>
      <c r="L2907" s="248">
        <v>191744</v>
      </c>
      <c r="M2907" s="249">
        <f>15*(LEFT(TEXT($L2907,"000000"),2)+(MID(TEXT($L2907,"000000"),3,2)/60)+(RIGHT(TEXT($L2907,"000000"),2)/3600))</f>
        <v>289.43333333333334</v>
      </c>
      <c r="N2907" s="250">
        <v>-343928</v>
      </c>
      <c r="O2907" s="251">
        <f>IF($N2907&gt;0,(LEFT(TEXT($N2907,"000000"),2)+(MID(TEXT($N2907,"000000"),3,2)/60)+(RIGHT(TEXT($N2907,"000000"),2)/3600)),-(MID(TEXT($N2907,"000000"),2,2)+(MID(TEXT($N2907,"000000"),4,2)/60)+(RIGHT(TEXT($N2907,"000000"),2)/3600)))</f>
        <v>-34.657777777777774</v>
      </c>
      <c r="P2907" s="252" t="s">
        <v>119</v>
      </c>
      <c r="Q2907" s="253"/>
      <c r="R2907" s="247" t="s">
        <v>3293</v>
      </c>
      <c r="S2907" s="272" t="s">
        <v>3293</v>
      </c>
      <c r="T2907" s="273">
        <v>12</v>
      </c>
      <c r="U2907" s="274"/>
      <c r="V2907" s="280"/>
      <c r="W2907" s="244"/>
      <c r="X2907" s="244"/>
      <c r="Y2907" s="362"/>
      <c r="Z2907" s="257">
        <f>altaz(J2000_Bas,$O2907,$M2907,DecLat,DecLong,1)</f>
        <v>24.262786166685665</v>
      </c>
      <c r="AA2907" s="257">
        <f>altaz((J2000_Bas+(2*0.04167)),$O2907,$M2907,DecLat,DecLong,1)</f>
        <v>19.710014682900681</v>
      </c>
      <c r="AB2907" s="257">
        <f>altaz((J2000_Bas+(4*0.04167)),$O2907,$M2907,DecLat,DecLong,1)</f>
        <v>5.3833247250209677</v>
      </c>
      <c r="AC2907" s="257">
        <f>altaz((J2000_Bas+(6*0.04167)),$O2907,$M2907,DecLat,DecLong,1)</f>
        <v>-14.703194727747654</v>
      </c>
      <c r="AD2907" s="258">
        <f>1+ transit((J2000_Bas-1),$O2907,$M2907,DecLat,DecLong)/360 + (GMTOffset/24) + (IF(DST="Y", 1, 0)/24)</f>
        <v>1.7968813617130415</v>
      </c>
      <c r="AE2907" s="259">
        <f>DATE(2001,9,21)+(M2907/360)*365 - (360*((DecLong/360)- (GMTOffset/24) ))</f>
        <v>37453.453240740739</v>
      </c>
      <c r="AF2907" s="260">
        <f>IF(DecLat&gt;0,IF((90 - (DecLat-O2907))&gt;90, (90 - (O2907-DecLat)), (90 - (DecLat-O2907))),IF((90 + (DecLat-O2907))&gt;90, (90 + (O2907-DecLat)), (90 + (DecLat-O2907))))</f>
        <v>24.342222222222233</v>
      </c>
      <c r="AG2907" s="257">
        <f>angularseperation(MoonRA,MoonDec,$M2907,$O2907)</f>
        <v>35.078989872430803</v>
      </c>
      <c r="AH2907" s="261">
        <f ca="1">MIN(100,IF($O$5&gt;80,0+30*($AG2907/100),IF($O$5&gt;70,0+50*($AG2907/100),IF($O$5&gt;60,5+50*($AG2907/100),IF($O$5&gt;50,10+60*($AG2907/100),IF($O$5&gt;40,15+70*($AG2907/100),IF($O$5&gt;30,20+70*($AG2907/100),IF($O$5&gt;20,40+55*($AG2907/100),(80+(20-$O$5)+30*($AG2907/100))))))))))</f>
        <v>93.794757305879671</v>
      </c>
      <c r="AI2907" s="262"/>
      <c r="AJ2907" s="262"/>
      <c r="AK2907" s="262"/>
      <c r="AL2907" s="263"/>
      <c r="AM2907" s="264"/>
      <c r="AN2907" s="263"/>
      <c r="AO2907" s="263"/>
      <c r="AP2907" s="265"/>
      <c r="AQ2907" s="266"/>
      <c r="AR2907" s="267"/>
      <c r="AS2907" s="263"/>
      <c r="AT2907" s="263"/>
      <c r="AU2907" s="263"/>
      <c r="AV2907" s="264"/>
      <c r="AW2907" s="263"/>
      <c r="AX2907" s="263"/>
      <c r="AY2907" s="263"/>
      <c r="AZ2907" s="263"/>
      <c r="BA2907" s="263"/>
      <c r="BB2907" s="263"/>
      <c r="BC2907" s="263"/>
      <c r="BD2907" s="264"/>
      <c r="BE2907" s="263"/>
      <c r="BF2907" s="263"/>
      <c r="BG2907" s="263"/>
      <c r="BH2907" s="263"/>
      <c r="BI2907" s="263"/>
      <c r="BJ2907" s="404">
        <f>altaz(J2000_Bas,$O2907,$M2907,DecLat,DecLong,2)</f>
        <v>176.9049565637595</v>
      </c>
      <c r="BK2907" s="378" t="s">
        <v>2724</v>
      </c>
      <c r="BL2907" s="379">
        <f>IF((2*G2907)/60&lt;0.2,0.2,(2*G2907)/60)</f>
        <v>0.2</v>
      </c>
      <c r="BM2907" s="380">
        <f>MOD((50000+AD2907-$B$3+(0/24)),1)</f>
        <v>1.2248291415744461E-2</v>
      </c>
      <c r="BN2907" s="381" t="s">
        <v>8646</v>
      </c>
      <c r="BO2907" s="382">
        <v>2898</v>
      </c>
    </row>
    <row r="2908" spans="1:67" s="24" customFormat="1" ht="15" customHeight="1" x14ac:dyDescent="0.25">
      <c r="A2908" s="288" t="s">
        <v>2725</v>
      </c>
      <c r="B2908" s="241" t="str">
        <f>HYPERLINK(CONCATENATE($AT$3,BK2908,$AU$3),$AV$3)</f>
        <v>S</v>
      </c>
      <c r="C2908" s="242" t="str">
        <f>HYPERLINK(CONCATENATE($AT$4,BK2908,$AU$4,BL2908),$AV$4)</f>
        <v>A</v>
      </c>
      <c r="D2908" s="243" t="s">
        <v>5335</v>
      </c>
      <c r="E2908" s="244" t="s">
        <v>5184</v>
      </c>
      <c r="F2908" s="269"/>
      <c r="G2908" s="273">
        <v>1.9</v>
      </c>
      <c r="H2908" s="283">
        <v>90000</v>
      </c>
      <c r="I2908" s="246">
        <v>50</v>
      </c>
      <c r="J2908" s="246">
        <v>1</v>
      </c>
      <c r="K2908" s="247" t="s">
        <v>5302</v>
      </c>
      <c r="L2908" s="248">
        <v>194144</v>
      </c>
      <c r="M2908" s="249">
        <f>15*(LEFT(TEXT($L2908,"000000"),2)+(MID(TEXT($L2908,"000000"),3,2)/60)+(RIGHT(TEXT($L2908,"000000"),2)/3600))</f>
        <v>295.43333333333334</v>
      </c>
      <c r="N2908" s="250">
        <v>-335958</v>
      </c>
      <c r="O2908" s="251">
        <f>IF($N2908&gt;0,(LEFT(TEXT($N2908,"000000"),2)+(MID(TEXT($N2908,"000000"),3,2)/60)+(RIGHT(TEXT($N2908,"000000"),2)/3600)),-(MID(TEXT($N2908,"000000"),2,2)+(MID(TEXT($N2908,"000000"),4,2)/60)+(RIGHT(TEXT($N2908,"000000"),2)/3600)))</f>
        <v>-33.999444444444443</v>
      </c>
      <c r="P2908" s="252" t="s">
        <v>119</v>
      </c>
      <c r="Q2908" s="253"/>
      <c r="R2908" s="247" t="s">
        <v>3293</v>
      </c>
      <c r="S2908" s="272" t="s">
        <v>3293</v>
      </c>
      <c r="T2908" s="273">
        <v>12</v>
      </c>
      <c r="U2908" s="274"/>
      <c r="V2908" s="280"/>
      <c r="W2908" s="244"/>
      <c r="X2908" s="244"/>
      <c r="Y2908" s="362"/>
      <c r="Z2908" s="257">
        <f>altaz(J2000_Bas,$O2908,$M2908,DecLat,DecLong,1)</f>
        <v>24.394848100983555</v>
      </c>
      <c r="AA2908" s="257">
        <f>altaz((J2000_Bas+(2*0.04167)),$O2908,$M2908,DecLat,DecLong,1)</f>
        <v>22.145127339681174</v>
      </c>
      <c r="AB2908" s="257">
        <f>altaz((J2000_Bas+(4*0.04167)),$O2908,$M2908,DecLat,DecLong,1)</f>
        <v>9.3072420009010539</v>
      </c>
      <c r="AC2908" s="257">
        <f>altaz((J2000_Bas+(6*0.04167)),$O2908,$M2908,DecLat,DecLong,1)</f>
        <v>-10.059224786847716</v>
      </c>
      <c r="AD2908" s="258">
        <f>1+ transit((J2000_Bas-1),$O2908,$M2908,DecLat,DecLong)/360 + (GMTOffset/24) + (IF(DST="Y", 1, 0)/24)</f>
        <v>1.8135480267130413</v>
      </c>
      <c r="AE2908" s="259">
        <f>DATE(2001,9,21)+(M2908/360)*365 - (360*((DecLong/360)- (GMTOffset/24) ))</f>
        <v>37459.536574074074</v>
      </c>
      <c r="AF2908" s="260">
        <f>IF(DecLat&gt;0,IF((90 - (DecLat-O2908))&gt;90, (90 - (O2908-DecLat)), (90 - (DecLat-O2908))),IF((90 + (DecLat-O2908))&gt;90, (90 + (O2908-DecLat)), (90 + (DecLat-O2908))))</f>
        <v>25.000555555555565</v>
      </c>
      <c r="AG2908" s="257">
        <f>angularseperation(MoonRA,MoonDec,$M2908,$O2908)</f>
        <v>40.04256789417137</v>
      </c>
      <c r="AH2908" s="261">
        <f ca="1">MIN(100,IF($O$5&gt;80,0+30*($AG2908/100),IF($O$5&gt;70,0+50*($AG2908/100),IF($O$5&gt;60,5+50*($AG2908/100),IF($O$5&gt;50,10+60*($AG2908/100),IF($O$5&gt;40,15+70*($AG2908/100),IF($O$5&gt;30,20+70*($AG2908/100),IF($O$5&gt;20,40+55*($AG2908/100),(80+(20-$O$5)+30*($AG2908/100))))))))))</f>
        <v>95.283830712401837</v>
      </c>
      <c r="AI2908" s="262"/>
      <c r="AJ2908" s="262"/>
      <c r="AK2908" s="262"/>
      <c r="AL2908" s="263"/>
      <c r="AM2908" s="264"/>
      <c r="AN2908" s="263"/>
      <c r="AO2908" s="263"/>
      <c r="AP2908" s="265"/>
      <c r="AQ2908" s="266"/>
      <c r="AR2908" s="267"/>
      <c r="AS2908" s="263"/>
      <c r="AT2908" s="263"/>
      <c r="AU2908" s="263"/>
      <c r="AV2908" s="264"/>
      <c r="AW2908" s="263"/>
      <c r="AX2908" s="263"/>
      <c r="AY2908" s="263"/>
      <c r="AZ2908" s="263"/>
      <c r="BA2908" s="263"/>
      <c r="BB2908" s="263"/>
      <c r="BC2908" s="263"/>
      <c r="BD2908" s="264"/>
      <c r="BE2908" s="263"/>
      <c r="BF2908" s="263"/>
      <c r="BG2908" s="263"/>
      <c r="BH2908" s="263"/>
      <c r="BI2908" s="263"/>
      <c r="BJ2908" s="404">
        <f>altaz(J2000_Bas,$O2908,$M2908,DecLat,DecLong,2)</f>
        <v>171.42178444173871</v>
      </c>
      <c r="BK2908" s="378" t="s">
        <v>2725</v>
      </c>
      <c r="BL2908" s="379">
        <f>IF((2*G2908)/60&lt;0.2,0.2,(2*G2908)/60)</f>
        <v>0.2</v>
      </c>
      <c r="BM2908" s="380">
        <f>MOD((50000+AD2908-$B$3+(0/24)),1)</f>
        <v>2.8914956419612281E-2</v>
      </c>
      <c r="BN2908" s="381" t="s">
        <v>8646</v>
      </c>
      <c r="BO2908" s="382">
        <v>2899</v>
      </c>
    </row>
    <row r="2909" spans="1:67" s="24" customFormat="1" ht="15" customHeight="1" x14ac:dyDescent="0.25">
      <c r="A2909" s="288" t="s">
        <v>2726</v>
      </c>
      <c r="B2909" s="241"/>
      <c r="C2909" s="242" t="str">
        <f>HYPERLINK(CONCATENATE($AT$4,BK2909,$AU$4,BL2909),$AV$4)</f>
        <v>A</v>
      </c>
      <c r="D2909" s="243" t="s">
        <v>5335</v>
      </c>
      <c r="E2909" s="244" t="s">
        <v>5185</v>
      </c>
      <c r="F2909" s="269" t="s">
        <v>9066</v>
      </c>
      <c r="G2909" s="276">
        <v>15</v>
      </c>
      <c r="H2909" s="271" t="s">
        <v>6500</v>
      </c>
      <c r="I2909" s="244" t="s">
        <v>6500</v>
      </c>
      <c r="J2909" s="246">
        <v>2</v>
      </c>
      <c r="K2909" s="247" t="s">
        <v>5303</v>
      </c>
      <c r="L2909" s="248">
        <v>234042</v>
      </c>
      <c r="M2909" s="249">
        <f>15*(LEFT(TEXT($L2909,"000000"),2)+(MID(TEXT($L2909,"000000"),3,2)/60)+(RIGHT(TEXT($L2909,"000000"),2)/3600))</f>
        <v>355.17500000000001</v>
      </c>
      <c r="N2909" s="250">
        <v>75700</v>
      </c>
      <c r="O2909" s="251">
        <f>IF($N2909&gt;0,(LEFT(TEXT($N2909,"000000"),2)+(MID(TEXT($N2909,"000000"),3,2)/60)+(RIGHT(TEXT($N2909,"000000"),2)/3600)),-(MID(TEXT($N2909,"000000"),2,2)+(MID(TEXT($N2909,"000000"),4,2)/60)+(RIGHT(TEXT($N2909,"000000"),2)/3600)))</f>
        <v>7.95</v>
      </c>
      <c r="P2909" s="252" t="s">
        <v>158</v>
      </c>
      <c r="Q2909" s="253" t="s">
        <v>6932</v>
      </c>
      <c r="R2909" s="247" t="s">
        <v>3293</v>
      </c>
      <c r="S2909" s="272" t="s">
        <v>3293</v>
      </c>
      <c r="T2909" s="273"/>
      <c r="U2909" s="274"/>
      <c r="V2909" s="280"/>
      <c r="W2909" s="244"/>
      <c r="X2909" s="244"/>
      <c r="Y2909" s="362"/>
      <c r="Z2909" s="257">
        <f>altaz(J2000_Bas,$O2909,$M2909,DecLat,DecLong,1)</f>
        <v>21.905548199546015</v>
      </c>
      <c r="AA2909" s="257">
        <f>altaz((J2000_Bas+(2*0.04167)),$O2909,$M2909,DecLat,DecLong,1)</f>
        <v>46.899515511296933</v>
      </c>
      <c r="AB2909" s="257">
        <f>altaz((J2000_Bas+(4*0.04167)),$O2909,$M2909,DecLat,DecLong,1)</f>
        <v>65.464503705007701</v>
      </c>
      <c r="AC2909" s="257">
        <f>altaz((J2000_Bas+(6*0.04167)),$O2909,$M2909,DecLat,DecLong,1)</f>
        <v>59.694344723665758</v>
      </c>
      <c r="AD2909" s="258">
        <f>1+ transit((J2000_Bas-1),$O2909,$M2909,DecLat,DecLong)/360 + (GMTOffset/24) + (IF(DST="Y", 1, 0)/24)</f>
        <v>1.9794970841922079</v>
      </c>
      <c r="AE2909" s="259">
        <f>DATE(2001,9,21)+(M2909/360)*365 - (360*((DecLong/360)- (GMTOffset/24) ))</f>
        <v>37520.107986111114</v>
      </c>
      <c r="AF2909" s="260">
        <f>IF(DecLat&gt;0,IF((90 - (DecLat-O2909))&gt;90, (90 - (O2909-DecLat)), (90 - (DecLat-O2909))),IF((90 + (DecLat-O2909))&gt;90, (90 + (O2909-DecLat)), (90 + (DecLat-O2909))))</f>
        <v>66.95</v>
      </c>
      <c r="AG2909" s="257">
        <f>angularseperation(MoonRA,MoonDec,$M2909,$O2909)</f>
        <v>107.76019814665086</v>
      </c>
      <c r="AH2909" s="261">
        <f ca="1">MIN(100,IF($O$5&gt;80,0+30*($AG2909/100),IF($O$5&gt;70,0+50*($AG2909/100),IF($O$5&gt;60,5+50*($AG2909/100),IF($O$5&gt;50,10+60*($AG2909/100),IF($O$5&gt;40,15+70*($AG2909/100),IF($O$5&gt;30,20+70*($AG2909/100),IF($O$5&gt;20,40+55*($AG2909/100),(80+(20-$O$5)+30*($AG2909/100))))))))))</f>
        <v>100</v>
      </c>
      <c r="AI2909" s="262"/>
      <c r="AJ2909" s="262"/>
      <c r="AK2909" s="262"/>
      <c r="AL2909" s="263"/>
      <c r="AM2909" s="264"/>
      <c r="AN2909" s="263"/>
      <c r="AO2909" s="263"/>
      <c r="AP2909" s="265"/>
      <c r="AQ2909" s="266"/>
      <c r="AR2909" s="267"/>
      <c r="AS2909" s="263"/>
      <c r="AT2909" s="263"/>
      <c r="AU2909" s="263"/>
      <c r="AV2909" s="264"/>
      <c r="AW2909" s="263"/>
      <c r="AX2909" s="263"/>
      <c r="AY2909" s="263"/>
      <c r="AZ2909" s="263"/>
      <c r="BA2909" s="263"/>
      <c r="BB2909" s="263"/>
      <c r="BC2909" s="263"/>
      <c r="BD2909" s="264"/>
      <c r="BE2909" s="263">
        <v>107</v>
      </c>
      <c r="BF2909" s="263"/>
      <c r="BG2909" s="263"/>
      <c r="BH2909" s="263"/>
      <c r="BI2909" s="263"/>
      <c r="BJ2909" s="404">
        <f>altaz(J2000_Bas,$O2909,$M2909,DecLat,DecLong,2)</f>
        <v>93.881882984959347</v>
      </c>
      <c r="BK2909" s="378" t="s">
        <v>6489</v>
      </c>
      <c r="BL2909" s="379">
        <f>IF((2*G2909)/60&lt;0.2,0.2,(2*G2909)/60)</f>
        <v>0.5</v>
      </c>
      <c r="BM2909" s="380">
        <f>MOD((50000+AD2909-$B$3+(0/24)),1)</f>
        <v>0.19486401389440289</v>
      </c>
      <c r="BN2909" s="381"/>
      <c r="BO2909" s="382">
        <v>2900</v>
      </c>
    </row>
    <row r="2910" spans="1:67" s="24" customFormat="1" ht="15" customHeight="1" x14ac:dyDescent="0.25">
      <c r="A2910" s="288" t="s">
        <v>6925</v>
      </c>
      <c r="B2910" s="241" t="str">
        <f>HYPERLINK(CONCATENATE($AT$3,BK2910,$AU$3),$AV$3)</f>
        <v>S</v>
      </c>
      <c r="C2910" s="242" t="str">
        <f>HYPERLINK(CONCATENATE($AT$4,BK2910,$AU$4,BL2910),$AV$4)</f>
        <v>A</v>
      </c>
      <c r="D2910" s="243" t="s">
        <v>5335</v>
      </c>
      <c r="E2910" s="244" t="s">
        <v>5185</v>
      </c>
      <c r="F2910" s="269" t="s">
        <v>9072</v>
      </c>
      <c r="G2910" s="276">
        <v>20</v>
      </c>
      <c r="H2910" s="283" t="s">
        <v>6500</v>
      </c>
      <c r="I2910" s="244" t="s">
        <v>6500</v>
      </c>
      <c r="J2910" s="246">
        <v>2</v>
      </c>
      <c r="K2910" s="247" t="s">
        <v>6934</v>
      </c>
      <c r="L2910" s="248">
        <v>210747</v>
      </c>
      <c r="M2910" s="249">
        <f>15*(LEFT(TEXT($L2910,"000000"),2)+(MID(TEXT($L2910,"000000"),3,2)/60)+(RIGHT(TEXT($L2910,"000000"),2)/3600))</f>
        <v>316.94583333333338</v>
      </c>
      <c r="N2910" s="250">
        <v>162008</v>
      </c>
      <c r="O2910" s="251">
        <f>IF($N2910&gt;0,(LEFT(TEXT($N2910,"000000"),2)+(MID(TEXT($N2910,"000000"),3,2)/60)+(RIGHT(TEXT($N2910,"000000"),2)/3600)),-(MID(TEXT($N2910,"000000"),2,2)+(MID(TEXT($N2910,"000000"),4,2)/60)+(RIGHT(TEXT($N2910,"000000"),2)/3600)))</f>
        <v>16.335555555555555</v>
      </c>
      <c r="P2910" s="252" t="s">
        <v>153</v>
      </c>
      <c r="Q2910" s="253" t="s">
        <v>6929</v>
      </c>
      <c r="R2910" s="247" t="s">
        <v>3293</v>
      </c>
      <c r="S2910" s="272" t="s">
        <v>3293</v>
      </c>
      <c r="T2910" s="273">
        <v>12.8</v>
      </c>
      <c r="U2910" s="289">
        <v>22.490000000000002</v>
      </c>
      <c r="V2910" s="280"/>
      <c r="W2910" s="244"/>
      <c r="X2910" s="244"/>
      <c r="Y2910" s="362"/>
      <c r="Z2910" s="257">
        <f>altaz(J2000_Bas,$O2910,$M2910,DecLat,DecLong,1)</f>
        <v>58.250362901676375</v>
      </c>
      <c r="AA2910" s="257">
        <f>altaz((J2000_Bas+(2*0.04167)),$O2910,$M2910,DecLat,DecLong,1)</f>
        <v>75.31466448996494</v>
      </c>
      <c r="AB2910" s="257">
        <f>altaz((J2000_Bas+(4*0.04167)),$O2910,$M2910,DecLat,DecLong,1)</f>
        <v>59.622683031572052</v>
      </c>
      <c r="AC2910" s="257">
        <f>altaz((J2000_Bas+(6*0.04167)),$O2910,$M2910,DecLat,DecLong,1)</f>
        <v>34.380519758945987</v>
      </c>
      <c r="AD2910" s="258">
        <f>1+ transit((J2000_Bas-1),$O2910,$M2910,DecLat,DecLong)/360 + (GMTOffset/24) + (IF(DST="Y", 1, 0)/24)</f>
        <v>1.8733049651817912</v>
      </c>
      <c r="AE2910" s="259">
        <f>DATE(2001,9,21)+(M2910/360)*365 - (360*((DecLong/360)- (GMTOffset/24) ))</f>
        <v>37481.347858796296</v>
      </c>
      <c r="AF2910" s="260">
        <f>IF(DecLat&gt;0,IF((90 - (DecLat-O2910))&gt;90, (90 - (O2910-DecLat)), (90 - (DecLat-O2910))),IF((90 + (DecLat-O2910))&gt;90, (90 + (O2910-DecLat)), (90 + (DecLat-O2910))))</f>
        <v>75.335555555555558</v>
      </c>
      <c r="AG2910" s="257">
        <f>angularseperation(MoonRA,MoonDec,$M2910,$O2910)</f>
        <v>78.691357493726116</v>
      </c>
      <c r="AH2910" s="261">
        <f ca="1">MIN(100,IF($O$5&gt;80,0+30*($AG2910/100),IF($O$5&gt;70,0+50*($AG2910/100),IF($O$5&gt;60,5+50*($AG2910/100),IF($O$5&gt;50,10+60*($AG2910/100),IF($O$5&gt;40,15+70*($AG2910/100),IF($O$5&gt;30,20+70*($AG2910/100),IF($O$5&gt;20,40+55*($AG2910/100),(80+(20-$O$5)+30*($AG2910/100))))))))))</f>
        <v>100</v>
      </c>
      <c r="AI2910" s="262">
        <v>7025</v>
      </c>
      <c r="AJ2910" s="262"/>
      <c r="AK2910" s="262"/>
      <c r="AL2910" s="263"/>
      <c r="AM2910" s="264"/>
      <c r="AN2910" s="263"/>
      <c r="AO2910" s="263"/>
      <c r="AP2910" s="265"/>
      <c r="AQ2910" s="266">
        <v>11681</v>
      </c>
      <c r="AR2910" s="267">
        <v>66151</v>
      </c>
      <c r="AS2910" s="263"/>
      <c r="AT2910" s="263"/>
      <c r="AU2910" s="263"/>
      <c r="AV2910" s="264"/>
      <c r="AW2910" s="263"/>
      <c r="AX2910" s="263"/>
      <c r="AY2910" s="263"/>
      <c r="AZ2910" s="263"/>
      <c r="BA2910" s="263"/>
      <c r="BB2910" s="263"/>
      <c r="BC2910" s="263"/>
      <c r="BD2910" s="264"/>
      <c r="BE2910" s="263"/>
      <c r="BF2910" s="263"/>
      <c r="BG2910" s="263"/>
      <c r="BH2910" s="263"/>
      <c r="BI2910" s="263"/>
      <c r="BJ2910" s="404">
        <f>altaz(J2000_Bas,$O2910,$M2910,DecLat,DecLong,2)</f>
        <v>110.32957266360725</v>
      </c>
      <c r="BK2910" s="378" t="s">
        <v>2328</v>
      </c>
      <c r="BL2910" s="379">
        <f>IF((2*G2910)/60&lt;0.2,0.2,(2*G2910)/60)</f>
        <v>0.66666666666666663</v>
      </c>
      <c r="BM2910" s="380">
        <f>MOD((50000+AD2910-$B$3+(0/24)),1)</f>
        <v>8.8671894882281777E-2</v>
      </c>
      <c r="BN2910" s="381"/>
      <c r="BO2910" s="382">
        <v>2901</v>
      </c>
    </row>
    <row r="2911" spans="1:67" s="24" customFormat="1" ht="15" customHeight="1" x14ac:dyDescent="0.25">
      <c r="A2911" s="287" t="s">
        <v>2727</v>
      </c>
      <c r="B2911" s="241" t="str">
        <f>HYPERLINK(CONCATENATE($AT$3,BK2911,$AU$3),$AV$3)</f>
        <v>S</v>
      </c>
      <c r="C2911" s="242" t="str">
        <f>HYPERLINK(CONCATENATE($AT$4,BK2911,$AU$4,BL2911),$AV$4)</f>
        <v>A</v>
      </c>
      <c r="D2911" s="243" t="s">
        <v>5335</v>
      </c>
      <c r="E2911" s="244" t="s">
        <v>5185</v>
      </c>
      <c r="F2911" s="269" t="s">
        <v>6392</v>
      </c>
      <c r="G2911" s="273">
        <v>7</v>
      </c>
      <c r="H2911" s="283">
        <v>10000</v>
      </c>
      <c r="I2911" s="246">
        <v>22</v>
      </c>
      <c r="J2911" s="246">
        <v>2</v>
      </c>
      <c r="K2911" s="247" t="s">
        <v>6393</v>
      </c>
      <c r="L2911" s="248">
        <v>63642</v>
      </c>
      <c r="M2911" s="249">
        <f>15*(LEFT(TEXT($L2911,"000000"),2)+(MID(TEXT($L2911,"000000"),3,2)/60)+(RIGHT(TEXT($L2911,"000000"),2)/3600))</f>
        <v>99.174999999999997</v>
      </c>
      <c r="N2911" s="250">
        <v>92600</v>
      </c>
      <c r="O2911" s="251">
        <f>IF($N2911&gt;0,(LEFT(TEXT($N2911,"000000"),2)+(MID(TEXT($N2911,"000000"),3,2)/60)+(RIGHT(TEXT($N2911,"000000"),2)/3600)),-(MID(TEXT($N2911,"000000"),2,2)+(MID(TEXT($N2911,"000000"),4,2)/60)+(RIGHT(TEXT($N2911,"000000"),2)/3600)))</f>
        <v>9.4333333333333336</v>
      </c>
      <c r="P2911" s="252" t="s">
        <v>47</v>
      </c>
      <c r="Q2911" s="253"/>
      <c r="R2911" s="277" t="s">
        <v>6391</v>
      </c>
      <c r="S2911" s="272" t="s">
        <v>3293</v>
      </c>
      <c r="T2911" s="273"/>
      <c r="U2911" s="274"/>
      <c r="V2911" s="280"/>
      <c r="W2911" s="244"/>
      <c r="X2911" s="244"/>
      <c r="Y2911" s="362"/>
      <c r="Z2911" s="257">
        <f>altaz(J2000_Bas,$O2911,$M2911,DecLat,DecLong,1)</f>
        <v>-49.039749711629248</v>
      </c>
      <c r="AA2911" s="257">
        <f>altaz((J2000_Bas+(2*0.04167)),$O2911,$M2911,DecLat,DecLong,1)</f>
        <v>-36.275709286518172</v>
      </c>
      <c r="AB2911" s="257">
        <f>altaz((J2000_Bas+(4*0.04167)),$O2911,$M2911,DecLat,DecLong,1)</f>
        <v>-14.242281992794791</v>
      </c>
      <c r="AC2911" s="257">
        <f>altaz((J2000_Bas+(6*0.04167)),$O2911,$M2911,DecLat,DecLong,1)</f>
        <v>10.874280571745354</v>
      </c>
      <c r="AD2911" s="258">
        <f>1+ transit((J2000_Bas-1),$O2911,$M2911,DecLat,DecLong)/360 + (GMTOffset/24) + (IF(DST="Y", 1, 0)/24)</f>
        <v>1.2683860441922079</v>
      </c>
      <c r="AE2911" s="259">
        <f>DATE(2001,9,21)+(M2911/360)*365 - (360*((DecLong/360)- (GMTOffset/24) ))</f>
        <v>37260.552430555559</v>
      </c>
      <c r="AF2911" s="260">
        <f>IF(DecLat&gt;0,IF((90 - (DecLat-O2911))&gt;90, (90 - (O2911-DecLat)), (90 - (DecLat-O2911))),IF((90 + (DecLat-O2911))&gt;90, (90 + (O2911-DecLat)), (90 + (DecLat-O2911))))</f>
        <v>68.433333333333337</v>
      </c>
      <c r="AG2911" s="257">
        <f>angularseperation(MoonRA,MoonDec,$M2911,$O2911)</f>
        <v>146.69557717763462</v>
      </c>
      <c r="AH2911" s="261">
        <f ca="1">MIN(100,IF($O$5&gt;80,0+30*($AG2911/100),IF($O$5&gt;70,0+50*($AG2911/100),IF($O$5&gt;60,5+50*($AG2911/100),IF($O$5&gt;50,10+60*($AG2911/100),IF($O$5&gt;40,15+70*($AG2911/100),IF($O$5&gt;30,20+70*($AG2911/100),IF($O$5&gt;20,40+55*($AG2911/100),(80+(20-$O$5)+30*($AG2911/100))))))))))</f>
        <v>100</v>
      </c>
      <c r="AI2911" s="263"/>
      <c r="AJ2911" s="263"/>
      <c r="AK2911" s="263"/>
      <c r="AL2911" s="263"/>
      <c r="AM2911" s="264"/>
      <c r="AN2911" s="263"/>
      <c r="AO2911" s="263"/>
      <c r="AP2911" s="265"/>
      <c r="AQ2911" s="265"/>
      <c r="AR2911" s="285"/>
      <c r="AS2911" s="263"/>
      <c r="AT2911" s="263"/>
      <c r="AU2911" s="263"/>
      <c r="AV2911" s="264"/>
      <c r="AW2911" s="263"/>
      <c r="AX2911" s="263"/>
      <c r="AY2911" s="263"/>
      <c r="AZ2911" s="263"/>
      <c r="BA2911" s="263"/>
      <c r="BB2911" s="263"/>
      <c r="BC2911" s="263"/>
      <c r="BD2911" s="264"/>
      <c r="BE2911" s="263"/>
      <c r="BF2911" s="263"/>
      <c r="BG2911" s="263"/>
      <c r="BH2911" s="263"/>
      <c r="BI2911" s="263"/>
      <c r="BJ2911" s="404">
        <f>altaz(J2000_Bas,$O2911,$M2911,DecLat,DecLong,2)</f>
        <v>10.305679195767267</v>
      </c>
      <c r="BK2911" s="378" t="s">
        <v>2727</v>
      </c>
      <c r="BL2911" s="379">
        <f>IF((2*G2911)/60&lt;0.2,0.2,(2*G2911)/60)</f>
        <v>0.23333333333333334</v>
      </c>
      <c r="BM2911" s="380">
        <f>MOD((50000+AD2911-$B$3+(0/24)),1)</f>
        <v>0.48375297389429761</v>
      </c>
      <c r="BN2911" s="381"/>
      <c r="BO2911" s="382">
        <v>2902</v>
      </c>
    </row>
    <row r="2912" spans="1:67" s="24" customFormat="1" ht="15" customHeight="1" x14ac:dyDescent="0.25">
      <c r="A2912" s="288" t="s">
        <v>2728</v>
      </c>
      <c r="B2912" s="241" t="str">
        <f>HYPERLINK(CONCATENATE($AT$3,BK2912,$AU$3),$AV$3)</f>
        <v>S</v>
      </c>
      <c r="C2912" s="242" t="str">
        <f>HYPERLINK(CONCATENATE($AT$4,BK2912,$AU$4,BL2912),$AV$4)</f>
        <v>A</v>
      </c>
      <c r="D2912" s="243" t="s">
        <v>5335</v>
      </c>
      <c r="E2912" s="244" t="s">
        <v>5185</v>
      </c>
      <c r="F2912" s="269" t="s">
        <v>9073</v>
      </c>
      <c r="G2912" s="276">
        <v>30</v>
      </c>
      <c r="H2912" s="283">
        <v>1400</v>
      </c>
      <c r="I2912" s="244" t="s">
        <v>6500</v>
      </c>
      <c r="J2912" s="246">
        <v>4</v>
      </c>
      <c r="K2912" s="247" t="s">
        <v>5304</v>
      </c>
      <c r="L2912" s="248">
        <v>53517</v>
      </c>
      <c r="M2912" s="249">
        <f>15*(LEFT(TEXT($L2912,"000000"),2)+(MID(TEXT($L2912,"000000"),3,2)/60)+(RIGHT(TEXT($L2912,"000000"),2)/3600))</f>
        <v>83.820833333333326</v>
      </c>
      <c r="N2912" s="286">
        <v>-52314</v>
      </c>
      <c r="O2912" s="251">
        <f>IF($N2912&gt;0,(LEFT(TEXT($N2912,"000000"),2)+(MID(TEXT($N2912,"000000"),3,2)/60)+(RIGHT(TEXT($N2912,"000000"),2)/3600)),-(MID(TEXT($N2912,"000000"),2,2)+(MID(TEXT($N2912,"000000"),4,2)/60)+(RIGHT(TEXT($N2912,"000000"),2)/3600)))</f>
        <v>-5.3872222222222224</v>
      </c>
      <c r="P2912" s="252" t="s">
        <v>41</v>
      </c>
      <c r="Q2912" s="253" t="s">
        <v>6933</v>
      </c>
      <c r="R2912" s="247" t="s">
        <v>3293</v>
      </c>
      <c r="S2912" s="272" t="s">
        <v>3293</v>
      </c>
      <c r="T2912" s="273"/>
      <c r="U2912" s="274"/>
      <c r="V2912" s="280"/>
      <c r="W2912" s="244"/>
      <c r="X2912" s="244"/>
      <c r="Y2912" s="362"/>
      <c r="Z2912" s="257">
        <f>altaz(J2000_Bas,$O2912,$M2912,DecLat,DecLong,1)</f>
        <v>-56.990254570518118</v>
      </c>
      <c r="AA2912" s="257">
        <f>altaz((J2000_Bas+(2*0.04167)),$O2912,$M2912,DecLat,DecLong,1)</f>
        <v>-34.793280580295225</v>
      </c>
      <c r="AB2912" s="257">
        <f>altaz((J2000_Bas+(4*0.04167)),$O2912,$M2912,DecLat,DecLong,1)</f>
        <v>-9.319823007873909</v>
      </c>
      <c r="AC2912" s="257">
        <f>altaz((J2000_Bas+(6*0.04167)),$O2912,$M2912,DecLat,DecLong,1)</f>
        <v>16.100975773749667</v>
      </c>
      <c r="AD2912" s="258">
        <f>1+ transit((J2000_Bas-1),$O2912,$M2912,DecLat,DecLong)/360 + (GMTOffset/24) + (IF(DST="Y", 1, 0)/24)</f>
        <v>1.2257355854942913</v>
      </c>
      <c r="AE2912" s="259">
        <f>DATE(2001,9,21)+(M2912/360)*365 - (360*((DecLong/360)- (GMTOffset/24) ))</f>
        <v>37244.985011574077</v>
      </c>
      <c r="AF2912" s="260">
        <f>IF(DecLat&gt;0,IF((90 - (DecLat-O2912))&gt;90, (90 - (O2912-DecLat)), (90 - (DecLat-O2912))),IF((90 + (DecLat-O2912))&gt;90, (90 + (O2912-DecLat)), (90 + (DecLat-O2912))))</f>
        <v>53.612777777777779</v>
      </c>
      <c r="AG2912" s="257">
        <f>angularseperation(MoonRA,MoonDec,$M2912,$O2912)</f>
        <v>144.59919683149306</v>
      </c>
      <c r="AH2912" s="261">
        <f ca="1">MIN(100,IF($O$5&gt;80,0+30*($AG2912/100),IF($O$5&gt;70,0+50*($AG2912/100),IF($O$5&gt;60,5+50*($AG2912/100),IF($O$5&gt;50,10+60*($AG2912/100),IF($O$5&gt;40,15+70*($AG2912/100),IF($O$5&gt;30,20+70*($AG2912/100),IF($O$5&gt;20,40+55*($AG2912/100),(80+(20-$O$5)+30*($AG2912/100))))))))))</f>
        <v>100</v>
      </c>
      <c r="AI2912" s="262"/>
      <c r="AJ2912" s="262"/>
      <c r="AK2912" s="262"/>
      <c r="AL2912" s="263"/>
      <c r="AM2912" s="264"/>
      <c r="AN2912" s="263"/>
      <c r="AO2912" s="263"/>
      <c r="AP2912" s="265"/>
      <c r="AQ2912" s="266"/>
      <c r="AR2912" s="267"/>
      <c r="AS2912" s="263"/>
      <c r="AT2912" s="263"/>
      <c r="AU2912" s="263"/>
      <c r="AV2912" s="264"/>
      <c r="AW2912" s="263"/>
      <c r="AX2912" s="263"/>
      <c r="AY2912" s="263"/>
      <c r="AZ2912" s="263"/>
      <c r="BA2912" s="263"/>
      <c r="BB2912" s="263"/>
      <c r="BC2912" s="263"/>
      <c r="BD2912" s="264"/>
      <c r="BE2912" s="263"/>
      <c r="BF2912" s="263"/>
      <c r="BG2912" s="263"/>
      <c r="BH2912" s="263"/>
      <c r="BI2912" s="263"/>
      <c r="BJ2912" s="404">
        <f>altaz(J2000_Bas,$O2912,$M2912,DecLat,DecLong,2)</f>
        <v>43.627138168767004</v>
      </c>
      <c r="BK2912" s="378" t="s">
        <v>2728</v>
      </c>
      <c r="BL2912" s="379">
        <f>IF((2*G2912)/60&lt;0.2,0.2,(2*G2912)/60)</f>
        <v>1</v>
      </c>
      <c r="BM2912" s="380">
        <f>MOD((50000+AD2912-$B$3+(0/24)),1)</f>
        <v>0.44110251520032762</v>
      </c>
      <c r="BN2912" s="381"/>
      <c r="BO2912" s="382">
        <v>2903</v>
      </c>
    </row>
    <row r="2913" spans="1:67" s="24" customFormat="1" ht="15" customHeight="1" x14ac:dyDescent="0.25">
      <c r="A2913" s="288" t="s">
        <v>3157</v>
      </c>
      <c r="B2913" s="241" t="str">
        <f>HYPERLINK(CONCATENATE($AT$3,BK2913,$AU$3),$AV$3)</f>
        <v>S</v>
      </c>
      <c r="C2913" s="242" t="str">
        <f>HYPERLINK(CONCATENATE($AT$4,BK2913,$AU$4,BL2913),$AV$4)</f>
        <v>A</v>
      </c>
      <c r="D2913" s="243" t="s">
        <v>5638</v>
      </c>
      <c r="E2913" s="244" t="s">
        <v>5337</v>
      </c>
      <c r="F2913" s="269" t="s">
        <v>3317</v>
      </c>
      <c r="G2913" s="273">
        <v>1</v>
      </c>
      <c r="H2913" s="283">
        <v>300</v>
      </c>
      <c r="I2913" s="246">
        <v>85</v>
      </c>
      <c r="J2913" s="246">
        <v>1</v>
      </c>
      <c r="K2913" s="247" t="s">
        <v>8447</v>
      </c>
      <c r="L2913" s="248">
        <v>310</v>
      </c>
      <c r="M2913" s="249">
        <f>15*(LEFT(TEXT($L2913,"000000"),2)+(MID(TEXT($L2913,"000000"),3,2)/60)+(RIGHT(TEXT($L2913,"000000"),2)/3600))</f>
        <v>0.79166666666666663</v>
      </c>
      <c r="N2913" s="250">
        <v>215730</v>
      </c>
      <c r="O2913" s="251">
        <f>IF($N2913&gt;0,(LEFT(TEXT($N2913,"000000"),2)+(MID(TEXT($N2913,"000000"),3,2)/60)+(RIGHT(TEXT($N2913,"000000"),2)/3600)),-(MID(TEXT($N2913,"000000"),2,2)+(MID(TEXT($N2913,"000000"),4,2)/60)+(RIGHT(TEXT($N2913,"000000"),2)/3600)))</f>
        <v>21.958333333333332</v>
      </c>
      <c r="P2913" s="252" t="s">
        <v>39</v>
      </c>
      <c r="Q2913" s="253"/>
      <c r="R2913" s="277" t="s">
        <v>3293</v>
      </c>
      <c r="S2913" s="272" t="s">
        <v>3293</v>
      </c>
      <c r="T2913" s="273">
        <v>14.6</v>
      </c>
      <c r="U2913" s="274"/>
      <c r="V2913" s="280"/>
      <c r="W2913" s="244"/>
      <c r="X2913" s="244"/>
      <c r="Y2913" s="362"/>
      <c r="Z2913" s="257">
        <f>altaz(J2000_Bas,$O2913,$M2913,DecLat,DecLong,1)</f>
        <v>23.651500440191846</v>
      </c>
      <c r="AA2913" s="257">
        <f>altaz((J2000_Bas+(2*0.04167)),$O2913,$M2913,DecLat,DecLong,1)</f>
        <v>49.254860995739747</v>
      </c>
      <c r="AB2913" s="257">
        <f>altaz((J2000_Bas+(4*0.04167)),$O2913,$M2913,DecLat,DecLong,1)</f>
        <v>74.119347373190891</v>
      </c>
      <c r="AC2913" s="257">
        <f>altaz((J2000_Bas+(6*0.04167)),$O2913,$M2913,DecLat,DecLong,1)</f>
        <v>73.494450057677668</v>
      </c>
      <c r="AD2913" s="258">
        <f>1+ transit((J2000_Bas-1),$O2913,$M2913,DecLat,DecLong)/360 + (GMTOffset/24) + (IF(DST="Y", 1, 0)/24)</f>
        <v>0.99509903448387449</v>
      </c>
      <c r="AE2913" s="259">
        <f>DATE(2001,9,21)+(M2913/360)*365 - (360*((DecLong/360)- (GMTOffset/24) ))</f>
        <v>37160.802662037036</v>
      </c>
      <c r="AF2913" s="260">
        <f>IF(DecLat&gt;0,IF((90 - (DecLat-O2913))&gt;90, (90 - (O2913-DecLat)), (90 - (DecLat-O2913))),IF((90 + (DecLat-O2913))&gt;90, (90 + (O2913-DecLat)), (90 + (DecLat-O2913))))</f>
        <v>80.958333333333329</v>
      </c>
      <c r="AG2913" s="257">
        <f>angularseperation(MoonRA,MoonDec,$M2913,$O2913)</f>
        <v>118.26538099843012</v>
      </c>
      <c r="AH2913" s="261">
        <f ca="1">MIN(100,IF($O$5&gt;80,0+30*($AG2913/100),IF($O$5&gt;70,0+50*($AG2913/100),IF($O$5&gt;60,5+50*($AG2913/100),IF($O$5&gt;50,10+60*($AG2913/100),IF($O$5&gt;40,15+70*($AG2913/100),IF($O$5&gt;30,20+70*($AG2913/100),IF($O$5&gt;20,40+55*($AG2913/100),(80+(20-$O$5)+30*($AG2913/100))))))))))</f>
        <v>100</v>
      </c>
      <c r="AI2913" s="263"/>
      <c r="AJ2913" s="263"/>
      <c r="AK2913" s="263"/>
      <c r="AL2913" s="263"/>
      <c r="AM2913" s="264"/>
      <c r="AN2913" s="263"/>
      <c r="AO2913" s="263"/>
      <c r="AP2913" s="265"/>
      <c r="AQ2913" s="265">
        <v>6</v>
      </c>
      <c r="AR2913" s="285">
        <v>207</v>
      </c>
      <c r="AS2913" s="263"/>
      <c r="AT2913" s="263"/>
      <c r="AU2913" s="263"/>
      <c r="AV2913" s="264"/>
      <c r="AW2913" s="263"/>
      <c r="AX2913" s="263"/>
      <c r="AY2913" s="263"/>
      <c r="AZ2913" s="263"/>
      <c r="BA2913" s="263"/>
      <c r="BB2913" s="263"/>
      <c r="BC2913" s="263"/>
      <c r="BD2913" s="264"/>
      <c r="BE2913" s="263"/>
      <c r="BF2913" s="263"/>
      <c r="BG2913" s="263"/>
      <c r="BH2913" s="263"/>
      <c r="BI2913" s="263"/>
      <c r="BJ2913" s="404">
        <f>altaz(J2000_Bas,$O2913,$M2913,DecLat,DecLong,2)</f>
        <v>77.696371791061921</v>
      </c>
      <c r="BK2913" s="378" t="s">
        <v>3157</v>
      </c>
      <c r="BL2913" s="379">
        <f>IF((2*G2913)/60&lt;0.2,0.2,(2*G2913)/60)</f>
        <v>0.2</v>
      </c>
      <c r="BM2913" s="380">
        <f>MOD((50000+AD2913-$B$3+(0/24)),1)</f>
        <v>0.2104659641845501</v>
      </c>
      <c r="BN2913" s="381" t="s">
        <v>9281</v>
      </c>
      <c r="BO2913" s="382">
        <v>2904</v>
      </c>
    </row>
    <row r="2914" spans="1:67" s="24" customFormat="1" ht="15" customHeight="1" x14ac:dyDescent="0.25">
      <c r="A2914" s="288" t="s">
        <v>2729</v>
      </c>
      <c r="B2914" s="241" t="str">
        <f>HYPERLINK(CONCATENATE($AT$3,BK2914,$AU$3),$AV$3)</f>
        <v>S</v>
      </c>
      <c r="C2914" s="242" t="str">
        <f>HYPERLINK(CONCATENATE($AT$4,BK2914,$AU$4,BL2914),$AV$4)</f>
        <v>A</v>
      </c>
      <c r="D2914" s="243" t="s">
        <v>5638</v>
      </c>
      <c r="E2914" s="244" t="s">
        <v>5192</v>
      </c>
      <c r="F2914" s="269" t="s">
        <v>8670</v>
      </c>
      <c r="G2914" s="273">
        <v>3.8</v>
      </c>
      <c r="H2914" s="283">
        <v>70</v>
      </c>
      <c r="I2914" s="246">
        <v>80</v>
      </c>
      <c r="J2914" s="246">
        <v>2</v>
      </c>
      <c r="K2914" s="247" t="s">
        <v>5177</v>
      </c>
      <c r="L2914" s="248">
        <v>10837</v>
      </c>
      <c r="M2914" s="249">
        <f>15*(LEFT(TEXT($L2914,"000000"),2)+(MID(TEXT($L2914,"000000"),3,2)/60)+(RIGHT(TEXT($L2914,"000000"),2)/3600))</f>
        <v>17.154166666666669</v>
      </c>
      <c r="N2914" s="250">
        <v>13826</v>
      </c>
      <c r="O2914" s="251">
        <f>IF($N2914&gt;0,(LEFT(TEXT($N2914,"000000"),2)+(MID(TEXT($N2914,"000000"),3,2)/60)+(RIGHT(TEXT($N2914,"000000"),2)/3600)),-(MID(TEXT($N2914,"000000"),2,2)+(MID(TEXT($N2914,"000000"),4,2)/60)+(RIGHT(TEXT($N2914,"000000"),2)/3600)))</f>
        <v>1.6405555555555555</v>
      </c>
      <c r="P2914" s="252" t="s">
        <v>75</v>
      </c>
      <c r="Q2914" s="253"/>
      <c r="R2914" s="247" t="s">
        <v>3293</v>
      </c>
      <c r="S2914" s="272" t="s">
        <v>3293</v>
      </c>
      <c r="T2914" s="273">
        <v>13</v>
      </c>
      <c r="U2914" s="274"/>
      <c r="V2914" s="280">
        <v>90</v>
      </c>
      <c r="W2914" s="244"/>
      <c r="X2914" s="244"/>
      <c r="Y2914" s="362"/>
      <c r="Z2914" s="257">
        <f>altaz(J2000_Bas,$O2914,$M2914,DecLat,DecLong,1)</f>
        <v>-0.14175818225710965</v>
      </c>
      <c r="AA2914" s="257">
        <f>altaz((J2000_Bas+(2*0.04167)),$O2914,$M2914,DecLat,DecLong,1)</f>
        <v>25.420682688768014</v>
      </c>
      <c r="AB2914" s="257">
        <f>altaz((J2000_Bas+(4*0.04167)),$O2914,$M2914,DecLat,DecLong,1)</f>
        <v>48.531063237339097</v>
      </c>
      <c r="AC2914" s="257">
        <f>altaz((J2000_Bas+(6*0.04167)),$O2914,$M2914,DecLat,DecLong,1)</f>
        <v>60.628262589030591</v>
      </c>
      <c r="AD2914" s="258">
        <f>1+ transit((J2000_Bas-1),$O2914,$M2914,DecLat,DecLong)/360 + (GMTOffset/24) + (IF(DST="Y", 1, 0)/24)</f>
        <v>1.0405504188276247</v>
      </c>
      <c r="AE2914" s="259">
        <f>DATE(2001,9,21)+(M2914/360)*365 - (360*((DecLong/360)- (GMTOffset/24) ))</f>
        <v>37177.392418981479</v>
      </c>
      <c r="AF2914" s="260">
        <f>IF(DecLat&gt;0,IF((90 - (DecLat-O2914))&gt;90, (90 - (O2914-DecLat)), (90 - (DecLat-O2914))),IF((90 + (DecLat-O2914))&gt;90, (90 + (O2914-DecLat)), (90 + (DecLat-O2914))))</f>
        <v>60.640555555555551</v>
      </c>
      <c r="AG2914" s="257">
        <f>angularseperation(MoonRA,MoonDec,$M2914,$O2914)</f>
        <v>124.04770866416813</v>
      </c>
      <c r="AH2914" s="261">
        <f ca="1">MIN(100,IF($O$5&gt;80,0+30*($AG2914/100),IF($O$5&gt;70,0+50*($AG2914/100),IF($O$5&gt;60,5+50*($AG2914/100),IF($O$5&gt;50,10+60*($AG2914/100),IF($O$5&gt;40,15+70*($AG2914/100),IF($O$5&gt;30,20+70*($AG2914/100),IF($O$5&gt;20,40+55*($AG2914/100),(80+(20-$O$5)+30*($AG2914/100))))))))))</f>
        <v>100</v>
      </c>
      <c r="AI2914" s="262"/>
      <c r="AJ2914" s="262"/>
      <c r="AK2914" s="262"/>
      <c r="AL2914" s="263"/>
      <c r="AM2914" s="264"/>
      <c r="AN2914" s="263"/>
      <c r="AO2914" s="263"/>
      <c r="AP2914" s="265"/>
      <c r="AQ2914" s="265">
        <v>711</v>
      </c>
      <c r="AR2914" s="267">
        <v>4063</v>
      </c>
      <c r="AS2914" s="263"/>
      <c r="AT2914" s="263"/>
      <c r="AU2914" s="263"/>
      <c r="AV2914" s="264"/>
      <c r="AW2914" s="263"/>
      <c r="AX2914" s="263"/>
      <c r="AY2914" s="263"/>
      <c r="AZ2914" s="263"/>
      <c r="BA2914" s="263"/>
      <c r="BB2914" s="263"/>
      <c r="BC2914" s="263"/>
      <c r="BD2914" s="264"/>
      <c r="BE2914" s="263"/>
      <c r="BF2914" s="263"/>
      <c r="BG2914" s="263"/>
      <c r="BH2914" s="263"/>
      <c r="BI2914" s="263"/>
      <c r="BJ2914" s="404">
        <f>altaz(J2000_Bas,$O2914,$M2914,DecLat,DecLong,2)</f>
        <v>88.000745994014224</v>
      </c>
      <c r="BK2914" s="378" t="s">
        <v>2729</v>
      </c>
      <c r="BL2914" s="379">
        <f>IF((2*G2914)/60&lt;0.2,0.2,(2*G2914)/60)</f>
        <v>0.2</v>
      </c>
      <c r="BM2914" s="380">
        <f>MOD((50000+AD2914-$B$3+(0/24)),1)</f>
        <v>0.25591734853514936</v>
      </c>
      <c r="BN2914" s="381"/>
      <c r="BO2914" s="382">
        <v>2905</v>
      </c>
    </row>
    <row r="2915" spans="1:67" s="24" customFormat="1" ht="15" customHeight="1" x14ac:dyDescent="0.25">
      <c r="A2915" s="288" t="s">
        <v>2730</v>
      </c>
      <c r="B2915" s="241" t="str">
        <f>HYPERLINK(CONCATENATE($AT$3,BK2915,$AU$3),$AV$3)</f>
        <v>S</v>
      </c>
      <c r="C2915" s="242" t="str">
        <f>HYPERLINK(CONCATENATE($AT$4,BK2915,$AU$4,BL2915),$AV$4)</f>
        <v>A</v>
      </c>
      <c r="D2915" s="243" t="s">
        <v>5638</v>
      </c>
      <c r="E2915" s="244" t="s">
        <v>5337</v>
      </c>
      <c r="F2915" s="269" t="s">
        <v>3317</v>
      </c>
      <c r="G2915" s="273">
        <v>1.6</v>
      </c>
      <c r="H2915" s="283">
        <v>500</v>
      </c>
      <c r="I2915" s="246">
        <v>240</v>
      </c>
      <c r="J2915" s="246">
        <v>1</v>
      </c>
      <c r="K2915" s="247" t="s">
        <v>5306</v>
      </c>
      <c r="L2915" s="248">
        <v>11746</v>
      </c>
      <c r="M2915" s="249">
        <f>15*(LEFT(TEXT($L2915,"000000"),2)+(MID(TEXT($L2915,"000000"),3,2)/60)+(RIGHT(TEXT($L2915,"000000"),2)/3600))</f>
        <v>19.441666666666666</v>
      </c>
      <c r="N2915" s="250">
        <v>101149</v>
      </c>
      <c r="O2915" s="251">
        <f>IF($N2915&gt;0,(LEFT(TEXT($N2915,"000000"),2)+(MID(TEXT($N2915,"000000"),3,2)/60)+(RIGHT(TEXT($N2915,"000000"),2)/3600)),-(MID(TEXT($N2915,"000000"),2,2)+(MID(TEXT($N2915,"000000"),4,2)/60)+(RIGHT(TEXT($N2915,"000000"),2)/3600)))</f>
        <v>10.196944444444444</v>
      </c>
      <c r="P2915" s="252" t="s">
        <v>158</v>
      </c>
      <c r="Q2915" s="253"/>
      <c r="R2915" s="247" t="s">
        <v>3293</v>
      </c>
      <c r="S2915" s="272" t="s">
        <v>3293</v>
      </c>
      <c r="T2915" s="273">
        <v>15</v>
      </c>
      <c r="U2915" s="274"/>
      <c r="V2915" s="280"/>
      <c r="W2915" s="244"/>
      <c r="X2915" s="244"/>
      <c r="Y2915" s="362"/>
      <c r="Z2915" s="257">
        <f>altaz(J2000_Bas,$O2915,$M2915,DecLat,DecLong,1)</f>
        <v>2.3252431598580801</v>
      </c>
      <c r="AA2915" s="257">
        <f>altaz((J2000_Bas+(2*0.04167)),$O2915,$M2915,DecLat,DecLong,1)</f>
        <v>28.003117148588036</v>
      </c>
      <c r="AB2915" s="257">
        <f>altaz((J2000_Bas+(4*0.04167)),$O2915,$M2915,DecLat,DecLong,1)</f>
        <v>52.800194794109402</v>
      </c>
      <c r="AC2915" s="257">
        <f>altaz((J2000_Bas+(6*0.04167)),$O2915,$M2915,DecLat,DecLong,1)</f>
        <v>68.987670543681261</v>
      </c>
      <c r="AD2915" s="258">
        <f>1+ transit((J2000_Bas-1),$O2915,$M2915,DecLat,DecLong)/360 + (GMTOffset/24) + (IF(DST="Y", 1, 0)/24)</f>
        <v>1.0469045848588747</v>
      </c>
      <c r="AE2915" s="259">
        <f>DATE(2001,9,21)+(M2915/360)*365 - (360*((DecLong/360)- (GMTOffset/24) ))</f>
        <v>37179.711689814816</v>
      </c>
      <c r="AF2915" s="260">
        <f>IF(DecLat&gt;0,IF((90 - (DecLat-O2915))&gt;90, (90 - (O2915-DecLat)), (90 - (DecLat-O2915))),IF((90 + (DecLat-O2915))&gt;90, (90 + (O2915-DecLat)), (90 + (DecLat-O2915))))</f>
        <v>69.196944444444441</v>
      </c>
      <c r="AG2915" s="257">
        <f>angularseperation(MoonRA,MoonDec,$M2915,$O2915)</f>
        <v>130.2556201109314</v>
      </c>
      <c r="AH2915" s="261">
        <f ca="1">MIN(100,IF($O$5&gt;80,0+30*($AG2915/100),IF($O$5&gt;70,0+50*($AG2915/100),IF($O$5&gt;60,5+50*($AG2915/100),IF($O$5&gt;50,10+60*($AG2915/100),IF($O$5&gt;40,15+70*($AG2915/100),IF($O$5&gt;30,20+70*($AG2915/100),IF($O$5&gt;20,40+55*($AG2915/100),(80+(20-$O$5)+30*($AG2915/100))))))))))</f>
        <v>100</v>
      </c>
      <c r="AI2915" s="262"/>
      <c r="AJ2915" s="262"/>
      <c r="AK2915" s="262"/>
      <c r="AL2915" s="263"/>
      <c r="AM2915" s="264"/>
      <c r="AN2915" s="263"/>
      <c r="AO2915" s="263"/>
      <c r="AP2915" s="265"/>
      <c r="AQ2915" s="265">
        <v>829</v>
      </c>
      <c r="AR2915" s="267">
        <v>4657</v>
      </c>
      <c r="AS2915" s="263"/>
      <c r="AT2915" s="263"/>
      <c r="AU2915" s="263"/>
      <c r="AV2915" s="264"/>
      <c r="AW2915" s="263"/>
      <c r="AX2915" s="263"/>
      <c r="AY2915" s="263"/>
      <c r="AZ2915" s="263"/>
      <c r="BA2915" s="263"/>
      <c r="BB2915" s="263"/>
      <c r="BC2915" s="263"/>
      <c r="BD2915" s="264"/>
      <c r="BE2915" s="263"/>
      <c r="BF2915" s="263"/>
      <c r="BG2915" s="263"/>
      <c r="BH2915" s="263"/>
      <c r="BI2915" s="263"/>
      <c r="BJ2915" s="404">
        <f>altaz(J2000_Bas,$O2915,$M2915,DecLat,DecLong,2)</f>
        <v>79.496026060299698</v>
      </c>
      <c r="BK2915" s="378" t="s">
        <v>2730</v>
      </c>
      <c r="BL2915" s="379">
        <f>IF((2*G2915)/60&lt;0.2,0.2,(2*G2915)/60)</f>
        <v>0.2</v>
      </c>
      <c r="BM2915" s="380">
        <f>MOD((50000+AD2915-$B$3+(0/24)),1)</f>
        <v>0.2622715145625989</v>
      </c>
      <c r="BN2915" s="381" t="s">
        <v>9281</v>
      </c>
      <c r="BO2915" s="382">
        <v>2906</v>
      </c>
    </row>
    <row r="2916" spans="1:67" s="24" customFormat="1" ht="15" customHeight="1" x14ac:dyDescent="0.25">
      <c r="A2916" s="288" t="s">
        <v>3158</v>
      </c>
      <c r="B2916" s="241" t="str">
        <f>HYPERLINK(CONCATENATE($AT$3,BK2916,$AU$3),$AV$3)</f>
        <v>S</v>
      </c>
      <c r="C2916" s="242" t="str">
        <f>HYPERLINK(CONCATENATE($AT$4,BK2916,$AU$4,BL2916),$AV$4)</f>
        <v>A</v>
      </c>
      <c r="D2916" s="243" t="s">
        <v>5638</v>
      </c>
      <c r="E2916" s="244" t="s">
        <v>5193</v>
      </c>
      <c r="F2916" s="269" t="s">
        <v>3311</v>
      </c>
      <c r="G2916" s="273">
        <v>2.2000000000000002</v>
      </c>
      <c r="H2916" s="283">
        <v>500</v>
      </c>
      <c r="I2916" s="246">
        <v>300</v>
      </c>
      <c r="J2916" s="246">
        <v>1</v>
      </c>
      <c r="K2916" s="247" t="s">
        <v>5307</v>
      </c>
      <c r="L2916" s="248">
        <v>20939</v>
      </c>
      <c r="M2916" s="249">
        <f>15*(LEFT(TEXT($L2916,"000000"),2)+(MID(TEXT($L2916,"000000"),3,2)/60)+(RIGHT(TEXT($L2916,"000000"),2)/3600))</f>
        <v>32.412499999999994</v>
      </c>
      <c r="N2916" s="250">
        <v>354748</v>
      </c>
      <c r="O2916" s="251">
        <f>IF($N2916&gt;0,(LEFT(TEXT($N2916,"000000"),2)+(MID(TEXT($N2916,"000000"),3,2)/60)+(RIGHT(TEXT($N2916,"000000"),2)/3600)),-(MID(TEXT($N2916,"000000"),2,2)+(MID(TEXT($N2916,"000000"),4,2)/60)+(RIGHT(TEXT($N2916,"000000"),2)/3600)))</f>
        <v>35.796666666666667</v>
      </c>
      <c r="P2916" s="252" t="s">
        <v>314</v>
      </c>
      <c r="Q2916" s="253"/>
      <c r="R2916" s="277" t="s">
        <v>3293</v>
      </c>
      <c r="S2916" s="272" t="s">
        <v>3293</v>
      </c>
      <c r="T2916" s="273">
        <v>13</v>
      </c>
      <c r="U2916" s="274"/>
      <c r="V2916" s="280"/>
      <c r="W2916" s="244"/>
      <c r="X2916" s="244"/>
      <c r="Y2916" s="362"/>
      <c r="Z2916" s="257">
        <f>altaz(J2000_Bas,$O2916,$M2916,DecLat,DecLong,1)</f>
        <v>6.0179092577681459</v>
      </c>
      <c r="AA2916" s="257">
        <f>altaz((J2000_Bas+(2*0.04167)),$O2916,$M2916,DecLat,DecLong,1)</f>
        <v>27.749930841801277</v>
      </c>
      <c r="AB2916" s="257">
        <f>altaz((J2000_Bas+(4*0.04167)),$O2916,$M2916,DecLat,DecLong,1)</f>
        <v>51.453621831938726</v>
      </c>
      <c r="AC2916" s="257">
        <f>altaz((J2000_Bas+(6*0.04167)),$O2916,$M2916,DecLat,DecLong,1)</f>
        <v>75.705628695702259</v>
      </c>
      <c r="AD2916" s="258">
        <f>1+ transit((J2000_Bas-1),$O2916,$M2916,DecLat,DecLong)/360 + (GMTOffset/24) + (IF(DST="Y", 1, 0)/24)</f>
        <v>1.082934673848458</v>
      </c>
      <c r="AE2916" s="259">
        <f>DATE(2001,9,21)+(M2916/360)*365 - (360*((DecLong/360)- (GMTOffset/24) ))</f>
        <v>37192.862673611111</v>
      </c>
      <c r="AF2916" s="260">
        <f>IF(DecLat&gt;0,IF((90 - (DecLat-O2916))&gt;90, (90 - (O2916-DecLat)), (90 - (DecLat-O2916))),IF((90 + (DecLat-O2916))&gt;90, (90 + (O2916-DecLat)), (90 + (DecLat-O2916))))</f>
        <v>85.203333333333333</v>
      </c>
      <c r="AG2916" s="257">
        <f>angularseperation(MoonRA,MoonDec,$M2916,$O2916)</f>
        <v>147.60088916575373</v>
      </c>
      <c r="AH2916" s="261">
        <f ca="1">MIN(100,IF($O$5&gt;80,0+30*($AG2916/100),IF($O$5&gt;70,0+50*($AG2916/100),IF($O$5&gt;60,5+50*($AG2916/100),IF($O$5&gt;50,10+60*($AG2916/100),IF($O$5&gt;40,15+70*($AG2916/100),IF($O$5&gt;30,20+70*($AG2916/100),IF($O$5&gt;20,40+55*($AG2916/100),(80+(20-$O$5)+30*($AG2916/100))))))))))</f>
        <v>100</v>
      </c>
      <c r="AI2916" s="263"/>
      <c r="AJ2916" s="263"/>
      <c r="AK2916" s="263"/>
      <c r="AL2916" s="263"/>
      <c r="AM2916" s="264"/>
      <c r="AN2916" s="263"/>
      <c r="AO2916" s="263"/>
      <c r="AP2916" s="265"/>
      <c r="AQ2916" s="265">
        <v>1651</v>
      </c>
      <c r="AR2916" s="285">
        <v>8249</v>
      </c>
      <c r="AS2916" s="263"/>
      <c r="AT2916" s="263"/>
      <c r="AU2916" s="263"/>
      <c r="AV2916" s="264"/>
      <c r="AW2916" s="263"/>
      <c r="AX2916" s="263"/>
      <c r="AY2916" s="263"/>
      <c r="AZ2916" s="263"/>
      <c r="BA2916" s="263"/>
      <c r="BB2916" s="263"/>
      <c r="BC2916" s="263"/>
      <c r="BD2916" s="264"/>
      <c r="BE2916" s="263"/>
      <c r="BF2916" s="263"/>
      <c r="BG2916" s="263"/>
      <c r="BH2916" s="263"/>
      <c r="BI2916" s="263"/>
      <c r="BJ2916" s="404">
        <f>altaz(J2000_Bas,$O2916,$M2916,DecLat,DecLong,2)</f>
        <v>51.478042308545476</v>
      </c>
      <c r="BK2916" s="378" t="s">
        <v>3158</v>
      </c>
      <c r="BL2916" s="379">
        <f>IF((2*G2916)/60&lt;0.2,0.2,(2*G2916)/60)</f>
        <v>0.2</v>
      </c>
      <c r="BM2916" s="380">
        <f>MOD((50000+AD2916-$B$3+(0/24)),1)</f>
        <v>0.29830160355049884</v>
      </c>
      <c r="BN2916" s="381"/>
      <c r="BO2916" s="382">
        <v>2907</v>
      </c>
    </row>
    <row r="2917" spans="1:67" s="24" customFormat="1" ht="15" customHeight="1" x14ac:dyDescent="0.25">
      <c r="A2917" s="288" t="s">
        <v>3159</v>
      </c>
      <c r="B2917" s="241" t="str">
        <f>HYPERLINK(CONCATENATE($AT$3,BK2917,$AU$3),$AV$3)</f>
        <v>S</v>
      </c>
      <c r="C2917" s="242" t="str">
        <f>HYPERLINK(CONCATENATE($AT$4,BK2917,$AU$4,BL2917),$AV$4)</f>
        <v>A</v>
      </c>
      <c r="D2917" s="243" t="s">
        <v>5638</v>
      </c>
      <c r="E2917" s="244" t="s">
        <v>5337</v>
      </c>
      <c r="F2917" s="269" t="s">
        <v>3301</v>
      </c>
      <c r="G2917" s="273">
        <v>1</v>
      </c>
      <c r="H2917" s="283">
        <v>420</v>
      </c>
      <c r="I2917" s="246">
        <v>120</v>
      </c>
      <c r="J2917" s="246">
        <v>2</v>
      </c>
      <c r="K2917" s="247" t="s">
        <v>8515</v>
      </c>
      <c r="L2917" s="248">
        <v>25402</v>
      </c>
      <c r="M2917" s="249">
        <f>15*(LEFT(TEXT($L2917,"000000"),2)+(MID(TEXT($L2917,"000000"),3,2)/60)+(RIGHT(TEXT($L2917,"000000"),2)/3600))</f>
        <v>43.508333333333333</v>
      </c>
      <c r="N2917" s="250">
        <v>145830</v>
      </c>
      <c r="O2917" s="251">
        <f>IF($N2917&gt;0,(LEFT(TEXT($N2917,"000000"),2)+(MID(TEXT($N2917,"000000"),3,2)/60)+(RIGHT(TEXT($N2917,"000000"),2)/3600)),-(MID(TEXT($N2917,"000000"),2,2)+(MID(TEXT($N2917,"000000"),4,2)/60)+(RIGHT(TEXT($N2917,"000000"),2)/3600)))</f>
        <v>14.975</v>
      </c>
      <c r="P2917" s="252" t="s">
        <v>249</v>
      </c>
      <c r="Q2917" s="253"/>
      <c r="R2917" s="277" t="s">
        <v>3293</v>
      </c>
      <c r="S2917" s="272" t="s">
        <v>3293</v>
      </c>
      <c r="T2917" s="273">
        <v>14</v>
      </c>
      <c r="U2917" s="274"/>
      <c r="V2917" s="280"/>
      <c r="W2917" s="244"/>
      <c r="X2917" s="244"/>
      <c r="Y2917" s="362"/>
      <c r="Z2917" s="257">
        <f>altaz(J2000_Bas,$O2917,$M2917,DecLat,DecLong,1)</f>
        <v>-14.438615767563048</v>
      </c>
      <c r="AA2917" s="257">
        <f>altaz((J2000_Bas+(2*0.04167)),$O2917,$M2917,DecLat,DecLong,1)</f>
        <v>9.8077143258574306</v>
      </c>
      <c r="AB2917" s="257">
        <f>altaz((J2000_Bas+(4*0.04167)),$O2917,$M2917,DecLat,DecLong,1)</f>
        <v>35.449753981221555</v>
      </c>
      <c r="AC2917" s="257">
        <f>altaz((J2000_Bas+(6*0.04167)),$O2917,$M2917,DecLat,DecLong,1)</f>
        <v>60.368993628378398</v>
      </c>
      <c r="AD2917" s="258">
        <f>1+ transit((J2000_Bas-1),$O2917,$M2917,DecLat,DecLong)/360 + (GMTOffset/24) + (IF(DST="Y", 1, 0)/24)</f>
        <v>1.1137564300255414</v>
      </c>
      <c r="AE2917" s="259">
        <f>DATE(2001,9,21)+(M2917/360)*365 - (360*((DecLong/360)- (GMTOffset/24) ))</f>
        <v>37204.112615740742</v>
      </c>
      <c r="AF2917" s="260">
        <f>IF(DecLat&gt;0,IF((90 - (DecLat-O2917))&gt;90, (90 - (O2917-DecLat)), (90 - (DecLat-O2917))),IF((90 + (DecLat-O2917))&gt;90, (90 + (O2917-DecLat)), (90 + (DecLat-O2917))))</f>
        <v>73.974999999999994</v>
      </c>
      <c r="AG2917" s="257">
        <f>angularseperation(MoonRA,MoonDec,$M2917,$O2917)</f>
        <v>153.18241092227069</v>
      </c>
      <c r="AH2917" s="261">
        <f ca="1">MIN(100,IF($O$5&gt;80,0+30*($AG2917/100),IF($O$5&gt;70,0+50*($AG2917/100),IF($O$5&gt;60,5+50*($AG2917/100),IF($O$5&gt;50,10+60*($AG2917/100),IF($O$5&gt;40,15+70*($AG2917/100),IF($O$5&gt;30,20+70*($AG2917/100),IF($O$5&gt;20,40+55*($AG2917/100),(80+(20-$O$5)+30*($AG2917/100))))))))))</f>
        <v>100</v>
      </c>
      <c r="AI2917" s="263"/>
      <c r="AJ2917" s="263"/>
      <c r="AK2917" s="263"/>
      <c r="AL2917" s="263"/>
      <c r="AM2917" s="264"/>
      <c r="AN2917" s="263"/>
      <c r="AO2917" s="263"/>
      <c r="AP2917" s="265"/>
      <c r="AQ2917" s="265">
        <v>2369</v>
      </c>
      <c r="AR2917" s="285"/>
      <c r="AS2917" s="263"/>
      <c r="AT2917" s="263"/>
      <c r="AU2917" s="263"/>
      <c r="AV2917" s="264"/>
      <c r="AW2917" s="263"/>
      <c r="AX2917" s="263"/>
      <c r="AY2917" s="263"/>
      <c r="AZ2917" s="263"/>
      <c r="BA2917" s="263"/>
      <c r="BB2917" s="263"/>
      <c r="BC2917" s="263"/>
      <c r="BD2917" s="264"/>
      <c r="BE2917" s="263"/>
      <c r="BF2917" s="263"/>
      <c r="BG2917" s="263"/>
      <c r="BH2917" s="263"/>
      <c r="BI2917" s="263"/>
      <c r="BJ2917" s="404">
        <f>altaz(J2000_Bas,$O2917,$M2917,DecLat,DecLong,2)</f>
        <v>62.22545233536119</v>
      </c>
      <c r="BK2917" s="378" t="s">
        <v>3159</v>
      </c>
      <c r="BL2917" s="379">
        <f>IF((2*G2917)/60&lt;0.2,0.2,(2*G2917)/60)</f>
        <v>0.2</v>
      </c>
      <c r="BM2917" s="380">
        <f>MOD((50000+AD2917-$B$3+(0/24)),1)</f>
        <v>0.32912335972650908</v>
      </c>
      <c r="BN2917" s="381" t="s">
        <v>9281</v>
      </c>
      <c r="BO2917" s="382">
        <v>2908</v>
      </c>
    </row>
    <row r="2918" spans="1:67" s="24" customFormat="1" ht="15" customHeight="1" x14ac:dyDescent="0.25">
      <c r="A2918" s="288" t="s">
        <v>2731</v>
      </c>
      <c r="B2918" s="241" t="str">
        <f>HYPERLINK(CONCATENATE($AT$3,BK2918,$AU$3),$AV$3)</f>
        <v>S</v>
      </c>
      <c r="C2918" s="242" t="str">
        <f>HYPERLINK(CONCATENATE($AT$4,BK2918,$AU$4,BL2918),$AV$4)</f>
        <v>A</v>
      </c>
      <c r="D2918" s="243" t="s">
        <v>5638</v>
      </c>
      <c r="E2918" s="244" t="s">
        <v>5192</v>
      </c>
      <c r="F2918" s="269" t="s">
        <v>8670</v>
      </c>
      <c r="G2918" s="273">
        <v>4</v>
      </c>
      <c r="H2918" s="283">
        <v>110</v>
      </c>
      <c r="I2918" s="246">
        <v>120</v>
      </c>
      <c r="J2918" s="246">
        <v>1</v>
      </c>
      <c r="K2918" s="247" t="s">
        <v>6400</v>
      </c>
      <c r="L2918" s="248">
        <v>25848</v>
      </c>
      <c r="M2918" s="249">
        <f>15*(LEFT(TEXT($L2918,"000000"),2)+(MID(TEXT($L2918,"000000"),3,2)/60)+(RIGHT(TEXT($L2918,"000000"),2)/3600))</f>
        <v>44.7</v>
      </c>
      <c r="N2918" s="250">
        <v>754437</v>
      </c>
      <c r="O2918" s="251">
        <f>IF($N2918&gt;0,(LEFT(TEXT($N2918,"000000"),2)+(MID(TEXT($N2918,"000000"),3,2)/60)+(RIGHT(TEXT($N2918,"000000"),2)/3600)),-(MID(TEXT($N2918,"000000"),2,2)+(MID(TEXT($N2918,"000000"),4,2)/60)+(RIGHT(TEXT($N2918,"000000"),2)/3600)))</f>
        <v>75.743611111111107</v>
      </c>
      <c r="P2918" s="252" t="s">
        <v>49</v>
      </c>
      <c r="Q2918" s="253"/>
      <c r="R2918" s="247" t="s">
        <v>3293</v>
      </c>
      <c r="S2918" s="272" t="s">
        <v>3293</v>
      </c>
      <c r="T2918" s="273">
        <v>16</v>
      </c>
      <c r="U2918" s="274"/>
      <c r="V2918" s="280">
        <v>89</v>
      </c>
      <c r="W2918" s="244"/>
      <c r="X2918" s="244"/>
      <c r="Y2918" s="362"/>
      <c r="Z2918" s="257">
        <f>altaz(J2000_Bas,$O2918,$M2918,DecLat,DecLong,1)</f>
        <v>23.441725762596519</v>
      </c>
      <c r="AA2918" s="257">
        <f>altaz((J2000_Bas+(2*0.04167)),$O2918,$M2918,DecLat,DecLong,1)</f>
        <v>30.284016750629227</v>
      </c>
      <c r="AB2918" s="257">
        <f>altaz((J2000_Bas+(4*0.04167)),$O2918,$M2918,DecLat,DecLong,1)</f>
        <v>37.544727721311155</v>
      </c>
      <c r="AC2918" s="257">
        <f>altaz((J2000_Bas+(6*0.04167)),$O2918,$M2918,DecLat,DecLong,1)</f>
        <v>43.218506587262645</v>
      </c>
      <c r="AD2918" s="258">
        <f>1+ transit((J2000_Bas-1),$O2918,$M2918,DecLat,DecLong)/360 + (GMTOffset/24) + (IF(DST="Y", 1, 0)/24)</f>
        <v>1.1170666148797079</v>
      </c>
      <c r="AE2918" s="259">
        <f>DATE(2001,9,21)+(M2918/360)*365 - (360*((DecLong/360)- (GMTOffset/24) ))</f>
        <v>37205.320833333331</v>
      </c>
      <c r="AF2918" s="260">
        <f>IF(DecLat&gt;0,IF((90 - (DecLat-O2918))&gt;90, (90 - (O2918-DecLat)), (90 - (DecLat-O2918))),IF((90 + (DecLat-O2918))&gt;90, (90 + (O2918-DecLat)), (90 + (DecLat-O2918))))</f>
        <v>45.256388888888893</v>
      </c>
      <c r="AG2918" s="257">
        <f>angularseperation(MoonRA,MoonDec,$M2918,$O2918)</f>
        <v>129.84584200948728</v>
      </c>
      <c r="AH2918" s="261">
        <f ca="1">MIN(100,IF($O$5&gt;80,0+30*($AG2918/100),IF($O$5&gt;70,0+50*($AG2918/100),IF($O$5&gt;60,5+50*($AG2918/100),IF($O$5&gt;50,10+60*($AG2918/100),IF($O$5&gt;40,15+70*($AG2918/100),IF($O$5&gt;30,20+70*($AG2918/100),IF($O$5&gt;20,40+55*($AG2918/100),(80+(20-$O$5)+30*($AG2918/100))))))))))</f>
        <v>100</v>
      </c>
      <c r="AI2918" s="262"/>
      <c r="AJ2918" s="262"/>
      <c r="AK2918" s="262"/>
      <c r="AL2918" s="263"/>
      <c r="AM2918" s="264"/>
      <c r="AN2918" s="263"/>
      <c r="AO2918" s="263"/>
      <c r="AP2918" s="265"/>
      <c r="AQ2918" s="265">
        <v>2411</v>
      </c>
      <c r="AR2918" s="267">
        <v>11282</v>
      </c>
      <c r="AS2918" s="263"/>
      <c r="AT2918" s="263"/>
      <c r="AU2918" s="263"/>
      <c r="AV2918" s="264"/>
      <c r="AW2918" s="263"/>
      <c r="AX2918" s="263"/>
      <c r="AY2918" s="263"/>
      <c r="AZ2918" s="263"/>
      <c r="BA2918" s="263"/>
      <c r="BB2918" s="263"/>
      <c r="BC2918" s="263"/>
      <c r="BD2918" s="264"/>
      <c r="BE2918" s="263"/>
      <c r="BF2918" s="263"/>
      <c r="BG2918" s="263"/>
      <c r="BH2918" s="263"/>
      <c r="BI2918" s="263"/>
      <c r="BJ2918" s="404">
        <f>altaz(J2000_Bas,$O2918,$M2918,DecLat,DecLong,2)</f>
        <v>13.617858757496364</v>
      </c>
      <c r="BK2918" s="378" t="s">
        <v>2731</v>
      </c>
      <c r="BL2918" s="379">
        <f>IF((2*G2918)/60&lt;0.2,0.2,(2*G2918)/60)</f>
        <v>0.2</v>
      </c>
      <c r="BM2918" s="380">
        <f>MOD((50000+AD2918-$B$3+(0/24)),1)</f>
        <v>0.33243354458682006</v>
      </c>
      <c r="BN2918" s="381"/>
      <c r="BO2918" s="382">
        <v>2909</v>
      </c>
    </row>
    <row r="2919" spans="1:67" s="24" customFormat="1" ht="15" customHeight="1" x14ac:dyDescent="0.25">
      <c r="A2919" s="288" t="s">
        <v>9326</v>
      </c>
      <c r="B2919" s="241" t="str">
        <f>HYPERLINK(CONCATENATE($AT$3,BK2919,$AU$3),$AV$3)</f>
        <v>S</v>
      </c>
      <c r="C2919" s="242" t="str">
        <f>HYPERLINK(CONCATENATE($AT$4,BK2919,$AU$4,BL2919),$AV$4)</f>
        <v>A</v>
      </c>
      <c r="D2919" s="243" t="s">
        <v>5638</v>
      </c>
      <c r="E2919" s="244" t="s">
        <v>5625</v>
      </c>
      <c r="F2919" s="269">
        <v>9</v>
      </c>
      <c r="G2919" s="291">
        <v>1</v>
      </c>
      <c r="H2919" s="283">
        <v>700</v>
      </c>
      <c r="I2919" s="284">
        <v>200</v>
      </c>
      <c r="J2919" s="246">
        <v>4</v>
      </c>
      <c r="K2919" s="247" t="s">
        <v>5756</v>
      </c>
      <c r="L2919" s="248">
        <v>30144</v>
      </c>
      <c r="M2919" s="249">
        <f>15*(LEFT(TEXT($L2919,"000000"),2)+(MID(TEXT($L2919,"000000"),3,2)/60)+(RIGHT(TEXT($L2919,"000000"),2)/3600))</f>
        <v>45.433333333333337</v>
      </c>
      <c r="N2919" s="250">
        <v>355048</v>
      </c>
      <c r="O2919" s="251">
        <f>IF($N2919&gt;0,(LEFT(TEXT($N2919,"000000"),2)+(MID(TEXT($N2919,"000000"),3,2)/60)+(RIGHT(TEXT($N2919,"000000"),2)/3600)),-(MID(TEXT($N2919,"000000"),2,2)+(MID(TEXT($N2919,"000000"),4,2)/60)+(RIGHT(TEXT($N2919,"000000"),2)/3600)))</f>
        <v>35.846666666666671</v>
      </c>
      <c r="P2919" s="252" t="s">
        <v>43</v>
      </c>
      <c r="Q2919" s="253" t="s">
        <v>175</v>
      </c>
      <c r="R2919" s="247"/>
      <c r="S2919" s="272" t="s">
        <v>3293</v>
      </c>
      <c r="T2919" s="273">
        <v>14.7</v>
      </c>
      <c r="U2919" s="274"/>
      <c r="V2919" s="280"/>
      <c r="W2919" s="244"/>
      <c r="X2919" s="244"/>
      <c r="Y2919" s="362"/>
      <c r="Z2919" s="257">
        <f>altaz(J2000_Bas,$O2919,$M2919,DecLat,DecLong,1)</f>
        <v>-2.2805721480970789</v>
      </c>
      <c r="AA2919" s="257">
        <f>altaz((J2000_Bas+(2*0.04167)),$O2919,$M2919,DecLat,DecLong,1)</f>
        <v>18.031771780549743</v>
      </c>
      <c r="AB2919" s="257">
        <f>altaz((J2000_Bas+(4*0.04167)),$O2919,$M2919,DecLat,DecLong,1)</f>
        <v>41.052130782619138</v>
      </c>
      <c r="AC2919" s="257">
        <f>altaz((J2000_Bas+(6*0.04167)),$O2919,$M2919,DecLat,DecLong,1)</f>
        <v>65.266691437214632</v>
      </c>
      <c r="AD2919" s="258">
        <f>1+ transit((J2000_Bas-1),$O2919,$M2919,DecLat,DecLong)/360 + (GMTOffset/24) + (IF(DST="Y", 1, 0)/24)</f>
        <v>1.1191036517130415</v>
      </c>
      <c r="AE2919" s="259">
        <f>DATE(2001,9,21)+(M2919/360)*365 - (360*((DecLong/360)- (GMTOffset/24) ))</f>
        <v>37206.064351851855</v>
      </c>
      <c r="AF2919" s="260">
        <f>IF(DecLat&gt;0,IF((90 - (DecLat-O2919))&gt;90, (90 - (O2919-DecLat)), (90 - (DecLat-O2919))),IF((90 + (DecLat-O2919))&gt;90, (90 + (O2919-DecLat)), (90 + (DecLat-O2919))))</f>
        <v>85.153333333333336</v>
      </c>
      <c r="AG2919" s="257">
        <f>angularseperation(MoonRA,MoonDec,$M2919,$O2919)</f>
        <v>157.95831877124738</v>
      </c>
      <c r="AH2919" s="261">
        <f ca="1">MIN(100,IF($O$5&gt;80,0+30*($AG2919/100),IF($O$5&gt;70,0+50*($AG2919/100),IF($O$5&gt;60,5+50*($AG2919/100),IF($O$5&gt;50,10+60*($AG2919/100),IF($O$5&gt;40,15+70*($AG2919/100),IF($O$5&gt;30,20+70*($AG2919/100),IF($O$5&gt;20,40+55*($AG2919/100),(80+(20-$O$5)+30*($AG2919/100))))))))))</f>
        <v>100</v>
      </c>
      <c r="AI2919" s="262"/>
      <c r="AJ2919" s="262"/>
      <c r="AK2919" s="262"/>
      <c r="AL2919" s="263"/>
      <c r="AM2919" s="264"/>
      <c r="AN2919" s="263"/>
      <c r="AO2919" s="263"/>
      <c r="AP2919" s="265">
        <v>407</v>
      </c>
      <c r="AQ2919" s="266">
        <v>2489</v>
      </c>
      <c r="AR2919" s="267"/>
      <c r="AS2919" s="263"/>
      <c r="AT2919" s="263"/>
      <c r="AU2919" s="263"/>
      <c r="AV2919" s="264"/>
      <c r="AW2919" s="263"/>
      <c r="AX2919" s="263"/>
      <c r="AY2919" s="263"/>
      <c r="AZ2919" s="263"/>
      <c r="BA2919" s="263"/>
      <c r="BB2919" s="263"/>
      <c r="BC2919" s="263"/>
      <c r="BD2919" s="264"/>
      <c r="BE2919" s="263"/>
      <c r="BF2919" s="263"/>
      <c r="BG2919" s="263"/>
      <c r="BH2919" s="263"/>
      <c r="BI2919" s="263"/>
      <c r="BJ2919" s="404">
        <f>altaz(J2000_Bas,$O2919,$M2919,DecLat,DecLong,2)</f>
        <v>44.95416957978167</v>
      </c>
      <c r="BK2919" s="378" t="s">
        <v>3877</v>
      </c>
      <c r="BL2919" s="379">
        <f>IF((2*G2919)/60&lt;0.2,0.2,(2*G2919)/60)</f>
        <v>0.2</v>
      </c>
      <c r="BM2919" s="380">
        <f>MOD((50000+AD2919-$B$3+(0/24)),1)</f>
        <v>0.33447058141609887</v>
      </c>
      <c r="BN2919" s="381"/>
      <c r="BO2919" s="382">
        <v>2957</v>
      </c>
    </row>
    <row r="2920" spans="1:67" s="24" customFormat="1" ht="15" customHeight="1" x14ac:dyDescent="0.25">
      <c r="A2920" s="288" t="s">
        <v>2732</v>
      </c>
      <c r="B2920" s="241" t="str">
        <f>HYPERLINK(CONCATENATE($AT$3,BK2920,$AU$3),$AV$3)</f>
        <v>S</v>
      </c>
      <c r="C2920" s="242" t="str">
        <f>HYPERLINK(CONCATENATE($AT$4,BK2920,$AU$4,BL2920),$AV$4)</f>
        <v>A</v>
      </c>
      <c r="D2920" s="243" t="s">
        <v>5638</v>
      </c>
      <c r="E2920" s="244" t="s">
        <v>5192</v>
      </c>
      <c r="F2920" s="269" t="s">
        <v>5309</v>
      </c>
      <c r="G2920" s="273">
        <v>4</v>
      </c>
      <c r="H2920" s="283">
        <v>230</v>
      </c>
      <c r="I2920" s="246">
        <v>280</v>
      </c>
      <c r="J2920" s="246">
        <v>2</v>
      </c>
      <c r="K2920" s="247" t="s">
        <v>5308</v>
      </c>
      <c r="L2920" s="248">
        <v>35302</v>
      </c>
      <c r="M2920" s="249">
        <f>15*(LEFT(TEXT($L2920,"000000"),2)+(MID(TEXT($L2920,"000000"),3,2)/60)+(RIGHT(TEXT($L2920,"000000"),2)/3600))</f>
        <v>58.258333333333333</v>
      </c>
      <c r="N2920" s="250">
        <v>353521</v>
      </c>
      <c r="O2920" s="251">
        <f>IF($N2920&gt;0,(LEFT(TEXT($N2920,"000000"),2)+(MID(TEXT($N2920,"000000"),3,2)/60)+(RIGHT(TEXT($N2920,"000000"),2)/3600)),-(MID(TEXT($N2920,"000000"),2,2)+(MID(TEXT($N2920,"000000"),4,2)/60)+(RIGHT(TEXT($N2920,"000000"),2)/3600)))</f>
        <v>35.589166666666671</v>
      </c>
      <c r="P2920" s="252" t="s">
        <v>43</v>
      </c>
      <c r="Q2920" s="253"/>
      <c r="R2920" s="247" t="s">
        <v>3293</v>
      </c>
      <c r="S2920" s="272" t="s">
        <v>3293</v>
      </c>
      <c r="T2920" s="273">
        <v>14</v>
      </c>
      <c r="U2920" s="274"/>
      <c r="V2920" s="280">
        <v>70</v>
      </c>
      <c r="W2920" s="244"/>
      <c r="X2920" s="244"/>
      <c r="Y2920" s="362"/>
      <c r="Z2920" s="257">
        <f>altaz(J2000_Bas,$O2920,$M2920,DecLat,DecLong,1)</f>
        <v>-9.7293071493182062</v>
      </c>
      <c r="AA2920" s="257">
        <f>altaz((J2000_Bas+(2*0.04167)),$O2920,$M2920,DecLat,DecLong,1)</f>
        <v>8.7876984538171428</v>
      </c>
      <c r="AB2920" s="257">
        <f>altaz((J2000_Bas+(4*0.04167)),$O2920,$M2920,DecLat,DecLong,1)</f>
        <v>30.939756236953354</v>
      </c>
      <c r="AC2920" s="257">
        <f>altaz((J2000_Bas+(6*0.04167)),$O2920,$M2920,DecLat,DecLong,1)</f>
        <v>54.858622670069998</v>
      </c>
      <c r="AD2920" s="258">
        <f>1+ transit((J2000_Bas-1),$O2920,$M2920,DecLat,DecLong)/360 + (GMTOffset/24) + (IF(DST="Y", 1, 0)/24)</f>
        <v>1.1547286481505414</v>
      </c>
      <c r="AE2920" s="259">
        <f>DATE(2001,9,21)+(M2920/360)*365 - (360*((DecLong/360)- (GMTOffset/24) ))</f>
        <v>37219.067476851851</v>
      </c>
      <c r="AF2920" s="260">
        <f>IF(DecLat&gt;0,IF((90 - (DecLat-O2920))&gt;90, (90 - (O2920-DecLat)), (90 - (DecLat-O2920))),IF((90 + (DecLat-O2920))&gt;90, (90 + (O2920-DecLat)), (90 + (DecLat-O2920))))</f>
        <v>85.410833333333329</v>
      </c>
      <c r="AG2920" s="257">
        <f>angularseperation(MoonRA,MoonDec,$M2920,$O2920)</f>
        <v>167.35360505909364</v>
      </c>
      <c r="AH2920" s="261">
        <f ca="1">MIN(100,IF($O$5&gt;80,0+30*($AG2920/100),IF($O$5&gt;70,0+50*($AG2920/100),IF($O$5&gt;60,5+50*($AG2920/100),IF($O$5&gt;50,10+60*($AG2920/100),IF($O$5&gt;40,15+70*($AG2920/100),IF($O$5&gt;30,20+70*($AG2920/100),IF($O$5&gt;20,40+55*($AG2920/100),(80+(20-$O$5)+30*($AG2920/100))))))))))</f>
        <v>100</v>
      </c>
      <c r="AI2920" s="262"/>
      <c r="AJ2920" s="262"/>
      <c r="AK2920" s="262"/>
      <c r="AL2920" s="263"/>
      <c r="AM2920" s="264"/>
      <c r="AN2920" s="263"/>
      <c r="AO2920" s="263"/>
      <c r="AP2920" s="265"/>
      <c r="AQ2920" s="265">
        <v>2885</v>
      </c>
      <c r="AR2920" s="267">
        <v>14030</v>
      </c>
      <c r="AS2920" s="263"/>
      <c r="AT2920" s="263"/>
      <c r="AU2920" s="263"/>
      <c r="AV2920" s="264"/>
      <c r="AW2920" s="263"/>
      <c r="AX2920" s="263"/>
      <c r="AY2920" s="263"/>
      <c r="AZ2920" s="263"/>
      <c r="BA2920" s="263"/>
      <c r="BB2920" s="263"/>
      <c r="BC2920" s="263"/>
      <c r="BD2920" s="264"/>
      <c r="BE2920" s="263"/>
      <c r="BF2920" s="263"/>
      <c r="BG2920" s="263"/>
      <c r="BH2920" s="263"/>
      <c r="BI2920" s="263"/>
      <c r="BJ2920" s="404">
        <f>altaz(J2000_Bas,$O2920,$M2920,DecLat,DecLong,2)</f>
        <v>37.638852135617675</v>
      </c>
      <c r="BK2920" s="378" t="s">
        <v>2732</v>
      </c>
      <c r="BL2920" s="379">
        <f>IF((2*G2920)/60&lt;0.2,0.2,(2*G2920)/60)</f>
        <v>0.2</v>
      </c>
      <c r="BM2920" s="380">
        <f>MOD((50000+AD2920-$B$3+(0/24)),1)</f>
        <v>0.37009557785495417</v>
      </c>
      <c r="BN2920" s="381"/>
      <c r="BO2920" s="382">
        <v>2910</v>
      </c>
    </row>
    <row r="2921" spans="1:67" s="24" customFormat="1" ht="15" customHeight="1" x14ac:dyDescent="0.25">
      <c r="A2921" s="288" t="s">
        <v>2733</v>
      </c>
      <c r="B2921" s="241" t="str">
        <f>HYPERLINK(CONCATENATE($AT$3,BK2921,$AU$3),$AV$3)</f>
        <v>S</v>
      </c>
      <c r="C2921" s="242" t="str">
        <f>HYPERLINK(CONCATENATE($AT$4,BK2921,$AU$4,BL2921),$AV$4)</f>
        <v>A</v>
      </c>
      <c r="D2921" s="243" t="s">
        <v>5638</v>
      </c>
      <c r="E2921" s="244" t="s">
        <v>5192</v>
      </c>
      <c r="F2921" s="269" t="s">
        <v>8671</v>
      </c>
      <c r="G2921" s="273">
        <v>2.2999999999999998</v>
      </c>
      <c r="H2921" s="283">
        <v>150</v>
      </c>
      <c r="I2921" s="246">
        <v>100</v>
      </c>
      <c r="J2921" s="246">
        <v>3</v>
      </c>
      <c r="K2921" s="247" t="s">
        <v>5310</v>
      </c>
      <c r="L2921" s="248">
        <v>71122</v>
      </c>
      <c r="M2921" s="249">
        <f>15*(LEFT(TEXT($L2921,"000000"),2)+(MID(TEXT($L2921,"000000"),3,2)/60)+(RIGHT(TEXT($L2921,"000000"),2)/3600))</f>
        <v>107.84166666666667</v>
      </c>
      <c r="N2921" s="250">
        <v>715010</v>
      </c>
      <c r="O2921" s="251">
        <f>IF($N2921&gt;0,(LEFT(TEXT($N2921,"000000"),2)+(MID(TEXT($N2921,"000000"),3,2)/60)+(RIGHT(TEXT($N2921,"000000"),2)/3600)),-(MID(TEXT($N2921,"000000"),2,2)+(MID(TEXT($N2921,"000000"),4,2)/60)+(RIGHT(TEXT($N2921,"000000"),2)/3600)))</f>
        <v>71.836111111111109</v>
      </c>
      <c r="P2921" s="252" t="s">
        <v>226</v>
      </c>
      <c r="Q2921" s="253" t="s">
        <v>6879</v>
      </c>
      <c r="R2921" s="277" t="s">
        <v>3293</v>
      </c>
      <c r="S2921" s="272" t="s">
        <v>3293</v>
      </c>
      <c r="T2921" s="273">
        <v>13</v>
      </c>
      <c r="U2921" s="274"/>
      <c r="V2921" s="280">
        <v>90</v>
      </c>
      <c r="W2921" s="244"/>
      <c r="X2921" s="244"/>
      <c r="Y2921" s="362"/>
      <c r="Z2921" s="257">
        <f>altaz(J2000_Bas,$O2921,$M2921,DecLat,DecLong,1)</f>
        <v>12.844199148640863</v>
      </c>
      <c r="AA2921" s="257">
        <f>altaz((J2000_Bas+(2*0.04167)),$O2921,$M2921,DecLat,DecLong,1)</f>
        <v>14.713172335969224</v>
      </c>
      <c r="AB2921" s="257">
        <f>altaz((J2000_Bas+(4*0.04167)),$O2921,$M2921,DecLat,DecLong,1)</f>
        <v>20.431116767955817</v>
      </c>
      <c r="AC2921" s="257">
        <f>altaz((J2000_Bas+(6*0.04167)),$O2921,$M2921,DecLat,DecLong,1)</f>
        <v>28.81480875531777</v>
      </c>
      <c r="AD2921" s="258">
        <f>1+ transit((J2000_Bas-1),$O2921,$M2921,DecLat,DecLong)/360 + (GMTOffset/24) + (IF(DST="Y", 1, 0)/24)</f>
        <v>1.2924601158588747</v>
      </c>
      <c r="AE2921" s="259">
        <f>DATE(2001,9,21)+(M2921/360)*365 - (360*((DecLong/360)- (GMTOffset/24) ))</f>
        <v>37269.339467592596</v>
      </c>
      <c r="AF2921" s="260">
        <f>IF(DecLat&gt;0,IF((90 - (DecLat-O2921))&gt;90, (90 - (O2921-DecLat)), (90 - (DecLat-O2921))),IF((90 + (DecLat-O2921))&gt;90, (90 + (O2921-DecLat)), (90 + (DecLat-O2921))))</f>
        <v>49.163888888888891</v>
      </c>
      <c r="AG2921" s="257">
        <f>angularseperation(MoonRA,MoonDec,$M2921,$O2921)</f>
        <v>130.50558220517811</v>
      </c>
      <c r="AH2921" s="261">
        <f ca="1">MIN(100,IF($O$5&gt;80,0+30*($AG2921/100),IF($O$5&gt;70,0+50*($AG2921/100),IF($O$5&gt;60,5+50*($AG2921/100),IF($O$5&gt;50,10+60*($AG2921/100),IF($O$5&gt;40,15+70*($AG2921/100),IF($O$5&gt;30,20+70*($AG2921/100),IF($O$5&gt;20,40+55*($AG2921/100),(80+(20-$O$5)+30*($AG2921/100))))))))))</f>
        <v>100</v>
      </c>
      <c r="AI2921" s="262"/>
      <c r="AJ2921" s="262"/>
      <c r="AK2921" s="262"/>
      <c r="AL2921" s="263"/>
      <c r="AM2921" s="264"/>
      <c r="AN2921" s="263"/>
      <c r="AO2921" s="263"/>
      <c r="AP2921" s="265"/>
      <c r="AQ2921" s="265">
        <v>3697</v>
      </c>
      <c r="AR2921" s="267">
        <v>20348</v>
      </c>
      <c r="AS2921" s="263"/>
      <c r="AT2921" s="263"/>
      <c r="AU2921" s="263"/>
      <c r="AV2921" s="264"/>
      <c r="AW2921" s="263"/>
      <c r="AX2921" s="263"/>
      <c r="AY2921" s="263"/>
      <c r="AZ2921" s="263"/>
      <c r="BA2921" s="263"/>
      <c r="BB2921" s="263"/>
      <c r="BC2921" s="263"/>
      <c r="BD2921" s="264"/>
      <c r="BE2921" s="263"/>
      <c r="BF2921" s="263"/>
      <c r="BG2921" s="263"/>
      <c r="BH2921" s="263">
        <v>8</v>
      </c>
      <c r="BI2921" s="263"/>
      <c r="BJ2921" s="404">
        <f>altaz(J2000_Bas,$O2921,$M2921,DecLat,DecLong,2)</f>
        <v>359.41208247527771</v>
      </c>
      <c r="BK2921" s="378" t="s">
        <v>2733</v>
      </c>
      <c r="BL2921" s="379">
        <f>IF((2*G2921)/60&lt;0.2,0.2,(2*G2921)/60)</f>
        <v>0.2</v>
      </c>
      <c r="BM2921" s="380">
        <f>MOD((50000+AD2921-$B$3+(0/24)),1)</f>
        <v>0.50782704556331737</v>
      </c>
      <c r="BN2921" s="381"/>
      <c r="BO2921" s="382">
        <v>2911</v>
      </c>
    </row>
    <row r="2922" spans="1:67" s="24" customFormat="1" ht="15" customHeight="1" x14ac:dyDescent="0.25">
      <c r="A2922" s="288" t="s">
        <v>2734</v>
      </c>
      <c r="B2922" s="241" t="str">
        <f>HYPERLINK(CONCATENATE($AT$3,BK2922,$AU$3),$AV$3)</f>
        <v>S</v>
      </c>
      <c r="C2922" s="242" t="str">
        <f>HYPERLINK(CONCATENATE($AT$4,BK2922,$AU$4,BL2922),$AV$4)</f>
        <v>A</v>
      </c>
      <c r="D2922" s="243" t="s">
        <v>5638</v>
      </c>
      <c r="E2922" s="244" t="s">
        <v>5192</v>
      </c>
      <c r="F2922" s="269" t="s">
        <v>8643</v>
      </c>
      <c r="G2922" s="273">
        <v>1.4</v>
      </c>
      <c r="H2922" s="283">
        <v>170</v>
      </c>
      <c r="I2922" s="246">
        <v>70</v>
      </c>
      <c r="J2922" s="246">
        <v>2</v>
      </c>
      <c r="K2922" s="247" t="s">
        <v>5311</v>
      </c>
      <c r="L2922" s="248">
        <v>71931</v>
      </c>
      <c r="M2922" s="249">
        <f>15*(LEFT(TEXT($L2922,"000000"),2)+(MID(TEXT($L2922,"000000"),3,2)/60)+(RIGHT(TEXT($L2922,"000000"),2)/3600))</f>
        <v>109.87916666666666</v>
      </c>
      <c r="N2922" s="250">
        <v>592118</v>
      </c>
      <c r="O2922" s="251">
        <f>IF($N2922&gt;0,(LEFT(TEXT($N2922,"000000"),2)+(MID(TEXT($N2922,"000000"),3,2)/60)+(RIGHT(TEXT($N2922,"000000"),2)/3600)),-(MID(TEXT($N2922,"000000"),2,2)+(MID(TEXT($N2922,"000000"),4,2)/60)+(RIGHT(TEXT($N2922,"000000"),2)/3600)))</f>
        <v>59.355000000000004</v>
      </c>
      <c r="P2922" s="252" t="s">
        <v>82</v>
      </c>
      <c r="Q2922" s="253"/>
      <c r="R2922" s="277" t="s">
        <v>2735</v>
      </c>
      <c r="S2922" s="272" t="s">
        <v>3293</v>
      </c>
      <c r="T2922" s="273">
        <v>13</v>
      </c>
      <c r="U2922" s="274"/>
      <c r="V2922" s="280">
        <v>55</v>
      </c>
      <c r="W2922" s="244"/>
      <c r="X2922" s="244"/>
      <c r="Y2922" s="362"/>
      <c r="Z2922" s="257">
        <f>altaz(J2000_Bas,$O2922,$M2922,DecLat,DecLong,1)</f>
        <v>0.41227628965721652</v>
      </c>
      <c r="AA2922" s="257">
        <f>altaz((J2000_Bas+(2*0.04167)),$O2922,$M2922,DecLat,DecLong,1)</f>
        <v>2.9297775300059463</v>
      </c>
      <c r="AB2922" s="257">
        <f>altaz((J2000_Bas+(4*0.04167)),$O2922,$M2922,DecLat,DecLong,1)</f>
        <v>11.574554029155991</v>
      </c>
      <c r="AC2922" s="257">
        <f>altaz((J2000_Bas+(6*0.04167)),$O2922,$M2922,DecLat,DecLong,1)</f>
        <v>24.550841397828869</v>
      </c>
      <c r="AD2922" s="258">
        <f>1+ transit((J2000_Bas-1),$O2922,$M2922,DecLat,DecLong)/360 + (GMTOffset/24) + (IF(DST="Y", 1, 0)/24)</f>
        <v>1.2981198375151246</v>
      </c>
      <c r="AE2922" s="259">
        <f>DATE(2001,9,21)+(M2922/360)*365 - (360*((DecLong/360)- (GMTOffset/24) ))</f>
        <v>37271.405266203707</v>
      </c>
      <c r="AF2922" s="260">
        <f>IF(DecLat&gt;0,IF((90 - (DecLat-O2922))&gt;90, (90 - (O2922-DecLat)), (90 - (DecLat-O2922))),IF((90 + (DecLat-O2922))&gt;90, (90 + (O2922-DecLat)), (90 + (DecLat-O2922))))</f>
        <v>61.644999999999996</v>
      </c>
      <c r="AG2922" s="257">
        <f>angularseperation(MoonRA,MoonDec,$M2922,$O2922)</f>
        <v>137.39966597032728</v>
      </c>
      <c r="AH2922" s="261">
        <f ca="1">MIN(100,IF($O$5&gt;80,0+30*($AG2922/100),IF($O$5&gt;70,0+50*($AG2922/100),IF($O$5&gt;60,5+50*($AG2922/100),IF($O$5&gt;50,10+60*($AG2922/100),IF($O$5&gt;40,15+70*($AG2922/100),IF($O$5&gt;30,20+70*($AG2922/100),IF($O$5&gt;20,40+55*($AG2922/100),(80+(20-$O$5)+30*($AG2922/100))))))))))</f>
        <v>100</v>
      </c>
      <c r="AI2922" s="262"/>
      <c r="AJ2922" s="262"/>
      <c r="AK2922" s="262"/>
      <c r="AL2922" s="263"/>
      <c r="AM2922" s="264"/>
      <c r="AN2922" s="263"/>
      <c r="AO2922" s="263"/>
      <c r="AP2922" s="265"/>
      <c r="AQ2922" s="265">
        <v>3789</v>
      </c>
      <c r="AR2922" s="267">
        <v>20679</v>
      </c>
      <c r="AS2922" s="263"/>
      <c r="AT2922" s="263"/>
      <c r="AU2922" s="263"/>
      <c r="AV2922" s="264"/>
      <c r="AW2922" s="263"/>
      <c r="AX2922" s="263"/>
      <c r="AY2922" s="263"/>
      <c r="AZ2922" s="263"/>
      <c r="BA2922" s="263"/>
      <c r="BB2922" s="263"/>
      <c r="BC2922" s="263"/>
      <c r="BD2922" s="264"/>
      <c r="BE2922" s="263"/>
      <c r="BF2922" s="263"/>
      <c r="BG2922" s="263"/>
      <c r="BH2922" s="263">
        <v>55</v>
      </c>
      <c r="BI2922" s="263"/>
      <c r="BJ2922" s="404">
        <f>altaz(J2000_Bas,$O2922,$M2922,DecLat,DecLong,2)</f>
        <v>358.0251257613138</v>
      </c>
      <c r="BK2922" s="378" t="s">
        <v>2734</v>
      </c>
      <c r="BL2922" s="379">
        <f>IF((2*G2922)/60&lt;0.2,0.2,(2*G2922)/60)</f>
        <v>0.2</v>
      </c>
      <c r="BM2922" s="380">
        <f>MOD((50000+AD2922-$B$3+(0/24)),1)</f>
        <v>0.51348676721681841</v>
      </c>
      <c r="BN2922" s="381"/>
      <c r="BO2922" s="382">
        <v>2912</v>
      </c>
    </row>
    <row r="2923" spans="1:67" s="24" customFormat="1" ht="15" customHeight="1" x14ac:dyDescent="0.25">
      <c r="A2923" s="288" t="s">
        <v>7665</v>
      </c>
      <c r="B2923" s="241" t="str">
        <f>HYPERLINK(CONCATENATE($AT$3,BK2923,$AU$3),$AV$3)</f>
        <v>S</v>
      </c>
      <c r="C2923" s="242" t="str">
        <f>HYPERLINK(CONCATENATE($AT$4,BK2923,$AU$4,BL2923),$AV$4)</f>
        <v>A</v>
      </c>
      <c r="D2923" s="243" t="s">
        <v>5638</v>
      </c>
      <c r="E2923" s="244" t="s">
        <v>5178</v>
      </c>
      <c r="F2923" s="269"/>
      <c r="G2923" s="273">
        <v>2</v>
      </c>
      <c r="H2923" s="283">
        <v>400</v>
      </c>
      <c r="I2923" s="246">
        <v>250</v>
      </c>
      <c r="J2923" s="246">
        <v>2</v>
      </c>
      <c r="K2923" s="247" t="s">
        <v>5313</v>
      </c>
      <c r="L2923" s="248">
        <v>80009</v>
      </c>
      <c r="M2923" s="249">
        <f>15*(LEFT(TEXT($L2923,"000000"),2)+(MID(TEXT($L2923,"000000"),3,2)/60)+(RIGHT(TEXT($L2923,"000000"),2)/3600))</f>
        <v>120.03749999999999</v>
      </c>
      <c r="N2923" s="250">
        <v>562155</v>
      </c>
      <c r="O2923" s="251">
        <f>IF($N2923&gt;0,(LEFT(TEXT($N2923,"000000"),2)+(MID(TEXT($N2923,"000000"),3,2)/60)+(RIGHT(TEXT($N2923,"000000"),2)/3600)),-(MID(TEXT($N2923,"000000"),2,2)+(MID(TEXT($N2923,"000000"),4,2)/60)+(RIGHT(TEXT($N2923,"000000"),2)/3600)))</f>
        <v>56.365277777777777</v>
      </c>
      <c r="P2923" s="252" t="s">
        <v>82</v>
      </c>
      <c r="Q2923" s="253"/>
      <c r="R2923" s="247" t="s">
        <v>3293</v>
      </c>
      <c r="S2923" s="272" t="s">
        <v>5312</v>
      </c>
      <c r="T2923" s="273">
        <v>14</v>
      </c>
      <c r="U2923" s="274"/>
      <c r="V2923" s="280"/>
      <c r="W2923" s="244"/>
      <c r="X2923" s="244"/>
      <c r="Y2923" s="362"/>
      <c r="Z2923" s="257">
        <f>altaz(J2000_Bas,$O2923,$M2923,DecLat,DecLong,1)</f>
        <v>-1.822045415188225</v>
      </c>
      <c r="AA2923" s="257">
        <f>altaz((J2000_Bas+(2*0.04167)),$O2923,$M2923,DecLat,DecLong,1)</f>
        <v>-1.573683840157468</v>
      </c>
      <c r="AB2923" s="257">
        <f>altaz((J2000_Bas+(4*0.04167)),$O2923,$M2923,DecLat,DecLong,1)</f>
        <v>5.7278370499307396</v>
      </c>
      <c r="AC2923" s="257">
        <f>altaz((J2000_Bas+(6*0.04167)),$O2923,$M2923,DecLat,DecLong,1)</f>
        <v>18.403861352357183</v>
      </c>
      <c r="AD2923" s="258">
        <f>1+ transit((J2000_Bas-1),$O2923,$M2923,DecLat,DecLong)/360 + (GMTOffset/24) + (IF(DST="Y", 1, 0)/24)</f>
        <v>1.326337427285958</v>
      </c>
      <c r="AE2923" s="259">
        <f>DATE(2001,9,21)+(M2923/360)*365 - (360*((DecLong/360)- (GMTOffset/24) ))</f>
        <v>37281.704687500001</v>
      </c>
      <c r="AF2923" s="260">
        <f>IF(DecLat&gt;0,IF((90 - (DecLat-O2923))&gt;90, (90 - (O2923-DecLat)), (90 - (DecLat-O2923))),IF((90 + (DecLat-O2923))&gt;90, (90 + (O2923-DecLat)), (90 + (DecLat-O2923))))</f>
        <v>64.634722222222223</v>
      </c>
      <c r="AG2923" s="257">
        <f>angularseperation(MoonRA,MoonDec,$M2923,$O2923)</f>
        <v>133.69288099904227</v>
      </c>
      <c r="AH2923" s="261">
        <f ca="1">MIN(100,IF($O$5&gt;80,0+30*($AG2923/100),IF($O$5&gt;70,0+50*($AG2923/100),IF($O$5&gt;60,5+50*($AG2923/100),IF($O$5&gt;50,10+60*($AG2923/100),IF($O$5&gt;40,15+70*($AG2923/100),IF($O$5&gt;30,20+70*($AG2923/100),IF($O$5&gt;20,40+55*($AG2923/100),(80+(20-$O$5)+30*($AG2923/100))))))))))</f>
        <v>100</v>
      </c>
      <c r="AI2923" s="262"/>
      <c r="AJ2923" s="262"/>
      <c r="AK2923" s="262"/>
      <c r="AL2923" s="263"/>
      <c r="AM2923" s="264"/>
      <c r="AN2923" s="263"/>
      <c r="AO2923" s="263"/>
      <c r="AP2923" s="265"/>
      <c r="AQ2923" s="265">
        <v>4133</v>
      </c>
      <c r="AR2923" s="267">
        <v>22428</v>
      </c>
      <c r="AS2923" s="263"/>
      <c r="AT2923" s="263"/>
      <c r="AU2923" s="263"/>
      <c r="AV2923" s="264"/>
      <c r="AW2923" s="263"/>
      <c r="AX2923" s="263"/>
      <c r="AY2923" s="263"/>
      <c r="AZ2923" s="263"/>
      <c r="BA2923" s="263"/>
      <c r="BB2923" s="263"/>
      <c r="BC2923" s="263"/>
      <c r="BD2923" s="264"/>
      <c r="BE2923" s="263"/>
      <c r="BF2923" s="263"/>
      <c r="BG2923" s="263"/>
      <c r="BH2923" s="263"/>
      <c r="BI2923" s="263"/>
      <c r="BJ2923" s="404">
        <f>altaz(J2000_Bas,$O2923,$M2923,DecLat,DecLong,2)</f>
        <v>352.27638246444309</v>
      </c>
      <c r="BK2923" s="378" t="s">
        <v>2736</v>
      </c>
      <c r="BL2923" s="379">
        <f>IF((2*G2923)/60&lt;0.2,0.2,(2*G2923)/60)</f>
        <v>0.2</v>
      </c>
      <c r="BM2923" s="380">
        <f>MOD((50000+AD2923-$B$3+(0/24)),1)</f>
        <v>0.54170435699052177</v>
      </c>
      <c r="BN2923" s="381"/>
      <c r="BO2923" s="382">
        <v>2913</v>
      </c>
    </row>
    <row r="2924" spans="1:67" s="24" customFormat="1" ht="15" customHeight="1" x14ac:dyDescent="0.25">
      <c r="A2924" s="288" t="s">
        <v>2737</v>
      </c>
      <c r="B2924" s="241" t="str">
        <f>HYPERLINK(CONCATENATE($AT$3,BK2924,$AU$3),$AV$3)</f>
        <v>S</v>
      </c>
      <c r="C2924" s="242" t="str">
        <f>HYPERLINK(CONCATENATE($AT$4,BK2924,$AU$4,BL2924),$AV$4)</f>
        <v>A</v>
      </c>
      <c r="D2924" s="243" t="s">
        <v>5638</v>
      </c>
      <c r="E2924" s="244" t="s">
        <v>5192</v>
      </c>
      <c r="F2924" s="269" t="s">
        <v>8670</v>
      </c>
      <c r="G2924" s="273">
        <v>3.5</v>
      </c>
      <c r="H2924" s="283">
        <v>250</v>
      </c>
      <c r="I2924" s="246">
        <v>250</v>
      </c>
      <c r="J2924" s="246">
        <v>2</v>
      </c>
      <c r="K2924" s="247" t="s">
        <v>5314</v>
      </c>
      <c r="L2924" s="248">
        <v>81357</v>
      </c>
      <c r="M2924" s="249">
        <f>15*(LEFT(TEXT($L2924,"000000"),2)+(MID(TEXT($L2924,"000000"),3,2)/60)+(RIGHT(TEXT($L2924,"000000"),2)/3600))</f>
        <v>123.4875</v>
      </c>
      <c r="N2924" s="250">
        <v>523852</v>
      </c>
      <c r="O2924" s="251">
        <f>IF($N2924&gt;0,(LEFT(TEXT($N2924,"000000"),2)+(MID(TEXT($N2924,"000000"),3,2)/60)+(RIGHT(TEXT($N2924,"000000"),2)/3600)),-(MID(TEXT($N2924,"000000"),2,2)+(MID(TEXT($N2924,"000000"),4,2)/60)+(RIGHT(TEXT($N2924,"000000"),2)/3600)))</f>
        <v>52.647777777777776</v>
      </c>
      <c r="P2924" s="252" t="s">
        <v>82</v>
      </c>
      <c r="Q2924" s="253"/>
      <c r="R2924" s="247" t="s">
        <v>3293</v>
      </c>
      <c r="S2924" s="272" t="s">
        <v>3293</v>
      </c>
      <c r="T2924" s="273">
        <v>13.5</v>
      </c>
      <c r="U2924" s="274"/>
      <c r="V2924" s="280">
        <v>90</v>
      </c>
      <c r="W2924" s="244"/>
      <c r="X2924" s="244"/>
      <c r="Y2924" s="362"/>
      <c r="Z2924" s="257">
        <f>altaz(J2000_Bas,$O2924,$M2924,DecLat,DecLong,1)</f>
        <v>-4.9687139935049442</v>
      </c>
      <c r="AA2924" s="257">
        <f>altaz((J2000_Bas+(2*0.04167)),$O2924,$M2924,DecLat,DecLong,1)</f>
        <v>-5.630706728477743</v>
      </c>
      <c r="AB2924" s="257">
        <f>altaz((J2000_Bas+(4*0.04167)),$O2924,$M2924,DecLat,DecLong,1)</f>
        <v>1.5541408707420936</v>
      </c>
      <c r="AC2924" s="257">
        <f>altaz((J2000_Bas+(6*0.04167)),$O2924,$M2924,DecLat,DecLong,1)</f>
        <v>14.794874302770035</v>
      </c>
      <c r="AD2924" s="258">
        <f>1+ transit((J2000_Bas-1),$O2924,$M2924,DecLat,DecLong)/360 + (GMTOffset/24) + (IF(DST="Y", 1, 0)/24)</f>
        <v>1.3359207596609581</v>
      </c>
      <c r="AE2924" s="259">
        <f>DATE(2001,9,21)+(M2924/360)*365 - (360*((DecLong/360)- (GMTOffset/24) ))</f>
        <v>37285.202604166669</v>
      </c>
      <c r="AF2924" s="260">
        <f>IF(DecLat&gt;0,IF((90 - (DecLat-O2924))&gt;90, (90 - (O2924-DecLat)), (90 - (DecLat-O2924))),IF((90 + (DecLat-O2924))&gt;90, (90 + (O2924-DecLat)), (90 + (DecLat-O2924))))</f>
        <v>68.352222222222224</v>
      </c>
      <c r="AG2924" s="257">
        <f>angularseperation(MoonRA,MoonDec,$M2924,$O2924)</f>
        <v>132.65324428877307</v>
      </c>
      <c r="AH2924" s="261">
        <f ca="1">MIN(100,IF($O$5&gt;80,0+30*($AG2924/100),IF($O$5&gt;70,0+50*($AG2924/100),IF($O$5&gt;60,5+50*($AG2924/100),IF($O$5&gt;50,10+60*($AG2924/100),IF($O$5&gt;40,15+70*($AG2924/100),IF($O$5&gt;30,20+70*($AG2924/100),IF($O$5&gt;20,40+55*($AG2924/100),(80+(20-$O$5)+30*($AG2924/100))))))))))</f>
        <v>100</v>
      </c>
      <c r="AI2924" s="262"/>
      <c r="AJ2924" s="262"/>
      <c r="AK2924" s="262"/>
      <c r="AL2924" s="263"/>
      <c r="AM2924" s="264"/>
      <c r="AN2924" s="263"/>
      <c r="AO2924" s="263"/>
      <c r="AP2924" s="265"/>
      <c r="AQ2924" s="265">
        <v>4277</v>
      </c>
      <c r="AR2924" s="267">
        <v>23069</v>
      </c>
      <c r="AS2924" s="263"/>
      <c r="AT2924" s="263"/>
      <c r="AU2924" s="263"/>
      <c r="AV2924" s="264"/>
      <c r="AW2924" s="263"/>
      <c r="AX2924" s="263"/>
      <c r="AY2924" s="263"/>
      <c r="AZ2924" s="263"/>
      <c r="BA2924" s="263"/>
      <c r="BB2924" s="263"/>
      <c r="BC2924" s="263"/>
      <c r="BD2924" s="264"/>
      <c r="BE2924" s="263"/>
      <c r="BF2924" s="263"/>
      <c r="BG2924" s="263"/>
      <c r="BH2924" s="263"/>
      <c r="BI2924" s="263"/>
      <c r="BJ2924" s="404">
        <f>altaz(J2000_Bas,$O2924,$M2924,DecLat,DecLong,2)</f>
        <v>349.45679009714246</v>
      </c>
      <c r="BK2924" s="378" t="s">
        <v>2737</v>
      </c>
      <c r="BL2924" s="379">
        <f>IF((2*G2924)/60&lt;0.2,0.2,(2*G2924)/60)</f>
        <v>0.2</v>
      </c>
      <c r="BM2924" s="380">
        <f>MOD((50000+AD2924-$B$3+(0/24)),1)</f>
        <v>0.5512876893626526</v>
      </c>
      <c r="BN2924" s="381"/>
      <c r="BO2924" s="382">
        <v>2914</v>
      </c>
    </row>
    <row r="2925" spans="1:67" s="24" customFormat="1" ht="15" customHeight="1" x14ac:dyDescent="0.25">
      <c r="A2925" s="288" t="s">
        <v>2738</v>
      </c>
      <c r="B2925" s="241" t="str">
        <f>HYPERLINK(CONCATENATE($AT$3,BK2925,$AU$3),$AV$3)</f>
        <v>S</v>
      </c>
      <c r="C2925" s="242" t="str">
        <f>HYPERLINK(CONCATENATE($AT$4,BK2925,$AU$4,BL2925),$AV$4)</f>
        <v>A</v>
      </c>
      <c r="D2925" s="243" t="s">
        <v>5638</v>
      </c>
      <c r="E2925" s="244" t="s">
        <v>5192</v>
      </c>
      <c r="F2925" s="269" t="s">
        <v>8672</v>
      </c>
      <c r="G2925" s="273">
        <v>1.7</v>
      </c>
      <c r="H2925" s="283">
        <v>250</v>
      </c>
      <c r="I2925" s="246">
        <v>120</v>
      </c>
      <c r="J2925" s="246">
        <v>2</v>
      </c>
      <c r="K2925" s="247" t="s">
        <v>5315</v>
      </c>
      <c r="L2925" s="248">
        <v>81938</v>
      </c>
      <c r="M2925" s="249">
        <f>15*(LEFT(TEXT($L2925,"000000"),2)+(MID(TEXT($L2925,"000000"),3,2)/60)+(RIGHT(TEXT($L2925,"000000"),2)/3600))</f>
        <v>124.90833333333333</v>
      </c>
      <c r="N2925" s="250">
        <v>210651</v>
      </c>
      <c r="O2925" s="251">
        <f>IF($N2925&gt;0,(LEFT(TEXT($N2925,"000000"),2)+(MID(TEXT($N2925,"000000"),3,2)/60)+(RIGHT(TEXT($N2925,"000000"),2)/3600)),-(MID(TEXT($N2925,"000000"),2,2)+(MID(TEXT($N2925,"000000"),4,2)/60)+(RIGHT(TEXT($N2925,"000000"),2)/3600)))</f>
        <v>21.114166666666669</v>
      </c>
      <c r="P2925" s="252" t="s">
        <v>100</v>
      </c>
      <c r="Q2925" s="253"/>
      <c r="R2925" s="247" t="s">
        <v>3293</v>
      </c>
      <c r="S2925" s="272" t="s">
        <v>3293</v>
      </c>
      <c r="T2925" s="273">
        <v>15</v>
      </c>
      <c r="U2925" s="274"/>
      <c r="V2925" s="280">
        <v>90</v>
      </c>
      <c r="W2925" s="244"/>
      <c r="X2925" s="244"/>
      <c r="Y2925" s="362"/>
      <c r="Z2925" s="257">
        <f>altaz(J2000_Bas,$O2925,$M2925,DecLat,DecLong,1)</f>
        <v>-34.816708129131818</v>
      </c>
      <c r="AA2925" s="257">
        <f>altaz((J2000_Bas+(2*0.04167)),$O2925,$M2925,DecLat,DecLong,1)</f>
        <v>-36.792496737459452</v>
      </c>
      <c r="AB2925" s="257">
        <f>altaz((J2000_Bas+(4*0.04167)),$O2925,$M2925,DecLat,DecLong,1)</f>
        <v>-24.552876455192713</v>
      </c>
      <c r="AC2925" s="257">
        <f>altaz((J2000_Bas+(6*0.04167)),$O2925,$M2925,DecLat,DecLong,1)</f>
        <v>-4.0257256417821949</v>
      </c>
      <c r="AD2925" s="258">
        <f>1+ transit((J2000_Bas-1),$O2925,$M2925,DecLat,DecLong)/360 + (GMTOffset/24) + (IF(DST="Y", 1, 0)/24)</f>
        <v>1.3398675185255413</v>
      </c>
      <c r="AE2925" s="259">
        <f>DATE(2001,9,21)+(M2925/360)*365 - (360*((DecLong/360)- (GMTOffset/24) ))</f>
        <v>37286.643171296295</v>
      </c>
      <c r="AF2925" s="260">
        <f>IF(DecLat&gt;0,IF((90 - (DecLat-O2925))&gt;90, (90 - (O2925-DecLat)), (90 - (DecLat-O2925))),IF((90 + (DecLat-O2925))&gt;90, (90 + (O2925-DecLat)), (90 + (DecLat-O2925))))</f>
        <v>80.114166666666677</v>
      </c>
      <c r="AG2925" s="257">
        <f>angularseperation(MoonRA,MoonDec,$M2925,$O2925)</f>
        <v>129.23172462854265</v>
      </c>
      <c r="AH2925" s="261">
        <f ca="1">MIN(100,IF($O$5&gt;80,0+30*($AG2925/100),IF($O$5&gt;70,0+50*($AG2925/100),IF($O$5&gt;60,5+50*($AG2925/100),IF($O$5&gt;50,10+60*($AG2925/100),IF($O$5&gt;40,15+70*($AG2925/100),IF($O$5&gt;30,20+70*($AG2925/100),IF($O$5&gt;20,40+55*($AG2925/100),(80+(20-$O$5)+30*($AG2925/100))))))))))</f>
        <v>100</v>
      </c>
      <c r="AI2925" s="262"/>
      <c r="AJ2925" s="262"/>
      <c r="AK2925" s="262"/>
      <c r="AL2925" s="263"/>
      <c r="AM2925" s="264"/>
      <c r="AN2925" s="263"/>
      <c r="AO2925" s="263"/>
      <c r="AP2925" s="265"/>
      <c r="AQ2925" s="265">
        <v>4332</v>
      </c>
      <c r="AR2925" s="267">
        <v>23355</v>
      </c>
      <c r="AS2925" s="263"/>
      <c r="AT2925" s="263"/>
      <c r="AU2925" s="263"/>
      <c r="AV2925" s="264"/>
      <c r="AW2925" s="263"/>
      <c r="AX2925" s="263"/>
      <c r="AY2925" s="263"/>
      <c r="AZ2925" s="263"/>
      <c r="BA2925" s="263"/>
      <c r="BB2925" s="263"/>
      <c r="BC2925" s="263"/>
      <c r="BD2925" s="264"/>
      <c r="BE2925" s="263"/>
      <c r="BF2925" s="263"/>
      <c r="BG2925" s="263"/>
      <c r="BH2925" s="263"/>
      <c r="BI2925" s="263"/>
      <c r="BJ2925" s="404">
        <f>altaz(J2000_Bas,$O2925,$M2925,DecLat,DecLong,2)</f>
        <v>338.39736909964745</v>
      </c>
      <c r="BK2925" s="378" t="s">
        <v>2738</v>
      </c>
      <c r="BL2925" s="379">
        <f>IF((2*G2925)/60&lt;0.2,0.2,(2*G2925)/60)</f>
        <v>0.2</v>
      </c>
      <c r="BM2925" s="380">
        <f>MOD((50000+AD2925-$B$3+(0/24)),1)</f>
        <v>0.55523444822756574</v>
      </c>
      <c r="BN2925" s="381"/>
      <c r="BO2925" s="382">
        <v>2915</v>
      </c>
    </row>
    <row r="2926" spans="1:67" s="24" customFormat="1" ht="15" customHeight="1" x14ac:dyDescent="0.25">
      <c r="A2926" s="288" t="s">
        <v>2739</v>
      </c>
      <c r="B2926" s="241" t="str">
        <f>HYPERLINK(CONCATENATE($AT$3,BK2926,$AU$3),$AV$3)</f>
        <v>S</v>
      </c>
      <c r="C2926" s="242" t="str">
        <f>HYPERLINK(CONCATENATE($AT$4,BK2926,$AU$4,BL2926),$AV$4)</f>
        <v>A</v>
      </c>
      <c r="D2926" s="243" t="s">
        <v>5638</v>
      </c>
      <c r="E2926" s="244" t="s">
        <v>5193</v>
      </c>
      <c r="F2926" s="269" t="s">
        <v>8643</v>
      </c>
      <c r="G2926" s="273">
        <v>2</v>
      </c>
      <c r="H2926" s="283">
        <v>90</v>
      </c>
      <c r="I2926" s="246">
        <v>50</v>
      </c>
      <c r="J2926" s="246">
        <v>1</v>
      </c>
      <c r="K2926" s="247" t="s">
        <v>5316</v>
      </c>
      <c r="L2926" s="248">
        <v>84742</v>
      </c>
      <c r="M2926" s="249">
        <f>15*(LEFT(TEXT($L2926,"000000"),2)+(MID(TEXT($L2926,"000000"),3,2)/60)+(RIGHT(TEXT($L2926,"000000"),2)/3600))</f>
        <v>131.92500000000001</v>
      </c>
      <c r="N2926" s="250">
        <v>132509</v>
      </c>
      <c r="O2926" s="251">
        <f>IF($N2926&gt;0,(LEFT(TEXT($N2926,"000000"),2)+(MID(TEXT($N2926,"000000"),3,2)/60)+(RIGHT(TEXT($N2926,"000000"),2)/3600)),-(MID(TEXT($N2926,"000000"),2,2)+(MID(TEXT($N2926,"000000"),4,2)/60)+(RIGHT(TEXT($N2926,"000000"),2)/3600)))</f>
        <v>13.419166666666666</v>
      </c>
      <c r="P2926" s="252" t="s">
        <v>100</v>
      </c>
      <c r="Q2926" s="253"/>
      <c r="R2926" s="247" t="s">
        <v>3293</v>
      </c>
      <c r="S2926" s="272" t="s">
        <v>3293</v>
      </c>
      <c r="T2926" s="273">
        <v>14</v>
      </c>
      <c r="U2926" s="274"/>
      <c r="V2926" s="280"/>
      <c r="W2926" s="244"/>
      <c r="X2926" s="244"/>
      <c r="Y2926" s="362"/>
      <c r="Z2926" s="257">
        <f>altaz(J2000_Bas,$O2926,$M2926,DecLat,DecLong,1)</f>
        <v>-39.076030361348266</v>
      </c>
      <c r="AA2926" s="257">
        <f>altaz((J2000_Bas+(2*0.04167)),$O2926,$M2926,DecLat,DecLong,1)</f>
        <v>-45.401108258434192</v>
      </c>
      <c r="AB2926" s="257">
        <f>altaz((J2000_Bas+(4*0.04167)),$O2926,$M2926,DecLat,DecLong,1)</f>
        <v>-34.728058118479439</v>
      </c>
      <c r="AC2926" s="257">
        <f>altaz((J2000_Bas+(6*0.04167)),$O2926,$M2926,DecLat,DecLong,1)</f>
        <v>-13.982960638472361</v>
      </c>
      <c r="AD2926" s="258">
        <f>1+ transit((J2000_Bas-1),$O2926,$M2926,DecLat,DecLong)/360 + (GMTOffset/24) + (IF(DST="Y", 1, 0)/24)</f>
        <v>1.3593582573172081</v>
      </c>
      <c r="AE2926" s="259">
        <f>DATE(2001,9,21)+(M2926/360)*365 - (360*((DecLong/360)- (GMTOffset/24) ))</f>
        <v>37293.757291666669</v>
      </c>
      <c r="AF2926" s="260">
        <f>IF(DecLat&gt;0,IF((90 - (DecLat-O2926))&gt;90, (90 - (O2926-DecLat)), (90 - (DecLat-O2926))),IF((90 + (DecLat-O2926))&gt;90, (90 + (O2926-DecLat)), (90 + (DecLat-O2926))))</f>
        <v>72.419166666666669</v>
      </c>
      <c r="AG2926" s="257">
        <f>angularseperation(MoonRA,MoonDec,$M2926,$O2926)</f>
        <v>120.2049450670557</v>
      </c>
      <c r="AH2926" s="261">
        <f ca="1">MIN(100,IF($O$5&gt;80,0+30*($AG2926/100),IF($O$5&gt;70,0+50*($AG2926/100),IF($O$5&gt;60,5+50*($AG2926/100),IF($O$5&gt;50,10+60*($AG2926/100),IF($O$5&gt;40,15+70*($AG2926/100),IF($O$5&gt;30,20+70*($AG2926/100),IF($O$5&gt;20,40+55*($AG2926/100),(80+(20-$O$5)+30*($AG2926/100))))))))))</f>
        <v>100</v>
      </c>
      <c r="AI2926" s="262"/>
      <c r="AJ2926" s="262"/>
      <c r="AK2926" s="262"/>
      <c r="AL2926" s="263"/>
      <c r="AM2926" s="264"/>
      <c r="AN2926" s="263"/>
      <c r="AO2926" s="263"/>
      <c r="AP2926" s="265"/>
      <c r="AQ2926" s="265">
        <v>4599</v>
      </c>
      <c r="AR2926" s="267">
        <v>24699</v>
      </c>
      <c r="AS2926" s="263"/>
      <c r="AT2926" s="263"/>
      <c r="AU2926" s="263"/>
      <c r="AV2926" s="264"/>
      <c r="AW2926" s="263"/>
      <c r="AX2926" s="263"/>
      <c r="AY2926" s="263"/>
      <c r="AZ2926" s="263"/>
      <c r="BA2926" s="263"/>
      <c r="BB2926" s="263"/>
      <c r="BC2926" s="263"/>
      <c r="BD2926" s="264"/>
      <c r="BE2926" s="263"/>
      <c r="BF2926" s="263"/>
      <c r="BG2926" s="263"/>
      <c r="BH2926" s="263"/>
      <c r="BI2926" s="263"/>
      <c r="BJ2926" s="404">
        <f>altaz(J2000_Bas,$O2926,$M2926,DecLat,DecLong,2)</f>
        <v>326.78773089485043</v>
      </c>
      <c r="BK2926" s="378" t="s">
        <v>2739</v>
      </c>
      <c r="BL2926" s="379">
        <f>IF((2*G2926)/60&lt;0.2,0.2,(2*G2926)/60)</f>
        <v>0.2</v>
      </c>
      <c r="BM2926" s="380">
        <f>MOD((50000+AD2926-$B$3+(0/24)),1)</f>
        <v>0.57472518701979425</v>
      </c>
      <c r="BN2926" s="381"/>
      <c r="BO2926" s="382">
        <v>2916</v>
      </c>
    </row>
    <row r="2927" spans="1:67" s="24" customFormat="1" ht="15" customHeight="1" x14ac:dyDescent="0.25">
      <c r="A2927" s="288" t="s">
        <v>2740</v>
      </c>
      <c r="B2927" s="241" t="str">
        <f>HYPERLINK(CONCATENATE($AT$3,BK2927,$AU$3),$AV$3)</f>
        <v>S</v>
      </c>
      <c r="C2927" s="242" t="str">
        <f>HYPERLINK(CONCATENATE($AT$4,BK2927,$AU$4,BL2927),$AV$4)</f>
        <v>A</v>
      </c>
      <c r="D2927" s="243" t="s">
        <v>5638</v>
      </c>
      <c r="E2927" s="244" t="s">
        <v>5337</v>
      </c>
      <c r="F2927" s="269" t="s">
        <v>3319</v>
      </c>
      <c r="G2927" s="270">
        <v>0.5</v>
      </c>
      <c r="H2927" s="283">
        <v>170</v>
      </c>
      <c r="I2927" s="246">
        <v>24</v>
      </c>
      <c r="J2927" s="246">
        <v>2</v>
      </c>
      <c r="K2927" s="247" t="s">
        <v>5317</v>
      </c>
      <c r="L2927" s="248">
        <v>85825</v>
      </c>
      <c r="M2927" s="249">
        <f>15*(LEFT(TEXT($L2927,"000000"),2)+(MID(TEXT($L2927,"000000"),3,2)/60)+(RIGHT(TEXT($L2927,"000000"),2)/3600))</f>
        <v>134.60416666666669</v>
      </c>
      <c r="N2927" s="250">
        <v>62005</v>
      </c>
      <c r="O2927" s="251">
        <f>IF($N2927&gt;0,(LEFT(TEXT($N2927,"000000"),2)+(MID(TEXT($N2927,"000000"),3,2)/60)+(RIGHT(TEXT($N2927,"000000"),2)/3600)),-(MID(TEXT($N2927,"000000"),2,2)+(MID(TEXT($N2927,"000000"),4,2)/60)+(RIGHT(TEXT($N2927,"000000"),2)/3600)))</f>
        <v>6.3347222222222221</v>
      </c>
      <c r="P2927" s="252" t="s">
        <v>103</v>
      </c>
      <c r="Q2927" s="253"/>
      <c r="R2927" s="247" t="s">
        <v>3293</v>
      </c>
      <c r="S2927" s="272" t="s">
        <v>3293</v>
      </c>
      <c r="T2927" s="273">
        <v>17</v>
      </c>
      <c r="U2927" s="274"/>
      <c r="V2927" s="280"/>
      <c r="W2927" s="244"/>
      <c r="X2927" s="244"/>
      <c r="Y2927" s="362"/>
      <c r="Z2927" s="257">
        <f>altaz(J2000_Bas,$O2927,$M2927,DecLat,DecLong,1)</f>
        <v>-43.72079217132044</v>
      </c>
      <c r="AA2927" s="257">
        <f>altaz((J2000_Bas+(2*0.04167)),$O2927,$M2927,DecLat,DecLong,1)</f>
        <v>-52.638327069419141</v>
      </c>
      <c r="AB2927" s="257">
        <f>altaz((J2000_Bas+(4*0.04167)),$O2927,$M2927,DecLat,DecLong,1)</f>
        <v>-41.993014790456883</v>
      </c>
      <c r="AC2927" s="257">
        <f>altaz((J2000_Bas+(6*0.04167)),$O2927,$M2927,DecLat,DecLong,1)</f>
        <v>-20.346163369260463</v>
      </c>
      <c r="AD2927" s="258">
        <f>1+ transit((J2000_Bas-1),$O2927,$M2927,DecLat,DecLong)/360 + (GMTOffset/24) + (IF(DST="Y", 1, 0)/24)</f>
        <v>1.3668003862026248</v>
      </c>
      <c r="AE2927" s="259">
        <f>DATE(2001,9,21)+(M2927/360)*365 - (360*((DecLong/360)- (GMTOffset/24) ))</f>
        <v>37296.473668981482</v>
      </c>
      <c r="AF2927" s="260">
        <f>IF(DecLat&gt;0,IF((90 - (DecLat-O2927))&gt;90, (90 - (O2927-DecLat)), (90 - (DecLat-O2927))),IF((90 + (DecLat-O2927))&gt;90, (90 + (O2927-DecLat)), (90 + (DecLat-O2927))))</f>
        <v>65.334722222222226</v>
      </c>
      <c r="AG2927" s="257">
        <f>angularseperation(MoonRA,MoonDec,$M2927,$O2927)</f>
        <v>114.77993470339571</v>
      </c>
      <c r="AH2927" s="261">
        <f ca="1">MIN(100,IF($O$5&gt;80,0+30*($AG2927/100),IF($O$5&gt;70,0+50*($AG2927/100),IF($O$5&gt;60,5+50*($AG2927/100),IF($O$5&gt;50,10+60*($AG2927/100),IF($O$5&gt;40,15+70*($AG2927/100),IF($O$5&gt;30,20+70*($AG2927/100),IF($O$5&gt;20,40+55*($AG2927/100),(80+(20-$O$5)+30*($AG2927/100))))))))))</f>
        <v>100</v>
      </c>
      <c r="AI2927" s="262"/>
      <c r="AJ2927" s="262"/>
      <c r="AK2927" s="262"/>
      <c r="AL2927" s="263"/>
      <c r="AM2927" s="264"/>
      <c r="AN2927" s="263"/>
      <c r="AO2927" s="263"/>
      <c r="AP2927" s="265"/>
      <c r="AQ2927" s="265">
        <v>4703</v>
      </c>
      <c r="AR2927" s="267">
        <v>23205</v>
      </c>
      <c r="AS2927" s="263"/>
      <c r="AT2927" s="263"/>
      <c r="AU2927" s="263"/>
      <c r="AV2927" s="264"/>
      <c r="AW2927" s="263"/>
      <c r="AX2927" s="263"/>
      <c r="AY2927" s="263"/>
      <c r="AZ2927" s="263"/>
      <c r="BA2927" s="263"/>
      <c r="BB2927" s="263"/>
      <c r="BC2927" s="263"/>
      <c r="BD2927" s="264"/>
      <c r="BE2927" s="263"/>
      <c r="BF2927" s="263"/>
      <c r="BG2927" s="263"/>
      <c r="BH2927" s="263"/>
      <c r="BI2927" s="263"/>
      <c r="BJ2927" s="404">
        <f>altaz(J2000_Bas,$O2927,$M2927,DecLat,DecLong,2)</f>
        <v>318.82666446129377</v>
      </c>
      <c r="BK2927" s="378" t="s">
        <v>2740</v>
      </c>
      <c r="BL2927" s="379">
        <f>IF((2*G2927)/60&lt;0.2,0.2,(2*G2927)/60)</f>
        <v>0.2</v>
      </c>
      <c r="BM2927" s="380">
        <f>MOD((50000+AD2927-$B$3+(0/24)),1)</f>
        <v>0.58216731590800919</v>
      </c>
      <c r="BN2927" s="381"/>
      <c r="BO2927" s="382">
        <v>2917</v>
      </c>
    </row>
    <row r="2928" spans="1:67" s="24" customFormat="1" ht="15" customHeight="1" x14ac:dyDescent="0.25">
      <c r="A2928" s="288" t="s">
        <v>2741</v>
      </c>
      <c r="B2928" s="241" t="str">
        <f>HYPERLINK(CONCATENATE($AT$3,BK2928,$AU$3),$AV$3)</f>
        <v>S</v>
      </c>
      <c r="C2928" s="242" t="str">
        <f>HYPERLINK(CONCATENATE($AT$4,BK2928,$AU$4,BL2928),$AV$4)</f>
        <v>A</v>
      </c>
      <c r="D2928" s="243" t="s">
        <v>5638</v>
      </c>
      <c r="E2928" s="244" t="s">
        <v>5192</v>
      </c>
      <c r="F2928" s="269" t="s">
        <v>8669</v>
      </c>
      <c r="G2928" s="273">
        <v>1.6</v>
      </c>
      <c r="H2928" s="283">
        <v>75</v>
      </c>
      <c r="I2928" s="246">
        <v>35</v>
      </c>
      <c r="J2928" s="246">
        <v>2</v>
      </c>
      <c r="K2928" s="247" t="s">
        <v>5318</v>
      </c>
      <c r="L2928" s="248">
        <v>90024</v>
      </c>
      <c r="M2928" s="249">
        <f>15*(LEFT(TEXT($L2928,"000000"),2)+(MID(TEXT($L2928,"000000"),3,2)/60)+(RIGHT(TEXT($L2928,"000000"),2)/3600))</f>
        <v>135.1</v>
      </c>
      <c r="N2928" s="250">
        <v>253641</v>
      </c>
      <c r="O2928" s="251">
        <f>IF($N2928&gt;0,(LEFT(TEXT($N2928,"000000"),2)+(MID(TEXT($N2928,"000000"),3,2)/60)+(RIGHT(TEXT($N2928,"000000"),2)/3600)),-(MID(TEXT($N2928,"000000"),2,2)+(MID(TEXT($N2928,"000000"),4,2)/60)+(RIGHT(TEXT($N2928,"000000"),2)/3600)))</f>
        <v>25.611388888888889</v>
      </c>
      <c r="P2928" s="252" t="s">
        <v>100</v>
      </c>
      <c r="Q2928" s="253"/>
      <c r="R2928" s="247" t="s">
        <v>3293</v>
      </c>
      <c r="S2928" s="272" t="s">
        <v>3293</v>
      </c>
      <c r="T2928" s="273">
        <v>14</v>
      </c>
      <c r="U2928" s="274"/>
      <c r="V2928" s="280">
        <v>87</v>
      </c>
      <c r="W2928" s="244"/>
      <c r="X2928" s="244"/>
      <c r="Y2928" s="362"/>
      <c r="Z2928" s="257">
        <f>altaz(J2000_Bas,$O2928,$M2928,DecLat,DecLong,1)</f>
        <v>-26.921193174235153</v>
      </c>
      <c r="AA2928" s="257">
        <f>altaz((J2000_Bas+(2*0.04167)),$O2928,$M2928,DecLat,DecLong,1)</f>
        <v>-33.380739068265832</v>
      </c>
      <c r="AB2928" s="257">
        <f>altaz((J2000_Bas+(4*0.04167)),$O2928,$M2928,DecLat,DecLong,1)</f>
        <v>-26.066483610065823</v>
      </c>
      <c r="AC2928" s="257">
        <f>altaz((J2000_Bas+(6*0.04167)),$O2928,$M2928,DecLat,DecLong,1)</f>
        <v>-8.6416733655996527</v>
      </c>
      <c r="AD2928" s="258">
        <f>1+ transit((J2000_Bas-1),$O2928,$M2928,DecLat,DecLong)/360 + (GMTOffset/24) + (IF(DST="Y", 1, 0)/24)</f>
        <v>1.368177700879708</v>
      </c>
      <c r="AE2928" s="259">
        <f>DATE(2001,9,21)+(M2928/360)*365 - (360*((DecLong/360)- (GMTOffset/24) ))</f>
        <v>37296.976388888892</v>
      </c>
      <c r="AF2928" s="260">
        <f>IF(DecLat&gt;0,IF((90 - (DecLat-O2928))&gt;90, (90 - (O2928-DecLat)), (90 - (DecLat-O2928))),IF((90 + (DecLat-O2928))&gt;90, (90 + (O2928-DecLat)), (90 + (DecLat-O2928))))</f>
        <v>84.611388888888882</v>
      </c>
      <c r="AG2928" s="257">
        <f>angularseperation(MoonRA,MoonDec,$M2928,$O2928)</f>
        <v>121.68020365880655</v>
      </c>
      <c r="AH2928" s="261">
        <f ca="1">MIN(100,IF($O$5&gt;80,0+30*($AG2928/100),IF($O$5&gt;70,0+50*($AG2928/100),IF($O$5&gt;60,5+50*($AG2928/100),IF($O$5&gt;50,10+60*($AG2928/100),IF($O$5&gt;40,15+70*($AG2928/100),IF($O$5&gt;30,20+70*($AG2928/100),IF($O$5&gt;20,40+55*($AG2928/100),(80+(20-$O$5)+30*($AG2928/100))))))))))</f>
        <v>100</v>
      </c>
      <c r="AI2928" s="262"/>
      <c r="AJ2928" s="262"/>
      <c r="AK2928" s="262"/>
      <c r="AL2928" s="263"/>
      <c r="AM2928" s="264"/>
      <c r="AN2928" s="263"/>
      <c r="AO2928" s="263"/>
      <c r="AP2928" s="265"/>
      <c r="AQ2928" s="265">
        <v>4722</v>
      </c>
      <c r="AR2928" s="267">
        <v>25292</v>
      </c>
      <c r="AS2928" s="263"/>
      <c r="AT2928" s="263"/>
      <c r="AU2928" s="263"/>
      <c r="AV2928" s="264"/>
      <c r="AW2928" s="263"/>
      <c r="AX2928" s="263"/>
      <c r="AY2928" s="263"/>
      <c r="AZ2928" s="263"/>
      <c r="BA2928" s="263"/>
      <c r="BB2928" s="263"/>
      <c r="BC2928" s="263"/>
      <c r="BD2928" s="264"/>
      <c r="BE2928" s="263"/>
      <c r="BF2928" s="263"/>
      <c r="BG2928" s="263"/>
      <c r="BH2928" s="263"/>
      <c r="BI2928" s="263"/>
      <c r="BJ2928" s="404">
        <f>altaz(J2000_Bas,$O2928,$M2928,DecLat,DecLong,2)</f>
        <v>330.54019443990182</v>
      </c>
      <c r="BK2928" s="378" t="s">
        <v>2741</v>
      </c>
      <c r="BL2928" s="379">
        <f>IF((2*G2928)/60&lt;0.2,0.2,(2*G2928)/60)</f>
        <v>0.2</v>
      </c>
      <c r="BM2928" s="380">
        <f>MOD((50000+AD2928-$B$3+(0/24)),1)</f>
        <v>0.58354463058640249</v>
      </c>
      <c r="BN2928" s="381"/>
      <c r="BO2928" s="382">
        <v>2918</v>
      </c>
    </row>
    <row r="2929" spans="1:67" s="24" customFormat="1" ht="15" customHeight="1" x14ac:dyDescent="0.25">
      <c r="A2929" s="288" t="s">
        <v>2742</v>
      </c>
      <c r="B2929" s="241" t="str">
        <f>HYPERLINK(CONCATENATE($AT$3,BK2929,$AU$3),$AV$3)</f>
        <v>S</v>
      </c>
      <c r="C2929" s="242" t="str">
        <f>HYPERLINK(CONCATENATE($AT$4,BK2929,$AU$4,BL2929),$AV$4)</f>
        <v>A</v>
      </c>
      <c r="D2929" s="243" t="s">
        <v>5638</v>
      </c>
      <c r="E2929" s="244" t="s">
        <v>5192</v>
      </c>
      <c r="F2929" s="269" t="s">
        <v>8808</v>
      </c>
      <c r="G2929" s="273">
        <v>1.4</v>
      </c>
      <c r="H2929" s="283">
        <v>360</v>
      </c>
      <c r="I2929" s="246">
        <v>150</v>
      </c>
      <c r="J2929" s="246">
        <v>2</v>
      </c>
      <c r="K2929" s="247" t="s">
        <v>5319</v>
      </c>
      <c r="L2929" s="248">
        <v>93012</v>
      </c>
      <c r="M2929" s="249">
        <f>15*(LEFT(TEXT($L2929,"000000"),2)+(MID(TEXT($L2929,"000000"),3,2)/60)+(RIGHT(TEXT($L2929,"000000"),2)/3600))</f>
        <v>142.55000000000001</v>
      </c>
      <c r="N2929" s="250">
        <v>555109</v>
      </c>
      <c r="O2929" s="251">
        <f>IF($N2929&gt;0,(LEFT(TEXT($N2929,"000000"),2)+(MID(TEXT($N2929,"000000"),3,2)/60)+(RIGHT(TEXT($N2929,"000000"),2)/3600)),-(MID(TEXT($N2929,"000000"),2,2)+(MID(TEXT($N2929,"000000"),4,2)/60)+(RIGHT(TEXT($N2929,"000000"),2)/3600)))</f>
        <v>55.852499999999999</v>
      </c>
      <c r="P2929" s="252" t="s">
        <v>37</v>
      </c>
      <c r="Q2929" s="253"/>
      <c r="R2929" s="247" t="s">
        <v>3293</v>
      </c>
      <c r="S2929" s="272" t="s">
        <v>3293</v>
      </c>
      <c r="T2929" s="273">
        <v>14</v>
      </c>
      <c r="U2929" s="274"/>
      <c r="V2929" s="280">
        <v>5</v>
      </c>
      <c r="W2929" s="244"/>
      <c r="X2929" s="244"/>
      <c r="Y2929" s="362"/>
      <c r="Z2929" s="257">
        <f>altaz(J2000_Bas,$O2929,$M2929,DecLat,DecLong,1)</f>
        <v>2.2754905368633658</v>
      </c>
      <c r="AA2929" s="257">
        <f>altaz((J2000_Bas+(2*0.04167)),$O2929,$M2929,DecLat,DecLong,1)</f>
        <v>-2.9720585701224866</v>
      </c>
      <c r="AB2929" s="257">
        <f>altaz((J2000_Bas+(4*0.04167)),$O2929,$M2929,DecLat,DecLong,1)</f>
        <v>-0.83606276763756948</v>
      </c>
      <c r="AC2929" s="257">
        <f>altaz((J2000_Bas+(6*0.04167)),$O2929,$M2929,DecLat,DecLong,1)</f>
        <v>8.1310932077684832</v>
      </c>
      <c r="AD2929" s="258">
        <f>1+ transit((J2000_Bas-1),$O2929,$M2929,DecLat,DecLong)/360 + (GMTOffset/24) + (IF(DST="Y", 1, 0)/24)</f>
        <v>1.388872143254708</v>
      </c>
      <c r="AE2929" s="259">
        <f>DATE(2001,9,21)+(M2929/360)*365 - (360*((DecLong/360)- (GMTOffset/24) ))</f>
        <v>37304.529861111114</v>
      </c>
      <c r="AF2929" s="260">
        <f>IF(DecLat&gt;0,IF((90 - (DecLat-O2929))&gt;90, (90 - (O2929-DecLat)), (90 - (DecLat-O2929))),IF((90 + (DecLat-O2929))&gt;90, (90 + (O2929-DecLat)), (90 + (DecLat-O2929))))</f>
        <v>65.147500000000008</v>
      </c>
      <c r="AG2929" s="257">
        <f>angularseperation(MoonRA,MoonDec,$M2929,$O2929)</f>
        <v>121.35565322644086</v>
      </c>
      <c r="AH2929" s="261">
        <f ca="1">MIN(100,IF($O$5&gt;80,0+30*($AG2929/100),IF($O$5&gt;70,0+50*($AG2929/100),IF($O$5&gt;60,5+50*($AG2929/100),IF($O$5&gt;50,10+60*($AG2929/100),IF($O$5&gt;40,15+70*($AG2929/100),IF($O$5&gt;30,20+70*($AG2929/100),IF($O$5&gt;20,40+55*($AG2929/100),(80+(20-$O$5)+30*($AG2929/100))))))))))</f>
        <v>100</v>
      </c>
      <c r="AI2929" s="262"/>
      <c r="AJ2929" s="262"/>
      <c r="AK2929" s="262"/>
      <c r="AL2929" s="263"/>
      <c r="AM2929" s="264"/>
      <c r="AN2929" s="263"/>
      <c r="AO2929" s="263"/>
      <c r="AP2929" s="265"/>
      <c r="AQ2929" s="265">
        <v>5055</v>
      </c>
      <c r="AR2929" s="267">
        <v>26970</v>
      </c>
      <c r="AS2929" s="263"/>
      <c r="AT2929" s="263"/>
      <c r="AU2929" s="263"/>
      <c r="AV2929" s="264"/>
      <c r="AW2929" s="263"/>
      <c r="AX2929" s="263"/>
      <c r="AY2929" s="263"/>
      <c r="AZ2929" s="263"/>
      <c r="BA2929" s="263"/>
      <c r="BB2929" s="263"/>
      <c r="BC2929" s="263"/>
      <c r="BD2929" s="264"/>
      <c r="BE2929" s="263"/>
      <c r="BF2929" s="263"/>
      <c r="BG2929" s="263"/>
      <c r="BH2929" s="263">
        <v>47</v>
      </c>
      <c r="BI2929" s="263"/>
      <c r="BJ2929" s="404">
        <f>altaz(J2000_Bas,$O2929,$M2929,DecLat,DecLong,2)</f>
        <v>340.45629396790514</v>
      </c>
      <c r="BK2929" s="378" t="s">
        <v>2742</v>
      </c>
      <c r="BL2929" s="379">
        <f>IF((2*G2929)/60&lt;0.2,0.2,(2*G2929)/60)</f>
        <v>0.2</v>
      </c>
      <c r="BM2929" s="380">
        <f>MOD((50000+AD2929-$B$3+(0/24)),1)</f>
        <v>0.60423907295626123</v>
      </c>
      <c r="BN2929" s="381"/>
      <c r="BO2929" s="382">
        <v>2919</v>
      </c>
    </row>
    <row r="2930" spans="1:67" s="24" customFormat="1" ht="15" customHeight="1" x14ac:dyDescent="0.25">
      <c r="A2930" s="288" t="s">
        <v>2743</v>
      </c>
      <c r="B2930" s="241" t="str">
        <f>HYPERLINK(CONCATENATE($AT$3,BK2930,$AU$3),$AV$3)</f>
        <v>S</v>
      </c>
      <c r="C2930" s="242" t="str">
        <f>HYPERLINK(CONCATENATE($AT$4,BK2930,$AU$4,BL2930),$AV$4)</f>
        <v>A</v>
      </c>
      <c r="D2930" s="243" t="s">
        <v>5638</v>
      </c>
      <c r="E2930" s="244" t="s">
        <v>5337</v>
      </c>
      <c r="F2930" s="269" t="s">
        <v>3317</v>
      </c>
      <c r="G2930" s="270">
        <v>0.5</v>
      </c>
      <c r="H2930" s="283">
        <v>500</v>
      </c>
      <c r="I2930" s="246">
        <v>80</v>
      </c>
      <c r="J2930" s="246">
        <v>2</v>
      </c>
      <c r="K2930" s="247" t="s">
        <v>8612</v>
      </c>
      <c r="L2930" s="248">
        <v>93552</v>
      </c>
      <c r="M2930" s="249">
        <f>15*(LEFT(TEXT($L2930,"000000"),2)+(MID(TEXT($L2930,"000000"),3,2)/60)+(RIGHT(TEXT($L2930,"000000"),2)/3600))</f>
        <v>143.9666666666667</v>
      </c>
      <c r="N2930" s="250">
        <v>612112</v>
      </c>
      <c r="O2930" s="251">
        <f>IF($N2930&gt;0,(LEFT(TEXT($N2930,"000000"),2)+(MID(TEXT($N2930,"000000"),3,2)/60)+(RIGHT(TEXT($N2930,"000000"),2)/3600)),-(MID(TEXT($N2930,"000000"),2,2)+(MID(TEXT($N2930,"000000"),4,2)/60)+(RIGHT(TEXT($N2930,"000000"),2)/3600)))</f>
        <v>61.353333333333332</v>
      </c>
      <c r="P2930" s="252" t="s">
        <v>37</v>
      </c>
      <c r="Q2930" s="253"/>
      <c r="R2930" s="247" t="s">
        <v>3293</v>
      </c>
      <c r="S2930" s="272" t="s">
        <v>3293</v>
      </c>
      <c r="T2930" s="273">
        <v>15.5</v>
      </c>
      <c r="U2930" s="274"/>
      <c r="V2930" s="280"/>
      <c r="W2930" s="244"/>
      <c r="X2930" s="244"/>
      <c r="Y2930" s="362"/>
      <c r="Z2930" s="257">
        <f>altaz(J2000_Bas,$O2930,$M2930,DecLat,DecLong,1)</f>
        <v>7.3549754641492369</v>
      </c>
      <c r="AA2930" s="257">
        <f>altaz((J2000_Bas+(2*0.04167)),$O2930,$M2930,DecLat,DecLong,1)</f>
        <v>2.5758341604734536</v>
      </c>
      <c r="AB2930" s="257">
        <f>altaz((J2000_Bas+(4*0.04167)),$O2930,$M2930,DecLat,DecLong,1)</f>
        <v>4.1023115549095097</v>
      </c>
      <c r="AC2930" s="257">
        <f>altaz((J2000_Bas+(6*0.04167)),$O2930,$M2930,DecLat,DecLong,1)</f>
        <v>11.57431181611447</v>
      </c>
      <c r="AD2930" s="258">
        <f>1+ transit((J2000_Bas-1),$O2930,$M2930,DecLat,DecLong)/360 + (GMTOffset/24) + (IF(DST="Y", 1, 0)/24)</f>
        <v>1.3928073280463746</v>
      </c>
      <c r="AE2930" s="259">
        <f>DATE(2001,9,21)+(M2930/360)*365 - (360*((DecLong/360)- (GMTOffset/24) ))</f>
        <v>37305.966203703705</v>
      </c>
      <c r="AF2930" s="260">
        <f>IF(DecLat&gt;0,IF((90 - (DecLat-O2930))&gt;90, (90 - (O2930-DecLat)), (90 - (DecLat-O2930))),IF((90 + (DecLat-O2930))&gt;90, (90 + (O2930-DecLat)), (90 + (DecLat-O2930))))</f>
        <v>59.646666666666668</v>
      </c>
      <c r="AG2930" s="257">
        <f>angularseperation(MoonRA,MoonDec,$M2930,$O2930)</f>
        <v>120.79836168556444</v>
      </c>
      <c r="AH2930" s="261">
        <f ca="1">MIN(100,IF($O$5&gt;80,0+30*($AG2930/100),IF($O$5&gt;70,0+50*($AG2930/100),IF($O$5&gt;60,5+50*($AG2930/100),IF($O$5&gt;50,10+60*($AG2930/100),IF($O$5&gt;40,15+70*($AG2930/100),IF($O$5&gt;30,20+70*($AG2930/100),IF($O$5&gt;20,40+55*($AG2930/100),(80+(20-$O$5)+30*($AG2930/100))))))))))</f>
        <v>100</v>
      </c>
      <c r="AI2930" s="262"/>
      <c r="AJ2930" s="262"/>
      <c r="AK2930" s="262"/>
      <c r="AL2930" s="263"/>
      <c r="AM2930" s="264"/>
      <c r="AN2930" s="263"/>
      <c r="AO2930" s="263"/>
      <c r="AP2930" s="265"/>
      <c r="AQ2930" s="265">
        <v>5101</v>
      </c>
      <c r="AR2930" s="267">
        <v>27292</v>
      </c>
      <c r="AS2930" s="263"/>
      <c r="AT2930" s="263"/>
      <c r="AU2930" s="263"/>
      <c r="AV2930" s="264"/>
      <c r="AW2930" s="263"/>
      <c r="AX2930" s="263"/>
      <c r="AY2930" s="263"/>
      <c r="AZ2930" s="263"/>
      <c r="BA2930" s="263"/>
      <c r="BB2930" s="263"/>
      <c r="BC2930" s="263"/>
      <c r="BD2930" s="264"/>
      <c r="BE2930" s="263"/>
      <c r="BF2930" s="263"/>
      <c r="BG2930" s="263"/>
      <c r="BH2930" s="263"/>
      <c r="BI2930" s="263"/>
      <c r="BJ2930" s="404">
        <f>altaz(J2000_Bas,$O2930,$M2930,DecLat,DecLong,2)</f>
        <v>342.70078382096295</v>
      </c>
      <c r="BK2930" s="378" t="s">
        <v>2743</v>
      </c>
      <c r="BL2930" s="379">
        <f>IF((2*G2930)/60&lt;0.2,0.2,(2*G2930)/60)</f>
        <v>0.2</v>
      </c>
      <c r="BM2930" s="380">
        <f>MOD((50000+AD2930-$B$3+(0/24)),1)</f>
        <v>0.60817425775167067</v>
      </c>
      <c r="BN2930" s="381" t="s">
        <v>9281</v>
      </c>
      <c r="BO2930" s="382">
        <v>2920</v>
      </c>
    </row>
    <row r="2931" spans="1:67" s="24" customFormat="1" ht="15" customHeight="1" x14ac:dyDescent="0.25">
      <c r="A2931" s="288" t="s">
        <v>7666</v>
      </c>
      <c r="B2931" s="241" t="str">
        <f>HYPERLINK(CONCATENATE($AT$3,BK2931,$AU$3),$AV$3)</f>
        <v>S</v>
      </c>
      <c r="C2931" s="242" t="str">
        <f>HYPERLINK(CONCATENATE($AT$4,BK2931,$AU$4,BL2931),$AV$4)</f>
        <v>A</v>
      </c>
      <c r="D2931" s="243" t="s">
        <v>5638</v>
      </c>
      <c r="E2931" s="244" t="s">
        <v>5178</v>
      </c>
      <c r="F2931" s="269"/>
      <c r="G2931" s="273">
        <v>1.6</v>
      </c>
      <c r="H2931" s="283">
        <v>130</v>
      </c>
      <c r="I2931" s="246">
        <v>60</v>
      </c>
      <c r="J2931" s="246">
        <v>1</v>
      </c>
      <c r="K2931" s="247" t="s">
        <v>5321</v>
      </c>
      <c r="L2931" s="248">
        <v>102422</v>
      </c>
      <c r="M2931" s="249">
        <f>15*(LEFT(TEXT($L2931,"000000"),2)+(MID(TEXT($L2931,"000000"),3,2)/60)+(RIGHT(TEXT($L2931,"000000"),2)/3600))</f>
        <v>156.09166666666667</v>
      </c>
      <c r="N2931" s="250">
        <v>783632</v>
      </c>
      <c r="O2931" s="251">
        <f>IF($N2931&gt;0,(LEFT(TEXT($N2931,"000000"),2)+(MID(TEXT($N2931,"000000"),3,2)/60)+(RIGHT(TEXT($N2931,"000000"),2)/3600)),-(MID(TEXT($N2931,"000000"),2,2)+(MID(TEXT($N2931,"000000"),4,2)/60)+(RIGHT(TEXT($N2931,"000000"),2)/3600)))</f>
        <v>78.608888888888885</v>
      </c>
      <c r="P2931" s="252" t="s">
        <v>34</v>
      </c>
      <c r="Q2931" s="253"/>
      <c r="R2931" s="247" t="s">
        <v>3293</v>
      </c>
      <c r="S2931" s="272" t="s">
        <v>5320</v>
      </c>
      <c r="T2931" s="273"/>
      <c r="U2931" s="274"/>
      <c r="V2931" s="280"/>
      <c r="W2931" s="244"/>
      <c r="X2931" s="244"/>
      <c r="Y2931" s="362"/>
      <c r="Z2931" s="257">
        <f>altaz(J2000_Bas,$O2931,$M2931,DecLat,DecLong,1)</f>
        <v>23.345433703984586</v>
      </c>
      <c r="AA2931" s="257">
        <f>altaz((J2000_Bas+(2*0.04167)),$O2931,$M2931,DecLat,DecLong,1)</f>
        <v>20.231371233236491</v>
      </c>
      <c r="AB2931" s="257">
        <f>altaz((J2000_Bas+(4*0.04167)),$O2931,$M2931,DecLat,DecLong,1)</f>
        <v>19.767911288960608</v>
      </c>
      <c r="AC2931" s="257">
        <f>altaz((J2000_Bas+(6*0.04167)),$O2931,$M2931,DecLat,DecLong,1)</f>
        <v>22.056355204538342</v>
      </c>
      <c r="AD2931" s="258">
        <f>1+ transit((J2000_Bas-1),$O2931,$M2931,DecLat,DecLong)/360 + (GMTOffset/24) + (IF(DST="Y", 1, 0)/24)</f>
        <v>1.4264878802338747</v>
      </c>
      <c r="AE2931" s="259">
        <f>DATE(2001,9,21)+(M2931/360)*365 - (360*((DecLong/360)- (GMTOffset/24) ))</f>
        <v>37318.259606481479</v>
      </c>
      <c r="AF2931" s="260">
        <f>IF(DecLat&gt;0,IF((90 - (DecLat-O2931))&gt;90, (90 - (O2931-DecLat)), (90 - (DecLat-O2931))),IF((90 + (DecLat-O2931))&gt;90, (90 + (O2931-DecLat)), (90 + (DecLat-O2931))))</f>
        <v>42.391111111111115</v>
      </c>
      <c r="AG2931" s="257">
        <f>angularseperation(MoonRA,MoonDec,$M2931,$O2931)</f>
        <v>117.12882887657784</v>
      </c>
      <c r="AH2931" s="261">
        <f ca="1">MIN(100,IF($O$5&gt;80,0+30*($AG2931/100),IF($O$5&gt;70,0+50*($AG2931/100),IF($O$5&gt;60,5+50*($AG2931/100),IF($O$5&gt;50,10+60*($AG2931/100),IF($O$5&gt;40,15+70*($AG2931/100),IF($O$5&gt;30,20+70*($AG2931/100),IF($O$5&gt;20,40+55*($AG2931/100),(80+(20-$O$5)+30*($AG2931/100))))))))))</f>
        <v>100</v>
      </c>
      <c r="AI2931" s="262"/>
      <c r="AJ2931" s="262"/>
      <c r="AK2931" s="262"/>
      <c r="AL2931" s="263"/>
      <c r="AM2931" s="264"/>
      <c r="AN2931" s="263"/>
      <c r="AO2931" s="263"/>
      <c r="AP2931" s="265"/>
      <c r="AQ2931" s="265">
        <v>5609</v>
      </c>
      <c r="AR2931" s="267">
        <v>30510</v>
      </c>
      <c r="AS2931" s="263"/>
      <c r="AT2931" s="263"/>
      <c r="AU2931" s="263"/>
      <c r="AV2931" s="264"/>
      <c r="AW2931" s="263"/>
      <c r="AX2931" s="263"/>
      <c r="AY2931" s="263"/>
      <c r="AZ2931" s="263"/>
      <c r="BA2931" s="263"/>
      <c r="BB2931" s="263"/>
      <c r="BC2931" s="263"/>
      <c r="BD2931" s="264"/>
      <c r="BE2931" s="263"/>
      <c r="BF2931" s="263"/>
      <c r="BG2931" s="263"/>
      <c r="BH2931" s="263"/>
      <c r="BI2931" s="263"/>
      <c r="BJ2931" s="404">
        <f>altaz(J2000_Bas,$O2931,$M2931,DecLat,DecLong,2)</f>
        <v>350.50257181631713</v>
      </c>
      <c r="BK2931" s="378" t="s">
        <v>2744</v>
      </c>
      <c r="BL2931" s="379">
        <f>IF((2*G2931)/60&lt;0.2,0.2,(2*G2931)/60)</f>
        <v>0.2</v>
      </c>
      <c r="BM2931" s="380">
        <f>MOD((50000+AD2931-$B$3+(0/24)),1)</f>
        <v>0.6418548099391046</v>
      </c>
      <c r="BN2931" s="381"/>
      <c r="BO2931" s="382">
        <v>2921</v>
      </c>
    </row>
    <row r="2932" spans="1:67" s="24" customFormat="1" ht="15" customHeight="1" x14ac:dyDescent="0.25">
      <c r="A2932" s="288" t="s">
        <v>2745</v>
      </c>
      <c r="B2932" s="241" t="str">
        <f>HYPERLINK(CONCATENATE($AT$3,BK2932,$AU$3),$AV$3)</f>
        <v>S</v>
      </c>
      <c r="C2932" s="242" t="str">
        <f>HYPERLINK(CONCATENATE($AT$4,BK2932,$AU$4,BL2932),$AV$4)</f>
        <v>A</v>
      </c>
      <c r="D2932" s="243" t="s">
        <v>5638</v>
      </c>
      <c r="E2932" s="244" t="s">
        <v>5192</v>
      </c>
      <c r="F2932" s="269" t="s">
        <v>8885</v>
      </c>
      <c r="G2932" s="273">
        <v>1.3</v>
      </c>
      <c r="H2932" s="283">
        <v>130</v>
      </c>
      <c r="I2932" s="246">
        <v>50</v>
      </c>
      <c r="J2932" s="246">
        <v>2</v>
      </c>
      <c r="K2932" s="247" t="s">
        <v>5322</v>
      </c>
      <c r="L2932" s="248">
        <v>111747</v>
      </c>
      <c r="M2932" s="249">
        <f>15*(LEFT(TEXT($L2932,"000000"),2)+(MID(TEXT($L2932,"000000"),3,2)/60)+(RIGHT(TEXT($L2932,"000000"),2)/3600))</f>
        <v>169.44583333333333</v>
      </c>
      <c r="N2932" s="250">
        <v>512834</v>
      </c>
      <c r="O2932" s="251">
        <f>IF($N2932&gt;0,(LEFT(TEXT($N2932,"000000"),2)+(MID(TEXT($N2932,"000000"),3,2)/60)+(RIGHT(TEXT($N2932,"000000"),2)/3600)),-(MID(TEXT($N2932,"000000"),2,2)+(MID(TEXT($N2932,"000000"),4,2)/60)+(RIGHT(TEXT($N2932,"000000"),2)/3600)))</f>
        <v>51.476111111111116</v>
      </c>
      <c r="P2932" s="252" t="s">
        <v>37</v>
      </c>
      <c r="Q2932" s="253" t="s">
        <v>6882</v>
      </c>
      <c r="R2932" s="247" t="s">
        <v>3293</v>
      </c>
      <c r="S2932" s="272" t="s">
        <v>3293</v>
      </c>
      <c r="T2932" s="273">
        <v>13</v>
      </c>
      <c r="U2932" s="274"/>
      <c r="V2932" s="280">
        <v>45</v>
      </c>
      <c r="W2932" s="244"/>
      <c r="X2932" s="244"/>
      <c r="Y2932" s="362"/>
      <c r="Z2932" s="257">
        <f>altaz(J2000_Bas,$O2932,$M2932,DecLat,DecLong,1)</f>
        <v>9.4536817359262901</v>
      </c>
      <c r="AA2932" s="257">
        <f>altaz((J2000_Bas+(2*0.04167)),$O2932,$M2932,DecLat,DecLong,1)</f>
        <v>-2.4633452350483052</v>
      </c>
      <c r="AB2932" s="257">
        <f>altaz((J2000_Bas+(4*0.04167)),$O2932,$M2932,DecLat,DecLong,1)</f>
        <v>-7.4735282900070423</v>
      </c>
      <c r="AC2932" s="257">
        <f>altaz((J2000_Bas+(6*0.04167)),$O2932,$M2932,DecLat,DecLong,1)</f>
        <v>-4.2178896574297395</v>
      </c>
      <c r="AD2932" s="258">
        <f>1+ transit((J2000_Bas-1),$O2932,$M2932,DecLat,DecLong)/360 + (GMTOffset/24) + (IF(DST="Y", 1, 0)/24)</f>
        <v>1.4635827839317914</v>
      </c>
      <c r="AE2932" s="259">
        <f>DATE(2001,9,21)+(M2932/360)*365 - (360*((DecLong/360)- (GMTOffset/24) ))</f>
        <v>37331.799247685187</v>
      </c>
      <c r="AF2932" s="260">
        <f>IF(DecLat&gt;0,IF((90 - (DecLat-O2932))&gt;90, (90 - (O2932-DecLat)), (90 - (DecLat-O2932))),IF((90 + (DecLat-O2932))&gt;90, (90 + (O2932-DecLat)), (90 + (DecLat-O2932))))</f>
        <v>69.523888888888877</v>
      </c>
      <c r="AG2932" s="257">
        <f>angularseperation(MoonRA,MoonDec,$M2932,$O2932)</f>
        <v>104.94926700775108</v>
      </c>
      <c r="AH2932" s="261">
        <f ca="1">MIN(100,IF($O$5&gt;80,0+30*($AG2932/100),IF($O$5&gt;70,0+50*($AG2932/100),IF($O$5&gt;60,5+50*($AG2932/100),IF($O$5&gt;50,10+60*($AG2932/100),IF($O$5&gt;40,15+70*($AG2932/100),IF($O$5&gt;30,20+70*($AG2932/100),IF($O$5&gt;20,40+55*($AG2932/100),(80+(20-$O$5)+30*($AG2932/100))))))))))</f>
        <v>100</v>
      </c>
      <c r="AI2932" s="262"/>
      <c r="AJ2932" s="262"/>
      <c r="AK2932" s="262"/>
      <c r="AL2932" s="263"/>
      <c r="AM2932" s="264"/>
      <c r="AN2932" s="263"/>
      <c r="AO2932" s="263"/>
      <c r="AP2932" s="265"/>
      <c r="AQ2932" s="265">
        <v>6309</v>
      </c>
      <c r="AR2932" s="267">
        <v>34508</v>
      </c>
      <c r="AS2932" s="263"/>
      <c r="AT2932" s="263"/>
      <c r="AU2932" s="263"/>
      <c r="AV2932" s="264"/>
      <c r="AW2932" s="263"/>
      <c r="AX2932" s="263"/>
      <c r="AY2932" s="263"/>
      <c r="AZ2932" s="263"/>
      <c r="BA2932" s="263"/>
      <c r="BB2932" s="263"/>
      <c r="BC2932" s="263"/>
      <c r="BD2932" s="264"/>
      <c r="BE2932" s="263"/>
      <c r="BF2932" s="263"/>
      <c r="BG2932" s="263"/>
      <c r="BH2932" s="263"/>
      <c r="BI2932" s="263"/>
      <c r="BJ2932" s="404">
        <f>altaz(J2000_Bas,$O2932,$M2932,DecLat,DecLong,2)</f>
        <v>325.61182991544052</v>
      </c>
      <c r="BK2932" s="378" t="s">
        <v>2745</v>
      </c>
      <c r="BL2932" s="379">
        <f>IF((2*G2932)/60&lt;0.2,0.2,(2*G2932)/60)</f>
        <v>0.2</v>
      </c>
      <c r="BM2932" s="380">
        <f>MOD((50000+AD2932-$B$3+(0/24)),1)</f>
        <v>0.67894971363421064</v>
      </c>
      <c r="BN2932" s="381" t="s">
        <v>9221</v>
      </c>
      <c r="BO2932" s="382">
        <v>2922</v>
      </c>
    </row>
    <row r="2933" spans="1:67" s="24" customFormat="1" ht="15" customHeight="1" x14ac:dyDescent="0.25">
      <c r="A2933" s="288" t="s">
        <v>2746</v>
      </c>
      <c r="B2933" s="241" t="str">
        <f>HYPERLINK(CONCATENATE($AT$3,BK2933,$AU$3),$AV$3)</f>
        <v>S</v>
      </c>
      <c r="C2933" s="242" t="str">
        <f>HYPERLINK(CONCATENATE($AT$4,BK2933,$AU$4,BL2933),$AV$4)</f>
        <v>A</v>
      </c>
      <c r="D2933" s="243" t="s">
        <v>5638</v>
      </c>
      <c r="E2933" s="244" t="s">
        <v>5192</v>
      </c>
      <c r="F2933" s="269" t="s">
        <v>9087</v>
      </c>
      <c r="G2933" s="270">
        <v>0.5</v>
      </c>
      <c r="H2933" s="283">
        <v>300</v>
      </c>
      <c r="I2933" s="246">
        <v>44</v>
      </c>
      <c r="J2933" s="246">
        <v>2</v>
      </c>
      <c r="K2933" s="247" t="s">
        <v>5323</v>
      </c>
      <c r="L2933" s="248">
        <v>113915</v>
      </c>
      <c r="M2933" s="249">
        <f>15*(LEFT(TEXT($L2933,"000000"),2)+(MID(TEXT($L2933,"000000"),3,2)/60)+(RIGHT(TEXT($L2933,"000000"),2)/3600))</f>
        <v>174.8125</v>
      </c>
      <c r="N2933" s="250">
        <v>170837</v>
      </c>
      <c r="O2933" s="251">
        <f>IF($N2933&gt;0,(LEFT(TEXT($N2933,"000000"),2)+(MID(TEXT($N2933,"000000"),3,2)/60)+(RIGHT(TEXT($N2933,"000000"),2)/3600)),-(MID(TEXT($N2933,"000000"),2,2)+(MID(TEXT($N2933,"000000"),4,2)/60)+(RIGHT(TEXT($N2933,"000000"),2)/3600)))</f>
        <v>17.14361111111111</v>
      </c>
      <c r="P2933" s="252" t="s">
        <v>183</v>
      </c>
      <c r="Q2933" s="253"/>
      <c r="R2933" s="247" t="s">
        <v>3293</v>
      </c>
      <c r="S2933" s="272" t="s">
        <v>3293</v>
      </c>
      <c r="T2933" s="273">
        <v>14.4</v>
      </c>
      <c r="U2933" s="274"/>
      <c r="V2933" s="280">
        <v>0</v>
      </c>
      <c r="W2933" s="244"/>
      <c r="X2933" s="244"/>
      <c r="Y2933" s="362"/>
      <c r="Z2933" s="257">
        <f>altaz(J2000_Bas,$O2933,$M2933,DecLat,DecLong,1)</f>
        <v>-8.2939738757372812</v>
      </c>
      <c r="AA2933" s="257">
        <f>altaz((J2000_Bas+(2*0.04167)),$O2933,$M2933,DecLat,DecLong,1)</f>
        <v>-29.156302168267292</v>
      </c>
      <c r="AB2933" s="257">
        <f>altaz((J2000_Bas+(4*0.04167)),$O2933,$M2933,DecLat,DecLong,1)</f>
        <v>-41.145159037775478</v>
      </c>
      <c r="AC2933" s="257">
        <f>altaz((J2000_Bas+(6*0.04167)),$O2933,$M2933,DecLat,DecLong,1)</f>
        <v>-37.630467156596374</v>
      </c>
      <c r="AD2933" s="258">
        <f>1+ transit((J2000_Bas-1),$O2933,$M2933,DecLat,DecLong)/360 + (GMTOffset/24) + (IF(DST="Y", 1, 0)/24)</f>
        <v>1.4784901898484579</v>
      </c>
      <c r="AE2933" s="259">
        <f>DATE(2001,9,21)+(M2933/360)*365 - (360*((DecLong/360)- (GMTOffset/24) ))</f>
        <v>37337.240451388891</v>
      </c>
      <c r="AF2933" s="260">
        <f>IF(DecLat&gt;0,IF((90 - (DecLat-O2933))&gt;90, (90 - (O2933-DecLat)), (90 - (DecLat-O2933))),IF((90 + (DecLat-O2933))&gt;90, (90 + (O2933-DecLat)), (90 + (DecLat-O2933))))</f>
        <v>76.143611111111113</v>
      </c>
      <c r="AG2933" s="257">
        <f>angularseperation(MoonRA,MoonDec,$M2933,$O2933)</f>
        <v>84.596796842808885</v>
      </c>
      <c r="AH2933" s="261">
        <f ca="1">MIN(100,IF($O$5&gt;80,0+30*($AG2933/100),IF($O$5&gt;70,0+50*($AG2933/100),IF($O$5&gt;60,5+50*($AG2933/100),IF($O$5&gt;50,10+60*($AG2933/100),IF($O$5&gt;40,15+70*($AG2933/100),IF($O$5&gt;30,20+70*($AG2933/100),IF($O$5&gt;20,40+55*($AG2933/100),(80+(20-$O$5)+30*($AG2933/100))))))))))</f>
        <v>100</v>
      </c>
      <c r="AI2933" s="262"/>
      <c r="AJ2933" s="262"/>
      <c r="AK2933" s="262"/>
      <c r="AL2933" s="263"/>
      <c r="AM2933" s="264"/>
      <c r="AN2933" s="263"/>
      <c r="AO2933" s="263"/>
      <c r="AP2933" s="265"/>
      <c r="AQ2933" s="265">
        <v>6614</v>
      </c>
      <c r="AR2933" s="267">
        <v>36122</v>
      </c>
      <c r="AS2933" s="263"/>
      <c r="AT2933" s="263"/>
      <c r="AU2933" s="263"/>
      <c r="AV2933" s="264"/>
      <c r="AW2933" s="263"/>
      <c r="AX2933" s="263"/>
      <c r="AY2933" s="263"/>
      <c r="AZ2933" s="263"/>
      <c r="BA2933" s="263"/>
      <c r="BB2933" s="263"/>
      <c r="BC2933" s="263"/>
      <c r="BD2933" s="264"/>
      <c r="BE2933" s="263"/>
      <c r="BF2933" s="263"/>
      <c r="BG2933" s="263"/>
      <c r="BH2933" s="263"/>
      <c r="BI2933" s="263"/>
      <c r="BJ2933" s="404">
        <f>altaz(J2000_Bas,$O2933,$M2933,DecLat,DecLong,2)</f>
        <v>295.79243196564977</v>
      </c>
      <c r="BK2933" s="378" t="s">
        <v>2746</v>
      </c>
      <c r="BL2933" s="379">
        <f>IF((2*G2933)/60&lt;0.2,0.2,(2*G2933)/60)</f>
        <v>0.2</v>
      </c>
      <c r="BM2933" s="380">
        <f>MOD((50000+AD2933-$B$3+(0/24)),1)</f>
        <v>0.6938571195496479</v>
      </c>
      <c r="BN2933" s="381"/>
      <c r="BO2933" s="382">
        <v>2923</v>
      </c>
    </row>
    <row r="2934" spans="1:67" s="24" customFormat="1" ht="15" customHeight="1" x14ac:dyDescent="0.25">
      <c r="A2934" s="288" t="s">
        <v>2747</v>
      </c>
      <c r="B2934" s="241" t="str">
        <f>HYPERLINK(CONCATENATE($AT$3,BK2934,$AU$3),$AV$3)</f>
        <v>S</v>
      </c>
      <c r="C2934" s="242" t="str">
        <f>HYPERLINK(CONCATENATE($AT$4,BK2934,$AU$4,BL2934),$AV$4)</f>
        <v>A</v>
      </c>
      <c r="D2934" s="243" t="s">
        <v>5638</v>
      </c>
      <c r="E2934" s="244" t="s">
        <v>5192</v>
      </c>
      <c r="F2934" s="269" t="s">
        <v>8670</v>
      </c>
      <c r="G2934" s="273">
        <v>6</v>
      </c>
      <c r="H2934" s="283">
        <v>75</v>
      </c>
      <c r="I2934" s="246">
        <v>130</v>
      </c>
      <c r="J2934" s="246">
        <v>3</v>
      </c>
      <c r="K2934" s="247" t="s">
        <v>6394</v>
      </c>
      <c r="L2934" s="248">
        <v>121734</v>
      </c>
      <c r="M2934" s="249">
        <f>15*(LEFT(TEXT($L2934,"000000"),2)+(MID(TEXT($L2934,"000000"),3,2)/60)+(RIGHT(TEXT($L2934,"000000"),2)/3600))</f>
        <v>184.39166666666665</v>
      </c>
      <c r="N2934" s="250">
        <v>223225</v>
      </c>
      <c r="O2934" s="251">
        <f>IF($N2934&gt;0,(LEFT(TEXT($N2934,"000000"),2)+(MID(TEXT($N2934,"000000"),3,2)/60)+(RIGHT(TEXT($N2934,"000000"),2)/3600)),-(MID(TEXT($N2934,"000000"),2,2)+(MID(TEXT($N2934,"000000"),4,2)/60)+(RIGHT(TEXT($N2934,"000000"),2)/3600)))</f>
        <v>22.540277777777778</v>
      </c>
      <c r="P2934" s="252" t="s">
        <v>190</v>
      </c>
      <c r="Q2934" s="253"/>
      <c r="R2934" s="277" t="s">
        <v>3293</v>
      </c>
      <c r="S2934" s="272" t="s">
        <v>3293</v>
      </c>
      <c r="T2934" s="273">
        <v>13.5</v>
      </c>
      <c r="U2934" s="274"/>
      <c r="V2934" s="280">
        <v>90</v>
      </c>
      <c r="W2934" s="244"/>
      <c r="X2934" s="244"/>
      <c r="Y2934" s="362"/>
      <c r="Z2934" s="257">
        <f>altaz(J2000_Bas,$O2934,$M2934,DecLat,DecLong,1)</f>
        <v>2.1830135972460205</v>
      </c>
      <c r="AA2934" s="257">
        <f>altaz((J2000_Bas+(2*0.04167)),$O2934,$M2934,DecLat,DecLong,1)</f>
        <v>-19.218883173586761</v>
      </c>
      <c r="AB2934" s="257">
        <f>altaz((J2000_Bas+(4*0.04167)),$O2934,$M2934,DecLat,DecLong,1)</f>
        <v>-33.680747186306455</v>
      </c>
      <c r="AC2934" s="257">
        <f>altaz((J2000_Bas+(6*0.04167)),$O2934,$M2934,DecLat,DecLong,1)</f>
        <v>-35.263956281776679</v>
      </c>
      <c r="AD2934" s="258">
        <f>1+ transit((J2000_Bas-1),$O2934,$M2934,DecLat,DecLong)/360 + (GMTOffset/24) + (IF(DST="Y", 1, 0)/24)</f>
        <v>1.5050989834838746</v>
      </c>
      <c r="AE2934" s="259">
        <f>DATE(2001,9,21)+(M2934/360)*365 - (360*((DecLong/360)- (GMTOffset/24) ))</f>
        <v>37346.952662037038</v>
      </c>
      <c r="AF2934" s="260">
        <f>IF(DecLat&gt;0,IF((90 - (DecLat-O2934))&gt;90, (90 - (O2934-DecLat)), (90 - (DecLat-O2934))),IF((90 + (DecLat-O2934))&gt;90, (90 + (O2934-DecLat)), (90 + (DecLat-O2934))))</f>
        <v>81.540277777777774</v>
      </c>
      <c r="AG2934" s="257">
        <f>angularseperation(MoonRA,MoonDec,$M2934,$O2934)</f>
        <v>79.924461995212653</v>
      </c>
      <c r="AH2934" s="261">
        <f ca="1">MIN(100,IF($O$5&gt;80,0+30*($AG2934/100),IF($O$5&gt;70,0+50*($AG2934/100),IF($O$5&gt;60,5+50*($AG2934/100),IF($O$5&gt;50,10+60*($AG2934/100),IF($O$5&gt;40,15+70*($AG2934/100),IF($O$5&gt;30,20+70*($AG2934/100),IF($O$5&gt;20,40+55*($AG2934/100),(80+(20-$O$5)+30*($AG2934/100))))))))))</f>
        <v>100</v>
      </c>
      <c r="AI2934" s="263"/>
      <c r="AJ2934" s="263"/>
      <c r="AK2934" s="263"/>
      <c r="AL2934" s="263"/>
      <c r="AM2934" s="264"/>
      <c r="AN2934" s="263"/>
      <c r="AO2934" s="263"/>
      <c r="AP2934" s="265"/>
      <c r="AQ2934" s="265">
        <v>7321</v>
      </c>
      <c r="AR2934" s="285">
        <v>39432</v>
      </c>
      <c r="AS2934" s="263"/>
      <c r="AT2934" s="263"/>
      <c r="AU2934" s="263"/>
      <c r="AV2934" s="264"/>
      <c r="AW2934" s="263"/>
      <c r="AX2934" s="263"/>
      <c r="AY2934" s="263"/>
      <c r="AZ2934" s="263"/>
      <c r="BA2934" s="263"/>
      <c r="BB2934" s="263"/>
      <c r="BC2934" s="263"/>
      <c r="BD2934" s="264"/>
      <c r="BE2934" s="263"/>
      <c r="BF2934" s="263"/>
      <c r="BG2934" s="263"/>
      <c r="BH2934" s="263"/>
      <c r="BI2934" s="263"/>
      <c r="BJ2934" s="404">
        <f>altaz(J2000_Bas,$O2934,$M2934,DecLat,DecLong,2)</f>
        <v>295.12720225828207</v>
      </c>
      <c r="BK2934" s="378" t="s">
        <v>2747</v>
      </c>
      <c r="BL2934" s="379">
        <f>IF((2*G2934)/60&lt;0.2,0.2,(2*G2934)/60)</f>
        <v>0.2</v>
      </c>
      <c r="BM2934" s="380">
        <f>MOD((50000+AD2934-$B$3+(0/24)),1)</f>
        <v>0.72046591318940045</v>
      </c>
      <c r="BN2934" s="381"/>
      <c r="BO2934" s="382">
        <v>2924</v>
      </c>
    </row>
    <row r="2935" spans="1:67" s="24" customFormat="1" ht="15" customHeight="1" x14ac:dyDescent="0.25">
      <c r="A2935" s="288" t="s">
        <v>2748</v>
      </c>
      <c r="B2935" s="241" t="str">
        <f>HYPERLINK(CONCATENATE($AT$3,BK2935,$AU$3),$AV$3)</f>
        <v>S</v>
      </c>
      <c r="C2935" s="242" t="str">
        <f>HYPERLINK(CONCATENATE($AT$4,BK2935,$AU$4,BL2935),$AV$4)</f>
        <v>A</v>
      </c>
      <c r="D2935" s="243" t="s">
        <v>5638</v>
      </c>
      <c r="E2935" s="244" t="s">
        <v>5337</v>
      </c>
      <c r="F2935" s="269" t="s">
        <v>3317</v>
      </c>
      <c r="G2935" s="270">
        <v>0.7</v>
      </c>
      <c r="H2935" s="283">
        <v>600</v>
      </c>
      <c r="I2935" s="246">
        <v>120</v>
      </c>
      <c r="J2935" s="246">
        <v>1</v>
      </c>
      <c r="K2935" s="247" t="s">
        <v>8613</v>
      </c>
      <c r="L2935" s="248">
        <v>125615</v>
      </c>
      <c r="M2935" s="249">
        <f>15*(LEFT(TEXT($L2935,"000000"),2)+(MID(TEXT($L2935,"000000"),3,2)/60)+(RIGHT(TEXT($L2935,"000000"),2)/3600))</f>
        <v>194.0625</v>
      </c>
      <c r="N2935" s="250">
        <v>565223</v>
      </c>
      <c r="O2935" s="251">
        <f>IF($N2935&gt;0,(LEFT(TEXT($N2935,"000000"),2)+(MID(TEXT($N2935,"000000"),3,2)/60)+(RIGHT(TEXT($N2935,"000000"),2)/3600)),-(MID(TEXT($N2935,"000000"),2,2)+(MID(TEXT($N2935,"000000"),4,2)/60)+(RIGHT(TEXT($N2935,"000000"),2)/3600)))</f>
        <v>56.873055555555553</v>
      </c>
      <c r="P2935" s="252" t="s">
        <v>37</v>
      </c>
      <c r="Q2935" s="253"/>
      <c r="R2935" s="247" t="s">
        <v>3293</v>
      </c>
      <c r="S2935" s="272" t="s">
        <v>3293</v>
      </c>
      <c r="T2935" s="273">
        <v>14</v>
      </c>
      <c r="U2935" s="274"/>
      <c r="V2935" s="280"/>
      <c r="W2935" s="244"/>
      <c r="X2935" s="244"/>
      <c r="Y2935" s="362"/>
      <c r="Z2935" s="257">
        <f>altaz(J2000_Bas,$O2935,$M2935,DecLat,DecLong,1)</f>
        <v>24.548645647224927</v>
      </c>
      <c r="AA2935" s="257">
        <f>altaz((J2000_Bas+(2*0.04167)),$O2935,$M2935,DecLat,DecLong,1)</f>
        <v>10.539839425664292</v>
      </c>
      <c r="AB2935" s="257">
        <f>altaz((J2000_Bas+(4*0.04167)),$O2935,$M2935,DecLat,DecLong,1)</f>
        <v>0.99125120664909527</v>
      </c>
      <c r="AC2935" s="257">
        <f>altaz((J2000_Bas+(6*0.04167)),$O2935,$M2935,DecLat,DecLong,1)</f>
        <v>-2.1072600993755155</v>
      </c>
      <c r="AD2935" s="258">
        <f>1+ transit((J2000_Bas-1),$O2935,$M2935,DecLat,DecLong)/360 + (GMTOffset/24) + (IF(DST="Y", 1, 0)/24)</f>
        <v>1.5319624067234578</v>
      </c>
      <c r="AE2935" s="259">
        <f>DATE(2001,9,21)+(M2935/360)*365 - (360*((DecLong/360)- (GMTOffset/24) ))</f>
        <v>37356.7578125</v>
      </c>
      <c r="AF2935" s="260">
        <f>IF(DecLat&gt;0,IF((90 - (DecLat-O2935))&gt;90, (90 - (O2935-DecLat)), (90 - (DecLat-O2935))),IF((90 + (DecLat-O2935))&gt;90, (90 + (O2935-DecLat)), (90 + (DecLat-O2935))))</f>
        <v>64.126944444444447</v>
      </c>
      <c r="AG2935" s="257">
        <f>angularseperation(MoonRA,MoonDec,$M2935,$O2935)</f>
        <v>95.938488323223098</v>
      </c>
      <c r="AH2935" s="261">
        <f ca="1">MIN(100,IF($O$5&gt;80,0+30*($AG2935/100),IF($O$5&gt;70,0+50*($AG2935/100),IF($O$5&gt;60,5+50*($AG2935/100),IF($O$5&gt;50,10+60*($AG2935/100),IF($O$5&gt;40,15+70*($AG2935/100),IF($O$5&gt;30,20+70*($AG2935/100),IF($O$5&gt;20,40+55*($AG2935/100),(80+(20-$O$5)+30*($AG2935/100))))))))))</f>
        <v>100</v>
      </c>
      <c r="AI2935" s="262"/>
      <c r="AJ2935" s="262"/>
      <c r="AK2935" s="262"/>
      <c r="AL2935" s="263"/>
      <c r="AM2935" s="264"/>
      <c r="AN2935" s="263"/>
      <c r="AO2935" s="263"/>
      <c r="AP2935" s="265"/>
      <c r="AQ2935" s="265">
        <v>8058</v>
      </c>
      <c r="AR2935" s="267">
        <v>44117</v>
      </c>
      <c r="AS2935" s="263"/>
      <c r="AT2935" s="263"/>
      <c r="AU2935" s="263"/>
      <c r="AV2935" s="264"/>
      <c r="AW2935" s="263"/>
      <c r="AX2935" s="263"/>
      <c r="AY2935" s="263"/>
      <c r="AZ2935" s="263"/>
      <c r="BA2935" s="263"/>
      <c r="BB2935" s="263"/>
      <c r="BC2935" s="263"/>
      <c r="BD2935" s="264"/>
      <c r="BE2935" s="263"/>
      <c r="BF2935" s="263"/>
      <c r="BG2935" s="263"/>
      <c r="BH2935" s="263"/>
      <c r="BI2935" s="263"/>
      <c r="BJ2935" s="404">
        <f>altaz(J2000_Bas,$O2935,$M2935,DecLat,DecLong,2)</f>
        <v>323.09724145571465</v>
      </c>
      <c r="BK2935" s="378" t="s">
        <v>2748</v>
      </c>
      <c r="BL2935" s="379">
        <f>IF((2*G2935)/60&lt;0.2,0.2,(2*G2935)/60)</f>
        <v>0.2</v>
      </c>
      <c r="BM2935" s="380">
        <f>MOD((50000+AD2935-$B$3+(0/24)),1)</f>
        <v>0.74732933643099386</v>
      </c>
      <c r="BN2935" s="381" t="s">
        <v>9281</v>
      </c>
      <c r="BO2935" s="382">
        <v>2925</v>
      </c>
    </row>
    <row r="2936" spans="1:67" s="24" customFormat="1" ht="15" customHeight="1" x14ac:dyDescent="0.25">
      <c r="A2936" s="287" t="s">
        <v>2749</v>
      </c>
      <c r="B2936" s="241" t="str">
        <f>HYPERLINK(CONCATENATE($AT$3,BK2936,$AU$3),$AV$3)</f>
        <v>S</v>
      </c>
      <c r="C2936" s="242" t="str">
        <f>HYPERLINK(CONCATENATE($AT$4,BK2936,$AU$4,BL2936),$AV$4)</f>
        <v>A</v>
      </c>
      <c r="D2936" s="243" t="s">
        <v>5638</v>
      </c>
      <c r="E2936" s="244" t="s">
        <v>5192</v>
      </c>
      <c r="F2936" s="269" t="s">
        <v>8670</v>
      </c>
      <c r="G2936" s="273">
        <v>3.5</v>
      </c>
      <c r="H2936" s="283">
        <v>50</v>
      </c>
      <c r="I2936" s="246">
        <v>52</v>
      </c>
      <c r="J2936" s="246">
        <v>2</v>
      </c>
      <c r="K2936" s="247" t="s">
        <v>6394</v>
      </c>
      <c r="L2936" s="248">
        <v>130208</v>
      </c>
      <c r="M2936" s="249">
        <f>15*(LEFT(TEXT($L2936,"000000"),2)+(MID(TEXT($L2936,"000000"),3,2)/60)+(RIGHT(TEXT($L2936,"000000"),2)/3600))</f>
        <v>195.53333333333333</v>
      </c>
      <c r="N2936" s="250">
        <v>584155</v>
      </c>
      <c r="O2936" s="251">
        <f>IF($N2936&gt;0,(LEFT(TEXT($N2936,"000000"),2)+(MID(TEXT($N2936,"000000"),3,2)/60)+(RIGHT(TEXT($N2936,"000000"),2)/3600)),-(MID(TEXT($N2936,"000000"),2,2)+(MID(TEXT($N2936,"000000"),4,2)/60)+(RIGHT(TEXT($N2936,"000000"),2)/3600)))</f>
        <v>58.698611111111106</v>
      </c>
      <c r="P2936" s="252" t="s">
        <v>37</v>
      </c>
      <c r="Q2936" s="253"/>
      <c r="R2936" s="277" t="s">
        <v>3293</v>
      </c>
      <c r="S2936" s="272" t="s">
        <v>3293</v>
      </c>
      <c r="T2936" s="273">
        <v>14</v>
      </c>
      <c r="U2936" s="274"/>
      <c r="V2936" s="280">
        <v>90</v>
      </c>
      <c r="W2936" s="244"/>
      <c r="X2936" s="244"/>
      <c r="Y2936" s="362"/>
      <c r="Z2936" s="257">
        <f>altaz(J2000_Bas,$O2936,$M2936,DecLat,DecLong,1)</f>
        <v>25.875990292070952</v>
      </c>
      <c r="AA2936" s="257">
        <f>altaz((J2000_Bas+(2*0.04167)),$O2936,$M2936,DecLat,DecLong,1)</f>
        <v>12.338598233586854</v>
      </c>
      <c r="AB2936" s="257">
        <f>altaz((J2000_Bas+(4*0.04167)),$O2936,$M2936,DecLat,DecLong,1)</f>
        <v>2.9776335123968187</v>
      </c>
      <c r="AC2936" s="257">
        <f>altaz((J2000_Bas+(6*0.04167)),$O2936,$M2936,DecLat,DecLong,1)</f>
        <v>-0.29935784772543372</v>
      </c>
      <c r="AD2936" s="258">
        <f>1+ transit((J2000_Bas-1),$O2936,$M2936,DecLat,DecLong)/360 + (GMTOffset/24) + (IF(DST="Y", 1, 0)/24)</f>
        <v>1.5360480544630415</v>
      </c>
      <c r="AE2936" s="259">
        <f>DATE(2001,9,21)+(M2936/360)*365 - (360*((DecLong/360)- (GMTOffset/24) ))</f>
        <v>37358.249074074076</v>
      </c>
      <c r="AF2936" s="260">
        <f>IF(DecLat&gt;0,IF((90 - (DecLat-O2936))&gt;90, (90 - (O2936-DecLat)), (90 - (DecLat-O2936))),IF((90 + (DecLat-O2936))&gt;90, (90 + (O2936-DecLat)), (90 + (DecLat-O2936))))</f>
        <v>62.301388888888894</v>
      </c>
      <c r="AG2936" s="257">
        <f>angularseperation(MoonRA,MoonDec,$M2936,$O2936)</f>
        <v>96.617334564058709</v>
      </c>
      <c r="AH2936" s="261">
        <f ca="1">MIN(100,IF($O$5&gt;80,0+30*($AG2936/100),IF($O$5&gt;70,0+50*($AG2936/100),IF($O$5&gt;60,5+50*($AG2936/100),IF($O$5&gt;50,10+60*($AG2936/100),IF($O$5&gt;40,15+70*($AG2936/100),IF($O$5&gt;30,20+70*($AG2936/100),IF($O$5&gt;20,40+55*($AG2936/100),(80+(20-$O$5)+30*($AG2936/100))))))))))</f>
        <v>100</v>
      </c>
      <c r="AI2936" s="263"/>
      <c r="AJ2936" s="263"/>
      <c r="AK2936" s="263"/>
      <c r="AL2936" s="263"/>
      <c r="AM2936" s="264"/>
      <c r="AN2936" s="263"/>
      <c r="AO2936" s="263"/>
      <c r="AP2936" s="265"/>
      <c r="AQ2936" s="265">
        <v>8146</v>
      </c>
      <c r="AR2936" s="285">
        <v>44961</v>
      </c>
      <c r="AS2936" s="263"/>
      <c r="AT2936" s="263"/>
      <c r="AU2936" s="263"/>
      <c r="AV2936" s="264"/>
      <c r="AW2936" s="263"/>
      <c r="AX2936" s="263"/>
      <c r="AY2936" s="263"/>
      <c r="AZ2936" s="263"/>
      <c r="BA2936" s="263"/>
      <c r="BB2936" s="263"/>
      <c r="BC2936" s="263"/>
      <c r="BD2936" s="264"/>
      <c r="BE2936" s="263"/>
      <c r="BF2936" s="263"/>
      <c r="BG2936" s="263"/>
      <c r="BH2936" s="263"/>
      <c r="BI2936" s="263"/>
      <c r="BJ2936" s="404">
        <f>altaz(J2000_Bas,$O2936,$M2936,DecLat,DecLong,2)</f>
        <v>324.73117727724991</v>
      </c>
      <c r="BK2936" s="378" t="s">
        <v>2749</v>
      </c>
      <c r="BL2936" s="379">
        <f>IF((2*G2936)/60&lt;0.2,0.2,(2*G2936)/60)</f>
        <v>0.2</v>
      </c>
      <c r="BM2936" s="380">
        <f>MOD((50000+AD2936-$B$3+(0/24)),1)</f>
        <v>0.75141498416633112</v>
      </c>
      <c r="BN2936" s="381"/>
      <c r="BO2936" s="382">
        <v>2926</v>
      </c>
    </row>
    <row r="2937" spans="1:67" s="24" customFormat="1" ht="15" customHeight="1" x14ac:dyDescent="0.25">
      <c r="A2937" s="287" t="s">
        <v>3178</v>
      </c>
      <c r="B2937" s="241" t="str">
        <f>HYPERLINK(CONCATENATE($AT$3,BK2937,$AU$3),$AV$3)</f>
        <v>S</v>
      </c>
      <c r="C2937" s="242" t="str">
        <f>HYPERLINK(CONCATENATE($AT$4,BK2937,$AU$4,BL2937),$AV$4)</f>
        <v>A</v>
      </c>
      <c r="D2937" s="243" t="s">
        <v>5638</v>
      </c>
      <c r="E2937" s="244" t="s">
        <v>5192</v>
      </c>
      <c r="F2937" s="269" t="s">
        <v>8663</v>
      </c>
      <c r="G2937" s="273">
        <v>2.5</v>
      </c>
      <c r="H2937" s="283">
        <v>140</v>
      </c>
      <c r="I2937" s="246">
        <v>100</v>
      </c>
      <c r="J2937" s="246">
        <v>2</v>
      </c>
      <c r="K2937" s="247" t="s">
        <v>6396</v>
      </c>
      <c r="L2937" s="248">
        <v>130315</v>
      </c>
      <c r="M2937" s="249">
        <f>15*(LEFT(TEXT($L2937,"000000"),2)+(MID(TEXT($L2937,"000000"),3,2)/60)+(RIGHT(TEXT($L2937,"000000"),2)/3600))</f>
        <v>195.8125</v>
      </c>
      <c r="N2937" s="250">
        <v>74806</v>
      </c>
      <c r="O2937" s="251">
        <f>IF($N2937&gt;0,(LEFT(TEXT($N2937,"000000"),2)+(MID(TEXT($N2937,"000000"),3,2)/60)+(RIGHT(TEXT($N2937,"000000"),2)/3600)),-(MID(TEXT($N2937,"000000"),2,2)+(MID(TEXT($N2937,"000000"),4,2)/60)+(RIGHT(TEXT($N2937,"000000"),2)/3600)))</f>
        <v>7.8016666666666667</v>
      </c>
      <c r="P2937" s="252" t="s">
        <v>61</v>
      </c>
      <c r="Q2937" s="253"/>
      <c r="R2937" s="277" t="s">
        <v>3293</v>
      </c>
      <c r="S2937" s="272" t="s">
        <v>3293</v>
      </c>
      <c r="T2937" s="273">
        <v>14.5</v>
      </c>
      <c r="U2937" s="274"/>
      <c r="V2937" s="280">
        <v>25</v>
      </c>
      <c r="W2937" s="244"/>
      <c r="X2937" s="244"/>
      <c r="Y2937" s="362"/>
      <c r="Z2937" s="257">
        <f>altaz(J2000_Bas,$O2937,$M2937,DecLat,DecLong,1)</f>
        <v>3.8471786079044112</v>
      </c>
      <c r="AA2937" s="257">
        <f>altaz((J2000_Bas+(2*0.04167)),$O2937,$M2937,DecLat,DecLong,1)</f>
        <v>-20.99116138096343</v>
      </c>
      <c r="AB2937" s="257">
        <f>altaz((J2000_Bas+(4*0.04167)),$O2937,$M2937,DecLat,DecLong,1)</f>
        <v>-41.927652814005292</v>
      </c>
      <c r="AC2937" s="257">
        <f>altaz((J2000_Bas+(6*0.04167)),$O2937,$M2937,DecLat,DecLong,1)</f>
        <v>-51.196004459920275</v>
      </c>
      <c r="AD2937" s="258">
        <f>1+ transit((J2000_Bas-1),$O2937,$M2937,DecLat,DecLong)/360 + (GMTOffset/24) + (IF(DST="Y", 1, 0)/24)</f>
        <v>1.5368235173484581</v>
      </c>
      <c r="AE2937" s="259">
        <f>DATE(2001,9,21)+(M2937/360)*365 - (360*((DecLong/360)- (GMTOffset/24) ))</f>
        <v>37358.532118055555</v>
      </c>
      <c r="AF2937" s="260">
        <f>IF(DecLat&gt;0,IF((90 - (DecLat-O2937))&gt;90, (90 - (O2937-DecLat)), (90 - (DecLat-O2937))),IF((90 + (DecLat-O2937))&gt;90, (90 + (O2937-DecLat)), (90 + (DecLat-O2937))))</f>
        <v>66.801666666666662</v>
      </c>
      <c r="AG2937" s="257">
        <f>angularseperation(MoonRA,MoonDec,$M2937,$O2937)</f>
        <v>62.369924443995949</v>
      </c>
      <c r="AH2937" s="261">
        <f ca="1">MIN(100,IF($O$5&gt;80,0+30*($AG2937/100),IF($O$5&gt;70,0+50*($AG2937/100),IF($O$5&gt;60,5+50*($AG2937/100),IF($O$5&gt;50,10+60*($AG2937/100),IF($O$5&gt;40,15+70*($AG2937/100),IF($O$5&gt;30,20+70*($AG2937/100),IF($O$5&gt;20,40+55*($AG2937/100),(80+(20-$O$5)+30*($AG2937/100))))))))))</f>
        <v>100</v>
      </c>
      <c r="AI2937" s="263"/>
      <c r="AJ2937" s="263"/>
      <c r="AK2937" s="263"/>
      <c r="AL2937" s="263"/>
      <c r="AM2937" s="264"/>
      <c r="AN2937" s="263"/>
      <c r="AO2937" s="263"/>
      <c r="AP2937" s="265"/>
      <c r="AQ2937" s="265">
        <v>8155</v>
      </c>
      <c r="AR2937" s="285">
        <v>45079</v>
      </c>
      <c r="AS2937" s="263"/>
      <c r="AT2937" s="263"/>
      <c r="AU2937" s="263"/>
      <c r="AV2937" s="264"/>
      <c r="AW2937" s="263"/>
      <c r="AX2937" s="263"/>
      <c r="AY2937" s="263"/>
      <c r="AZ2937" s="263"/>
      <c r="BA2937" s="263"/>
      <c r="BB2937" s="263"/>
      <c r="BC2937" s="263"/>
      <c r="BD2937" s="264"/>
      <c r="BE2937" s="263"/>
      <c r="BF2937" s="263"/>
      <c r="BG2937" s="263"/>
      <c r="BH2937" s="263"/>
      <c r="BI2937" s="263"/>
      <c r="BJ2937" s="404">
        <f>altaz(J2000_Bas,$O2937,$M2937,DecLat,DecLong,2)</f>
        <v>276.79489646650285</v>
      </c>
      <c r="BK2937" s="378" t="s">
        <v>3178</v>
      </c>
      <c r="BL2937" s="379">
        <f>IF((2*G2937)/60&lt;0.2,0.2,(2*G2937)/60)</f>
        <v>0.2</v>
      </c>
      <c r="BM2937" s="380">
        <f>MOD((50000+AD2937-$B$3+(0/24)),1)</f>
        <v>0.75219044705590932</v>
      </c>
      <c r="BN2937" s="381"/>
      <c r="BO2937" s="382">
        <v>2927</v>
      </c>
    </row>
    <row r="2938" spans="1:67" s="24" customFormat="1" ht="15" customHeight="1" x14ac:dyDescent="0.25">
      <c r="A2938" s="287" t="s">
        <v>3245</v>
      </c>
      <c r="B2938" s="241" t="str">
        <f>HYPERLINK(CONCATENATE($AT$3,BK2938,$AU$3),$AV$3)</f>
        <v>S</v>
      </c>
      <c r="C2938" s="242" t="str">
        <f>HYPERLINK(CONCATENATE($AT$4,BK2938,$AU$4,BL2938),$AV$4)</f>
        <v>A</v>
      </c>
      <c r="D2938" s="243" t="s">
        <v>5638</v>
      </c>
      <c r="E2938" s="244" t="s">
        <v>13</v>
      </c>
      <c r="F2938" s="269"/>
      <c r="G2938" s="273">
        <v>3.5</v>
      </c>
      <c r="H2938" s="283">
        <v>16</v>
      </c>
      <c r="I2938" s="246">
        <v>18</v>
      </c>
      <c r="J2938" s="246">
        <v>1</v>
      </c>
      <c r="K2938" s="247" t="s">
        <v>6397</v>
      </c>
      <c r="L2938" s="248">
        <v>130625</v>
      </c>
      <c r="M2938" s="249">
        <f>15*(LEFT(TEXT($L2938,"000000"),2)+(MID(TEXT($L2938,"000000"),3,2)/60)+(RIGHT(TEXT($L2938,"000000"),2)/3600))</f>
        <v>196.60416666666666</v>
      </c>
      <c r="N2938" s="250">
        <v>674225</v>
      </c>
      <c r="O2938" s="251">
        <f>IF($N2938&gt;0,(LEFT(TEXT($N2938,"000000"),2)+(MID(TEXT($N2938,"000000"),3,2)/60)+(RIGHT(TEXT($N2938,"000000"),2)/3600)),-(MID(TEXT($N2938,"000000"),2,2)+(MID(TEXT($N2938,"000000"),4,2)/60)+(RIGHT(TEXT($N2938,"000000"),2)/3600)))</f>
        <v>67.706944444444446</v>
      </c>
      <c r="P2938" s="252" t="s">
        <v>37</v>
      </c>
      <c r="Q2938" s="253"/>
      <c r="R2938" s="277" t="s">
        <v>3293</v>
      </c>
      <c r="S2938" s="272" t="s">
        <v>3293</v>
      </c>
      <c r="T2938" s="273">
        <v>13</v>
      </c>
      <c r="U2938" s="274"/>
      <c r="V2938" s="280"/>
      <c r="W2938" s="244"/>
      <c r="X2938" s="244"/>
      <c r="Y2938" s="362"/>
      <c r="Z2938" s="257">
        <f>altaz(J2000_Bas,$O2938,$M2938,DecLat,DecLong,1)</f>
        <v>28.682506950777096</v>
      </c>
      <c r="AA2938" s="257">
        <f>altaz((J2000_Bas+(2*0.04167)),$O2938,$M2938,DecLat,DecLong,1)</f>
        <v>18.45192230720459</v>
      </c>
      <c r="AB2938" s="257">
        <f>altaz((J2000_Bas+(4*0.04167)),$O2938,$M2938,DecLat,DecLong,1)</f>
        <v>11.313611642354426</v>
      </c>
      <c r="AC2938" s="257">
        <f>altaz((J2000_Bas+(6*0.04167)),$O2938,$M2938,DecLat,DecLong,1)</f>
        <v>8.7072919072705268</v>
      </c>
      <c r="AD2938" s="258">
        <f>1+ transit((J2000_Bas-1),$O2938,$M2938,DecLat,DecLong)/360 + (GMTOffset/24) + (IF(DST="Y", 1, 0)/24)</f>
        <v>1.5390225912026247</v>
      </c>
      <c r="AE2938" s="259">
        <f>DATE(2001,9,21)+(M2938/360)*365 - (360*((DecLong/360)- (GMTOffset/24) ))</f>
        <v>37359.334780092591</v>
      </c>
      <c r="AF2938" s="260">
        <f>IF(DecLat&gt;0,IF((90 - (DecLat-O2938))&gt;90, (90 - (O2938-DecLat)), (90 - (DecLat-O2938))),IF((90 + (DecLat-O2938))&gt;90, (90 + (O2938-DecLat)), (90 + (DecLat-O2938))))</f>
        <v>53.293055555555554</v>
      </c>
      <c r="AG2938" s="257">
        <f>angularseperation(MoonRA,MoonDec,$M2938,$O2938)</f>
        <v>102.4921331271325</v>
      </c>
      <c r="AH2938" s="261">
        <f ca="1">MIN(100,IF($O$5&gt;80,0+30*($AG2938/100),IF($O$5&gt;70,0+50*($AG2938/100),IF($O$5&gt;60,5+50*($AG2938/100),IF($O$5&gt;50,10+60*($AG2938/100),IF($O$5&gt;40,15+70*($AG2938/100),IF($O$5&gt;30,20+70*($AG2938/100),IF($O$5&gt;20,40+55*($AG2938/100),(80+(20-$O$5)+30*($AG2938/100))))))))))</f>
        <v>100</v>
      </c>
      <c r="AI2938" s="263"/>
      <c r="AJ2938" s="263"/>
      <c r="AK2938" s="263"/>
      <c r="AL2938" s="263"/>
      <c r="AM2938" s="264"/>
      <c r="AN2938" s="263"/>
      <c r="AO2938" s="263"/>
      <c r="AP2938" s="265"/>
      <c r="AQ2938" s="265">
        <v>8201</v>
      </c>
      <c r="AR2938" s="285">
        <v>45372</v>
      </c>
      <c r="AS2938" s="263"/>
      <c r="AT2938" s="263"/>
      <c r="AU2938" s="263"/>
      <c r="AV2938" s="264"/>
      <c r="AW2938" s="263"/>
      <c r="AX2938" s="263"/>
      <c r="AY2938" s="263"/>
      <c r="AZ2938" s="263"/>
      <c r="BA2938" s="263"/>
      <c r="BB2938" s="263"/>
      <c r="BC2938" s="263"/>
      <c r="BD2938" s="264"/>
      <c r="BE2938" s="263"/>
      <c r="BF2938" s="263"/>
      <c r="BG2938" s="263"/>
      <c r="BH2938" s="263"/>
      <c r="BI2938" s="263"/>
      <c r="BJ2938" s="404">
        <f>altaz(J2000_Bas,$O2938,$M2938,DecLat,DecLong,2)</f>
        <v>334.38135639541576</v>
      </c>
      <c r="BK2938" s="378" t="s">
        <v>3245</v>
      </c>
      <c r="BL2938" s="379">
        <f>IF((2*G2938)/60&lt;0.2,0.2,(2*G2938)/60)</f>
        <v>0.2</v>
      </c>
      <c r="BM2938" s="380">
        <f>MOD((50000+AD2938-$B$3+(0/24)),1)</f>
        <v>0.75438952090917155</v>
      </c>
      <c r="BN2938" s="381"/>
      <c r="BO2938" s="382">
        <v>2928</v>
      </c>
    </row>
    <row r="2939" spans="1:67" s="24" customFormat="1" ht="15" customHeight="1" x14ac:dyDescent="0.25">
      <c r="A2939" s="288" t="s">
        <v>2750</v>
      </c>
      <c r="B2939" s="241" t="str">
        <f>HYPERLINK(CONCATENATE($AT$3,BK2939,$AU$3),$AV$3)</f>
        <v>S</v>
      </c>
      <c r="C2939" s="242" t="str">
        <f>HYPERLINK(CONCATENATE($AT$4,BK2939,$AU$4,BL2939),$AV$4)</f>
        <v>A</v>
      </c>
      <c r="D2939" s="243" t="s">
        <v>5638</v>
      </c>
      <c r="E2939" s="244" t="s">
        <v>3259</v>
      </c>
      <c r="F2939" s="269"/>
      <c r="G2939" s="273">
        <v>2</v>
      </c>
      <c r="H2939" s="283">
        <v>50</v>
      </c>
      <c r="I2939" s="246">
        <v>30</v>
      </c>
      <c r="J2939" s="246">
        <v>2</v>
      </c>
      <c r="K2939" s="247" t="s">
        <v>5324</v>
      </c>
      <c r="L2939" s="248">
        <v>131318</v>
      </c>
      <c r="M2939" s="249">
        <f>15*(LEFT(TEXT($L2939,"000000"),2)+(MID(TEXT($L2939,"000000"),3,2)/60)+(RIGHT(TEXT($L2939,"000000"),2)/3600))</f>
        <v>198.32500000000002</v>
      </c>
      <c r="N2939" s="250">
        <v>361300</v>
      </c>
      <c r="O2939" s="251">
        <f>IF($N2939&gt;0,(LEFT(TEXT($N2939,"000000"),2)+(MID(TEXT($N2939,"000000"),3,2)/60)+(RIGHT(TEXT($N2939,"000000"),2)/3600)),-(MID(TEXT($N2939,"000000"),2,2)+(MID(TEXT($N2939,"000000"),4,2)/60)+(RIGHT(TEXT($N2939,"000000"),2)/3600)))</f>
        <v>36.216666666666669</v>
      </c>
      <c r="P2939" s="252" t="s">
        <v>242</v>
      </c>
      <c r="Q2939" s="253"/>
      <c r="R2939" s="247" t="s">
        <v>3378</v>
      </c>
      <c r="S2939" s="272" t="s">
        <v>3293</v>
      </c>
      <c r="T2939" s="273">
        <v>13</v>
      </c>
      <c r="U2939" s="274"/>
      <c r="V2939" s="280"/>
      <c r="W2939" s="244"/>
      <c r="X2939" s="244"/>
      <c r="Y2939" s="362"/>
      <c r="Z2939" s="257">
        <f>altaz(J2000_Bas,$O2939,$M2939,DecLat,DecLong,1)</f>
        <v>19.410158562485353</v>
      </c>
      <c r="AA2939" s="257">
        <f>altaz((J2000_Bas+(2*0.04167)),$O2939,$M2939,DecLat,DecLong,1)</f>
        <v>-1.0211614667269993</v>
      </c>
      <c r="AB2939" s="257">
        <f>altaz((J2000_Bas+(4*0.04167)),$O2939,$M2939,DecLat,DecLong,1)</f>
        <v>-16.330771296051978</v>
      </c>
      <c r="AC2939" s="257">
        <f>altaz((J2000_Bas+(6*0.04167)),$O2939,$M2939,DecLat,DecLong,1)</f>
        <v>-22.755325867452136</v>
      </c>
      <c r="AD2939" s="258">
        <f>1+ transit((J2000_Bas-1),$O2939,$M2939,DecLat,DecLong)/360 + (GMTOffset/24) + (IF(DST="Y", 1, 0)/24)</f>
        <v>1.5438026833172083</v>
      </c>
      <c r="AE2939" s="259">
        <f>DATE(2001,9,21)+(M2939/360)*365 - (360*((DecLong/360)- (GMTOffset/24) ))</f>
        <v>37361.079513888886</v>
      </c>
      <c r="AF2939" s="260">
        <f>IF(DecLat&gt;0,IF((90 - (DecLat-O2939))&gt;90, (90 - (O2939-DecLat)), (90 - (DecLat-O2939))),IF((90 + (DecLat-O2939))&gt;90, (90 + (O2939-DecLat)), (90 + (DecLat-O2939))))</f>
        <v>84.783333333333331</v>
      </c>
      <c r="AG2939" s="257">
        <f>angularseperation(MoonRA,MoonDec,$M2939,$O2939)</f>
        <v>79.405830911971933</v>
      </c>
      <c r="AH2939" s="261">
        <f ca="1">MIN(100,IF($O$5&gt;80,0+30*($AG2939/100),IF($O$5&gt;70,0+50*($AG2939/100),IF($O$5&gt;60,5+50*($AG2939/100),IF($O$5&gt;50,10+60*($AG2939/100),IF($O$5&gt;40,15+70*($AG2939/100),IF($O$5&gt;30,20+70*($AG2939/100),IF($O$5&gt;20,40+55*($AG2939/100),(80+(20-$O$5)+30*($AG2939/100))))))))))</f>
        <v>100</v>
      </c>
      <c r="AI2939" s="262"/>
      <c r="AJ2939" s="262"/>
      <c r="AK2939" s="262"/>
      <c r="AL2939" s="263"/>
      <c r="AM2939" s="264"/>
      <c r="AN2939" s="263"/>
      <c r="AO2939" s="263"/>
      <c r="AP2939" s="265"/>
      <c r="AQ2939" s="265">
        <v>8303</v>
      </c>
      <c r="AR2939" s="267">
        <v>45927</v>
      </c>
      <c r="AS2939" s="263"/>
      <c r="AT2939" s="263"/>
      <c r="AU2939" s="263"/>
      <c r="AV2939" s="264"/>
      <c r="AW2939" s="263"/>
      <c r="AX2939" s="263"/>
      <c r="AY2939" s="263"/>
      <c r="AZ2939" s="263"/>
      <c r="BA2939" s="263"/>
      <c r="BB2939" s="263"/>
      <c r="BC2939" s="263"/>
      <c r="BD2939" s="264"/>
      <c r="BE2939" s="263"/>
      <c r="BF2939" s="263"/>
      <c r="BG2939" s="263"/>
      <c r="BH2939" s="263"/>
      <c r="BI2939" s="263"/>
      <c r="BJ2939" s="404">
        <f>altaz(J2000_Bas,$O2939,$M2939,DecLat,DecLong,2)</f>
        <v>301.27295180998215</v>
      </c>
      <c r="BK2939" s="378" t="s">
        <v>2750</v>
      </c>
      <c r="BL2939" s="379">
        <f>IF((2*G2939)/60&lt;0.2,0.2,(2*G2939)/60)</f>
        <v>0.2</v>
      </c>
      <c r="BM2939" s="380">
        <f>MOD((50000+AD2939-$B$3+(0/24)),1)</f>
        <v>0.75916961301845731</v>
      </c>
      <c r="BN2939" s="381"/>
      <c r="BO2939" s="382">
        <v>2929</v>
      </c>
    </row>
    <row r="2940" spans="1:67" s="24" customFormat="1" ht="15" customHeight="1" x14ac:dyDescent="0.25">
      <c r="A2940" s="288" t="s">
        <v>2751</v>
      </c>
      <c r="B2940" s="241" t="str">
        <f>HYPERLINK(CONCATENATE($AT$3,BK2940,$AU$3),$AV$3)</f>
        <v>S</v>
      </c>
      <c r="C2940" s="242" t="str">
        <f>HYPERLINK(CONCATENATE($AT$4,BK2940,$AU$4,BL2940),$AV$4)</f>
        <v>A</v>
      </c>
      <c r="D2940" s="243" t="s">
        <v>5638</v>
      </c>
      <c r="E2940" s="244" t="s">
        <v>5337</v>
      </c>
      <c r="F2940" s="269" t="s">
        <v>3317</v>
      </c>
      <c r="G2940" s="270">
        <v>0.4</v>
      </c>
      <c r="H2940" s="283">
        <v>500</v>
      </c>
      <c r="I2940" s="246">
        <v>60</v>
      </c>
      <c r="J2940" s="246">
        <v>1</v>
      </c>
      <c r="K2940" s="247" t="s">
        <v>8448</v>
      </c>
      <c r="L2940" s="248">
        <v>134442</v>
      </c>
      <c r="M2940" s="249">
        <f>15*(LEFT(TEXT($L2940,"000000"),2)+(MID(TEXT($L2940,"000000"),3,2)/60)+(RIGHT(TEXT($L2940,"000000"),2)/3600))</f>
        <v>206.17499999999998</v>
      </c>
      <c r="N2940" s="250">
        <v>555311</v>
      </c>
      <c r="O2940" s="251">
        <f>IF($N2940&gt;0,(LEFT(TEXT($N2940,"000000"),2)+(MID(TEXT($N2940,"000000"),3,2)/60)+(RIGHT(TEXT($N2940,"000000"),2)/3600)),-(MID(TEXT($N2940,"000000"),2,2)+(MID(TEXT($N2940,"000000"),4,2)/60)+(RIGHT(TEXT($N2940,"000000"),2)/3600)))</f>
        <v>55.886388888888888</v>
      </c>
      <c r="P2940" s="252" t="s">
        <v>37</v>
      </c>
      <c r="Q2940" s="253"/>
      <c r="R2940" s="247" t="s">
        <v>3293</v>
      </c>
      <c r="S2940" s="272" t="s">
        <v>3293</v>
      </c>
      <c r="T2940" s="273">
        <v>14.9</v>
      </c>
      <c r="U2940" s="274"/>
      <c r="V2940" s="280"/>
      <c r="W2940" s="244"/>
      <c r="X2940" s="244"/>
      <c r="Y2940" s="362"/>
      <c r="Z2940" s="257">
        <f>altaz(J2000_Bas,$O2940,$M2940,DecLat,DecLong,1)</f>
        <v>30.751514190082993</v>
      </c>
      <c r="AA2940" s="257">
        <f>altaz((J2000_Bas+(2*0.04167)),$O2940,$M2940,DecLat,DecLong,1)</f>
        <v>15.229577618412728</v>
      </c>
      <c r="AB2940" s="257">
        <f>altaz((J2000_Bas+(4*0.04167)),$O2940,$M2940,DecLat,DecLong,1)</f>
        <v>3.3348442712184454</v>
      </c>
      <c r="AC2940" s="257">
        <f>altaz((J2000_Bas+(6*0.04167)),$O2940,$M2940,DecLat,DecLong,1)</f>
        <v>-2.7013833541339509</v>
      </c>
      <c r="AD2940" s="258">
        <f>1+ transit((J2000_Bas-1),$O2940,$M2940,DecLat,DecLong)/360 + (GMTOffset/24) + (IF(DST="Y", 1, 0)/24)</f>
        <v>1.5656082366922079</v>
      </c>
      <c r="AE2940" s="259">
        <f>DATE(2001,9,21)+(M2940/360)*365 - (360*((DecLong/360)- (GMTOffset/24) ))</f>
        <v>37369.038541666669</v>
      </c>
      <c r="AF2940" s="260">
        <f>IF(DecLat&gt;0,IF((90 - (DecLat-O2940))&gt;90, (90 - (O2940-DecLat)), (90 - (DecLat-O2940))),IF((90 + (DecLat-O2940))&gt;90, (90 + (O2940-DecLat)), (90 + (DecLat-O2940))))</f>
        <v>65.113611111111112</v>
      </c>
      <c r="AG2940" s="257">
        <f>angularseperation(MoonRA,MoonDec,$M2940,$O2940)</f>
        <v>90.696820643540988</v>
      </c>
      <c r="AH2940" s="261">
        <f ca="1">MIN(100,IF($O$5&gt;80,0+30*($AG2940/100),IF($O$5&gt;70,0+50*($AG2940/100),IF($O$5&gt;60,5+50*($AG2940/100),IF($O$5&gt;50,10+60*($AG2940/100),IF($O$5&gt;40,15+70*($AG2940/100),IF($O$5&gt;30,20+70*($AG2940/100),IF($O$5&gt;20,40+55*($AG2940/100),(80+(20-$O$5)+30*($AG2940/100))))))))))</f>
        <v>100</v>
      </c>
      <c r="AI2940" s="262"/>
      <c r="AJ2940" s="262"/>
      <c r="AK2940" s="262"/>
      <c r="AL2940" s="263"/>
      <c r="AM2940" s="264"/>
      <c r="AN2940" s="263"/>
      <c r="AO2940" s="263"/>
      <c r="AP2940" s="265"/>
      <c r="AQ2940" s="265">
        <v>8696</v>
      </c>
      <c r="AR2940" s="267">
        <v>48711</v>
      </c>
      <c r="AS2940" s="263"/>
      <c r="AT2940" s="263"/>
      <c r="AU2940" s="263"/>
      <c r="AV2940" s="264"/>
      <c r="AW2940" s="263"/>
      <c r="AX2940" s="263"/>
      <c r="AY2940" s="263"/>
      <c r="AZ2940" s="263"/>
      <c r="BA2940" s="263"/>
      <c r="BB2940" s="263"/>
      <c r="BC2940" s="263"/>
      <c r="BD2940" s="264"/>
      <c r="BE2940" s="263"/>
      <c r="BF2940" s="263"/>
      <c r="BG2940" s="263"/>
      <c r="BH2940" s="263"/>
      <c r="BI2940" s="263"/>
      <c r="BJ2940" s="404">
        <f>altaz(J2000_Bas,$O2940,$M2940,DecLat,DecLong,2)</f>
        <v>320.03369544121756</v>
      </c>
      <c r="BK2940" s="378" t="s">
        <v>2751</v>
      </c>
      <c r="BL2940" s="379">
        <f>IF((2*G2940)/60&lt;0.2,0.2,(2*G2940)/60)</f>
        <v>0.2</v>
      </c>
      <c r="BM2940" s="380">
        <f>MOD((50000+AD2940-$B$3+(0/24)),1)</f>
        <v>0.78097516639536479</v>
      </c>
      <c r="BN2940" s="381" t="s">
        <v>9281</v>
      </c>
      <c r="BO2940" s="382">
        <v>2930</v>
      </c>
    </row>
    <row r="2941" spans="1:67" s="24" customFormat="1" ht="15" customHeight="1" x14ac:dyDescent="0.25">
      <c r="A2941" s="287" t="s">
        <v>2752</v>
      </c>
      <c r="B2941" s="241" t="str">
        <f>HYPERLINK(CONCATENATE($AT$3,BK2941,$AU$3),$AV$3)</f>
        <v>S</v>
      </c>
      <c r="C2941" s="242" t="str">
        <f>HYPERLINK(CONCATENATE($AT$4,BK2941,$AU$4,BL2941),$AV$4)</f>
        <v>A</v>
      </c>
      <c r="D2941" s="243" t="s">
        <v>5638</v>
      </c>
      <c r="E2941" s="244" t="s">
        <v>5192</v>
      </c>
      <c r="F2941" s="269" t="s">
        <v>8668</v>
      </c>
      <c r="G2941" s="273">
        <v>3.5</v>
      </c>
      <c r="H2941" s="283">
        <v>33</v>
      </c>
      <c r="I2941" s="246">
        <v>35</v>
      </c>
      <c r="J2941" s="246">
        <v>1</v>
      </c>
      <c r="K2941" s="247" t="s">
        <v>6398</v>
      </c>
      <c r="L2941" s="248">
        <v>141945</v>
      </c>
      <c r="M2941" s="249">
        <f>15*(LEFT(TEXT($L2941,"000000"),2)+(MID(TEXT($L2941,"000000"),3,2)/60)+(RIGHT(TEXT($L2941,"000000"),2)/3600))</f>
        <v>214.9375</v>
      </c>
      <c r="N2941" s="250">
        <v>92145</v>
      </c>
      <c r="O2941" s="251">
        <f>IF($N2941&gt;0,(LEFT(TEXT($N2941,"000000"),2)+(MID(TEXT($N2941,"000000"),3,2)/60)+(RIGHT(TEXT($N2941,"000000"),2)/3600)),-(MID(TEXT($N2941,"000000"),2,2)+(MID(TEXT($N2941,"000000"),4,2)/60)+(RIGHT(TEXT($N2941,"000000"),2)/3600)))</f>
        <v>9.3624999999999989</v>
      </c>
      <c r="P2941" s="252" t="s">
        <v>260</v>
      </c>
      <c r="Q2941" s="253"/>
      <c r="R2941" s="277" t="s">
        <v>3293</v>
      </c>
      <c r="S2941" s="272" t="s">
        <v>3293</v>
      </c>
      <c r="T2941" s="273">
        <v>14.2</v>
      </c>
      <c r="U2941" s="274"/>
      <c r="V2941" s="280">
        <v>85</v>
      </c>
      <c r="W2941" s="244"/>
      <c r="X2941" s="244"/>
      <c r="Y2941" s="362"/>
      <c r="Z2941" s="257">
        <f>altaz(J2000_Bas,$O2941,$M2941,DecLat,DecLong,1)</f>
        <v>20.991303749956938</v>
      </c>
      <c r="AA2941" s="257">
        <f>altaz((J2000_Bas+(2*0.04167)),$O2941,$M2941,DecLat,DecLong,1)</f>
        <v>-4.5746639373198139</v>
      </c>
      <c r="AB2941" s="257">
        <f>altaz((J2000_Bas+(4*0.04167)),$O2941,$M2941,DecLat,DecLong,1)</f>
        <v>-28.273390802101844</v>
      </c>
      <c r="AC2941" s="257">
        <f>altaz((J2000_Bas+(6*0.04167)),$O2941,$M2941,DecLat,DecLong,1)</f>
        <v>-45.840582201081439</v>
      </c>
      <c r="AD2941" s="258">
        <f>1+ transit((J2000_Bas-1),$O2941,$M2941,DecLat,DecLong)/360 + (GMTOffset/24) + (IF(DST="Y", 1, 0)/24)</f>
        <v>1.589948512035958</v>
      </c>
      <c r="AE2941" s="259">
        <f>DATE(2001,9,21)+(M2941/360)*365 - (360*((DecLong/360)- (GMTOffset/24) ))</f>
        <v>37377.922743055555</v>
      </c>
      <c r="AF2941" s="260">
        <f>IF(DecLat&gt;0,IF((90 - (DecLat-O2941))&gt;90, (90 - (O2941-DecLat)), (90 - (DecLat-O2941))),IF((90 + (DecLat-O2941))&gt;90, (90 + (O2941-DecLat)), (90 + (DecLat-O2941))))</f>
        <v>68.362499999999997</v>
      </c>
      <c r="AG2941" s="257">
        <f>angularseperation(MoonRA,MoonDec,$M2941,$O2941)</f>
        <v>49.337364686230814</v>
      </c>
      <c r="AH2941" s="261">
        <f ca="1">MIN(100,IF($O$5&gt;80,0+30*($AG2941/100),IF($O$5&gt;70,0+50*($AG2941/100),IF($O$5&gt;60,5+50*($AG2941/100),IF($O$5&gt;50,10+60*($AG2941/100),IF($O$5&gt;40,15+70*($AG2941/100),IF($O$5&gt;30,20+70*($AG2941/100),IF($O$5&gt;20,40+55*($AG2941/100),(80+(20-$O$5)+30*($AG2941/100))))))))))</f>
        <v>98.072269750019672</v>
      </c>
      <c r="AI2941" s="263"/>
      <c r="AJ2941" s="263"/>
      <c r="AK2941" s="263"/>
      <c r="AL2941" s="263"/>
      <c r="AM2941" s="264"/>
      <c r="AN2941" s="263"/>
      <c r="AO2941" s="263"/>
      <c r="AP2941" s="265"/>
      <c r="AQ2941" s="265">
        <v>9169</v>
      </c>
      <c r="AR2941" s="285">
        <v>51207</v>
      </c>
      <c r="AS2941" s="263"/>
      <c r="AT2941" s="263"/>
      <c r="AU2941" s="263"/>
      <c r="AV2941" s="264"/>
      <c r="AW2941" s="263"/>
      <c r="AX2941" s="263"/>
      <c r="AY2941" s="263"/>
      <c r="AZ2941" s="263"/>
      <c r="BA2941" s="263"/>
      <c r="BB2941" s="263"/>
      <c r="BC2941" s="263"/>
      <c r="BD2941" s="264"/>
      <c r="BE2941" s="263"/>
      <c r="BF2941" s="263"/>
      <c r="BG2941" s="263"/>
      <c r="BH2941" s="263"/>
      <c r="BI2941" s="263"/>
      <c r="BJ2941" s="404">
        <f>altaz(J2000_Bas,$O2941,$M2941,DecLat,DecLong,2)</f>
        <v>268.43761745949433</v>
      </c>
      <c r="BK2941" s="378" t="s">
        <v>2752</v>
      </c>
      <c r="BL2941" s="379">
        <f>IF((2*G2941)/60&lt;0.2,0.2,(2*G2941)/60)</f>
        <v>0.2</v>
      </c>
      <c r="BM2941" s="380">
        <f>MOD((50000+AD2941-$B$3+(0/24)),1)</f>
        <v>0.80531544174300507</v>
      </c>
      <c r="BN2941" s="381"/>
      <c r="BO2941" s="382">
        <v>2931</v>
      </c>
    </row>
    <row r="2942" spans="1:67" s="24" customFormat="1" ht="15" customHeight="1" x14ac:dyDescent="0.25">
      <c r="A2942" s="288" t="s">
        <v>2753</v>
      </c>
      <c r="B2942" s="241" t="str">
        <f>HYPERLINK(CONCATENATE($AT$3,BK2942,$AU$3),$AV$3)</f>
        <v>S</v>
      </c>
      <c r="C2942" s="242" t="str">
        <f>HYPERLINK(CONCATENATE($AT$4,BK2942,$AU$4,BL2942),$AV$4)</f>
        <v>A</v>
      </c>
      <c r="D2942" s="243" t="s">
        <v>5638</v>
      </c>
      <c r="E2942" s="244" t="s">
        <v>5192</v>
      </c>
      <c r="F2942" s="269" t="s">
        <v>8670</v>
      </c>
      <c r="G2942" s="273">
        <v>6</v>
      </c>
      <c r="H2942" s="283">
        <v>85</v>
      </c>
      <c r="I2942" s="246">
        <v>150</v>
      </c>
      <c r="J2942" s="246">
        <v>2</v>
      </c>
      <c r="K2942" s="247" t="s">
        <v>5325</v>
      </c>
      <c r="L2942" s="248">
        <v>142521</v>
      </c>
      <c r="M2942" s="249">
        <f>15*(LEFT(TEXT($L2942,"000000"),2)+(MID(TEXT($L2942,"000000"),3,2)/60)+(RIGHT(TEXT($L2942,"000000"),2)/3600))</f>
        <v>216.33749999999998</v>
      </c>
      <c r="N2942" s="250">
        <v>393219</v>
      </c>
      <c r="O2942" s="251">
        <f>IF($N2942&gt;0,(LEFT(TEXT($N2942,"000000"),2)+(MID(TEXT($N2942,"000000"),3,2)/60)+(RIGHT(TEXT($N2942,"000000"),2)/3600)),-(MID(TEXT($N2942,"000000"),2,2)+(MID(TEXT($N2942,"000000"),4,2)/60)+(RIGHT(TEXT($N2942,"000000"),2)/3600)))</f>
        <v>39.538611111111109</v>
      </c>
      <c r="P2942" s="252" t="s">
        <v>260</v>
      </c>
      <c r="Q2942" s="253"/>
      <c r="R2942" s="247" t="s">
        <v>3293</v>
      </c>
      <c r="S2942" s="272" t="s">
        <v>3293</v>
      </c>
      <c r="T2942" s="273">
        <v>13.5</v>
      </c>
      <c r="U2942" s="274"/>
      <c r="V2942" s="280">
        <v>90</v>
      </c>
      <c r="W2942" s="244"/>
      <c r="X2942" s="244"/>
      <c r="Y2942" s="362"/>
      <c r="Z2942" s="257">
        <f>altaz(J2000_Bas,$O2942,$M2942,DecLat,DecLong,1)</f>
        <v>33.889239079162017</v>
      </c>
      <c r="AA2942" s="257">
        <f>altaz((J2000_Bas+(2*0.04167)),$O2942,$M2942,DecLat,DecLong,1)</f>
        <v>12.470008880325178</v>
      </c>
      <c r="AB2942" s="257">
        <f>altaz((J2000_Bas+(4*0.04167)),$O2942,$M2942,DecLat,DecLong,1)</f>
        <v>-5.4842140789528484</v>
      </c>
      <c r="AC2942" s="257">
        <f>altaz((J2000_Bas+(6*0.04167)),$O2942,$M2942,DecLat,DecLong,1)</f>
        <v>-17.036719798966772</v>
      </c>
      <c r="AD2942" s="258">
        <f>1+ transit((J2000_Bas-1),$O2942,$M2942,DecLat,DecLong)/360 + (GMTOffset/24) + (IF(DST="Y", 1, 0)/24)</f>
        <v>1.5938374005359579</v>
      </c>
      <c r="AE2942" s="259">
        <f>DATE(2001,9,21)+(M2942/360)*365 - (360*((DecLong/360)- (GMTOffset/24) ))</f>
        <v>37379.342187499999</v>
      </c>
      <c r="AF2942" s="260">
        <f>IF(DecLat&gt;0,IF((90 - (DecLat-O2942))&gt;90, (90 - (O2942-DecLat)), (90 - (DecLat-O2942))),IF((90 + (DecLat-O2942))&gt;90, (90 + (O2942-DecLat)), (90 + (DecLat-O2942))))</f>
        <v>81.461388888888891</v>
      </c>
      <c r="AG2942" s="257">
        <f>angularseperation(MoonRA,MoonDec,$M2942,$O2942)</f>
        <v>73.343435603095088</v>
      </c>
      <c r="AH2942" s="261">
        <f ca="1">MIN(100,IF($O$5&gt;80,0+30*($AG2942/100),IF($O$5&gt;70,0+50*($AG2942/100),IF($O$5&gt;60,5+50*($AG2942/100),IF($O$5&gt;50,10+60*($AG2942/100),IF($O$5&gt;40,15+70*($AG2942/100),IF($O$5&gt;30,20+70*($AG2942/100),IF($O$5&gt;20,40+55*($AG2942/100),(80+(20-$O$5)+30*($AG2942/100))))))))))</f>
        <v>100</v>
      </c>
      <c r="AI2942" s="262"/>
      <c r="AJ2942" s="262"/>
      <c r="AK2942" s="262"/>
      <c r="AL2942" s="263"/>
      <c r="AM2942" s="264"/>
      <c r="AN2942" s="263"/>
      <c r="AO2942" s="263"/>
      <c r="AP2942" s="265"/>
      <c r="AQ2942" s="265">
        <v>9242</v>
      </c>
      <c r="AR2942" s="267">
        <v>51503</v>
      </c>
      <c r="AS2942" s="263"/>
      <c r="AT2942" s="263"/>
      <c r="AU2942" s="263"/>
      <c r="AV2942" s="264"/>
      <c r="AW2942" s="263"/>
      <c r="AX2942" s="263"/>
      <c r="AY2942" s="263"/>
      <c r="AZ2942" s="263"/>
      <c r="BA2942" s="263"/>
      <c r="BB2942" s="263"/>
      <c r="BC2942" s="263"/>
      <c r="BD2942" s="264"/>
      <c r="BE2942" s="263"/>
      <c r="BF2942" s="263"/>
      <c r="BG2942" s="263"/>
      <c r="BH2942" s="263"/>
      <c r="BI2942" s="263"/>
      <c r="BJ2942" s="404">
        <f>altaz(J2000_Bas,$O2942,$M2942,DecLat,DecLong,2)</f>
        <v>299.41074370629349</v>
      </c>
      <c r="BK2942" s="378" t="s">
        <v>2753</v>
      </c>
      <c r="BL2942" s="379">
        <f>IF((2*G2942)/60&lt;0.2,0.2,(2*G2942)/60)</f>
        <v>0.2</v>
      </c>
      <c r="BM2942" s="380">
        <f>MOD((50000+AD2942-$B$3+(0/24)),1)</f>
        <v>0.80920433023857186</v>
      </c>
      <c r="BN2942" s="381"/>
      <c r="BO2942" s="382">
        <v>2932</v>
      </c>
    </row>
    <row r="2943" spans="1:67" s="24" customFormat="1" ht="15" customHeight="1" x14ac:dyDescent="0.25">
      <c r="A2943" s="288" t="s">
        <v>2754</v>
      </c>
      <c r="B2943" s="241" t="str">
        <f>HYPERLINK(CONCATENATE($AT$3,BK2943,$AU$3),$AV$3)</f>
        <v>S</v>
      </c>
      <c r="C2943" s="242" t="str">
        <f>HYPERLINK(CONCATENATE($AT$4,BK2943,$AU$4,BL2943),$AV$4)</f>
        <v>A</v>
      </c>
      <c r="D2943" s="243" t="s">
        <v>5638</v>
      </c>
      <c r="E2943" s="244" t="s">
        <v>5337</v>
      </c>
      <c r="F2943" s="269" t="s">
        <v>3310</v>
      </c>
      <c r="G2943" s="270">
        <v>0.6</v>
      </c>
      <c r="H2943" s="283">
        <v>1200</v>
      </c>
      <c r="I2943" s="246">
        <v>230</v>
      </c>
      <c r="J2943" s="246">
        <v>1</v>
      </c>
      <c r="K2943" s="247" t="s">
        <v>8449</v>
      </c>
      <c r="L2943" s="248">
        <v>144454</v>
      </c>
      <c r="M2943" s="249">
        <f>15*(LEFT(TEXT($L2943,"000000"),2)+(MID(TEXT($L2943,"000000"),3,2)/60)+(RIGHT(TEXT($L2943,"000000"),2)/3600))</f>
        <v>221.22499999999999</v>
      </c>
      <c r="N2943" s="250">
        <v>512026</v>
      </c>
      <c r="O2943" s="251">
        <f>IF($N2943&gt;0,(LEFT(TEXT($N2943,"000000"),2)+(MID(TEXT($N2943,"000000"),3,2)/60)+(RIGHT(TEXT($N2943,"000000"),2)/3600)),-(MID(TEXT($N2943,"000000"),2,2)+(MID(TEXT($N2943,"000000"),4,2)/60)+(RIGHT(TEXT($N2943,"000000"),2)/3600)))</f>
        <v>51.340555555555561</v>
      </c>
      <c r="P2943" s="252" t="s">
        <v>260</v>
      </c>
      <c r="Q2943" s="253"/>
      <c r="R2943" s="247" t="s">
        <v>2755</v>
      </c>
      <c r="S2943" s="272" t="s">
        <v>3293</v>
      </c>
      <c r="T2943" s="273">
        <v>17</v>
      </c>
      <c r="U2943" s="274"/>
      <c r="V2943" s="280"/>
      <c r="W2943" s="244"/>
      <c r="X2943" s="244"/>
      <c r="Y2943" s="362"/>
      <c r="Z2943" s="257">
        <f>altaz(J2000_Bas,$O2943,$M2943,DecLat,DecLong,1)</f>
        <v>39.076527624757603</v>
      </c>
      <c r="AA2943" s="257">
        <f>altaz((J2000_Bas+(2*0.04167)),$O2943,$M2943,DecLat,DecLong,1)</f>
        <v>20.903421476392758</v>
      </c>
      <c r="AB2943" s="257">
        <f>altaz((J2000_Bas+(4*0.04167)),$O2943,$M2943,DecLat,DecLong,1)</f>
        <v>5.4776685870833868</v>
      </c>
      <c r="AC2943" s="257">
        <f>altaz((J2000_Bas+(6*0.04167)),$O2943,$M2943,DecLat,DecLong,1)</f>
        <v>-4.7747850088836303</v>
      </c>
      <c r="AD2943" s="258">
        <f>1+ transit((J2000_Bas-1),$O2943,$M2943,DecLat,DecLong)/360 + (GMTOffset/24) + (IF(DST="Y", 1, 0)/24)</f>
        <v>1.6074137880672079</v>
      </c>
      <c r="AE2943" s="259">
        <f>DATE(2001,9,21)+(M2943/360)*365 - (360*((DecLong/360)- (GMTOffset/24) ))</f>
        <v>37384.297569444447</v>
      </c>
      <c r="AF2943" s="260">
        <f>IF(DecLat&gt;0,IF((90 - (DecLat-O2943))&gt;90, (90 - (O2943-DecLat)), (90 - (DecLat-O2943))),IF((90 + (DecLat-O2943))&gt;90, (90 + (O2943-DecLat)), (90 + (DecLat-O2943))))</f>
        <v>69.659444444444432</v>
      </c>
      <c r="AG2943" s="257">
        <f>angularseperation(MoonRA,MoonDec,$M2943,$O2943)</f>
        <v>82.213827176979592</v>
      </c>
      <c r="AH2943" s="261">
        <f ca="1">MIN(100,IF($O$5&gt;80,0+30*($AG2943/100),IF($O$5&gt;70,0+50*($AG2943/100),IF($O$5&gt;60,5+50*($AG2943/100),IF($O$5&gt;50,10+60*($AG2943/100),IF($O$5&gt;40,15+70*($AG2943/100),IF($O$5&gt;30,20+70*($AG2943/100),IF($O$5&gt;20,40+55*($AG2943/100),(80+(20-$O$5)+30*($AG2943/100))))))))))</f>
        <v>100</v>
      </c>
      <c r="AI2943" s="262"/>
      <c r="AJ2943" s="262"/>
      <c r="AK2943" s="262"/>
      <c r="AL2943" s="263"/>
      <c r="AM2943" s="264"/>
      <c r="AN2943" s="263"/>
      <c r="AO2943" s="263"/>
      <c r="AP2943" s="265"/>
      <c r="AQ2943" s="265">
        <v>9511</v>
      </c>
      <c r="AR2943" s="267">
        <v>52677</v>
      </c>
      <c r="AS2943" s="263"/>
      <c r="AT2943" s="263"/>
      <c r="AU2943" s="263"/>
      <c r="AV2943" s="264"/>
      <c r="AW2943" s="263"/>
      <c r="AX2943" s="263"/>
      <c r="AY2943" s="263"/>
      <c r="AZ2943" s="263"/>
      <c r="BA2943" s="263"/>
      <c r="BB2943" s="263"/>
      <c r="BC2943" s="263"/>
      <c r="BD2943" s="264"/>
      <c r="BE2943" s="263"/>
      <c r="BF2943" s="263"/>
      <c r="BG2943" s="263"/>
      <c r="BH2943" s="263"/>
      <c r="BI2943" s="263"/>
      <c r="BJ2943" s="404">
        <f>altaz(J2000_Bas,$O2943,$M2943,DecLat,DecLong,2)</f>
        <v>313.2828680821753</v>
      </c>
      <c r="BK2943" s="378" t="s">
        <v>2754</v>
      </c>
      <c r="BL2943" s="379">
        <f>IF((2*G2943)/60&lt;0.2,0.2,(2*G2943)/60)</f>
        <v>0.2</v>
      </c>
      <c r="BM2943" s="380">
        <f>MOD((50000+AD2943-$B$3+(0/24)),1)</f>
        <v>0.82278071776818251</v>
      </c>
      <c r="BN2943" s="381" t="s">
        <v>9215</v>
      </c>
      <c r="BO2943" s="382">
        <v>2933</v>
      </c>
    </row>
    <row r="2944" spans="1:67" s="24" customFormat="1" ht="15" customHeight="1" x14ac:dyDescent="0.25">
      <c r="A2944" s="288" t="s">
        <v>2756</v>
      </c>
      <c r="B2944" s="241" t="str">
        <f>HYPERLINK(CONCATENATE($AT$3,BK2944,$AU$3),$AV$3)</f>
        <v>S</v>
      </c>
      <c r="C2944" s="242" t="str">
        <f>HYPERLINK(CONCATENATE($AT$4,BK2944,$AU$4,BL2944),$AV$4)</f>
        <v>A</v>
      </c>
      <c r="D2944" s="243" t="s">
        <v>5638</v>
      </c>
      <c r="E2944" s="244" t="s">
        <v>28</v>
      </c>
      <c r="F2944" s="269"/>
      <c r="G2944" s="273">
        <v>1</v>
      </c>
      <c r="H2944" s="283">
        <v>70</v>
      </c>
      <c r="I2944" s="246">
        <v>20</v>
      </c>
      <c r="J2944" s="246">
        <v>1</v>
      </c>
      <c r="K2944" s="247" t="s">
        <v>5327</v>
      </c>
      <c r="L2944" s="248">
        <v>145114</v>
      </c>
      <c r="M2944" s="249">
        <f>15*(LEFT(TEXT($L2944,"000000"),2)+(MID(TEXT($L2944,"000000"),3,2)/60)+(RIGHT(TEXT($L2944,"000000"),2)/3600))</f>
        <v>222.80833333333334</v>
      </c>
      <c r="N2944" s="250">
        <v>353233</v>
      </c>
      <c r="O2944" s="251">
        <f>IF($N2944&gt;0,(LEFT(TEXT($N2944,"000000"),2)+(MID(TEXT($N2944,"000000"),3,2)/60)+(RIGHT(TEXT($N2944,"000000"),2)/3600)),-(MID(TEXT($N2944,"000000"),2,2)+(MID(TEXT($N2944,"000000"),4,2)/60)+(RIGHT(TEXT($N2944,"000000"),2)/3600)))</f>
        <v>35.542499999999997</v>
      </c>
      <c r="P2944" s="252" t="s">
        <v>260</v>
      </c>
      <c r="Q2944" s="253"/>
      <c r="R2944" s="247" t="s">
        <v>3293</v>
      </c>
      <c r="S2944" s="272" t="s">
        <v>5326</v>
      </c>
      <c r="T2944" s="273">
        <v>13.8</v>
      </c>
      <c r="U2944" s="274"/>
      <c r="V2944" s="280"/>
      <c r="W2944" s="244"/>
      <c r="X2944" s="244"/>
      <c r="Y2944" s="362"/>
      <c r="Z2944" s="257">
        <f>altaz(J2000_Bas,$O2944,$M2944,DecLat,DecLong,1)</f>
        <v>37.874055843651746</v>
      </c>
      <c r="AA2944" s="257">
        <f>altaz((J2000_Bas+(2*0.04167)),$O2944,$M2944,DecLat,DecLong,1)</f>
        <v>15.04059983707964</v>
      </c>
      <c r="AB2944" s="257">
        <f>altaz((J2000_Bas+(4*0.04167)),$O2944,$M2944,DecLat,DecLong,1)</f>
        <v>-4.8284759810500972</v>
      </c>
      <c r="AC2944" s="257">
        <f>altaz((J2000_Bas+(6*0.04167)),$O2944,$M2944,DecLat,DecLong,1)</f>
        <v>-18.935656812082005</v>
      </c>
      <c r="AD2944" s="258">
        <f>1+ transit((J2000_Bas-1),$O2944,$M2944,DecLat,DecLong)/360 + (GMTOffset/24) + (IF(DST="Y", 1, 0)/24)</f>
        <v>1.6118119357755414</v>
      </c>
      <c r="AE2944" s="259">
        <f>DATE(2001,9,21)+(M2944/360)*365 - (360*((DecLong/360)- (GMTOffset/24) ))</f>
        <v>37385.90289351852</v>
      </c>
      <c r="AF2944" s="260">
        <f>IF(DecLat&gt;0,IF((90 - (DecLat-O2944))&gt;90, (90 - (O2944-DecLat)), (90 - (DecLat-O2944))),IF((90 + (DecLat-O2944))&gt;90, (90 + (O2944-DecLat)), (90 + (DecLat-O2944))))</f>
        <v>85.45750000000001</v>
      </c>
      <c r="AG2944" s="257">
        <f>angularseperation(MoonRA,MoonDec,$M2944,$O2944)</f>
        <v>67.415434760236863</v>
      </c>
      <c r="AH2944" s="261">
        <f ca="1">MIN(100,IF($O$5&gt;80,0+30*($AG2944/100),IF($O$5&gt;70,0+50*($AG2944/100),IF($O$5&gt;60,5+50*($AG2944/100),IF($O$5&gt;50,10+60*($AG2944/100),IF($O$5&gt;40,15+70*($AG2944/100),IF($O$5&gt;30,20+70*($AG2944/100),IF($O$5&gt;20,40+55*($AG2944/100),(80+(20-$O$5)+30*($AG2944/100))))))))))</f>
        <v>100</v>
      </c>
      <c r="AI2944" s="262"/>
      <c r="AJ2944" s="262"/>
      <c r="AK2944" s="262"/>
      <c r="AL2944" s="263"/>
      <c r="AM2944" s="264"/>
      <c r="AN2944" s="263"/>
      <c r="AO2944" s="263"/>
      <c r="AP2944" s="265"/>
      <c r="AQ2944" s="265">
        <v>9562</v>
      </c>
      <c r="AR2944" s="267">
        <v>53039</v>
      </c>
      <c r="AS2944" s="263"/>
      <c r="AT2944" s="263"/>
      <c r="AU2944" s="263"/>
      <c r="AV2944" s="264"/>
      <c r="AW2944" s="263"/>
      <c r="AX2944" s="263"/>
      <c r="AY2944" s="263"/>
      <c r="AZ2944" s="263"/>
      <c r="BA2944" s="263"/>
      <c r="BB2944" s="263"/>
      <c r="BC2944" s="263"/>
      <c r="BD2944" s="264"/>
      <c r="BE2944" s="263"/>
      <c r="BF2944" s="263"/>
      <c r="BG2944" s="263"/>
      <c r="BH2944" s="263"/>
      <c r="BI2944" s="263"/>
      <c r="BJ2944" s="404">
        <f>altaz(J2000_Bas,$O2944,$M2944,DecLat,DecLong,2)</f>
        <v>293.06770164865247</v>
      </c>
      <c r="BK2944" s="378" t="s">
        <v>2756</v>
      </c>
      <c r="BL2944" s="379">
        <f>IF((2*G2944)/60&lt;0.2,0.2,(2*G2944)/60)</f>
        <v>0.2</v>
      </c>
      <c r="BM2944" s="380">
        <f>MOD((50000+AD2944-$B$3+(0/24)),1)</f>
        <v>0.82717886548198294</v>
      </c>
      <c r="BN2944" s="381"/>
      <c r="BO2944" s="382">
        <v>2934</v>
      </c>
    </row>
    <row r="2945" spans="1:67" s="24" customFormat="1" ht="15" customHeight="1" x14ac:dyDescent="0.25">
      <c r="A2945" s="288" t="s">
        <v>2757</v>
      </c>
      <c r="B2945" s="241" t="str">
        <f>HYPERLINK(CONCATENATE($AT$3,BK2945,$AU$3),$AV$3)</f>
        <v>S</v>
      </c>
      <c r="C2945" s="242" t="str">
        <f>HYPERLINK(CONCATENATE($AT$4,BK2945,$AU$4,BL2945),$AV$4)</f>
        <v>A</v>
      </c>
      <c r="D2945" s="243" t="s">
        <v>5638</v>
      </c>
      <c r="E2945" s="244" t="s">
        <v>13</v>
      </c>
      <c r="F2945" s="269"/>
      <c r="G2945" s="276">
        <v>32</v>
      </c>
      <c r="H2945" s="289">
        <v>0.2</v>
      </c>
      <c r="I2945" s="279">
        <v>2</v>
      </c>
      <c r="J2945" s="246">
        <v>0</v>
      </c>
      <c r="K2945" s="247" t="s">
        <v>5328</v>
      </c>
      <c r="L2945" s="248">
        <v>150908</v>
      </c>
      <c r="M2945" s="249">
        <f>15*(LEFT(TEXT($L2945,"000000"),2)+(MID(TEXT($L2945,"000000"),3,2)/60)+(RIGHT(TEXT($L2945,"000000"),2)/3600))</f>
        <v>227.28333333333333</v>
      </c>
      <c r="N2945" s="250">
        <v>671321</v>
      </c>
      <c r="O2945" s="251">
        <f>IF($N2945&gt;0,(LEFT(TEXT($N2945,"000000"),2)+(MID(TEXT($N2945,"000000"),3,2)/60)+(RIGHT(TEXT($N2945,"000000"),2)/3600)),-(MID(TEXT($N2945,"000000"),2,2)+(MID(TEXT($N2945,"000000"),4,2)/60)+(RIGHT(TEXT($N2945,"000000"),2)/3600)))</f>
        <v>67.222499999999997</v>
      </c>
      <c r="P2945" s="252" t="s">
        <v>208</v>
      </c>
      <c r="Q2945" s="253" t="s">
        <v>2758</v>
      </c>
      <c r="R2945" s="247" t="s">
        <v>3293</v>
      </c>
      <c r="S2945" s="272" t="s">
        <v>3293</v>
      </c>
      <c r="T2945" s="273">
        <v>10.6</v>
      </c>
      <c r="U2945" s="274"/>
      <c r="V2945" s="280"/>
      <c r="W2945" s="244"/>
      <c r="X2945" s="244"/>
      <c r="Y2945" s="362"/>
      <c r="Z2945" s="257">
        <f>altaz(J2000_Bas,$O2945,$M2945,DecLat,DecLong,1)</f>
        <v>40.329522467154696</v>
      </c>
      <c r="AA2945" s="257">
        <f>altaz((J2000_Bas+(2*0.04167)),$O2945,$M2945,DecLat,DecLong,1)</f>
        <v>28.803067936961767</v>
      </c>
      <c r="AB2945" s="257">
        <f>altaz((J2000_Bas+(4*0.04167)),$O2945,$M2945,DecLat,DecLong,1)</f>
        <v>18.333772584713149</v>
      </c>
      <c r="AC2945" s="257">
        <f>altaz((J2000_Bas+(6*0.04167)),$O2945,$M2945,DecLat,DecLong,1)</f>
        <v>10.981860086340932</v>
      </c>
      <c r="AD2945" s="258">
        <f>1+ transit((J2000_Bas-1),$O2945,$M2945,DecLat,DecLong)/360 + (GMTOffset/24) + (IF(DST="Y", 1, 0)/24)</f>
        <v>1.6242424900880412</v>
      </c>
      <c r="AE2945" s="259">
        <f>DATE(2001,9,21)+(M2945/360)*365 - (360*((DecLong/360)- (GMTOffset/24) ))</f>
        <v>37390.440046296295</v>
      </c>
      <c r="AF2945" s="260">
        <f>IF(DecLat&gt;0,IF((90 - (DecLat-O2945))&gt;90, (90 - (O2945-DecLat)), (90 - (DecLat-O2945))),IF((90 + (DecLat-O2945))&gt;90, (90 + (O2945-DecLat)), (90 + (DecLat-O2945))))</f>
        <v>53.777500000000003</v>
      </c>
      <c r="AG2945" s="257">
        <f>angularseperation(MoonRA,MoonDec,$M2945,$O2945)</f>
        <v>95.744916669546797</v>
      </c>
      <c r="AH2945" s="261">
        <f ca="1">MIN(100,IF($O$5&gt;80,0+30*($AG2945/100),IF($O$5&gt;70,0+50*($AG2945/100),IF($O$5&gt;60,5+50*($AG2945/100),IF($O$5&gt;50,10+60*($AG2945/100),IF($O$5&gt;40,15+70*($AG2945/100),IF($O$5&gt;30,20+70*($AG2945/100),IF($O$5&gt;20,40+55*($AG2945/100),(80+(20-$O$5)+30*($AG2945/100))))))))))</f>
        <v>100</v>
      </c>
      <c r="AI2945" s="262"/>
      <c r="AJ2945" s="262"/>
      <c r="AK2945" s="262"/>
      <c r="AL2945" s="263"/>
      <c r="AM2945" s="264"/>
      <c r="AN2945" s="263"/>
      <c r="AO2945" s="263"/>
      <c r="AP2945" s="265"/>
      <c r="AQ2945" s="265">
        <v>9749</v>
      </c>
      <c r="AR2945" s="267">
        <v>54074</v>
      </c>
      <c r="AS2945" s="263"/>
      <c r="AT2945" s="263"/>
      <c r="AU2945" s="263"/>
      <c r="AV2945" s="264"/>
      <c r="AW2945" s="263"/>
      <c r="AX2945" s="263"/>
      <c r="AY2945" s="263"/>
      <c r="AZ2945" s="263"/>
      <c r="BA2945" s="263"/>
      <c r="BB2945" s="263"/>
      <c r="BC2945" s="263"/>
      <c r="BD2945" s="264"/>
      <c r="BE2945" s="263"/>
      <c r="BF2945" s="263"/>
      <c r="BG2945" s="263"/>
      <c r="BH2945" s="263"/>
      <c r="BI2945" s="263"/>
      <c r="BJ2945" s="404">
        <f>altaz(J2000_Bas,$O2945,$M2945,DecLat,DecLong,2)</f>
        <v>334.27656035876629</v>
      </c>
      <c r="BK2945" s="378" t="s">
        <v>2757</v>
      </c>
      <c r="BL2945" s="379">
        <f>IF((2*G2945)/60&lt;0.2,0.2,(2*G2945)/60)</f>
        <v>1.0666666666666667</v>
      </c>
      <c r="BM2945" s="380">
        <f>MOD((50000+AD2945-$B$3+(0/24)),1)</f>
        <v>0.8396094197887578</v>
      </c>
      <c r="BN2945" s="381" t="s">
        <v>9235</v>
      </c>
      <c r="BO2945" s="382">
        <v>2935</v>
      </c>
    </row>
    <row r="2946" spans="1:67" s="24" customFormat="1" ht="15" customHeight="1" x14ac:dyDescent="0.25">
      <c r="A2946" s="288" t="s">
        <v>2759</v>
      </c>
      <c r="B2946" s="241" t="str">
        <f>HYPERLINK(CONCATENATE($AT$3,BK2946,$AU$3),$AV$3)</f>
        <v>S</v>
      </c>
      <c r="C2946" s="242" t="str">
        <f>HYPERLINK(CONCATENATE($AT$4,BK2946,$AU$4,BL2946),$AV$4)</f>
        <v>A</v>
      </c>
      <c r="D2946" s="243" t="s">
        <v>5638</v>
      </c>
      <c r="E2946" s="244" t="s">
        <v>28</v>
      </c>
      <c r="F2946" s="269"/>
      <c r="G2946" s="270">
        <v>0.5</v>
      </c>
      <c r="H2946" s="283">
        <v>250</v>
      </c>
      <c r="I2946" s="246">
        <v>40</v>
      </c>
      <c r="J2946" s="246">
        <v>1</v>
      </c>
      <c r="K2946" s="247" t="s">
        <v>7239</v>
      </c>
      <c r="L2946" s="248">
        <v>151556</v>
      </c>
      <c r="M2946" s="249">
        <f>15*(LEFT(TEXT($L2946,"000000"),2)+(MID(TEXT($L2946,"000000"),3,2)/60)+(RIGHT(TEXT($L2946,"000000"),2)/3600))</f>
        <v>228.98333333333335</v>
      </c>
      <c r="N2946" s="250">
        <v>431000</v>
      </c>
      <c r="O2946" s="251">
        <f>IF($N2946&gt;0,(LEFT(TEXT($N2946,"000000"),2)+(MID(TEXT($N2946,"000000"),3,2)/60)+(RIGHT(TEXT($N2946,"000000"),2)/3600)),-(MID(TEXT($N2946,"000000"),2,2)+(MID(TEXT($N2946,"000000"),4,2)/60)+(RIGHT(TEXT($N2946,"000000"),2)/3600)))</f>
        <v>43.166666666666664</v>
      </c>
      <c r="P2946" s="252" t="s">
        <v>260</v>
      </c>
      <c r="Q2946" s="253"/>
      <c r="R2946" s="247" t="s">
        <v>2760</v>
      </c>
      <c r="S2946" s="272" t="s">
        <v>3293</v>
      </c>
      <c r="T2946" s="273">
        <v>15</v>
      </c>
      <c r="U2946" s="274"/>
      <c r="V2946" s="280"/>
      <c r="W2946" s="244"/>
      <c r="X2946" s="244"/>
      <c r="Y2946" s="362"/>
      <c r="Z2946" s="257">
        <f>altaz(J2000_Bas,$O2946,$M2946,DecLat,DecLong,1)</f>
        <v>43.842254849548127</v>
      </c>
      <c r="AA2946" s="257">
        <f>altaz((J2000_Bas+(2*0.04167)),$O2946,$M2946,DecLat,DecLong,1)</f>
        <v>22.577806271104688</v>
      </c>
      <c r="AB2946" s="257">
        <f>altaz((J2000_Bas+(4*0.04167)),$O2946,$M2946,DecLat,DecLong,1)</f>
        <v>3.8238565030024403</v>
      </c>
      <c r="AC2946" s="257">
        <f>altaz((J2000_Bas+(6*0.04167)),$O2946,$M2946,DecLat,DecLong,1)</f>
        <v>-9.9968809068673039</v>
      </c>
      <c r="AD2946" s="258">
        <f>1+ transit((J2000_Bas-1),$O2946,$M2946,DecLat,DecLong)/360 + (GMTOffset/24) + (IF(DST="Y", 1, 0)/24)</f>
        <v>1.6289647118380415</v>
      </c>
      <c r="AE2946" s="259">
        <f>DATE(2001,9,21)+(M2946/360)*365 - (360*((DecLong/360)- (GMTOffset/24) ))</f>
        <v>37392.163657407407</v>
      </c>
      <c r="AF2946" s="260">
        <f>IF(DecLat&gt;0,IF((90 - (DecLat-O2946))&gt;90, (90 - (O2946-DecLat)), (90 - (DecLat-O2946))),IF((90 + (DecLat-O2946))&gt;90, (90 + (O2946-DecLat)), (90 + (DecLat-O2946))))</f>
        <v>77.833333333333343</v>
      </c>
      <c r="AG2946" s="257">
        <f>angularseperation(MoonRA,MoonDec,$M2946,$O2946)</f>
        <v>72.678505663225693</v>
      </c>
      <c r="AH2946" s="261">
        <f ca="1">MIN(100,IF($O$5&gt;80,0+30*($AG2946/100),IF($O$5&gt;70,0+50*($AG2946/100),IF($O$5&gt;60,5+50*($AG2946/100),IF($O$5&gt;50,10+60*($AG2946/100),IF($O$5&gt;40,15+70*($AG2946/100),IF($O$5&gt;30,20+70*($AG2946/100),IF($O$5&gt;20,40+55*($AG2946/100),(80+(20-$O$5)+30*($AG2946/100))))))))))</f>
        <v>100</v>
      </c>
      <c r="AI2946" s="262"/>
      <c r="AJ2946" s="262"/>
      <c r="AK2946" s="262"/>
      <c r="AL2946" s="263"/>
      <c r="AM2946" s="264"/>
      <c r="AN2946" s="263"/>
      <c r="AO2946" s="263"/>
      <c r="AP2946" s="265"/>
      <c r="AQ2946" s="265">
        <v>9796</v>
      </c>
      <c r="AR2946" s="267">
        <v>54461</v>
      </c>
      <c r="AS2946" s="263"/>
      <c r="AT2946" s="263"/>
      <c r="AU2946" s="263"/>
      <c r="AV2946" s="264"/>
      <c r="AW2946" s="263"/>
      <c r="AX2946" s="263"/>
      <c r="AY2946" s="263"/>
      <c r="AZ2946" s="263"/>
      <c r="BA2946" s="263"/>
      <c r="BB2946" s="263"/>
      <c r="BC2946" s="263"/>
      <c r="BD2946" s="264"/>
      <c r="BE2946" s="263"/>
      <c r="BF2946" s="263"/>
      <c r="BG2946" s="263"/>
      <c r="BH2946" s="263"/>
      <c r="BI2946" s="263"/>
      <c r="BJ2946" s="404">
        <f>altaz(J2000_Bas,$O2946,$M2946,DecLat,DecLong,2)</f>
        <v>301.97333237472196</v>
      </c>
      <c r="BK2946" s="378" t="s">
        <v>2759</v>
      </c>
      <c r="BL2946" s="379">
        <f>IF((2*G2946)/60&lt;0.2,0.2,(2*G2946)/60)</f>
        <v>0.2</v>
      </c>
      <c r="BM2946" s="380">
        <f>MOD((50000+AD2946-$B$3+(0/24)),1)</f>
        <v>0.84433164154324913</v>
      </c>
      <c r="BN2946" s="381"/>
      <c r="BO2946" s="382">
        <v>2936</v>
      </c>
    </row>
    <row r="2947" spans="1:67" s="24" customFormat="1" ht="15" customHeight="1" x14ac:dyDescent="0.25">
      <c r="A2947" s="288" t="s">
        <v>3205</v>
      </c>
      <c r="B2947" s="241" t="str">
        <f>HYPERLINK(CONCATENATE($AT$3,BK2947,$AU$3),$AV$3)</f>
        <v>S</v>
      </c>
      <c r="C2947" s="242" t="str">
        <f>HYPERLINK(CONCATENATE($AT$4,BK2947,$AU$4,BL2947),$AV$4)</f>
        <v>A</v>
      </c>
      <c r="D2947" s="243" t="s">
        <v>5638</v>
      </c>
      <c r="E2947" s="244" t="s">
        <v>8641</v>
      </c>
      <c r="F2947" s="269"/>
      <c r="G2947" s="273">
        <v>1.5</v>
      </c>
      <c r="H2947" s="283">
        <v>180</v>
      </c>
      <c r="I2947" s="246">
        <v>80</v>
      </c>
      <c r="J2947" s="246">
        <v>2</v>
      </c>
      <c r="K2947" s="247" t="s">
        <v>6399</v>
      </c>
      <c r="L2947" s="248">
        <v>153646</v>
      </c>
      <c r="M2947" s="249">
        <f>15*(LEFT(TEXT($L2947,"000000"),2)+(MID(TEXT($L2947,"000000"),3,2)/60)+(RIGHT(TEXT($L2947,"000000"),2)/3600))</f>
        <v>234.19166666666666</v>
      </c>
      <c r="N2947" s="250">
        <v>441349</v>
      </c>
      <c r="O2947" s="251">
        <f>IF($N2947&gt;0,(LEFT(TEXT($N2947,"000000"),2)+(MID(TEXT($N2947,"000000"),3,2)/60)+(RIGHT(TEXT($N2947,"000000"),2)/3600)),-(MID(TEXT($N2947,"000000"),2,2)+(MID(TEXT($N2947,"000000"),4,2)/60)+(RIGHT(TEXT($N2947,"000000"),2)/3600)))</f>
        <v>44.230277777777779</v>
      </c>
      <c r="P2947" s="252" t="s">
        <v>260</v>
      </c>
      <c r="Q2947" s="253"/>
      <c r="R2947" s="277" t="s">
        <v>3293</v>
      </c>
      <c r="S2947" s="272" t="s">
        <v>3293</v>
      </c>
      <c r="T2947" s="273">
        <v>15</v>
      </c>
      <c r="U2947" s="274"/>
      <c r="V2947" s="280">
        <v>60</v>
      </c>
      <c r="W2947" s="244"/>
      <c r="X2947" s="244"/>
      <c r="Y2947" s="362"/>
      <c r="Z2947" s="257">
        <f>altaz(J2000_Bas,$O2947,$M2947,DecLat,DecLong,1)</f>
        <v>47.645751697143105</v>
      </c>
      <c r="AA2947" s="257">
        <f>altaz((J2000_Bas+(2*0.04167)),$O2947,$M2947,DecLat,DecLong,1)</f>
        <v>26.477759579394892</v>
      </c>
      <c r="AB2947" s="257">
        <f>altaz((J2000_Bas+(4*0.04167)),$O2947,$M2947,DecLat,DecLong,1)</f>
        <v>7.4336464219328304</v>
      </c>
      <c r="AC2947" s="257">
        <f>altaz((J2000_Bas+(6*0.04167)),$O2947,$M2947,DecLat,DecLong,1)</f>
        <v>-7.1898655113168708</v>
      </c>
      <c r="AD2947" s="258">
        <f>1+ transit((J2000_Bas-1),$O2947,$M2947,DecLat,DecLong)/360 + (GMTOffset/24) + (IF(DST="Y", 1, 0)/24)</f>
        <v>1.6434323029838747</v>
      </c>
      <c r="AE2947" s="259">
        <f>DATE(2001,9,21)+(M2947/360)*365 - (360*((DecLong/360)- (GMTOffset/24) ))</f>
        <v>37397.444328703707</v>
      </c>
      <c r="AF2947" s="260">
        <f>IF(DecLat&gt;0,IF((90 - (DecLat-O2947))&gt;90, (90 - (O2947-DecLat)), (90 - (DecLat-O2947))),IF((90 + (DecLat-O2947))&gt;90, (90 + (O2947-DecLat)), (90 + (DecLat-O2947))))</f>
        <v>76.769722222222214</v>
      </c>
      <c r="AG2947" s="257">
        <f>angularseperation(MoonRA,MoonDec,$M2947,$O2947)</f>
        <v>72.63293538116227</v>
      </c>
      <c r="AH2947" s="261">
        <f ca="1">MIN(100,IF($O$5&gt;80,0+30*($AG2947/100),IF($O$5&gt;70,0+50*($AG2947/100),IF($O$5&gt;60,5+50*($AG2947/100),IF($O$5&gt;50,10+60*($AG2947/100),IF($O$5&gt;40,15+70*($AG2947/100),IF($O$5&gt;30,20+70*($AG2947/100),IF($O$5&gt;20,40+55*($AG2947/100),(80+(20-$O$5)+30*($AG2947/100))))))))))</f>
        <v>100</v>
      </c>
      <c r="AI2947" s="263"/>
      <c r="AJ2947" s="263"/>
      <c r="AK2947" s="263"/>
      <c r="AL2947" s="263"/>
      <c r="AM2947" s="264"/>
      <c r="AN2947" s="263"/>
      <c r="AO2947" s="263"/>
      <c r="AP2947" s="265"/>
      <c r="AQ2947" s="265">
        <v>9936</v>
      </c>
      <c r="AR2947" s="285">
        <v>55607</v>
      </c>
      <c r="AS2947" s="263"/>
      <c r="AT2947" s="263"/>
      <c r="AU2947" s="263"/>
      <c r="AV2947" s="264"/>
      <c r="AW2947" s="263"/>
      <c r="AX2947" s="263"/>
      <c r="AY2947" s="263"/>
      <c r="AZ2947" s="263"/>
      <c r="BA2947" s="263"/>
      <c r="BB2947" s="263"/>
      <c r="BC2947" s="263"/>
      <c r="BD2947" s="264"/>
      <c r="BE2947" s="263"/>
      <c r="BF2947" s="263"/>
      <c r="BG2947" s="263"/>
      <c r="BH2947" s="263"/>
      <c r="BI2947" s="263"/>
      <c r="BJ2947" s="404">
        <f>altaz(J2000_Bas,$O2947,$M2947,DecLat,DecLong,2)</f>
        <v>303.28598986559166</v>
      </c>
      <c r="BK2947" s="378" t="s">
        <v>3205</v>
      </c>
      <c r="BL2947" s="379">
        <f>IF((2*G2947)/60&lt;0.2,0.2,(2*G2947)/60)</f>
        <v>0.2</v>
      </c>
      <c r="BM2947" s="380">
        <f>MOD((50000+AD2947-$B$3+(0/24)),1)</f>
        <v>0.85879923268657876</v>
      </c>
      <c r="BN2947" s="381"/>
      <c r="BO2947" s="382">
        <v>2937</v>
      </c>
    </row>
    <row r="2948" spans="1:67" s="24" customFormat="1" ht="15" customHeight="1" x14ac:dyDescent="0.25">
      <c r="A2948" s="287" t="s">
        <v>2761</v>
      </c>
      <c r="B2948" s="241" t="str">
        <f>HYPERLINK(CONCATENATE($AT$3,BK2948,$AU$3),$AV$3)</f>
        <v>S</v>
      </c>
      <c r="C2948" s="242" t="str">
        <f>HYPERLINK(CONCATENATE($AT$4,BK2948,$AU$4,BL2948),$AV$4)</f>
        <v>A</v>
      </c>
      <c r="D2948" s="243" t="s">
        <v>5638</v>
      </c>
      <c r="E2948" s="244" t="s">
        <v>5192</v>
      </c>
      <c r="F2948" s="269" t="s">
        <v>8670</v>
      </c>
      <c r="G2948" s="273">
        <v>4</v>
      </c>
      <c r="H2948" s="283">
        <v>90</v>
      </c>
      <c r="I2948" s="246">
        <v>105</v>
      </c>
      <c r="J2948" s="246">
        <v>2</v>
      </c>
      <c r="K2948" s="247" t="s">
        <v>6164</v>
      </c>
      <c r="L2948" s="248">
        <v>154200</v>
      </c>
      <c r="M2948" s="249">
        <f>15*(LEFT(TEXT($L2948,"000000"),2)+(MID(TEXT($L2948,"000000"),3,2)/60)+(RIGHT(TEXT($L2948,"000000"),2)/3600))</f>
        <v>235.5</v>
      </c>
      <c r="N2948" s="250">
        <v>4247</v>
      </c>
      <c r="O2948" s="251">
        <f>IF($N2948&gt;0,(LEFT(TEXT($N2948,"000000"),2)+(MID(TEXT($N2948,"000000"),3,2)/60)+(RIGHT(TEXT($N2948,"000000"),2)/3600)),-(MID(TEXT($N2948,"000000"),2,2)+(MID(TEXT($N2948,"000000"),4,2)/60)+(RIGHT(TEXT($N2948,"000000"),2)/3600)))</f>
        <v>0.71305555555555555</v>
      </c>
      <c r="P2948" s="252" t="s">
        <v>115</v>
      </c>
      <c r="Q2948" s="253"/>
      <c r="R2948" s="277" t="s">
        <v>3293</v>
      </c>
      <c r="S2948" s="272" t="s">
        <v>3293</v>
      </c>
      <c r="T2948" s="273">
        <v>13.5</v>
      </c>
      <c r="U2948" s="274"/>
      <c r="V2948" s="280">
        <v>88</v>
      </c>
      <c r="W2948" s="244"/>
      <c r="X2948" s="244"/>
      <c r="Y2948" s="362"/>
      <c r="Z2948" s="257">
        <f>altaz(J2000_Bas,$O2948,$M2948,DecLat,DecLong,1)</f>
        <v>33.474271446241183</v>
      </c>
      <c r="AA2948" s="257">
        <f>altaz((J2000_Bas+(2*0.04167)),$O2948,$M2948,DecLat,DecLong,1)</f>
        <v>8.4291164790864492</v>
      </c>
      <c r="AB2948" s="257">
        <f>altaz((J2000_Bas+(4*0.04167)),$O2948,$M2948,DecLat,DecLong,1)</f>
        <v>-17.227000894196937</v>
      </c>
      <c r="AC2948" s="257">
        <f>altaz((J2000_Bas+(6*0.04167)),$O2948,$M2948,DecLat,DecLong,1)</f>
        <v>-41.100537191006637</v>
      </c>
      <c r="AD2948" s="258">
        <f>1+ transit((J2000_Bas-1),$O2948,$M2948,DecLat,DecLong)/360 + (GMTOffset/24) + (IF(DST="Y", 1, 0)/24)</f>
        <v>1.647066561879708</v>
      </c>
      <c r="AE2948" s="259">
        <f>DATE(2001,9,21)+(M2948/360)*365 - (360*((DecLong/360)- (GMTOffset/24) ))</f>
        <v>37398.770833333336</v>
      </c>
      <c r="AF2948" s="260">
        <f>IF(DecLat&gt;0,IF((90 - (DecLat-O2948))&gt;90, (90 - (O2948-DecLat)), (90 - (DecLat-O2948))),IF((90 + (DecLat-O2948))&gt;90, (90 + (O2948-DecLat)), (90 + (DecLat-O2948))))</f>
        <v>59.713055555555556</v>
      </c>
      <c r="AG2948" s="257">
        <f>angularseperation(MoonRA,MoonDec,$M2948,$O2948)</f>
        <v>30.781997372736775</v>
      </c>
      <c r="AH2948" s="261">
        <f ca="1">MIN(100,IF($O$5&gt;80,0+30*($AG2948/100),IF($O$5&gt;70,0+50*($AG2948/100),IF($O$5&gt;60,5+50*($AG2948/100),IF($O$5&gt;50,10+60*($AG2948/100),IF($O$5&gt;40,15+70*($AG2948/100),IF($O$5&gt;30,20+70*($AG2948/100),IF($O$5&gt;20,40+55*($AG2948/100),(80+(20-$O$5)+30*($AG2948/100))))))))))</f>
        <v>92.505659555971462</v>
      </c>
      <c r="AI2948" s="263"/>
      <c r="AJ2948" s="263"/>
      <c r="AK2948" s="263"/>
      <c r="AL2948" s="263"/>
      <c r="AM2948" s="264"/>
      <c r="AN2948" s="263"/>
      <c r="AO2948" s="263"/>
      <c r="AP2948" s="265"/>
      <c r="AQ2948" s="265">
        <v>9977</v>
      </c>
      <c r="AR2948" s="285">
        <v>55821</v>
      </c>
      <c r="AS2948" s="263"/>
      <c r="AT2948" s="263"/>
      <c r="AU2948" s="263"/>
      <c r="AV2948" s="264"/>
      <c r="AW2948" s="263"/>
      <c r="AX2948" s="263"/>
      <c r="AY2948" s="263"/>
      <c r="AZ2948" s="263"/>
      <c r="BA2948" s="263"/>
      <c r="BB2948" s="263"/>
      <c r="BC2948" s="263"/>
      <c r="BD2948" s="264"/>
      <c r="BE2948" s="263"/>
      <c r="BF2948" s="263"/>
      <c r="BG2948" s="263"/>
      <c r="BH2948" s="263"/>
      <c r="BI2948" s="263"/>
      <c r="BJ2948" s="404">
        <f>altaz(J2000_Bas,$O2948,$M2948,DecLat,DecLong,2)</f>
        <v>247.67204743585847</v>
      </c>
      <c r="BK2948" s="378" t="s">
        <v>2761</v>
      </c>
      <c r="BL2948" s="379">
        <f>IF((2*G2948)/60&lt;0.2,0.2,(2*G2948)/60)</f>
        <v>0.2</v>
      </c>
      <c r="BM2948" s="380">
        <f>MOD((50000+AD2948-$B$3+(0/24)),1)</f>
        <v>0.86243349158030469</v>
      </c>
      <c r="BN2948" s="381"/>
      <c r="BO2948" s="382">
        <v>2938</v>
      </c>
    </row>
    <row r="2949" spans="1:67" s="24" customFormat="1" ht="15" customHeight="1" x14ac:dyDescent="0.25">
      <c r="A2949" s="288" t="s">
        <v>2762</v>
      </c>
      <c r="B2949" s="241" t="str">
        <f>HYPERLINK(CONCATENATE($AT$3,BK2949,$AU$3),$AV$3)</f>
        <v>S</v>
      </c>
      <c r="C2949" s="242" t="str">
        <f>HYPERLINK(CONCATENATE($AT$4,BK2949,$AU$4,BL2949),$AV$4)</f>
        <v>A</v>
      </c>
      <c r="D2949" s="243" t="s">
        <v>5638</v>
      </c>
      <c r="E2949" s="244" t="s">
        <v>5192</v>
      </c>
      <c r="F2949" s="269" t="s">
        <v>8670</v>
      </c>
      <c r="G2949" s="273">
        <v>2.4</v>
      </c>
      <c r="H2949" s="283">
        <v>170</v>
      </c>
      <c r="I2949" s="246">
        <v>120</v>
      </c>
      <c r="J2949" s="246">
        <v>2</v>
      </c>
      <c r="K2949" s="247" t="s">
        <v>5329</v>
      </c>
      <c r="L2949" s="248">
        <v>154841</v>
      </c>
      <c r="M2949" s="249">
        <f>15*(LEFT(TEXT($L2949,"000000"),2)+(MID(TEXT($L2949,"000000"),3,2)/60)+(RIGHT(TEXT($L2949,"000000"),2)/3600))</f>
        <v>237.17083333333332</v>
      </c>
      <c r="N2949" s="250">
        <v>215209</v>
      </c>
      <c r="O2949" s="251">
        <f>IF($N2949&gt;0,(LEFT(TEXT($N2949,"000000"),2)+(MID(TEXT($N2949,"000000"),3,2)/60)+(RIGHT(TEXT($N2949,"000000"),2)/3600)),-(MID(TEXT($N2949,"000000"),2,2)+(MID(TEXT($N2949,"000000"),4,2)/60)+(RIGHT(TEXT($N2949,"000000"),2)/3600)))</f>
        <v>21.869166666666668</v>
      </c>
      <c r="P2949" s="252" t="s">
        <v>115</v>
      </c>
      <c r="Q2949" s="253"/>
      <c r="R2949" s="247" t="s">
        <v>3293</v>
      </c>
      <c r="S2949" s="272" t="s">
        <v>3293</v>
      </c>
      <c r="T2949" s="273">
        <v>14.3</v>
      </c>
      <c r="U2949" s="274"/>
      <c r="V2949" s="280">
        <v>90</v>
      </c>
      <c r="W2949" s="244"/>
      <c r="X2949" s="244"/>
      <c r="Y2949" s="362"/>
      <c r="Z2949" s="257">
        <f>altaz(J2000_Bas,$O2949,$M2949,DecLat,DecLong,1)</f>
        <v>45.683343610391489</v>
      </c>
      <c r="AA2949" s="257">
        <f>altaz((J2000_Bas+(2*0.04167)),$O2949,$M2949,DecLat,DecLong,1)</f>
        <v>20.167820376165277</v>
      </c>
      <c r="AB2949" s="257">
        <f>altaz((J2000_Bas+(4*0.04167)),$O2949,$M2949,DecLat,DecLong,1)</f>
        <v>-3.8502933151523373</v>
      </c>
      <c r="AC2949" s="257">
        <f>altaz((J2000_Bas+(6*0.04167)),$O2949,$M2949,DecLat,DecLong,1)</f>
        <v>-24.160256076418687</v>
      </c>
      <c r="AD2949" s="258">
        <f>1+ transit((J2000_Bas-1),$O2949,$M2949,DecLat,DecLong)/360 + (GMTOffset/24) + (IF(DST="Y", 1, 0)/24)</f>
        <v>1.6517077651192913</v>
      </c>
      <c r="AE2949" s="259">
        <f>DATE(2001,9,21)+(M2949/360)*365 - (360*((DecLong/360)- (GMTOffset/24) ))</f>
        <v>37400.464872685188</v>
      </c>
      <c r="AF2949" s="260">
        <f>IF(DecLat&gt;0,IF((90 - (DecLat-O2949))&gt;90, (90 - (O2949-DecLat)), (90 - (DecLat-O2949))),IF((90 + (DecLat-O2949))&gt;90, (90 + (O2949-DecLat)), (90 + (DecLat-O2949))))</f>
        <v>80.869166666666672</v>
      </c>
      <c r="AG2949" s="257">
        <f>angularseperation(MoonRA,MoonDec,$M2949,$O2949)</f>
        <v>50.327027063344111</v>
      </c>
      <c r="AH2949" s="261">
        <f ca="1">MIN(100,IF($O$5&gt;80,0+30*($AG2949/100),IF($O$5&gt;70,0+50*($AG2949/100),IF($O$5&gt;60,5+50*($AG2949/100),IF($O$5&gt;50,10+60*($AG2949/100),IF($O$5&gt;40,15+70*($AG2949/100),IF($O$5&gt;30,20+70*($AG2949/100),IF($O$5&gt;20,40+55*($AG2949/100),(80+(20-$O$5)+30*($AG2949/100))))))))))</f>
        <v>98.369168463153656</v>
      </c>
      <c r="AI2949" s="262"/>
      <c r="AJ2949" s="262"/>
      <c r="AK2949" s="262"/>
      <c r="AL2949" s="263"/>
      <c r="AM2949" s="264"/>
      <c r="AN2949" s="263"/>
      <c r="AO2949" s="263"/>
      <c r="AP2949" s="265"/>
      <c r="AQ2949" s="265">
        <v>10043</v>
      </c>
      <c r="AR2949" s="267">
        <v>56094</v>
      </c>
      <c r="AS2949" s="263"/>
      <c r="AT2949" s="263"/>
      <c r="AU2949" s="263"/>
      <c r="AV2949" s="264"/>
      <c r="AW2949" s="263"/>
      <c r="AX2949" s="263"/>
      <c r="AY2949" s="263"/>
      <c r="AZ2949" s="263"/>
      <c r="BA2949" s="263"/>
      <c r="BB2949" s="263"/>
      <c r="BC2949" s="263"/>
      <c r="BD2949" s="264"/>
      <c r="BE2949" s="263"/>
      <c r="BF2949" s="263"/>
      <c r="BG2949" s="263"/>
      <c r="BH2949" s="263"/>
      <c r="BI2949" s="263"/>
      <c r="BJ2949" s="404">
        <f>altaz(J2000_Bas,$O2949,$M2949,DecLat,DecLong,2)</f>
        <v>270.3811854774637</v>
      </c>
      <c r="BK2949" s="378" t="s">
        <v>2762</v>
      </c>
      <c r="BL2949" s="379">
        <f>IF((2*G2949)/60&lt;0.2,0.2,(2*G2949)/60)</f>
        <v>0.2</v>
      </c>
      <c r="BM2949" s="380">
        <f>MOD((50000+AD2949-$B$3+(0/24)),1)</f>
        <v>0.86707469482644228</v>
      </c>
      <c r="BN2949" s="381"/>
      <c r="BO2949" s="382">
        <v>2939</v>
      </c>
    </row>
    <row r="2950" spans="1:67" s="24" customFormat="1" ht="15" customHeight="1" x14ac:dyDescent="0.25">
      <c r="A2950" s="288" t="s">
        <v>2763</v>
      </c>
      <c r="B2950" s="241" t="str">
        <f>HYPERLINK(CONCATENATE($AT$3,BK2950,$AU$3),$AV$3)</f>
        <v>S</v>
      </c>
      <c r="C2950" s="242" t="str">
        <f>HYPERLINK(CONCATENATE($AT$4,BK2950,$AU$4,BL2950),$AV$4)</f>
        <v>A</v>
      </c>
      <c r="D2950" s="243" t="s">
        <v>5638</v>
      </c>
      <c r="E2950" s="244" t="s">
        <v>5192</v>
      </c>
      <c r="F2950" s="269" t="s">
        <v>8670</v>
      </c>
      <c r="G2950" s="273">
        <v>1.5</v>
      </c>
      <c r="H2950" s="283">
        <v>360</v>
      </c>
      <c r="I2950" s="246">
        <v>160</v>
      </c>
      <c r="J2950" s="246">
        <v>2</v>
      </c>
      <c r="K2950" s="247" t="s">
        <v>5330</v>
      </c>
      <c r="L2950" s="248">
        <v>161245</v>
      </c>
      <c r="M2950" s="249">
        <f>15*(LEFT(TEXT($L2950,"000000"),2)+(MID(TEXT($L2950,"000000"),3,2)/60)+(RIGHT(TEXT($L2950,"000000"),2)/3600))</f>
        <v>243.18749999999997</v>
      </c>
      <c r="N2950" s="250">
        <v>281707</v>
      </c>
      <c r="O2950" s="251">
        <f>IF($N2950&gt;0,(LEFT(TEXT($N2950,"000000"),2)+(MID(TEXT($N2950,"000000"),3,2)/60)+(RIGHT(TEXT($N2950,"000000"),2)/3600)),-(MID(TEXT($N2950,"000000"),2,2)+(MID(TEXT($N2950,"000000"),4,2)/60)+(RIGHT(TEXT($N2950,"000000"),2)/3600)))</f>
        <v>28.285277777777779</v>
      </c>
      <c r="P2950" s="252" t="s">
        <v>198</v>
      </c>
      <c r="Q2950" s="253"/>
      <c r="R2950" s="247" t="s">
        <v>3293</v>
      </c>
      <c r="S2950" s="272" t="s">
        <v>3293</v>
      </c>
      <c r="T2950" s="273">
        <v>14.7</v>
      </c>
      <c r="U2950" s="274"/>
      <c r="V2950" s="280">
        <v>90</v>
      </c>
      <c r="W2950" s="244"/>
      <c r="X2950" s="244"/>
      <c r="Y2950" s="362"/>
      <c r="Z2950" s="257">
        <f>altaz(J2000_Bas,$O2950,$M2950,DecLat,DecLong,1)</f>
        <v>52.916355149849757</v>
      </c>
      <c r="AA2950" s="257">
        <f>altaz((J2000_Bas+(2*0.04167)),$O2950,$M2950,DecLat,DecLong,1)</f>
        <v>27.775532247511194</v>
      </c>
      <c r="AB2950" s="257">
        <f>altaz((J2000_Bas+(4*0.04167)),$O2950,$M2950,DecLat,DecLong,1)</f>
        <v>4.2703021266356007</v>
      </c>
      <c r="AC2950" s="257">
        <f>altaz((J2000_Bas+(6*0.04167)),$O2950,$M2950,DecLat,DecLong,1)</f>
        <v>-15.747098202177916</v>
      </c>
      <c r="AD2950" s="258">
        <f>1+ transit((J2000_Bas-1),$O2950,$M2950,DecLat,DecLong)/360 + (GMTOffset/24) + (IF(DST="Y", 1, 0)/24)</f>
        <v>1.6684207264109581</v>
      </c>
      <c r="AE2950" s="259">
        <f>DATE(2001,9,21)+(M2950/360)*365 - (360*((DecLong/360)- (GMTOffset/24) ))</f>
        <v>37406.565104166664</v>
      </c>
      <c r="AF2950" s="260">
        <f>IF(DecLat&gt;0,IF((90 - (DecLat-O2950))&gt;90, (90 - (O2950-DecLat)), (90 - (DecLat-O2950))),IF((90 + (DecLat-O2950))&gt;90, (90 + (O2950-DecLat)), (90 + (DecLat-O2950))))</f>
        <v>87.285277777777779</v>
      </c>
      <c r="AG2950" s="257">
        <f>angularseperation(MoonRA,MoonDec,$M2950,$O2950)</f>
        <v>55.673330992612534</v>
      </c>
      <c r="AH2950" s="261">
        <f ca="1">MIN(100,IF($O$5&gt;80,0+30*($AG2950/100),IF($O$5&gt;70,0+50*($AG2950/100),IF($O$5&gt;60,5+50*($AG2950/100),IF($O$5&gt;50,10+60*($AG2950/100),IF($O$5&gt;40,15+70*($AG2950/100),IF($O$5&gt;30,20+70*($AG2950/100),IF($O$5&gt;20,40+55*($AG2950/100),(80+(20-$O$5)+30*($AG2950/100))))))))))</f>
        <v>99.973059641934185</v>
      </c>
      <c r="AI2950" s="262"/>
      <c r="AJ2950" s="262"/>
      <c r="AK2950" s="262"/>
      <c r="AL2950" s="263"/>
      <c r="AM2950" s="264"/>
      <c r="AN2950" s="263"/>
      <c r="AO2950" s="263"/>
      <c r="AP2950" s="265"/>
      <c r="AQ2950" s="265">
        <v>10273</v>
      </c>
      <c r="AR2950" s="267">
        <v>57494</v>
      </c>
      <c r="AS2950" s="263"/>
      <c r="AT2950" s="263"/>
      <c r="AU2950" s="263"/>
      <c r="AV2950" s="264"/>
      <c r="AW2950" s="263"/>
      <c r="AX2950" s="263"/>
      <c r="AY2950" s="263"/>
      <c r="AZ2950" s="263"/>
      <c r="BA2950" s="263"/>
      <c r="BB2950" s="263"/>
      <c r="BC2950" s="263"/>
      <c r="BD2950" s="264"/>
      <c r="BE2950" s="263"/>
      <c r="BF2950" s="263"/>
      <c r="BG2950" s="263"/>
      <c r="BH2950" s="263"/>
      <c r="BI2950" s="263"/>
      <c r="BJ2950" s="404">
        <f>altaz(J2000_Bas,$O2950,$M2950,DecLat,DecLong,2)</f>
        <v>276.99982335045115</v>
      </c>
      <c r="BK2950" s="378" t="s">
        <v>2763</v>
      </c>
      <c r="BL2950" s="379">
        <f>IF((2*G2950)/60&lt;0.2,0.2,(2*G2950)/60)</f>
        <v>0.2</v>
      </c>
      <c r="BM2950" s="380">
        <f>MOD((50000+AD2950-$B$3+(0/24)),1)</f>
        <v>0.88378765611560084</v>
      </c>
      <c r="BN2950" s="381"/>
      <c r="BO2950" s="382">
        <v>2940</v>
      </c>
    </row>
    <row r="2951" spans="1:67" s="24" customFormat="1" ht="15" customHeight="1" x14ac:dyDescent="0.25">
      <c r="A2951" s="287" t="s">
        <v>2764</v>
      </c>
      <c r="B2951" s="241" t="str">
        <f>HYPERLINK(CONCATENATE($AT$3,BK2951,$AU$3),$AV$3)</f>
        <v>S</v>
      </c>
      <c r="C2951" s="242" t="str">
        <f>HYPERLINK(CONCATENATE($AT$4,BK2951,$AU$4,BL2951),$AV$4)</f>
        <v>A</v>
      </c>
      <c r="D2951" s="243" t="s">
        <v>5638</v>
      </c>
      <c r="E2951" s="244" t="s">
        <v>5192</v>
      </c>
      <c r="F2951" s="269" t="s">
        <v>8668</v>
      </c>
      <c r="G2951" s="273">
        <v>5</v>
      </c>
      <c r="H2951" s="283">
        <v>100</v>
      </c>
      <c r="I2951" s="246">
        <v>150</v>
      </c>
      <c r="J2951" s="246">
        <v>2</v>
      </c>
      <c r="K2951" s="247" t="s">
        <v>6401</v>
      </c>
      <c r="L2951" s="248">
        <v>161425</v>
      </c>
      <c r="M2951" s="249">
        <f>15*(LEFT(TEXT($L2951,"000000"),2)+(MID(TEXT($L2951,"000000"),3,2)/60)+(RIGHT(TEXT($L2951,"000000"),2)/3600))</f>
        <v>243.60416666666666</v>
      </c>
      <c r="N2951" s="250">
        <v>-1228</v>
      </c>
      <c r="O2951" s="251">
        <f>IF($N2951&gt;0,(LEFT(TEXT($N2951,"000000"),2)+(MID(TEXT($N2951,"000000"),3,2)/60)+(RIGHT(TEXT($N2951,"000000"),2)/3600)),-(MID(TEXT($N2951,"000000"),2,2)+(MID(TEXT($N2951,"000000"),4,2)/60)+(RIGHT(TEXT($N2951,"000000"),2)/3600)))</f>
        <v>-0.20777777777777778</v>
      </c>
      <c r="P2951" s="252" t="s">
        <v>115</v>
      </c>
      <c r="Q2951" s="253"/>
      <c r="R2951" s="277" t="s">
        <v>3293</v>
      </c>
      <c r="S2951" s="272" t="s">
        <v>3293</v>
      </c>
      <c r="T2951" s="273">
        <v>13</v>
      </c>
      <c r="U2951" s="274"/>
      <c r="V2951" s="280">
        <v>88</v>
      </c>
      <c r="W2951" s="244"/>
      <c r="X2951" s="244"/>
      <c r="Y2951" s="362"/>
      <c r="Z2951" s="257">
        <f>altaz(J2000_Bas,$O2951,$M2951,DecLat,DecLong,1)</f>
        <v>39.133054229999189</v>
      </c>
      <c r="AA2951" s="257">
        <f>altaz((J2000_Bas+(2*0.04167)),$O2951,$M2951,DecLat,DecLong,1)</f>
        <v>14.84044859119307</v>
      </c>
      <c r="AB2951" s="257">
        <f>altaz((J2000_Bas+(4*0.04167)),$O2951,$M2951,DecLat,DecLong,1)</f>
        <v>-10.858137041595528</v>
      </c>
      <c r="AC2951" s="257">
        <f>altaz((J2000_Bas+(6*0.04167)),$O2951,$M2951,DecLat,DecLong,1)</f>
        <v>-35.635967010919174</v>
      </c>
      <c r="AD2951" s="258">
        <f>1+ transit((J2000_Bas-1),$O2951,$M2951,DecLat,DecLong)/360 + (GMTOffset/24) + (IF(DST="Y", 1, 0)/24)</f>
        <v>1.6695781337026248</v>
      </c>
      <c r="AE2951" s="259">
        <f>DATE(2001,9,21)+(M2951/360)*365 - (360*((DecLong/360)- (GMTOffset/24) ))</f>
        <v>37406.987557870372</v>
      </c>
      <c r="AF2951" s="260">
        <f>IF(DecLat&gt;0,IF((90 - (DecLat-O2951))&gt;90, (90 - (O2951-DecLat)), (90 - (DecLat-O2951))),IF((90 + (DecLat-O2951))&gt;90, (90 + (O2951-DecLat)), (90 + (DecLat-O2951))))</f>
        <v>58.792222222222222</v>
      </c>
      <c r="AG2951" s="257">
        <f>angularseperation(MoonRA,MoonDec,$M2951,$O2951)</f>
        <v>27.417119048055035</v>
      </c>
      <c r="AH2951" s="261">
        <f ca="1">MIN(100,IF($O$5&gt;80,0+30*($AG2951/100),IF($O$5&gt;70,0+50*($AG2951/100),IF($O$5&gt;60,5+50*($AG2951/100),IF($O$5&gt;50,10+60*($AG2951/100),IF($O$5&gt;40,15+70*($AG2951/100),IF($O$5&gt;30,20+70*($AG2951/100),IF($O$5&gt;20,40+55*($AG2951/100),(80+(20-$O$5)+30*($AG2951/100))))))))))</f>
        <v>91.496196058566937</v>
      </c>
      <c r="AI2951" s="263"/>
      <c r="AJ2951" s="263"/>
      <c r="AK2951" s="263"/>
      <c r="AL2951" s="263"/>
      <c r="AM2951" s="264"/>
      <c r="AN2951" s="263"/>
      <c r="AO2951" s="263"/>
      <c r="AP2951" s="265"/>
      <c r="AQ2951" s="265">
        <v>10288</v>
      </c>
      <c r="AR2951" s="285">
        <v>57582</v>
      </c>
      <c r="AS2951" s="263"/>
      <c r="AT2951" s="263"/>
      <c r="AU2951" s="263"/>
      <c r="AV2951" s="264"/>
      <c r="AW2951" s="263"/>
      <c r="AX2951" s="263"/>
      <c r="AY2951" s="263"/>
      <c r="AZ2951" s="263"/>
      <c r="BA2951" s="263"/>
      <c r="BB2951" s="263"/>
      <c r="BC2951" s="263"/>
      <c r="BD2951" s="264"/>
      <c r="BE2951" s="263"/>
      <c r="BF2951" s="263"/>
      <c r="BG2951" s="263"/>
      <c r="BH2951" s="263"/>
      <c r="BI2951" s="263"/>
      <c r="BJ2951" s="404">
        <f>altaz(J2000_Bas,$O2951,$M2951,DecLat,DecLong,2)</f>
        <v>240.37401440196086</v>
      </c>
      <c r="BK2951" s="378" t="s">
        <v>2764</v>
      </c>
      <c r="BL2951" s="379">
        <f>IF((2*G2951)/60&lt;0.2,0.2,(2*G2951)/60)</f>
        <v>0.2</v>
      </c>
      <c r="BM2951" s="380">
        <f>MOD((50000+AD2951-$B$3+(0/24)),1)</f>
        <v>0.88494506340794032</v>
      </c>
      <c r="BN2951" s="381"/>
      <c r="BO2951" s="382">
        <v>2941</v>
      </c>
    </row>
    <row r="2952" spans="1:67" s="24" customFormat="1" ht="15" customHeight="1" x14ac:dyDescent="0.25">
      <c r="A2952" s="288" t="s">
        <v>2765</v>
      </c>
      <c r="B2952" s="241" t="str">
        <f>HYPERLINK(CONCATENATE($AT$3,BK2952,$AU$3),$AV$3)</f>
        <v>S</v>
      </c>
      <c r="C2952" s="242" t="str">
        <f>HYPERLINK(CONCATENATE($AT$4,BK2952,$AU$4,BL2952),$AV$4)</f>
        <v>A</v>
      </c>
      <c r="D2952" s="243" t="s">
        <v>5638</v>
      </c>
      <c r="E2952" s="244" t="s">
        <v>5192</v>
      </c>
      <c r="F2952" s="269" t="s">
        <v>6163</v>
      </c>
      <c r="G2952" s="273">
        <v>1.5</v>
      </c>
      <c r="H2952" s="283">
        <v>500</v>
      </c>
      <c r="I2952" s="246">
        <v>220</v>
      </c>
      <c r="J2952" s="246">
        <v>2</v>
      </c>
      <c r="K2952" s="247" t="s">
        <v>5331</v>
      </c>
      <c r="L2952" s="248">
        <v>164552</v>
      </c>
      <c r="M2952" s="249">
        <f>15*(LEFT(TEXT($L2952,"000000"),2)+(MID(TEXT($L2952,"000000"),3,2)/60)+(RIGHT(TEXT($L2952,"000000"),2)/3600))</f>
        <v>251.46666666666664</v>
      </c>
      <c r="N2952" s="250">
        <v>593716</v>
      </c>
      <c r="O2952" s="251">
        <f>IF($N2952&gt;0,(LEFT(TEXT($N2952,"000000"),2)+(MID(TEXT($N2952,"000000"),3,2)/60)+(RIGHT(TEXT($N2952,"000000"),2)/3600)),-(MID(TEXT($N2952,"000000"),2,2)+(MID(TEXT($N2952,"000000"),4,2)/60)+(RIGHT(TEXT($N2952,"000000"),2)/3600)))</f>
        <v>59.621111111111112</v>
      </c>
      <c r="P2952" s="252" t="s">
        <v>34</v>
      </c>
      <c r="Q2952" s="253"/>
      <c r="R2952" s="247" t="s">
        <v>3293</v>
      </c>
      <c r="S2952" s="272" t="s">
        <v>3293</v>
      </c>
      <c r="T2952" s="273">
        <v>14</v>
      </c>
      <c r="U2952" s="274"/>
      <c r="V2952" s="280">
        <v>55</v>
      </c>
      <c r="W2952" s="244"/>
      <c r="X2952" s="244"/>
      <c r="Y2952" s="362"/>
      <c r="Z2952" s="257">
        <f>altaz(J2000_Bas,$O2952,$M2952,DecLat,DecLong,1)</f>
        <v>53.265345496335428</v>
      </c>
      <c r="AA2952" s="257">
        <f>altaz((J2000_Bas+(2*0.04167)),$O2952,$M2952,DecLat,DecLong,1)</f>
        <v>39.058931543403851</v>
      </c>
      <c r="AB2952" s="257">
        <f>altaz((J2000_Bas+(4*0.04167)),$O2952,$M2952,DecLat,DecLong,1)</f>
        <v>24.127362560733751</v>
      </c>
      <c r="AC2952" s="257">
        <f>altaz((J2000_Bas+(6*0.04167)),$O2952,$M2952,DecLat,DecLong,1)</f>
        <v>11.361191702475237</v>
      </c>
      <c r="AD2952" s="258">
        <f>1+ transit((J2000_Bas-1),$O2952,$M2952,DecLat,DecLong)/360 + (GMTOffset/24) + (IF(DST="Y", 1, 0)/24)</f>
        <v>1.6914184092963747</v>
      </c>
      <c r="AE2952" s="259">
        <f>DATE(2001,9,21)+(M2952/360)*365 - (360*((DecLong/360)- (GMTOffset/24) ))</f>
        <v>37414.95925925926</v>
      </c>
      <c r="AF2952" s="260">
        <f>IF(DecLat&gt;0,IF((90 - (DecLat-O2952))&gt;90, (90 - (O2952-DecLat)), (90 - (DecLat-O2952))),IF((90 + (DecLat-O2952))&gt;90, (90 + (O2952-DecLat)), (90 + (DecLat-O2952))))</f>
        <v>61.378888888888888</v>
      </c>
      <c r="AG2952" s="257">
        <f>angularseperation(MoonRA,MoonDec,$M2952,$O2952)</f>
        <v>86.724681726099831</v>
      </c>
      <c r="AH2952" s="261">
        <f ca="1">MIN(100,IF($O$5&gt;80,0+30*($AG2952/100),IF($O$5&gt;70,0+50*($AG2952/100),IF($O$5&gt;60,5+50*($AG2952/100),IF($O$5&gt;50,10+60*($AG2952/100),IF($O$5&gt;40,15+70*($AG2952/100),IF($O$5&gt;30,20+70*($AG2952/100),IF($O$5&gt;20,40+55*($AG2952/100),(80+(20-$O$5)+30*($AG2952/100))))))))))</f>
        <v>100</v>
      </c>
      <c r="AI2952" s="262"/>
      <c r="AJ2952" s="262"/>
      <c r="AK2952" s="262"/>
      <c r="AL2952" s="263"/>
      <c r="AM2952" s="264"/>
      <c r="AN2952" s="263"/>
      <c r="AO2952" s="263"/>
      <c r="AP2952" s="265"/>
      <c r="AQ2952" s="265">
        <v>10548</v>
      </c>
      <c r="AR2952" s="267">
        <v>58928</v>
      </c>
      <c r="AS2952" s="263"/>
      <c r="AT2952" s="263"/>
      <c r="AU2952" s="263"/>
      <c r="AV2952" s="264"/>
      <c r="AW2952" s="263"/>
      <c r="AX2952" s="263"/>
      <c r="AY2952" s="263"/>
      <c r="AZ2952" s="263"/>
      <c r="BA2952" s="263"/>
      <c r="BB2952" s="263"/>
      <c r="BC2952" s="263"/>
      <c r="BD2952" s="264"/>
      <c r="BE2952" s="263"/>
      <c r="BF2952" s="263"/>
      <c r="BG2952" s="263"/>
      <c r="BH2952" s="263"/>
      <c r="BI2952" s="263"/>
      <c r="BJ2952" s="404">
        <f>altaz(J2000_Bas,$O2952,$M2952,DecLat,DecLong,2)</f>
        <v>331.35724284196993</v>
      </c>
      <c r="BK2952" s="378" t="s">
        <v>2765</v>
      </c>
      <c r="BL2952" s="379">
        <f>IF((2*G2952)/60&lt;0.2,0.2,(2*G2952)/60)</f>
        <v>0.2</v>
      </c>
      <c r="BM2952" s="380">
        <f>MOD((50000+AD2952-$B$3+(0/24)),1)</f>
        <v>0.90678533900063485</v>
      </c>
      <c r="BN2952" s="381"/>
      <c r="BO2952" s="382">
        <v>2942</v>
      </c>
    </row>
    <row r="2953" spans="1:67" s="24" customFormat="1" ht="15" customHeight="1" x14ac:dyDescent="0.25">
      <c r="A2953" s="287" t="s">
        <v>3248</v>
      </c>
      <c r="B2953" s="241" t="str">
        <f>HYPERLINK(CONCATENATE($AT$3,BK2953,$AU$3),$AV$3)</f>
        <v>S</v>
      </c>
      <c r="C2953" s="242" t="str">
        <f>HYPERLINK(CONCATENATE($AT$4,BK2953,$AU$4,BL2953),$AV$4)</f>
        <v>A</v>
      </c>
      <c r="D2953" s="243" t="s">
        <v>5638</v>
      </c>
      <c r="E2953" s="244" t="s">
        <v>5192</v>
      </c>
      <c r="F2953" s="269" t="s">
        <v>3306</v>
      </c>
      <c r="G2953" s="273">
        <v>2</v>
      </c>
      <c r="H2953" s="283">
        <v>50</v>
      </c>
      <c r="I2953" s="246">
        <v>30</v>
      </c>
      <c r="J2953" s="246">
        <v>2</v>
      </c>
      <c r="K2953" s="247" t="s">
        <v>6402</v>
      </c>
      <c r="L2953" s="248">
        <v>171851</v>
      </c>
      <c r="M2953" s="249">
        <f>15*(LEFT(TEXT($L2953,"000000"),2)+(MID(TEXT($L2953,"000000"),3,2)/60)+(RIGHT(TEXT($L2953,"000000"),2)/3600))</f>
        <v>259.71250000000003</v>
      </c>
      <c r="N2953" s="250">
        <v>495303</v>
      </c>
      <c r="O2953" s="251">
        <f>IF($N2953&gt;0,(LEFT(TEXT($N2953,"000000"),2)+(MID(TEXT($N2953,"000000"),3,2)/60)+(RIGHT(TEXT($N2953,"000000"),2)/3600)),-(MID(TEXT($N2953,"000000"),2,2)+(MID(TEXT($N2953,"000000"),4,2)/60)+(RIGHT(TEXT($N2953,"000000"),2)/3600)))</f>
        <v>49.884166666666665</v>
      </c>
      <c r="P2953" s="252" t="s">
        <v>111</v>
      </c>
      <c r="Q2953" s="253"/>
      <c r="R2953" s="277" t="s">
        <v>3293</v>
      </c>
      <c r="S2953" s="272" t="s">
        <v>3293</v>
      </c>
      <c r="T2953" s="273">
        <v>13.4</v>
      </c>
      <c r="U2953" s="274"/>
      <c r="V2953" s="280">
        <v>65</v>
      </c>
      <c r="W2953" s="244"/>
      <c r="X2953" s="244"/>
      <c r="Y2953" s="362"/>
      <c r="Z2953" s="257">
        <f>altaz(J2000_Bas,$O2953,$M2953,DecLat,DecLong,1)</f>
        <v>62.753630537237804</v>
      </c>
      <c r="AA2953" s="257">
        <f>altaz((J2000_Bas+(2*0.04167)),$O2953,$M2953,DecLat,DecLong,1)</f>
        <v>44.404145931769335</v>
      </c>
      <c r="AB2953" s="257">
        <f>altaz((J2000_Bas+(4*0.04167)),$O2953,$M2953,DecLat,DecLong,1)</f>
        <v>25.339538423874497</v>
      </c>
      <c r="AC2953" s="257">
        <f>altaz((J2000_Bas+(6*0.04167)),$O2953,$M2953,DecLat,DecLong,1)</f>
        <v>8.4564829718630872</v>
      </c>
      <c r="AD2953" s="258">
        <f>1+ transit((J2000_Bas-1),$O2953,$M2953,DecLat,DecLong)/360 + (GMTOffset/24) + (IF(DST="Y", 1, 0)/24)</f>
        <v>1.7143234995984582</v>
      </c>
      <c r="AE2953" s="259">
        <f>DATE(2001,9,21)+(M2953/360)*365 - (360*((DecLong/360)- (GMTOffset/24) ))</f>
        <v>37423.319618055553</v>
      </c>
      <c r="AF2953" s="260">
        <f>IF(DecLat&gt;0,IF((90 - (DecLat-O2953))&gt;90, (90 - (O2953-DecLat)), (90 - (DecLat-O2953))),IF((90 + (DecLat-O2953))&gt;90, (90 + (O2953-DecLat)), (90 + (DecLat-O2953))))</f>
        <v>71.115833333333342</v>
      </c>
      <c r="AG2953" s="257">
        <f>angularseperation(MoonRA,MoonDec,$M2953,$O2953)</f>
        <v>77.529429698912395</v>
      </c>
      <c r="AH2953" s="261">
        <f ca="1">MIN(100,IF($O$5&gt;80,0+30*($AG2953/100),IF($O$5&gt;70,0+50*($AG2953/100),IF($O$5&gt;60,5+50*($AG2953/100),IF($O$5&gt;50,10+60*($AG2953/100),IF($O$5&gt;40,15+70*($AG2953/100),IF($O$5&gt;30,20+70*($AG2953/100),IF($O$5&gt;20,40+55*($AG2953/100),(80+(20-$O$5)+30*($AG2953/100))))))))))</f>
        <v>100</v>
      </c>
      <c r="AI2953" s="263"/>
      <c r="AJ2953" s="263"/>
      <c r="AK2953" s="263"/>
      <c r="AL2953" s="263"/>
      <c r="AM2953" s="264"/>
      <c r="AN2953" s="263"/>
      <c r="AO2953" s="263"/>
      <c r="AP2953" s="265"/>
      <c r="AQ2953" s="265">
        <v>10806</v>
      </c>
      <c r="AR2953" s="285">
        <v>60052</v>
      </c>
      <c r="AS2953" s="263"/>
      <c r="AT2953" s="263"/>
      <c r="AU2953" s="263"/>
      <c r="AV2953" s="264"/>
      <c r="AW2953" s="263"/>
      <c r="AX2953" s="263"/>
      <c r="AY2953" s="263"/>
      <c r="AZ2953" s="263"/>
      <c r="BA2953" s="263"/>
      <c r="BB2953" s="263"/>
      <c r="BC2953" s="263"/>
      <c r="BD2953" s="264"/>
      <c r="BE2953" s="263"/>
      <c r="BF2953" s="263"/>
      <c r="BG2953" s="263"/>
      <c r="BH2953" s="263"/>
      <c r="BI2953" s="263"/>
      <c r="BJ2953" s="404">
        <f>altaz(J2000_Bas,$O2953,$M2953,DecLat,DecLong,2)</f>
        <v>321.43783337567908</v>
      </c>
      <c r="BK2953" s="378" t="s">
        <v>3248</v>
      </c>
      <c r="BL2953" s="379">
        <f>IF((2*G2953)/60&lt;0.2,0.2,(2*G2953)/60)</f>
        <v>0.2</v>
      </c>
      <c r="BM2953" s="380">
        <f>MOD((50000+AD2953-$B$3+(0/24)),1)</f>
        <v>0.92969042930053547</v>
      </c>
      <c r="BN2953" s="381"/>
      <c r="BO2953" s="382">
        <v>2943</v>
      </c>
    </row>
    <row r="2954" spans="1:67" s="24" customFormat="1" ht="15" customHeight="1" x14ac:dyDescent="0.25">
      <c r="A2954" s="288" t="s">
        <v>2766</v>
      </c>
      <c r="B2954" s="241" t="str">
        <f>HYPERLINK(CONCATENATE($AT$3,BK2954,$AU$3),$AV$3)</f>
        <v>S</v>
      </c>
      <c r="C2954" s="242" t="str">
        <f>HYPERLINK(CONCATENATE($AT$4,BK2954,$AU$4,BL2954),$AV$4)</f>
        <v>A</v>
      </c>
      <c r="D2954" s="243" t="s">
        <v>5638</v>
      </c>
      <c r="E2954" s="244" t="s">
        <v>13</v>
      </c>
      <c r="F2954" s="269"/>
      <c r="G2954" s="276">
        <v>35</v>
      </c>
      <c r="H2954" s="289">
        <v>0.3</v>
      </c>
      <c r="I2954" s="279">
        <v>3</v>
      </c>
      <c r="J2954" s="246">
        <v>1</v>
      </c>
      <c r="K2954" s="247" t="s">
        <v>5332</v>
      </c>
      <c r="L2954" s="248">
        <v>172012</v>
      </c>
      <c r="M2954" s="249">
        <f>15*(LEFT(TEXT($L2954,"000000"),2)+(MID(TEXT($L2954,"000000"),3,2)/60)+(RIGHT(TEXT($L2954,"000000"),2)/3600))</f>
        <v>260.05</v>
      </c>
      <c r="N2954" s="250">
        <v>575455</v>
      </c>
      <c r="O2954" s="251">
        <f>IF($N2954&gt;0,(LEFT(TEXT($N2954,"000000"),2)+(MID(TEXT($N2954,"000000"),3,2)/60)+(RIGHT(TEXT($N2954,"000000"),2)/3600)),-(MID(TEXT($N2954,"000000"),2,2)+(MID(TEXT($N2954,"000000"),4,2)/60)+(RIGHT(TEXT($N2954,"000000"),2)/3600)))</f>
        <v>57.915277777777774</v>
      </c>
      <c r="P2954" s="252" t="s">
        <v>34</v>
      </c>
      <c r="Q2954" s="253" t="s">
        <v>2767</v>
      </c>
      <c r="R2954" s="247" t="s">
        <v>3293</v>
      </c>
      <c r="S2954" s="272" t="s">
        <v>3293</v>
      </c>
      <c r="T2954" s="273">
        <v>10.6</v>
      </c>
      <c r="U2954" s="274"/>
      <c r="V2954" s="280"/>
      <c r="W2954" s="244"/>
      <c r="X2954" s="244"/>
      <c r="Y2954" s="362"/>
      <c r="Z2954" s="257">
        <f>altaz(J2000_Bas,$O2954,$M2954,DecLat,DecLong,1)</f>
        <v>57.753700383423194</v>
      </c>
      <c r="AA2954" s="257">
        <f>altaz((J2000_Bas+(2*0.04167)),$O2954,$M2954,DecLat,DecLong,1)</f>
        <v>43.687982289107168</v>
      </c>
      <c r="AB2954" s="257">
        <f>altaz((J2000_Bas+(4*0.04167)),$O2954,$M2954,DecLat,DecLong,1)</f>
        <v>27.850652306399763</v>
      </c>
      <c r="AC2954" s="257">
        <f>altaz((J2000_Bas+(6*0.04167)),$O2954,$M2954,DecLat,DecLong,1)</f>
        <v>13.609842060346926</v>
      </c>
      <c r="AD2954" s="258">
        <f>1+ transit((J2000_Bas-1),$O2954,$M2954,DecLat,DecLong)/360 + (GMTOffset/24) + (IF(DST="Y", 1, 0)/24)</f>
        <v>1.7152609995047081</v>
      </c>
      <c r="AE2954" s="259">
        <f>DATE(2001,9,21)+(M2954/360)*365 - (360*((DecLong/360)- (GMTOffset/24) ))</f>
        <v>37423.661805555559</v>
      </c>
      <c r="AF2954" s="260">
        <f>IF(DecLat&gt;0,IF((90 - (DecLat-O2954))&gt;90, (90 - (O2954-DecLat)), (90 - (DecLat-O2954))),IF((90 + (DecLat-O2954))&gt;90, (90 + (O2954-DecLat)), (90 + (DecLat-O2954))))</f>
        <v>63.084722222222226</v>
      </c>
      <c r="AG2954" s="257">
        <f>angularseperation(MoonRA,MoonDec,$M2954,$O2954)</f>
        <v>85.481706727659329</v>
      </c>
      <c r="AH2954" s="261">
        <f ca="1">MIN(100,IF($O$5&gt;80,0+30*($AG2954/100),IF($O$5&gt;70,0+50*($AG2954/100),IF($O$5&gt;60,5+50*($AG2954/100),IF($O$5&gt;50,10+60*($AG2954/100),IF($O$5&gt;40,15+70*($AG2954/100),IF($O$5&gt;30,20+70*($AG2954/100),IF($O$5&gt;20,40+55*($AG2954/100),(80+(20-$O$5)+30*($AG2954/100))))))))))</f>
        <v>100</v>
      </c>
      <c r="AI2954" s="262"/>
      <c r="AJ2954" s="262"/>
      <c r="AK2954" s="262"/>
      <c r="AL2954" s="263"/>
      <c r="AM2954" s="264"/>
      <c r="AN2954" s="263"/>
      <c r="AO2954" s="263"/>
      <c r="AP2954" s="265"/>
      <c r="AQ2954" s="265">
        <v>10822</v>
      </c>
      <c r="AR2954" s="267">
        <v>60095</v>
      </c>
      <c r="AS2954" s="263"/>
      <c r="AT2954" s="263"/>
      <c r="AU2954" s="263"/>
      <c r="AV2954" s="264"/>
      <c r="AW2954" s="263"/>
      <c r="AX2954" s="263"/>
      <c r="AY2954" s="263"/>
      <c r="AZ2954" s="263"/>
      <c r="BA2954" s="263"/>
      <c r="BB2954" s="263"/>
      <c r="BC2954" s="263"/>
      <c r="BD2954" s="264"/>
      <c r="BE2954" s="263"/>
      <c r="BF2954" s="263"/>
      <c r="BG2954" s="263"/>
      <c r="BH2954" s="263"/>
      <c r="BI2954" s="263"/>
      <c r="BJ2954" s="404">
        <f>altaz(J2000_Bas,$O2954,$M2954,DecLat,DecLong,2)</f>
        <v>334.17207449087221</v>
      </c>
      <c r="BK2954" s="378" t="s">
        <v>2766</v>
      </c>
      <c r="BL2954" s="379">
        <f>IF((2*G2954)/60&lt;0.2,0.2,(2*G2954)/60)</f>
        <v>1.1666666666666667</v>
      </c>
      <c r="BM2954" s="380">
        <f>MOD((50000+AD2954-$B$3+(0/24)),1)</f>
        <v>0.93062792920682114</v>
      </c>
      <c r="BN2954" s="381" t="s">
        <v>9235</v>
      </c>
      <c r="BO2954" s="382">
        <v>2944</v>
      </c>
    </row>
    <row r="2955" spans="1:67" s="24" customFormat="1" ht="15" customHeight="1" x14ac:dyDescent="0.25">
      <c r="A2955" s="288" t="s">
        <v>2768</v>
      </c>
      <c r="B2955" s="241" t="str">
        <f>HYPERLINK(CONCATENATE($AT$3,BK2955,$AU$3),$AV$3)</f>
        <v>S</v>
      </c>
      <c r="C2955" s="242" t="str">
        <f>HYPERLINK(CONCATENATE($AT$4,BK2955,$AU$4,BL2955),$AV$4)</f>
        <v>A</v>
      </c>
      <c r="D2955" s="243" t="s">
        <v>5638</v>
      </c>
      <c r="E2955" s="244" t="s">
        <v>5337</v>
      </c>
      <c r="F2955" s="269" t="s">
        <v>3319</v>
      </c>
      <c r="G2955" s="270">
        <v>0.8</v>
      </c>
      <c r="H2955" s="283">
        <v>500</v>
      </c>
      <c r="I2955" s="246">
        <v>120</v>
      </c>
      <c r="J2955" s="246">
        <v>1</v>
      </c>
      <c r="K2955" s="247" t="s">
        <v>8606</v>
      </c>
      <c r="L2955" s="248">
        <v>181609</v>
      </c>
      <c r="M2955" s="249">
        <f>15*(LEFT(TEXT($L2955,"000000"),2)+(MID(TEXT($L2955,"000000"),3,2)/60)+(RIGHT(TEXT($L2955,"000000"),2)/3600))</f>
        <v>274.03750000000002</v>
      </c>
      <c r="N2955" s="250">
        <v>423923</v>
      </c>
      <c r="O2955" s="251">
        <f>IF($N2955&gt;0,(LEFT(TEXT($N2955,"000000"),2)+(MID(TEXT($N2955,"000000"),3,2)/60)+(RIGHT(TEXT($N2955,"000000"),2)/3600)),-(MID(TEXT($N2955,"000000"),2,2)+(MID(TEXT($N2955,"000000"),4,2)/60)+(RIGHT(TEXT($N2955,"000000"),2)/3600)))</f>
        <v>42.656388888888884</v>
      </c>
      <c r="P2955" s="252" t="s">
        <v>123</v>
      </c>
      <c r="Q2955" s="253"/>
      <c r="R2955" s="247" t="s">
        <v>3293</v>
      </c>
      <c r="S2955" s="272" t="s">
        <v>3293</v>
      </c>
      <c r="T2955" s="273"/>
      <c r="U2955" s="274"/>
      <c r="V2955" s="280"/>
      <c r="W2955" s="244"/>
      <c r="X2955" s="244"/>
      <c r="Y2955" s="362"/>
      <c r="Z2955" s="257">
        <f>altaz(J2000_Bas,$O2955,$M2955,DecLat,DecLong,1)</f>
        <v>74.945912424740229</v>
      </c>
      <c r="AA2955" s="257">
        <f>altaz((J2000_Bas+(2*0.04167)),$O2955,$M2955,DecLat,DecLong,1)</f>
        <v>54.794827443333418</v>
      </c>
      <c r="AB2955" s="257">
        <f>altaz((J2000_Bas+(4*0.04167)),$O2955,$M2955,DecLat,DecLong,1)</f>
        <v>32.846159064336838</v>
      </c>
      <c r="AC2955" s="257">
        <f>altaz((J2000_Bas+(6*0.04167)),$O2955,$M2955,DecLat,DecLong,1)</f>
        <v>12.449070640381342</v>
      </c>
      <c r="AD2955" s="258">
        <f>1+ transit((J2000_Bas-1),$O2955,$M2955,DecLat,DecLong)/360 + (GMTOffset/24) + (IF(DST="Y", 1, 0)/24)</f>
        <v>1.7541151622859583</v>
      </c>
      <c r="AE2955" s="259">
        <f>DATE(2001,9,21)+(M2955/360)*365 - (360*((DecLong/360)- (GMTOffset/24) ))</f>
        <v>37437.843576388892</v>
      </c>
      <c r="AF2955" s="260">
        <f>IF(DecLat&gt;0,IF((90 - (DecLat-O2955))&gt;90, (90 - (O2955-DecLat)), (90 - (DecLat-O2955))),IF((90 + (DecLat-O2955))&gt;90, (90 + (O2955-DecLat)), (90 + (DecLat-O2955))))</f>
        <v>78.343611111111116</v>
      </c>
      <c r="AG2955" s="257">
        <f>angularseperation(MoonRA,MoonDec,$M2955,$O2955)</f>
        <v>73.386847771242245</v>
      </c>
      <c r="AH2955" s="261">
        <f ca="1">MIN(100,IF($O$5&gt;80,0+30*($AG2955/100),IF($O$5&gt;70,0+50*($AG2955/100),IF($O$5&gt;60,5+50*($AG2955/100),IF($O$5&gt;50,10+60*($AG2955/100),IF($O$5&gt;40,15+70*($AG2955/100),IF($O$5&gt;30,20+70*($AG2955/100),IF($O$5&gt;20,40+55*($AG2955/100),(80+(20-$O$5)+30*($AG2955/100))))))))))</f>
        <v>100</v>
      </c>
      <c r="AI2955" s="262"/>
      <c r="AJ2955" s="262"/>
      <c r="AK2955" s="262"/>
      <c r="AL2955" s="263"/>
      <c r="AM2955" s="264"/>
      <c r="AN2955" s="263"/>
      <c r="AO2955" s="263"/>
      <c r="AP2955" s="265"/>
      <c r="AQ2955" s="265">
        <v>11185</v>
      </c>
      <c r="AR2955" s="267">
        <v>61664</v>
      </c>
      <c r="AS2955" s="263"/>
      <c r="AT2955" s="263"/>
      <c r="AU2955" s="263"/>
      <c r="AV2955" s="264"/>
      <c r="AW2955" s="263"/>
      <c r="AX2955" s="263"/>
      <c r="AY2955" s="263"/>
      <c r="AZ2955" s="263"/>
      <c r="BA2955" s="263"/>
      <c r="BB2955" s="263"/>
      <c r="BC2955" s="263"/>
      <c r="BD2955" s="264"/>
      <c r="BE2955" s="263"/>
      <c r="BF2955" s="263"/>
      <c r="BG2955" s="263"/>
      <c r="BH2955" s="263"/>
      <c r="BI2955" s="263"/>
      <c r="BJ2955" s="404">
        <f>altaz(J2000_Bas,$O2955,$M2955,DecLat,DecLong,2)</f>
        <v>324.05428928202957</v>
      </c>
      <c r="BK2955" s="378" t="s">
        <v>2768</v>
      </c>
      <c r="BL2955" s="379">
        <f>IF((2*G2955)/60&lt;0.2,0.2,(2*G2955)/60)</f>
        <v>0.2</v>
      </c>
      <c r="BM2955" s="380">
        <f>MOD((50000+AD2955-$B$3+(0/24)),1)</f>
        <v>0.96948209199035773</v>
      </c>
      <c r="BN2955" s="381" t="s">
        <v>9278</v>
      </c>
      <c r="BO2955" s="382">
        <v>2945</v>
      </c>
    </row>
    <row r="2956" spans="1:67" s="24" customFormat="1" ht="15" customHeight="1" x14ac:dyDescent="0.25">
      <c r="A2956" s="288" t="s">
        <v>3127</v>
      </c>
      <c r="B2956" s="241" t="str">
        <f>HYPERLINK(CONCATENATE($AT$3,BK2956,$AU$3),$AV$3)</f>
        <v>S</v>
      </c>
      <c r="C2956" s="242" t="str">
        <f>HYPERLINK(CONCATENATE($AT$4,BK2956,$AU$4,BL2956),$AV$4)</f>
        <v>A</v>
      </c>
      <c r="D2956" s="243" t="s">
        <v>5638</v>
      </c>
      <c r="E2956" s="244" t="s">
        <v>5192</v>
      </c>
      <c r="F2956" s="269" t="s">
        <v>8814</v>
      </c>
      <c r="G2956" s="273">
        <v>1.6</v>
      </c>
      <c r="H2956" s="283">
        <v>270</v>
      </c>
      <c r="I2956" s="246">
        <v>130</v>
      </c>
      <c r="J2956" s="246">
        <v>2</v>
      </c>
      <c r="K2956" s="247" t="s">
        <v>5333</v>
      </c>
      <c r="L2956" s="248">
        <v>203216</v>
      </c>
      <c r="M2956" s="249">
        <f>15*(LEFT(TEXT($L2956,"000000"),2)+(MID(TEXT($L2956,"000000"),3,2)/60)+(RIGHT(TEXT($L2956,"000000"),2)/3600))</f>
        <v>308.06666666666672</v>
      </c>
      <c r="N2956" s="250">
        <v>-21454</v>
      </c>
      <c r="O2956" s="251">
        <f>IF($N2956&gt;0,(LEFT(TEXT($N2956,"000000"),2)+(MID(TEXT($N2956,"000000"),3,2)/60)+(RIGHT(TEXT($N2956,"000000"),2)/3600)),-(MID(TEXT($N2956,"000000"),2,2)+(MID(TEXT($N2956,"000000"),4,2)/60)+(RIGHT(TEXT($N2956,"000000"),2)/3600)))</f>
        <v>-2.2483333333333335</v>
      </c>
      <c r="P2956" s="252" t="s">
        <v>126</v>
      </c>
      <c r="Q2956" s="253"/>
      <c r="R2956" s="277" t="s">
        <v>3293</v>
      </c>
      <c r="S2956" s="272" t="s">
        <v>3293</v>
      </c>
      <c r="T2956" s="273">
        <v>14.3</v>
      </c>
      <c r="U2956" s="274"/>
      <c r="V2956" s="280">
        <v>10</v>
      </c>
      <c r="W2956" s="244"/>
      <c r="X2956" s="244"/>
      <c r="Y2956" s="362"/>
      <c r="Z2956" s="257">
        <f>altaz(J2000_Bas,$O2956,$M2956,DecLat,DecLong,1)</f>
        <v>50.676053161778121</v>
      </c>
      <c r="AA2956" s="257">
        <f>altaz((J2000_Bas+(2*0.04167)),$O2956,$M2956,DecLat,DecLong,1)</f>
        <v>55.886061343904935</v>
      </c>
      <c r="AB2956" s="257">
        <f>altaz((J2000_Bas+(4*0.04167)),$O2956,$M2956,DecLat,DecLong,1)</f>
        <v>40.825981186543544</v>
      </c>
      <c r="AC2956" s="257">
        <f>altaz((J2000_Bas+(6*0.04167)),$O2956,$M2956,DecLat,DecLong,1)</f>
        <v>17.338624864447475</v>
      </c>
      <c r="AD2956" s="258">
        <f>1+ transit((J2000_Bas-1),$O2956,$M2956,DecLat,DecLong)/360 + (GMTOffset/24) + (IF(DST="Y", 1, 0)/24)</f>
        <v>1.8486406157963751</v>
      </c>
      <c r="AE2956" s="259">
        <f>DATE(2001,9,21)+(M2956/360)*365 - (360*((DecLong/360)- (GMTOffset/24) ))</f>
        <v>37472.345370370371</v>
      </c>
      <c r="AF2956" s="260">
        <f>IF(DecLat&gt;0,IF((90 - (DecLat-O2956))&gt;90, (90 - (O2956-DecLat)), (90 - (DecLat-O2956))),IF((90 + (DecLat-O2956))&gt;90, (90 + (O2956-DecLat)), (90 + (DecLat-O2956))))</f>
        <v>56.751666666666665</v>
      </c>
      <c r="AG2956" s="257">
        <f>angularseperation(MoonRA,MoonDec,$M2956,$O2956)</f>
        <v>61.419203087348272</v>
      </c>
      <c r="AH2956" s="261">
        <f ca="1">MIN(100,IF($O$5&gt;80,0+30*($AG2956/100),IF($O$5&gt;70,0+50*($AG2956/100),IF($O$5&gt;60,5+50*($AG2956/100),IF($O$5&gt;50,10+60*($AG2956/100),IF($O$5&gt;40,15+70*($AG2956/100),IF($O$5&gt;30,20+70*($AG2956/100),IF($O$5&gt;20,40+55*($AG2956/100),(80+(20-$O$5)+30*($AG2956/100))))))))))</f>
        <v>100</v>
      </c>
      <c r="AI2956" s="263"/>
      <c r="AJ2956" s="263"/>
      <c r="AK2956" s="263"/>
      <c r="AL2956" s="263"/>
      <c r="AM2956" s="264"/>
      <c r="AN2956" s="263"/>
      <c r="AO2956" s="263"/>
      <c r="AP2956" s="265"/>
      <c r="AQ2956" s="265">
        <v>11585</v>
      </c>
      <c r="AR2956" s="285">
        <v>64910</v>
      </c>
      <c r="AS2956" s="263"/>
      <c r="AT2956" s="263"/>
      <c r="AU2956" s="263"/>
      <c r="AV2956" s="264"/>
      <c r="AW2956" s="263"/>
      <c r="AX2956" s="263"/>
      <c r="AY2956" s="263"/>
      <c r="AZ2956" s="263"/>
      <c r="BA2956" s="263"/>
      <c r="BB2956" s="263"/>
      <c r="BC2956" s="263"/>
      <c r="BD2956" s="264"/>
      <c r="BE2956" s="263"/>
      <c r="BF2956" s="263"/>
      <c r="BG2956" s="263"/>
      <c r="BH2956" s="263"/>
      <c r="BI2956" s="263"/>
      <c r="BJ2956" s="404">
        <f>altaz(J2000_Bas,$O2956,$M2956,DecLat,DecLong,2)</f>
        <v>143.67843104576579</v>
      </c>
      <c r="BK2956" s="378" t="s">
        <v>3127</v>
      </c>
      <c r="BL2956" s="379">
        <f>IF((2*G2956)/60&lt;0.2,0.2,(2*G2956)/60)</f>
        <v>0.2</v>
      </c>
      <c r="BM2956" s="380">
        <f>MOD((50000+AD2956-$B$3+(0/24)),1)</f>
        <v>6.4007545501226559E-2</v>
      </c>
      <c r="BN2956" s="381"/>
      <c r="BO2956" s="382">
        <v>2946</v>
      </c>
    </row>
    <row r="2957" spans="1:67" s="24" customFormat="1" ht="15" customHeight="1" x14ac:dyDescent="0.25">
      <c r="A2957" s="288" t="s">
        <v>2769</v>
      </c>
      <c r="B2957" s="241" t="str">
        <f>HYPERLINK(CONCATENATE($AT$3,BK2957,$AU$3),$AV$3)</f>
        <v>S</v>
      </c>
      <c r="C2957" s="242" t="str">
        <f>HYPERLINK(CONCATENATE($AT$4,BK2957,$AU$4,BL2957),$AV$4)</f>
        <v>A</v>
      </c>
      <c r="D2957" s="243" t="s">
        <v>5638</v>
      </c>
      <c r="E2957" s="244" t="s">
        <v>5337</v>
      </c>
      <c r="F2957" s="269" t="s">
        <v>9120</v>
      </c>
      <c r="G2957" s="273">
        <v>1.5</v>
      </c>
      <c r="H2957" s="283">
        <v>370</v>
      </c>
      <c r="I2957" s="246">
        <v>160</v>
      </c>
      <c r="J2957" s="246">
        <v>2</v>
      </c>
      <c r="K2957" s="247" t="s">
        <v>8614</v>
      </c>
      <c r="L2957" s="248">
        <v>220042</v>
      </c>
      <c r="M2957" s="249">
        <f>15*(LEFT(TEXT($L2957,"000000"),2)+(MID(TEXT($L2957,"000000"),3,2)/60)+(RIGHT(TEXT($L2957,"000000"),2)/3600))</f>
        <v>330.17500000000001</v>
      </c>
      <c r="N2957" s="250">
        <v>103259</v>
      </c>
      <c r="O2957" s="251">
        <f>IF($N2957&gt;0,(LEFT(TEXT($N2957,"000000"),2)+(MID(TEXT($N2957,"000000"),3,2)/60)+(RIGHT(TEXT($N2957,"000000"),2)/3600)),-(MID(TEXT($N2957,"000000"),2,2)+(MID(TEXT($N2957,"000000"),4,2)/60)+(RIGHT(TEXT($N2957,"000000"),2)/3600)))</f>
        <v>10.549722222222222</v>
      </c>
      <c r="P2957" s="252" t="s">
        <v>39</v>
      </c>
      <c r="Q2957" s="253"/>
      <c r="R2957" s="247" t="s">
        <v>3293</v>
      </c>
      <c r="S2957" s="272" t="s">
        <v>3293</v>
      </c>
      <c r="T2957" s="273">
        <v>14</v>
      </c>
      <c r="U2957" s="274"/>
      <c r="V2957" s="280"/>
      <c r="W2957" s="244"/>
      <c r="X2957" s="244"/>
      <c r="Y2957" s="362"/>
      <c r="Z2957" s="257">
        <f>altaz(J2000_Bas,$O2957,$M2957,DecLat,DecLong,1)</f>
        <v>44.323256658130113</v>
      </c>
      <c r="AA2957" s="257">
        <f>altaz((J2000_Bas+(2*0.04167)),$O2957,$M2957,DecLat,DecLong,1)</f>
        <v>65.731746524790992</v>
      </c>
      <c r="AB2957" s="257">
        <f>altaz((J2000_Bas+(4*0.04167)),$O2957,$M2957,DecLat,DecLong,1)</f>
        <v>64.73522966027447</v>
      </c>
      <c r="AC2957" s="257">
        <f>altaz((J2000_Bas+(6*0.04167)),$O2957,$M2957,DecLat,DecLong,1)</f>
        <v>42.750782603940799</v>
      </c>
      <c r="AD2957" s="258">
        <f>1+ transit((J2000_Bas-1),$O2957,$M2957,DecLat,DecLong)/360 + (GMTOffset/24) + (IF(DST="Y", 1, 0)/24)</f>
        <v>1.9100526466922083</v>
      </c>
      <c r="AE2957" s="259">
        <f>DATE(2001,9,21)+(M2957/360)*365 - (360*((DecLong/360)- (GMTOffset/24) ))</f>
        <v>37494.760763888888</v>
      </c>
      <c r="AF2957" s="260">
        <f>IF(DecLat&gt;0,IF((90 - (DecLat-O2957))&gt;90, (90 - (O2957-DecLat)), (90 - (DecLat-O2957))),IF((90 + (DecLat-O2957))&gt;90, (90 + (O2957-DecLat)), (90 + (DecLat-O2957))))</f>
        <v>69.549722222222215</v>
      </c>
      <c r="AG2957" s="257">
        <f>angularseperation(MoonRA,MoonDec,$M2957,$O2957)</f>
        <v>86.871526200446993</v>
      </c>
      <c r="AH2957" s="261">
        <f ca="1">MIN(100,IF($O$5&gt;80,0+30*($AG2957/100),IF($O$5&gt;70,0+50*($AG2957/100),IF($O$5&gt;60,5+50*($AG2957/100),IF($O$5&gt;50,10+60*($AG2957/100),IF($O$5&gt;40,15+70*($AG2957/100),IF($O$5&gt;30,20+70*($AG2957/100),IF($O$5&gt;20,40+55*($AG2957/100),(80+(20-$O$5)+30*($AG2957/100))))))))))</f>
        <v>100</v>
      </c>
      <c r="AI2957" s="262"/>
      <c r="AJ2957" s="262"/>
      <c r="AK2957" s="262"/>
      <c r="AL2957" s="263"/>
      <c r="AM2957" s="264"/>
      <c r="AN2957" s="263"/>
      <c r="AO2957" s="263"/>
      <c r="AP2957" s="265"/>
      <c r="AQ2957" s="265">
        <v>11871</v>
      </c>
      <c r="AR2957" s="267">
        <v>67822</v>
      </c>
      <c r="AS2957" s="263"/>
      <c r="AT2957" s="263"/>
      <c r="AU2957" s="263"/>
      <c r="AV2957" s="264"/>
      <c r="AW2957" s="263"/>
      <c r="AX2957" s="263"/>
      <c r="AY2957" s="263"/>
      <c r="AZ2957" s="263"/>
      <c r="BA2957" s="263"/>
      <c r="BB2957" s="263"/>
      <c r="BC2957" s="263"/>
      <c r="BD2957" s="264"/>
      <c r="BE2957" s="263"/>
      <c r="BF2957" s="263"/>
      <c r="BG2957" s="263"/>
      <c r="BH2957" s="263"/>
      <c r="BI2957" s="263"/>
      <c r="BJ2957" s="404">
        <f>altaz(J2000_Bas,$O2957,$M2957,DecLat,DecLong,2)</f>
        <v>106.75410330742277</v>
      </c>
      <c r="BK2957" s="378" t="s">
        <v>2769</v>
      </c>
      <c r="BL2957" s="379">
        <f>IF((2*G2957)/60&lt;0.2,0.2,(2*G2957)/60)</f>
        <v>0.2</v>
      </c>
      <c r="BM2957" s="380">
        <f>MOD((50000+AD2957-$B$3+(0/24)),1)</f>
        <v>0.12541957639768953</v>
      </c>
      <c r="BN2957" s="381" t="s">
        <v>9281</v>
      </c>
      <c r="BO2957" s="382">
        <v>2947</v>
      </c>
    </row>
    <row r="2958" spans="1:67" s="24" customFormat="1" ht="15" customHeight="1" x14ac:dyDescent="0.25">
      <c r="A2958" s="288" t="s">
        <v>2770</v>
      </c>
      <c r="B2958" s="241" t="str">
        <f>HYPERLINK(CONCATENATE($AT$3,BK2958,$AU$3),$AV$3)</f>
        <v>S</v>
      </c>
      <c r="C2958" s="242" t="str">
        <f>HYPERLINK(CONCATENATE($AT$4,BK2958,$AU$4,BL2958),$AV$4)</f>
        <v>A</v>
      </c>
      <c r="D2958" s="243" t="s">
        <v>5638</v>
      </c>
      <c r="E2958" s="244" t="s">
        <v>5337</v>
      </c>
      <c r="F2958" s="269" t="s">
        <v>9133</v>
      </c>
      <c r="G2958" s="270">
        <v>0.5</v>
      </c>
      <c r="H2958" s="283">
        <v>350</v>
      </c>
      <c r="I2958" s="246">
        <v>50</v>
      </c>
      <c r="J2958" s="246">
        <v>1</v>
      </c>
      <c r="K2958" s="247" t="s">
        <v>8450</v>
      </c>
      <c r="L2958" s="248">
        <v>220555</v>
      </c>
      <c r="M2958" s="249">
        <f>15*(LEFT(TEXT($L2958,"000000"),2)+(MID(TEXT($L2958,"000000"),3,2)/60)+(RIGHT(TEXT($L2958,"000000"),2)/3600))</f>
        <v>331.47916666666669</v>
      </c>
      <c r="N2958" s="250">
        <v>203822</v>
      </c>
      <c r="O2958" s="251">
        <f>IF($N2958&gt;0,(LEFT(TEXT($N2958,"000000"),2)+(MID(TEXT($N2958,"000000"),3,2)/60)+(RIGHT(TEXT($N2958,"000000"),2)/3600)),-(MID(TEXT($N2958,"000000"),2,2)+(MID(TEXT($N2958,"000000"),4,2)/60)+(RIGHT(TEXT($N2958,"000000"),2)/3600)))</f>
        <v>20.639444444444443</v>
      </c>
      <c r="P2958" s="252" t="s">
        <v>39</v>
      </c>
      <c r="Q2958" s="253"/>
      <c r="R2958" s="247" t="s">
        <v>3293</v>
      </c>
      <c r="S2958" s="272" t="s">
        <v>3293</v>
      </c>
      <c r="T2958" s="273">
        <v>14.5</v>
      </c>
      <c r="U2958" s="274"/>
      <c r="V2958" s="280"/>
      <c r="W2958" s="244"/>
      <c r="X2958" s="244"/>
      <c r="Y2958" s="362"/>
      <c r="Z2958" s="257">
        <f>altaz(J2000_Bas,$O2958,$M2958,DecLat,DecLong,1)</f>
        <v>48.074440760331505</v>
      </c>
      <c r="AA2958" s="257">
        <f>altaz((J2000_Bas+(2*0.04167)),$O2958,$M2958,DecLat,DecLong,1)</f>
        <v>72.731535113285517</v>
      </c>
      <c r="AB2958" s="257">
        <f>altaz((J2000_Bas+(4*0.04167)),$O2958,$M2958,DecLat,DecLong,1)</f>
        <v>73.229016459712</v>
      </c>
      <c r="AC2958" s="257">
        <f>altaz((J2000_Bas+(6*0.04167)),$O2958,$M2958,DecLat,DecLong,1)</f>
        <v>48.673005688362288</v>
      </c>
      <c r="AD2958" s="258">
        <f>1+ transit((J2000_Bas-1),$O2958,$M2958,DecLat,DecLong)/360 + (GMTOffset/24) + (IF(DST="Y", 1, 0)/24)</f>
        <v>1.9136753315151249</v>
      </c>
      <c r="AE2958" s="259">
        <f>DATE(2001,9,21)+(M2958/360)*365 - (360*((DecLong/360)- (GMTOffset/24) ))</f>
        <v>37496.083043981482</v>
      </c>
      <c r="AF2958" s="260">
        <f>IF(DecLat&gt;0,IF((90 - (DecLat-O2958))&gt;90, (90 - (O2958-DecLat)), (90 - (DecLat-O2958))),IF((90 + (DecLat-O2958))&gt;90, (90 + (O2958-DecLat)), (90 + (DecLat-O2958))))</f>
        <v>79.63944444444445</v>
      </c>
      <c r="AG2958" s="257">
        <f>angularseperation(MoonRA,MoonDec,$M2958,$O2958)</f>
        <v>92.748119364022671</v>
      </c>
      <c r="AH2958" s="261">
        <f ca="1">MIN(100,IF($O$5&gt;80,0+30*($AG2958/100),IF($O$5&gt;70,0+50*($AG2958/100),IF($O$5&gt;60,5+50*($AG2958/100),IF($O$5&gt;50,10+60*($AG2958/100),IF($O$5&gt;40,15+70*($AG2958/100),IF($O$5&gt;30,20+70*($AG2958/100),IF($O$5&gt;20,40+55*($AG2958/100),(80+(20-$O$5)+30*($AG2958/100))))))))))</f>
        <v>100</v>
      </c>
      <c r="AI2958" s="262"/>
      <c r="AJ2958" s="262"/>
      <c r="AK2958" s="262"/>
      <c r="AL2958" s="263"/>
      <c r="AM2958" s="264"/>
      <c r="AN2958" s="263"/>
      <c r="AO2958" s="263"/>
      <c r="AP2958" s="265"/>
      <c r="AQ2958" s="265">
        <v>11905</v>
      </c>
      <c r="AR2958" s="267">
        <v>68019</v>
      </c>
      <c r="AS2958" s="263"/>
      <c r="AT2958" s="263"/>
      <c r="AU2958" s="263"/>
      <c r="AV2958" s="264"/>
      <c r="AW2958" s="263"/>
      <c r="AX2958" s="263"/>
      <c r="AY2958" s="263"/>
      <c r="AZ2958" s="263"/>
      <c r="BA2958" s="263"/>
      <c r="BB2958" s="263"/>
      <c r="BC2958" s="263"/>
      <c r="BD2958" s="264"/>
      <c r="BE2958" s="263"/>
      <c r="BF2958" s="263"/>
      <c r="BG2958" s="263"/>
      <c r="BH2958" s="263"/>
      <c r="BI2958" s="263"/>
      <c r="BJ2958" s="404">
        <f>altaz(J2000_Bas,$O2958,$M2958,DecLat,DecLong,2)</f>
        <v>93.073634819465212</v>
      </c>
      <c r="BK2958" s="378" t="s">
        <v>2770</v>
      </c>
      <c r="BL2958" s="379">
        <f>IF((2*G2958)/60&lt;0.2,0.2,(2*G2958)/60)</f>
        <v>0.2</v>
      </c>
      <c r="BM2958" s="380">
        <f>MOD((50000+AD2958-$B$3+(0/24)),1)</f>
        <v>0.12904226122191176</v>
      </c>
      <c r="BN2958" s="381" t="s">
        <v>9281</v>
      </c>
      <c r="BO2958" s="382">
        <v>2948</v>
      </c>
    </row>
    <row r="2959" spans="1:67" s="24" customFormat="1" ht="15" customHeight="1" x14ac:dyDescent="0.25">
      <c r="A2959" s="288" t="s">
        <v>3128</v>
      </c>
      <c r="B2959" s="241" t="str">
        <f>HYPERLINK(CONCATENATE($AT$3,BK2959,$AU$3),$AV$3)</f>
        <v>S</v>
      </c>
      <c r="C2959" s="242" t="str">
        <f>HYPERLINK(CONCATENATE($AT$4,BK2959,$AU$4,BL2959),$AV$4)</f>
        <v>A</v>
      </c>
      <c r="D2959" s="243" t="s">
        <v>5638</v>
      </c>
      <c r="E2959" s="244" t="s">
        <v>5182</v>
      </c>
      <c r="F2959" s="269" t="s">
        <v>8933</v>
      </c>
      <c r="G2959" s="273">
        <v>1</v>
      </c>
      <c r="H2959" s="283">
        <v>300</v>
      </c>
      <c r="I2959" s="246">
        <v>90</v>
      </c>
      <c r="J2959" s="246">
        <v>2</v>
      </c>
      <c r="K2959" s="247" t="s">
        <v>5348</v>
      </c>
      <c r="L2959" s="248">
        <v>222706</v>
      </c>
      <c r="M2959" s="249">
        <f>15*(LEFT(TEXT($L2959,"000000"),2)+(MID(TEXT($L2959,"000000"),3,2)/60)+(RIGHT(TEXT($L2959,"000000"),2)/3600))</f>
        <v>336.77499999999998</v>
      </c>
      <c r="N2959" s="250">
        <v>362136</v>
      </c>
      <c r="O2959" s="251">
        <f>IF($N2959&gt;0,(LEFT(TEXT($N2959,"000000"),2)+(MID(TEXT($N2959,"000000"),3,2)/60)+(RIGHT(TEXT($N2959,"000000"),2)/3600)),-(MID(TEXT($N2959,"000000"),2,2)+(MID(TEXT($N2959,"000000"),4,2)/60)+(RIGHT(TEXT($N2959,"000000"),2)/3600)))</f>
        <v>36.36</v>
      </c>
      <c r="P2959" s="252" t="s">
        <v>58</v>
      </c>
      <c r="Q2959" s="253"/>
      <c r="R2959" s="277" t="s">
        <v>3293</v>
      </c>
      <c r="S2959" s="272" t="s">
        <v>3293</v>
      </c>
      <c r="T2959" s="273">
        <v>14</v>
      </c>
      <c r="U2959" s="274"/>
      <c r="V2959" s="280">
        <v>40</v>
      </c>
      <c r="W2959" s="244"/>
      <c r="X2959" s="244"/>
      <c r="Y2959" s="362"/>
      <c r="Z2959" s="257">
        <f>altaz(J2000_Bas,$O2959,$M2959,DecLat,DecLong,1)</f>
        <v>47.891910109903982</v>
      </c>
      <c r="AA2959" s="257">
        <f>altaz((J2000_Bas+(2*0.04167)),$O2959,$M2959,DecLat,DecLong,1)</f>
        <v>72.011275674172069</v>
      </c>
      <c r="AB2959" s="257">
        <f>altaz((J2000_Bas+(4*0.04167)),$O2959,$M2959,DecLat,DecLong,1)</f>
        <v>80.527557058562209</v>
      </c>
      <c r="AC2959" s="257">
        <f>altaz((J2000_Bas+(6*0.04167)),$O2959,$M2959,DecLat,DecLong,1)</f>
        <v>56.942883165131526</v>
      </c>
      <c r="AD2959" s="258">
        <f>1+ transit((J2000_Bas-1),$O2959,$M2959,DecLat,DecLong)/360 + (GMTOffset/24) + (IF(DST="Y", 1, 0)/24)</f>
        <v>1.9283859781922079</v>
      </c>
      <c r="AE2959" s="259">
        <f>DATE(2001,9,21)+(M2959/360)*365 - (360*((DecLong/360)- (GMTOffset/24) ))</f>
        <v>37501.452430555553</v>
      </c>
      <c r="AF2959" s="260">
        <f>IF(DecLat&gt;0,IF((90 - (DecLat-O2959))&gt;90, (90 - (O2959-DecLat)), (90 - (DecLat-O2959))),IF((90 + (DecLat-O2959))&gt;90, (90 + (O2959-DecLat)), (90 + (DecLat-O2959))))</f>
        <v>84.64</v>
      </c>
      <c r="AG2959" s="257">
        <f>angularseperation(MoonRA,MoonDec,$M2959,$O2959)</f>
        <v>103.83136616061803</v>
      </c>
      <c r="AH2959" s="261">
        <f ca="1">MIN(100,IF($O$5&gt;80,0+30*($AG2959/100),IF($O$5&gt;70,0+50*($AG2959/100),IF($O$5&gt;60,5+50*($AG2959/100),IF($O$5&gt;50,10+60*($AG2959/100),IF($O$5&gt;40,15+70*($AG2959/100),IF($O$5&gt;30,20+70*($AG2959/100),IF($O$5&gt;20,40+55*($AG2959/100),(80+(20-$O$5)+30*($AG2959/100))))))))))</f>
        <v>100</v>
      </c>
      <c r="AI2959" s="263"/>
      <c r="AJ2959" s="263"/>
      <c r="AK2959" s="263"/>
      <c r="AL2959" s="263"/>
      <c r="AM2959" s="264"/>
      <c r="AN2959" s="263"/>
      <c r="AO2959" s="263"/>
      <c r="AP2959" s="265"/>
      <c r="AQ2959" s="265">
        <v>12040</v>
      </c>
      <c r="AR2959" s="285">
        <v>68893</v>
      </c>
      <c r="AS2959" s="263"/>
      <c r="AT2959" s="263"/>
      <c r="AU2959" s="263"/>
      <c r="AV2959" s="264"/>
      <c r="AW2959" s="263"/>
      <c r="AX2959" s="263"/>
      <c r="AY2959" s="263"/>
      <c r="AZ2959" s="263"/>
      <c r="BA2959" s="263"/>
      <c r="BB2959" s="263"/>
      <c r="BC2959" s="263"/>
      <c r="BD2959" s="264"/>
      <c r="BE2959" s="263"/>
      <c r="BF2959" s="263"/>
      <c r="BG2959" s="263"/>
      <c r="BH2959" s="263"/>
      <c r="BI2959" s="263"/>
      <c r="BJ2959" s="404">
        <f>altaz(J2000_Bas,$O2959,$M2959,DecLat,DecLong,2)</f>
        <v>68.488169427048263</v>
      </c>
      <c r="BK2959" s="378" t="s">
        <v>3128</v>
      </c>
      <c r="BL2959" s="379">
        <f>IF((2*G2959)/60&lt;0.2,0.2,(2*G2959)/60)</f>
        <v>0.2</v>
      </c>
      <c r="BM2959" s="380">
        <f>MOD((50000+AD2959-$B$3+(0/24)),1)</f>
        <v>0.14375290789757855</v>
      </c>
      <c r="BN2959" s="381"/>
      <c r="BO2959" s="382">
        <v>2949</v>
      </c>
    </row>
    <row r="2960" spans="1:67" s="24" customFormat="1" ht="15" customHeight="1" x14ac:dyDescent="0.25">
      <c r="A2960" s="288" t="s">
        <v>2771</v>
      </c>
      <c r="B2960" s="241" t="str">
        <f>HYPERLINK(CONCATENATE($AT$3,BK2960,$AU$3),$AV$3)</f>
        <v>S</v>
      </c>
      <c r="C2960" s="242" t="str">
        <f>HYPERLINK(CONCATENATE($AT$4,BK2960,$AU$4,BL2960),$AV$4)</f>
        <v>A</v>
      </c>
      <c r="D2960" s="243" t="s">
        <v>5638</v>
      </c>
      <c r="E2960" s="244" t="s">
        <v>5192</v>
      </c>
      <c r="F2960" s="269" t="s">
        <v>3306</v>
      </c>
      <c r="G2960" s="273">
        <v>1.1000000000000001</v>
      </c>
      <c r="H2960" s="283">
        <v>500</v>
      </c>
      <c r="I2960" s="246">
        <v>175</v>
      </c>
      <c r="J2960" s="246">
        <v>2</v>
      </c>
      <c r="K2960" s="247" t="s">
        <v>5349</v>
      </c>
      <c r="L2960" s="248">
        <v>223225</v>
      </c>
      <c r="M2960" s="249">
        <f>15*(LEFT(TEXT($L2960,"000000"),2)+(MID(TEXT($L2960,"000000"),3,2)/60)+(RIGHT(TEXT($L2960,"000000"),2)/3600))</f>
        <v>338.10416666666669</v>
      </c>
      <c r="N2960" s="250">
        <v>305008</v>
      </c>
      <c r="O2960" s="251">
        <f>IF($N2960&gt;0,(LEFT(TEXT($N2960,"000000"),2)+(MID(TEXT($N2960,"000000"),3,2)/60)+(RIGHT(TEXT($N2960,"000000"),2)/3600)),-(MID(TEXT($N2960,"000000"),2,2)+(MID(TEXT($N2960,"000000"),4,2)/60)+(RIGHT(TEXT($N2960,"000000"),2)/3600)))</f>
        <v>30.835555555555555</v>
      </c>
      <c r="P2960" s="252" t="s">
        <v>39</v>
      </c>
      <c r="Q2960" s="253"/>
      <c r="R2960" s="247" t="s">
        <v>3293</v>
      </c>
      <c r="S2960" s="272" t="s">
        <v>3293</v>
      </c>
      <c r="T2960" s="273">
        <v>15</v>
      </c>
      <c r="U2960" s="274"/>
      <c r="V2960" s="280">
        <v>70</v>
      </c>
      <c r="W2960" s="244"/>
      <c r="X2960" s="244"/>
      <c r="Y2960" s="362"/>
      <c r="Z2960" s="257">
        <f>altaz(J2000_Bas,$O2960,$M2960,DecLat,DecLong,1)</f>
        <v>45.732948720343053</v>
      </c>
      <c r="AA2960" s="257">
        <f>altaz((J2000_Bas+(2*0.04167)),$O2960,$M2960,DecLat,DecLong,1)</f>
        <v>71.141795691360343</v>
      </c>
      <c r="AB2960" s="257">
        <f>altaz((J2000_Bas+(4*0.04167)),$O2960,$M2960,DecLat,DecLong,1)</f>
        <v>83.078368758662364</v>
      </c>
      <c r="AC2960" s="257">
        <f>altaz((J2000_Bas+(6*0.04167)),$O2960,$M2960,DecLat,DecLong,1)</f>
        <v>57.433468062022754</v>
      </c>
      <c r="AD2960" s="258">
        <f>1+ transit((J2000_Bas-1),$O2960,$M2960,DecLat,DecLong)/360 + (GMTOffset/24) + (IF(DST="Y", 1, 0)/24)</f>
        <v>1.932078107452625</v>
      </c>
      <c r="AE2960" s="259">
        <f>DATE(2001,9,21)+(M2960/360)*365 - (360*((DecLong/360)- (GMTOffset/24) ))</f>
        <v>37502.800057870372</v>
      </c>
      <c r="AF2960" s="260">
        <f>IF(DecLat&gt;0,IF((90 - (DecLat-O2960))&gt;90, (90 - (O2960-DecLat)), (90 - (DecLat-O2960))),IF((90 + (DecLat-O2960))&gt;90, (90 + (O2960-DecLat)), (90 + (DecLat-O2960))))</f>
        <v>89.835555555555558</v>
      </c>
      <c r="AG2960" s="257">
        <f>angularseperation(MoonRA,MoonDec,$M2960,$O2960)</f>
        <v>102.60303645446864</v>
      </c>
      <c r="AH2960" s="261">
        <f ca="1">MIN(100,IF($O$5&gt;80,0+30*($AG2960/100),IF($O$5&gt;70,0+50*($AG2960/100),IF($O$5&gt;60,5+50*($AG2960/100),IF($O$5&gt;50,10+60*($AG2960/100),IF($O$5&gt;40,15+70*($AG2960/100),IF($O$5&gt;30,20+70*($AG2960/100),IF($O$5&gt;20,40+55*($AG2960/100),(80+(20-$O$5)+30*($AG2960/100))))))))))</f>
        <v>100</v>
      </c>
      <c r="AI2960" s="262"/>
      <c r="AJ2960" s="262"/>
      <c r="AK2960" s="262"/>
      <c r="AL2960" s="263"/>
      <c r="AM2960" s="264"/>
      <c r="AN2960" s="263"/>
      <c r="AO2960" s="263"/>
      <c r="AP2960" s="265"/>
      <c r="AQ2960" s="265">
        <v>12071</v>
      </c>
      <c r="AR2960" s="267">
        <v>69095</v>
      </c>
      <c r="AS2960" s="263"/>
      <c r="AT2960" s="263"/>
      <c r="AU2960" s="263"/>
      <c r="AV2960" s="264"/>
      <c r="AW2960" s="263"/>
      <c r="AX2960" s="263"/>
      <c r="AY2960" s="263"/>
      <c r="AZ2960" s="263"/>
      <c r="BA2960" s="263"/>
      <c r="BB2960" s="263"/>
      <c r="BC2960" s="263"/>
      <c r="BD2960" s="264"/>
      <c r="BE2960" s="263"/>
      <c r="BF2960" s="263"/>
      <c r="BG2960" s="263"/>
      <c r="BH2960" s="263">
        <v>98</v>
      </c>
      <c r="BI2960" s="263"/>
      <c r="BJ2960" s="404">
        <f>altaz(J2000_Bas,$O2960,$M2960,DecLat,DecLong,2)</f>
        <v>76.097025194833677</v>
      </c>
      <c r="BK2960" s="378" t="s">
        <v>2771</v>
      </c>
      <c r="BL2960" s="379">
        <f>IF((2*G2960)/60&lt;0.2,0.2,(2*G2960)/60)</f>
        <v>0.2</v>
      </c>
      <c r="BM2960" s="380">
        <f>MOD((50000+AD2960-$B$3+(0/24)),1)</f>
        <v>0.14744503715337487</v>
      </c>
      <c r="BN2960" s="381"/>
      <c r="BO2960" s="382">
        <v>2950</v>
      </c>
    </row>
    <row r="2961" spans="1:67" s="24" customFormat="1" ht="15" customHeight="1" x14ac:dyDescent="0.25">
      <c r="A2961" s="288" t="s">
        <v>2772</v>
      </c>
      <c r="B2961" s="241" t="str">
        <f>HYPERLINK(CONCATENATE($AT$3,BK2961,$AU$3),$AV$3)</f>
        <v>S</v>
      </c>
      <c r="C2961" s="242" t="str">
        <f>HYPERLINK(CONCATENATE($AT$4,BK2961,$AU$4,BL2961),$AV$4)</f>
        <v>A</v>
      </c>
      <c r="D2961" s="243" t="s">
        <v>5638</v>
      </c>
      <c r="E2961" s="244" t="s">
        <v>5192</v>
      </c>
      <c r="F2961" s="269" t="s">
        <v>8663</v>
      </c>
      <c r="G2961" s="273">
        <v>2</v>
      </c>
      <c r="H2961" s="283">
        <v>220</v>
      </c>
      <c r="I2961" s="246">
        <v>120</v>
      </c>
      <c r="J2961" s="246">
        <v>2</v>
      </c>
      <c r="K2961" s="247" t="s">
        <v>5350</v>
      </c>
      <c r="L2961" s="248">
        <v>223950</v>
      </c>
      <c r="M2961" s="249">
        <f>15*(LEFT(TEXT($L2961,"000000"),2)+(MID(TEXT($L2961,"000000"),3,2)/60)+(RIGHT(TEXT($L2961,"000000"),2)/3600))</f>
        <v>339.95833333333331</v>
      </c>
      <c r="N2961" s="250">
        <v>381255</v>
      </c>
      <c r="O2961" s="251">
        <f>IF($N2961&gt;0,(LEFT(TEXT($N2961,"000000"),2)+(MID(TEXT($N2961,"000000"),3,2)/60)+(RIGHT(TEXT($N2961,"000000"),2)/3600)),-(MID(TEXT($N2961,"000000"),2,2)+(MID(TEXT($N2961,"000000"),4,2)/60)+(RIGHT(TEXT($N2961,"000000"),2)/3600)))</f>
        <v>38.215277777777779</v>
      </c>
      <c r="P2961" s="252" t="s">
        <v>58</v>
      </c>
      <c r="Q2961" s="253"/>
      <c r="R2961" s="247" t="s">
        <v>3293</v>
      </c>
      <c r="S2961" s="272" t="s">
        <v>3293</v>
      </c>
      <c r="T2961" s="273">
        <v>13.5</v>
      </c>
      <c r="U2961" s="274"/>
      <c r="V2961" s="280">
        <v>45</v>
      </c>
      <c r="W2961" s="244"/>
      <c r="X2961" s="244"/>
      <c r="Y2961" s="362"/>
      <c r="Z2961" s="257">
        <f>altaz(J2000_Bas,$O2961,$M2961,DecLat,DecLong,1)</f>
        <v>45.634044752300703</v>
      </c>
      <c r="AA2961" s="257">
        <f>altaz((J2000_Bas+(2*0.04167)),$O2961,$M2961,DecLat,DecLong,1)</f>
        <v>69.142873433817442</v>
      </c>
      <c r="AB2961" s="257">
        <f>altaz((J2000_Bas+(4*0.04167)),$O2961,$M2961,DecLat,DecLong,1)</f>
        <v>81.161401039831063</v>
      </c>
      <c r="AC2961" s="257">
        <f>altaz((J2000_Bas+(6*0.04167)),$O2961,$M2961,DecLat,DecLong,1)</f>
        <v>59.473498042008785</v>
      </c>
      <c r="AD2961" s="258">
        <f>1+ transit((J2000_Bas-1),$O2961,$M2961,DecLat,DecLong)/360 + (GMTOffset/24) + (IF(DST="Y", 1, 0)/24)</f>
        <v>1.9372285699005414</v>
      </c>
      <c r="AE2961" s="259">
        <f>DATE(2001,9,21)+(M2961/360)*365 - (360*((DecLong/360)- (GMTOffset/24) ))</f>
        <v>37504.679976851854</v>
      </c>
      <c r="AF2961" s="260">
        <f>IF(DecLat&gt;0,IF((90 - (DecLat-O2961))&gt;90, (90 - (O2961-DecLat)), (90 - (DecLat-O2961))),IF((90 + (DecLat-O2961))&gt;90, (90 + (O2961-DecLat)), (90 + (DecLat-O2961))))</f>
        <v>82.784722222222229</v>
      </c>
      <c r="AG2961" s="257">
        <f>angularseperation(MoonRA,MoonDec,$M2961,$O2961)</f>
        <v>106.88202482368827</v>
      </c>
      <c r="AH2961" s="261">
        <f ca="1">MIN(100,IF($O$5&gt;80,0+30*($AG2961/100),IF($O$5&gt;70,0+50*($AG2961/100),IF($O$5&gt;60,5+50*($AG2961/100),IF($O$5&gt;50,10+60*($AG2961/100),IF($O$5&gt;40,15+70*($AG2961/100),IF($O$5&gt;30,20+70*($AG2961/100),IF($O$5&gt;20,40+55*($AG2961/100),(80+(20-$O$5)+30*($AG2961/100))))))))))</f>
        <v>100</v>
      </c>
      <c r="AI2961" s="262"/>
      <c r="AJ2961" s="262"/>
      <c r="AK2961" s="262"/>
      <c r="AL2961" s="263"/>
      <c r="AM2961" s="264"/>
      <c r="AN2961" s="263"/>
      <c r="AO2961" s="263"/>
      <c r="AP2961" s="265"/>
      <c r="AQ2961" s="265">
        <v>12137</v>
      </c>
      <c r="AR2961" s="267">
        <v>69439</v>
      </c>
      <c r="AS2961" s="263"/>
      <c r="AT2961" s="263"/>
      <c r="AU2961" s="263"/>
      <c r="AV2961" s="264"/>
      <c r="AW2961" s="263"/>
      <c r="AX2961" s="263"/>
      <c r="AY2961" s="263"/>
      <c r="AZ2961" s="263"/>
      <c r="BA2961" s="263"/>
      <c r="BB2961" s="263"/>
      <c r="BC2961" s="263"/>
      <c r="BD2961" s="264"/>
      <c r="BE2961" s="263"/>
      <c r="BF2961" s="263"/>
      <c r="BG2961" s="263"/>
      <c r="BH2961" s="263"/>
      <c r="BI2961" s="263"/>
      <c r="BJ2961" s="404">
        <f>altaz(J2000_Bas,$O2961,$M2961,DecLat,DecLong,2)</f>
        <v>65.303311438521007</v>
      </c>
      <c r="BK2961" s="378" t="s">
        <v>2772</v>
      </c>
      <c r="BL2961" s="379">
        <f>IF((2*G2961)/60&lt;0.2,0.2,(2*G2961)/60)</f>
        <v>0.2</v>
      </c>
      <c r="BM2961" s="380">
        <f>MOD((50000+AD2961-$B$3+(0/24)),1)</f>
        <v>0.15259549960319418</v>
      </c>
      <c r="BN2961" s="381"/>
      <c r="BO2961" s="382">
        <v>2951</v>
      </c>
    </row>
    <row r="2962" spans="1:67" s="24" customFormat="1" ht="15" customHeight="1" x14ac:dyDescent="0.25">
      <c r="A2962" s="288" t="s">
        <v>2773</v>
      </c>
      <c r="B2962" s="241" t="str">
        <f>HYPERLINK(CONCATENATE($AT$3,BK2962,$AU$3),$AV$3)</f>
        <v>S</v>
      </c>
      <c r="C2962" s="242" t="str">
        <f>HYPERLINK(CONCATENATE($AT$4,BK2962,$AU$4,BL2962),$AV$4)</f>
        <v>A</v>
      </c>
      <c r="D2962" s="243" t="s">
        <v>5638</v>
      </c>
      <c r="E2962" s="244" t="s">
        <v>5337</v>
      </c>
      <c r="F2962" s="269" t="s">
        <v>9128</v>
      </c>
      <c r="G2962" s="273">
        <v>1.3</v>
      </c>
      <c r="H2962" s="283">
        <v>400</v>
      </c>
      <c r="I2962" s="246">
        <v>150</v>
      </c>
      <c r="J2962" s="246">
        <v>3</v>
      </c>
      <c r="K2962" s="247" t="s">
        <v>8516</v>
      </c>
      <c r="L2962" s="248">
        <v>230454</v>
      </c>
      <c r="M2962" s="249">
        <f>15*(LEFT(TEXT($L2962,"000000"),2)+(MID(TEXT($L2962,"000000"),3,2)/60)+(RIGHT(TEXT($L2962,"000000"),2)/3600))</f>
        <v>346.22500000000002</v>
      </c>
      <c r="N2962" s="250">
        <v>164042</v>
      </c>
      <c r="O2962" s="251">
        <f>IF($N2962&gt;0,(LEFT(TEXT($N2962,"000000"),2)+(MID(TEXT($N2962,"000000"),3,2)/60)+(RIGHT(TEXT($N2962,"000000"),2)/3600)),-(MID(TEXT($N2962,"000000"),2,2)+(MID(TEXT($N2962,"000000"),4,2)/60)+(RIGHT(TEXT($N2962,"000000"),2)/3600)))</f>
        <v>16.678333333333335</v>
      </c>
      <c r="P2962" s="252" t="s">
        <v>39</v>
      </c>
      <c r="Q2962" s="253" t="s">
        <v>6900</v>
      </c>
      <c r="R2962" s="247" t="s">
        <v>3293</v>
      </c>
      <c r="S2962" s="272" t="s">
        <v>3293</v>
      </c>
      <c r="T2962" s="273"/>
      <c r="U2962" s="274"/>
      <c r="V2962" s="280"/>
      <c r="W2962" s="244"/>
      <c r="X2962" s="244"/>
      <c r="Y2962" s="362"/>
      <c r="Z2962" s="257">
        <f>altaz(J2000_Bas,$O2962,$M2962,DecLat,DecLong,1)</f>
        <v>33.752443323032523</v>
      </c>
      <c r="AA2962" s="257">
        <f>altaz((J2000_Bas+(2*0.04167)),$O2962,$M2962,DecLat,DecLong,1)</f>
        <v>59.084402997959891</v>
      </c>
      <c r="AB2962" s="257">
        <f>altaz((J2000_Bas+(4*0.04167)),$O2962,$M2962,DecLat,DecLong,1)</f>
        <v>75.678251085898538</v>
      </c>
      <c r="AC2962" s="257">
        <f>altaz((J2000_Bas+(6*0.04167)),$O2962,$M2962,DecLat,DecLong,1)</f>
        <v>59.169886881858424</v>
      </c>
      <c r="AD2962" s="258">
        <f>1+ transit((J2000_Bas-1),$O2962,$M2962,DecLat,DecLong)/360 + (GMTOffset/24) + (IF(DST="Y", 1, 0)/24)</f>
        <v>1.9546359755672083</v>
      </c>
      <c r="AE2962" s="259">
        <f>DATE(2001,9,21)+(M2962/360)*365 - (360*((DecLong/360)- (GMTOffset/24) ))</f>
        <v>37511.033680555556</v>
      </c>
      <c r="AF2962" s="260">
        <f>IF(DecLat&gt;0,IF((90 - (DecLat-O2962))&gt;90, (90 - (O2962-DecLat)), (90 - (DecLat-O2962))),IF((90 + (DecLat-O2962))&gt;90, (90 + (O2962-DecLat)), (90 + (DecLat-O2962))))</f>
        <v>75.678333333333342</v>
      </c>
      <c r="AG2962" s="257">
        <f>angularseperation(MoonRA,MoonDec,$M2962,$O2962)</f>
        <v>103.55390984217159</v>
      </c>
      <c r="AH2962" s="261">
        <f ca="1">MIN(100,IF($O$5&gt;80,0+30*($AG2962/100),IF($O$5&gt;70,0+50*($AG2962/100),IF($O$5&gt;60,5+50*($AG2962/100),IF($O$5&gt;50,10+60*($AG2962/100),IF($O$5&gt;40,15+70*($AG2962/100),IF($O$5&gt;30,20+70*($AG2962/100),IF($O$5&gt;20,40+55*($AG2962/100),(80+(20-$O$5)+30*($AG2962/100))))))))))</f>
        <v>100</v>
      </c>
      <c r="AI2962" s="262"/>
      <c r="AJ2962" s="262"/>
      <c r="AK2962" s="262"/>
      <c r="AL2962" s="263"/>
      <c r="AM2962" s="264"/>
      <c r="AN2962" s="263"/>
      <c r="AO2962" s="263"/>
      <c r="AP2962" s="265"/>
      <c r="AQ2962" s="265">
        <v>12342</v>
      </c>
      <c r="AR2962" s="267">
        <v>70414</v>
      </c>
      <c r="AS2962" s="263"/>
      <c r="AT2962" s="263"/>
      <c r="AU2962" s="263"/>
      <c r="AV2962" s="264"/>
      <c r="AW2962" s="263"/>
      <c r="AX2962" s="263"/>
      <c r="AY2962" s="263"/>
      <c r="AZ2962" s="263"/>
      <c r="BA2962" s="263"/>
      <c r="BB2962" s="263"/>
      <c r="BC2962" s="263"/>
      <c r="BD2962" s="264"/>
      <c r="BE2962" s="263"/>
      <c r="BF2962" s="263"/>
      <c r="BG2962" s="263"/>
      <c r="BH2962" s="263">
        <v>86</v>
      </c>
      <c r="BI2962" s="263"/>
      <c r="BJ2962" s="404">
        <f>altaz(J2000_Bas,$O2962,$M2962,DecLat,DecLong,2)</f>
        <v>89.932452283148109</v>
      </c>
      <c r="BK2962" s="378" t="s">
        <v>2773</v>
      </c>
      <c r="BL2962" s="379">
        <f>IF((2*G2962)/60&lt;0.2,0.2,(2*G2962)/60)</f>
        <v>0.2</v>
      </c>
      <c r="BM2962" s="380">
        <f>MOD((50000+AD2962-$B$3+(0/24)),1)</f>
        <v>0.1700029052735772</v>
      </c>
      <c r="BN2962" s="381" t="s">
        <v>9283</v>
      </c>
      <c r="BO2962" s="382">
        <v>2952</v>
      </c>
    </row>
    <row r="2963" spans="1:67" s="24" customFormat="1" ht="15" customHeight="1" x14ac:dyDescent="0.25">
      <c r="A2963" s="288" t="s">
        <v>2774</v>
      </c>
      <c r="B2963" s="241" t="str">
        <f>HYPERLINK(CONCATENATE($AT$3,BK2963,$AU$3),$AV$3)</f>
        <v>S</v>
      </c>
      <c r="C2963" s="242" t="str">
        <f>HYPERLINK(CONCATENATE($AT$4,BK2963,$AU$4,BL2963),$AV$4)</f>
        <v>A</v>
      </c>
      <c r="D2963" s="243" t="s">
        <v>5638</v>
      </c>
      <c r="E2963" s="244" t="s">
        <v>5192</v>
      </c>
      <c r="F2963" s="269" t="s">
        <v>8671</v>
      </c>
      <c r="G2963" s="273">
        <v>4</v>
      </c>
      <c r="H2963" s="283">
        <v>220</v>
      </c>
      <c r="I2963" s="246">
        <v>250</v>
      </c>
      <c r="J2963" s="246">
        <v>2</v>
      </c>
      <c r="K2963" s="247" t="s">
        <v>5351</v>
      </c>
      <c r="L2963" s="248">
        <v>231313</v>
      </c>
      <c r="M2963" s="249">
        <f>15*(LEFT(TEXT($L2963,"000000"),2)+(MID(TEXT($L2963,"000000"),3,2)/60)+(RIGHT(TEXT($L2963,"000000"),2)/3600))</f>
        <v>348.30416666666667</v>
      </c>
      <c r="N2963" s="286">
        <v>62549</v>
      </c>
      <c r="O2963" s="251">
        <f>IF($N2963&gt;0,(LEFT(TEXT($N2963,"000000"),2)+(MID(TEXT($N2963,"000000"),3,2)/60)+(RIGHT(TEXT($N2963,"000000"),2)/3600)),-(MID(TEXT($N2963,"000000"),2,2)+(MID(TEXT($N2963,"000000"),4,2)/60)+(RIGHT(TEXT($N2963,"000000"),2)/3600)))</f>
        <v>6.4302777777777784</v>
      </c>
      <c r="P2963" s="252" t="s">
        <v>158</v>
      </c>
      <c r="Q2963" s="253"/>
      <c r="R2963" s="247" t="s">
        <v>3293</v>
      </c>
      <c r="S2963" s="272" t="s">
        <v>3293</v>
      </c>
      <c r="T2963" s="273">
        <v>14.3</v>
      </c>
      <c r="U2963" s="274"/>
      <c r="V2963" s="280">
        <v>88</v>
      </c>
      <c r="W2963" s="244"/>
      <c r="X2963" s="244"/>
      <c r="Y2963" s="362"/>
      <c r="Z2963" s="257">
        <f>altaz(J2000_Bas,$O2963,$M2963,DecLat,DecLong,1)</f>
        <v>26.974998802863634</v>
      </c>
      <c r="AA2963" s="257">
        <f>altaz((J2000_Bas+(2*0.04167)),$O2963,$M2963,DecLat,DecLong,1)</f>
        <v>51.106329513185877</v>
      </c>
      <c r="AB2963" s="257">
        <f>altaz((J2000_Bas+(4*0.04167)),$O2963,$M2963,DecLat,DecLong,1)</f>
        <v>65.349121204295145</v>
      </c>
      <c r="AC2963" s="257">
        <f>altaz((J2000_Bas+(6*0.04167)),$O2963,$M2963,DecLat,DecLong,1)</f>
        <v>54.104508756826789</v>
      </c>
      <c r="AD2963" s="258">
        <f>1+ transit((J2000_Bas-1),$O2963,$M2963,DecLat,DecLong)/360 + (GMTOffset/24) + (IF(DST="Y", 1, 0)/24)</f>
        <v>1.9604114379526247</v>
      </c>
      <c r="AE2963" s="259">
        <f>DATE(2001,9,21)+(M2963/360)*365 - (360*((DecLong/360)- (GMTOffset/24) ))</f>
        <v>37513.141724537039</v>
      </c>
      <c r="AF2963" s="260">
        <f>IF(DecLat&gt;0,IF((90 - (DecLat-O2963))&gt;90, (90 - (O2963-DecLat)), (90 - (DecLat-O2963))),IF((90 + (DecLat-O2963))&gt;90, (90 + (O2963-DecLat)), (90 + (DecLat-O2963))))</f>
        <v>65.430277777777775</v>
      </c>
      <c r="AG2963" s="257">
        <f>angularseperation(MoonRA,MoonDec,$M2963,$O2963)</f>
        <v>100.97283429190776</v>
      </c>
      <c r="AH2963" s="261">
        <f ca="1">MIN(100,IF($O$5&gt;80,0+30*($AG2963/100),IF($O$5&gt;70,0+50*($AG2963/100),IF($O$5&gt;60,5+50*($AG2963/100),IF($O$5&gt;50,10+60*($AG2963/100),IF($O$5&gt;40,15+70*($AG2963/100),IF($O$5&gt;30,20+70*($AG2963/100),IF($O$5&gt;20,40+55*($AG2963/100),(80+(20-$O$5)+30*($AG2963/100))))))))))</f>
        <v>100</v>
      </c>
      <c r="AI2963" s="262"/>
      <c r="AJ2963" s="262"/>
      <c r="AK2963" s="262"/>
      <c r="AL2963" s="263"/>
      <c r="AM2963" s="264"/>
      <c r="AN2963" s="263"/>
      <c r="AO2963" s="263"/>
      <c r="AP2963" s="265"/>
      <c r="AQ2963" s="265">
        <v>12423</v>
      </c>
      <c r="AR2963" s="267">
        <v>70708</v>
      </c>
      <c r="AS2963" s="263"/>
      <c r="AT2963" s="263"/>
      <c r="AU2963" s="263"/>
      <c r="AV2963" s="264"/>
      <c r="AW2963" s="263"/>
      <c r="AX2963" s="263"/>
      <c r="AY2963" s="263"/>
      <c r="AZ2963" s="263"/>
      <c r="BA2963" s="263"/>
      <c r="BB2963" s="263"/>
      <c r="BC2963" s="263"/>
      <c r="BD2963" s="264"/>
      <c r="BE2963" s="263"/>
      <c r="BF2963" s="263"/>
      <c r="BG2963" s="263"/>
      <c r="BH2963" s="263"/>
      <c r="BI2963" s="263"/>
      <c r="BJ2963" s="404">
        <f>altaz(J2000_Bas,$O2963,$M2963,DecLat,DecLong,2)</f>
        <v>99.161479704069961</v>
      </c>
      <c r="BK2963" s="378" t="s">
        <v>2774</v>
      </c>
      <c r="BL2963" s="379">
        <f>IF((2*G2963)/60&lt;0.2,0.2,(2*G2963)/60)</f>
        <v>0.2</v>
      </c>
      <c r="BM2963" s="380">
        <f>MOD((50000+AD2963-$B$3+(0/24)),1)</f>
        <v>0.17577836765849497</v>
      </c>
      <c r="BN2963" s="381" t="s">
        <v>9218</v>
      </c>
      <c r="BO2963" s="382">
        <v>2953</v>
      </c>
    </row>
    <row r="2964" spans="1:67" s="24" customFormat="1" ht="15" customHeight="1" x14ac:dyDescent="0.25">
      <c r="A2964" s="288" t="s">
        <v>7652</v>
      </c>
      <c r="B2964" s="241" t="str">
        <f>HYPERLINK(CONCATENATE($AT$3,BK2964,$AU$3),$AV$3)</f>
        <v>S</v>
      </c>
      <c r="C2964" s="242" t="str">
        <f>HYPERLINK(CONCATENATE($AT$4,BK2964,$AU$4,BL2964),$AV$4)</f>
        <v>A</v>
      </c>
      <c r="D2964" s="243" t="s">
        <v>5638</v>
      </c>
      <c r="E2964" s="244" t="s">
        <v>5194</v>
      </c>
      <c r="F2964" s="269"/>
      <c r="G2964" s="270">
        <v>0.6</v>
      </c>
      <c r="H2964" s="283">
        <v>400</v>
      </c>
      <c r="I2964" s="246">
        <v>75</v>
      </c>
      <c r="J2964" s="246">
        <v>1</v>
      </c>
      <c r="K2964" s="247" t="s">
        <v>5352</v>
      </c>
      <c r="L2964" s="248">
        <v>232026</v>
      </c>
      <c r="M2964" s="249">
        <f>15*(LEFT(TEXT($L2964,"000000"),2)+(MID(TEXT($L2964,"000000"),3,2)/60)+(RIGHT(TEXT($L2964,"000000"),2)/3600))</f>
        <v>350.10833333333329</v>
      </c>
      <c r="N2964" s="250">
        <v>13348</v>
      </c>
      <c r="O2964" s="251">
        <f>IF($N2964&gt;0,(LEFT(TEXT($N2964,"000000"),2)+(MID(TEXT($N2964,"000000"),3,2)/60)+(RIGHT(TEXT($N2964,"000000"),2)/3600)),-(MID(TEXT($N2964,"000000"),2,2)+(MID(TEXT($N2964,"000000"),4,2)/60)+(RIGHT(TEXT($N2964,"000000"),2)/3600)))</f>
        <v>1.5633333333333335</v>
      </c>
      <c r="P2964" s="252" t="s">
        <v>158</v>
      </c>
      <c r="Q2964" s="253"/>
      <c r="R2964" s="277" t="s">
        <v>3293</v>
      </c>
      <c r="S2964" s="272" t="s">
        <v>3293</v>
      </c>
      <c r="T2964" s="273">
        <v>14.5</v>
      </c>
      <c r="U2964" s="274"/>
      <c r="V2964" s="280"/>
      <c r="W2964" s="244"/>
      <c r="X2964" s="244"/>
      <c r="Y2964" s="362"/>
      <c r="Z2964" s="257">
        <f>altaz(J2000_Bas,$O2964,$M2964,DecLat,DecLong,1)</f>
        <v>22.845485761594556</v>
      </c>
      <c r="AA2964" s="257">
        <f>altaz((J2000_Bas+(2*0.04167)),$O2964,$M2964,DecLat,DecLong,1)</f>
        <v>46.405129526119651</v>
      </c>
      <c r="AB2964" s="257">
        <f>altaz((J2000_Bas+(4*0.04167)),$O2964,$M2964,DecLat,DecLong,1)</f>
        <v>60.328497259724251</v>
      </c>
      <c r="AC2964" s="257">
        <f>altaz((J2000_Bas+(6*0.04167)),$O2964,$M2964,DecLat,DecLong,1)</f>
        <v>51.555335216785295</v>
      </c>
      <c r="AD2964" s="258">
        <f>1+ transit((J2000_Bas-1),$O2964,$M2964,DecLat,DecLong)/360 + (GMTOffset/24) + (IF(DST="Y", 1, 0)/24)</f>
        <v>1.9654230115255411</v>
      </c>
      <c r="AE2964" s="259">
        <f>DATE(2001,9,21)+(M2964/360)*365 - (360*((DecLong/360)- (GMTOffset/24) ))</f>
        <v>37514.970949074072</v>
      </c>
      <c r="AF2964" s="260">
        <f>IF(DecLat&gt;0,IF((90 - (DecLat-O2964))&gt;90, (90 - (O2964-DecLat)), (90 - (DecLat-O2964))),IF((90 + (DecLat-O2964))&gt;90, (90 + (O2964-DecLat)), (90 + (DecLat-O2964))))</f>
        <v>60.563333333333333</v>
      </c>
      <c r="AG2964" s="257">
        <f>angularseperation(MoonRA,MoonDec,$M2964,$O2964)</f>
        <v>100.3817361171689</v>
      </c>
      <c r="AH2964" s="261">
        <f ca="1">MIN(100,IF($O$5&gt;80,0+30*($AG2964/100),IF($O$5&gt;70,0+50*($AG2964/100),IF($O$5&gt;60,5+50*($AG2964/100),IF($O$5&gt;50,10+60*($AG2964/100),IF($O$5&gt;40,15+70*($AG2964/100),IF($O$5&gt;30,20+70*($AG2964/100),IF($O$5&gt;20,40+55*($AG2964/100),(80+(20-$O$5)+30*($AG2964/100))))))))))</f>
        <v>100</v>
      </c>
      <c r="AI2964" s="263"/>
      <c r="AJ2964" s="263"/>
      <c r="AK2964" s="263"/>
      <c r="AL2964" s="263"/>
      <c r="AM2964" s="264"/>
      <c r="AN2964" s="263"/>
      <c r="AO2964" s="263"/>
      <c r="AP2964" s="265"/>
      <c r="AQ2964" s="265">
        <v>12525</v>
      </c>
      <c r="AR2964" s="285">
        <v>71130</v>
      </c>
      <c r="AS2964" s="263"/>
      <c r="AT2964" s="263"/>
      <c r="AU2964" s="263"/>
      <c r="AV2964" s="264"/>
      <c r="AW2964" s="263"/>
      <c r="AX2964" s="263"/>
      <c r="AY2964" s="263"/>
      <c r="AZ2964" s="263"/>
      <c r="BA2964" s="263"/>
      <c r="BB2964" s="263"/>
      <c r="BC2964" s="263"/>
      <c r="BD2964" s="264"/>
      <c r="BE2964" s="263"/>
      <c r="BF2964" s="263"/>
      <c r="BG2964" s="263"/>
      <c r="BH2964" s="263"/>
      <c r="BI2964" s="263"/>
      <c r="BJ2964" s="404">
        <f>altaz(J2000_Bas,$O2964,$M2964,DecLat,DecLong,2)</f>
        <v>102.62697929396357</v>
      </c>
      <c r="BK2964" s="378" t="s">
        <v>3160</v>
      </c>
      <c r="BL2964" s="379">
        <f>IF((2*G2964)/60&lt;0.2,0.2,(2*G2964)/60)</f>
        <v>0.2</v>
      </c>
      <c r="BM2964" s="380">
        <f>MOD((50000+AD2964-$B$3+(0/24)),1)</f>
        <v>0.1807899412306142</v>
      </c>
      <c r="BN2964" s="381"/>
      <c r="BO2964" s="382">
        <v>2954</v>
      </c>
    </row>
    <row r="2965" spans="1:67" s="24" customFormat="1" ht="15" customHeight="1" x14ac:dyDescent="0.25">
      <c r="A2965" s="288" t="s">
        <v>3129</v>
      </c>
      <c r="B2965" s="241" t="str">
        <f>HYPERLINK(CONCATENATE($AT$3,BK2965,$AU$3),$AV$3)</f>
        <v>S</v>
      </c>
      <c r="C2965" s="242" t="str">
        <f>HYPERLINK(CONCATENATE($AT$4,BK2965,$AU$4,BL2965),$AV$4)</f>
        <v>A</v>
      </c>
      <c r="D2965" s="243" t="s">
        <v>5638</v>
      </c>
      <c r="E2965" s="244" t="s">
        <v>5192</v>
      </c>
      <c r="F2965" s="269" t="s">
        <v>3306</v>
      </c>
      <c r="G2965" s="273">
        <v>1.7</v>
      </c>
      <c r="H2965" s="283">
        <v>30</v>
      </c>
      <c r="I2965" s="246">
        <v>15</v>
      </c>
      <c r="J2965" s="246">
        <v>1</v>
      </c>
      <c r="K2965" s="247" t="s">
        <v>5353</v>
      </c>
      <c r="L2965" s="248">
        <v>232443</v>
      </c>
      <c r="M2965" s="249">
        <f>15*(LEFT(TEXT($L2965,"000000"),2)+(MID(TEXT($L2965,"000000"),3,2)/60)+(RIGHT(TEXT($L2965,"000000"),2)/3600))</f>
        <v>351.17916666666667</v>
      </c>
      <c r="N2965" s="250">
        <v>412048</v>
      </c>
      <c r="O2965" s="251">
        <f>IF($N2965&gt;0,(LEFT(TEXT($N2965,"000000"),2)+(MID(TEXT($N2965,"000000"),3,2)/60)+(RIGHT(TEXT($N2965,"000000"),2)/3600)),-(MID(TEXT($N2965,"000000"),2,2)+(MID(TEXT($N2965,"000000"),4,2)/60)+(RIGHT(TEXT($N2965,"000000"),2)/3600)))</f>
        <v>41.346666666666671</v>
      </c>
      <c r="P2965" s="252" t="s">
        <v>36</v>
      </c>
      <c r="Q2965" s="253"/>
      <c r="R2965" s="277" t="s">
        <v>3293</v>
      </c>
      <c r="S2965" s="272" t="s">
        <v>3293</v>
      </c>
      <c r="T2965" s="273">
        <v>13.5</v>
      </c>
      <c r="U2965" s="274"/>
      <c r="V2965" s="280">
        <v>15</v>
      </c>
      <c r="W2965" s="244"/>
      <c r="X2965" s="244"/>
      <c r="Y2965" s="362"/>
      <c r="Z2965" s="257">
        <f>altaz(J2000_Bas,$O2965,$M2965,DecLat,DecLong,1)</f>
        <v>37.618198871415792</v>
      </c>
      <c r="AA2965" s="257">
        <f>altaz((J2000_Bas+(2*0.04167)),$O2965,$M2965,DecLat,DecLong,1)</f>
        <v>60.085487865255317</v>
      </c>
      <c r="AB2965" s="257">
        <f>altaz((J2000_Bas+(4*0.04167)),$O2965,$M2965,DecLat,DecLong,1)</f>
        <v>78.897146693533458</v>
      </c>
      <c r="AC2965" s="257">
        <f>altaz((J2000_Bas+(6*0.04167)),$O2965,$M2965,DecLat,DecLong,1)</f>
        <v>67.380873341235585</v>
      </c>
      <c r="AD2965" s="258">
        <f>1+ transit((J2000_Bas-1),$O2965,$M2965,DecLat,DecLong)/360 + (GMTOffset/24) + (IF(DST="Y", 1, 0)/24)</f>
        <v>1.968397548265125</v>
      </c>
      <c r="AE2965" s="259">
        <f>DATE(2001,9,21)+(M2965/360)*365 - (360*((DecLong/360)- (GMTOffset/24) ))</f>
        <v>37516.056655092594</v>
      </c>
      <c r="AF2965" s="260">
        <f>IF(DecLat&gt;0,IF((90 - (DecLat-O2965))&gt;90, (90 - (O2965-DecLat)), (90 - (DecLat-O2965))),IF((90 + (DecLat-O2965))&gt;90, (90 + (O2965-DecLat)), (90 + (DecLat-O2965))))</f>
        <v>79.653333333333336</v>
      </c>
      <c r="AG2965" s="257">
        <f>angularseperation(MoonRA,MoonDec,$M2965,$O2965)</f>
        <v>116.04188667311541</v>
      </c>
      <c r="AH2965" s="261">
        <f ca="1">MIN(100,IF($O$5&gt;80,0+30*($AG2965/100),IF($O$5&gt;70,0+50*($AG2965/100),IF($O$5&gt;60,5+50*($AG2965/100),IF($O$5&gt;50,10+60*($AG2965/100),IF($O$5&gt;40,15+70*($AG2965/100),IF($O$5&gt;30,20+70*($AG2965/100),IF($O$5&gt;20,40+55*($AG2965/100),(80+(20-$O$5)+30*($AG2965/100))))))))))</f>
        <v>100</v>
      </c>
      <c r="AI2965" s="263"/>
      <c r="AJ2965" s="263"/>
      <c r="AK2965" s="263"/>
      <c r="AL2965" s="263"/>
      <c r="AM2965" s="264"/>
      <c r="AN2965" s="263"/>
      <c r="AO2965" s="263"/>
      <c r="AP2965" s="265"/>
      <c r="AQ2965" s="265">
        <v>12588</v>
      </c>
      <c r="AR2965" s="285">
        <v>71368</v>
      </c>
      <c r="AS2965" s="263"/>
      <c r="AT2965" s="263"/>
      <c r="AU2965" s="263"/>
      <c r="AV2965" s="264"/>
      <c r="AW2965" s="263"/>
      <c r="AX2965" s="263"/>
      <c r="AY2965" s="263"/>
      <c r="AZ2965" s="263"/>
      <c r="BA2965" s="263"/>
      <c r="BB2965" s="263"/>
      <c r="BC2965" s="263"/>
      <c r="BD2965" s="264"/>
      <c r="BE2965" s="263"/>
      <c r="BF2965" s="263"/>
      <c r="BG2965" s="263"/>
      <c r="BH2965" s="263"/>
      <c r="BI2965" s="263"/>
      <c r="BJ2965" s="404">
        <f>altaz(J2000_Bas,$O2965,$M2965,DecLat,DecLong,2)</f>
        <v>59.339421390196456</v>
      </c>
      <c r="BK2965" s="378" t="s">
        <v>3129</v>
      </c>
      <c r="BL2965" s="379">
        <f>IF((2*G2965)/60&lt;0.2,0.2,(2*G2965)/60)</f>
        <v>0.2</v>
      </c>
      <c r="BM2965" s="380">
        <f>MOD((50000+AD2965-$B$3+(0/24)),1)</f>
        <v>0.18376447796617867</v>
      </c>
      <c r="BN2965" s="381"/>
      <c r="BO2965" s="382">
        <v>2955</v>
      </c>
    </row>
    <row r="2966" spans="1:67" s="24" customFormat="1" ht="15" customHeight="1" x14ac:dyDescent="0.25">
      <c r="A2966" s="288" t="s">
        <v>2775</v>
      </c>
      <c r="B2966" s="241" t="str">
        <f>HYPERLINK(CONCATENATE($AT$3,BK2966,$AU$3),$AV$3)</f>
        <v>S</v>
      </c>
      <c r="C2966" s="242" t="str">
        <f>HYPERLINK(CONCATENATE($AT$4,BK2966,$AU$4,BL2966),$AV$4)</f>
        <v>A</v>
      </c>
      <c r="D2966" s="243" t="s">
        <v>5638</v>
      </c>
      <c r="E2966" s="244" t="s">
        <v>5337</v>
      </c>
      <c r="F2966" s="269" t="s">
        <v>3310</v>
      </c>
      <c r="G2966" s="273">
        <v>1.5</v>
      </c>
      <c r="H2966" s="283">
        <v>180</v>
      </c>
      <c r="I2966" s="246">
        <v>80</v>
      </c>
      <c r="J2966" s="246">
        <v>2</v>
      </c>
      <c r="K2966" s="247" t="s">
        <v>8451</v>
      </c>
      <c r="L2966" s="248">
        <v>142</v>
      </c>
      <c r="M2966" s="249">
        <f>15*(LEFT(TEXT($L2966,"000000"),2)+(MID(TEXT($L2966,"000000"),3,2)/60)+(RIGHT(TEXT($L2966,"000000"),2)/3600))</f>
        <v>0.42500000000000004</v>
      </c>
      <c r="N2966" s="250">
        <v>232945</v>
      </c>
      <c r="O2966" s="251">
        <f>IF($N2966&gt;0,(LEFT(TEXT($N2966,"000000"),2)+(MID(TEXT($N2966,"000000"),3,2)/60)+(RIGHT(TEXT($N2966,"000000"),2)/3600)),-(MID(TEXT($N2966,"000000"),2,2)+(MID(TEXT($N2966,"000000"),4,2)/60)+(RIGHT(TEXT($N2966,"000000"),2)/3600)))</f>
        <v>23.495833333333334</v>
      </c>
      <c r="P2966" s="252" t="s">
        <v>39</v>
      </c>
      <c r="Q2966" s="253" t="s">
        <v>6916</v>
      </c>
      <c r="R2966" s="247" t="s">
        <v>3293</v>
      </c>
      <c r="S2966" s="272" t="s">
        <v>5354</v>
      </c>
      <c r="T2966" s="273"/>
      <c r="U2966" s="274"/>
      <c r="V2966" s="280"/>
      <c r="W2966" s="244"/>
      <c r="X2966" s="244"/>
      <c r="Y2966" s="362"/>
      <c r="Z2966" s="257">
        <f>altaz(J2000_Bas,$O2966,$M2966,DecLat,DecLong,1)</f>
        <v>24.609936846088608</v>
      </c>
      <c r="AA2966" s="257">
        <f>altaz((J2000_Bas+(2*0.04167)),$O2966,$M2966,DecLat,DecLong,1)</f>
        <v>50.136994866721921</v>
      </c>
      <c r="AB2966" s="257">
        <f>altaz((J2000_Bas+(4*0.04167)),$O2966,$M2966,DecLat,DecLong,1)</f>
        <v>75.292996179933553</v>
      </c>
      <c r="AC2966" s="257">
        <f>altaz((J2000_Bas+(6*0.04167)),$O2966,$M2966,DecLat,DecLong,1)</f>
        <v>74.074250919690783</v>
      </c>
      <c r="AD2966" s="258">
        <f>1+ transit((J2000_Bas-1),$O2966,$M2966,DecLat,DecLong)/360 + (GMTOffset/24) + (IF(DST="Y", 1, 0)/24)</f>
        <v>0.99408051606720782</v>
      </c>
      <c r="AE2966" s="259">
        <f>DATE(2001,9,21)+(M2966/360)*365 - (360*((DecLong/360)- (GMTOffset/24) ))</f>
        <v>37160.430902777778</v>
      </c>
      <c r="AF2966" s="260">
        <f>IF(DecLat&gt;0,IF((90 - (DecLat-O2966))&gt;90, (90 - (O2966-DecLat)), (90 - (DecLat-O2966))),IF((90 + (DecLat-O2966))&gt;90, (90 + (O2966-DecLat)), (90 + (DecLat-O2966))))</f>
        <v>82.495833333333337</v>
      </c>
      <c r="AG2966" s="257">
        <f>angularseperation(MoonRA,MoonDec,$M2966,$O2966)</f>
        <v>118.46151124312095</v>
      </c>
      <c r="AH2966" s="261">
        <f ca="1">MIN(100,IF($O$5&gt;80,0+30*($AG2966/100),IF($O$5&gt;70,0+50*($AG2966/100),IF($O$5&gt;60,5+50*($AG2966/100),IF($O$5&gt;50,10+60*($AG2966/100),IF($O$5&gt;40,15+70*($AG2966/100),IF($O$5&gt;30,20+70*($AG2966/100),IF($O$5&gt;20,40+55*($AG2966/100),(80+(20-$O$5)+30*($AG2966/100))))))))))</f>
        <v>100</v>
      </c>
      <c r="AI2966" s="262"/>
      <c r="AJ2966" s="262"/>
      <c r="AK2966" s="262"/>
      <c r="AL2966" s="263"/>
      <c r="AM2966" s="264"/>
      <c r="AN2966" s="263"/>
      <c r="AO2966" s="263"/>
      <c r="AP2966" s="265"/>
      <c r="AQ2966" s="265">
        <v>12915</v>
      </c>
      <c r="AR2966" s="267">
        <v>129</v>
      </c>
      <c r="AS2966" s="263"/>
      <c r="AT2966" s="263"/>
      <c r="AU2966" s="263"/>
      <c r="AV2966" s="264"/>
      <c r="AW2966" s="263"/>
      <c r="AX2966" s="263"/>
      <c r="AY2966" s="263"/>
      <c r="AZ2966" s="263"/>
      <c r="BA2966" s="263"/>
      <c r="BB2966" s="263"/>
      <c r="BC2966" s="263"/>
      <c r="BD2966" s="264"/>
      <c r="BE2966" s="263"/>
      <c r="BF2966" s="263"/>
      <c r="BG2966" s="263"/>
      <c r="BH2966" s="263">
        <v>19</v>
      </c>
      <c r="BI2966" s="263"/>
      <c r="BJ2966" s="404">
        <f>altaz(J2000_Bas,$O2966,$M2966,DecLat,DecLong,2)</f>
        <v>76.327890390207216</v>
      </c>
      <c r="BK2966" s="378" t="s">
        <v>2775</v>
      </c>
      <c r="BL2966" s="379">
        <f>IF((2*G2966)/60&lt;0.2,0.2,(2*G2966)/60)</f>
        <v>0.2</v>
      </c>
      <c r="BM2966" s="380">
        <f>MOD((50000+AD2966-$B$3+(0/24)),1)</f>
        <v>0.2094474457699107</v>
      </c>
      <c r="BN2966" s="381"/>
      <c r="BO2966" s="382">
        <v>2956</v>
      </c>
    </row>
    <row r="2967" spans="1:67" s="24" customFormat="1" ht="15" customHeight="1" x14ac:dyDescent="0.25">
      <c r="A2967" s="288" t="s">
        <v>2776</v>
      </c>
      <c r="B2967" s="241" t="str">
        <f>HYPERLINK(CONCATENATE($AT$3,BK2967,$AU$3),$AV$3)</f>
        <v>S</v>
      </c>
      <c r="C2967" s="242" t="str">
        <f>HYPERLINK(CONCATENATE($AT$4,BK2967,$AU$4,BL2967),$AV$4)</f>
        <v>A</v>
      </c>
      <c r="D2967" s="243" t="s">
        <v>5335</v>
      </c>
      <c r="E2967" s="244" t="s">
        <v>31</v>
      </c>
      <c r="F2967" s="269"/>
      <c r="G2967" s="273">
        <v>3</v>
      </c>
      <c r="H2967" s="283">
        <v>2000</v>
      </c>
      <c r="I2967" s="279">
        <v>1.8</v>
      </c>
      <c r="J2967" s="246">
        <v>2</v>
      </c>
      <c r="K2967" s="247" t="s">
        <v>5381</v>
      </c>
      <c r="L2967" s="248">
        <v>223441</v>
      </c>
      <c r="M2967" s="249">
        <f>15*(LEFT(TEXT($L2967,"000000"),2)+(MID(TEXT($L2967,"000000"),3,2)/60)+(RIGHT(TEXT($L2967,"000000"),2)/3600))</f>
        <v>338.67083333333329</v>
      </c>
      <c r="N2967" s="286">
        <v>404006</v>
      </c>
      <c r="O2967" s="251">
        <f>IF($N2967&gt;0,(LEFT(TEXT($N2967,"000000"),2)+(MID(TEXT($N2967,"000000"),3,2)/60)+(RIGHT(TEXT($N2967,"000000"),2)/3600)),-(MID(TEXT($N2967,"000000"),2,2)+(MID(TEXT($N2967,"000000"),4,2)/60)+(RIGHT(TEXT($N2967,"000000"),2)/3600)))</f>
        <v>40.668333333333329</v>
      </c>
      <c r="P2967" s="252" t="s">
        <v>58</v>
      </c>
      <c r="Q2967" s="253"/>
      <c r="R2967" s="277" t="s">
        <v>4540</v>
      </c>
      <c r="S2967" s="272"/>
      <c r="T2967" s="273"/>
      <c r="U2967" s="274"/>
      <c r="V2967" s="280"/>
      <c r="W2967" s="244"/>
      <c r="X2967" s="244"/>
      <c r="Y2967" s="362"/>
      <c r="Z2967" s="257">
        <f>altaz(J2000_Bas,$O2967,$M2967,DecLat,DecLong,1)</f>
        <v>46.879188920358338</v>
      </c>
      <c r="AA2967" s="257">
        <f>altaz((J2000_Bas+(2*0.04167)),$O2967,$M2967,DecLat,DecLong,1)</f>
        <v>69.380910777043468</v>
      </c>
      <c r="AB2967" s="257">
        <f>altaz((J2000_Bas+(4*0.04167)),$O2967,$M2967,DecLat,DecLong,1)</f>
        <v>78.588926015271397</v>
      </c>
      <c r="AC2967" s="257">
        <f>altaz((J2000_Bas+(6*0.04167)),$O2967,$M2967,DecLat,DecLong,1)</f>
        <v>58.304571632536515</v>
      </c>
      <c r="AD2967" s="258">
        <f>1+ transit((J2000_Bas-1),$O2967,$M2967,DecLat,DecLong)/360 + (GMTOffset/24) + (IF(DST="Y", 1, 0)/24)</f>
        <v>1.9336521813692913</v>
      </c>
      <c r="AE2967" s="259">
        <f>DATE(2001,9,21)+(M2967/360)*365 - (360*((DecLong/360)- (GMTOffset/24) ))</f>
        <v>37503.374594907407</v>
      </c>
      <c r="AF2967" s="260">
        <f>IF(DecLat&gt;0,IF((90 - (DecLat-O2967))&gt;90, (90 - (O2967-DecLat)), (90 - (DecLat-O2967))),IF((90 + (DecLat-O2967))&gt;90, (90 + (O2967-DecLat)), (90 + (DecLat-O2967))))</f>
        <v>80.331666666666678</v>
      </c>
      <c r="AG2967" s="257">
        <f>angularseperation(MoonRA,MoonDec,$M2967,$O2967)</f>
        <v>106.85659054664978</v>
      </c>
      <c r="AH2967" s="261">
        <f ca="1">MIN(100,IF($O$5&gt;80,0+30*($AG2967/100),IF($O$5&gt;70,0+50*($AG2967/100),IF($O$5&gt;60,5+50*($AG2967/100),IF($O$5&gt;50,10+60*($AG2967/100),IF($O$5&gt;40,15+70*($AG2967/100),IF($O$5&gt;30,20+70*($AG2967/100),IF($O$5&gt;20,40+55*($AG2967/100),(80+(20-$O$5)+30*($AG2967/100))))))))))</f>
        <v>100</v>
      </c>
      <c r="AI2967" s="262"/>
      <c r="AJ2967" s="262"/>
      <c r="AK2967" s="262"/>
      <c r="AL2967" s="263"/>
      <c r="AM2967" s="264"/>
      <c r="AN2967" s="263"/>
      <c r="AO2967" s="263"/>
      <c r="AP2967" s="265"/>
      <c r="AQ2967" s="266"/>
      <c r="AR2967" s="267"/>
      <c r="AS2967" s="263"/>
      <c r="AT2967" s="263"/>
      <c r="AU2967" s="263"/>
      <c r="AV2967" s="264"/>
      <c r="AW2967" s="263"/>
      <c r="AX2967" s="263"/>
      <c r="AY2967" s="263"/>
      <c r="AZ2967" s="263"/>
      <c r="BA2967" s="263"/>
      <c r="BB2967" s="263"/>
      <c r="BC2967" s="263"/>
      <c r="BD2967" s="264"/>
      <c r="BE2967" s="263"/>
      <c r="BF2967" s="263"/>
      <c r="BG2967" s="263"/>
      <c r="BH2967" s="263"/>
      <c r="BI2967" s="263"/>
      <c r="BJ2967" s="404">
        <f>altaz(J2000_Bas,$O2967,$M2967,DecLat,DecLong,2)</f>
        <v>61.924773559517952</v>
      </c>
      <c r="BK2967" s="378" t="s">
        <v>2776</v>
      </c>
      <c r="BL2967" s="379">
        <f>IF((2*G2967)/60&lt;0.2,0.2,(2*G2967)/60)</f>
        <v>0.2</v>
      </c>
      <c r="BM2967" s="380">
        <f>MOD((50000+AD2967-$B$3+(0/24)),1)</f>
        <v>0.14901911107153865</v>
      </c>
      <c r="BN2967" s="381"/>
      <c r="BO2967" s="382">
        <v>2958</v>
      </c>
    </row>
    <row r="2968" spans="1:67" s="24" customFormat="1" ht="15" customHeight="1" x14ac:dyDescent="0.25">
      <c r="A2968" s="288" t="s">
        <v>2777</v>
      </c>
      <c r="B2968" s="241" t="str">
        <f>HYPERLINK(CONCATENATE($AT$3,BK2968,$AU$3),$AV$3)</f>
        <v>S</v>
      </c>
      <c r="C2968" s="242" t="str">
        <f>HYPERLINK(CONCATENATE($AT$4,BK2968,$AU$4,BL2968),$AV$4)</f>
        <v>A</v>
      </c>
      <c r="D2968" s="243" t="s">
        <v>5335</v>
      </c>
      <c r="E2968" s="244" t="s">
        <v>31</v>
      </c>
      <c r="F2968" s="269"/>
      <c r="G2968" s="273">
        <v>3</v>
      </c>
      <c r="H2968" s="283">
        <v>1600</v>
      </c>
      <c r="I2968" s="279">
        <v>1.3</v>
      </c>
      <c r="J2968" s="246">
        <v>2</v>
      </c>
      <c r="K2968" s="247" t="s">
        <v>5382</v>
      </c>
      <c r="L2968" s="248">
        <v>1127</v>
      </c>
      <c r="M2968" s="249">
        <f>15*(LEFT(TEXT($L2968,"000000"),2)+(MID(TEXT($L2968,"000000"),3,2)/60)+(RIGHT(TEXT($L2968,"000000"),2)/3600))</f>
        <v>2.8624999999999998</v>
      </c>
      <c r="N2968" s="286">
        <v>585004</v>
      </c>
      <c r="O2968" s="251">
        <f>IF($N2968&gt;0,(LEFT(TEXT($N2968,"000000"),2)+(MID(TEXT($N2968,"000000"),3,2)/60)+(RIGHT(TEXT($N2968,"000000"),2)/3600)),-(MID(TEXT($N2968,"000000"),2,2)+(MID(TEXT($N2968,"000000"),4,2)/60)+(RIGHT(TEXT($N2968,"000000"),2)/3600)))</f>
        <v>58.834444444444443</v>
      </c>
      <c r="P2968" s="252" t="s">
        <v>49</v>
      </c>
      <c r="Q2968" s="253"/>
      <c r="R2968" s="277" t="s">
        <v>5357</v>
      </c>
      <c r="S2968" s="272"/>
      <c r="T2968" s="273"/>
      <c r="U2968" s="274"/>
      <c r="V2968" s="280"/>
      <c r="W2968" s="244"/>
      <c r="X2968" s="244"/>
      <c r="Y2968" s="362"/>
      <c r="Z2968" s="257">
        <f>altaz(J2000_Bas,$O2968,$M2968,DecLat,DecLong,1)</f>
        <v>32.789176685460674</v>
      </c>
      <c r="AA2968" s="257">
        <f>altaz((J2000_Bas+(2*0.04167)),$O2968,$M2968,DecLat,DecLong,1)</f>
        <v>48.116714186659777</v>
      </c>
      <c r="AB2968" s="257">
        <f>altaz((J2000_Bas+(4*0.04167)),$O2968,$M2968,DecLat,DecLong,1)</f>
        <v>59.952570280430727</v>
      </c>
      <c r="AC2968" s="257">
        <f>altaz((J2000_Bas+(6*0.04167)),$O2968,$M2968,DecLat,DecLong,1)</f>
        <v>60.719426562594741</v>
      </c>
      <c r="AD2968" s="258">
        <f>1+ transit((J2000_Bas-1),$O2968,$M2968,DecLat,DecLong)/360 + (GMTOffset/24) + (IF(DST="Y", 1, 0)/24)</f>
        <v>1.000851348723458</v>
      </c>
      <c r="AE2968" s="259">
        <f>DATE(2001,9,21)+(M2968/360)*365 - (360*((DecLong/360)- (GMTOffset/24) ))</f>
        <v>37162.902256944442</v>
      </c>
      <c r="AF2968" s="260">
        <f>IF(DecLat&gt;0,IF((90 - (DecLat-O2968))&gt;90, (90 - (O2968-DecLat)), (90 - (DecLat-O2968))),IF((90 + (DecLat-O2968))&gt;90, (90 + (O2968-DecLat)), (90 + (DecLat-O2968))))</f>
        <v>62.165555555555557</v>
      </c>
      <c r="AG2968" s="257">
        <f>angularseperation(MoonRA,MoonDec,$M2968,$O2968)</f>
        <v>125.04393521993833</v>
      </c>
      <c r="AH2968" s="261">
        <f ca="1">MIN(100,IF($O$5&gt;80,0+30*($AG2968/100),IF($O$5&gt;70,0+50*($AG2968/100),IF($O$5&gt;60,5+50*($AG2968/100),IF($O$5&gt;50,10+60*($AG2968/100),IF($O$5&gt;40,15+70*($AG2968/100),IF($O$5&gt;30,20+70*($AG2968/100),IF($O$5&gt;20,40+55*($AG2968/100),(80+(20-$O$5)+30*($AG2968/100))))))))))</f>
        <v>100</v>
      </c>
      <c r="AI2968" s="262"/>
      <c r="AJ2968" s="262"/>
      <c r="AK2968" s="262"/>
      <c r="AL2968" s="263"/>
      <c r="AM2968" s="264"/>
      <c r="AN2968" s="263"/>
      <c r="AO2968" s="263"/>
      <c r="AP2968" s="265"/>
      <c r="AQ2968" s="266"/>
      <c r="AR2968" s="267"/>
      <c r="AS2968" s="263"/>
      <c r="AT2968" s="263"/>
      <c r="AU2968" s="263"/>
      <c r="AV2968" s="264"/>
      <c r="AW2968" s="263"/>
      <c r="AX2968" s="263"/>
      <c r="AY2968" s="263"/>
      <c r="AZ2968" s="263"/>
      <c r="BA2968" s="263"/>
      <c r="BB2968" s="263"/>
      <c r="BC2968" s="263"/>
      <c r="BD2968" s="264"/>
      <c r="BE2968" s="263"/>
      <c r="BF2968" s="263"/>
      <c r="BG2968" s="263"/>
      <c r="BH2968" s="263"/>
      <c r="BI2968" s="263"/>
      <c r="BJ2968" s="404">
        <f>altaz(J2000_Bas,$O2968,$M2968,DecLat,DecLong,2)</f>
        <v>36.832532974457806</v>
      </c>
      <c r="BK2968" s="378" t="s">
        <v>2777</v>
      </c>
      <c r="BL2968" s="379">
        <f>IF((2*G2968)/60&lt;0.2,0.2,(2*G2968)/60)</f>
        <v>0.2</v>
      </c>
      <c r="BM2968" s="380">
        <f>MOD((50000+AD2968-$B$3+(0/24)),1)</f>
        <v>0.21621827843046049</v>
      </c>
      <c r="BN2968" s="381"/>
      <c r="BO2968" s="382">
        <v>2959</v>
      </c>
    </row>
    <row r="2969" spans="1:67" s="24" customFormat="1" ht="15" customHeight="1" x14ac:dyDescent="0.25">
      <c r="A2969" s="288" t="s">
        <v>2778</v>
      </c>
      <c r="B2969" s="241" t="str">
        <f>HYPERLINK(CONCATENATE($AT$3,BK2969,$AU$3),$AV$3)</f>
        <v>S</v>
      </c>
      <c r="C2969" s="242" t="str">
        <f>HYPERLINK(CONCATENATE($AT$4,BK2969,$AU$4,BL2969),$AV$4)</f>
        <v>A</v>
      </c>
      <c r="D2969" s="243" t="s">
        <v>5335</v>
      </c>
      <c r="E2969" s="244" t="s">
        <v>31</v>
      </c>
      <c r="F2969" s="269"/>
      <c r="G2969" s="273">
        <v>2</v>
      </c>
      <c r="H2969" s="283">
        <v>1500</v>
      </c>
      <c r="I2969" s="309">
        <v>0.9</v>
      </c>
      <c r="J2969" s="246">
        <v>2</v>
      </c>
      <c r="K2969" s="247" t="s">
        <v>5385</v>
      </c>
      <c r="L2969" s="248">
        <v>53626</v>
      </c>
      <c r="M2969" s="249">
        <f>15*(LEFT(TEXT($L2969,"000000"),2)+(MID(TEXT($L2969,"000000"),3,2)/60)+(RIGHT(TEXT($L2969,"000000"),2)/3600))</f>
        <v>84.108333333333334</v>
      </c>
      <c r="N2969" s="250">
        <v>-64257</v>
      </c>
      <c r="O2969" s="251">
        <f>IF($N2969&gt;0,(LEFT(TEXT($N2969,"000000"),2)+(MID(TEXT($N2969,"000000"),3,2)/60)+(RIGHT(TEXT($N2969,"000000"),2)/3600)),-(MID(TEXT($N2969,"000000"),2,2)+(MID(TEXT($N2969,"000000"),4,2)/60)+(RIGHT(TEXT($N2969,"000000"),2)/3600)))</f>
        <v>-6.7158333333333333</v>
      </c>
      <c r="P2969" s="252" t="s">
        <v>41</v>
      </c>
      <c r="Q2969" s="253"/>
      <c r="R2969" s="277" t="s">
        <v>5358</v>
      </c>
      <c r="S2969" s="272"/>
      <c r="T2969" s="273"/>
      <c r="U2969" s="274"/>
      <c r="V2969" s="280"/>
      <c r="W2969" s="244"/>
      <c r="X2969" s="244"/>
      <c r="Y2969" s="362"/>
      <c r="Z2969" s="257">
        <f>altaz(J2000_Bas,$O2969,$M2969,DecLat,DecLong,1)</f>
        <v>-58.22435511407388</v>
      </c>
      <c r="AA2969" s="257">
        <f>altaz((J2000_Bas+(2*0.04167)),$O2969,$M2969,DecLat,DecLong,1)</f>
        <v>-35.773521760537875</v>
      </c>
      <c r="AB2969" s="257">
        <f>altaz((J2000_Bas+(4*0.04167)),$O2969,$M2969,DecLat,DecLong,1)</f>
        <v>-10.240168529972758</v>
      </c>
      <c r="AC2969" s="257">
        <f>altaz((J2000_Bas+(6*0.04167)),$O2969,$M2969,DecLat,DecLong,1)</f>
        <v>15.111765242646909</v>
      </c>
      <c r="AD2969" s="258">
        <f>1+ transit((J2000_Bas-1),$O2969,$M2969,DecLat,DecLong)/360 + (GMTOffset/24) + (IF(DST="Y", 1, 0)/24)</f>
        <v>1.2265341965255414</v>
      </c>
      <c r="AE2969" s="259">
        <f>DATE(2001,9,21)+(M2969/360)*365 - (360*((DecLong/360)- (GMTOffset/24) ))</f>
        <v>37245.276504629626</v>
      </c>
      <c r="AF2969" s="260">
        <f>IF(DecLat&gt;0,IF((90 - (DecLat-O2969))&gt;90, (90 - (O2969-DecLat)), (90 - (DecLat-O2969))),IF((90 + (DecLat-O2969))&gt;90, (90 + (O2969-DecLat)), (90 + (DecLat-O2969))))</f>
        <v>52.284166666666664</v>
      </c>
      <c r="AG2969" s="257">
        <f>angularseperation(MoonRA,MoonDec,$M2969,$O2969)</f>
        <v>143.26275645144514</v>
      </c>
      <c r="AH2969" s="261">
        <f ca="1">MIN(100,IF($O$5&gt;80,0+30*($AG2969/100),IF($O$5&gt;70,0+50*($AG2969/100),IF($O$5&gt;60,5+50*($AG2969/100),IF($O$5&gt;50,10+60*($AG2969/100),IF($O$5&gt;40,15+70*($AG2969/100),IF($O$5&gt;30,20+70*($AG2969/100),IF($O$5&gt;20,40+55*($AG2969/100),(80+(20-$O$5)+30*($AG2969/100))))))))))</f>
        <v>100</v>
      </c>
      <c r="AI2969" s="262"/>
      <c r="AJ2969" s="262"/>
      <c r="AK2969" s="262"/>
      <c r="AL2969" s="263"/>
      <c r="AM2969" s="264"/>
      <c r="AN2969" s="263"/>
      <c r="AO2969" s="263"/>
      <c r="AP2969" s="265"/>
      <c r="AQ2969" s="266"/>
      <c r="AR2969" s="267"/>
      <c r="AS2969" s="263"/>
      <c r="AT2969" s="263"/>
      <c r="AU2969" s="263"/>
      <c r="AV2969" s="264"/>
      <c r="AW2969" s="263"/>
      <c r="AX2969" s="263"/>
      <c r="AY2969" s="263"/>
      <c r="AZ2969" s="263"/>
      <c r="BA2969" s="263"/>
      <c r="BB2969" s="263"/>
      <c r="BC2969" s="263"/>
      <c r="BD2969" s="264"/>
      <c r="BE2969" s="263"/>
      <c r="BF2969" s="263"/>
      <c r="BG2969" s="263"/>
      <c r="BH2969" s="263"/>
      <c r="BI2969" s="263"/>
      <c r="BJ2969" s="404">
        <f>altaz(J2000_Bas,$O2969,$M2969,DecLat,DecLong,2)</f>
        <v>44.689735286811334</v>
      </c>
      <c r="BK2969" s="378" t="s">
        <v>2778</v>
      </c>
      <c r="BL2969" s="379">
        <f>IF((2*G2969)/60&lt;0.2,0.2,(2*G2969)/60)</f>
        <v>0.2</v>
      </c>
      <c r="BM2969" s="380">
        <f>MOD((50000+AD2969-$B$3+(0/24)),1)</f>
        <v>0.4419011262289132</v>
      </c>
      <c r="BN2969" s="381"/>
      <c r="BO2969" s="382">
        <v>2960</v>
      </c>
    </row>
    <row r="2970" spans="1:67" s="24" customFormat="1" ht="15" customHeight="1" x14ac:dyDescent="0.25">
      <c r="A2970" s="288" t="s">
        <v>2779</v>
      </c>
      <c r="B2970" s="241" t="str">
        <f>HYPERLINK(CONCATENATE($AT$3,BK2970,$AU$3),$AV$3)</f>
        <v>S</v>
      </c>
      <c r="C2970" s="242" t="str">
        <f>HYPERLINK(CONCATENATE($AT$4,BK2970,$AU$4,BL2970),$AV$4)</f>
        <v>A</v>
      </c>
      <c r="D2970" s="243" t="s">
        <v>5335</v>
      </c>
      <c r="E2970" s="244" t="s">
        <v>31</v>
      </c>
      <c r="F2970" s="269"/>
      <c r="G2970" s="273">
        <v>2</v>
      </c>
      <c r="H2970" s="283">
        <v>4000</v>
      </c>
      <c r="I2970" s="279">
        <v>2.2000000000000002</v>
      </c>
      <c r="J2970" s="246">
        <v>2</v>
      </c>
      <c r="K2970" s="247" t="s">
        <v>5374</v>
      </c>
      <c r="L2970" s="248">
        <v>65802</v>
      </c>
      <c r="M2970" s="249">
        <f>15*(LEFT(TEXT($L2970,"000000"),2)+(MID(TEXT($L2970,"000000"),3,2)/60)+(RIGHT(TEXT($L2970,"000000"),2)/3600))</f>
        <v>104.50833333333334</v>
      </c>
      <c r="N2970" s="250">
        <v>-75642</v>
      </c>
      <c r="O2970" s="251">
        <f>IF($N2970&gt;0,(LEFT(TEXT($N2970,"000000"),2)+(MID(TEXT($N2970,"000000"),3,2)/60)+(RIGHT(TEXT($N2970,"000000"),2)/3600)),-(MID(TEXT($N2970,"000000"),2,2)+(MID(TEXT($N2970,"000000"),4,2)/60)+(RIGHT(TEXT($N2970,"000000"),2)/3600)))</f>
        <v>-7.9450000000000003</v>
      </c>
      <c r="P2970" s="252" t="s">
        <v>47</v>
      </c>
      <c r="Q2970" s="253"/>
      <c r="R2970" s="277" t="s">
        <v>5359</v>
      </c>
      <c r="S2970" s="272"/>
      <c r="T2970" s="273"/>
      <c r="U2970" s="274"/>
      <c r="V2970" s="280"/>
      <c r="W2970" s="244"/>
      <c r="X2970" s="244"/>
      <c r="Y2970" s="362"/>
      <c r="Z2970" s="257">
        <f>altaz(J2000_Bas,$O2970,$M2970,DecLat,DecLong,1)</f>
        <v>-66.902797618356416</v>
      </c>
      <c r="AA2970" s="257">
        <f>altaz((J2000_Bas+(2*0.04167)),$O2970,$M2970,DecLat,DecLong,1)</f>
        <v>-52.600388555174497</v>
      </c>
      <c r="AB2970" s="257">
        <f>altaz((J2000_Bas+(4*0.04167)),$O2970,$M2970,DecLat,DecLong,1)</f>
        <v>-28.303349751585589</v>
      </c>
      <c r="AC2970" s="257">
        <f>altaz((J2000_Bas+(6*0.04167)),$O2970,$M2970,DecLat,DecLong,1)</f>
        <v>-2.5961120397895558</v>
      </c>
      <c r="AD2970" s="258">
        <f>1+ transit((J2000_Bas-1),$O2970,$M2970,DecLat,DecLong)/360 + (GMTOffset/24) + (IF(DST="Y", 1, 0)/24)</f>
        <v>1.2832008575255414</v>
      </c>
      <c r="AE2970" s="259">
        <f>DATE(2001,9,21)+(M2970/360)*365 - (360*((DecLong/360)- (GMTOffset/24) ))</f>
        <v>37265.959837962961</v>
      </c>
      <c r="AF2970" s="260">
        <f>IF(DecLat&gt;0,IF((90 - (DecLat-O2970))&gt;90, (90 - (O2970-DecLat)), (90 - (DecLat-O2970))),IF((90 + (DecLat-O2970))&gt;90, (90 + (O2970-DecLat)), (90 + (DecLat-O2970))))</f>
        <v>51.055</v>
      </c>
      <c r="AG2970" s="257">
        <f>angularseperation(MoonRA,MoonDec,$M2970,$O2970)</f>
        <v>131.07380082265894</v>
      </c>
      <c r="AH2970" s="261">
        <f ca="1">MIN(100,IF($O$5&gt;80,0+30*($AG2970/100),IF($O$5&gt;70,0+50*($AG2970/100),IF($O$5&gt;60,5+50*($AG2970/100),IF($O$5&gt;50,10+60*($AG2970/100),IF($O$5&gt;40,15+70*($AG2970/100),IF($O$5&gt;30,20+70*($AG2970/100),IF($O$5&gt;20,40+55*($AG2970/100),(80+(20-$O$5)+30*($AG2970/100))))))))))</f>
        <v>100</v>
      </c>
      <c r="AI2970" s="262"/>
      <c r="AJ2970" s="262"/>
      <c r="AK2970" s="262"/>
      <c r="AL2970" s="263"/>
      <c r="AM2970" s="264"/>
      <c r="AN2970" s="263"/>
      <c r="AO2970" s="263"/>
      <c r="AP2970" s="265"/>
      <c r="AQ2970" s="266"/>
      <c r="AR2970" s="267"/>
      <c r="AS2970" s="263"/>
      <c r="AT2970" s="263"/>
      <c r="AU2970" s="263"/>
      <c r="AV2970" s="264"/>
      <c r="AW2970" s="263"/>
      <c r="AX2970" s="263"/>
      <c r="AY2970" s="263"/>
      <c r="AZ2970" s="263"/>
      <c r="BA2970" s="263"/>
      <c r="BB2970" s="263"/>
      <c r="BC2970" s="263"/>
      <c r="BD2970" s="264"/>
      <c r="BE2970" s="263"/>
      <c r="BF2970" s="263"/>
      <c r="BG2970" s="263"/>
      <c r="BH2970" s="263"/>
      <c r="BI2970" s="263"/>
      <c r="BJ2970" s="404">
        <f>altaz(J2000_Bas,$O2970,$M2970,DecLat,DecLong,2)</f>
        <v>3.7748737454461798</v>
      </c>
      <c r="BK2970" s="378" t="s">
        <v>2779</v>
      </c>
      <c r="BL2970" s="379">
        <f>IF((2*G2970)/60&lt;0.2,0.2,(2*G2970)/60)</f>
        <v>0.2</v>
      </c>
      <c r="BM2970" s="380">
        <f>MOD((50000+AD2970-$B$3+(0/24)),1)</f>
        <v>0.49856778723187745</v>
      </c>
      <c r="BN2970" s="381"/>
      <c r="BO2970" s="382">
        <v>2961</v>
      </c>
    </row>
    <row r="2971" spans="1:67" s="24" customFormat="1" ht="15" customHeight="1" x14ac:dyDescent="0.25">
      <c r="A2971" s="288" t="s">
        <v>2780</v>
      </c>
      <c r="B2971" s="241" t="str">
        <f>HYPERLINK(CONCATENATE($AT$3,BK2971,$AU$3),$AV$3)</f>
        <v>S</v>
      </c>
      <c r="C2971" s="242" t="str">
        <f>HYPERLINK(CONCATENATE($AT$4,BK2971,$AU$4,BL2971),$AV$4)</f>
        <v>A</v>
      </c>
      <c r="D2971" s="243" t="s">
        <v>5335</v>
      </c>
      <c r="E2971" s="244" t="s">
        <v>31</v>
      </c>
      <c r="F2971" s="269"/>
      <c r="G2971" s="273">
        <v>2</v>
      </c>
      <c r="H2971" s="283">
        <v>4800</v>
      </c>
      <c r="I2971" s="279">
        <v>2.8</v>
      </c>
      <c r="J2971" s="246">
        <v>2</v>
      </c>
      <c r="K2971" s="247" t="s">
        <v>5375</v>
      </c>
      <c r="L2971" s="248">
        <v>231726</v>
      </c>
      <c r="M2971" s="249">
        <f>15*(LEFT(TEXT($L2971,"000000"),2)+(MID(TEXT($L2971,"000000"),3,2)/60)+(RIGHT(TEXT($L2971,"000000"),2)/3600))</f>
        <v>349.35833333333335</v>
      </c>
      <c r="N2971" s="286">
        <v>605043</v>
      </c>
      <c r="O2971" s="251">
        <f>IF($N2971&gt;0,(LEFT(TEXT($N2971,"000000"),2)+(MID(TEXT($N2971,"000000"),3,2)/60)+(RIGHT(TEXT($N2971,"000000"),2)/3600)),-(MID(TEXT($N2971,"000000"),2,2)+(MID(TEXT($N2971,"000000"),4,2)/60)+(RIGHT(TEXT($N2971,"000000"),2)/3600)))</f>
        <v>60.845277777777781</v>
      </c>
      <c r="P2971" s="252" t="s">
        <v>49</v>
      </c>
      <c r="Q2971" s="253"/>
      <c r="R2971" s="277" t="s">
        <v>2589</v>
      </c>
      <c r="S2971" s="272"/>
      <c r="T2971" s="273"/>
      <c r="U2971" s="274"/>
      <c r="V2971" s="280"/>
      <c r="W2971" s="244"/>
      <c r="X2971" s="244"/>
      <c r="Y2971" s="362"/>
      <c r="Z2971" s="257">
        <f>altaz(J2000_Bas,$O2971,$M2971,DecLat,DecLong,1)</f>
        <v>39.572419794967686</v>
      </c>
      <c r="AA2971" s="257">
        <f>altaz((J2000_Bas+(2*0.04167)),$O2971,$M2971,DecLat,DecLong,1)</f>
        <v>53.027404176128719</v>
      </c>
      <c r="AB2971" s="257">
        <f>altaz((J2000_Bas+(4*0.04167)),$O2971,$M2971,DecLat,DecLong,1)</f>
        <v>60.080468362876687</v>
      </c>
      <c r="AC2971" s="257">
        <f>altaz((J2000_Bas+(6*0.04167)),$O2971,$M2971,DecLat,DecLong,1)</f>
        <v>55.305175817268413</v>
      </c>
      <c r="AD2971" s="258">
        <f>1+ transit((J2000_Bas-1),$O2971,$M2971,DecLat,DecLong)/360 + (GMTOffset/24) + (IF(DST="Y", 1, 0)/24)</f>
        <v>1.9633396784005412</v>
      </c>
      <c r="AE2971" s="259">
        <f>DATE(2001,9,21)+(M2971/360)*365 - (360*((DecLong/360)- (GMTOffset/24) ))</f>
        <v>37514.210532407407</v>
      </c>
      <c r="AF2971" s="260">
        <f>IF(DecLat&gt;0,IF((90 - (DecLat-O2971))&gt;90, (90 - (O2971-DecLat)), (90 - (DecLat-O2971))),IF((90 + (DecLat-O2971))&gt;90, (90 + (O2971-DecLat)), (90 + (DecLat-O2971))))</f>
        <v>60.154722222222219</v>
      </c>
      <c r="AG2971" s="257">
        <f>angularseperation(MoonRA,MoonDec,$M2971,$O2971)</f>
        <v>118.28137090412173</v>
      </c>
      <c r="AH2971" s="261">
        <f ca="1">MIN(100,IF($O$5&gt;80,0+30*($AG2971/100),IF($O$5&gt;70,0+50*($AG2971/100),IF($O$5&gt;60,5+50*($AG2971/100),IF($O$5&gt;50,10+60*($AG2971/100),IF($O$5&gt;40,15+70*($AG2971/100),IF($O$5&gt;30,20+70*($AG2971/100),IF($O$5&gt;20,40+55*($AG2971/100),(80+(20-$O$5)+30*($AG2971/100))))))))))</f>
        <v>100</v>
      </c>
      <c r="AI2971" s="262"/>
      <c r="AJ2971" s="262"/>
      <c r="AK2971" s="262"/>
      <c r="AL2971" s="263"/>
      <c r="AM2971" s="264"/>
      <c r="AN2971" s="263"/>
      <c r="AO2971" s="263"/>
      <c r="AP2971" s="265"/>
      <c r="AQ2971" s="266"/>
      <c r="AR2971" s="267"/>
      <c r="AS2971" s="263"/>
      <c r="AT2971" s="263"/>
      <c r="AU2971" s="263"/>
      <c r="AV2971" s="264"/>
      <c r="AW2971" s="263"/>
      <c r="AX2971" s="263"/>
      <c r="AY2971" s="263"/>
      <c r="AZ2971" s="263"/>
      <c r="BA2971" s="263"/>
      <c r="BB2971" s="263"/>
      <c r="BC2971" s="263"/>
      <c r="BD2971" s="264"/>
      <c r="BE2971" s="263"/>
      <c r="BF2971" s="263"/>
      <c r="BG2971" s="263"/>
      <c r="BH2971" s="263"/>
      <c r="BI2971" s="263"/>
      <c r="BJ2971" s="404">
        <f>altaz(J2000_Bas,$O2971,$M2971,DecLat,DecLong,2)</f>
        <v>34.3953350090557</v>
      </c>
      <c r="BK2971" s="378" t="s">
        <v>2780</v>
      </c>
      <c r="BL2971" s="379">
        <f>IF((2*G2971)/60&lt;0.2,0.2,(2*G2971)/60)</f>
        <v>0.2</v>
      </c>
      <c r="BM2971" s="380">
        <f>MOD((50000+AD2971-$B$3+(0/24)),1)</f>
        <v>0.17870660810149275</v>
      </c>
      <c r="BN2971" s="381"/>
      <c r="BO2971" s="382">
        <v>2962</v>
      </c>
    </row>
    <row r="2972" spans="1:67" s="24" customFormat="1" ht="15" customHeight="1" x14ac:dyDescent="0.25">
      <c r="A2972" s="288" t="s">
        <v>2781</v>
      </c>
      <c r="B2972" s="241" t="str">
        <f>HYPERLINK(CONCATENATE($AT$3,BK2972,$AU$3),$AV$3)</f>
        <v>S</v>
      </c>
      <c r="C2972" s="242" t="str">
        <f>HYPERLINK(CONCATENATE($AT$4,BK2972,$AU$4,BL2972),$AV$4)</f>
        <v>A</v>
      </c>
      <c r="D2972" s="243" t="s">
        <v>5335</v>
      </c>
      <c r="E2972" s="244" t="s">
        <v>31</v>
      </c>
      <c r="F2972" s="269"/>
      <c r="G2972" s="273">
        <v>3</v>
      </c>
      <c r="H2972" s="283">
        <v>1600</v>
      </c>
      <c r="I2972" s="279">
        <v>1.5</v>
      </c>
      <c r="J2972" s="246">
        <v>2</v>
      </c>
      <c r="K2972" s="247" t="s">
        <v>5373</v>
      </c>
      <c r="L2972" s="248">
        <v>1126</v>
      </c>
      <c r="M2972" s="249">
        <f>15*(LEFT(TEXT($L2972,"000000"),2)+(MID(TEXT($L2972,"000000"),3,2)/60)+(RIGHT(TEXT($L2972,"000000"),2)/3600))</f>
        <v>2.8583333333333329</v>
      </c>
      <c r="N2972" s="286">
        <v>584928</v>
      </c>
      <c r="O2972" s="251">
        <f>IF($N2972&gt;0,(LEFT(TEXT($N2972,"000000"),2)+(MID(TEXT($N2972,"000000"),3,2)/60)+(RIGHT(TEXT($N2972,"000000"),2)/3600)),-(MID(TEXT($N2972,"000000"),2,2)+(MID(TEXT($N2972,"000000"),4,2)/60)+(RIGHT(TEXT($N2972,"000000"),2)/3600)))</f>
        <v>58.824444444444445</v>
      </c>
      <c r="P2972" s="252" t="s">
        <v>49</v>
      </c>
      <c r="Q2972" s="253"/>
      <c r="R2972" s="277" t="s">
        <v>5357</v>
      </c>
      <c r="S2972" s="272"/>
      <c r="T2972" s="273"/>
      <c r="U2972" s="274"/>
      <c r="V2972" s="280"/>
      <c r="W2972" s="244"/>
      <c r="X2972" s="244"/>
      <c r="Y2972" s="362"/>
      <c r="Z2972" s="257">
        <f>altaz(J2000_Bas,$O2972,$M2972,DecLat,DecLong,1)</f>
        <v>32.790130638992778</v>
      </c>
      <c r="AA2972" s="257">
        <f>altaz((J2000_Bas+(2*0.04167)),$O2972,$M2972,DecLat,DecLong,1)</f>
        <v>48.122263015011718</v>
      </c>
      <c r="AB2972" s="257">
        <f>altaz((J2000_Bas+(4*0.04167)),$O2972,$M2972,DecLat,DecLong,1)</f>
        <v>59.962338417828164</v>
      </c>
      <c r="AC2972" s="257">
        <f>altaz((J2000_Bas+(6*0.04167)),$O2972,$M2972,DecLat,DecLong,1)</f>
        <v>60.727689134027457</v>
      </c>
      <c r="AD2972" s="258">
        <f>1+ transit((J2000_Bas-1),$O2972,$M2972,DecLat,DecLong)/360 + (GMTOffset/24) + (IF(DST="Y", 1, 0)/24)</f>
        <v>1.0008397746505413</v>
      </c>
      <c r="AE2972" s="259">
        <f>DATE(2001,9,21)+(M2972/360)*365 - (360*((DecLong/360)- (GMTOffset/24) ))</f>
        <v>37162.898032407407</v>
      </c>
      <c r="AF2972" s="260">
        <f>IF(DecLat&gt;0,IF((90 - (DecLat-O2972))&gt;90, (90 - (O2972-DecLat)), (90 - (DecLat-O2972))),IF((90 + (DecLat-O2972))&gt;90, (90 + (O2972-DecLat)), (90 + (DecLat-O2972))))</f>
        <v>62.175555555555555</v>
      </c>
      <c r="AG2972" s="257">
        <f>angularseperation(MoonRA,MoonDec,$M2972,$O2972)</f>
        <v>125.04263596821262</v>
      </c>
      <c r="AH2972" s="261">
        <f ca="1">MIN(100,IF($O$5&gt;80,0+30*($AG2972/100),IF($O$5&gt;70,0+50*($AG2972/100),IF($O$5&gt;60,5+50*($AG2972/100),IF($O$5&gt;50,10+60*($AG2972/100),IF($O$5&gt;40,15+70*($AG2972/100),IF($O$5&gt;30,20+70*($AG2972/100),IF($O$5&gt;20,40+55*($AG2972/100),(80+(20-$O$5)+30*($AG2972/100))))))))))</f>
        <v>100</v>
      </c>
      <c r="AI2972" s="262"/>
      <c r="AJ2972" s="262"/>
      <c r="AK2972" s="262"/>
      <c r="AL2972" s="263"/>
      <c r="AM2972" s="264"/>
      <c r="AN2972" s="263"/>
      <c r="AO2972" s="263"/>
      <c r="AP2972" s="265"/>
      <c r="AQ2972" s="266"/>
      <c r="AR2972" s="267"/>
      <c r="AS2972" s="263"/>
      <c r="AT2972" s="263"/>
      <c r="AU2972" s="263"/>
      <c r="AV2972" s="264"/>
      <c r="AW2972" s="263"/>
      <c r="AX2972" s="263"/>
      <c r="AY2972" s="263"/>
      <c r="AZ2972" s="263"/>
      <c r="BA2972" s="263"/>
      <c r="BB2972" s="263"/>
      <c r="BC2972" s="263"/>
      <c r="BD2972" s="264"/>
      <c r="BE2972" s="263"/>
      <c r="BF2972" s="263"/>
      <c r="BG2972" s="263"/>
      <c r="BH2972" s="263"/>
      <c r="BI2972" s="263"/>
      <c r="BJ2972" s="404">
        <f>altaz(J2000_Bas,$O2972,$M2972,DecLat,DecLong,2)</f>
        <v>36.844648784696027</v>
      </c>
      <c r="BK2972" s="378" t="s">
        <v>2781</v>
      </c>
      <c r="BL2972" s="379">
        <f>IF((2*G2972)/60&lt;0.2,0.2,(2*G2972)/60)</f>
        <v>0.2</v>
      </c>
      <c r="BM2972" s="380">
        <f>MOD((50000+AD2972-$B$3+(0/24)),1)</f>
        <v>0.21620670435368083</v>
      </c>
      <c r="BN2972" s="381"/>
      <c r="BO2972" s="382">
        <v>2963</v>
      </c>
    </row>
    <row r="2973" spans="1:67" s="24" customFormat="1" ht="15" customHeight="1" x14ac:dyDescent="0.25">
      <c r="A2973" s="288" t="s">
        <v>2782</v>
      </c>
      <c r="B2973" s="241" t="str">
        <f>HYPERLINK(CONCATENATE($AT$3,BK2973,$AU$3),$AV$3)</f>
        <v>S</v>
      </c>
      <c r="C2973" s="242" t="str">
        <f>HYPERLINK(CONCATENATE($AT$4,BK2973,$AU$4,BL2973),$AV$4)</f>
        <v>A</v>
      </c>
      <c r="D2973" s="243" t="s">
        <v>5335</v>
      </c>
      <c r="E2973" s="244" t="s">
        <v>31</v>
      </c>
      <c r="F2973" s="269"/>
      <c r="G2973" s="273">
        <v>3</v>
      </c>
      <c r="H2973" s="283">
        <v>410</v>
      </c>
      <c r="I2973" s="309">
        <v>0.4</v>
      </c>
      <c r="J2973" s="246">
        <v>2</v>
      </c>
      <c r="K2973" s="247" t="s">
        <v>5380</v>
      </c>
      <c r="L2973" s="248">
        <v>41847</v>
      </c>
      <c r="M2973" s="249">
        <f>15*(LEFT(TEXT($L2973,"000000"),2)+(MID(TEXT($L2973,"000000"),3,2)/60)+(RIGHT(TEXT($L2973,"000000"),2)/3600))</f>
        <v>64.69583333333334</v>
      </c>
      <c r="N2973" s="286">
        <v>282007</v>
      </c>
      <c r="O2973" s="251">
        <f>IF($N2973&gt;0,(LEFT(TEXT($N2973,"000000"),2)+(MID(TEXT($N2973,"000000"),3,2)/60)+(RIGHT(TEXT($N2973,"000000"),2)/3600)),-(MID(TEXT($N2973,"000000"),2,2)+(MID(TEXT($N2973,"000000"),4,2)/60)+(RIGHT(TEXT($N2973,"000000"),2)/3600)))</f>
        <v>28.335277777777776</v>
      </c>
      <c r="P2973" s="252" t="s">
        <v>56</v>
      </c>
      <c r="Q2973" s="253"/>
      <c r="R2973" s="277" t="s">
        <v>5360</v>
      </c>
      <c r="S2973" s="272"/>
      <c r="T2973" s="273"/>
      <c r="U2973" s="274"/>
      <c r="V2973" s="280"/>
      <c r="W2973" s="244"/>
      <c r="X2973" s="244"/>
      <c r="Y2973" s="362"/>
      <c r="Z2973" s="257">
        <f>altaz(J2000_Bas,$O2973,$M2973,DecLat,DecLong,1)</f>
        <v>-18.801567103510461</v>
      </c>
      <c r="AA2973" s="257">
        <f>altaz((J2000_Bas+(2*0.04167)),$O2973,$M2973,DecLat,DecLong,1)</f>
        <v>0.21202755684526381</v>
      </c>
      <c r="AB2973" s="257">
        <f>altaz((J2000_Bas+(4*0.04167)),$O2973,$M2973,DecLat,DecLong,1)</f>
        <v>23.238395055487128</v>
      </c>
      <c r="AC2973" s="257">
        <f>altaz((J2000_Bas+(6*0.04167)),$O2973,$M2973,DecLat,DecLong,1)</f>
        <v>48.156747110561803</v>
      </c>
      <c r="AD2973" s="258">
        <f>1+ transit((J2000_Bas-1),$O2973,$M2973,DecLat,DecLong)/360 + (GMTOffset/24) + (IF(DST="Y", 1, 0)/24)</f>
        <v>1.1726105908067914</v>
      </c>
      <c r="AE2973" s="259">
        <f>DATE(2001,9,21)+(M2973/360)*365 - (360*((DecLong/360)- (GMTOffset/24) ))</f>
        <v>37225.594386574077</v>
      </c>
      <c r="AF2973" s="260">
        <f>IF(DecLat&gt;0,IF((90 - (DecLat-O2973))&gt;90, (90 - (O2973-DecLat)), (90 - (DecLat-O2973))),IF((90 + (DecLat-O2973))&gt;90, (90 + (O2973-DecLat)), (90 + (DecLat-O2973))))</f>
        <v>87.335277777777776</v>
      </c>
      <c r="AG2973" s="257">
        <f>angularseperation(MoonRA,MoonDec,$M2973,$O2973)</f>
        <v>175.78564891118515</v>
      </c>
      <c r="AH2973" s="261">
        <f ca="1">MIN(100,IF($O$5&gt;80,0+30*($AG2973/100),IF($O$5&gt;70,0+50*($AG2973/100),IF($O$5&gt;60,5+50*($AG2973/100),IF($O$5&gt;50,10+60*($AG2973/100),IF($O$5&gt;40,15+70*($AG2973/100),IF($O$5&gt;30,20+70*($AG2973/100),IF($O$5&gt;20,40+55*($AG2973/100),(80+(20-$O$5)+30*($AG2973/100))))))))))</f>
        <v>100</v>
      </c>
      <c r="AI2973" s="262"/>
      <c r="AJ2973" s="262"/>
      <c r="AK2973" s="262"/>
      <c r="AL2973" s="263"/>
      <c r="AM2973" s="264"/>
      <c r="AN2973" s="263"/>
      <c r="AO2973" s="263"/>
      <c r="AP2973" s="265"/>
      <c r="AQ2973" s="266"/>
      <c r="AR2973" s="267"/>
      <c r="AS2973" s="263"/>
      <c r="AT2973" s="263"/>
      <c r="AU2973" s="263"/>
      <c r="AV2973" s="264"/>
      <c r="AW2973" s="263"/>
      <c r="AX2973" s="263"/>
      <c r="AY2973" s="263"/>
      <c r="AZ2973" s="263"/>
      <c r="BA2973" s="263"/>
      <c r="BB2973" s="263"/>
      <c r="BC2973" s="263"/>
      <c r="BD2973" s="264"/>
      <c r="BE2973" s="263"/>
      <c r="BF2973" s="263"/>
      <c r="BG2973" s="263"/>
      <c r="BH2973" s="263"/>
      <c r="BI2973" s="263"/>
      <c r="BJ2973" s="404">
        <f>altaz(J2000_Bas,$O2973,$M2973,DecLat,DecLong,2)</f>
        <v>37.861270514165902</v>
      </c>
      <c r="BK2973" s="378" t="s">
        <v>2782</v>
      </c>
      <c r="BL2973" s="379">
        <f>IF((2*G2973)/60&lt;0.2,0.2,(2*G2973)/60)</f>
        <v>0.2</v>
      </c>
      <c r="BM2973" s="380">
        <f>MOD((50000+AD2973-$B$3+(0/24)),1)</f>
        <v>0.38797752051323187</v>
      </c>
      <c r="BN2973" s="381"/>
      <c r="BO2973" s="382">
        <v>2964</v>
      </c>
    </row>
    <row r="2974" spans="1:67" s="24" customFormat="1" ht="15" customHeight="1" x14ac:dyDescent="0.25">
      <c r="A2974" s="288" t="s">
        <v>2783</v>
      </c>
      <c r="B2974" s="241" t="str">
        <f>HYPERLINK(CONCATENATE($AT$3,BK2974,$AU$3),$AV$3)</f>
        <v>S</v>
      </c>
      <c r="C2974" s="242" t="str">
        <f>HYPERLINK(CONCATENATE($AT$4,BK2974,$AU$4,BL2974),$AV$4)</f>
        <v>A</v>
      </c>
      <c r="D2974" s="243" t="s">
        <v>5335</v>
      </c>
      <c r="E2974" s="244" t="s">
        <v>31</v>
      </c>
      <c r="F2974" s="269"/>
      <c r="G2974" s="273">
        <v>1</v>
      </c>
      <c r="H2974" s="283">
        <v>2000</v>
      </c>
      <c r="I2974" s="309">
        <v>0.6</v>
      </c>
      <c r="J2974" s="246">
        <v>2</v>
      </c>
      <c r="K2974" s="247" t="s">
        <v>5386</v>
      </c>
      <c r="L2974" s="248">
        <v>210108</v>
      </c>
      <c r="M2974" s="249">
        <f>15*(LEFT(TEXT($L2974,"000000"),2)+(MID(TEXT($L2974,"000000"),3,2)/60)+(RIGHT(TEXT($L2974,"000000"),2)/3600))</f>
        <v>315.2833333333333</v>
      </c>
      <c r="N2974" s="250">
        <v>502146</v>
      </c>
      <c r="O2974" s="251">
        <f>IF($N2974&gt;0,(LEFT(TEXT($N2974,"000000"),2)+(MID(TEXT($N2974,"000000"),3,2)/60)+(RIGHT(TEXT($N2974,"000000"),2)/3600)),-(MID(TEXT($N2974,"000000"),2,2)+(MID(TEXT($N2974,"000000"),4,2)/60)+(RIGHT(TEXT($N2974,"000000"),2)/3600)))</f>
        <v>50.362777777777779</v>
      </c>
      <c r="P2974" s="323" t="s">
        <v>60</v>
      </c>
      <c r="Q2974" s="253"/>
      <c r="R2974" s="277" t="s">
        <v>5361</v>
      </c>
      <c r="S2974" s="272"/>
      <c r="T2974" s="273"/>
      <c r="U2974" s="324"/>
      <c r="V2974" s="280"/>
      <c r="W2974" s="244"/>
      <c r="X2974" s="244"/>
      <c r="Y2974" s="362"/>
      <c r="Z2974" s="257">
        <f>altaz(J2000_Bas,$O2974,$M2974,DecLat,DecLong,1)</f>
        <v>60.876748823605716</v>
      </c>
      <c r="AA2974" s="257">
        <f>altaz((J2000_Bas+(2*0.04167)),$O2974,$M2974,DecLat,DecLong,1)</f>
        <v>70.627924757948207</v>
      </c>
      <c r="AB2974" s="257">
        <f>altaz((J2000_Bas+(4*0.04167)),$O2974,$M2974,DecLat,DecLong,1)</f>
        <v>59.983793756308891</v>
      </c>
      <c r="AC2974" s="257">
        <f>altaz((J2000_Bas+(6*0.04167)),$O2974,$M2974,DecLat,DecLong,1)</f>
        <v>41.449067897963239</v>
      </c>
      <c r="AD2974" s="258">
        <f>1+ transit((J2000_Bas-1),$O2974,$M2974,DecLat,DecLong)/360 + (GMTOffset/24) + (IF(DST="Y", 1, 0)/24)</f>
        <v>1.8686869100880414</v>
      </c>
      <c r="AE2974" s="259">
        <f>DATE(2001,9,21)+(M2974/360)*365 - (360*((DecLong/360)- (GMTOffset/24) ))</f>
        <v>37479.662268518521</v>
      </c>
      <c r="AF2974" s="260">
        <f>IF(DecLat&gt;0,IF((90 - (DecLat-O2974))&gt;90, (90 - (O2974-DecLat)), (90 - (DecLat-O2974))),IF((90 + (DecLat-O2974))&gt;90, (90 + (O2974-DecLat)), (90 + (DecLat-O2974))))</f>
        <v>70.637222222222221</v>
      </c>
      <c r="AG2974" s="257">
        <f>angularseperation(MoonRA,MoonDec,$M2974,$O2974)</f>
        <v>96.891273164237717</v>
      </c>
      <c r="AH2974" s="261">
        <f ca="1">MIN(100,IF($O$5&gt;80,0+30*($AG2974/100),IF($O$5&gt;70,0+50*($AG2974/100),IF($O$5&gt;60,5+50*($AG2974/100),IF($O$5&gt;50,10+60*($AG2974/100),IF($O$5&gt;40,15+70*($AG2974/100),IF($O$5&gt;30,20+70*($AG2974/100),IF($O$5&gt;20,40+55*($AG2974/100),(80+(20-$O$5)+30*($AG2974/100))))))))))</f>
        <v>100</v>
      </c>
      <c r="AI2974" s="262"/>
      <c r="AJ2974" s="262"/>
      <c r="AK2974" s="262"/>
      <c r="AL2974" s="263"/>
      <c r="AM2974" s="264"/>
      <c r="AN2974" s="263"/>
      <c r="AO2974" s="263"/>
      <c r="AP2974" s="265"/>
      <c r="AQ2974" s="266"/>
      <c r="AR2974" s="267"/>
      <c r="AS2974" s="263"/>
      <c r="AT2974" s="263"/>
      <c r="AU2974" s="263"/>
      <c r="AV2974" s="264"/>
      <c r="AW2974" s="263"/>
      <c r="AX2974" s="263"/>
      <c r="AY2974" s="263"/>
      <c r="AZ2974" s="263"/>
      <c r="BA2974" s="263"/>
      <c r="BB2974" s="263"/>
      <c r="BC2974" s="263"/>
      <c r="BD2974" s="264"/>
      <c r="BE2974" s="263"/>
      <c r="BF2974" s="263"/>
      <c r="BG2974" s="263"/>
      <c r="BH2974" s="263"/>
      <c r="BI2974" s="263"/>
      <c r="BJ2974" s="404">
        <f>altaz(J2000_Bas,$O2974,$M2974,DecLat,DecLong,2)</f>
        <v>39.871554323933957</v>
      </c>
      <c r="BK2974" s="378" t="s">
        <v>2783</v>
      </c>
      <c r="BL2974" s="379">
        <f>IF((2*G2974)/60&lt;0.2,0.2,(2*G2974)/60)</f>
        <v>0.2</v>
      </c>
      <c r="BM2974" s="380">
        <f>MOD((50000+AD2974-$B$3+(0/24)),1)</f>
        <v>8.4053839789703488E-2</v>
      </c>
      <c r="BN2974" s="381"/>
      <c r="BO2974" s="382">
        <v>2965</v>
      </c>
    </row>
    <row r="2975" spans="1:67" s="24" customFormat="1" ht="15" customHeight="1" x14ac:dyDescent="0.25">
      <c r="A2975" s="288" t="s">
        <v>2784</v>
      </c>
      <c r="B2975" s="241" t="str">
        <f>HYPERLINK(CONCATENATE($AT$3,BK2975,$AU$3),$AV$3)</f>
        <v>S</v>
      </c>
      <c r="C2975" s="242" t="str">
        <f>HYPERLINK(CONCATENATE($AT$4,BK2975,$AU$4,BL2975),$AV$4)</f>
        <v>A</v>
      </c>
      <c r="D2975" s="243" t="s">
        <v>5335</v>
      </c>
      <c r="E2975" s="244" t="s">
        <v>31</v>
      </c>
      <c r="F2975" s="269"/>
      <c r="G2975" s="273">
        <v>1</v>
      </c>
      <c r="H2975" s="283">
        <v>1300</v>
      </c>
      <c r="I2975" s="309">
        <v>0.4</v>
      </c>
      <c r="J2975" s="246">
        <v>2</v>
      </c>
      <c r="K2975" s="247" t="s">
        <v>5388</v>
      </c>
      <c r="L2975" s="248">
        <v>192031</v>
      </c>
      <c r="M2975" s="249">
        <f>15*(LEFT(TEXT($L2975,"000000"),2)+(MID(TEXT($L2975,"000000"),3,2)/60)+(RIGHT(TEXT($L2975,"000000"),2)/3600))</f>
        <v>290.12916666666666</v>
      </c>
      <c r="N2975" s="286">
        <v>110155</v>
      </c>
      <c r="O2975" s="251">
        <f>IF($N2975&gt;0,(LEFT(TEXT($N2975,"000000"),2)+(MID(TEXT($N2975,"000000"),3,2)/60)+(RIGHT(TEXT($N2975,"000000"),2)/3600)),-(MID(TEXT($N2975,"000000"),2,2)+(MID(TEXT($N2975,"000000"),4,2)/60)+(RIGHT(TEXT($N2975,"000000"),2)/3600)))</f>
        <v>11.031944444444445</v>
      </c>
      <c r="P2975" s="252" t="s">
        <v>126</v>
      </c>
      <c r="Q2975" s="253"/>
      <c r="R2975" s="277" t="s">
        <v>5387</v>
      </c>
      <c r="S2975" s="272"/>
      <c r="T2975" s="273"/>
      <c r="U2975" s="274"/>
      <c r="V2975" s="280"/>
      <c r="W2975" s="244"/>
      <c r="X2975" s="244"/>
      <c r="Y2975" s="362"/>
      <c r="Z2975" s="257">
        <f>altaz(J2000_Bas,$O2975,$M2975,DecLat,DecLong,1)</f>
        <v>69.669162192116104</v>
      </c>
      <c r="AA2975" s="257">
        <f>altaz((J2000_Bas+(2*0.04167)),$O2975,$M2975,DecLat,DecLong,1)</f>
        <v>58.760391625941324</v>
      </c>
      <c r="AB2975" s="257">
        <f>altaz((J2000_Bas+(4*0.04167)),$O2975,$M2975,DecLat,DecLong,1)</f>
        <v>34.645830445576529</v>
      </c>
      <c r="AC2975" s="257">
        <f>altaz((J2000_Bas+(6*0.04167)),$O2975,$M2975,DecLat,DecLong,1)</f>
        <v>8.9389508867252694</v>
      </c>
      <c r="AD2975" s="258">
        <f>1+ transit((J2000_Bas-1),$O2975,$M2975,DecLat,DecLong)/360 + (GMTOffset/24) + (IF(DST="Y", 1, 0)/24)</f>
        <v>1.7988142318901248</v>
      </c>
      <c r="AE2975" s="259">
        <f>DATE(2001,9,21)+(M2975/360)*365 - (360*((DecLong/360)- (GMTOffset/24) ))</f>
        <v>37454.158738425926</v>
      </c>
      <c r="AF2975" s="260">
        <f>IF(DecLat&gt;0,IF((90 - (DecLat-O2975))&gt;90, (90 - (O2975-DecLat)), (90 - (DecLat-O2975))),IF((90 + (DecLat-O2975))&gt;90, (90 + (O2975-DecLat)), (90 + (DecLat-O2975))))</f>
        <v>70.031944444444449</v>
      </c>
      <c r="AG2975" s="257">
        <f>angularseperation(MoonRA,MoonDec,$M2975,$O2975)</f>
        <v>55.003022636820937</v>
      </c>
      <c r="AH2975" s="261">
        <f ca="1">MIN(100,IF($O$5&gt;80,0+30*($AG2975/100),IF($O$5&gt;70,0+50*($AG2975/100),IF($O$5&gt;60,5+50*($AG2975/100),IF($O$5&gt;50,10+60*($AG2975/100),IF($O$5&gt;40,15+70*($AG2975/100),IF($O$5&gt;30,20+70*($AG2975/100),IF($O$5&gt;20,40+55*($AG2975/100),(80+(20-$O$5)+30*($AG2975/100))))))))))</f>
        <v>99.771967135196718</v>
      </c>
      <c r="AI2975" s="262"/>
      <c r="AJ2975" s="262"/>
      <c r="AK2975" s="262"/>
      <c r="AL2975" s="263"/>
      <c r="AM2975" s="264"/>
      <c r="AN2975" s="263"/>
      <c r="AO2975" s="263"/>
      <c r="AP2975" s="265"/>
      <c r="AQ2975" s="266"/>
      <c r="AR2975" s="267"/>
      <c r="AS2975" s="263"/>
      <c r="AT2975" s="263"/>
      <c r="AU2975" s="263"/>
      <c r="AV2975" s="264"/>
      <c r="AW2975" s="263"/>
      <c r="AX2975" s="263"/>
      <c r="AY2975" s="263"/>
      <c r="AZ2975" s="263"/>
      <c r="BA2975" s="263"/>
      <c r="BB2975" s="263"/>
      <c r="BC2975" s="263"/>
      <c r="BD2975" s="264"/>
      <c r="BE2975" s="263"/>
      <c r="BF2975" s="263"/>
      <c r="BG2975" s="263"/>
      <c r="BH2975" s="263"/>
      <c r="BI2975" s="263"/>
      <c r="BJ2975" s="404">
        <f>altaz(J2000_Bas,$O2975,$M2975,DecLat,DecLong,2)</f>
        <v>168.27083121547841</v>
      </c>
      <c r="BK2975" s="378" t="s">
        <v>2784</v>
      </c>
      <c r="BL2975" s="379">
        <f>IF((2*G2975)/60&lt;0.2,0.2,(2*G2975)/60)</f>
        <v>0.2</v>
      </c>
      <c r="BM2975" s="380">
        <f>MOD((50000+AD2975-$B$3+(0/24)),1)</f>
        <v>1.418116159766214E-2</v>
      </c>
      <c r="BN2975" s="381"/>
      <c r="BO2975" s="382">
        <v>2966</v>
      </c>
    </row>
    <row r="2976" spans="1:67" s="24" customFormat="1" ht="15" customHeight="1" x14ac:dyDescent="0.25">
      <c r="A2976" s="288" t="s">
        <v>2785</v>
      </c>
      <c r="B2976" s="241" t="str">
        <f>HYPERLINK(CONCATENATE($AT$3,BK2976,$AU$3),$AV$3)</f>
        <v>S</v>
      </c>
      <c r="C2976" s="242" t="str">
        <f>HYPERLINK(CONCATENATE($AT$4,BK2976,$AU$4,BL2976),$AV$4)</f>
        <v>A</v>
      </c>
      <c r="D2976" s="243" t="s">
        <v>5335</v>
      </c>
      <c r="E2976" s="244" t="s">
        <v>31</v>
      </c>
      <c r="F2976" s="269"/>
      <c r="G2976" s="273">
        <v>3</v>
      </c>
      <c r="H2976" s="283">
        <v>500</v>
      </c>
      <c r="I2976" s="309">
        <v>0.44</v>
      </c>
      <c r="J2976" s="246">
        <v>2</v>
      </c>
      <c r="K2976" s="247" t="s">
        <v>5389</v>
      </c>
      <c r="L2976" s="248">
        <v>55403</v>
      </c>
      <c r="M2976" s="249">
        <f>15*(LEFT(TEXT($L2976,"000000"),2)+(MID(TEXT($L2976,"000000"),3,2)/60)+(RIGHT(TEXT($L2976,"000000"),2)/3600))</f>
        <v>88.512500000000003</v>
      </c>
      <c r="N2976" s="250">
        <v>14015</v>
      </c>
      <c r="O2976" s="251">
        <f>IF($N2976&gt;0,(LEFT(TEXT($N2976,"000000"),2)+(MID(TEXT($N2976,"000000"),3,2)/60)+(RIGHT(TEXT($N2976,"000000"),2)/3600)),-(MID(TEXT($N2976,"000000"),2,2)+(MID(TEXT($N2976,"000000"),4,2)/60)+(RIGHT(TEXT($N2976,"000000"),2)/3600)))</f>
        <v>1.6708333333333332</v>
      </c>
      <c r="P2976" s="252" t="s">
        <v>41</v>
      </c>
      <c r="Q2976" s="253"/>
      <c r="R2976" s="277" t="s">
        <v>5362</v>
      </c>
      <c r="S2976" s="272"/>
      <c r="T2976" s="273"/>
      <c r="U2976" s="274"/>
      <c r="V2976" s="280"/>
      <c r="W2976" s="244"/>
      <c r="X2976" s="244"/>
      <c r="Y2976" s="362"/>
      <c r="Z2976" s="257">
        <f>altaz(J2000_Bas,$O2976,$M2976,DecLat,DecLong,1)</f>
        <v>-53.33826794296634</v>
      </c>
      <c r="AA2976" s="257">
        <f>altaz((J2000_Bas+(2*0.04167)),$O2976,$M2976,DecLat,DecLong,1)</f>
        <v>-34.2639864416618</v>
      </c>
      <c r="AB2976" s="257">
        <f>altaz((J2000_Bas+(4*0.04167)),$O2976,$M2976,DecLat,DecLong,1)</f>
        <v>-9.6775840004555036</v>
      </c>
      <c r="AC2976" s="257">
        <f>altaz((J2000_Bas+(6*0.04167)),$O2976,$M2976,DecLat,DecLong,1)</f>
        <v>16.029776609891105</v>
      </c>
      <c r="AD2976" s="258">
        <f>1+ transit((J2000_Bas-1),$O2976,$M2976,DecLat,DecLong)/360 + (GMTOffset/24) + (IF(DST="Y", 1, 0)/24)</f>
        <v>1.238767991598458</v>
      </c>
      <c r="AE2976" s="259">
        <f>DATE(2001,9,21)+(M2976/360)*365 - (360*((DecLong/360)- (GMTOffset/24) ))</f>
        <v>37249.741840277777</v>
      </c>
      <c r="AF2976" s="260">
        <f>IF(DecLat&gt;0,IF((90 - (DecLat-O2976))&gt;90, (90 - (O2976-DecLat)), (90 - (DecLat-O2976))),IF((90 + (DecLat-O2976))&gt;90, (90 + (O2976-DecLat)), (90 + (DecLat-O2976))))</f>
        <v>60.670833333333334</v>
      </c>
      <c r="AG2976" s="257">
        <f>angularseperation(MoonRA,MoonDec,$M2976,$O2976)</f>
        <v>148.58033680841285</v>
      </c>
      <c r="AH2976" s="261">
        <f ca="1">MIN(100,IF($O$5&gt;80,0+30*($AG2976/100),IF($O$5&gt;70,0+50*($AG2976/100),IF($O$5&gt;60,5+50*($AG2976/100),IF($O$5&gt;50,10+60*($AG2976/100),IF($O$5&gt;40,15+70*($AG2976/100),IF($O$5&gt;30,20+70*($AG2976/100),IF($O$5&gt;20,40+55*($AG2976/100),(80+(20-$O$5)+30*($AG2976/100))))))))))</f>
        <v>100</v>
      </c>
      <c r="AI2976" s="262"/>
      <c r="AJ2976" s="262"/>
      <c r="AK2976" s="262"/>
      <c r="AL2976" s="263"/>
      <c r="AM2976" s="264"/>
      <c r="AN2976" s="263"/>
      <c r="AO2976" s="263"/>
      <c r="AP2976" s="265"/>
      <c r="AQ2976" s="266"/>
      <c r="AR2976" s="267"/>
      <c r="AS2976" s="263"/>
      <c r="AT2976" s="263"/>
      <c r="AU2976" s="263"/>
      <c r="AV2976" s="264"/>
      <c r="AW2976" s="263"/>
      <c r="AX2976" s="263"/>
      <c r="AY2976" s="263"/>
      <c r="AZ2976" s="263"/>
      <c r="BA2976" s="263"/>
      <c r="BB2976" s="263"/>
      <c r="BC2976" s="263"/>
      <c r="BD2976" s="264"/>
      <c r="BE2976" s="263"/>
      <c r="BF2976" s="263"/>
      <c r="BG2976" s="263"/>
      <c r="BH2976" s="263"/>
      <c r="BI2976" s="263"/>
      <c r="BJ2976" s="404">
        <f>altaz(J2000_Bas,$O2976,$M2976,DecLat,DecLong,2)</f>
        <v>30.207299362693789</v>
      </c>
      <c r="BK2976" s="378" t="s">
        <v>2785</v>
      </c>
      <c r="BL2976" s="379">
        <f>IF((2*G2976)/60&lt;0.2,0.2,(2*G2976)/60)</f>
        <v>0.2</v>
      </c>
      <c r="BM2976" s="380">
        <f>MOD((50000+AD2976-$B$3+(0/24)),1)</f>
        <v>0.45413492130319355</v>
      </c>
      <c r="BN2976" s="381"/>
      <c r="BO2976" s="382">
        <v>2967</v>
      </c>
    </row>
    <row r="2977" spans="1:67" s="24" customFormat="1" ht="15" customHeight="1" x14ac:dyDescent="0.25">
      <c r="A2977" s="288" t="s">
        <v>2786</v>
      </c>
      <c r="B2977" s="241" t="str">
        <f>HYPERLINK(CONCATENATE($AT$3,BK2977,$AU$3),$AV$3)</f>
        <v>S</v>
      </c>
      <c r="C2977" s="242" t="str">
        <f>HYPERLINK(CONCATENATE($AT$4,BK2977,$AU$4,BL2977),$AV$4)</f>
        <v>A</v>
      </c>
      <c r="D2977" s="243" t="s">
        <v>5335</v>
      </c>
      <c r="E2977" s="244" t="s">
        <v>31</v>
      </c>
      <c r="F2977" s="269"/>
      <c r="G2977" s="273">
        <v>2</v>
      </c>
      <c r="H2977" s="283">
        <v>2000</v>
      </c>
      <c r="I2977" s="279">
        <v>1.3</v>
      </c>
      <c r="J2977" s="246">
        <v>2</v>
      </c>
      <c r="K2977" s="247" t="s">
        <v>5390</v>
      </c>
      <c r="L2977" s="248">
        <v>210353</v>
      </c>
      <c r="M2977" s="249">
        <f>15*(LEFT(TEXT($L2977,"000000"),2)+(MID(TEXT($L2977,"000000"),3,2)/60)+(RIGHT(TEXT($L2977,"000000"),2)/3600))</f>
        <v>315.97083333333336</v>
      </c>
      <c r="N2977" s="250">
        <v>501510</v>
      </c>
      <c r="O2977" s="251">
        <f>IF($N2977&gt;0,(LEFT(TEXT($N2977,"000000"),2)+(MID(TEXT($N2977,"000000"),3,2)/60)+(RIGHT(TEXT($N2977,"000000"),2)/3600)),-(MID(TEXT($N2977,"000000"),2,2)+(MID(TEXT($N2977,"000000"),4,2)/60)+(RIGHT(TEXT($N2977,"000000"),2)/3600)))</f>
        <v>50.25277777777778</v>
      </c>
      <c r="P2977" s="252" t="s">
        <v>60</v>
      </c>
      <c r="Q2977" s="253"/>
      <c r="R2977" s="277" t="s">
        <v>5363</v>
      </c>
      <c r="S2977" s="272"/>
      <c r="T2977" s="273"/>
      <c r="U2977" s="274"/>
      <c r="V2977" s="280"/>
      <c r="W2977" s="244"/>
      <c r="X2977" s="244"/>
      <c r="Y2977" s="362"/>
      <c r="Z2977" s="257">
        <f>altaz(J2000_Bas,$O2977,$M2977,DecLat,DecLong,1)</f>
        <v>60.551388511610838</v>
      </c>
      <c r="AA2977" s="257">
        <f>altaz((J2000_Bas+(2*0.04167)),$O2977,$M2977,DecLat,DecLong,1)</f>
        <v>70.747025905685618</v>
      </c>
      <c r="AB2977" s="257">
        <f>altaz((J2000_Bas+(4*0.04167)),$O2977,$M2977,DecLat,DecLong,1)</f>
        <v>60.421626558182403</v>
      </c>
      <c r="AC2977" s="257">
        <f>altaz((J2000_Bas+(6*0.04167)),$O2977,$M2977,DecLat,DecLong,1)</f>
        <v>41.887335361807359</v>
      </c>
      <c r="AD2977" s="258">
        <f>1+ transit((J2000_Bas-1),$O2977,$M2977,DecLat,DecLong)/360 + (GMTOffset/24) + (IF(DST="Y", 1, 0)/24)</f>
        <v>1.8705966321192917</v>
      </c>
      <c r="AE2977" s="259">
        <f>DATE(2001,9,21)+(M2977/360)*365 - (360*((DecLong/360)- (GMTOffset/24) ))</f>
        <v>37480.359317129631</v>
      </c>
      <c r="AF2977" s="260">
        <f>IF(DecLat&gt;0,IF((90 - (DecLat-O2977))&gt;90, (90 - (O2977-DecLat)), (90 - (DecLat-O2977))),IF((90 + (DecLat-O2977))&gt;90, (90 + (O2977-DecLat)), (90 + (DecLat-O2977))))</f>
        <v>70.74722222222222</v>
      </c>
      <c r="AG2977" s="257">
        <f>angularseperation(MoonRA,MoonDec,$M2977,$O2977)</f>
        <v>97.189540093631535</v>
      </c>
      <c r="AH2977" s="261">
        <f ca="1">MIN(100,IF($O$5&gt;80,0+30*($AG2977/100),IF($O$5&gt;70,0+50*($AG2977/100),IF($O$5&gt;60,5+50*($AG2977/100),IF($O$5&gt;50,10+60*($AG2977/100),IF($O$5&gt;40,15+70*($AG2977/100),IF($O$5&gt;30,20+70*($AG2977/100),IF($O$5&gt;20,40+55*($AG2977/100),(80+(20-$O$5)+30*($AG2977/100))))))))))</f>
        <v>100</v>
      </c>
      <c r="AI2977" s="262"/>
      <c r="AJ2977" s="262"/>
      <c r="AK2977" s="262"/>
      <c r="AL2977" s="263"/>
      <c r="AM2977" s="264"/>
      <c r="AN2977" s="263"/>
      <c r="AO2977" s="263"/>
      <c r="AP2977" s="265"/>
      <c r="AQ2977" s="266"/>
      <c r="AR2977" s="267"/>
      <c r="AS2977" s="263"/>
      <c r="AT2977" s="263"/>
      <c r="AU2977" s="263"/>
      <c r="AV2977" s="264"/>
      <c r="AW2977" s="263"/>
      <c r="AX2977" s="263"/>
      <c r="AY2977" s="263"/>
      <c r="AZ2977" s="263"/>
      <c r="BA2977" s="263"/>
      <c r="BB2977" s="263"/>
      <c r="BC2977" s="263"/>
      <c r="BD2977" s="264"/>
      <c r="BE2977" s="263"/>
      <c r="BF2977" s="263"/>
      <c r="BG2977" s="263"/>
      <c r="BH2977" s="263"/>
      <c r="BI2977" s="263"/>
      <c r="BJ2977" s="404">
        <f>altaz(J2000_Bas,$O2977,$M2977,DecLat,DecLong,2)</f>
        <v>40.514886854849877</v>
      </c>
      <c r="BK2977" s="378" t="s">
        <v>2786</v>
      </c>
      <c r="BL2977" s="379">
        <f>IF((2*G2977)/60&lt;0.2,0.2,(2*G2977)/60)</f>
        <v>0.2</v>
      </c>
      <c r="BM2977" s="380">
        <f>MOD((50000+AD2977-$B$3+(0/24)),1)</f>
        <v>8.596356182533782E-2</v>
      </c>
      <c r="BN2977" s="381"/>
      <c r="BO2977" s="382">
        <v>2968</v>
      </c>
    </row>
    <row r="2978" spans="1:67" s="24" customFormat="1" ht="15" customHeight="1" x14ac:dyDescent="0.25">
      <c r="A2978" s="288" t="s">
        <v>2787</v>
      </c>
      <c r="B2978" s="241" t="str">
        <f>HYPERLINK(CONCATENATE($AT$3,BK2978,$AU$3),$AV$3)</f>
        <v>S</v>
      </c>
      <c r="C2978" s="242" t="str">
        <f>HYPERLINK(CONCATENATE($AT$4,BK2978,$AU$4,BL2978),$AV$4)</f>
        <v>A</v>
      </c>
      <c r="D2978" s="243" t="s">
        <v>5187</v>
      </c>
      <c r="E2978" s="244" t="s">
        <v>5186</v>
      </c>
      <c r="F2978" s="269"/>
      <c r="G2978" s="273">
        <v>5</v>
      </c>
      <c r="H2978" s="283">
        <v>1600</v>
      </c>
      <c r="I2978" s="279">
        <v>2.4</v>
      </c>
      <c r="J2978" s="246">
        <v>3</v>
      </c>
      <c r="K2978" s="247" t="s">
        <v>9416</v>
      </c>
      <c r="L2978" s="248">
        <v>1046</v>
      </c>
      <c r="M2978" s="249">
        <f>15*(LEFT(TEXT($L2978,"000000"),2)+(MID(TEXT($L2978,"000000"),3,2)/60)+(RIGHT(TEXT($L2978,"000000"),2)/3600))</f>
        <v>2.6916666666666664</v>
      </c>
      <c r="N2978" s="250">
        <v>584631</v>
      </c>
      <c r="O2978" s="251">
        <f>IF($N2978&gt;0,(LEFT(TEXT($N2978,"000000"),2)+(MID(TEXT($N2978,"000000"),3,2)/60)+(RIGHT(TEXT($N2978,"000000"),2)/3600)),-(MID(TEXT($N2978,"000000"),2,2)+(MID(TEXT($N2978,"000000"),4,2)/60)+(RIGHT(TEXT($N2978,"000000"),2)/3600)))</f>
        <v>58.775277777777774</v>
      </c>
      <c r="P2978" s="252" t="s">
        <v>49</v>
      </c>
      <c r="Q2978" s="253"/>
      <c r="R2978" s="247" t="s">
        <v>9521</v>
      </c>
      <c r="S2978" s="272" t="s">
        <v>3293</v>
      </c>
      <c r="T2978" s="273"/>
      <c r="U2978" s="274"/>
      <c r="V2978" s="280"/>
      <c r="W2978" s="244"/>
      <c r="X2978" s="244"/>
      <c r="Y2978" s="362"/>
      <c r="Z2978" s="257">
        <f>altaz(J2000_Bas,$O2978,$M2978,DecLat,DecLong,1)</f>
        <v>32.870072227787801</v>
      </c>
      <c r="AA2978" s="257">
        <f>altaz((J2000_Bas+(2*0.04167)),$O2978,$M2978,DecLat,DecLong,1)</f>
        <v>48.220416825248016</v>
      </c>
      <c r="AB2978" s="257">
        <f>altaz((J2000_Bas+(4*0.04167)),$O2978,$M2978,DecLat,DecLong,1)</f>
        <v>60.047499734124301</v>
      </c>
      <c r="AC2978" s="257">
        <f>altaz((J2000_Bas+(6*0.04167)),$O2978,$M2978,DecLat,DecLong,1)</f>
        <v>60.737270857587177</v>
      </c>
      <c r="AD2978" s="258">
        <f>1+ transit((J2000_Bas-1),$O2978,$M2978,DecLat,DecLong)/360 + (GMTOffset/24) + (IF(DST="Y", 1, 0)/24)</f>
        <v>1.0003768117338747</v>
      </c>
      <c r="AE2978" s="259">
        <f>DATE(2001,9,21)+(M2978/360)*365 - (360*((DecLong/360)- (GMTOffset/24) ))</f>
        <v>37162.729050925926</v>
      </c>
      <c r="AF2978" s="260">
        <f>IF(DecLat&gt;0,IF((90 - (DecLat-O2978))&gt;90, (90 - (O2978-DecLat)), (90 - (DecLat-O2978))),IF((90 + (DecLat-O2978))&gt;90, (90 + (O2978-DecLat)), (90 + (DecLat-O2978))))</f>
        <v>62.224722222222226</v>
      </c>
      <c r="AG2978" s="257">
        <f>angularseperation(MoonRA,MoonDec,$M2978,$O2978)</f>
        <v>124.96069241968873</v>
      </c>
      <c r="AH2978" s="261">
        <f ca="1">MIN(100,IF($O$5&gt;80,0+30*($AG2978/100),IF($O$5&gt;70,0+50*($AG2978/100),IF($O$5&gt;60,5+50*($AG2978/100),IF($O$5&gt;50,10+60*($AG2978/100),IF($O$5&gt;40,15+70*($AG2978/100),IF($O$5&gt;30,20+70*($AG2978/100),IF($O$5&gt;20,40+55*($AG2978/100),(80+(20-$O$5)+30*($AG2978/100))))))))))</f>
        <v>100</v>
      </c>
      <c r="AI2978" s="262"/>
      <c r="AJ2978" s="262"/>
      <c r="AK2978" s="262"/>
      <c r="AL2978" s="263"/>
      <c r="AM2978" s="264"/>
      <c r="AN2978" s="263"/>
      <c r="AO2978" s="263"/>
      <c r="AP2978" s="265"/>
      <c r="AQ2978" s="266"/>
      <c r="AR2978" s="267"/>
      <c r="AS2978" s="263"/>
      <c r="AT2978" s="263"/>
      <c r="AU2978" s="263"/>
      <c r="AV2978" s="264"/>
      <c r="AW2978" s="263"/>
      <c r="AX2978" s="263"/>
      <c r="AY2978" s="263"/>
      <c r="AZ2978" s="263"/>
      <c r="BA2978" s="263"/>
      <c r="BB2978" s="263"/>
      <c r="BC2978" s="263"/>
      <c r="BD2978" s="264">
        <v>1</v>
      </c>
      <c r="BE2978" s="263"/>
      <c r="BF2978" s="263">
        <v>1</v>
      </c>
      <c r="BG2978" s="263"/>
      <c r="BH2978" s="263"/>
      <c r="BI2978" s="263"/>
      <c r="BJ2978" s="404">
        <f>altaz(J2000_Bas,$O2978,$M2978,DecLat,DecLong,2)</f>
        <v>36.914863097715248</v>
      </c>
      <c r="BK2978" s="378" t="s">
        <v>2787</v>
      </c>
      <c r="BL2978" s="379">
        <f>IF((2*G2978)/60&lt;0.2,0.2,(2*G2978)/60)</f>
        <v>0.2</v>
      </c>
      <c r="BM2978" s="380">
        <f>MOD((50000+AD2978-$B$3+(0/24)),1)</f>
        <v>0.21574374143528985</v>
      </c>
      <c r="BN2978" s="381"/>
      <c r="BO2978" s="382">
        <v>2969</v>
      </c>
    </row>
    <row r="2979" spans="1:67" s="24" customFormat="1" ht="15" customHeight="1" x14ac:dyDescent="0.25">
      <c r="A2979" s="288" t="s">
        <v>2788</v>
      </c>
      <c r="B2979" s="241" t="str">
        <f>HYPERLINK(CONCATENATE($AT$3,BK2979,$AU$3),$AV$3)</f>
        <v>S</v>
      </c>
      <c r="C2979" s="242" t="str">
        <f>HYPERLINK(CONCATENATE($AT$4,BK2979,$AU$4,BL2979),$AV$4)</f>
        <v>A</v>
      </c>
      <c r="D2979" s="243" t="s">
        <v>5187</v>
      </c>
      <c r="E2979" s="244" t="s">
        <v>5186</v>
      </c>
      <c r="F2979" s="269"/>
      <c r="G2979" s="273">
        <v>4.4000000000000004</v>
      </c>
      <c r="H2979" s="283">
        <v>2350</v>
      </c>
      <c r="I2979" s="279">
        <v>3</v>
      </c>
      <c r="J2979" s="246">
        <v>1</v>
      </c>
      <c r="K2979" s="247" t="s">
        <v>9417</v>
      </c>
      <c r="L2979" s="248">
        <v>1322</v>
      </c>
      <c r="M2979" s="249">
        <f>15*(LEFT(TEXT($L2979,"000000"),2)+(MID(TEXT($L2979,"000000"),3,2)/60)+(RIGHT(TEXT($L2979,"000000"),2)/3600))</f>
        <v>3.3416666666666668</v>
      </c>
      <c r="N2979" s="250">
        <v>653648</v>
      </c>
      <c r="O2979" s="251">
        <f>IF($N2979&gt;0,(LEFT(TEXT($N2979,"000000"),2)+(MID(TEXT($N2979,"000000"),3,2)/60)+(RIGHT(TEXT($N2979,"000000"),2)/3600)),-(MID(TEXT($N2979,"000000"),2,2)+(MID(TEXT($N2979,"000000"),4,2)/60)+(RIGHT(TEXT($N2979,"000000"),2)/3600)))</f>
        <v>65.61333333333333</v>
      </c>
      <c r="P2979" s="252" t="s">
        <v>49</v>
      </c>
      <c r="Q2979" s="253"/>
      <c r="R2979" s="277" t="s">
        <v>9522</v>
      </c>
      <c r="S2979" s="272" t="s">
        <v>3293</v>
      </c>
      <c r="T2979" s="273"/>
      <c r="U2979" s="274"/>
      <c r="V2979" s="280"/>
      <c r="W2979" s="244"/>
      <c r="X2979" s="244"/>
      <c r="Y2979" s="362"/>
      <c r="Z2979" s="257">
        <f>altaz(J2000_Bas,$O2979,$M2979,DecLat,DecLong,1)</f>
        <v>33.138073296024963</v>
      </c>
      <c r="AA2979" s="257">
        <f>altaz((J2000_Bas+(2*0.04167)),$O2979,$M2979,DecLat,DecLong,1)</f>
        <v>45.178447505124126</v>
      </c>
      <c r="AB2979" s="257">
        <f>altaz((J2000_Bas+(4*0.04167)),$O2979,$M2979,DecLat,DecLong,1)</f>
        <v>53.826292637317813</v>
      </c>
      <c r="AC2979" s="257">
        <f>altaz((J2000_Bas+(6*0.04167)),$O2979,$M2979,DecLat,DecLong,1)</f>
        <v>54.493694204638203</v>
      </c>
      <c r="AD2979" s="258">
        <f>1+ transit((J2000_Bas-1),$O2979,$M2979,DecLat,DecLong)/360 + (GMTOffset/24) + (IF(DST="Y", 1, 0)/24)</f>
        <v>1.0021823671088748</v>
      </c>
      <c r="AE2979" s="259">
        <f>DATE(2001,9,21)+(M2979/360)*365 - (360*((DecLong/360)- (GMTOffset/24) ))</f>
        <v>37163.388078703705</v>
      </c>
      <c r="AF2979" s="260">
        <f>IF(DecLat&gt;0,IF((90 - (DecLat-O2979))&gt;90, (90 - (O2979-DecLat)), (90 - (DecLat-O2979))),IF((90 + (DecLat-O2979))&gt;90, (90 + (O2979-DecLat)), (90 + (DecLat-O2979))))</f>
        <v>55.38666666666667</v>
      </c>
      <c r="AG2979" s="257">
        <f>angularseperation(MoonRA,MoonDec,$M2979,$O2979)</f>
        <v>124.38720207869925</v>
      </c>
      <c r="AH2979" s="261">
        <f ca="1">MIN(100,IF($O$5&gt;80,0+30*($AG2979/100),IF($O$5&gt;70,0+50*($AG2979/100),IF($O$5&gt;60,5+50*($AG2979/100),IF($O$5&gt;50,10+60*($AG2979/100),IF($O$5&gt;40,15+70*($AG2979/100),IF($O$5&gt;30,20+70*($AG2979/100),IF($O$5&gt;20,40+55*($AG2979/100),(80+(20-$O$5)+30*($AG2979/100))))))))))</f>
        <v>100</v>
      </c>
      <c r="AI2979" s="263"/>
      <c r="AJ2979" s="263"/>
      <c r="AK2979" s="263"/>
      <c r="AL2979" s="263"/>
      <c r="AM2979" s="264"/>
      <c r="AN2979" s="263"/>
      <c r="AO2979" s="263"/>
      <c r="AP2979" s="265"/>
      <c r="AQ2979" s="265"/>
      <c r="AR2979" s="285"/>
      <c r="AS2979" s="263"/>
      <c r="AT2979" s="263"/>
      <c r="AU2979" s="263"/>
      <c r="AV2979" s="264"/>
      <c r="AW2979" s="263"/>
      <c r="AX2979" s="263"/>
      <c r="AY2979" s="263"/>
      <c r="AZ2979" s="263"/>
      <c r="BA2979" s="263"/>
      <c r="BB2979" s="263"/>
      <c r="BC2979" s="263"/>
      <c r="BD2979" s="264">
        <v>2</v>
      </c>
      <c r="BE2979" s="263"/>
      <c r="BF2979" s="263"/>
      <c r="BG2979" s="263"/>
      <c r="BH2979" s="263"/>
      <c r="BI2979" s="263"/>
      <c r="BJ2979" s="404">
        <f>altaz(J2000_Bas,$O2979,$M2979,DecLat,DecLong,2)</f>
        <v>28.757335426632384</v>
      </c>
      <c r="BK2979" s="378" t="s">
        <v>2788</v>
      </c>
      <c r="BL2979" s="379">
        <f>IF((2*G2979)/60&lt;0.2,0.2,(2*G2979)/60)</f>
        <v>0.2</v>
      </c>
      <c r="BM2979" s="380">
        <f>MOD((50000+AD2979-$B$3+(0/24)),1)</f>
        <v>0.2175492968162871</v>
      </c>
      <c r="BN2979" s="381"/>
      <c r="BO2979" s="382">
        <v>2970</v>
      </c>
    </row>
    <row r="2980" spans="1:67" s="24" customFormat="1" ht="15" customHeight="1" x14ac:dyDescent="0.25">
      <c r="A2980" s="288" t="s">
        <v>2789</v>
      </c>
      <c r="B2980" s="241" t="str">
        <f>HYPERLINK(CONCATENATE($AT$3,BK2980,$AU$3),$AV$3)</f>
        <v>S</v>
      </c>
      <c r="C2980" s="242" t="str">
        <f>HYPERLINK(CONCATENATE($AT$4,BK2980,$AU$4,BL2980),$AV$4)</f>
        <v>A</v>
      </c>
      <c r="D2980" s="243" t="s">
        <v>5187</v>
      </c>
      <c r="E2980" s="244" t="s">
        <v>5186</v>
      </c>
      <c r="F2980" s="269"/>
      <c r="G2980" s="273">
        <v>3</v>
      </c>
      <c r="H2980" s="283">
        <v>1000</v>
      </c>
      <c r="I2980" s="309">
        <v>0.9</v>
      </c>
      <c r="J2980" s="246">
        <v>2</v>
      </c>
      <c r="K2980" s="247" t="s">
        <v>9418</v>
      </c>
      <c r="L2980" s="248">
        <v>3434</v>
      </c>
      <c r="M2980" s="249">
        <f>15*(LEFT(TEXT($L2980,"000000"),2)+(MID(TEXT($L2980,"000000"),3,2)/60)+(RIGHT(TEXT($L2980,"000000"),2)/3600))</f>
        <v>8.6416666666666675</v>
      </c>
      <c r="N2980" s="250">
        <v>692549</v>
      </c>
      <c r="O2980" s="251">
        <f>IF($N2980&gt;0,(LEFT(TEXT($N2980,"000000"),2)+(MID(TEXT($N2980,"000000"),3,2)/60)+(RIGHT(TEXT($N2980,"000000"),2)/3600)),-(MID(TEXT($N2980,"000000"),2,2)+(MID(TEXT($N2980,"000000"),4,2)/60)+(RIGHT(TEXT($N2980,"000000"),2)/3600)))</f>
        <v>69.430277777777789</v>
      </c>
      <c r="P2980" s="252" t="s">
        <v>49</v>
      </c>
      <c r="Q2980" s="253"/>
      <c r="R2980" s="277" t="s">
        <v>9523</v>
      </c>
      <c r="S2980" s="272" t="s">
        <v>3293</v>
      </c>
      <c r="T2980" s="273"/>
      <c r="U2980" s="274"/>
      <c r="V2980" s="280"/>
      <c r="W2980" s="244"/>
      <c r="X2980" s="244"/>
      <c r="Y2980" s="362"/>
      <c r="Z2980" s="257">
        <f>altaz(J2000_Bas,$O2980,$M2980,DecLat,DecLong,1)</f>
        <v>31.385054930370334</v>
      </c>
      <c r="AA2980" s="257">
        <f>altaz((J2000_Bas+(2*0.04167)),$O2980,$M2980,DecLat,DecLong,1)</f>
        <v>41.706199939795709</v>
      </c>
      <c r="AB2980" s="257">
        <f>altaz((J2000_Bas+(4*0.04167)),$O2980,$M2980,DecLat,DecLong,1)</f>
        <v>49.508369931645895</v>
      </c>
      <c r="AC2980" s="257">
        <f>altaz((J2000_Bas+(6*0.04167)),$O2980,$M2980,DecLat,DecLong,1)</f>
        <v>51.32557294607517</v>
      </c>
      <c r="AD2980" s="258">
        <f>1+ transit((J2000_Bas-1),$O2980,$M2980,DecLat,DecLong)/360 + (GMTOffset/24) + (IF(DST="Y", 1, 0)/24)</f>
        <v>1.0169045878588747</v>
      </c>
      <c r="AE2980" s="259">
        <f>DATE(2001,9,21)+(M2980/360)*365 - (360*((DecLong/360)- (GMTOffset/24) ))</f>
        <v>37168.761689814812</v>
      </c>
      <c r="AF2980" s="260">
        <f>IF(DecLat&gt;0,IF((90 - (DecLat-O2980))&gt;90, (90 - (O2980-DecLat)), (90 - (DecLat-O2980))),IF((90 + (DecLat-O2980))&gt;90, (90 + (O2980-DecLat)), (90 + (DecLat-O2980))))</f>
        <v>51.569722222222211</v>
      </c>
      <c r="AG2980" s="257">
        <f>angularseperation(MoonRA,MoonDec,$M2980,$O2980)</f>
        <v>125.43877891315852</v>
      </c>
      <c r="AH2980" s="261">
        <f ca="1">MIN(100,IF($O$5&gt;80,0+30*($AG2980/100),IF($O$5&gt;70,0+50*($AG2980/100),IF($O$5&gt;60,5+50*($AG2980/100),IF($O$5&gt;50,10+60*($AG2980/100),IF($O$5&gt;40,15+70*($AG2980/100),IF($O$5&gt;30,20+70*($AG2980/100),IF($O$5&gt;20,40+55*($AG2980/100),(80+(20-$O$5)+30*($AG2980/100))))))))))</f>
        <v>100</v>
      </c>
      <c r="AI2980" s="263"/>
      <c r="AJ2980" s="263"/>
      <c r="AK2980" s="263"/>
      <c r="AL2980" s="263"/>
      <c r="AM2980" s="264"/>
      <c r="AN2980" s="263"/>
      <c r="AO2980" s="263"/>
      <c r="AP2980" s="265"/>
      <c r="AQ2980" s="265"/>
      <c r="AR2980" s="285"/>
      <c r="AS2980" s="263"/>
      <c r="AT2980" s="263"/>
      <c r="AU2980" s="263"/>
      <c r="AV2980" s="264"/>
      <c r="AW2980" s="263"/>
      <c r="AX2980" s="263"/>
      <c r="AY2980" s="263">
        <v>602</v>
      </c>
      <c r="AZ2980" s="263"/>
      <c r="BA2980" s="263"/>
      <c r="BB2980" s="263"/>
      <c r="BC2980" s="263"/>
      <c r="BD2980" s="264">
        <v>3</v>
      </c>
      <c r="BE2980" s="263"/>
      <c r="BF2980" s="263"/>
      <c r="BG2980" s="263"/>
      <c r="BH2980" s="263"/>
      <c r="BI2980" s="263"/>
      <c r="BJ2980" s="404">
        <f>altaz(J2000_Bas,$O2980,$M2980,DecLat,DecLong,2)</f>
        <v>24.090082802474022</v>
      </c>
      <c r="BK2980" s="378" t="s">
        <v>2789</v>
      </c>
      <c r="BL2980" s="379">
        <f>IF((2*G2980)/60&lt;0.2,0.2,(2*G2980)/60)</f>
        <v>0.2</v>
      </c>
      <c r="BM2980" s="380">
        <f>MOD((50000+AD2980-$B$3+(0/24)),1)</f>
        <v>0.23227151756145759</v>
      </c>
      <c r="BN2980" s="381"/>
      <c r="BO2980" s="382">
        <v>2971</v>
      </c>
    </row>
    <row r="2981" spans="1:67" s="24" customFormat="1" ht="15" customHeight="1" x14ac:dyDescent="0.25">
      <c r="A2981" s="288" t="s">
        <v>2790</v>
      </c>
      <c r="B2981" s="241" t="str">
        <f>HYPERLINK(CONCATENATE($AT$3,BK2981,$AU$3),$AV$3)</f>
        <v>S</v>
      </c>
      <c r="C2981" s="242" t="str">
        <f>HYPERLINK(CONCATENATE($AT$4,BK2981,$AU$4,BL2981),$AV$4)</f>
        <v>A</v>
      </c>
      <c r="D2981" s="243" t="s">
        <v>5187</v>
      </c>
      <c r="E2981" s="244" t="s">
        <v>5186</v>
      </c>
      <c r="F2981" s="269"/>
      <c r="G2981" s="276">
        <v>12</v>
      </c>
      <c r="H2981" s="283">
        <v>2000</v>
      </c>
      <c r="I2981" s="279">
        <v>7</v>
      </c>
      <c r="J2981" s="246">
        <v>3</v>
      </c>
      <c r="K2981" s="247" t="s">
        <v>9419</v>
      </c>
      <c r="L2981" s="248">
        <v>4316</v>
      </c>
      <c r="M2981" s="249">
        <f>15*(LEFT(TEXT($L2981,"000000"),2)+(MID(TEXT($L2981,"000000"),3,2)/60)+(RIGHT(TEXT($L2981,"000000"),2)/3600))</f>
        <v>10.816666666666666</v>
      </c>
      <c r="N2981" s="286">
        <v>615454</v>
      </c>
      <c r="O2981" s="251">
        <f>IF($N2981&gt;0,(LEFT(TEXT($N2981,"000000"),2)+(MID(TEXT($N2981,"000000"),3,2)/60)+(RIGHT(TEXT($N2981,"000000"),2)/3600)),-(MID(TEXT($N2981,"000000"),2,2)+(MID(TEXT($N2981,"000000"),4,2)/60)+(RIGHT(TEXT($N2981,"000000"),2)/3600)))</f>
        <v>61.914999999999999</v>
      </c>
      <c r="P2981" s="252" t="s">
        <v>49</v>
      </c>
      <c r="Q2981" s="253"/>
      <c r="R2981" s="277"/>
      <c r="S2981" s="272" t="s">
        <v>5392</v>
      </c>
      <c r="T2981" s="273"/>
      <c r="U2981" s="274"/>
      <c r="V2981" s="280"/>
      <c r="W2981" s="244"/>
      <c r="X2981" s="244"/>
      <c r="Y2981" s="362"/>
      <c r="Z2981" s="257">
        <f>altaz(J2000_Bas,$O2981,$M2981,DecLat,DecLong,1)</f>
        <v>29.397624455994681</v>
      </c>
      <c r="AA2981" s="257">
        <f>altaz((J2000_Bas+(2*0.04167)),$O2981,$M2981,DecLat,DecLong,1)</f>
        <v>43.425464322492353</v>
      </c>
      <c r="AB2981" s="257">
        <f>altaz((J2000_Bas+(4*0.04167)),$O2981,$M2981,DecLat,DecLong,1)</f>
        <v>55.202272431916548</v>
      </c>
      <c r="AC2981" s="257">
        <f>altaz((J2000_Bas+(6*0.04167)),$O2981,$M2981,DecLat,DecLong,1)</f>
        <v>58.882932294452061</v>
      </c>
      <c r="AD2981" s="258">
        <f>1+ transit((J2000_Bas-1),$O2981,$M2981,DecLat,DecLong)/360 + (GMTOffset/24) + (IF(DST="Y", 1, 0)/24)</f>
        <v>1.0229462539213747</v>
      </c>
      <c r="AE2981" s="259">
        <f>DATE(2001,9,21)+(M2981/360)*365 - (360*((DecLong/360)- (GMTOffset/24) ))</f>
        <v>37170.966898148145</v>
      </c>
      <c r="AF2981" s="260">
        <f>IF(DecLat&gt;0,IF((90 - (DecLat-O2981))&gt;90, (90 - (O2981-DecLat)), (90 - (DecLat-O2981))),IF((90 + (DecLat-O2981))&gt;90, (90 + (O2981-DecLat)), (90 + (DecLat-O2981))))</f>
        <v>59.085000000000001</v>
      </c>
      <c r="AG2981" s="257">
        <f>angularseperation(MoonRA,MoonDec,$M2981,$O2981)</f>
        <v>128.40091875052931</v>
      </c>
      <c r="AH2981" s="261">
        <f ca="1">MIN(100,IF($O$5&gt;80,0+30*($AG2981/100),IF($O$5&gt;70,0+50*($AG2981/100),IF($O$5&gt;60,5+50*($AG2981/100),IF($O$5&gt;50,10+60*($AG2981/100),IF($O$5&gt;40,15+70*($AG2981/100),IF($O$5&gt;30,20+70*($AG2981/100),IF($O$5&gt;20,40+55*($AG2981/100),(80+(20-$O$5)+30*($AG2981/100))))))))))</f>
        <v>100</v>
      </c>
      <c r="AI2981" s="262"/>
      <c r="AJ2981" s="262"/>
      <c r="AK2981" s="262"/>
      <c r="AL2981" s="263"/>
      <c r="AM2981" s="264"/>
      <c r="AN2981" s="263"/>
      <c r="AO2981" s="263"/>
      <c r="AP2981" s="265"/>
      <c r="AQ2981" s="266"/>
      <c r="AR2981" s="267"/>
      <c r="AS2981" s="263"/>
      <c r="AT2981" s="263"/>
      <c r="AU2981" s="263"/>
      <c r="AV2981" s="264"/>
      <c r="AW2981" s="263"/>
      <c r="AX2981" s="263"/>
      <c r="AY2981" s="263"/>
      <c r="AZ2981" s="263"/>
      <c r="BA2981" s="263"/>
      <c r="BB2981" s="263"/>
      <c r="BC2981" s="263"/>
      <c r="BD2981" s="264">
        <v>4</v>
      </c>
      <c r="BE2981" s="263"/>
      <c r="BF2981" s="263"/>
      <c r="BG2981" s="263"/>
      <c r="BH2981" s="263"/>
      <c r="BI2981" s="263"/>
      <c r="BJ2981" s="404">
        <f>altaz(J2000_Bas,$O2981,$M2981,DecLat,DecLong,2)</f>
        <v>32.557723922994221</v>
      </c>
      <c r="BK2981" s="378" t="s">
        <v>2790</v>
      </c>
      <c r="BL2981" s="379">
        <f>IF((2*G2981)/60&lt;0.2,0.2,(2*G2981)/60)</f>
        <v>0.4</v>
      </c>
      <c r="BM2981" s="380">
        <f>MOD((50000+AD2981-$B$3+(0/24)),1)</f>
        <v>0.23831318362499587</v>
      </c>
      <c r="BN2981" s="381"/>
      <c r="BO2981" s="382">
        <v>2972</v>
      </c>
    </row>
    <row r="2982" spans="1:67" s="24" customFormat="1" ht="15" customHeight="1" x14ac:dyDescent="0.25">
      <c r="A2982" s="288" t="s">
        <v>2791</v>
      </c>
      <c r="B2982" s="241" t="str">
        <f>HYPERLINK(CONCATENATE($AT$3,BK2982,$AU$3),$AV$3)</f>
        <v>S</v>
      </c>
      <c r="C2982" s="242" t="str">
        <f>HYPERLINK(CONCATENATE($AT$4,BK2982,$AU$4,BL2982),$AV$4)</f>
        <v>A</v>
      </c>
      <c r="D2982" s="243" t="s">
        <v>5187</v>
      </c>
      <c r="E2982" s="244" t="s">
        <v>5186</v>
      </c>
      <c r="F2982" s="269"/>
      <c r="G2982" s="276">
        <v>60</v>
      </c>
      <c r="H2982" s="283">
        <v>620</v>
      </c>
      <c r="I2982" s="246">
        <v>11</v>
      </c>
      <c r="J2982" s="246">
        <v>4</v>
      </c>
      <c r="K2982" s="247" t="s">
        <v>9420</v>
      </c>
      <c r="L2982" s="248">
        <v>5642</v>
      </c>
      <c r="M2982" s="249">
        <f>15*(LEFT(TEXT($L2982,"000000"),2)+(MID(TEXT($L2982,"000000"),3,2)/60)+(RIGHT(TEXT($L2982,"000000"),2)/3600))</f>
        <v>14.175000000000001</v>
      </c>
      <c r="N2982" s="286">
        <v>604300</v>
      </c>
      <c r="O2982" s="251">
        <f>IF($N2982&gt;0,(LEFT(TEXT($N2982,"000000"),2)+(MID(TEXT($N2982,"000000"),3,2)/60)+(RIGHT(TEXT($N2982,"000000"),2)/3600)),-(MID(TEXT($N2982,"000000"),2,2)+(MID(TEXT($N2982,"000000"),4,2)/60)+(RIGHT(TEXT($N2982,"000000"),2)/3600)))</f>
        <v>60.716666666666669</v>
      </c>
      <c r="P2982" s="252" t="s">
        <v>49</v>
      </c>
      <c r="Q2982" s="253"/>
      <c r="R2982" s="277" t="s">
        <v>9524</v>
      </c>
      <c r="S2982" s="272" t="s">
        <v>4549</v>
      </c>
      <c r="T2982" s="273"/>
      <c r="U2982" s="274"/>
      <c r="V2982" s="280"/>
      <c r="W2982" s="244"/>
      <c r="X2982" s="244"/>
      <c r="Y2982" s="362"/>
      <c r="Z2982" s="257">
        <f>altaz(J2000_Bas,$O2982,$M2982,DecLat,DecLong,1)</f>
        <v>27.554599780706791</v>
      </c>
      <c r="AA2982" s="257">
        <f>altaz((J2000_Bas+(2*0.04167)),$O2982,$M2982,DecLat,DecLong,1)</f>
        <v>42.132978361084149</v>
      </c>
      <c r="AB2982" s="257">
        <f>altaz((J2000_Bas+(4*0.04167)),$O2982,$M2982,DecLat,DecLong,1)</f>
        <v>55.024783430681012</v>
      </c>
      <c r="AC2982" s="257">
        <f>altaz((J2000_Bas+(6*0.04167)),$O2982,$M2982,DecLat,DecLong,1)</f>
        <v>60.2513812235347</v>
      </c>
      <c r="AD2982" s="258">
        <f>1+ transit((J2000_Bas-1),$O2982,$M2982,DecLat,DecLong)/360 + (GMTOffset/24) + (IF(DST="Y", 1, 0)/24)</f>
        <v>1.032274956692208</v>
      </c>
      <c r="AE2982" s="259">
        <f>DATE(2001,9,21)+(M2982/360)*365 - (360*((DecLong/360)- (GMTOffset/24) ))</f>
        <v>37174.371874999997</v>
      </c>
      <c r="AF2982" s="260">
        <f>IF(DecLat&gt;0,IF((90 - (DecLat-O2982))&gt;90, (90 - (O2982-DecLat)), (90 - (DecLat-O2982))),IF((90 + (DecLat-O2982))&gt;90, (90 + (O2982-DecLat)), (90 + (DecLat-O2982))))</f>
        <v>60.283333333333331</v>
      </c>
      <c r="AG2982" s="257">
        <f>angularseperation(MoonRA,MoonDec,$M2982,$O2982)</f>
        <v>130.27720445495919</v>
      </c>
      <c r="AH2982" s="261">
        <f ca="1">MIN(100,IF($O$5&gt;80,0+30*($AG2982/100),IF($O$5&gt;70,0+50*($AG2982/100),IF($O$5&gt;60,5+50*($AG2982/100),IF($O$5&gt;50,10+60*($AG2982/100),IF($O$5&gt;40,15+70*($AG2982/100),IF($O$5&gt;30,20+70*($AG2982/100),IF($O$5&gt;20,40+55*($AG2982/100),(80+(20-$O$5)+30*($AG2982/100))))))))))</f>
        <v>100</v>
      </c>
      <c r="AI2982" s="263"/>
      <c r="AJ2982" s="263"/>
      <c r="AK2982" s="263"/>
      <c r="AL2982" s="263"/>
      <c r="AM2982" s="264"/>
      <c r="AN2982" s="263"/>
      <c r="AO2982" s="263"/>
      <c r="AP2982" s="265"/>
      <c r="AQ2982" s="265"/>
      <c r="AR2982" s="285"/>
      <c r="AS2982" s="263"/>
      <c r="AT2982" s="263"/>
      <c r="AU2982" s="263"/>
      <c r="AV2982" s="264"/>
      <c r="AW2982" s="263"/>
      <c r="AX2982" s="263"/>
      <c r="AY2982" s="263"/>
      <c r="AZ2982" s="263"/>
      <c r="BA2982" s="263"/>
      <c r="BB2982" s="263"/>
      <c r="BC2982" s="263"/>
      <c r="BD2982" s="264">
        <v>5</v>
      </c>
      <c r="BE2982" s="263"/>
      <c r="BF2982" s="263"/>
      <c r="BG2982" s="263"/>
      <c r="BH2982" s="263"/>
      <c r="BI2982" s="263"/>
      <c r="BJ2982" s="404">
        <f>altaz(J2000_Bas,$O2982,$M2982,DecLat,DecLong,2)</f>
        <v>33.465049583042031</v>
      </c>
      <c r="BK2982" s="378" t="s">
        <v>2791</v>
      </c>
      <c r="BL2982" s="379">
        <f>IF((2*G2982)/60&lt;0.2,0.2,(2*G2982)/60)</f>
        <v>2</v>
      </c>
      <c r="BM2982" s="380">
        <f>MOD((50000+AD2982-$B$3+(0/24)),1)</f>
        <v>0.24764188639528584</v>
      </c>
      <c r="BN2982" s="381"/>
      <c r="BO2982" s="382">
        <v>2973</v>
      </c>
    </row>
    <row r="2983" spans="1:67" s="24" customFormat="1" ht="15" customHeight="1" x14ac:dyDescent="0.25">
      <c r="A2983" s="288" t="s">
        <v>9534</v>
      </c>
      <c r="B2983" s="241" t="str">
        <f>HYPERLINK(CONCATENATE($AT$3,BK2983,$AU$3),$AV$3)</f>
        <v>S</v>
      </c>
      <c r="C2983" s="242" t="str">
        <f>HYPERLINK(CONCATENATE($AT$4,BK2983,$AU$4,BL2983),$AV$4)</f>
        <v>A</v>
      </c>
      <c r="D2983" s="243" t="s">
        <v>5187</v>
      </c>
      <c r="E2983" s="244" t="s">
        <v>5186</v>
      </c>
      <c r="F2983" s="269"/>
      <c r="G2983" s="273">
        <v>2</v>
      </c>
      <c r="H2983" s="283">
        <v>10000</v>
      </c>
      <c r="I2983" s="246">
        <v>4</v>
      </c>
      <c r="J2983" s="246">
        <v>3</v>
      </c>
      <c r="K2983" s="247" t="s">
        <v>9421</v>
      </c>
      <c r="L2983" s="248">
        <v>14343</v>
      </c>
      <c r="M2983" s="249">
        <f>15*(LEFT(TEXT($L2983,"000000"),2)+(MID(TEXT($L2983,"000000"),3,2)/60)+(RIGHT(TEXT($L2983,"000000"),2)/3600))</f>
        <v>25.929166666666671</v>
      </c>
      <c r="N2983" s="250">
        <v>615003</v>
      </c>
      <c r="O2983" s="251">
        <f>IF($N2983&gt;0,(LEFT(TEXT($N2983,"000000"),2)+(MID(TEXT($N2983,"000000"),3,2)/60)+(RIGHT(TEXT($N2983,"000000"),2)/3600)),-(MID(TEXT($N2983,"000000"),2,2)+(MID(TEXT($N2983,"000000"),4,2)/60)+(RIGHT(TEXT($N2983,"000000"),2)/3600)))</f>
        <v>61.834166666666668</v>
      </c>
      <c r="P2983" s="252" t="s">
        <v>49</v>
      </c>
      <c r="Q2983" s="253"/>
      <c r="R2983" s="247"/>
      <c r="S2983" s="272" t="s">
        <v>9535</v>
      </c>
      <c r="T2983" s="273"/>
      <c r="U2983" s="274"/>
      <c r="V2983" s="280"/>
      <c r="W2983" s="244"/>
      <c r="X2983" s="244"/>
      <c r="Y2983" s="362"/>
      <c r="Z2983" s="257">
        <f>altaz(J2000_Bas,$O2983,$M2983,DecLat,DecLong,1)</f>
        <v>22.600413104175914</v>
      </c>
      <c r="AA2983" s="257">
        <f>altaz((J2000_Bas+(2*0.04167)),$O2983,$M2983,DecLat,DecLong,1)</f>
        <v>36.404403022029427</v>
      </c>
      <c r="AB2983" s="257">
        <f>altaz((J2000_Bas+(4*0.04167)),$O2983,$M2983,DecLat,DecLong,1)</f>
        <v>49.915276332531491</v>
      </c>
      <c r="AC2983" s="257">
        <f>altaz((J2000_Bas+(6*0.04167)),$O2983,$M2983,DecLat,DecLong,1)</f>
        <v>58.528740535559692</v>
      </c>
      <c r="AD2983" s="258">
        <f>1+ transit((J2000_Bas-1),$O2983,$M2983,DecLat,DecLong)/360 + (GMTOffset/24) + (IF(DST="Y", 1, 0)/24)</f>
        <v>1.0649254163901247</v>
      </c>
      <c r="AE2983" s="259">
        <f>DATE(2001,9,21)+(M2983/360)*365 - (360*((DecLong/360)- (GMTOffset/24) ))</f>
        <v>37186.289293981485</v>
      </c>
      <c r="AF2983" s="260">
        <f>IF(DecLat&gt;0,IF((90 - (DecLat-O2983))&gt;90, (90 - (O2983-DecLat)), (90 - (DecLat-O2983))),IF((90 + (DecLat-O2983))&gt;90, (90 + (O2983-DecLat)), (90 + (DecLat-O2983))))</f>
        <v>59.165833333333332</v>
      </c>
      <c r="AG2983" s="257">
        <f>angularseperation(MoonRA,MoonDec,$M2983,$O2983)</f>
        <v>135.00554246121533</v>
      </c>
      <c r="AH2983" s="261">
        <f ca="1">MIN(100,IF($O$5&gt;80,0+30*($AG2983/100),IF($O$5&gt;70,0+50*($AG2983/100),IF($O$5&gt;60,5+50*($AG2983/100),IF($O$5&gt;50,10+60*($AG2983/100),IF($O$5&gt;40,15+70*($AG2983/100),IF($O$5&gt;30,20+70*($AG2983/100),IF($O$5&gt;20,40+55*($AG2983/100),(80+(20-$O$5)+30*($AG2983/100))))))))))</f>
        <v>100</v>
      </c>
      <c r="AI2983" s="262"/>
      <c r="AJ2983" s="262"/>
      <c r="AK2983" s="262"/>
      <c r="AL2983" s="263"/>
      <c r="AM2983" s="264"/>
      <c r="AN2983" s="263"/>
      <c r="AO2983" s="263"/>
      <c r="AP2983" s="265"/>
      <c r="AQ2983" s="266"/>
      <c r="AR2983" s="267"/>
      <c r="AS2983" s="263"/>
      <c r="AT2983" s="263"/>
      <c r="AU2983" s="263"/>
      <c r="AV2983" s="264"/>
      <c r="AW2983" s="263"/>
      <c r="AX2983" s="263"/>
      <c r="AY2983" s="263"/>
      <c r="AZ2983" s="263"/>
      <c r="BA2983" s="263"/>
      <c r="BB2983" s="263"/>
      <c r="BC2983" s="263"/>
      <c r="BD2983" s="264">
        <v>6</v>
      </c>
      <c r="BE2983" s="263"/>
      <c r="BF2983" s="263"/>
      <c r="BG2983" s="263"/>
      <c r="BH2983" s="263"/>
      <c r="BI2983" s="263"/>
      <c r="BJ2983" s="404">
        <f>altaz(J2000_Bas,$O2983,$M2983,DecLat,DecLong,2)</f>
        <v>30.240721082818506</v>
      </c>
      <c r="BK2983" s="378" t="s">
        <v>9534</v>
      </c>
      <c r="BL2983" s="379">
        <f>IF((2*G2983)/60&lt;0.2,0.2,(2*G2983)/60)</f>
        <v>0.2</v>
      </c>
      <c r="BM2983" s="380">
        <f>MOD((50000+AD2983-$B$3+(0/24)),1)</f>
        <v>0.28029234609130071</v>
      </c>
      <c r="BN2983" s="381"/>
      <c r="BO2983" s="382">
        <v>3154</v>
      </c>
    </row>
    <row r="2984" spans="1:67" s="24" customFormat="1" ht="15" customHeight="1" x14ac:dyDescent="0.25">
      <c r="A2984" s="288" t="s">
        <v>2792</v>
      </c>
      <c r="B2984" s="241" t="str">
        <f>HYPERLINK(CONCATENATE($AT$3,BK2984,$AU$3),$AV$3)</f>
        <v>S</v>
      </c>
      <c r="C2984" s="242" t="str">
        <f>HYPERLINK(CONCATENATE($AT$4,BK2984,$AU$4,BL2984),$AV$4)</f>
        <v>A</v>
      </c>
      <c r="D2984" s="243" t="s">
        <v>5187</v>
      </c>
      <c r="E2984" s="244" t="s">
        <v>5186</v>
      </c>
      <c r="F2984" s="269"/>
      <c r="G2984" s="273">
        <v>7</v>
      </c>
      <c r="H2984" s="283">
        <v>200</v>
      </c>
      <c r="I2984" s="309">
        <v>0.4</v>
      </c>
      <c r="J2984" s="246">
        <v>2</v>
      </c>
      <c r="K2984" s="247" t="s">
        <v>9422</v>
      </c>
      <c r="L2984" s="248">
        <v>24855</v>
      </c>
      <c r="M2984" s="249">
        <f>15*(LEFT(TEXT($L2984,"000000"),2)+(MID(TEXT($L2984,"000000"),3,2)/60)+(RIGHT(TEXT($L2984,"000000"),2)/3600))</f>
        <v>42.229166666666664</v>
      </c>
      <c r="N2984" s="250">
        <v>693735</v>
      </c>
      <c r="O2984" s="251">
        <f>IF($N2984&gt;0,(LEFT(TEXT($N2984,"000000"),2)+(MID(TEXT($N2984,"000000"),3,2)/60)+(RIGHT(TEXT($N2984,"000000"),2)/3600)),-(MID(TEXT($N2984,"000000"),2,2)+(MID(TEXT($N2984,"000000"),4,2)/60)+(RIGHT(TEXT($N2984,"000000"),2)/3600)))</f>
        <v>69.626388888888883</v>
      </c>
      <c r="P2984" s="252" t="s">
        <v>49</v>
      </c>
      <c r="Q2984" s="253"/>
      <c r="R2984" s="247"/>
      <c r="S2984" s="272" t="s">
        <v>5393</v>
      </c>
      <c r="T2984" s="273"/>
      <c r="U2984" s="274"/>
      <c r="V2984" s="280"/>
      <c r="W2984" s="244"/>
      <c r="X2984" s="244"/>
      <c r="Y2984" s="362"/>
      <c r="Z2984" s="257">
        <f>altaz(J2000_Bas,$O2984,$M2984,DecLat,DecLong,1)</f>
        <v>20.544990940312903</v>
      </c>
      <c r="AA2984" s="257">
        <f>altaz((J2000_Bas+(2*0.04167)),$O2984,$M2984,DecLat,DecLong,1)</f>
        <v>30.191854317452183</v>
      </c>
      <c r="AB2984" s="257">
        <f>altaz((J2000_Bas+(4*0.04167)),$O2984,$M2984,DecLat,DecLong,1)</f>
        <v>40.499518818983155</v>
      </c>
      <c r="AC2984" s="257">
        <f>altaz((J2000_Bas+(6*0.04167)),$O2984,$M2984,DecLat,DecLong,1)</f>
        <v>48.685193441974469</v>
      </c>
      <c r="AD2984" s="258">
        <f>1+ transit((J2000_Bas-1),$O2984,$M2984,DecLat,DecLong)/360 + (GMTOffset/24) + (IF(DST="Y", 1, 0)/24)</f>
        <v>1.1102031896401245</v>
      </c>
      <c r="AE2984" s="259">
        <f>DATE(2001,9,21)+(M2984/360)*365 - (360*((DecLong/360)- (GMTOffset/24) ))</f>
        <v>37202.815682870372</v>
      </c>
      <c r="AF2984" s="260">
        <f>IF(DecLat&gt;0,IF((90 - (DecLat-O2984))&gt;90, (90 - (O2984-DecLat)), (90 - (DecLat-O2984))),IF((90 + (DecLat-O2984))&gt;90, (90 + (O2984-DecLat)), (90 + (DecLat-O2984))))</f>
        <v>51.373611111111117</v>
      </c>
      <c r="AG2984" s="257">
        <f>angularseperation(MoonRA,MoonDec,$M2984,$O2984)</f>
        <v>134.66522489593723</v>
      </c>
      <c r="AH2984" s="261">
        <f ca="1">MIN(100,IF($O$5&gt;80,0+30*($AG2984/100),IF($O$5&gt;70,0+50*($AG2984/100),IF($O$5&gt;60,5+50*($AG2984/100),IF($O$5&gt;50,10+60*($AG2984/100),IF($O$5&gt;40,15+70*($AG2984/100),IF($O$5&gt;30,20+70*($AG2984/100),IF($O$5&gt;20,40+55*($AG2984/100),(80+(20-$O$5)+30*($AG2984/100))))))))))</f>
        <v>100</v>
      </c>
      <c r="AI2984" s="262"/>
      <c r="AJ2984" s="262"/>
      <c r="AK2984" s="262"/>
      <c r="AL2984" s="263"/>
      <c r="AM2984" s="264"/>
      <c r="AN2984" s="263"/>
      <c r="AO2984" s="263"/>
      <c r="AP2984" s="265"/>
      <c r="AQ2984" s="266"/>
      <c r="AR2984" s="267"/>
      <c r="AS2984" s="263"/>
      <c r="AT2984" s="263"/>
      <c r="AU2984" s="263"/>
      <c r="AV2984" s="264"/>
      <c r="AW2984" s="263"/>
      <c r="AX2984" s="263"/>
      <c r="AY2984" s="263"/>
      <c r="AZ2984" s="263"/>
      <c r="BA2984" s="263"/>
      <c r="BB2984" s="263"/>
      <c r="BC2984" s="263"/>
      <c r="BD2984" s="264">
        <v>7</v>
      </c>
      <c r="BE2984" s="263"/>
      <c r="BF2984" s="263"/>
      <c r="BG2984" s="263"/>
      <c r="BH2984" s="263"/>
      <c r="BI2984" s="263"/>
      <c r="BJ2984" s="404">
        <f>altaz(J2000_Bas,$O2984,$M2984,DecLat,DecLong,2)</f>
        <v>19.482142685145305</v>
      </c>
      <c r="BK2984" s="378" t="s">
        <v>2792</v>
      </c>
      <c r="BL2984" s="379">
        <f>IF((2*G2984)/60&lt;0.2,0.2,(2*G2984)/60)</f>
        <v>0.23333333333333334</v>
      </c>
      <c r="BM2984" s="380">
        <f>MOD((50000+AD2984-$B$3+(0/24)),1)</f>
        <v>0.32557011934113689</v>
      </c>
      <c r="BN2984" s="381"/>
      <c r="BO2984" s="382">
        <v>2974</v>
      </c>
    </row>
    <row r="2985" spans="1:67" s="24" customFormat="1" ht="15" customHeight="1" x14ac:dyDescent="0.25">
      <c r="A2985" s="288" t="s">
        <v>2793</v>
      </c>
      <c r="B2985" s="241" t="str">
        <f>HYPERLINK(CONCATENATE($AT$3,BK2985,$AU$3),$AV$3)</f>
        <v>S</v>
      </c>
      <c r="C2985" s="242" t="str">
        <f>HYPERLINK(CONCATENATE($AT$4,BK2985,$AU$4,BL2985),$AV$4)</f>
        <v>A</v>
      </c>
      <c r="D2985" s="243" t="s">
        <v>5187</v>
      </c>
      <c r="E2985" s="244" t="s">
        <v>5186</v>
      </c>
      <c r="F2985" s="269"/>
      <c r="G2985" s="273">
        <v>5</v>
      </c>
      <c r="H2985" s="283">
        <v>930</v>
      </c>
      <c r="I2985" s="279">
        <v>1.5</v>
      </c>
      <c r="J2985" s="246">
        <v>3</v>
      </c>
      <c r="K2985" s="247" t="s">
        <v>9423</v>
      </c>
      <c r="L2985" s="248">
        <v>25134</v>
      </c>
      <c r="M2985" s="249">
        <f>15*(LEFT(TEXT($L2985,"000000"),2)+(MID(TEXT($L2985,"000000"),3,2)/60)+(RIGHT(TEXT($L2985,"000000"),2)/3600))</f>
        <v>42.891666666666673</v>
      </c>
      <c r="N2985" s="286">
        <v>674800</v>
      </c>
      <c r="O2985" s="251">
        <f>IF($N2985&gt;0,(LEFT(TEXT($N2985,"000000"),2)+(MID(TEXT($N2985,"000000"),3,2)/60)+(RIGHT(TEXT($N2985,"000000"),2)/3600)),-(MID(TEXT($N2985,"000000"),2,2)+(MID(TEXT($N2985,"000000"),4,2)/60)+(RIGHT(TEXT($N2985,"000000"),2)/3600)))</f>
        <v>67.8</v>
      </c>
      <c r="P2985" s="252" t="s">
        <v>49</v>
      </c>
      <c r="Q2985" s="253"/>
      <c r="R2985" s="277"/>
      <c r="S2985" s="272" t="s">
        <v>3293</v>
      </c>
      <c r="T2985" s="273"/>
      <c r="U2985" s="274"/>
      <c r="V2985" s="280"/>
      <c r="W2985" s="244"/>
      <c r="X2985" s="244"/>
      <c r="Y2985" s="362"/>
      <c r="Z2985" s="257">
        <f>altaz(J2000_Bas,$O2985,$M2985,DecLat,DecLong,1)</f>
        <v>19.291997933399543</v>
      </c>
      <c r="AA2985" s="257">
        <f>altaz((J2000_Bas+(2*0.04167)),$O2985,$M2985,DecLat,DecLong,1)</f>
        <v>29.66396713845851</v>
      </c>
      <c r="AB2985" s="257">
        <f>altaz((J2000_Bas+(4*0.04167)),$O2985,$M2985,DecLat,DecLong,1)</f>
        <v>40.88764945861687</v>
      </c>
      <c r="AC2985" s="257">
        <f>altaz((J2000_Bas+(6*0.04167)),$O2985,$M2985,DecLat,DecLong,1)</f>
        <v>50.028237210226806</v>
      </c>
      <c r="AD2985" s="258">
        <f>1+ transit((J2000_Bas-1),$O2985,$M2985,DecLat,DecLong)/360 + (GMTOffset/24) + (IF(DST="Y", 1, 0)/24)</f>
        <v>1.1120434672338746</v>
      </c>
      <c r="AE2985" s="259">
        <f>DATE(2001,9,21)+(M2985/360)*365 - (360*((DecLong/360)- (GMTOffset/24) ))</f>
        <v>37203.487384259257</v>
      </c>
      <c r="AF2985" s="260">
        <f>IF(DecLat&gt;0,IF((90 - (DecLat-O2985))&gt;90, (90 - (O2985-DecLat)), (90 - (DecLat-O2985))),IF((90 + (DecLat-O2985))&gt;90, (90 + (O2985-DecLat)), (90 + (DecLat-O2985))))</f>
        <v>53.2</v>
      </c>
      <c r="AG2985" s="257">
        <f>angularseperation(MoonRA,MoonDec,$M2985,$O2985)</f>
        <v>136.30270841434984</v>
      </c>
      <c r="AH2985" s="261">
        <f ca="1">MIN(100,IF($O$5&gt;80,0+30*($AG2985/100),IF($O$5&gt;70,0+50*($AG2985/100),IF($O$5&gt;60,5+50*($AG2985/100),IF($O$5&gt;50,10+60*($AG2985/100),IF($O$5&gt;40,15+70*($AG2985/100),IF($O$5&gt;30,20+70*($AG2985/100),IF($O$5&gt;20,40+55*($AG2985/100),(80+(20-$O$5)+30*($AG2985/100))))))))))</f>
        <v>100</v>
      </c>
      <c r="AI2985" s="263"/>
      <c r="AJ2985" s="263"/>
      <c r="AK2985" s="263"/>
      <c r="AL2985" s="263"/>
      <c r="AM2985" s="264"/>
      <c r="AN2985" s="263"/>
      <c r="AO2985" s="263"/>
      <c r="AP2985" s="265"/>
      <c r="AQ2985" s="265"/>
      <c r="AR2985" s="285"/>
      <c r="AS2985" s="263"/>
      <c r="AT2985" s="263"/>
      <c r="AU2985" s="263"/>
      <c r="AV2985" s="264"/>
      <c r="AW2985" s="263"/>
      <c r="AX2985" s="263"/>
      <c r="AY2985" s="263"/>
      <c r="AZ2985" s="263"/>
      <c r="BA2985" s="263"/>
      <c r="BB2985" s="263"/>
      <c r="BC2985" s="263"/>
      <c r="BD2985" s="264">
        <v>8</v>
      </c>
      <c r="BE2985" s="263"/>
      <c r="BF2985" s="263"/>
      <c r="BG2985" s="263"/>
      <c r="BH2985" s="263"/>
      <c r="BI2985" s="263"/>
      <c r="BJ2985" s="404">
        <f>altaz(J2000_Bas,$O2985,$M2985,DecLat,DecLong,2)</f>
        <v>20.918458561596772</v>
      </c>
      <c r="BK2985" s="378" t="s">
        <v>2793</v>
      </c>
      <c r="BL2985" s="379">
        <f>IF((2*G2985)/60&lt;0.2,0.2,(2*G2985)/60)</f>
        <v>0.2</v>
      </c>
      <c r="BM2985" s="380">
        <f>MOD((50000+AD2985-$B$3+(0/24)),1)</f>
        <v>0.32741039693792118</v>
      </c>
      <c r="BN2985" s="381"/>
      <c r="BO2985" s="382">
        <v>2975</v>
      </c>
    </row>
    <row r="2986" spans="1:67" s="24" customFormat="1" ht="15" customHeight="1" x14ac:dyDescent="0.25">
      <c r="A2986" s="288" t="s">
        <v>2794</v>
      </c>
      <c r="B2986" s="241" t="str">
        <f>HYPERLINK(CONCATENATE($AT$3,BK2986,$AU$3),$AV$3)</f>
        <v>S</v>
      </c>
      <c r="C2986" s="242" t="str">
        <f>HYPERLINK(CONCATENATE($AT$4,BK2986,$AU$4,BL2986),$AV$4)</f>
        <v>A</v>
      </c>
      <c r="D2986" s="243" t="s">
        <v>5187</v>
      </c>
      <c r="E2986" s="244" t="s">
        <v>5186</v>
      </c>
      <c r="F2986" s="269"/>
      <c r="G2986" s="273">
        <v>7</v>
      </c>
      <c r="H2986" s="283">
        <v>1400</v>
      </c>
      <c r="I2986" s="279">
        <v>3</v>
      </c>
      <c r="J2986" s="246">
        <v>3</v>
      </c>
      <c r="K2986" s="247" t="s">
        <v>9424</v>
      </c>
      <c r="L2986" s="248">
        <v>25159</v>
      </c>
      <c r="M2986" s="249">
        <f>15*(LEFT(TEXT($L2986,"000000"),2)+(MID(TEXT($L2986,"000000"),3,2)/60)+(RIGHT(TEXT($L2986,"000000"),2)/3600))</f>
        <v>42.99583333333333</v>
      </c>
      <c r="N2986" s="250">
        <v>685257</v>
      </c>
      <c r="O2986" s="251">
        <f>IF($N2986&gt;0,(LEFT(TEXT($N2986,"000000"),2)+(MID(TEXT($N2986,"000000"),3,2)/60)+(RIGHT(TEXT($N2986,"000000"),2)/3600)),-(MID(TEXT($N2986,"000000"),2,2)+(MID(TEXT($N2986,"000000"),4,2)/60)+(RIGHT(TEXT($N2986,"000000"),2)/3600)))</f>
        <v>68.882499999999993</v>
      </c>
      <c r="P2986" s="252" t="s">
        <v>49</v>
      </c>
      <c r="Q2986" s="253"/>
      <c r="R2986" s="277" t="s">
        <v>9525</v>
      </c>
      <c r="S2986" s="272" t="s">
        <v>5394</v>
      </c>
      <c r="T2986" s="273"/>
      <c r="U2986" s="274"/>
      <c r="V2986" s="280"/>
      <c r="W2986" s="244"/>
      <c r="X2986" s="244"/>
      <c r="Y2986" s="362"/>
      <c r="Z2986" s="257">
        <f>altaz(J2000_Bas,$O2986,$M2986,DecLat,DecLong,1)</f>
        <v>19.893960559932268</v>
      </c>
      <c r="AA2986" s="257">
        <f>altaz((J2000_Bas+(2*0.04167)),$O2986,$M2986,DecLat,DecLong,1)</f>
        <v>29.808588370745987</v>
      </c>
      <c r="AB2986" s="257">
        <f>altaz((J2000_Bas+(4*0.04167)),$O2986,$M2986,DecLat,DecLong,1)</f>
        <v>40.499436436085531</v>
      </c>
      <c r="AC2986" s="257">
        <f>altaz((J2000_Bas+(6*0.04167)),$O2986,$M2986,DecLat,DecLong,1)</f>
        <v>49.134408311947062</v>
      </c>
      <c r="AD2986" s="258">
        <f>1+ transit((J2000_Bas-1),$O2986,$M2986,DecLat,DecLong)/360 + (GMTOffset/24) + (IF(DST="Y", 1, 0)/24)</f>
        <v>1.1123328190567914</v>
      </c>
      <c r="AE2986" s="259">
        <f>DATE(2001,9,21)+(M2986/360)*365 - (360*((DecLong/360)- (GMTOffset/24) ))</f>
        <v>37203.592997685184</v>
      </c>
      <c r="AF2986" s="260">
        <f>IF(DecLat&gt;0,IF((90 - (DecLat-O2986))&gt;90, (90 - (O2986-DecLat)), (90 - (DecLat-O2986))),IF((90 + (DecLat-O2986))&gt;90, (90 + (O2986-DecLat)), (90 + (DecLat-O2986))))</f>
        <v>52.117500000000007</v>
      </c>
      <c r="AG2986" s="257">
        <f>angularseperation(MoonRA,MoonDec,$M2986,$O2986)</f>
        <v>135.43246637459168</v>
      </c>
      <c r="AH2986" s="261">
        <f ca="1">MIN(100,IF($O$5&gt;80,0+30*($AG2986/100),IF($O$5&gt;70,0+50*($AG2986/100),IF($O$5&gt;60,5+50*($AG2986/100),IF($O$5&gt;50,10+60*($AG2986/100),IF($O$5&gt;40,15+70*($AG2986/100),IF($O$5&gt;30,20+70*($AG2986/100),IF($O$5&gt;20,40+55*($AG2986/100),(80+(20-$O$5)+30*($AG2986/100))))))))))</f>
        <v>100</v>
      </c>
      <c r="AI2986" s="262"/>
      <c r="AJ2986" s="262"/>
      <c r="AK2986" s="262"/>
      <c r="AL2986" s="263"/>
      <c r="AM2986" s="264"/>
      <c r="AN2986" s="263"/>
      <c r="AO2986" s="263"/>
      <c r="AP2986" s="265"/>
      <c r="AQ2986" s="266"/>
      <c r="AR2986" s="267"/>
      <c r="AS2986" s="263"/>
      <c r="AT2986" s="263"/>
      <c r="AU2986" s="263"/>
      <c r="AV2986" s="264"/>
      <c r="AW2986" s="263"/>
      <c r="AX2986" s="263"/>
      <c r="AY2986" s="263">
        <v>643</v>
      </c>
      <c r="AZ2986" s="263">
        <v>1355</v>
      </c>
      <c r="BA2986" s="263"/>
      <c r="BB2986" s="263"/>
      <c r="BC2986" s="263"/>
      <c r="BD2986" s="264">
        <v>9</v>
      </c>
      <c r="BE2986" s="263"/>
      <c r="BF2986" s="263"/>
      <c r="BG2986" s="263"/>
      <c r="BH2986" s="263"/>
      <c r="BI2986" s="263"/>
      <c r="BJ2986" s="404">
        <f>altaz(J2000_Bas,$O2986,$M2986,DecLat,DecLong,2)</f>
        <v>19.962592197640792</v>
      </c>
      <c r="BK2986" s="378" t="s">
        <v>2794</v>
      </c>
      <c r="BL2986" s="379">
        <f>IF((2*G2986)/60&lt;0.2,0.2,(2*G2986)/60)</f>
        <v>0.23333333333333334</v>
      </c>
      <c r="BM2986" s="380">
        <f>MOD((50000+AD2986-$B$3+(0/24)),1)</f>
        <v>0.32769974876282504</v>
      </c>
      <c r="BN2986" s="381"/>
      <c r="BO2986" s="382">
        <v>2976</v>
      </c>
    </row>
    <row r="2987" spans="1:67" s="24" customFormat="1" ht="15" customHeight="1" x14ac:dyDescent="0.25">
      <c r="A2987" s="288" t="s">
        <v>2795</v>
      </c>
      <c r="B2987" s="241" t="str">
        <f>HYPERLINK(CONCATENATE($AT$3,BK2987,$AU$3),$AV$3)</f>
        <v>S</v>
      </c>
      <c r="C2987" s="242" t="str">
        <f>HYPERLINK(CONCATENATE($AT$4,BK2987,$AU$4,BL2987),$AV$4)</f>
        <v>A</v>
      </c>
      <c r="D2987" s="243" t="s">
        <v>5187</v>
      </c>
      <c r="E2987" s="244" t="s">
        <v>5186</v>
      </c>
      <c r="F2987" s="269"/>
      <c r="G2987" s="276">
        <v>19</v>
      </c>
      <c r="H2987" s="283">
        <v>3000</v>
      </c>
      <c r="I2987" s="246">
        <v>16</v>
      </c>
      <c r="J2987" s="246">
        <v>1</v>
      </c>
      <c r="K2987" s="247" t="s">
        <v>9425</v>
      </c>
      <c r="L2987" s="248">
        <v>31515</v>
      </c>
      <c r="M2987" s="249">
        <f>15*(LEFT(TEXT($L2987,"000000"),2)+(MID(TEXT($L2987,"000000"),3,2)/60)+(RIGHT(TEXT($L2987,"000000"),2)/3600))</f>
        <v>48.8125</v>
      </c>
      <c r="N2987" s="286">
        <v>571019</v>
      </c>
      <c r="O2987" s="251">
        <f>IF($N2987&gt;0,(LEFT(TEXT($N2987,"000000"),2)+(MID(TEXT($N2987,"000000"),3,2)/60)+(RIGHT(TEXT($N2987,"000000"),2)/3600)),-(MID(TEXT($N2987,"000000"),2,2)+(MID(TEXT($N2987,"000000"),4,2)/60)+(RIGHT(TEXT($N2987,"000000"),2)/3600)))</f>
        <v>57.171944444444442</v>
      </c>
      <c r="P2987" s="252" t="s">
        <v>226</v>
      </c>
      <c r="Q2987" s="253"/>
      <c r="R2987" s="277" t="s">
        <v>9526</v>
      </c>
      <c r="S2987" s="272" t="s">
        <v>3293</v>
      </c>
      <c r="T2987" s="273"/>
      <c r="U2987" s="274"/>
      <c r="V2987" s="280"/>
      <c r="W2987" s="244"/>
      <c r="X2987" s="244"/>
      <c r="Y2987" s="362"/>
      <c r="Z2987" s="257">
        <f>altaz(J2000_Bas,$O2987,$M2987,DecLat,DecLong,1)</f>
        <v>10.42771535728107</v>
      </c>
      <c r="AA2987" s="257">
        <f>altaz((J2000_Bas+(2*0.04167)),$O2987,$M2987,DecLat,DecLong,1)</f>
        <v>24.248323248261134</v>
      </c>
      <c r="AB2987" s="257">
        <f>altaz((J2000_Bas+(4*0.04167)),$O2987,$M2987,DecLat,DecLong,1)</f>
        <v>40.26639962946323</v>
      </c>
      <c r="AC2987" s="257">
        <f>altaz((J2000_Bas+(6*0.04167)),$O2987,$M2987,DecLat,DecLong,1)</f>
        <v>55.53329290523547</v>
      </c>
      <c r="AD2987" s="258">
        <f>1+ transit((J2000_Bas-1),$O2987,$M2987,DecLat,DecLong)/360 + (GMTOffset/24) + (IF(DST="Y", 1, 0)/24)</f>
        <v>1.1284902248484581</v>
      </c>
      <c r="AE2987" s="259">
        <f>DATE(2001,9,21)+(M2987/360)*365 - (360*((DecLong/360)- (GMTOffset/24) ))</f>
        <v>37209.490451388891</v>
      </c>
      <c r="AF2987" s="260">
        <f>IF(DecLat&gt;0,IF((90 - (DecLat-O2987))&gt;90, (90 - (O2987-DecLat)), (90 - (DecLat-O2987))),IF((90 + (DecLat-O2987))&gt;90, (90 + (O2987-DecLat)), (90 + (DecLat-O2987))))</f>
        <v>63.828055555555558</v>
      </c>
      <c r="AG2987" s="257">
        <f>angularseperation(MoonRA,MoonDec,$M2987,$O2987)</f>
        <v>146.60534154918022</v>
      </c>
      <c r="AH2987" s="261">
        <f ca="1">MIN(100,IF($O$5&gt;80,0+30*($AG2987/100),IF($O$5&gt;70,0+50*($AG2987/100),IF($O$5&gt;60,5+50*($AG2987/100),IF($O$5&gt;50,10+60*($AG2987/100),IF($O$5&gt;40,15+70*($AG2987/100),IF($O$5&gt;30,20+70*($AG2987/100),IF($O$5&gt;20,40+55*($AG2987/100),(80+(20-$O$5)+30*($AG2987/100))))))))))</f>
        <v>100</v>
      </c>
      <c r="AI2987" s="263"/>
      <c r="AJ2987" s="263"/>
      <c r="AK2987" s="263"/>
      <c r="AL2987" s="263"/>
      <c r="AM2987" s="264"/>
      <c r="AN2987" s="263"/>
      <c r="AO2987" s="263"/>
      <c r="AP2987" s="265"/>
      <c r="AQ2987" s="265"/>
      <c r="AR2987" s="285"/>
      <c r="AS2987" s="263"/>
      <c r="AT2987" s="263"/>
      <c r="AU2987" s="263"/>
      <c r="AV2987" s="264"/>
      <c r="AW2987" s="263"/>
      <c r="AX2987" s="263"/>
      <c r="AY2987" s="263"/>
      <c r="AZ2987" s="263"/>
      <c r="BA2987" s="263"/>
      <c r="BB2987" s="263"/>
      <c r="BC2987" s="263"/>
      <c r="BD2987" s="264">
        <v>10</v>
      </c>
      <c r="BE2987" s="263"/>
      <c r="BF2987" s="263"/>
      <c r="BG2987" s="263"/>
      <c r="BH2987" s="263"/>
      <c r="BI2987" s="263"/>
      <c r="BJ2987" s="404">
        <f>altaz(J2000_Bas,$O2987,$M2987,DecLat,DecLong,2)</f>
        <v>27.599532107517057</v>
      </c>
      <c r="BK2987" s="378" t="s">
        <v>2795</v>
      </c>
      <c r="BL2987" s="379">
        <f>IF((2*G2987)/60&lt;0.2,0.2,(2*G2987)/60)</f>
        <v>0.6333333333333333</v>
      </c>
      <c r="BM2987" s="380">
        <f>MOD((50000+AD2987-$B$3+(0/24)),1)</f>
        <v>0.34385715455573518</v>
      </c>
      <c r="BN2987" s="381"/>
      <c r="BO2987" s="382">
        <v>2977</v>
      </c>
    </row>
    <row r="2988" spans="1:67" s="24" customFormat="1" ht="15" customHeight="1" x14ac:dyDescent="0.25">
      <c r="A2988" s="288" t="s">
        <v>2796</v>
      </c>
      <c r="B2988" s="241" t="str">
        <f>HYPERLINK(CONCATENATE($AT$3,BK2988,$AU$3),$AV$3)</f>
        <v>S</v>
      </c>
      <c r="C2988" s="242" t="str">
        <f>HYPERLINK(CONCATENATE($AT$4,BK2988,$AU$4,BL2988),$AV$4)</f>
        <v>A</v>
      </c>
      <c r="D2988" s="243" t="s">
        <v>5187</v>
      </c>
      <c r="E2988" s="244" t="s">
        <v>5186</v>
      </c>
      <c r="F2988" s="269"/>
      <c r="G2988" s="273">
        <v>6.2</v>
      </c>
      <c r="H2988" s="283">
        <v>3000</v>
      </c>
      <c r="I2988" s="279">
        <v>5</v>
      </c>
      <c r="J2988" s="246">
        <v>1</v>
      </c>
      <c r="K2988" s="247" t="s">
        <v>9426</v>
      </c>
      <c r="L2988" s="248">
        <v>32415</v>
      </c>
      <c r="M2988" s="249">
        <f>15*(LEFT(TEXT($L2988,"000000"),2)+(MID(TEXT($L2988,"000000"),3,2)/60)+(RIGHT(TEXT($L2988,"000000"),2)/3600))</f>
        <v>51.0625</v>
      </c>
      <c r="N2988" s="250">
        <v>613219</v>
      </c>
      <c r="O2988" s="251">
        <f>IF($N2988&gt;0,(LEFT(TEXT($N2988,"000000"),2)+(MID(TEXT($N2988,"000000"),3,2)/60)+(RIGHT(TEXT($N2988,"000000"),2)/3600)),-(MID(TEXT($N2988,"000000"),2,2)+(MID(TEXT($N2988,"000000"),4,2)/60)+(RIGHT(TEXT($N2988,"000000"),2)/3600)))</f>
        <v>61.538611111111109</v>
      </c>
      <c r="P2988" s="252" t="s">
        <v>226</v>
      </c>
      <c r="Q2988" s="253"/>
      <c r="R2988" s="277" t="s">
        <v>9527</v>
      </c>
      <c r="S2988" s="272" t="s">
        <v>3293</v>
      </c>
      <c r="T2988" s="273"/>
      <c r="U2988" s="274"/>
      <c r="V2988" s="280"/>
      <c r="W2988" s="244"/>
      <c r="X2988" s="244"/>
      <c r="Y2988" s="362"/>
      <c r="Z2988" s="257">
        <f>altaz(J2000_Bas,$O2988,$M2988,DecLat,DecLong,1)</f>
        <v>12.599568694425608</v>
      </c>
      <c r="AA2988" s="257">
        <f>altaz((J2000_Bas+(2*0.04167)),$O2988,$M2988,DecLat,DecLong,1)</f>
        <v>24.668159870830038</v>
      </c>
      <c r="AB2988" s="257">
        <f>altaz((J2000_Bas+(4*0.04167)),$O2988,$M2988,DecLat,DecLong,1)</f>
        <v>38.765434131129808</v>
      </c>
      <c r="AC2988" s="257">
        <f>altaz((J2000_Bas+(6*0.04167)),$O2988,$M2988,DecLat,DecLong,1)</f>
        <v>52.017755234201836</v>
      </c>
      <c r="AD2988" s="258">
        <f>1+ transit((J2000_Bas-1),$O2988,$M2988,DecLat,DecLong)/360 + (GMTOffset/24) + (IF(DST="Y", 1, 0)/24)</f>
        <v>1.1347402242234581</v>
      </c>
      <c r="AE2988" s="259">
        <f>DATE(2001,9,21)+(M2988/360)*365 - (360*((DecLong/360)- (GMTOffset/24) ))</f>
        <v>37211.771701388891</v>
      </c>
      <c r="AF2988" s="260">
        <f>IF(DecLat&gt;0,IF((90 - (DecLat-O2988))&gt;90, (90 - (O2988-DecLat)), (90 - (DecLat-O2988))),IF((90 + (DecLat-O2988))&gt;90, (90 + (O2988-DecLat)), (90 + (DecLat-O2988))))</f>
        <v>59.461388888888891</v>
      </c>
      <c r="AG2988" s="257">
        <f>angularseperation(MoonRA,MoonDec,$M2988,$O2988)</f>
        <v>143.45563060281185</v>
      </c>
      <c r="AH2988" s="261">
        <f ca="1">MIN(100,IF($O$5&gt;80,0+30*($AG2988/100),IF($O$5&gt;70,0+50*($AG2988/100),IF($O$5&gt;60,5+50*($AG2988/100),IF($O$5&gt;50,10+60*($AG2988/100),IF($O$5&gt;40,15+70*($AG2988/100),IF($O$5&gt;30,20+70*($AG2988/100),IF($O$5&gt;20,40+55*($AG2988/100),(80+(20-$O$5)+30*($AG2988/100))))))))))</f>
        <v>100</v>
      </c>
      <c r="AI2988" s="263"/>
      <c r="AJ2988" s="263"/>
      <c r="AK2988" s="263"/>
      <c r="AL2988" s="263"/>
      <c r="AM2988" s="264"/>
      <c r="AN2988" s="263"/>
      <c r="AO2988" s="263"/>
      <c r="AP2988" s="265"/>
      <c r="AQ2988" s="265"/>
      <c r="AR2988" s="285"/>
      <c r="AS2988" s="263"/>
      <c r="AT2988" s="263"/>
      <c r="AU2988" s="263"/>
      <c r="AV2988" s="264"/>
      <c r="AW2988" s="263"/>
      <c r="AX2988" s="263"/>
      <c r="AY2988" s="263"/>
      <c r="AZ2988" s="263"/>
      <c r="BA2988" s="263"/>
      <c r="BB2988" s="263"/>
      <c r="BC2988" s="263"/>
      <c r="BD2988" s="264">
        <v>11</v>
      </c>
      <c r="BE2988" s="263"/>
      <c r="BF2988" s="263"/>
      <c r="BG2988" s="263"/>
      <c r="BH2988" s="263"/>
      <c r="BI2988" s="263"/>
      <c r="BJ2988" s="404">
        <f>altaz(J2000_Bas,$O2988,$M2988,DecLat,DecLong,2)</f>
        <v>23.560701168534781</v>
      </c>
      <c r="BK2988" s="378" t="s">
        <v>2796</v>
      </c>
      <c r="BL2988" s="379">
        <f>IF((2*G2988)/60&lt;0.2,0.2,(2*G2988)/60)</f>
        <v>0.20666666666666667</v>
      </c>
      <c r="BM2988" s="380">
        <f>MOD((50000+AD2988-$B$3+(0/24)),1)</f>
        <v>0.35010715392854763</v>
      </c>
      <c r="BN2988" s="381"/>
      <c r="BO2988" s="382">
        <v>2978</v>
      </c>
    </row>
    <row r="2989" spans="1:67" s="24" customFormat="1" ht="15" customHeight="1" x14ac:dyDescent="0.25">
      <c r="A2989" s="288" t="s">
        <v>2797</v>
      </c>
      <c r="B2989" s="241" t="str">
        <f>HYPERLINK(CONCATENATE($AT$3,BK2989,$AU$3),$AV$3)</f>
        <v>S</v>
      </c>
      <c r="C2989" s="242" t="str">
        <f>HYPERLINK(CONCATENATE($AT$4,BK2989,$AU$4,BL2989),$AV$4)</f>
        <v>A</v>
      </c>
      <c r="D2989" s="243" t="s">
        <v>5187</v>
      </c>
      <c r="E2989" s="244" t="s">
        <v>5186</v>
      </c>
      <c r="F2989" s="269"/>
      <c r="G2989" s="273">
        <v>5</v>
      </c>
      <c r="H2989" s="283">
        <v>1000</v>
      </c>
      <c r="I2989" s="279">
        <v>1.5</v>
      </c>
      <c r="J2989" s="246">
        <v>3</v>
      </c>
      <c r="K2989" s="247" t="s">
        <v>9427</v>
      </c>
      <c r="L2989" s="248">
        <v>32525</v>
      </c>
      <c r="M2989" s="249">
        <f>15*(LEFT(TEXT($L2989,"000000"),2)+(MID(TEXT($L2989,"000000"),3,2)/60)+(RIGHT(TEXT($L2989,"000000"),2)/3600))</f>
        <v>51.354166666666664</v>
      </c>
      <c r="N2989" s="250">
        <v>314347</v>
      </c>
      <c r="O2989" s="251">
        <f>IF($N2989&gt;0,(LEFT(TEXT($N2989,"000000"),2)+(MID(TEXT($N2989,"000000"),3,2)/60)+(RIGHT(TEXT($N2989,"000000"),2)/3600)),-(MID(TEXT($N2989,"000000"),2,2)+(MID(TEXT($N2989,"000000"),4,2)/60)+(RIGHT(TEXT($N2989,"000000"),2)/3600)))</f>
        <v>31.729722222222222</v>
      </c>
      <c r="P2989" s="252" t="s">
        <v>43</v>
      </c>
      <c r="Q2989" s="253"/>
      <c r="R2989" s="247" t="s">
        <v>9528</v>
      </c>
      <c r="S2989" s="272" t="s">
        <v>3293</v>
      </c>
      <c r="T2989" s="273"/>
      <c r="U2989" s="274"/>
      <c r="V2989" s="280"/>
      <c r="W2989" s="244"/>
      <c r="X2989" s="244"/>
      <c r="Y2989" s="362"/>
      <c r="Z2989" s="257">
        <f>altaz(J2000_Bas,$O2989,$M2989,DecLat,DecLong,1)</f>
        <v>-8.6825129689654101</v>
      </c>
      <c r="AA2989" s="257">
        <f>altaz((J2000_Bas+(2*0.04167)),$O2989,$M2989,DecLat,DecLong,1)</f>
        <v>11.767468834999651</v>
      </c>
      <c r="AB2989" s="257">
        <f>altaz((J2000_Bas+(4*0.04167)),$O2989,$M2989,DecLat,DecLong,1)</f>
        <v>35.230762625520192</v>
      </c>
      <c r="AC2989" s="257">
        <f>altaz((J2000_Bas+(6*0.04167)),$O2989,$M2989,DecLat,DecLong,1)</f>
        <v>60.152779867495447</v>
      </c>
      <c r="AD2989" s="258">
        <f>1+ transit((J2000_Bas-1),$O2989,$M2989,DecLat,DecLong)/360 + (GMTOffset/24) + (IF(DST="Y", 1, 0)/24)</f>
        <v>1.1355504093276247</v>
      </c>
      <c r="AE2989" s="259">
        <f>DATE(2001,9,21)+(M2989/360)*365 - (360*((DecLong/360)- (GMTOffset/24) ))</f>
        <v>37212.067418981482</v>
      </c>
      <c r="AF2989" s="260">
        <f>IF(DecLat&gt;0,IF((90 - (DecLat-O2989))&gt;90, (90 - (O2989-DecLat)), (90 - (DecLat-O2989))),IF((90 + (DecLat-O2989))&gt;90, (90 + (O2989-DecLat)), (90 + (DecLat-O2989))))</f>
        <v>89.270277777777778</v>
      </c>
      <c r="AG2989" s="257">
        <f>angularseperation(MoonRA,MoonDec,$M2989,$O2989)</f>
        <v>163.76200450959087</v>
      </c>
      <c r="AH2989" s="261">
        <f ca="1">MIN(100,IF($O$5&gt;80,0+30*($AG2989/100),IF($O$5&gt;70,0+50*($AG2989/100),IF($O$5&gt;60,5+50*($AG2989/100),IF($O$5&gt;50,10+60*($AG2989/100),IF($O$5&gt;40,15+70*($AG2989/100),IF($O$5&gt;30,20+70*($AG2989/100),IF($O$5&gt;20,40+55*($AG2989/100),(80+(20-$O$5)+30*($AG2989/100))))))))))</f>
        <v>100</v>
      </c>
      <c r="AI2989" s="262"/>
      <c r="AJ2989" s="262"/>
      <c r="AK2989" s="262"/>
      <c r="AL2989" s="263"/>
      <c r="AM2989" s="264"/>
      <c r="AN2989" s="263"/>
      <c r="AO2989" s="263"/>
      <c r="AP2989" s="265"/>
      <c r="AQ2989" s="266"/>
      <c r="AR2989" s="267"/>
      <c r="AS2989" s="263"/>
      <c r="AT2989" s="263"/>
      <c r="AU2989" s="263"/>
      <c r="AV2989" s="264"/>
      <c r="AW2989" s="263"/>
      <c r="AX2989" s="263"/>
      <c r="AY2989" s="263"/>
      <c r="AZ2989" s="263"/>
      <c r="BA2989" s="263"/>
      <c r="BB2989" s="263"/>
      <c r="BC2989" s="263"/>
      <c r="BD2989" s="264">
        <v>12</v>
      </c>
      <c r="BE2989" s="263"/>
      <c r="BF2989" s="263"/>
      <c r="BG2989" s="263"/>
      <c r="BH2989" s="263"/>
      <c r="BI2989" s="263"/>
      <c r="BJ2989" s="404">
        <f>altaz(J2000_Bas,$O2989,$M2989,DecLat,DecLong,2)</f>
        <v>44.568065755498978</v>
      </c>
      <c r="BK2989" s="378" t="s">
        <v>2797</v>
      </c>
      <c r="BL2989" s="379">
        <f>IF((2*G2989)/60&lt;0.2,0.2,(2*G2989)/60)</f>
        <v>0.2</v>
      </c>
      <c r="BM2989" s="380">
        <f>MOD((50000+AD2989-$B$3+(0/24)),1)</f>
        <v>0.35091733903391287</v>
      </c>
      <c r="BN2989" s="381"/>
      <c r="BO2989" s="382">
        <v>2979</v>
      </c>
    </row>
    <row r="2990" spans="1:67" s="24" customFormat="1" ht="15" customHeight="1" x14ac:dyDescent="0.25">
      <c r="A2990" s="288" t="s">
        <v>2798</v>
      </c>
      <c r="B2990" s="241" t="str">
        <f>HYPERLINK(CONCATENATE($AT$3,BK2990,$AU$3),$AV$3)</f>
        <v>S</v>
      </c>
      <c r="C2990" s="242" t="str">
        <f>HYPERLINK(CONCATENATE($AT$4,BK2990,$AU$4,BL2990),$AV$4)</f>
        <v>A</v>
      </c>
      <c r="D2990" s="243" t="s">
        <v>5187</v>
      </c>
      <c r="E2990" s="244" t="s">
        <v>5186</v>
      </c>
      <c r="F2990" s="269"/>
      <c r="G2990" s="273">
        <v>9</v>
      </c>
      <c r="H2990" s="283">
        <v>960</v>
      </c>
      <c r="I2990" s="279">
        <v>2.6</v>
      </c>
      <c r="J2990" s="246">
        <v>2</v>
      </c>
      <c r="K2990" s="247" t="s">
        <v>9428</v>
      </c>
      <c r="L2990" s="248">
        <v>32550</v>
      </c>
      <c r="M2990" s="249">
        <f>15*(LEFT(TEXT($L2990,"000000"),2)+(MID(TEXT($L2990,"000000"),3,2)/60)+(RIGHT(TEXT($L2990,"000000"),2)/3600))</f>
        <v>51.458333333333329</v>
      </c>
      <c r="N2990" s="286">
        <v>305554</v>
      </c>
      <c r="O2990" s="251">
        <f>IF($N2990&gt;0,(LEFT(TEXT($N2990,"000000"),2)+(MID(TEXT($N2990,"000000"),3,2)/60)+(RIGHT(TEXT($N2990,"000000"),2)/3600)),-(MID(TEXT($N2990,"000000"),2,2)+(MID(TEXT($N2990,"000000"),4,2)/60)+(RIGHT(TEXT($N2990,"000000"),2)/3600)))</f>
        <v>30.931666666666668</v>
      </c>
      <c r="P2990" s="252" t="s">
        <v>249</v>
      </c>
      <c r="Q2990" s="253"/>
      <c r="R2990" s="247" t="s">
        <v>9529</v>
      </c>
      <c r="S2990" s="272" t="s">
        <v>5395</v>
      </c>
      <c r="T2990" s="273"/>
      <c r="U2990" s="274"/>
      <c r="V2990" s="280"/>
      <c r="W2990" s="244"/>
      <c r="X2990" s="244"/>
      <c r="Y2990" s="362"/>
      <c r="Z2990" s="257">
        <f>altaz(J2000_Bas,$O2990,$M2990,DecLat,DecLong,1)</f>
        <v>-9.3095496175394548</v>
      </c>
      <c r="AA2990" s="257">
        <f>altaz((J2000_Bas+(2*0.04167)),$O2990,$M2990,DecLat,DecLong,1)</f>
        <v>11.297987158585197</v>
      </c>
      <c r="AB2990" s="257">
        <f>altaz((J2000_Bas+(4*0.04167)),$O2990,$M2990,DecLat,DecLong,1)</f>
        <v>34.89925420848347</v>
      </c>
      <c r="AC2990" s="257">
        <f>altaz((J2000_Bas+(6*0.04167)),$O2990,$M2990,DecLat,DecLong,1)</f>
        <v>59.94414588521888</v>
      </c>
      <c r="AD2990" s="258">
        <f>1+ transit((J2000_Bas-1),$O2990,$M2990,DecLat,DecLong)/360 + (GMTOffset/24) + (IF(DST="Y", 1, 0)/24)</f>
        <v>1.1358397611505413</v>
      </c>
      <c r="AE2990" s="259">
        <f>DATE(2001,9,21)+(M2990/360)*365 - (360*((DecLong/360)- (GMTOffset/24) ))</f>
        <v>37212.173032407409</v>
      </c>
      <c r="AF2990" s="260">
        <f>IF(DecLat&gt;0,IF((90 - (DecLat-O2990))&gt;90, (90 - (O2990-DecLat)), (90 - (DecLat-O2990))),IF((90 + (DecLat-O2990))&gt;90, (90 + (O2990-DecLat)), (90 + (DecLat-O2990))))</f>
        <v>89.931666666666672</v>
      </c>
      <c r="AG2990" s="257">
        <f>angularseperation(MoonRA,MoonDec,$M2990,$O2990)</f>
        <v>163.99828126726862</v>
      </c>
      <c r="AH2990" s="261">
        <f ca="1">MIN(100,IF($O$5&gt;80,0+30*($AG2990/100),IF($O$5&gt;70,0+50*($AG2990/100),IF($O$5&gt;60,5+50*($AG2990/100),IF($O$5&gt;50,10+60*($AG2990/100),IF($O$5&gt;40,15+70*($AG2990/100),IF($O$5&gt;30,20+70*($AG2990/100),IF($O$5&gt;20,40+55*($AG2990/100),(80+(20-$O$5)+30*($AG2990/100))))))))))</f>
        <v>100</v>
      </c>
      <c r="AI2990" s="262"/>
      <c r="AJ2990" s="262"/>
      <c r="AK2990" s="262"/>
      <c r="AL2990" s="263"/>
      <c r="AM2990" s="264"/>
      <c r="AN2990" s="263"/>
      <c r="AO2990" s="263"/>
      <c r="AP2990" s="265"/>
      <c r="AQ2990" s="266"/>
      <c r="AR2990" s="267"/>
      <c r="AS2990" s="263"/>
      <c r="AT2990" s="263"/>
      <c r="AU2990" s="263"/>
      <c r="AV2990" s="264"/>
      <c r="AW2990" s="263"/>
      <c r="AX2990" s="263"/>
      <c r="AY2990" s="263"/>
      <c r="AZ2990" s="263"/>
      <c r="BA2990" s="263"/>
      <c r="BB2990" s="263"/>
      <c r="BC2990" s="263"/>
      <c r="BD2990" s="264">
        <v>13</v>
      </c>
      <c r="BE2990" s="263"/>
      <c r="BF2990" s="263"/>
      <c r="BG2990" s="263"/>
      <c r="BH2990" s="263"/>
      <c r="BI2990" s="263"/>
      <c r="BJ2990" s="404">
        <f>altaz(J2000_Bas,$O2990,$M2990,DecLat,DecLong,2)</f>
        <v>45.075947559289752</v>
      </c>
      <c r="BK2990" s="378" t="s">
        <v>2798</v>
      </c>
      <c r="BL2990" s="379">
        <f>IF((2*G2990)/60&lt;0.2,0.2,(2*G2990)/60)</f>
        <v>0.3</v>
      </c>
      <c r="BM2990" s="380">
        <f>MOD((50000+AD2990-$B$3+(0/24)),1)</f>
        <v>0.35120669085154077</v>
      </c>
      <c r="BN2990" s="381"/>
      <c r="BO2990" s="382">
        <v>2980</v>
      </c>
    </row>
    <row r="2991" spans="1:67" s="24" customFormat="1" ht="15" customHeight="1" x14ac:dyDescent="0.25">
      <c r="A2991" s="288" t="s">
        <v>2799</v>
      </c>
      <c r="B2991" s="241" t="str">
        <f>HYPERLINK(CONCATENATE($AT$3,BK2991,$AU$3),$AV$3)</f>
        <v>S</v>
      </c>
      <c r="C2991" s="242" t="str">
        <f>HYPERLINK(CONCATENATE($AT$4,BK2991,$AU$4,BL2991),$AV$4)</f>
        <v>A</v>
      </c>
      <c r="D2991" s="243" t="s">
        <v>5187</v>
      </c>
      <c r="E2991" s="244" t="s">
        <v>5186</v>
      </c>
      <c r="F2991" s="269"/>
      <c r="G2991" s="276">
        <v>25</v>
      </c>
      <c r="H2991" s="283">
        <v>2600</v>
      </c>
      <c r="I2991" s="246">
        <v>20</v>
      </c>
      <c r="J2991" s="246">
        <v>2</v>
      </c>
      <c r="K2991" s="247" t="s">
        <v>9429</v>
      </c>
      <c r="L2991" s="248">
        <v>32904</v>
      </c>
      <c r="M2991" s="249">
        <f>15*(LEFT(TEXT($L2991,"000000"),2)+(MID(TEXT($L2991,"000000"),3,2)/60)+(RIGHT(TEXT($L2991,"000000"),2)/3600))</f>
        <v>52.266666666666673</v>
      </c>
      <c r="N2991" s="250">
        <v>595637</v>
      </c>
      <c r="O2991" s="251">
        <f>IF($N2991&gt;0,(LEFT(TEXT($N2991,"000000"),2)+(MID(TEXT($N2991,"000000"),3,2)/60)+(RIGHT(TEXT($N2991,"000000"),2)/3600)),-(MID(TEXT($N2991,"000000"),2,2)+(MID(TEXT($N2991,"000000"),4,2)/60)+(RIGHT(TEXT($N2991,"000000"),2)/3600)))</f>
        <v>59.94361111111111</v>
      </c>
      <c r="P2991" s="252" t="s">
        <v>226</v>
      </c>
      <c r="Q2991" s="253"/>
      <c r="R2991" s="247" t="s">
        <v>9530</v>
      </c>
      <c r="S2991" s="272" t="s">
        <v>2627</v>
      </c>
      <c r="T2991" s="273"/>
      <c r="U2991" s="274"/>
      <c r="V2991" s="280"/>
      <c r="W2991" s="244"/>
      <c r="X2991" s="244"/>
      <c r="Y2991" s="362"/>
      <c r="Z2991" s="257">
        <f>altaz(J2000_Bas,$O2991,$M2991,DecLat,DecLong,1)</f>
        <v>11.060186655633867</v>
      </c>
      <c r="AA2991" s="257">
        <f>altaz((J2000_Bas+(2*0.04167)),$O2991,$M2991,DecLat,DecLong,1)</f>
        <v>23.551268659148949</v>
      </c>
      <c r="AB2991" s="257">
        <f>altaz((J2000_Bas+(4*0.04167)),$O2991,$M2991,DecLat,DecLong,1)</f>
        <v>38.297876226138932</v>
      </c>
      <c r="AC2991" s="257">
        <f>altaz((J2000_Bas+(6*0.04167)),$O2991,$M2991,DecLat,DecLong,1)</f>
        <v>52.472295616801077</v>
      </c>
      <c r="AD2991" s="258">
        <f>1+ transit((J2000_Bas-1),$O2991,$M2991,DecLat,DecLong)/360 + (GMTOffset/24) + (IF(DST="Y", 1, 0)/24)</f>
        <v>1.1380851312963747</v>
      </c>
      <c r="AE2991" s="259">
        <f>DATE(2001,9,21)+(M2991/360)*365 - (360*((DecLong/360)- (GMTOffset/24) ))</f>
        <v>37212.992592592593</v>
      </c>
      <c r="AF2991" s="260">
        <f>IF(DecLat&gt;0,IF((90 - (DecLat-O2991))&gt;90, (90 - (O2991-DecLat)), (90 - (DecLat-O2991))),IF((90 + (DecLat-O2991))&gt;90, (90 + (O2991-DecLat)), (90 + (DecLat-O2991))))</f>
        <v>61.05638888888889</v>
      </c>
      <c r="AG2991" s="257">
        <f>angularseperation(MoonRA,MoonDec,$M2991,$O2991)</f>
        <v>145.14237255017997</v>
      </c>
      <c r="AH2991" s="261">
        <f ca="1">MIN(100,IF($O$5&gt;80,0+30*($AG2991/100),IF($O$5&gt;70,0+50*($AG2991/100),IF($O$5&gt;60,5+50*($AG2991/100),IF($O$5&gt;50,10+60*($AG2991/100),IF($O$5&gt;40,15+70*($AG2991/100),IF($O$5&gt;30,20+70*($AG2991/100),IF($O$5&gt;20,40+55*($AG2991/100),(80+(20-$O$5)+30*($AG2991/100))))))))))</f>
        <v>100</v>
      </c>
      <c r="AI2991" s="262"/>
      <c r="AJ2991" s="262"/>
      <c r="AK2991" s="262"/>
      <c r="AL2991" s="263"/>
      <c r="AM2991" s="264"/>
      <c r="AN2991" s="263"/>
      <c r="AO2991" s="263"/>
      <c r="AP2991" s="265"/>
      <c r="AQ2991" s="266"/>
      <c r="AR2991" s="267"/>
      <c r="AS2991" s="263"/>
      <c r="AT2991" s="263"/>
      <c r="AU2991" s="263"/>
      <c r="AV2991" s="264"/>
      <c r="AW2991" s="263"/>
      <c r="AX2991" s="263"/>
      <c r="AY2991" s="263"/>
      <c r="AZ2991" s="263"/>
      <c r="BA2991" s="263"/>
      <c r="BB2991" s="263"/>
      <c r="BC2991" s="263"/>
      <c r="BD2991" s="264">
        <v>14</v>
      </c>
      <c r="BE2991" s="263"/>
      <c r="BF2991" s="263"/>
      <c r="BG2991" s="263"/>
      <c r="BH2991" s="263"/>
      <c r="BI2991" s="263"/>
      <c r="BJ2991" s="404">
        <f>altaz(J2000_Bas,$O2991,$M2991,DecLat,DecLong,2)</f>
        <v>24.297815462514116</v>
      </c>
      <c r="BK2991" s="378" t="s">
        <v>2799</v>
      </c>
      <c r="BL2991" s="379">
        <f>IF((2*G2991)/60&lt;0.2,0.2,(2*G2991)/60)</f>
        <v>0.83333333333333337</v>
      </c>
      <c r="BM2991" s="380">
        <f>MOD((50000+AD2991-$B$3+(0/24)),1)</f>
        <v>0.3534520609973697</v>
      </c>
      <c r="BN2991" s="381"/>
      <c r="BO2991" s="382">
        <v>2981</v>
      </c>
    </row>
    <row r="2992" spans="1:67" s="24" customFormat="1" ht="15" customHeight="1" x14ac:dyDescent="0.25">
      <c r="A2992" s="288" t="s">
        <v>2800</v>
      </c>
      <c r="B2992" s="241" t="str">
        <f>HYPERLINK(CONCATENATE($AT$3,BK2992,$AU$3),$AV$3)</f>
        <v>S</v>
      </c>
      <c r="C2992" s="242" t="str">
        <f>HYPERLINK(CONCATENATE($AT$4,BK2992,$AU$4,BL2992),$AV$4)</f>
        <v>A</v>
      </c>
      <c r="D2992" s="243" t="s">
        <v>5187</v>
      </c>
      <c r="E2992" s="244" t="s">
        <v>5186</v>
      </c>
      <c r="F2992" s="269"/>
      <c r="G2992" s="276">
        <v>25</v>
      </c>
      <c r="H2992" s="283">
        <v>2600</v>
      </c>
      <c r="I2992" s="246">
        <v>20</v>
      </c>
      <c r="J2992" s="246">
        <v>3</v>
      </c>
      <c r="K2992" s="247" t="s">
        <v>9430</v>
      </c>
      <c r="L2992" s="248">
        <v>32954</v>
      </c>
      <c r="M2992" s="249">
        <f>15*(LEFT(TEXT($L2992,"000000"),2)+(MID(TEXT($L2992,"000000"),3,2)/60)+(RIGHT(TEXT($L2992,"000000"),2)/3600))</f>
        <v>52.475000000000001</v>
      </c>
      <c r="N2992" s="250">
        <v>585234</v>
      </c>
      <c r="O2992" s="251">
        <f>IF($N2992&gt;0,(LEFT(TEXT($N2992,"000000"),2)+(MID(TEXT($N2992,"000000"),3,2)/60)+(RIGHT(TEXT($N2992,"000000"),2)/3600)),-(MID(TEXT($N2992,"000000"),2,2)+(MID(TEXT($N2992,"000000"),4,2)/60)+(RIGHT(TEXT($N2992,"000000"),2)/3600)))</f>
        <v>58.876111111111115</v>
      </c>
      <c r="P2992" s="252" t="s">
        <v>226</v>
      </c>
      <c r="Q2992" s="253"/>
      <c r="R2992" s="247" t="s">
        <v>9531</v>
      </c>
      <c r="S2992" s="272" t="s">
        <v>2627</v>
      </c>
      <c r="T2992" s="273"/>
      <c r="U2992" s="274"/>
      <c r="V2992" s="280"/>
      <c r="W2992" s="244"/>
      <c r="X2992" s="244"/>
      <c r="Y2992" s="362"/>
      <c r="Z2992" s="257">
        <f>altaz(J2000_Bas,$O2992,$M2992,DecLat,DecLong,1)</f>
        <v>10.225800168816788</v>
      </c>
      <c r="AA2992" s="257">
        <f>altaz((J2000_Bas+(2*0.04167)),$O2992,$M2992,DecLat,DecLong,1)</f>
        <v>23.054412485495327</v>
      </c>
      <c r="AB2992" s="257">
        <f>altaz((J2000_Bas+(4*0.04167)),$O2992,$M2992,DecLat,DecLong,1)</f>
        <v>38.240483055638727</v>
      </c>
      <c r="AC2992" s="257">
        <f>altaz((J2000_Bas+(6*0.04167)),$O2992,$M2992,DecLat,DecLong,1)</f>
        <v>52.972502409250943</v>
      </c>
      <c r="AD2992" s="258">
        <f>1+ transit((J2000_Bas-1),$O2992,$M2992,DecLat,DecLong)/360 + (GMTOffset/24) + (IF(DST="Y", 1, 0)/24)</f>
        <v>1.138663834942208</v>
      </c>
      <c r="AE2992" s="259">
        <f>DATE(2001,9,21)+(M2992/360)*365 - (360*((DecLong/360)- (GMTOffset/24) ))</f>
        <v>37213.203819444447</v>
      </c>
      <c r="AF2992" s="260">
        <f>IF(DecLat&gt;0,IF((90 - (DecLat-O2992))&gt;90, (90 - (O2992-DecLat)), (90 - (DecLat-O2992))),IF((90 + (DecLat-O2992))&gt;90, (90 + (O2992-DecLat)), (90 + (DecLat-O2992))))</f>
        <v>62.123888888888885</v>
      </c>
      <c r="AG2992" s="257">
        <f>angularseperation(MoonRA,MoonDec,$M2992,$O2992)</f>
        <v>146.13994636626538</v>
      </c>
      <c r="AH2992" s="261">
        <f ca="1">MIN(100,IF($O$5&gt;80,0+30*($AG2992/100),IF($O$5&gt;70,0+50*($AG2992/100),IF($O$5&gt;60,5+50*($AG2992/100),IF($O$5&gt;50,10+60*($AG2992/100),IF($O$5&gt;40,15+70*($AG2992/100),IF($O$5&gt;30,20+70*($AG2992/100),IF($O$5&gt;20,40+55*($AG2992/100),(80+(20-$O$5)+30*($AG2992/100))))))))))</f>
        <v>100</v>
      </c>
      <c r="AI2992" s="262"/>
      <c r="AJ2992" s="262"/>
      <c r="AK2992" s="262"/>
      <c r="AL2992" s="263"/>
      <c r="AM2992" s="264"/>
      <c r="AN2992" s="263"/>
      <c r="AO2992" s="263"/>
      <c r="AP2992" s="265"/>
      <c r="AQ2992" s="266"/>
      <c r="AR2992" s="267"/>
      <c r="AS2992" s="263"/>
      <c r="AT2992" s="263"/>
      <c r="AU2992" s="263"/>
      <c r="AV2992" s="264"/>
      <c r="AW2992" s="263"/>
      <c r="AX2992" s="263"/>
      <c r="AY2992" s="263"/>
      <c r="AZ2992" s="263"/>
      <c r="BA2992" s="263"/>
      <c r="BB2992" s="263"/>
      <c r="BC2992" s="263"/>
      <c r="BD2992" s="264">
        <v>15</v>
      </c>
      <c r="BE2992" s="263"/>
      <c r="BF2992" s="263"/>
      <c r="BG2992" s="263"/>
      <c r="BH2992" s="263"/>
      <c r="BI2992" s="263"/>
      <c r="BJ2992" s="404">
        <f>altaz(J2000_Bas,$O2992,$M2992,DecLat,DecLong,2)</f>
        <v>24.98385886962776</v>
      </c>
      <c r="BK2992" s="378" t="s">
        <v>2800</v>
      </c>
      <c r="BL2992" s="379">
        <f>IF((2*G2992)/60&lt;0.2,0.2,(2*G2992)/60)</f>
        <v>0.83333333333333337</v>
      </c>
      <c r="BM2992" s="380">
        <f>MOD((50000+AD2992-$B$3+(0/24)),1)</f>
        <v>0.35403076464717742</v>
      </c>
      <c r="BN2992" s="381"/>
      <c r="BO2992" s="382">
        <v>2982</v>
      </c>
    </row>
    <row r="2993" spans="1:67" s="24" customFormat="1" ht="15" customHeight="1" x14ac:dyDescent="0.25">
      <c r="A2993" s="288" t="s">
        <v>2801</v>
      </c>
      <c r="B2993" s="241" t="str">
        <f>HYPERLINK(CONCATENATE($AT$3,BK2993,$AU$3),$AV$3)</f>
        <v>S</v>
      </c>
      <c r="C2993" s="242" t="str">
        <f>HYPERLINK(CONCATENATE($AT$4,BK2993,$AU$4,BL2993),$AV$4)</f>
        <v>A</v>
      </c>
      <c r="D2993" s="243" t="s">
        <v>5187</v>
      </c>
      <c r="E2993" s="244" t="s">
        <v>5186</v>
      </c>
      <c r="F2993" s="269"/>
      <c r="G2993" s="273">
        <v>9</v>
      </c>
      <c r="H2993" s="283">
        <v>940</v>
      </c>
      <c r="I2993" s="279">
        <v>2.5</v>
      </c>
      <c r="J2993" s="246">
        <v>3</v>
      </c>
      <c r="K2993" s="247" t="s">
        <v>5397</v>
      </c>
      <c r="L2993" s="248">
        <v>32821</v>
      </c>
      <c r="M2993" s="249">
        <f>15*(LEFT(TEXT($L2993,"000000"),2)+(MID(TEXT($L2993,"000000"),3,2)/60)+(RIGHT(TEXT($L2993,"000000"),2)/3600))</f>
        <v>52.087500000000006</v>
      </c>
      <c r="N2993" s="250">
        <v>294700</v>
      </c>
      <c r="O2993" s="251">
        <f>IF($N2993&gt;0,(LEFT(TEXT($N2993,"000000"),2)+(MID(TEXT($N2993,"000000"),3,2)/60)+(RIGHT(TEXT($N2993,"000000"),2)/3600)),-(MID(TEXT($N2993,"000000"),2,2)+(MID(TEXT($N2993,"000000"),4,2)/60)+(RIGHT(TEXT($N2993,"000000"),2)/3600)))</f>
        <v>29.783333333333335</v>
      </c>
      <c r="P2993" s="252" t="s">
        <v>249</v>
      </c>
      <c r="Q2993" s="253"/>
      <c r="R2993" s="247" t="s">
        <v>9532</v>
      </c>
      <c r="S2993" s="272" t="s">
        <v>5396</v>
      </c>
      <c r="T2993" s="273"/>
      <c r="U2993" s="274"/>
      <c r="V2993" s="280"/>
      <c r="W2993" s="244"/>
      <c r="X2993" s="244"/>
      <c r="Y2993" s="362"/>
      <c r="Z2993" s="257">
        <f>altaz(J2000_Bas,$O2993,$M2993,DecLat,DecLong,1)</f>
        <v>-10.50608321540226</v>
      </c>
      <c r="AA2993" s="257">
        <f>altaz((J2000_Bas+(2*0.04167)),$O2993,$M2993,DecLat,DecLong,1)</f>
        <v>10.256950329208442</v>
      </c>
      <c r="AB2993" s="257">
        <f>altaz((J2000_Bas+(4*0.04167)),$O2993,$M2993,DecLat,DecLong,1)</f>
        <v>34.015586151187847</v>
      </c>
      <c r="AC2993" s="257">
        <f>altaz((J2000_Bas+(6*0.04167)),$O2993,$M2993,DecLat,DecLong,1)</f>
        <v>59.202162701546555</v>
      </c>
      <c r="AD2993" s="258">
        <f>1+ transit((J2000_Bas-1),$O2993,$M2993,DecLat,DecLong)/360 + (GMTOffset/24) + (IF(DST="Y", 1, 0)/24)</f>
        <v>1.1375874461609581</v>
      </c>
      <c r="AE2993" s="259">
        <f>DATE(2001,9,21)+(M2993/360)*365 - (360*((DecLong/360)- (GMTOffset/24) ))</f>
        <v>37212.810937499999</v>
      </c>
      <c r="AF2993" s="260">
        <f>IF(DecLat&gt;0,IF((90 - (DecLat-O2993))&gt;90, (90 - (O2993-DecLat)), (90 - (DecLat-O2993))),IF((90 + (DecLat-O2993))&gt;90, (90 + (O2993-DecLat)), (90 + (DecLat-O2993))))</f>
        <v>88.783333333333331</v>
      </c>
      <c r="AG2993" s="257">
        <f>angularseperation(MoonRA,MoonDec,$M2993,$O2993)</f>
        <v>164.69060388285234</v>
      </c>
      <c r="AH2993" s="261">
        <f ca="1">MIN(100,IF($O$5&gt;80,0+30*($AG2993/100),IF($O$5&gt;70,0+50*($AG2993/100),IF($O$5&gt;60,5+50*($AG2993/100),IF($O$5&gt;50,10+60*($AG2993/100),IF($O$5&gt;40,15+70*($AG2993/100),IF($O$5&gt;30,20+70*($AG2993/100),IF($O$5&gt;20,40+55*($AG2993/100),(80+(20-$O$5)+30*($AG2993/100))))))))))</f>
        <v>100</v>
      </c>
      <c r="AI2993" s="262"/>
      <c r="AJ2993" s="262"/>
      <c r="AK2993" s="262"/>
      <c r="AL2993" s="263"/>
      <c r="AM2993" s="264"/>
      <c r="AN2993" s="263"/>
      <c r="AO2993" s="263"/>
      <c r="AP2993" s="265"/>
      <c r="AQ2993" s="266"/>
      <c r="AR2993" s="267"/>
      <c r="AS2993" s="263"/>
      <c r="AT2993" s="263"/>
      <c r="AU2993" s="263"/>
      <c r="AV2993" s="264"/>
      <c r="AW2993" s="263"/>
      <c r="AX2993" s="263"/>
      <c r="AY2993" s="263"/>
      <c r="AZ2993" s="263"/>
      <c r="BA2993" s="263"/>
      <c r="BB2993" s="263"/>
      <c r="BC2993" s="263"/>
      <c r="BD2993" s="264">
        <v>16</v>
      </c>
      <c r="BE2993" s="263"/>
      <c r="BF2993" s="263"/>
      <c r="BG2993" s="263"/>
      <c r="BH2993" s="263"/>
      <c r="BI2993" s="263"/>
      <c r="BJ2993" s="404">
        <f>altaz(J2000_Bas,$O2993,$M2993,DecLat,DecLong,2)</f>
        <v>45.508669456945952</v>
      </c>
      <c r="BK2993" s="378" t="s">
        <v>2801</v>
      </c>
      <c r="BL2993" s="379">
        <f>IF((2*G2993)/60&lt;0.2,0.2,(2*G2993)/60)</f>
        <v>0.3</v>
      </c>
      <c r="BM2993" s="380">
        <f>MOD((50000+AD2993-$B$3+(0/24)),1)</f>
        <v>0.35295437586319167</v>
      </c>
      <c r="BN2993" s="381"/>
      <c r="BO2993" s="382">
        <v>2983</v>
      </c>
    </row>
    <row r="2994" spans="1:67" s="24" customFormat="1" ht="15" customHeight="1" x14ac:dyDescent="0.25">
      <c r="A2994" s="288" t="s">
        <v>6431</v>
      </c>
      <c r="B2994" s="241" t="str">
        <f>HYPERLINK(CONCATENATE($AT$3,BK2994,$AU$3),$AV$3)</f>
        <v>S</v>
      </c>
      <c r="C2994" s="242" t="str">
        <f>HYPERLINK(CONCATENATE($AT$4,BK2994,$AU$4,BL2994),$AV$4)</f>
        <v>A</v>
      </c>
      <c r="D2994" s="243" t="s">
        <v>5187</v>
      </c>
      <c r="E2994" s="244" t="s">
        <v>5186</v>
      </c>
      <c r="F2994" s="269"/>
      <c r="G2994" s="273">
        <v>4</v>
      </c>
      <c r="H2994" s="283">
        <v>1020</v>
      </c>
      <c r="I2994" s="279">
        <v>1.3</v>
      </c>
      <c r="J2994" s="246">
        <v>1</v>
      </c>
      <c r="K2994" s="247" t="s">
        <v>6404</v>
      </c>
      <c r="L2994" s="248">
        <v>33500</v>
      </c>
      <c r="M2994" s="249">
        <f>15*(LEFT(TEXT($L2994,"000000"),2)+(MID(TEXT($L2994,"000000"),3,2)/60)+(RIGHT(TEXT($L2994,"000000"),2)/3600))</f>
        <v>53.75</v>
      </c>
      <c r="N2994" s="286">
        <v>380100</v>
      </c>
      <c r="O2994" s="251">
        <f>IF($N2994&gt;0,(LEFT(TEXT($N2994,"000000"),2)+(MID(TEXT($N2994,"000000"),3,2)/60)+(RIGHT(TEXT($N2994,"000000"),2)/3600)),-(MID(TEXT($N2994,"000000"),2,2)+(MID(TEXT($N2994,"000000"),4,2)/60)+(RIGHT(TEXT($N2994,"000000"),2)/3600)))</f>
        <v>38.016666666666666</v>
      </c>
      <c r="P2994" s="252" t="s">
        <v>43</v>
      </c>
      <c r="Q2994" s="253"/>
      <c r="R2994" s="247" t="s">
        <v>9533</v>
      </c>
      <c r="S2994" s="272" t="s">
        <v>3293</v>
      </c>
      <c r="T2994" s="273"/>
      <c r="U2994" s="274"/>
      <c r="V2994" s="280"/>
      <c r="W2994" s="244"/>
      <c r="X2994" s="244"/>
      <c r="Y2994" s="362"/>
      <c r="Z2994" s="257">
        <f>altaz(J2000_Bas,$O2994,$M2994,DecLat,DecLong,1)</f>
        <v>-5.5204401492854256</v>
      </c>
      <c r="AA2994" s="257">
        <f>altaz((J2000_Bas+(2*0.04167)),$O2994,$M2994,DecLat,DecLong,1)</f>
        <v>13.129925249971143</v>
      </c>
      <c r="AB2994" s="257">
        <f>altaz((J2000_Bas+(4*0.04167)),$O2994,$M2994,DecLat,DecLong,1)</f>
        <v>35.084361015884127</v>
      </c>
      <c r="AC2994" s="257">
        <f>altaz((J2000_Bas+(6*0.04167)),$O2994,$M2994,DecLat,DecLong,1)</f>
        <v>58.540177464517939</v>
      </c>
      <c r="AD2994" s="258">
        <f>1+ transit((J2000_Bas-1),$O2994,$M2994,DecLat,DecLong)/360 + (GMTOffset/24) + (IF(DST="Y", 1, 0)/24)</f>
        <v>1.1422055012547079</v>
      </c>
      <c r="AE2994" s="259">
        <f>DATE(2001,9,21)+(M2994/360)*365 - (360*((DecLong/360)- (GMTOffset/24) ))</f>
        <v>37214.496527777781</v>
      </c>
      <c r="AF2994" s="260">
        <f>IF(DecLat&gt;0,IF((90 - (DecLat-O2994))&gt;90, (90 - (O2994-DecLat)), (90 - (DecLat-O2994))),IF((90 + (DecLat-O2994))&gt;90, (90 + (O2994-DecLat)), (90 + (DecLat-O2994))))</f>
        <v>82.983333333333334</v>
      </c>
      <c r="AG2994" s="257">
        <f>angularseperation(MoonRA,MoonDec,$M2994,$O2994)</f>
        <v>163.0121124696829</v>
      </c>
      <c r="AH2994" s="261">
        <f ca="1">MIN(100,IF($O$5&gt;80,0+30*($AG2994/100),IF($O$5&gt;70,0+50*($AG2994/100),IF($O$5&gt;60,5+50*($AG2994/100),IF($O$5&gt;50,10+60*($AG2994/100),IF($O$5&gt;40,15+70*($AG2994/100),IF($O$5&gt;30,20+70*($AG2994/100),IF($O$5&gt;20,40+55*($AG2994/100),(80+(20-$O$5)+30*($AG2994/100))))))))))</f>
        <v>100</v>
      </c>
      <c r="AI2994" s="262"/>
      <c r="AJ2994" s="262"/>
      <c r="AK2994" s="262"/>
      <c r="AL2994" s="263"/>
      <c r="AM2994" s="264"/>
      <c r="AN2994" s="263"/>
      <c r="AO2994" s="263"/>
      <c r="AP2994" s="265"/>
      <c r="AQ2994" s="266"/>
      <c r="AR2994" s="267"/>
      <c r="AS2994" s="263"/>
      <c r="AT2994" s="263"/>
      <c r="AU2994" s="263"/>
      <c r="AV2994" s="264"/>
      <c r="AW2994" s="263"/>
      <c r="AX2994" s="263"/>
      <c r="AY2994" s="263"/>
      <c r="AZ2994" s="263"/>
      <c r="BA2994" s="263"/>
      <c r="BB2994" s="263"/>
      <c r="BC2994" s="263"/>
      <c r="BD2994" s="264">
        <v>18</v>
      </c>
      <c r="BE2994" s="263"/>
      <c r="BF2994" s="263"/>
      <c r="BG2994" s="263"/>
      <c r="BH2994" s="263"/>
      <c r="BI2994" s="263"/>
      <c r="BJ2994" s="404">
        <f>altaz(J2000_Bas,$O2994,$M2994,DecLat,DecLong,2)</f>
        <v>38.744978741734293</v>
      </c>
      <c r="BK2994" s="378" t="s">
        <v>2933</v>
      </c>
      <c r="BL2994" s="379">
        <f>IF((2*G2994)/60&lt;0.2,0.2,(2*G2994)/60)</f>
        <v>0.2</v>
      </c>
      <c r="BM2994" s="380">
        <f>MOD((50000+AD2994-$B$3+(0/24)),1)</f>
        <v>0.35757243095576996</v>
      </c>
      <c r="BN2994" s="381"/>
      <c r="BO2994" s="382">
        <v>2984</v>
      </c>
    </row>
    <row r="2995" spans="1:67" s="24" customFormat="1" ht="15" customHeight="1" x14ac:dyDescent="0.25">
      <c r="A2995" s="288" t="s">
        <v>2802</v>
      </c>
      <c r="B2995" s="241" t="str">
        <f>HYPERLINK(CONCATENATE($AT$3,BK2995,$AU$3),$AV$3)</f>
        <v>S</v>
      </c>
      <c r="C2995" s="242" t="str">
        <f>HYPERLINK(CONCATENATE($AT$4,BK2995,$AU$4,BL2995),$AV$4)</f>
        <v>A</v>
      </c>
      <c r="D2995" s="243" t="s">
        <v>5187</v>
      </c>
      <c r="E2995" s="244" t="s">
        <v>5186</v>
      </c>
      <c r="F2995" s="269"/>
      <c r="G2995" s="273">
        <v>9</v>
      </c>
      <c r="H2995" s="283">
        <v>400</v>
      </c>
      <c r="I2995" s="279">
        <v>1</v>
      </c>
      <c r="J2995" s="246">
        <v>3</v>
      </c>
      <c r="K2995" s="247" t="s">
        <v>5398</v>
      </c>
      <c r="L2995" s="248">
        <v>34453</v>
      </c>
      <c r="M2995" s="249">
        <f>15*(LEFT(TEXT($L2995,"000000"),2)+(MID(TEXT($L2995,"000000"),3,2)/60)+(RIGHT(TEXT($L2995,"000000"),2)/3600))</f>
        <v>56.220833333333339</v>
      </c>
      <c r="N2995" s="250">
        <v>240647</v>
      </c>
      <c r="O2995" s="251">
        <f>IF($N2995&gt;0,(LEFT(TEXT($N2995,"000000"),2)+(MID(TEXT($N2995,"000000"),3,2)/60)+(RIGHT(TEXT($N2995,"000000"),2)/3600)),-(MID(TEXT($N2995,"000000"),2,2)+(MID(TEXT($N2995,"000000"),4,2)/60)+(RIGHT(TEXT($N2995,"000000"),2)/3600)))</f>
        <v>24.113055555555558</v>
      </c>
      <c r="P2995" s="252" t="s">
        <v>56</v>
      </c>
      <c r="Q2995" s="253"/>
      <c r="R2995" s="253" t="s">
        <v>3365</v>
      </c>
      <c r="S2995" s="272" t="s">
        <v>5399</v>
      </c>
      <c r="T2995" s="273"/>
      <c r="U2995" s="274"/>
      <c r="V2995" s="280"/>
      <c r="W2995" s="244"/>
      <c r="X2995" s="244"/>
      <c r="Y2995" s="362"/>
      <c r="Z2995" s="257">
        <f>altaz(J2000_Bas,$O2995,$M2995,DecLat,DecLong,1)</f>
        <v>-17.143441341134452</v>
      </c>
      <c r="AA2995" s="257">
        <f>altaz((J2000_Bas+(2*0.04167)),$O2995,$M2995,DecLat,DecLong,1)</f>
        <v>4.1724336059638825</v>
      </c>
      <c r="AB2995" s="257">
        <f>altaz((J2000_Bas+(4*0.04167)),$O2995,$M2995,DecLat,DecLong,1)</f>
        <v>28.513735220525838</v>
      </c>
      <c r="AC2995" s="257">
        <f>altaz((J2000_Bas+(6*0.04167)),$O2995,$M2995,DecLat,DecLong,1)</f>
        <v>54.101332147902717</v>
      </c>
      <c r="AD2995" s="258">
        <f>1+ transit((J2000_Bas-1),$O2995,$M2995,DecLat,DecLong)/360 + (GMTOffset/24) + (IF(DST="Y", 1, 0)/24)</f>
        <v>1.1490689264942915</v>
      </c>
      <c r="AE2995" s="259">
        <f>DATE(2001,9,21)+(M2995/360)*365 - (360*((DecLong/360)- (GMTOffset/24) ))</f>
        <v>37217.00167824074</v>
      </c>
      <c r="AF2995" s="260">
        <f>IF(DecLat&gt;0,IF((90 - (DecLat-O2995))&gt;90, (90 - (O2995-DecLat)), (90 - (DecLat-O2995))),IF((90 + (DecLat-O2995))&gt;90, (90 + (O2995-DecLat)), (90 + (DecLat-O2995))))</f>
        <v>83.113055555555562</v>
      </c>
      <c r="AG2995" s="257">
        <f>angularseperation(MoonRA,MoonDec,$M2995,$O2995)</f>
        <v>167.89376171564811</v>
      </c>
      <c r="AH2995" s="261">
        <f ca="1">MIN(100,IF($O$5&gt;80,0+30*($AG2995/100),IF($O$5&gt;70,0+50*($AG2995/100),IF($O$5&gt;60,5+50*($AG2995/100),IF($O$5&gt;50,10+60*($AG2995/100),IF($O$5&gt;40,15+70*($AG2995/100),IF($O$5&gt;30,20+70*($AG2995/100),IF($O$5&gt;20,40+55*($AG2995/100),(80+(20-$O$5)+30*($AG2995/100))))))))))</f>
        <v>100</v>
      </c>
      <c r="AI2995" s="262"/>
      <c r="AJ2995" s="262"/>
      <c r="AK2995" s="262"/>
      <c r="AL2995" s="263"/>
      <c r="AM2995" s="264"/>
      <c r="AN2995" s="263"/>
      <c r="AO2995" s="263"/>
      <c r="AP2995" s="265"/>
      <c r="AQ2995" s="266"/>
      <c r="AR2995" s="267"/>
      <c r="AS2995" s="263"/>
      <c r="AT2995" s="263"/>
      <c r="AU2995" s="263"/>
      <c r="AV2995" s="264"/>
      <c r="AW2995" s="263"/>
      <c r="AX2995" s="263"/>
      <c r="AY2995" s="263"/>
      <c r="AZ2995" s="263"/>
      <c r="BA2995" s="263"/>
      <c r="BB2995" s="263"/>
      <c r="BC2995" s="263"/>
      <c r="BD2995" s="264">
        <v>20</v>
      </c>
      <c r="BE2995" s="263"/>
      <c r="BF2995" s="263"/>
      <c r="BG2995" s="263"/>
      <c r="BH2995" s="263"/>
      <c r="BI2995" s="263"/>
      <c r="BJ2995" s="404">
        <f>altaz(J2000_Bas,$O2995,$M2995,DecLat,DecLong,2)</f>
        <v>46.833328852319646</v>
      </c>
      <c r="BK2995" s="378" t="s">
        <v>2802</v>
      </c>
      <c r="BL2995" s="379">
        <f>IF((2*G2995)/60&lt;0.2,0.2,(2*G2995)/60)</f>
        <v>0.3</v>
      </c>
      <c r="BM2995" s="380">
        <f>MOD((50000+AD2995-$B$3+(0/24)),1)</f>
        <v>0.36443585620145313</v>
      </c>
      <c r="BN2995" s="381"/>
      <c r="BO2995" s="382">
        <v>2985</v>
      </c>
    </row>
    <row r="2996" spans="1:67" s="24" customFormat="1" ht="15" customHeight="1" x14ac:dyDescent="0.25">
      <c r="A2996" s="288" t="s">
        <v>2803</v>
      </c>
      <c r="B2996" s="241" t="str">
        <f>HYPERLINK(CONCATENATE($AT$3,BK2996,$AU$3),$AV$3)</f>
        <v>S</v>
      </c>
      <c r="C2996" s="242" t="str">
        <f>HYPERLINK(CONCATENATE($AT$4,BK2996,$AU$4,BL2996),$AV$4)</f>
        <v>A</v>
      </c>
      <c r="D2996" s="243" t="s">
        <v>5187</v>
      </c>
      <c r="E2996" s="244" t="s">
        <v>5186</v>
      </c>
      <c r="F2996" s="269"/>
      <c r="G2996" s="276">
        <v>14</v>
      </c>
      <c r="H2996" s="283">
        <v>400</v>
      </c>
      <c r="I2996" s="279">
        <v>1.6</v>
      </c>
      <c r="J2996" s="246">
        <v>5</v>
      </c>
      <c r="K2996" s="247" t="s">
        <v>5400</v>
      </c>
      <c r="L2996" s="248">
        <v>34549</v>
      </c>
      <c r="M2996" s="249">
        <f>15*(LEFT(TEXT($L2996,"000000"),2)+(MID(TEXT($L2996,"000000"),3,2)/60)+(RIGHT(TEXT($L2996,"000000"),2)/3600))</f>
        <v>56.454166666666666</v>
      </c>
      <c r="N2996" s="250">
        <v>242213</v>
      </c>
      <c r="O2996" s="251">
        <f>IF($N2996&gt;0,(LEFT(TEXT($N2996,"000000"),2)+(MID(TEXT($N2996,"000000"),3,2)/60)+(RIGHT(TEXT($N2996,"000000"),2)/3600)),-(MID(TEXT($N2996,"000000"),2,2)+(MID(TEXT($N2996,"000000"),4,2)/60)+(RIGHT(TEXT($N2996,"000000"),2)/3600)))</f>
        <v>24.37027777777778</v>
      </c>
      <c r="P2996" s="252" t="s">
        <v>56</v>
      </c>
      <c r="Q2996" s="253"/>
      <c r="R2996" s="253" t="s">
        <v>3369</v>
      </c>
      <c r="S2996" s="272" t="s">
        <v>5399</v>
      </c>
      <c r="T2996" s="273"/>
      <c r="U2996" s="274"/>
      <c r="V2996" s="280"/>
      <c r="W2996" s="244"/>
      <c r="X2996" s="244"/>
      <c r="Y2996" s="362"/>
      <c r="Z2996" s="257">
        <f>altaz(J2000_Bas,$O2996,$M2996,DecLat,DecLong,1)</f>
        <v>-17.101192861678761</v>
      </c>
      <c r="AA2996" s="257">
        <f>altaz((J2000_Bas+(2*0.04167)),$O2996,$M2996,DecLat,DecLong,1)</f>
        <v>4.1297699054931343</v>
      </c>
      <c r="AB2996" s="257">
        <f>altaz((J2000_Bas+(4*0.04167)),$O2996,$M2996,DecLat,DecLong,1)</f>
        <v>28.421060917002826</v>
      </c>
      <c r="AC2996" s="257">
        <f>altaz((J2000_Bas+(6*0.04167)),$O2996,$M2996,DecLat,DecLong,1)</f>
        <v>53.989111231493133</v>
      </c>
      <c r="AD2996" s="258">
        <f>1+ transit((J2000_Bas-1),$O2996,$M2996,DecLat,DecLong)/360 + (GMTOffset/24) + (IF(DST="Y", 1, 0)/24)</f>
        <v>1.1497170745776246</v>
      </c>
      <c r="AE2996" s="259">
        <f>DATE(2001,9,21)+(M2996/360)*365 - (360*((DecLong/360)- (GMTOffset/24) ))</f>
        <v>37217.238252314812</v>
      </c>
      <c r="AF2996" s="260">
        <f>IF(DecLat&gt;0,IF((90 - (DecLat-O2996))&gt;90, (90 - (O2996-DecLat)), (90 - (DecLat-O2996))),IF((90 + (DecLat-O2996))&gt;90, (90 + (O2996-DecLat)), (90 + (DecLat-O2996))))</f>
        <v>83.370277777777773</v>
      </c>
      <c r="AG2996" s="257">
        <f>angularseperation(MoonRA,MoonDec,$M2996,$O2996)</f>
        <v>168.17073880222679</v>
      </c>
      <c r="AH2996" s="261">
        <f ca="1">MIN(100,IF($O$5&gt;80,0+30*($AG2996/100),IF($O$5&gt;70,0+50*($AG2996/100),IF($O$5&gt;60,5+50*($AG2996/100),IF($O$5&gt;50,10+60*($AG2996/100),IF($O$5&gt;40,15+70*($AG2996/100),IF($O$5&gt;30,20+70*($AG2996/100),IF($O$5&gt;20,40+55*($AG2996/100),(80+(20-$O$5)+30*($AG2996/100))))))))))</f>
        <v>100</v>
      </c>
      <c r="AI2996" s="262"/>
      <c r="AJ2996" s="262"/>
      <c r="AK2996" s="262"/>
      <c r="AL2996" s="263"/>
      <c r="AM2996" s="264"/>
      <c r="AN2996" s="263"/>
      <c r="AO2996" s="263"/>
      <c r="AP2996" s="265"/>
      <c r="AQ2996" s="266"/>
      <c r="AR2996" s="267"/>
      <c r="AS2996" s="263"/>
      <c r="AT2996" s="263"/>
      <c r="AU2996" s="263"/>
      <c r="AV2996" s="264"/>
      <c r="AW2996" s="263"/>
      <c r="AX2996" s="263"/>
      <c r="AY2996" s="263"/>
      <c r="AZ2996" s="263"/>
      <c r="BA2996" s="263"/>
      <c r="BB2996" s="263"/>
      <c r="BC2996" s="263"/>
      <c r="BD2996" s="264">
        <v>21</v>
      </c>
      <c r="BE2996" s="263"/>
      <c r="BF2996" s="263"/>
      <c r="BG2996" s="263"/>
      <c r="BH2996" s="263"/>
      <c r="BI2996" s="263"/>
      <c r="BJ2996" s="404">
        <f>altaz(J2000_Bas,$O2996,$M2996,DecLat,DecLong,2)</f>
        <v>46.486846262113332</v>
      </c>
      <c r="BK2996" s="378" t="s">
        <v>2803</v>
      </c>
      <c r="BL2996" s="379">
        <f>IF((2*G2996)/60&lt;0.2,0.2,(2*G2996)/60)</f>
        <v>0.46666666666666667</v>
      </c>
      <c r="BM2996" s="380">
        <f>MOD((50000+AD2996-$B$3+(0/24)),1)</f>
        <v>0.36508400428283494</v>
      </c>
      <c r="BN2996" s="381"/>
      <c r="BO2996" s="382">
        <v>2986</v>
      </c>
    </row>
    <row r="2997" spans="1:67" s="24" customFormat="1" ht="15" customHeight="1" x14ac:dyDescent="0.25">
      <c r="A2997" s="288" t="s">
        <v>2804</v>
      </c>
      <c r="B2997" s="241" t="str">
        <f>HYPERLINK(CONCATENATE($AT$3,BK2997,$AU$3),$AV$3)</f>
        <v>S</v>
      </c>
      <c r="C2997" s="242" t="str">
        <f>HYPERLINK(CONCATENATE($AT$4,BK2997,$AU$4,BL2997),$AV$4)</f>
        <v>A</v>
      </c>
      <c r="D2997" s="243" t="s">
        <v>5187</v>
      </c>
      <c r="E2997" s="244" t="s">
        <v>5186</v>
      </c>
      <c r="F2997" s="269"/>
      <c r="G2997" s="276">
        <v>14</v>
      </c>
      <c r="H2997" s="283">
        <v>400</v>
      </c>
      <c r="I2997" s="279">
        <v>1.6</v>
      </c>
      <c r="J2997" s="246">
        <v>5</v>
      </c>
      <c r="K2997" s="247" t="s">
        <v>5401</v>
      </c>
      <c r="L2997" s="248">
        <v>34619</v>
      </c>
      <c r="M2997" s="249">
        <f>15*(LEFT(TEXT($L2997,"000000"),2)+(MID(TEXT($L2997,"000000"),3,2)/60)+(RIGHT(TEXT($L2997,"000000"),2)/3600))</f>
        <v>56.579166666666666</v>
      </c>
      <c r="N2997" s="250">
        <v>235650</v>
      </c>
      <c r="O2997" s="251">
        <f>IF($N2997&gt;0,(LEFT(TEXT($N2997,"000000"),2)+(MID(TEXT($N2997,"000000"),3,2)/60)+(RIGHT(TEXT($N2997,"000000"),2)/3600)),-(MID(TEXT($N2997,"000000"),2,2)+(MID(TEXT($N2997,"000000"),4,2)/60)+(RIGHT(TEXT($N2997,"000000"),2)/3600)))</f>
        <v>23.947222222222223</v>
      </c>
      <c r="P2997" s="252" t="s">
        <v>56</v>
      </c>
      <c r="Q2997" s="253"/>
      <c r="R2997" s="247" t="s">
        <v>3370</v>
      </c>
      <c r="S2997" s="272" t="s">
        <v>5399</v>
      </c>
      <c r="T2997" s="273"/>
      <c r="U2997" s="274"/>
      <c r="V2997" s="280"/>
      <c r="W2997" s="244"/>
      <c r="X2997" s="244"/>
      <c r="Y2997" s="362"/>
      <c r="Z2997" s="257">
        <f>altaz(J2000_Bas,$O2997,$M2997,DecLat,DecLong,1)</f>
        <v>-17.488233358798684</v>
      </c>
      <c r="AA2997" s="257">
        <f>altaz((J2000_Bas+(2*0.04167)),$O2997,$M2997,DecLat,DecLong,1)</f>
        <v>3.8071786440202309</v>
      </c>
      <c r="AB2997" s="257">
        <f>altaz((J2000_Bas+(4*0.04167)),$O2997,$M2997,DecLat,DecLong,1)</f>
        <v>28.147441637023423</v>
      </c>
      <c r="AC2997" s="257">
        <f>altaz((J2000_Bas+(6*0.04167)),$O2997,$M2997,DecLat,DecLong,1)</f>
        <v>53.736906547205322</v>
      </c>
      <c r="AD2997" s="258">
        <f>1+ transit((J2000_Bas-1),$O2997,$M2997,DecLat,DecLong)/360 + (GMTOffset/24) + (IF(DST="Y", 1, 0)/24)</f>
        <v>1.1500642967651247</v>
      </c>
      <c r="AE2997" s="259">
        <f>DATE(2001,9,21)+(M2997/360)*365 - (360*((DecLong/360)- (GMTOffset/24) ))</f>
        <v>37217.364988425928</v>
      </c>
      <c r="AF2997" s="260">
        <f>IF(DecLat&gt;0,IF((90 - (DecLat-O2997))&gt;90, (90 - (O2997-DecLat)), (90 - (DecLat-O2997))),IF((90 + (DecLat-O2997))&gt;90, (90 + (O2997-DecLat)), (90 + (DecLat-O2997))))</f>
        <v>82.947222222222223</v>
      </c>
      <c r="AG2997" s="257">
        <f>angularseperation(MoonRA,MoonDec,$M2997,$O2997)</f>
        <v>168.15606830707628</v>
      </c>
      <c r="AH2997" s="261">
        <f ca="1">MIN(100,IF($O$5&gt;80,0+30*($AG2997/100),IF($O$5&gt;70,0+50*($AG2997/100),IF($O$5&gt;60,5+50*($AG2997/100),IF($O$5&gt;50,10+60*($AG2997/100),IF($O$5&gt;40,15+70*($AG2997/100),IF($O$5&gt;30,20+70*($AG2997/100),IF($O$5&gt;20,40+55*($AG2997/100),(80+(20-$O$5)+30*($AG2997/100))))))))))</f>
        <v>100</v>
      </c>
      <c r="AI2997" s="262"/>
      <c r="AJ2997" s="262"/>
      <c r="AK2997" s="262"/>
      <c r="AL2997" s="263"/>
      <c r="AM2997" s="264"/>
      <c r="AN2997" s="263"/>
      <c r="AO2997" s="263"/>
      <c r="AP2997" s="265"/>
      <c r="AQ2997" s="266"/>
      <c r="AR2997" s="267"/>
      <c r="AS2997" s="263"/>
      <c r="AT2997" s="263"/>
      <c r="AU2997" s="263"/>
      <c r="AV2997" s="264"/>
      <c r="AW2997" s="263"/>
      <c r="AX2997" s="263"/>
      <c r="AY2997" s="263"/>
      <c r="AZ2997" s="263"/>
      <c r="BA2997" s="263"/>
      <c r="BB2997" s="263"/>
      <c r="BC2997" s="263"/>
      <c r="BD2997" s="264">
        <v>22</v>
      </c>
      <c r="BE2997" s="263"/>
      <c r="BF2997" s="263"/>
      <c r="BG2997" s="263"/>
      <c r="BH2997" s="263"/>
      <c r="BI2997" s="263"/>
      <c r="BJ2997" s="404">
        <f>altaz(J2000_Bas,$O2997,$M2997,DecLat,DecLong,2)</f>
        <v>46.701958330032738</v>
      </c>
      <c r="BK2997" s="378" t="s">
        <v>2804</v>
      </c>
      <c r="BL2997" s="379">
        <f>IF((2*G2997)/60&lt;0.2,0.2,(2*G2997)/60)</f>
        <v>0.46666666666666667</v>
      </c>
      <c r="BM2997" s="380">
        <f>MOD((50000+AD2997-$B$3+(0/24)),1)</f>
        <v>0.36543122646980919</v>
      </c>
      <c r="BN2997" s="381"/>
      <c r="BO2997" s="382">
        <v>2987</v>
      </c>
    </row>
    <row r="2998" spans="1:67" s="24" customFormat="1" ht="15" customHeight="1" x14ac:dyDescent="0.25">
      <c r="A2998" s="288" t="s">
        <v>2805</v>
      </c>
      <c r="B2998" s="241" t="str">
        <f>HYPERLINK(CONCATENATE($AT$3,BK2998,$AU$3),$AV$3)</f>
        <v>S</v>
      </c>
      <c r="C2998" s="242" t="str">
        <f>HYPERLINK(CONCATENATE($AT$4,BK2998,$AU$4,BL2998),$AV$4)</f>
        <v>A</v>
      </c>
      <c r="D2998" s="243" t="s">
        <v>5187</v>
      </c>
      <c r="E2998" s="244" t="s">
        <v>5186</v>
      </c>
      <c r="F2998" s="269"/>
      <c r="G2998" s="276">
        <v>12</v>
      </c>
      <c r="H2998" s="283">
        <v>400</v>
      </c>
      <c r="I2998" s="279">
        <v>1.4</v>
      </c>
      <c r="J2998" s="246">
        <v>5</v>
      </c>
      <c r="K2998" s="247" t="s">
        <v>5402</v>
      </c>
      <c r="L2998" s="248">
        <v>34729</v>
      </c>
      <c r="M2998" s="249">
        <f>15*(LEFT(TEXT($L2998,"000000"),2)+(MID(TEXT($L2998,"000000"),3,2)/60)+(RIGHT(TEXT($L2998,"000000"),2)/3600))</f>
        <v>56.87083333333333</v>
      </c>
      <c r="N2998" s="250">
        <v>240632</v>
      </c>
      <c r="O2998" s="251">
        <f>IF($N2998&gt;0,(LEFT(TEXT($N2998,"000000"),2)+(MID(TEXT($N2998,"000000"),3,2)/60)+(RIGHT(TEXT($N2998,"000000"),2)/3600)),-(MID(TEXT($N2998,"000000"),2,2)+(MID(TEXT($N2998,"000000"),4,2)/60)+(RIGHT(TEXT($N2998,"000000"),2)/3600)))</f>
        <v>24.108888888888892</v>
      </c>
      <c r="P2998" s="252" t="s">
        <v>56</v>
      </c>
      <c r="Q2998" s="253"/>
      <c r="R2998" s="253" t="s">
        <v>3360</v>
      </c>
      <c r="S2998" s="272" t="s">
        <v>5399</v>
      </c>
      <c r="T2998" s="273"/>
      <c r="U2998" s="274"/>
      <c r="V2998" s="280"/>
      <c r="W2998" s="244"/>
      <c r="X2998" s="244"/>
      <c r="Y2998" s="362"/>
      <c r="Z2998" s="257">
        <f>altaz(J2000_Bas,$O2998,$M2998,DecLat,DecLong,1)</f>
        <v>-17.551356726578117</v>
      </c>
      <c r="AA2998" s="257">
        <f>altaz((J2000_Bas+(2*0.04167)),$O2998,$M2998,DecLat,DecLong,1)</f>
        <v>3.6689317145805322</v>
      </c>
      <c r="AB2998" s="257">
        <f>altaz((J2000_Bas+(4*0.04167)),$O2998,$M2998,DecLat,DecLong,1)</f>
        <v>27.968339790180337</v>
      </c>
      <c r="AC2998" s="257">
        <f>altaz((J2000_Bas+(6*0.04167)),$O2998,$M2998,DecLat,DecLong,1)</f>
        <v>53.542798100867394</v>
      </c>
      <c r="AD2998" s="258">
        <f>1+ transit((J2000_Bas-1),$O2998,$M2998,DecLat,DecLong)/360 + (GMTOffset/24) + (IF(DST="Y", 1, 0)/24)</f>
        <v>1.1508744818692913</v>
      </c>
      <c r="AE2998" s="259">
        <f>DATE(2001,9,21)+(M2998/360)*365 - (360*((DecLong/360)- (GMTOffset/24) ))</f>
        <v>37217.66070601852</v>
      </c>
      <c r="AF2998" s="260">
        <f>IF(DecLat&gt;0,IF((90 - (DecLat-O2998))&gt;90, (90 - (O2998-DecLat)), (90 - (DecLat-O2998))),IF((90 + (DecLat-O2998))&gt;90, (90 + (O2998-DecLat)), (90 + (DecLat-O2998))))</f>
        <v>83.108888888888885</v>
      </c>
      <c r="AG2998" s="257">
        <f>angularseperation(MoonRA,MoonDec,$M2998,$O2998)</f>
        <v>168.45911900091403</v>
      </c>
      <c r="AH2998" s="261">
        <f ca="1">MIN(100,IF($O$5&gt;80,0+30*($AG2998/100),IF($O$5&gt;70,0+50*($AG2998/100),IF($O$5&gt;60,5+50*($AG2998/100),IF($O$5&gt;50,10+60*($AG2998/100),IF($O$5&gt;40,15+70*($AG2998/100),IF($O$5&gt;30,20+70*($AG2998/100),IF($O$5&gt;20,40+55*($AG2998/100),(80+(20-$O$5)+30*($AG2998/100))))))))))</f>
        <v>100</v>
      </c>
      <c r="AI2998" s="262"/>
      <c r="AJ2998" s="262"/>
      <c r="AK2998" s="262"/>
      <c r="AL2998" s="263"/>
      <c r="AM2998" s="264"/>
      <c r="AN2998" s="263"/>
      <c r="AO2998" s="263"/>
      <c r="AP2998" s="265"/>
      <c r="AQ2998" s="266"/>
      <c r="AR2998" s="267"/>
      <c r="AS2998" s="263"/>
      <c r="AT2998" s="263"/>
      <c r="AU2998" s="263"/>
      <c r="AV2998" s="264"/>
      <c r="AW2998" s="263"/>
      <c r="AX2998" s="263"/>
      <c r="AY2998" s="263"/>
      <c r="AZ2998" s="263"/>
      <c r="BA2998" s="263"/>
      <c r="BB2998" s="263"/>
      <c r="BC2998" s="263"/>
      <c r="BD2998" s="264">
        <v>23</v>
      </c>
      <c r="BE2998" s="263"/>
      <c r="BF2998" s="263"/>
      <c r="BG2998" s="263"/>
      <c r="BH2998" s="263"/>
      <c r="BI2998" s="263"/>
      <c r="BJ2998" s="404">
        <f>altaz(J2000_Bas,$O2998,$M2998,DecLat,DecLong,2)</f>
        <v>46.381964791127182</v>
      </c>
      <c r="BK2998" s="378" t="s">
        <v>2805</v>
      </c>
      <c r="BL2998" s="379">
        <f>IF((2*G2998)/60&lt;0.2,0.2,(2*G2998)/60)</f>
        <v>0.4</v>
      </c>
      <c r="BM2998" s="380">
        <f>MOD((50000+AD2998-$B$3+(0/24)),1)</f>
        <v>0.36624141157517442</v>
      </c>
      <c r="BN2998" s="381"/>
      <c r="BO2998" s="382">
        <v>2988</v>
      </c>
    </row>
    <row r="2999" spans="1:67" s="24" customFormat="1" ht="15" customHeight="1" x14ac:dyDescent="0.25">
      <c r="A2999" s="288" t="s">
        <v>2806</v>
      </c>
      <c r="B2999" s="241" t="str">
        <f>HYPERLINK(CONCATENATE($AT$3,BK2999,$AU$3),$AV$3)</f>
        <v>S</v>
      </c>
      <c r="C2999" s="242" t="str">
        <f>HYPERLINK(CONCATENATE($AT$4,BK2999,$AU$4,BL2999),$AV$4)</f>
        <v>A</v>
      </c>
      <c r="D2999" s="243" t="s">
        <v>5187</v>
      </c>
      <c r="E2999" s="244" t="s">
        <v>5186</v>
      </c>
      <c r="F2999" s="269"/>
      <c r="G2999" s="273">
        <v>7</v>
      </c>
      <c r="H2999" s="283">
        <v>1500</v>
      </c>
      <c r="I2999" s="279">
        <v>3</v>
      </c>
      <c r="J2999" s="246">
        <v>3</v>
      </c>
      <c r="K2999" s="247" t="s">
        <v>9433</v>
      </c>
      <c r="L2999" s="248">
        <v>34934</v>
      </c>
      <c r="M2999" s="249">
        <f>15*(LEFT(TEXT($L2999,"000000"),2)+(MID(TEXT($L2999,"000000"),3,2)/60)+(RIGHT(TEXT($L2999,"000000"),2)/3600))</f>
        <v>57.391666666666666</v>
      </c>
      <c r="N2999" s="250">
        <v>385751</v>
      </c>
      <c r="O2999" s="251">
        <f>IF($N2999&gt;0,(LEFT(TEXT($N2999,"000000"),2)+(MID(TEXT($N2999,"000000"),3,2)/60)+(RIGHT(TEXT($N2999,"000000"),2)/3600)),-(MID(TEXT($N2999,"000000"),2,2)+(MID(TEXT($N2999,"000000"),4,2)/60)+(RIGHT(TEXT($N2999,"000000"),2)/3600)))</f>
        <v>38.964166666666671</v>
      </c>
      <c r="P2999" s="252" t="s">
        <v>43</v>
      </c>
      <c r="Q2999" s="253"/>
      <c r="R2999" s="247" t="s">
        <v>3293</v>
      </c>
      <c r="S2999" s="272" t="s">
        <v>5404</v>
      </c>
      <c r="T2999" s="273"/>
      <c r="U2999" s="274"/>
      <c r="V2999" s="280"/>
      <c r="W2999" s="244"/>
      <c r="X2999" s="244"/>
      <c r="Y2999" s="362"/>
      <c r="Z2999" s="257">
        <f>altaz(J2000_Bas,$O2999,$M2999,DecLat,DecLong,1)</f>
        <v>-6.7064651774486101</v>
      </c>
      <c r="AA2999" s="257">
        <f>altaz((J2000_Bas+(2*0.04167)),$O2999,$M2999,DecLat,DecLong,1)</f>
        <v>11.141217551236211</v>
      </c>
      <c r="AB2999" s="257">
        <f>altaz((J2000_Bas+(4*0.04167)),$O2999,$M2999,DecLat,DecLong,1)</f>
        <v>32.577364994391651</v>
      </c>
      <c r="AC2999" s="257">
        <f>altaz((J2000_Bas+(6*0.04167)),$O2999,$M2999,DecLat,DecLong,1)</f>
        <v>55.673610897966931</v>
      </c>
      <c r="AD2999" s="258">
        <f>1+ transit((J2000_Bas-1),$O2999,$M2999,DecLat,DecLong)/360 + (GMTOffset/24) + (IF(DST="Y", 1, 0)/24)</f>
        <v>1.1523212409838746</v>
      </c>
      <c r="AE2999" s="259">
        <f>DATE(2001,9,21)+(M2999/360)*365 - (360*((DecLong/360)- (GMTOffset/24) ))</f>
        <v>37218.188773148147</v>
      </c>
      <c r="AF2999" s="260">
        <f>IF(DecLat&gt;0,IF((90 - (DecLat-O2999))&gt;90, (90 - (O2999-DecLat)), (90 - (DecLat-O2999))),IF((90 + (DecLat-O2999))&gt;90, (90 + (O2999-DecLat)), (90 + (DecLat-O2999))))</f>
        <v>82.035833333333329</v>
      </c>
      <c r="AG2999" s="257">
        <f>angularseperation(MoonRA,MoonDec,$M2999,$O2999)</f>
        <v>164.54212637652458</v>
      </c>
      <c r="AH2999" s="261">
        <f ca="1">MIN(100,IF($O$5&gt;80,0+30*($AG2999/100),IF($O$5&gt;70,0+50*($AG2999/100),IF($O$5&gt;60,5+50*($AG2999/100),IF($O$5&gt;50,10+60*($AG2999/100),IF($O$5&gt;40,15+70*($AG2999/100),IF($O$5&gt;30,20+70*($AG2999/100),IF($O$5&gt;20,40+55*($AG2999/100),(80+(20-$O$5)+30*($AG2999/100))))))))))</f>
        <v>100</v>
      </c>
      <c r="AI2999" s="262"/>
      <c r="AJ2999" s="262"/>
      <c r="AK2999" s="262"/>
      <c r="AL2999" s="263"/>
      <c r="AM2999" s="264"/>
      <c r="AN2999" s="263"/>
      <c r="AO2999" s="263"/>
      <c r="AP2999" s="265"/>
      <c r="AQ2999" s="266"/>
      <c r="AR2999" s="267"/>
      <c r="AS2999" s="263"/>
      <c r="AT2999" s="263"/>
      <c r="AU2999" s="263"/>
      <c r="AV2999" s="264"/>
      <c r="AW2999" s="263"/>
      <c r="AX2999" s="263"/>
      <c r="AY2999" s="263"/>
      <c r="AZ2999" s="263">
        <v>1442</v>
      </c>
      <c r="BA2999" s="263"/>
      <c r="BB2999" s="263"/>
      <c r="BC2999" s="263"/>
      <c r="BD2999" s="264">
        <v>24</v>
      </c>
      <c r="BE2999" s="263"/>
      <c r="BF2999" s="263"/>
      <c r="BG2999" s="263"/>
      <c r="BH2999" s="263"/>
      <c r="BI2999" s="263"/>
      <c r="BJ2999" s="404">
        <f>altaz(J2000_Bas,$O2999,$M2999,DecLat,DecLong,2)</f>
        <v>35.969766181940855</v>
      </c>
      <c r="BK2999" s="378" t="s">
        <v>2806</v>
      </c>
      <c r="BL2999" s="379">
        <f>IF((2*G2999)/60&lt;0.2,0.2,(2*G2999)/60)</f>
        <v>0.23333333333333334</v>
      </c>
      <c r="BM2999" s="380">
        <f>MOD((50000+AD2999-$B$3+(0/24)),1)</f>
        <v>0.36768817068514181</v>
      </c>
      <c r="BN2999" s="381" t="s">
        <v>9232</v>
      </c>
      <c r="BO2999" s="382">
        <v>2989</v>
      </c>
    </row>
    <row r="3000" spans="1:67" s="24" customFormat="1" ht="15" customHeight="1" x14ac:dyDescent="0.25">
      <c r="A3000" s="288" t="s">
        <v>2807</v>
      </c>
      <c r="B3000" s="241" t="str">
        <f>HYPERLINK(CONCATENATE($AT$3,BK3000,$AU$3),$AV$3)</f>
        <v>S</v>
      </c>
      <c r="C3000" s="242" t="str">
        <f>HYPERLINK(CONCATENATE($AT$4,BK3000,$AU$4,BL3000),$AV$4)</f>
        <v>A</v>
      </c>
      <c r="D3000" s="243" t="s">
        <v>5187</v>
      </c>
      <c r="E3000" s="244" t="s">
        <v>5186</v>
      </c>
      <c r="F3000" s="269"/>
      <c r="G3000" s="273">
        <v>8</v>
      </c>
      <c r="H3000" s="283">
        <v>460</v>
      </c>
      <c r="I3000" s="279">
        <v>1</v>
      </c>
      <c r="J3000" s="246">
        <v>1</v>
      </c>
      <c r="K3000" s="277" t="s">
        <v>6403</v>
      </c>
      <c r="L3000" s="248">
        <v>41235</v>
      </c>
      <c r="M3000" s="249">
        <f>15*(LEFT(TEXT($L3000,"000000"),2)+(MID(TEXT($L3000,"000000"),3,2)/60)+(RIGHT(TEXT($L3000,"000000"),2)/3600))</f>
        <v>63.145833333333329</v>
      </c>
      <c r="N3000" s="286">
        <v>233502</v>
      </c>
      <c r="O3000" s="251">
        <f>IF($N3000&gt;0,(LEFT(TEXT($N3000,"000000"),2)+(MID(TEXT($N3000,"000000"),3,2)/60)+(RIGHT(TEXT($N3000,"000000"),2)/3600)),-(MID(TEXT($N3000,"000000"),2,2)+(MID(TEXT($N3000,"000000"),4,2)/60)+(RIGHT(TEXT($N3000,"000000"),2)/3600)))</f>
        <v>23.583888888888886</v>
      </c>
      <c r="P3000" s="252" t="s">
        <v>56</v>
      </c>
      <c r="Q3000" s="253"/>
      <c r="R3000" s="277" t="s">
        <v>3293</v>
      </c>
      <c r="S3000" s="272" t="s">
        <v>3293</v>
      </c>
      <c r="T3000" s="273"/>
      <c r="U3000" s="274"/>
      <c r="V3000" s="280"/>
      <c r="W3000" s="244"/>
      <c r="X3000" s="244"/>
      <c r="Y3000" s="362"/>
      <c r="Z3000" s="257">
        <f>altaz(J2000_Bas,$O3000,$M3000,DecLat,DecLong,1)</f>
        <v>-21.703682284483492</v>
      </c>
      <c r="AA3000" s="257">
        <f>altaz((J2000_Bas+(2*0.04167)),$O3000,$M3000,DecLat,DecLong,1)</f>
        <v>-1.3973523190033943</v>
      </c>
      <c r="AB3000" s="257">
        <f>altaz((J2000_Bas+(4*0.04167)),$O3000,$M3000,DecLat,DecLong,1)</f>
        <v>22.527288470444734</v>
      </c>
      <c r="AC3000" s="257">
        <f>altaz((J2000_Bas+(6*0.04167)),$O3000,$M3000,DecLat,DecLong,1)</f>
        <v>47.981420977577706</v>
      </c>
      <c r="AD3000" s="258">
        <f>1+ transit((J2000_Bas-1),$O3000,$M3000,DecLat,DecLong)/360 + (GMTOffset/24) + (IF(DST="Y", 1, 0)/24)</f>
        <v>1.1683050356817912</v>
      </c>
      <c r="AE3000" s="259">
        <f>DATE(2001,9,21)+(M3000/360)*365 - (360*((DecLong/360)- (GMTOffset/24) ))</f>
        <v>37224.022858796299</v>
      </c>
      <c r="AF3000" s="260">
        <f>IF(DecLat&gt;0,IF((90 - (DecLat-O3000))&gt;90, (90 - (O3000-DecLat)), (90 - (DecLat-O3000))),IF((90 + (DecLat-O3000))&gt;90, (90 + (O3000-DecLat)), (90 + (DecLat-O3000))))</f>
        <v>82.583888888888879</v>
      </c>
      <c r="AG3000" s="257">
        <f>angularseperation(MoonRA,MoonDec,$M3000,$O3000)</f>
        <v>173.47402002042099</v>
      </c>
      <c r="AH3000" s="261">
        <f ca="1">MIN(100,IF($O$5&gt;80,0+30*($AG3000/100),IF($O$5&gt;70,0+50*($AG3000/100),IF($O$5&gt;60,5+50*($AG3000/100),IF($O$5&gt;50,10+60*($AG3000/100),IF($O$5&gt;40,15+70*($AG3000/100),IF($O$5&gt;30,20+70*($AG3000/100),IF($O$5&gt;20,40+55*($AG3000/100),(80+(20-$O$5)+30*($AG3000/100))))))))))</f>
        <v>100</v>
      </c>
      <c r="AI3000" s="263"/>
      <c r="AJ3000" s="263"/>
      <c r="AK3000" s="263"/>
      <c r="AL3000" s="263"/>
      <c r="AM3000" s="264"/>
      <c r="AN3000" s="263"/>
      <c r="AO3000" s="263"/>
      <c r="AP3000" s="265"/>
      <c r="AQ3000" s="265"/>
      <c r="AR3000" s="285"/>
      <c r="AS3000" s="263"/>
      <c r="AT3000" s="263"/>
      <c r="AU3000" s="263"/>
      <c r="AV3000" s="264"/>
      <c r="AW3000" s="263"/>
      <c r="AX3000" s="263"/>
      <c r="AY3000" s="263"/>
      <c r="AZ3000" s="263"/>
      <c r="BA3000" s="263"/>
      <c r="BB3000" s="263"/>
      <c r="BC3000" s="263"/>
      <c r="BD3000" s="264">
        <v>25</v>
      </c>
      <c r="BE3000" s="263"/>
      <c r="BF3000" s="263"/>
      <c r="BG3000" s="263"/>
      <c r="BH3000" s="263"/>
      <c r="BI3000" s="263"/>
      <c r="BJ3000" s="404">
        <f>altaz(J2000_Bas,$O3000,$M3000,DecLat,DecLong,2)</f>
        <v>42.138087055629192</v>
      </c>
      <c r="BK3000" s="378" t="s">
        <v>2807</v>
      </c>
      <c r="BL3000" s="379">
        <f>IF((2*G3000)/60&lt;0.2,0.2,(2*G3000)/60)</f>
        <v>0.26666666666666666</v>
      </c>
      <c r="BM3000" s="380">
        <f>MOD((50000+AD3000-$B$3+(0/24)),1)</f>
        <v>0.38367196538456483</v>
      </c>
      <c r="BN3000" s="381"/>
      <c r="BO3000" s="382">
        <v>2990</v>
      </c>
    </row>
    <row r="3001" spans="1:67" s="24" customFormat="1" ht="15" customHeight="1" x14ac:dyDescent="0.25">
      <c r="A3001" s="288" t="s">
        <v>2808</v>
      </c>
      <c r="B3001" s="241" t="str">
        <f>HYPERLINK(CONCATENATE($AT$3,BK3001,$AU$3),$AV$3)</f>
        <v>S</v>
      </c>
      <c r="C3001" s="242" t="str">
        <f>HYPERLINK(CONCATENATE($AT$4,BK3001,$AU$4,BL3001),$AV$4)</f>
        <v>A</v>
      </c>
      <c r="D3001" s="243" t="s">
        <v>5187</v>
      </c>
      <c r="E3001" s="244" t="s">
        <v>5186</v>
      </c>
      <c r="F3001" s="269"/>
      <c r="G3001" s="273">
        <v>8</v>
      </c>
      <c r="H3001" s="283">
        <v>500</v>
      </c>
      <c r="I3001" s="279">
        <v>1.2</v>
      </c>
      <c r="J3001" s="246">
        <v>2</v>
      </c>
      <c r="K3001" s="247" t="s">
        <v>5405</v>
      </c>
      <c r="L3001" s="248">
        <v>41335</v>
      </c>
      <c r="M3001" s="249">
        <f>15*(LEFT(TEXT($L3001,"000000"),2)+(MID(TEXT($L3001,"000000"),3,2)/60)+(RIGHT(TEXT($L3001,"000000"),2)/3600))</f>
        <v>63.395833333333329</v>
      </c>
      <c r="N3001" s="250">
        <v>101302</v>
      </c>
      <c r="O3001" s="251">
        <f>IF($N3001&gt;0,(LEFT(TEXT($N3001,"000000"),2)+(MID(TEXT($N3001,"000000"),3,2)/60)+(RIGHT(TEXT($N3001,"000000"),2)/3600)),-(MID(TEXT($N3001,"000000"),2,2)+(MID(TEXT($N3001,"000000"),4,2)/60)+(RIGHT(TEXT($N3001,"000000"),2)/3600)))</f>
        <v>10.217222222222222</v>
      </c>
      <c r="P3001" s="252" t="s">
        <v>56</v>
      </c>
      <c r="Q3001" s="253"/>
      <c r="R3001" s="277" t="s">
        <v>9537</v>
      </c>
      <c r="S3001" s="272" t="s">
        <v>3293</v>
      </c>
      <c r="T3001" s="273"/>
      <c r="U3001" s="274"/>
      <c r="V3001" s="280"/>
      <c r="W3001" s="244"/>
      <c r="X3001" s="244"/>
      <c r="Y3001" s="362"/>
      <c r="Z3001" s="257">
        <f>altaz(J2000_Bas,$O3001,$M3001,DecLat,DecLong,1)</f>
        <v>-31.973526915924772</v>
      </c>
      <c r="AA3001" s="257">
        <f>altaz((J2000_Bas+(2*0.04167)),$O3001,$M3001,DecLat,DecLong,1)</f>
        <v>-9.1849518247434876</v>
      </c>
      <c r="AB3001" s="257">
        <f>altaz((J2000_Bas+(4*0.04167)),$O3001,$M3001,DecLat,DecLong,1)</f>
        <v>16.135157101220603</v>
      </c>
      <c r="AC3001" s="257">
        <f>altaz((J2000_Bas+(6*0.04167)),$O3001,$M3001,DecLat,DecLong,1)</f>
        <v>41.695340610803591</v>
      </c>
      <c r="AD3001" s="258">
        <f>1+ transit((J2000_Bas-1),$O3001,$M3001,DecLat,DecLong)/360 + (GMTOffset/24) + (IF(DST="Y", 1, 0)/24)</f>
        <v>1.1689994800567913</v>
      </c>
      <c r="AE3001" s="259">
        <f>DATE(2001,9,21)+(M3001/360)*365 - (360*((DecLong/360)- (GMTOffset/24) ))</f>
        <v>37224.276331018518</v>
      </c>
      <c r="AF3001" s="260">
        <f>IF(DecLat&gt;0,IF((90 - (DecLat-O3001))&gt;90, (90 - (O3001-DecLat)), (90 - (DecLat-O3001))),IF((90 + (DecLat-O3001))&gt;90, (90 + (O3001-DecLat)), (90 + (DecLat-O3001))))</f>
        <v>69.217222222222219</v>
      </c>
      <c r="AG3001" s="257">
        <f>angularseperation(MoonRA,MoonDec,$M3001,$O3001)</f>
        <v>162.25537385055424</v>
      </c>
      <c r="AH3001" s="261">
        <f ca="1">MIN(100,IF($O$5&gt;80,0+30*($AG3001/100),IF($O$5&gt;70,0+50*($AG3001/100),IF($O$5&gt;60,5+50*($AG3001/100),IF($O$5&gt;50,10+60*($AG3001/100),IF($O$5&gt;40,15+70*($AG3001/100),IF($O$5&gt;30,20+70*($AG3001/100),IF($O$5&gt;20,40+55*($AG3001/100),(80+(20-$O$5)+30*($AG3001/100))))))))))</f>
        <v>100</v>
      </c>
      <c r="AI3001" s="263"/>
      <c r="AJ3001" s="263"/>
      <c r="AK3001" s="263"/>
      <c r="AL3001" s="263"/>
      <c r="AM3001" s="264"/>
      <c r="AN3001" s="263"/>
      <c r="AO3001" s="263"/>
      <c r="AP3001" s="265"/>
      <c r="AQ3001" s="265"/>
      <c r="AR3001" s="285"/>
      <c r="AS3001" s="263"/>
      <c r="AT3001" s="263"/>
      <c r="AU3001" s="263"/>
      <c r="AV3001" s="264"/>
      <c r="AW3001" s="263"/>
      <c r="AX3001" s="263"/>
      <c r="AY3001" s="263"/>
      <c r="AZ3001" s="263"/>
      <c r="BA3001" s="263"/>
      <c r="BB3001" s="263"/>
      <c r="BC3001" s="263"/>
      <c r="BD3001" s="264">
        <v>26</v>
      </c>
      <c r="BE3001" s="263"/>
      <c r="BF3001" s="263"/>
      <c r="BG3001" s="263"/>
      <c r="BH3001" s="263"/>
      <c r="BI3001" s="263"/>
      <c r="BJ3001" s="404">
        <f>altaz(J2000_Bas,$O3001,$M3001,DecLat,DecLong,2)</f>
        <v>51.755395270483362</v>
      </c>
      <c r="BK3001" s="378" t="s">
        <v>2808</v>
      </c>
      <c r="BL3001" s="379">
        <f>IF((2*G3001)/60&lt;0.2,0.2,(2*G3001)/60)</f>
        <v>0.26666666666666666</v>
      </c>
      <c r="BM3001" s="380">
        <f>MOD((50000+AD3001-$B$3+(0/24)),1)</f>
        <v>0.38436640975851333</v>
      </c>
      <c r="BN3001" s="381"/>
      <c r="BO3001" s="382">
        <v>2991</v>
      </c>
    </row>
    <row r="3002" spans="1:67" s="24" customFormat="1" ht="15" customHeight="1" x14ac:dyDescent="0.25">
      <c r="A3002" s="288" t="s">
        <v>2809</v>
      </c>
      <c r="B3002" s="241" t="str">
        <f>HYPERLINK(CONCATENATE($AT$3,BK3002,$AU$3),$AV$3)</f>
        <v>S</v>
      </c>
      <c r="C3002" s="242" t="str">
        <f>HYPERLINK(CONCATENATE($AT$4,BK3002,$AU$4,BL3002),$AV$4)</f>
        <v>A</v>
      </c>
      <c r="D3002" s="243" t="s">
        <v>5187</v>
      </c>
      <c r="E3002" s="244" t="s">
        <v>5186</v>
      </c>
      <c r="F3002" s="269"/>
      <c r="G3002" s="273">
        <v>7</v>
      </c>
      <c r="H3002" s="283">
        <v>450</v>
      </c>
      <c r="I3002" s="279">
        <v>1</v>
      </c>
      <c r="J3002" s="246">
        <v>3</v>
      </c>
      <c r="K3002" s="247" t="s">
        <v>9434</v>
      </c>
      <c r="L3002" s="248">
        <v>42155</v>
      </c>
      <c r="M3002" s="249">
        <f>15*(LEFT(TEXT($L3002,"000000"),2)+(MID(TEXT($L3002,"000000"),3,2)/60)+(RIGHT(TEXT($L3002,"000000"),2)/3600))</f>
        <v>65.479166666666657</v>
      </c>
      <c r="N3002" s="250">
        <v>282704</v>
      </c>
      <c r="O3002" s="251">
        <f>IF($N3002&gt;0,(LEFT(TEXT($N3002,"000000"),2)+(MID(TEXT($N3002,"000000"),3,2)/60)+(RIGHT(TEXT($N3002,"000000"),2)/3600)),-(MID(TEXT($N3002,"000000"),2,2)+(MID(TEXT($N3002,"000000"),4,2)/60)+(RIGHT(TEXT($N3002,"000000"),2)/3600)))</f>
        <v>28.451111111111111</v>
      </c>
      <c r="P3002" s="252" t="s">
        <v>56</v>
      </c>
      <c r="Q3002" s="253"/>
      <c r="R3002" s="247" t="s">
        <v>9538</v>
      </c>
      <c r="S3002" s="272" t="s">
        <v>3293</v>
      </c>
      <c r="T3002" s="273"/>
      <c r="U3002" s="274"/>
      <c r="V3002" s="280"/>
      <c r="W3002" s="244"/>
      <c r="X3002" s="244"/>
      <c r="Y3002" s="362"/>
      <c r="Z3002" s="257">
        <f>altaz(J2000_Bas,$O3002,$M3002,DecLat,DecLong,1)</f>
        <v>-19.117396428183444</v>
      </c>
      <c r="AA3002" s="257">
        <f>altaz((J2000_Bas+(2*0.04167)),$O3002,$M3002,DecLat,DecLong,1)</f>
        <v>-0.27861027165399732</v>
      </c>
      <c r="AB3002" s="257">
        <f>altaz((J2000_Bas+(4*0.04167)),$O3002,$M3002,DecLat,DecLong,1)</f>
        <v>22.65606222875742</v>
      </c>
      <c r="AC3002" s="257">
        <f>altaz((J2000_Bas+(6*0.04167)),$O3002,$M3002,DecLat,DecLong,1)</f>
        <v>47.526158876574456</v>
      </c>
      <c r="AD3002" s="258">
        <f>1+ transit((J2000_Bas-1),$O3002,$M3002,DecLat,DecLong)/360 + (GMTOffset/24) + (IF(DST="Y", 1, 0)/24)</f>
        <v>1.1747865165151248</v>
      </c>
      <c r="AE3002" s="259">
        <f>DATE(2001,9,21)+(M3002/360)*365 - (360*((DecLong/360)- (GMTOffset/24) ))</f>
        <v>37226.388599537036</v>
      </c>
      <c r="AF3002" s="260">
        <f>IF(DecLat&gt;0,IF((90 - (DecLat-O3002))&gt;90, (90 - (O3002-DecLat)), (90 - (DecLat-O3002))),IF((90 + (DecLat-O3002))&gt;90, (90 + (O3002-DecLat)), (90 + (DecLat-O3002))))</f>
        <v>87.451111111111118</v>
      </c>
      <c r="AG3002" s="257">
        <f>angularseperation(MoonRA,MoonDec,$M3002,$O3002)</f>
        <v>176.40109551296158</v>
      </c>
      <c r="AH3002" s="261">
        <f ca="1">MIN(100,IF($O$5&gt;80,0+30*($AG3002/100),IF($O$5&gt;70,0+50*($AG3002/100),IF($O$5&gt;60,5+50*($AG3002/100),IF($O$5&gt;50,10+60*($AG3002/100),IF($O$5&gt;40,15+70*($AG3002/100),IF($O$5&gt;30,20+70*($AG3002/100),IF($O$5&gt;20,40+55*($AG3002/100),(80+(20-$O$5)+30*($AG3002/100))))))))))</f>
        <v>100</v>
      </c>
      <c r="AI3002" s="262"/>
      <c r="AJ3002" s="262"/>
      <c r="AK3002" s="262"/>
      <c r="AL3002" s="263"/>
      <c r="AM3002" s="264"/>
      <c r="AN3002" s="263"/>
      <c r="AO3002" s="263"/>
      <c r="AP3002" s="265"/>
      <c r="AQ3002" s="266"/>
      <c r="AR3002" s="267"/>
      <c r="AS3002" s="263"/>
      <c r="AT3002" s="263"/>
      <c r="AU3002" s="263"/>
      <c r="AV3002" s="264"/>
      <c r="AW3002" s="263"/>
      <c r="AX3002" s="263"/>
      <c r="AY3002" s="263"/>
      <c r="AZ3002" s="263">
        <v>1495</v>
      </c>
      <c r="BA3002" s="263"/>
      <c r="BB3002" s="263"/>
      <c r="BC3002" s="263"/>
      <c r="BD3002" s="264">
        <v>27</v>
      </c>
      <c r="BE3002" s="263"/>
      <c r="BF3002" s="263"/>
      <c r="BG3002" s="263"/>
      <c r="BH3002" s="263"/>
      <c r="BI3002" s="263"/>
      <c r="BJ3002" s="404">
        <f>altaz(J2000_Bas,$O3002,$M3002,DecLat,DecLong,2)</f>
        <v>37.202192030104541</v>
      </c>
      <c r="BK3002" s="378" t="s">
        <v>2809</v>
      </c>
      <c r="BL3002" s="379">
        <f>IF((2*G3002)/60&lt;0.2,0.2,(2*G3002)/60)</f>
        <v>0.23333333333333334</v>
      </c>
      <c r="BM3002" s="380">
        <f>MOD((50000+AD3002-$B$3+(0/24)),1)</f>
        <v>0.39015344622021075</v>
      </c>
      <c r="BN3002" s="381"/>
      <c r="BO3002" s="382">
        <v>2992</v>
      </c>
    </row>
    <row r="3003" spans="1:67" s="24" customFormat="1" ht="15" customHeight="1" x14ac:dyDescent="0.25">
      <c r="A3003" s="288" t="s">
        <v>2810</v>
      </c>
      <c r="B3003" s="241" t="str">
        <f>HYPERLINK(CONCATENATE($AT$3,BK3003,$AU$3),$AV$3)</f>
        <v>S</v>
      </c>
      <c r="C3003" s="242" t="str">
        <f>HYPERLINK(CONCATENATE($AT$4,BK3003,$AU$4,BL3003),$AV$4)</f>
        <v>A</v>
      </c>
      <c r="D3003" s="243" t="s">
        <v>5187</v>
      </c>
      <c r="E3003" s="244" t="s">
        <v>5186</v>
      </c>
      <c r="F3003" s="269"/>
      <c r="G3003" s="276">
        <v>12</v>
      </c>
      <c r="H3003" s="283">
        <v>510</v>
      </c>
      <c r="I3003" s="279">
        <v>2</v>
      </c>
      <c r="J3003" s="246">
        <v>2</v>
      </c>
      <c r="K3003" s="247" t="s">
        <v>9435</v>
      </c>
      <c r="L3003" s="248">
        <v>44835</v>
      </c>
      <c r="M3003" s="249">
        <f>15*(LEFT(TEXT($L3003,"000000"),2)+(MID(TEXT($L3003,"000000"),3,2)/60)+(RIGHT(TEXT($L3003,"000000"),2)/3600))</f>
        <v>72.145833333333329</v>
      </c>
      <c r="N3003" s="286">
        <v>294402</v>
      </c>
      <c r="O3003" s="251">
        <f>IF($N3003&gt;0,(LEFT(TEXT($N3003,"000000"),2)+(MID(TEXT($N3003,"000000"),3,2)/60)+(RIGHT(TEXT($N3003,"000000"),2)/3600)),-(MID(TEXT($N3003,"000000"),2,2)+(MID(TEXT($N3003,"000000"),4,2)/60)+(RIGHT(TEXT($N3003,"000000"),2)/3600)))</f>
        <v>29.733888888888888</v>
      </c>
      <c r="P3003" s="252" t="s">
        <v>56</v>
      </c>
      <c r="Q3003" s="253"/>
      <c r="R3003" s="277" t="s">
        <v>9539</v>
      </c>
      <c r="S3003" s="272" t="s">
        <v>3293</v>
      </c>
      <c r="T3003" s="273"/>
      <c r="U3003" s="274"/>
      <c r="V3003" s="280"/>
      <c r="W3003" s="244"/>
      <c r="X3003" s="244"/>
      <c r="Y3003" s="362"/>
      <c r="Z3003" s="257">
        <f>altaz(J2000_Bas,$O3003,$M3003,DecLat,DecLong,1)</f>
        <v>-21.263379984221018</v>
      </c>
      <c r="AA3003" s="257">
        <f>altaz((J2000_Bas+(2*0.04167)),$O3003,$M3003,DecLat,DecLong,1)</f>
        <v>-4.1015645297395436</v>
      </c>
      <c r="AB3003" s="257">
        <f>altaz((J2000_Bas+(4*0.04167)),$O3003,$M3003,DecLat,DecLong,1)</f>
        <v>17.920710262885098</v>
      </c>
      <c r="AC3003" s="257">
        <f>altaz((J2000_Bas+(6*0.04167)),$O3003,$M3003,DecLat,DecLong,1)</f>
        <v>42.287154226726102</v>
      </c>
      <c r="AD3003" s="258">
        <f>1+ transit((J2000_Bas-1),$O3003,$M3003,DecLat,DecLong)/360 + (GMTOffset/24) + (IF(DST="Y", 1, 0)/24)</f>
        <v>1.1933050331817914</v>
      </c>
      <c r="AE3003" s="259">
        <f>DATE(2001,9,21)+(M3003/360)*365 - (360*((DecLong/360)- (GMTOffset/24) ))</f>
        <v>37233.147858796299</v>
      </c>
      <c r="AF3003" s="260">
        <f>IF(DecLat&gt;0,IF((90 - (DecLat-O3003))&gt;90, (90 - (O3003-DecLat)), (90 - (DecLat-O3003))),IF((90 + (DecLat-O3003))&gt;90, (90 + (O3003-DecLat)), (90 + (DecLat-O3003))))</f>
        <v>88.733888888888885</v>
      </c>
      <c r="AG3003" s="257">
        <f>angularseperation(MoonRA,MoonDec,$M3003,$O3003)</f>
        <v>176.31992892613337</v>
      </c>
      <c r="AH3003" s="261">
        <f ca="1">MIN(100,IF($O$5&gt;80,0+30*($AG3003/100),IF($O$5&gt;70,0+50*($AG3003/100),IF($O$5&gt;60,5+50*($AG3003/100),IF($O$5&gt;50,10+60*($AG3003/100),IF($O$5&gt;40,15+70*($AG3003/100),IF($O$5&gt;30,20+70*($AG3003/100),IF($O$5&gt;20,40+55*($AG3003/100),(80+(20-$O$5)+30*($AG3003/100))))))))))</f>
        <v>100</v>
      </c>
      <c r="AI3003" s="263"/>
      <c r="AJ3003" s="263"/>
      <c r="AK3003" s="263"/>
      <c r="AL3003" s="263"/>
      <c r="AM3003" s="264"/>
      <c r="AN3003" s="263"/>
      <c r="AO3003" s="263"/>
      <c r="AP3003" s="265"/>
      <c r="AQ3003" s="265"/>
      <c r="AR3003" s="285"/>
      <c r="AS3003" s="263"/>
      <c r="AT3003" s="263"/>
      <c r="AU3003" s="263"/>
      <c r="AV3003" s="264"/>
      <c r="AW3003" s="263"/>
      <c r="AX3003" s="263"/>
      <c r="AY3003" s="263"/>
      <c r="AZ3003" s="263"/>
      <c r="BA3003" s="263"/>
      <c r="BB3003" s="263"/>
      <c r="BC3003" s="263"/>
      <c r="BD3003" s="264">
        <v>29</v>
      </c>
      <c r="BE3003" s="263"/>
      <c r="BF3003" s="263"/>
      <c r="BG3003" s="263"/>
      <c r="BH3003" s="263"/>
      <c r="BI3003" s="263"/>
      <c r="BJ3003" s="404">
        <f>altaz(J2000_Bas,$O3003,$M3003,DecLat,DecLong,2)</f>
        <v>31.272366311476588</v>
      </c>
      <c r="BK3003" s="378" t="s">
        <v>2810</v>
      </c>
      <c r="BL3003" s="379">
        <f>IF((2*G3003)/60&lt;0.2,0.2,(2*G3003)/60)</f>
        <v>0.4</v>
      </c>
      <c r="BM3003" s="380">
        <f>MOD((50000+AD3003-$B$3+(0/24)),1)</f>
        <v>0.4086719628830906</v>
      </c>
      <c r="BN3003" s="381"/>
      <c r="BO3003" s="382">
        <v>2993</v>
      </c>
    </row>
    <row r="3004" spans="1:67" s="24" customFormat="1" ht="15" customHeight="1" x14ac:dyDescent="0.25">
      <c r="A3004" s="288" t="s">
        <v>2811</v>
      </c>
      <c r="B3004" s="241" t="str">
        <f>HYPERLINK(CONCATENATE($AT$3,BK3004,$AU$3),$AV$3)</f>
        <v>S</v>
      </c>
      <c r="C3004" s="242" t="str">
        <f>HYPERLINK(CONCATENATE($AT$4,BK3004,$AU$4,BL3004),$AV$4)</f>
        <v>A</v>
      </c>
      <c r="D3004" s="243" t="s">
        <v>5187</v>
      </c>
      <c r="E3004" s="244" t="s">
        <v>5186</v>
      </c>
      <c r="F3004" s="269"/>
      <c r="G3004" s="276">
        <v>46</v>
      </c>
      <c r="H3004" s="283">
        <v>5000</v>
      </c>
      <c r="I3004" s="246">
        <v>70</v>
      </c>
      <c r="J3004" s="246">
        <v>2</v>
      </c>
      <c r="K3004" s="247" t="s">
        <v>9436</v>
      </c>
      <c r="L3004" s="248">
        <v>45401</v>
      </c>
      <c r="M3004" s="249">
        <f>15*(LEFT(TEXT($L3004,"000000"),2)+(MID(TEXT($L3004,"000000"),3,2)/60)+(RIGHT(TEXT($L3004,"000000"),2)/3600))</f>
        <v>73.504166666666677</v>
      </c>
      <c r="N3004" s="250">
        <v>661842</v>
      </c>
      <c r="O3004" s="251">
        <f>IF($N3004&gt;0,(LEFT(TEXT($N3004,"000000"),2)+(MID(TEXT($N3004,"000000"),3,2)/60)+(RIGHT(TEXT($N3004,"000000"),2)/3600)),-(MID(TEXT($N3004,"000000"),2,2)+(MID(TEXT($N3004,"000000"),4,2)/60)+(RIGHT(TEXT($N3004,"000000"),2)/3600)))</f>
        <v>66.311666666666667</v>
      </c>
      <c r="P3004" s="252" t="s">
        <v>226</v>
      </c>
      <c r="Q3004" s="253"/>
      <c r="R3004" s="247" t="s">
        <v>3293</v>
      </c>
      <c r="S3004" s="272" t="s">
        <v>3293</v>
      </c>
      <c r="T3004" s="273"/>
      <c r="U3004" s="274"/>
      <c r="V3004" s="280"/>
      <c r="W3004" s="244"/>
      <c r="X3004" s="244"/>
      <c r="Y3004" s="362"/>
      <c r="Z3004" s="257">
        <f>altaz(J2000_Bas,$O3004,$M3004,DecLat,DecLong,1)</f>
        <v>10.439310959745679</v>
      </c>
      <c r="AA3004" s="257">
        <f>altaz((J2000_Bas+(2*0.04167)),$O3004,$M3004,DecLat,DecLong,1)</f>
        <v>18.244370198849289</v>
      </c>
      <c r="AB3004" s="257">
        <f>altaz((J2000_Bas+(4*0.04167)),$O3004,$M3004,DecLat,DecLong,1)</f>
        <v>29.187602442831778</v>
      </c>
      <c r="AC3004" s="257">
        <f>altaz((J2000_Bas+(6*0.04167)),$O3004,$M3004,DecLat,DecLong,1)</f>
        <v>41.143928102081482</v>
      </c>
      <c r="AD3004" s="258">
        <f>1+ transit((J2000_Bas-1),$O3004,$M3004,DecLat,DecLong)/360 + (GMTOffset/24) + (IF(DST="Y", 1, 0)/24)</f>
        <v>1.1970781809526247</v>
      </c>
      <c r="AE3004" s="259">
        <f>DATE(2001,9,21)+(M3004/360)*365 - (360*((DecLong/360)- (GMTOffset/24) ))</f>
        <v>37234.525057870371</v>
      </c>
      <c r="AF3004" s="260">
        <f>IF(DecLat&gt;0,IF((90 - (DecLat-O3004))&gt;90, (90 - (O3004-DecLat)), (90 - (DecLat-O3004))),IF((90 + (DecLat-O3004))&gt;90, (90 + (O3004-DecLat)), (90 + (DecLat-O3004))))</f>
        <v>54.688333333333333</v>
      </c>
      <c r="AG3004" s="257">
        <f>angularseperation(MoonRA,MoonDec,$M3004,$O3004)</f>
        <v>140.68288155830035</v>
      </c>
      <c r="AH3004" s="261">
        <f ca="1">MIN(100,IF($O$5&gt;80,0+30*($AG3004/100),IF($O$5&gt;70,0+50*($AG3004/100),IF($O$5&gt;60,5+50*($AG3004/100),IF($O$5&gt;50,10+60*($AG3004/100),IF($O$5&gt;40,15+70*($AG3004/100),IF($O$5&gt;30,20+70*($AG3004/100),IF($O$5&gt;20,40+55*($AG3004/100),(80+(20-$O$5)+30*($AG3004/100))))))))))</f>
        <v>100</v>
      </c>
      <c r="AI3004" s="262"/>
      <c r="AJ3004" s="262"/>
      <c r="AK3004" s="262"/>
      <c r="AL3004" s="263"/>
      <c r="AM3004" s="264"/>
      <c r="AN3004" s="263"/>
      <c r="AO3004" s="263"/>
      <c r="AP3004" s="265"/>
      <c r="AQ3004" s="266"/>
      <c r="AR3004" s="267"/>
      <c r="AS3004" s="263"/>
      <c r="AT3004" s="263"/>
      <c r="AU3004" s="263"/>
      <c r="AV3004" s="264"/>
      <c r="AW3004" s="263"/>
      <c r="AX3004" s="263"/>
      <c r="AY3004" s="263"/>
      <c r="AZ3004" s="263"/>
      <c r="BA3004" s="263"/>
      <c r="BB3004" s="263"/>
      <c r="BC3004" s="263"/>
      <c r="BD3004" s="264">
        <v>30</v>
      </c>
      <c r="BE3004" s="263"/>
      <c r="BF3004" s="263"/>
      <c r="BG3004" s="263"/>
      <c r="BH3004" s="263"/>
      <c r="BI3004" s="263"/>
      <c r="BJ3004" s="404">
        <f>altaz(J2000_Bas,$O3004,$M3004,DecLat,DecLong,2)</f>
        <v>12.679093603314923</v>
      </c>
      <c r="BK3004" s="378" t="s">
        <v>2811</v>
      </c>
      <c r="BL3004" s="379">
        <f>IF((2*G3004)/60&lt;0.2,0.2,(2*G3004)/60)</f>
        <v>1.5333333333333334</v>
      </c>
      <c r="BM3004" s="380">
        <f>MOD((50000+AD3004-$B$3+(0/24)),1)</f>
        <v>0.41244511065451661</v>
      </c>
      <c r="BN3004" s="381"/>
      <c r="BO3004" s="382">
        <v>2994</v>
      </c>
    </row>
    <row r="3005" spans="1:67" s="24" customFormat="1" ht="15" customHeight="1" x14ac:dyDescent="0.25">
      <c r="A3005" s="288" t="s">
        <v>2812</v>
      </c>
      <c r="B3005" s="241" t="str">
        <f>HYPERLINK(CONCATENATE($AT$3,BK3005,$AU$3),$AV$3)</f>
        <v>S</v>
      </c>
      <c r="C3005" s="242" t="str">
        <f>HYPERLINK(CONCATENATE($AT$4,BK3005,$AU$4,BL3005),$AV$4)</f>
        <v>A</v>
      </c>
      <c r="D3005" s="243" t="s">
        <v>5187</v>
      </c>
      <c r="E3005" s="244" t="s">
        <v>5186</v>
      </c>
      <c r="F3005" s="269"/>
      <c r="G3005" s="276">
        <v>35</v>
      </c>
      <c r="H3005" s="283">
        <v>500</v>
      </c>
      <c r="I3005" s="279">
        <v>5</v>
      </c>
      <c r="J3005" s="246">
        <v>4</v>
      </c>
      <c r="K3005" s="247" t="s">
        <v>9437</v>
      </c>
      <c r="L3005" s="248">
        <v>45546</v>
      </c>
      <c r="M3005" s="249">
        <f>15*(LEFT(TEXT($L3005,"000000"),2)+(MID(TEXT($L3005,"000000"),3,2)/60)+(RIGHT(TEXT($L3005,"000000"),2)/3600))</f>
        <v>73.941666666666677</v>
      </c>
      <c r="N3005" s="250">
        <v>303338</v>
      </c>
      <c r="O3005" s="251">
        <f>IF($N3005&gt;0,(LEFT(TEXT($N3005,"000000"),2)+(MID(TEXT($N3005,"000000"),3,2)/60)+(RIGHT(TEXT($N3005,"000000"),2)/3600)),-(MID(TEXT($N3005,"000000"),2,2)+(MID(TEXT($N3005,"000000"),4,2)/60)+(RIGHT(TEXT($N3005,"000000"),2)/3600)))</f>
        <v>30.560555555555556</v>
      </c>
      <c r="P3005" s="252" t="s">
        <v>62</v>
      </c>
      <c r="Q3005" s="253" t="s">
        <v>6942</v>
      </c>
      <c r="R3005" s="247" t="s">
        <v>3293</v>
      </c>
      <c r="S3005" s="272" t="s">
        <v>3293</v>
      </c>
      <c r="T3005" s="273"/>
      <c r="U3005" s="274"/>
      <c r="V3005" s="280"/>
      <c r="W3005" s="244"/>
      <c r="X3005" s="244"/>
      <c r="Y3005" s="362"/>
      <c r="Z3005" s="257">
        <f>altaz(J2000_Bas,$O3005,$M3005,DecLat,DecLong,1)</f>
        <v>-21.324983427909807</v>
      </c>
      <c r="AA3005" s="257">
        <f>altaz((J2000_Bas+(2*0.04167)),$O3005,$M3005,DecLat,DecLong,1)</f>
        <v>-4.7604768278047613</v>
      </c>
      <c r="AB3005" s="257">
        <f>altaz((J2000_Bas+(4*0.04167)),$O3005,$M3005,DecLat,DecLong,1)</f>
        <v>16.89335956762406</v>
      </c>
      <c r="AC3005" s="257">
        <f>altaz((J2000_Bas+(6*0.04167)),$O3005,$M3005,DecLat,DecLong,1)</f>
        <v>41.02853924724036</v>
      </c>
      <c r="AD3005" s="258">
        <f>1+ transit((J2000_Bas-1),$O3005,$M3005,DecLat,DecLong)/360 + (GMTOffset/24) + (IF(DST="Y", 1, 0)/24)</f>
        <v>1.1982934586088747</v>
      </c>
      <c r="AE3005" s="259">
        <f>DATE(2001,9,21)+(M3005/360)*365 - (360*((DecLong/360)- (GMTOffset/24) ))</f>
        <v>37234.968634259261</v>
      </c>
      <c r="AF3005" s="260">
        <f>IF(DecLat&gt;0,IF((90 - (DecLat-O3005))&gt;90, (90 - (O3005-DecLat)), (90 - (DecLat-O3005))),IF((90 + (DecLat-O3005))&gt;90, (90 + (O3005-DecLat)), (90 + (DecLat-O3005))))</f>
        <v>89.560555555555553</v>
      </c>
      <c r="AG3005" s="257">
        <f>angularseperation(MoonRA,MoonDec,$M3005,$O3005)</f>
        <v>174.61225301452541</v>
      </c>
      <c r="AH3005" s="261">
        <f ca="1">MIN(100,IF($O$5&gt;80,0+30*($AG3005/100),IF($O$5&gt;70,0+50*($AG3005/100),IF($O$5&gt;60,5+50*($AG3005/100),IF($O$5&gt;50,10+60*($AG3005/100),IF($O$5&gt;40,15+70*($AG3005/100),IF($O$5&gt;30,20+70*($AG3005/100),IF($O$5&gt;20,40+55*($AG3005/100),(80+(20-$O$5)+30*($AG3005/100))))))))))</f>
        <v>100</v>
      </c>
      <c r="AI3005" s="262"/>
      <c r="AJ3005" s="262"/>
      <c r="AK3005" s="262"/>
      <c r="AL3005" s="263"/>
      <c r="AM3005" s="264"/>
      <c r="AN3005" s="263"/>
      <c r="AO3005" s="263"/>
      <c r="AP3005" s="265"/>
      <c r="AQ3005" s="266"/>
      <c r="AR3005" s="267"/>
      <c r="AS3005" s="263"/>
      <c r="AT3005" s="263"/>
      <c r="AU3005" s="263"/>
      <c r="AV3005" s="264"/>
      <c r="AW3005" s="263"/>
      <c r="AX3005" s="263"/>
      <c r="AY3005" s="263"/>
      <c r="AZ3005" s="263"/>
      <c r="BA3005" s="263"/>
      <c r="BB3005" s="263"/>
      <c r="BC3005" s="263"/>
      <c r="BD3005" s="264">
        <v>31</v>
      </c>
      <c r="BE3005" s="263"/>
      <c r="BF3005" s="263"/>
      <c r="BG3005" s="263">
        <v>25</v>
      </c>
      <c r="BH3005" s="263"/>
      <c r="BI3005" s="263"/>
      <c r="BJ3005" s="404">
        <f>altaz(J2000_Bas,$O3005,$M3005,DecLat,DecLong,2)</f>
        <v>29.385397770760303</v>
      </c>
      <c r="BK3005" s="378" t="s">
        <v>2812</v>
      </c>
      <c r="BL3005" s="379">
        <f>IF((2*G3005)/60&lt;0.2,0.2,(2*G3005)/60)</f>
        <v>1.1666666666666667</v>
      </c>
      <c r="BM3005" s="380">
        <f>MOD((50000+AD3005-$B$3+(0/24)),1)</f>
        <v>0.41366038831620244</v>
      </c>
      <c r="BN3005" s="381"/>
      <c r="BO3005" s="382">
        <v>2995</v>
      </c>
    </row>
    <row r="3006" spans="1:67" s="24" customFormat="1" ht="15" customHeight="1" x14ac:dyDescent="0.25">
      <c r="A3006" s="288" t="s">
        <v>2813</v>
      </c>
      <c r="B3006" s="241" t="str">
        <f>HYPERLINK(CONCATENATE($AT$3,BK3006,$AU$3),$AV$3)</f>
        <v>S</v>
      </c>
      <c r="C3006" s="242" t="str">
        <f>HYPERLINK(CONCATENATE($AT$4,BK3006,$AU$4,BL3006),$AV$4)</f>
        <v>A</v>
      </c>
      <c r="D3006" s="243" t="s">
        <v>5187</v>
      </c>
      <c r="E3006" s="244" t="s">
        <v>5186</v>
      </c>
      <c r="F3006" s="269"/>
      <c r="G3006" s="273">
        <v>1</v>
      </c>
      <c r="H3006" s="283">
        <v>1840</v>
      </c>
      <c r="I3006" s="309">
        <v>0.6</v>
      </c>
      <c r="J3006" s="246">
        <v>1</v>
      </c>
      <c r="K3006" s="247" t="s">
        <v>6405</v>
      </c>
      <c r="L3006" s="248">
        <v>50222</v>
      </c>
      <c r="M3006" s="249">
        <f>15*(LEFT(TEXT($L3006,"000000"),2)+(MID(TEXT($L3006,"000000"),3,2)/60)+(RIGHT(TEXT($L3006,"000000"),2)/3600))</f>
        <v>75.591666666666669</v>
      </c>
      <c r="N3006" s="286">
        <v>441610</v>
      </c>
      <c r="O3006" s="251">
        <f>IF($N3006&gt;0,(LEFT(TEXT($N3006,"000000"),2)+(MID(TEXT($N3006,"000000"),3,2)/60)+(RIGHT(TEXT($N3006,"000000"),2)/3600)),-(MID(TEXT($N3006,"000000"),2,2)+(MID(TEXT($N3006,"000000"),4,2)/60)+(RIGHT(TEXT($N3006,"000000"),2)/3600)))</f>
        <v>44.269444444444446</v>
      </c>
      <c r="P3006" s="252" t="s">
        <v>56</v>
      </c>
      <c r="Q3006" s="253"/>
      <c r="R3006" s="277" t="s">
        <v>3293</v>
      </c>
      <c r="S3006" s="272" t="s">
        <v>3293</v>
      </c>
      <c r="T3006" s="273"/>
      <c r="U3006" s="274"/>
      <c r="V3006" s="280"/>
      <c r="W3006" s="244"/>
      <c r="X3006" s="244"/>
      <c r="Y3006" s="362"/>
      <c r="Z3006" s="257">
        <f>altaz(J2000_Bas,$O3006,$M3006,DecLat,DecLong,1)</f>
        <v>-9.7777559784907719</v>
      </c>
      <c r="AA3006" s="257">
        <f>altaz((J2000_Bas+(2*0.04167)),$O3006,$M3006,DecLat,DecLong,1)</f>
        <v>3.2807411823931787</v>
      </c>
      <c r="AB3006" s="257">
        <f>altaz((J2000_Bas+(4*0.04167)),$O3006,$M3006,DecLat,DecLong,1)</f>
        <v>21.452364838361223</v>
      </c>
      <c r="AC3006" s="257">
        <f>altaz((J2000_Bas+(6*0.04167)),$O3006,$M3006,DecLat,DecLong,1)</f>
        <v>42.2643769512541</v>
      </c>
      <c r="AD3006" s="258">
        <f>1+ transit((J2000_Bas-1),$O3006,$M3006,DecLat,DecLong)/360 + (GMTOffset/24) + (IF(DST="Y", 1, 0)/24)</f>
        <v>1.2028767914838747</v>
      </c>
      <c r="AE3006" s="259">
        <f>DATE(2001,9,21)+(M3006/360)*365 - (360*((DecLong/360)- (GMTOffset/24) ))</f>
        <v>37236.641550925924</v>
      </c>
      <c r="AF3006" s="260">
        <f>IF(DecLat&gt;0,IF((90 - (DecLat-O3006))&gt;90, (90 - (O3006-DecLat)), (90 - (DecLat-O3006))),IF((90 + (DecLat-O3006))&gt;90, (90 + (O3006-DecLat)), (90 + (DecLat-O3006))))</f>
        <v>76.730555555555554</v>
      </c>
      <c r="AG3006" s="257">
        <f>angularseperation(MoonRA,MoonDec,$M3006,$O3006)</f>
        <v>162.07176137569067</v>
      </c>
      <c r="AH3006" s="261">
        <f ca="1">MIN(100,IF($O$5&gt;80,0+30*($AG3006/100),IF($O$5&gt;70,0+50*($AG3006/100),IF($O$5&gt;60,5+50*($AG3006/100),IF($O$5&gt;50,10+60*($AG3006/100),IF($O$5&gt;40,15+70*($AG3006/100),IF($O$5&gt;30,20+70*($AG3006/100),IF($O$5&gt;20,40+55*($AG3006/100),(80+(20-$O$5)+30*($AG3006/100))))))))))</f>
        <v>100</v>
      </c>
      <c r="AI3006" s="263"/>
      <c r="AJ3006" s="263"/>
      <c r="AK3006" s="263"/>
      <c r="AL3006" s="263"/>
      <c r="AM3006" s="264"/>
      <c r="AN3006" s="263"/>
      <c r="AO3006" s="263"/>
      <c r="AP3006" s="265"/>
      <c r="AQ3006" s="265"/>
      <c r="AR3006" s="285"/>
      <c r="AS3006" s="263"/>
      <c r="AT3006" s="263"/>
      <c r="AU3006" s="263"/>
      <c r="AV3006" s="264"/>
      <c r="AW3006" s="263"/>
      <c r="AX3006" s="263"/>
      <c r="AY3006" s="263"/>
      <c r="AZ3006" s="263"/>
      <c r="BA3006" s="263"/>
      <c r="BB3006" s="263"/>
      <c r="BC3006" s="263"/>
      <c r="BD3006" s="264">
        <v>32</v>
      </c>
      <c r="BE3006" s="263"/>
      <c r="BF3006" s="263"/>
      <c r="BG3006" s="263"/>
      <c r="BH3006" s="263"/>
      <c r="BI3006" s="263"/>
      <c r="BJ3006" s="404">
        <f>altaz(J2000_Bas,$O3006,$M3006,DecLat,DecLong,2)</f>
        <v>21.580873700577055</v>
      </c>
      <c r="BK3006" s="378" t="s">
        <v>2813</v>
      </c>
      <c r="BL3006" s="379">
        <f>IF((2*G3006)/60&lt;0.2,0.2,(2*G3006)/60)</f>
        <v>0.2</v>
      </c>
      <c r="BM3006" s="380">
        <f>MOD((50000+AD3006-$B$3+(0/24)),1)</f>
        <v>0.41824372118571773</v>
      </c>
      <c r="BN3006" s="381"/>
      <c r="BO3006" s="382">
        <v>2996</v>
      </c>
    </row>
    <row r="3007" spans="1:67" s="24" customFormat="1" ht="15" customHeight="1" x14ac:dyDescent="0.25">
      <c r="A3007" s="288" t="s">
        <v>2814</v>
      </c>
      <c r="B3007" s="241" t="str">
        <f>HYPERLINK(CONCATENATE($AT$3,BK3007,$AU$3),$AV$3)</f>
        <v>S</v>
      </c>
      <c r="C3007" s="242" t="str">
        <f>HYPERLINK(CONCATENATE($AT$4,BK3007,$AU$4,BL3007),$AV$4)</f>
        <v>A</v>
      </c>
      <c r="D3007" s="243" t="s">
        <v>5187</v>
      </c>
      <c r="E3007" s="244" t="s">
        <v>5186</v>
      </c>
      <c r="F3007" s="269"/>
      <c r="G3007" s="273">
        <v>4</v>
      </c>
      <c r="H3007" s="283">
        <v>1200</v>
      </c>
      <c r="I3007" s="279">
        <v>1.3</v>
      </c>
      <c r="J3007" s="246">
        <v>2</v>
      </c>
      <c r="K3007" s="247" t="s">
        <v>5406</v>
      </c>
      <c r="L3007" s="248">
        <v>51459</v>
      </c>
      <c r="M3007" s="249">
        <f>15*(LEFT(TEXT($L3007,"000000"),2)+(MID(TEXT($L3007,"000000"),3,2)/60)+(RIGHT(TEXT($L3007,"000000"),2)/3600))</f>
        <v>78.745833333333337</v>
      </c>
      <c r="N3007" s="250">
        <v>130112</v>
      </c>
      <c r="O3007" s="251">
        <f>IF($N3007&gt;0,(LEFT(TEXT($N3007,"000000"),2)+(MID(TEXT($N3007,"000000"),3,2)/60)+(RIGHT(TEXT($N3007,"000000"),2)/3600)),-(MID(TEXT($N3007,"000000"),2,2)+(MID(TEXT($N3007,"000000"),4,2)/60)+(RIGHT(TEXT($N3007,"000000"),2)/3600)))</f>
        <v>13.020000000000001</v>
      </c>
      <c r="P3007" s="252" t="s">
        <v>41</v>
      </c>
      <c r="Q3007" s="253"/>
      <c r="R3007" s="247" t="s">
        <v>9540</v>
      </c>
      <c r="S3007" s="272" t="s">
        <v>3293</v>
      </c>
      <c r="T3007" s="273"/>
      <c r="U3007" s="274"/>
      <c r="V3007" s="280"/>
      <c r="W3007" s="244"/>
      <c r="X3007" s="244"/>
      <c r="Y3007" s="362"/>
      <c r="Z3007" s="257">
        <f>altaz(J2000_Bas,$O3007,$M3007,DecLat,DecLong,1)</f>
        <v>-38.782572003548772</v>
      </c>
      <c r="AA3007" s="257">
        <f>altaz((J2000_Bas+(2*0.04167)),$O3007,$M3007,DecLat,DecLong,1)</f>
        <v>-19.550079916269773</v>
      </c>
      <c r="AB3007" s="257">
        <f>altaz((J2000_Bas+(4*0.04167)),$O3007,$M3007,DecLat,DecLong,1)</f>
        <v>4.5038654786625658</v>
      </c>
      <c r="AC3007" s="257">
        <f>altaz((J2000_Bas+(6*0.04167)),$O3007,$M3007,DecLat,DecLong,1)</f>
        <v>30.118416376931815</v>
      </c>
      <c r="AD3007" s="258">
        <f>1+ transit((J2000_Bas-1),$O3007,$M3007,DecLat,DecLong)/360 + (GMTOffset/24) + (IF(DST="Y", 1, 0)/24)</f>
        <v>1.2116383646817914</v>
      </c>
      <c r="AE3007" s="259">
        <f>DATE(2001,9,21)+(M3007/360)*365 - (360*((DecLong/360)- (GMTOffset/24) ))</f>
        <v>37239.839525462965</v>
      </c>
      <c r="AF3007" s="260">
        <f>IF(DecLat&gt;0,IF((90 - (DecLat-O3007))&gt;90, (90 - (O3007-DecLat)), (90 - (DecLat-O3007))),IF((90 + (DecLat-O3007))&gt;90, (90 + (O3007-DecLat)), (90 + (DecLat-O3007))))</f>
        <v>72.02000000000001</v>
      </c>
      <c r="AG3007" s="257">
        <f>angularseperation(MoonRA,MoonDec,$M3007,$O3007)</f>
        <v>163.35904958531654</v>
      </c>
      <c r="AH3007" s="261">
        <f ca="1">MIN(100,IF($O$5&gt;80,0+30*($AG3007/100),IF($O$5&gt;70,0+50*($AG3007/100),IF($O$5&gt;60,5+50*($AG3007/100),IF($O$5&gt;50,10+60*($AG3007/100),IF($O$5&gt;40,15+70*($AG3007/100),IF($O$5&gt;30,20+70*($AG3007/100),IF($O$5&gt;20,40+55*($AG3007/100),(80+(20-$O$5)+30*($AG3007/100))))))))))</f>
        <v>100</v>
      </c>
      <c r="AI3007" s="262"/>
      <c r="AJ3007" s="262"/>
      <c r="AK3007" s="262"/>
      <c r="AL3007" s="263"/>
      <c r="AM3007" s="264"/>
      <c r="AN3007" s="263"/>
      <c r="AO3007" s="263"/>
      <c r="AP3007" s="265"/>
      <c r="AQ3007" s="266"/>
      <c r="AR3007" s="267"/>
      <c r="AS3007" s="263"/>
      <c r="AT3007" s="263"/>
      <c r="AU3007" s="263"/>
      <c r="AV3007" s="264"/>
      <c r="AW3007" s="263"/>
      <c r="AX3007" s="263"/>
      <c r="AY3007" s="263"/>
      <c r="AZ3007" s="263"/>
      <c r="BA3007" s="263"/>
      <c r="BB3007" s="263"/>
      <c r="BC3007" s="263"/>
      <c r="BD3007" s="264">
        <v>35</v>
      </c>
      <c r="BE3007" s="263"/>
      <c r="BF3007" s="263"/>
      <c r="BG3007" s="263"/>
      <c r="BH3007" s="263"/>
      <c r="BI3007" s="263"/>
      <c r="BJ3007" s="404">
        <f>altaz(J2000_Bas,$O3007,$M3007,DecLat,DecLong,2)</f>
        <v>34.918044333558804</v>
      </c>
      <c r="BK3007" s="378" t="s">
        <v>2814</v>
      </c>
      <c r="BL3007" s="379">
        <f>IF((2*G3007)/60&lt;0.2,0.2,(2*G3007)/60)</f>
        <v>0.2</v>
      </c>
      <c r="BM3007" s="380">
        <f>MOD((50000+AD3007-$B$3+(0/24)),1)</f>
        <v>0.42700529438297963</v>
      </c>
      <c r="BN3007" s="381"/>
      <c r="BO3007" s="382">
        <v>2997</v>
      </c>
    </row>
    <row r="3008" spans="1:67" s="24" customFormat="1" ht="15" customHeight="1" x14ac:dyDescent="0.25">
      <c r="A3008" s="288" t="s">
        <v>2815</v>
      </c>
      <c r="B3008" s="241" t="str">
        <f>HYPERLINK(CONCATENATE($AT$3,BK3008,$AU$3),$AV$3)</f>
        <v>S</v>
      </c>
      <c r="C3008" s="242" t="str">
        <f>HYPERLINK(CONCATENATE($AT$4,BK3008,$AU$4,BL3008),$AV$4)</f>
        <v>A</v>
      </c>
      <c r="D3008" s="243" t="s">
        <v>5187</v>
      </c>
      <c r="E3008" s="244" t="s">
        <v>5186</v>
      </c>
      <c r="F3008" s="269"/>
      <c r="G3008" s="276">
        <v>60</v>
      </c>
      <c r="H3008" s="283">
        <v>860</v>
      </c>
      <c r="I3008" s="246">
        <v>16</v>
      </c>
      <c r="J3008" s="246">
        <v>4</v>
      </c>
      <c r="K3008" s="247" t="s">
        <v>9439</v>
      </c>
      <c r="L3008" s="248">
        <v>51432</v>
      </c>
      <c r="M3008" s="249">
        <f>15*(LEFT(TEXT($L3008,"000000"),2)+(MID(TEXT($L3008,"000000"),3,2)/60)+(RIGHT(TEXT($L3008,"000000"),2)/3600))</f>
        <v>78.633333333333326</v>
      </c>
      <c r="N3008" s="286">
        <v>-81202</v>
      </c>
      <c r="O3008" s="251">
        <f>IF($N3008&gt;0,(LEFT(TEXT($N3008,"000000"),2)+(MID(TEXT($N3008,"000000"),3,2)/60)+(RIGHT(TEXT($N3008,"000000"),2)/3600)),-(MID(TEXT($N3008,"000000"),2,2)+(MID(TEXT($N3008,"000000"),4,2)/60)+(RIGHT(TEXT($N3008,"000000"),2)/3600)))</f>
        <v>-8.2005555555555549</v>
      </c>
      <c r="P3008" s="252" t="s">
        <v>41</v>
      </c>
      <c r="Q3008" s="253"/>
      <c r="R3008" s="277" t="s">
        <v>1194</v>
      </c>
      <c r="S3008" s="272" t="s">
        <v>3293</v>
      </c>
      <c r="T3008" s="273"/>
      <c r="U3008" s="274"/>
      <c r="V3008" s="280"/>
      <c r="W3008" s="244"/>
      <c r="X3008" s="244"/>
      <c r="Y3008" s="362"/>
      <c r="Z3008" s="257">
        <f>altaz(J2000_Bas,$O3008,$M3008,DecLat,DecLong,1)</f>
        <v>-55.781426668253673</v>
      </c>
      <c r="AA3008" s="257">
        <f>altaz((J2000_Bas+(2*0.04167)),$O3008,$M3008,DecLat,DecLong,1)</f>
        <v>-31.997822083756144</v>
      </c>
      <c r="AB3008" s="257">
        <f>altaz((J2000_Bas+(4*0.04167)),$O3008,$M3008,DecLat,DecLong,1)</f>
        <v>-6.3097402136013754</v>
      </c>
      <c r="AC3008" s="257">
        <f>altaz((J2000_Bas+(6*0.04167)),$O3008,$M3008,DecLat,DecLong,1)</f>
        <v>18.65676277187934</v>
      </c>
      <c r="AD3008" s="258">
        <f>1+ transit((J2000_Bas-1),$O3008,$M3008,DecLat,DecLong)/360 + (GMTOffset/24) + (IF(DST="Y", 1, 0)/24)</f>
        <v>1.2113258647130414</v>
      </c>
      <c r="AE3008" s="259">
        <f>DATE(2001,9,21)+(M3008/360)*365 - (360*((DecLong/360)- (GMTOffset/24) ))</f>
        <v>37239.725462962961</v>
      </c>
      <c r="AF3008" s="260">
        <f>IF(DecLat&gt;0,IF((90 - (DecLat-O3008))&gt;90, (90 - (O3008-DecLat)), (90 - (DecLat-O3008))),IF((90 + (DecLat-O3008))&gt;90, (90 + (O3008-DecLat)), (90 + (DecLat-O3008))))</f>
        <v>50.799444444444447</v>
      </c>
      <c r="AG3008" s="257">
        <f>angularseperation(MoonRA,MoonDec,$M3008,$O3008)</f>
        <v>143.56014706648426</v>
      </c>
      <c r="AH3008" s="261">
        <f ca="1">MIN(100,IF($O$5&gt;80,0+30*($AG3008/100),IF($O$5&gt;70,0+50*($AG3008/100),IF($O$5&gt;60,5+50*($AG3008/100),IF($O$5&gt;50,10+60*($AG3008/100),IF($O$5&gt;40,15+70*($AG3008/100),IF($O$5&gt;30,20+70*($AG3008/100),IF($O$5&gt;20,40+55*($AG3008/100),(80+(20-$O$5)+30*($AG3008/100))))))))))</f>
        <v>100</v>
      </c>
      <c r="AI3008" s="263"/>
      <c r="AJ3008" s="263"/>
      <c r="AK3008" s="263"/>
      <c r="AL3008" s="263"/>
      <c r="AM3008" s="264"/>
      <c r="AN3008" s="263"/>
      <c r="AO3008" s="263"/>
      <c r="AP3008" s="265"/>
      <c r="AQ3008" s="265"/>
      <c r="AR3008" s="285"/>
      <c r="AS3008" s="263"/>
      <c r="AT3008" s="263"/>
      <c r="AU3008" s="263"/>
      <c r="AV3008" s="264"/>
      <c r="AW3008" s="263"/>
      <c r="AX3008" s="263"/>
      <c r="AY3008" s="263"/>
      <c r="AZ3008" s="263"/>
      <c r="BA3008" s="263"/>
      <c r="BB3008" s="263"/>
      <c r="BC3008" s="263"/>
      <c r="BD3008" s="264">
        <v>36</v>
      </c>
      <c r="BE3008" s="263"/>
      <c r="BF3008" s="263"/>
      <c r="BG3008" s="263"/>
      <c r="BH3008" s="263"/>
      <c r="BI3008" s="263"/>
      <c r="BJ3008" s="404">
        <f>altaz(J2000_Bas,$O3008,$M3008,DecLat,DecLong,2)</f>
        <v>54.012357380106529</v>
      </c>
      <c r="BK3008" s="378" t="s">
        <v>2815</v>
      </c>
      <c r="BL3008" s="379">
        <f>IF((2*G3008)/60&lt;0.2,0.2,(2*G3008)/60)</f>
        <v>2</v>
      </c>
      <c r="BM3008" s="380">
        <f>MOD((50000+AD3008-$B$3+(0/24)),1)</f>
        <v>0.42669279441906838</v>
      </c>
      <c r="BN3008" s="381"/>
      <c r="BO3008" s="382">
        <v>2998</v>
      </c>
    </row>
    <row r="3009" spans="1:67" s="24" customFormat="1" ht="15" customHeight="1" x14ac:dyDescent="0.25">
      <c r="A3009" s="288" t="s">
        <v>2816</v>
      </c>
      <c r="B3009" s="241" t="str">
        <f>HYPERLINK(CONCATENATE($AT$3,BK3009,$AU$3),$AV$3)</f>
        <v>S</v>
      </c>
      <c r="C3009" s="242" t="str">
        <f>HYPERLINK(CONCATENATE($AT$4,BK3009,$AU$4,BL3009),$AV$4)</f>
        <v>A</v>
      </c>
      <c r="D3009" s="243" t="s">
        <v>5187</v>
      </c>
      <c r="E3009" s="244" t="s">
        <v>5186</v>
      </c>
      <c r="F3009" s="269"/>
      <c r="G3009" s="276">
        <v>15.4</v>
      </c>
      <c r="H3009" s="283">
        <v>1100</v>
      </c>
      <c r="I3009" s="279">
        <v>5</v>
      </c>
      <c r="J3009" s="246">
        <v>2</v>
      </c>
      <c r="K3009" s="247" t="s">
        <v>5407</v>
      </c>
      <c r="L3009" s="248">
        <v>51806</v>
      </c>
      <c r="M3009" s="249">
        <f>15*(LEFT(TEXT($L3009,"000000"),2)+(MID(TEXT($L3009,"000000"),3,2)/60)+(RIGHT(TEXT($L3009,"000000"),2)/3600))</f>
        <v>79.525000000000006</v>
      </c>
      <c r="N3009" s="250">
        <v>132457</v>
      </c>
      <c r="O3009" s="251">
        <f>IF($N3009&gt;0,(LEFT(TEXT($N3009,"000000"),2)+(MID(TEXT($N3009,"000000"),3,2)/60)+(RIGHT(TEXT($N3009,"000000"),2)/3600)),-(MID(TEXT($N3009,"000000"),2,2)+(MID(TEXT($N3009,"000000"),4,2)/60)+(RIGHT(TEXT($N3009,"000000"),2)/3600)))</f>
        <v>13.415833333333333</v>
      </c>
      <c r="P3009" s="252" t="s">
        <v>41</v>
      </c>
      <c r="Q3009" s="253"/>
      <c r="R3009" s="247" t="s">
        <v>9541</v>
      </c>
      <c r="S3009" s="272" t="s">
        <v>3293</v>
      </c>
      <c r="T3009" s="273"/>
      <c r="U3009" s="274"/>
      <c r="V3009" s="280"/>
      <c r="W3009" s="244"/>
      <c r="X3009" s="244"/>
      <c r="Y3009" s="362"/>
      <c r="Z3009" s="257">
        <f>altaz(J2000_Bas,$O3009,$M3009,DecLat,DecLong,1)</f>
        <v>-38.81613336982263</v>
      </c>
      <c r="AA3009" s="257">
        <f>altaz((J2000_Bas+(2*0.04167)),$O3009,$M3009,DecLat,DecLong,1)</f>
        <v>-19.873223387983952</v>
      </c>
      <c r="AB3009" s="257">
        <f>altaz((J2000_Bas+(4*0.04167)),$O3009,$M3009,DecLat,DecLong,1)</f>
        <v>4.0557898811186508</v>
      </c>
      <c r="AC3009" s="257">
        <f>altaz((J2000_Bas+(6*0.04167)),$O3009,$M3009,DecLat,DecLong,1)</f>
        <v>29.639125029709973</v>
      </c>
      <c r="AD3009" s="258">
        <f>1+ transit((J2000_Bas-1),$O3009,$M3009,DecLat,DecLong)/360 + (GMTOffset/24) + (IF(DST="Y", 1, 0)/24)</f>
        <v>1.213802716317208</v>
      </c>
      <c r="AE3009" s="259">
        <f>DATE(2001,9,21)+(M3009/360)*365 - (360*((DecLong/360)- (GMTOffset/24) ))</f>
        <v>37240.629513888889</v>
      </c>
      <c r="AF3009" s="260">
        <f>IF(DecLat&gt;0,IF((90 - (DecLat-O3009))&gt;90, (90 - (O3009-DecLat)), (90 - (DecLat-O3009))),IF((90 + (DecLat-O3009))&gt;90, (90 + (O3009-DecLat)), (90 + (DecLat-O3009))))</f>
        <v>72.415833333333325</v>
      </c>
      <c r="AG3009" s="257">
        <f>angularseperation(MoonRA,MoonDec,$M3009,$O3009)</f>
        <v>163.28945380357081</v>
      </c>
      <c r="AH3009" s="261">
        <f ca="1">MIN(100,IF($O$5&gt;80,0+30*($AG3009/100),IF($O$5&gt;70,0+50*($AG3009/100),IF($O$5&gt;60,5+50*($AG3009/100),IF($O$5&gt;50,10+60*($AG3009/100),IF($O$5&gt;40,15+70*($AG3009/100),IF($O$5&gt;30,20+70*($AG3009/100),IF($O$5&gt;20,40+55*($AG3009/100),(80+(20-$O$5)+30*($AG3009/100))))))))))</f>
        <v>100</v>
      </c>
      <c r="AI3009" s="262"/>
      <c r="AJ3009" s="262"/>
      <c r="AK3009" s="262"/>
      <c r="AL3009" s="263"/>
      <c r="AM3009" s="264"/>
      <c r="AN3009" s="263"/>
      <c r="AO3009" s="263"/>
      <c r="AP3009" s="265"/>
      <c r="AQ3009" s="266"/>
      <c r="AR3009" s="267"/>
      <c r="AS3009" s="263"/>
      <c r="AT3009" s="263"/>
      <c r="AU3009" s="263"/>
      <c r="AV3009" s="264"/>
      <c r="AW3009" s="263"/>
      <c r="AX3009" s="263"/>
      <c r="AY3009" s="263"/>
      <c r="AZ3009" s="263"/>
      <c r="BA3009" s="263"/>
      <c r="BB3009" s="263"/>
      <c r="BC3009" s="263"/>
      <c r="BD3009" s="264">
        <v>37</v>
      </c>
      <c r="BE3009" s="263"/>
      <c r="BF3009" s="263"/>
      <c r="BG3009" s="263"/>
      <c r="BH3009" s="263"/>
      <c r="BI3009" s="263"/>
      <c r="BJ3009" s="404">
        <f>altaz(J2000_Bas,$O3009,$M3009,DecLat,DecLong,2)</f>
        <v>33.82104593386974</v>
      </c>
      <c r="BK3009" s="378" t="s">
        <v>2816</v>
      </c>
      <c r="BL3009" s="379">
        <f>IF((2*G3009)/60&lt;0.2,0.2,(2*G3009)/60)</f>
        <v>0.51333333333333331</v>
      </c>
      <c r="BM3009" s="380">
        <f>MOD((50000+AD3009-$B$3+(0/24)),1)</f>
        <v>0.42916964602045482</v>
      </c>
      <c r="BN3009" s="381"/>
      <c r="BO3009" s="382">
        <v>2999</v>
      </c>
    </row>
    <row r="3010" spans="1:67" s="24" customFormat="1" ht="15" customHeight="1" x14ac:dyDescent="0.25">
      <c r="A3010" s="288" t="s">
        <v>2817</v>
      </c>
      <c r="B3010" s="241" t="str">
        <f>HYPERLINK(CONCATENATE($AT$3,BK3010,$AU$3),$AV$3)</f>
        <v>S</v>
      </c>
      <c r="C3010" s="242" t="str">
        <f>HYPERLINK(CONCATENATE($AT$4,BK3010,$AU$4,BL3010),$AV$4)</f>
        <v>A</v>
      </c>
      <c r="D3010" s="243" t="s">
        <v>5187</v>
      </c>
      <c r="E3010" s="244" t="s">
        <v>5186</v>
      </c>
      <c r="F3010" s="269"/>
      <c r="G3010" s="273">
        <v>1</v>
      </c>
      <c r="H3010" s="283">
        <v>3300</v>
      </c>
      <c r="I3010" s="279">
        <v>1</v>
      </c>
      <c r="J3010" s="246">
        <v>1</v>
      </c>
      <c r="K3010" s="277" t="s">
        <v>6407</v>
      </c>
      <c r="L3010" s="248">
        <v>52430</v>
      </c>
      <c r="M3010" s="249">
        <f>15*(LEFT(TEXT($L3010,"000000"),2)+(MID(TEXT($L3010,"000000"),3,2)/60)+(RIGHT(TEXT($L3010,"000000"),2)/3600))</f>
        <v>81.125000000000014</v>
      </c>
      <c r="N3010" s="286">
        <v>324909</v>
      </c>
      <c r="O3010" s="251">
        <f>IF($N3010&gt;0,(LEFT(TEXT($N3010,"000000"),2)+(MID(TEXT($N3010,"000000"),3,2)/60)+(RIGHT(TEXT($N3010,"000000"),2)/3600)),-(MID(TEXT($N3010,"000000"),2,2)+(MID(TEXT($N3010,"000000"),4,2)/60)+(RIGHT(TEXT($N3010,"000000"),2)/3600)))</f>
        <v>32.819166666666668</v>
      </c>
      <c r="P3010" s="252" t="s">
        <v>56</v>
      </c>
      <c r="Q3010" s="253"/>
      <c r="R3010" s="277" t="s">
        <v>3293</v>
      </c>
      <c r="S3010" s="272" t="s">
        <v>3293</v>
      </c>
      <c r="T3010" s="273"/>
      <c r="U3010" s="274"/>
      <c r="V3010" s="280"/>
      <c r="W3010" s="244"/>
      <c r="X3010" s="244"/>
      <c r="Y3010" s="362"/>
      <c r="Z3010" s="257">
        <f>altaz(J2000_Bas,$O3010,$M3010,DecLat,DecLong,1)</f>
        <v>-21.984956170526143</v>
      </c>
      <c r="AA3010" s="257">
        <f>altaz((J2000_Bas+(2*0.04167)),$O3010,$M3010,DecLat,DecLong,1)</f>
        <v>-7.7251179016007621</v>
      </c>
      <c r="AB3010" s="257">
        <f>altaz((J2000_Bas+(4*0.04167)),$O3010,$M3010,DecLat,DecLong,1)</f>
        <v>12.529811145194527</v>
      </c>
      <c r="AC3010" s="257">
        <f>altaz((J2000_Bas+(6*0.04167)),$O3010,$M3010,DecLat,DecLong,1)</f>
        <v>35.808176277611658</v>
      </c>
      <c r="AD3010" s="258">
        <f>1+ transit((J2000_Bas-1),$O3010,$M3010,DecLat,DecLong)/360 + (GMTOffset/24) + (IF(DST="Y", 1, 0)/24)</f>
        <v>1.218247160317208</v>
      </c>
      <c r="AE3010" s="259">
        <f>DATE(2001,9,21)+(M3010/360)*365 - (360*((DecLong/360)- (GMTOffset/24) ))</f>
        <v>37242.251736111109</v>
      </c>
      <c r="AF3010" s="260">
        <f>IF(DecLat&gt;0,IF((90 - (DecLat-O3010))&gt;90, (90 - (O3010-DecLat)), (90 - (DecLat-O3010))),IF((90 + (DecLat-O3010))&gt;90, (90 + (O3010-DecLat)), (90 + (DecLat-O3010))))</f>
        <v>88.180833333333339</v>
      </c>
      <c r="AG3010" s="257">
        <f>angularseperation(MoonRA,MoonDec,$M3010,$O3010)</f>
        <v>168.22595211479097</v>
      </c>
      <c r="AH3010" s="261">
        <f ca="1">MIN(100,IF($O$5&gt;80,0+30*($AG3010/100),IF($O$5&gt;70,0+50*($AG3010/100),IF($O$5&gt;60,5+50*($AG3010/100),IF($O$5&gt;50,10+60*($AG3010/100),IF($O$5&gt;40,15+70*($AG3010/100),IF($O$5&gt;30,20+70*($AG3010/100),IF($O$5&gt;20,40+55*($AG3010/100),(80+(20-$O$5)+30*($AG3010/100))))))))))</f>
        <v>100</v>
      </c>
      <c r="AI3010" s="263"/>
      <c r="AJ3010" s="263"/>
      <c r="AK3010" s="263"/>
      <c r="AL3010" s="263"/>
      <c r="AM3010" s="264"/>
      <c r="AN3010" s="263"/>
      <c r="AO3010" s="263"/>
      <c r="AP3010" s="265"/>
      <c r="AQ3010" s="265"/>
      <c r="AR3010" s="285"/>
      <c r="AS3010" s="263"/>
      <c r="AT3010" s="263"/>
      <c r="AU3010" s="263"/>
      <c r="AV3010" s="264"/>
      <c r="AW3010" s="263"/>
      <c r="AX3010" s="263"/>
      <c r="AY3010" s="263"/>
      <c r="AZ3010" s="263"/>
      <c r="BA3010" s="263"/>
      <c r="BB3010" s="263"/>
      <c r="BC3010" s="263"/>
      <c r="BD3010" s="264">
        <v>39</v>
      </c>
      <c r="BE3010" s="263"/>
      <c r="BF3010" s="263"/>
      <c r="BG3010" s="263"/>
      <c r="BH3010" s="263"/>
      <c r="BI3010" s="263"/>
      <c r="BJ3010" s="404">
        <f>altaz(J2000_Bas,$O3010,$M3010,DecLat,DecLong,2)</f>
        <v>22.41168785869754</v>
      </c>
      <c r="BK3010" s="378" t="s">
        <v>2817</v>
      </c>
      <c r="BL3010" s="379">
        <f>IF((2*G3010)/60&lt;0.2,0.2,(2*G3010)/60)</f>
        <v>0.2</v>
      </c>
      <c r="BM3010" s="380">
        <f>MOD((50000+AD3010-$B$3+(0/24)),1)</f>
        <v>0.43361409001954598</v>
      </c>
      <c r="BN3010" s="381"/>
      <c r="BO3010" s="382">
        <v>3000</v>
      </c>
    </row>
    <row r="3011" spans="1:67" s="24" customFormat="1" ht="15" customHeight="1" x14ac:dyDescent="0.25">
      <c r="A3011" s="288" t="s">
        <v>2818</v>
      </c>
      <c r="B3011" s="241" t="str">
        <f>HYPERLINK(CONCATENATE($AT$3,BK3011,$AU$3),$AV$3)</f>
        <v>S</v>
      </c>
      <c r="C3011" s="242" t="str">
        <f>HYPERLINK(CONCATENATE($AT$4,BK3011,$AU$4,BL3011),$AV$4)</f>
        <v>A</v>
      </c>
      <c r="D3011" s="243" t="s">
        <v>5187</v>
      </c>
      <c r="E3011" s="244" t="s">
        <v>5186</v>
      </c>
      <c r="F3011" s="269"/>
      <c r="G3011" s="273">
        <v>2</v>
      </c>
      <c r="H3011" s="283">
        <v>1340</v>
      </c>
      <c r="I3011" s="309">
        <v>0.8</v>
      </c>
      <c r="J3011" s="246">
        <v>1</v>
      </c>
      <c r="K3011" s="277" t="s">
        <v>6406</v>
      </c>
      <c r="L3011" s="248">
        <v>52500</v>
      </c>
      <c r="M3011" s="249">
        <f>15*(LEFT(TEXT($L3011,"000000"),2)+(MID(TEXT($L3011,"000000"),3,2)/60)+(RIGHT(TEXT($L3011,"000000"),2)/3600))</f>
        <v>81.25</v>
      </c>
      <c r="N3011" s="286">
        <v>63502</v>
      </c>
      <c r="O3011" s="251">
        <f>IF($N3011&gt;0,(LEFT(TEXT($N3011,"000000"),2)+(MID(TEXT($N3011,"000000"),3,2)/60)+(RIGHT(TEXT($N3011,"000000"),2)/3600)),-(MID(TEXT($N3011,"000000"),2,2)+(MID(TEXT($N3011,"000000"),4,2)/60)+(RIGHT(TEXT($N3011,"000000"),2)/3600)))</f>
        <v>6.5838888888888887</v>
      </c>
      <c r="P3011" s="252" t="s">
        <v>56</v>
      </c>
      <c r="Q3011" s="253"/>
      <c r="R3011" s="277" t="s">
        <v>3293</v>
      </c>
      <c r="S3011" s="272" t="s">
        <v>3293</v>
      </c>
      <c r="T3011" s="273"/>
      <c r="U3011" s="274"/>
      <c r="V3011" s="280"/>
      <c r="W3011" s="244"/>
      <c r="X3011" s="244"/>
      <c r="Y3011" s="362"/>
      <c r="Z3011" s="257">
        <f>altaz(J2000_Bas,$O3011,$M3011,DecLat,DecLong,1)</f>
        <v>-45.579920069988439</v>
      </c>
      <c r="AA3011" s="257">
        <f>altaz((J2000_Bas+(2*0.04167)),$O3011,$M3011,DecLat,DecLong,1)</f>
        <v>-25.552358096507298</v>
      </c>
      <c r="AB3011" s="257">
        <f>altaz((J2000_Bas+(4*0.04167)),$O3011,$M3011,DecLat,DecLong,1)</f>
        <v>-0.93511894840747845</v>
      </c>
      <c r="AC3011" s="257">
        <f>altaz((J2000_Bas+(6*0.04167)),$O3011,$M3011,DecLat,DecLong,1)</f>
        <v>24.771654902383876</v>
      </c>
      <c r="AD3011" s="258">
        <f>1+ transit((J2000_Bas-1),$O3011,$M3011,DecLat,DecLong)/360 + (GMTOffset/24) + (IF(DST="Y", 1, 0)/24)</f>
        <v>1.2185943825047081</v>
      </c>
      <c r="AE3011" s="259">
        <f>DATE(2001,9,21)+(M3011/360)*365 - (360*((DecLong/360)- (GMTOffset/24) ))</f>
        <v>37242.378472222219</v>
      </c>
      <c r="AF3011" s="260">
        <f>IF(DecLat&gt;0,IF((90 - (DecLat-O3011))&gt;90, (90 - (O3011-DecLat)), (90 - (DecLat-O3011))),IF((90 + (DecLat-O3011))&gt;90, (90 + (O3011-DecLat)), (90 + (DecLat-O3011))))</f>
        <v>65.583888888888893</v>
      </c>
      <c r="AG3011" s="257">
        <f>angularseperation(MoonRA,MoonDec,$M3011,$O3011)</f>
        <v>156.53697896163655</v>
      </c>
      <c r="AH3011" s="261">
        <f ca="1">MIN(100,IF($O$5&gt;80,0+30*($AG3011/100),IF($O$5&gt;70,0+50*($AG3011/100),IF($O$5&gt;60,5+50*($AG3011/100),IF($O$5&gt;50,10+60*($AG3011/100),IF($O$5&gt;40,15+70*($AG3011/100),IF($O$5&gt;30,20+70*($AG3011/100),IF($O$5&gt;20,40+55*($AG3011/100),(80+(20-$O$5)+30*($AG3011/100))))))))))</f>
        <v>100</v>
      </c>
      <c r="AI3011" s="263"/>
      <c r="AJ3011" s="263"/>
      <c r="AK3011" s="263"/>
      <c r="AL3011" s="263"/>
      <c r="AM3011" s="264"/>
      <c r="AN3011" s="263"/>
      <c r="AO3011" s="263"/>
      <c r="AP3011" s="265"/>
      <c r="AQ3011" s="265"/>
      <c r="AR3011" s="285"/>
      <c r="AS3011" s="263"/>
      <c r="AT3011" s="263"/>
      <c r="AU3011" s="263"/>
      <c r="AV3011" s="264"/>
      <c r="AW3011" s="263"/>
      <c r="AX3011" s="263"/>
      <c r="AY3011" s="263"/>
      <c r="AZ3011" s="263"/>
      <c r="BA3011" s="263"/>
      <c r="BB3011" s="263"/>
      <c r="BC3011" s="263"/>
      <c r="BD3011" s="264">
        <v>40</v>
      </c>
      <c r="BE3011" s="263"/>
      <c r="BF3011" s="263"/>
      <c r="BG3011" s="263"/>
      <c r="BH3011" s="263"/>
      <c r="BI3011" s="263"/>
      <c r="BJ3011" s="404">
        <f>altaz(J2000_Bas,$O3011,$M3011,DecLat,DecLong,2)</f>
        <v>36.46084855780196</v>
      </c>
      <c r="BK3011" s="378" t="s">
        <v>2818</v>
      </c>
      <c r="BL3011" s="379">
        <f>IF((2*G3011)/60&lt;0.2,0.2,(2*G3011)/60)</f>
        <v>0.2</v>
      </c>
      <c r="BM3011" s="380">
        <f>MOD((50000+AD3011-$B$3+(0/24)),1)</f>
        <v>0.43396131220652023</v>
      </c>
      <c r="BN3011" s="381"/>
      <c r="BO3011" s="382">
        <v>3001</v>
      </c>
    </row>
    <row r="3012" spans="1:67" s="24" customFormat="1" ht="15" customHeight="1" x14ac:dyDescent="0.25">
      <c r="A3012" s="288" t="s">
        <v>2819</v>
      </c>
      <c r="B3012" s="241" t="str">
        <f>HYPERLINK(CONCATENATE($AT$3,BK3012,$AU$3),$AV$3)</f>
        <v>S</v>
      </c>
      <c r="C3012" s="242" t="str">
        <f>HYPERLINK(CONCATENATE($AT$4,BK3012,$AU$4,BL3012),$AV$4)</f>
        <v>A</v>
      </c>
      <c r="D3012" s="243" t="s">
        <v>5187</v>
      </c>
      <c r="E3012" s="244" t="s">
        <v>5186</v>
      </c>
      <c r="F3012" s="269"/>
      <c r="G3012" s="273">
        <v>1</v>
      </c>
      <c r="H3012" s="283">
        <v>670</v>
      </c>
      <c r="I3012" s="309">
        <v>0.2</v>
      </c>
      <c r="J3012" s="246">
        <v>0</v>
      </c>
      <c r="K3012" s="277" t="s">
        <v>6407</v>
      </c>
      <c r="L3012" s="248">
        <v>52900</v>
      </c>
      <c r="M3012" s="249">
        <f>15*(LEFT(TEXT($L3012,"000000"),2)+(MID(TEXT($L3012,"000000"),3,2)/60)+(RIGHT(TEXT($L3012,"000000"),2)/3600))</f>
        <v>82.25</v>
      </c>
      <c r="N3012" s="286">
        <v>234102</v>
      </c>
      <c r="O3012" s="251">
        <f>IF($N3012&gt;0,(LEFT(TEXT($N3012,"000000"),2)+(MID(TEXT($N3012,"000000"),3,2)/60)+(RIGHT(TEXT($N3012,"000000"),2)/3600)),-(MID(TEXT($N3012,"000000"),2,2)+(MID(TEXT($N3012,"000000"),4,2)/60)+(RIGHT(TEXT($N3012,"000000"),2)/3600)))</f>
        <v>23.683888888888887</v>
      </c>
      <c r="P3012" s="252" t="s">
        <v>56</v>
      </c>
      <c r="Q3012" s="253"/>
      <c r="R3012" s="277" t="s">
        <v>3293</v>
      </c>
      <c r="S3012" s="272" t="s">
        <v>3293</v>
      </c>
      <c r="T3012" s="273"/>
      <c r="U3012" s="274"/>
      <c r="V3012" s="280"/>
      <c r="W3012" s="244"/>
      <c r="X3012" s="244"/>
      <c r="Y3012" s="362"/>
      <c r="Z3012" s="257">
        <f>altaz(J2000_Bas,$O3012,$M3012,DecLat,DecLong,1)</f>
        <v>-30.770090710919423</v>
      </c>
      <c r="AA3012" s="257">
        <f>altaz((J2000_Bas+(2*0.04167)),$O3012,$M3012,DecLat,DecLong,1)</f>
        <v>-14.851376694147245</v>
      </c>
      <c r="AB3012" s="257">
        <f>altaz((J2000_Bas+(4*0.04167)),$O3012,$M3012,DecLat,DecLong,1)</f>
        <v>7.1095685031850975</v>
      </c>
      <c r="AC3012" s="257">
        <f>altaz((J2000_Bas+(6*0.04167)),$O3012,$M3012,DecLat,DecLong,1)</f>
        <v>31.751848316101356</v>
      </c>
      <c r="AD3012" s="258">
        <f>1+ transit((J2000_Bas-1),$O3012,$M3012,DecLat,DecLong)/360 + (GMTOffset/24) + (IF(DST="Y", 1, 0)/24)</f>
        <v>1.2213721600047081</v>
      </c>
      <c r="AE3012" s="259">
        <f>DATE(2001,9,21)+(M3012/360)*365 - (360*((DecLong/360)- (GMTOffset/24) ))</f>
        <v>37243.392361111109</v>
      </c>
      <c r="AF3012" s="260">
        <f>IF(DecLat&gt;0,IF((90 - (DecLat-O3012))&gt;90, (90 - (O3012-DecLat)), (90 - (DecLat-O3012))),IF((90 + (DecLat-O3012))&gt;90, (90 + (O3012-DecLat)), (90 + (DecLat-O3012))))</f>
        <v>82.683888888888887</v>
      </c>
      <c r="AG3012" s="257">
        <f>angularseperation(MoonRA,MoonDec,$M3012,$O3012)</f>
        <v>167.77303389941969</v>
      </c>
      <c r="AH3012" s="261">
        <f ca="1">MIN(100,IF($O$5&gt;80,0+30*($AG3012/100),IF($O$5&gt;70,0+50*($AG3012/100),IF($O$5&gt;60,5+50*($AG3012/100),IF($O$5&gt;50,10+60*($AG3012/100),IF($O$5&gt;40,15+70*($AG3012/100),IF($O$5&gt;30,20+70*($AG3012/100),IF($O$5&gt;20,40+55*($AG3012/100),(80+(20-$O$5)+30*($AG3012/100))))))))))</f>
        <v>100</v>
      </c>
      <c r="AI3012" s="263"/>
      <c r="AJ3012" s="263"/>
      <c r="AK3012" s="263"/>
      <c r="AL3012" s="263"/>
      <c r="AM3012" s="264"/>
      <c r="AN3012" s="263"/>
      <c r="AO3012" s="263"/>
      <c r="AP3012" s="265"/>
      <c r="AQ3012" s="265"/>
      <c r="AR3012" s="285"/>
      <c r="AS3012" s="263"/>
      <c r="AT3012" s="263"/>
      <c r="AU3012" s="263"/>
      <c r="AV3012" s="264"/>
      <c r="AW3012" s="263"/>
      <c r="AX3012" s="263"/>
      <c r="AY3012" s="263"/>
      <c r="AZ3012" s="263"/>
      <c r="BA3012" s="263"/>
      <c r="BB3012" s="263"/>
      <c r="BC3012" s="263"/>
      <c r="BD3012" s="264">
        <v>41</v>
      </c>
      <c r="BE3012" s="263"/>
      <c r="BF3012" s="263"/>
      <c r="BG3012" s="263"/>
      <c r="BH3012" s="263"/>
      <c r="BI3012" s="263"/>
      <c r="BJ3012" s="404">
        <f>altaz(J2000_Bas,$O3012,$M3012,DecLat,DecLong,2)</f>
        <v>25.422984549850469</v>
      </c>
      <c r="BK3012" s="378" t="s">
        <v>2819</v>
      </c>
      <c r="BL3012" s="379">
        <f>IF((2*G3012)/60&lt;0.2,0.2,(2*G3012)/60)</f>
        <v>0.2</v>
      </c>
      <c r="BM3012" s="380">
        <f>MOD((50000+AD3012-$B$3+(0/24)),1)</f>
        <v>0.43673908970959019</v>
      </c>
      <c r="BN3012" s="381"/>
      <c r="BO3012" s="382">
        <v>3002</v>
      </c>
    </row>
    <row r="3013" spans="1:67" s="24" customFormat="1" ht="15" customHeight="1" x14ac:dyDescent="0.25">
      <c r="A3013" s="288" t="s">
        <v>2820</v>
      </c>
      <c r="B3013" s="241" t="str">
        <f>HYPERLINK(CONCATENATE($AT$3,BK3013,$AU$3),$AV$3)</f>
        <v>S</v>
      </c>
      <c r="C3013" s="242" t="str">
        <f>HYPERLINK(CONCATENATE($AT$4,BK3013,$AU$4,BL3013),$AV$4)</f>
        <v>A</v>
      </c>
      <c r="D3013" s="243" t="s">
        <v>5187</v>
      </c>
      <c r="E3013" s="244" t="s">
        <v>5186</v>
      </c>
      <c r="F3013" s="269"/>
      <c r="G3013" s="273">
        <v>6</v>
      </c>
      <c r="H3013" s="283">
        <v>1300</v>
      </c>
      <c r="I3013" s="279">
        <v>2.5</v>
      </c>
      <c r="J3013" s="246">
        <v>1</v>
      </c>
      <c r="K3013" s="247" t="s">
        <v>6408</v>
      </c>
      <c r="L3013" s="248">
        <v>53100</v>
      </c>
      <c r="M3013" s="249">
        <f>15*(LEFT(TEXT($L3013,"000000"),2)+(MID(TEXT($L3013,"000000"),3,2)/60)+(RIGHT(TEXT($L3013,"000000"),2)/3600))</f>
        <v>82.75</v>
      </c>
      <c r="N3013" s="286">
        <v>-54102</v>
      </c>
      <c r="O3013" s="251">
        <f>IF($N3013&gt;0,(LEFT(TEXT($N3013,"000000"),2)+(MID(TEXT($N3013,"000000"),3,2)/60)+(RIGHT(TEXT($N3013,"000000"),2)/3600)),-(MID(TEXT($N3013,"000000"),2,2)+(MID(TEXT($N3013,"000000"),4,2)/60)+(RIGHT(TEXT($N3013,"000000"),2)/3600)))</f>
        <v>-5.6838888888888892</v>
      </c>
      <c r="P3013" s="252" t="s">
        <v>56</v>
      </c>
      <c r="Q3013" s="253"/>
      <c r="R3013" s="277" t="s">
        <v>3293</v>
      </c>
      <c r="S3013" s="272" t="s">
        <v>4929</v>
      </c>
      <c r="T3013" s="273"/>
      <c r="U3013" s="274"/>
      <c r="V3013" s="280"/>
      <c r="W3013" s="244"/>
      <c r="X3013" s="244"/>
      <c r="Y3013" s="362"/>
      <c r="Z3013" s="257">
        <f>altaz(J2000_Bas,$O3013,$M3013,DecLat,DecLong,1)</f>
        <v>-56.582493295004532</v>
      </c>
      <c r="AA3013" s="257">
        <f>altaz((J2000_Bas+(2*0.04167)),$O3013,$M3013,DecLat,DecLong,1)</f>
        <v>-34.07735875628557</v>
      </c>
      <c r="AB3013" s="257">
        <f>altaz((J2000_Bas+(4*0.04167)),$O3013,$M3013,DecLat,DecLong,1)</f>
        <v>-8.552999460947813</v>
      </c>
      <c r="AC3013" s="257">
        <f>altaz((J2000_Bas+(6*0.04167)),$O3013,$M3013,DecLat,DecLong,1)</f>
        <v>16.809487472965046</v>
      </c>
      <c r="AD3013" s="258">
        <f>1+ transit((J2000_Bas-1),$O3013,$M3013,DecLat,DecLong)/360 + (GMTOffset/24) + (IF(DST="Y", 1, 0)/24)</f>
        <v>1.222761048754708</v>
      </c>
      <c r="AE3013" s="259">
        <f>DATE(2001,9,21)+(M3013/360)*365 - (360*((DecLong/360)- (GMTOffset/24) ))</f>
        <v>37243.899305555555</v>
      </c>
      <c r="AF3013" s="260">
        <f>IF(DecLat&gt;0,IF((90 - (DecLat-O3013))&gt;90, (90 - (O3013-DecLat)), (90 - (DecLat-O3013))),IF((90 + (DecLat-O3013))&gt;90, (90 + (O3013-DecLat)), (90 + (DecLat-O3013))))</f>
        <v>53.316111111111113</v>
      </c>
      <c r="AG3013" s="257">
        <f>angularseperation(MoonRA,MoonDec,$M3013,$O3013)</f>
        <v>144.72213672673294</v>
      </c>
      <c r="AH3013" s="261">
        <f ca="1">MIN(100,IF($O$5&gt;80,0+30*($AG3013/100),IF($O$5&gt;70,0+50*($AG3013/100),IF($O$5&gt;60,5+50*($AG3013/100),IF($O$5&gt;50,10+60*($AG3013/100),IF($O$5&gt;40,15+70*($AG3013/100),IF($O$5&gt;30,20+70*($AG3013/100),IF($O$5&gt;20,40+55*($AG3013/100),(80+(20-$O$5)+30*($AG3013/100))))))))))</f>
        <v>100</v>
      </c>
      <c r="AI3013" s="263"/>
      <c r="AJ3013" s="263"/>
      <c r="AK3013" s="263"/>
      <c r="AL3013" s="263"/>
      <c r="AM3013" s="264"/>
      <c r="AN3013" s="263"/>
      <c r="AO3013" s="263"/>
      <c r="AP3013" s="265"/>
      <c r="AQ3013" s="265"/>
      <c r="AR3013" s="285"/>
      <c r="AS3013" s="263"/>
      <c r="AT3013" s="263"/>
      <c r="AU3013" s="263"/>
      <c r="AV3013" s="264"/>
      <c r="AW3013" s="263"/>
      <c r="AX3013" s="263"/>
      <c r="AY3013" s="263"/>
      <c r="AZ3013" s="263"/>
      <c r="BA3013" s="263"/>
      <c r="BB3013" s="263"/>
      <c r="BC3013" s="263"/>
      <c r="BD3013" s="264">
        <v>42</v>
      </c>
      <c r="BE3013" s="263"/>
      <c r="BF3013" s="263"/>
      <c r="BG3013" s="263"/>
      <c r="BH3013" s="263"/>
      <c r="BI3013" s="263"/>
      <c r="BJ3013" s="404">
        <f>altaz(J2000_Bas,$O3013,$M3013,DecLat,DecLong,2)</f>
        <v>45.504815534825433</v>
      </c>
      <c r="BK3013" s="378" t="s">
        <v>2820</v>
      </c>
      <c r="BL3013" s="379">
        <f>IF((2*G3013)/60&lt;0.2,0.2,(2*G3013)/60)</f>
        <v>0.2</v>
      </c>
      <c r="BM3013" s="380">
        <f>MOD((50000+AD3013-$B$3+(0/24)),1)</f>
        <v>0.43812797845748719</v>
      </c>
      <c r="BN3013" s="381"/>
      <c r="BO3013" s="382">
        <v>3003</v>
      </c>
    </row>
    <row r="3014" spans="1:67" s="24" customFormat="1" ht="15" customHeight="1" x14ac:dyDescent="0.25">
      <c r="A3014" s="288" t="s">
        <v>2821</v>
      </c>
      <c r="B3014" s="241" t="str">
        <f>HYPERLINK(CONCATENATE($AT$3,BK3014,$AU$3),$AV$3)</f>
        <v>S</v>
      </c>
      <c r="C3014" s="242" t="str">
        <f>HYPERLINK(CONCATENATE($AT$4,BK3014,$AU$4,BL3014),$AV$4)</f>
        <v>A</v>
      </c>
      <c r="D3014" s="243" t="s">
        <v>5187</v>
      </c>
      <c r="E3014" s="244" t="s">
        <v>5186</v>
      </c>
      <c r="F3014" s="269"/>
      <c r="G3014" s="273">
        <v>2</v>
      </c>
      <c r="H3014" s="283">
        <v>1230</v>
      </c>
      <c r="I3014" s="309">
        <v>0.7</v>
      </c>
      <c r="J3014" s="246">
        <v>1</v>
      </c>
      <c r="K3014" s="247" t="s">
        <v>6409</v>
      </c>
      <c r="L3014" s="248">
        <v>53200</v>
      </c>
      <c r="M3014" s="249">
        <f>15*(LEFT(TEXT($L3014,"000000"),2)+(MID(TEXT($L3014,"000000"),3,2)/60)+(RIGHT(TEXT($L3014,"000000"),2)/3600))</f>
        <v>83</v>
      </c>
      <c r="N3014" s="286">
        <v>60202</v>
      </c>
      <c r="O3014" s="251">
        <f>IF($N3014&gt;0,(LEFT(TEXT($N3014,"000000"),2)+(MID(TEXT($N3014,"000000"),3,2)/60)+(RIGHT(TEXT($N3014,"000000"),2)/3600)),-(MID(TEXT($N3014,"000000"),2,2)+(MID(TEXT($N3014,"000000"),4,2)/60)+(RIGHT(TEXT($N3014,"000000"),2)/3600)))</f>
        <v>6.0338888888888889</v>
      </c>
      <c r="P3014" s="252" t="s">
        <v>56</v>
      </c>
      <c r="Q3014" s="253"/>
      <c r="R3014" s="277" t="s">
        <v>3293</v>
      </c>
      <c r="S3014" s="272" t="s">
        <v>3293</v>
      </c>
      <c r="T3014" s="273"/>
      <c r="U3014" s="274"/>
      <c r="V3014" s="280"/>
      <c r="W3014" s="244"/>
      <c r="X3014" s="244"/>
      <c r="Y3014" s="362"/>
      <c r="Z3014" s="257">
        <f>altaz(J2000_Bas,$O3014,$M3014,DecLat,DecLong,1)</f>
        <v>-46.928411749363235</v>
      </c>
      <c r="AA3014" s="257">
        <f>altaz((J2000_Bas+(2*0.04167)),$O3014,$M3014,DecLat,DecLong,1)</f>
        <v>-27.24670829441208</v>
      </c>
      <c r="AB3014" s="257">
        <f>altaz((J2000_Bas+(4*0.04167)),$O3014,$M3014,DecLat,DecLong,1)</f>
        <v>-2.70585265448346</v>
      </c>
      <c r="AC3014" s="257">
        <f>altaz((J2000_Bas+(6*0.04167)),$O3014,$M3014,DecLat,DecLong,1)</f>
        <v>22.998784888380669</v>
      </c>
      <c r="AD3014" s="258">
        <f>1+ transit((J2000_Bas-1),$O3014,$M3014,DecLat,DecLong)/360 + (GMTOffset/24) + (IF(DST="Y", 1, 0)/24)</f>
        <v>1.2234554931297079</v>
      </c>
      <c r="AE3014" s="259">
        <f>DATE(2001,9,21)+(M3014/360)*365 - (360*((DecLong/360)- (GMTOffset/24) ))</f>
        <v>37244.152777777781</v>
      </c>
      <c r="AF3014" s="260">
        <f>IF(DecLat&gt;0,IF((90 - (DecLat-O3014))&gt;90, (90 - (O3014-DecLat)), (90 - (DecLat-O3014))),IF((90 + (DecLat-O3014))&gt;90, (90 + (O3014-DecLat)), (90 + (DecLat-O3014))))</f>
        <v>65.033888888888896</v>
      </c>
      <c r="AG3014" s="257">
        <f>angularseperation(MoonRA,MoonDec,$M3014,$O3014)</f>
        <v>155.21160502605485</v>
      </c>
      <c r="AH3014" s="261">
        <f ca="1">MIN(100,IF($O$5&gt;80,0+30*($AG3014/100),IF($O$5&gt;70,0+50*($AG3014/100),IF($O$5&gt;60,5+50*($AG3014/100),IF($O$5&gt;50,10+60*($AG3014/100),IF($O$5&gt;40,15+70*($AG3014/100),IF($O$5&gt;30,20+70*($AG3014/100),IF($O$5&gt;20,40+55*($AG3014/100),(80+(20-$O$5)+30*($AG3014/100))))))))))</f>
        <v>100</v>
      </c>
      <c r="AI3014" s="263"/>
      <c r="AJ3014" s="263"/>
      <c r="AK3014" s="263"/>
      <c r="AL3014" s="263"/>
      <c r="AM3014" s="264"/>
      <c r="AN3014" s="263"/>
      <c r="AO3014" s="263"/>
      <c r="AP3014" s="265"/>
      <c r="AQ3014" s="265"/>
      <c r="AR3014" s="285"/>
      <c r="AS3014" s="263"/>
      <c r="AT3014" s="263"/>
      <c r="AU3014" s="263"/>
      <c r="AV3014" s="264"/>
      <c r="AW3014" s="263"/>
      <c r="AX3014" s="263"/>
      <c r="AY3014" s="263"/>
      <c r="AZ3014" s="263"/>
      <c r="BA3014" s="263"/>
      <c r="BB3014" s="263"/>
      <c r="BC3014" s="263"/>
      <c r="BD3014" s="264">
        <v>43</v>
      </c>
      <c r="BE3014" s="263"/>
      <c r="BF3014" s="263"/>
      <c r="BG3014" s="263"/>
      <c r="BH3014" s="263"/>
      <c r="BI3014" s="263"/>
      <c r="BJ3014" s="404">
        <f>altaz(J2000_Bas,$O3014,$M3014,DecLat,DecLong,2)</f>
        <v>34.683756056547978</v>
      </c>
      <c r="BK3014" s="378" t="s">
        <v>2821</v>
      </c>
      <c r="BL3014" s="379">
        <f>IF((2*G3014)/60&lt;0.2,0.2,(2*G3014)/60)</f>
        <v>0.2</v>
      </c>
      <c r="BM3014" s="380">
        <f>MOD((50000+AD3014-$B$3+(0/24)),1)</f>
        <v>0.43882242283143569</v>
      </c>
      <c r="BN3014" s="381"/>
      <c r="BO3014" s="382">
        <v>3004</v>
      </c>
    </row>
    <row r="3015" spans="1:67" s="24" customFormat="1" ht="15" customHeight="1" x14ac:dyDescent="0.25">
      <c r="A3015" s="288" t="s">
        <v>2822</v>
      </c>
      <c r="B3015" s="241" t="str">
        <f>HYPERLINK(CONCATENATE($AT$3,BK3015,$AU$3),$AV$3)</f>
        <v>S</v>
      </c>
      <c r="C3015" s="242" t="str">
        <f>HYPERLINK(CONCATENATE($AT$4,BK3015,$AU$4,BL3015),$AV$4)</f>
        <v>A</v>
      </c>
      <c r="D3015" s="243" t="s">
        <v>5187</v>
      </c>
      <c r="E3015" s="244" t="s">
        <v>5186</v>
      </c>
      <c r="F3015" s="269"/>
      <c r="G3015" s="273">
        <v>8</v>
      </c>
      <c r="H3015" s="283">
        <v>1340</v>
      </c>
      <c r="I3015" s="279">
        <v>3</v>
      </c>
      <c r="J3015" s="246">
        <v>1</v>
      </c>
      <c r="K3015" s="277" t="s">
        <v>9441</v>
      </c>
      <c r="L3015" s="248">
        <v>53200</v>
      </c>
      <c r="M3015" s="249">
        <f>15*(LEFT(TEXT($L3015,"000000"),2)+(MID(TEXT($L3015,"000000"),3,2)/60)+(RIGHT(TEXT($L3015,"000000"),2)/3600))</f>
        <v>83</v>
      </c>
      <c r="N3015" s="286">
        <v>-43102</v>
      </c>
      <c r="O3015" s="251">
        <f>IF($N3015&gt;0,(LEFT(TEXT($N3015,"000000"),2)+(MID(TEXT($N3015,"000000"),3,2)/60)+(RIGHT(TEXT($N3015,"000000"),2)/3600)),-(MID(TEXT($N3015,"000000"),2,2)+(MID(TEXT($N3015,"000000"),4,2)/60)+(RIGHT(TEXT($N3015,"000000"),2)/3600)))</f>
        <v>-4.5172222222222222</v>
      </c>
      <c r="P3015" s="252" t="s">
        <v>56</v>
      </c>
      <c r="Q3015" s="253"/>
      <c r="R3015" s="277" t="s">
        <v>3293</v>
      </c>
      <c r="S3015" s="272" t="s">
        <v>4929</v>
      </c>
      <c r="T3015" s="273"/>
      <c r="U3015" s="274"/>
      <c r="V3015" s="280"/>
      <c r="W3015" s="244"/>
      <c r="X3015" s="244"/>
      <c r="Y3015" s="362"/>
      <c r="Z3015" s="257">
        <f>altaz(J2000_Bas,$O3015,$M3015,DecLat,DecLong,1)</f>
        <v>-55.804442848019292</v>
      </c>
      <c r="AA3015" s="257">
        <f>altaz((J2000_Bas+(2*0.04167)),$O3015,$M3015,DecLat,DecLong,1)</f>
        <v>-33.626632016382715</v>
      </c>
      <c r="AB3015" s="257">
        <f>altaz((J2000_Bas+(4*0.04167)),$O3015,$M3015,DecLat,DecLong,1)</f>
        <v>-8.172818788585225</v>
      </c>
      <c r="AC3015" s="257">
        <f>altaz((J2000_Bas+(6*0.04167)),$O3015,$M3015,DecLat,DecLong,1)</f>
        <v>17.267453310444242</v>
      </c>
      <c r="AD3015" s="258">
        <f>1+ transit((J2000_Bas-1),$O3015,$M3015,DecLat,DecLong)/360 + (GMTOffset/24) + (IF(DST="Y", 1, 0)/24)</f>
        <v>1.2234554931297079</v>
      </c>
      <c r="AE3015" s="259">
        <f>DATE(2001,9,21)+(M3015/360)*365 - (360*((DecLong/360)- (GMTOffset/24) ))</f>
        <v>37244.152777777781</v>
      </c>
      <c r="AF3015" s="260">
        <f>IF(DecLat&gt;0,IF((90 - (DecLat-O3015))&gt;90, (90 - (O3015-DecLat)), (90 - (DecLat-O3015))),IF((90 + (DecLat-O3015))&gt;90, (90 + (O3015-DecLat)), (90 + (DecLat-O3015))))</f>
        <v>54.482777777777777</v>
      </c>
      <c r="AG3015" s="257">
        <f>angularseperation(MoonRA,MoonDec,$M3015,$O3015)</f>
        <v>145.71533547782701</v>
      </c>
      <c r="AH3015" s="261">
        <f ca="1">MIN(100,IF($O$5&gt;80,0+30*($AG3015/100),IF($O$5&gt;70,0+50*($AG3015/100),IF($O$5&gt;60,5+50*($AG3015/100),IF($O$5&gt;50,10+60*($AG3015/100),IF($O$5&gt;40,15+70*($AG3015/100),IF($O$5&gt;30,20+70*($AG3015/100),IF($O$5&gt;20,40+55*($AG3015/100),(80+(20-$O$5)+30*($AG3015/100))))))))))</f>
        <v>100</v>
      </c>
      <c r="AI3015" s="263"/>
      <c r="AJ3015" s="263"/>
      <c r="AK3015" s="263"/>
      <c r="AL3015" s="263"/>
      <c r="AM3015" s="264"/>
      <c r="AN3015" s="263"/>
      <c r="AO3015" s="263"/>
      <c r="AP3015" s="265"/>
      <c r="AQ3015" s="265"/>
      <c r="AR3015" s="285"/>
      <c r="AS3015" s="263"/>
      <c r="AT3015" s="263"/>
      <c r="AU3015" s="263"/>
      <c r="AV3015" s="264"/>
      <c r="AW3015" s="263"/>
      <c r="AX3015" s="263"/>
      <c r="AY3015" s="263"/>
      <c r="AZ3015" s="263"/>
      <c r="BA3015" s="263"/>
      <c r="BB3015" s="263"/>
      <c r="BC3015" s="263"/>
      <c r="BD3015" s="264">
        <v>44</v>
      </c>
      <c r="BE3015" s="263"/>
      <c r="BF3015" s="263"/>
      <c r="BG3015" s="263"/>
      <c r="BH3015" s="263"/>
      <c r="BI3015" s="263"/>
      <c r="BJ3015" s="404">
        <f>altaz(J2000_Bas,$O3015,$M3015,DecLat,DecLong,2)</f>
        <v>43.87939008801758</v>
      </c>
      <c r="BK3015" s="378" t="s">
        <v>2822</v>
      </c>
      <c r="BL3015" s="379">
        <f>IF((2*G3015)/60&lt;0.2,0.2,(2*G3015)/60)</f>
        <v>0.26666666666666666</v>
      </c>
      <c r="BM3015" s="380">
        <f>MOD((50000+AD3015-$B$3+(0/24)),1)</f>
        <v>0.43882242283143569</v>
      </c>
      <c r="BN3015" s="381"/>
      <c r="BO3015" s="382">
        <v>3005</v>
      </c>
    </row>
    <row r="3016" spans="1:67" s="24" customFormat="1" ht="15" customHeight="1" x14ac:dyDescent="0.25">
      <c r="A3016" s="288" t="s">
        <v>2823</v>
      </c>
      <c r="B3016" s="241" t="str">
        <f>HYPERLINK(CONCATENATE($AT$3,BK3016,$AU$3),$AV$3)</f>
        <v>S</v>
      </c>
      <c r="C3016" s="242" t="str">
        <f>HYPERLINK(CONCATENATE($AT$4,BK3016,$AU$4,BL3016),$AV$4)</f>
        <v>A</v>
      </c>
      <c r="D3016" s="243" t="s">
        <v>5187</v>
      </c>
      <c r="E3016" s="244" t="s">
        <v>5186</v>
      </c>
      <c r="F3016" s="269"/>
      <c r="G3016" s="273">
        <v>1</v>
      </c>
      <c r="H3016" s="283">
        <v>6400</v>
      </c>
      <c r="I3016" s="279">
        <v>2</v>
      </c>
      <c r="J3016" s="246">
        <v>0</v>
      </c>
      <c r="K3016" s="247" t="s">
        <v>6410</v>
      </c>
      <c r="L3016" s="248">
        <v>53641</v>
      </c>
      <c r="M3016" s="249">
        <f>15*(LEFT(TEXT($L3016,"000000"),2)+(MID(TEXT($L3016,"000000"),3,2)/60)+(RIGHT(TEXT($L3016,"000000"),2)/3600))</f>
        <v>84.170833333333334</v>
      </c>
      <c r="N3016" s="250">
        <v>315119</v>
      </c>
      <c r="O3016" s="251">
        <f>IF($N3016&gt;0,(LEFT(TEXT($N3016,"000000"),2)+(MID(TEXT($N3016,"000000"),3,2)/60)+(RIGHT(TEXT($N3016,"000000"),2)/3600)),-(MID(TEXT($N3016,"000000"),2,2)+(MID(TEXT($N3016,"000000"),4,2)/60)+(RIGHT(TEXT($N3016,"000000"),2)/3600)))</f>
        <v>31.855277777777779</v>
      </c>
      <c r="P3016" s="252" t="s">
        <v>62</v>
      </c>
      <c r="Q3016" s="253"/>
      <c r="R3016" s="247" t="s">
        <v>3293</v>
      </c>
      <c r="S3016" s="272" t="s">
        <v>6423</v>
      </c>
      <c r="T3016" s="273"/>
      <c r="U3016" s="274"/>
      <c r="V3016" s="280"/>
      <c r="W3016" s="244"/>
      <c r="X3016" s="244"/>
      <c r="Y3016" s="362"/>
      <c r="Z3016" s="257">
        <f>altaz(J2000_Bas,$O3016,$M3016,DecLat,DecLong,1)</f>
        <v>-23.829891644796128</v>
      </c>
      <c r="AA3016" s="257">
        <f>altaz((J2000_Bas+(2*0.04167)),$O3016,$M3016,DecLat,DecLong,1)</f>
        <v>-10.209842280966809</v>
      </c>
      <c r="AB3016" s="257">
        <f>altaz((J2000_Bas+(4*0.04167)),$O3016,$M3016,DecLat,DecLong,1)</f>
        <v>9.8173933601990218</v>
      </c>
      <c r="AC3016" s="257">
        <f>altaz((J2000_Bas+(6*0.04167)),$O3016,$M3016,DecLat,DecLong,1)</f>
        <v>33.063504979289341</v>
      </c>
      <c r="AD3016" s="258">
        <f>1+ transit((J2000_Bas-1),$O3016,$M3016,DecLat,DecLong)/360 + (GMTOffset/24) + (IF(DST="Y", 1, 0)/24)</f>
        <v>1.2267078076192914</v>
      </c>
      <c r="AE3016" s="259">
        <f>DATE(2001,9,21)+(M3016/360)*365 - (360*((DecLong/360)- (GMTOffset/24) ))</f>
        <v>37245.339872685188</v>
      </c>
      <c r="AF3016" s="260">
        <f>IF(DecLat&gt;0,IF((90 - (DecLat-O3016))&gt;90, (90 - (O3016-DecLat)), (90 - (DecLat-O3016))),IF((90 + (DecLat-O3016))&gt;90, (90 + (O3016-DecLat)), (90 + (DecLat-O3016))))</f>
        <v>89.144722222222214</v>
      </c>
      <c r="AG3016" s="257">
        <f>angularseperation(MoonRA,MoonDec,$M3016,$O3016)</f>
        <v>166.16989711287226</v>
      </c>
      <c r="AH3016" s="261">
        <f ca="1">MIN(100,IF($O$5&gt;80,0+30*($AG3016/100),IF($O$5&gt;70,0+50*($AG3016/100),IF($O$5&gt;60,5+50*($AG3016/100),IF($O$5&gt;50,10+60*($AG3016/100),IF($O$5&gt;40,15+70*($AG3016/100),IF($O$5&gt;30,20+70*($AG3016/100),IF($O$5&gt;20,40+55*($AG3016/100),(80+(20-$O$5)+30*($AG3016/100))))))))))</f>
        <v>100</v>
      </c>
      <c r="AI3016" s="262"/>
      <c r="AJ3016" s="262"/>
      <c r="AK3016" s="262"/>
      <c r="AL3016" s="263"/>
      <c r="AM3016" s="264"/>
      <c r="AN3016" s="263"/>
      <c r="AO3016" s="263"/>
      <c r="AP3016" s="265"/>
      <c r="AQ3016" s="266"/>
      <c r="AR3016" s="267"/>
      <c r="AS3016" s="263"/>
      <c r="AT3016" s="263"/>
      <c r="AU3016" s="263"/>
      <c r="AV3016" s="264"/>
      <c r="AW3016" s="263"/>
      <c r="AX3016" s="263"/>
      <c r="AY3016" s="263"/>
      <c r="AZ3016" s="263"/>
      <c r="BA3016" s="263"/>
      <c r="BB3016" s="263"/>
      <c r="BC3016" s="263"/>
      <c r="BD3016" s="264">
        <v>45</v>
      </c>
      <c r="BE3016" s="263"/>
      <c r="BF3016" s="263"/>
      <c r="BG3016" s="263"/>
      <c r="BH3016" s="263"/>
      <c r="BI3016" s="263"/>
      <c r="BJ3016" s="404">
        <f>altaz(J2000_Bas,$O3016,$M3016,DecLat,DecLong,2)</f>
        <v>20.200683834682632</v>
      </c>
      <c r="BK3016" s="378" t="s">
        <v>2823</v>
      </c>
      <c r="BL3016" s="379">
        <f>IF((2*G3016)/60&lt;0.2,0.2,(2*G3016)/60)</f>
        <v>0.2</v>
      </c>
      <c r="BM3016" s="380">
        <f>MOD((50000+AD3016-$B$3+(0/24)),1)</f>
        <v>0.44207473732240032</v>
      </c>
      <c r="BN3016" s="381"/>
      <c r="BO3016" s="382">
        <v>3006</v>
      </c>
    </row>
    <row r="3017" spans="1:67" s="24" customFormat="1" ht="15" customHeight="1" x14ac:dyDescent="0.25">
      <c r="A3017" s="288" t="s">
        <v>2824</v>
      </c>
      <c r="B3017" s="241" t="str">
        <f>HYPERLINK(CONCATENATE($AT$3,BK3017,$AU$3),$AV$3)</f>
        <v>S</v>
      </c>
      <c r="C3017" s="242" t="str">
        <f>HYPERLINK(CONCATENATE($AT$4,BK3017,$AU$4,BL3017),$AV$4)</f>
        <v>A</v>
      </c>
      <c r="D3017" s="243" t="s">
        <v>5187</v>
      </c>
      <c r="E3017" s="244" t="s">
        <v>5186</v>
      </c>
      <c r="F3017" s="269"/>
      <c r="G3017" s="276">
        <v>12</v>
      </c>
      <c r="H3017" s="283">
        <v>4300</v>
      </c>
      <c r="I3017" s="246">
        <v>16</v>
      </c>
      <c r="J3017" s="246">
        <v>2</v>
      </c>
      <c r="K3017" s="247" t="s">
        <v>6412</v>
      </c>
      <c r="L3017" s="248">
        <v>53918</v>
      </c>
      <c r="M3017" s="249">
        <f>15*(LEFT(TEXT($L3017,"000000"),2)+(MID(TEXT($L3017,"000000"),3,2)/60)+(RIGHT(TEXT($L3017,"000000"),2)/3600))</f>
        <v>84.825000000000003</v>
      </c>
      <c r="N3017" s="250">
        <v>231700</v>
      </c>
      <c r="O3017" s="251">
        <f>IF($N3017&gt;0,(LEFT(TEXT($N3017,"000000"),2)+(MID(TEXT($N3017,"000000"),3,2)/60)+(RIGHT(TEXT($N3017,"000000"),2)/3600)),-(MID(TEXT($N3017,"000000"),2,2)+(MID(TEXT($N3017,"000000"),4,2)/60)+(RIGHT(TEXT($N3017,"000000"),2)/3600)))</f>
        <v>23.283333333333335</v>
      </c>
      <c r="P3017" s="252" t="s">
        <v>56</v>
      </c>
      <c r="Q3017" s="253"/>
      <c r="R3017" s="247"/>
      <c r="S3017" s="272" t="s">
        <v>6411</v>
      </c>
      <c r="T3017" s="273"/>
      <c r="U3017" s="274"/>
      <c r="V3017" s="280"/>
      <c r="W3017" s="244"/>
      <c r="X3017" s="244"/>
      <c r="Y3017" s="362"/>
      <c r="Z3017" s="257">
        <f>altaz(J2000_Bas,$O3017,$M3017,DecLat,DecLong,1)</f>
        <v>-32.046202939284683</v>
      </c>
      <c r="AA3017" s="257">
        <f>altaz((J2000_Bas+(2*0.04167)),$O3017,$M3017,DecLat,DecLong,1)</f>
        <v>-16.804906212694164</v>
      </c>
      <c r="AB3017" s="257">
        <f>altaz((J2000_Bas+(4*0.04167)),$O3017,$M3017,DecLat,DecLong,1)</f>
        <v>4.8829916790607868</v>
      </c>
      <c r="AC3017" s="257">
        <f>altaz((J2000_Bas+(6*0.04167)),$O3017,$M3017,DecLat,DecLong,1)</f>
        <v>29.424283850394211</v>
      </c>
      <c r="AD3017" s="258">
        <f>1+ transit((J2000_Bas-1),$O3017,$M3017,DecLat,DecLong)/360 + (GMTOffset/24) + (IF(DST="Y", 1, 0)/24)</f>
        <v>1.228524937067208</v>
      </c>
      <c r="AE3017" s="259">
        <f>DATE(2001,9,21)+(M3017/360)*365 - (360*((DecLong/360)- (GMTOffset/24) ))</f>
        <v>37246.003125000003</v>
      </c>
      <c r="AF3017" s="260">
        <f>IF(DecLat&gt;0,IF((90 - (DecLat-O3017))&gt;90, (90 - (O3017-DecLat)), (90 - (DecLat-O3017))),IF((90 + (DecLat-O3017))&gt;90, (90 + (O3017-DecLat)), (90 + (DecLat-O3017))))</f>
        <v>82.283333333333331</v>
      </c>
      <c r="AG3017" s="257">
        <f>angularseperation(MoonRA,MoonDec,$M3017,$O3017)</f>
        <v>165.40670647864269</v>
      </c>
      <c r="AH3017" s="261">
        <f ca="1">MIN(100,IF($O$5&gt;80,0+30*($AG3017/100),IF($O$5&gt;70,0+50*($AG3017/100),IF($O$5&gt;60,5+50*($AG3017/100),IF($O$5&gt;50,10+60*($AG3017/100),IF($O$5&gt;40,15+70*($AG3017/100),IF($O$5&gt;30,20+70*($AG3017/100),IF($O$5&gt;20,40+55*($AG3017/100),(80+(20-$O$5)+30*($AG3017/100))))))))))</f>
        <v>100</v>
      </c>
      <c r="AI3017" s="262"/>
      <c r="AJ3017" s="262"/>
      <c r="AK3017" s="262"/>
      <c r="AL3017" s="263"/>
      <c r="AM3017" s="264"/>
      <c r="AN3017" s="263"/>
      <c r="AO3017" s="263"/>
      <c r="AP3017" s="265"/>
      <c r="AQ3017" s="266"/>
      <c r="AR3017" s="267"/>
      <c r="AS3017" s="263"/>
      <c r="AT3017" s="263"/>
      <c r="AU3017" s="263"/>
      <c r="AV3017" s="264"/>
      <c r="AW3017" s="263"/>
      <c r="AX3017" s="263"/>
      <c r="AY3017" s="263"/>
      <c r="AZ3017" s="263"/>
      <c r="BA3017" s="263"/>
      <c r="BB3017" s="263">
        <v>243</v>
      </c>
      <c r="BC3017" s="263"/>
      <c r="BD3017" s="264">
        <v>47</v>
      </c>
      <c r="BE3017" s="263"/>
      <c r="BF3017" s="263"/>
      <c r="BG3017" s="263"/>
      <c r="BH3017" s="263"/>
      <c r="BI3017" s="263"/>
      <c r="BJ3017" s="404">
        <f>altaz(J2000_Bas,$O3017,$M3017,DecLat,DecLong,2)</f>
        <v>23.047609923146766</v>
      </c>
      <c r="BK3017" s="378" t="s">
        <v>2824</v>
      </c>
      <c r="BL3017" s="379">
        <f>IF((2*G3017)/60&lt;0.2,0.2,(2*G3017)/60)</f>
        <v>0.4</v>
      </c>
      <c r="BM3017" s="380">
        <f>MOD((50000+AD3017-$B$3+(0/24)),1)</f>
        <v>0.44389186677290127</v>
      </c>
      <c r="BN3017" s="381"/>
      <c r="BO3017" s="382">
        <v>3007</v>
      </c>
    </row>
    <row r="3018" spans="1:67" s="24" customFormat="1" ht="15" customHeight="1" x14ac:dyDescent="0.25">
      <c r="A3018" s="288" t="s">
        <v>2825</v>
      </c>
      <c r="B3018" s="241" t="str">
        <f>HYPERLINK(CONCATENATE($AT$3,BK3018,$AU$3),$AV$3)</f>
        <v>S</v>
      </c>
      <c r="C3018" s="242" t="str">
        <f>HYPERLINK(CONCATENATE($AT$4,BK3018,$AU$4,BL3018),$AV$4)</f>
        <v>A</v>
      </c>
      <c r="D3018" s="243" t="s">
        <v>5187</v>
      </c>
      <c r="E3018" s="244" t="s">
        <v>5186</v>
      </c>
      <c r="F3018" s="269"/>
      <c r="G3018" s="276">
        <v>11</v>
      </c>
      <c r="H3018" s="283">
        <v>740</v>
      </c>
      <c r="I3018" s="279">
        <v>2.4</v>
      </c>
      <c r="J3018" s="246">
        <v>2</v>
      </c>
      <c r="K3018" s="247" t="s">
        <v>9442</v>
      </c>
      <c r="L3018" s="248">
        <v>53800</v>
      </c>
      <c r="M3018" s="249">
        <f>15*(LEFT(TEXT($L3018,"000000"),2)+(MID(TEXT($L3018,"000000"),3,2)/60)+(RIGHT(TEXT($L3018,"000000"),2)/3600))</f>
        <v>84.5</v>
      </c>
      <c r="N3018" s="286">
        <v>-1102</v>
      </c>
      <c r="O3018" s="251">
        <f>IF($N3018&gt;0,(LEFT(TEXT($N3018,"000000"),2)+(MID(TEXT($N3018,"000000"),3,2)/60)+(RIGHT(TEXT($N3018,"000000"),2)/3600)),-(MID(TEXT($N3018,"000000"),2,2)+(MID(TEXT($N3018,"000000"),4,2)/60)+(RIGHT(TEXT($N3018,"000000"),2)/3600)))</f>
        <v>-0.18388888888888888</v>
      </c>
      <c r="P3018" s="252" t="s">
        <v>56</v>
      </c>
      <c r="Q3018" s="253"/>
      <c r="R3018" s="277" t="s">
        <v>9567</v>
      </c>
      <c r="S3018" s="272" t="s">
        <v>6413</v>
      </c>
      <c r="T3018" s="273"/>
      <c r="U3018" s="274"/>
      <c r="V3018" s="280"/>
      <c r="W3018" s="244"/>
      <c r="X3018" s="244"/>
      <c r="Y3018" s="362"/>
      <c r="Z3018" s="257">
        <f>altaz(J2000_Bas,$O3018,$M3018,DecLat,DecLong,1)</f>
        <v>-53.049772143659801</v>
      </c>
      <c r="AA3018" s="257">
        <f>altaz((J2000_Bas+(2*0.04167)),$O3018,$M3018,DecLat,DecLong,1)</f>
        <v>-32.291586222573073</v>
      </c>
      <c r="AB3018" s="257">
        <f>altaz((J2000_Bas+(4*0.04167)),$O3018,$M3018,DecLat,DecLong,1)</f>
        <v>-7.2274470208911215</v>
      </c>
      <c r="AC3018" s="257">
        <f>altaz((J2000_Bas+(6*0.04167)),$O3018,$M3018,DecLat,DecLong,1)</f>
        <v>18.424940680234087</v>
      </c>
      <c r="AD3018" s="258">
        <f>1+ transit((J2000_Bas-1),$O3018,$M3018,DecLat,DecLong)/360 + (GMTOffset/24) + (IF(DST="Y", 1, 0)/24)</f>
        <v>1.2276221593797081</v>
      </c>
      <c r="AE3018" s="259">
        <f>DATE(2001,9,21)+(M3018/360)*365 - (360*((DecLong/360)- (GMTOffset/24) ))</f>
        <v>37245.673611111109</v>
      </c>
      <c r="AF3018" s="260">
        <f>IF(DecLat&gt;0,IF((90 - (DecLat-O3018))&gt;90, (90 - (O3018-DecLat)), (90 - (DecLat-O3018))),IF((90 + (DecLat-O3018))&gt;90, (90 + (O3018-DecLat)), (90 + (DecLat-O3018))))</f>
        <v>58.816111111111113</v>
      </c>
      <c r="AG3018" s="257">
        <f>angularseperation(MoonRA,MoonDec,$M3018,$O3018)</f>
        <v>149.03583575655901</v>
      </c>
      <c r="AH3018" s="261">
        <f ca="1">MIN(100,IF($O$5&gt;80,0+30*($AG3018/100),IF($O$5&gt;70,0+50*($AG3018/100),IF($O$5&gt;60,5+50*($AG3018/100),IF($O$5&gt;50,10+60*($AG3018/100),IF($O$5&gt;40,15+70*($AG3018/100),IF($O$5&gt;30,20+70*($AG3018/100),IF($O$5&gt;20,40+55*($AG3018/100),(80+(20-$O$5)+30*($AG3018/100))))))))))</f>
        <v>100</v>
      </c>
      <c r="AI3018" s="263"/>
      <c r="AJ3018" s="263"/>
      <c r="AK3018" s="263"/>
      <c r="AL3018" s="263"/>
      <c r="AM3018" s="264"/>
      <c r="AN3018" s="263"/>
      <c r="AO3018" s="263"/>
      <c r="AP3018" s="265"/>
      <c r="AQ3018" s="265"/>
      <c r="AR3018" s="285"/>
      <c r="AS3018" s="263"/>
      <c r="AT3018" s="263"/>
      <c r="AU3018" s="263"/>
      <c r="AV3018" s="264"/>
      <c r="AW3018" s="263"/>
      <c r="AX3018" s="263"/>
      <c r="AY3018" s="263"/>
      <c r="AZ3018" s="263"/>
      <c r="BA3018" s="263"/>
      <c r="BB3018" s="263"/>
      <c r="BC3018" s="263"/>
      <c r="BD3018" s="264">
        <v>48</v>
      </c>
      <c r="BE3018" s="263"/>
      <c r="BF3018" s="263"/>
      <c r="BG3018" s="263"/>
      <c r="BH3018" s="263"/>
      <c r="BI3018" s="263"/>
      <c r="BJ3018" s="404">
        <f>altaz(J2000_Bas,$O3018,$M3018,DecLat,DecLong,2)</f>
        <v>37.5724445343822</v>
      </c>
      <c r="BK3018" s="378" t="s">
        <v>2825</v>
      </c>
      <c r="BL3018" s="379">
        <f>IF((2*G3018)/60&lt;0.2,0.2,(2*G3018)/60)</f>
        <v>0.36666666666666664</v>
      </c>
      <c r="BM3018" s="380">
        <f>MOD((50000+AD3018-$B$3+(0/24)),1)</f>
        <v>0.44298908908240264</v>
      </c>
      <c r="BN3018" s="381"/>
      <c r="BO3018" s="382">
        <v>3008</v>
      </c>
    </row>
    <row r="3019" spans="1:67" s="24" customFormat="1" ht="15" customHeight="1" x14ac:dyDescent="0.25">
      <c r="A3019" s="288" t="s">
        <v>2826</v>
      </c>
      <c r="B3019" s="241" t="str">
        <f>HYPERLINK(CONCATENATE($AT$3,BK3019,$AU$3),$AV$3)</f>
        <v>S</v>
      </c>
      <c r="C3019" s="242" t="str">
        <f>HYPERLINK(CONCATENATE($AT$4,BK3019,$AU$4,BL3019),$AV$4)</f>
        <v>A</v>
      </c>
      <c r="D3019" s="243" t="s">
        <v>5187</v>
      </c>
      <c r="E3019" s="244" t="s">
        <v>5186</v>
      </c>
      <c r="F3019" s="269"/>
      <c r="G3019" s="276">
        <v>10</v>
      </c>
      <c r="H3019" s="283">
        <v>1800</v>
      </c>
      <c r="I3019" s="279">
        <v>5</v>
      </c>
      <c r="J3019" s="246">
        <v>2</v>
      </c>
      <c r="K3019" s="247" t="s">
        <v>9443</v>
      </c>
      <c r="L3019" s="248">
        <v>53900</v>
      </c>
      <c r="M3019" s="249">
        <f>15*(LEFT(TEXT($L3019,"000000"),2)+(MID(TEXT($L3019,"000000"),3,2)/60)+(RIGHT(TEXT($L3019,"000000"),2)/3600))</f>
        <v>84.75</v>
      </c>
      <c r="N3019" s="286">
        <v>40902</v>
      </c>
      <c r="O3019" s="251">
        <f>IF($N3019&gt;0,(LEFT(TEXT($N3019,"000000"),2)+(MID(TEXT($N3019,"000000"),3,2)/60)+(RIGHT(TEXT($N3019,"000000"),2)/3600)),-(MID(TEXT($N3019,"000000"),2,2)+(MID(TEXT($N3019,"000000"),4,2)/60)+(RIGHT(TEXT($N3019,"000000"),2)/3600)))</f>
        <v>4.150555555555556</v>
      </c>
      <c r="P3019" s="252" t="s">
        <v>56</v>
      </c>
      <c r="Q3019" s="253"/>
      <c r="R3019" s="277" t="s">
        <v>9568</v>
      </c>
      <c r="S3019" s="272" t="s">
        <v>3293</v>
      </c>
      <c r="T3019" s="273"/>
      <c r="U3019" s="274"/>
      <c r="V3019" s="280"/>
      <c r="W3019" s="244"/>
      <c r="X3019" s="244"/>
      <c r="Y3019" s="362"/>
      <c r="Z3019" s="257">
        <f>altaz(J2000_Bas,$O3019,$M3019,DecLat,DecLong,1)</f>
        <v>-49.420143239766986</v>
      </c>
      <c r="AA3019" s="257">
        <f>altaz((J2000_Bas+(2*0.04167)),$O3019,$M3019,DecLat,DecLong,1)</f>
        <v>-29.789955057572161</v>
      </c>
      <c r="AB3019" s="257">
        <f>altaz((J2000_Bas+(4*0.04167)),$O3019,$M3019,DecLat,DecLong,1)</f>
        <v>-5.177591814435643</v>
      </c>
      <c r="AC3019" s="257">
        <f>altaz((J2000_Bas+(6*0.04167)),$O3019,$M3019,DecLat,DecLong,1)</f>
        <v>20.529708167511739</v>
      </c>
      <c r="AD3019" s="258">
        <f>1+ transit((J2000_Bas-1),$O3019,$M3019,DecLat,DecLong)/360 + (GMTOffset/24) + (IF(DST="Y", 1, 0)/24)</f>
        <v>1.228316603754708</v>
      </c>
      <c r="AE3019" s="259">
        <f>DATE(2001,9,21)+(M3019/360)*365 - (360*((DecLong/360)- (GMTOffset/24) ))</f>
        <v>37245.927083333336</v>
      </c>
      <c r="AF3019" s="260">
        <f>IF(DecLat&gt;0,IF((90 - (DecLat-O3019))&gt;90, (90 - (O3019-DecLat)), (90 - (DecLat-O3019))),IF((90 + (DecLat-O3019))&gt;90, (90 + (O3019-DecLat)), (90 + (DecLat-O3019))))</f>
        <v>63.150555555555556</v>
      </c>
      <c r="AG3019" s="257">
        <f>angularseperation(MoonRA,MoonDec,$M3019,$O3019)</f>
        <v>152.70130294733028</v>
      </c>
      <c r="AH3019" s="261">
        <f ca="1">MIN(100,IF($O$5&gt;80,0+30*($AG3019/100),IF($O$5&gt;70,0+50*($AG3019/100),IF($O$5&gt;60,5+50*($AG3019/100),IF($O$5&gt;50,10+60*($AG3019/100),IF($O$5&gt;40,15+70*($AG3019/100),IF($O$5&gt;30,20+70*($AG3019/100),IF($O$5&gt;20,40+55*($AG3019/100),(80+(20-$O$5)+30*($AG3019/100))))))))))</f>
        <v>100</v>
      </c>
      <c r="AI3019" s="263"/>
      <c r="AJ3019" s="263"/>
      <c r="AK3019" s="263"/>
      <c r="AL3019" s="263"/>
      <c r="AM3019" s="264"/>
      <c r="AN3019" s="263"/>
      <c r="AO3019" s="263"/>
      <c r="AP3019" s="265"/>
      <c r="AQ3019" s="265"/>
      <c r="AR3019" s="285"/>
      <c r="AS3019" s="263"/>
      <c r="AT3019" s="263"/>
      <c r="AU3019" s="263"/>
      <c r="AV3019" s="264"/>
      <c r="AW3019" s="263"/>
      <c r="AX3019" s="263"/>
      <c r="AY3019" s="263"/>
      <c r="AZ3019" s="263"/>
      <c r="BA3019" s="263"/>
      <c r="BB3019" s="263"/>
      <c r="BC3019" s="263"/>
      <c r="BD3019" s="264">
        <v>49</v>
      </c>
      <c r="BE3019" s="263"/>
      <c r="BF3019" s="263"/>
      <c r="BG3019" s="263"/>
      <c r="BH3019" s="263"/>
      <c r="BI3019" s="263"/>
      <c r="BJ3019" s="404">
        <f>altaz(J2000_Bas,$O3019,$M3019,DecLat,DecLong,2)</f>
        <v>33.763521453168579</v>
      </c>
      <c r="BK3019" s="378" t="s">
        <v>2826</v>
      </c>
      <c r="BL3019" s="379">
        <f>IF((2*G3019)/60&lt;0.2,0.2,(2*G3019)/60)</f>
        <v>0.33333333333333331</v>
      </c>
      <c r="BM3019" s="380">
        <f>MOD((50000+AD3019-$B$3+(0/24)),1)</f>
        <v>0.44368353345635114</v>
      </c>
      <c r="BN3019" s="381"/>
      <c r="BO3019" s="382">
        <v>3009</v>
      </c>
    </row>
    <row r="3020" spans="1:67" s="24" customFormat="1" ht="15" customHeight="1" x14ac:dyDescent="0.25">
      <c r="A3020" s="288" t="s">
        <v>2827</v>
      </c>
      <c r="B3020" s="241" t="str">
        <f>HYPERLINK(CONCATENATE($AT$3,BK3020,$AU$3),$AV$3)</f>
        <v>S</v>
      </c>
      <c r="C3020" s="242" t="str">
        <f>HYPERLINK(CONCATENATE($AT$4,BK3020,$AU$4,BL3020),$AV$4)</f>
        <v>A</v>
      </c>
      <c r="D3020" s="243" t="s">
        <v>5187</v>
      </c>
      <c r="E3020" s="244" t="s">
        <v>5186</v>
      </c>
      <c r="F3020" s="269"/>
      <c r="G3020" s="273">
        <v>6.2</v>
      </c>
      <c r="H3020" s="283">
        <v>1340</v>
      </c>
      <c r="I3020" s="279">
        <v>2.5</v>
      </c>
      <c r="J3020" s="246">
        <v>2</v>
      </c>
      <c r="K3020" s="247" t="s">
        <v>9444</v>
      </c>
      <c r="L3020" s="248">
        <v>54014</v>
      </c>
      <c r="M3020" s="249">
        <f>15*(LEFT(TEXT($L3020,"000000"),2)+(MID(TEXT($L3020,"000000"),3,2)/60)+(RIGHT(TEXT($L3020,"000000"),2)/3600))</f>
        <v>85.058333333333337</v>
      </c>
      <c r="N3020" s="250">
        <v>-12709</v>
      </c>
      <c r="O3020" s="251">
        <f>IF($N3020&gt;0,(LEFT(TEXT($N3020,"000000"),2)+(MID(TEXT($N3020,"000000"),3,2)/60)+(RIGHT(TEXT($N3020,"000000"),2)/3600)),-(MID(TEXT($N3020,"000000"),2,2)+(MID(TEXT($N3020,"000000"),4,2)/60)+(RIGHT(TEXT($N3020,"000000"),2)/3600)))</f>
        <v>-1.4524999999999999</v>
      </c>
      <c r="P3020" s="252" t="s">
        <v>41</v>
      </c>
      <c r="Q3020" s="253"/>
      <c r="R3020" s="247" t="s">
        <v>9569</v>
      </c>
      <c r="S3020" s="272" t="s">
        <v>3293</v>
      </c>
      <c r="T3020" s="273"/>
      <c r="U3020" s="274"/>
      <c r="V3020" s="280"/>
      <c r="W3020" s="244"/>
      <c r="X3020" s="244"/>
      <c r="Y3020" s="362"/>
      <c r="Z3020" s="257">
        <f>altaz(J2000_Bas,$O3020,$M3020,DecLat,DecLong,1)</f>
        <v>-54.422663235065457</v>
      </c>
      <c r="AA3020" s="257">
        <f>altaz((J2000_Bas+(2*0.04167)),$O3020,$M3020,DecLat,DecLong,1)</f>
        <v>-33.502926642261023</v>
      </c>
      <c r="AB3020" s="257">
        <f>altaz((J2000_Bas+(4*0.04167)),$O3020,$M3020,DecLat,DecLong,1)</f>
        <v>-8.3620435269635554</v>
      </c>
      <c r="AC3020" s="257">
        <f>altaz((J2000_Bas+(6*0.04167)),$O3020,$M3020,DecLat,DecLong,1)</f>
        <v>17.264841258788564</v>
      </c>
      <c r="AD3020" s="258">
        <f>1+ transit((J2000_Bas-1),$O3020,$M3020,DecLat,DecLong)/360 + (GMTOffset/24) + (IF(DST="Y", 1, 0)/24)</f>
        <v>1.2291730851505414</v>
      </c>
      <c r="AE3020" s="259">
        <f>DATE(2001,9,21)+(M3020/360)*365 - (360*((DecLong/360)- (GMTOffset/24) ))</f>
        <v>37246.239699074074</v>
      </c>
      <c r="AF3020" s="260">
        <f>IF(DecLat&gt;0,IF((90 - (DecLat-O3020))&gt;90, (90 - (O3020-DecLat)), (90 - (DecLat-O3020))),IF((90 + (DecLat-O3020))&gt;90, (90 + (O3020-DecLat)), (90 + (DecLat-O3020))))</f>
        <v>57.547499999999999</v>
      </c>
      <c r="AG3020" s="257">
        <f>angularseperation(MoonRA,MoonDec,$M3020,$O3020)</f>
        <v>147.65208802245149</v>
      </c>
      <c r="AH3020" s="261">
        <f ca="1">MIN(100,IF($O$5&gt;80,0+30*($AG3020/100),IF($O$5&gt;70,0+50*($AG3020/100),IF($O$5&gt;60,5+50*($AG3020/100),IF($O$5&gt;50,10+60*($AG3020/100),IF($O$5&gt;40,15+70*($AG3020/100),IF($O$5&gt;30,20+70*($AG3020/100),IF($O$5&gt;20,40+55*($AG3020/100),(80+(20-$O$5)+30*($AG3020/100))))))))))</f>
        <v>100</v>
      </c>
      <c r="AI3020" s="262"/>
      <c r="AJ3020" s="262"/>
      <c r="AK3020" s="262"/>
      <c r="AL3020" s="263"/>
      <c r="AM3020" s="264"/>
      <c r="AN3020" s="263"/>
      <c r="AO3020" s="263"/>
      <c r="AP3020" s="265"/>
      <c r="AQ3020" s="266"/>
      <c r="AR3020" s="267"/>
      <c r="AS3020" s="263"/>
      <c r="AT3020" s="263"/>
      <c r="AU3020" s="263"/>
      <c r="AV3020" s="264"/>
      <c r="AW3020" s="263"/>
      <c r="AX3020" s="263"/>
      <c r="AY3020" s="263"/>
      <c r="AZ3020" s="263"/>
      <c r="BA3020" s="263"/>
      <c r="BB3020" s="263"/>
      <c r="BC3020" s="263"/>
      <c r="BD3020" s="264">
        <v>50</v>
      </c>
      <c r="BE3020" s="263"/>
      <c r="BF3020" s="263"/>
      <c r="BG3020" s="263"/>
      <c r="BH3020" s="263"/>
      <c r="BI3020" s="263"/>
      <c r="BJ3020" s="404">
        <f>altaz(J2000_Bas,$O3020,$M3020,DecLat,DecLong,2)</f>
        <v>37.89417308248786</v>
      </c>
      <c r="BK3020" s="378" t="s">
        <v>2827</v>
      </c>
      <c r="BL3020" s="379">
        <f>IF((2*G3020)/60&lt;0.2,0.2,(2*G3020)/60)</f>
        <v>0.20666666666666667</v>
      </c>
      <c r="BM3020" s="380">
        <f>MOD((50000+AD3020-$B$3+(0/24)),1)</f>
        <v>0.44454001485428307</v>
      </c>
      <c r="BN3020" s="381"/>
      <c r="BO3020" s="382">
        <v>3010</v>
      </c>
    </row>
    <row r="3021" spans="1:67" s="24" customFormat="1" ht="15" customHeight="1" x14ac:dyDescent="0.25">
      <c r="A3021" s="288" t="s">
        <v>2828</v>
      </c>
      <c r="B3021" s="241" t="str">
        <f>HYPERLINK(CONCATENATE($AT$3,BK3021,$AU$3),$AV$3)</f>
        <v>S</v>
      </c>
      <c r="C3021" s="242" t="str">
        <f>HYPERLINK(CONCATENATE($AT$4,BK3021,$AU$4,BL3021),$AV$4)</f>
        <v>A</v>
      </c>
      <c r="D3021" s="243" t="s">
        <v>5187</v>
      </c>
      <c r="E3021" s="244" t="s">
        <v>5186</v>
      </c>
      <c r="F3021" s="269"/>
      <c r="G3021" s="276">
        <v>10</v>
      </c>
      <c r="H3021" s="283">
        <v>1280</v>
      </c>
      <c r="I3021" s="279">
        <v>4</v>
      </c>
      <c r="J3021" s="246">
        <v>3</v>
      </c>
      <c r="K3021" s="247" t="s">
        <v>9445</v>
      </c>
      <c r="L3021" s="248">
        <v>54058</v>
      </c>
      <c r="M3021" s="249">
        <f>15*(LEFT(TEXT($L3021,"000000"),2)+(MID(TEXT($L3021,"000000"),3,2)/60)+(RIGHT(TEXT($L3021,"000000"),2)/3600))</f>
        <v>85.241666666666674</v>
      </c>
      <c r="N3021" s="250">
        <v>-12913</v>
      </c>
      <c r="O3021" s="251">
        <f>IF($N3021&gt;0,(LEFT(TEXT($N3021,"000000"),2)+(MID(TEXT($N3021,"000000"),3,2)/60)+(RIGHT(TEXT($N3021,"000000"),2)/3600)),-(MID(TEXT($N3021,"000000"),2,2)+(MID(TEXT($N3021,"000000"),4,2)/60)+(RIGHT(TEXT($N3021,"000000"),2)/3600)))</f>
        <v>-1.4869444444444444</v>
      </c>
      <c r="P3021" s="252" t="s">
        <v>41</v>
      </c>
      <c r="Q3021" s="253"/>
      <c r="R3021" s="247" t="s">
        <v>9570</v>
      </c>
      <c r="S3021" s="272" t="s">
        <v>3293</v>
      </c>
      <c r="T3021" s="273"/>
      <c r="U3021" s="274"/>
      <c r="V3021" s="280"/>
      <c r="W3021" s="244"/>
      <c r="X3021" s="244"/>
      <c r="Y3021" s="362"/>
      <c r="Z3021" s="257">
        <f>altaz(J2000_Bas,$O3021,$M3021,DecLat,DecLong,1)</f>
        <v>-54.548237506005087</v>
      </c>
      <c r="AA3021" s="257">
        <f>altaz((J2000_Bas+(2*0.04167)),$O3021,$M3021,DecLat,DecLong,1)</f>
        <v>-33.670065023977394</v>
      </c>
      <c r="AB3021" s="257">
        <f>altaz((J2000_Bas+(4*0.04167)),$O3021,$M3021,DecLat,DecLong,1)</f>
        <v>-8.5367265402339605</v>
      </c>
      <c r="AC3021" s="257">
        <f>altaz((J2000_Bas+(6*0.04167)),$O3021,$M3021,DecLat,DecLong,1)</f>
        <v>17.092593148010142</v>
      </c>
      <c r="AD3021" s="258">
        <f>1+ transit((J2000_Bas-1),$O3021,$M3021,DecLat,DecLong)/360 + (GMTOffset/24) + (IF(DST="Y", 1, 0)/24)</f>
        <v>1.2296823443588747</v>
      </c>
      <c r="AE3021" s="259">
        <f>DATE(2001,9,21)+(M3021/360)*365 - (360*((DecLong/360)- (GMTOffset/24) ))</f>
        <v>37246.425578703704</v>
      </c>
      <c r="AF3021" s="260">
        <f>IF(DecLat&gt;0,IF((90 - (DecLat-O3021))&gt;90, (90 - (O3021-DecLat)), (90 - (DecLat-O3021))),IF((90 + (DecLat-O3021))&gt;90, (90 + (O3021-DecLat)), (90 + (DecLat-O3021))))</f>
        <v>57.513055555555553</v>
      </c>
      <c r="AG3021" s="257">
        <f>angularseperation(MoonRA,MoonDec,$M3021,$O3021)</f>
        <v>147.53796367513468</v>
      </c>
      <c r="AH3021" s="261">
        <f ca="1">MIN(100,IF($O$5&gt;80,0+30*($AG3021/100),IF($O$5&gt;70,0+50*($AG3021/100),IF($O$5&gt;60,5+50*($AG3021/100),IF($O$5&gt;50,10+60*($AG3021/100),IF($O$5&gt;40,15+70*($AG3021/100),IF($O$5&gt;30,20+70*($AG3021/100),IF($O$5&gt;20,40+55*($AG3021/100),(80+(20-$O$5)+30*($AG3021/100))))))))))</f>
        <v>100</v>
      </c>
      <c r="AI3021" s="262"/>
      <c r="AJ3021" s="262"/>
      <c r="AK3021" s="262"/>
      <c r="AL3021" s="263"/>
      <c r="AM3021" s="264"/>
      <c r="AN3021" s="263"/>
      <c r="AO3021" s="263"/>
      <c r="AP3021" s="265"/>
      <c r="AQ3021" s="266"/>
      <c r="AR3021" s="267"/>
      <c r="AS3021" s="263"/>
      <c r="AT3021" s="263"/>
      <c r="AU3021" s="263"/>
      <c r="AV3021" s="264"/>
      <c r="AW3021" s="263"/>
      <c r="AX3021" s="263"/>
      <c r="AY3021" s="263"/>
      <c r="AZ3021" s="263"/>
      <c r="BA3021" s="263"/>
      <c r="BB3021" s="263"/>
      <c r="BC3021" s="263"/>
      <c r="BD3021" s="264">
        <v>51</v>
      </c>
      <c r="BE3021" s="263"/>
      <c r="BF3021" s="263"/>
      <c r="BG3021" s="263"/>
      <c r="BH3021" s="263"/>
      <c r="BI3021" s="263"/>
      <c r="BJ3021" s="404">
        <f>altaz(J2000_Bas,$O3021,$M3021,DecLat,DecLong,2)</f>
        <v>37.656848069920713</v>
      </c>
      <c r="BK3021" s="378" t="s">
        <v>2828</v>
      </c>
      <c r="BL3021" s="379">
        <f>IF((2*G3021)/60&lt;0.2,0.2,(2*G3021)/60)</f>
        <v>0.33333333333333331</v>
      </c>
      <c r="BM3021" s="380">
        <f>MOD((50000+AD3021-$B$3+(0/24)),1)</f>
        <v>0.44504927406524075</v>
      </c>
      <c r="BN3021" s="381"/>
      <c r="BO3021" s="382">
        <v>3011</v>
      </c>
    </row>
    <row r="3022" spans="1:67" s="24" customFormat="1" ht="15" customHeight="1" x14ac:dyDescent="0.25">
      <c r="A3022" s="288" t="s">
        <v>2829</v>
      </c>
      <c r="B3022" s="241" t="str">
        <f>HYPERLINK(CONCATENATE($AT$3,BK3022,$AU$3),$AV$3)</f>
        <v>S</v>
      </c>
      <c r="C3022" s="242" t="str">
        <f>HYPERLINK(CONCATENATE($AT$4,BK3022,$AU$4,BL3022),$AV$4)</f>
        <v>A</v>
      </c>
      <c r="D3022" s="243" t="s">
        <v>5187</v>
      </c>
      <c r="E3022" s="244" t="s">
        <v>5186</v>
      </c>
      <c r="F3022" s="269"/>
      <c r="G3022" s="273">
        <v>8.6</v>
      </c>
      <c r="H3022" s="283">
        <v>1300</v>
      </c>
      <c r="I3022" s="279">
        <v>3.2</v>
      </c>
      <c r="J3022" s="246">
        <v>3</v>
      </c>
      <c r="K3022" s="247" t="s">
        <v>9446</v>
      </c>
      <c r="L3022" s="248">
        <v>54139</v>
      </c>
      <c r="M3022" s="249">
        <f>15*(LEFT(TEXT($L3022,"000000"),2)+(MID(TEXT($L3022,"000000"),3,2)/60)+(RIGHT(TEXT($L3022,"000000"),2)/3600))</f>
        <v>85.412500000000009</v>
      </c>
      <c r="N3022" s="250">
        <v>-21504</v>
      </c>
      <c r="O3022" s="251">
        <f>IF($N3022&gt;0,(LEFT(TEXT($N3022,"000000"),2)+(MID(TEXT($N3022,"000000"),3,2)/60)+(RIGHT(TEXT($N3022,"000000"),2)/3600)),-(MID(TEXT($N3022,"000000"),2,2)+(MID(TEXT($N3022,"000000"),4,2)/60)+(RIGHT(TEXT($N3022,"000000"),2)/3600)))</f>
        <v>-2.2511111111111113</v>
      </c>
      <c r="P3022" s="252" t="s">
        <v>41</v>
      </c>
      <c r="Q3022" s="253"/>
      <c r="R3022" s="247" t="s">
        <v>5502</v>
      </c>
      <c r="S3022" s="272" t="s">
        <v>5502</v>
      </c>
      <c r="T3022" s="273"/>
      <c r="U3022" s="274"/>
      <c r="V3022" s="280"/>
      <c r="W3022" s="244"/>
      <c r="X3022" s="244"/>
      <c r="Y3022" s="362"/>
      <c r="Z3022" s="257">
        <f>altaz(J2000_Bas,$O3022,$M3022,DecLat,DecLong,1)</f>
        <v>-55.287781430229685</v>
      </c>
      <c r="AA3022" s="257">
        <f>altaz((J2000_Bas+(2*0.04167)),$O3022,$M3022,DecLat,DecLong,1)</f>
        <v>-34.26474483312839</v>
      </c>
      <c r="AB3022" s="257">
        <f>altaz((J2000_Bas+(4*0.04167)),$O3022,$M3022,DecLat,DecLong,1)</f>
        <v>-9.0775558531173957</v>
      </c>
      <c r="AC3022" s="257">
        <f>altaz((J2000_Bas+(6*0.04167)),$O3022,$M3022,DecLat,DecLong,1)</f>
        <v>16.53089462393309</v>
      </c>
      <c r="AD3022" s="258">
        <f>1+ transit((J2000_Bas-1),$O3022,$M3022,DecLat,DecLong)/360 + (GMTOffset/24) + (IF(DST="Y", 1, 0)/24)</f>
        <v>1.230156881348458</v>
      </c>
      <c r="AE3022" s="259">
        <f>DATE(2001,9,21)+(M3022/360)*365 - (360*((DecLong/360)- (GMTOffset/24) ))</f>
        <v>37246.59878472222</v>
      </c>
      <c r="AF3022" s="260">
        <f>IF(DecLat&gt;0,IF((90 - (DecLat-O3022))&gt;90, (90 - (O3022-DecLat)), (90 - (DecLat-O3022))),IF((90 + (DecLat-O3022))&gt;90, (90 + (O3022-DecLat)), (90 + (DecLat-O3022))))</f>
        <v>56.748888888888885</v>
      </c>
      <c r="AG3022" s="257">
        <f>angularseperation(MoonRA,MoonDec,$M3022,$O3022)</f>
        <v>146.77976818585543</v>
      </c>
      <c r="AH3022" s="261">
        <f ca="1">MIN(100,IF($O$5&gt;80,0+30*($AG3022/100),IF($O$5&gt;70,0+50*($AG3022/100),IF($O$5&gt;60,5+50*($AG3022/100),IF($O$5&gt;50,10+60*($AG3022/100),IF($O$5&gt;40,15+70*($AG3022/100),IF($O$5&gt;30,20+70*($AG3022/100),IF($O$5&gt;20,40+55*($AG3022/100),(80+(20-$O$5)+30*($AG3022/100))))))))))</f>
        <v>100</v>
      </c>
      <c r="AI3022" s="262"/>
      <c r="AJ3022" s="262"/>
      <c r="AK3022" s="262"/>
      <c r="AL3022" s="263"/>
      <c r="AM3022" s="264"/>
      <c r="AN3022" s="263"/>
      <c r="AO3022" s="263"/>
      <c r="AP3022" s="265"/>
      <c r="AQ3022" s="266"/>
      <c r="AR3022" s="267"/>
      <c r="AS3022" s="263"/>
      <c r="AT3022" s="263"/>
      <c r="AU3022" s="263"/>
      <c r="AV3022" s="264"/>
      <c r="AW3022" s="263"/>
      <c r="AX3022" s="263"/>
      <c r="AY3022" s="263"/>
      <c r="AZ3022" s="263"/>
      <c r="BA3022" s="263"/>
      <c r="BB3022" s="263"/>
      <c r="BC3022" s="263"/>
      <c r="BD3022" s="264">
        <v>52</v>
      </c>
      <c r="BE3022" s="263"/>
      <c r="BF3022" s="263"/>
      <c r="BG3022" s="263"/>
      <c r="BH3022" s="263"/>
      <c r="BI3022" s="263"/>
      <c r="BJ3022" s="404">
        <f>altaz(J2000_Bas,$O3022,$M3022,DecLat,DecLong,2)</f>
        <v>38.104459832742954</v>
      </c>
      <c r="BK3022" s="378" t="s">
        <v>2829</v>
      </c>
      <c r="BL3022" s="379">
        <f>IF((2*G3022)/60&lt;0.2,0.2,(2*G3022)/60)</f>
        <v>0.28666666666666668</v>
      </c>
      <c r="BM3022" s="380">
        <f>MOD((50000+AD3022-$B$3+(0/24)),1)</f>
        <v>0.44552381105313543</v>
      </c>
      <c r="BN3022" s="381"/>
      <c r="BO3022" s="382">
        <v>3012</v>
      </c>
    </row>
    <row r="3023" spans="1:67" s="24" customFormat="1" ht="15" customHeight="1" x14ac:dyDescent="0.25">
      <c r="A3023" s="288" t="s">
        <v>2830</v>
      </c>
      <c r="B3023" s="241" t="str">
        <f>HYPERLINK(CONCATENATE($AT$3,BK3023,$AU$3),$AV$3)</f>
        <v>S</v>
      </c>
      <c r="C3023" s="242" t="str">
        <f>HYPERLINK(CONCATENATE($AT$4,BK3023,$AU$4,BL3023),$AV$4)</f>
        <v>A</v>
      </c>
      <c r="D3023" s="243" t="s">
        <v>5187</v>
      </c>
      <c r="E3023" s="244" t="s">
        <v>5186</v>
      </c>
      <c r="F3023" s="269"/>
      <c r="G3023" s="273">
        <v>3</v>
      </c>
      <c r="H3023" s="283">
        <v>1350</v>
      </c>
      <c r="I3023" s="279">
        <v>1.3</v>
      </c>
      <c r="J3023" s="246">
        <v>0</v>
      </c>
      <c r="K3023" s="277" t="s">
        <v>9447</v>
      </c>
      <c r="L3023" s="248">
        <v>54100</v>
      </c>
      <c r="M3023" s="249">
        <f>15*(LEFT(TEXT($L3023,"000000"),2)+(MID(TEXT($L3023,"000000"),3,2)/60)+(RIGHT(TEXT($L3023,"000000"),2)/3600))</f>
        <v>85.25</v>
      </c>
      <c r="N3023" s="286">
        <v>-101902</v>
      </c>
      <c r="O3023" s="251">
        <f>IF($N3023&gt;0,(LEFT(TEXT($N3023,"000000"),2)+(MID(TEXT($N3023,"000000"),3,2)/60)+(RIGHT(TEXT($N3023,"000000"),2)/3600)),-(MID(TEXT($N3023,"000000"),2,2)+(MID(TEXT($N3023,"000000"),4,2)/60)+(RIGHT(TEXT($N3023,"000000"),2)/3600)))</f>
        <v>-10.317222222222222</v>
      </c>
      <c r="P3023" s="252" t="s">
        <v>41</v>
      </c>
      <c r="Q3023" s="253"/>
      <c r="R3023" s="277" t="s">
        <v>3293</v>
      </c>
      <c r="S3023" s="272" t="s">
        <v>3293</v>
      </c>
      <c r="T3023" s="273"/>
      <c r="U3023" s="274"/>
      <c r="V3023" s="280"/>
      <c r="W3023" s="244"/>
      <c r="X3023" s="244"/>
      <c r="Y3023" s="362"/>
      <c r="Z3023" s="257">
        <f>altaz(J2000_Bas,$O3023,$M3023,DecLat,DecLong,1)</f>
        <v>-61.743319313322715</v>
      </c>
      <c r="AA3023" s="257">
        <f>altaz((J2000_Bas+(2*0.04167)),$O3023,$M3023,DecLat,DecLong,1)</f>
        <v>-38.668502404760368</v>
      </c>
      <c r="AB3023" s="257">
        <f>altaz((J2000_Bas+(4*0.04167)),$O3023,$M3023,DecLat,DecLong,1)</f>
        <v>-13.020674374653762</v>
      </c>
      <c r="AC3023" s="257">
        <f>altaz((J2000_Bas+(6*0.04167)),$O3023,$M3023,DecLat,DecLong,1)</f>
        <v>12.125767841103981</v>
      </c>
      <c r="AD3023" s="258">
        <f>1+ transit((J2000_Bas-1),$O3023,$M3023,DecLat,DecLong)/360 + (GMTOffset/24) + (IF(DST="Y", 1, 0)/24)</f>
        <v>1.229705492504708</v>
      </c>
      <c r="AE3023" s="259">
        <f>DATE(2001,9,21)+(M3023/360)*365 - (360*((DecLong/360)- (GMTOffset/24) ))</f>
        <v>37246.434027777781</v>
      </c>
      <c r="AF3023" s="260">
        <f>IF(DecLat&gt;0,IF((90 - (DecLat-O3023))&gt;90, (90 - (O3023-DecLat)), (90 - (DecLat-O3023))),IF((90 + (DecLat-O3023))&gt;90, (90 + (O3023-DecLat)), (90 + (DecLat-O3023))))</f>
        <v>48.68277777777778</v>
      </c>
      <c r="AG3023" s="257">
        <f>angularseperation(MoonRA,MoonDec,$M3023,$O3023)</f>
        <v>139.50247497031464</v>
      </c>
      <c r="AH3023" s="261">
        <f ca="1">MIN(100,IF($O$5&gt;80,0+30*($AG3023/100),IF($O$5&gt;70,0+50*($AG3023/100),IF($O$5&gt;60,5+50*($AG3023/100),IF($O$5&gt;50,10+60*($AG3023/100),IF($O$5&gt;40,15+70*($AG3023/100),IF($O$5&gt;30,20+70*($AG3023/100),IF($O$5&gt;20,40+55*($AG3023/100),(80+(20-$O$5)+30*($AG3023/100))))))))))</f>
        <v>100</v>
      </c>
      <c r="AI3023" s="263"/>
      <c r="AJ3023" s="263"/>
      <c r="AK3023" s="263"/>
      <c r="AL3023" s="263"/>
      <c r="AM3023" s="264"/>
      <c r="AN3023" s="263"/>
      <c r="AO3023" s="263"/>
      <c r="AP3023" s="265"/>
      <c r="AQ3023" s="265"/>
      <c r="AR3023" s="285"/>
      <c r="AS3023" s="263"/>
      <c r="AT3023" s="263"/>
      <c r="AU3023" s="263"/>
      <c r="AV3023" s="264"/>
      <c r="AW3023" s="263"/>
      <c r="AX3023" s="263"/>
      <c r="AY3023" s="263"/>
      <c r="AZ3023" s="263"/>
      <c r="BA3023" s="263"/>
      <c r="BB3023" s="263"/>
      <c r="BC3023" s="263"/>
      <c r="BD3023" s="264">
        <v>53</v>
      </c>
      <c r="BE3023" s="263"/>
      <c r="BF3023" s="263"/>
      <c r="BG3023" s="263"/>
      <c r="BH3023" s="263"/>
      <c r="BI3023" s="263"/>
      <c r="BJ3023" s="404">
        <f>altaz(J2000_Bas,$O3023,$M3023,DecLat,DecLong,2)</f>
        <v>47.421450200310012</v>
      </c>
      <c r="BK3023" s="378" t="s">
        <v>2830</v>
      </c>
      <c r="BL3023" s="379">
        <f>IF((2*G3023)/60&lt;0.2,0.2,(2*G3023)/60)</f>
        <v>0.2</v>
      </c>
      <c r="BM3023" s="380">
        <f>MOD((50000+AD3023-$B$3+(0/24)),1)</f>
        <v>0.4450724222115241</v>
      </c>
      <c r="BN3023" s="381"/>
      <c r="BO3023" s="382">
        <v>3013</v>
      </c>
    </row>
    <row r="3024" spans="1:67" s="24" customFormat="1" ht="15" customHeight="1" x14ac:dyDescent="0.25">
      <c r="A3024" s="288" t="s">
        <v>2831</v>
      </c>
      <c r="B3024" s="241" t="str">
        <f>HYPERLINK(CONCATENATE($AT$3,BK3024,$AU$3),$AV$3)</f>
        <v>S</v>
      </c>
      <c r="C3024" s="242" t="str">
        <f>HYPERLINK(CONCATENATE($AT$4,BK3024,$AU$4,BL3024),$AV$4)</f>
        <v>A</v>
      </c>
      <c r="D3024" s="243" t="s">
        <v>5187</v>
      </c>
      <c r="E3024" s="244" t="s">
        <v>5186</v>
      </c>
      <c r="F3024" s="269"/>
      <c r="G3024" s="273">
        <v>5</v>
      </c>
      <c r="H3024" s="271" t="s">
        <v>6500</v>
      </c>
      <c r="I3024" s="244" t="s">
        <v>6500</v>
      </c>
      <c r="J3024" s="246">
        <v>1</v>
      </c>
      <c r="K3024" s="247" t="s">
        <v>9448</v>
      </c>
      <c r="L3024" s="248">
        <v>54200</v>
      </c>
      <c r="M3024" s="249">
        <f>15*(LEFT(TEXT($L3024,"000000"),2)+(MID(TEXT($L3024,"000000"),3,2)/60)+(RIGHT(TEXT($L3024,"000000"),2)/3600))</f>
        <v>85.5</v>
      </c>
      <c r="N3024" s="286">
        <v>-61602</v>
      </c>
      <c r="O3024" s="251">
        <f>IF($N3024&gt;0,(LEFT(TEXT($N3024,"000000"),2)+(MID(TEXT($N3024,"000000"),3,2)/60)+(RIGHT(TEXT($N3024,"000000"),2)/3600)),-(MID(TEXT($N3024,"000000"),2,2)+(MID(TEXT($N3024,"000000"),4,2)/60)+(RIGHT(TEXT($N3024,"000000"),2)/3600)))</f>
        <v>-6.2672222222222222</v>
      </c>
      <c r="P3024" s="252" t="s">
        <v>41</v>
      </c>
      <c r="Q3024" s="253"/>
      <c r="R3024" s="277" t="s">
        <v>3293</v>
      </c>
      <c r="S3024" s="272" t="s">
        <v>3293</v>
      </c>
      <c r="T3024" s="273"/>
      <c r="U3024" s="274"/>
      <c r="V3024" s="280"/>
      <c r="W3024" s="244"/>
      <c r="X3024" s="244"/>
      <c r="Y3024" s="362"/>
      <c r="Z3024" s="257">
        <f>altaz(J2000_Bas,$O3024,$M3024,DecLat,DecLong,1)</f>
        <v>-58.682176860797171</v>
      </c>
      <c r="AA3024" s="257">
        <f>altaz((J2000_Bas+(2*0.04167)),$O3024,$M3024,DecLat,DecLong,1)</f>
        <v>-36.668947967540269</v>
      </c>
      <c r="AB3024" s="257">
        <f>altaz((J2000_Bas+(4*0.04167)),$O3024,$M3024,DecLat,DecLong,1)</f>
        <v>-11.205774062772401</v>
      </c>
      <c r="AC3024" s="257">
        <f>altaz((J2000_Bas+(6*0.04167)),$O3024,$M3024,DecLat,DecLong,1)</f>
        <v>14.22523191599249</v>
      </c>
      <c r="AD3024" s="258">
        <f>1+ transit((J2000_Bas-1),$O3024,$M3024,DecLat,DecLong)/360 + (GMTOffset/24) + (IF(DST="Y", 1, 0)/24)</f>
        <v>1.2303999368797081</v>
      </c>
      <c r="AE3024" s="259">
        <f>DATE(2001,9,21)+(M3024/360)*365 - (360*((DecLong/360)- (GMTOffset/24) ))</f>
        <v>37246.6875</v>
      </c>
      <c r="AF3024" s="260">
        <f>IF(DecLat&gt;0,IF((90 - (DecLat-O3024))&gt;90, (90 - (O3024-DecLat)), (90 - (DecLat-O3024))),IF((90 + (DecLat-O3024))&gt;90, (90 + (O3024-DecLat)), (90 + (DecLat-O3024))))</f>
        <v>52.732777777777777</v>
      </c>
      <c r="AG3024" s="257">
        <f>angularseperation(MoonRA,MoonDec,$M3024,$O3024)</f>
        <v>143.12282041426857</v>
      </c>
      <c r="AH3024" s="261">
        <f ca="1">MIN(100,IF($O$5&gt;80,0+30*($AG3024/100),IF($O$5&gt;70,0+50*($AG3024/100),IF($O$5&gt;60,5+50*($AG3024/100),IF($O$5&gt;50,10+60*($AG3024/100),IF($O$5&gt;40,15+70*($AG3024/100),IF($O$5&gt;30,20+70*($AG3024/100),IF($O$5&gt;20,40+55*($AG3024/100),(80+(20-$O$5)+30*($AG3024/100))))))))))</f>
        <v>100</v>
      </c>
      <c r="AI3024" s="263"/>
      <c r="AJ3024" s="263"/>
      <c r="AK3024" s="263"/>
      <c r="AL3024" s="263"/>
      <c r="AM3024" s="264"/>
      <c r="AN3024" s="263"/>
      <c r="AO3024" s="263"/>
      <c r="AP3024" s="265"/>
      <c r="AQ3024" s="265"/>
      <c r="AR3024" s="285"/>
      <c r="AS3024" s="263"/>
      <c r="AT3024" s="263"/>
      <c r="AU3024" s="263"/>
      <c r="AV3024" s="264"/>
      <c r="AW3024" s="263"/>
      <c r="AX3024" s="263"/>
      <c r="AY3024" s="263"/>
      <c r="AZ3024" s="263"/>
      <c r="BA3024" s="263"/>
      <c r="BB3024" s="263"/>
      <c r="BC3024" s="263"/>
      <c r="BD3024" s="264">
        <v>54</v>
      </c>
      <c r="BE3024" s="263"/>
      <c r="BF3024" s="263"/>
      <c r="BG3024" s="263"/>
      <c r="BH3024" s="263"/>
      <c r="BI3024" s="263"/>
      <c r="BJ3024" s="404">
        <f>altaz(J2000_Bas,$O3024,$M3024,DecLat,DecLong,2)</f>
        <v>42.052397121125743</v>
      </c>
      <c r="BK3024" s="378" t="s">
        <v>2831</v>
      </c>
      <c r="BL3024" s="379">
        <f>IF((2*G3024)/60&lt;0.2,0.2,(2*G3024)/60)</f>
        <v>0.2</v>
      </c>
      <c r="BM3024" s="380">
        <f>MOD((50000+AD3024-$B$3+(0/24)),1)</f>
        <v>0.4457668665854726</v>
      </c>
      <c r="BN3024" s="381"/>
      <c r="BO3024" s="382">
        <v>3014</v>
      </c>
    </row>
    <row r="3025" spans="1:67" s="24" customFormat="1" ht="15" customHeight="1" x14ac:dyDescent="0.25">
      <c r="A3025" s="288" t="s">
        <v>2832</v>
      </c>
      <c r="B3025" s="241" t="str">
        <f>HYPERLINK(CONCATENATE($AT$3,BK3025,$AU$3),$AV$3)</f>
        <v>S</v>
      </c>
      <c r="C3025" s="242" t="str">
        <f>HYPERLINK(CONCATENATE($AT$4,BK3025,$AU$4,BL3025),$AV$4)</f>
        <v>A</v>
      </c>
      <c r="D3025" s="243" t="s">
        <v>5187</v>
      </c>
      <c r="E3025" s="244" t="s">
        <v>5186</v>
      </c>
      <c r="F3025" s="269"/>
      <c r="G3025" s="273">
        <v>2</v>
      </c>
      <c r="H3025" s="283">
        <v>1350</v>
      </c>
      <c r="I3025" s="309">
        <v>0.75</v>
      </c>
      <c r="J3025" s="246">
        <v>2</v>
      </c>
      <c r="K3025" s="277" t="s">
        <v>9449</v>
      </c>
      <c r="L3025" s="248">
        <v>54200</v>
      </c>
      <c r="M3025" s="249">
        <f>15*(LEFT(TEXT($L3025,"000000"),2)+(MID(TEXT($L3025,"000000"),3,2)/60)+(RIGHT(TEXT($L3025,"000000"),2)/3600))</f>
        <v>85.5</v>
      </c>
      <c r="N3025" s="286">
        <v>-80802</v>
      </c>
      <c r="O3025" s="251">
        <f>IF($N3025&gt;0,(LEFT(TEXT($N3025,"000000"),2)+(MID(TEXT($N3025,"000000"),3,2)/60)+(RIGHT(TEXT($N3025,"000000"),2)/3600)),-(MID(TEXT($N3025,"000000"),2,2)+(MID(TEXT($N3025,"000000"),4,2)/60)+(RIGHT(TEXT($N3025,"000000"),2)/3600)))</f>
        <v>-8.1338888888888885</v>
      </c>
      <c r="P3025" s="252" t="s">
        <v>41</v>
      </c>
      <c r="Q3025" s="253"/>
      <c r="R3025" s="277" t="s">
        <v>3293</v>
      </c>
      <c r="S3025" s="272" t="s">
        <v>3293</v>
      </c>
      <c r="T3025" s="273"/>
      <c r="U3025" s="274"/>
      <c r="V3025" s="280"/>
      <c r="W3025" s="244"/>
      <c r="X3025" s="244"/>
      <c r="Y3025" s="362"/>
      <c r="Z3025" s="257">
        <f>altaz(J2000_Bas,$O3025,$M3025,DecLat,DecLong,1)</f>
        <v>-60.188457804369854</v>
      </c>
      <c r="AA3025" s="257">
        <f>altaz((J2000_Bas+(2*0.04167)),$O3025,$M3025,DecLat,DecLong,1)</f>
        <v>-37.706359417472761</v>
      </c>
      <c r="AB3025" s="257">
        <f>altaz((J2000_Bas+(4*0.04167)),$O3025,$M3025,DecLat,DecLong,1)</f>
        <v>-12.146524723090547</v>
      </c>
      <c r="AC3025" s="257">
        <f>altaz((J2000_Bas+(6*0.04167)),$O3025,$M3025,DecLat,DecLong,1)</f>
        <v>13.170363075819582</v>
      </c>
      <c r="AD3025" s="258">
        <f>1+ transit((J2000_Bas-1),$O3025,$M3025,DecLat,DecLong)/360 + (GMTOffset/24) + (IF(DST="Y", 1, 0)/24)</f>
        <v>1.2303999368797081</v>
      </c>
      <c r="AE3025" s="259">
        <f>DATE(2001,9,21)+(M3025/360)*365 - (360*((DecLong/360)- (GMTOffset/24) ))</f>
        <v>37246.6875</v>
      </c>
      <c r="AF3025" s="260">
        <f>IF(DecLat&gt;0,IF((90 - (DecLat-O3025))&gt;90, (90 - (O3025-DecLat)), (90 - (DecLat-O3025))),IF((90 + (DecLat-O3025))&gt;90, (90 + (O3025-DecLat)), (90 + (DecLat-O3025))))</f>
        <v>50.86611111111111</v>
      </c>
      <c r="AG3025" s="257">
        <f>angularseperation(MoonRA,MoonDec,$M3025,$O3025)</f>
        <v>141.41812234080277</v>
      </c>
      <c r="AH3025" s="261">
        <f ca="1">MIN(100,IF($O$5&gt;80,0+30*($AG3025/100),IF($O$5&gt;70,0+50*($AG3025/100),IF($O$5&gt;60,5+50*($AG3025/100),IF($O$5&gt;50,10+60*($AG3025/100),IF($O$5&gt;40,15+70*($AG3025/100),IF($O$5&gt;30,20+70*($AG3025/100),IF($O$5&gt;20,40+55*($AG3025/100),(80+(20-$O$5)+30*($AG3025/100))))))))))</f>
        <v>100</v>
      </c>
      <c r="AI3025" s="263"/>
      <c r="AJ3025" s="263"/>
      <c r="AK3025" s="263"/>
      <c r="AL3025" s="263"/>
      <c r="AM3025" s="264"/>
      <c r="AN3025" s="263"/>
      <c r="AO3025" s="263"/>
      <c r="AP3025" s="265"/>
      <c r="AQ3025" s="265"/>
      <c r="AR3025" s="285"/>
      <c r="AS3025" s="263"/>
      <c r="AT3025" s="263"/>
      <c r="AU3025" s="263"/>
      <c r="AV3025" s="264"/>
      <c r="AW3025" s="263"/>
      <c r="AX3025" s="263"/>
      <c r="AY3025" s="263"/>
      <c r="AZ3025" s="263"/>
      <c r="BA3025" s="263"/>
      <c r="BB3025" s="263"/>
      <c r="BC3025" s="263"/>
      <c r="BD3025" s="264">
        <v>55</v>
      </c>
      <c r="BE3025" s="263"/>
      <c r="BF3025" s="263"/>
      <c r="BG3025" s="263"/>
      <c r="BH3025" s="263"/>
      <c r="BI3025" s="263"/>
      <c r="BJ3025" s="404">
        <f>altaz(J2000_Bas,$O3025,$M3025,DecLat,DecLong,2)</f>
        <v>44.221238532412912</v>
      </c>
      <c r="BK3025" s="378" t="s">
        <v>2832</v>
      </c>
      <c r="BL3025" s="379">
        <f>IF((2*G3025)/60&lt;0.2,0.2,(2*G3025)/60)</f>
        <v>0.2</v>
      </c>
      <c r="BM3025" s="380">
        <f>MOD((50000+AD3025-$B$3+(0/24)),1)</f>
        <v>0.4457668665854726</v>
      </c>
      <c r="BN3025" s="381"/>
      <c r="BO3025" s="382">
        <v>3015</v>
      </c>
    </row>
    <row r="3026" spans="1:67" s="24" customFormat="1" ht="15" customHeight="1" x14ac:dyDescent="0.25">
      <c r="A3026" s="288" t="s">
        <v>2833</v>
      </c>
      <c r="B3026" s="241" t="str">
        <f>HYPERLINK(CONCATENATE($AT$3,BK3026,$AU$3),$AV$3)</f>
        <v>S</v>
      </c>
      <c r="C3026" s="242" t="str">
        <f>HYPERLINK(CONCATENATE($AT$4,BK3026,$AU$4,BL3026),$AV$4)</f>
        <v>A</v>
      </c>
      <c r="D3026" s="243" t="s">
        <v>5187</v>
      </c>
      <c r="E3026" s="244" t="s">
        <v>5186</v>
      </c>
      <c r="F3026" s="269"/>
      <c r="G3026" s="273">
        <v>2</v>
      </c>
      <c r="H3026" s="283">
        <v>1100</v>
      </c>
      <c r="I3026" s="309">
        <v>0.65</v>
      </c>
      <c r="J3026" s="246">
        <v>0</v>
      </c>
      <c r="K3026" s="277" t="s">
        <v>9450</v>
      </c>
      <c r="L3026" s="248">
        <v>54301</v>
      </c>
      <c r="M3026" s="249">
        <f>15*(LEFT(TEXT($L3026,"000000"),2)+(MID(TEXT($L3026,"000000"),3,2)/60)+(RIGHT(TEXT($L3026,"000000"),2)/3600))</f>
        <v>85.754166666666663</v>
      </c>
      <c r="N3026" s="286">
        <v>162102</v>
      </c>
      <c r="O3026" s="251">
        <f>IF($N3026&gt;0,(LEFT(TEXT($N3026,"000000"),2)+(MID(TEXT($N3026,"000000"),3,2)/60)+(RIGHT(TEXT($N3026,"000000"),2)/3600)),-(MID(TEXT($N3026,"000000"),2,2)+(MID(TEXT($N3026,"000000"),4,2)/60)+(RIGHT(TEXT($N3026,"000000"),2)/3600)))</f>
        <v>16.350555555555555</v>
      </c>
      <c r="P3026" s="252" t="s">
        <v>41</v>
      </c>
      <c r="Q3026" s="253"/>
      <c r="R3026" s="277" t="s">
        <v>3293</v>
      </c>
      <c r="S3026" s="272" t="s">
        <v>3293</v>
      </c>
      <c r="T3026" s="273"/>
      <c r="U3026" s="274"/>
      <c r="V3026" s="280"/>
      <c r="W3026" s="244"/>
      <c r="X3026" s="244"/>
      <c r="Y3026" s="362"/>
      <c r="Z3026" s="257">
        <f>altaz(J2000_Bas,$O3026,$M3026,DecLat,DecLong,1)</f>
        <v>-38.805667737115094</v>
      </c>
      <c r="AA3026" s="257">
        <f>altaz((J2000_Bas+(2*0.04167)),$O3026,$M3026,DecLat,DecLong,1)</f>
        <v>-22.335693039006305</v>
      </c>
      <c r="AB3026" s="257">
        <f>altaz((J2000_Bas+(4*0.04167)),$O3026,$M3026,DecLat,DecLong,1)</f>
        <v>0.46244353013991829</v>
      </c>
      <c r="AC3026" s="257">
        <f>altaz((J2000_Bas+(6*0.04167)),$O3026,$M3026,DecLat,DecLong,1)</f>
        <v>25.662183350907764</v>
      </c>
      <c r="AD3026" s="258">
        <f>1+ transit((J2000_Bas-1),$O3026,$M3026,DecLat,DecLong)/360 + (GMTOffset/24) + (IF(DST="Y", 1, 0)/24)</f>
        <v>1.2311059553276247</v>
      </c>
      <c r="AE3026" s="259">
        <f>DATE(2001,9,21)+(M3026/360)*365 - (360*((DecLong/360)- (GMTOffset/24) ))</f>
        <v>37246.945196759261</v>
      </c>
      <c r="AF3026" s="260">
        <f>IF(DecLat&gt;0,IF((90 - (DecLat-O3026))&gt;90, (90 - (O3026-DecLat)), (90 - (DecLat-O3026))),IF((90 + (DecLat-O3026))&gt;90, (90 + (O3026-DecLat)), (90 + (DecLat-O3026))))</f>
        <v>75.350555555555559</v>
      </c>
      <c r="AG3026" s="257">
        <f>angularseperation(MoonRA,MoonDec,$M3026,$O3026)</f>
        <v>161.3107539356802</v>
      </c>
      <c r="AH3026" s="261">
        <f ca="1">MIN(100,IF($O$5&gt;80,0+30*($AG3026/100),IF($O$5&gt;70,0+50*($AG3026/100),IF($O$5&gt;60,5+50*($AG3026/100),IF($O$5&gt;50,10+60*($AG3026/100),IF($O$5&gt;40,15+70*($AG3026/100),IF($O$5&gt;30,20+70*($AG3026/100),IF($O$5&gt;20,40+55*($AG3026/100),(80+(20-$O$5)+30*($AG3026/100))))))))))</f>
        <v>100</v>
      </c>
      <c r="AI3026" s="263"/>
      <c r="AJ3026" s="263"/>
      <c r="AK3026" s="263"/>
      <c r="AL3026" s="263"/>
      <c r="AM3026" s="264"/>
      <c r="AN3026" s="263"/>
      <c r="AO3026" s="263"/>
      <c r="AP3026" s="265"/>
      <c r="AQ3026" s="265"/>
      <c r="AR3026" s="285"/>
      <c r="AS3026" s="263"/>
      <c r="AT3026" s="263"/>
      <c r="AU3026" s="263"/>
      <c r="AV3026" s="264"/>
      <c r="AW3026" s="263"/>
      <c r="AX3026" s="263"/>
      <c r="AY3026" s="263"/>
      <c r="AZ3026" s="263"/>
      <c r="BA3026" s="263"/>
      <c r="BB3026" s="263"/>
      <c r="BC3026" s="263"/>
      <c r="BD3026" s="264">
        <v>56</v>
      </c>
      <c r="BE3026" s="263"/>
      <c r="BF3026" s="263"/>
      <c r="BG3026" s="263"/>
      <c r="BH3026" s="263"/>
      <c r="BI3026" s="263"/>
      <c r="BJ3026" s="404">
        <f>altaz(J2000_Bas,$O3026,$M3026,DecLat,DecLong,2)</f>
        <v>25.224003700504461</v>
      </c>
      <c r="BK3026" s="378" t="s">
        <v>2833</v>
      </c>
      <c r="BL3026" s="379">
        <f>IF((2*G3026)/60&lt;0.2,0.2,(2*G3026)/60)</f>
        <v>0.2</v>
      </c>
      <c r="BM3026" s="380">
        <f>MOD((50000+AD3026-$B$3+(0/24)),1)</f>
        <v>0.44647288502892479</v>
      </c>
      <c r="BN3026" s="381"/>
      <c r="BO3026" s="382">
        <v>3016</v>
      </c>
    </row>
    <row r="3027" spans="1:67" s="24" customFormat="1" ht="15" customHeight="1" x14ac:dyDescent="0.25">
      <c r="A3027" s="288" t="s">
        <v>2834</v>
      </c>
      <c r="B3027" s="241" t="str">
        <f>HYPERLINK(CONCATENATE($AT$3,BK3027,$AU$3),$AV$3)</f>
        <v>S</v>
      </c>
      <c r="C3027" s="242" t="str">
        <f>HYPERLINK(CONCATENATE($AT$4,BK3027,$AU$4,BL3027),$AV$4)</f>
        <v>A</v>
      </c>
      <c r="D3027" s="243" t="s">
        <v>5187</v>
      </c>
      <c r="E3027" s="244" t="s">
        <v>5186</v>
      </c>
      <c r="F3027" s="269"/>
      <c r="G3027" s="273">
        <v>5.2</v>
      </c>
      <c r="H3027" s="283">
        <v>1230</v>
      </c>
      <c r="I3027" s="279">
        <v>2</v>
      </c>
      <c r="J3027" s="246">
        <v>2</v>
      </c>
      <c r="K3027" s="247" t="s">
        <v>9451</v>
      </c>
      <c r="L3027" s="248">
        <v>54300</v>
      </c>
      <c r="M3027" s="249">
        <f>15*(LEFT(TEXT($L3027,"000000"),2)+(MID(TEXT($L3027,"000000"),3,2)/60)+(RIGHT(TEXT($L3027,"000000"),2)/3600))</f>
        <v>85.75</v>
      </c>
      <c r="N3027" s="250">
        <v>-21820</v>
      </c>
      <c r="O3027" s="251">
        <f>IF($N3027&gt;0,(LEFT(TEXT($N3027,"000000"),2)+(MID(TEXT($N3027,"000000"),3,2)/60)+(RIGHT(TEXT($N3027,"000000"),2)/3600)),-(MID(TEXT($N3027,"000000"),2,2)+(MID(TEXT($N3027,"000000"),4,2)/60)+(RIGHT(TEXT($N3027,"000000"),2)/3600)))</f>
        <v>-2.3055555555555554</v>
      </c>
      <c r="P3027" s="252" t="s">
        <v>41</v>
      </c>
      <c r="Q3027" s="253"/>
      <c r="R3027" s="247" t="s">
        <v>3293</v>
      </c>
      <c r="S3027" s="272" t="s">
        <v>6414</v>
      </c>
      <c r="T3027" s="273"/>
      <c r="U3027" s="274"/>
      <c r="V3027" s="280"/>
      <c r="W3027" s="244"/>
      <c r="X3027" s="244"/>
      <c r="Y3027" s="362"/>
      <c r="Z3027" s="257">
        <f>altaz(J2000_Bas,$O3027,$M3027,DecLat,DecLong,1)</f>
        <v>-55.511681717685356</v>
      </c>
      <c r="AA3027" s="257">
        <f>altaz((J2000_Bas+(2*0.04167)),$O3027,$M3027,DecLat,DecLong,1)</f>
        <v>-34.567680280970706</v>
      </c>
      <c r="AB3027" s="257">
        <f>altaz((J2000_Bas+(4*0.04167)),$O3027,$M3027,DecLat,DecLong,1)</f>
        <v>-9.3945569594549045</v>
      </c>
      <c r="AC3027" s="257">
        <f>altaz((J2000_Bas+(6*0.04167)),$O3027,$M3027,DecLat,DecLong,1)</f>
        <v>16.219125656253023</v>
      </c>
      <c r="AD3027" s="258">
        <f>1+ transit((J2000_Bas-1),$O3027,$M3027,DecLat,DecLong)/360 + (GMTOffset/24) + (IF(DST="Y", 1, 0)/24)</f>
        <v>1.2310943812547082</v>
      </c>
      <c r="AE3027" s="259">
        <f>DATE(2001,9,21)+(M3027/360)*365 - (360*((DecLong/360)- (GMTOffset/24) ))</f>
        <v>37246.940972222219</v>
      </c>
      <c r="AF3027" s="260">
        <f>IF(DecLat&gt;0,IF((90 - (DecLat-O3027))&gt;90, (90 - (O3027-DecLat)), (90 - (DecLat-O3027))),IF((90 + (DecLat-O3027))&gt;90, (90 + (O3027-DecLat)), (90 + (DecLat-O3027))))</f>
        <v>56.694444444444443</v>
      </c>
      <c r="AG3027" s="257">
        <f>angularseperation(MoonRA,MoonDec,$M3027,$O3027)</f>
        <v>146.57754785097057</v>
      </c>
      <c r="AH3027" s="261">
        <f ca="1">MIN(100,IF($O$5&gt;80,0+30*($AG3027/100),IF($O$5&gt;70,0+50*($AG3027/100),IF($O$5&gt;60,5+50*($AG3027/100),IF($O$5&gt;50,10+60*($AG3027/100),IF($O$5&gt;40,15+70*($AG3027/100),IF($O$5&gt;30,20+70*($AG3027/100),IF($O$5&gt;20,40+55*($AG3027/100),(80+(20-$O$5)+30*($AG3027/100))))))))))</f>
        <v>100</v>
      </c>
      <c r="AI3027" s="262"/>
      <c r="AJ3027" s="262"/>
      <c r="AK3027" s="262"/>
      <c r="AL3027" s="263"/>
      <c r="AM3027" s="264"/>
      <c r="AN3027" s="263"/>
      <c r="AO3027" s="263"/>
      <c r="AP3027" s="265"/>
      <c r="AQ3027" s="266"/>
      <c r="AR3027" s="267"/>
      <c r="AS3027" s="263"/>
      <c r="AT3027" s="263"/>
      <c r="AU3027" s="263"/>
      <c r="AV3027" s="264"/>
      <c r="AW3027" s="263"/>
      <c r="AX3027" s="263"/>
      <c r="AY3027" s="263"/>
      <c r="AZ3027" s="263"/>
      <c r="BA3027" s="263"/>
      <c r="BB3027" s="263"/>
      <c r="BC3027" s="263"/>
      <c r="BD3027" s="264">
        <v>57</v>
      </c>
      <c r="BE3027" s="263"/>
      <c r="BF3027" s="263"/>
      <c r="BG3027" s="263"/>
      <c r="BH3027" s="263"/>
      <c r="BI3027" s="263"/>
      <c r="BJ3027" s="404">
        <f>altaz(J2000_Bas,$O3027,$M3027,DecLat,DecLong,2)</f>
        <v>37.650126432407056</v>
      </c>
      <c r="BK3027" s="378" t="s">
        <v>2834</v>
      </c>
      <c r="BL3027" s="379">
        <f>IF((2*G3027)/60&lt;0.2,0.2,(2*G3027)/60)</f>
        <v>0.2</v>
      </c>
      <c r="BM3027" s="380">
        <f>MOD((50000+AD3027-$B$3+(0/24)),1)</f>
        <v>0.4464613109594211</v>
      </c>
      <c r="BN3027" s="381"/>
      <c r="BO3027" s="382">
        <v>3017</v>
      </c>
    </row>
    <row r="3028" spans="1:67" s="24" customFormat="1" ht="15" customHeight="1" x14ac:dyDescent="0.25">
      <c r="A3028" s="288" t="s">
        <v>2835</v>
      </c>
      <c r="B3028" s="241" t="str">
        <f>HYPERLINK(CONCATENATE($AT$3,BK3028,$AU$3),$AV$3)</f>
        <v>S</v>
      </c>
      <c r="C3028" s="242" t="str">
        <f>HYPERLINK(CONCATENATE($AT$4,BK3028,$AU$4,BL3028),$AV$4)</f>
        <v>A</v>
      </c>
      <c r="D3028" s="243" t="s">
        <v>5187</v>
      </c>
      <c r="E3028" s="244" t="s">
        <v>5186</v>
      </c>
      <c r="F3028" s="269"/>
      <c r="G3028" s="273">
        <v>1</v>
      </c>
      <c r="H3028" s="283">
        <v>1330</v>
      </c>
      <c r="I3028" s="309">
        <v>0.4</v>
      </c>
      <c r="J3028" s="246">
        <v>0</v>
      </c>
      <c r="K3028" s="277" t="s">
        <v>9452</v>
      </c>
      <c r="L3028" s="248">
        <v>54418</v>
      </c>
      <c r="M3028" s="249">
        <f>15*(LEFT(TEXT($L3028,"000000"),2)+(MID(TEXT($L3028,"000000"),3,2)/60)+(RIGHT(TEXT($L3028,"000000"),2)/3600))</f>
        <v>86.075000000000003</v>
      </c>
      <c r="N3028" s="286">
        <v>-84200</v>
      </c>
      <c r="O3028" s="251">
        <f>IF($N3028&gt;0,(LEFT(TEXT($N3028,"000000"),2)+(MID(TEXT($N3028,"000000"),3,2)/60)+(RIGHT(TEXT($N3028,"000000"),2)/3600)),-(MID(TEXT($N3028,"000000"),2,2)+(MID(TEXT($N3028,"000000"),4,2)/60)+(RIGHT(TEXT($N3028,"000000"),2)/3600)))</f>
        <v>-8.6999999999999993</v>
      </c>
      <c r="P3028" s="252" t="s">
        <v>41</v>
      </c>
      <c r="Q3028" s="253"/>
      <c r="R3028" s="247" t="s">
        <v>3293</v>
      </c>
      <c r="S3028" s="272" t="s">
        <v>3293</v>
      </c>
      <c r="T3028" s="273"/>
      <c r="U3028" s="274"/>
      <c r="V3028" s="280"/>
      <c r="W3028" s="244"/>
      <c r="X3028" s="244"/>
      <c r="Y3028" s="362"/>
      <c r="Z3028" s="257">
        <f>altaz(J2000_Bas,$O3028,$M3028,DecLat,DecLong,1)</f>
        <v>-60.983069993563554</v>
      </c>
      <c r="AA3028" s="257">
        <f>altaz((J2000_Bas+(2*0.04167)),$O3028,$M3028,DecLat,DecLong,1)</f>
        <v>-38.491909012349069</v>
      </c>
      <c r="AB3028" s="257">
        <f>altaz((J2000_Bas+(4*0.04167)),$O3028,$M3028,DecLat,DecLong,1)</f>
        <v>-12.922287175062703</v>
      </c>
      <c r="AC3028" s="257">
        <f>altaz((J2000_Bas+(6*0.04167)),$O3028,$M3028,DecLat,DecLong,1)</f>
        <v>12.380772530105629</v>
      </c>
      <c r="AD3028" s="258">
        <f>1+ transit((J2000_Bas-1),$O3028,$M3028,DecLat,DecLong)/360 + (GMTOffset/24) + (IF(DST="Y", 1, 0)/24)</f>
        <v>1.2319971589422081</v>
      </c>
      <c r="AE3028" s="259">
        <f>DATE(2001,9,21)+(M3028/360)*365 - (360*((DecLong/360)- (GMTOffset/24) ))</f>
        <v>37247.270486111112</v>
      </c>
      <c r="AF3028" s="260">
        <f>IF(DecLat&gt;0,IF((90 - (DecLat-O3028))&gt;90, (90 - (O3028-DecLat)), (90 - (DecLat-O3028))),IF((90 + (DecLat-O3028))&gt;90, (90 + (O3028-DecLat)), (90 + (DecLat-O3028))))</f>
        <v>50.3</v>
      </c>
      <c r="AG3028" s="257">
        <f>angularseperation(MoonRA,MoonDec,$M3028,$O3028)</f>
        <v>140.67070421287858</v>
      </c>
      <c r="AH3028" s="261">
        <f ca="1">MIN(100,IF($O$5&gt;80,0+30*($AG3028/100),IF($O$5&gt;70,0+50*($AG3028/100),IF($O$5&gt;60,5+50*($AG3028/100),IF($O$5&gt;50,10+60*($AG3028/100),IF($O$5&gt;40,15+70*($AG3028/100),IF($O$5&gt;30,20+70*($AG3028/100),IF($O$5&gt;20,40+55*($AG3028/100),(80+(20-$O$5)+30*($AG3028/100))))))))))</f>
        <v>100</v>
      </c>
      <c r="AI3028" s="262"/>
      <c r="AJ3028" s="262"/>
      <c r="AK3028" s="262"/>
      <c r="AL3028" s="263"/>
      <c r="AM3028" s="264"/>
      <c r="AN3028" s="263"/>
      <c r="AO3028" s="263"/>
      <c r="AP3028" s="265"/>
      <c r="AQ3028" s="266"/>
      <c r="AR3028" s="267"/>
      <c r="AS3028" s="263"/>
      <c r="AT3028" s="263"/>
      <c r="AU3028" s="263"/>
      <c r="AV3028" s="264"/>
      <c r="AW3028" s="263"/>
      <c r="AX3028" s="263"/>
      <c r="AY3028" s="263"/>
      <c r="AZ3028" s="263"/>
      <c r="BA3028" s="263"/>
      <c r="BB3028" s="263"/>
      <c r="BC3028" s="263"/>
      <c r="BD3028" s="264">
        <v>58</v>
      </c>
      <c r="BE3028" s="263"/>
      <c r="BF3028" s="263"/>
      <c r="BG3028" s="263"/>
      <c r="BH3028" s="263"/>
      <c r="BI3028" s="263"/>
      <c r="BJ3028" s="404">
        <f>altaz(J2000_Bas,$O3028,$M3028,DecLat,DecLong,2)</f>
        <v>43.992556581316713</v>
      </c>
      <c r="BK3028" s="378" t="s">
        <v>2835</v>
      </c>
      <c r="BL3028" s="379">
        <f>IF((2*G3028)/60&lt;0.2,0.2,(2*G3028)/60)</f>
        <v>0.2</v>
      </c>
      <c r="BM3028" s="380">
        <f>MOD((50000+AD3028-$B$3+(0/24)),1)</f>
        <v>0.44736408864264376</v>
      </c>
      <c r="BN3028" s="381"/>
      <c r="BO3028" s="382">
        <v>3018</v>
      </c>
    </row>
    <row r="3029" spans="1:67" s="24" customFormat="1" ht="15" customHeight="1" x14ac:dyDescent="0.25">
      <c r="A3029" s="288" t="s">
        <v>2836</v>
      </c>
      <c r="B3029" s="241" t="str">
        <f>HYPERLINK(CONCATENATE($AT$3,BK3029,$AU$3),$AV$3)</f>
        <v>S</v>
      </c>
      <c r="C3029" s="242" t="str">
        <f>HYPERLINK(CONCATENATE($AT$4,BK3029,$AU$4,BL3029),$AV$4)</f>
        <v>A</v>
      </c>
      <c r="D3029" s="243" t="s">
        <v>5187</v>
      </c>
      <c r="E3029" s="244" t="s">
        <v>5186</v>
      </c>
      <c r="F3029" s="269"/>
      <c r="G3029" s="273">
        <v>8</v>
      </c>
      <c r="H3029" s="283">
        <v>1380</v>
      </c>
      <c r="I3029" s="279">
        <v>3</v>
      </c>
      <c r="J3029" s="246">
        <v>4</v>
      </c>
      <c r="K3029" s="247" t="s">
        <v>9453</v>
      </c>
      <c r="L3029" s="248">
        <v>54643</v>
      </c>
      <c r="M3029" s="249">
        <f>15*(LEFT(TEXT($L3029,"000000"),2)+(MID(TEXT($L3029,"000000"),3,2)/60)+(RIGHT(TEXT($L3029,"000000"),2)/3600))</f>
        <v>86.679166666666674</v>
      </c>
      <c r="N3029" s="286">
        <v>436</v>
      </c>
      <c r="O3029" s="251">
        <f>IF($N3029&gt;0,(LEFT(TEXT($N3029,"000000"),2)+(MID(TEXT($N3029,"000000"),3,2)/60)+(RIGHT(TEXT($N3029,"000000"),2)/3600)),-(MID(TEXT($N3029,"000000"),2,2)+(MID(TEXT($N3029,"000000"),4,2)/60)+(RIGHT(TEXT($N3029,"000000"),2)/3600)))</f>
        <v>7.6666666666666661E-2</v>
      </c>
      <c r="P3029" s="252" t="s">
        <v>41</v>
      </c>
      <c r="Q3029" s="253"/>
      <c r="R3029" s="247" t="s">
        <v>3293</v>
      </c>
      <c r="S3029" s="272" t="s">
        <v>5278</v>
      </c>
      <c r="T3029" s="273"/>
      <c r="U3029" s="274"/>
      <c r="V3029" s="280"/>
      <c r="W3029" s="244"/>
      <c r="X3029" s="244"/>
      <c r="Y3029" s="362"/>
      <c r="Z3029" s="257">
        <f>altaz(J2000_Bas,$O3029,$M3029,DecLat,DecLong,1)</f>
        <v>-53.919401848302179</v>
      </c>
      <c r="AA3029" s="257">
        <f>altaz((J2000_Bas+(2*0.04167)),$O3029,$M3029,DecLat,DecLong,1)</f>
        <v>-33.851463704360448</v>
      </c>
      <c r="AB3029" s="257">
        <f>altaz((J2000_Bas+(4*0.04167)),$O3029,$M3029,DecLat,DecLong,1)</f>
        <v>-8.9531414258382398</v>
      </c>
      <c r="AC3029" s="257">
        <f>altaz((J2000_Bas+(6*0.04167)),$O3029,$M3029,DecLat,DecLong,1)</f>
        <v>16.732521723341353</v>
      </c>
      <c r="AD3029" s="258">
        <f>1+ transit((J2000_Bas-1),$O3029,$M3029,DecLat,DecLong)/360 + (GMTOffset/24) + (IF(DST="Y", 1, 0)/24)</f>
        <v>1.2336753995151246</v>
      </c>
      <c r="AE3029" s="259">
        <f>DATE(2001,9,21)+(M3029/360)*365 - (360*((DecLong/360)- (GMTOffset/24) ))</f>
        <v>37247.883043981485</v>
      </c>
      <c r="AF3029" s="260">
        <f>IF(DecLat&gt;0,IF((90 - (DecLat-O3029))&gt;90, (90 - (O3029-DecLat)), (90 - (DecLat-O3029))),IF((90 + (DecLat-O3029))&gt;90, (90 + (O3029-DecLat)), (90 + (DecLat-O3029))))</f>
        <v>59.076666666666668</v>
      </c>
      <c r="AG3029" s="257">
        <f>angularseperation(MoonRA,MoonDec,$M3029,$O3029)</f>
        <v>148.21523496371151</v>
      </c>
      <c r="AH3029" s="261">
        <f ca="1">MIN(100,IF($O$5&gt;80,0+30*($AG3029/100),IF($O$5&gt;70,0+50*($AG3029/100),IF($O$5&gt;60,5+50*($AG3029/100),IF($O$5&gt;50,10+60*($AG3029/100),IF($O$5&gt;40,15+70*($AG3029/100),IF($O$5&gt;30,20+70*($AG3029/100),IF($O$5&gt;20,40+55*($AG3029/100),(80+(20-$O$5)+30*($AG3029/100))))))))))</f>
        <v>100</v>
      </c>
      <c r="AI3029" s="262"/>
      <c r="AJ3029" s="262"/>
      <c r="AK3029" s="262"/>
      <c r="AL3029" s="263"/>
      <c r="AM3029" s="264"/>
      <c r="AN3029" s="263"/>
      <c r="AO3029" s="263"/>
      <c r="AP3029" s="265"/>
      <c r="AQ3029" s="266"/>
      <c r="AR3029" s="267"/>
      <c r="AS3029" s="263"/>
      <c r="AT3029" s="263"/>
      <c r="AU3029" s="263"/>
      <c r="AV3029" s="264"/>
      <c r="AW3029" s="263"/>
      <c r="AX3029" s="263"/>
      <c r="AY3029" s="263"/>
      <c r="AZ3029" s="263"/>
      <c r="BA3029" s="263"/>
      <c r="BB3029" s="263"/>
      <c r="BC3029" s="263"/>
      <c r="BD3029" s="264">
        <v>59</v>
      </c>
      <c r="BE3029" s="263"/>
      <c r="BF3029" s="263"/>
      <c r="BG3029" s="263"/>
      <c r="BH3029" s="263"/>
      <c r="BI3029" s="263"/>
      <c r="BJ3029" s="404">
        <f>altaz(J2000_Bas,$O3029,$M3029,DecLat,DecLong,2)</f>
        <v>34.185514787423863</v>
      </c>
      <c r="BK3029" s="378" t="s">
        <v>2836</v>
      </c>
      <c r="BL3029" s="379">
        <f>IF((2*G3029)/60&lt;0.2,0.2,(2*G3029)/60)</f>
        <v>0.26666666666666666</v>
      </c>
      <c r="BM3029" s="380">
        <f>MOD((50000+AD3029-$B$3+(0/24)),1)</f>
        <v>0.44904232922272058</v>
      </c>
      <c r="BN3029" s="381"/>
      <c r="BO3029" s="382">
        <v>3019</v>
      </c>
    </row>
    <row r="3030" spans="1:67" s="24" customFormat="1" ht="15" customHeight="1" x14ac:dyDescent="0.25">
      <c r="A3030" s="288" t="s">
        <v>2837</v>
      </c>
      <c r="B3030" s="241" t="str">
        <f>HYPERLINK(CONCATENATE($AT$3,BK3030,$AU$3),$AV$3)</f>
        <v>S</v>
      </c>
      <c r="C3030" s="242" t="str">
        <f>HYPERLINK(CONCATENATE($AT$4,BK3030,$AU$4,BL3030),$AV$4)</f>
        <v>A</v>
      </c>
      <c r="D3030" s="243" t="s">
        <v>5187</v>
      </c>
      <c r="E3030" s="244" t="s">
        <v>5186</v>
      </c>
      <c r="F3030" s="269"/>
      <c r="G3030" s="273">
        <v>8</v>
      </c>
      <c r="H3030" s="283">
        <v>805</v>
      </c>
      <c r="I3030" s="279">
        <v>1.8</v>
      </c>
      <c r="J3030" s="246">
        <v>3</v>
      </c>
      <c r="K3030" s="247" t="s">
        <v>9454</v>
      </c>
      <c r="L3030" s="248">
        <v>54708</v>
      </c>
      <c r="M3030" s="249">
        <f>15*(LEFT(TEXT($L3030,"000000"),2)+(MID(TEXT($L3030,"000000"),3,2)/60)+(RIGHT(TEXT($L3030,"000000"),2)/3600))</f>
        <v>86.783333333333331</v>
      </c>
      <c r="N3030" s="286">
        <v>1756</v>
      </c>
      <c r="O3030" s="251">
        <f>IF($N3030&gt;0,(LEFT(TEXT($N3030,"000000"),2)+(MID(TEXT($N3030,"000000"),3,2)/60)+(RIGHT(TEXT($N3030,"000000"),2)/3600)),-(MID(TEXT($N3030,"000000"),2,2)+(MID(TEXT($N3030,"000000"),4,2)/60)+(RIGHT(TEXT($N3030,"000000"),2)/3600)))</f>
        <v>0.29888888888888887</v>
      </c>
      <c r="P3030" s="252" t="s">
        <v>41</v>
      </c>
      <c r="Q3030" s="253"/>
      <c r="R3030" s="247" t="s">
        <v>3293</v>
      </c>
      <c r="S3030" s="272" t="s">
        <v>5278</v>
      </c>
      <c r="T3030" s="273"/>
      <c r="U3030" s="274"/>
      <c r="V3030" s="280"/>
      <c r="W3030" s="244"/>
      <c r="X3030" s="244"/>
      <c r="Y3030" s="362"/>
      <c r="Z3030" s="257">
        <f>altaz(J2000_Bas,$O3030,$M3030,DecLat,DecLong,1)</f>
        <v>-53.77434975163542</v>
      </c>
      <c r="AA3030" s="257">
        <f>altaz((J2000_Bas+(2*0.04167)),$O3030,$M3030,DecLat,DecLong,1)</f>
        <v>-33.794756528585673</v>
      </c>
      <c r="AB3030" s="257">
        <f>altaz((J2000_Bas+(4*0.04167)),$O3030,$M3030,DecLat,DecLong,1)</f>
        <v>-8.9260208812040549</v>
      </c>
      <c r="AC3030" s="257">
        <f>altaz((J2000_Bas+(6*0.04167)),$O3030,$M3030,DecLat,DecLong,1)</f>
        <v>16.763945091612566</v>
      </c>
      <c r="AD3030" s="258">
        <f>1+ transit((J2000_Bas-1),$O3030,$M3030,DecLat,DecLong)/360 + (GMTOffset/24) + (IF(DST="Y", 1, 0)/24)</f>
        <v>1.2339647513380412</v>
      </c>
      <c r="AE3030" s="259">
        <f>DATE(2001,9,21)+(M3030/360)*365 - (360*((DecLong/360)- (GMTOffset/24) ))</f>
        <v>37247.988657407404</v>
      </c>
      <c r="AF3030" s="260">
        <f>IF(DecLat&gt;0,IF((90 - (DecLat-O3030))&gt;90, (90 - (O3030-DecLat)), (90 - (DecLat-O3030))),IF((90 + (DecLat-O3030))&gt;90, (90 + (O3030-DecLat)), (90 + (DecLat-O3030))))</f>
        <v>59.298888888888889</v>
      </c>
      <c r="AG3030" s="257">
        <f>angularseperation(MoonRA,MoonDec,$M3030,$O3030)</f>
        <v>148.35349978649458</v>
      </c>
      <c r="AH3030" s="261">
        <f ca="1">MIN(100,IF($O$5&gt;80,0+30*($AG3030/100),IF($O$5&gt;70,0+50*($AG3030/100),IF($O$5&gt;60,5+50*($AG3030/100),IF($O$5&gt;50,10+60*($AG3030/100),IF($O$5&gt;40,15+70*($AG3030/100),IF($O$5&gt;30,20+70*($AG3030/100),IF($O$5&gt;20,40+55*($AG3030/100),(80+(20-$O$5)+30*($AG3030/100))))))))))</f>
        <v>100</v>
      </c>
      <c r="AI3030" s="262"/>
      <c r="AJ3030" s="262"/>
      <c r="AK3030" s="262"/>
      <c r="AL3030" s="263"/>
      <c r="AM3030" s="264"/>
      <c r="AN3030" s="263"/>
      <c r="AO3030" s="263"/>
      <c r="AP3030" s="265"/>
      <c r="AQ3030" s="266"/>
      <c r="AR3030" s="267"/>
      <c r="AS3030" s="263"/>
      <c r="AT3030" s="263"/>
      <c r="AU3030" s="263"/>
      <c r="AV3030" s="264"/>
      <c r="AW3030" s="263"/>
      <c r="AX3030" s="263"/>
      <c r="AY3030" s="263"/>
      <c r="AZ3030" s="263"/>
      <c r="BA3030" s="263"/>
      <c r="BB3030" s="263"/>
      <c r="BC3030" s="263"/>
      <c r="BD3030" s="264">
        <v>60</v>
      </c>
      <c r="BE3030" s="263"/>
      <c r="BF3030" s="263"/>
      <c r="BG3030" s="263"/>
      <c r="BH3030" s="263"/>
      <c r="BI3030" s="263"/>
      <c r="BJ3030" s="404">
        <f>altaz(J2000_Bas,$O3030,$M3030,DecLat,DecLong,2)</f>
        <v>33.849935887959745</v>
      </c>
      <c r="BK3030" s="378" t="s">
        <v>2837</v>
      </c>
      <c r="BL3030" s="379">
        <f>IF((2*G3030)/60&lt;0.2,0.2,(2*G3030)/60)</f>
        <v>0.26666666666666666</v>
      </c>
      <c r="BM3030" s="380">
        <f>MOD((50000+AD3030-$B$3+(0/24)),1)</f>
        <v>0.44933168104034849</v>
      </c>
      <c r="BN3030" s="381"/>
      <c r="BO3030" s="382">
        <v>3020</v>
      </c>
    </row>
    <row r="3031" spans="1:67" s="24" customFormat="1" ht="15" customHeight="1" x14ac:dyDescent="0.25">
      <c r="A3031" s="288" t="s">
        <v>2838</v>
      </c>
      <c r="B3031" s="241" t="str">
        <f>HYPERLINK(CONCATENATE($AT$3,BK3031,$AU$3),$AV$3)</f>
        <v>S</v>
      </c>
      <c r="C3031" s="242" t="str">
        <f>HYPERLINK(CONCATENATE($AT$4,BK3031,$AU$4,BL3031),$AV$4)</f>
        <v>A</v>
      </c>
      <c r="D3031" s="243" t="s">
        <v>5187</v>
      </c>
      <c r="E3031" s="244" t="s">
        <v>5186</v>
      </c>
      <c r="F3031" s="269"/>
      <c r="G3031" s="273">
        <v>2.6</v>
      </c>
      <c r="H3031" s="283">
        <v>1320</v>
      </c>
      <c r="I3031" s="279">
        <v>1</v>
      </c>
      <c r="J3031" s="246">
        <v>1</v>
      </c>
      <c r="K3031" s="247" t="s">
        <v>9455</v>
      </c>
      <c r="L3031" s="248">
        <v>55200</v>
      </c>
      <c r="M3031" s="249">
        <f>15*(LEFT(TEXT($L3031,"000000"),2)+(MID(TEXT($L3031,"000000"),3,2)/60)+(RIGHT(TEXT($L3031,"000000"),2)/3600))</f>
        <v>88</v>
      </c>
      <c r="N3031" s="286">
        <v>51000</v>
      </c>
      <c r="O3031" s="251">
        <f>IF($N3031&gt;0,(LEFT(TEXT($N3031,"000000"),2)+(MID(TEXT($N3031,"000000"),3,2)/60)+(RIGHT(TEXT($N3031,"000000"),2)/3600)),-(MID(TEXT($N3031,"000000"),2,2)+(MID(TEXT($N3031,"000000"),4,2)/60)+(RIGHT(TEXT($N3031,"000000"),2)/3600)))</f>
        <v>5.166666666666667</v>
      </c>
      <c r="P3031" s="252" t="s">
        <v>41</v>
      </c>
      <c r="Q3031" s="253"/>
      <c r="R3031" s="247" t="s">
        <v>3293</v>
      </c>
      <c r="S3031" s="272" t="s">
        <v>3293</v>
      </c>
      <c r="T3031" s="273"/>
      <c r="U3031" s="274"/>
      <c r="V3031" s="280"/>
      <c r="W3031" s="244"/>
      <c r="X3031" s="244"/>
      <c r="Y3031" s="362"/>
      <c r="Z3031" s="257">
        <f>altaz(J2000_Bas,$O3031,$M3031,DecLat,DecLong,1)</f>
        <v>-49.952330201069671</v>
      </c>
      <c r="AA3031" s="257">
        <f>altaz((J2000_Bas+(2*0.04167)),$O3031,$M3031,DecLat,DecLong,1)</f>
        <v>-31.592862965280307</v>
      </c>
      <c r="AB3031" s="257">
        <f>altaz((J2000_Bas+(4*0.04167)),$O3031,$M3031,DecLat,DecLong,1)</f>
        <v>-7.3890934218162831</v>
      </c>
      <c r="AC3031" s="257">
        <f>altaz((J2000_Bas+(6*0.04167)),$O3031,$M3031,DecLat,DecLong,1)</f>
        <v>18.289139916839034</v>
      </c>
      <c r="AD3031" s="258">
        <f>1+ transit((J2000_Bas-1),$O3031,$M3031,DecLat,DecLong)/360 + (GMTOffset/24) + (IF(DST="Y", 1, 0)/24)</f>
        <v>1.237344380629708</v>
      </c>
      <c r="AE3031" s="259">
        <f>DATE(2001,9,21)+(M3031/360)*365 - (360*((DecLong/360)- (GMTOffset/24) ))</f>
        <v>37249.222222222219</v>
      </c>
      <c r="AF3031" s="260">
        <f>IF(DecLat&gt;0,IF((90 - (DecLat-O3031))&gt;90, (90 - (O3031-DecLat)), (90 - (DecLat-O3031))),IF((90 + (DecLat-O3031))&gt;90, (90 + (O3031-DecLat)), (90 + (DecLat-O3031))))</f>
        <v>64.166666666666671</v>
      </c>
      <c r="AG3031" s="257">
        <f>angularseperation(MoonRA,MoonDec,$M3031,$O3031)</f>
        <v>151.71776624869992</v>
      </c>
      <c r="AH3031" s="261">
        <f ca="1">MIN(100,IF($O$5&gt;80,0+30*($AG3031/100),IF($O$5&gt;70,0+50*($AG3031/100),IF($O$5&gt;60,5+50*($AG3031/100),IF($O$5&gt;50,10+60*($AG3031/100),IF($O$5&gt;40,15+70*($AG3031/100),IF($O$5&gt;30,20+70*($AG3031/100),IF($O$5&gt;20,40+55*($AG3031/100),(80+(20-$O$5)+30*($AG3031/100))))))))))</f>
        <v>100</v>
      </c>
      <c r="AI3031" s="262"/>
      <c r="AJ3031" s="262"/>
      <c r="AK3031" s="262"/>
      <c r="AL3031" s="263"/>
      <c r="AM3031" s="264"/>
      <c r="AN3031" s="263"/>
      <c r="AO3031" s="263"/>
      <c r="AP3031" s="265"/>
      <c r="AQ3031" s="266"/>
      <c r="AR3031" s="267"/>
      <c r="AS3031" s="263"/>
      <c r="AT3031" s="263"/>
      <c r="AU3031" s="263"/>
      <c r="AV3031" s="264"/>
      <c r="AW3031" s="263"/>
      <c r="AX3031" s="263"/>
      <c r="AY3031" s="263"/>
      <c r="AZ3031" s="263"/>
      <c r="BA3031" s="263"/>
      <c r="BB3031" s="263"/>
      <c r="BC3031" s="263"/>
      <c r="BD3031" s="264">
        <v>61</v>
      </c>
      <c r="BE3031" s="263"/>
      <c r="BF3031" s="263"/>
      <c r="BG3031" s="263"/>
      <c r="BH3031" s="263"/>
      <c r="BI3031" s="263"/>
      <c r="BJ3031" s="404">
        <f>altaz(J2000_Bas,$O3031,$M3031,DecLat,DecLong,2)</f>
        <v>28.579990272119751</v>
      </c>
      <c r="BK3031" s="378" t="s">
        <v>2838</v>
      </c>
      <c r="BL3031" s="379">
        <f>IF((2*G3031)/60&lt;0.2,0.2,(2*G3031)/60)</f>
        <v>0.2</v>
      </c>
      <c r="BM3031" s="380">
        <f>MOD((50000+AD3031-$B$3+(0/24)),1)</f>
        <v>0.45271131033223355</v>
      </c>
      <c r="BN3031" s="381"/>
      <c r="BO3031" s="382">
        <v>3021</v>
      </c>
    </row>
    <row r="3032" spans="1:67" s="24" customFormat="1" ht="15" customHeight="1" x14ac:dyDescent="0.25">
      <c r="A3032" s="288" t="s">
        <v>2839</v>
      </c>
      <c r="B3032" s="241" t="str">
        <f>HYPERLINK(CONCATENATE($AT$3,BK3032,$AU$3),$AV$3)</f>
        <v>S</v>
      </c>
      <c r="C3032" s="242" t="str">
        <f>HYPERLINK(CONCATENATE($AT$4,BK3032,$AU$4,BL3032),$AV$4)</f>
        <v>A</v>
      </c>
      <c r="D3032" s="243" t="s">
        <v>5187</v>
      </c>
      <c r="E3032" s="244" t="s">
        <v>5186</v>
      </c>
      <c r="F3032" s="269"/>
      <c r="G3032" s="273">
        <v>8</v>
      </c>
      <c r="H3032" s="283">
        <v>408</v>
      </c>
      <c r="I3032" s="279">
        <v>1</v>
      </c>
      <c r="J3032" s="246">
        <v>4</v>
      </c>
      <c r="K3032" s="247" t="s">
        <v>9456</v>
      </c>
      <c r="L3032" s="248">
        <v>55404</v>
      </c>
      <c r="M3032" s="249">
        <f>15*(LEFT(TEXT($L3032,"000000"),2)+(MID(TEXT($L3032,"000000"),3,2)/60)+(RIGHT(TEXT($L3032,"000000"),2)/3600))</f>
        <v>88.51666666666668</v>
      </c>
      <c r="N3032" s="286">
        <v>14024</v>
      </c>
      <c r="O3032" s="251">
        <f>IF($N3032&gt;0,(LEFT(TEXT($N3032,"000000"),2)+(MID(TEXT($N3032,"000000"),3,2)/60)+(RIGHT(TEXT($N3032,"000000"),2)/3600)),-(MID(TEXT($N3032,"000000"),2,2)+(MID(TEXT($N3032,"000000"),4,2)/60)+(RIGHT(TEXT($N3032,"000000"),2)/3600)))</f>
        <v>1.6733333333333331</v>
      </c>
      <c r="P3032" s="252" t="s">
        <v>41</v>
      </c>
      <c r="Q3032" s="253"/>
      <c r="R3032" s="247" t="s">
        <v>6415</v>
      </c>
      <c r="S3032" s="272" t="s">
        <v>5362</v>
      </c>
      <c r="T3032" s="273"/>
      <c r="U3032" s="274"/>
      <c r="V3032" s="280"/>
      <c r="W3032" s="244"/>
      <c r="X3032" s="244"/>
      <c r="Y3032" s="362"/>
      <c r="Z3032" s="257">
        <f>altaz(J2000_Bas,$O3032,$M3032,DecLat,DecLong,1)</f>
        <v>-53.337809264742738</v>
      </c>
      <c r="AA3032" s="257">
        <f>altaz((J2000_Bas+(2*0.04167)),$O3032,$M3032,DecLat,DecLong,1)</f>
        <v>-34.265566594101152</v>
      </c>
      <c r="AB3032" s="257">
        <f>altaz((J2000_Bas+(4*0.04167)),$O3032,$M3032,DecLat,DecLong,1)</f>
        <v>-9.6798026597138076</v>
      </c>
      <c r="AC3032" s="257">
        <f>altaz((J2000_Bas+(6*0.04167)),$O3032,$M3032,DecLat,DecLong,1)</f>
        <v>16.027558136288917</v>
      </c>
      <c r="AD3032" s="258">
        <f>1+ transit((J2000_Bas-1),$O3032,$M3032,DecLat,DecLong)/360 + (GMTOffset/24) + (IF(DST="Y", 1, 0)/24)</f>
        <v>1.2387795656713747</v>
      </c>
      <c r="AE3032" s="259">
        <f>DATE(2001,9,21)+(M3032/360)*365 - (360*((DecLong/360)- (GMTOffset/24) ))</f>
        <v>37249.746064814812</v>
      </c>
      <c r="AF3032" s="260">
        <f>IF(DecLat&gt;0,IF((90 - (DecLat-O3032))&gt;90, (90 - (O3032-DecLat)), (90 - (DecLat-O3032))),IF((90 + (DecLat-O3032))&gt;90, (90 + (O3032-DecLat)), (90 + (DecLat-O3032))))</f>
        <v>60.673333333333332</v>
      </c>
      <c r="AG3032" s="257">
        <f>angularseperation(MoonRA,MoonDec,$M3032,$O3032)</f>
        <v>148.58005389862649</v>
      </c>
      <c r="AH3032" s="261">
        <f ca="1">MIN(100,IF($O$5&gt;80,0+30*($AG3032/100),IF($O$5&gt;70,0+50*($AG3032/100),IF($O$5&gt;60,5+50*($AG3032/100),IF($O$5&gt;50,10+60*($AG3032/100),IF($O$5&gt;40,15+70*($AG3032/100),IF($O$5&gt;30,20+70*($AG3032/100),IF($O$5&gt;20,40+55*($AG3032/100),(80+(20-$O$5)+30*($AG3032/100))))))))))</f>
        <v>100</v>
      </c>
      <c r="AI3032" s="262"/>
      <c r="AJ3032" s="262"/>
      <c r="AK3032" s="262"/>
      <c r="AL3032" s="263"/>
      <c r="AM3032" s="264"/>
      <c r="AN3032" s="263"/>
      <c r="AO3032" s="263"/>
      <c r="AP3032" s="265"/>
      <c r="AQ3032" s="266"/>
      <c r="AR3032" s="267"/>
      <c r="AS3032" s="263"/>
      <c r="AT3032" s="263"/>
      <c r="AU3032" s="263"/>
      <c r="AV3032" s="264"/>
      <c r="AW3032" s="263"/>
      <c r="AX3032" s="263"/>
      <c r="AY3032" s="263"/>
      <c r="AZ3032" s="263"/>
      <c r="BA3032" s="263"/>
      <c r="BB3032" s="263"/>
      <c r="BC3032" s="263"/>
      <c r="BD3032" s="264">
        <v>62</v>
      </c>
      <c r="BE3032" s="263"/>
      <c r="BF3032" s="263"/>
      <c r="BG3032" s="263"/>
      <c r="BH3032" s="263"/>
      <c r="BI3032" s="263"/>
      <c r="BJ3032" s="404">
        <f>altaz(J2000_Bas,$O3032,$M3032,DecLat,DecLong,2)</f>
        <v>30.19920028293657</v>
      </c>
      <c r="BK3032" s="378" t="s">
        <v>2839</v>
      </c>
      <c r="BL3032" s="379">
        <f>IF((2*G3032)/60&lt;0.2,0.2,(2*G3032)/60)</f>
        <v>0.26666666666666666</v>
      </c>
      <c r="BM3032" s="380">
        <f>MOD((50000+AD3032-$B$3+(0/24)),1)</f>
        <v>0.45414649537269725</v>
      </c>
      <c r="BN3032" s="381"/>
      <c r="BO3032" s="382">
        <v>3022</v>
      </c>
    </row>
    <row r="3033" spans="1:67" s="24" customFormat="1" ht="15" customHeight="1" x14ac:dyDescent="0.25">
      <c r="A3033" s="288" t="s">
        <v>2840</v>
      </c>
      <c r="B3033" s="241" t="str">
        <f>HYPERLINK(CONCATENATE($AT$3,BK3033,$AU$3),$AV$3)</f>
        <v>S</v>
      </c>
      <c r="C3033" s="242" t="str">
        <f>HYPERLINK(CONCATENATE($AT$4,BK3033,$AU$4,BL3033),$AV$4)</f>
        <v>A</v>
      </c>
      <c r="D3033" s="243" t="s">
        <v>5187</v>
      </c>
      <c r="E3033" s="244" t="s">
        <v>5186</v>
      </c>
      <c r="F3033" s="269"/>
      <c r="G3033" s="273">
        <v>7</v>
      </c>
      <c r="H3033" s="283">
        <v>1270</v>
      </c>
      <c r="I3033" s="279">
        <v>2.5</v>
      </c>
      <c r="J3033" s="246">
        <v>2</v>
      </c>
      <c r="K3033" s="247" t="s">
        <v>9457</v>
      </c>
      <c r="L3033" s="248">
        <v>55618</v>
      </c>
      <c r="M3033" s="249">
        <f>15*(LEFT(TEXT($L3033,"000000"),2)+(MID(TEXT($L3033,"000000"),3,2)/60)+(RIGHT(TEXT($L3033,"000000"),2)/3600))</f>
        <v>89.075000000000003</v>
      </c>
      <c r="N3033" s="286">
        <v>15153</v>
      </c>
      <c r="O3033" s="251">
        <f>IF($N3033&gt;0,(LEFT(TEXT($N3033,"000000"),2)+(MID(TEXT($N3033,"000000"),3,2)/60)+(RIGHT(TEXT($N3033,"000000"),2)/3600)),-(MID(TEXT($N3033,"000000"),2,2)+(MID(TEXT($N3033,"000000"),4,2)/60)+(RIGHT(TEXT($N3033,"000000"),2)/3600)))</f>
        <v>1.8647222222222224</v>
      </c>
      <c r="P3033" s="252" t="s">
        <v>41</v>
      </c>
      <c r="Q3033" s="253"/>
      <c r="R3033" s="247" t="s">
        <v>3293</v>
      </c>
      <c r="S3033" s="272"/>
      <c r="T3033" s="273"/>
      <c r="U3033" s="274"/>
      <c r="V3033" s="280"/>
      <c r="W3033" s="244"/>
      <c r="X3033" s="244"/>
      <c r="Y3033" s="362"/>
      <c r="Z3033" s="257">
        <f>altaz(J2000_Bas,$O3033,$M3033,DecLat,DecLong,1)</f>
        <v>-53.40174014734967</v>
      </c>
      <c r="AA3033" s="257">
        <f>altaz((J2000_Bas+(2*0.04167)),$O3033,$M3033,DecLat,DecLong,1)</f>
        <v>-34.568058959190026</v>
      </c>
      <c r="AB3033" s="257">
        <f>altaz((J2000_Bas+(4*0.04167)),$O3033,$M3033,DecLat,DecLong,1)</f>
        <v>-10.052472575134679</v>
      </c>
      <c r="AC3033" s="257">
        <f>altaz((J2000_Bas+(6*0.04167)),$O3033,$M3033,DecLat,DecLong,1)</f>
        <v>15.654065723431039</v>
      </c>
      <c r="AD3033" s="258">
        <f>1+ transit((J2000_Bas-1),$O3033,$M3033,DecLat,DecLong)/360 + (GMTOffset/24) + (IF(DST="Y", 1, 0)/24)</f>
        <v>1.240330491442208</v>
      </c>
      <c r="AE3033" s="259">
        <f>DATE(2001,9,21)+(M3033/360)*365 - (360*((DecLong/360)- (GMTOffset/24) ))</f>
        <v>37250.312152777777</v>
      </c>
      <c r="AF3033" s="260">
        <f>IF(DecLat&gt;0,IF((90 - (DecLat-O3033))&gt;90, (90 - (O3033-DecLat)), (90 - (DecLat-O3033))),IF((90 + (DecLat-O3033))&gt;90, (90 + (O3033-DecLat)), (90 + (DecLat-O3033))))</f>
        <v>60.864722222222227</v>
      </c>
      <c r="AG3033" s="257">
        <f>angularseperation(MoonRA,MoonDec,$M3033,$O3033)</f>
        <v>148.41898821566556</v>
      </c>
      <c r="AH3033" s="261">
        <f ca="1">MIN(100,IF($O$5&gt;80,0+30*($AG3033/100),IF($O$5&gt;70,0+50*($AG3033/100),IF($O$5&gt;60,5+50*($AG3033/100),IF($O$5&gt;50,10+60*($AG3033/100),IF($O$5&gt;40,15+70*($AG3033/100),IF($O$5&gt;30,20+70*($AG3033/100),IF($O$5&gt;20,40+55*($AG3033/100),(80+(20-$O$5)+30*($AG3033/100))))))))))</f>
        <v>100</v>
      </c>
      <c r="AI3033" s="262"/>
      <c r="AJ3033" s="262"/>
      <c r="AK3033" s="262"/>
      <c r="AL3033" s="263"/>
      <c r="AM3033" s="264"/>
      <c r="AN3033" s="263"/>
      <c r="AO3033" s="263"/>
      <c r="AP3033" s="265"/>
      <c r="AQ3033" s="266"/>
      <c r="AR3033" s="267"/>
      <c r="AS3033" s="263"/>
      <c r="AT3033" s="263"/>
      <c r="AU3033" s="263"/>
      <c r="AV3033" s="264"/>
      <c r="AW3033" s="263"/>
      <c r="AX3033" s="263"/>
      <c r="AY3033" s="263"/>
      <c r="AZ3033" s="263"/>
      <c r="BA3033" s="263"/>
      <c r="BB3033" s="263"/>
      <c r="BC3033" s="263"/>
      <c r="BD3033" s="264">
        <v>63</v>
      </c>
      <c r="BE3033" s="263"/>
      <c r="BF3033" s="263"/>
      <c r="BG3033" s="263"/>
      <c r="BH3033" s="263"/>
      <c r="BI3033" s="263"/>
      <c r="BJ3033" s="404">
        <f>altaz(J2000_Bas,$O3033,$M3033,DecLat,DecLong,2)</f>
        <v>29.216202418673561</v>
      </c>
      <c r="BK3033" s="378" t="s">
        <v>2840</v>
      </c>
      <c r="BL3033" s="379">
        <f>IF((2*G3033)/60&lt;0.2,0.2,(2*G3033)/60)</f>
        <v>0.23333333333333334</v>
      </c>
      <c r="BM3033" s="380">
        <f>MOD((50000+AD3033-$B$3+(0/24)),1)</f>
        <v>0.45569742114457767</v>
      </c>
      <c r="BN3033" s="381"/>
      <c r="BO3033" s="382">
        <v>3023</v>
      </c>
    </row>
    <row r="3034" spans="1:67" s="24" customFormat="1" ht="15" customHeight="1" x14ac:dyDescent="0.25">
      <c r="A3034" s="288" t="s">
        <v>2841</v>
      </c>
      <c r="B3034" s="241" t="str">
        <f>HYPERLINK(CONCATENATE($AT$3,BK3034,$AU$3),$AV$3)</f>
        <v>S</v>
      </c>
      <c r="C3034" s="242" t="str">
        <f>HYPERLINK(CONCATENATE($AT$4,BK3034,$AU$4,BL3034),$AV$4)</f>
        <v>A</v>
      </c>
      <c r="D3034" s="243" t="s">
        <v>5187</v>
      </c>
      <c r="E3034" s="244" t="s">
        <v>5186</v>
      </c>
      <c r="F3034" s="269"/>
      <c r="G3034" s="273">
        <v>1.2</v>
      </c>
      <c r="H3034" s="283">
        <v>2080</v>
      </c>
      <c r="I3034" s="309">
        <v>0.7</v>
      </c>
      <c r="J3034" s="246">
        <v>3</v>
      </c>
      <c r="K3034" s="247" t="s">
        <v>6416</v>
      </c>
      <c r="L3034" s="248">
        <v>55755</v>
      </c>
      <c r="M3034" s="249">
        <f>15*(LEFT(TEXT($L3034,"000000"),2)+(MID(TEXT($L3034,"000000"),3,2)/60)+(RIGHT(TEXT($L3034,"000000"),2)/3600))</f>
        <v>89.479166666666671</v>
      </c>
      <c r="N3034" s="250">
        <v>-140340</v>
      </c>
      <c r="O3034" s="251">
        <f>IF($N3034&gt;0,(LEFT(TEXT($N3034,"000000"),2)+(MID(TEXT($N3034,"000000"),3,2)/60)+(RIGHT(TEXT($N3034,"000000"),2)/3600)),-(MID(TEXT($N3034,"000000"),2,2)+(MID(TEXT($N3034,"000000"),4,2)/60)+(RIGHT(TEXT($N3034,"000000"),2)/3600)))</f>
        <v>-14.061111111111112</v>
      </c>
      <c r="P3034" s="252" t="s">
        <v>70</v>
      </c>
      <c r="Q3034" s="253"/>
      <c r="R3034" s="247" t="s">
        <v>3293</v>
      </c>
      <c r="S3034" s="272" t="s">
        <v>3293</v>
      </c>
      <c r="T3034" s="273"/>
      <c r="U3034" s="274"/>
      <c r="V3034" s="280"/>
      <c r="W3034" s="244"/>
      <c r="X3034" s="244"/>
      <c r="Y3034" s="362"/>
      <c r="Z3034" s="257">
        <f>altaz(J2000_Bas,$O3034,$M3034,DecLat,DecLong,1)</f>
        <v>-67.261497460059289</v>
      </c>
      <c r="AA3034" s="257">
        <f>altaz((J2000_Bas+(2*0.04167)),$O3034,$M3034,DecLat,DecLong,1)</f>
        <v>-44.134883411657242</v>
      </c>
      <c r="AB3034" s="257">
        <f>altaz((J2000_Bas+(4*0.04167)),$O3034,$M3034,DecLat,DecLong,1)</f>
        <v>-18.452591893290087</v>
      </c>
      <c r="AC3034" s="257">
        <f>altaz((J2000_Bas+(6*0.04167)),$O3034,$M3034,DecLat,DecLong,1)</f>
        <v>6.5964233363035163</v>
      </c>
      <c r="AD3034" s="258">
        <f>1+ transit((J2000_Bas-1),$O3034,$M3034,DecLat,DecLong)/360 + (GMTOffset/24) + (IF(DST="Y", 1, 0)/24)</f>
        <v>1.2414531765151247</v>
      </c>
      <c r="AE3034" s="259">
        <f>DATE(2001,9,21)+(M3034/360)*365 - (360*((DecLong/360)- (GMTOffset/24) ))</f>
        <v>37250.721932870372</v>
      </c>
      <c r="AF3034" s="260">
        <f>IF(DecLat&gt;0,IF((90 - (DecLat-O3034))&gt;90, (90 - (O3034-DecLat)), (90 - (DecLat-O3034))),IF((90 + (DecLat-O3034))&gt;90, (90 + (O3034-DecLat)), (90 + (DecLat-O3034))))</f>
        <v>44.93888888888889</v>
      </c>
      <c r="AG3034" s="257">
        <f>angularseperation(MoonRA,MoonDec,$M3034,$O3034)</f>
        <v>134.4052807476279</v>
      </c>
      <c r="AH3034" s="261">
        <f ca="1">MIN(100,IF($O$5&gt;80,0+30*($AG3034/100),IF($O$5&gt;70,0+50*($AG3034/100),IF($O$5&gt;60,5+50*($AG3034/100),IF($O$5&gt;50,10+60*($AG3034/100),IF($O$5&gt;40,15+70*($AG3034/100),IF($O$5&gt;30,20+70*($AG3034/100),IF($O$5&gt;20,40+55*($AG3034/100),(80+(20-$O$5)+30*($AG3034/100))))))))))</f>
        <v>100</v>
      </c>
      <c r="AI3034" s="262"/>
      <c r="AJ3034" s="262"/>
      <c r="AK3034" s="262"/>
      <c r="AL3034" s="263"/>
      <c r="AM3034" s="264"/>
      <c r="AN3034" s="263"/>
      <c r="AO3034" s="263"/>
      <c r="AP3034" s="265"/>
      <c r="AQ3034" s="266"/>
      <c r="AR3034" s="267"/>
      <c r="AS3034" s="263"/>
      <c r="AT3034" s="263"/>
      <c r="AU3034" s="263"/>
      <c r="AV3034" s="264"/>
      <c r="AW3034" s="263"/>
      <c r="AX3034" s="263"/>
      <c r="AY3034" s="263"/>
      <c r="AZ3034" s="263"/>
      <c r="BA3034" s="263"/>
      <c r="BB3034" s="263"/>
      <c r="BC3034" s="263"/>
      <c r="BD3034" s="264">
        <v>64</v>
      </c>
      <c r="BE3034" s="263"/>
      <c r="BF3034" s="263"/>
      <c r="BG3034" s="263"/>
      <c r="BH3034" s="263"/>
      <c r="BI3034" s="263"/>
      <c r="BJ3034" s="404">
        <f>altaz(J2000_Bas,$O3034,$M3034,DecLat,DecLong,2)</f>
        <v>45.541567131737715</v>
      </c>
      <c r="BK3034" s="378" t="s">
        <v>2841</v>
      </c>
      <c r="BL3034" s="379">
        <f>IF((2*G3034)/60&lt;0.2,0.2,(2*G3034)/60)</f>
        <v>0.2</v>
      </c>
      <c r="BM3034" s="380">
        <f>MOD((50000+AD3034-$B$3+(0/24)),1)</f>
        <v>0.45682010622113012</v>
      </c>
      <c r="BN3034" s="381"/>
      <c r="BO3034" s="382">
        <v>3024</v>
      </c>
    </row>
    <row r="3035" spans="1:67" s="24" customFormat="1" ht="15" customHeight="1" x14ac:dyDescent="0.25">
      <c r="A3035" s="288" t="s">
        <v>2842</v>
      </c>
      <c r="B3035" s="241" t="str">
        <f>HYPERLINK(CONCATENATE($AT$3,BK3035,$AU$3),$AV$3)</f>
        <v>S</v>
      </c>
      <c r="C3035" s="242" t="str">
        <f>HYPERLINK(CONCATENATE($AT$4,BK3035,$AU$4,BL3035),$AV$4)</f>
        <v>A</v>
      </c>
      <c r="D3035" s="243" t="s">
        <v>5187</v>
      </c>
      <c r="E3035" s="244" t="s">
        <v>5186</v>
      </c>
      <c r="F3035" s="269"/>
      <c r="G3035" s="273">
        <v>4.5999999999999996</v>
      </c>
      <c r="H3035" s="283">
        <v>3600</v>
      </c>
      <c r="I3035" s="279">
        <v>5</v>
      </c>
      <c r="J3035" s="246">
        <v>2</v>
      </c>
      <c r="K3035" s="247" t="s">
        <v>9458</v>
      </c>
      <c r="L3035" s="248">
        <v>60433</v>
      </c>
      <c r="M3035" s="249">
        <f>15*(LEFT(TEXT($L3035,"000000"),2)+(MID(TEXT($L3035,"000000"),3,2)/60)+(RIGHT(TEXT($L3035,"000000"),2)/3600))</f>
        <v>91.137499999999989</v>
      </c>
      <c r="N3035" s="250">
        <v>303007</v>
      </c>
      <c r="O3035" s="251">
        <f>IF($N3035&gt;0,(LEFT(TEXT($N3035,"000000"),2)+(MID(TEXT($N3035,"000000"),3,2)/60)+(RIGHT(TEXT($N3035,"000000"),2)/3600)),-(MID(TEXT($N3035,"000000"),2,2)+(MID(TEXT($N3035,"000000"),4,2)/60)+(RIGHT(TEXT($N3035,"000000"),2)/3600)))</f>
        <v>30.501944444444444</v>
      </c>
      <c r="P3035" s="252" t="s">
        <v>62</v>
      </c>
      <c r="Q3035" s="253"/>
      <c r="R3035" s="247" t="s">
        <v>3293</v>
      </c>
      <c r="S3035" s="272" t="s">
        <v>3293</v>
      </c>
      <c r="T3035" s="273"/>
      <c r="U3035" s="274"/>
      <c r="V3035" s="280"/>
      <c r="W3035" s="244"/>
      <c r="X3035" s="244"/>
      <c r="Y3035" s="362"/>
      <c r="Z3035" s="257">
        <f>altaz(J2000_Bas,$O3035,$M3035,DecLat,DecLong,1)</f>
        <v>-26.898514690905493</v>
      </c>
      <c r="AA3035" s="257">
        <f>altaz((J2000_Bas+(2*0.04167)),$O3035,$M3035,DecLat,DecLong,1)</f>
        <v>-15.145579725143216</v>
      </c>
      <c r="AB3035" s="257">
        <f>altaz((J2000_Bas+(4*0.04167)),$O3035,$M3035,DecLat,DecLong,1)</f>
        <v>4.0537927052207161</v>
      </c>
      <c r="AC3035" s="257">
        <f>altaz((J2000_Bas+(6*0.04167)),$O3035,$M3035,DecLat,DecLong,1)</f>
        <v>27.003474669958322</v>
      </c>
      <c r="AD3035" s="258">
        <f>1+ transit((J2000_Bas-1),$O3035,$M3035,DecLat,DecLong)/360 + (GMTOffset/24) + (IF(DST="Y", 1, 0)/24)</f>
        <v>1.2460596575359579</v>
      </c>
      <c r="AE3035" s="259">
        <f>DATE(2001,9,21)+(M3035/360)*365 - (360*((DecLong/360)- (GMTOffset/24) ))</f>
        <v>37252.403298611112</v>
      </c>
      <c r="AF3035" s="260">
        <f>IF(DecLat&gt;0,IF((90 - (DecLat-O3035))&gt;90, (90 - (O3035-DecLat)), (90 - (DecLat-O3035))),IF((90 + (DecLat-O3035))&gt;90, (90 + (O3035-DecLat)), (90 + (DecLat-O3035))))</f>
        <v>89.501944444444447</v>
      </c>
      <c r="AG3035" s="257">
        <f>angularseperation(MoonRA,MoonDec,$M3035,$O3035)</f>
        <v>160.54176793967929</v>
      </c>
      <c r="AH3035" s="261">
        <f ca="1">MIN(100,IF($O$5&gt;80,0+30*($AG3035/100),IF($O$5&gt;70,0+50*($AG3035/100),IF($O$5&gt;60,5+50*($AG3035/100),IF($O$5&gt;50,10+60*($AG3035/100),IF($O$5&gt;40,15+70*($AG3035/100),IF($O$5&gt;30,20+70*($AG3035/100),IF($O$5&gt;20,40+55*($AG3035/100),(80+(20-$O$5)+30*($AG3035/100))))))))))</f>
        <v>100</v>
      </c>
      <c r="AI3035" s="262"/>
      <c r="AJ3035" s="262"/>
      <c r="AK3035" s="262"/>
      <c r="AL3035" s="263"/>
      <c r="AM3035" s="264"/>
      <c r="AN3035" s="263"/>
      <c r="AO3035" s="263"/>
      <c r="AP3035" s="265"/>
      <c r="AQ3035" s="266"/>
      <c r="AR3035" s="267"/>
      <c r="AS3035" s="263"/>
      <c r="AT3035" s="263"/>
      <c r="AU3035" s="263"/>
      <c r="AV3035" s="264"/>
      <c r="AW3035" s="263"/>
      <c r="AX3035" s="263"/>
      <c r="AY3035" s="263"/>
      <c r="AZ3035" s="263"/>
      <c r="BA3035" s="263"/>
      <c r="BB3035" s="263"/>
      <c r="BC3035" s="263"/>
      <c r="BD3035" s="264">
        <v>65</v>
      </c>
      <c r="BE3035" s="263"/>
      <c r="BF3035" s="263"/>
      <c r="BG3035" s="263"/>
      <c r="BH3035" s="263"/>
      <c r="BI3035" s="263"/>
      <c r="BJ3035" s="404">
        <f>altaz(J2000_Bas,$O3035,$M3035,DecLat,DecLong,2)</f>
        <v>14.350782325193212</v>
      </c>
      <c r="BK3035" s="378" t="s">
        <v>2842</v>
      </c>
      <c r="BL3035" s="379">
        <f>IF((2*G3035)/60&lt;0.2,0.2,(2*G3035)/60)</f>
        <v>0.2</v>
      </c>
      <c r="BM3035" s="380">
        <f>MOD((50000+AD3035-$B$3+(0/24)),1)</f>
        <v>0.46142658723692875</v>
      </c>
      <c r="BN3035" s="381"/>
      <c r="BO3035" s="382">
        <v>3025</v>
      </c>
    </row>
    <row r="3036" spans="1:67" s="24" customFormat="1" ht="15" customHeight="1" x14ac:dyDescent="0.25">
      <c r="A3036" s="288" t="s">
        <v>2843</v>
      </c>
      <c r="B3036" s="241" t="str">
        <f>HYPERLINK(CONCATENATE($AT$3,BK3036,$AU$3),$AV$3)</f>
        <v>S</v>
      </c>
      <c r="C3036" s="242" t="str">
        <f>HYPERLINK(CONCATENATE($AT$4,BK3036,$AU$4,BL3036),$AV$4)</f>
        <v>A</v>
      </c>
      <c r="D3036" s="243" t="s">
        <v>5187</v>
      </c>
      <c r="E3036" s="244" t="s">
        <v>5186</v>
      </c>
      <c r="F3036" s="269"/>
      <c r="G3036" s="273">
        <v>1.8</v>
      </c>
      <c r="H3036" s="283">
        <v>3300</v>
      </c>
      <c r="I3036" s="279">
        <v>1.8</v>
      </c>
      <c r="J3036" s="246">
        <v>2</v>
      </c>
      <c r="K3036" s="247" t="s">
        <v>9459</v>
      </c>
      <c r="L3036" s="248">
        <v>60304</v>
      </c>
      <c r="M3036" s="249">
        <f>15*(LEFT(TEXT($L3036,"000000"),2)+(MID(TEXT($L3036,"000000"),3,2)/60)+(RIGHT(TEXT($L3036,"000000"),2)/3600))</f>
        <v>90.766666666666666</v>
      </c>
      <c r="N3036" s="250">
        <v>-94237</v>
      </c>
      <c r="O3036" s="251">
        <f>IF($N3036&gt;0,(LEFT(TEXT($N3036,"000000"),2)+(MID(TEXT($N3036,"000000"),3,2)/60)+(RIGHT(TEXT($N3036,"000000"),2)/3600)),-(MID(TEXT($N3036,"000000"),2,2)+(MID(TEXT($N3036,"000000"),4,2)/60)+(RIGHT(TEXT($N3036,"000000"),2)/3600)))</f>
        <v>-9.7102777777777778</v>
      </c>
      <c r="P3036" s="252" t="s">
        <v>47</v>
      </c>
      <c r="Q3036" s="253"/>
      <c r="R3036" s="247" t="s">
        <v>3293</v>
      </c>
      <c r="S3036" s="272" t="s">
        <v>6424</v>
      </c>
      <c r="T3036" s="273"/>
      <c r="U3036" s="274"/>
      <c r="V3036" s="280"/>
      <c r="W3036" s="244"/>
      <c r="X3036" s="244"/>
      <c r="Y3036" s="362"/>
      <c r="Z3036" s="257">
        <f>altaz(J2000_Bas,$O3036,$M3036,DecLat,DecLong,1)</f>
        <v>-64.430190380986474</v>
      </c>
      <c r="AA3036" s="257">
        <f>altaz((J2000_Bas+(2*0.04167)),$O3036,$M3036,DecLat,DecLong,1)</f>
        <v>-42.917415707531703</v>
      </c>
      <c r="AB3036" s="257">
        <f>altaz((J2000_Bas+(4*0.04167)),$O3036,$M3036,DecLat,DecLong,1)</f>
        <v>-17.443643093565129</v>
      </c>
      <c r="AC3036" s="257">
        <f>altaz((J2000_Bas+(6*0.04167)),$O3036,$M3036,DecLat,DecLong,1)</f>
        <v>7.9766071419361166</v>
      </c>
      <c r="AD3036" s="258">
        <f>1+ transit((J2000_Bas-1),$O3036,$M3036,DecLat,DecLong)/360 + (GMTOffset/24) + (IF(DST="Y", 1, 0)/24)</f>
        <v>1.2450295650463747</v>
      </c>
      <c r="AE3036" s="259">
        <f>DATE(2001,9,21)+(M3036/360)*365 - (360*((DecLong/360)- (GMTOffset/24) ))</f>
        <v>37252.027314814812</v>
      </c>
      <c r="AF3036" s="260">
        <f>IF(DecLat&gt;0,IF((90 - (DecLat-O3036))&gt;90, (90 - (O3036-DecLat)), (90 - (DecLat-O3036))),IF((90 + (DecLat-O3036))&gt;90, (90 + (O3036-DecLat)), (90 + (DecLat-O3036))))</f>
        <v>49.289722222222224</v>
      </c>
      <c r="AG3036" s="257">
        <f>angularseperation(MoonRA,MoonDec,$M3036,$O3036)</f>
        <v>137.6962277505138</v>
      </c>
      <c r="AH3036" s="261">
        <f ca="1">MIN(100,IF($O$5&gt;80,0+30*($AG3036/100),IF($O$5&gt;70,0+50*($AG3036/100),IF($O$5&gt;60,5+50*($AG3036/100),IF($O$5&gt;50,10+60*($AG3036/100),IF($O$5&gt;40,15+70*($AG3036/100),IF($O$5&gt;30,20+70*($AG3036/100),IF($O$5&gt;20,40+55*($AG3036/100),(80+(20-$O$5)+30*($AG3036/100))))))))))</f>
        <v>100</v>
      </c>
      <c r="AI3036" s="262"/>
      <c r="AJ3036" s="262"/>
      <c r="AK3036" s="262"/>
      <c r="AL3036" s="263"/>
      <c r="AM3036" s="264"/>
      <c r="AN3036" s="263"/>
      <c r="AO3036" s="263"/>
      <c r="AP3036" s="265"/>
      <c r="AQ3036" s="266"/>
      <c r="AR3036" s="267"/>
      <c r="AS3036" s="263"/>
      <c r="AT3036" s="263"/>
      <c r="AU3036" s="263"/>
      <c r="AV3036" s="264"/>
      <c r="AW3036" s="263"/>
      <c r="AX3036" s="263"/>
      <c r="AY3036" s="263"/>
      <c r="AZ3036" s="263"/>
      <c r="BA3036" s="263"/>
      <c r="BB3036" s="263"/>
      <c r="BC3036" s="263"/>
      <c r="BD3036" s="264">
        <v>66</v>
      </c>
      <c r="BE3036" s="263"/>
      <c r="BF3036" s="263"/>
      <c r="BG3036" s="263"/>
      <c r="BH3036" s="263"/>
      <c r="BI3036" s="263"/>
      <c r="BJ3036" s="404">
        <f>altaz(J2000_Bas,$O3036,$M3036,DecLat,DecLong,2)</f>
        <v>36.880435128126749</v>
      </c>
      <c r="BK3036" s="378" t="s">
        <v>2843</v>
      </c>
      <c r="BL3036" s="379">
        <f>IF((2*G3036)/60&lt;0.2,0.2,(2*G3036)/60)</f>
        <v>0.2</v>
      </c>
      <c r="BM3036" s="380">
        <f>MOD((50000+AD3036-$B$3+(0/24)),1)</f>
        <v>0.46039649475278566</v>
      </c>
      <c r="BN3036" s="381"/>
      <c r="BO3036" s="382">
        <v>3026</v>
      </c>
    </row>
    <row r="3037" spans="1:67" s="24" customFormat="1" ht="15" customHeight="1" x14ac:dyDescent="0.25">
      <c r="A3037" s="288" t="s">
        <v>2844</v>
      </c>
      <c r="B3037" s="241" t="str">
        <f>HYPERLINK(CONCATENATE($AT$3,BK3037,$AU$3),$AV$3)</f>
        <v>S</v>
      </c>
      <c r="C3037" s="242" t="str">
        <f>HYPERLINK(CONCATENATE($AT$4,BK3037,$AU$4,BL3037),$AV$4)</f>
        <v>A</v>
      </c>
      <c r="D3037" s="243" t="s">
        <v>5187</v>
      </c>
      <c r="E3037" s="244" t="s">
        <v>5186</v>
      </c>
      <c r="F3037" s="269"/>
      <c r="G3037" s="273">
        <v>2.2000000000000002</v>
      </c>
      <c r="H3037" s="283">
        <v>2900</v>
      </c>
      <c r="I3037" s="279">
        <v>2</v>
      </c>
      <c r="J3037" s="246">
        <v>3</v>
      </c>
      <c r="K3037" s="247" t="s">
        <v>6417</v>
      </c>
      <c r="L3037" s="248">
        <v>60732</v>
      </c>
      <c r="M3037" s="249">
        <f>15*(LEFT(TEXT($L3037,"000000"),2)+(MID(TEXT($L3037,"000000"),3,2)/60)+(RIGHT(TEXT($L3037,"000000"),2)/3600))</f>
        <v>91.883333333333326</v>
      </c>
      <c r="N3037" s="250">
        <v>-62433</v>
      </c>
      <c r="O3037" s="251">
        <f>IF($N3037&gt;0,(LEFT(TEXT($N3037,"000000"),2)+(MID(TEXT($N3037,"000000"),3,2)/60)+(RIGHT(TEXT($N3037,"000000"),2)/3600)),-(MID(TEXT($N3037,"000000"),2,2)+(MID(TEXT($N3037,"000000"),4,2)/60)+(RIGHT(TEXT($N3037,"000000"),2)/3600)))</f>
        <v>-6.4091666666666667</v>
      </c>
      <c r="P3037" s="252" t="s">
        <v>47</v>
      </c>
      <c r="Q3037" s="253"/>
      <c r="R3037" s="277" t="s">
        <v>6424</v>
      </c>
      <c r="S3037" s="272"/>
      <c r="T3037" s="273"/>
      <c r="U3037" s="274"/>
      <c r="V3037" s="280"/>
      <c r="W3037" s="244"/>
      <c r="X3037" s="244"/>
      <c r="Y3037" s="362"/>
      <c r="Z3037" s="257">
        <f>altaz(J2000_Bas,$O3037,$M3037,DecLat,DecLong,1)</f>
        <v>-62.075988478523861</v>
      </c>
      <c r="AA3037" s="257">
        <f>altaz((J2000_Bas+(2*0.04167)),$O3037,$M3037,DecLat,DecLong,1)</f>
        <v>-41.922479450615924</v>
      </c>
      <c r="AB3037" s="257">
        <f>altaz((J2000_Bas+(4*0.04167)),$O3037,$M3037,DecLat,DecLong,1)</f>
        <v>-16.747775994896159</v>
      </c>
      <c r="AC3037" s="257">
        <f>altaz((J2000_Bas+(6*0.04167)),$O3037,$M3037,DecLat,DecLong,1)</f>
        <v>8.856138080451629</v>
      </c>
      <c r="AD3037" s="258">
        <f>1+ transit((J2000_Bas-1),$O3037,$M3037,DecLat,DecLong)/360 + (GMTOffset/24) + (IF(DST="Y", 1, 0)/24)</f>
        <v>1.2481314165880413</v>
      </c>
      <c r="AE3037" s="259">
        <f>DATE(2001,9,21)+(M3037/360)*365 - (360*((DecLong/360)- (GMTOffset/24) ))</f>
        <v>37253.159490740742</v>
      </c>
      <c r="AF3037" s="260">
        <f>IF(DecLat&gt;0,IF((90 - (DecLat-O3037))&gt;90, (90 - (O3037-DecLat)), (90 - (DecLat-O3037))),IF((90 + (DecLat-O3037))&gt;90, (90 + (O3037-DecLat)), (90 + (DecLat-O3037))))</f>
        <v>52.590833333333336</v>
      </c>
      <c r="AG3037" s="257">
        <f>angularseperation(MoonRA,MoonDec,$M3037,$O3037)</f>
        <v>139.97492575720574</v>
      </c>
      <c r="AH3037" s="261">
        <f ca="1">MIN(100,IF($O$5&gt;80,0+30*($AG3037/100),IF($O$5&gt;70,0+50*($AG3037/100),IF($O$5&gt;60,5+50*($AG3037/100),IF($O$5&gt;50,10+60*($AG3037/100),IF($O$5&gt;40,15+70*($AG3037/100),IF($O$5&gt;30,20+70*($AG3037/100),IF($O$5&gt;20,40+55*($AG3037/100),(80+(20-$O$5)+30*($AG3037/100))))))))))</f>
        <v>100</v>
      </c>
      <c r="AI3037" s="262"/>
      <c r="AJ3037" s="262"/>
      <c r="AK3037" s="262"/>
      <c r="AL3037" s="263"/>
      <c r="AM3037" s="264"/>
      <c r="AN3037" s="263"/>
      <c r="AO3037" s="263"/>
      <c r="AP3037" s="265"/>
      <c r="AQ3037" s="266"/>
      <c r="AR3037" s="267"/>
      <c r="AS3037" s="263"/>
      <c r="AT3037" s="263"/>
      <c r="AU3037" s="263"/>
      <c r="AV3037" s="264"/>
      <c r="AW3037" s="263"/>
      <c r="AX3037" s="263"/>
      <c r="AY3037" s="263"/>
      <c r="AZ3037" s="263"/>
      <c r="BA3037" s="263"/>
      <c r="BB3037" s="263"/>
      <c r="BC3037" s="263"/>
      <c r="BD3037" s="264">
        <v>67</v>
      </c>
      <c r="BE3037" s="263"/>
      <c r="BF3037" s="263"/>
      <c r="BG3037" s="263"/>
      <c r="BH3037" s="263"/>
      <c r="BI3037" s="263"/>
      <c r="BJ3037" s="404">
        <f>altaz(J2000_Bas,$O3037,$M3037,DecLat,DecLong,2)</f>
        <v>31.17495058857428</v>
      </c>
      <c r="BK3037" s="378" t="s">
        <v>2844</v>
      </c>
      <c r="BL3037" s="379">
        <f>IF((2*G3037)/60&lt;0.2,0.2,(2*G3037)/60)</f>
        <v>0.2</v>
      </c>
      <c r="BM3037" s="380">
        <f>MOD((50000+AD3037-$B$3+(0/24)),1)</f>
        <v>0.46349834628927056</v>
      </c>
      <c r="BN3037" s="381"/>
      <c r="BO3037" s="382">
        <v>3027</v>
      </c>
    </row>
    <row r="3038" spans="1:67" s="24" customFormat="1" ht="15" customHeight="1" x14ac:dyDescent="0.25">
      <c r="A3038" s="288" t="s">
        <v>2845</v>
      </c>
      <c r="B3038" s="241" t="str">
        <f>HYPERLINK(CONCATENATE($AT$3,BK3038,$AU$3),$AV$3)</f>
        <v>S</v>
      </c>
      <c r="C3038" s="242" t="str">
        <f>HYPERLINK(CONCATENATE($AT$4,BK3038,$AU$4,BL3038),$AV$4)</f>
        <v>A</v>
      </c>
      <c r="D3038" s="243" t="s">
        <v>5187</v>
      </c>
      <c r="E3038" s="244" t="s">
        <v>5186</v>
      </c>
      <c r="F3038" s="269"/>
      <c r="G3038" s="273">
        <v>6.8</v>
      </c>
      <c r="H3038" s="283">
        <v>2700</v>
      </c>
      <c r="I3038" s="279">
        <v>6</v>
      </c>
      <c r="J3038" s="246">
        <v>4</v>
      </c>
      <c r="K3038" s="247" t="s">
        <v>6420</v>
      </c>
      <c r="L3038" s="248">
        <v>60804</v>
      </c>
      <c r="M3038" s="249">
        <f>15*(LEFT(TEXT($L3038,"000000"),2)+(MID(TEXT($L3038,"000000"),3,2)/60)+(RIGHT(TEXT($L3038,"000000"),2)/3600))</f>
        <v>92.01666666666668</v>
      </c>
      <c r="N3038" s="250">
        <v>-61303</v>
      </c>
      <c r="O3038" s="251">
        <f>IF($N3038&gt;0,(LEFT(TEXT($N3038,"000000"),2)+(MID(TEXT($N3038,"000000"),3,2)/60)+(RIGHT(TEXT($N3038,"000000"),2)/3600)),-(MID(TEXT($N3038,"000000"),2,2)+(MID(TEXT($N3038,"000000"),4,2)/60)+(RIGHT(TEXT($N3038,"000000"),2)/3600)))</f>
        <v>-6.2175000000000002</v>
      </c>
      <c r="P3038" s="252" t="s">
        <v>47</v>
      </c>
      <c r="Q3038" s="253"/>
      <c r="R3038" s="277" t="s">
        <v>3293</v>
      </c>
      <c r="S3038" s="272" t="s">
        <v>6424</v>
      </c>
      <c r="T3038" s="273"/>
      <c r="U3038" s="274"/>
      <c r="V3038" s="280"/>
      <c r="W3038" s="244"/>
      <c r="X3038" s="244"/>
      <c r="Y3038" s="362"/>
      <c r="Z3038" s="257">
        <f>altaz(J2000_Bas,$O3038,$M3038,DecLat,DecLong,1)</f>
        <v>-61.963004518403238</v>
      </c>
      <c r="AA3038" s="257">
        <f>altaz((J2000_Bas+(2*0.04167)),$O3038,$M3038,DecLat,DecLong,1)</f>
        <v>-41.914354675740931</v>
      </c>
      <c r="AB3038" s="257">
        <f>altaz((J2000_Bas+(4*0.04167)),$O3038,$M3038,DecLat,DecLong,1)</f>
        <v>-16.764601502431017</v>
      </c>
      <c r="AC3038" s="257">
        <f>altaz((J2000_Bas+(6*0.04167)),$O3038,$M3038,DecLat,DecLong,1)</f>
        <v>8.8485560152871567</v>
      </c>
      <c r="AD3038" s="258">
        <f>1+ transit((J2000_Bas-1),$O3038,$M3038,DecLat,DecLong)/360 + (GMTOffset/24) + (IF(DST="Y", 1, 0)/24)</f>
        <v>1.2485017869213748</v>
      </c>
      <c r="AE3038" s="259">
        <f>DATE(2001,9,21)+(M3038/360)*365 - (360*((DecLong/360)- (GMTOffset/24) ))</f>
        <v>37253.294675925928</v>
      </c>
      <c r="AF3038" s="260">
        <f>IF(DecLat&gt;0,IF((90 - (DecLat-O3038))&gt;90, (90 - (O3038-DecLat)), (90 - (DecLat-O3038))),IF((90 + (DecLat-O3038))&gt;90, (90 + (O3038-DecLat)), (90 + (DecLat-O3038))))</f>
        <v>52.782499999999999</v>
      </c>
      <c r="AG3038" s="257">
        <f>angularseperation(MoonRA,MoonDec,$M3038,$O3038)</f>
        <v>140.06597096518297</v>
      </c>
      <c r="AH3038" s="261">
        <f ca="1">MIN(100,IF($O$5&gt;80,0+30*($AG3038/100),IF($O$5&gt;70,0+50*($AG3038/100),IF($O$5&gt;60,5+50*($AG3038/100),IF($O$5&gt;50,10+60*($AG3038/100),IF($O$5&gt;40,15+70*($AG3038/100),IF($O$5&gt;30,20+70*($AG3038/100),IF($O$5&gt;20,40+55*($AG3038/100),(80+(20-$O$5)+30*($AG3038/100))))))))))</f>
        <v>100</v>
      </c>
      <c r="AI3038" s="263"/>
      <c r="AJ3038" s="263"/>
      <c r="AK3038" s="263"/>
      <c r="AL3038" s="263"/>
      <c r="AM3038" s="264"/>
      <c r="AN3038" s="263"/>
      <c r="AO3038" s="263"/>
      <c r="AP3038" s="265"/>
      <c r="AQ3038" s="265"/>
      <c r="AR3038" s="285"/>
      <c r="AS3038" s="263"/>
      <c r="AT3038" s="263"/>
      <c r="AU3038" s="263"/>
      <c r="AV3038" s="264"/>
      <c r="AW3038" s="263"/>
      <c r="AX3038" s="263"/>
      <c r="AY3038" s="263"/>
      <c r="AZ3038" s="263"/>
      <c r="BA3038" s="263"/>
      <c r="BB3038" s="263"/>
      <c r="BC3038" s="263"/>
      <c r="BD3038" s="264">
        <v>68</v>
      </c>
      <c r="BE3038" s="263"/>
      <c r="BF3038" s="263"/>
      <c r="BG3038" s="263"/>
      <c r="BH3038" s="263"/>
      <c r="BI3038" s="263"/>
      <c r="BJ3038" s="404">
        <f>altaz(J2000_Bas,$O3038,$M3038,DecLat,DecLong,2)</f>
        <v>30.740570652179784</v>
      </c>
      <c r="BK3038" s="378" t="s">
        <v>2845</v>
      </c>
      <c r="BL3038" s="379">
        <f>IF((2*G3038)/60&lt;0.2,0.2,(2*G3038)/60)</f>
        <v>0.22666666666666666</v>
      </c>
      <c r="BM3038" s="380">
        <f>MOD((50000+AD3038-$B$3+(0/24)),1)</f>
        <v>0.46386871662252815</v>
      </c>
      <c r="BN3038" s="381"/>
      <c r="BO3038" s="382">
        <v>3028</v>
      </c>
    </row>
    <row r="3039" spans="1:67" s="24" customFormat="1" ht="15" customHeight="1" x14ac:dyDescent="0.25">
      <c r="A3039" s="288" t="s">
        <v>2846</v>
      </c>
      <c r="B3039" s="241" t="str">
        <f>HYPERLINK(CONCATENATE($AT$3,BK3039,$AU$3),$AV$3)</f>
        <v>S</v>
      </c>
      <c r="C3039" s="242" t="str">
        <f>HYPERLINK(CONCATENATE($AT$4,BK3039,$AU$4,BL3039),$AV$4)</f>
        <v>A</v>
      </c>
      <c r="D3039" s="243" t="s">
        <v>5187</v>
      </c>
      <c r="E3039" s="244" t="s">
        <v>5186</v>
      </c>
      <c r="F3039" s="269"/>
      <c r="G3039" s="273">
        <v>6.2</v>
      </c>
      <c r="H3039" s="283">
        <v>2700</v>
      </c>
      <c r="I3039" s="279">
        <v>5</v>
      </c>
      <c r="J3039" s="246">
        <v>3</v>
      </c>
      <c r="K3039" s="247" t="s">
        <v>6418</v>
      </c>
      <c r="L3039" s="248">
        <v>60805</v>
      </c>
      <c r="M3039" s="249">
        <f>15*(LEFT(TEXT($L3039,"000000"),2)+(MID(TEXT($L3039,"000000"),3,2)/60)+(RIGHT(TEXT($L3039,"000000"),2)/3600))</f>
        <v>92.020833333333343</v>
      </c>
      <c r="N3039" s="250">
        <v>-62158</v>
      </c>
      <c r="O3039" s="251">
        <f>IF($N3039&gt;0,(LEFT(TEXT($N3039,"000000"),2)+(MID(TEXT($N3039,"000000"),3,2)/60)+(RIGHT(TEXT($N3039,"000000"),2)/3600)),-(MID(TEXT($N3039,"000000"),2,2)+(MID(TEXT($N3039,"000000"),4,2)/60)+(RIGHT(TEXT($N3039,"000000"),2)/3600)))</f>
        <v>-6.3661111111111106</v>
      </c>
      <c r="P3039" s="252" t="s">
        <v>47</v>
      </c>
      <c r="Q3039" s="253"/>
      <c r="R3039" s="277" t="s">
        <v>3293</v>
      </c>
      <c r="S3039" s="272" t="s">
        <v>6424</v>
      </c>
      <c r="T3039" s="273"/>
      <c r="U3039" s="274"/>
      <c r="V3039" s="280"/>
      <c r="W3039" s="244"/>
      <c r="X3039" s="244"/>
      <c r="Y3039" s="362"/>
      <c r="Z3039" s="257">
        <f>altaz(J2000_Bas,$O3039,$M3039,DecLat,DecLong,1)</f>
        <v>-62.098165633052886</v>
      </c>
      <c r="AA3039" s="257">
        <f>altaz((J2000_Bas+(2*0.04167)),$O3039,$M3039,DecLat,DecLong,1)</f>
        <v>-42.006497169197566</v>
      </c>
      <c r="AB3039" s="257">
        <f>altaz((J2000_Bas+(4*0.04167)),$O3039,$M3039,DecLat,DecLong,1)</f>
        <v>-16.843659667789701</v>
      </c>
      <c r="AC3039" s="257">
        <f>altaz((J2000_Bas+(6*0.04167)),$O3039,$M3039,DecLat,DecLong,1)</f>
        <v>8.7646126433255915</v>
      </c>
      <c r="AD3039" s="258">
        <f>1+ transit((J2000_Bas-1),$O3039,$M3039,DecLat,DecLong)/360 + (GMTOffset/24) + (IF(DST="Y", 1, 0)/24)</f>
        <v>1.2485133609942913</v>
      </c>
      <c r="AE3039" s="259">
        <f>DATE(2001,9,21)+(M3039/360)*365 - (360*((DecLong/360)- (GMTOffset/24) ))</f>
        <v>37253.298900462964</v>
      </c>
      <c r="AF3039" s="260">
        <f>IF(DecLat&gt;0,IF((90 - (DecLat-O3039))&gt;90, (90 - (O3039-DecLat)), (90 - (DecLat-O3039))),IF((90 + (DecLat-O3039))&gt;90, (90 + (O3039-DecLat)), (90 + (DecLat-O3039))))</f>
        <v>52.63388888888889</v>
      </c>
      <c r="AG3039" s="257">
        <f>angularseperation(MoonRA,MoonDec,$M3039,$O3039)</f>
        <v>139.93831480361993</v>
      </c>
      <c r="AH3039" s="261">
        <f ca="1">MIN(100,IF($O$5&gt;80,0+30*($AG3039/100),IF($O$5&gt;70,0+50*($AG3039/100),IF($O$5&gt;60,5+50*($AG3039/100),IF($O$5&gt;50,10+60*($AG3039/100),IF($O$5&gt;40,15+70*($AG3039/100),IF($O$5&gt;30,20+70*($AG3039/100),IF($O$5&gt;20,40+55*($AG3039/100),(80+(20-$O$5)+30*($AG3039/100))))))))))</f>
        <v>100</v>
      </c>
      <c r="AI3039" s="263"/>
      <c r="AJ3039" s="263"/>
      <c r="AK3039" s="263"/>
      <c r="AL3039" s="263"/>
      <c r="AM3039" s="264"/>
      <c r="AN3039" s="263"/>
      <c r="AO3039" s="263"/>
      <c r="AP3039" s="265"/>
      <c r="AQ3039" s="265"/>
      <c r="AR3039" s="285"/>
      <c r="AS3039" s="263"/>
      <c r="AT3039" s="263"/>
      <c r="AU3039" s="263"/>
      <c r="AV3039" s="264"/>
      <c r="AW3039" s="263"/>
      <c r="AX3039" s="263"/>
      <c r="AY3039" s="263"/>
      <c r="AZ3039" s="263"/>
      <c r="BA3039" s="263"/>
      <c r="BB3039" s="263"/>
      <c r="BC3039" s="263"/>
      <c r="BD3039" s="264">
        <v>69</v>
      </c>
      <c r="BE3039" s="263"/>
      <c r="BF3039" s="263"/>
      <c r="BG3039" s="263"/>
      <c r="BH3039" s="263"/>
      <c r="BI3039" s="263"/>
      <c r="BJ3039" s="404">
        <f>altaz(J2000_Bas,$O3039,$M3039,DecLat,DecLong,2)</f>
        <v>30.87259315427325</v>
      </c>
      <c r="BK3039" s="378" t="s">
        <v>2846</v>
      </c>
      <c r="BL3039" s="379">
        <f>IF((2*G3039)/60&lt;0.2,0.2,(2*G3039)/60)</f>
        <v>0.20666666666666667</v>
      </c>
      <c r="BM3039" s="380">
        <f>MOD((50000+AD3039-$B$3+(0/24)),1)</f>
        <v>0.46388029069930781</v>
      </c>
      <c r="BN3039" s="381"/>
      <c r="BO3039" s="382">
        <v>3029</v>
      </c>
    </row>
    <row r="3040" spans="1:67" s="24" customFormat="1" ht="15" customHeight="1" x14ac:dyDescent="0.25">
      <c r="A3040" s="288" t="s">
        <v>2847</v>
      </c>
      <c r="B3040" s="241" t="str">
        <f>HYPERLINK(CONCATENATE($AT$3,BK3040,$AU$3),$AV$3)</f>
        <v>S</v>
      </c>
      <c r="C3040" s="242" t="str">
        <f>HYPERLINK(CONCATENATE($AT$4,BK3040,$AU$4,BL3040),$AV$4)</f>
        <v>A</v>
      </c>
      <c r="D3040" s="243" t="s">
        <v>5187</v>
      </c>
      <c r="E3040" s="244" t="s">
        <v>5186</v>
      </c>
      <c r="F3040" s="269"/>
      <c r="G3040" s="273">
        <v>8</v>
      </c>
      <c r="H3040" s="283">
        <v>2800</v>
      </c>
      <c r="I3040" s="279">
        <v>7</v>
      </c>
      <c r="J3040" s="246">
        <v>2</v>
      </c>
      <c r="K3040" s="247" t="s">
        <v>9460</v>
      </c>
      <c r="L3040" s="248">
        <v>60818</v>
      </c>
      <c r="M3040" s="249">
        <f>15*(LEFT(TEXT($L3040,"000000"),2)+(MID(TEXT($L3040,"000000"),3,2)/60)+(RIGHT(TEXT($L3040,"000000"),2)/3600))</f>
        <v>92.075000000000003</v>
      </c>
      <c r="N3040" s="286">
        <v>-51900</v>
      </c>
      <c r="O3040" s="251">
        <f>IF($N3040&gt;0,(LEFT(TEXT($N3040,"000000"),2)+(MID(TEXT($N3040,"000000"),3,2)/60)+(RIGHT(TEXT($N3040,"000000"),2)/3600)),-(MID(TEXT($N3040,"000000"),2,2)+(MID(TEXT($N3040,"000000"),4,2)/60)+(RIGHT(TEXT($N3040,"000000"),2)/3600)))</f>
        <v>-5.3166666666666664</v>
      </c>
      <c r="P3040" s="252" t="s">
        <v>47</v>
      </c>
      <c r="Q3040" s="253"/>
      <c r="R3040" s="247" t="s">
        <v>3293</v>
      </c>
      <c r="S3040" s="272" t="s">
        <v>3293</v>
      </c>
      <c r="T3040" s="273"/>
      <c r="U3040" s="274"/>
      <c r="V3040" s="280"/>
      <c r="W3040" s="244"/>
      <c r="X3040" s="244"/>
      <c r="Y3040" s="362"/>
      <c r="Z3040" s="257">
        <f>altaz(J2000_Bas,$O3040,$M3040,DecLat,DecLong,1)</f>
        <v>-61.176770086831866</v>
      </c>
      <c r="AA3040" s="257">
        <f>altaz((J2000_Bas+(2*0.04167)),$O3040,$M3040,DecLat,DecLong,1)</f>
        <v>-41.417384097015429</v>
      </c>
      <c r="AB3040" s="257">
        <f>altaz((J2000_Bas+(4*0.04167)),$O3040,$M3040,DecLat,DecLong,1)</f>
        <v>-16.355076719916507</v>
      </c>
      <c r="AC3040" s="257">
        <f>altaz((J2000_Bas+(6*0.04167)),$O3040,$M3040,DecLat,DecLong,1)</f>
        <v>9.2864623283321954</v>
      </c>
      <c r="AD3040" s="258">
        <f>1+ transit((J2000_Bas-1),$O3040,$M3040,DecLat,DecLong)/360 + (GMTOffset/24) + (IF(DST="Y", 1, 0)/24)</f>
        <v>1.2486638239422081</v>
      </c>
      <c r="AE3040" s="259">
        <f>DATE(2001,9,21)+(M3040/360)*365 - (360*((DecLong/360)- (GMTOffset/24) ))</f>
        <v>37253.353819444441</v>
      </c>
      <c r="AF3040" s="260">
        <f>IF(DecLat&gt;0,IF((90 - (DecLat-O3040))&gt;90, (90 - (O3040-DecLat)), (90 - (DecLat-O3040))),IF((90 + (DecLat-O3040))&gt;90, (90 + (O3040-DecLat)), (90 + (DecLat-O3040))))</f>
        <v>53.683333333333337</v>
      </c>
      <c r="AG3040" s="257">
        <f>angularseperation(MoonRA,MoonDec,$M3040,$O3040)</f>
        <v>140.79173327530063</v>
      </c>
      <c r="AH3040" s="261">
        <f ca="1">MIN(100,IF($O$5&gt;80,0+30*($AG3040/100),IF($O$5&gt;70,0+50*($AG3040/100),IF($O$5&gt;60,5+50*($AG3040/100),IF($O$5&gt;50,10+60*($AG3040/100),IF($O$5&gt;40,15+70*($AG3040/100),IF($O$5&gt;30,20+70*($AG3040/100),IF($O$5&gt;20,40+55*($AG3040/100),(80+(20-$O$5)+30*($AG3040/100))))))))))</f>
        <v>100</v>
      </c>
      <c r="AI3040" s="262"/>
      <c r="AJ3040" s="262"/>
      <c r="AK3040" s="262"/>
      <c r="AL3040" s="263"/>
      <c r="AM3040" s="264"/>
      <c r="AN3040" s="263"/>
      <c r="AO3040" s="263"/>
      <c r="AP3040" s="265"/>
      <c r="AQ3040" s="266"/>
      <c r="AR3040" s="267"/>
      <c r="AS3040" s="263"/>
      <c r="AT3040" s="263"/>
      <c r="AU3040" s="263"/>
      <c r="AV3040" s="264"/>
      <c r="AW3040" s="263"/>
      <c r="AX3040" s="263"/>
      <c r="AY3040" s="263"/>
      <c r="AZ3040" s="263"/>
      <c r="BA3040" s="263"/>
      <c r="BB3040" s="263"/>
      <c r="BC3040" s="263"/>
      <c r="BD3040" s="264">
        <v>70</v>
      </c>
      <c r="BE3040" s="263"/>
      <c r="BF3040" s="263"/>
      <c r="BG3040" s="263"/>
      <c r="BH3040" s="263"/>
      <c r="BI3040" s="263"/>
      <c r="BJ3040" s="404">
        <f>altaz(J2000_Bas,$O3040,$M3040,DecLat,DecLong,2)</f>
        <v>29.808898172150293</v>
      </c>
      <c r="BK3040" s="378" t="s">
        <v>2847</v>
      </c>
      <c r="BL3040" s="379">
        <f>IF((2*G3040)/60&lt;0.2,0.2,(2*G3040)/60)</f>
        <v>0.26666666666666666</v>
      </c>
      <c r="BM3040" s="380">
        <f>MOD((50000+AD3040-$B$3+(0/24)),1)</f>
        <v>0.46403075364651158</v>
      </c>
      <c r="BN3040" s="381"/>
      <c r="BO3040" s="382">
        <v>3030</v>
      </c>
    </row>
    <row r="3041" spans="1:67" s="24" customFormat="1" ht="15" customHeight="1" x14ac:dyDescent="0.25">
      <c r="A3041" s="288" t="s">
        <v>2848</v>
      </c>
      <c r="B3041" s="241" t="str">
        <f>HYPERLINK(CONCATENATE($AT$3,BK3041,$AU$3),$AV$3)</f>
        <v>S</v>
      </c>
      <c r="C3041" s="242" t="str">
        <f>HYPERLINK(CONCATENATE($AT$4,BK3041,$AU$4,BL3041),$AV$4)</f>
        <v>A</v>
      </c>
      <c r="D3041" s="243" t="s">
        <v>5187</v>
      </c>
      <c r="E3041" s="244" t="s">
        <v>5186</v>
      </c>
      <c r="F3041" s="269"/>
      <c r="G3041" s="273">
        <v>2</v>
      </c>
      <c r="H3041" s="283">
        <v>3400</v>
      </c>
      <c r="I3041" s="279">
        <v>2</v>
      </c>
      <c r="J3041" s="246">
        <v>0</v>
      </c>
      <c r="K3041" s="277" t="s">
        <v>6421</v>
      </c>
      <c r="L3041" s="248">
        <v>61018</v>
      </c>
      <c r="M3041" s="249">
        <f>15*(LEFT(TEXT($L3041,"000000"),2)+(MID(TEXT($L3041,"000000"),3,2)/60)+(RIGHT(TEXT($L3041,"000000"),2)/3600))</f>
        <v>92.575000000000003</v>
      </c>
      <c r="N3041" s="286">
        <v>140400</v>
      </c>
      <c r="O3041" s="251">
        <f>IF($N3041&gt;0,(LEFT(TEXT($N3041,"000000"),2)+(MID(TEXT($N3041,"000000"),3,2)/60)+(RIGHT(TEXT($N3041,"000000"),2)/3600)),-(MID(TEXT($N3041,"000000"),2,2)+(MID(TEXT($N3041,"000000"),4,2)/60)+(RIGHT(TEXT($N3041,"000000"),2)/3600)))</f>
        <v>14.066666666666666</v>
      </c>
      <c r="P3041" s="252" t="s">
        <v>41</v>
      </c>
      <c r="Q3041" s="253"/>
      <c r="R3041" s="247" t="s">
        <v>3293</v>
      </c>
      <c r="S3041" s="272" t="s">
        <v>3293</v>
      </c>
      <c r="T3041" s="273"/>
      <c r="U3041" s="274"/>
      <c r="V3041" s="280"/>
      <c r="W3041" s="244"/>
      <c r="X3041" s="244"/>
      <c r="Y3041" s="362"/>
      <c r="Z3041" s="257">
        <f>altaz(J2000_Bas,$O3041,$M3041,DecLat,DecLong,1)</f>
        <v>-43.122045564590366</v>
      </c>
      <c r="AA3041" s="257">
        <f>altaz((J2000_Bas+(2*0.04167)),$O3041,$M3041,DecLat,DecLong,1)</f>
        <v>-28.543161904149429</v>
      </c>
      <c r="AB3041" s="257">
        <f>altaz((J2000_Bas+(4*0.04167)),$O3041,$M3041,DecLat,DecLong,1)</f>
        <v>-6.29353147929349</v>
      </c>
      <c r="AC3041" s="257">
        <f>altaz((J2000_Bas+(6*0.04167)),$O3041,$M3041,DecLat,DecLong,1)</f>
        <v>18.774146362594191</v>
      </c>
      <c r="AD3041" s="258">
        <f>1+ transit((J2000_Bas-1),$O3041,$M3041,DecLat,DecLong)/360 + (GMTOffset/24) + (IF(DST="Y", 1, 0)/24)</f>
        <v>1.2500527126922079</v>
      </c>
      <c r="AE3041" s="259">
        <f>DATE(2001,9,21)+(M3041/360)*365 - (360*((DecLong/360)- (GMTOffset/24) ))</f>
        <v>37253.860763888886</v>
      </c>
      <c r="AF3041" s="260">
        <f>IF(DecLat&gt;0,IF((90 - (DecLat-O3041))&gt;90, (90 - (O3041-DecLat)), (90 - (DecLat-O3041))),IF((90 + (DecLat-O3041))&gt;90, (90 + (O3041-DecLat)), (90 + (DecLat-O3041))))</f>
        <v>73.066666666666663</v>
      </c>
      <c r="AG3041" s="257">
        <f>angularseperation(MoonRA,MoonDec,$M3041,$O3041)</f>
        <v>154.6448972783075</v>
      </c>
      <c r="AH3041" s="261">
        <f ca="1">MIN(100,IF($O$5&gt;80,0+30*($AG3041/100),IF($O$5&gt;70,0+50*($AG3041/100),IF($O$5&gt;60,5+50*($AG3041/100),IF($O$5&gt;50,10+60*($AG3041/100),IF($O$5&gt;40,15+70*($AG3041/100),IF($O$5&gt;30,20+70*($AG3041/100),IF($O$5&gt;20,40+55*($AG3041/100),(80+(20-$O$5)+30*($AG3041/100))))))))))</f>
        <v>100</v>
      </c>
      <c r="AI3041" s="262"/>
      <c r="AJ3041" s="262"/>
      <c r="AK3041" s="262"/>
      <c r="AL3041" s="263"/>
      <c r="AM3041" s="264"/>
      <c r="AN3041" s="263"/>
      <c r="AO3041" s="263"/>
      <c r="AP3041" s="265"/>
      <c r="AQ3041" s="266"/>
      <c r="AR3041" s="267"/>
      <c r="AS3041" s="263"/>
      <c r="AT3041" s="263"/>
      <c r="AU3041" s="263"/>
      <c r="AV3041" s="264"/>
      <c r="AW3041" s="263"/>
      <c r="AX3041" s="263"/>
      <c r="AY3041" s="263"/>
      <c r="AZ3041" s="263"/>
      <c r="BA3041" s="263"/>
      <c r="BB3041" s="263"/>
      <c r="BC3041" s="263"/>
      <c r="BD3041" s="264">
        <v>71</v>
      </c>
      <c r="BE3041" s="263"/>
      <c r="BF3041" s="263"/>
      <c r="BG3041" s="263"/>
      <c r="BH3041" s="263"/>
      <c r="BI3041" s="263"/>
      <c r="BJ3041" s="404">
        <f>altaz(J2000_Bas,$O3041,$M3041,DecLat,DecLong,2)</f>
        <v>17.975428728246168</v>
      </c>
      <c r="BK3041" s="378" t="s">
        <v>2848</v>
      </c>
      <c r="BL3041" s="379">
        <f>IF((2*G3041)/60&lt;0.2,0.2,(2*G3041)/60)</f>
        <v>0.2</v>
      </c>
      <c r="BM3041" s="380">
        <f>MOD((50000+AD3041-$B$3+(0/24)),1)</f>
        <v>0.46541964239440858</v>
      </c>
      <c r="BN3041" s="381"/>
      <c r="BO3041" s="382">
        <v>3031</v>
      </c>
    </row>
    <row r="3042" spans="1:67" s="24" customFormat="1" ht="15" customHeight="1" x14ac:dyDescent="0.25">
      <c r="A3042" s="288" t="s">
        <v>2849</v>
      </c>
      <c r="B3042" s="241" t="str">
        <f>HYPERLINK(CONCATENATE($AT$3,BK3042,$AU$3),$AV$3)</f>
        <v>S</v>
      </c>
      <c r="C3042" s="242" t="str">
        <f>HYPERLINK(CONCATENATE($AT$4,BK3042,$AU$4,BL3042),$AV$4)</f>
        <v>A</v>
      </c>
      <c r="D3042" s="243" t="s">
        <v>5187</v>
      </c>
      <c r="E3042" s="244" t="s">
        <v>5186</v>
      </c>
      <c r="F3042" s="269"/>
      <c r="G3042" s="273">
        <v>6</v>
      </c>
      <c r="H3042" s="271" t="s">
        <v>6500</v>
      </c>
      <c r="I3042" s="244" t="s">
        <v>6500</v>
      </c>
      <c r="J3042" s="246">
        <v>3</v>
      </c>
      <c r="K3042" s="247" t="s">
        <v>9461</v>
      </c>
      <c r="L3042" s="248">
        <v>60931</v>
      </c>
      <c r="M3042" s="249">
        <f>15*(LEFT(TEXT($L3042,"000000"),2)+(MID(TEXT($L3042,"000000"),3,2)/60)+(RIGHT(TEXT($L3042,"000000"),2)/3600))</f>
        <v>92.379166666666663</v>
      </c>
      <c r="N3042" s="286">
        <v>-61933</v>
      </c>
      <c r="O3042" s="251">
        <f>IF($N3042&gt;0,(LEFT(TEXT($N3042,"000000"),2)+(MID(TEXT($N3042,"000000"),3,2)/60)+(RIGHT(TEXT($N3042,"000000"),2)/3600)),-(MID(TEXT($N3042,"000000"),2,2)+(MID(TEXT($N3042,"000000"),4,2)/60)+(RIGHT(TEXT($N3042,"000000"),2)/3600)))</f>
        <v>-6.3258333333333328</v>
      </c>
      <c r="P3042" s="252" t="s">
        <v>47</v>
      </c>
      <c r="Q3042" s="253"/>
      <c r="R3042" s="277" t="s">
        <v>6419</v>
      </c>
      <c r="S3042" s="272" t="s">
        <v>6424</v>
      </c>
      <c r="T3042" s="273"/>
      <c r="U3042" s="274"/>
      <c r="V3042" s="280"/>
      <c r="W3042" s="244"/>
      <c r="X3042" s="244"/>
      <c r="Y3042" s="362"/>
      <c r="Z3042" s="257">
        <f>altaz(J2000_Bas,$O3042,$M3042,DecLat,DecLong,1)</f>
        <v>-62.217897442720634</v>
      </c>
      <c r="AA3042" s="257">
        <f>altaz((J2000_Bas+(2*0.04167)),$O3042,$M3042,DecLat,DecLong,1)</f>
        <v>-42.267787912554127</v>
      </c>
      <c r="AB3042" s="257">
        <f>altaz((J2000_Bas+(4*0.04167)),$O3042,$M3042,DecLat,DecLong,1)</f>
        <v>-17.129990044011233</v>
      </c>
      <c r="AC3042" s="257">
        <f>altaz((J2000_Bas+(6*0.04167)),$O3042,$M3042,DecLat,DecLong,1)</f>
        <v>8.4868867395468701</v>
      </c>
      <c r="AD3042" s="258">
        <f>1+ transit((J2000_Bas-1),$O3042,$M3042,DecLat,DecLong)/360 + (GMTOffset/24) + (IF(DST="Y", 1, 0)/24)</f>
        <v>1.2495087312651247</v>
      </c>
      <c r="AE3042" s="259">
        <f>DATE(2001,9,21)+(M3042/360)*365 - (360*((DecLong/360)- (GMTOffset/24) ))</f>
        <v>37253.662210648145</v>
      </c>
      <c r="AF3042" s="260">
        <f>IF(DecLat&gt;0,IF((90 - (DecLat-O3042))&gt;90, (90 - (O3042-DecLat)), (90 - (DecLat-O3042))),IF((90 + (DecLat-O3042))&gt;90, (90 + (O3042-DecLat)), (90 + (DecLat-O3042))))</f>
        <v>52.674166666666665</v>
      </c>
      <c r="AG3042" s="257">
        <f>angularseperation(MoonRA,MoonDec,$M3042,$O3042)</f>
        <v>139.78039612136081</v>
      </c>
      <c r="AH3042" s="261">
        <f ca="1">MIN(100,IF($O$5&gt;80,0+30*($AG3042/100),IF($O$5&gt;70,0+50*($AG3042/100),IF($O$5&gt;60,5+50*($AG3042/100),IF($O$5&gt;50,10+60*($AG3042/100),IF($O$5&gt;40,15+70*($AG3042/100),IF($O$5&gt;30,20+70*($AG3042/100),IF($O$5&gt;20,40+55*($AG3042/100),(80+(20-$O$5)+30*($AG3042/100))))))))))</f>
        <v>100</v>
      </c>
      <c r="AI3042" s="262"/>
      <c r="AJ3042" s="262"/>
      <c r="AK3042" s="262"/>
      <c r="AL3042" s="263"/>
      <c r="AM3042" s="264"/>
      <c r="AN3042" s="263"/>
      <c r="AO3042" s="263"/>
      <c r="AP3042" s="265"/>
      <c r="AQ3042" s="266"/>
      <c r="AR3042" s="267"/>
      <c r="AS3042" s="263"/>
      <c r="AT3042" s="263"/>
      <c r="AU3042" s="263"/>
      <c r="AV3042" s="264"/>
      <c r="AW3042" s="263"/>
      <c r="AX3042" s="263"/>
      <c r="AY3042" s="263"/>
      <c r="AZ3042" s="263"/>
      <c r="BA3042" s="263"/>
      <c r="BB3042" s="263"/>
      <c r="BC3042" s="263"/>
      <c r="BD3042" s="264">
        <v>72</v>
      </c>
      <c r="BE3042" s="263"/>
      <c r="BF3042" s="263"/>
      <c r="BG3042" s="263"/>
      <c r="BH3042" s="263"/>
      <c r="BI3042" s="263"/>
      <c r="BJ3042" s="404">
        <f>altaz(J2000_Bas,$O3042,$M3042,DecLat,DecLong,2)</f>
        <v>30.149263393357604</v>
      </c>
      <c r="BK3042" s="378" t="s">
        <v>2849</v>
      </c>
      <c r="BL3042" s="379">
        <f>IF((2*G3042)/60&lt;0.2,0.2,(2*G3042)/60)</f>
        <v>0.2</v>
      </c>
      <c r="BM3042" s="380">
        <f>MOD((50000+AD3042-$B$3+(0/24)),1)</f>
        <v>0.46487566096766386</v>
      </c>
      <c r="BN3042" s="381"/>
      <c r="BO3042" s="382">
        <v>3032</v>
      </c>
    </row>
    <row r="3043" spans="1:67" s="24" customFormat="1" ht="15" customHeight="1" x14ac:dyDescent="0.25">
      <c r="A3043" s="288" t="s">
        <v>2850</v>
      </c>
      <c r="B3043" s="241" t="str">
        <f>HYPERLINK(CONCATENATE($AT$3,BK3043,$AU$3),$AV$3)</f>
        <v>S</v>
      </c>
      <c r="C3043" s="242" t="str">
        <f>HYPERLINK(CONCATENATE($AT$4,BK3043,$AU$4,BL3043),$AV$4)</f>
        <v>A</v>
      </c>
      <c r="D3043" s="243" t="s">
        <v>5187</v>
      </c>
      <c r="E3043" s="244" t="s">
        <v>5186</v>
      </c>
      <c r="F3043" s="269"/>
      <c r="G3043" s="273">
        <v>7</v>
      </c>
      <c r="H3043" s="283">
        <v>2700</v>
      </c>
      <c r="I3043" s="279">
        <v>6</v>
      </c>
      <c r="J3043" s="246">
        <v>3</v>
      </c>
      <c r="K3043" s="247" t="s">
        <v>9462</v>
      </c>
      <c r="L3043" s="248">
        <v>61106</v>
      </c>
      <c r="M3043" s="249">
        <f>15*(LEFT(TEXT($L3043,"000000"),2)+(MID(TEXT($L3043,"000000"),3,2)/60)+(RIGHT(TEXT($L3043,"000000"),2)/3600))</f>
        <v>92.775000000000006</v>
      </c>
      <c r="N3043" s="286">
        <v>-61239</v>
      </c>
      <c r="O3043" s="251">
        <f>IF($N3043&gt;0,(LEFT(TEXT($N3043,"000000"),2)+(MID(TEXT($N3043,"000000"),3,2)/60)+(RIGHT(TEXT($N3043,"000000"),2)/3600)),-(MID(TEXT($N3043,"000000"),2,2)+(MID(TEXT($N3043,"000000"),4,2)/60)+(RIGHT(TEXT($N3043,"000000"),2)/3600)))</f>
        <v>-6.2108333333333334</v>
      </c>
      <c r="P3043" s="252" t="s">
        <v>47</v>
      </c>
      <c r="Q3043" s="253"/>
      <c r="R3043" s="247" t="s">
        <v>6422</v>
      </c>
      <c r="S3043" s="272" t="s">
        <v>3293</v>
      </c>
      <c r="T3043" s="273"/>
      <c r="U3043" s="274"/>
      <c r="V3043" s="280"/>
      <c r="W3043" s="244"/>
      <c r="X3043" s="244"/>
      <c r="Y3043" s="362"/>
      <c r="Z3043" s="257">
        <f>altaz(J2000_Bas,$O3043,$M3043,DecLat,DecLong,1)</f>
        <v>-62.282114387210967</v>
      </c>
      <c r="AA3043" s="257">
        <f>altaz((J2000_Bas+(2*0.04167)),$O3043,$M3043,DecLat,DecLong,1)</f>
        <v>-42.51303582174328</v>
      </c>
      <c r="AB3043" s="257">
        <f>altaz((J2000_Bas+(4*0.04167)),$O3043,$M3043,DecLat,DecLong,1)</f>
        <v>-17.410328824583623</v>
      </c>
      <c r="AC3043" s="257">
        <f>altaz((J2000_Bas+(6*0.04167)),$O3043,$M3043,DecLat,DecLong,1)</f>
        <v>8.2177528853096167</v>
      </c>
      <c r="AD3043" s="258">
        <f>1+ transit((J2000_Bas-1),$O3043,$M3043,DecLat,DecLong)/360 + (GMTOffset/24) + (IF(DST="Y", 1, 0)/24)</f>
        <v>1.2506082681922079</v>
      </c>
      <c r="AE3043" s="259">
        <f>DATE(2001,9,21)+(M3043/360)*365 - (360*((DecLong/360)- (GMTOffset/24) ))</f>
        <v>37254.06354166667</v>
      </c>
      <c r="AF3043" s="260">
        <f>IF(DecLat&gt;0,IF((90 - (DecLat-O3043))&gt;90, (90 - (O3043-DecLat)), (90 - (DecLat-O3043))),IF((90 + (DecLat-O3043))&gt;90, (90 + (O3043-DecLat)), (90 + (DecLat-O3043))))</f>
        <v>52.789166666666667</v>
      </c>
      <c r="AG3043" s="257">
        <f>angularseperation(MoonRA,MoonDec,$M3043,$O3043)</f>
        <v>139.66214027120606</v>
      </c>
      <c r="AH3043" s="261">
        <f ca="1">MIN(100,IF($O$5&gt;80,0+30*($AG3043/100),IF($O$5&gt;70,0+50*($AG3043/100),IF($O$5&gt;60,5+50*($AG3043/100),IF($O$5&gt;50,10+60*($AG3043/100),IF($O$5&gt;40,15+70*($AG3043/100),IF($O$5&gt;30,20+70*($AG3043/100),IF($O$5&gt;20,40+55*($AG3043/100),(80+(20-$O$5)+30*($AG3043/100))))))))))</f>
        <v>100</v>
      </c>
      <c r="AI3043" s="262"/>
      <c r="AJ3043" s="262"/>
      <c r="AK3043" s="262"/>
      <c r="AL3043" s="263"/>
      <c r="AM3043" s="264"/>
      <c r="AN3043" s="263"/>
      <c r="AO3043" s="263"/>
      <c r="AP3043" s="265"/>
      <c r="AQ3043" s="266"/>
      <c r="AR3043" s="267"/>
      <c r="AS3043" s="263"/>
      <c r="AT3043" s="263"/>
      <c r="AU3043" s="263"/>
      <c r="AV3043" s="264"/>
      <c r="AW3043" s="263"/>
      <c r="AX3043" s="263"/>
      <c r="AY3043" s="263"/>
      <c r="AZ3043" s="263"/>
      <c r="BA3043" s="263"/>
      <c r="BB3043" s="263"/>
      <c r="BC3043" s="263"/>
      <c r="BD3043" s="264">
        <v>73</v>
      </c>
      <c r="BE3043" s="263"/>
      <c r="BF3043" s="263"/>
      <c r="BG3043" s="263"/>
      <c r="BH3043" s="263"/>
      <c r="BI3043" s="263"/>
      <c r="BJ3043" s="404">
        <f>altaz(J2000_Bas,$O3043,$M3043,DecLat,DecLong,2)</f>
        <v>29.279723617666772</v>
      </c>
      <c r="BK3043" s="378" t="s">
        <v>2850</v>
      </c>
      <c r="BL3043" s="379">
        <f>IF((2*G3043)/60&lt;0.2,0.2,(2*G3043)/60)</f>
        <v>0.23333333333333334</v>
      </c>
      <c r="BM3043" s="380">
        <f>MOD((50000+AD3043-$B$3+(0/24)),1)</f>
        <v>0.46597519789793296</v>
      </c>
      <c r="BN3043" s="381"/>
      <c r="BO3043" s="382">
        <v>3033</v>
      </c>
    </row>
    <row r="3044" spans="1:67" s="24" customFormat="1" ht="15" customHeight="1" x14ac:dyDescent="0.25">
      <c r="A3044" s="288" t="s">
        <v>2851</v>
      </c>
      <c r="B3044" s="241" t="str">
        <f>HYPERLINK(CONCATENATE($AT$3,BK3044,$AU$3),$AV$3)</f>
        <v>S</v>
      </c>
      <c r="C3044" s="242" t="str">
        <f>HYPERLINK(CONCATENATE($AT$4,BK3044,$AU$4,BL3044),$AV$4)</f>
        <v>A</v>
      </c>
      <c r="D3044" s="243" t="s">
        <v>5187</v>
      </c>
      <c r="E3044" s="244" t="s">
        <v>5186</v>
      </c>
      <c r="F3044" s="269"/>
      <c r="G3044" s="273">
        <v>2</v>
      </c>
      <c r="H3044" s="283">
        <v>2700</v>
      </c>
      <c r="I3044" s="279">
        <v>1.7</v>
      </c>
      <c r="J3044" s="246">
        <v>2</v>
      </c>
      <c r="K3044" s="247" t="s">
        <v>9463</v>
      </c>
      <c r="L3044" s="248">
        <v>61118</v>
      </c>
      <c r="M3044" s="249">
        <f>15*(LEFT(TEXT($L3044,"000000"),2)+(MID(TEXT($L3044,"000000"),3,2)/60)+(RIGHT(TEXT($L3044,"000000"),2)/3600))</f>
        <v>92.825000000000003</v>
      </c>
      <c r="N3044" s="286">
        <v>-60900</v>
      </c>
      <c r="O3044" s="251">
        <f>IF($N3044&gt;0,(LEFT(TEXT($N3044,"000000"),2)+(MID(TEXT($N3044,"000000"),3,2)/60)+(RIGHT(TEXT($N3044,"000000"),2)/3600)),-(MID(TEXT($N3044,"000000"),2,2)+(MID(TEXT($N3044,"000000"),4,2)/60)+(RIGHT(TEXT($N3044,"000000"),2)/3600)))</f>
        <v>-6.15</v>
      </c>
      <c r="P3044" s="252" t="s">
        <v>47</v>
      </c>
      <c r="Q3044" s="253"/>
      <c r="R3044" s="247" t="s">
        <v>3293</v>
      </c>
      <c r="S3044" s="272" t="s">
        <v>6422</v>
      </c>
      <c r="T3044" s="273"/>
      <c r="U3044" s="274"/>
      <c r="V3044" s="280"/>
      <c r="W3044" s="244"/>
      <c r="X3044" s="244"/>
      <c r="Y3044" s="362"/>
      <c r="Z3044" s="257">
        <f>altaz(J2000_Bas,$O3044,$M3044,DecLat,DecLong,1)</f>
        <v>-62.247836911738403</v>
      </c>
      <c r="AA3044" s="257">
        <f>altaz((J2000_Bas+(2*0.04167)),$O3044,$M3044,DecLat,DecLong,1)</f>
        <v>-42.515955818262761</v>
      </c>
      <c r="AB3044" s="257">
        <f>altaz((J2000_Bas+(4*0.04167)),$O3044,$M3044,DecLat,DecLong,1)</f>
        <v>-17.422155496987713</v>
      </c>
      <c r="AC3044" s="257">
        <f>altaz((J2000_Bas+(6*0.04167)),$O3044,$M3044,DecLat,DecLong,1)</f>
        <v>8.2086759780182508</v>
      </c>
      <c r="AD3044" s="258">
        <f>1+ transit((J2000_Bas-1),$O3044,$M3044,DecLat,DecLong)/360 + (GMTOffset/24) + (IF(DST="Y", 1, 0)/24)</f>
        <v>1.250747157067208</v>
      </c>
      <c r="AE3044" s="259">
        <f>DATE(2001,9,21)+(M3044/360)*365 - (360*((DecLong/360)- (GMTOffset/24) ))</f>
        <v>37254.114236111112</v>
      </c>
      <c r="AF3044" s="260">
        <f>IF(DecLat&gt;0,IF((90 - (DecLat-O3044))&gt;90, (90 - (O3044-DecLat)), (90 - (DecLat-O3044))),IF((90 + (DecLat-O3044))&gt;90, (90 + (O3044-DecLat)), (90 + (DecLat-O3044))))</f>
        <v>52.85</v>
      </c>
      <c r="AG3044" s="257">
        <f>angularseperation(MoonRA,MoonDec,$M3044,$O3044)</f>
        <v>139.68561648159317</v>
      </c>
      <c r="AH3044" s="261">
        <f ca="1">MIN(100,IF($O$5&gt;80,0+30*($AG3044/100),IF($O$5&gt;70,0+50*($AG3044/100),IF($O$5&gt;60,5+50*($AG3044/100),IF($O$5&gt;50,10+60*($AG3044/100),IF($O$5&gt;40,15+70*($AG3044/100),IF($O$5&gt;30,20+70*($AG3044/100),IF($O$5&gt;20,40+55*($AG3044/100),(80+(20-$O$5)+30*($AG3044/100))))))))))</f>
        <v>100</v>
      </c>
      <c r="AI3044" s="262"/>
      <c r="AJ3044" s="262"/>
      <c r="AK3044" s="262"/>
      <c r="AL3044" s="263"/>
      <c r="AM3044" s="264"/>
      <c r="AN3044" s="263"/>
      <c r="AO3044" s="263"/>
      <c r="AP3044" s="265"/>
      <c r="AQ3044" s="266"/>
      <c r="AR3044" s="267"/>
      <c r="AS3044" s="263"/>
      <c r="AT3044" s="263"/>
      <c r="AU3044" s="263"/>
      <c r="AV3044" s="264"/>
      <c r="AW3044" s="263"/>
      <c r="AX3044" s="263"/>
      <c r="AY3044" s="263"/>
      <c r="AZ3044" s="263"/>
      <c r="BA3044" s="263"/>
      <c r="BB3044" s="263"/>
      <c r="BC3044" s="263"/>
      <c r="BD3044" s="264">
        <v>74</v>
      </c>
      <c r="BE3044" s="263"/>
      <c r="BF3044" s="263"/>
      <c r="BG3044" s="263"/>
      <c r="BH3044" s="263"/>
      <c r="BI3044" s="263"/>
      <c r="BJ3044" s="404">
        <f>altaz(J2000_Bas,$O3044,$M3044,DecLat,DecLong,2)</f>
        <v>29.127831838841686</v>
      </c>
      <c r="BK3044" s="378" t="s">
        <v>2851</v>
      </c>
      <c r="BL3044" s="379">
        <f>IF((2*G3044)/60&lt;0.2,0.2,(2*G3044)/60)</f>
        <v>0.2</v>
      </c>
      <c r="BM3044" s="380">
        <f>MOD((50000+AD3044-$B$3+(0/24)),1)</f>
        <v>0.46611408676835708</v>
      </c>
      <c r="BN3044" s="381"/>
      <c r="BO3044" s="382">
        <v>3034</v>
      </c>
    </row>
    <row r="3045" spans="1:67" s="24" customFormat="1" ht="15" customHeight="1" x14ac:dyDescent="0.25">
      <c r="A3045" s="288" t="s">
        <v>2852</v>
      </c>
      <c r="B3045" s="241" t="str">
        <f>HYPERLINK(CONCATENATE($AT$3,BK3045,$AU$3),$AV$3)</f>
        <v>S</v>
      </c>
      <c r="C3045" s="242" t="str">
        <f>HYPERLINK(CONCATENATE($AT$4,BK3045,$AU$4,BL3045),$AV$4)</f>
        <v>A</v>
      </c>
      <c r="D3045" s="243" t="s">
        <v>5187</v>
      </c>
      <c r="E3045" s="244" t="s">
        <v>5186</v>
      </c>
      <c r="F3045" s="269"/>
      <c r="G3045" s="273">
        <v>9</v>
      </c>
      <c r="H3045" s="283">
        <v>5600</v>
      </c>
      <c r="I3045" s="246">
        <v>15</v>
      </c>
      <c r="J3045" s="246">
        <v>2</v>
      </c>
      <c r="K3045" s="247" t="s">
        <v>9464</v>
      </c>
      <c r="L3045" s="248">
        <v>61918</v>
      </c>
      <c r="M3045" s="249">
        <f>15*(LEFT(TEXT($L3045,"000000"),2)+(MID(TEXT($L3045,"000000"),3,2)/60)+(RIGHT(TEXT($L3045,"000000"),2)/3600))</f>
        <v>94.824999999999989</v>
      </c>
      <c r="N3045" s="286">
        <v>231700</v>
      </c>
      <c r="O3045" s="251">
        <f>IF($N3045&gt;0,(LEFT(TEXT($N3045,"000000"),2)+(MID(TEXT($N3045,"000000"),3,2)/60)+(RIGHT(TEXT($N3045,"000000"),2)/3600)),-(MID(TEXT($N3045,"000000"),2,2)+(MID(TEXT($N3045,"000000"),4,2)/60)+(RIGHT(TEXT($N3045,"000000"),2)/3600)))</f>
        <v>23.283333333333335</v>
      </c>
      <c r="P3045" s="252" t="s">
        <v>85</v>
      </c>
      <c r="Q3045" s="253"/>
      <c r="R3045" s="247" t="s">
        <v>3293</v>
      </c>
      <c r="S3045" s="272" t="s">
        <v>3293</v>
      </c>
      <c r="T3045" s="273"/>
      <c r="U3045" s="274"/>
      <c r="V3045" s="280"/>
      <c r="W3045" s="244"/>
      <c r="X3045" s="244"/>
      <c r="Y3045" s="362"/>
      <c r="Z3045" s="257">
        <f>altaz(J2000_Bas,$O3045,$M3045,DecLat,DecLong,1)</f>
        <v>-34.669507815320486</v>
      </c>
      <c r="AA3045" s="257">
        <f>altaz((J2000_Bas+(2*0.04167)),$O3045,$M3045,DecLat,DecLong,1)</f>
        <v>-22.847239385614458</v>
      </c>
      <c r="AB3045" s="257">
        <f>altaz((J2000_Bas+(4*0.04167)),$O3045,$M3045,DecLat,DecLong,1)</f>
        <v>-2.7653980921299919</v>
      </c>
      <c r="AC3045" s="257">
        <f>altaz((J2000_Bas+(6*0.04167)),$O3045,$M3045,DecLat,DecLong,1)</f>
        <v>21.077602790924704</v>
      </c>
      <c r="AD3045" s="258">
        <f>1+ transit((J2000_Bas-1),$O3045,$M3045,DecLat,DecLong)/360 + (GMTOffset/24) + (IF(DST="Y", 1, 0)/24)</f>
        <v>1.2563027120672079</v>
      </c>
      <c r="AE3045" s="259">
        <f>DATE(2001,9,21)+(M3045/360)*365 - (360*((DecLong/360)- (GMTOffset/24) ))</f>
        <v>37256.142013888886</v>
      </c>
      <c r="AF3045" s="260">
        <f>IF(DecLat&gt;0,IF((90 - (DecLat-O3045))&gt;90, (90 - (O3045-DecLat)), (90 - (DecLat-O3045))),IF((90 + (DecLat-O3045))&gt;90, (90 + (O3045-DecLat)), (90 + (DecLat-O3045))))</f>
        <v>82.283333333333331</v>
      </c>
      <c r="AG3045" s="257">
        <f>angularseperation(MoonRA,MoonDec,$M3045,$O3045)</f>
        <v>156.58064813850038</v>
      </c>
      <c r="AH3045" s="261">
        <f ca="1">MIN(100,IF($O$5&gt;80,0+30*($AG3045/100),IF($O$5&gt;70,0+50*($AG3045/100),IF($O$5&gt;60,5+50*($AG3045/100),IF($O$5&gt;50,10+60*($AG3045/100),IF($O$5&gt;40,15+70*($AG3045/100),IF($O$5&gt;30,20+70*($AG3045/100),IF($O$5&gt;20,40+55*($AG3045/100),(80+(20-$O$5)+30*($AG3045/100))))))))))</f>
        <v>100</v>
      </c>
      <c r="AI3045" s="262"/>
      <c r="AJ3045" s="262"/>
      <c r="AK3045" s="262"/>
      <c r="AL3045" s="263"/>
      <c r="AM3045" s="264"/>
      <c r="AN3045" s="263"/>
      <c r="AO3045" s="263"/>
      <c r="AP3045" s="265"/>
      <c r="AQ3045" s="266"/>
      <c r="AR3045" s="267"/>
      <c r="AS3045" s="263"/>
      <c r="AT3045" s="263"/>
      <c r="AU3045" s="263"/>
      <c r="AV3045" s="264"/>
      <c r="AW3045" s="263"/>
      <c r="AX3045" s="263"/>
      <c r="AY3045" s="263"/>
      <c r="AZ3045" s="263"/>
      <c r="BA3045" s="263"/>
      <c r="BB3045" s="263"/>
      <c r="BC3045" s="263"/>
      <c r="BD3045" s="264">
        <v>75</v>
      </c>
      <c r="BE3045" s="263"/>
      <c r="BF3045" s="263"/>
      <c r="BG3045" s="263"/>
      <c r="BH3045" s="263"/>
      <c r="BI3045" s="263"/>
      <c r="BJ3045" s="404">
        <f>altaz(J2000_Bas,$O3045,$M3045,DecLat,DecLong,2)</f>
        <v>12.503869371143162</v>
      </c>
      <c r="BK3045" s="378" t="s">
        <v>2852</v>
      </c>
      <c r="BL3045" s="379">
        <f>IF((2*G3045)/60&lt;0.2,0.2,(2*G3045)/60)</f>
        <v>0.3</v>
      </c>
      <c r="BM3045" s="380">
        <f>MOD((50000+AD3045-$B$3+(0/24)),1)</f>
        <v>0.47166964177449699</v>
      </c>
      <c r="BN3045" s="381"/>
      <c r="BO3045" s="382">
        <v>3035</v>
      </c>
    </row>
    <row r="3046" spans="1:67" s="24" customFormat="1" ht="15" customHeight="1" x14ac:dyDescent="0.25">
      <c r="A3046" s="288" t="s">
        <v>2853</v>
      </c>
      <c r="B3046" s="241" t="str">
        <f>HYPERLINK(CONCATENATE($AT$3,BK3046,$AU$3),$AV$3)</f>
        <v>S</v>
      </c>
      <c r="C3046" s="242" t="str">
        <f>HYPERLINK(CONCATENATE($AT$4,BK3046,$AU$4,BL3046),$AV$4)</f>
        <v>A</v>
      </c>
      <c r="D3046" s="243" t="s">
        <v>5187</v>
      </c>
      <c r="E3046" s="244" t="s">
        <v>5186</v>
      </c>
      <c r="F3046" s="269"/>
      <c r="G3046" s="273">
        <v>2</v>
      </c>
      <c r="H3046" s="283">
        <v>2450</v>
      </c>
      <c r="I3046" s="279">
        <v>1.4</v>
      </c>
      <c r="J3046" s="246">
        <v>2</v>
      </c>
      <c r="K3046" s="247" t="s">
        <v>9465</v>
      </c>
      <c r="L3046" s="248">
        <v>63048</v>
      </c>
      <c r="M3046" s="249">
        <f>15*(LEFT(TEXT($L3046,"000000"),2)+(MID(TEXT($L3046,"000000"),3,2)/60)+(RIGHT(TEXT($L3046,"000000"),2)/3600))</f>
        <v>97.7</v>
      </c>
      <c r="N3046" s="286">
        <v>100346</v>
      </c>
      <c r="O3046" s="251">
        <f>IF($N3046&gt;0,(LEFT(TEXT($N3046,"000000"),2)+(MID(TEXT($N3046,"000000"),3,2)/60)+(RIGHT(TEXT($N3046,"000000"),2)/3600)),-(MID(TEXT($N3046,"000000"),2,2)+(MID(TEXT($N3046,"000000"),4,2)/60)+(RIGHT(TEXT($N3046,"000000"),2)/3600)))</f>
        <v>10.062777777777779</v>
      </c>
      <c r="P3046" s="252" t="s">
        <v>47</v>
      </c>
      <c r="Q3046" s="253"/>
      <c r="R3046" s="247" t="s">
        <v>3293</v>
      </c>
      <c r="S3046" s="272" t="s">
        <v>6426</v>
      </c>
      <c r="T3046" s="273"/>
      <c r="U3046" s="274"/>
      <c r="V3046" s="280"/>
      <c r="W3046" s="244"/>
      <c r="X3046" s="244"/>
      <c r="Y3046" s="362"/>
      <c r="Z3046" s="257">
        <f>altaz(J2000_Bas,$O3046,$M3046,DecLat,DecLong,1)</f>
        <v>-48.1715265873951</v>
      </c>
      <c r="AA3046" s="257">
        <f>altaz((J2000_Bas+(2*0.04167)),$O3046,$M3046,DecLat,DecLong,1)</f>
        <v>-34.858310410993134</v>
      </c>
      <c r="AB3046" s="257">
        <f>altaz((J2000_Bas+(4*0.04167)),$O3046,$M3046,DecLat,DecLong,1)</f>
        <v>-12.692395762842722</v>
      </c>
      <c r="AC3046" s="257">
        <f>altaz((J2000_Bas+(6*0.04167)),$O3046,$M3046,DecLat,DecLong,1)</f>
        <v>12.44832742553856</v>
      </c>
      <c r="AD3046" s="258">
        <f>1+ transit((J2000_Bas-1),$O3046,$M3046,DecLat,DecLong)/360 + (GMTOffset/24) + (IF(DST="Y", 1, 0)/24)</f>
        <v>1.264288822379708</v>
      </c>
      <c r="AE3046" s="259">
        <f>DATE(2001,9,21)+(M3046/360)*365 - (360*((DecLong/360)- (GMTOffset/24) ))</f>
        <v>37259.056944444441</v>
      </c>
      <c r="AF3046" s="260">
        <f>IF(DecLat&gt;0,IF((90 - (DecLat-O3046))&gt;90, (90 - (O3046-DecLat)), (90 - (DecLat-O3046))),IF((90 + (DecLat-O3046))&gt;90, (90 + (O3046-DecLat)), (90 + (DecLat-O3046))))</f>
        <v>69.062777777777782</v>
      </c>
      <c r="AG3046" s="257">
        <f>angularseperation(MoonRA,MoonDec,$M3046,$O3046)</f>
        <v>148.24078314645456</v>
      </c>
      <c r="AH3046" s="261">
        <f ca="1">MIN(100,IF($O$5&gt;80,0+30*($AG3046/100),IF($O$5&gt;70,0+50*($AG3046/100),IF($O$5&gt;60,5+50*($AG3046/100),IF($O$5&gt;50,10+60*($AG3046/100),IF($O$5&gt;40,15+70*($AG3046/100),IF($O$5&gt;30,20+70*($AG3046/100),IF($O$5&gt;20,40+55*($AG3046/100),(80+(20-$O$5)+30*($AG3046/100))))))))))</f>
        <v>100</v>
      </c>
      <c r="AI3046" s="262"/>
      <c r="AJ3046" s="262"/>
      <c r="AK3046" s="262"/>
      <c r="AL3046" s="263"/>
      <c r="AM3046" s="264"/>
      <c r="AN3046" s="263"/>
      <c r="AO3046" s="263"/>
      <c r="AP3046" s="265"/>
      <c r="AQ3046" s="266"/>
      <c r="AR3046" s="267"/>
      <c r="AS3046" s="263"/>
      <c r="AT3046" s="263"/>
      <c r="AU3046" s="263"/>
      <c r="AV3046" s="264"/>
      <c r="AW3046" s="263"/>
      <c r="AX3046" s="263"/>
      <c r="AY3046" s="263"/>
      <c r="AZ3046" s="263"/>
      <c r="BA3046" s="263"/>
      <c r="BB3046" s="263"/>
      <c r="BC3046" s="263"/>
      <c r="BD3046" s="264">
        <v>76</v>
      </c>
      <c r="BE3046" s="263"/>
      <c r="BF3046" s="263"/>
      <c r="BG3046" s="263"/>
      <c r="BH3046" s="263"/>
      <c r="BI3046" s="263"/>
      <c r="BJ3046" s="404">
        <f>altaz(J2000_Bas,$O3046,$M3046,DecLat,DecLong,2)</f>
        <v>12.309642135034395</v>
      </c>
      <c r="BK3046" s="378" t="s">
        <v>2853</v>
      </c>
      <c r="BL3046" s="379">
        <f>IF((2*G3046)/60&lt;0.2,0.2,(2*G3046)/60)</f>
        <v>0.2</v>
      </c>
      <c r="BM3046" s="380">
        <f>MOD((50000+AD3046-$B$3+(0/24)),1)</f>
        <v>0.4796557520821807</v>
      </c>
      <c r="BN3046" s="381"/>
      <c r="BO3046" s="382">
        <v>3036</v>
      </c>
    </row>
    <row r="3047" spans="1:67" s="24" customFormat="1" ht="15" customHeight="1" x14ac:dyDescent="0.25">
      <c r="A3047" s="288" t="s">
        <v>2854</v>
      </c>
      <c r="B3047" s="241" t="str">
        <f>HYPERLINK(CONCATENATE($AT$3,BK3047,$AU$3),$AV$3)</f>
        <v>S</v>
      </c>
      <c r="C3047" s="242" t="str">
        <f>HYPERLINK(CONCATENATE($AT$4,BK3047,$AU$4,BL3047),$AV$4)</f>
        <v>A</v>
      </c>
      <c r="D3047" s="243" t="s">
        <v>5187</v>
      </c>
      <c r="E3047" s="244" t="s">
        <v>5186</v>
      </c>
      <c r="F3047" s="269"/>
      <c r="G3047" s="273">
        <v>2</v>
      </c>
      <c r="H3047" s="283">
        <v>2090</v>
      </c>
      <c r="I3047" s="279">
        <v>1.3</v>
      </c>
      <c r="J3047" s="246">
        <v>2</v>
      </c>
      <c r="K3047" s="247" t="s">
        <v>6427</v>
      </c>
      <c r="L3047" s="248">
        <v>63058</v>
      </c>
      <c r="M3047" s="249">
        <f>15*(LEFT(TEXT($L3047,"000000"),2)+(MID(TEXT($L3047,"000000"),3,2)/60)+(RIGHT(TEXT($L3047,"000000"),2)/3600))</f>
        <v>97.74166666666666</v>
      </c>
      <c r="N3047" s="286">
        <v>94835</v>
      </c>
      <c r="O3047" s="251">
        <f>IF($N3047&gt;0,(LEFT(TEXT($N3047,"000000"),2)+(MID(TEXT($N3047,"000000"),3,2)/60)+(RIGHT(TEXT($N3047,"000000"),2)/3600)),-(MID(TEXT($N3047,"000000"),2,2)+(MID(TEXT($N3047,"000000"),4,2)/60)+(RIGHT(TEXT($N3047,"000000"),2)/3600)))</f>
        <v>9.8097222222222236</v>
      </c>
      <c r="P3047" s="252" t="s">
        <v>47</v>
      </c>
      <c r="Q3047" s="253"/>
      <c r="R3047" s="247" t="s">
        <v>3293</v>
      </c>
      <c r="S3047" s="272" t="s">
        <v>6426</v>
      </c>
      <c r="T3047" s="273"/>
      <c r="U3047" s="274"/>
      <c r="V3047" s="280"/>
      <c r="W3047" s="244"/>
      <c r="X3047" s="244"/>
      <c r="Y3047" s="362"/>
      <c r="Z3047" s="257">
        <f>altaz(J2000_Bas,$O3047,$M3047,DecLat,DecLong,1)</f>
        <v>-48.427802724753157</v>
      </c>
      <c r="AA3047" s="257">
        <f>altaz((J2000_Bas+(2*0.04167)),$O3047,$M3047,DecLat,DecLong,1)</f>
        <v>-35.077426512255407</v>
      </c>
      <c r="AB3047" s="257">
        <f>altaz((J2000_Bas+(4*0.04167)),$O3047,$M3047,DecLat,DecLong,1)</f>
        <v>-12.871685019038351</v>
      </c>
      <c r="AC3047" s="257">
        <f>altaz((J2000_Bas+(6*0.04167)),$O3047,$M3047,DecLat,DecLong,1)</f>
        <v>12.286969922186243</v>
      </c>
      <c r="AD3047" s="258">
        <f>1+ transit((J2000_Bas-1),$O3047,$M3047,DecLat,DecLong)/360 + (GMTOffset/24) + (IF(DST="Y", 1, 0)/24)</f>
        <v>1.2644045631088747</v>
      </c>
      <c r="AE3047" s="259">
        <f>DATE(2001,9,21)+(M3047/360)*365 - (360*((DecLong/360)- (GMTOffset/24) ))</f>
        <v>37259.099189814813</v>
      </c>
      <c r="AF3047" s="260">
        <f>IF(DecLat&gt;0,IF((90 - (DecLat-O3047))&gt;90, (90 - (O3047-DecLat)), (90 - (DecLat-O3047))),IF((90 + (DecLat-O3047))&gt;90, (90 + (O3047-DecLat)), (90 + (DecLat-O3047))))</f>
        <v>68.80972222222222</v>
      </c>
      <c r="AG3047" s="257">
        <f>angularseperation(MoonRA,MoonDec,$M3047,$O3047)</f>
        <v>148.05746500162709</v>
      </c>
      <c r="AH3047" s="261">
        <f ca="1">MIN(100,IF($O$5&gt;80,0+30*($AG3047/100),IF($O$5&gt;70,0+50*($AG3047/100),IF($O$5&gt;60,5+50*($AG3047/100),IF($O$5&gt;50,10+60*($AG3047/100),IF($O$5&gt;40,15+70*($AG3047/100),IF($O$5&gt;30,20+70*($AG3047/100),IF($O$5&gt;20,40+55*($AG3047/100),(80+(20-$O$5)+30*($AG3047/100))))))))))</f>
        <v>100</v>
      </c>
      <c r="AI3047" s="262"/>
      <c r="AJ3047" s="262"/>
      <c r="AK3047" s="262"/>
      <c r="AL3047" s="263"/>
      <c r="AM3047" s="264"/>
      <c r="AN3047" s="263"/>
      <c r="AO3047" s="263"/>
      <c r="AP3047" s="265"/>
      <c r="AQ3047" s="266"/>
      <c r="AR3047" s="267"/>
      <c r="AS3047" s="263"/>
      <c r="AT3047" s="263"/>
      <c r="AU3047" s="263"/>
      <c r="AV3047" s="264"/>
      <c r="AW3047" s="263"/>
      <c r="AX3047" s="263"/>
      <c r="AY3047" s="263"/>
      <c r="AZ3047" s="263"/>
      <c r="BA3047" s="263"/>
      <c r="BB3047" s="263"/>
      <c r="BC3047" s="263"/>
      <c r="BD3047" s="264">
        <v>77</v>
      </c>
      <c r="BE3047" s="263"/>
      <c r="BF3047" s="263"/>
      <c r="BG3047" s="263"/>
      <c r="BH3047" s="263"/>
      <c r="BI3047" s="263"/>
      <c r="BJ3047" s="404">
        <f>altaz(J2000_Bas,$O3047,$M3047,DecLat,DecLong,2)</f>
        <v>12.319621648190118</v>
      </c>
      <c r="BK3047" s="378" t="s">
        <v>2854</v>
      </c>
      <c r="BL3047" s="379">
        <f>IF((2*G3047)/60&lt;0.2,0.2,(2*G3047)/60)</f>
        <v>0.2</v>
      </c>
      <c r="BM3047" s="380">
        <f>MOD((50000+AD3047-$B$3+(0/24)),1)</f>
        <v>0.47977149281359743</v>
      </c>
      <c r="BN3047" s="381"/>
      <c r="BO3047" s="382">
        <v>3037</v>
      </c>
    </row>
    <row r="3048" spans="1:67" s="24" customFormat="1" ht="15" customHeight="1" x14ac:dyDescent="0.25">
      <c r="A3048" s="288" t="s">
        <v>2855</v>
      </c>
      <c r="B3048" s="241" t="str">
        <f>HYPERLINK(CONCATENATE($AT$3,BK3048,$AU$3),$AV$3)</f>
        <v>S</v>
      </c>
      <c r="C3048" s="242" t="str">
        <f>HYPERLINK(CONCATENATE($AT$4,BK3048,$AU$4,BL3048),$AV$4)</f>
        <v>A</v>
      </c>
      <c r="D3048" s="243" t="s">
        <v>5187</v>
      </c>
      <c r="E3048" s="244" t="s">
        <v>5186</v>
      </c>
      <c r="F3048" s="269"/>
      <c r="G3048" s="273">
        <v>4</v>
      </c>
      <c r="H3048" s="283">
        <v>2200</v>
      </c>
      <c r="I3048" s="279">
        <v>2.4</v>
      </c>
      <c r="J3048" s="246">
        <v>2</v>
      </c>
      <c r="K3048" s="247" t="s">
        <v>8607</v>
      </c>
      <c r="L3048" s="248">
        <v>63115</v>
      </c>
      <c r="M3048" s="249">
        <f>15*(LEFT(TEXT($L3048,"000000"),2)+(MID(TEXT($L3048,"000000"),3,2)/60)+(RIGHT(TEXT($L3048,"000000"),2)/3600))</f>
        <v>97.8125</v>
      </c>
      <c r="N3048" s="286">
        <v>94725</v>
      </c>
      <c r="O3048" s="251">
        <f>IF($N3048&gt;0,(LEFT(TEXT($N3048,"000000"),2)+(MID(TEXT($N3048,"000000"),3,2)/60)+(RIGHT(TEXT($N3048,"000000"),2)/3600)),-(MID(TEXT($N3048,"000000"),2,2)+(MID(TEXT($N3048,"000000"),4,2)/60)+(RIGHT(TEXT($N3048,"000000"),2)/3600)))</f>
        <v>9.7902777777777779</v>
      </c>
      <c r="P3048" s="252" t="s">
        <v>47</v>
      </c>
      <c r="Q3048" s="253"/>
      <c r="R3048" s="247" t="s">
        <v>3293</v>
      </c>
      <c r="S3048" s="272" t="s">
        <v>6426</v>
      </c>
      <c r="T3048" s="273"/>
      <c r="U3048" s="274"/>
      <c r="V3048" s="280"/>
      <c r="W3048" s="244"/>
      <c r="X3048" s="244"/>
      <c r="Y3048" s="362"/>
      <c r="Z3048" s="257">
        <f>altaz(J2000_Bas,$O3048,$M3048,DecLat,DecLong,1)</f>
        <v>-48.459815952319516</v>
      </c>
      <c r="AA3048" s="257">
        <f>altaz((J2000_Bas+(2*0.04167)),$O3048,$M3048,DecLat,DecLong,1)</f>
        <v>-35.137548406598718</v>
      </c>
      <c r="AB3048" s="257">
        <f>altaz((J2000_Bas+(4*0.04167)),$O3048,$M3048,DecLat,DecLong,1)</f>
        <v>-12.939949048151469</v>
      </c>
      <c r="AC3048" s="257">
        <f>altaz((J2000_Bas+(6*0.04167)),$O3048,$M3048,DecLat,DecLong,1)</f>
        <v>12.216744212798158</v>
      </c>
      <c r="AD3048" s="258">
        <f>1+ transit((J2000_Bas-1),$O3048,$M3048,DecLat,DecLong)/360 + (GMTOffset/24) + (IF(DST="Y", 1, 0)/24)</f>
        <v>1.264601322348458</v>
      </c>
      <c r="AE3048" s="259">
        <f>DATE(2001,9,21)+(M3048/360)*365 - (360*((DecLong/360)- (GMTOffset/24) ))</f>
        <v>37259.171006944445</v>
      </c>
      <c r="AF3048" s="260">
        <f>IF(DecLat&gt;0,IF((90 - (DecLat-O3048))&gt;90, (90 - (O3048-DecLat)), (90 - (DecLat-O3048))),IF((90 + (DecLat-O3048))&gt;90, (90 + (O3048-DecLat)), (90 + (DecLat-O3048))))</f>
        <v>68.790277777777774</v>
      </c>
      <c r="AG3048" s="257">
        <f>angularseperation(MoonRA,MoonDec,$M3048,$O3048)</f>
        <v>147.989821639441</v>
      </c>
      <c r="AH3048" s="261">
        <f ca="1">MIN(100,IF($O$5&gt;80,0+30*($AG3048/100),IF($O$5&gt;70,0+50*($AG3048/100),IF($O$5&gt;60,5+50*($AG3048/100),IF($O$5&gt;50,10+60*($AG3048/100),IF($O$5&gt;40,15+70*($AG3048/100),IF($O$5&gt;30,20+70*($AG3048/100),IF($O$5&gt;20,40+55*($AG3048/100),(80+(20-$O$5)+30*($AG3048/100))))))))))</f>
        <v>100</v>
      </c>
      <c r="AI3048" s="262"/>
      <c r="AJ3048" s="262"/>
      <c r="AK3048" s="262"/>
      <c r="AL3048" s="263"/>
      <c r="AM3048" s="264"/>
      <c r="AN3048" s="263"/>
      <c r="AO3048" s="263"/>
      <c r="AP3048" s="265"/>
      <c r="AQ3048" s="266"/>
      <c r="AR3048" s="267"/>
      <c r="AS3048" s="263"/>
      <c r="AT3048" s="263"/>
      <c r="AU3048" s="263"/>
      <c r="AV3048" s="264"/>
      <c r="AW3048" s="263"/>
      <c r="AX3048" s="263"/>
      <c r="AY3048" s="263"/>
      <c r="AZ3048" s="263"/>
      <c r="BA3048" s="263"/>
      <c r="BB3048" s="263"/>
      <c r="BC3048" s="263"/>
      <c r="BD3048" s="264">
        <v>78</v>
      </c>
      <c r="BE3048" s="263"/>
      <c r="BF3048" s="263"/>
      <c r="BG3048" s="263"/>
      <c r="BH3048" s="263"/>
      <c r="BI3048" s="263"/>
      <c r="BJ3048" s="404">
        <f>altaz(J2000_Bas,$O3048,$M3048,DecLat,DecLong,2)</f>
        <v>12.221631974791293</v>
      </c>
      <c r="BK3048" s="378" t="s">
        <v>2855</v>
      </c>
      <c r="BL3048" s="379">
        <f>IF((2*G3048)/60&lt;0.2,0.2,(2*G3048)/60)</f>
        <v>0.2</v>
      </c>
      <c r="BM3048" s="380">
        <f>MOD((50000+AD3048-$B$3+(0/24)),1)</f>
        <v>0.47996825205336791</v>
      </c>
      <c r="BN3048" s="381"/>
      <c r="BO3048" s="382">
        <v>3038</v>
      </c>
    </row>
    <row r="3049" spans="1:67" s="24" customFormat="1" ht="15" customHeight="1" x14ac:dyDescent="0.25">
      <c r="A3049" s="288" t="s">
        <v>2856</v>
      </c>
      <c r="B3049" s="241" t="str">
        <f>HYPERLINK(CONCATENATE($AT$3,BK3049,$AU$3),$AV$3)</f>
        <v>S</v>
      </c>
      <c r="C3049" s="242" t="str">
        <f>HYPERLINK(CONCATENATE($AT$4,BK3049,$AU$4,BL3049),$AV$4)</f>
        <v>A</v>
      </c>
      <c r="D3049" s="243" t="s">
        <v>5187</v>
      </c>
      <c r="E3049" s="244" t="s">
        <v>5186</v>
      </c>
      <c r="F3049" s="269"/>
      <c r="G3049" s="273">
        <v>2</v>
      </c>
      <c r="H3049" s="283">
        <v>2100</v>
      </c>
      <c r="I3049" s="279">
        <v>1.3</v>
      </c>
      <c r="J3049" s="246">
        <v>1</v>
      </c>
      <c r="K3049" s="247" t="s">
        <v>9466</v>
      </c>
      <c r="L3049" s="248">
        <v>63143</v>
      </c>
      <c r="M3049" s="249">
        <f>15*(LEFT(TEXT($L3049,"000000"),2)+(MID(TEXT($L3049,"000000"),3,2)/60)+(RIGHT(TEXT($L3049,"000000"),2)/3600))</f>
        <v>97.929166666666674</v>
      </c>
      <c r="N3049" s="286">
        <v>102021</v>
      </c>
      <c r="O3049" s="251">
        <f>IF($N3049&gt;0,(LEFT(TEXT($N3049,"000000"),2)+(MID(TEXT($N3049,"000000"),3,2)/60)+(RIGHT(TEXT($N3049,"000000"),2)/3600)),-(MID(TEXT($N3049,"000000"),2,2)+(MID(TEXT($N3049,"000000"),4,2)/60)+(RIGHT(TEXT($N3049,"000000"),2)/3600)))</f>
        <v>10.339166666666667</v>
      </c>
      <c r="P3049" s="252" t="s">
        <v>47</v>
      </c>
      <c r="Q3049" s="253"/>
      <c r="R3049" s="247" t="s">
        <v>3293</v>
      </c>
      <c r="S3049" s="272" t="s">
        <v>3293</v>
      </c>
      <c r="T3049" s="273"/>
      <c r="U3049" s="274"/>
      <c r="V3049" s="280"/>
      <c r="W3049" s="244"/>
      <c r="X3049" s="244"/>
      <c r="Y3049" s="362"/>
      <c r="Z3049" s="257">
        <f>altaz(J2000_Bas,$O3049,$M3049,DecLat,DecLong,1)</f>
        <v>-47.940982495802352</v>
      </c>
      <c r="AA3049" s="257">
        <f>altaz((J2000_Bas+(2*0.04167)),$O3049,$M3049,DecLat,DecLong,1)</f>
        <v>-34.793391124600831</v>
      </c>
      <c r="AB3049" s="257">
        <f>altaz((J2000_Bas+(4*0.04167)),$O3049,$M3049,DecLat,DecLong,1)</f>
        <v>-12.717124952346159</v>
      </c>
      <c r="AC3049" s="257">
        <f>altaz((J2000_Bas+(6*0.04167)),$O3049,$M3049,DecLat,DecLong,1)</f>
        <v>12.389661936520568</v>
      </c>
      <c r="AD3049" s="258">
        <f>1+ transit((J2000_Bas-1),$O3049,$M3049,DecLat,DecLong)/360 + (GMTOffset/24) + (IF(DST="Y", 1, 0)/24)</f>
        <v>1.2649253963901248</v>
      </c>
      <c r="AE3049" s="259">
        <f>DATE(2001,9,21)+(M3049/360)*365 - (360*((DecLong/360)- (GMTOffset/24) ))</f>
        <v>37259.289293981485</v>
      </c>
      <c r="AF3049" s="260">
        <f>IF(DecLat&gt;0,IF((90 - (DecLat-O3049))&gt;90, (90 - (O3049-DecLat)), (90 - (DecLat-O3049))),IF((90 + (DecLat-O3049))&gt;90, (90 + (O3049-DecLat)), (90 + (DecLat-O3049))))</f>
        <v>69.339166666666671</v>
      </c>
      <c r="AG3049" s="257">
        <f>angularseperation(MoonRA,MoonDec,$M3049,$O3049)</f>
        <v>148.2209057481092</v>
      </c>
      <c r="AH3049" s="261">
        <f ca="1">MIN(100,IF($O$5&gt;80,0+30*($AG3049/100),IF($O$5&gt;70,0+50*($AG3049/100),IF($O$5&gt;60,5+50*($AG3049/100),IF($O$5&gt;50,10+60*($AG3049/100),IF($O$5&gt;40,15+70*($AG3049/100),IF($O$5&gt;30,20+70*($AG3049/100),IF($O$5&gt;20,40+55*($AG3049/100),(80+(20-$O$5)+30*($AG3049/100))))))))))</f>
        <v>100</v>
      </c>
      <c r="AI3049" s="262"/>
      <c r="AJ3049" s="262"/>
      <c r="AK3049" s="262"/>
      <c r="AL3049" s="263"/>
      <c r="AM3049" s="264"/>
      <c r="AN3049" s="263"/>
      <c r="AO3049" s="263"/>
      <c r="AP3049" s="265"/>
      <c r="AQ3049" s="266"/>
      <c r="AR3049" s="267"/>
      <c r="AS3049" s="263"/>
      <c r="AT3049" s="263"/>
      <c r="AU3049" s="263"/>
      <c r="AV3049" s="264"/>
      <c r="AW3049" s="263"/>
      <c r="AX3049" s="263"/>
      <c r="AY3049" s="263"/>
      <c r="AZ3049" s="263"/>
      <c r="BA3049" s="263"/>
      <c r="BB3049" s="263"/>
      <c r="BC3049" s="263"/>
      <c r="BD3049" s="264">
        <v>79</v>
      </c>
      <c r="BE3049" s="263"/>
      <c r="BF3049" s="263"/>
      <c r="BG3049" s="263"/>
      <c r="BH3049" s="263"/>
      <c r="BI3049" s="263"/>
      <c r="BJ3049" s="404">
        <f>altaz(J2000_Bas,$O3049,$M3049,DecLat,DecLong,2)</f>
        <v>11.902351638288689</v>
      </c>
      <c r="BK3049" s="378" t="s">
        <v>2856</v>
      </c>
      <c r="BL3049" s="379">
        <f>IF((2*G3049)/60&lt;0.2,0.2,(2*G3049)/60)</f>
        <v>0.2</v>
      </c>
      <c r="BM3049" s="380">
        <f>MOD((50000+AD3049-$B$3+(0/24)),1)</f>
        <v>0.48029232609405881</v>
      </c>
      <c r="BN3049" s="381"/>
      <c r="BO3049" s="382">
        <v>3039</v>
      </c>
    </row>
    <row r="3050" spans="1:67" s="24" customFormat="1" ht="15" customHeight="1" x14ac:dyDescent="0.25">
      <c r="A3050" s="288" t="s">
        <v>2857</v>
      </c>
      <c r="B3050" s="241" t="str">
        <f>HYPERLINK(CONCATENATE($AT$3,BK3050,$AU$3),$AV$3)</f>
        <v>S</v>
      </c>
      <c r="C3050" s="242" t="str">
        <f>HYPERLINK(CONCATENATE($AT$4,BK3050,$AU$4,BL3050),$AV$4)</f>
        <v>A</v>
      </c>
      <c r="D3050" s="243" t="s">
        <v>5187</v>
      </c>
      <c r="E3050" s="244" t="s">
        <v>5186</v>
      </c>
      <c r="F3050" s="269"/>
      <c r="G3050" s="273">
        <v>9</v>
      </c>
      <c r="H3050" s="283">
        <v>3040</v>
      </c>
      <c r="I3050" s="279">
        <v>8</v>
      </c>
      <c r="J3050" s="246">
        <v>2</v>
      </c>
      <c r="K3050" s="247" t="s">
        <v>9467</v>
      </c>
      <c r="L3050" s="248">
        <v>63018</v>
      </c>
      <c r="M3050" s="249">
        <f>15*(LEFT(TEXT($L3050,"000000"),2)+(MID(TEXT($L3050,"000000"),3,2)/60)+(RIGHT(TEXT($L3050,"000000"),2)/3600))</f>
        <v>97.575000000000003</v>
      </c>
      <c r="N3050" s="286">
        <v>-93800</v>
      </c>
      <c r="O3050" s="251">
        <f>IF($N3050&gt;0,(LEFT(TEXT($N3050,"000000"),2)+(MID(TEXT($N3050,"000000"),3,2)/60)+(RIGHT(TEXT($N3050,"000000"),2)/3600)),-(MID(TEXT($N3050,"000000"),2,2)+(MID(TEXT($N3050,"000000"),4,2)/60)+(RIGHT(TEXT($N3050,"000000"),2)/3600)))</f>
        <v>-9.6333333333333329</v>
      </c>
      <c r="P3050" s="252" t="s">
        <v>47</v>
      </c>
      <c r="Q3050" s="253"/>
      <c r="R3050" s="247" t="s">
        <v>3293</v>
      </c>
      <c r="S3050" s="272" t="s">
        <v>3293</v>
      </c>
      <c r="T3050" s="273"/>
      <c r="U3050" s="274"/>
      <c r="V3050" s="280"/>
      <c r="W3050" s="244"/>
      <c r="X3050" s="244"/>
      <c r="Y3050" s="362"/>
      <c r="Z3050" s="257">
        <f>altaz(J2000_Bas,$O3050,$M3050,DecLat,DecLong,1)</f>
        <v>-67.241348961314173</v>
      </c>
      <c r="AA3050" s="257">
        <f>altaz((J2000_Bas+(2*0.04167)),$O3050,$M3050,DecLat,DecLong,1)</f>
        <v>-48.369332421839985</v>
      </c>
      <c r="AB3050" s="257">
        <f>altaz((J2000_Bas+(4*0.04167)),$O3050,$M3050,DecLat,DecLong,1)</f>
        <v>-23.239967000109814</v>
      </c>
      <c r="AC3050" s="257">
        <f>altaz((J2000_Bas+(6*0.04167)),$O3050,$M3050,DecLat,DecLong,1)</f>
        <v>2.3708080369716025</v>
      </c>
      <c r="AD3050" s="258">
        <f>1+ transit((J2000_Bas-1),$O3050,$M3050,DecLat,DecLong)/360 + (GMTOffset/24) + (IF(DST="Y", 1, 0)/24)</f>
        <v>1.2639416001922079</v>
      </c>
      <c r="AE3050" s="259">
        <f>DATE(2001,9,21)+(M3050/360)*365 - (360*((DecLong/360)- (GMTOffset/24) ))</f>
        <v>37258.930208333331</v>
      </c>
      <c r="AF3050" s="260">
        <f>IF(DecLat&gt;0,IF((90 - (DecLat-O3050))&gt;90, (90 - (O3050-DecLat)), (90 - (DecLat-O3050))),IF((90 + (DecLat-O3050))&gt;90, (90 + (O3050-DecLat)), (90 + (DecLat-O3050))))</f>
        <v>49.366666666666667</v>
      </c>
      <c r="AG3050" s="257">
        <f>angularseperation(MoonRA,MoonDec,$M3050,$O3050)</f>
        <v>134.14193998140007</v>
      </c>
      <c r="AH3050" s="261">
        <f ca="1">MIN(100,IF($O$5&gt;80,0+30*($AG3050/100),IF($O$5&gt;70,0+50*($AG3050/100),IF($O$5&gt;60,5+50*($AG3050/100),IF($O$5&gt;50,10+60*($AG3050/100),IF($O$5&gt;40,15+70*($AG3050/100),IF($O$5&gt;30,20+70*($AG3050/100),IF($O$5&gt;20,40+55*($AG3050/100),(80+(20-$O$5)+30*($AG3050/100))))))))))</f>
        <v>100</v>
      </c>
      <c r="AI3050" s="262"/>
      <c r="AJ3050" s="262"/>
      <c r="AK3050" s="262"/>
      <c r="AL3050" s="263"/>
      <c r="AM3050" s="264"/>
      <c r="AN3050" s="263"/>
      <c r="AO3050" s="263"/>
      <c r="AP3050" s="265"/>
      <c r="AQ3050" s="266"/>
      <c r="AR3050" s="267"/>
      <c r="AS3050" s="263"/>
      <c r="AT3050" s="263"/>
      <c r="AU3050" s="263"/>
      <c r="AV3050" s="264"/>
      <c r="AW3050" s="263"/>
      <c r="AX3050" s="263"/>
      <c r="AY3050" s="263">
        <v>1015</v>
      </c>
      <c r="AZ3050" s="263"/>
      <c r="BA3050" s="263"/>
      <c r="BB3050" s="263"/>
      <c r="BC3050" s="263"/>
      <c r="BD3050" s="264">
        <v>80</v>
      </c>
      <c r="BE3050" s="263"/>
      <c r="BF3050" s="263"/>
      <c r="BG3050" s="263"/>
      <c r="BH3050" s="263"/>
      <c r="BI3050" s="263"/>
      <c r="BJ3050" s="404">
        <f>altaz(J2000_Bas,$O3050,$M3050,DecLat,DecLong,2)</f>
        <v>21.932401275462936</v>
      </c>
      <c r="BK3050" s="378" t="s">
        <v>2857</v>
      </c>
      <c r="BL3050" s="379">
        <f>IF((2*G3050)/60&lt;0.2,0.2,(2*G3050)/60)</f>
        <v>0.3</v>
      </c>
      <c r="BM3050" s="380">
        <f>MOD((50000+AD3050-$B$3+(0/24)),1)</f>
        <v>0.47930852989520645</v>
      </c>
      <c r="BN3050" s="381"/>
      <c r="BO3050" s="382">
        <v>3040</v>
      </c>
    </row>
    <row r="3051" spans="1:67" s="24" customFormat="1" ht="15" customHeight="1" x14ac:dyDescent="0.25">
      <c r="A3051" s="288" t="s">
        <v>2858</v>
      </c>
      <c r="B3051" s="241" t="str">
        <f>HYPERLINK(CONCATENATE($AT$3,BK3051,$AU$3),$AV$3)</f>
        <v>S</v>
      </c>
      <c r="C3051" s="242" t="str">
        <f>HYPERLINK(CONCATENATE($AT$4,BK3051,$AU$4,BL3051),$AV$4)</f>
        <v>A</v>
      </c>
      <c r="D3051" s="243" t="s">
        <v>5187</v>
      </c>
      <c r="E3051" s="244" t="s">
        <v>5186</v>
      </c>
      <c r="F3051" s="269"/>
      <c r="G3051" s="276">
        <v>15</v>
      </c>
      <c r="H3051" s="283">
        <v>2680</v>
      </c>
      <c r="I3051" s="246">
        <v>12</v>
      </c>
      <c r="J3051" s="246">
        <v>1</v>
      </c>
      <c r="K3051" s="247" t="s">
        <v>9468</v>
      </c>
      <c r="L3051" s="248">
        <v>63218</v>
      </c>
      <c r="M3051" s="249">
        <f>15*(LEFT(TEXT($L3051,"000000"),2)+(MID(TEXT($L3051,"000000"),3,2)/60)+(RIGHT(TEXT($L3051,"000000"),2)/3600))</f>
        <v>98.075000000000003</v>
      </c>
      <c r="N3051" s="286">
        <v>72100</v>
      </c>
      <c r="O3051" s="251">
        <f>IF($N3051&gt;0,(LEFT(TEXT($N3051,"000000"),2)+(MID(TEXT($N3051,"000000"),3,2)/60)+(RIGHT(TEXT($N3051,"000000"),2)/3600)),-(MID(TEXT($N3051,"000000"),2,2)+(MID(TEXT($N3051,"000000"),4,2)/60)+(RIGHT(TEXT($N3051,"000000"),2)/3600)))</f>
        <v>7.35</v>
      </c>
      <c r="P3051" s="252" t="s">
        <v>47</v>
      </c>
      <c r="Q3051" s="253"/>
      <c r="R3051" s="247" t="s">
        <v>6425</v>
      </c>
      <c r="S3051" s="272" t="s">
        <v>3293</v>
      </c>
      <c r="T3051" s="273"/>
      <c r="U3051" s="274"/>
      <c r="V3051" s="280"/>
      <c r="W3051" s="244"/>
      <c r="X3051" s="244"/>
      <c r="Y3051" s="362"/>
      <c r="Z3051" s="257">
        <f>altaz(J2000_Bas,$O3051,$M3051,DecLat,DecLong,1)</f>
        <v>-50.905835820557108</v>
      </c>
      <c r="AA3051" s="257">
        <f>altaz((J2000_Bas+(2*0.04167)),$O3051,$M3051,DecLat,DecLong,1)</f>
        <v>-37.150220529586399</v>
      </c>
      <c r="AB3051" s="257">
        <f>altaz((J2000_Bas+(4*0.04167)),$O3051,$M3051,DecLat,DecLong,1)</f>
        <v>-14.551033496516673</v>
      </c>
      <c r="AC3051" s="257">
        <f>altaz((J2000_Bas+(6*0.04167)),$O3051,$M3051,DecLat,DecLong,1)</f>
        <v>10.76994110941123</v>
      </c>
      <c r="AD3051" s="258">
        <f>1+ transit((J2000_Bas-1),$O3051,$M3051,DecLat,DecLong)/360 + (GMTOffset/24) + (IF(DST="Y", 1, 0)/24)</f>
        <v>1.2653304889422079</v>
      </c>
      <c r="AE3051" s="259">
        <f>DATE(2001,9,21)+(M3051/360)*365 - (360*((DecLong/360)- (GMTOffset/24) ))</f>
        <v>37259.437152777777</v>
      </c>
      <c r="AF3051" s="260">
        <f>IF(DecLat&gt;0,IF((90 - (DecLat-O3051))&gt;90, (90 - (O3051-DecLat)), (90 - (DecLat-O3051))),IF((90 + (DecLat-O3051))&gt;90, (90 + (O3051-DecLat)), (90 + (DecLat-O3051))))</f>
        <v>66.349999999999994</v>
      </c>
      <c r="AG3051" s="257">
        <f>angularseperation(MoonRA,MoonDec,$M3051,$O3051)</f>
        <v>146.28407705187456</v>
      </c>
      <c r="AH3051" s="261">
        <f ca="1">MIN(100,IF($O$5&gt;80,0+30*($AG3051/100),IF($O$5&gt;70,0+50*($AG3051/100),IF($O$5&gt;60,5+50*($AG3051/100),IF($O$5&gt;50,10+60*($AG3051/100),IF($O$5&gt;40,15+70*($AG3051/100),IF($O$5&gt;30,20+70*($AG3051/100),IF($O$5&gt;20,40+55*($AG3051/100),(80+(20-$O$5)+30*($AG3051/100))))))))))</f>
        <v>100</v>
      </c>
      <c r="AI3051" s="262"/>
      <c r="AJ3051" s="262">
        <v>448</v>
      </c>
      <c r="AK3051" s="262"/>
      <c r="AL3051" s="263"/>
      <c r="AM3051" s="264"/>
      <c r="AN3051" s="263"/>
      <c r="AO3051" s="263"/>
      <c r="AP3051" s="265"/>
      <c r="AQ3051" s="266"/>
      <c r="AR3051" s="267"/>
      <c r="AS3051" s="263"/>
      <c r="AT3051" s="263"/>
      <c r="AU3051" s="263"/>
      <c r="AV3051" s="264"/>
      <c r="AW3051" s="263"/>
      <c r="AX3051" s="263"/>
      <c r="AY3051" s="263"/>
      <c r="AZ3051" s="263"/>
      <c r="BA3051" s="263"/>
      <c r="BB3051" s="263"/>
      <c r="BC3051" s="263"/>
      <c r="BD3051" s="264">
        <v>81</v>
      </c>
      <c r="BE3051" s="263"/>
      <c r="BF3051" s="263"/>
      <c r="BG3051" s="263"/>
      <c r="BH3051" s="263"/>
      <c r="BI3051" s="263"/>
      <c r="BJ3051" s="404">
        <f>altaz(J2000_Bas,$O3051,$M3051,DecLat,DecLong,2)</f>
        <v>12.528175725854028</v>
      </c>
      <c r="BK3051" s="378" t="s">
        <v>2858</v>
      </c>
      <c r="BL3051" s="379">
        <f>IF((2*G3051)/60&lt;0.2,0.2,(2*G3051)/60)</f>
        <v>0.5</v>
      </c>
      <c r="BM3051" s="380">
        <f>MOD((50000+AD3051-$B$3+(0/24)),1)</f>
        <v>0.48069741864310345</v>
      </c>
      <c r="BN3051" s="381"/>
      <c r="BO3051" s="382">
        <v>3041</v>
      </c>
    </row>
    <row r="3052" spans="1:67" s="24" customFormat="1" ht="15" customHeight="1" x14ac:dyDescent="0.25">
      <c r="A3052" s="288" t="s">
        <v>2859</v>
      </c>
      <c r="B3052" s="241" t="str">
        <f>HYPERLINK(CONCATENATE($AT$3,BK3052,$AU$3),$AV$3)</f>
        <v>S</v>
      </c>
      <c r="C3052" s="242" t="str">
        <f>HYPERLINK(CONCATENATE($AT$4,BK3052,$AU$4,BL3052),$AV$4)</f>
        <v>A</v>
      </c>
      <c r="D3052" s="243" t="s">
        <v>5187</v>
      </c>
      <c r="E3052" s="244" t="s">
        <v>5186</v>
      </c>
      <c r="F3052" s="269"/>
      <c r="G3052" s="273">
        <v>2</v>
      </c>
      <c r="H3052" s="283">
        <v>2700</v>
      </c>
      <c r="I3052" s="279">
        <v>1.7</v>
      </c>
      <c r="J3052" s="246">
        <v>1</v>
      </c>
      <c r="K3052" s="247" t="s">
        <v>9470</v>
      </c>
      <c r="L3052" s="248">
        <v>63918</v>
      </c>
      <c r="M3052" s="249">
        <f>15*(LEFT(TEXT($L3052,"000000"),2)+(MID(TEXT($L3052,"000000"),3,2)/60)+(RIGHT(TEXT($L3052,"000000"),2)/3600))</f>
        <v>99.825000000000003</v>
      </c>
      <c r="N3052" s="286">
        <v>-271400</v>
      </c>
      <c r="O3052" s="251">
        <f>IF($N3052&gt;0,(LEFT(TEXT($N3052,"000000"),2)+(MID(TEXT($N3052,"000000"),3,2)/60)+(RIGHT(TEXT($N3052,"000000"),2)/3600)),-(MID(TEXT($N3052,"000000"),2,2)+(MID(TEXT($N3052,"000000"),4,2)/60)+(RIGHT(TEXT($N3052,"000000"),2)/3600)))</f>
        <v>-27.233333333333334</v>
      </c>
      <c r="P3052" s="252" t="s">
        <v>80</v>
      </c>
      <c r="Q3052" s="253"/>
      <c r="R3052" s="247" t="s">
        <v>3293</v>
      </c>
      <c r="S3052" s="272" t="s">
        <v>3293</v>
      </c>
      <c r="T3052" s="273"/>
      <c r="U3052" s="274"/>
      <c r="V3052" s="280"/>
      <c r="W3052" s="244"/>
      <c r="X3052" s="244"/>
      <c r="Y3052" s="362"/>
      <c r="Z3052" s="257">
        <f>altaz(J2000_Bas,$O3052,$M3052,DecLat,DecLong,1)</f>
        <v>-83.420633954359005</v>
      </c>
      <c r="AA3052" s="257">
        <f>altaz((J2000_Bas+(2*0.04167)),$O3052,$M3052,DecLat,DecLong,1)</f>
        <v>-58.236232601697125</v>
      </c>
      <c r="AB3052" s="257">
        <f>altaz((J2000_Bas+(4*0.04167)),$O3052,$M3052,DecLat,DecLong,1)</f>
        <v>-32.783418487828214</v>
      </c>
      <c r="AC3052" s="257">
        <f>altaz((J2000_Bas+(6*0.04167)),$O3052,$M3052,DecLat,DecLong,1)</f>
        <v>-8.6454710015210097</v>
      </c>
      <c r="AD3052" s="258">
        <f>1+ transit((J2000_Bas-1),$O3052,$M3052,DecLat,DecLong)/360 + (GMTOffset/24) + (IF(DST="Y", 1, 0)/24)</f>
        <v>1.2701915995672082</v>
      </c>
      <c r="AE3052" s="259">
        <f>DATE(2001,9,21)+(M3052/360)*365 - (360*((DecLong/360)- (GMTOffset/24) ))</f>
        <v>37261.211458333331</v>
      </c>
      <c r="AF3052" s="260">
        <f>IF(DecLat&gt;0,IF((90 - (DecLat-O3052))&gt;90, (90 - (O3052-DecLat)), (90 - (DecLat-O3052))),IF((90 + (DecLat-O3052))&gt;90, (90 + (O3052-DecLat)), (90 + (DecLat-O3052))))</f>
        <v>31.766666666666666</v>
      </c>
      <c r="AG3052" s="257">
        <f>angularseperation(MoonRA,MoonDec,$M3052,$O3052)</f>
        <v>118.24027711382296</v>
      </c>
      <c r="AH3052" s="261">
        <f ca="1">MIN(100,IF($O$5&gt;80,0+30*($AG3052/100),IF($O$5&gt;70,0+50*($AG3052/100),IF($O$5&gt;60,5+50*($AG3052/100),IF($O$5&gt;50,10+60*($AG3052/100),IF($O$5&gt;40,15+70*($AG3052/100),IF($O$5&gt;30,20+70*($AG3052/100),IF($O$5&gt;20,40+55*($AG3052/100),(80+(20-$O$5)+30*($AG3052/100))))))))))</f>
        <v>100</v>
      </c>
      <c r="AI3052" s="262"/>
      <c r="AJ3052" s="262"/>
      <c r="AK3052" s="262"/>
      <c r="AL3052" s="263"/>
      <c r="AM3052" s="264"/>
      <c r="AN3052" s="263"/>
      <c r="AO3052" s="263"/>
      <c r="AP3052" s="265"/>
      <c r="AQ3052" s="266"/>
      <c r="AR3052" s="267"/>
      <c r="AS3052" s="263"/>
      <c r="AT3052" s="263"/>
      <c r="AU3052" s="263"/>
      <c r="AV3052" s="264"/>
      <c r="AW3052" s="263"/>
      <c r="AX3052" s="263"/>
      <c r="AY3052" s="263"/>
      <c r="AZ3052" s="263"/>
      <c r="BA3052" s="263"/>
      <c r="BB3052" s="263"/>
      <c r="BC3052" s="263"/>
      <c r="BD3052" s="264">
        <v>83</v>
      </c>
      <c r="BE3052" s="263"/>
      <c r="BF3052" s="263"/>
      <c r="BG3052" s="263"/>
      <c r="BH3052" s="263"/>
      <c r="BI3052" s="263"/>
      <c r="BJ3052" s="404">
        <f>altaz(J2000_Bas,$O3052,$M3052,DecLat,DecLong,2)</f>
        <v>56.6237323673395</v>
      </c>
      <c r="BK3052" s="378" t="s">
        <v>2859</v>
      </c>
      <c r="BL3052" s="379">
        <f>IF((2*G3052)/60&lt;0.2,0.2,(2*G3052)/60)</f>
        <v>0.2</v>
      </c>
      <c r="BM3052" s="380">
        <f>MOD((50000+AD3052-$B$3+(0/24)),1)</f>
        <v>0.4855585292680189</v>
      </c>
      <c r="BN3052" s="381"/>
      <c r="BO3052" s="382">
        <v>3042</v>
      </c>
    </row>
    <row r="3053" spans="1:67" s="24" customFormat="1" ht="15" customHeight="1" x14ac:dyDescent="0.25">
      <c r="A3053" s="288" t="s">
        <v>2860</v>
      </c>
      <c r="B3053" s="241" t="str">
        <f>HYPERLINK(CONCATENATE($AT$3,BK3053,$AU$3),$AV$3)</f>
        <v>S</v>
      </c>
      <c r="C3053" s="242" t="str">
        <f>HYPERLINK(CONCATENATE($AT$4,BK3053,$AU$4,BL3053),$AV$4)</f>
        <v>A</v>
      </c>
      <c r="D3053" s="243" t="s">
        <v>5187</v>
      </c>
      <c r="E3053" s="244" t="s">
        <v>5186</v>
      </c>
      <c r="F3053" s="269"/>
      <c r="G3053" s="273">
        <v>3</v>
      </c>
      <c r="H3053" s="283">
        <v>2840</v>
      </c>
      <c r="I3053" s="279">
        <v>2.6</v>
      </c>
      <c r="J3053" s="246">
        <v>1</v>
      </c>
      <c r="K3053" s="247" t="s">
        <v>9471</v>
      </c>
      <c r="L3053" s="248">
        <v>64018</v>
      </c>
      <c r="M3053" s="249">
        <f>15*(LEFT(TEXT($L3053,"000000"),2)+(MID(TEXT($L3053,"000000"),3,2)/60)+(RIGHT(TEXT($L3053,"000000"),2)/3600))</f>
        <v>100.075</v>
      </c>
      <c r="N3053" s="286">
        <v>-272300</v>
      </c>
      <c r="O3053" s="251">
        <f>IF($N3053&gt;0,(LEFT(TEXT($N3053,"000000"),2)+(MID(TEXT($N3053,"000000"),3,2)/60)+(RIGHT(TEXT($N3053,"000000"),2)/3600)),-(MID(TEXT($N3053,"000000"),2,2)+(MID(TEXT($N3053,"000000"),4,2)/60)+(RIGHT(TEXT($N3053,"000000"),2)/3600)))</f>
        <v>-27.383333333333333</v>
      </c>
      <c r="P3053" s="252" t="s">
        <v>80</v>
      </c>
      <c r="Q3053" s="253"/>
      <c r="R3053" s="247" t="s">
        <v>3293</v>
      </c>
      <c r="S3053" s="272" t="s">
        <v>3293</v>
      </c>
      <c r="T3053" s="273"/>
      <c r="U3053" s="274"/>
      <c r="V3053" s="280"/>
      <c r="W3053" s="244"/>
      <c r="X3053" s="244"/>
      <c r="Y3053" s="362"/>
      <c r="Z3053" s="257">
        <f>altaz(J2000_Bas,$O3053,$M3053,DecLat,DecLong,1)</f>
        <v>-83.688448313336522</v>
      </c>
      <c r="AA3053" s="257">
        <f>altaz((J2000_Bas+(2*0.04167)),$O3053,$M3053,DecLat,DecLong,1)</f>
        <v>-58.490354648754803</v>
      </c>
      <c r="AB3053" s="257">
        <f>altaz((J2000_Bas+(4*0.04167)),$O3053,$M3053,DecLat,DecLong,1)</f>
        <v>-33.04442002932862</v>
      </c>
      <c r="AC3053" s="257">
        <f>altaz((J2000_Bas+(6*0.04167)),$O3053,$M3053,DecLat,DecLong,1)</f>
        <v>-8.9129870715688533</v>
      </c>
      <c r="AD3053" s="258">
        <f>1+ transit((J2000_Bas-1),$O3053,$M3053,DecLat,DecLong)/360 + (GMTOffset/24) + (IF(DST="Y", 1, 0)/24)</f>
        <v>1.2708860439422081</v>
      </c>
      <c r="AE3053" s="259">
        <f>DATE(2001,9,21)+(M3053/360)*365 - (360*((DecLong/360)- (GMTOffset/24) ))</f>
        <v>37261.464930555558</v>
      </c>
      <c r="AF3053" s="260">
        <f>IF(DecLat&gt;0,IF((90 - (DecLat-O3053))&gt;90, (90 - (O3053-DecLat)), (90 - (DecLat-O3053))),IF((90 + (DecLat-O3053))&gt;90, (90 + (O3053-DecLat)), (90 + (DecLat-O3053))))</f>
        <v>31.616666666666667</v>
      </c>
      <c r="AG3053" s="257">
        <f>angularseperation(MoonRA,MoonDec,$M3053,$O3053)</f>
        <v>117.9972308240075</v>
      </c>
      <c r="AH3053" s="261">
        <f ca="1">MIN(100,IF($O$5&gt;80,0+30*($AG3053/100),IF($O$5&gt;70,0+50*($AG3053/100),IF($O$5&gt;60,5+50*($AG3053/100),IF($O$5&gt;50,10+60*($AG3053/100),IF($O$5&gt;40,15+70*($AG3053/100),IF($O$5&gt;30,20+70*($AG3053/100),IF($O$5&gt;20,40+55*($AG3053/100),(80+(20-$O$5)+30*($AG3053/100))))))))))</f>
        <v>100</v>
      </c>
      <c r="AI3053" s="262"/>
      <c r="AJ3053" s="262"/>
      <c r="AK3053" s="262"/>
      <c r="AL3053" s="263"/>
      <c r="AM3053" s="264"/>
      <c r="AN3053" s="263"/>
      <c r="AO3053" s="263"/>
      <c r="AP3053" s="265"/>
      <c r="AQ3053" s="266"/>
      <c r="AR3053" s="267"/>
      <c r="AS3053" s="263"/>
      <c r="AT3053" s="263"/>
      <c r="AU3053" s="263"/>
      <c r="AV3053" s="264"/>
      <c r="AW3053" s="263"/>
      <c r="AX3053" s="263"/>
      <c r="AY3053" s="263"/>
      <c r="AZ3053" s="263"/>
      <c r="BA3053" s="263"/>
      <c r="BB3053" s="263"/>
      <c r="BC3053" s="263"/>
      <c r="BD3053" s="264">
        <v>84</v>
      </c>
      <c r="BE3053" s="263"/>
      <c r="BF3053" s="263"/>
      <c r="BG3053" s="263"/>
      <c r="BH3053" s="263"/>
      <c r="BI3053" s="263"/>
      <c r="BJ3053" s="404">
        <f>altaz(J2000_Bas,$O3053,$M3053,DecLat,DecLong,2)</f>
        <v>56.52591348739633</v>
      </c>
      <c r="BK3053" s="378" t="s">
        <v>2860</v>
      </c>
      <c r="BL3053" s="379">
        <f>IF((2*G3053)/60&lt;0.2,0.2,(2*G3053)/60)</f>
        <v>0.2</v>
      </c>
      <c r="BM3053" s="380">
        <f>MOD((50000+AD3053-$B$3+(0/24)),1)</f>
        <v>0.48625297364924336</v>
      </c>
      <c r="BN3053" s="381"/>
      <c r="BO3053" s="382">
        <v>3043</v>
      </c>
    </row>
    <row r="3054" spans="1:67" s="24" customFormat="1" ht="15" customHeight="1" x14ac:dyDescent="0.25">
      <c r="A3054" s="288" t="s">
        <v>2861</v>
      </c>
      <c r="B3054" s="241" t="str">
        <f>HYPERLINK(CONCATENATE($AT$3,BK3054,$AU$3),$AV$3)</f>
        <v>S</v>
      </c>
      <c r="C3054" s="242" t="str">
        <f>HYPERLINK(CONCATENATE($AT$4,BK3054,$AU$4,BL3054),$AV$4)</f>
        <v>A</v>
      </c>
      <c r="D3054" s="243" t="s">
        <v>5187</v>
      </c>
      <c r="E3054" s="244" t="s">
        <v>5186</v>
      </c>
      <c r="F3054" s="269"/>
      <c r="G3054" s="273">
        <v>3</v>
      </c>
      <c r="H3054" s="283">
        <v>2580</v>
      </c>
      <c r="I3054" s="279">
        <v>2.2000000000000002</v>
      </c>
      <c r="J3054" s="246">
        <v>1</v>
      </c>
      <c r="K3054" s="247" t="s">
        <v>6428</v>
      </c>
      <c r="L3054" s="248">
        <v>65718</v>
      </c>
      <c r="M3054" s="249">
        <f>15*(LEFT(TEXT($L3054,"000000"),2)+(MID(TEXT($L3054,"000000"),3,2)/60)+(RIGHT(TEXT($L3054,"000000"),2)/3600))</f>
        <v>104.325</v>
      </c>
      <c r="N3054" s="286">
        <v>-101600</v>
      </c>
      <c r="O3054" s="251">
        <f>IF($N3054&gt;0,(LEFT(TEXT($N3054,"000000"),2)+(MID(TEXT($N3054,"000000"),3,2)/60)+(RIGHT(TEXT($N3054,"000000"),2)/3600)),-(MID(TEXT($N3054,"000000"),2,2)+(MID(TEXT($N3054,"000000"),4,2)/60)+(RIGHT(TEXT($N3054,"000000"),2)/3600)))</f>
        <v>-10.266666666666667</v>
      </c>
      <c r="P3054" s="252" t="s">
        <v>47</v>
      </c>
      <c r="Q3054" s="253"/>
      <c r="R3054" s="247" t="s">
        <v>3293</v>
      </c>
      <c r="S3054" s="272" t="s">
        <v>3293</v>
      </c>
      <c r="T3054" s="273"/>
      <c r="U3054" s="274"/>
      <c r="V3054" s="280"/>
      <c r="W3054" s="244"/>
      <c r="X3054" s="244"/>
      <c r="Y3054" s="362"/>
      <c r="Z3054" s="257">
        <f>altaz(J2000_Bas,$O3054,$M3054,DecLat,DecLong,1)</f>
        <v>-69.208234526531001</v>
      </c>
      <c r="AA3054" s="257">
        <f>altaz((J2000_Bas+(2*0.04167)),$O3054,$M3054,DecLat,DecLong,1)</f>
        <v>-53.990989744407599</v>
      </c>
      <c r="AB3054" s="257">
        <f>altaz((J2000_Bas+(4*0.04167)),$O3054,$M3054,DecLat,DecLong,1)</f>
        <v>-29.324717715155231</v>
      </c>
      <c r="AC3054" s="257">
        <f>altaz((J2000_Bas+(6*0.04167)),$O3054,$M3054,DecLat,DecLong,1)</f>
        <v>-3.6333095528718755</v>
      </c>
      <c r="AD3054" s="258">
        <f>1+ transit((J2000_Bas-1),$O3054,$M3054,DecLat,DecLong)/360 + (GMTOffset/24) + (IF(DST="Y", 1, 0)/24)</f>
        <v>1.282691598317208</v>
      </c>
      <c r="AE3054" s="259">
        <f>DATE(2001,9,21)+(M3054/360)*365 - (360*((DecLong/360)- (GMTOffset/24) ))</f>
        <v>37265.773958333331</v>
      </c>
      <c r="AF3054" s="260">
        <f>IF(DecLat&gt;0,IF((90 - (DecLat-O3054))&gt;90, (90 - (O3054-DecLat)), (90 - (DecLat-O3054))),IF((90 + (DecLat-O3054))&gt;90, (90 + (O3054-DecLat)), (90 + (DecLat-O3054))))</f>
        <v>48.733333333333334</v>
      </c>
      <c r="AG3054" s="257">
        <f>angularseperation(MoonRA,MoonDec,$M3054,$O3054)</f>
        <v>129.47703292032369</v>
      </c>
      <c r="AH3054" s="261">
        <f ca="1">MIN(100,IF($O$5&gt;80,0+30*($AG3054/100),IF($O$5&gt;70,0+50*($AG3054/100),IF($O$5&gt;60,5+50*($AG3054/100),IF($O$5&gt;50,10+60*($AG3054/100),IF($O$5&gt;40,15+70*($AG3054/100),IF($O$5&gt;30,20+70*($AG3054/100),IF($O$5&gt;20,40+55*($AG3054/100),(80+(20-$O$5)+30*($AG3054/100))))))))))</f>
        <v>100</v>
      </c>
      <c r="AI3054" s="262"/>
      <c r="AJ3054" s="262"/>
      <c r="AK3054" s="262"/>
      <c r="AL3054" s="263"/>
      <c r="AM3054" s="264"/>
      <c r="AN3054" s="263"/>
      <c r="AO3054" s="263"/>
      <c r="AP3054" s="265"/>
      <c r="AQ3054" s="266"/>
      <c r="AR3054" s="267"/>
      <c r="AS3054" s="263"/>
      <c r="AT3054" s="263"/>
      <c r="AU3054" s="263"/>
      <c r="AV3054" s="264"/>
      <c r="AW3054" s="263"/>
      <c r="AX3054" s="263"/>
      <c r="AY3054" s="263"/>
      <c r="AZ3054" s="263"/>
      <c r="BA3054" s="263"/>
      <c r="BB3054" s="263"/>
      <c r="BC3054" s="263"/>
      <c r="BD3054" s="264">
        <v>86</v>
      </c>
      <c r="BE3054" s="263"/>
      <c r="BF3054" s="263"/>
      <c r="BG3054" s="263"/>
      <c r="BH3054" s="263"/>
      <c r="BI3054" s="263"/>
      <c r="BJ3054" s="404">
        <f>altaz(J2000_Bas,$O3054,$M3054,DecLat,DecLong,2)</f>
        <v>4.6548592482964928</v>
      </c>
      <c r="BK3054" s="378" t="s">
        <v>2861</v>
      </c>
      <c r="BL3054" s="379">
        <f>IF((2*G3054)/60&lt;0.2,0.2,(2*G3054)/60)</f>
        <v>0.2</v>
      </c>
      <c r="BM3054" s="380">
        <f>MOD((50000+AD3054-$B$3+(0/24)),1)</f>
        <v>0.49805852802091977</v>
      </c>
      <c r="BN3054" s="381"/>
      <c r="BO3054" s="382">
        <v>3044</v>
      </c>
    </row>
    <row r="3055" spans="1:67" s="24" customFormat="1" ht="15" customHeight="1" x14ac:dyDescent="0.25">
      <c r="A3055" s="288" t="s">
        <v>2862</v>
      </c>
      <c r="B3055" s="241" t="str">
        <f>HYPERLINK(CONCATENATE($AT$3,BK3055,$AU$3),$AV$3)</f>
        <v>S</v>
      </c>
      <c r="C3055" s="242" t="str">
        <f>HYPERLINK(CONCATENATE($AT$4,BK3055,$AU$4,BL3055),$AV$4)</f>
        <v>A</v>
      </c>
      <c r="D3055" s="243" t="s">
        <v>5187</v>
      </c>
      <c r="E3055" s="244" t="s">
        <v>5186</v>
      </c>
      <c r="F3055" s="269"/>
      <c r="G3055" s="273">
        <v>5</v>
      </c>
      <c r="H3055" s="283">
        <v>1480</v>
      </c>
      <c r="I3055" s="279">
        <v>2</v>
      </c>
      <c r="J3055" s="246">
        <v>2</v>
      </c>
      <c r="K3055" s="247" t="s">
        <v>9472</v>
      </c>
      <c r="L3055" s="248">
        <v>70018</v>
      </c>
      <c r="M3055" s="249">
        <f>15*(LEFT(TEXT($L3055,"000000"),2)+(MID(TEXT($L3055,"000000"),3,2)/60)+(RIGHT(TEXT($L3055,"000000"),2)/3600))</f>
        <v>105.075</v>
      </c>
      <c r="N3055" s="286">
        <v>-85100</v>
      </c>
      <c r="O3055" s="251">
        <f>IF($N3055&gt;0,(LEFT(TEXT($N3055,"000000"),2)+(MID(TEXT($N3055,"000000"),3,2)/60)+(RIGHT(TEXT($N3055,"000000"),2)/3600)),-(MID(TEXT($N3055,"000000"),2,2)+(MID(TEXT($N3055,"000000"),4,2)/60)+(RIGHT(TEXT($N3055,"000000"),2)/3600)))</f>
        <v>-8.85</v>
      </c>
      <c r="P3055" s="252" t="s">
        <v>47</v>
      </c>
      <c r="Q3055" s="253"/>
      <c r="R3055" s="247" t="s">
        <v>3293</v>
      </c>
      <c r="S3055" s="272" t="s">
        <v>3293</v>
      </c>
      <c r="T3055" s="273"/>
      <c r="U3055" s="274"/>
      <c r="V3055" s="280"/>
      <c r="W3055" s="244"/>
      <c r="X3055" s="244"/>
      <c r="Y3055" s="362"/>
      <c r="Z3055" s="257">
        <f>altaz(J2000_Bas,$O3055,$M3055,DecLat,DecLong,1)</f>
        <v>-67.833137857632636</v>
      </c>
      <c r="AA3055" s="257">
        <f>altaz((J2000_Bas+(2*0.04167)),$O3055,$M3055,DecLat,DecLong,1)</f>
        <v>-53.623137706677504</v>
      </c>
      <c r="AB3055" s="257">
        <f>altaz((J2000_Bas+(4*0.04167)),$O3055,$M3055,DecLat,DecLong,1)</f>
        <v>-29.248745494012095</v>
      </c>
      <c r="AC3055" s="257">
        <f>altaz((J2000_Bas+(6*0.04167)),$O3055,$M3055,DecLat,DecLong,1)</f>
        <v>-3.5418285401258376</v>
      </c>
      <c r="AD3055" s="258">
        <f>1+ transit((J2000_Bas-1),$O3055,$M3055,DecLat,DecLong)/360 + (GMTOffset/24) + (IF(DST="Y", 1, 0)/24)</f>
        <v>1.2847749314422081</v>
      </c>
      <c r="AE3055" s="259">
        <f>DATE(2001,9,21)+(M3055/360)*365 - (360*((DecLong/360)- (GMTOffset/24) ))</f>
        <v>37266.534375000003</v>
      </c>
      <c r="AF3055" s="260">
        <f>IF(DecLat&gt;0,IF((90 - (DecLat-O3055))&gt;90, (90 - (O3055-DecLat)), (90 - (DecLat-O3055))),IF((90 + (DecLat-O3055))&gt;90, (90 + (O3055-DecLat)), (90 + (DecLat-O3055))))</f>
        <v>50.15</v>
      </c>
      <c r="AG3055" s="257">
        <f>angularseperation(MoonRA,MoonDec,$M3055,$O3055)</f>
        <v>130.02940706304676</v>
      </c>
      <c r="AH3055" s="261">
        <f ca="1">MIN(100,IF($O$5&gt;80,0+30*($AG3055/100),IF($O$5&gt;70,0+50*($AG3055/100),IF($O$5&gt;60,5+50*($AG3055/100),IF($O$5&gt;50,10+60*($AG3055/100),IF($O$5&gt;40,15+70*($AG3055/100),IF($O$5&gt;30,20+70*($AG3055/100),IF($O$5&gt;20,40+55*($AG3055/100),(80+(20-$O$5)+30*($AG3055/100))))))))))</f>
        <v>100</v>
      </c>
      <c r="AI3055" s="262"/>
      <c r="AJ3055" s="262"/>
      <c r="AK3055" s="262"/>
      <c r="AL3055" s="263"/>
      <c r="AM3055" s="264"/>
      <c r="AN3055" s="263"/>
      <c r="AO3055" s="263"/>
      <c r="AP3055" s="265"/>
      <c r="AQ3055" s="266"/>
      <c r="AR3055" s="267"/>
      <c r="AS3055" s="263"/>
      <c r="AT3055" s="263"/>
      <c r="AU3055" s="263"/>
      <c r="AV3055" s="264"/>
      <c r="AW3055" s="263"/>
      <c r="AX3055" s="263"/>
      <c r="AY3055" s="263"/>
      <c r="AZ3055" s="263"/>
      <c r="BA3055" s="263"/>
      <c r="BB3055" s="263"/>
      <c r="BC3055" s="263"/>
      <c r="BD3055" s="264">
        <v>87</v>
      </c>
      <c r="BE3055" s="263"/>
      <c r="BF3055" s="263"/>
      <c r="BG3055" s="263"/>
      <c r="BH3055" s="263"/>
      <c r="BI3055" s="263"/>
      <c r="BJ3055" s="404">
        <f>altaz(J2000_Bas,$O3055,$M3055,DecLat,DecLong,2)</f>
        <v>2.4299102796951426</v>
      </c>
      <c r="BK3055" s="378" t="s">
        <v>2862</v>
      </c>
      <c r="BL3055" s="379">
        <f>IF((2*G3055)/60&lt;0.2,0.2,(2*G3055)/60)</f>
        <v>0.2</v>
      </c>
      <c r="BM3055" s="380">
        <f>MOD((50000+AD3055-$B$3+(0/24)),1)</f>
        <v>0.50014186114276526</v>
      </c>
      <c r="BN3055" s="381"/>
      <c r="BO3055" s="382">
        <v>3045</v>
      </c>
    </row>
    <row r="3056" spans="1:67" s="24" customFormat="1" ht="15" customHeight="1" x14ac:dyDescent="0.25">
      <c r="A3056" s="288" t="s">
        <v>2863</v>
      </c>
      <c r="B3056" s="241" t="str">
        <f>HYPERLINK(CONCATENATE($AT$3,BK3056,$AU$3),$AV$3)</f>
        <v>S</v>
      </c>
      <c r="C3056" s="242" t="str">
        <f>HYPERLINK(CONCATENATE($AT$4,BK3056,$AU$4,BL3056),$AV$4)</f>
        <v>A</v>
      </c>
      <c r="D3056" s="243" t="s">
        <v>5187</v>
      </c>
      <c r="E3056" s="244" t="s">
        <v>5186</v>
      </c>
      <c r="F3056" s="269"/>
      <c r="G3056" s="273">
        <v>9</v>
      </c>
      <c r="H3056" s="271" t="s">
        <v>6500</v>
      </c>
      <c r="I3056" s="244" t="s">
        <v>6500</v>
      </c>
      <c r="J3056" s="246">
        <v>0</v>
      </c>
      <c r="K3056" s="277" t="s">
        <v>6429</v>
      </c>
      <c r="L3056" s="248">
        <v>70218</v>
      </c>
      <c r="M3056" s="249">
        <f>15*(LEFT(TEXT($L3056,"000000"),2)+(MID(TEXT($L3056,"000000"),3,2)/60)+(RIGHT(TEXT($L3056,"000000"),2)/3600))</f>
        <v>105.575</v>
      </c>
      <c r="N3056" s="286">
        <v>-121300</v>
      </c>
      <c r="O3056" s="251">
        <f>IF($N3056&gt;0,(LEFT(TEXT($N3056,"000000"),2)+(MID(TEXT($N3056,"000000"),3,2)/60)+(RIGHT(TEXT($N3056,"000000"),2)/3600)),-(MID(TEXT($N3056,"000000"),2,2)+(MID(TEXT($N3056,"000000"),4,2)/60)+(RIGHT(TEXT($N3056,"000000"),2)/3600)))</f>
        <v>-12.216666666666667</v>
      </c>
      <c r="P3056" s="252" t="s">
        <v>80</v>
      </c>
      <c r="Q3056" s="253"/>
      <c r="R3056" s="247" t="s">
        <v>3293</v>
      </c>
      <c r="S3056" s="272" t="s">
        <v>6432</v>
      </c>
      <c r="T3056" s="273"/>
      <c r="U3056" s="274"/>
      <c r="V3056" s="280"/>
      <c r="W3056" s="244"/>
      <c r="X3056" s="244"/>
      <c r="Y3056" s="362"/>
      <c r="Z3056" s="257">
        <f>altaz(J2000_Bas,$O3056,$M3056,DecLat,DecLong,1)</f>
        <v>-71.212515175587185</v>
      </c>
      <c r="AA3056" s="257">
        <f>altaz((J2000_Bas+(2*0.04167)),$O3056,$M3056,DecLat,DecLong,1)</f>
        <v>-56.173964113738741</v>
      </c>
      <c r="AB3056" s="257">
        <f>altaz((J2000_Bas+(4*0.04167)),$O3056,$M3056,DecLat,DecLong,1)</f>
        <v>-31.351455732467322</v>
      </c>
      <c r="AC3056" s="257">
        <f>altaz((J2000_Bas+(6*0.04167)),$O3056,$M3056,DecLat,DecLong,1)</f>
        <v>-5.6830796035717412</v>
      </c>
      <c r="AD3056" s="258">
        <f>1+ transit((J2000_Bas-1),$O3056,$M3056,DecLat,DecLong)/360 + (GMTOffset/24) + (IF(DST="Y", 1, 0)/24)</f>
        <v>1.2861638201922081</v>
      </c>
      <c r="AE3056" s="259">
        <f>DATE(2001,9,21)+(M3056/360)*365 - (360*((DecLong/360)- (GMTOffset/24) ))</f>
        <v>37267.041319444441</v>
      </c>
      <c r="AF3056" s="260">
        <f>IF(DecLat&gt;0,IF((90 - (DecLat-O3056))&gt;90, (90 - (O3056-DecLat)), (90 - (DecLat-O3056))),IF((90 + (DecLat-O3056))&gt;90, (90 + (O3056-DecLat)), (90 + (DecLat-O3056))))</f>
        <v>46.783333333333331</v>
      </c>
      <c r="AG3056" s="257">
        <f>angularseperation(MoonRA,MoonDec,$M3056,$O3056)</f>
        <v>127.20419690947573</v>
      </c>
      <c r="AH3056" s="261">
        <f ca="1">MIN(100,IF($O$5&gt;80,0+30*($AG3056/100),IF($O$5&gt;70,0+50*($AG3056/100),IF($O$5&gt;60,5+50*($AG3056/100),IF($O$5&gt;50,10+60*($AG3056/100),IF($O$5&gt;40,15+70*($AG3056/100),IF($O$5&gt;30,20+70*($AG3056/100),IF($O$5&gt;20,40+55*($AG3056/100),(80+(20-$O$5)+30*($AG3056/100))))))))))</f>
        <v>100</v>
      </c>
      <c r="AI3056" s="262"/>
      <c r="AJ3056" s="262"/>
      <c r="AK3056" s="262"/>
      <c r="AL3056" s="263"/>
      <c r="AM3056" s="264"/>
      <c r="AN3056" s="263"/>
      <c r="AO3056" s="263"/>
      <c r="AP3056" s="265"/>
      <c r="AQ3056" s="266"/>
      <c r="AR3056" s="267"/>
      <c r="AS3056" s="263"/>
      <c r="AT3056" s="263"/>
      <c r="AU3056" s="263"/>
      <c r="AV3056" s="264"/>
      <c r="AW3056" s="263"/>
      <c r="AX3056" s="263"/>
      <c r="AY3056" s="263"/>
      <c r="AZ3056" s="263"/>
      <c r="BA3056" s="263"/>
      <c r="BB3056" s="263"/>
      <c r="BC3056" s="263"/>
      <c r="BD3056" s="264">
        <v>89</v>
      </c>
      <c r="BE3056" s="263"/>
      <c r="BF3056" s="263"/>
      <c r="BG3056" s="263"/>
      <c r="BH3056" s="263"/>
      <c r="BI3056" s="263"/>
      <c r="BJ3056" s="404">
        <f>altaz(J2000_Bas,$O3056,$M3056,DecLat,DecLong,2)</f>
        <v>1.29782140067463</v>
      </c>
      <c r="BK3056" s="378" t="s">
        <v>2863</v>
      </c>
      <c r="BL3056" s="379">
        <f>IF((2*G3056)/60&lt;0.2,0.2,(2*G3056)/60)</f>
        <v>0.3</v>
      </c>
      <c r="BM3056" s="380">
        <f>MOD((50000+AD3056-$B$3+(0/24)),1)</f>
        <v>0.50153074989793822</v>
      </c>
      <c r="BN3056" s="381"/>
      <c r="BO3056" s="382">
        <v>3046</v>
      </c>
    </row>
    <row r="3057" spans="1:67" s="24" customFormat="1" ht="15" customHeight="1" x14ac:dyDescent="0.25">
      <c r="A3057" s="288" t="s">
        <v>2864</v>
      </c>
      <c r="B3057" s="241" t="str">
        <f>HYPERLINK(CONCATENATE($AT$3,BK3057,$AU$3),$AV$3)</f>
        <v>S</v>
      </c>
      <c r="C3057" s="242" t="str">
        <f>HYPERLINK(CONCATENATE($AT$4,BK3057,$AU$4,BL3057),$AV$4)</f>
        <v>A</v>
      </c>
      <c r="D3057" s="243" t="s">
        <v>5187</v>
      </c>
      <c r="E3057" s="244" t="s">
        <v>5186</v>
      </c>
      <c r="F3057" s="269"/>
      <c r="G3057" s="273">
        <v>9</v>
      </c>
      <c r="H3057" s="283">
        <v>3780</v>
      </c>
      <c r="I3057" s="244">
        <v>10</v>
      </c>
      <c r="J3057" s="246">
        <v>0</v>
      </c>
      <c r="K3057" s="247" t="s">
        <v>6404</v>
      </c>
      <c r="L3057" s="248">
        <v>70318</v>
      </c>
      <c r="M3057" s="249">
        <f>15*(LEFT(TEXT($L3057,"000000"),2)+(MID(TEXT($L3057,"000000"),3,2)/60)+(RIGHT(TEXT($L3057,"000000"),2)/3600))</f>
        <v>105.82499999999999</v>
      </c>
      <c r="N3057" s="286">
        <v>-104200</v>
      </c>
      <c r="O3057" s="251">
        <f>IF($N3057&gt;0,(LEFT(TEXT($N3057,"000000"),2)+(MID(TEXT($N3057,"000000"),3,2)/60)+(RIGHT(TEXT($N3057,"000000"),2)/3600)),-(MID(TEXT($N3057,"000000"),2,2)+(MID(TEXT($N3057,"000000"),4,2)/60)+(RIGHT(TEXT($N3057,"000000"),2)/3600)))</f>
        <v>-10.7</v>
      </c>
      <c r="P3057" s="252" t="s">
        <v>80</v>
      </c>
      <c r="Q3057" s="253"/>
      <c r="R3057" s="247" t="s">
        <v>3293</v>
      </c>
      <c r="S3057" s="272" t="s">
        <v>6432</v>
      </c>
      <c r="T3057" s="273"/>
      <c r="U3057" s="274"/>
      <c r="V3057" s="280"/>
      <c r="W3057" s="244"/>
      <c r="X3057" s="244"/>
      <c r="Y3057" s="362"/>
      <c r="Z3057" s="257">
        <f>altaz(J2000_Bas,$O3057,$M3057,DecLat,DecLong,1)</f>
        <v>-69.699331568312672</v>
      </c>
      <c r="AA3057" s="257">
        <f>altaz((J2000_Bas+(2*0.04167)),$O3057,$M3057,DecLat,DecLong,1)</f>
        <v>-55.397581021248435</v>
      </c>
      <c r="AB3057" s="257">
        <f>altaz((J2000_Bas+(4*0.04167)),$O3057,$M3057,DecLat,DecLong,1)</f>
        <v>-30.819522721493129</v>
      </c>
      <c r="AC3057" s="257">
        <f>altaz((J2000_Bas+(6*0.04167)),$O3057,$M3057,DecLat,DecLong,1)</f>
        <v>-5.1225220890173713</v>
      </c>
      <c r="AD3057" s="258">
        <f>1+ transit((J2000_Bas-1),$O3057,$M3057,DecLat,DecLong)/360 + (GMTOffset/24) + (IF(DST="Y", 1, 0)/24)</f>
        <v>1.286858264567208</v>
      </c>
      <c r="AE3057" s="259">
        <f>DATE(2001,9,21)+(M3057/360)*365 - (360*((DecLong/360)- (GMTOffset/24) ))</f>
        <v>37267.294791666667</v>
      </c>
      <c r="AF3057" s="260">
        <f>IF(DecLat&gt;0,IF((90 - (DecLat-O3057))&gt;90, (90 - (O3057-DecLat)), (90 - (DecLat-O3057))),IF((90 + (DecLat-O3057))&gt;90, (90 + (O3057-DecLat)), (90 + (DecLat-O3057))))</f>
        <v>48.3</v>
      </c>
      <c r="AG3057" s="257">
        <f>angularseperation(MoonRA,MoonDec,$M3057,$O3057)</f>
        <v>128.16820628638379</v>
      </c>
      <c r="AH3057" s="261">
        <f ca="1">MIN(100,IF($O$5&gt;80,0+30*($AG3057/100),IF($O$5&gt;70,0+50*($AG3057/100),IF($O$5&gt;60,5+50*($AG3057/100),IF($O$5&gt;50,10+60*($AG3057/100),IF($O$5&gt;40,15+70*($AG3057/100),IF($O$5&gt;30,20+70*($AG3057/100),IF($O$5&gt;20,40+55*($AG3057/100),(80+(20-$O$5)+30*($AG3057/100))))))))))</f>
        <v>100</v>
      </c>
      <c r="AI3057" s="262"/>
      <c r="AJ3057" s="262"/>
      <c r="AK3057" s="262"/>
      <c r="AL3057" s="263"/>
      <c r="AM3057" s="264"/>
      <c r="AN3057" s="263"/>
      <c r="AO3057" s="263"/>
      <c r="AP3057" s="265"/>
      <c r="AQ3057" s="266"/>
      <c r="AR3057" s="267"/>
      <c r="AS3057" s="263"/>
      <c r="AT3057" s="263"/>
      <c r="AU3057" s="263"/>
      <c r="AV3057" s="264"/>
      <c r="AW3057" s="263"/>
      <c r="AX3057" s="263"/>
      <c r="AY3057" s="263"/>
      <c r="AZ3057" s="263"/>
      <c r="BA3057" s="263"/>
      <c r="BB3057" s="263"/>
      <c r="BC3057" s="263"/>
      <c r="BD3057" s="264">
        <v>91</v>
      </c>
      <c r="BE3057" s="263"/>
      <c r="BF3057" s="263"/>
      <c r="BG3057" s="263"/>
      <c r="BH3057" s="263"/>
      <c r="BI3057" s="263"/>
      <c r="BJ3057" s="404">
        <f>altaz(J2000_Bas,$O3057,$M3057,DecLat,DecLong,2)</f>
        <v>0.50307595438472075</v>
      </c>
      <c r="BK3057" s="378" t="s">
        <v>2864</v>
      </c>
      <c r="BL3057" s="379">
        <f>IF((2*G3057)/60&lt;0.2,0.2,(2*G3057)/60)</f>
        <v>0.3</v>
      </c>
      <c r="BM3057" s="380">
        <f>MOD((50000+AD3057-$B$3+(0/24)),1)</f>
        <v>0.50222519427188672</v>
      </c>
      <c r="BN3057" s="381"/>
      <c r="BO3057" s="382">
        <v>3047</v>
      </c>
    </row>
    <row r="3058" spans="1:67" s="24" customFormat="1" ht="15" customHeight="1" x14ac:dyDescent="0.25">
      <c r="A3058" s="288" t="s">
        <v>2865</v>
      </c>
      <c r="B3058" s="241" t="str">
        <f>HYPERLINK(CONCATENATE($AT$3,BK3058,$AU$3),$AV$3)</f>
        <v>S</v>
      </c>
      <c r="C3058" s="242" t="str">
        <f>HYPERLINK(CONCATENATE($AT$4,BK3058,$AU$4,BL3058),$AV$4)</f>
        <v>A</v>
      </c>
      <c r="D3058" s="243" t="s">
        <v>5187</v>
      </c>
      <c r="E3058" s="244" t="s">
        <v>5186</v>
      </c>
      <c r="F3058" s="269"/>
      <c r="G3058" s="273">
        <v>4</v>
      </c>
      <c r="H3058" s="283">
        <v>3720</v>
      </c>
      <c r="I3058" s="279">
        <v>4</v>
      </c>
      <c r="J3058" s="246">
        <v>1</v>
      </c>
      <c r="K3058" s="247" t="s">
        <v>9474</v>
      </c>
      <c r="L3058" s="248">
        <v>70356</v>
      </c>
      <c r="M3058" s="249">
        <f>15*(LEFT(TEXT($L3058,"000000"),2)+(MID(TEXT($L3058,"000000"),3,2)/60)+(RIGHT(TEXT($L3058,"000000"),2)/3600))</f>
        <v>105.98333333333332</v>
      </c>
      <c r="N3058" s="250">
        <v>-113421</v>
      </c>
      <c r="O3058" s="251">
        <f>IF($N3058&gt;0,(LEFT(TEXT($N3058,"000000"),2)+(MID(TEXT($N3058,"000000"),3,2)/60)+(RIGHT(TEXT($N3058,"000000"),2)/3600)),-(MID(TEXT($N3058,"000000"),2,2)+(MID(TEXT($N3058,"000000"),4,2)/60)+(RIGHT(TEXT($N3058,"000000"),2)/3600)))</f>
        <v>-11.5725</v>
      </c>
      <c r="P3058" s="252" t="s">
        <v>80</v>
      </c>
      <c r="Q3058" s="253"/>
      <c r="R3058" s="247" t="s">
        <v>3293</v>
      </c>
      <c r="S3058" s="272" t="s">
        <v>6432</v>
      </c>
      <c r="T3058" s="273"/>
      <c r="U3058" s="274"/>
      <c r="V3058" s="280"/>
      <c r="W3058" s="244"/>
      <c r="X3058" s="244"/>
      <c r="Y3058" s="362"/>
      <c r="Z3058" s="257">
        <f>altaz(J2000_Bas,$O3058,$M3058,DecLat,DecLong,1)</f>
        <v>-70.572491798732941</v>
      </c>
      <c r="AA3058" s="257">
        <f>altaz((J2000_Bas+(2*0.04167)),$O3058,$M3058,DecLat,DecLong,1)</f>
        <v>-56.07787337532416</v>
      </c>
      <c r="AB3058" s="257">
        <f>altaz((J2000_Bas+(4*0.04167)),$O3058,$M3058,DecLat,DecLong,1)</f>
        <v>-31.385831182192419</v>
      </c>
      <c r="AC3058" s="257">
        <f>altaz((J2000_Bas+(6*0.04167)),$O3058,$M3058,DecLat,DecLong,1)</f>
        <v>-5.7000473169711929</v>
      </c>
      <c r="AD3058" s="258">
        <f>1+ transit((J2000_Bas-1),$O3058,$M3058,DecLat,DecLong)/360 + (GMTOffset/24) + (IF(DST="Y", 1, 0)/24)</f>
        <v>1.2872980793380413</v>
      </c>
      <c r="AE3058" s="259">
        <f>DATE(2001,9,21)+(M3058/360)*365 - (360*((DecLong/360)- (GMTOffset/24) ))</f>
        <v>37267.455324074072</v>
      </c>
      <c r="AF3058" s="260">
        <f>IF(DecLat&gt;0,IF((90 - (DecLat-O3058))&gt;90, (90 - (O3058-DecLat)), (90 - (DecLat-O3058))),IF((90 + (DecLat-O3058))&gt;90, (90 + (O3058-DecLat)), (90 + (DecLat-O3058))))</f>
        <v>47.427500000000002</v>
      </c>
      <c r="AG3058" s="257">
        <f>angularseperation(MoonRA,MoonDec,$M3058,$O3058)</f>
        <v>127.41815998444332</v>
      </c>
      <c r="AH3058" s="261">
        <f ca="1">MIN(100,IF($O$5&gt;80,0+30*($AG3058/100),IF($O$5&gt;70,0+50*($AG3058/100),IF($O$5&gt;60,5+50*($AG3058/100),IF($O$5&gt;50,10+60*($AG3058/100),IF($O$5&gt;40,15+70*($AG3058/100),IF($O$5&gt;30,20+70*($AG3058/100),IF($O$5&gt;20,40+55*($AG3058/100),(80+(20-$O$5)+30*($AG3058/100))))))))))</f>
        <v>100</v>
      </c>
      <c r="AI3058" s="262"/>
      <c r="AJ3058" s="262"/>
      <c r="AK3058" s="262"/>
      <c r="AL3058" s="263"/>
      <c r="AM3058" s="264"/>
      <c r="AN3058" s="263"/>
      <c r="AO3058" s="263"/>
      <c r="AP3058" s="265"/>
      <c r="AQ3058" s="266"/>
      <c r="AR3058" s="267"/>
      <c r="AS3058" s="263"/>
      <c r="AT3058" s="263"/>
      <c r="AU3058" s="263"/>
      <c r="AV3058" s="264"/>
      <c r="AW3058" s="263"/>
      <c r="AX3058" s="263"/>
      <c r="AY3058" s="263"/>
      <c r="AZ3058" s="263"/>
      <c r="BA3058" s="263"/>
      <c r="BB3058" s="263"/>
      <c r="BC3058" s="263"/>
      <c r="BD3058" s="264">
        <v>92</v>
      </c>
      <c r="BE3058" s="263"/>
      <c r="BF3058" s="263"/>
      <c r="BG3058" s="263"/>
      <c r="BH3058" s="263"/>
      <c r="BI3058" s="263"/>
      <c r="BJ3058" s="404">
        <f>altaz(J2000_Bas,$O3058,$M3058,DecLat,DecLong,2)</f>
        <v>5.6826912183060269E-2</v>
      </c>
      <c r="BK3058" s="378" t="s">
        <v>2865</v>
      </c>
      <c r="BL3058" s="379">
        <f>IF((2*G3058)/60&lt;0.2,0.2,(2*G3058)/60)</f>
        <v>0.2</v>
      </c>
      <c r="BM3058" s="380">
        <f>MOD((50000+AD3058-$B$3+(0/24)),1)</f>
        <v>0.50266500904399436</v>
      </c>
      <c r="BN3058" s="381"/>
      <c r="BO3058" s="382">
        <v>3048</v>
      </c>
    </row>
    <row r="3059" spans="1:67" s="24" customFormat="1" ht="15" customHeight="1" x14ac:dyDescent="0.25">
      <c r="A3059" s="288" t="s">
        <v>2866</v>
      </c>
      <c r="B3059" s="241" t="str">
        <f>HYPERLINK(CONCATENATE($AT$3,BK3059,$AU$3),$AV$3)</f>
        <v>S</v>
      </c>
      <c r="C3059" s="242" t="str">
        <f>HYPERLINK(CONCATENATE($AT$4,BK3059,$AU$4,BL3059),$AV$4)</f>
        <v>A</v>
      </c>
      <c r="D3059" s="243" t="s">
        <v>5187</v>
      </c>
      <c r="E3059" s="244" t="s">
        <v>5186</v>
      </c>
      <c r="F3059" s="269"/>
      <c r="G3059" s="273">
        <v>6</v>
      </c>
      <c r="H3059" s="283">
        <v>2920</v>
      </c>
      <c r="I3059" s="279">
        <v>5</v>
      </c>
      <c r="J3059" s="246">
        <v>2</v>
      </c>
      <c r="K3059" s="247" t="s">
        <v>6430</v>
      </c>
      <c r="L3059" s="248">
        <v>70641</v>
      </c>
      <c r="M3059" s="249">
        <f>15*(LEFT(TEXT($L3059,"000000"),2)+(MID(TEXT($L3059,"000000"),3,2)/60)+(RIGHT(TEXT($L3059,"000000"),2)/3600))</f>
        <v>106.67083333333333</v>
      </c>
      <c r="N3059" s="250">
        <v>-111712</v>
      </c>
      <c r="O3059" s="251">
        <f>IF($N3059&gt;0,(LEFT(TEXT($N3059,"000000"),2)+(MID(TEXT($N3059,"000000"),3,2)/60)+(RIGHT(TEXT($N3059,"000000"),2)/3600)),-(MID(TEXT($N3059,"000000"),2,2)+(MID(TEXT($N3059,"000000"),4,2)/60)+(RIGHT(TEXT($N3059,"000000"),2)/3600)))</f>
        <v>-11.286666666666667</v>
      </c>
      <c r="P3059" s="252" t="s">
        <v>80</v>
      </c>
      <c r="Q3059" s="253"/>
      <c r="R3059" s="247" t="s">
        <v>3293</v>
      </c>
      <c r="S3059" s="272" t="s">
        <v>6432</v>
      </c>
      <c r="T3059" s="273"/>
      <c r="U3059" s="274"/>
      <c r="V3059" s="280"/>
      <c r="W3059" s="244"/>
      <c r="X3059" s="244"/>
      <c r="Y3059" s="362"/>
      <c r="Z3059" s="257">
        <f>altaz(J2000_Bas,$O3059,$M3059,DecLat,DecLong,1)</f>
        <v>-70.276959100357431</v>
      </c>
      <c r="AA3059" s="257">
        <f>altaz((J2000_Bas+(2*0.04167)),$O3059,$M3059,DecLat,DecLong,1)</f>
        <v>-56.410020671622924</v>
      </c>
      <c r="AB3059" s="257">
        <f>altaz((J2000_Bas+(4*0.04167)),$O3059,$M3059,DecLat,DecLong,1)</f>
        <v>-31.831479374287905</v>
      </c>
      <c r="AC3059" s="257">
        <f>altaz((J2000_Bas+(6*0.04167)),$O3059,$M3059,DecLat,DecLong,1)</f>
        <v>-6.1357452312892233</v>
      </c>
      <c r="AD3059" s="258">
        <f>1+ transit((J2000_Bas-1),$O3059,$M3059,DecLat,DecLong)/360 + (GMTOffset/24) + (IF(DST="Y", 1, 0)/24)</f>
        <v>1.2892078013692914</v>
      </c>
      <c r="AE3059" s="259">
        <f>DATE(2001,9,21)+(M3059/360)*365 - (360*((DecLong/360)- (GMTOffset/24) ))</f>
        <v>37268.152372685188</v>
      </c>
      <c r="AF3059" s="260">
        <f>IF(DecLat&gt;0,IF((90 - (DecLat-O3059))&gt;90, (90 - (O3059-DecLat)), (90 - (DecLat-O3059))),IF((90 + (DecLat-O3059))&gt;90, (90 + (O3059-DecLat)), (90 + (DecLat-O3059))))</f>
        <v>47.713333333333331</v>
      </c>
      <c r="AG3059" s="257">
        <f>angularseperation(MoonRA,MoonDec,$M3059,$O3059)</f>
        <v>127.17430297817401</v>
      </c>
      <c r="AH3059" s="261">
        <f ca="1">MIN(100,IF($O$5&gt;80,0+30*($AG3059/100),IF($O$5&gt;70,0+50*($AG3059/100),IF($O$5&gt;60,5+50*($AG3059/100),IF($O$5&gt;50,10+60*($AG3059/100),IF($O$5&gt;40,15+70*($AG3059/100),IF($O$5&gt;30,20+70*($AG3059/100),IF($O$5&gt;20,40+55*($AG3059/100),(80+(20-$O$5)+30*($AG3059/100))))))))))</f>
        <v>100</v>
      </c>
      <c r="AI3059" s="262"/>
      <c r="AJ3059" s="262"/>
      <c r="AK3059" s="262"/>
      <c r="AL3059" s="263"/>
      <c r="AM3059" s="264"/>
      <c r="AN3059" s="263"/>
      <c r="AO3059" s="263"/>
      <c r="AP3059" s="265"/>
      <c r="AQ3059" s="266"/>
      <c r="AR3059" s="267"/>
      <c r="AS3059" s="263"/>
      <c r="AT3059" s="263"/>
      <c r="AU3059" s="263"/>
      <c r="AV3059" s="264"/>
      <c r="AW3059" s="263"/>
      <c r="AX3059" s="263"/>
      <c r="AY3059" s="263"/>
      <c r="AZ3059" s="263"/>
      <c r="BA3059" s="263"/>
      <c r="BB3059" s="263"/>
      <c r="BC3059" s="263"/>
      <c r="BD3059" s="264">
        <v>95</v>
      </c>
      <c r="BE3059" s="263"/>
      <c r="BF3059" s="263"/>
      <c r="BG3059" s="263"/>
      <c r="BH3059" s="263"/>
      <c r="BI3059" s="263"/>
      <c r="BJ3059" s="404">
        <f>altaz(J2000_Bas,$O3059,$M3059,DecLat,DecLong,2)</f>
        <v>358.05794113782861</v>
      </c>
      <c r="BK3059" s="378" t="s">
        <v>2866</v>
      </c>
      <c r="BL3059" s="379">
        <f>IF((2*G3059)/60&lt;0.2,0.2,(2*G3059)/60)</f>
        <v>0.2</v>
      </c>
      <c r="BM3059" s="380">
        <f>MOD((50000+AD3059-$B$3+(0/24)),1)</f>
        <v>0.50457473107235273</v>
      </c>
      <c r="BN3059" s="381"/>
      <c r="BO3059" s="382">
        <v>3049</v>
      </c>
    </row>
    <row r="3060" spans="1:67" s="24" customFormat="1" ht="15" customHeight="1" x14ac:dyDescent="0.25">
      <c r="A3060" s="288" t="s">
        <v>2867</v>
      </c>
      <c r="B3060" s="241" t="str">
        <f>HYPERLINK(CONCATENATE($AT$3,BK3060,$AU$3),$AV$3)</f>
        <v>S</v>
      </c>
      <c r="C3060" s="242" t="str">
        <f>HYPERLINK(CONCATENATE($AT$4,BK3060,$AU$4,BL3060),$AV$4)</f>
        <v>A</v>
      </c>
      <c r="D3060" s="243" t="s">
        <v>5187</v>
      </c>
      <c r="E3060" s="244" t="s">
        <v>5186</v>
      </c>
      <c r="F3060" s="269"/>
      <c r="G3060" s="273">
        <v>6</v>
      </c>
      <c r="H3060" s="283">
        <v>4210</v>
      </c>
      <c r="I3060" s="279">
        <v>7</v>
      </c>
      <c r="J3060" s="246">
        <v>2</v>
      </c>
      <c r="K3060" s="247" t="s">
        <v>9475</v>
      </c>
      <c r="L3060" s="248">
        <v>71937</v>
      </c>
      <c r="M3060" s="249">
        <f>15*(LEFT(TEXT($L3060,"000000"),2)+(MID(TEXT($L3060,"000000"),3,2)/60)+(RIGHT(TEXT($L3060,"000000"),2)/3600))</f>
        <v>109.90416666666665</v>
      </c>
      <c r="N3060" s="250">
        <v>-240216</v>
      </c>
      <c r="O3060" s="251">
        <f>IF($N3060&gt;0,(LEFT(TEXT($N3060,"000000"),2)+(MID(TEXT($N3060,"000000"),3,2)/60)+(RIGHT(TEXT($N3060,"000000"),2)/3600)),-(MID(TEXT($N3060,"000000"),2,2)+(MID(TEXT($N3060,"000000"),4,2)/60)+(RIGHT(TEXT($N3060,"000000"),2)/3600)))</f>
        <v>-24.03777777777778</v>
      </c>
      <c r="P3060" s="252" t="s">
        <v>80</v>
      </c>
      <c r="Q3060" s="253"/>
      <c r="R3060" s="247" t="s">
        <v>3293</v>
      </c>
      <c r="S3060" s="272" t="s">
        <v>3293</v>
      </c>
      <c r="T3060" s="273"/>
      <c r="U3060" s="274"/>
      <c r="V3060" s="280"/>
      <c r="W3060" s="244"/>
      <c r="X3060" s="244"/>
      <c r="Y3060" s="362"/>
      <c r="Z3060" s="257">
        <f>altaz(J2000_Bas,$O3060,$M3060,DecLat,DecLong,1)</f>
        <v>-82.227150432413566</v>
      </c>
      <c r="AA3060" s="257">
        <f>altaz((J2000_Bas+(2*0.04167)),$O3060,$M3060,DecLat,DecLong,1)</f>
        <v>-65.825074467216197</v>
      </c>
      <c r="AB3060" s="257">
        <f>altaz((J2000_Bas+(4*0.04167)),$O3060,$M3060,DecLat,DecLong,1)</f>
        <v>-40.129202335935467</v>
      </c>
      <c r="AC3060" s="257">
        <f>altaz((J2000_Bas+(6*0.04167)),$O3060,$M3060,DecLat,DecLong,1)</f>
        <v>-15.046488002852954</v>
      </c>
      <c r="AD3060" s="258">
        <f>1+ transit((J2000_Bas-1),$O3060,$M3060,DecLat,DecLong)/360 + (GMTOffset/24) + (IF(DST="Y", 1, 0)/24)</f>
        <v>1.2981892819526246</v>
      </c>
      <c r="AE3060" s="259">
        <f>DATE(2001,9,21)+(M3060/360)*365 - (360*((DecLong/360)- (GMTOffset/24) ))</f>
        <v>37271.430613425924</v>
      </c>
      <c r="AF3060" s="260">
        <f>IF(DecLat&gt;0,IF((90 - (DecLat-O3060))&gt;90, (90 - (O3060-DecLat)), (90 - (DecLat-O3060))),IF((90 + (DecLat-O3060))&gt;90, (90 + (O3060-DecLat)), (90 + (DecLat-O3060))))</f>
        <v>34.962222222222223</v>
      </c>
      <c r="AG3060" s="257">
        <f>angularseperation(MoonRA,MoonDec,$M3060,$O3060)</f>
        <v>115.55312276857282</v>
      </c>
      <c r="AH3060" s="261">
        <f ca="1">MIN(100,IF($O$5&gt;80,0+30*($AG3060/100),IF($O$5&gt;70,0+50*($AG3060/100),IF($O$5&gt;60,5+50*($AG3060/100),IF($O$5&gt;50,10+60*($AG3060/100),IF($O$5&gt;40,15+70*($AG3060/100),IF($O$5&gt;30,20+70*($AG3060/100),IF($O$5&gt;20,40+55*($AG3060/100),(80+(20-$O$5)+30*($AG3060/100))))))))))</f>
        <v>100</v>
      </c>
      <c r="AI3060" s="262"/>
      <c r="AJ3060" s="262"/>
      <c r="AK3060" s="262"/>
      <c r="AL3060" s="263"/>
      <c r="AM3060" s="264"/>
      <c r="AN3060" s="263"/>
      <c r="AO3060" s="263"/>
      <c r="AP3060" s="265"/>
      <c r="AQ3060" s="266"/>
      <c r="AR3060" s="267"/>
      <c r="AS3060" s="263"/>
      <c r="AT3060" s="263"/>
      <c r="AU3060" s="263"/>
      <c r="AV3060" s="264"/>
      <c r="AW3060" s="263"/>
      <c r="AX3060" s="263"/>
      <c r="AY3060" s="263"/>
      <c r="AZ3060" s="263">
        <v>1660</v>
      </c>
      <c r="BA3060" s="263"/>
      <c r="BB3060" s="263"/>
      <c r="BC3060" s="263"/>
      <c r="BD3060" s="264">
        <v>96</v>
      </c>
      <c r="BE3060" s="263"/>
      <c r="BF3060" s="263"/>
      <c r="BG3060" s="263"/>
      <c r="BH3060" s="263"/>
      <c r="BI3060" s="263"/>
      <c r="BJ3060" s="404">
        <f>altaz(J2000_Bas,$O3060,$M3060,DecLat,DecLong,2)</f>
        <v>332.64719373799045</v>
      </c>
      <c r="BK3060" s="378" t="s">
        <v>2867</v>
      </c>
      <c r="BL3060" s="379">
        <f>IF((2*G3060)/60&lt;0.2,0.2,(2*G3060)/60)</f>
        <v>0.2</v>
      </c>
      <c r="BM3060" s="380">
        <f>MOD((50000+AD3060-$B$3+(0/24)),1)</f>
        <v>0.51355621165566845</v>
      </c>
      <c r="BN3060" s="381"/>
      <c r="BO3060" s="382">
        <v>3050</v>
      </c>
    </row>
    <row r="3061" spans="1:67" s="24" customFormat="1" ht="15" customHeight="1" x14ac:dyDescent="0.25">
      <c r="A3061" s="288" t="s">
        <v>2868</v>
      </c>
      <c r="B3061" s="241" t="str">
        <f>HYPERLINK(CONCATENATE($AT$3,BK3061,$AU$3),$AV$3)</f>
        <v>S</v>
      </c>
      <c r="C3061" s="242" t="str">
        <f>HYPERLINK(CONCATENATE($AT$4,BK3061,$AU$4,BL3061),$AV$4)</f>
        <v>A</v>
      </c>
      <c r="D3061" s="243" t="s">
        <v>5187</v>
      </c>
      <c r="E3061" s="244" t="s">
        <v>5186</v>
      </c>
      <c r="F3061" s="269"/>
      <c r="G3061" s="276">
        <v>11</v>
      </c>
      <c r="H3061" s="283">
        <v>2560</v>
      </c>
      <c r="I3061" s="279">
        <v>9</v>
      </c>
      <c r="J3061" s="246">
        <v>2</v>
      </c>
      <c r="K3061" s="247" t="s">
        <v>9477</v>
      </c>
      <c r="L3061" s="248">
        <v>73600</v>
      </c>
      <c r="M3061" s="249">
        <f>15*(LEFT(TEXT($L3061,"000000"),2)+(MID(TEXT($L3061,"000000"),3,2)/60)+(RIGHT(TEXT($L3061,"000000"),2)/3600))</f>
        <v>114</v>
      </c>
      <c r="N3061" s="286">
        <v>-251800</v>
      </c>
      <c r="O3061" s="251">
        <f>IF($N3061&gt;0,(LEFT(TEXT($N3061,"000000"),2)+(MID(TEXT($N3061,"000000"),3,2)/60)+(RIGHT(TEXT($N3061,"000000"),2)/3600)),-(MID(TEXT($N3061,"000000"),2,2)+(MID(TEXT($N3061,"000000"),4,2)/60)+(RIGHT(TEXT($N3061,"000000"),2)/3600)))</f>
        <v>-25.3</v>
      </c>
      <c r="P3061" s="252" t="s">
        <v>80</v>
      </c>
      <c r="Q3061" s="253"/>
      <c r="R3061" s="277" t="s">
        <v>3293</v>
      </c>
      <c r="S3061" s="272" t="s">
        <v>3293</v>
      </c>
      <c r="T3061" s="273"/>
      <c r="U3061" s="274"/>
      <c r="V3061" s="280"/>
      <c r="W3061" s="244"/>
      <c r="X3061" s="244"/>
      <c r="Y3061" s="362"/>
      <c r="Z3061" s="257">
        <f>altaz(J2000_Bas,$O3061,$M3061,DecLat,DecLong,1)</f>
        <v>-80.938098215384585</v>
      </c>
      <c r="AA3061" s="257">
        <f>altaz((J2000_Bas+(2*0.04167)),$O3061,$M3061,DecLat,DecLong,1)</f>
        <v>-69.748818278208105</v>
      </c>
      <c r="AB3061" s="257">
        <f>altaz((J2000_Bas+(4*0.04167)),$O3061,$M3061,DecLat,DecLong,1)</f>
        <v>-44.057515955829849</v>
      </c>
      <c r="AC3061" s="257">
        <f>altaz((J2000_Bas+(6*0.04167)),$O3061,$M3061,DecLat,DecLong,1)</f>
        <v>-18.936764793252891</v>
      </c>
      <c r="AD3061" s="258">
        <f>1+ transit((J2000_Bas-1),$O3061,$M3061,DecLat,DecLong)/360 + (GMTOffset/24) + (IF(DST="Y", 1, 0)/24)</f>
        <v>1.309566595629708</v>
      </c>
      <c r="AE3061" s="259">
        <f>DATE(2001,9,21)+(M3061/360)*365 - (360*((DecLong/360)- (GMTOffset/24) ))</f>
        <v>37275.583333333336</v>
      </c>
      <c r="AF3061" s="260">
        <f>IF(DecLat&gt;0,IF((90 - (DecLat-O3061))&gt;90, (90 - (O3061-DecLat)), (90 - (DecLat-O3061))),IF((90 + (DecLat-O3061))&gt;90, (90 + (O3061-DecLat)), (90 + (DecLat-O3061))))</f>
        <v>33.700000000000003</v>
      </c>
      <c r="AG3061" s="257">
        <f>angularseperation(MoonRA,MoonDec,$M3061,$O3061)</f>
        <v>112.14808240257452</v>
      </c>
      <c r="AH3061" s="261">
        <f ca="1">MIN(100,IF($O$5&gt;80,0+30*($AG3061/100),IF($O$5&gt;70,0+50*($AG3061/100),IF($O$5&gt;60,5+50*($AG3061/100),IF($O$5&gt;50,10+60*($AG3061/100),IF($O$5&gt;40,15+70*($AG3061/100),IF($O$5&gt;30,20+70*($AG3061/100),IF($O$5&gt;20,40+55*($AG3061/100),(80+(20-$O$5)+30*($AG3061/100))))))))))</f>
        <v>100</v>
      </c>
      <c r="AI3061" s="263"/>
      <c r="AJ3061" s="263"/>
      <c r="AK3061" s="263"/>
      <c r="AL3061" s="263"/>
      <c r="AM3061" s="264"/>
      <c r="AN3061" s="263"/>
      <c r="AO3061" s="263"/>
      <c r="AP3061" s="265"/>
      <c r="AQ3061" s="265"/>
      <c r="AR3061" s="285"/>
      <c r="AS3061" s="263"/>
      <c r="AT3061" s="263"/>
      <c r="AU3061" s="263"/>
      <c r="AV3061" s="264"/>
      <c r="AW3061" s="263"/>
      <c r="AX3061" s="263"/>
      <c r="AY3061" s="263"/>
      <c r="AZ3061" s="263"/>
      <c r="BA3061" s="263"/>
      <c r="BB3061" s="263"/>
      <c r="BC3061" s="263"/>
      <c r="BD3061" s="264">
        <v>98</v>
      </c>
      <c r="BE3061" s="263"/>
      <c r="BF3061" s="263"/>
      <c r="BG3061" s="263"/>
      <c r="BH3061" s="263"/>
      <c r="BI3061" s="263"/>
      <c r="BJ3061" s="404">
        <f>altaz(J2000_Bas,$O3061,$M3061,DecLat,DecLong,2)</f>
        <v>307.00201687755532</v>
      </c>
      <c r="BK3061" s="378" t="s">
        <v>2868</v>
      </c>
      <c r="BL3061" s="379">
        <f>IF((2*G3061)/60&lt;0.2,0.2,(2*G3061)/60)</f>
        <v>0.36666666666666664</v>
      </c>
      <c r="BM3061" s="380">
        <f>MOD((50000+AD3061-$B$3+(0/24)),1)</f>
        <v>0.52493352533201687</v>
      </c>
      <c r="BN3061" s="381"/>
      <c r="BO3061" s="382">
        <v>3051</v>
      </c>
    </row>
    <row r="3062" spans="1:67" s="24" customFormat="1" ht="15" customHeight="1" x14ac:dyDescent="0.25">
      <c r="A3062" s="288" t="s">
        <v>2869</v>
      </c>
      <c r="B3062" s="241" t="str">
        <f>HYPERLINK(CONCATENATE($AT$3,BK3062,$AU$3),$AV$3)</f>
        <v>S</v>
      </c>
      <c r="C3062" s="242" t="str">
        <f>HYPERLINK(CONCATENATE($AT$4,BK3062,$AU$4,BL3062),$AV$4)</f>
        <v>A</v>
      </c>
      <c r="D3062" s="243" t="s">
        <v>5187</v>
      </c>
      <c r="E3062" s="244" t="s">
        <v>5186</v>
      </c>
      <c r="F3062" s="269"/>
      <c r="G3062" s="276">
        <v>20</v>
      </c>
      <c r="H3062" s="283">
        <v>580</v>
      </c>
      <c r="I3062" s="279">
        <v>3.3</v>
      </c>
      <c r="J3062" s="246">
        <v>3</v>
      </c>
      <c r="K3062" s="247" t="s">
        <v>9478</v>
      </c>
      <c r="L3062" s="248">
        <v>155852</v>
      </c>
      <c r="M3062" s="249">
        <f>15*(LEFT(TEXT($L3062,"000000"),2)+(MID(TEXT($L3062,"000000"),3,2)/60)+(RIGHT(TEXT($L3062,"000000"),2)/3600))</f>
        <v>239.71666666666667</v>
      </c>
      <c r="N3062" s="250">
        <v>-260657</v>
      </c>
      <c r="O3062" s="251">
        <f>IF($N3062&gt;0,(LEFT(TEXT($N3062,"000000"),2)+(MID(TEXT($N3062,"000000"),3,2)/60)+(RIGHT(TEXT($N3062,"000000"),2)/3600)),-(MID(TEXT($N3062,"000000"),2,2)+(MID(TEXT($N3062,"000000"),4,2)/60)+(RIGHT(TEXT($N3062,"000000"),2)/3600)))</f>
        <v>-26.115833333333335</v>
      </c>
      <c r="P3062" s="252" t="s">
        <v>109</v>
      </c>
      <c r="Q3062" s="253"/>
      <c r="R3062" s="277" t="s">
        <v>3293</v>
      </c>
      <c r="S3062" s="272" t="s">
        <v>6434</v>
      </c>
      <c r="T3062" s="273"/>
      <c r="U3062" s="274"/>
      <c r="V3062" s="280"/>
      <c r="W3062" s="244"/>
      <c r="X3062" s="244"/>
      <c r="Y3062" s="362"/>
      <c r="Z3062" s="257">
        <f>altaz(J2000_Bas,$O3062,$M3062,DecLat,DecLong,1)</f>
        <v>17.768069561882669</v>
      </c>
      <c r="AA3062" s="257">
        <f>altaz((J2000_Bas+(2*0.04167)),$O3062,$M3062,DecLat,DecLong,1)</f>
        <v>-2.5992373712848229</v>
      </c>
      <c r="AB3062" s="257">
        <f>altaz((J2000_Bas+(4*0.04167)),$O3062,$M3062,DecLat,DecLong,1)</f>
        <v>-26.40595017229473</v>
      </c>
      <c r="AC3062" s="257">
        <f>altaz((J2000_Bas+(6*0.04167)),$O3062,$M3062,DecLat,DecLong,1)</f>
        <v>-51.754695112809948</v>
      </c>
      <c r="AD3062" s="258">
        <f>1+ transit((J2000_Bas-1),$O3062,$M3062,DecLat,DecLong)/360 + (GMTOffset/24) + (IF(DST="Y", 1, 0)/24)</f>
        <v>1.6587795236713747</v>
      </c>
      <c r="AE3062" s="259">
        <f>DATE(2001,9,21)+(M3062/360)*365 - (360*((DecLong/360)- (GMTOffset/24) ))</f>
        <v>37403.046064814815</v>
      </c>
      <c r="AF3062" s="260">
        <f>IF(DecLat&gt;0,IF((90 - (DecLat-O3062))&gt;90, (90 - (O3062-DecLat)), (90 - (DecLat-O3062))),IF((90 + (DecLat-O3062))&gt;90, (90 + (O3062-DecLat)), (90 + (DecLat-O3062))))</f>
        <v>32.884166666666665</v>
      </c>
      <c r="AG3062" s="257">
        <f>angularseperation(MoonRA,MoonDec,$M3062,$O3062)</f>
        <v>8.5697684513160617</v>
      </c>
      <c r="AH3062" s="261">
        <f ca="1">MIN(100,IF($O$5&gt;80,0+30*($AG3062/100),IF($O$5&gt;70,0+50*($AG3062/100),IF($O$5&gt;60,5+50*($AG3062/100),IF($O$5&gt;50,10+60*($AG3062/100),IF($O$5&gt;40,15+70*($AG3062/100),IF($O$5&gt;30,20+70*($AG3062/100),IF($O$5&gt;20,40+55*($AG3062/100),(80+(20-$O$5)+30*($AG3062/100))))))))))</f>
        <v>85.84199087954525</v>
      </c>
      <c r="AI3062" s="263"/>
      <c r="AJ3062" s="263"/>
      <c r="AK3062" s="263"/>
      <c r="AL3062" s="263"/>
      <c r="AM3062" s="264"/>
      <c r="AN3062" s="263"/>
      <c r="AO3062" s="263"/>
      <c r="AP3062" s="265"/>
      <c r="AQ3062" s="265"/>
      <c r="AR3062" s="285"/>
      <c r="AS3062" s="263"/>
      <c r="AT3062" s="263"/>
      <c r="AU3062" s="263"/>
      <c r="AV3062" s="264"/>
      <c r="AW3062" s="263"/>
      <c r="AX3062" s="263"/>
      <c r="AY3062" s="263"/>
      <c r="AZ3062" s="263"/>
      <c r="BA3062" s="263"/>
      <c r="BB3062" s="263">
        <v>1</v>
      </c>
      <c r="BC3062" s="263"/>
      <c r="BD3062" s="264">
        <v>99</v>
      </c>
      <c r="BE3062" s="263"/>
      <c r="BF3062" s="263"/>
      <c r="BG3062" s="263"/>
      <c r="BH3062" s="263"/>
      <c r="BI3062" s="263"/>
      <c r="BJ3062" s="404">
        <f>altaz(J2000_Bas,$O3062,$M3062,DecLat,DecLong,2)</f>
        <v>222.9619813750769</v>
      </c>
      <c r="BK3062" s="378" t="s">
        <v>2869</v>
      </c>
      <c r="BL3062" s="379">
        <f>IF((2*G3062)/60&lt;0.2,0.2,(2*G3062)/60)</f>
        <v>0.66666666666666663</v>
      </c>
      <c r="BM3062" s="380">
        <f>MOD((50000+AD3062-$B$3+(0/24)),1)</f>
        <v>0.87414645337412367</v>
      </c>
      <c r="BN3062" s="381"/>
      <c r="BO3062" s="382">
        <v>3052</v>
      </c>
    </row>
    <row r="3063" spans="1:67" s="24" customFormat="1" ht="15" customHeight="1" x14ac:dyDescent="0.25">
      <c r="A3063" s="288" t="s">
        <v>2870</v>
      </c>
      <c r="B3063" s="241" t="str">
        <f>HYPERLINK(CONCATENATE($AT$3,BK3063,$AU$3),$AV$3)</f>
        <v>S</v>
      </c>
      <c r="C3063" s="242" t="str">
        <f>HYPERLINK(CONCATENATE($AT$4,BK3063,$AU$4,BL3063),$AV$4)</f>
        <v>A</v>
      </c>
      <c r="D3063" s="243" t="s">
        <v>5187</v>
      </c>
      <c r="E3063" s="244" t="s">
        <v>5186</v>
      </c>
      <c r="F3063" s="269"/>
      <c r="G3063" s="276">
        <v>11</v>
      </c>
      <c r="H3063" s="283">
        <v>1220</v>
      </c>
      <c r="I3063" s="279">
        <v>4</v>
      </c>
      <c r="J3063" s="246">
        <v>3</v>
      </c>
      <c r="K3063" s="247" t="s">
        <v>8608</v>
      </c>
      <c r="L3063" s="248">
        <v>161159</v>
      </c>
      <c r="M3063" s="249">
        <f>15*(LEFT(TEXT($L3063,"000000"),2)+(MID(TEXT($L3063,"000000"),3,2)/60)+(RIGHT(TEXT($L3063,"000000"),2)/3600))</f>
        <v>242.99583333333337</v>
      </c>
      <c r="N3063" s="250">
        <v>-192711</v>
      </c>
      <c r="O3063" s="251">
        <f>IF($N3063&gt;0,(LEFT(TEXT($N3063,"000000"),2)+(MID(TEXT($N3063,"000000"),3,2)/60)+(RIGHT(TEXT($N3063,"000000"),2)/3600)),-(MID(TEXT($N3063,"000000"),2,2)+(MID(TEXT($N3063,"000000"),4,2)/60)+(RIGHT(TEXT($N3063,"000000"),2)/3600)))</f>
        <v>-19.453055555555554</v>
      </c>
      <c r="P3063" s="252" t="s">
        <v>109</v>
      </c>
      <c r="Q3063" s="253"/>
      <c r="R3063" s="247" t="s">
        <v>3293</v>
      </c>
      <c r="S3063" s="272" t="s">
        <v>6435</v>
      </c>
      <c r="T3063" s="273"/>
      <c r="U3063" s="274"/>
      <c r="V3063" s="280"/>
      <c r="W3063" s="244"/>
      <c r="X3063" s="244"/>
      <c r="Y3063" s="362"/>
      <c r="Z3063" s="257">
        <f>altaz(J2000_Bas,$O3063,$M3063,DecLat,DecLong,1)</f>
        <v>24.803993559876748</v>
      </c>
      <c r="AA3063" s="257">
        <f>altaz((J2000_Bas+(2*0.04167)),$O3063,$M3063,DecLat,DecLong,1)</f>
        <v>3.6434520312431693</v>
      </c>
      <c r="AB3063" s="257">
        <f>altaz((J2000_Bas+(4*0.04167)),$O3063,$M3063,DecLat,DecLong,1)</f>
        <v>-20.839751556617429</v>
      </c>
      <c r="AC3063" s="257">
        <f>altaz((J2000_Bas+(6*0.04167)),$O3063,$M3063,DecLat,DecLong,1)</f>
        <v>-46.503948751711832</v>
      </c>
      <c r="AD3063" s="258">
        <f>1+ transit((J2000_Bas-1),$O3063,$M3063,DecLat,DecLong)/360 + (GMTOffset/24) + (IF(DST="Y", 1, 0)/24)</f>
        <v>1.6678883190567915</v>
      </c>
      <c r="AE3063" s="259">
        <f>DATE(2001,9,21)+(M3063/360)*365 - (360*((DecLong/360)- (GMTOffset/24) ))</f>
        <v>37406.370775462965</v>
      </c>
      <c r="AF3063" s="260">
        <f>IF(DecLat&gt;0,IF((90 - (DecLat-O3063))&gt;90, (90 - (O3063-DecLat)), (90 - (DecLat-O3063))),IF((90 + (DecLat-O3063))&gt;90, (90 + (O3063-DecLat)), (90 + (DecLat-O3063))))</f>
        <v>39.546944444444449</v>
      </c>
      <c r="AG3063" s="257">
        <f>angularseperation(MoonRA,MoonDec,$M3063,$O3063)</f>
        <v>9.5434287273985223</v>
      </c>
      <c r="AH3063" s="261">
        <f ca="1">MIN(100,IF($O$5&gt;80,0+30*($AG3063/100),IF($O$5&gt;70,0+50*($AG3063/100),IF($O$5&gt;60,5+50*($AG3063/100),IF($O$5&gt;50,10+60*($AG3063/100),IF($O$5&gt;40,15+70*($AG3063/100),IF($O$5&gt;30,20+70*($AG3063/100),IF($O$5&gt;20,40+55*($AG3063/100),(80+(20-$O$5)+30*($AG3063/100))))))))))</f>
        <v>86.134088962369987</v>
      </c>
      <c r="AI3063" s="262"/>
      <c r="AJ3063" s="262"/>
      <c r="AK3063" s="262"/>
      <c r="AL3063" s="263"/>
      <c r="AM3063" s="264"/>
      <c r="AN3063" s="263"/>
      <c r="AO3063" s="263"/>
      <c r="AP3063" s="265"/>
      <c r="AQ3063" s="266"/>
      <c r="AR3063" s="267"/>
      <c r="AS3063" s="263"/>
      <c r="AT3063" s="263"/>
      <c r="AU3063" s="263"/>
      <c r="AV3063" s="264"/>
      <c r="AW3063" s="263"/>
      <c r="AX3063" s="263"/>
      <c r="AY3063" s="263"/>
      <c r="AZ3063" s="263"/>
      <c r="BA3063" s="263"/>
      <c r="BB3063" s="263"/>
      <c r="BC3063" s="263"/>
      <c r="BD3063" s="264">
        <v>100</v>
      </c>
      <c r="BE3063" s="263"/>
      <c r="BF3063" s="263"/>
      <c r="BG3063" s="263"/>
      <c r="BH3063" s="263"/>
      <c r="BI3063" s="263"/>
      <c r="BJ3063" s="404">
        <f>altaz(J2000_Bas,$O3063,$M3063,DecLat,DecLong,2)</f>
        <v>225.11375284025738</v>
      </c>
      <c r="BK3063" s="378" t="s">
        <v>2870</v>
      </c>
      <c r="BL3063" s="379">
        <f>IF((2*G3063)/60&lt;0.2,0.2,(2*G3063)/60)</f>
        <v>0.36666666666666664</v>
      </c>
      <c r="BM3063" s="380">
        <f>MOD((50000+AD3063-$B$3+(0/24)),1)</f>
        <v>0.88325524875835981</v>
      </c>
      <c r="BN3063" s="381"/>
      <c r="BO3063" s="382">
        <v>3053</v>
      </c>
    </row>
    <row r="3064" spans="1:67" s="24" customFormat="1" ht="15" customHeight="1" x14ac:dyDescent="0.25">
      <c r="A3064" s="288" t="s">
        <v>2871</v>
      </c>
      <c r="B3064" s="241" t="str">
        <f>HYPERLINK(CONCATENATE($AT$3,BK3064,$AU$3),$AV$3)</f>
        <v>S</v>
      </c>
      <c r="C3064" s="242" t="str">
        <f>HYPERLINK(CONCATENATE($AT$4,BK3064,$AU$4,BL3064),$AV$4)</f>
        <v>A</v>
      </c>
      <c r="D3064" s="243" t="s">
        <v>5187</v>
      </c>
      <c r="E3064" s="244" t="s">
        <v>5186</v>
      </c>
      <c r="F3064" s="269"/>
      <c r="G3064" s="276">
        <v>11</v>
      </c>
      <c r="H3064" s="283">
        <v>420</v>
      </c>
      <c r="I3064" s="279">
        <v>1.5</v>
      </c>
      <c r="J3064" s="246">
        <v>3</v>
      </c>
      <c r="K3064" s="247" t="s">
        <v>6436</v>
      </c>
      <c r="L3064" s="248">
        <v>161907</v>
      </c>
      <c r="M3064" s="249">
        <f>15*(LEFT(TEXT($L3064,"000000"),2)+(MID(TEXT($L3064,"000000"),3,2)/60)+(RIGHT(TEXT($L3064,"000000"),2)/3600))</f>
        <v>244.77916666666664</v>
      </c>
      <c r="N3064" s="250">
        <v>-201257</v>
      </c>
      <c r="O3064" s="251">
        <f>IF($N3064&gt;0,(LEFT(TEXT($N3064,"000000"),2)+(MID(TEXT($N3064,"000000"),3,2)/60)+(RIGHT(TEXT($N3064,"000000"),2)/3600)),-(MID(TEXT($N3064,"000000"),2,2)+(MID(TEXT($N3064,"000000"),4,2)/60)+(RIGHT(TEXT($N3064,"000000"),2)/3600)))</f>
        <v>-20.215833333333332</v>
      </c>
      <c r="P3064" s="252" t="s">
        <v>109</v>
      </c>
      <c r="Q3064" s="253"/>
      <c r="R3064" s="247" t="s">
        <v>4688</v>
      </c>
      <c r="S3064" s="272" t="s">
        <v>6435</v>
      </c>
      <c r="T3064" s="273"/>
      <c r="U3064" s="274"/>
      <c r="V3064" s="280"/>
      <c r="W3064" s="244"/>
      <c r="X3064" s="244"/>
      <c r="Y3064" s="362"/>
      <c r="Z3064" s="257">
        <f>altaz(J2000_Bas,$O3064,$M3064,DecLat,DecLong,1)</f>
        <v>25.278777981960744</v>
      </c>
      <c r="AA3064" s="257">
        <f>altaz((J2000_Bas+(2*0.04167)),$O3064,$M3064,DecLat,DecLong,1)</f>
        <v>4.5775140594867949</v>
      </c>
      <c r="AB3064" s="257">
        <f>altaz((J2000_Bas+(4*0.04167)),$O3064,$M3064,DecLat,DecLong,1)</f>
        <v>-19.685751689684007</v>
      </c>
      <c r="AC3064" s="257">
        <f>altaz((J2000_Bas+(6*0.04167)),$O3064,$M3064,DecLat,DecLong,1)</f>
        <v>-45.293681228552963</v>
      </c>
      <c r="AD3064" s="258">
        <f>1+ transit((J2000_Bas-1),$O3064,$M3064,DecLat,DecLong)/360 + (GMTOffset/24) + (IF(DST="Y", 1, 0)/24)</f>
        <v>1.6728420222651248</v>
      </c>
      <c r="AE3064" s="259">
        <f>DATE(2001,9,21)+(M3064/360)*365 - (360*((DecLong/360)- (GMTOffset/24) ))</f>
        <v>37408.178877314815</v>
      </c>
      <c r="AF3064" s="260">
        <f>IF(DecLat&gt;0,IF((90 - (DecLat-O3064))&gt;90, (90 - (O3064-DecLat)), (90 - (DecLat-O3064))),IF((90 + (DecLat-O3064))&gt;90, (90 + (O3064-DecLat)), (90 + (DecLat-O3064))))</f>
        <v>38.784166666666664</v>
      </c>
      <c r="AG3064" s="257">
        <f>angularseperation(MoonRA,MoonDec,$M3064,$O3064)</f>
        <v>7.9907002646714131</v>
      </c>
      <c r="AH3064" s="261">
        <f ca="1">MIN(100,IF($O$5&gt;80,0+30*($AG3064/100),IF($O$5&gt;70,0+50*($AG3064/100),IF($O$5&gt;60,5+50*($AG3064/100),IF($O$5&gt;50,10+60*($AG3064/100),IF($O$5&gt;40,15+70*($AG3064/100),IF($O$5&gt;30,20+70*($AG3064/100),IF($O$5&gt;20,40+55*($AG3064/100),(80+(20-$O$5)+30*($AG3064/100))))))))))</f>
        <v>85.668270423551846</v>
      </c>
      <c r="AI3064" s="262"/>
      <c r="AJ3064" s="262"/>
      <c r="AK3064" s="262"/>
      <c r="AL3064" s="263"/>
      <c r="AM3064" s="264"/>
      <c r="AN3064" s="263"/>
      <c r="AO3064" s="263"/>
      <c r="AP3064" s="265"/>
      <c r="AQ3064" s="266"/>
      <c r="AR3064" s="267"/>
      <c r="AS3064" s="263"/>
      <c r="AT3064" s="263"/>
      <c r="AU3064" s="263"/>
      <c r="AV3064" s="264"/>
      <c r="AW3064" s="263"/>
      <c r="AX3064" s="263"/>
      <c r="AY3064" s="263"/>
      <c r="AZ3064" s="263"/>
      <c r="BA3064" s="263"/>
      <c r="BB3064" s="263"/>
      <c r="BC3064" s="263"/>
      <c r="BD3064" s="264">
        <v>101</v>
      </c>
      <c r="BE3064" s="263"/>
      <c r="BF3064" s="263"/>
      <c r="BG3064" s="263"/>
      <c r="BH3064" s="263"/>
      <c r="BI3064" s="263"/>
      <c r="BJ3064" s="404">
        <f>altaz(J2000_Bas,$O3064,$M3064,DecLat,DecLong,2)</f>
        <v>223.14841021049119</v>
      </c>
      <c r="BK3064" s="378" t="s">
        <v>2871</v>
      </c>
      <c r="BL3064" s="379">
        <f>IF((2*G3064)/60&lt;0.2,0.2,(2*G3064)/60)</f>
        <v>0.36666666666666664</v>
      </c>
      <c r="BM3064" s="380">
        <f>MOD((50000+AD3064-$B$3+(0/24)),1)</f>
        <v>0.88820895196840866</v>
      </c>
      <c r="BN3064" s="381"/>
      <c r="BO3064" s="382">
        <v>3054</v>
      </c>
    </row>
    <row r="3065" spans="1:67" s="24" customFormat="1" ht="15" customHeight="1" x14ac:dyDescent="0.25">
      <c r="A3065" s="288" t="s">
        <v>2872</v>
      </c>
      <c r="B3065" s="241" t="str">
        <f>HYPERLINK(CONCATENATE($AT$3,BK3065,$AU$3),$AV$3)</f>
        <v>S</v>
      </c>
      <c r="C3065" s="242" t="str">
        <f>HYPERLINK(CONCATENATE($AT$4,BK3065,$AU$4,BL3065),$AV$4)</f>
        <v>A</v>
      </c>
      <c r="D3065" s="243" t="s">
        <v>5187</v>
      </c>
      <c r="E3065" s="244" t="s">
        <v>5186</v>
      </c>
      <c r="F3065" s="269"/>
      <c r="G3065" s="276">
        <v>14</v>
      </c>
      <c r="H3065" s="283">
        <v>420</v>
      </c>
      <c r="I3065" s="279">
        <v>1.8</v>
      </c>
      <c r="J3065" s="246">
        <v>2</v>
      </c>
      <c r="K3065" s="247" t="s">
        <v>9479</v>
      </c>
      <c r="L3065" s="248">
        <v>162004</v>
      </c>
      <c r="M3065" s="249">
        <f>15*(LEFT(TEXT($L3065,"000000"),2)+(MID(TEXT($L3065,"000000"),3,2)/60)+(RIGHT(TEXT($L3065,"000000"),2)/3600))</f>
        <v>245.01666666666665</v>
      </c>
      <c r="N3065" s="250">
        <v>-200228</v>
      </c>
      <c r="O3065" s="251">
        <f>IF($N3065&gt;0,(LEFT(TEXT($N3065,"000000"),2)+(MID(TEXT($N3065,"000000"),3,2)/60)+(RIGHT(TEXT($N3065,"000000"),2)/3600)),-(MID(TEXT($N3065,"000000"),2,2)+(MID(TEXT($N3065,"000000"),4,2)/60)+(RIGHT(TEXT($N3065,"000000"),2)/3600)))</f>
        <v>-20.041111111111114</v>
      </c>
      <c r="P3065" s="252" t="s">
        <v>109</v>
      </c>
      <c r="Q3065" s="253"/>
      <c r="R3065" s="247" t="s">
        <v>4688</v>
      </c>
      <c r="S3065" s="272" t="s">
        <v>6435</v>
      </c>
      <c r="T3065" s="273"/>
      <c r="U3065" s="274"/>
      <c r="V3065" s="280"/>
      <c r="W3065" s="244"/>
      <c r="X3065" s="244"/>
      <c r="Y3065" s="362"/>
      <c r="Z3065" s="257">
        <f>altaz(J2000_Bas,$O3065,$M3065,DecLat,DecLong,1)</f>
        <v>25.55445202418251</v>
      </c>
      <c r="AA3065" s="257">
        <f>altaz((J2000_Bas+(2*0.04167)),$O3065,$M3065,DecLat,DecLong,1)</f>
        <v>4.8605181288784758</v>
      </c>
      <c r="AB3065" s="257">
        <f>altaz((J2000_Bas+(4*0.04167)),$O3065,$M3065,DecLat,DecLong,1)</f>
        <v>-19.407864858555605</v>
      </c>
      <c r="AC3065" s="257">
        <f>altaz((J2000_Bas+(6*0.04167)),$O3065,$M3065,DecLat,DecLong,1)</f>
        <v>-45.018703082148875</v>
      </c>
      <c r="AD3065" s="258">
        <f>1+ transit((J2000_Bas-1),$O3065,$M3065,DecLat,DecLong)/360 + (GMTOffset/24) + (IF(DST="Y", 1, 0)/24)</f>
        <v>1.6735017444213749</v>
      </c>
      <c r="AE3065" s="259">
        <f>DATE(2001,9,21)+(M3065/360)*365 - (360*((DecLong/360)- (GMTOffset/24) ))</f>
        <v>37408.419675925928</v>
      </c>
      <c r="AF3065" s="260">
        <f>IF(DecLat&gt;0,IF((90 - (DecLat-O3065))&gt;90, (90 - (O3065-DecLat)), (90 - (DecLat-O3065))),IF((90 + (DecLat-O3065))&gt;90, (90 + (O3065-DecLat)), (90 + (DecLat-O3065))))</f>
        <v>38.958888888888886</v>
      </c>
      <c r="AG3065" s="257">
        <f>angularseperation(MoonRA,MoonDec,$M3065,$O3065)</f>
        <v>8.0357108361444816</v>
      </c>
      <c r="AH3065" s="261">
        <f ca="1">MIN(100,IF($O$5&gt;80,0+30*($AG3065/100),IF($O$5&gt;70,0+50*($AG3065/100),IF($O$5&gt;60,5+50*($AG3065/100),IF($O$5&gt;50,10+60*($AG3065/100),IF($O$5&gt;40,15+70*($AG3065/100),IF($O$5&gt;30,20+70*($AG3065/100),IF($O$5&gt;20,40+55*($AG3065/100),(80+(20-$O$5)+30*($AG3065/100))))))))))</f>
        <v>85.681773594993771</v>
      </c>
      <c r="AI3065" s="262"/>
      <c r="AJ3065" s="262"/>
      <c r="AK3065" s="262"/>
      <c r="AL3065" s="263"/>
      <c r="AM3065" s="264"/>
      <c r="AN3065" s="263"/>
      <c r="AO3065" s="263"/>
      <c r="AP3065" s="265"/>
      <c r="AQ3065" s="266"/>
      <c r="AR3065" s="267"/>
      <c r="AS3065" s="263"/>
      <c r="AT3065" s="263"/>
      <c r="AU3065" s="263"/>
      <c r="AV3065" s="264"/>
      <c r="AW3065" s="263"/>
      <c r="AX3065" s="263"/>
      <c r="AY3065" s="263"/>
      <c r="AZ3065" s="263"/>
      <c r="BA3065" s="263"/>
      <c r="BB3065" s="263"/>
      <c r="BC3065" s="263"/>
      <c r="BD3065" s="264">
        <v>102</v>
      </c>
      <c r="BE3065" s="263"/>
      <c r="BF3065" s="263"/>
      <c r="BG3065" s="263"/>
      <c r="BH3065" s="263"/>
      <c r="BI3065" s="263"/>
      <c r="BJ3065" s="404">
        <f>altaz(J2000_Bas,$O3065,$M3065,DecLat,DecLong,2)</f>
        <v>223.07616350562827</v>
      </c>
      <c r="BK3065" s="378" t="s">
        <v>2872</v>
      </c>
      <c r="BL3065" s="379">
        <f>IF((2*G3065)/60&lt;0.2,0.2,(2*G3065)/60)</f>
        <v>0.46666666666666667</v>
      </c>
      <c r="BM3065" s="380">
        <f>MOD((50000+AD3065-$B$3+(0/24)),1)</f>
        <v>0.88886867412657011</v>
      </c>
      <c r="BN3065" s="381"/>
      <c r="BO3065" s="382">
        <v>3055</v>
      </c>
    </row>
    <row r="3066" spans="1:67" s="24" customFormat="1" ht="15" customHeight="1" x14ac:dyDescent="0.25">
      <c r="A3066" s="288" t="s">
        <v>2873</v>
      </c>
      <c r="B3066" s="241" t="str">
        <f>HYPERLINK(CONCATENATE($AT$3,BK3066,$AU$3),$AV$3)</f>
        <v>S</v>
      </c>
      <c r="C3066" s="242" t="str">
        <f>HYPERLINK(CONCATENATE($AT$4,BK3066,$AU$4,BL3066),$AV$4)</f>
        <v>A</v>
      </c>
      <c r="D3066" s="243" t="s">
        <v>5187</v>
      </c>
      <c r="E3066" s="244" t="s">
        <v>5186</v>
      </c>
      <c r="F3066" s="269"/>
      <c r="G3066" s="273">
        <v>9</v>
      </c>
      <c r="H3066" s="283">
        <v>430</v>
      </c>
      <c r="I3066" s="279">
        <v>1.2</v>
      </c>
      <c r="J3066" s="246">
        <v>3</v>
      </c>
      <c r="K3066" s="247" t="s">
        <v>6437</v>
      </c>
      <c r="L3066" s="248">
        <v>162030</v>
      </c>
      <c r="M3066" s="249">
        <f>15*(LEFT(TEXT($L3066,"000000"),2)+(MID(TEXT($L3066,"000000"),3,2)/60)+(RIGHT(TEXT($L3066,"000000"),2)/3600))</f>
        <v>245.12499999999997</v>
      </c>
      <c r="N3066" s="250">
        <v>-200653</v>
      </c>
      <c r="O3066" s="251">
        <f>IF($N3066&gt;0,(LEFT(TEXT($N3066,"000000"),2)+(MID(TEXT($N3066,"000000"),3,2)/60)+(RIGHT(TEXT($N3066,"000000"),2)/3600)),-(MID(TEXT($N3066,"000000"),2,2)+(MID(TEXT($N3066,"000000"),4,2)/60)+(RIGHT(TEXT($N3066,"000000"),2)/3600)))</f>
        <v>-20.114722222222223</v>
      </c>
      <c r="P3066" s="252" t="s">
        <v>109</v>
      </c>
      <c r="Q3066" s="253"/>
      <c r="R3066" s="247" t="s">
        <v>4688</v>
      </c>
      <c r="S3066" s="272" t="s">
        <v>6435</v>
      </c>
      <c r="T3066" s="273"/>
      <c r="U3066" s="274"/>
      <c r="V3066" s="280"/>
      <c r="W3066" s="244"/>
      <c r="X3066" s="244"/>
      <c r="Y3066" s="362"/>
      <c r="Z3066" s="257">
        <f>altaz(J2000_Bas,$O3066,$M3066,DecLat,DecLong,1)</f>
        <v>25.560179999922592</v>
      </c>
      <c r="AA3066" s="257">
        <f>altaz((J2000_Bas+(2*0.04167)),$O3066,$M3066,DecLat,DecLong,1)</f>
        <v>4.9004810416604894</v>
      </c>
      <c r="AB3066" s="257">
        <f>altaz((J2000_Bas+(4*0.04167)),$O3066,$M3066,DecLat,DecLong,1)</f>
        <v>-19.350466223913237</v>
      </c>
      <c r="AC3066" s="257">
        <f>altaz((J2000_Bas+(6*0.04167)),$O3066,$M3066,DecLat,DecLong,1)</f>
        <v>-44.956077363547195</v>
      </c>
      <c r="AD3066" s="258">
        <f>1+ transit((J2000_Bas-1),$O3066,$M3066,DecLat,DecLong)/360 + (GMTOffset/24) + (IF(DST="Y", 1, 0)/24)</f>
        <v>1.673802670317208</v>
      </c>
      <c r="AE3066" s="259">
        <f>DATE(2001,9,21)+(M3066/360)*365 - (360*((DecLong/360)- (GMTOffset/24) ))</f>
        <v>37408.529513888891</v>
      </c>
      <c r="AF3066" s="260">
        <f>IF(DecLat&gt;0,IF((90 - (DecLat-O3066))&gt;90, (90 - (O3066-DecLat)), (90 - (DecLat-O3066))),IF((90 + (DecLat-O3066))&gt;90, (90 + (O3066-DecLat)), (90 + (DecLat-O3066))))</f>
        <v>38.885277777777773</v>
      </c>
      <c r="AG3066" s="257">
        <f>angularseperation(MoonRA,MoonDec,$M3066,$O3066)</f>
        <v>7.9231343642136629</v>
      </c>
      <c r="AH3066" s="261">
        <f ca="1">MIN(100,IF($O$5&gt;80,0+30*($AG3066/100),IF($O$5&gt;70,0+50*($AG3066/100),IF($O$5&gt;60,5+50*($AG3066/100),IF($O$5&gt;50,10+60*($AG3066/100),IF($O$5&gt;40,15+70*($AG3066/100),IF($O$5&gt;30,20+70*($AG3066/100),IF($O$5&gt;20,40+55*($AG3066/100),(80+(20-$O$5)+30*($AG3066/100))))))))))</f>
        <v>85.648000653414528</v>
      </c>
      <c r="AI3066" s="262"/>
      <c r="AJ3066" s="262">
        <v>4601</v>
      </c>
      <c r="AK3066" s="262"/>
      <c r="AL3066" s="263"/>
      <c r="AM3066" s="264"/>
      <c r="AN3066" s="263"/>
      <c r="AO3066" s="263"/>
      <c r="AP3066" s="265"/>
      <c r="AQ3066" s="266"/>
      <c r="AR3066" s="267"/>
      <c r="AS3066" s="263"/>
      <c r="AT3066" s="263"/>
      <c r="AU3066" s="263"/>
      <c r="AV3066" s="264"/>
      <c r="AW3066" s="263"/>
      <c r="AX3066" s="263"/>
      <c r="AY3066" s="263"/>
      <c r="AZ3066" s="263"/>
      <c r="BA3066" s="263"/>
      <c r="BB3066" s="263"/>
      <c r="BC3066" s="263"/>
      <c r="BD3066" s="264">
        <v>103</v>
      </c>
      <c r="BE3066" s="263"/>
      <c r="BF3066" s="263"/>
      <c r="BG3066" s="263"/>
      <c r="BH3066" s="263"/>
      <c r="BI3066" s="263"/>
      <c r="BJ3066" s="404">
        <f>altaz(J2000_Bas,$O3066,$M3066,DecLat,DecLong,2)</f>
        <v>222.93710279403686</v>
      </c>
      <c r="BK3066" s="378" t="s">
        <v>2873</v>
      </c>
      <c r="BL3066" s="379">
        <f>IF((2*G3066)/60&lt;0.2,0.2,(2*G3066)/60)</f>
        <v>0.3</v>
      </c>
      <c r="BM3066" s="380">
        <f>MOD((50000+AD3066-$B$3+(0/24)),1)</f>
        <v>0.88916960002097767</v>
      </c>
      <c r="BN3066" s="381"/>
      <c r="BO3066" s="382">
        <v>3056</v>
      </c>
    </row>
    <row r="3067" spans="1:67" s="24" customFormat="1" ht="15" customHeight="1" x14ac:dyDescent="0.25">
      <c r="A3067" s="288" t="s">
        <v>2874</v>
      </c>
      <c r="B3067" s="241" t="str">
        <f>HYPERLINK(CONCATENATE($AT$3,BK3067,$AU$3),$AV$3)</f>
        <v>S</v>
      </c>
      <c r="C3067" s="242" t="str">
        <f>HYPERLINK(CONCATENATE($AT$4,BK3067,$AU$4,BL3067),$AV$4)</f>
        <v>A</v>
      </c>
      <c r="D3067" s="243" t="s">
        <v>5187</v>
      </c>
      <c r="E3067" s="244" t="s">
        <v>5186</v>
      </c>
      <c r="F3067" s="269"/>
      <c r="G3067" s="276">
        <v>30</v>
      </c>
      <c r="H3067" s="283">
        <v>690</v>
      </c>
      <c r="I3067" s="279">
        <v>6</v>
      </c>
      <c r="J3067" s="246">
        <v>3</v>
      </c>
      <c r="K3067" s="247" t="s">
        <v>9480</v>
      </c>
      <c r="L3067" s="248">
        <v>162113</v>
      </c>
      <c r="M3067" s="249">
        <f>15*(LEFT(TEXT($L3067,"000000"),2)+(MID(TEXT($L3067,"000000"),3,2)/60)+(RIGHT(TEXT($L3067,"000000"),2)/3600))</f>
        <v>245.3041666666667</v>
      </c>
      <c r="N3067" s="250">
        <v>-253510</v>
      </c>
      <c r="O3067" s="251">
        <f>IF($N3067&gt;0,(LEFT(TEXT($N3067,"000000"),2)+(MID(TEXT($N3067,"000000"),3,2)/60)+(RIGHT(TEXT($N3067,"000000"),2)/3600)),-(MID(TEXT($N3067,"000000"),2,2)+(MID(TEXT($N3067,"000000"),4,2)/60)+(RIGHT(TEXT($N3067,"000000"),2)/3600)))</f>
        <v>-25.586111111111109</v>
      </c>
      <c r="P3067" s="252" t="s">
        <v>109</v>
      </c>
      <c r="Q3067" s="253"/>
      <c r="R3067" s="247" t="s">
        <v>3293</v>
      </c>
      <c r="S3067" s="272" t="s">
        <v>6438</v>
      </c>
      <c r="T3067" s="273"/>
      <c r="U3067" s="274"/>
      <c r="V3067" s="280"/>
      <c r="W3067" s="244"/>
      <c r="X3067" s="244"/>
      <c r="Y3067" s="362"/>
      <c r="Z3067" s="257">
        <f>altaz(J2000_Bas,$O3067,$M3067,DecLat,DecLong,1)</f>
        <v>21.32806860003614</v>
      </c>
      <c r="AA3067" s="257">
        <f>altaz((J2000_Bas+(2*0.04167)),$O3067,$M3067,DecLat,DecLong,1)</f>
        <v>1.8360141699812873</v>
      </c>
      <c r="AB3067" s="257">
        <f>altaz((J2000_Bas+(4*0.04167)),$O3067,$M3067,DecLat,DecLong,1)</f>
        <v>-21.604020293685075</v>
      </c>
      <c r="AC3067" s="257">
        <f>altaz((J2000_Bas+(6*0.04167)),$O3067,$M3067,DecLat,DecLong,1)</f>
        <v>-46.814888513960796</v>
      </c>
      <c r="AD3067" s="258">
        <f>1+ transit((J2000_Bas-1),$O3067,$M3067,DecLat,DecLong)/360 + (GMTOffset/24) + (IF(DST="Y", 1, 0)/24)</f>
        <v>1.674300355452625</v>
      </c>
      <c r="AE3067" s="259">
        <f>DATE(2001,9,21)+(M3067/360)*365 - (360*((DecLong/360)- (GMTOffset/24) ))</f>
        <v>37408.711168981485</v>
      </c>
      <c r="AF3067" s="260">
        <f>IF(DecLat&gt;0,IF((90 - (DecLat-O3067))&gt;90, (90 - (O3067-DecLat)), (90 - (DecLat-O3067))),IF((90 + (DecLat-O3067))&gt;90, (90 + (O3067-DecLat)), (90 + (DecLat-O3067))))</f>
        <v>33.413888888888891</v>
      </c>
      <c r="AG3067" s="257">
        <f>angularseperation(MoonRA,MoonDec,$M3067,$O3067)</f>
        <v>3.8335440982366933</v>
      </c>
      <c r="AH3067" s="261">
        <f ca="1">MIN(100,IF($O$5&gt;80,0+30*($AG3067/100),IF($O$5&gt;70,0+50*($AG3067/100),IF($O$5&gt;60,5+50*($AG3067/100),IF($O$5&gt;50,10+60*($AG3067/100),IF($O$5&gt;40,15+70*($AG3067/100),IF($O$5&gt;30,20+70*($AG3067/100),IF($O$5&gt;20,40+55*($AG3067/100),(80+(20-$O$5)+30*($AG3067/100))))))))))</f>
        <v>84.421123573621429</v>
      </c>
      <c r="AI3067" s="262"/>
      <c r="AJ3067" s="262"/>
      <c r="AK3067" s="262"/>
      <c r="AL3067" s="263"/>
      <c r="AM3067" s="264"/>
      <c r="AN3067" s="263"/>
      <c r="AO3067" s="263"/>
      <c r="AP3067" s="265"/>
      <c r="AQ3067" s="266"/>
      <c r="AR3067" s="267"/>
      <c r="AS3067" s="263"/>
      <c r="AT3067" s="263"/>
      <c r="AU3067" s="263"/>
      <c r="AV3067" s="264"/>
      <c r="AW3067" s="263"/>
      <c r="AX3067" s="263"/>
      <c r="AY3067" s="263"/>
      <c r="AZ3067" s="263"/>
      <c r="BA3067" s="263"/>
      <c r="BB3067" s="263"/>
      <c r="BC3067" s="263"/>
      <c r="BD3067" s="264">
        <v>104</v>
      </c>
      <c r="BE3067" s="263"/>
      <c r="BF3067" s="263"/>
      <c r="BG3067" s="263"/>
      <c r="BH3067" s="263"/>
      <c r="BI3067" s="263"/>
      <c r="BJ3067" s="404">
        <f>altaz(J2000_Bas,$O3067,$M3067,DecLat,DecLong,2)</f>
        <v>219.15158788910128</v>
      </c>
      <c r="BK3067" s="378" t="s">
        <v>2874</v>
      </c>
      <c r="BL3067" s="379">
        <f>IF((2*G3067)/60&lt;0.2,0.2,(2*G3067)/60)</f>
        <v>1</v>
      </c>
      <c r="BM3067" s="380">
        <f>MOD((50000+AD3067-$B$3+(0/24)),1)</f>
        <v>0.8896672851551557</v>
      </c>
      <c r="BN3067" s="381"/>
      <c r="BO3067" s="382">
        <v>3057</v>
      </c>
    </row>
    <row r="3068" spans="1:67" s="24" customFormat="1" ht="15" customHeight="1" x14ac:dyDescent="0.25">
      <c r="A3068" s="288" t="s">
        <v>2875</v>
      </c>
      <c r="B3068" s="241" t="str">
        <f>HYPERLINK(CONCATENATE($AT$3,BK3068,$AU$3),$AV$3)</f>
        <v>S</v>
      </c>
      <c r="C3068" s="242" t="str">
        <f>HYPERLINK(CONCATENATE($AT$4,BK3068,$AU$4,BL3068),$AV$4)</f>
        <v>A</v>
      </c>
      <c r="D3068" s="243" t="s">
        <v>5187</v>
      </c>
      <c r="E3068" s="244" t="s">
        <v>5186</v>
      </c>
      <c r="F3068" s="269"/>
      <c r="G3068" s="276">
        <v>28</v>
      </c>
      <c r="H3068" s="283">
        <v>440</v>
      </c>
      <c r="I3068" s="279">
        <v>4</v>
      </c>
      <c r="J3068" s="246">
        <v>3</v>
      </c>
      <c r="K3068" s="247" t="s">
        <v>9481</v>
      </c>
      <c r="L3068" s="248">
        <v>162525</v>
      </c>
      <c r="M3068" s="249">
        <f>15*(LEFT(TEXT($L3068,"000000"),2)+(MID(TEXT($L3068,"000000"),3,2)/60)+(RIGHT(TEXT($L3068,"000000"),2)/3600))</f>
        <v>246.35416666666666</v>
      </c>
      <c r="N3068" s="250">
        <v>-242741</v>
      </c>
      <c r="O3068" s="251">
        <f>IF($N3068&gt;0,(LEFT(TEXT($N3068,"000000"),2)+(MID(TEXT($N3068,"000000"),3,2)/60)+(RIGHT(TEXT($N3068,"000000"),2)/3600)),-(MID(TEXT($N3068,"000000"),2,2)+(MID(TEXT($N3068,"000000"),4,2)/60)+(RIGHT(TEXT($N3068,"000000"),2)/3600)))</f>
        <v>-24.461388888888887</v>
      </c>
      <c r="P3068" s="252" t="s">
        <v>113</v>
      </c>
      <c r="Q3068" s="253"/>
      <c r="R3068" s="247" t="s">
        <v>6444</v>
      </c>
      <c r="S3068" s="272" t="s">
        <v>6438</v>
      </c>
      <c r="T3068" s="273"/>
      <c r="U3068" s="274"/>
      <c r="V3068" s="280"/>
      <c r="W3068" s="244"/>
      <c r="X3068" s="244"/>
      <c r="Y3068" s="362"/>
      <c r="Z3068" s="257">
        <f>altaz(J2000_Bas,$O3068,$M3068,DecLat,DecLong,1)</f>
        <v>22.798318614980325</v>
      </c>
      <c r="AA3068" s="257">
        <f>altaz((J2000_Bas+(2*0.04167)),$O3068,$M3068,DecLat,DecLong,1)</f>
        <v>3.2676623148096624</v>
      </c>
      <c r="AB3068" s="257">
        <f>altaz((J2000_Bas+(4*0.04167)),$O3068,$M3068,DecLat,DecLong,1)</f>
        <v>-20.261459056219085</v>
      </c>
      <c r="AC3068" s="257">
        <f>altaz((J2000_Bas+(6*0.04167)),$O3068,$M3068,DecLat,DecLong,1)</f>
        <v>-45.542160446372911</v>
      </c>
      <c r="AD3068" s="258">
        <f>1+ transit((J2000_Bas-1),$O3068,$M3068,DecLat,DecLong)/360 + (GMTOffset/24) + (IF(DST="Y", 1, 0)/24)</f>
        <v>1.6772170218276246</v>
      </c>
      <c r="AE3068" s="259">
        <f>DATE(2001,9,21)+(M3068/360)*365 - (360*((DecLong/360)- (GMTOffset/24) ))</f>
        <v>37409.775752314818</v>
      </c>
      <c r="AF3068" s="260">
        <f>IF(DecLat&gt;0,IF((90 - (DecLat-O3068))&gt;90, (90 - (O3068-DecLat)), (90 - (DecLat-O3068))),IF((90 + (DecLat-O3068))&gt;90, (90 + (O3068-DecLat)), (90 + (DecLat-O3068))))</f>
        <v>34.538611111111109</v>
      </c>
      <c r="AG3068" s="257">
        <f>angularseperation(MoonRA,MoonDec,$M3068,$O3068)</f>
        <v>3.6930805548850669</v>
      </c>
      <c r="AH3068" s="261">
        <f ca="1">MIN(100,IF($O$5&gt;80,0+30*($AG3068/100),IF($O$5&gt;70,0+50*($AG3068/100),IF($O$5&gt;60,5+50*($AG3068/100),IF($O$5&gt;50,10+60*($AG3068/100),IF($O$5&gt;40,15+70*($AG3068/100),IF($O$5&gt;30,20+70*($AG3068/100),IF($O$5&gt;20,40+55*($AG3068/100),(80+(20-$O$5)+30*($AG3068/100))))))))))</f>
        <v>84.37898451061595</v>
      </c>
      <c r="AI3068" s="262"/>
      <c r="AJ3068" s="262">
        <v>4603</v>
      </c>
      <c r="AK3068" s="262"/>
      <c r="AL3068" s="263"/>
      <c r="AM3068" s="264"/>
      <c r="AN3068" s="263"/>
      <c r="AO3068" s="263"/>
      <c r="AP3068" s="265"/>
      <c r="AQ3068" s="266"/>
      <c r="AR3068" s="267"/>
      <c r="AS3068" s="263"/>
      <c r="AT3068" s="263"/>
      <c r="AU3068" s="263"/>
      <c r="AV3068" s="264"/>
      <c r="AW3068" s="263"/>
      <c r="AX3068" s="263"/>
      <c r="AY3068" s="263"/>
      <c r="AZ3068" s="263"/>
      <c r="BA3068" s="263"/>
      <c r="BB3068" s="263"/>
      <c r="BC3068" s="263"/>
      <c r="BD3068" s="264">
        <v>105</v>
      </c>
      <c r="BE3068" s="263"/>
      <c r="BF3068" s="263"/>
      <c r="BG3068" s="263"/>
      <c r="BH3068" s="263"/>
      <c r="BI3068" s="263"/>
      <c r="BJ3068" s="404">
        <f>altaz(J2000_Bas,$O3068,$M3068,DecLat,DecLong,2)</f>
        <v>219.0518181017118</v>
      </c>
      <c r="BK3068" s="378" t="s">
        <v>2875</v>
      </c>
      <c r="BL3068" s="379">
        <f>IF((2*G3068)/60&lt;0.2,0.2,(2*G3068)/60)</f>
        <v>0.93333333333333335</v>
      </c>
      <c r="BM3068" s="380">
        <f>MOD((50000+AD3068-$B$3+(0/24)),1)</f>
        <v>0.89258395152864978</v>
      </c>
      <c r="BN3068" s="381"/>
      <c r="BO3068" s="382">
        <v>3058</v>
      </c>
    </row>
    <row r="3069" spans="1:67" s="24" customFormat="1" ht="15" customHeight="1" x14ac:dyDescent="0.25">
      <c r="A3069" s="288" t="s">
        <v>2876</v>
      </c>
      <c r="B3069" s="241" t="str">
        <f>HYPERLINK(CONCATENATE($AT$3,BK3069,$AU$3),$AV$3)</f>
        <v>S</v>
      </c>
      <c r="C3069" s="242" t="str">
        <f>HYPERLINK(CONCATENATE($AT$4,BK3069,$AU$4,BL3069),$AV$4)</f>
        <v>A</v>
      </c>
      <c r="D3069" s="243" t="s">
        <v>5187</v>
      </c>
      <c r="E3069" s="244" t="s">
        <v>5186</v>
      </c>
      <c r="F3069" s="269"/>
      <c r="G3069" s="276">
        <v>50</v>
      </c>
      <c r="H3069" s="283">
        <v>400</v>
      </c>
      <c r="I3069" s="279">
        <v>6</v>
      </c>
      <c r="J3069" s="246">
        <v>3</v>
      </c>
      <c r="K3069" s="247" t="s">
        <v>9482</v>
      </c>
      <c r="L3069" s="248">
        <v>162536</v>
      </c>
      <c r="M3069" s="249">
        <f>15*(LEFT(TEXT($L3069,"000000"),2)+(MID(TEXT($L3069,"000000"),3,2)/60)+(RIGHT(TEXT($L3069,"000000"),2)/3600))</f>
        <v>246.40000000000003</v>
      </c>
      <c r="N3069" s="250">
        <v>-232632</v>
      </c>
      <c r="O3069" s="251">
        <f>IF($N3069&gt;0,(LEFT(TEXT($N3069,"000000"),2)+(MID(TEXT($N3069,"000000"),3,2)/60)+(RIGHT(TEXT($N3069,"000000"),2)/3600)),-(MID(TEXT($N3069,"000000"),2,2)+(MID(TEXT($N3069,"000000"),4,2)/60)+(RIGHT(TEXT($N3069,"000000"),2)/3600)))</f>
        <v>-23.442222222222224</v>
      </c>
      <c r="P3069" s="252" t="s">
        <v>113</v>
      </c>
      <c r="Q3069" s="253"/>
      <c r="R3069" s="247" t="s">
        <v>6443</v>
      </c>
      <c r="S3069" s="272" t="s">
        <v>6438</v>
      </c>
      <c r="T3069" s="273"/>
      <c r="U3069" s="274"/>
      <c r="V3069" s="280"/>
      <c r="W3069" s="244"/>
      <c r="X3069" s="244"/>
      <c r="Y3069" s="362"/>
      <c r="Z3069" s="257">
        <f>altaz(J2000_Bas,$O3069,$M3069,DecLat,DecLong,1)</f>
        <v>23.642464649566879</v>
      </c>
      <c r="AA3069" s="257">
        <f>altaz((J2000_Bas+(2*0.04167)),$O3069,$M3069,DecLat,DecLong,1)</f>
        <v>3.9052721268433319</v>
      </c>
      <c r="AB3069" s="257">
        <f>altaz((J2000_Bas+(4*0.04167)),$O3069,$M3069,DecLat,DecLong,1)</f>
        <v>-19.777463681966488</v>
      </c>
      <c r="AC3069" s="257">
        <f>altaz((J2000_Bas+(6*0.04167)),$O3069,$M3069,DecLat,DecLong,1)</f>
        <v>-45.143981348737967</v>
      </c>
      <c r="AD3069" s="258">
        <f>1+ transit((J2000_Bas-1),$O3069,$M3069,DecLat,DecLong)/360 + (GMTOffset/24) + (IF(DST="Y", 1, 0)/24)</f>
        <v>1.6773443366297081</v>
      </c>
      <c r="AE3069" s="259">
        <f>DATE(2001,9,21)+(M3069/360)*365 - (360*((DecLong/360)- (GMTOffset/24) ))</f>
        <v>37409.822222222225</v>
      </c>
      <c r="AF3069" s="260">
        <f>IF(DecLat&gt;0,IF((90 - (DecLat-O3069))&gt;90, (90 - (O3069-DecLat)), (90 - (DecLat-O3069))),IF((90 + (DecLat-O3069))&gt;90, (90 + (O3069-DecLat)), (90 + (DecLat-O3069))))</f>
        <v>35.557777777777773</v>
      </c>
      <c r="AG3069" s="257">
        <f>angularseperation(MoonRA,MoonDec,$M3069,$O3069)</f>
        <v>4.4569832077682641</v>
      </c>
      <c r="AH3069" s="261">
        <f ca="1">MIN(100,IF($O$5&gt;80,0+30*($AG3069/100),IF($O$5&gt;70,0+50*($AG3069/100),IF($O$5&gt;60,5+50*($AG3069/100),IF($O$5&gt;50,10+60*($AG3069/100),IF($O$5&gt;40,15+70*($AG3069/100),IF($O$5&gt;30,20+70*($AG3069/100),IF($O$5&gt;20,40+55*($AG3069/100),(80+(20-$O$5)+30*($AG3069/100))))))))))</f>
        <v>84.60815530648091</v>
      </c>
      <c r="AI3069" s="262"/>
      <c r="AJ3069" s="262">
        <v>4604</v>
      </c>
      <c r="AK3069" s="262"/>
      <c r="AL3069" s="263"/>
      <c r="AM3069" s="264"/>
      <c r="AN3069" s="263"/>
      <c r="AO3069" s="263"/>
      <c r="AP3069" s="265"/>
      <c r="AQ3069" s="266"/>
      <c r="AR3069" s="267"/>
      <c r="AS3069" s="263"/>
      <c r="AT3069" s="263"/>
      <c r="AU3069" s="263"/>
      <c r="AV3069" s="264"/>
      <c r="AW3069" s="263"/>
      <c r="AX3069" s="263"/>
      <c r="AY3069" s="263"/>
      <c r="AZ3069" s="263"/>
      <c r="BA3069" s="263"/>
      <c r="BB3069" s="263"/>
      <c r="BC3069" s="263"/>
      <c r="BD3069" s="264">
        <v>106</v>
      </c>
      <c r="BE3069" s="263"/>
      <c r="BF3069" s="263"/>
      <c r="BG3069" s="263"/>
      <c r="BH3069" s="263"/>
      <c r="BI3069" s="263"/>
      <c r="BJ3069" s="404">
        <f>altaz(J2000_Bas,$O3069,$M3069,DecLat,DecLong,2)</f>
        <v>219.67490093867247</v>
      </c>
      <c r="BK3069" s="378" t="s">
        <v>2876</v>
      </c>
      <c r="BL3069" s="379">
        <f>IF((2*G3069)/60&lt;0.2,0.2,(2*G3069)/60)</f>
        <v>1.6666666666666667</v>
      </c>
      <c r="BM3069" s="380">
        <f>MOD((50000+AD3069-$B$3+(0/24)),1)</f>
        <v>0.89271126633684617</v>
      </c>
      <c r="BN3069" s="381"/>
      <c r="BO3069" s="382">
        <v>3059</v>
      </c>
    </row>
    <row r="3070" spans="1:67" s="24" customFormat="1" ht="15" customHeight="1" x14ac:dyDescent="0.25">
      <c r="A3070" s="288" t="s">
        <v>2877</v>
      </c>
      <c r="B3070" s="241" t="str">
        <f>HYPERLINK(CONCATENATE($AT$3,BK3070,$AU$3),$AV$3)</f>
        <v>S</v>
      </c>
      <c r="C3070" s="242" t="str">
        <f>HYPERLINK(CONCATENATE($AT$4,BK3070,$AU$4,BL3070),$AV$4)</f>
        <v>A</v>
      </c>
      <c r="D3070" s="243" t="s">
        <v>5187</v>
      </c>
      <c r="E3070" s="244" t="s">
        <v>5186</v>
      </c>
      <c r="F3070" s="269"/>
      <c r="G3070" s="276">
        <v>140</v>
      </c>
      <c r="H3070" s="283">
        <v>600</v>
      </c>
      <c r="I3070" s="246">
        <v>26</v>
      </c>
      <c r="J3070" s="246">
        <v>3</v>
      </c>
      <c r="K3070" s="247" t="s">
        <v>6440</v>
      </c>
      <c r="L3070" s="248">
        <v>162926</v>
      </c>
      <c r="M3070" s="249">
        <f>15*(LEFT(TEXT($L3070,"000000"),2)+(MID(TEXT($L3070,"000000"),3,2)/60)+(RIGHT(TEXT($L3070,"000000"),2)/3600))</f>
        <v>247.35833333333335</v>
      </c>
      <c r="N3070" s="250">
        <v>-262537</v>
      </c>
      <c r="O3070" s="251">
        <f>IF($N3070&gt;0,(LEFT(TEXT($N3070,"000000"),2)+(MID(TEXT($N3070,"000000"),3,2)/60)+(RIGHT(TEXT($N3070,"000000"),2)/3600)),-(MID(TEXT($N3070,"000000"),2,2)+(MID(TEXT($N3070,"000000"),4,2)/60)+(RIGHT(TEXT($N3070,"000000"),2)/3600)))</f>
        <v>-26.426944444444445</v>
      </c>
      <c r="P3070" s="252" t="s">
        <v>109</v>
      </c>
      <c r="Q3070" s="253"/>
      <c r="R3070" s="247" t="s">
        <v>6439</v>
      </c>
      <c r="S3070" s="272" t="s">
        <v>6438</v>
      </c>
      <c r="T3070" s="273"/>
      <c r="U3070" s="274"/>
      <c r="V3070" s="280"/>
      <c r="W3070" s="244"/>
      <c r="X3070" s="244"/>
      <c r="Y3070" s="362"/>
      <c r="Z3070" s="257">
        <f>altaz(J2000_Bas,$O3070,$M3070,DecLat,DecLong,1)</f>
        <v>21.734135554207139</v>
      </c>
      <c r="AA3070" s="257">
        <f>altaz((J2000_Bas+(2*0.04167)),$O3070,$M3070,DecLat,DecLong,1)</f>
        <v>2.822905429660842</v>
      </c>
      <c r="AB3070" s="257">
        <f>altaz((J2000_Bas+(4*0.04167)),$O3070,$M3070,DecLat,DecLong,1)</f>
        <v>-20.293507227995793</v>
      </c>
      <c r="AC3070" s="257">
        <f>altaz((J2000_Bas+(6*0.04167)),$O3070,$M3070,DecLat,DecLong,1)</f>
        <v>-45.334343207151477</v>
      </c>
      <c r="AD3070" s="258">
        <f>1+ transit((J2000_Bas-1),$O3070,$M3070,DecLat,DecLong)/360 + (GMTOffset/24) + (IF(DST="Y", 1, 0)/24)</f>
        <v>1.6800063734005415</v>
      </c>
      <c r="AE3070" s="259">
        <f>DATE(2001,9,21)+(M3070/360)*365 - (360*((DecLong/360)- (GMTOffset/24) ))</f>
        <v>37410.793865740743</v>
      </c>
      <c r="AF3070" s="260">
        <f>IF(DecLat&gt;0,IF((90 - (DecLat-O3070))&gt;90, (90 - (O3070-DecLat)), (90 - (DecLat-O3070))),IF((90 + (DecLat-O3070))&gt;90, (90 + (O3070-DecLat)), (90 + (DecLat-O3070))))</f>
        <v>32.573055555555555</v>
      </c>
      <c r="AG3070" s="257">
        <f>angularseperation(MoonRA,MoonDec,$M3070,$O3070)</f>
        <v>1.805706222351058</v>
      </c>
      <c r="AH3070" s="261">
        <f ca="1">MIN(100,IF($O$5&gt;80,0+30*($AG3070/100),IF($O$5&gt;70,0+50*($AG3070/100),IF($O$5&gt;60,5+50*($AG3070/100),IF($O$5&gt;50,10+60*($AG3070/100),IF($O$5&gt;40,15+70*($AG3070/100),IF($O$5&gt;30,20+70*($AG3070/100),IF($O$5&gt;20,40+55*($AG3070/100),(80+(20-$O$5)+30*($AG3070/100))))))))))</f>
        <v>83.812772210855741</v>
      </c>
      <c r="AI3070" s="262"/>
      <c r="AJ3070" s="262"/>
      <c r="AK3070" s="262"/>
      <c r="AL3070" s="263"/>
      <c r="AM3070" s="264"/>
      <c r="AN3070" s="263"/>
      <c r="AO3070" s="263"/>
      <c r="AP3070" s="265"/>
      <c r="AQ3070" s="266"/>
      <c r="AR3070" s="267"/>
      <c r="AS3070" s="263"/>
      <c r="AT3070" s="263"/>
      <c r="AU3070" s="263"/>
      <c r="AV3070" s="264"/>
      <c r="AW3070" s="263"/>
      <c r="AX3070" s="263"/>
      <c r="AY3070" s="263"/>
      <c r="AZ3070" s="263"/>
      <c r="BA3070" s="263"/>
      <c r="BB3070" s="263"/>
      <c r="BC3070" s="263"/>
      <c r="BD3070" s="264">
        <v>107</v>
      </c>
      <c r="BE3070" s="263"/>
      <c r="BF3070" s="263"/>
      <c r="BG3070" s="263"/>
      <c r="BH3070" s="263"/>
      <c r="BI3070" s="263"/>
      <c r="BJ3070" s="404">
        <f>altaz(J2000_Bas,$O3070,$M3070,DecLat,DecLong,2)</f>
        <v>217.01493647407614</v>
      </c>
      <c r="BK3070" s="378" t="s">
        <v>2877</v>
      </c>
      <c r="BL3070" s="379">
        <f>IF((2*G3070)/60&lt;0.2,0.2,(2*G3070)/60)</f>
        <v>4.666666666666667</v>
      </c>
      <c r="BM3070" s="380">
        <f>MOD((50000+AD3070-$B$3+(0/24)),1)</f>
        <v>0.89537330310122343</v>
      </c>
      <c r="BN3070" s="381"/>
      <c r="BO3070" s="382">
        <v>3060</v>
      </c>
    </row>
    <row r="3071" spans="1:67" s="24" customFormat="1" ht="15" customHeight="1" x14ac:dyDescent="0.25">
      <c r="A3071" s="288" t="s">
        <v>2878</v>
      </c>
      <c r="B3071" s="241" t="str">
        <f>HYPERLINK(CONCATENATE($AT$3,BK3071,$AU$3),$AV$3)</f>
        <v>S</v>
      </c>
      <c r="C3071" s="242" t="str">
        <f>HYPERLINK(CONCATENATE($AT$4,BK3071,$AU$4,BL3071),$AV$4)</f>
        <v>A</v>
      </c>
      <c r="D3071" s="243" t="s">
        <v>5187</v>
      </c>
      <c r="E3071" s="244" t="s">
        <v>5186</v>
      </c>
      <c r="F3071" s="269"/>
      <c r="G3071" s="276">
        <v>28</v>
      </c>
      <c r="H3071" s="283">
        <v>380</v>
      </c>
      <c r="I3071" s="279">
        <v>3.2</v>
      </c>
      <c r="J3071" s="246">
        <v>2</v>
      </c>
      <c r="K3071" s="247" t="s">
        <v>6441</v>
      </c>
      <c r="L3071" s="248">
        <v>163013</v>
      </c>
      <c r="M3071" s="249">
        <f>15*(LEFT(TEXT($L3071,"000000"),2)+(MID(TEXT($L3071,"000000"),3,2)/60)+(RIGHT(TEXT($L3071,"000000"),2)/3600))</f>
        <v>247.55416666666667</v>
      </c>
      <c r="N3071" s="250">
        <v>-250705</v>
      </c>
      <c r="O3071" s="251">
        <f>IF($N3071&gt;0,(LEFT(TEXT($N3071,"000000"),2)+(MID(TEXT($N3071,"000000"),3,2)/60)+(RIGHT(TEXT($N3071,"000000"),2)/3600)),-(MID(TEXT($N3071,"000000"),2,2)+(MID(TEXT($N3071,"000000"),4,2)/60)+(RIGHT(TEXT($N3071,"000000"),2)/3600)))</f>
        <v>-25.118055555555557</v>
      </c>
      <c r="P3071" s="252" t="s">
        <v>109</v>
      </c>
      <c r="Q3071" s="253"/>
      <c r="R3071" s="247" t="s">
        <v>6442</v>
      </c>
      <c r="S3071" s="272" t="s">
        <v>6438</v>
      </c>
      <c r="T3071" s="273"/>
      <c r="U3071" s="274"/>
      <c r="V3071" s="280"/>
      <c r="W3071" s="244"/>
      <c r="X3071" s="244"/>
      <c r="Y3071" s="362"/>
      <c r="Z3071" s="257">
        <f>altaz(J2000_Bas,$O3071,$M3071,DecLat,DecLong,1)</f>
        <v>22.904608103435969</v>
      </c>
      <c r="AA3071" s="257">
        <f>altaz((J2000_Bas+(2*0.04167)),$O3071,$M3071,DecLat,DecLong,1)</f>
        <v>3.7500042238143281</v>
      </c>
      <c r="AB3071" s="257">
        <f>altaz((J2000_Bas+(4*0.04167)),$O3071,$M3071,DecLat,DecLong,1)</f>
        <v>-19.567467616851292</v>
      </c>
      <c r="AC3071" s="257">
        <f>altaz((J2000_Bas+(6*0.04167)),$O3071,$M3071,DecLat,DecLong,1)</f>
        <v>-44.74111609504854</v>
      </c>
      <c r="AD3071" s="258">
        <f>1+ transit((J2000_Bas-1),$O3071,$M3071,DecLat,DecLong)/360 + (GMTOffset/24) + (IF(DST="Y", 1, 0)/24)</f>
        <v>1.6805503548276246</v>
      </c>
      <c r="AE3071" s="259">
        <f>DATE(2001,9,21)+(M3071/360)*365 - (360*((DecLong/360)- (GMTOffset/24) ))</f>
        <v>37410.992418981485</v>
      </c>
      <c r="AF3071" s="260">
        <f>IF(DecLat&gt;0,IF((90 - (DecLat-O3071))&gt;90, (90 - (O3071-DecLat)), (90 - (DecLat-O3071))),IF((90 + (DecLat-O3071))&gt;90, (90 + (O3071-DecLat)), (90 + (DecLat-O3071))))</f>
        <v>33.881944444444443</v>
      </c>
      <c r="AG3071" s="257">
        <f>angularseperation(MoonRA,MoonDec,$M3071,$O3071)</f>
        <v>2.4823401278579174</v>
      </c>
      <c r="AH3071" s="261">
        <f ca="1">MIN(100,IF($O$5&gt;80,0+30*($AG3071/100),IF($O$5&gt;70,0+50*($AG3071/100),IF($O$5&gt;60,5+50*($AG3071/100),IF($O$5&gt;50,10+60*($AG3071/100),IF($O$5&gt;40,15+70*($AG3071/100),IF($O$5&gt;30,20+70*($AG3071/100),IF($O$5&gt;20,40+55*($AG3071/100),(80+(20-$O$5)+30*($AG3071/100))))))))))</f>
        <v>84.015762382507802</v>
      </c>
      <c r="AI3071" s="262"/>
      <c r="AJ3071" s="262">
        <v>4605</v>
      </c>
      <c r="AK3071" s="262"/>
      <c r="AL3071" s="263"/>
      <c r="AM3071" s="264"/>
      <c r="AN3071" s="263"/>
      <c r="AO3071" s="263"/>
      <c r="AP3071" s="265"/>
      <c r="AQ3071" s="266"/>
      <c r="AR3071" s="267"/>
      <c r="AS3071" s="263"/>
      <c r="AT3071" s="263"/>
      <c r="AU3071" s="263"/>
      <c r="AV3071" s="264"/>
      <c r="AW3071" s="263"/>
      <c r="AX3071" s="263"/>
      <c r="AY3071" s="263"/>
      <c r="AZ3071" s="263"/>
      <c r="BA3071" s="263"/>
      <c r="BB3071" s="263"/>
      <c r="BC3071" s="263"/>
      <c r="BD3071" s="264">
        <v>108</v>
      </c>
      <c r="BE3071" s="263"/>
      <c r="BF3071" s="263"/>
      <c r="BG3071" s="263"/>
      <c r="BH3071" s="263"/>
      <c r="BI3071" s="263"/>
      <c r="BJ3071" s="404">
        <f>altaz(J2000_Bas,$O3071,$M3071,DecLat,DecLong,2)</f>
        <v>217.67628660029663</v>
      </c>
      <c r="BK3071" s="378" t="s">
        <v>2878</v>
      </c>
      <c r="BL3071" s="379">
        <f>IF((2*G3071)/60&lt;0.2,0.2,(2*G3071)/60)</f>
        <v>0.93333333333333335</v>
      </c>
      <c r="BM3071" s="380">
        <f>MOD((50000+AD3071-$B$3+(0/24)),1)</f>
        <v>0.89591728453524411</v>
      </c>
      <c r="BN3071" s="381"/>
      <c r="BO3071" s="382">
        <v>3061</v>
      </c>
    </row>
    <row r="3072" spans="1:67" s="24" customFormat="1" ht="15" customHeight="1" x14ac:dyDescent="0.25">
      <c r="A3072" s="288" t="s">
        <v>2879</v>
      </c>
      <c r="B3072" s="241" t="str">
        <f>HYPERLINK(CONCATENATE($AT$3,BK3072,$AU$3),$AV$3)</f>
        <v>S</v>
      </c>
      <c r="C3072" s="242" t="str">
        <f>HYPERLINK(CONCATENATE($AT$4,BK3072,$AU$4,BL3072),$AV$4)</f>
        <v>A</v>
      </c>
      <c r="D3072" s="243" t="s">
        <v>5187</v>
      </c>
      <c r="E3072" s="244" t="s">
        <v>5186</v>
      </c>
      <c r="F3072" s="269"/>
      <c r="G3072" s="276">
        <v>36</v>
      </c>
      <c r="H3072" s="283">
        <v>380</v>
      </c>
      <c r="I3072" s="279">
        <v>4</v>
      </c>
      <c r="J3072" s="246">
        <v>2</v>
      </c>
      <c r="K3072" s="247" t="s">
        <v>9483</v>
      </c>
      <c r="L3072" s="248">
        <v>164134</v>
      </c>
      <c r="M3072" s="249">
        <f>15*(LEFT(TEXT($L3072,"000000"),2)+(MID(TEXT($L3072,"000000"),3,2)/60)+(RIGHT(TEXT($L3072,"000000"),2)/3600))</f>
        <v>250.39166666666665</v>
      </c>
      <c r="N3072" s="250">
        <v>-174429</v>
      </c>
      <c r="O3072" s="251">
        <f>IF($N3072&gt;0,(LEFT(TEXT($N3072,"000000"),2)+(MID(TEXT($N3072,"000000"),3,2)/60)+(RIGHT(TEXT($N3072,"000000"),2)/3600)),-(MID(TEXT($N3072,"000000"),2,2)+(MID(TEXT($N3072,"000000"),4,2)/60)+(RIGHT(TEXT($N3072,"000000"),2)/3600)))</f>
        <v>-17.741388888888888</v>
      </c>
      <c r="P3072" s="252" t="s">
        <v>113</v>
      </c>
      <c r="Q3072" s="253"/>
      <c r="R3072" s="277" t="s">
        <v>9563</v>
      </c>
      <c r="S3072" s="272" t="s">
        <v>3293</v>
      </c>
      <c r="T3072" s="273"/>
      <c r="U3072" s="274"/>
      <c r="V3072" s="280"/>
      <c r="W3072" s="244"/>
      <c r="X3072" s="244"/>
      <c r="Y3072" s="362"/>
      <c r="Z3072" s="257">
        <f>altaz(J2000_Bas,$O3072,$M3072,DecLat,DecLong,1)</f>
        <v>30.449783852603346</v>
      </c>
      <c r="AA3072" s="257">
        <f>altaz((J2000_Bas+(2*0.04167)),$O3072,$M3072,DecLat,DecLong,1)</f>
        <v>10.315970240062397</v>
      </c>
      <c r="AB3072" s="257">
        <f>altaz((J2000_Bas+(4*0.04167)),$O3072,$M3072,DecLat,DecLong,1)</f>
        <v>-13.837127400785278</v>
      </c>
      <c r="AC3072" s="257">
        <f>altaz((J2000_Bas+(6*0.04167)),$O3072,$M3072,DecLat,DecLong,1)</f>
        <v>-39.438504318487894</v>
      </c>
      <c r="AD3072" s="258">
        <f>1+ transit((J2000_Bas-1),$O3072,$M3072,DecLat,DecLong)/360 + (GMTOffset/24) + (IF(DST="Y", 1, 0)/24)</f>
        <v>1.6884322984838749</v>
      </c>
      <c r="AE3072" s="259">
        <f>DATE(2001,9,21)+(M3072/360)*365 - (360*((DecLong/360)- (GMTOffset/24) ))</f>
        <v>37413.869328703702</v>
      </c>
      <c r="AF3072" s="260">
        <f>IF(DecLat&gt;0,IF((90 - (DecLat-O3072))&gt;90, (90 - (O3072-DecLat)), (90 - (DecLat-O3072))),IF((90 + (DecLat-O3072))&gt;90, (90 + (O3072-DecLat)), (90 + (DecLat-O3072))))</f>
        <v>41.258611111111108</v>
      </c>
      <c r="AG3072" s="257">
        <f>angularseperation(MoonRA,MoonDec,$M3072,$O3072)</f>
        <v>9.4027706386627035</v>
      </c>
      <c r="AH3072" s="261">
        <f ca="1">MIN(100,IF($O$5&gt;80,0+30*($AG3072/100),IF($O$5&gt;70,0+50*($AG3072/100),IF($O$5&gt;60,5+50*($AG3072/100),IF($O$5&gt;50,10+60*($AG3072/100),IF($O$5&gt;40,15+70*($AG3072/100),IF($O$5&gt;30,20+70*($AG3072/100),IF($O$5&gt;20,40+55*($AG3072/100),(80+(20-$O$5)+30*($AG3072/100))))))))))</f>
        <v>86.091891535749241</v>
      </c>
      <c r="AI3072" s="263"/>
      <c r="AJ3072" s="263"/>
      <c r="AK3072" s="263"/>
      <c r="AL3072" s="263"/>
      <c r="AM3072" s="264"/>
      <c r="AN3072" s="263"/>
      <c r="AO3072" s="263"/>
      <c r="AP3072" s="265"/>
      <c r="AQ3072" s="265"/>
      <c r="AR3072" s="285"/>
      <c r="AS3072" s="263"/>
      <c r="AT3072" s="263"/>
      <c r="AU3072" s="263"/>
      <c r="AV3072" s="264"/>
      <c r="AW3072" s="263"/>
      <c r="AX3072" s="263"/>
      <c r="AY3072" s="263"/>
      <c r="AZ3072" s="263"/>
      <c r="BA3072" s="263"/>
      <c r="BB3072" s="263"/>
      <c r="BC3072" s="263"/>
      <c r="BD3072" s="264">
        <v>109</v>
      </c>
      <c r="BE3072" s="263"/>
      <c r="BF3072" s="263"/>
      <c r="BG3072" s="263"/>
      <c r="BH3072" s="263"/>
      <c r="BI3072" s="263"/>
      <c r="BJ3072" s="404">
        <f>altaz(J2000_Bas,$O3072,$M3072,DecLat,DecLong,2)</f>
        <v>220.03957505249184</v>
      </c>
      <c r="BK3072" s="378" t="s">
        <v>2879</v>
      </c>
      <c r="BL3072" s="379">
        <f>IF((2*G3072)/60&lt;0.2,0.2,(2*G3072)/60)</f>
        <v>1.2</v>
      </c>
      <c r="BM3072" s="380">
        <f>MOD((50000+AD3072-$B$3+(0/24)),1)</f>
        <v>0.90379922818829073</v>
      </c>
      <c r="BN3072" s="381"/>
      <c r="BO3072" s="382">
        <v>3062</v>
      </c>
    </row>
    <row r="3073" spans="1:67" s="24" customFormat="1" ht="15" customHeight="1" x14ac:dyDescent="0.25">
      <c r="A3073" s="288" t="s">
        <v>2880</v>
      </c>
      <c r="B3073" s="241" t="str">
        <f>HYPERLINK(CONCATENATE($AT$3,BK3073,$AU$3),$AV$3)</f>
        <v>S</v>
      </c>
      <c r="C3073" s="242" t="str">
        <f>HYPERLINK(CONCATENATE($AT$4,BK3073,$AU$4,BL3073),$AV$4)</f>
        <v>A</v>
      </c>
      <c r="D3073" s="243" t="s">
        <v>5187</v>
      </c>
      <c r="E3073" s="244" t="s">
        <v>5186</v>
      </c>
      <c r="F3073" s="269"/>
      <c r="G3073" s="273">
        <v>4</v>
      </c>
      <c r="H3073" s="283">
        <v>750</v>
      </c>
      <c r="I3073" s="309">
        <v>0.9</v>
      </c>
      <c r="J3073" s="246">
        <v>2</v>
      </c>
      <c r="K3073" s="247" t="s">
        <v>9484</v>
      </c>
      <c r="L3073" s="248">
        <v>171606</v>
      </c>
      <c r="M3073" s="249">
        <f>15*(LEFT(TEXT($L3073,"000000"),2)+(MID(TEXT($L3073,"000000"),3,2)/60)+(RIGHT(TEXT($L3073,"000000"),2)/3600))</f>
        <v>259.02499999999998</v>
      </c>
      <c r="N3073" s="250">
        <v>-210143</v>
      </c>
      <c r="O3073" s="251">
        <f>IF($N3073&gt;0,(LEFT(TEXT($N3073,"000000"),2)+(MID(TEXT($N3073,"000000"),3,2)/60)+(RIGHT(TEXT($N3073,"000000"),2)/3600)),-(MID(TEXT($N3073,"000000"),2,2)+(MID(TEXT($N3073,"000000"),4,2)/60)+(RIGHT(TEXT($N3073,"000000"),2)/3600)))</f>
        <v>-21.028611111111111</v>
      </c>
      <c r="P3073" s="252" t="s">
        <v>113</v>
      </c>
      <c r="Q3073" s="253"/>
      <c r="R3073" s="247"/>
      <c r="S3073" s="272" t="s">
        <v>6445</v>
      </c>
      <c r="T3073" s="273"/>
      <c r="U3073" s="274"/>
      <c r="V3073" s="280"/>
      <c r="W3073" s="244"/>
      <c r="X3073" s="244"/>
      <c r="Y3073" s="362"/>
      <c r="Z3073" s="257">
        <f>altaz(J2000_Bas,$O3073,$M3073,DecLat,DecLong,1)</f>
        <v>31.884325291303586</v>
      </c>
      <c r="AA3073" s="257">
        <f>altaz((J2000_Bas+(2*0.04167)),$O3073,$M3073,DecLat,DecLong,1)</f>
        <v>14.490166147525217</v>
      </c>
      <c r="AB3073" s="257">
        <f>altaz((J2000_Bas+(4*0.04167)),$O3073,$M3073,DecLat,DecLong,1)</f>
        <v>-8.3364840931434276</v>
      </c>
      <c r="AC3073" s="257">
        <f>altaz((J2000_Bas+(6*0.04167)),$O3073,$M3073,DecLat,DecLong,1)</f>
        <v>-33.429933106197083</v>
      </c>
      <c r="AD3073" s="258">
        <f>1+ transit((J2000_Bas-1),$O3073,$M3073,DecLat,DecLong)/360 + (GMTOffset/24) + (IF(DST="Y", 1, 0)/24)</f>
        <v>1.7124137775672079</v>
      </c>
      <c r="AE3073" s="259">
        <f>DATE(2001,9,21)+(M3073/360)*365 - (360*((DecLong/360)- (GMTOffset/24) ))</f>
        <v>37422.622569444444</v>
      </c>
      <c r="AF3073" s="260">
        <f>IF(DecLat&gt;0,IF((90 - (DecLat-O3073))&gt;90, (90 - (O3073-DecLat)), (90 - (DecLat-O3073))),IF((90 + (DecLat-O3073))&gt;90, (90 + (O3073-DecLat)), (90 + (DecLat-O3073))))</f>
        <v>37.971388888888889</v>
      </c>
      <c r="AG3073" s="257">
        <f>angularseperation(MoonRA,MoonDec,$M3073,$O3073)</f>
        <v>10.785313173345601</v>
      </c>
      <c r="AH3073" s="261">
        <f ca="1">MIN(100,IF($O$5&gt;80,0+30*($AG3073/100),IF($O$5&gt;70,0+50*($AG3073/100),IF($O$5&gt;60,5+50*($AG3073/100),IF($O$5&gt;50,10+60*($AG3073/100),IF($O$5&gt;40,15+70*($AG3073/100),IF($O$5&gt;30,20+70*($AG3073/100),IF($O$5&gt;20,40+55*($AG3073/100),(80+(20-$O$5)+30*($AG3073/100))))))))))</f>
        <v>86.50665429615411</v>
      </c>
      <c r="AI3073" s="262"/>
      <c r="AJ3073" s="262"/>
      <c r="AK3073" s="262"/>
      <c r="AL3073" s="263"/>
      <c r="AM3073" s="264"/>
      <c r="AN3073" s="263"/>
      <c r="AO3073" s="263"/>
      <c r="AP3073" s="265"/>
      <c r="AQ3073" s="266"/>
      <c r="AR3073" s="267"/>
      <c r="AS3073" s="263"/>
      <c r="AT3073" s="263"/>
      <c r="AU3073" s="263"/>
      <c r="AV3073" s="264"/>
      <c r="AW3073" s="263"/>
      <c r="AX3073" s="263"/>
      <c r="AY3073" s="263"/>
      <c r="AZ3073" s="263"/>
      <c r="BA3073" s="263"/>
      <c r="BB3073" s="263"/>
      <c r="BC3073" s="263"/>
      <c r="BD3073" s="264">
        <v>110</v>
      </c>
      <c r="BE3073" s="263"/>
      <c r="BF3073" s="263"/>
      <c r="BG3073" s="263"/>
      <c r="BH3073" s="263"/>
      <c r="BI3073" s="263"/>
      <c r="BJ3073" s="404">
        <f>altaz(J2000_Bas,$O3073,$M3073,DecLat,DecLong,2)</f>
        <v>209.91218516759574</v>
      </c>
      <c r="BK3073" s="378" t="s">
        <v>2880</v>
      </c>
      <c r="BL3073" s="379">
        <f>IF((2*G3073)/60&lt;0.2,0.2,(2*G3073)/60)</f>
        <v>0.2</v>
      </c>
      <c r="BM3073" s="380">
        <f>MOD((50000+AD3073-$B$3+(0/24)),1)</f>
        <v>0.9277807072721771</v>
      </c>
      <c r="BN3073" s="381"/>
      <c r="BO3073" s="382">
        <v>3063</v>
      </c>
    </row>
    <row r="3074" spans="1:67" s="24" customFormat="1" ht="15" customHeight="1" x14ac:dyDescent="0.25">
      <c r="A3074" s="288" t="s">
        <v>2881</v>
      </c>
      <c r="B3074" s="241" t="str">
        <f>HYPERLINK(CONCATENATE($AT$3,BK3074,$AU$3),$AV$3)</f>
        <v>S</v>
      </c>
      <c r="C3074" s="242" t="str">
        <f>HYPERLINK(CONCATENATE($AT$4,BK3074,$AU$4,BL3074),$AV$4)</f>
        <v>A</v>
      </c>
      <c r="D3074" s="243" t="s">
        <v>5187</v>
      </c>
      <c r="E3074" s="244" t="s">
        <v>5186</v>
      </c>
      <c r="F3074" s="269"/>
      <c r="G3074" s="276">
        <v>12</v>
      </c>
      <c r="H3074" s="283">
        <v>470</v>
      </c>
      <c r="I3074" s="279">
        <v>1.8</v>
      </c>
      <c r="J3074" s="246">
        <v>1</v>
      </c>
      <c r="K3074" s="247" t="s">
        <v>9485</v>
      </c>
      <c r="L3074" s="248">
        <v>171853</v>
      </c>
      <c r="M3074" s="249">
        <f>15*(LEFT(TEXT($L3074,"000000"),2)+(MID(TEXT($L3074,"000000"),3,2)/60)+(RIGHT(TEXT($L3074,"000000"),2)/3600))</f>
        <v>259.72083333333336</v>
      </c>
      <c r="N3074" s="250">
        <v>60531</v>
      </c>
      <c r="O3074" s="251">
        <f>IF($N3074&gt;0,(LEFT(TEXT($N3074,"000000"),2)+(MID(TEXT($N3074,"000000"),3,2)/60)+(RIGHT(TEXT($N3074,"000000"),2)/3600)),-(MID(TEXT($N3074,"000000"),2,2)+(MID(TEXT($N3074,"000000"),4,2)/60)+(RIGHT(TEXT($N3074,"000000"),2)/3600)))</f>
        <v>6.0919444444444437</v>
      </c>
      <c r="P3074" s="252" t="s">
        <v>113</v>
      </c>
      <c r="Q3074" s="253"/>
      <c r="R3074" s="277" t="s">
        <v>9564</v>
      </c>
      <c r="S3074" s="272" t="s">
        <v>3293</v>
      </c>
      <c r="T3074" s="273"/>
      <c r="U3074" s="274"/>
      <c r="V3074" s="280"/>
      <c r="W3074" s="244"/>
      <c r="X3074" s="244"/>
      <c r="Y3074" s="362"/>
      <c r="Z3074" s="257">
        <f>altaz(J2000_Bas,$O3074,$M3074,DecLat,DecLong,1)</f>
        <v>54.97257298851747</v>
      </c>
      <c r="AA3074" s="257">
        <f>altaz((J2000_Bas+(2*0.04167)),$O3074,$M3074,DecLat,DecLong,1)</f>
        <v>31.785822873917411</v>
      </c>
      <c r="AB3074" s="257">
        <f>altaz((J2000_Bas+(4*0.04167)),$O3074,$M3074,DecLat,DecLong,1)</f>
        <v>6.1666484120876177</v>
      </c>
      <c r="AC3074" s="257">
        <f>altaz((J2000_Bas+(6*0.04167)),$O3074,$M3074,DecLat,DecLong,1)</f>
        <v>-19.033434086180819</v>
      </c>
      <c r="AD3074" s="258">
        <f>1+ transit((J2000_Bas-1),$O3074,$M3074,DecLat,DecLong)/360 + (GMTOffset/24) + (IF(DST="Y", 1, 0)/24)</f>
        <v>1.7143466477442915</v>
      </c>
      <c r="AE3074" s="259">
        <f>DATE(2001,9,21)+(M3074/360)*365 - (360*((DecLong/360)- (GMTOffset/24) ))</f>
        <v>37423.328067129631</v>
      </c>
      <c r="AF3074" s="260">
        <f>IF(DecLat&gt;0,IF((90 - (DecLat-O3074))&gt;90, (90 - (O3074-DecLat)), (90 - (DecLat-O3074))),IF((90 + (DecLat-O3074))&gt;90, (90 + (O3074-DecLat)), (90 + (DecLat-O3074))))</f>
        <v>65.091944444444437</v>
      </c>
      <c r="AG3074" s="257">
        <f>angularseperation(MoonRA,MoonDec,$M3074,$O3074)</f>
        <v>34.691557117784541</v>
      </c>
      <c r="AH3074" s="261">
        <f ca="1">MIN(100,IF($O$5&gt;80,0+30*($AG3074/100),IF($O$5&gt;70,0+50*($AG3074/100),IF($O$5&gt;60,5+50*($AG3074/100),IF($O$5&gt;50,10+60*($AG3074/100),IF($O$5&gt;40,15+70*($AG3074/100),IF($O$5&gt;30,20+70*($AG3074/100),IF($O$5&gt;20,40+55*($AG3074/100),(80+(20-$O$5)+30*($AG3074/100))))))))))</f>
        <v>93.678527479485794</v>
      </c>
      <c r="AI3074" s="263"/>
      <c r="AJ3074" s="263"/>
      <c r="AK3074" s="263"/>
      <c r="AL3074" s="263"/>
      <c r="AM3074" s="264"/>
      <c r="AN3074" s="263"/>
      <c r="AO3074" s="263"/>
      <c r="AP3074" s="265"/>
      <c r="AQ3074" s="265"/>
      <c r="AR3074" s="285"/>
      <c r="AS3074" s="263"/>
      <c r="AT3074" s="263"/>
      <c r="AU3074" s="263"/>
      <c r="AV3074" s="264"/>
      <c r="AW3074" s="263"/>
      <c r="AX3074" s="263"/>
      <c r="AY3074" s="263"/>
      <c r="AZ3074" s="263"/>
      <c r="BA3074" s="263"/>
      <c r="BB3074" s="263"/>
      <c r="BC3074" s="263"/>
      <c r="BD3074" s="264">
        <v>111</v>
      </c>
      <c r="BE3074" s="263"/>
      <c r="BF3074" s="263"/>
      <c r="BG3074" s="263"/>
      <c r="BH3074" s="263"/>
      <c r="BI3074" s="263"/>
      <c r="BJ3074" s="404">
        <f>altaz(J2000_Bas,$O3074,$M3074,DecLat,DecLong,2)</f>
        <v>230.09334059703863</v>
      </c>
      <c r="BK3074" s="378" t="s">
        <v>2881</v>
      </c>
      <c r="BL3074" s="379">
        <f>IF((2*G3074)/60&lt;0.2,0.2,(2*G3074)/60)</f>
        <v>0.4</v>
      </c>
      <c r="BM3074" s="380">
        <f>MOD((50000+AD3074-$B$3+(0/24)),1)</f>
        <v>0.92971357744681882</v>
      </c>
      <c r="BN3074" s="381"/>
      <c r="BO3074" s="382">
        <v>3064</v>
      </c>
    </row>
    <row r="3075" spans="1:67" s="24" customFormat="1" ht="15" customHeight="1" x14ac:dyDescent="0.25">
      <c r="A3075" s="288" t="s">
        <v>2882</v>
      </c>
      <c r="B3075" s="241" t="str">
        <f>HYPERLINK(CONCATENATE($AT$3,BK3075,$AU$3),$AV$3)</f>
        <v>S</v>
      </c>
      <c r="C3075" s="242" t="str">
        <f>HYPERLINK(CONCATENATE($AT$4,BK3075,$AU$4,BL3075),$AV$4)</f>
        <v>A</v>
      </c>
      <c r="D3075" s="243" t="s">
        <v>5187</v>
      </c>
      <c r="E3075" s="244" t="s">
        <v>5186</v>
      </c>
      <c r="F3075" s="269"/>
      <c r="G3075" s="273">
        <v>1</v>
      </c>
      <c r="H3075" s="283">
        <v>1110</v>
      </c>
      <c r="I3075" s="309">
        <v>0.3</v>
      </c>
      <c r="J3075" s="246">
        <v>1</v>
      </c>
      <c r="K3075" s="277" t="s">
        <v>9486</v>
      </c>
      <c r="L3075" s="248">
        <v>175300</v>
      </c>
      <c r="M3075" s="249">
        <f>15*(LEFT(TEXT($L3075,"000000"),2)+(MID(TEXT($L3075,"000000"),3,2)/60)+(RIGHT(TEXT($L3075,"000000"),2)/3600))</f>
        <v>268.25</v>
      </c>
      <c r="N3075" s="286">
        <v>-53600</v>
      </c>
      <c r="O3075" s="251">
        <f>IF($N3075&gt;0,(LEFT(TEXT($N3075,"000000"),2)+(MID(TEXT($N3075,"000000"),3,2)/60)+(RIGHT(TEXT($N3075,"000000"),2)/3600)),-(MID(TEXT($N3075,"000000"),2,2)+(MID(TEXT($N3075,"000000"),4,2)/60)+(RIGHT(TEXT($N3075,"000000"),2)/3600)))</f>
        <v>-5.6</v>
      </c>
      <c r="P3075" s="252" t="s">
        <v>113</v>
      </c>
      <c r="Q3075" s="253"/>
      <c r="R3075" s="277"/>
      <c r="S3075" s="272" t="s">
        <v>3293</v>
      </c>
      <c r="T3075" s="273"/>
      <c r="U3075" s="274"/>
      <c r="V3075" s="280"/>
      <c r="W3075" s="244"/>
      <c r="X3075" s="244"/>
      <c r="Y3075" s="362"/>
      <c r="Z3075" s="257">
        <f>altaz(J2000_Bas,$O3075,$M3075,DecLat,DecLong,1)</f>
        <v>49.65813523872577</v>
      </c>
      <c r="AA3075" s="257">
        <f>altaz((J2000_Bas+(2*0.04167)),$O3075,$M3075,DecLat,DecLong,1)</f>
        <v>31.490686099751823</v>
      </c>
      <c r="AB3075" s="257">
        <f>altaz((J2000_Bas+(4*0.04167)),$O3075,$M3075,DecLat,DecLong,1)</f>
        <v>7.368223843632296</v>
      </c>
      <c r="AC3075" s="257">
        <f>altaz((J2000_Bas+(6*0.04167)),$O3075,$M3075,DecLat,DecLong,1)</f>
        <v>-18.298200060938331</v>
      </c>
      <c r="AD3075" s="258">
        <f>1+ transit((J2000_Bas-1),$O3075,$M3075,DecLat,DecLong)/360 + (GMTOffset/24) + (IF(DST="Y", 1, 0)/24)</f>
        <v>1.7380387750047079</v>
      </c>
      <c r="AE3075" s="259">
        <f>DATE(2001,9,21)+(M3075/360)*365 - (360*((DecLong/360)- (GMTOffset/24) ))</f>
        <v>37431.975694444445</v>
      </c>
      <c r="AF3075" s="260">
        <f>IF(DecLat&gt;0,IF((90 - (DecLat-O3075))&gt;90, (90 - (O3075-DecLat)), (90 - (DecLat-O3075))),IF((90 + (DecLat-O3075))&gt;90, (90 + (O3075-DecLat)), (90 + (DecLat-O3075))))</f>
        <v>53.4</v>
      </c>
      <c r="AG3075" s="257">
        <f>angularseperation(MoonRA,MoonDec,$M3075,$O3075)</f>
        <v>28.090724305511614</v>
      </c>
      <c r="AH3075" s="261">
        <f ca="1">MIN(100,IF($O$5&gt;80,0+30*($AG3075/100),IF($O$5&gt;70,0+50*($AG3075/100),IF($O$5&gt;60,5+50*($AG3075/100),IF($O$5&gt;50,10+60*($AG3075/100),IF($O$5&gt;40,15+70*($AG3075/100),IF($O$5&gt;30,20+70*($AG3075/100),IF($O$5&gt;20,40+55*($AG3075/100),(80+(20-$O$5)+30*($AG3075/100))))))))))</f>
        <v>91.698277635803919</v>
      </c>
      <c r="AI3075" s="263"/>
      <c r="AJ3075" s="263"/>
      <c r="AK3075" s="263"/>
      <c r="AL3075" s="263"/>
      <c r="AM3075" s="264"/>
      <c r="AN3075" s="263"/>
      <c r="AO3075" s="263"/>
      <c r="AP3075" s="265"/>
      <c r="AQ3075" s="265"/>
      <c r="AR3075" s="285"/>
      <c r="AS3075" s="263"/>
      <c r="AT3075" s="263"/>
      <c r="AU3075" s="263"/>
      <c r="AV3075" s="264"/>
      <c r="AW3075" s="263"/>
      <c r="AX3075" s="263"/>
      <c r="AY3075" s="263"/>
      <c r="AZ3075" s="263"/>
      <c r="BA3075" s="263"/>
      <c r="BB3075" s="263"/>
      <c r="BC3075" s="263"/>
      <c r="BD3075" s="264">
        <v>112</v>
      </c>
      <c r="BE3075" s="263"/>
      <c r="BF3075" s="263"/>
      <c r="BG3075" s="263"/>
      <c r="BH3075" s="263"/>
      <c r="BI3075" s="263"/>
      <c r="BJ3075" s="404">
        <f>altaz(J2000_Bas,$O3075,$M3075,DecLat,DecLong,2)</f>
        <v>207.95408019350413</v>
      </c>
      <c r="BK3075" s="378" t="s">
        <v>2882</v>
      </c>
      <c r="BL3075" s="379">
        <f>IF((2*G3075)/60&lt;0.2,0.2,(2*G3075)/60)</f>
        <v>0.2</v>
      </c>
      <c r="BM3075" s="380">
        <f>MOD((50000+AD3075-$B$3+(0/24)),1)</f>
        <v>0.95340570470580133</v>
      </c>
      <c r="BN3075" s="381"/>
      <c r="BO3075" s="382">
        <v>3065</v>
      </c>
    </row>
    <row r="3076" spans="1:67" s="24" customFormat="1" ht="15" customHeight="1" x14ac:dyDescent="0.25">
      <c r="A3076" s="288" t="s">
        <v>2883</v>
      </c>
      <c r="B3076" s="241" t="str">
        <f>HYPERLINK(CONCATENATE($AT$3,BK3076,$AU$3),$AV$3)</f>
        <v>S</v>
      </c>
      <c r="C3076" s="242" t="str">
        <f>HYPERLINK(CONCATENATE($AT$4,BK3076,$AU$4,BL3076),$AV$4)</f>
        <v>A</v>
      </c>
      <c r="D3076" s="243" t="s">
        <v>5187</v>
      </c>
      <c r="E3076" s="244" t="s">
        <v>5186</v>
      </c>
      <c r="F3076" s="269"/>
      <c r="G3076" s="273">
        <v>8</v>
      </c>
      <c r="H3076" s="283">
        <v>5200</v>
      </c>
      <c r="I3076" s="246">
        <v>12</v>
      </c>
      <c r="J3076" s="246">
        <v>1</v>
      </c>
      <c r="K3076" s="247" t="s">
        <v>9487</v>
      </c>
      <c r="L3076" s="248">
        <v>180838</v>
      </c>
      <c r="M3076" s="249">
        <f>15*(LEFT(TEXT($L3076,"000000"),2)+(MID(TEXT($L3076,"000000"),3,2)/60)+(RIGHT(TEXT($L3076,"000000"),2)/3600))</f>
        <v>272.1583333333333</v>
      </c>
      <c r="N3076" s="286">
        <v>-212654</v>
      </c>
      <c r="O3076" s="251">
        <f>IF($N3076&gt;0,(LEFT(TEXT($N3076,"000000"),2)+(MID(TEXT($N3076,"000000"),3,2)/60)+(RIGHT(TEXT($N3076,"000000"),2)/3600)),-(MID(TEXT($N3076,"000000"),2,2)+(MID(TEXT($N3076,"000000"),4,2)/60)+(RIGHT(TEXT($N3076,"000000"),2)/3600)))</f>
        <v>-21.448333333333334</v>
      </c>
      <c r="P3076" s="252" t="s">
        <v>119</v>
      </c>
      <c r="Q3076" s="253"/>
      <c r="R3076" s="247" t="s">
        <v>9565</v>
      </c>
      <c r="S3076" s="272" t="s">
        <v>6446</v>
      </c>
      <c r="T3076" s="273"/>
      <c r="U3076" s="274"/>
      <c r="V3076" s="280"/>
      <c r="W3076" s="244"/>
      <c r="X3076" s="244"/>
      <c r="Y3076" s="362"/>
      <c r="Z3076" s="257">
        <f>altaz(J2000_Bas,$O3076,$M3076,DecLat,DecLong,1)</f>
        <v>35.894881005643605</v>
      </c>
      <c r="AA3076" s="257">
        <f>altaz((J2000_Bas+(2*0.04167)),$O3076,$M3076,DecLat,DecLong,1)</f>
        <v>22.721485061322912</v>
      </c>
      <c r="AB3076" s="257">
        <f>altaz((J2000_Bas+(4*0.04167)),$O3076,$M3076,DecLat,DecLong,1)</f>
        <v>1.7991691496575433</v>
      </c>
      <c r="AC3076" s="257">
        <f>altaz((J2000_Bas+(6*0.04167)),$O3076,$M3076,DecLat,DecLong,1)</f>
        <v>-22.49851602984522</v>
      </c>
      <c r="AD3076" s="258">
        <f>1+ transit((J2000_Bas-1),$O3076,$M3076,DecLat,DecLong)/360 + (GMTOffset/24) + (IF(DST="Y", 1, 0)/24)</f>
        <v>1.7488952554005415</v>
      </c>
      <c r="AE3076" s="259">
        <f>DATE(2001,9,21)+(M3076/360)*365 - (360*((DecLong/360)- (GMTOffset/24) ))</f>
        <v>37435.938310185185</v>
      </c>
      <c r="AF3076" s="260">
        <f>IF(DecLat&gt;0,IF((90 - (DecLat-O3076))&gt;90, (90 - (O3076-DecLat)), (90 - (DecLat-O3076))),IF((90 + (DecLat-O3076))&gt;90, (90 + (O3076-DecLat)), (90 + (DecLat-O3076))))</f>
        <v>37.551666666666662</v>
      </c>
      <c r="AG3076" s="257">
        <f>angularseperation(MoonRA,MoonDec,$M3076,$O3076)</f>
        <v>21.602304061271042</v>
      </c>
      <c r="AH3076" s="261">
        <f ca="1">MIN(100,IF($O$5&gt;80,0+30*($AG3076/100),IF($O$5&gt;70,0+50*($AG3076/100),IF($O$5&gt;60,5+50*($AG3076/100),IF($O$5&gt;50,10+60*($AG3076/100),IF($O$5&gt;40,15+70*($AG3076/100),IF($O$5&gt;30,20+70*($AG3076/100),IF($O$5&gt;20,40+55*($AG3076/100),(80+(20-$O$5)+30*($AG3076/100))))))))))</f>
        <v>89.751751562531737</v>
      </c>
      <c r="AI3076" s="262"/>
      <c r="AJ3076" s="262"/>
      <c r="AK3076" s="262"/>
      <c r="AL3076" s="263"/>
      <c r="AM3076" s="264"/>
      <c r="AN3076" s="263"/>
      <c r="AO3076" s="263"/>
      <c r="AP3076" s="265"/>
      <c r="AQ3076" s="266"/>
      <c r="AR3076" s="267"/>
      <c r="AS3076" s="263"/>
      <c r="AT3076" s="263"/>
      <c r="AU3076" s="263"/>
      <c r="AV3076" s="264"/>
      <c r="AW3076" s="263"/>
      <c r="AX3076" s="263"/>
      <c r="AY3076" s="263"/>
      <c r="AZ3076" s="263"/>
      <c r="BA3076" s="263"/>
      <c r="BB3076" s="263"/>
      <c r="BC3076" s="263"/>
      <c r="BD3076" s="264">
        <v>113</v>
      </c>
      <c r="BE3076" s="263"/>
      <c r="BF3076" s="263"/>
      <c r="BG3076" s="263"/>
      <c r="BH3076" s="263"/>
      <c r="BI3076" s="263"/>
      <c r="BJ3076" s="404">
        <f>altaz(J2000_Bas,$O3076,$M3076,DecLat,DecLong,2)</f>
        <v>195.95740196362829</v>
      </c>
      <c r="BK3076" s="378" t="s">
        <v>2883</v>
      </c>
      <c r="BL3076" s="379">
        <f>IF((2*G3076)/60&lt;0.2,0.2,(2*G3076)/60)</f>
        <v>0.26666666666666666</v>
      </c>
      <c r="BM3076" s="380">
        <f>MOD((50000+AD3076-$B$3+(0/24)),1)</f>
        <v>0.96426218510168837</v>
      </c>
      <c r="BN3076" s="381"/>
      <c r="BO3076" s="382">
        <v>3066</v>
      </c>
    </row>
    <row r="3077" spans="1:67" s="24" customFormat="1" ht="15" customHeight="1" x14ac:dyDescent="0.25">
      <c r="A3077" s="288" t="s">
        <v>2884</v>
      </c>
      <c r="B3077" s="241" t="str">
        <f>HYPERLINK(CONCATENATE($AT$3,BK3077,$AU$3),$AV$3)</f>
        <v>S</v>
      </c>
      <c r="C3077" s="242" t="str">
        <f>HYPERLINK(CONCATENATE($AT$4,BK3077,$AU$4,BL3077),$AV$4)</f>
        <v>A</v>
      </c>
      <c r="D3077" s="243" t="s">
        <v>5187</v>
      </c>
      <c r="E3077" s="244" t="s">
        <v>5186</v>
      </c>
      <c r="F3077" s="269"/>
      <c r="G3077" s="273">
        <v>1</v>
      </c>
      <c r="H3077" s="271" t="s">
        <v>6500</v>
      </c>
      <c r="I3077" s="244" t="s">
        <v>6500</v>
      </c>
      <c r="J3077" s="246">
        <v>0</v>
      </c>
      <c r="K3077" s="277" t="s">
        <v>6421</v>
      </c>
      <c r="L3077" s="248">
        <v>180908</v>
      </c>
      <c r="M3077" s="249">
        <f>15*(LEFT(TEXT($L3077,"000000"),2)+(MID(TEXT($L3077,"000000"),3,2)/60)+(RIGHT(TEXT($L3077,"000000"),2)/3600))</f>
        <v>272.2833333333333</v>
      </c>
      <c r="N3077" s="286">
        <v>-182320</v>
      </c>
      <c r="O3077" s="251">
        <f>IF($N3077&gt;0,(LEFT(TEXT($N3077,"000000"),2)+(MID(TEXT($N3077,"000000"),3,2)/60)+(RIGHT(TEXT($N3077,"000000"),2)/3600)),-(MID(TEXT($N3077,"000000"),2,2)+(MID(TEXT($N3077,"000000"),4,2)/60)+(RIGHT(TEXT($N3077,"000000"),2)/3600)))</f>
        <v>-18.388888888888889</v>
      </c>
      <c r="P3077" s="252" t="s">
        <v>119</v>
      </c>
      <c r="Q3077" s="253"/>
      <c r="R3077" s="247"/>
      <c r="S3077" s="272" t="s">
        <v>3293</v>
      </c>
      <c r="T3077" s="273"/>
      <c r="U3077" s="274"/>
      <c r="V3077" s="280"/>
      <c r="W3077" s="244"/>
      <c r="X3077" s="244"/>
      <c r="Y3077" s="362"/>
      <c r="Z3077" s="257">
        <f>altaz(J2000_Bas,$O3077,$M3077,DecLat,DecLong,1)</f>
        <v>38.881713706059401</v>
      </c>
      <c r="AA3077" s="257">
        <f>altaz((J2000_Bas+(2*0.04167)),$O3077,$M3077,DecLat,DecLong,1)</f>
        <v>25.123074246671631</v>
      </c>
      <c r="AB3077" s="257">
        <f>altaz((J2000_Bas+(4*0.04167)),$O3077,$M3077,DecLat,DecLong,1)</f>
        <v>3.6263294926736305</v>
      </c>
      <c r="AC3077" s="257">
        <f>altaz((J2000_Bas+(6*0.04167)),$O3077,$M3077,DecLat,DecLong,1)</f>
        <v>-21.031569940909723</v>
      </c>
      <c r="AD3077" s="258">
        <f>1+ transit((J2000_Bas-1),$O3077,$M3077,DecLat,DecLong)/360 + (GMTOffset/24) + (IF(DST="Y", 1, 0)/24)</f>
        <v>1.7492424775880413</v>
      </c>
      <c r="AE3077" s="259">
        <f>DATE(2001,9,21)+(M3077/360)*365 - (360*((DecLong/360)- (GMTOffset/24) ))</f>
        <v>37436.065046296295</v>
      </c>
      <c r="AF3077" s="260">
        <f>IF(DecLat&gt;0,IF((90 - (DecLat-O3077))&gt;90, (90 - (O3077-DecLat)), (90 - (DecLat-O3077))),IF((90 + (DecLat-O3077))&gt;90, (90 + (O3077-DecLat)), (90 + (DecLat-O3077))))</f>
        <v>40.611111111111114</v>
      </c>
      <c r="AG3077" s="257">
        <f>angularseperation(MoonRA,MoonDec,$M3077,$O3077)</f>
        <v>22.911962480578111</v>
      </c>
      <c r="AH3077" s="261">
        <f ca="1">MIN(100,IF($O$5&gt;80,0+30*($AG3077/100),IF($O$5&gt;70,0+50*($AG3077/100),IF($O$5&gt;60,5+50*($AG3077/100),IF($O$5&gt;50,10+60*($AG3077/100),IF($O$5&gt;40,15+70*($AG3077/100),IF($O$5&gt;30,20+70*($AG3077/100),IF($O$5&gt;20,40+55*($AG3077/100),(80+(20-$O$5)+30*($AG3077/100))))))))))</f>
        <v>90.14464908832386</v>
      </c>
      <c r="AI3077" s="262"/>
      <c r="AJ3077" s="262"/>
      <c r="AK3077" s="262"/>
      <c r="AL3077" s="263"/>
      <c r="AM3077" s="264"/>
      <c r="AN3077" s="263"/>
      <c r="AO3077" s="263"/>
      <c r="AP3077" s="265"/>
      <c r="AQ3077" s="266"/>
      <c r="AR3077" s="267"/>
      <c r="AS3077" s="263"/>
      <c r="AT3077" s="263"/>
      <c r="AU3077" s="263"/>
      <c r="AV3077" s="264"/>
      <c r="AW3077" s="263"/>
      <c r="AX3077" s="263"/>
      <c r="AY3077" s="263"/>
      <c r="AZ3077" s="263"/>
      <c r="BA3077" s="263"/>
      <c r="BB3077" s="263"/>
      <c r="BC3077" s="263"/>
      <c r="BD3077" s="264">
        <v>114</v>
      </c>
      <c r="BE3077" s="263"/>
      <c r="BF3077" s="263"/>
      <c r="BG3077" s="263"/>
      <c r="BH3077" s="263"/>
      <c r="BI3077" s="263"/>
      <c r="BJ3077" s="404">
        <f>altaz(J2000_Bas,$O3077,$M3077,DecLat,DecLong,2)</f>
        <v>196.80461587403846</v>
      </c>
      <c r="BK3077" s="378" t="s">
        <v>2884</v>
      </c>
      <c r="BL3077" s="379">
        <f>IF((2*G3077)/60&lt;0.2,0.2,(2*G3077)/60)</f>
        <v>0.2</v>
      </c>
      <c r="BM3077" s="380">
        <f>MOD((50000+AD3077-$B$3+(0/24)),1)</f>
        <v>0.96460940728866262</v>
      </c>
      <c r="BN3077" s="381"/>
      <c r="BO3077" s="382">
        <v>3067</v>
      </c>
    </row>
    <row r="3078" spans="1:67" s="24" customFormat="1" ht="15" customHeight="1" x14ac:dyDescent="0.25">
      <c r="A3078" s="288" t="s">
        <v>2885</v>
      </c>
      <c r="B3078" s="241" t="str">
        <f>HYPERLINK(CONCATENATE($AT$3,BK3078,$AU$3),$AV$3)</f>
        <v>S</v>
      </c>
      <c r="C3078" s="242" t="str">
        <f>HYPERLINK(CONCATENATE($AT$4,BK3078,$AU$4,BL3078),$AV$4)</f>
        <v>A</v>
      </c>
      <c r="D3078" s="243" t="s">
        <v>5187</v>
      </c>
      <c r="E3078" s="244" t="s">
        <v>5186</v>
      </c>
      <c r="F3078" s="269"/>
      <c r="G3078" s="273">
        <v>2</v>
      </c>
      <c r="H3078" s="283">
        <v>5400</v>
      </c>
      <c r="I3078" s="279">
        <v>3.2</v>
      </c>
      <c r="J3078" s="246">
        <v>1</v>
      </c>
      <c r="K3078" s="277" t="s">
        <v>9488</v>
      </c>
      <c r="L3078" s="248">
        <v>180908</v>
      </c>
      <c r="M3078" s="249">
        <f>15*(LEFT(TEXT($L3078,"000000"),2)+(MID(TEXT($L3078,"000000"),3,2)/60)+(RIGHT(TEXT($L3078,"000000"),2)/3600))</f>
        <v>272.2833333333333</v>
      </c>
      <c r="N3078" s="250">
        <v>-232620</v>
      </c>
      <c r="O3078" s="251">
        <f>IF($N3078&gt;0,(LEFT(TEXT($N3078,"000000"),2)+(MID(TEXT($N3078,"000000"),3,2)/60)+(RIGHT(TEXT($N3078,"000000"),2)/3600)),-(MID(TEXT($N3078,"000000"),2,2)+(MID(TEXT($N3078,"000000"),4,2)/60)+(RIGHT(TEXT($N3078,"000000"),2)/3600)))</f>
        <v>-23.43888888888889</v>
      </c>
      <c r="P3078" s="252" t="s">
        <v>119</v>
      </c>
      <c r="Q3078" s="253"/>
      <c r="R3078" s="247" t="s">
        <v>9566</v>
      </c>
      <c r="S3078" s="272" t="s">
        <v>3293</v>
      </c>
      <c r="T3078" s="273"/>
      <c r="U3078" s="274"/>
      <c r="V3078" s="280"/>
      <c r="W3078" s="244"/>
      <c r="X3078" s="244"/>
      <c r="Y3078" s="362"/>
      <c r="Z3078" s="257">
        <f>altaz(J2000_Bas,$O3078,$M3078,DecLat,DecLong,1)</f>
        <v>33.995883296010703</v>
      </c>
      <c r="AA3078" s="257">
        <f>altaz((J2000_Bas+(2*0.04167)),$O3078,$M3078,DecLat,DecLong,1)</f>
        <v>21.267098704925626</v>
      </c>
      <c r="AB3078" s="257">
        <f>altaz((J2000_Bas+(4*0.04167)),$O3078,$M3078,DecLat,DecLong,1)</f>
        <v>0.76646507450145451</v>
      </c>
      <c r="AC3078" s="257">
        <f>altaz((J2000_Bas+(6*0.04167)),$O3078,$M3078,DecLat,DecLong,1)</f>
        <v>-23.25119564534721</v>
      </c>
      <c r="AD3078" s="258">
        <f>1+ transit((J2000_Bas-1),$O3078,$M3078,DecLat,DecLong)/360 + (GMTOffset/24) + (IF(DST="Y", 1, 0)/24)</f>
        <v>1.7492424775880413</v>
      </c>
      <c r="AE3078" s="259">
        <f>DATE(2001,9,21)+(M3078/360)*365 - (360*((DecLong/360)- (GMTOffset/24) ))</f>
        <v>37436.065046296295</v>
      </c>
      <c r="AF3078" s="260">
        <f>IF(DecLat&gt;0,IF((90 - (DecLat-O3078))&gt;90, (90 - (O3078-DecLat)), (90 - (DecLat-O3078))),IF((90 + (DecLat-O3078))&gt;90, (90 + (O3078-DecLat)), (90 + (DecLat-O3078))))</f>
        <v>35.56111111111111</v>
      </c>
      <c r="AG3078" s="257">
        <f>angularseperation(MoonRA,MoonDec,$M3078,$O3078)</f>
        <v>21.123068471404864</v>
      </c>
      <c r="AH3078" s="261">
        <f ca="1">MIN(100,IF($O$5&gt;80,0+30*($AG3078/100),IF($O$5&gt;70,0+50*($AG3078/100),IF($O$5&gt;60,5+50*($AG3078/100),IF($O$5&gt;50,10+60*($AG3078/100),IF($O$5&gt;40,15+70*($AG3078/100),IF($O$5&gt;30,20+70*($AG3078/100),IF($O$5&gt;20,40+55*($AG3078/100),(80+(20-$O$5)+30*($AG3078/100))))))))))</f>
        <v>89.607980885571891</v>
      </c>
      <c r="AI3078" s="262"/>
      <c r="AJ3078" s="262"/>
      <c r="AK3078" s="262"/>
      <c r="AL3078" s="263"/>
      <c r="AM3078" s="264"/>
      <c r="AN3078" s="263"/>
      <c r="AO3078" s="263"/>
      <c r="AP3078" s="265"/>
      <c r="AQ3078" s="266"/>
      <c r="AR3078" s="267"/>
      <c r="AS3078" s="263"/>
      <c r="AT3078" s="263"/>
      <c r="AU3078" s="263"/>
      <c r="AV3078" s="264"/>
      <c r="AW3078" s="263"/>
      <c r="AX3078" s="263"/>
      <c r="AY3078" s="263"/>
      <c r="AZ3078" s="263"/>
      <c r="BA3078" s="263"/>
      <c r="BB3078" s="263"/>
      <c r="BC3078" s="263"/>
      <c r="BD3078" s="264">
        <v>115</v>
      </c>
      <c r="BE3078" s="263"/>
      <c r="BF3078" s="263"/>
      <c r="BG3078" s="263"/>
      <c r="BH3078" s="263"/>
      <c r="BI3078" s="263"/>
      <c r="BJ3078" s="404">
        <f>altaz(J2000_Bas,$O3078,$M3078,DecLat,DecLong,2)</f>
        <v>195.21578034447705</v>
      </c>
      <c r="BK3078" s="378" t="s">
        <v>2885</v>
      </c>
      <c r="BL3078" s="379">
        <f>IF((2*G3078)/60&lt;0.2,0.2,(2*G3078)/60)</f>
        <v>0.2</v>
      </c>
      <c r="BM3078" s="380">
        <f>MOD((50000+AD3078-$B$3+(0/24)),1)</f>
        <v>0.96460940728866262</v>
      </c>
      <c r="BN3078" s="381"/>
      <c r="BO3078" s="382">
        <v>3068</v>
      </c>
    </row>
    <row r="3079" spans="1:67" s="24" customFormat="1" ht="15" customHeight="1" x14ac:dyDescent="0.25">
      <c r="A3079" s="288" t="s">
        <v>2886</v>
      </c>
      <c r="B3079" s="241" t="str">
        <f>HYPERLINK(CONCATENATE($AT$3,BK3079,$AU$3),$AV$3)</f>
        <v>S</v>
      </c>
      <c r="C3079" s="242" t="str">
        <f>HYPERLINK(CONCATENATE($AT$4,BK3079,$AU$4,BL3079),$AV$4)</f>
        <v>A</v>
      </c>
      <c r="D3079" s="243" t="s">
        <v>5187</v>
      </c>
      <c r="E3079" s="244" t="s">
        <v>5186</v>
      </c>
      <c r="F3079" s="269"/>
      <c r="G3079" s="273">
        <v>1</v>
      </c>
      <c r="H3079" s="283">
        <v>4560</v>
      </c>
      <c r="I3079" s="279">
        <v>1.3</v>
      </c>
      <c r="J3079" s="246">
        <v>0</v>
      </c>
      <c r="K3079" s="277" t="s">
        <v>6447</v>
      </c>
      <c r="L3079" s="248">
        <v>181008</v>
      </c>
      <c r="M3079" s="249">
        <f>15*(LEFT(TEXT($L3079,"000000"),2)+(MID(TEXT($L3079,"000000"),3,2)/60)+(RIGHT(TEXT($L3079,"000000"),2)/3600))</f>
        <v>272.53333333333336</v>
      </c>
      <c r="N3079" s="286">
        <v>-174320</v>
      </c>
      <c r="O3079" s="251">
        <f>IF($N3079&gt;0,(LEFT(TEXT($N3079,"000000"),2)+(MID(TEXT($N3079,"000000"),3,2)/60)+(RIGHT(TEXT($N3079,"000000"),2)/3600)),-(MID(TEXT($N3079,"000000"),2,2)+(MID(TEXT($N3079,"000000"),4,2)/60)+(RIGHT(TEXT($N3079,"000000"),2)/3600)))</f>
        <v>-17.722222222222221</v>
      </c>
      <c r="P3079" s="252" t="s">
        <v>119</v>
      </c>
      <c r="Q3079" s="253"/>
      <c r="R3079" s="247" t="s">
        <v>3293</v>
      </c>
      <c r="S3079" s="272" t="s">
        <v>3293</v>
      </c>
      <c r="T3079" s="273"/>
      <c r="U3079" s="274"/>
      <c r="V3079" s="280"/>
      <c r="W3079" s="244"/>
      <c r="X3079" s="244"/>
      <c r="Y3079" s="362"/>
      <c r="Z3079" s="257">
        <f>altaz(J2000_Bas,$O3079,$M3079,DecLat,DecLong,1)</f>
        <v>39.587257789485541</v>
      </c>
      <c r="AA3079" s="257">
        <f>altaz((J2000_Bas+(2*0.04167)),$O3079,$M3079,DecLat,DecLong,1)</f>
        <v>25.782304923982188</v>
      </c>
      <c r="AB3079" s="257">
        <f>altaz((J2000_Bas+(4*0.04167)),$O3079,$M3079,DecLat,DecLong,1)</f>
        <v>4.1992469950375622</v>
      </c>
      <c r="AC3079" s="257">
        <f>altaz((J2000_Bas+(6*0.04167)),$O3079,$M3079,DecLat,DecLong,1)</f>
        <v>-20.516190397518649</v>
      </c>
      <c r="AD3079" s="258">
        <f>1+ transit((J2000_Bas-1),$O3079,$M3079,DecLat,DecLong)/360 + (GMTOffset/24) + (IF(DST="Y", 1, 0)/24)</f>
        <v>1.7499369219630416</v>
      </c>
      <c r="AE3079" s="259">
        <f>DATE(2001,9,21)+(M3079/360)*365 - (360*((DecLong/360)- (GMTOffset/24) ))</f>
        <v>37436.318518518521</v>
      </c>
      <c r="AF3079" s="260">
        <f>IF(DecLat&gt;0,IF((90 - (DecLat-O3079))&gt;90, (90 - (O3079-DecLat)), (90 - (DecLat-O3079))),IF((90 + (DecLat-O3079))&gt;90, (90 + (O3079-DecLat)), (90 + (DecLat-O3079))))</f>
        <v>41.277777777777779</v>
      </c>
      <c r="AG3079" s="257">
        <f>angularseperation(MoonRA,MoonDec,$M3079,$O3079)</f>
        <v>23.427154381391841</v>
      </c>
      <c r="AH3079" s="261">
        <f ca="1">MIN(100,IF($O$5&gt;80,0+30*($AG3079/100),IF($O$5&gt;70,0+50*($AG3079/100),IF($O$5&gt;60,5+50*($AG3079/100),IF($O$5&gt;50,10+60*($AG3079/100),IF($O$5&gt;40,15+70*($AG3079/100),IF($O$5&gt;30,20+70*($AG3079/100),IF($O$5&gt;20,40+55*($AG3079/100),(80+(20-$O$5)+30*($AG3079/100))))))))))</f>
        <v>90.299206658567982</v>
      </c>
      <c r="AI3079" s="262"/>
      <c r="AJ3079" s="262"/>
      <c r="AK3079" s="262"/>
      <c r="AL3079" s="263"/>
      <c r="AM3079" s="264"/>
      <c r="AN3079" s="263"/>
      <c r="AO3079" s="263"/>
      <c r="AP3079" s="265"/>
      <c r="AQ3079" s="266"/>
      <c r="AR3079" s="267"/>
      <c r="AS3079" s="263"/>
      <c r="AT3079" s="263"/>
      <c r="AU3079" s="263"/>
      <c r="AV3079" s="264"/>
      <c r="AW3079" s="263"/>
      <c r="AX3079" s="263"/>
      <c r="AY3079" s="263"/>
      <c r="AZ3079" s="263"/>
      <c r="BA3079" s="263"/>
      <c r="BB3079" s="263"/>
      <c r="BC3079" s="263"/>
      <c r="BD3079" s="264">
        <v>116</v>
      </c>
      <c r="BE3079" s="263"/>
      <c r="BF3079" s="263"/>
      <c r="BG3079" s="263"/>
      <c r="BH3079" s="263"/>
      <c r="BI3079" s="263"/>
      <c r="BJ3079" s="404">
        <f>altaz(J2000_Bas,$O3079,$M3079,DecLat,DecLong,2)</f>
        <v>196.73218613966978</v>
      </c>
      <c r="BK3079" s="378" t="s">
        <v>2886</v>
      </c>
      <c r="BL3079" s="379">
        <f>IF((2*G3079)/60&lt;0.2,0.2,(2*G3079)/60)</f>
        <v>0.2</v>
      </c>
      <c r="BM3079" s="380">
        <f>MOD((50000+AD3079-$B$3+(0/24)),1)</f>
        <v>0.96530385166988708</v>
      </c>
      <c r="BN3079" s="381"/>
      <c r="BO3079" s="382">
        <v>3069</v>
      </c>
    </row>
    <row r="3080" spans="1:67" s="24" customFormat="1" ht="15" customHeight="1" x14ac:dyDescent="0.25">
      <c r="A3080" s="288" t="s">
        <v>2887</v>
      </c>
      <c r="B3080" s="241" t="str">
        <f>HYPERLINK(CONCATENATE($AT$3,BK3080,$AU$3),$AV$3)</f>
        <v>S</v>
      </c>
      <c r="C3080" s="242" t="str">
        <f>HYPERLINK(CONCATENATE($AT$4,BK3080,$AU$4,BL3080),$AV$4)</f>
        <v>A</v>
      </c>
      <c r="D3080" s="243" t="s">
        <v>5187</v>
      </c>
      <c r="E3080" s="244" t="s">
        <v>5186</v>
      </c>
      <c r="F3080" s="269"/>
      <c r="G3080" s="273">
        <v>2</v>
      </c>
      <c r="H3080" s="283">
        <v>5960</v>
      </c>
      <c r="I3080" s="279">
        <v>3.6</v>
      </c>
      <c r="J3080" s="246">
        <v>0</v>
      </c>
      <c r="K3080" s="277" t="s">
        <v>6409</v>
      </c>
      <c r="L3080" s="248">
        <v>181408</v>
      </c>
      <c r="M3080" s="249">
        <f>15*(LEFT(TEXT($L3080,"000000"),2)+(MID(TEXT($L3080,"000000"),3,2)/60)+(RIGHT(TEXT($L3080,"000000"),2)/3600))</f>
        <v>273.53333333333336</v>
      </c>
      <c r="N3080" s="286">
        <v>-172120</v>
      </c>
      <c r="O3080" s="251">
        <f>IF($N3080&gt;0,(LEFT(TEXT($N3080,"000000"),2)+(MID(TEXT($N3080,"000000"),3,2)/60)+(RIGHT(TEXT($N3080,"000000"),2)/3600)),-(MID(TEXT($N3080,"000000"),2,2)+(MID(TEXT($N3080,"000000"),4,2)/60)+(RIGHT(TEXT($N3080,"000000"),2)/3600)))</f>
        <v>-17.355555555555558</v>
      </c>
      <c r="P3080" s="252" t="s">
        <v>119</v>
      </c>
      <c r="Q3080" s="253"/>
      <c r="R3080" s="247" t="s">
        <v>3293</v>
      </c>
      <c r="S3080" s="272" t="s">
        <v>3293</v>
      </c>
      <c r="T3080" s="273"/>
      <c r="U3080" s="274"/>
      <c r="V3080" s="280"/>
      <c r="W3080" s="244"/>
      <c r="X3080" s="244"/>
      <c r="Y3080" s="362"/>
      <c r="Z3080" s="257">
        <f>altaz(J2000_Bas,$O3080,$M3080,DecLat,DecLong,1)</f>
        <v>40.181244705954533</v>
      </c>
      <c r="AA3080" s="257">
        <f>altaz((J2000_Bas+(2*0.04167)),$O3080,$M3080,DecLat,DecLong,1)</f>
        <v>26.682233180758463</v>
      </c>
      <c r="AB3080" s="257">
        <f>altaz((J2000_Bas+(4*0.04167)),$O3080,$M3080,DecLat,DecLong,1)</f>
        <v>5.1923000593810107</v>
      </c>
      <c r="AC3080" s="257">
        <f>altaz((J2000_Bas+(6*0.04167)),$O3080,$M3080,DecLat,DecLong,1)</f>
        <v>-19.500853503141286</v>
      </c>
      <c r="AD3080" s="258">
        <f>1+ transit((J2000_Bas-1),$O3080,$M3080,DecLat,DecLong)/360 + (GMTOffset/24) + (IF(DST="Y", 1, 0)/24)</f>
        <v>1.7527146994630416</v>
      </c>
      <c r="AE3080" s="259">
        <f>DATE(2001,9,21)+(M3080/360)*365 - (360*((DecLong/360)- (GMTOffset/24) ))</f>
        <v>37437.332407407404</v>
      </c>
      <c r="AF3080" s="260">
        <f>IF(DecLat&gt;0,IF((90 - (DecLat-O3080))&gt;90, (90 - (O3080-DecLat)), (90 - (DecLat-O3080))),IF((90 + (DecLat-O3080))&gt;90, (90 + (O3080-DecLat)), (90 + (DecLat-O3080))))</f>
        <v>41.644444444444446</v>
      </c>
      <c r="AG3080" s="257">
        <f>angularseperation(MoonRA,MoonDec,$M3080,$O3080)</f>
        <v>24.441813726074024</v>
      </c>
      <c r="AH3080" s="261">
        <f ca="1">MIN(100,IF($O$5&gt;80,0+30*($AG3080/100),IF($O$5&gt;70,0+50*($AG3080/100),IF($O$5&gt;60,5+50*($AG3080/100),IF($O$5&gt;50,10+60*($AG3080/100),IF($O$5&gt;40,15+70*($AG3080/100),IF($O$5&gt;30,20+70*($AG3080/100),IF($O$5&gt;20,40+55*($AG3080/100),(80+(20-$O$5)+30*($AG3080/100))))))))))</f>
        <v>90.603604461972637</v>
      </c>
      <c r="AI3080" s="262"/>
      <c r="AJ3080" s="262"/>
      <c r="AK3080" s="262"/>
      <c r="AL3080" s="263"/>
      <c r="AM3080" s="264"/>
      <c r="AN3080" s="263"/>
      <c r="AO3080" s="263"/>
      <c r="AP3080" s="265"/>
      <c r="AQ3080" s="266"/>
      <c r="AR3080" s="267"/>
      <c r="AS3080" s="263"/>
      <c r="AT3080" s="263"/>
      <c r="AU3080" s="263"/>
      <c r="AV3080" s="264"/>
      <c r="AW3080" s="263"/>
      <c r="AX3080" s="263"/>
      <c r="AY3080" s="263"/>
      <c r="AZ3080" s="263"/>
      <c r="BA3080" s="263"/>
      <c r="BB3080" s="263"/>
      <c r="BC3080" s="263"/>
      <c r="BD3080" s="264">
        <v>117</v>
      </c>
      <c r="BE3080" s="263"/>
      <c r="BF3080" s="263"/>
      <c r="BG3080" s="263"/>
      <c r="BH3080" s="263"/>
      <c r="BI3080" s="263"/>
      <c r="BJ3080" s="404">
        <f>altaz(J2000_Bas,$O3080,$M3080,DecLat,DecLong,2)</f>
        <v>195.6490139249866</v>
      </c>
      <c r="BK3080" s="378" t="s">
        <v>2887</v>
      </c>
      <c r="BL3080" s="379">
        <f>IF((2*G3080)/60&lt;0.2,0.2,(2*G3080)/60)</f>
        <v>0.2</v>
      </c>
      <c r="BM3080" s="380">
        <f>MOD((50000+AD3080-$B$3+(0/24)),1)</f>
        <v>0.96808162916568108</v>
      </c>
      <c r="BN3080" s="381"/>
      <c r="BO3080" s="382">
        <v>3070</v>
      </c>
    </row>
    <row r="3081" spans="1:67" s="24" customFormat="1" ht="15" customHeight="1" x14ac:dyDescent="0.25">
      <c r="A3081" s="288" t="s">
        <v>2888</v>
      </c>
      <c r="B3081" s="241" t="str">
        <f>HYPERLINK(CONCATENATE($AT$3,BK3081,$AU$3),$AV$3)</f>
        <v>S</v>
      </c>
      <c r="C3081" s="242" t="str">
        <f>HYPERLINK(CONCATENATE($AT$4,BK3081,$AU$4,BL3081),$AV$4)</f>
        <v>A</v>
      </c>
      <c r="D3081" s="243" t="s">
        <v>5187</v>
      </c>
      <c r="E3081" s="244" t="s">
        <v>5186</v>
      </c>
      <c r="F3081" s="269"/>
      <c r="G3081" s="273">
        <v>5</v>
      </c>
      <c r="H3081" s="283">
        <v>4270</v>
      </c>
      <c r="I3081" s="279">
        <v>6</v>
      </c>
      <c r="J3081" s="246">
        <v>2</v>
      </c>
      <c r="K3081" s="247" t="s">
        <v>9489</v>
      </c>
      <c r="L3081" s="248">
        <v>181652</v>
      </c>
      <c r="M3081" s="249">
        <f>15*(LEFT(TEXT($L3081,"000000"),2)+(MID(TEXT($L3081,"000000"),3,2)/60)+(RIGHT(TEXT($L3081,"000000"),2)/3600))</f>
        <v>274.21666666666664</v>
      </c>
      <c r="N3081" s="250">
        <v>-194703</v>
      </c>
      <c r="O3081" s="251">
        <f>IF($N3081&gt;0,(LEFT(TEXT($N3081,"000000"),2)+(MID(TEXT($N3081,"000000"),3,2)/60)+(RIGHT(TEXT($N3081,"000000"),2)/3600)),-(MID(TEXT($N3081,"000000"),2,2)+(MID(TEXT($N3081,"000000"),4,2)/60)+(RIGHT(TEXT($N3081,"000000"),2)/3600)))</f>
        <v>-19.784166666666668</v>
      </c>
      <c r="P3081" s="252" t="s">
        <v>119</v>
      </c>
      <c r="Q3081" s="253"/>
      <c r="R3081" s="247" t="s">
        <v>3663</v>
      </c>
      <c r="S3081" s="272" t="s">
        <v>6266</v>
      </c>
      <c r="T3081" s="273"/>
      <c r="U3081" s="274"/>
      <c r="V3081" s="280"/>
      <c r="W3081" s="244"/>
      <c r="X3081" s="244"/>
      <c r="Y3081" s="362"/>
      <c r="Z3081" s="257">
        <f>altaz(J2000_Bas,$O3081,$M3081,DecLat,DecLong,1)</f>
        <v>37.969276962902789</v>
      </c>
      <c r="AA3081" s="257">
        <f>altaz((J2000_Bas+(2*0.04167)),$O3081,$M3081,DecLat,DecLong,1)</f>
        <v>25.232304964415107</v>
      </c>
      <c r="AB3081" s="257">
        <f>altaz((J2000_Bas+(4*0.04167)),$O3081,$M3081,DecLat,DecLong,1)</f>
        <v>4.3309479982165726</v>
      </c>
      <c r="AC3081" s="257">
        <f>altaz((J2000_Bas+(6*0.04167)),$O3081,$M3081,DecLat,DecLong,1)</f>
        <v>-20.033528340494907</v>
      </c>
      <c r="AD3081" s="258">
        <f>1+ transit((J2000_Bas-1),$O3081,$M3081,DecLat,DecLong)/360 + (GMTOffset/24) + (IF(DST="Y", 1, 0)/24)</f>
        <v>1.7546128474213745</v>
      </c>
      <c r="AE3081" s="259">
        <f>DATE(2001,9,21)+(M3081/360)*365 - (360*((DecLong/360)- (GMTOffset/24) ))</f>
        <v>37438.025231481479</v>
      </c>
      <c r="AF3081" s="260">
        <f>IF(DecLat&gt;0,IF((90 - (DecLat-O3081))&gt;90, (90 - (O3081-DecLat)), (90 - (DecLat-O3081))),IF((90 + (DecLat-O3081))&gt;90, (90 + (O3081-DecLat)), (90 + (DecLat-O3081))))</f>
        <v>39.215833333333336</v>
      </c>
      <c r="AG3081" s="257">
        <f>angularseperation(MoonRA,MoonDec,$M3081,$O3081)</f>
        <v>23.998447400743341</v>
      </c>
      <c r="AH3081" s="261">
        <f ca="1">MIN(100,IF($O$5&gt;80,0+30*($AG3081/100),IF($O$5&gt;70,0+50*($AG3081/100),IF($O$5&gt;60,5+50*($AG3081/100),IF($O$5&gt;50,10+60*($AG3081/100),IF($O$5&gt;40,15+70*($AG3081/100),IF($O$5&gt;30,20+70*($AG3081/100),IF($O$5&gt;20,40+55*($AG3081/100),(80+(20-$O$5)+30*($AG3081/100))))))))))</f>
        <v>90.470594564373428</v>
      </c>
      <c r="AI3081" s="262">
        <v>6595</v>
      </c>
      <c r="AJ3081" s="262"/>
      <c r="AK3081" s="262"/>
      <c r="AL3081" s="263"/>
      <c r="AM3081" s="264"/>
      <c r="AN3081" s="263"/>
      <c r="AO3081" s="263"/>
      <c r="AP3081" s="265"/>
      <c r="AQ3081" s="266"/>
      <c r="AR3081" s="267"/>
      <c r="AS3081" s="263"/>
      <c r="AT3081" s="263"/>
      <c r="AU3081" s="263"/>
      <c r="AV3081" s="264"/>
      <c r="AW3081" s="263"/>
      <c r="AX3081" s="263"/>
      <c r="AY3081" s="263"/>
      <c r="AZ3081" s="263"/>
      <c r="BA3081" s="263"/>
      <c r="BB3081" s="263"/>
      <c r="BC3081" s="263"/>
      <c r="BD3081" s="264">
        <v>118</v>
      </c>
      <c r="BE3081" s="263"/>
      <c r="BF3081" s="263">
        <v>82</v>
      </c>
      <c r="BG3081" s="263"/>
      <c r="BH3081" s="263"/>
      <c r="BI3081" s="263"/>
      <c r="BJ3081" s="404">
        <f>altaz(J2000_Bas,$O3081,$M3081,DecLat,DecLong,2)</f>
        <v>194.11110462745634</v>
      </c>
      <c r="BK3081" s="378" t="s">
        <v>2888</v>
      </c>
      <c r="BL3081" s="379">
        <f>IF((2*G3081)/60&lt;0.2,0.2,(2*G3081)/60)</f>
        <v>0.2</v>
      </c>
      <c r="BM3081" s="380">
        <f>MOD((50000+AD3081-$B$3+(0/24)),1)</f>
        <v>0.96997977712453576</v>
      </c>
      <c r="BN3081" s="381"/>
      <c r="BO3081" s="382">
        <v>3071</v>
      </c>
    </row>
    <row r="3082" spans="1:67" s="24" customFormat="1" ht="15" customHeight="1" x14ac:dyDescent="0.25">
      <c r="A3082" s="288" t="s">
        <v>2889</v>
      </c>
      <c r="B3082" s="241" t="str">
        <f>HYPERLINK(CONCATENATE($AT$3,BK3082,$AU$3),$AV$3)</f>
        <v>S</v>
      </c>
      <c r="C3082" s="242" t="str">
        <f>HYPERLINK(CONCATENATE($AT$4,BK3082,$AU$4,BL3082),$AV$4)</f>
        <v>A</v>
      </c>
      <c r="D3082" s="243" t="s">
        <v>5187</v>
      </c>
      <c r="E3082" s="244" t="s">
        <v>5186</v>
      </c>
      <c r="F3082" s="269"/>
      <c r="G3082" s="273">
        <v>6</v>
      </c>
      <c r="H3082" s="283">
        <v>4240</v>
      </c>
      <c r="I3082" s="279">
        <v>7.5</v>
      </c>
      <c r="J3082" s="246">
        <v>2</v>
      </c>
      <c r="K3082" s="247" t="s">
        <v>9490</v>
      </c>
      <c r="L3082" s="248">
        <v>181706</v>
      </c>
      <c r="M3082" s="249">
        <f>15*(LEFT(TEXT($L3082,"000000"),2)+(MID(TEXT($L3082,"000000"),3,2)/60)+(RIGHT(TEXT($L3082,"000000"),2)/3600))</f>
        <v>274.27499999999998</v>
      </c>
      <c r="N3082" s="250">
        <v>-195224</v>
      </c>
      <c r="O3082" s="251">
        <f>IF($N3082&gt;0,(LEFT(TEXT($N3082,"000000"),2)+(MID(TEXT($N3082,"000000"),3,2)/60)+(RIGHT(TEXT($N3082,"000000"),2)/3600)),-(MID(TEXT($N3082,"000000"),2,2)+(MID(TEXT($N3082,"000000"),4,2)/60)+(RIGHT(TEXT($N3082,"000000"),2)/3600)))</f>
        <v>-19.873333333333335</v>
      </c>
      <c r="P3082" s="252" t="s">
        <v>119</v>
      </c>
      <c r="Q3082" s="253"/>
      <c r="R3082" s="247" t="s">
        <v>3662</v>
      </c>
      <c r="S3082" s="272" t="s">
        <v>6266</v>
      </c>
      <c r="T3082" s="273"/>
      <c r="U3082" s="274"/>
      <c r="V3082" s="280"/>
      <c r="W3082" s="244"/>
      <c r="X3082" s="244"/>
      <c r="Y3082" s="362"/>
      <c r="Z3082" s="257">
        <f>altaz(J2000_Bas,$O3082,$M3082,DecLat,DecLong,1)</f>
        <v>37.894475010689874</v>
      </c>
      <c r="AA3082" s="257">
        <f>altaz((J2000_Bas+(2*0.04167)),$O3082,$M3082,DecLat,DecLong,1)</f>
        <v>25.19788603814272</v>
      </c>
      <c r="AB3082" s="257">
        <f>altaz((J2000_Bas+(4*0.04167)),$O3082,$M3082,DecLat,DecLong,1)</f>
        <v>4.32440030672287</v>
      </c>
      <c r="AC3082" s="257">
        <f>altaz((J2000_Bas+(6*0.04167)),$O3082,$M3082,DecLat,DecLong,1)</f>
        <v>-20.024799666509725</v>
      </c>
      <c r="AD3082" s="258">
        <f>1+ transit((J2000_Bas-1),$O3082,$M3082,DecLat,DecLong)/360 + (GMTOffset/24) + (IF(DST="Y", 1, 0)/24)</f>
        <v>1.754774884442208</v>
      </c>
      <c r="AE3082" s="259">
        <f>DATE(2001,9,21)+(M3082/360)*365 - (360*((DecLong/360)- (GMTOffset/24) ))</f>
        <v>37438.084374999999</v>
      </c>
      <c r="AF3082" s="260">
        <f>IF(DecLat&gt;0,IF((90 - (DecLat-O3082))&gt;90, (90 - (O3082-DecLat)), (90 - (DecLat-O3082))),IF((90 + (DecLat-O3082))&gt;90, (90 + (O3082-DecLat)), (90 + (DecLat-O3082))))</f>
        <v>39.126666666666665</v>
      </c>
      <c r="AG3082" s="257">
        <f>angularseperation(MoonRA,MoonDec,$M3082,$O3082)</f>
        <v>24.015323825402199</v>
      </c>
      <c r="AH3082" s="261">
        <f ca="1">MIN(100,IF($O$5&gt;80,0+30*($AG3082/100),IF($O$5&gt;70,0+50*($AG3082/100),IF($O$5&gt;60,5+50*($AG3082/100),IF($O$5&gt;50,10+60*($AG3082/100),IF($O$5&gt;40,15+70*($AG3082/100),IF($O$5&gt;30,20+70*($AG3082/100),IF($O$5&gt;20,40+55*($AG3082/100),(80+(20-$O$5)+30*($AG3082/100))))))))))</f>
        <v>90.475657491771088</v>
      </c>
      <c r="AI3082" s="262">
        <v>6589</v>
      </c>
      <c r="AJ3082" s="262"/>
      <c r="AK3082" s="262"/>
      <c r="AL3082" s="263"/>
      <c r="AM3082" s="264"/>
      <c r="AN3082" s="263"/>
      <c r="AO3082" s="263"/>
      <c r="AP3082" s="265"/>
      <c r="AQ3082" s="266"/>
      <c r="AR3082" s="267"/>
      <c r="AS3082" s="263"/>
      <c r="AT3082" s="263"/>
      <c r="AU3082" s="263"/>
      <c r="AV3082" s="264"/>
      <c r="AW3082" s="263"/>
      <c r="AX3082" s="263"/>
      <c r="AY3082" s="263"/>
      <c r="AZ3082" s="263"/>
      <c r="BA3082" s="263"/>
      <c r="BB3082" s="263"/>
      <c r="BC3082" s="263"/>
      <c r="BD3082" s="264">
        <v>119</v>
      </c>
      <c r="BE3082" s="263"/>
      <c r="BF3082" s="263">
        <v>81</v>
      </c>
      <c r="BG3082" s="263"/>
      <c r="BH3082" s="263"/>
      <c r="BI3082" s="263"/>
      <c r="BJ3082" s="404">
        <f>altaz(J2000_Bas,$O3082,$M3082,DecLat,DecLong,2)</f>
        <v>194.01822621182941</v>
      </c>
      <c r="BK3082" s="378" t="s">
        <v>2889</v>
      </c>
      <c r="BL3082" s="379">
        <f>IF((2*G3082)/60&lt;0.2,0.2,(2*G3082)/60)</f>
        <v>0.2</v>
      </c>
      <c r="BM3082" s="380">
        <f>MOD((50000+AD3082-$B$3+(0/24)),1)</f>
        <v>0.97014181414851919</v>
      </c>
      <c r="BN3082" s="381"/>
      <c r="BO3082" s="382">
        <v>3072</v>
      </c>
    </row>
    <row r="3083" spans="1:67" s="24" customFormat="1" ht="16.5" customHeight="1" x14ac:dyDescent="0.25">
      <c r="A3083" s="288" t="s">
        <v>2890</v>
      </c>
      <c r="B3083" s="241" t="str">
        <f>HYPERLINK(CONCATENATE($AT$3,BK3083,$AU$3),$AV$3)</f>
        <v>S</v>
      </c>
      <c r="C3083" s="242" t="str">
        <f>HYPERLINK(CONCATENATE($AT$4,BK3083,$AU$4,BL3083),$AV$4)</f>
        <v>A</v>
      </c>
      <c r="D3083" s="243" t="s">
        <v>5187</v>
      </c>
      <c r="E3083" s="244" t="s">
        <v>5186</v>
      </c>
      <c r="F3083" s="269"/>
      <c r="G3083" s="273">
        <v>2</v>
      </c>
      <c r="H3083" s="283">
        <v>5570</v>
      </c>
      <c r="I3083" s="279">
        <v>3.3</v>
      </c>
      <c r="J3083" s="246">
        <v>2</v>
      </c>
      <c r="K3083" s="247" t="s">
        <v>9491</v>
      </c>
      <c r="L3083" s="248">
        <v>181700</v>
      </c>
      <c r="M3083" s="249">
        <f>15*(LEFT(TEXT($L3083,"000000"),2)+(MID(TEXT($L3083,"000000"),3,2)/60)+(RIGHT(TEXT($L3083,"000000"),2)/3600))</f>
        <v>274.25</v>
      </c>
      <c r="N3083" s="286">
        <v>-165523</v>
      </c>
      <c r="O3083" s="251">
        <f>IF($N3083&gt;0,(LEFT(TEXT($N3083,"000000"),2)+(MID(TEXT($N3083,"000000"),3,2)/60)+(RIGHT(TEXT($N3083,"000000"),2)/3600)),-(MID(TEXT($N3083,"000000"),2,2)+(MID(TEXT($N3083,"000000"),4,2)/60)+(RIGHT(TEXT($N3083,"000000"),2)/3600)))</f>
        <v>-16.923055555555557</v>
      </c>
      <c r="P3083" s="252" t="s">
        <v>119</v>
      </c>
      <c r="Q3083" s="253"/>
      <c r="R3083" s="277" t="s">
        <v>3293</v>
      </c>
      <c r="S3083" s="272" t="s">
        <v>6448</v>
      </c>
      <c r="T3083" s="273"/>
      <c r="U3083" s="274"/>
      <c r="V3083" s="280"/>
      <c r="W3083" s="244"/>
      <c r="X3083" s="244"/>
      <c r="Y3083" s="362"/>
      <c r="Z3083" s="257">
        <f>altaz(J2000_Bas,$O3083,$M3083,DecLat,DecLong,1)</f>
        <v>40.763376638626461</v>
      </c>
      <c r="AA3083" s="257">
        <f>altaz((J2000_Bas+(2*0.04167)),$O3083,$M3083,DecLat,DecLong,1)</f>
        <v>27.454955155969756</v>
      </c>
      <c r="AB3083" s="257">
        <f>altaz((J2000_Bas+(4*0.04167)),$O3083,$M3083,DecLat,DecLong,1)</f>
        <v>6.0014408945291517</v>
      </c>
      <c r="AC3083" s="257">
        <f>altaz((J2000_Bas+(6*0.04167)),$O3083,$M3083,DecLat,DecLong,1)</f>
        <v>-18.693550866658388</v>
      </c>
      <c r="AD3083" s="258">
        <f>1+ transit((J2000_Bas-1),$O3083,$M3083,DecLat,DecLong)/360 + (GMTOffset/24) + (IF(DST="Y", 1, 0)/24)</f>
        <v>1.754705440004708</v>
      </c>
      <c r="AE3083" s="259">
        <f>DATE(2001,9,21)+(M3083/360)*365 - (360*((DecLong/360)- (GMTOffset/24) ))</f>
        <v>37438.059027777781</v>
      </c>
      <c r="AF3083" s="260">
        <f>IF(DecLat&gt;0,IF((90 - (DecLat-O3083))&gt;90, (90 - (O3083-DecLat)), (90 - (DecLat-O3083))),IF((90 + (DecLat-O3083))&gt;90, (90 + (O3083-DecLat)), (90 + (DecLat-O3083))))</f>
        <v>42.076944444444443</v>
      </c>
      <c r="AG3083" s="257">
        <f>angularseperation(MoonRA,MoonDec,$M3083,$O3083)</f>
        <v>25.249427298836761</v>
      </c>
      <c r="AH3083" s="261">
        <f ca="1">MIN(100,IF($O$5&gt;80,0+30*($AG3083/100),IF($O$5&gt;70,0+50*($AG3083/100),IF($O$5&gt;60,5+50*($AG3083/100),IF($O$5&gt;50,10+60*($AG3083/100),IF($O$5&gt;40,15+70*($AG3083/100),IF($O$5&gt;30,20+70*($AG3083/100),IF($O$5&gt;20,40+55*($AG3083/100),(80+(20-$O$5)+30*($AG3083/100))))))))))</f>
        <v>90.845888533801457</v>
      </c>
      <c r="AI3083" s="263"/>
      <c r="AJ3083" s="263"/>
      <c r="AK3083" s="263"/>
      <c r="AL3083" s="263"/>
      <c r="AM3083" s="264"/>
      <c r="AN3083" s="263"/>
      <c r="AO3083" s="263"/>
      <c r="AP3083" s="265"/>
      <c r="AQ3083" s="265"/>
      <c r="AR3083" s="285"/>
      <c r="AS3083" s="263"/>
      <c r="AT3083" s="263"/>
      <c r="AU3083" s="263"/>
      <c r="AV3083" s="264"/>
      <c r="AW3083" s="263"/>
      <c r="AX3083" s="263"/>
      <c r="AY3083" s="263"/>
      <c r="AZ3083" s="263"/>
      <c r="BA3083" s="263"/>
      <c r="BB3083" s="263"/>
      <c r="BC3083" s="263"/>
      <c r="BD3083" s="264">
        <v>120</v>
      </c>
      <c r="BE3083" s="263"/>
      <c r="BF3083" s="263"/>
      <c r="BG3083" s="263"/>
      <c r="BH3083" s="263"/>
      <c r="BI3083" s="263"/>
      <c r="BJ3083" s="404">
        <f>altaz(J2000_Bas,$O3083,$M3083,DecLat,DecLong,2)</f>
        <v>194.90866502053325</v>
      </c>
      <c r="BK3083" s="378" t="s">
        <v>2890</v>
      </c>
      <c r="BL3083" s="379">
        <f>IF((2*G3083)/60&lt;0.2,0.2,(2*G3083)/60)</f>
        <v>0.2</v>
      </c>
      <c r="BM3083" s="380">
        <f>MOD((50000+AD3083-$B$3+(0/24)),1)</f>
        <v>0.97007236970966915</v>
      </c>
      <c r="BN3083" s="381"/>
      <c r="BO3083" s="382">
        <v>3073</v>
      </c>
    </row>
    <row r="3084" spans="1:67" s="24" customFormat="1" ht="16.5" customHeight="1" x14ac:dyDescent="0.25">
      <c r="A3084" s="288" t="s">
        <v>2891</v>
      </c>
      <c r="B3084" s="241" t="str">
        <f>HYPERLINK(CONCATENATE($AT$3,BK3084,$AU$3),$AV$3)</f>
        <v>S</v>
      </c>
      <c r="C3084" s="242" t="str">
        <f>HYPERLINK(CONCATENATE($AT$4,BK3084,$AU$4,BL3084),$AV$4)</f>
        <v>A</v>
      </c>
      <c r="D3084" s="243" t="s">
        <v>5187</v>
      </c>
      <c r="E3084" s="244" t="s">
        <v>5186</v>
      </c>
      <c r="F3084" s="269"/>
      <c r="G3084" s="273">
        <v>1</v>
      </c>
      <c r="H3084" s="283">
        <v>5320</v>
      </c>
      <c r="I3084" s="279">
        <v>1.5</v>
      </c>
      <c r="J3084" s="246">
        <v>0</v>
      </c>
      <c r="K3084" s="247" t="s">
        <v>9492</v>
      </c>
      <c r="L3084" s="248">
        <v>182016</v>
      </c>
      <c r="M3084" s="249">
        <f>15*(LEFT(TEXT($L3084,"000000"),2)+(MID(TEXT($L3084,"000000"),3,2)/60)+(RIGHT(TEXT($L3084,"000000"),2)/3600))</f>
        <v>275.06666666666666</v>
      </c>
      <c r="N3084" s="250">
        <v>-165955</v>
      </c>
      <c r="O3084" s="251">
        <f>IF($N3084&gt;0,(LEFT(TEXT($N3084,"000000"),2)+(MID(TEXT($N3084,"000000"),3,2)/60)+(RIGHT(TEXT($N3084,"000000"),2)/3600)),-(MID(TEXT($N3084,"000000"),2,2)+(MID(TEXT($N3084,"000000"),4,2)/60)+(RIGHT(TEXT($N3084,"000000"),2)/3600)))</f>
        <v>-16.998611111111114</v>
      </c>
      <c r="P3084" s="252" t="s">
        <v>119</v>
      </c>
      <c r="Q3084" s="253"/>
      <c r="R3084" s="247" t="s">
        <v>3293</v>
      </c>
      <c r="S3084" s="272" t="s">
        <v>6449</v>
      </c>
      <c r="T3084" s="273"/>
      <c r="U3084" s="274"/>
      <c r="V3084" s="280"/>
      <c r="W3084" s="244"/>
      <c r="X3084" s="244"/>
      <c r="Y3084" s="362"/>
      <c r="Z3084" s="257">
        <f>altaz(J2000_Bas,$O3084,$M3084,DecLat,DecLong,1)</f>
        <v>40.863743825078274</v>
      </c>
      <c r="AA3084" s="257">
        <f>altaz((J2000_Bas+(2*0.04167)),$O3084,$M3084,DecLat,DecLong,1)</f>
        <v>27.897214606704491</v>
      </c>
      <c r="AB3084" s="257">
        <f>altaz((J2000_Bas+(4*0.04167)),$O3084,$M3084,DecLat,DecLong,1)</f>
        <v>6.5968416285142268</v>
      </c>
      <c r="AC3084" s="257">
        <f>altaz((J2000_Bas+(6*0.04167)),$O3084,$M3084,DecLat,DecLong,1)</f>
        <v>-18.037668018003625</v>
      </c>
      <c r="AD3084" s="258">
        <f>1+ transit((J2000_Bas-1),$O3084,$M3084,DecLat,DecLong)/360 + (GMTOffset/24) + (IF(DST="Y", 1, 0)/24)</f>
        <v>1.7569739582963746</v>
      </c>
      <c r="AE3084" s="259">
        <f>DATE(2001,9,21)+(M3084/360)*365 - (360*((DecLong/360)- (GMTOffset/24) ))</f>
        <v>37438.887037037035</v>
      </c>
      <c r="AF3084" s="260">
        <f>IF(DecLat&gt;0,IF((90 - (DecLat-O3084))&gt;90, (90 - (O3084-DecLat)), (90 - (DecLat-O3084))),IF((90 + (DecLat-O3084))&gt;90, (90 + (O3084-DecLat)), (90 + (DecLat-O3084))))</f>
        <v>42.001388888888883</v>
      </c>
      <c r="AG3084" s="257">
        <f>angularseperation(MoonRA,MoonDec,$M3084,$O3084)</f>
        <v>25.905659759181958</v>
      </c>
      <c r="AH3084" s="261">
        <f ca="1">MIN(100,IF($O$5&gt;80,0+30*($AG3084/100),IF($O$5&gt;70,0+50*($AG3084/100),IF($O$5&gt;60,5+50*($AG3084/100),IF($O$5&gt;50,10+60*($AG3084/100),IF($O$5&gt;40,15+70*($AG3084/100),IF($O$5&gt;30,20+70*($AG3084/100),IF($O$5&gt;20,40+55*($AG3084/100),(80+(20-$O$5)+30*($AG3084/100))))))))))</f>
        <v>91.042758271905015</v>
      </c>
      <c r="AI3084" s="262"/>
      <c r="AJ3084" s="262"/>
      <c r="AK3084" s="262"/>
      <c r="AL3084" s="263"/>
      <c r="AM3084" s="264"/>
      <c r="AN3084" s="263"/>
      <c r="AO3084" s="263"/>
      <c r="AP3084" s="265"/>
      <c r="AQ3084" s="266"/>
      <c r="AR3084" s="267"/>
      <c r="AS3084" s="263"/>
      <c r="AT3084" s="263"/>
      <c r="AU3084" s="263"/>
      <c r="AV3084" s="264"/>
      <c r="AW3084" s="263"/>
      <c r="AX3084" s="263"/>
      <c r="AY3084" s="263"/>
      <c r="AZ3084" s="263"/>
      <c r="BA3084" s="263"/>
      <c r="BB3084" s="263"/>
      <c r="BC3084" s="263"/>
      <c r="BD3084" s="264">
        <v>121</v>
      </c>
      <c r="BE3084" s="263"/>
      <c r="BF3084" s="263"/>
      <c r="BG3084" s="263"/>
      <c r="BH3084" s="263"/>
      <c r="BI3084" s="263"/>
      <c r="BJ3084" s="404">
        <f>altaz(J2000_Bas,$O3084,$M3084,DecLat,DecLong,2)</f>
        <v>193.88024413997596</v>
      </c>
      <c r="BK3084" s="378" t="s">
        <v>2891</v>
      </c>
      <c r="BL3084" s="379">
        <f>IF((2*G3084)/60&lt;0.2,0.2,(2*G3084)/60)</f>
        <v>0.2</v>
      </c>
      <c r="BM3084" s="380">
        <f>MOD((50000+AD3084-$B$3+(0/24)),1)</f>
        <v>0.97234088800178142</v>
      </c>
      <c r="BN3084" s="381"/>
      <c r="BO3084" s="382">
        <v>3074</v>
      </c>
    </row>
    <row r="3085" spans="1:67" s="24" customFormat="1" ht="16.5" customHeight="1" x14ac:dyDescent="0.25">
      <c r="A3085" s="288" t="s">
        <v>2892</v>
      </c>
      <c r="B3085" s="241" t="str">
        <f>HYPERLINK(CONCATENATE($AT$3,BK3085,$AU$3),$AV$3)</f>
        <v>S</v>
      </c>
      <c r="C3085" s="242" t="str">
        <f>HYPERLINK(CONCATENATE($AT$4,BK3085,$AU$4,BL3085),$AV$4)</f>
        <v>A</v>
      </c>
      <c r="D3085" s="243" t="s">
        <v>5187</v>
      </c>
      <c r="E3085" s="244" t="s">
        <v>5186</v>
      </c>
      <c r="F3085" s="269"/>
      <c r="G3085" s="273">
        <v>1</v>
      </c>
      <c r="H3085" s="283">
        <v>2660</v>
      </c>
      <c r="I3085" s="309">
        <v>0.8</v>
      </c>
      <c r="J3085" s="246">
        <v>0</v>
      </c>
      <c r="K3085" s="247" t="s">
        <v>9493</v>
      </c>
      <c r="L3085" s="248">
        <v>182433</v>
      </c>
      <c r="M3085" s="249">
        <f>15*(LEFT(TEXT($L3085,"000000"),2)+(MID(TEXT($L3085,"000000"),3,2)/60)+(RIGHT(TEXT($L3085,"000000"),2)/3600))</f>
        <v>276.13749999999993</v>
      </c>
      <c r="N3085" s="250">
        <v>-133923</v>
      </c>
      <c r="O3085" s="251">
        <f>IF($N3085&gt;0,(LEFT(TEXT($N3085,"000000"),2)+(MID(TEXT($N3085,"000000"),3,2)/60)+(RIGHT(TEXT($N3085,"000000"),2)/3600)),-(MID(TEXT($N3085,"000000"),2,2)+(MID(TEXT($N3085,"000000"),4,2)/60)+(RIGHT(TEXT($N3085,"000000"),2)/3600)))</f>
        <v>-13.656388888888889</v>
      </c>
      <c r="P3085" s="252" t="s">
        <v>121</v>
      </c>
      <c r="Q3085" s="253"/>
      <c r="R3085" s="277" t="s">
        <v>3293</v>
      </c>
      <c r="S3085" s="272" t="s">
        <v>3293</v>
      </c>
      <c r="T3085" s="273"/>
      <c r="U3085" s="274"/>
      <c r="V3085" s="280"/>
      <c r="W3085" s="244"/>
      <c r="X3085" s="244"/>
      <c r="Y3085" s="362"/>
      <c r="Z3085" s="257">
        <f>altaz(J2000_Bas,$O3085,$M3085,DecLat,DecLong,1)</f>
        <v>44.348328479273057</v>
      </c>
      <c r="AA3085" s="257">
        <f>altaz((J2000_Bas+(2*0.04167)),$O3085,$M3085,DecLat,DecLong,1)</f>
        <v>31.126886417814667</v>
      </c>
      <c r="AB3085" s="257">
        <f>altaz((J2000_Bas+(4*0.04167)),$O3085,$M3085,DecLat,DecLong,1)</f>
        <v>9.3702191030160513</v>
      </c>
      <c r="AC3085" s="257">
        <f>altaz((J2000_Bas+(6*0.04167)),$O3085,$M3085,DecLat,DecLong,1)</f>
        <v>-15.541555324476249</v>
      </c>
      <c r="AD3085" s="258">
        <f>1+ transit((J2000_Bas-1),$O3085,$M3085,DecLat,DecLong)/360 + (GMTOffset/24) + (IF(DST="Y", 1, 0)/24)</f>
        <v>1.7599484950359578</v>
      </c>
      <c r="AE3085" s="259">
        <f>DATE(2001,9,21)+(M3085/360)*365 - (360*((DecLong/360)- (GMTOffset/24) ))</f>
        <v>37439.972743055558</v>
      </c>
      <c r="AF3085" s="260">
        <f>IF(DecLat&gt;0,IF((90 - (DecLat-O3085))&gt;90, (90 - (O3085-DecLat)), (90 - (DecLat-O3085))),IF((90 + (DecLat-O3085))&gt;90, (90 + (O3085-DecLat)), (90 + (DecLat-O3085))))</f>
        <v>45.343611111111109</v>
      </c>
      <c r="AG3085" s="257">
        <f>angularseperation(MoonRA,MoonDec,$M3085,$O3085)</f>
        <v>28.468360353310228</v>
      </c>
      <c r="AH3085" s="261">
        <f ca="1">MIN(100,IF($O$5&gt;80,0+30*($AG3085/100),IF($O$5&gt;70,0+50*($AG3085/100),IF($O$5&gt;60,5+50*($AG3085/100),IF($O$5&gt;50,10+60*($AG3085/100),IF($O$5&gt;40,15+70*($AG3085/100),IF($O$5&gt;30,20+70*($AG3085/100),IF($O$5&gt;20,40+55*($AG3085/100),(80+(20-$O$5)+30*($AG3085/100))))))))))</f>
        <v>91.811568450143497</v>
      </c>
      <c r="AI3085" s="263"/>
      <c r="AJ3085" s="263"/>
      <c r="AK3085" s="263"/>
      <c r="AL3085" s="263"/>
      <c r="AM3085" s="264"/>
      <c r="AN3085" s="263"/>
      <c r="AO3085" s="263"/>
      <c r="AP3085" s="265"/>
      <c r="AQ3085" s="265"/>
      <c r="AR3085" s="285"/>
      <c r="AS3085" s="263"/>
      <c r="AT3085" s="263"/>
      <c r="AU3085" s="263"/>
      <c r="AV3085" s="264"/>
      <c r="AW3085" s="263"/>
      <c r="AX3085" s="263"/>
      <c r="AY3085" s="263"/>
      <c r="AZ3085" s="263"/>
      <c r="BA3085" s="263"/>
      <c r="BB3085" s="263"/>
      <c r="BC3085" s="263"/>
      <c r="BD3085" s="264">
        <v>122</v>
      </c>
      <c r="BE3085" s="263"/>
      <c r="BF3085" s="263"/>
      <c r="BG3085" s="263"/>
      <c r="BH3085" s="263"/>
      <c r="BI3085" s="263"/>
      <c r="BJ3085" s="404">
        <f>altaz(J2000_Bas,$O3085,$M3085,DecLat,DecLong,2)</f>
        <v>193.46278146366652</v>
      </c>
      <c r="BK3085" s="378" t="s">
        <v>2892</v>
      </c>
      <c r="BL3085" s="379">
        <f>IF((2*G3085)/60&lt;0.2,0.2,(2*G3085)/60)</f>
        <v>0.2</v>
      </c>
      <c r="BM3085" s="380">
        <f>MOD((50000+AD3085-$B$3+(0/24)),1)</f>
        <v>0.97531542473734589</v>
      </c>
      <c r="BN3085" s="381"/>
      <c r="BO3085" s="382">
        <v>3075</v>
      </c>
    </row>
    <row r="3086" spans="1:67" s="24" customFormat="1" ht="16.5" customHeight="1" x14ac:dyDescent="0.25">
      <c r="A3086" s="288" t="s">
        <v>2893</v>
      </c>
      <c r="B3086" s="241" t="str">
        <f>HYPERLINK(CONCATENATE($AT$3,BK3086,$AU$3),$AV$3)</f>
        <v>S</v>
      </c>
      <c r="C3086" s="242" t="str">
        <f>HYPERLINK(CONCATENATE($AT$4,BK3086,$AU$4,BL3086),$AV$4)</f>
        <v>A</v>
      </c>
      <c r="D3086" s="243" t="s">
        <v>5187</v>
      </c>
      <c r="E3086" s="244" t="s">
        <v>5186</v>
      </c>
      <c r="F3086" s="269"/>
      <c r="G3086" s="273">
        <v>5</v>
      </c>
      <c r="H3086" s="283">
        <v>1430</v>
      </c>
      <c r="I3086" s="279">
        <v>2</v>
      </c>
      <c r="J3086" s="246">
        <v>3</v>
      </c>
      <c r="K3086" s="247" t="s">
        <v>9494</v>
      </c>
      <c r="L3086" s="248">
        <v>183025</v>
      </c>
      <c r="M3086" s="249">
        <f>15*(LEFT(TEXT($L3086,"000000"),2)+(MID(TEXT($L3086,"000000"),3,2)/60)+(RIGHT(TEXT($L3086,"000000"),2)/3600))</f>
        <v>277.60416666666663</v>
      </c>
      <c r="N3086" s="250">
        <v>11320</v>
      </c>
      <c r="O3086" s="251">
        <f>IF($N3086&gt;0,(LEFT(TEXT($N3086,"000000"),2)+(MID(TEXT($N3086,"000000"),3,2)/60)+(RIGHT(TEXT($N3086,"000000"),2)/3600)),-(MID(TEXT($N3086,"000000"),2,2)+(MID(TEXT($N3086,"000000"),4,2)/60)+(RIGHT(TEXT($N3086,"000000"),2)/3600)))</f>
        <v>1.2222222222222223</v>
      </c>
      <c r="P3086" s="252" t="s">
        <v>115</v>
      </c>
      <c r="Q3086" s="253"/>
      <c r="R3086" s="247" t="s">
        <v>9562</v>
      </c>
      <c r="S3086" s="338" t="s">
        <v>2894</v>
      </c>
      <c r="T3086" s="273"/>
      <c r="U3086" s="274"/>
      <c r="V3086" s="280"/>
      <c r="W3086" s="244"/>
      <c r="X3086" s="244"/>
      <c r="Y3086" s="362"/>
      <c r="Z3086" s="257">
        <f>altaz(J2000_Bas,$O3086,$M3086,DecLat,DecLong,1)</f>
        <v>59.178555461843153</v>
      </c>
      <c r="AA3086" s="257">
        <f>altaz((J2000_Bas+(2*0.04167)),$O3086,$M3086,DecLat,DecLong,1)</f>
        <v>42.985838452652786</v>
      </c>
      <c r="AB3086" s="257">
        <f>altaz((J2000_Bas+(4*0.04167)),$O3086,$M3086,DecLat,DecLong,1)</f>
        <v>18.912694000242592</v>
      </c>
      <c r="AC3086" s="257">
        <f>altaz((J2000_Bas+(6*0.04167)),$O3086,$M3086,DecLat,DecLong,1)</f>
        <v>-6.7727738358741112</v>
      </c>
      <c r="AD3086" s="258">
        <f>1+ transit((J2000_Bas-1),$O3086,$M3086,DecLat,DecLong)/360 + (GMTOffset/24) + (IF(DST="Y", 1, 0)/24)</f>
        <v>1.7640225687026245</v>
      </c>
      <c r="AE3086" s="259">
        <f>DATE(2001,9,21)+(M3086/360)*365 - (360*((DecLong/360)- (GMTOffset/24) ))</f>
        <v>37441.459780092591</v>
      </c>
      <c r="AF3086" s="260">
        <f>IF(DecLat&gt;0,IF((90 - (DecLat-O3086))&gt;90, (90 - (O3086-DecLat)), (90 - (DecLat-O3086))),IF((90 + (DecLat-O3086))&gt;90, (90 + (O3086-DecLat)), (90 + (DecLat-O3086))))</f>
        <v>60.222222222222221</v>
      </c>
      <c r="AG3086" s="257">
        <f>angularseperation(MoonRA,MoonDec,$M3086,$O3086)</f>
        <v>39.324019763504801</v>
      </c>
      <c r="AH3086" s="261">
        <f ca="1">MIN(100,IF($O$5&gt;80,0+30*($AG3086/100),IF($O$5&gt;70,0+50*($AG3086/100),IF($O$5&gt;60,5+50*($AG3086/100),IF($O$5&gt;50,10+60*($AG3086/100),IF($O$5&gt;40,15+70*($AG3086/100),IF($O$5&gt;30,20+70*($AG3086/100),IF($O$5&gt;20,40+55*($AG3086/100),(80+(20-$O$5)+30*($AG3086/100))))))))))</f>
        <v>95.068266273201871</v>
      </c>
      <c r="AI3086" s="262"/>
      <c r="AJ3086" s="262"/>
      <c r="AK3086" s="262"/>
      <c r="AL3086" s="263"/>
      <c r="AM3086" s="264"/>
      <c r="AN3086" s="263"/>
      <c r="AO3086" s="263"/>
      <c r="AP3086" s="265"/>
      <c r="AQ3086" s="266"/>
      <c r="AR3086" s="267"/>
      <c r="AS3086" s="263"/>
      <c r="AT3086" s="263"/>
      <c r="AU3086" s="263"/>
      <c r="AV3086" s="264"/>
      <c r="AW3086" s="263"/>
      <c r="AX3086" s="263"/>
      <c r="AY3086" s="263">
        <v>98</v>
      </c>
      <c r="AZ3086" s="263"/>
      <c r="BA3086" s="263"/>
      <c r="BB3086" s="263"/>
      <c r="BC3086" s="263"/>
      <c r="BD3086" s="264">
        <v>123</v>
      </c>
      <c r="BE3086" s="263"/>
      <c r="BF3086" s="263"/>
      <c r="BG3086" s="263"/>
      <c r="BH3086" s="263"/>
      <c r="BI3086" s="263">
        <v>80</v>
      </c>
      <c r="BJ3086" s="404">
        <f>altaz(J2000_Bas,$O3086,$M3086,DecLat,DecLong,2)</f>
        <v>196.55877662080599</v>
      </c>
      <c r="BK3086" s="378" t="s">
        <v>2893</v>
      </c>
      <c r="BL3086" s="379">
        <f>IF((2*G3086)/60&lt;0.2,0.2,(2*G3086)/60)</f>
        <v>0.2</v>
      </c>
      <c r="BM3086" s="380">
        <f>MOD((50000+AD3086-$B$3+(0/24)),1)</f>
        <v>0.97938949840317946</v>
      </c>
      <c r="BN3086" s="381"/>
      <c r="BO3086" s="382">
        <v>3076</v>
      </c>
    </row>
    <row r="3087" spans="1:67" s="24" customFormat="1" ht="16.5" customHeight="1" x14ac:dyDescent="0.25">
      <c r="A3087" s="288" t="s">
        <v>2895</v>
      </c>
      <c r="B3087" s="241" t="str">
        <f>HYPERLINK(CONCATENATE($AT$3,BK3087,$AU$3),$AV$3)</f>
        <v>S</v>
      </c>
      <c r="C3087" s="242" t="str">
        <f>HYPERLINK(CONCATENATE($AT$4,BK3087,$AU$4,BL3087),$AV$4)</f>
        <v>A</v>
      </c>
      <c r="D3087" s="243" t="s">
        <v>5187</v>
      </c>
      <c r="E3087" s="244" t="s">
        <v>5186</v>
      </c>
      <c r="F3087" s="269"/>
      <c r="G3087" s="276">
        <v>20</v>
      </c>
      <c r="H3087" s="283">
        <v>740</v>
      </c>
      <c r="I3087" s="279">
        <v>4</v>
      </c>
      <c r="J3087" s="246">
        <v>2</v>
      </c>
      <c r="K3087" s="247" t="s">
        <v>6450</v>
      </c>
      <c r="L3087" s="248">
        <v>183126</v>
      </c>
      <c r="M3087" s="249">
        <f>15*(LEFT(TEXT($L3087,"000000"),2)+(MID(TEXT($L3087,"000000"),3,2)/60)+(RIGHT(TEXT($L3087,"000000"),2)/3600))</f>
        <v>277.85833333333329</v>
      </c>
      <c r="N3087" s="250">
        <v>-104737</v>
      </c>
      <c r="O3087" s="251">
        <f>IF($N3087&gt;0,(LEFT(TEXT($N3087,"000000"),2)+(MID(TEXT($N3087,"000000"),3,2)/60)+(RIGHT(TEXT($N3087,"000000"),2)/3600)),-(MID(TEXT($N3087,"000000"),2,2)+(MID(TEXT($N3087,"000000"),4,2)/60)+(RIGHT(TEXT($N3087,"000000"),2)/3600)))</f>
        <v>-10.793611111111112</v>
      </c>
      <c r="P3087" s="252" t="s">
        <v>121</v>
      </c>
      <c r="Q3087" s="253"/>
      <c r="R3087" s="247" t="s">
        <v>3731</v>
      </c>
      <c r="S3087" s="272" t="s">
        <v>3293</v>
      </c>
      <c r="T3087" s="273"/>
      <c r="U3087" s="274"/>
      <c r="V3087" s="280"/>
      <c r="W3087" s="244"/>
      <c r="X3087" s="244"/>
      <c r="Y3087" s="362"/>
      <c r="Z3087" s="257">
        <f>altaz(J2000_Bas,$O3087,$M3087,DecLat,DecLong,1)</f>
        <v>47.481422734666111</v>
      </c>
      <c r="AA3087" s="257">
        <f>altaz((J2000_Bas+(2*0.04167)),$O3087,$M3087,DecLat,DecLong,1)</f>
        <v>34.400843281138918</v>
      </c>
      <c r="AB3087" s="257">
        <f>altaz((J2000_Bas+(4*0.04167)),$O3087,$M3087,DecLat,DecLong,1)</f>
        <v>12.397507789293131</v>
      </c>
      <c r="AC3087" s="257">
        <f>altaz((J2000_Bas+(6*0.04167)),$O3087,$M3087,DecLat,DecLong,1)</f>
        <v>-12.675215566765361</v>
      </c>
      <c r="AD3087" s="258">
        <f>1+ transit((J2000_Bas-1),$O3087,$M3087,DecLat,DecLong)/360 + (GMTOffset/24) + (IF(DST="Y", 1, 0)/24)</f>
        <v>1.7647285871505414</v>
      </c>
      <c r="AE3087" s="259">
        <f>DATE(2001,9,21)+(M3087/360)*365 - (360*((DecLong/360)- (GMTOffset/24) ))</f>
        <v>37441.717476851853</v>
      </c>
      <c r="AF3087" s="260">
        <f>IF(DecLat&gt;0,IF((90 - (DecLat-O3087))&gt;90, (90 - (O3087-DecLat)), (90 - (DecLat-O3087))),IF((90 + (DecLat-O3087))&gt;90, (90 + (O3087-DecLat)), (90 + (DecLat-O3087))))</f>
        <v>48.206388888888888</v>
      </c>
      <c r="AG3087" s="257">
        <f>angularseperation(MoonRA,MoonDec,$M3087,$O3087)</f>
        <v>31.458617628296931</v>
      </c>
      <c r="AH3087" s="261">
        <f ca="1">MIN(100,IF($O$5&gt;80,0+30*($AG3087/100),IF($O$5&gt;70,0+50*($AG3087/100),IF($O$5&gt;60,5+50*($AG3087/100),IF($O$5&gt;50,10+60*($AG3087/100),IF($O$5&gt;40,15+70*($AG3087/100),IF($O$5&gt;30,20+70*($AG3087/100),IF($O$5&gt;20,40+55*($AG3087/100),(80+(20-$O$5)+30*($AG3087/100))))))))))</f>
        <v>92.708645632639502</v>
      </c>
      <c r="AI3087" s="262"/>
      <c r="AJ3087" s="262">
        <v>1287</v>
      </c>
      <c r="AK3087" s="262"/>
      <c r="AL3087" s="263"/>
      <c r="AM3087" s="264"/>
      <c r="AN3087" s="263"/>
      <c r="AO3087" s="263"/>
      <c r="AP3087" s="265"/>
      <c r="AQ3087" s="266"/>
      <c r="AR3087" s="267"/>
      <c r="AS3087" s="263"/>
      <c r="AT3087" s="263"/>
      <c r="AU3087" s="263"/>
      <c r="AV3087" s="264"/>
      <c r="AW3087" s="263"/>
      <c r="AX3087" s="263"/>
      <c r="AY3087" s="263"/>
      <c r="AZ3087" s="263"/>
      <c r="BA3087" s="263"/>
      <c r="BB3087" s="263"/>
      <c r="BC3087" s="263"/>
      <c r="BD3087" s="264">
        <v>124</v>
      </c>
      <c r="BE3087" s="263"/>
      <c r="BF3087" s="263"/>
      <c r="BG3087" s="263"/>
      <c r="BH3087" s="263"/>
      <c r="BI3087" s="263"/>
      <c r="BJ3087" s="404">
        <f>altaz(J2000_Bas,$O3087,$M3087,DecLat,DecLong,2)</f>
        <v>191.88279268648861</v>
      </c>
      <c r="BK3087" s="378" t="s">
        <v>2895</v>
      </c>
      <c r="BL3087" s="379">
        <f>IF((2*G3087)/60&lt;0.2,0.2,(2*G3087)/60)</f>
        <v>0.66666666666666663</v>
      </c>
      <c r="BM3087" s="380">
        <f>MOD((50000+AD3087-$B$3+(0/24)),1)</f>
        <v>0.98009551685390761</v>
      </c>
      <c r="BN3087" s="381"/>
      <c r="BO3087" s="382">
        <v>3077</v>
      </c>
    </row>
    <row r="3088" spans="1:67" s="24" customFormat="1" ht="16.5" customHeight="1" x14ac:dyDescent="0.25">
      <c r="A3088" s="288" t="s">
        <v>2896</v>
      </c>
      <c r="B3088" s="241" t="str">
        <f>HYPERLINK(CONCATENATE($AT$3,BK3088,$AU$3),$AV$3)</f>
        <v>S</v>
      </c>
      <c r="C3088" s="242" t="str">
        <f>HYPERLINK(CONCATENATE($AT$4,BK3088,$AU$4,BL3088),$AV$4)</f>
        <v>A</v>
      </c>
      <c r="D3088" s="243" t="s">
        <v>5187</v>
      </c>
      <c r="E3088" s="244" t="s">
        <v>5186</v>
      </c>
      <c r="F3088" s="269"/>
      <c r="G3088" s="273">
        <v>5</v>
      </c>
      <c r="H3088" s="283">
        <v>1260</v>
      </c>
      <c r="I3088" s="279">
        <v>2</v>
      </c>
      <c r="J3088" s="246">
        <v>0</v>
      </c>
      <c r="K3088" s="277" t="s">
        <v>6404</v>
      </c>
      <c r="L3088" s="248">
        <v>192600</v>
      </c>
      <c r="M3088" s="249">
        <f>15*(LEFT(TEXT($L3088,"000000"),2)+(MID(TEXT($L3088,"000000"),3,2)/60)+(RIGHT(TEXT($L3088,"000000"),2)/3600))</f>
        <v>291.5</v>
      </c>
      <c r="N3088" s="286">
        <v>153423</v>
      </c>
      <c r="O3088" s="251">
        <f>IF($N3088&gt;0,(LEFT(TEXT($N3088,"000000"),2)+(MID(TEXT($N3088,"000000"),3,2)/60)+(RIGHT(TEXT($N3088,"000000"),2)/3600)),-(MID(TEXT($N3088,"000000"),2,2)+(MID(TEXT($N3088,"000000"),4,2)/60)+(RIGHT(TEXT($N3088,"000000"),2)/3600)))</f>
        <v>15.573055555555555</v>
      </c>
      <c r="P3088" s="252" t="s">
        <v>121</v>
      </c>
      <c r="Q3088" s="253"/>
      <c r="R3088" s="277" t="s">
        <v>3293</v>
      </c>
      <c r="S3088" s="272" t="s">
        <v>3293</v>
      </c>
      <c r="T3088" s="273"/>
      <c r="U3088" s="274"/>
      <c r="V3088" s="280"/>
      <c r="W3088" s="244"/>
      <c r="X3088" s="244"/>
      <c r="Y3088" s="362"/>
      <c r="Z3088" s="257">
        <f>altaz(J2000_Bas,$O3088,$M3088,DecLat,DecLong,1)</f>
        <v>73.775168766468255</v>
      </c>
      <c r="AA3088" s="257">
        <f>altaz((J2000_Bas+(2*0.04167)),$O3088,$M3088,DecLat,DecLong,1)</f>
        <v>62.760825399897229</v>
      </c>
      <c r="AB3088" s="257">
        <f>altaz((J2000_Bas+(4*0.04167)),$O3088,$M3088,DecLat,DecLong,1)</f>
        <v>38.005722300549102</v>
      </c>
      <c r="AC3088" s="257">
        <f>altaz((J2000_Bas+(6*0.04167)),$O3088,$M3088,DecLat,DecLong,1)</f>
        <v>12.341246735515819</v>
      </c>
      <c r="AD3088" s="258">
        <f>1+ transit((J2000_Bas-1),$O3088,$M3088,DecLat,DecLong)/360 + (GMTOffset/24) + (IF(DST="Y", 1, 0)/24)</f>
        <v>1.8026221018797084</v>
      </c>
      <c r="AE3088" s="259">
        <f>DATE(2001,9,21)+(M3088/360)*365 - (360*((DecLong/360)- (GMTOffset/24) ))</f>
        <v>37455.548611111109</v>
      </c>
      <c r="AF3088" s="260">
        <f>IF(DecLat&gt;0,IF((90 - (DecLat-O3088))&gt;90, (90 - (O3088-DecLat)), (90 - (DecLat-O3088))),IF((90 + (DecLat-O3088))&gt;90, (90 + (O3088-DecLat)), (90 + (DecLat-O3088))))</f>
        <v>74.573055555555555</v>
      </c>
      <c r="AG3088" s="257">
        <f>angularseperation(MoonRA,MoonDec,$M3088,$O3088)</f>
        <v>59.167018188281155</v>
      </c>
      <c r="AH3088" s="261">
        <f ca="1">MIN(100,IF($O$5&gt;80,0+30*($AG3088/100),IF($O$5&gt;70,0+50*($AG3088/100),IF($O$5&gt;60,5+50*($AG3088/100),IF($O$5&gt;50,10+60*($AG3088/100),IF($O$5&gt;40,15+70*($AG3088/100),IF($O$5&gt;30,20+70*($AG3088/100),IF($O$5&gt;20,40+55*($AG3088/100),(80+(20-$O$5)+30*($AG3088/100))))))))))</f>
        <v>100</v>
      </c>
      <c r="AI3088" s="263"/>
      <c r="AJ3088" s="263"/>
      <c r="AK3088" s="263"/>
      <c r="AL3088" s="263"/>
      <c r="AM3088" s="264"/>
      <c r="AN3088" s="263"/>
      <c r="AO3088" s="263"/>
      <c r="AP3088" s="265"/>
      <c r="AQ3088" s="265"/>
      <c r="AR3088" s="285"/>
      <c r="AS3088" s="263"/>
      <c r="AT3088" s="263"/>
      <c r="AU3088" s="263"/>
      <c r="AV3088" s="264"/>
      <c r="AW3088" s="263"/>
      <c r="AX3088" s="263"/>
      <c r="AY3088" s="263"/>
      <c r="AZ3088" s="263"/>
      <c r="BA3088" s="263"/>
      <c r="BB3088" s="263"/>
      <c r="BC3088" s="263"/>
      <c r="BD3088" s="264">
        <v>125</v>
      </c>
      <c r="BE3088" s="263"/>
      <c r="BF3088" s="263"/>
      <c r="BG3088" s="263"/>
      <c r="BH3088" s="263"/>
      <c r="BI3088" s="263"/>
      <c r="BJ3088" s="404">
        <f>altaz(J2000_Bas,$O3088,$M3088,DecLat,DecLong,2)</f>
        <v>160.7141071370807</v>
      </c>
      <c r="BK3088" s="378" t="s">
        <v>2896</v>
      </c>
      <c r="BL3088" s="379">
        <f>IF((2*G3088)/60&lt;0.2,0.2,(2*G3088)/60)</f>
        <v>0.2</v>
      </c>
      <c r="BM3088" s="380">
        <f>MOD((50000+AD3088-$B$3+(0/24)),1)</f>
        <v>1.7989031584875192E-2</v>
      </c>
      <c r="BN3088" s="381"/>
      <c r="BO3088" s="382">
        <v>3078</v>
      </c>
    </row>
    <row r="3089" spans="1:67" s="24" customFormat="1" ht="16.5" customHeight="1" x14ac:dyDescent="0.25">
      <c r="A3089" s="288" t="s">
        <v>2897</v>
      </c>
      <c r="B3089" s="241" t="str">
        <f>HYPERLINK(CONCATENATE($AT$3,BK3089,$AU$3),$AV$3)</f>
        <v>S</v>
      </c>
      <c r="C3089" s="242" t="str">
        <f>HYPERLINK(CONCATENATE($AT$4,BK3089,$AU$4,BL3089),$AV$4)</f>
        <v>A</v>
      </c>
      <c r="D3089" s="243" t="s">
        <v>5187</v>
      </c>
      <c r="E3089" s="244" t="s">
        <v>5186</v>
      </c>
      <c r="F3089" s="269"/>
      <c r="G3089" s="273">
        <v>5</v>
      </c>
      <c r="H3089" s="283">
        <v>4370</v>
      </c>
      <c r="I3089" s="279">
        <v>6</v>
      </c>
      <c r="J3089" s="246">
        <v>3</v>
      </c>
      <c r="K3089" s="247" t="s">
        <v>9495</v>
      </c>
      <c r="L3089" s="248">
        <v>192611</v>
      </c>
      <c r="M3089" s="249">
        <f>15*(LEFT(TEXT($L3089,"000000"),2)+(MID(TEXT($L3089,"000000"),3,2)/60)+(RIGHT(TEXT($L3089,"000000"),2)/3600))</f>
        <v>291.54583333333335</v>
      </c>
      <c r="N3089" s="250">
        <v>224517</v>
      </c>
      <c r="O3089" s="251">
        <f>IF($N3089&gt;0,(LEFT(TEXT($N3089,"000000"),2)+(MID(TEXT($N3089,"000000"),3,2)/60)+(RIGHT(TEXT($N3089,"000000"),2)/3600)),-(MID(TEXT($N3089,"000000"),2,2)+(MID(TEXT($N3089,"000000"),4,2)/60)+(RIGHT(TEXT($N3089,"000000"),2)/3600)))</f>
        <v>22.754722222222224</v>
      </c>
      <c r="P3089" s="252" t="s">
        <v>133</v>
      </c>
      <c r="Q3089" s="253" t="s">
        <v>7024</v>
      </c>
      <c r="R3089" s="247" t="s">
        <v>9554</v>
      </c>
      <c r="S3089" s="272" t="s">
        <v>3293</v>
      </c>
      <c r="T3089" s="273"/>
      <c r="U3089" s="274"/>
      <c r="V3089" s="280"/>
      <c r="W3089" s="244"/>
      <c r="X3089" s="244"/>
      <c r="Y3089" s="362"/>
      <c r="Z3089" s="257">
        <f>altaz(J2000_Bas,$O3089,$M3089,DecLat,DecLong,1)</f>
        <v>80.389948427097153</v>
      </c>
      <c r="AA3089" s="257">
        <f>altaz((J2000_Bas+(2*0.04167)),$O3089,$M3089,DecLat,DecLong,1)</f>
        <v>66.672311590884277</v>
      </c>
      <c r="AB3089" s="257">
        <f>altaz((J2000_Bas+(4*0.04167)),$O3089,$M3089,DecLat,DecLong,1)</f>
        <v>41.057308113117614</v>
      </c>
      <c r="AC3089" s="257">
        <f>altaz((J2000_Bas+(6*0.04167)),$O3089,$M3089,DecLat,DecLong,1)</f>
        <v>15.788161584717814</v>
      </c>
      <c r="AD3089" s="258">
        <f>1+ transit((J2000_Bas-1),$O3089,$M3089,DecLat,DecLong)/360 + (GMTOffset/24) + (IF(DST="Y", 1, 0)/24)</f>
        <v>1.8027494166817915</v>
      </c>
      <c r="AE3089" s="259">
        <f>DATE(2001,9,21)+(M3089/360)*365 - (360*((DecLong/360)- (GMTOffset/24) ))</f>
        <v>37455.595081018517</v>
      </c>
      <c r="AF3089" s="260">
        <f>IF(DecLat&gt;0,IF((90 - (DecLat-O3089))&gt;90, (90 - (O3089-DecLat)), (90 - (DecLat-O3089))),IF((90 + (DecLat-O3089))&gt;90, (90 + (O3089-DecLat)), (90 + (DecLat-O3089))))</f>
        <v>81.754722222222227</v>
      </c>
      <c r="AG3089" s="257">
        <f>angularseperation(MoonRA,MoonDec,$M3089,$O3089)</f>
        <v>64.460824514209307</v>
      </c>
      <c r="AH3089" s="261">
        <f ca="1">MIN(100,IF($O$5&gt;80,0+30*($AG3089/100),IF($O$5&gt;70,0+50*($AG3089/100),IF($O$5&gt;60,5+50*($AG3089/100),IF($O$5&gt;50,10+60*($AG3089/100),IF($O$5&gt;40,15+70*($AG3089/100),IF($O$5&gt;30,20+70*($AG3089/100),IF($O$5&gt;20,40+55*($AG3089/100),(80+(20-$O$5)+30*($AG3089/100))))))))))</f>
        <v>100</v>
      </c>
      <c r="AI3089" s="262"/>
      <c r="AJ3089" s="262"/>
      <c r="AK3089" s="262"/>
      <c r="AL3089" s="263"/>
      <c r="AM3089" s="264"/>
      <c r="AN3089" s="263"/>
      <c r="AO3089" s="263"/>
      <c r="AP3089" s="265"/>
      <c r="AQ3089" s="266"/>
      <c r="AR3089" s="267"/>
      <c r="AS3089" s="263"/>
      <c r="AT3089" s="263"/>
      <c r="AU3089" s="263"/>
      <c r="AV3089" s="264"/>
      <c r="AW3089" s="263"/>
      <c r="AX3089" s="263"/>
      <c r="AY3089" s="263">
        <v>133</v>
      </c>
      <c r="AZ3089" s="263">
        <v>768</v>
      </c>
      <c r="BA3089" s="263"/>
      <c r="BB3089" s="263"/>
      <c r="BC3089" s="263"/>
      <c r="BD3089" s="264">
        <v>126</v>
      </c>
      <c r="BE3089" s="263"/>
      <c r="BF3089" s="263"/>
      <c r="BG3089" s="263">
        <v>82</v>
      </c>
      <c r="BH3089" s="263"/>
      <c r="BI3089" s="263"/>
      <c r="BJ3089" s="404">
        <f>altaz(J2000_Bas,$O3089,$M3089,DecLat,DecLong,2)</f>
        <v>147.75176906835961</v>
      </c>
      <c r="BK3089" s="378" t="s">
        <v>2897</v>
      </c>
      <c r="BL3089" s="379">
        <f>IF((2*G3089)/60&lt;0.2,0.2,(2*G3089)/60)</f>
        <v>0.2</v>
      </c>
      <c r="BM3089" s="380">
        <f>MOD((50000+AD3089-$B$3+(0/24)),1)</f>
        <v>1.8116346385795623E-2</v>
      </c>
      <c r="BN3089" s="381"/>
      <c r="BO3089" s="382">
        <v>3079</v>
      </c>
    </row>
    <row r="3090" spans="1:67" s="24" customFormat="1" ht="16.5" customHeight="1" x14ac:dyDescent="0.25">
      <c r="A3090" s="288" t="s">
        <v>2898</v>
      </c>
      <c r="B3090" s="241" t="str">
        <f>HYPERLINK(CONCATENATE($AT$3,BK3090,$AU$3),$AV$3)</f>
        <v>S</v>
      </c>
      <c r="C3090" s="242" t="str">
        <f>HYPERLINK(CONCATENATE($AT$4,BK3090,$AU$4,BL3090),$AV$4)</f>
        <v>A</v>
      </c>
      <c r="D3090" s="243" t="s">
        <v>5187</v>
      </c>
      <c r="E3090" s="244" t="s">
        <v>5186</v>
      </c>
      <c r="F3090" s="269"/>
      <c r="G3090" s="276">
        <v>30</v>
      </c>
      <c r="H3090" s="283">
        <v>540</v>
      </c>
      <c r="I3090" s="279">
        <v>5</v>
      </c>
      <c r="J3090" s="246">
        <v>1</v>
      </c>
      <c r="K3090" s="277" t="s">
        <v>9496</v>
      </c>
      <c r="L3090" s="248">
        <v>194741</v>
      </c>
      <c r="M3090" s="249">
        <f>15*(LEFT(TEXT($L3090,"000000"),2)+(MID(TEXT($L3090,"000000"),3,2)/60)+(RIGHT(TEXT($L3090,"000000"),2)/3600))</f>
        <v>296.92083333333335</v>
      </c>
      <c r="N3090" s="286">
        <v>183201</v>
      </c>
      <c r="O3090" s="251">
        <f>IF($N3090&gt;0,(LEFT(TEXT($N3090,"000000"),2)+(MID(TEXT($N3090,"000000"),3,2)/60)+(RIGHT(TEXT($N3090,"000000"),2)/3600)),-(MID(TEXT($N3090,"000000"),2,2)+(MID(TEXT($N3090,"000000"),4,2)/60)+(RIGHT(TEXT($N3090,"000000"),2)/3600)))</f>
        <v>18.533611111111114</v>
      </c>
      <c r="P3090" s="252" t="s">
        <v>139</v>
      </c>
      <c r="Q3090" s="253"/>
      <c r="R3090" s="277" t="s">
        <v>9555</v>
      </c>
      <c r="S3090" s="272" t="s">
        <v>3293</v>
      </c>
      <c r="T3090" s="273"/>
      <c r="U3090" s="274"/>
      <c r="V3090" s="280"/>
      <c r="W3090" s="244"/>
      <c r="X3090" s="244"/>
      <c r="Y3090" s="362"/>
      <c r="Z3090" s="257">
        <f>altaz(J2000_Bas,$O3090,$M3090,DecLat,DecLong,1)</f>
        <v>74.093778803570672</v>
      </c>
      <c r="AA3090" s="257">
        <f>altaz((J2000_Bas+(2*0.04167)),$O3090,$M3090,DecLat,DecLong,1)</f>
        <v>68.649971404429223</v>
      </c>
      <c r="AB3090" s="257">
        <f>altaz((J2000_Bas+(4*0.04167)),$O3090,$M3090,DecLat,DecLong,1)</f>
        <v>43.964051408118543</v>
      </c>
      <c r="AC3090" s="257">
        <f>altaz((J2000_Bas+(6*0.04167)),$O3090,$M3090,DecLat,DecLong,1)</f>
        <v>18.307108161932334</v>
      </c>
      <c r="AD3090" s="258">
        <f>1+ transit((J2000_Bas-1),$O3090,$M3090,DecLat,DecLong)/360 + (GMTOffset/24) + (IF(DST="Y", 1, 0)/24)</f>
        <v>1.8176799707442914</v>
      </c>
      <c r="AE3090" s="259">
        <f>DATE(2001,9,21)+(M3090/360)*365 - (360*((DecLong/360)- (GMTOffset/24) ))</f>
        <v>37461.044733796298</v>
      </c>
      <c r="AF3090" s="260">
        <f>IF(DecLat&gt;0,IF((90 - (DecLat-O3090))&gt;90, (90 - (O3090-DecLat)), (90 - (DecLat-O3090))),IF((90 + (DecLat-O3090))&gt;90, (90 + (O3090-DecLat)), (90 + (DecLat-O3090))))</f>
        <v>77.533611111111114</v>
      </c>
      <c r="AG3090" s="257">
        <f>angularseperation(MoonRA,MoonDec,$M3090,$O3090)</f>
        <v>64.935315642166699</v>
      </c>
      <c r="AH3090" s="261">
        <f ca="1">MIN(100,IF($O$5&gt;80,0+30*($AG3090/100),IF($O$5&gt;70,0+50*($AG3090/100),IF($O$5&gt;60,5+50*($AG3090/100),IF($O$5&gt;50,10+60*($AG3090/100),IF($O$5&gt;40,15+70*($AG3090/100),IF($O$5&gt;30,20+70*($AG3090/100),IF($O$5&gt;20,40+55*($AG3090/100),(80+(20-$O$5)+30*($AG3090/100))))))))))</f>
        <v>100</v>
      </c>
      <c r="AI3090" s="263"/>
      <c r="AJ3090" s="263"/>
      <c r="AK3090" s="263"/>
      <c r="AL3090" s="263"/>
      <c r="AM3090" s="264"/>
      <c r="AN3090" s="263"/>
      <c r="AO3090" s="263"/>
      <c r="AP3090" s="265"/>
      <c r="AQ3090" s="265"/>
      <c r="AR3090" s="285"/>
      <c r="AS3090" s="263"/>
      <c r="AT3090" s="263"/>
      <c r="AU3090" s="263"/>
      <c r="AV3090" s="264"/>
      <c r="AW3090" s="263"/>
      <c r="AX3090" s="263"/>
      <c r="AY3090" s="263"/>
      <c r="AZ3090" s="263"/>
      <c r="BA3090" s="263"/>
      <c r="BB3090" s="263"/>
      <c r="BC3090" s="263"/>
      <c r="BD3090" s="264">
        <v>127</v>
      </c>
      <c r="BE3090" s="263"/>
      <c r="BF3090" s="263"/>
      <c r="BG3090" s="263"/>
      <c r="BH3090" s="263"/>
      <c r="BI3090" s="263"/>
      <c r="BJ3090" s="404">
        <f>altaz(J2000_Bas,$O3090,$M3090,DecLat,DecLong,2)</f>
        <v>139.06025985681316</v>
      </c>
      <c r="BK3090" s="378" t="s">
        <v>2898</v>
      </c>
      <c r="BL3090" s="379">
        <f>IF((2*G3090)/60&lt;0.2,0.2,(2*G3090)/60)</f>
        <v>1</v>
      </c>
      <c r="BM3090" s="380">
        <f>MOD((50000+AD3090-$B$3+(0/24)),1)</f>
        <v>3.3046900447516236E-2</v>
      </c>
      <c r="BN3090" s="381"/>
      <c r="BO3090" s="382">
        <v>3080</v>
      </c>
    </row>
    <row r="3091" spans="1:67" s="24" customFormat="1" ht="16.5" customHeight="1" x14ac:dyDescent="0.25">
      <c r="A3091" s="288" t="s">
        <v>2899</v>
      </c>
      <c r="B3091" s="241" t="str">
        <f>HYPERLINK(CONCATENATE($AT$3,BK3091,$AU$3),$AV$3)</f>
        <v>S</v>
      </c>
      <c r="C3091" s="242" t="str">
        <f>HYPERLINK(CONCATENATE($AT$4,BK3091,$AU$4,BL3091),$AV$4)</f>
        <v>A</v>
      </c>
      <c r="D3091" s="243" t="s">
        <v>5187</v>
      </c>
      <c r="E3091" s="244" t="s">
        <v>5186</v>
      </c>
      <c r="F3091" s="269"/>
      <c r="G3091" s="273">
        <v>7</v>
      </c>
      <c r="H3091" s="283">
        <v>6400</v>
      </c>
      <c r="I3091" s="246">
        <v>12</v>
      </c>
      <c r="J3091" s="246">
        <v>2</v>
      </c>
      <c r="K3091" s="247" t="s">
        <v>9497</v>
      </c>
      <c r="L3091" s="248">
        <v>200400</v>
      </c>
      <c r="M3091" s="249">
        <f>15*(LEFT(TEXT($L3091,"000000"),2)+(MID(TEXT($L3091,"000000"),3,2)/60)+(RIGHT(TEXT($L3091,"000000"),2)/3600))</f>
        <v>301</v>
      </c>
      <c r="N3091" s="286">
        <v>321401</v>
      </c>
      <c r="O3091" s="251">
        <f>IF($N3091&gt;0,(LEFT(TEXT($N3091,"000000"),2)+(MID(TEXT($N3091,"000000"),3,2)/60)+(RIGHT(TEXT($N3091,"000000"),2)/3600)),-(MID(TEXT($N3091,"000000"),2,2)+(MID(TEXT($N3091,"000000"),4,2)/60)+(RIGHT(TEXT($N3091,"000000"),2)/3600)))</f>
        <v>32.233611111111109</v>
      </c>
      <c r="P3091" s="252" t="s">
        <v>60</v>
      </c>
      <c r="Q3091" s="253"/>
      <c r="R3091" s="277" t="s">
        <v>9556</v>
      </c>
      <c r="S3091" s="272" t="s">
        <v>3293</v>
      </c>
      <c r="T3091" s="273"/>
      <c r="U3091" s="274"/>
      <c r="V3091" s="280"/>
      <c r="W3091" s="244"/>
      <c r="X3091" s="244"/>
      <c r="Y3091" s="362"/>
      <c r="Z3091" s="257">
        <f>altaz(J2000_Bas,$O3091,$M3091,DecLat,DecLong,1)</f>
        <v>77.179745335538726</v>
      </c>
      <c r="AA3091" s="257">
        <f>altaz((J2000_Bas+(2*0.04167)),$O3091,$M3091,DecLat,DecLong,1)</f>
        <v>77.103813526873381</v>
      </c>
      <c r="AB3091" s="257">
        <f>altaz((J2000_Bas+(4*0.04167)),$O3091,$M3091,DecLat,DecLong,1)</f>
        <v>51.800651318065185</v>
      </c>
      <c r="AC3091" s="257">
        <f>altaz((J2000_Bas+(6*0.04167)),$O3091,$M3091,DecLat,DecLong,1)</f>
        <v>27.337596434019762</v>
      </c>
      <c r="AD3091" s="258">
        <f>1+ transit((J2000_Bas-1),$O3091,$M3091,DecLat,DecLong)/360 + (GMTOffset/24) + (IF(DST="Y", 1, 0)/24)</f>
        <v>1.8290109881297079</v>
      </c>
      <c r="AE3091" s="259">
        <f>DATE(2001,9,21)+(M3091/360)*365 - (360*((DecLong/360)- (GMTOffset/24) ))</f>
        <v>37465.180555555555</v>
      </c>
      <c r="AF3091" s="260">
        <f>IF(DecLat&gt;0,IF((90 - (DecLat-O3091))&gt;90, (90 - (O3091-DecLat)), (90 - (DecLat-O3091))),IF((90 + (DecLat-O3091))&gt;90, (90 + (O3091-DecLat)), (90 + (DecLat-O3091))))</f>
        <v>88.766388888888883</v>
      </c>
      <c r="AG3091" s="257">
        <f>angularseperation(MoonRA,MoonDec,$M3091,$O3091)</f>
        <v>77.09556642955674</v>
      </c>
      <c r="AH3091" s="261">
        <f ca="1">MIN(100,IF($O$5&gt;80,0+30*($AG3091/100),IF($O$5&gt;70,0+50*($AG3091/100),IF($O$5&gt;60,5+50*($AG3091/100),IF($O$5&gt;50,10+60*($AG3091/100),IF($O$5&gt;40,15+70*($AG3091/100),IF($O$5&gt;30,20+70*($AG3091/100),IF($O$5&gt;20,40+55*($AG3091/100),(80+(20-$O$5)+30*($AG3091/100))))))))))</f>
        <v>100</v>
      </c>
      <c r="AI3091" s="263"/>
      <c r="AJ3091" s="263"/>
      <c r="AK3091" s="263"/>
      <c r="AL3091" s="263"/>
      <c r="AM3091" s="264"/>
      <c r="AN3091" s="263"/>
      <c r="AO3091" s="263"/>
      <c r="AP3091" s="265"/>
      <c r="AQ3091" s="265"/>
      <c r="AR3091" s="285"/>
      <c r="AS3091" s="263"/>
      <c r="AT3091" s="263"/>
      <c r="AU3091" s="263"/>
      <c r="AV3091" s="264"/>
      <c r="AW3091" s="263"/>
      <c r="AX3091" s="263"/>
      <c r="AY3091" s="263"/>
      <c r="AZ3091" s="263"/>
      <c r="BA3091" s="263"/>
      <c r="BB3091" s="263"/>
      <c r="BC3091" s="263"/>
      <c r="BD3091" s="264">
        <v>128</v>
      </c>
      <c r="BE3091" s="263"/>
      <c r="BF3091" s="263"/>
      <c r="BG3091" s="263"/>
      <c r="BH3091" s="263"/>
      <c r="BI3091" s="263"/>
      <c r="BJ3091" s="404">
        <f>altaz(J2000_Bas,$O3091,$M3091,DecLat,DecLong,2)</f>
        <v>80.566602812000411</v>
      </c>
      <c r="BK3091" s="378" t="s">
        <v>2899</v>
      </c>
      <c r="BL3091" s="379">
        <f>IF((2*G3091)/60&lt;0.2,0.2,(2*G3091)/60)</f>
        <v>0.23333333333333334</v>
      </c>
      <c r="BM3091" s="380">
        <f>MOD((50000+AD3091-$B$3+(0/24)),1)</f>
        <v>4.4377917831297964E-2</v>
      </c>
      <c r="BN3091" s="381"/>
      <c r="BO3091" s="382">
        <v>3081</v>
      </c>
    </row>
    <row r="3092" spans="1:67" s="24" customFormat="1" ht="16.5" customHeight="1" x14ac:dyDescent="0.25">
      <c r="A3092" s="288" t="s">
        <v>2900</v>
      </c>
      <c r="B3092" s="241" t="str">
        <f>HYPERLINK(CONCATENATE($AT$3,BK3092,$AU$3),$AV$3)</f>
        <v>S</v>
      </c>
      <c r="C3092" s="242" t="str">
        <f>HYPERLINK(CONCATENATE($AT$4,BK3092,$AU$4,BL3092),$AV$4)</f>
        <v>A</v>
      </c>
      <c r="D3092" s="243" t="s">
        <v>5187</v>
      </c>
      <c r="E3092" s="244" t="s">
        <v>5186</v>
      </c>
      <c r="F3092" s="269"/>
      <c r="G3092" s="276">
        <v>50</v>
      </c>
      <c r="H3092" s="283">
        <v>730</v>
      </c>
      <c r="I3092" s="246">
        <v>11</v>
      </c>
      <c r="J3092" s="246">
        <v>1</v>
      </c>
      <c r="K3092" s="247" t="s">
        <v>9498</v>
      </c>
      <c r="L3092" s="248">
        <v>201200</v>
      </c>
      <c r="M3092" s="249">
        <f>15*(LEFT(TEXT($L3092,"000000"),2)+(MID(TEXT($L3092,"000000"),3,2)/60)+(RIGHT(TEXT($L3092,"000000"),2)/3600))</f>
        <v>303</v>
      </c>
      <c r="N3092" s="286">
        <v>-5901</v>
      </c>
      <c r="O3092" s="251">
        <f>IF($N3092&gt;0,(LEFT(TEXT($N3092,"000000"),2)+(MID(TEXT($N3092,"000000"),3,2)/60)+(RIGHT(TEXT($N3092,"000000"),2)/3600)),-(MID(TEXT($N3092,"000000"),2,2)+(MID(TEXT($N3092,"000000"),4,2)/60)+(RIGHT(TEXT($N3092,"000000"),2)/3600)))</f>
        <v>-0.9836111111111111</v>
      </c>
      <c r="P3092" s="252" t="s">
        <v>126</v>
      </c>
      <c r="Q3092" s="253"/>
      <c r="R3092" s="277" t="s">
        <v>9557</v>
      </c>
      <c r="S3092" s="272" t="s">
        <v>3293</v>
      </c>
      <c r="T3092" s="273"/>
      <c r="U3092" s="274"/>
      <c r="V3092" s="280"/>
      <c r="W3092" s="244"/>
      <c r="X3092" s="244"/>
      <c r="Y3092" s="362"/>
      <c r="Z3092" s="257">
        <f>altaz(J2000_Bas,$O3092,$M3092,DecLat,DecLong,1)</f>
        <v>54.170497933995605</v>
      </c>
      <c r="AA3092" s="257">
        <f>altaz((J2000_Bas+(2*0.04167)),$O3092,$M3092,DecLat,DecLong,1)</f>
        <v>55.683853078872737</v>
      </c>
      <c r="AB3092" s="257">
        <f>altaz((J2000_Bas+(4*0.04167)),$O3092,$M3092,DecLat,DecLong,1)</f>
        <v>38.039471554396322</v>
      </c>
      <c r="AC3092" s="257">
        <f>altaz((J2000_Bas+(6*0.04167)),$O3092,$M3092,DecLat,DecLong,1)</f>
        <v>13.772364145595798</v>
      </c>
      <c r="AD3092" s="258">
        <f>1+ transit((J2000_Bas-1),$O3092,$M3092,DecLat,DecLong)/360 + (GMTOffset/24) + (IF(DST="Y", 1, 0)/24)</f>
        <v>1.8345665431297078</v>
      </c>
      <c r="AE3092" s="259">
        <f>DATE(2001,9,21)+(M3092/360)*365 - (360*((DecLong/360)- (GMTOffset/24) ))</f>
        <v>37467.208333333336</v>
      </c>
      <c r="AF3092" s="260">
        <f>IF(DecLat&gt;0,IF((90 - (DecLat-O3092))&gt;90, (90 - (O3092-DecLat)), (90 - (DecLat-O3092))),IF((90 + (DecLat-O3092))&gt;90, (90 + (O3092-DecLat)), (90 + (DecLat-O3092))))</f>
        <v>58.016388888888891</v>
      </c>
      <c r="AG3092" s="257">
        <f>angularseperation(MoonRA,MoonDec,$M3092,$O3092)</f>
        <v>57.716894253297795</v>
      </c>
      <c r="AH3092" s="261">
        <f ca="1">MIN(100,IF($O$5&gt;80,0+30*($AG3092/100),IF($O$5&gt;70,0+50*($AG3092/100),IF($O$5&gt;60,5+50*($AG3092/100),IF($O$5&gt;50,10+60*($AG3092/100),IF($O$5&gt;40,15+70*($AG3092/100),IF($O$5&gt;30,20+70*($AG3092/100),IF($O$5&gt;20,40+55*($AG3092/100),(80+(20-$O$5)+30*($AG3092/100))))))))))</f>
        <v>100</v>
      </c>
      <c r="AI3092" s="263"/>
      <c r="AJ3092" s="263"/>
      <c r="AK3092" s="263"/>
      <c r="AL3092" s="263"/>
      <c r="AM3092" s="264"/>
      <c r="AN3092" s="263"/>
      <c r="AO3092" s="263"/>
      <c r="AP3092" s="265"/>
      <c r="AQ3092" s="265"/>
      <c r="AR3092" s="285"/>
      <c r="AS3092" s="263"/>
      <c r="AT3092" s="263"/>
      <c r="AU3092" s="263"/>
      <c r="AV3092" s="264"/>
      <c r="AW3092" s="263"/>
      <c r="AX3092" s="263"/>
      <c r="AY3092" s="263"/>
      <c r="AZ3092" s="263"/>
      <c r="BA3092" s="263"/>
      <c r="BB3092" s="263"/>
      <c r="BC3092" s="263"/>
      <c r="BD3092" s="264">
        <v>129</v>
      </c>
      <c r="BE3092" s="263"/>
      <c r="BF3092" s="263"/>
      <c r="BG3092" s="263"/>
      <c r="BH3092" s="263"/>
      <c r="BI3092" s="263"/>
      <c r="BJ3092" s="404">
        <f>altaz(J2000_Bas,$O3092,$M3092,DecLat,DecLong,2)</f>
        <v>150.04551735726324</v>
      </c>
      <c r="BK3092" s="378" t="s">
        <v>2900</v>
      </c>
      <c r="BL3092" s="379">
        <f>IF((2*G3092)/60&lt;0.2,0.2,(2*G3092)/60)</f>
        <v>1.6666666666666667</v>
      </c>
      <c r="BM3092" s="380">
        <f>MOD((50000+AD3092-$B$3+(0/24)),1)</f>
        <v>4.9933472830161918E-2</v>
      </c>
      <c r="BN3092" s="381"/>
      <c r="BO3092" s="382">
        <v>3082</v>
      </c>
    </row>
    <row r="3093" spans="1:67" s="24" customFormat="1" ht="16.5" customHeight="1" x14ac:dyDescent="0.25">
      <c r="A3093" s="288" t="s">
        <v>2901</v>
      </c>
      <c r="B3093" s="241" t="str">
        <f>HYPERLINK(CONCATENATE($AT$3,BK3093,$AU$3),$AV$3)</f>
        <v>S</v>
      </c>
      <c r="C3093" s="242" t="str">
        <f>HYPERLINK(CONCATENATE($AT$4,BK3093,$AU$4,BL3093),$AV$4)</f>
        <v>A</v>
      </c>
      <c r="D3093" s="243" t="s">
        <v>5187</v>
      </c>
      <c r="E3093" s="244" t="s">
        <v>5186</v>
      </c>
      <c r="F3093" s="269"/>
      <c r="G3093" s="273">
        <v>1</v>
      </c>
      <c r="H3093" s="283">
        <v>3260</v>
      </c>
      <c r="I3093" s="279">
        <v>1</v>
      </c>
      <c r="J3093" s="246">
        <v>1</v>
      </c>
      <c r="K3093" s="247" t="s">
        <v>9499</v>
      </c>
      <c r="L3093" s="248">
        <v>201741</v>
      </c>
      <c r="M3093" s="249">
        <f>15*(LEFT(TEXT($L3093,"000000"),2)+(MID(TEXT($L3093,"000000"),3,2)/60)+(RIGHT(TEXT($L3093,"000000"),2)/3600))</f>
        <v>304.42083333333335</v>
      </c>
      <c r="N3093" s="250">
        <v>392001</v>
      </c>
      <c r="O3093" s="251">
        <f>IF($N3093&gt;0,(LEFT(TEXT($N3093,"000000"),2)+(MID(TEXT($N3093,"000000"),3,2)/60)+(RIGHT(TEXT($N3093,"000000"),2)/3600)),-(MID(TEXT($N3093,"000000"),2,2)+(MID(TEXT($N3093,"000000"),4,2)/60)+(RIGHT(TEXT($N3093,"000000"),2)/3600)))</f>
        <v>39.333611111111111</v>
      </c>
      <c r="P3093" s="252" t="s">
        <v>60</v>
      </c>
      <c r="Q3093" s="253"/>
      <c r="R3093" s="277"/>
      <c r="S3093" s="272" t="s">
        <v>3293</v>
      </c>
      <c r="T3093" s="273"/>
      <c r="U3093" s="274"/>
      <c r="V3093" s="280"/>
      <c r="W3093" s="244"/>
      <c r="X3093" s="244"/>
      <c r="Y3093" s="362"/>
      <c r="Z3093" s="257">
        <f>altaz(J2000_Bas,$O3093,$M3093,DecLat,DecLong,1)</f>
        <v>72.839037119013852</v>
      </c>
      <c r="AA3093" s="257">
        <f>altaz((J2000_Bas+(2*0.04167)),$O3093,$M3093,DecLat,DecLong,1)</f>
        <v>77.354888402403446</v>
      </c>
      <c r="AB3093" s="257">
        <f>altaz((J2000_Bas+(4*0.04167)),$O3093,$M3093,DecLat,DecLong,1)</f>
        <v>55.192273139628369</v>
      </c>
      <c r="AC3093" s="257">
        <f>altaz((J2000_Bas+(6*0.04167)),$O3093,$M3093,DecLat,DecLong,1)</f>
        <v>32.217525997833526</v>
      </c>
      <c r="AD3093" s="258">
        <f>1+ transit((J2000_Bas-1),$O3093,$M3093,DecLat,DecLong)/360 + (GMTOffset/24) + (IF(DST="Y", 1, 0)/24)</f>
        <v>1.8385133019942914</v>
      </c>
      <c r="AE3093" s="259">
        <f>DATE(2001,9,21)+(M3093/360)*365 - (360*((DecLong/360)- (GMTOffset/24) ))</f>
        <v>37468.648900462962</v>
      </c>
      <c r="AF3093" s="260">
        <f>IF(DecLat&gt;0,IF((90 - (DecLat-O3093))&gt;90, (90 - (O3093-DecLat)), (90 - (DecLat-O3093))),IF((90 + (DecLat-O3093))&gt;90, (90 + (O3093-DecLat)), (90 + (DecLat-O3093))))</f>
        <v>81.666388888888889</v>
      </c>
      <c r="AG3093" s="257">
        <f>angularseperation(MoonRA,MoonDec,$M3093,$O3093)</f>
        <v>83.993226226123923</v>
      </c>
      <c r="AH3093" s="261">
        <f ca="1">MIN(100,IF($O$5&gt;80,0+30*($AG3093/100),IF($O$5&gt;70,0+50*($AG3093/100),IF($O$5&gt;60,5+50*($AG3093/100),IF($O$5&gt;50,10+60*($AG3093/100),IF($O$5&gt;40,15+70*($AG3093/100),IF($O$5&gt;30,20+70*($AG3093/100),IF($O$5&gt;20,40+55*($AG3093/100),(80+(20-$O$5)+30*($AG3093/100))))))))))</f>
        <v>100</v>
      </c>
      <c r="AI3093" s="263"/>
      <c r="AJ3093" s="263"/>
      <c r="AK3093" s="263"/>
      <c r="AL3093" s="263"/>
      <c r="AM3093" s="264"/>
      <c r="AN3093" s="263"/>
      <c r="AO3093" s="263"/>
      <c r="AP3093" s="265"/>
      <c r="AQ3093" s="265"/>
      <c r="AR3093" s="285"/>
      <c r="AS3093" s="263"/>
      <c r="AT3093" s="263"/>
      <c r="AU3093" s="263"/>
      <c r="AV3093" s="264"/>
      <c r="AW3093" s="263"/>
      <c r="AX3093" s="263"/>
      <c r="AY3093" s="263"/>
      <c r="AZ3093" s="263"/>
      <c r="BA3093" s="263"/>
      <c r="BB3093" s="263"/>
      <c r="BC3093" s="263"/>
      <c r="BD3093" s="264">
        <v>130</v>
      </c>
      <c r="BE3093" s="263"/>
      <c r="BF3093" s="263"/>
      <c r="BG3093" s="263"/>
      <c r="BH3093" s="263"/>
      <c r="BI3093" s="263"/>
      <c r="BJ3093" s="404">
        <f>altaz(J2000_Bas,$O3093,$M3093,DecLat,DecLong,2)</f>
        <v>55.918255025083269</v>
      </c>
      <c r="BK3093" s="378" t="s">
        <v>2901</v>
      </c>
      <c r="BL3093" s="379">
        <f>IF((2*G3093)/60&lt;0.2,0.2,(2*G3093)/60)</f>
        <v>0.2</v>
      </c>
      <c r="BM3093" s="380">
        <f>MOD((50000+AD3093-$B$3+(0/24)),1)</f>
        <v>5.3880231695075054E-2</v>
      </c>
      <c r="BN3093" s="381"/>
      <c r="BO3093" s="382">
        <v>3083</v>
      </c>
    </row>
    <row r="3094" spans="1:67" s="24" customFormat="1" ht="16.5" customHeight="1" x14ac:dyDescent="0.25">
      <c r="A3094" s="288" t="s">
        <v>2902</v>
      </c>
      <c r="B3094" s="241" t="str">
        <f>HYPERLINK(CONCATENATE($AT$3,BK3094,$AU$3),$AV$3)</f>
        <v>S</v>
      </c>
      <c r="C3094" s="242" t="str">
        <f>HYPERLINK(CONCATENATE($AT$4,BK3094,$AU$4,BL3094),$AV$4)</f>
        <v>A</v>
      </c>
      <c r="D3094" s="243" t="s">
        <v>5187</v>
      </c>
      <c r="E3094" s="244" t="s">
        <v>5186</v>
      </c>
      <c r="F3094" s="269"/>
      <c r="G3094" s="273">
        <v>6</v>
      </c>
      <c r="H3094" s="283">
        <v>3230</v>
      </c>
      <c r="I3094" s="279">
        <v>5.5</v>
      </c>
      <c r="J3094" s="246">
        <v>2</v>
      </c>
      <c r="K3094" s="247" t="s">
        <v>6452</v>
      </c>
      <c r="L3094" s="248">
        <v>202416</v>
      </c>
      <c r="M3094" s="249">
        <f>15*(LEFT(TEXT($L3094,"000000"),2)+(MID(TEXT($L3094,"000000"),3,2)/60)+(RIGHT(TEXT($L3094,"000000"),2)/3600))</f>
        <v>306.06666666666666</v>
      </c>
      <c r="N3094" s="250">
        <v>421747</v>
      </c>
      <c r="O3094" s="251">
        <f>IF($N3094&gt;0,(LEFT(TEXT($N3094,"000000"),2)+(MID(TEXT($N3094,"000000"),3,2)/60)+(RIGHT(TEXT($N3094,"000000"),2)/3600)),-(MID(TEXT($N3094,"000000"),2,2)+(MID(TEXT($N3094,"000000"),4,2)/60)+(RIGHT(TEXT($N3094,"000000"),2)/3600)))</f>
        <v>42.296388888888885</v>
      </c>
      <c r="P3094" s="252" t="s">
        <v>60</v>
      </c>
      <c r="Q3094" s="253"/>
      <c r="R3094" s="247"/>
      <c r="S3094" s="272" t="s">
        <v>6451</v>
      </c>
      <c r="T3094" s="273"/>
      <c r="U3094" s="274"/>
      <c r="V3094" s="280"/>
      <c r="W3094" s="244"/>
      <c r="X3094" s="244"/>
      <c r="Y3094" s="362"/>
      <c r="Z3094" s="257">
        <f>altaz(J2000_Bas,$O3094,$M3094,DecLat,DecLong,1)</f>
        <v>70.415461027971716</v>
      </c>
      <c r="AA3094" s="257">
        <f>altaz((J2000_Bas+(2*0.04167)),$O3094,$M3094,DecLat,DecLong,1)</f>
        <v>76.157078764641128</v>
      </c>
      <c r="AB3094" s="257">
        <f>altaz((J2000_Bas+(4*0.04167)),$O3094,$M3094,DecLat,DecLong,1)</f>
        <v>56.25783350881408</v>
      </c>
      <c r="AC3094" s="257">
        <f>altaz((J2000_Bas+(6*0.04167)),$O3094,$M3094,DecLat,DecLong,1)</f>
        <v>34.158168224898247</v>
      </c>
      <c r="AD3094" s="258">
        <f>1+ transit((J2000_Bas-1),$O3094,$M3094,DecLat,DecLong)/360 + (GMTOffset/24) + (IF(DST="Y", 1, 0)/24)</f>
        <v>1.8430850607963747</v>
      </c>
      <c r="AE3094" s="259">
        <f>DATE(2001,9,21)+(M3094/360)*365 - (360*((DecLong/360)- (GMTOffset/24) ))</f>
        <v>37470.31759259259</v>
      </c>
      <c r="AF3094" s="260">
        <f>IF(DecLat&gt;0,IF((90 - (DecLat-O3094))&gt;90, (90 - (O3094-DecLat)), (90 - (DecLat-O3094))),IF((90 + (DecLat-O3094))&gt;90, (90 + (O3094-DecLat)), (90 + (DecLat-O3094))))</f>
        <v>78.703611111111115</v>
      </c>
      <c r="AG3094" s="257">
        <f>angularseperation(MoonRA,MoonDec,$M3094,$O3094)</f>
        <v>86.906504154785864</v>
      </c>
      <c r="AH3094" s="261">
        <f ca="1">MIN(100,IF($O$5&gt;80,0+30*($AG3094/100),IF($O$5&gt;70,0+50*($AG3094/100),IF($O$5&gt;60,5+50*($AG3094/100),IF($O$5&gt;50,10+60*($AG3094/100),IF($O$5&gt;40,15+70*($AG3094/100),IF($O$5&gt;30,20+70*($AG3094/100),IF($O$5&gt;20,40+55*($AG3094/100),(80+(20-$O$5)+30*($AG3094/100))))))))))</f>
        <v>100</v>
      </c>
      <c r="AI3094" s="262"/>
      <c r="AJ3094" s="262"/>
      <c r="AK3094" s="262"/>
      <c r="AL3094" s="263"/>
      <c r="AM3094" s="264"/>
      <c r="AN3094" s="263"/>
      <c r="AO3094" s="263"/>
      <c r="AP3094" s="265"/>
      <c r="AQ3094" s="266"/>
      <c r="AR3094" s="267"/>
      <c r="AS3094" s="263"/>
      <c r="AT3094" s="263"/>
      <c r="AU3094" s="263"/>
      <c r="AV3094" s="264"/>
      <c r="AW3094" s="263"/>
      <c r="AX3094" s="263"/>
      <c r="AY3094" s="263"/>
      <c r="AZ3094" s="263"/>
      <c r="BA3094" s="263"/>
      <c r="BB3094" s="263"/>
      <c r="BC3094" s="263"/>
      <c r="BD3094" s="264">
        <v>131</v>
      </c>
      <c r="BE3094" s="263"/>
      <c r="BF3094" s="263"/>
      <c r="BG3094" s="263"/>
      <c r="BH3094" s="263"/>
      <c r="BI3094" s="263"/>
      <c r="BJ3094" s="404">
        <f>altaz(J2000_Bas,$O3094,$M3094,DecLat,DecLong,2)</f>
        <v>49.204506166321607</v>
      </c>
      <c r="BK3094" s="378" t="s">
        <v>2902</v>
      </c>
      <c r="BL3094" s="379">
        <f>IF((2*G3094)/60&lt;0.2,0.2,(2*G3094)/60)</f>
        <v>0.2</v>
      </c>
      <c r="BM3094" s="380">
        <f>MOD((50000+AD3094-$B$3+(0/24)),1)</f>
        <v>5.8451990502362605E-2</v>
      </c>
      <c r="BN3094" s="381"/>
      <c r="BO3094" s="382">
        <v>3084</v>
      </c>
    </row>
    <row r="3095" spans="1:67" s="24" customFormat="1" ht="16.5" customHeight="1" x14ac:dyDescent="0.25">
      <c r="A3095" s="288" t="s">
        <v>2903</v>
      </c>
      <c r="B3095" s="241" t="str">
        <f>HYPERLINK(CONCATENATE($AT$3,BK3095,$AU$3),$AV$3)</f>
        <v>S</v>
      </c>
      <c r="C3095" s="242" t="str">
        <f>HYPERLINK(CONCATENATE($AT$4,BK3095,$AU$4,BL3095),$AV$4)</f>
        <v>A</v>
      </c>
      <c r="D3095" s="243" t="s">
        <v>5187</v>
      </c>
      <c r="E3095" s="244" t="s">
        <v>5186</v>
      </c>
      <c r="F3095" s="269"/>
      <c r="G3095" s="273">
        <v>6</v>
      </c>
      <c r="H3095" s="283">
        <v>3190</v>
      </c>
      <c r="I3095" s="279">
        <v>5.5</v>
      </c>
      <c r="J3095" s="246">
        <v>2</v>
      </c>
      <c r="K3095" s="247" t="s">
        <v>6453</v>
      </c>
      <c r="L3095" s="248">
        <v>202448</v>
      </c>
      <c r="M3095" s="249">
        <f>15*(LEFT(TEXT($L3095,"000000"),2)+(MID(TEXT($L3095,"000000"),3,2)/60)+(RIGHT(TEXT($L3095,"000000"),2)/3600))</f>
        <v>306.19999999999993</v>
      </c>
      <c r="N3095" s="250">
        <v>422259</v>
      </c>
      <c r="O3095" s="251">
        <f>IF($N3095&gt;0,(LEFT(TEXT($N3095,"000000"),2)+(MID(TEXT($N3095,"000000"),3,2)/60)+(RIGHT(TEXT($N3095,"000000"),2)/3600)),-(MID(TEXT($N3095,"000000"),2,2)+(MID(TEXT($N3095,"000000"),4,2)/60)+(RIGHT(TEXT($N3095,"000000"),2)/3600)))</f>
        <v>42.383055555555558</v>
      </c>
      <c r="P3095" s="252" t="s">
        <v>60</v>
      </c>
      <c r="Q3095" s="253"/>
      <c r="R3095" s="247" t="s">
        <v>9558</v>
      </c>
      <c r="S3095" s="272" t="s">
        <v>6451</v>
      </c>
      <c r="T3095" s="273"/>
      <c r="U3095" s="274"/>
      <c r="V3095" s="280"/>
      <c r="W3095" s="244"/>
      <c r="X3095" s="244"/>
      <c r="Y3095" s="362"/>
      <c r="Z3095" s="257">
        <f>altaz(J2000_Bas,$O3095,$M3095,DecLat,DecLong,1)</f>
        <v>70.287405817124849</v>
      </c>
      <c r="AA3095" s="257">
        <f>altaz((J2000_Bas+(2*0.04167)),$O3095,$M3095,DecLat,DecLong,1)</f>
        <v>76.150036923826548</v>
      </c>
      <c r="AB3095" s="257">
        <f>altaz((J2000_Bas+(4*0.04167)),$O3095,$M3095,DecLat,DecLong,1)</f>
        <v>56.346208010735914</v>
      </c>
      <c r="AC3095" s="257">
        <f>altaz((J2000_Bas+(6*0.04167)),$O3095,$M3095,DecLat,DecLong,1)</f>
        <v>34.273568423086587</v>
      </c>
      <c r="AD3095" s="258">
        <f>1+ transit((J2000_Bas-1),$O3095,$M3095,DecLat,DecLong)/360 + (GMTOffset/24) + (IF(DST="Y", 1, 0)/24)</f>
        <v>1.8434554311297078</v>
      </c>
      <c r="AE3095" s="259">
        <f>DATE(2001,9,21)+(M3095/360)*365 - (360*((DecLong/360)- (GMTOffset/24) ))</f>
        <v>37470.452777777777</v>
      </c>
      <c r="AF3095" s="260">
        <f>IF(DecLat&gt;0,IF((90 - (DecLat-O3095))&gt;90, (90 - (O3095-DecLat)), (90 - (DecLat-O3095))),IF((90 + (DecLat-O3095))&gt;90, (90 + (O3095-DecLat)), (90 + (DecLat-O3095))))</f>
        <v>78.616944444444442</v>
      </c>
      <c r="AG3095" s="257">
        <f>angularseperation(MoonRA,MoonDec,$M3095,$O3095)</f>
        <v>87.03774276092129</v>
      </c>
      <c r="AH3095" s="261">
        <f ca="1">MIN(100,IF($O$5&gt;80,0+30*($AG3095/100),IF($O$5&gt;70,0+50*($AG3095/100),IF($O$5&gt;60,5+50*($AG3095/100),IF($O$5&gt;50,10+60*($AG3095/100),IF($O$5&gt;40,15+70*($AG3095/100),IF($O$5&gt;30,20+70*($AG3095/100),IF($O$5&gt;20,40+55*($AG3095/100),(80+(20-$O$5)+30*($AG3095/100))))))))))</f>
        <v>100</v>
      </c>
      <c r="AI3095" s="262"/>
      <c r="AJ3095" s="262"/>
      <c r="AK3095" s="262"/>
      <c r="AL3095" s="263"/>
      <c r="AM3095" s="264"/>
      <c r="AN3095" s="263"/>
      <c r="AO3095" s="263"/>
      <c r="AP3095" s="265"/>
      <c r="AQ3095" s="266"/>
      <c r="AR3095" s="267"/>
      <c r="AS3095" s="263"/>
      <c r="AT3095" s="263"/>
      <c r="AU3095" s="263"/>
      <c r="AV3095" s="264"/>
      <c r="AW3095" s="263"/>
      <c r="AX3095" s="263"/>
      <c r="AY3095" s="263"/>
      <c r="AZ3095" s="263"/>
      <c r="BA3095" s="263"/>
      <c r="BB3095" s="263"/>
      <c r="BC3095" s="263"/>
      <c r="BD3095" s="264">
        <v>132</v>
      </c>
      <c r="BE3095" s="263"/>
      <c r="BF3095" s="263"/>
      <c r="BG3095" s="263"/>
      <c r="BH3095" s="263"/>
      <c r="BI3095" s="263"/>
      <c r="BJ3095" s="404">
        <f>altaz(J2000_Bas,$O3095,$M3095,DecLat,DecLong,2)</f>
        <v>49.119027694756028</v>
      </c>
      <c r="BK3095" s="378" t="s">
        <v>2903</v>
      </c>
      <c r="BL3095" s="379">
        <f>IF((2*G3095)/60&lt;0.2,0.2,(2*G3095)/60)</f>
        <v>0.2</v>
      </c>
      <c r="BM3095" s="380">
        <f>MOD((50000+AD3095-$B$3+(0/24)),1)</f>
        <v>5.8822360835620202E-2</v>
      </c>
      <c r="BN3095" s="381"/>
      <c r="BO3095" s="382">
        <v>3085</v>
      </c>
    </row>
    <row r="3096" spans="1:67" s="24" customFormat="1" ht="16.5" customHeight="1" x14ac:dyDescent="0.25">
      <c r="A3096" s="288" t="s">
        <v>2904</v>
      </c>
      <c r="B3096" s="241" t="str">
        <f>HYPERLINK(CONCATENATE($AT$3,BK3096,$AU$3),$AV$3)</f>
        <v>S</v>
      </c>
      <c r="C3096" s="242" t="str">
        <f>HYPERLINK(CONCATENATE($AT$4,BK3096,$AU$4,BL3096),$AV$4)</f>
        <v>A</v>
      </c>
      <c r="D3096" s="243" t="s">
        <v>5187</v>
      </c>
      <c r="E3096" s="244" t="s">
        <v>5186</v>
      </c>
      <c r="F3096" s="269"/>
      <c r="G3096" s="276">
        <v>11</v>
      </c>
      <c r="H3096" s="283">
        <v>4240</v>
      </c>
      <c r="I3096" s="246">
        <v>14</v>
      </c>
      <c r="J3096" s="246">
        <v>3</v>
      </c>
      <c r="K3096" s="247" t="s">
        <v>6454</v>
      </c>
      <c r="L3096" s="248">
        <v>203059</v>
      </c>
      <c r="M3096" s="249">
        <f>15*(LEFT(TEXT($L3096,"000000"),2)+(MID(TEXT($L3096,"000000"),3,2)/60)+(RIGHT(TEXT($L3096,"000000"),2)/3600))</f>
        <v>307.74583333333334</v>
      </c>
      <c r="N3096" s="250">
        <v>365605</v>
      </c>
      <c r="O3096" s="251">
        <f>IF($N3096&gt;0,(LEFT(TEXT($N3096,"000000"),2)+(MID(TEXT($N3096,"000000"),3,2)/60)+(RIGHT(TEXT($N3096,"000000"),2)/3600)),-(MID(TEXT($N3096,"000000"),2,2)+(MID(TEXT($N3096,"000000"),4,2)/60)+(RIGHT(TEXT($N3096,"000000"),2)/3600)))</f>
        <v>36.93472222222222</v>
      </c>
      <c r="P3096" s="252" t="s">
        <v>60</v>
      </c>
      <c r="Q3096" s="253"/>
      <c r="R3096" s="247" t="s">
        <v>9559</v>
      </c>
      <c r="S3096" s="272" t="s">
        <v>3293</v>
      </c>
      <c r="T3096" s="273"/>
      <c r="U3096" s="274"/>
      <c r="V3096" s="280"/>
      <c r="W3096" s="244"/>
      <c r="X3096" s="244"/>
      <c r="Y3096" s="362"/>
      <c r="Z3096" s="257">
        <f>altaz(J2000_Bas,$O3096,$M3096,DecLat,DecLong,1)</f>
        <v>71.066215570367063</v>
      </c>
      <c r="AA3096" s="257">
        <f>altaz((J2000_Bas+(2*0.04167)),$O3096,$M3096,DecLat,DecLong,1)</f>
        <v>80.892242588984999</v>
      </c>
      <c r="AB3096" s="257">
        <f>altaz((J2000_Bas+(4*0.04167)),$O3096,$M3096,DecLat,DecLong,1)</f>
        <v>57.805604680626175</v>
      </c>
      <c r="AC3096" s="257">
        <f>altaz((J2000_Bas+(6*0.04167)),$O3096,$M3096,DecLat,DecLong,1)</f>
        <v>34.089116830169253</v>
      </c>
      <c r="AD3096" s="258">
        <f>1+ transit((J2000_Bas-1),$O3096,$M3096,DecLat,DecLong)/360 + (GMTOffset/24) + (IF(DST="Y", 1, 0)/24)</f>
        <v>1.8477494121817915</v>
      </c>
      <c r="AE3096" s="259">
        <f>DATE(2001,9,21)+(M3096/360)*365 - (360*((DecLong/360)- (GMTOffset/24) ))</f>
        <v>37472.02008101852</v>
      </c>
      <c r="AF3096" s="260">
        <f>IF(DecLat&gt;0,IF((90 - (DecLat-O3096))&gt;90, (90 - (O3096-DecLat)), (90 - (DecLat-O3096))),IF((90 + (DecLat-O3096))&gt;90, (90 + (O3096-DecLat)), (90 + (DecLat-O3096))))</f>
        <v>84.06527777777778</v>
      </c>
      <c r="AG3096" s="257">
        <f>angularseperation(MoonRA,MoonDec,$M3096,$O3096)</f>
        <v>84.363743951191907</v>
      </c>
      <c r="AH3096" s="261">
        <f ca="1">MIN(100,IF($O$5&gt;80,0+30*($AG3096/100),IF($O$5&gt;70,0+50*($AG3096/100),IF($O$5&gt;60,5+50*($AG3096/100),IF($O$5&gt;50,10+60*($AG3096/100),IF($O$5&gt;40,15+70*($AG3096/100),IF($O$5&gt;30,20+70*($AG3096/100),IF($O$5&gt;20,40+55*($AG3096/100),(80+(20-$O$5)+30*($AG3096/100))))))))))</f>
        <v>100</v>
      </c>
      <c r="AI3096" s="262"/>
      <c r="AJ3096" s="262"/>
      <c r="AK3096" s="262"/>
      <c r="AL3096" s="263"/>
      <c r="AM3096" s="264"/>
      <c r="AN3096" s="263"/>
      <c r="AO3096" s="263"/>
      <c r="AP3096" s="265"/>
      <c r="AQ3096" s="266"/>
      <c r="AR3096" s="267"/>
      <c r="AS3096" s="263"/>
      <c r="AT3096" s="263"/>
      <c r="AU3096" s="263"/>
      <c r="AV3096" s="264"/>
      <c r="AW3096" s="263"/>
      <c r="AX3096" s="263"/>
      <c r="AY3096" s="263"/>
      <c r="AZ3096" s="263"/>
      <c r="BA3096" s="263"/>
      <c r="BB3096" s="263"/>
      <c r="BC3096" s="263"/>
      <c r="BD3096" s="264">
        <v>133</v>
      </c>
      <c r="BE3096" s="263"/>
      <c r="BF3096" s="263"/>
      <c r="BG3096" s="263"/>
      <c r="BH3096" s="263"/>
      <c r="BI3096" s="263"/>
      <c r="BJ3096" s="404">
        <f>altaz(J2000_Bas,$O3096,$M3096,DecLat,DecLong,2)</f>
        <v>65.862883541909014</v>
      </c>
      <c r="BK3096" s="378" t="s">
        <v>2904</v>
      </c>
      <c r="BL3096" s="379">
        <f>IF((2*G3096)/60&lt;0.2,0.2,(2*G3096)/60)</f>
        <v>0.36666666666666664</v>
      </c>
      <c r="BM3096" s="380">
        <f>MOD((50000+AD3096-$B$3+(0/24)),1)</f>
        <v>6.3116341887507588E-2</v>
      </c>
      <c r="BN3096" s="381"/>
      <c r="BO3096" s="382">
        <v>3086</v>
      </c>
    </row>
    <row r="3097" spans="1:67" s="24" customFormat="1" ht="16.5" customHeight="1" x14ac:dyDescent="0.25">
      <c r="A3097" s="288" t="s">
        <v>2905</v>
      </c>
      <c r="B3097" s="241" t="str">
        <f>HYPERLINK(CONCATENATE($AT$3,BK3097,$AU$3),$AV$3)</f>
        <v>S</v>
      </c>
      <c r="C3097" s="242" t="str">
        <f>HYPERLINK(CONCATENATE($AT$4,BK3097,$AU$4,BL3097),$AV$4)</f>
        <v>A</v>
      </c>
      <c r="D3097" s="243" t="s">
        <v>5187</v>
      </c>
      <c r="E3097" s="244" t="s">
        <v>5186</v>
      </c>
      <c r="F3097" s="269"/>
      <c r="G3097" s="276">
        <v>10</v>
      </c>
      <c r="H3097" s="283">
        <v>1280</v>
      </c>
      <c r="I3097" s="279">
        <v>4</v>
      </c>
      <c r="J3097" s="246">
        <v>1</v>
      </c>
      <c r="K3097" s="247" t="s">
        <v>9520</v>
      </c>
      <c r="L3097" s="248">
        <v>203000</v>
      </c>
      <c r="M3097" s="249">
        <f>15*(LEFT(TEXT($L3097,"000000"),2)+(MID(TEXT($L3097,"000000"),3,2)/60)+(RIGHT(TEXT($L3097,"000000"),2)/3600))</f>
        <v>307.5</v>
      </c>
      <c r="N3097" s="286">
        <v>485708</v>
      </c>
      <c r="O3097" s="251">
        <f>IF($N3097&gt;0,(LEFT(TEXT($N3097,"000000"),2)+(MID(TEXT($N3097,"000000"),3,2)/60)+(RIGHT(TEXT($N3097,"000000"),2)/3600)),-(MID(TEXT($N3097,"000000"),2,2)+(MID(TEXT($N3097,"000000"),4,2)/60)+(RIGHT(TEXT($N3097,"000000"),2)/3600)))</f>
        <v>48.952222222222225</v>
      </c>
      <c r="P3097" s="252" t="s">
        <v>60</v>
      </c>
      <c r="Q3097" s="253"/>
      <c r="R3097" s="277" t="s">
        <v>9560</v>
      </c>
      <c r="S3097" s="272" t="s">
        <v>3293</v>
      </c>
      <c r="T3097" s="273"/>
      <c r="U3097" s="274"/>
      <c r="V3097" s="280"/>
      <c r="W3097" s="244"/>
      <c r="X3097" s="244"/>
      <c r="Y3097" s="362"/>
      <c r="Z3097" s="257">
        <f>altaz(J2000_Bas,$O3097,$M3097,DecLat,DecLong,1)</f>
        <v>65.805010496984167</v>
      </c>
      <c r="AA3097" s="257">
        <f>altaz((J2000_Bas+(2*0.04167)),$O3097,$M3097,DecLat,DecLong,1)</f>
        <v>70.909606709782878</v>
      </c>
      <c r="AB3097" s="257">
        <f>altaz((J2000_Bas+(4*0.04167)),$O3097,$M3097,DecLat,DecLong,1)</f>
        <v>55.88297218356724</v>
      </c>
      <c r="AC3097" s="257">
        <f>altaz((J2000_Bas+(6*0.04167)),$O3097,$M3097,DecLat,DecLong,1)</f>
        <v>36.325961174425792</v>
      </c>
      <c r="AD3097" s="258">
        <f>1+ transit((J2000_Bas-1),$O3097,$M3097,DecLat,DecLong)/360 + (GMTOffset/24) + (IF(DST="Y", 1, 0)/24)</f>
        <v>1.8470665418797079</v>
      </c>
      <c r="AE3097" s="259">
        <f>DATE(2001,9,21)+(M3097/360)*365 - (360*((DecLong/360)- (GMTOffset/24) ))</f>
        <v>37471.770833333336</v>
      </c>
      <c r="AF3097" s="260">
        <f>IF(DecLat&gt;0,IF((90 - (DecLat-O3097))&gt;90, (90 - (O3097-DecLat)), (90 - (DecLat-O3097))),IF((90 + (DecLat-O3097))&gt;90, (90 + (O3097-DecLat)), (90 + (DecLat-O3097))))</f>
        <v>72.047777777777782</v>
      </c>
      <c r="AG3097" s="257">
        <f>angularseperation(MoonRA,MoonDec,$M3097,$O3097)</f>
        <v>92.050154409572528</v>
      </c>
      <c r="AH3097" s="261">
        <f ca="1">MIN(100,IF($O$5&gt;80,0+30*($AG3097/100),IF($O$5&gt;70,0+50*($AG3097/100),IF($O$5&gt;60,5+50*($AG3097/100),IF($O$5&gt;50,10+60*($AG3097/100),IF($O$5&gt;40,15+70*($AG3097/100),IF($O$5&gt;30,20+70*($AG3097/100),IF($O$5&gt;20,40+55*($AG3097/100),(80+(20-$O$5)+30*($AG3097/100))))))))))</f>
        <v>100</v>
      </c>
      <c r="AI3097" s="263"/>
      <c r="AJ3097" s="263"/>
      <c r="AK3097" s="263"/>
      <c r="AL3097" s="263"/>
      <c r="AM3097" s="264"/>
      <c r="AN3097" s="263"/>
      <c r="AO3097" s="263"/>
      <c r="AP3097" s="265"/>
      <c r="AQ3097" s="265"/>
      <c r="AR3097" s="285"/>
      <c r="AS3097" s="263"/>
      <c r="AT3097" s="263"/>
      <c r="AU3097" s="263"/>
      <c r="AV3097" s="264"/>
      <c r="AW3097" s="263"/>
      <c r="AX3097" s="263"/>
      <c r="AY3097" s="263"/>
      <c r="AZ3097" s="263"/>
      <c r="BA3097" s="263"/>
      <c r="BB3097" s="263"/>
      <c r="BC3097" s="263"/>
      <c r="BD3097" s="264">
        <v>134</v>
      </c>
      <c r="BE3097" s="263"/>
      <c r="BF3097" s="263"/>
      <c r="BG3097" s="263"/>
      <c r="BH3097" s="263"/>
      <c r="BI3097" s="263"/>
      <c r="BJ3097" s="404">
        <f>altaz(J2000_Bas,$O3097,$M3097,DecLat,DecLong,2)</f>
        <v>35.956667398437304</v>
      </c>
      <c r="BK3097" s="378" t="s">
        <v>2905</v>
      </c>
      <c r="BL3097" s="379">
        <f>IF((2*G3097)/60&lt;0.2,0.2,(2*G3097)/60)</f>
        <v>0.33333333333333331</v>
      </c>
      <c r="BM3097" s="380">
        <f>MOD((50000+AD3097-$B$3+(0/24)),1)</f>
        <v>6.2433471583062783E-2</v>
      </c>
      <c r="BN3097" s="381"/>
      <c r="BO3097" s="382">
        <v>3087</v>
      </c>
    </row>
    <row r="3098" spans="1:67" s="24" customFormat="1" ht="16.5" customHeight="1" x14ac:dyDescent="0.25">
      <c r="A3098" s="288" t="s">
        <v>2906</v>
      </c>
      <c r="B3098" s="241" t="str">
        <f>HYPERLINK(CONCATENATE($AT$3,BK3098,$AU$3),$AV$3)</f>
        <v>S</v>
      </c>
      <c r="C3098" s="242" t="str">
        <f>HYPERLINK(CONCATENATE($AT$4,BK3098,$AU$4,BL3098),$AV$4)</f>
        <v>A</v>
      </c>
      <c r="D3098" s="243" t="s">
        <v>5187</v>
      </c>
      <c r="E3098" s="244" t="s">
        <v>5186</v>
      </c>
      <c r="F3098" s="269"/>
      <c r="G3098" s="273">
        <v>8</v>
      </c>
      <c r="H3098" s="283">
        <v>3000</v>
      </c>
      <c r="I3098" s="279">
        <v>7</v>
      </c>
      <c r="J3098" s="246">
        <v>1</v>
      </c>
      <c r="K3098" s="247" t="s">
        <v>9500</v>
      </c>
      <c r="L3098" s="248">
        <v>203600</v>
      </c>
      <c r="M3098" s="249">
        <f>15*(LEFT(TEXT($L3098,"000000"),2)+(MID(TEXT($L3098,"000000"),3,2)/60)+(RIGHT(TEXT($L3098,"000000"),2)/3600))</f>
        <v>309</v>
      </c>
      <c r="N3098" s="286">
        <v>322708</v>
      </c>
      <c r="O3098" s="251">
        <f>IF($N3098&gt;0,(LEFT(TEXT($N3098,"000000"),2)+(MID(TEXT($N3098,"000000"),3,2)/60)+(RIGHT(TEXT($N3098,"000000"),2)/3600)),-(MID(TEXT($N3098,"000000"),2,2)+(MID(TEXT($N3098,"000000"),4,2)/60)+(RIGHT(TEXT($N3098,"000000"),2)/3600)))</f>
        <v>32.452222222222225</v>
      </c>
      <c r="P3098" s="252" t="s">
        <v>60</v>
      </c>
      <c r="Q3098" s="253"/>
      <c r="R3098" s="277"/>
      <c r="S3098" s="272" t="s">
        <v>3293</v>
      </c>
      <c r="T3098" s="273"/>
      <c r="U3098" s="274"/>
      <c r="V3098" s="280"/>
      <c r="W3098" s="244"/>
      <c r="X3098" s="244"/>
      <c r="Y3098" s="362"/>
      <c r="Z3098" s="257">
        <f>altaz(J2000_Bas,$O3098,$M3098,DecLat,DecLong,1)</f>
        <v>70.42299730698484</v>
      </c>
      <c r="AA3098" s="257">
        <f>altaz((J2000_Bas+(2*0.04167)),$O3098,$M3098,DecLat,DecLong,1)</f>
        <v>83.80076697197174</v>
      </c>
      <c r="AB3098" s="257">
        <f>altaz((J2000_Bas+(4*0.04167)),$O3098,$M3098,DecLat,DecLong,1)</f>
        <v>58.50901914370445</v>
      </c>
      <c r="AC3098" s="257">
        <f>altaz((J2000_Bas+(6*0.04167)),$O3098,$M3098,DecLat,DecLong,1)</f>
        <v>33.780103210111719</v>
      </c>
      <c r="AD3098" s="258">
        <f>1+ transit((J2000_Bas-1),$O3098,$M3098,DecLat,DecLong)/360 + (GMTOffset/24) + (IF(DST="Y", 1, 0)/24)</f>
        <v>1.851233208129708</v>
      </c>
      <c r="AE3098" s="259">
        <f>DATE(2001,9,21)+(M3098/360)*365 - (360*((DecLong/360)- (GMTOffset/24) ))</f>
        <v>37473.291666666664</v>
      </c>
      <c r="AF3098" s="260">
        <f>IF(DecLat&gt;0,IF((90 - (DecLat-O3098))&gt;90, (90 - (O3098-DecLat)), (90 - (DecLat-O3098))),IF((90 + (DecLat-O3098))&gt;90, (90 + (O3098-DecLat)), (90 + (DecLat-O3098))))</f>
        <v>88.547777777777782</v>
      </c>
      <c r="AG3098" s="257">
        <f>angularseperation(MoonRA,MoonDec,$M3098,$O3098)</f>
        <v>82.294324264402036</v>
      </c>
      <c r="AH3098" s="261">
        <f ca="1">MIN(100,IF($O$5&gt;80,0+30*($AG3098/100),IF($O$5&gt;70,0+50*($AG3098/100),IF($O$5&gt;60,5+50*($AG3098/100),IF($O$5&gt;50,10+60*($AG3098/100),IF($O$5&gt;40,15+70*($AG3098/100),IF($O$5&gt;30,20+70*($AG3098/100),IF($O$5&gt;20,40+55*($AG3098/100),(80+(20-$O$5)+30*($AG3098/100))))))))))</f>
        <v>100</v>
      </c>
      <c r="AI3098" s="263"/>
      <c r="AJ3098" s="263"/>
      <c r="AK3098" s="263"/>
      <c r="AL3098" s="263"/>
      <c r="AM3098" s="264"/>
      <c r="AN3098" s="263"/>
      <c r="AO3098" s="263"/>
      <c r="AP3098" s="265"/>
      <c r="AQ3098" s="265"/>
      <c r="AR3098" s="285"/>
      <c r="AS3098" s="263"/>
      <c r="AT3098" s="263"/>
      <c r="AU3098" s="263"/>
      <c r="AV3098" s="264"/>
      <c r="AW3098" s="263"/>
      <c r="AX3098" s="263"/>
      <c r="AY3098" s="263"/>
      <c r="AZ3098" s="263"/>
      <c r="BA3098" s="263"/>
      <c r="BB3098" s="263"/>
      <c r="BC3098" s="263"/>
      <c r="BD3098" s="264">
        <v>135</v>
      </c>
      <c r="BE3098" s="263"/>
      <c r="BF3098" s="263"/>
      <c r="BG3098" s="263"/>
      <c r="BH3098" s="263"/>
      <c r="BI3098" s="263"/>
      <c r="BJ3098" s="404">
        <f>altaz(J2000_Bas,$O3098,$M3098,DecLat,DecLong,2)</f>
        <v>79.704688731561603</v>
      </c>
      <c r="BK3098" s="378" t="s">
        <v>2906</v>
      </c>
      <c r="BL3098" s="379">
        <f>IF((2*G3098)/60&lt;0.2,0.2,(2*G3098)/60)</f>
        <v>0.26666666666666666</v>
      </c>
      <c r="BM3098" s="380">
        <f>MOD((50000+AD3098-$B$3+(0/24)),1)</f>
        <v>6.6600137834029738E-2</v>
      </c>
      <c r="BN3098" s="381"/>
      <c r="BO3098" s="382">
        <v>3088</v>
      </c>
    </row>
    <row r="3099" spans="1:67" s="24" customFormat="1" ht="16.5" customHeight="1" x14ac:dyDescent="0.25">
      <c r="A3099" s="288" t="s">
        <v>2907</v>
      </c>
      <c r="B3099" s="241" t="str">
        <f>HYPERLINK(CONCATENATE($AT$3,BK3099,$AU$3),$AV$3)</f>
        <v>S</v>
      </c>
      <c r="C3099" s="242" t="str">
        <f>HYPERLINK(CONCATENATE($AT$4,BK3099,$AU$4,BL3099),$AV$4)</f>
        <v>A</v>
      </c>
      <c r="D3099" s="243" t="s">
        <v>5187</v>
      </c>
      <c r="E3099" s="244" t="s">
        <v>5186</v>
      </c>
      <c r="F3099" s="269"/>
      <c r="G3099" s="273">
        <v>9</v>
      </c>
      <c r="H3099" s="283">
        <v>2840</v>
      </c>
      <c r="I3099" s="279">
        <v>7.5</v>
      </c>
      <c r="J3099" s="246">
        <v>3</v>
      </c>
      <c r="K3099" s="247" t="s">
        <v>9501</v>
      </c>
      <c r="L3099" s="248">
        <v>203818</v>
      </c>
      <c r="M3099" s="249">
        <f>15*(LEFT(TEXT($L3099,"000000"),2)+(MID(TEXT($L3099,"000000"),3,2)/60)+(RIGHT(TEXT($L3099,"000000"),2)/3600))</f>
        <v>309.57499999999999</v>
      </c>
      <c r="N3099" s="250">
        <v>420420</v>
      </c>
      <c r="O3099" s="251">
        <f>IF($N3099&gt;0,(LEFT(TEXT($N3099,"000000"),2)+(MID(TEXT($N3099,"000000"),3,2)/60)+(RIGHT(TEXT($N3099,"000000"),2)/3600)),-(MID(TEXT($N3099,"000000"),2,2)+(MID(TEXT($N3099,"000000"),4,2)/60)+(RIGHT(TEXT($N3099,"000000"),2)/3600)))</f>
        <v>42.072222222222223</v>
      </c>
      <c r="P3099" s="252" t="s">
        <v>60</v>
      </c>
      <c r="Q3099" s="253" t="s">
        <v>6969</v>
      </c>
      <c r="R3099" s="247"/>
      <c r="S3099" s="272" t="s">
        <v>3293</v>
      </c>
      <c r="T3099" s="273"/>
      <c r="U3099" s="274"/>
      <c r="V3099" s="280"/>
      <c r="W3099" s="244"/>
      <c r="X3099" s="244"/>
      <c r="Y3099" s="362"/>
      <c r="Z3099" s="257">
        <f>altaz(J2000_Bas,$O3099,$M3099,DecLat,DecLong,1)</f>
        <v>68.170155460917215</v>
      </c>
      <c r="AA3099" s="257">
        <f>altaz((J2000_Bas+(2*0.04167)),$O3099,$M3099,DecLat,DecLong,1)</f>
        <v>77.763344591392453</v>
      </c>
      <c r="AB3099" s="257">
        <f>altaz((J2000_Bas+(4*0.04167)),$O3099,$M3099,DecLat,DecLong,1)</f>
        <v>58.864306852055442</v>
      </c>
      <c r="AC3099" s="257">
        <f>altaz((J2000_Bas+(6*0.04167)),$O3099,$M3099,DecLat,DecLong,1)</f>
        <v>36.653708001461027</v>
      </c>
      <c r="AD3099" s="258">
        <f>1+ transit((J2000_Bas-1),$O3099,$M3099,DecLat,DecLong)/360 + (GMTOffset/24) + (IF(DST="Y", 1, 0)/24)</f>
        <v>1.8528304301922078</v>
      </c>
      <c r="AE3099" s="259">
        <f>DATE(2001,9,21)+(M3099/360)*365 - (360*((DecLong/360)- (GMTOffset/24) ))</f>
        <v>37473.874652777777</v>
      </c>
      <c r="AF3099" s="260">
        <f>IF(DecLat&gt;0,IF((90 - (DecLat-O3099))&gt;90, (90 - (O3099-DecLat)), (90 - (DecLat-O3099))),IF((90 + (DecLat-O3099))&gt;90, (90 + (O3099-DecLat)), (90 + (DecLat-O3099))))</f>
        <v>78.927777777777777</v>
      </c>
      <c r="AG3099" s="257">
        <f>angularseperation(MoonRA,MoonDec,$M3099,$O3099)</f>
        <v>88.73727605079641</v>
      </c>
      <c r="AH3099" s="261">
        <f ca="1">MIN(100,IF($O$5&gt;80,0+30*($AG3099/100),IF($O$5&gt;70,0+50*($AG3099/100),IF($O$5&gt;60,5+50*($AG3099/100),IF($O$5&gt;50,10+60*($AG3099/100),IF($O$5&gt;40,15+70*($AG3099/100),IF($O$5&gt;30,20+70*($AG3099/100),IF($O$5&gt;20,40+55*($AG3099/100),(80+(20-$O$5)+30*($AG3099/100))))))))))</f>
        <v>100</v>
      </c>
      <c r="AI3099" s="262"/>
      <c r="AJ3099" s="262"/>
      <c r="AK3099" s="262"/>
      <c r="AL3099" s="263"/>
      <c r="AM3099" s="264"/>
      <c r="AN3099" s="263"/>
      <c r="AO3099" s="263"/>
      <c r="AP3099" s="265"/>
      <c r="AQ3099" s="266"/>
      <c r="AR3099" s="267"/>
      <c r="AS3099" s="263"/>
      <c r="AT3099" s="263"/>
      <c r="AU3099" s="263"/>
      <c r="AV3099" s="264"/>
      <c r="AW3099" s="263"/>
      <c r="AX3099" s="263"/>
      <c r="AY3099" s="263"/>
      <c r="AZ3099" s="263"/>
      <c r="BA3099" s="263"/>
      <c r="BB3099" s="263"/>
      <c r="BC3099" s="263"/>
      <c r="BD3099" s="264">
        <v>136</v>
      </c>
      <c r="BE3099" s="263"/>
      <c r="BF3099" s="263"/>
      <c r="BG3099" s="263"/>
      <c r="BH3099" s="263"/>
      <c r="BI3099" s="263"/>
      <c r="BJ3099" s="404">
        <f>altaz(J2000_Bas,$O3099,$M3099,DecLat,DecLong,2)</f>
        <v>52.968681168229743</v>
      </c>
      <c r="BK3099" s="378" t="s">
        <v>2907</v>
      </c>
      <c r="BL3099" s="379">
        <f>IF((2*G3099)/60&lt;0.2,0.2,(2*G3099)/60)</f>
        <v>0.3</v>
      </c>
      <c r="BM3099" s="380">
        <f>MOD((50000+AD3099-$B$3+(0/24)),1)</f>
        <v>6.8197359898476861E-2</v>
      </c>
      <c r="BN3099" s="381"/>
      <c r="BO3099" s="382">
        <v>3089</v>
      </c>
    </row>
    <row r="3100" spans="1:67" s="24" customFormat="1" ht="16.5" customHeight="1" x14ac:dyDescent="0.25">
      <c r="A3100" s="288" t="s">
        <v>2908</v>
      </c>
      <c r="B3100" s="241" t="str">
        <f>HYPERLINK(CONCATENATE($AT$3,BK3100,$AU$3),$AV$3)</f>
        <v>S</v>
      </c>
      <c r="C3100" s="242" t="str">
        <f>HYPERLINK(CONCATENATE($AT$4,BK3100,$AU$4,BL3100),$AV$4)</f>
        <v>A</v>
      </c>
      <c r="D3100" s="243" t="s">
        <v>5187</v>
      </c>
      <c r="E3100" s="244" t="s">
        <v>5186</v>
      </c>
      <c r="F3100" s="269"/>
      <c r="G3100" s="273">
        <v>9</v>
      </c>
      <c r="H3100" s="283">
        <v>8000</v>
      </c>
      <c r="I3100" s="246">
        <v>20</v>
      </c>
      <c r="J3100" s="246">
        <v>3</v>
      </c>
      <c r="K3100" s="247" t="s">
        <v>9502</v>
      </c>
      <c r="L3100" s="248">
        <v>205550</v>
      </c>
      <c r="M3100" s="249">
        <f>15*(LEFT(TEXT($L3100,"000000"),2)+(MID(TEXT($L3100,"000000"),3,2)/60)+(RIGHT(TEXT($L3100,"000000"),2)/3600))</f>
        <v>313.95833333333337</v>
      </c>
      <c r="N3100" s="250">
        <v>472509</v>
      </c>
      <c r="O3100" s="251">
        <f>IF($N3100&gt;0,(LEFT(TEXT($N3100,"000000"),2)+(MID(TEXT($N3100,"000000"),3,2)/60)+(RIGHT(TEXT($N3100,"000000"),2)/3600)),-(MID(TEXT($N3100,"000000"),2,2)+(MID(TEXT($N3100,"000000"),4,2)/60)+(RIGHT(TEXT($N3100,"000000"),2)/3600)))</f>
        <v>47.419166666666662</v>
      </c>
      <c r="P3100" s="252" t="s">
        <v>60</v>
      </c>
      <c r="Q3100" s="253"/>
      <c r="R3100" s="247" t="s">
        <v>6455</v>
      </c>
      <c r="S3100" s="272" t="s">
        <v>6455</v>
      </c>
      <c r="T3100" s="273"/>
      <c r="U3100" s="274"/>
      <c r="V3100" s="280"/>
      <c r="W3100" s="244"/>
      <c r="X3100" s="244"/>
      <c r="Y3100" s="362"/>
      <c r="Z3100" s="257">
        <f>altaz(J2000_Bas,$O3100,$M3100,DecLat,DecLong,1)</f>
        <v>63.067555890563263</v>
      </c>
      <c r="AA3100" s="257">
        <f>altaz((J2000_Bas+(2*0.04167)),$O3100,$M3100,DecLat,DecLong,1)</f>
        <v>73.499888070273045</v>
      </c>
      <c r="AB3100" s="257">
        <f>altaz((J2000_Bas+(4*0.04167)),$O3100,$M3100,DecLat,DecLong,1)</f>
        <v>60.45185896196908</v>
      </c>
      <c r="AC3100" s="257">
        <f>altaz((J2000_Bas+(6*0.04167)),$O3100,$M3100,DecLat,DecLong,1)</f>
        <v>40.455296414660971</v>
      </c>
      <c r="AD3100" s="258">
        <f>1+ transit((J2000_Bas-1),$O3100,$M3100,DecLat,DecLong)/360 + (GMTOffset/24) + (IF(DST="Y", 1, 0)/24)</f>
        <v>1.8650063549005418</v>
      </c>
      <c r="AE3100" s="259">
        <f>DATE(2001,9,21)+(M3100/360)*365 - (360*((DecLong/360)- (GMTOffset/24) ))</f>
        <v>37478.318865740737</v>
      </c>
      <c r="AF3100" s="260">
        <f>IF(DecLat&gt;0,IF((90 - (DecLat-O3100))&gt;90, (90 - (O3100-DecLat)), (90 - (DecLat-O3100))),IF((90 + (DecLat-O3100))&gt;90, (90 + (O3100-DecLat)), (90 + (DecLat-O3100))))</f>
        <v>73.580833333333345</v>
      </c>
      <c r="AG3100" s="257">
        <f>angularseperation(MoonRA,MoonDec,$M3100,$O3100)</f>
        <v>94.470703397718893</v>
      </c>
      <c r="AH3100" s="261">
        <f ca="1">MIN(100,IF($O$5&gt;80,0+30*($AG3100/100),IF($O$5&gt;70,0+50*($AG3100/100),IF($O$5&gt;60,5+50*($AG3100/100),IF($O$5&gt;50,10+60*($AG3100/100),IF($O$5&gt;40,15+70*($AG3100/100),IF($O$5&gt;30,20+70*($AG3100/100),IF($O$5&gt;20,40+55*($AG3100/100),(80+(20-$O$5)+30*($AG3100/100))))))))))</f>
        <v>100</v>
      </c>
      <c r="AI3100" s="262"/>
      <c r="AJ3100" s="262"/>
      <c r="AK3100" s="262"/>
      <c r="AL3100" s="263"/>
      <c r="AM3100" s="264"/>
      <c r="AN3100" s="263"/>
      <c r="AO3100" s="263"/>
      <c r="AP3100" s="265"/>
      <c r="AQ3100" s="266"/>
      <c r="AR3100" s="267"/>
      <c r="AS3100" s="263"/>
      <c r="AT3100" s="263"/>
      <c r="AU3100" s="263"/>
      <c r="AV3100" s="264"/>
      <c r="AW3100" s="263"/>
      <c r="AX3100" s="263"/>
      <c r="AY3100" s="263"/>
      <c r="AZ3100" s="263"/>
      <c r="BA3100" s="263"/>
      <c r="BB3100" s="263"/>
      <c r="BC3100" s="263"/>
      <c r="BD3100" s="264">
        <v>137</v>
      </c>
      <c r="BE3100" s="263"/>
      <c r="BF3100" s="263"/>
      <c r="BG3100" s="263"/>
      <c r="BH3100" s="263"/>
      <c r="BI3100" s="263"/>
      <c r="BJ3100" s="404">
        <f>altaz(J2000_Bas,$O3100,$M3100,DecLat,DecLong,2)</f>
        <v>44.451579852098561</v>
      </c>
      <c r="BK3100" s="378" t="s">
        <v>2908</v>
      </c>
      <c r="BL3100" s="379">
        <f>IF((2*G3100)/60&lt;0.2,0.2,(2*G3100)/60)</f>
        <v>0.3</v>
      </c>
      <c r="BM3100" s="380">
        <f>MOD((50000+AD3100-$B$3+(0/24)),1)</f>
        <v>8.0373284603410866E-2</v>
      </c>
      <c r="BN3100" s="381"/>
      <c r="BO3100" s="382">
        <v>3090</v>
      </c>
    </row>
    <row r="3101" spans="1:67" s="24" customFormat="1" ht="16.5" customHeight="1" x14ac:dyDescent="0.25">
      <c r="A3101" s="288" t="s">
        <v>2909</v>
      </c>
      <c r="B3101" s="241" t="str">
        <f>HYPERLINK(CONCATENATE($AT$3,BK3101,$AU$3),$AV$3)</f>
        <v>S</v>
      </c>
      <c r="C3101" s="242" t="str">
        <f>HYPERLINK(CONCATENATE($AT$4,BK3101,$AU$4,BL3101),$AV$4)</f>
        <v>A</v>
      </c>
      <c r="D3101" s="243" t="s">
        <v>5187</v>
      </c>
      <c r="E3101" s="244" t="s">
        <v>5186</v>
      </c>
      <c r="F3101" s="269"/>
      <c r="G3101" s="273">
        <v>4</v>
      </c>
      <c r="H3101" s="283">
        <v>2000</v>
      </c>
      <c r="I3101" s="279">
        <v>2.4</v>
      </c>
      <c r="J3101" s="246">
        <v>1</v>
      </c>
      <c r="K3101" s="247" t="s">
        <v>9503</v>
      </c>
      <c r="L3101" s="248">
        <v>205700</v>
      </c>
      <c r="M3101" s="249">
        <f>15*(LEFT(TEXT($L3101,"000000"),2)+(MID(TEXT($L3101,"000000"),3,2)/60)+(RIGHT(TEXT($L3101,"000000"),2)/3600))</f>
        <v>314.25</v>
      </c>
      <c r="N3101" s="286">
        <v>481708</v>
      </c>
      <c r="O3101" s="251">
        <f>IF($N3101&gt;0,(LEFT(TEXT($N3101,"000000"),2)+(MID(TEXT($N3101,"000000"),3,2)/60)+(RIGHT(TEXT($N3101,"000000"),2)/3600)),-(MID(TEXT($N3101,"000000"),2,2)+(MID(TEXT($N3101,"000000"),4,2)/60)+(RIGHT(TEXT($N3101,"000000"),2)/3600)))</f>
        <v>48.285555555555554</v>
      </c>
      <c r="P3101" s="252" t="s">
        <v>60</v>
      </c>
      <c r="Q3101" s="253"/>
      <c r="R3101" s="277" t="s">
        <v>9561</v>
      </c>
      <c r="S3101" s="272" t="s">
        <v>3293</v>
      </c>
      <c r="T3101" s="273"/>
      <c r="U3101" s="274"/>
      <c r="V3101" s="280"/>
      <c r="W3101" s="244"/>
      <c r="X3101" s="244"/>
      <c r="Y3101" s="362"/>
      <c r="Z3101" s="257">
        <f>altaz(J2000_Bas,$O3101,$M3101,DecLat,DecLong,1)</f>
        <v>62.487635477765416</v>
      </c>
      <c r="AA3101" s="257">
        <f>altaz((J2000_Bas+(2*0.04167)),$O3101,$M3101,DecLat,DecLong,1)</f>
        <v>72.657998815098466</v>
      </c>
      <c r="AB3101" s="257">
        <f>altaz((J2000_Bas+(4*0.04167)),$O3101,$M3101,DecLat,DecLong,1)</f>
        <v>60.293892245072897</v>
      </c>
      <c r="AC3101" s="257">
        <f>altaz((J2000_Bas+(6*0.04167)),$O3101,$M3101,DecLat,DecLong,1)</f>
        <v>40.706208543265745</v>
      </c>
      <c r="AD3101" s="258">
        <f>1+ transit((J2000_Bas-1),$O3101,$M3101,DecLat,DecLong)/360 + (GMTOffset/24) + (IF(DST="Y", 1, 0)/24)</f>
        <v>1.865816540004708</v>
      </c>
      <c r="AE3101" s="259">
        <f>DATE(2001,9,21)+(M3101/360)*365 - (360*((DecLong/360)- (GMTOffset/24) ))</f>
        <v>37478.614583333336</v>
      </c>
      <c r="AF3101" s="260">
        <f>IF(DecLat&gt;0,IF((90 - (DecLat-O3101))&gt;90, (90 - (O3101-DecLat)), (90 - (DecLat-O3101))),IF((90 + (DecLat-O3101))&gt;90, (90 + (O3101-DecLat)), (90 + (DecLat-O3101))))</f>
        <v>72.714444444444439</v>
      </c>
      <c r="AG3101" s="257">
        <f>angularseperation(MoonRA,MoonDec,$M3101,$O3101)</f>
        <v>95.138447373890557</v>
      </c>
      <c r="AH3101" s="261">
        <f ca="1">MIN(100,IF($O$5&gt;80,0+30*($AG3101/100),IF($O$5&gt;70,0+50*($AG3101/100),IF($O$5&gt;60,5+50*($AG3101/100),IF($O$5&gt;50,10+60*($AG3101/100),IF($O$5&gt;40,15+70*($AG3101/100),IF($O$5&gt;30,20+70*($AG3101/100),IF($O$5&gt;20,40+55*($AG3101/100),(80+(20-$O$5)+30*($AG3101/100))))))))))</f>
        <v>100</v>
      </c>
      <c r="AI3101" s="263"/>
      <c r="AJ3101" s="263"/>
      <c r="AK3101" s="263"/>
      <c r="AL3101" s="263"/>
      <c r="AM3101" s="264"/>
      <c r="AN3101" s="263"/>
      <c r="AO3101" s="263"/>
      <c r="AP3101" s="265"/>
      <c r="AQ3101" s="265"/>
      <c r="AR3101" s="285"/>
      <c r="AS3101" s="263"/>
      <c r="AT3101" s="263"/>
      <c r="AU3101" s="263"/>
      <c r="AV3101" s="264"/>
      <c r="AW3101" s="263"/>
      <c r="AX3101" s="263"/>
      <c r="AY3101" s="263"/>
      <c r="AZ3101" s="263"/>
      <c r="BA3101" s="263"/>
      <c r="BB3101" s="263"/>
      <c r="BC3101" s="263"/>
      <c r="BD3101" s="264">
        <v>138</v>
      </c>
      <c r="BE3101" s="263"/>
      <c r="BF3101" s="263"/>
      <c r="BG3101" s="263"/>
      <c r="BH3101" s="263"/>
      <c r="BI3101" s="263"/>
      <c r="BJ3101" s="404">
        <f>altaz(J2000_Bas,$O3101,$M3101,DecLat,DecLong,2)</f>
        <v>42.980750905764523</v>
      </c>
      <c r="BK3101" s="378" t="s">
        <v>2909</v>
      </c>
      <c r="BL3101" s="379">
        <f>IF((2*G3101)/60&lt;0.2,0.2,(2*G3101)/60)</f>
        <v>0.2</v>
      </c>
      <c r="BM3101" s="380">
        <f>MOD((50000+AD3101-$B$3+(0/24)),1)</f>
        <v>8.1183469708776101E-2</v>
      </c>
      <c r="BN3101" s="381"/>
      <c r="BO3101" s="382">
        <v>3091</v>
      </c>
    </row>
    <row r="3102" spans="1:67" s="24" customFormat="1" ht="16.5" customHeight="1" x14ac:dyDescent="0.25">
      <c r="A3102" s="288" t="s">
        <v>2910</v>
      </c>
      <c r="B3102" s="241" t="str">
        <f>HYPERLINK(CONCATENATE($AT$3,BK3102,$AU$3),$AV$3)</f>
        <v>S</v>
      </c>
      <c r="C3102" s="242" t="str">
        <f>HYPERLINK(CONCATENATE($AT$4,BK3102,$AU$4,BL3102),$AV$4)</f>
        <v>A</v>
      </c>
      <c r="D3102" s="243" t="s">
        <v>5187</v>
      </c>
      <c r="E3102" s="244" t="s">
        <v>5186</v>
      </c>
      <c r="F3102" s="269"/>
      <c r="G3102" s="276">
        <v>20</v>
      </c>
      <c r="H3102" s="283">
        <v>2620</v>
      </c>
      <c r="I3102" s="246">
        <v>15</v>
      </c>
      <c r="J3102" s="246">
        <v>2</v>
      </c>
      <c r="K3102" s="247" t="s">
        <v>9504</v>
      </c>
      <c r="L3102" s="248">
        <v>211720</v>
      </c>
      <c r="M3102" s="249">
        <f>15*(LEFT(TEXT($L3102,"000000"),2)+(MID(TEXT($L3102,"000000"),3,2)/60)+(RIGHT(TEXT($L3102,"000000"),2)/3600))</f>
        <v>319.33333333333337</v>
      </c>
      <c r="N3102" s="250">
        <v>583522</v>
      </c>
      <c r="O3102" s="251">
        <f>IF($N3102&gt;0,(LEFT(TEXT($N3102,"000000"),2)+(MID(TEXT($N3102,"000000"),3,2)/60)+(RIGHT(TEXT($N3102,"000000"),2)/3600)),-(MID(TEXT($N3102,"000000"),2,2)+(MID(TEXT($N3102,"000000"),4,2)/60)+(RIGHT(TEXT($N3102,"000000"),2)/3600)))</f>
        <v>58.589444444444446</v>
      </c>
      <c r="P3102" s="252" t="s">
        <v>52</v>
      </c>
      <c r="Q3102" s="253"/>
      <c r="R3102" s="247" t="s">
        <v>9548</v>
      </c>
      <c r="S3102" s="272" t="s">
        <v>3293</v>
      </c>
      <c r="T3102" s="273"/>
      <c r="U3102" s="274"/>
      <c r="V3102" s="280"/>
      <c r="W3102" s="244"/>
      <c r="X3102" s="244"/>
      <c r="Y3102" s="362"/>
      <c r="Z3102" s="257">
        <f>altaz(J2000_Bas,$O3102,$M3102,DecLat,DecLong,1)</f>
        <v>54.371204976086197</v>
      </c>
      <c r="AA3102" s="257">
        <f>altaz((J2000_Bas+(2*0.04167)),$O3102,$M3102,DecLat,DecLong,1)</f>
        <v>62.322009940701868</v>
      </c>
      <c r="AB3102" s="257">
        <f>altaz((J2000_Bas+(4*0.04167)),$O3102,$M3102,DecLat,DecLong,1)</f>
        <v>56.947279341983233</v>
      </c>
      <c r="AC3102" s="257">
        <f>altaz((J2000_Bas+(6*0.04167)),$O3102,$M3102,DecLat,DecLong,1)</f>
        <v>43.107595231971111</v>
      </c>
      <c r="AD3102" s="258">
        <f>1+ transit((J2000_Bas-1),$O3102,$M3102,DecLat,DecLong)/360 + (GMTOffset/24) + (IF(DST="Y", 1, 0)/24)</f>
        <v>1.8799369089630413</v>
      </c>
      <c r="AE3102" s="259">
        <f>DATE(2001,9,21)+(M3102/360)*365 - (360*((DecLong/360)- (GMTOffset/24) ))</f>
        <v>37483.768518518518</v>
      </c>
      <c r="AF3102" s="260">
        <f>IF(DecLat&gt;0,IF((90 - (DecLat-O3102))&gt;90, (90 - (O3102-DecLat)), (90 - (DecLat-O3102))),IF((90 + (DecLat-O3102))&gt;90, (90 + (O3102-DecLat)), (90 + (DecLat-O3102))))</f>
        <v>62.410555555555554</v>
      </c>
      <c r="AG3102" s="257">
        <f>angularseperation(MoonRA,MoonDec,$M3102,$O3102)</f>
        <v>103.33059643887267</v>
      </c>
      <c r="AH3102" s="261">
        <f ca="1">MIN(100,IF($O$5&gt;80,0+30*($AG3102/100),IF($O$5&gt;70,0+50*($AG3102/100),IF($O$5&gt;60,5+50*($AG3102/100),IF($O$5&gt;50,10+60*($AG3102/100),IF($O$5&gt;40,15+70*($AG3102/100),IF($O$5&gt;30,20+70*($AG3102/100),IF($O$5&gt;20,40+55*($AG3102/100),(80+(20-$O$5)+30*($AG3102/100))))))))))</f>
        <v>100</v>
      </c>
      <c r="AI3102" s="262"/>
      <c r="AJ3102" s="262"/>
      <c r="AK3102" s="262"/>
      <c r="AL3102" s="263"/>
      <c r="AM3102" s="264"/>
      <c r="AN3102" s="263"/>
      <c r="AO3102" s="263"/>
      <c r="AP3102" s="265"/>
      <c r="AQ3102" s="266"/>
      <c r="AR3102" s="267"/>
      <c r="AS3102" s="263"/>
      <c r="AT3102" s="263"/>
      <c r="AU3102" s="263"/>
      <c r="AV3102" s="264"/>
      <c r="AW3102" s="263"/>
      <c r="AX3102" s="263"/>
      <c r="AY3102" s="263"/>
      <c r="AZ3102" s="263"/>
      <c r="BA3102" s="263"/>
      <c r="BB3102" s="263"/>
      <c r="BC3102" s="263"/>
      <c r="BD3102" s="264">
        <v>140</v>
      </c>
      <c r="BE3102" s="263"/>
      <c r="BF3102" s="263"/>
      <c r="BG3102" s="263"/>
      <c r="BH3102" s="263"/>
      <c r="BI3102" s="263"/>
      <c r="BJ3102" s="404">
        <f>altaz(J2000_Bas,$O3102,$M3102,DecLat,DecLong,2)</f>
        <v>29.445054773731808</v>
      </c>
      <c r="BK3102" s="378" t="s">
        <v>2910</v>
      </c>
      <c r="BL3102" s="379">
        <f>IF((2*G3102)/60&lt;0.2,0.2,(2*G3102)/60)</f>
        <v>0.66666666666666663</v>
      </c>
      <c r="BM3102" s="380">
        <f>MOD((50000+AD3102-$B$3+(0/24)),1)</f>
        <v>9.530383866513148E-2</v>
      </c>
      <c r="BN3102" s="381"/>
      <c r="BO3102" s="382">
        <v>3092</v>
      </c>
    </row>
    <row r="3103" spans="1:67" s="24" customFormat="1" ht="16.5" customHeight="1" x14ac:dyDescent="0.25">
      <c r="A3103" s="288" t="s">
        <v>2911</v>
      </c>
      <c r="B3103" s="241" t="str">
        <f>HYPERLINK(CONCATENATE($AT$3,BK3103,$AU$3),$AV$3)</f>
        <v>S</v>
      </c>
      <c r="C3103" s="242" t="str">
        <f>HYPERLINK(CONCATENATE($AT$4,BK3103,$AU$4,BL3103),$AV$4)</f>
        <v>A</v>
      </c>
      <c r="D3103" s="243" t="s">
        <v>5187</v>
      </c>
      <c r="E3103" s="244" t="s">
        <v>5186</v>
      </c>
      <c r="F3103" s="269"/>
      <c r="G3103" s="273">
        <v>8</v>
      </c>
      <c r="H3103" s="283">
        <v>1010</v>
      </c>
      <c r="I3103" s="279">
        <v>2.4</v>
      </c>
      <c r="J3103" s="246">
        <v>4</v>
      </c>
      <c r="K3103" s="247" t="s">
        <v>6456</v>
      </c>
      <c r="L3103" s="248">
        <v>211627</v>
      </c>
      <c r="M3103" s="249">
        <f>15*(LEFT(TEXT($L3103,"000000"),2)+(MID(TEXT($L3103,"000000"),3,2)/60)+(RIGHT(TEXT($L3103,"000000"),2)/3600))</f>
        <v>319.11250000000001</v>
      </c>
      <c r="N3103" s="250">
        <v>681552</v>
      </c>
      <c r="O3103" s="251">
        <f>IF($N3103&gt;0,(LEFT(TEXT($N3103,"000000"),2)+(MID(TEXT($N3103,"000000"),3,2)/60)+(RIGHT(TEXT($N3103,"000000"),2)/3600)),-(MID(TEXT($N3103,"000000"),2,2)+(MID(TEXT($N3103,"000000"),4,2)/60)+(RIGHT(TEXT($N3103,"000000"),2)/3600)))</f>
        <v>68.26444444444445</v>
      </c>
      <c r="P3103" s="252" t="s">
        <v>52</v>
      </c>
      <c r="Q3103" s="253" t="s">
        <v>6996</v>
      </c>
      <c r="R3103" s="247" t="s">
        <v>9549</v>
      </c>
      <c r="S3103" s="272" t="s">
        <v>3293</v>
      </c>
      <c r="T3103" s="273"/>
      <c r="U3103" s="274"/>
      <c r="V3103" s="280"/>
      <c r="W3103" s="244"/>
      <c r="X3103" s="244"/>
      <c r="Y3103" s="362"/>
      <c r="Z3103" s="257">
        <f>altaz(J2000_Bas,$O3103,$M3103,DecLat,DecLong,1)</f>
        <v>48.099586006171847</v>
      </c>
      <c r="AA3103" s="257">
        <f>altaz((J2000_Bas+(2*0.04167)),$O3103,$M3103,DecLat,DecLong,1)</f>
        <v>52.693712856906373</v>
      </c>
      <c r="AB3103" s="257">
        <f>altaz((J2000_Bas+(4*0.04167)),$O3103,$M3103,DecLat,DecLong,1)</f>
        <v>49.56149765842693</v>
      </c>
      <c r="AC3103" s="257">
        <f>altaz((J2000_Bas+(6*0.04167)),$O3103,$M3103,DecLat,DecLong,1)</f>
        <v>40.589578638164745</v>
      </c>
      <c r="AD3103" s="258">
        <f>1+ transit((J2000_Bas-1),$O3103,$M3103,DecLat,DecLong)/360 + (GMTOffset/24) + (IF(DST="Y", 1, 0)/24)</f>
        <v>1.8793234830984582</v>
      </c>
      <c r="AE3103" s="259">
        <f>DATE(2001,9,21)+(M3103/360)*365 - (360*((DecLong/360)- (GMTOffset/24) ))</f>
        <v>37483.544618055559</v>
      </c>
      <c r="AF3103" s="260">
        <f>IF(DecLat&gt;0,IF((90 - (DecLat-O3103))&gt;90, (90 - (O3103-DecLat)), (90 - (DecLat-O3103))),IF((90 + (DecLat-O3103))&gt;90, (90 + (O3103-DecLat)), (90 + (DecLat-O3103))))</f>
        <v>52.73555555555555</v>
      </c>
      <c r="AG3103" s="257">
        <f>angularseperation(MoonRA,MoonDec,$M3103,$O3103)</f>
        <v>108.02664811384736</v>
      </c>
      <c r="AH3103" s="261">
        <f ca="1">MIN(100,IF($O$5&gt;80,0+30*($AG3103/100),IF($O$5&gt;70,0+50*($AG3103/100),IF($O$5&gt;60,5+50*($AG3103/100),IF($O$5&gt;50,10+60*($AG3103/100),IF($O$5&gt;40,15+70*($AG3103/100),IF($O$5&gt;30,20+70*($AG3103/100),IF($O$5&gt;20,40+55*($AG3103/100),(80+(20-$O$5)+30*($AG3103/100))))))))))</f>
        <v>100</v>
      </c>
      <c r="AI3103" s="262"/>
      <c r="AJ3103" s="262"/>
      <c r="AK3103" s="262"/>
      <c r="AL3103" s="263"/>
      <c r="AM3103" s="264"/>
      <c r="AN3103" s="263"/>
      <c r="AO3103" s="263"/>
      <c r="AP3103" s="265"/>
      <c r="AQ3103" s="266"/>
      <c r="AR3103" s="267"/>
      <c r="AS3103" s="263"/>
      <c r="AT3103" s="263"/>
      <c r="AU3103" s="263"/>
      <c r="AV3103" s="264"/>
      <c r="AW3103" s="263"/>
      <c r="AX3103" s="263"/>
      <c r="AY3103" s="263"/>
      <c r="AZ3103" s="263"/>
      <c r="BA3103" s="263"/>
      <c r="BB3103" s="263">
        <v>136</v>
      </c>
      <c r="BC3103" s="263"/>
      <c r="BD3103" s="264">
        <v>141</v>
      </c>
      <c r="BE3103" s="263"/>
      <c r="BF3103" s="263"/>
      <c r="BG3103" s="263">
        <v>97</v>
      </c>
      <c r="BH3103" s="263"/>
      <c r="BI3103" s="263"/>
      <c r="BJ3103" s="404">
        <f>altaz(J2000_Bas,$O3103,$M3103,DecLat,DecLong,2)</f>
        <v>17.631832126219468</v>
      </c>
      <c r="BK3103" s="378" t="s">
        <v>2911</v>
      </c>
      <c r="BL3103" s="379">
        <f>IF((2*G3103)/60&lt;0.2,0.2,(2*G3103)/60)</f>
        <v>0.26666666666666666</v>
      </c>
      <c r="BM3103" s="380">
        <f>MOD((50000+AD3103-$B$3+(0/24)),1)</f>
        <v>9.4690412799536716E-2</v>
      </c>
      <c r="BN3103" s="381" t="s">
        <v>8664</v>
      </c>
      <c r="BO3103" s="382">
        <v>3093</v>
      </c>
    </row>
    <row r="3104" spans="1:67" s="24" customFormat="1" ht="16.5" customHeight="1" x14ac:dyDescent="0.25">
      <c r="A3104" s="288" t="s">
        <v>2912</v>
      </c>
      <c r="B3104" s="241" t="str">
        <f>HYPERLINK(CONCATENATE($AT$3,BK3104,$AU$3),$AV$3)</f>
        <v>S</v>
      </c>
      <c r="C3104" s="242" t="str">
        <f>HYPERLINK(CONCATENATE($AT$4,BK3104,$AU$4,BL3104),$AV$4)</f>
        <v>A</v>
      </c>
      <c r="D3104" s="243" t="s">
        <v>5187</v>
      </c>
      <c r="E3104" s="244" t="s">
        <v>5186</v>
      </c>
      <c r="F3104" s="269"/>
      <c r="G3104" s="273">
        <v>1.2</v>
      </c>
      <c r="H3104" s="283">
        <v>3050</v>
      </c>
      <c r="I3104" s="279">
        <v>1</v>
      </c>
      <c r="J3104" s="246">
        <v>3</v>
      </c>
      <c r="K3104" s="247" t="s">
        <v>6457</v>
      </c>
      <c r="L3104" s="248">
        <v>213640</v>
      </c>
      <c r="M3104" s="249">
        <f>15*(LEFT(TEXT($L3104,"000000"),2)+(MID(TEXT($L3104,"000000"),3,2)/60)+(RIGHT(TEXT($L3104,"000000"),2)/3600))</f>
        <v>324.16666666666674</v>
      </c>
      <c r="N3104" s="250">
        <v>573000</v>
      </c>
      <c r="O3104" s="251">
        <f>IF($N3104&gt;0,(LEFT(TEXT($N3104,"000000"),2)+(MID(TEXT($N3104,"000000"),3,2)/60)+(RIGHT(TEXT($N3104,"000000"),2)/3600)),-(MID(TEXT($N3104,"000000"),2,2)+(MID(TEXT($N3104,"000000"),4,2)/60)+(RIGHT(TEXT($N3104,"000000"),2)/3600)))</f>
        <v>57.5</v>
      </c>
      <c r="P3104" s="252" t="s">
        <v>52</v>
      </c>
      <c r="Q3104" s="253"/>
      <c r="R3104" s="247" t="s">
        <v>9550</v>
      </c>
      <c r="S3104" s="272" t="s">
        <v>3293</v>
      </c>
      <c r="T3104" s="273"/>
      <c r="U3104" s="274"/>
      <c r="V3104" s="280"/>
      <c r="W3104" s="244"/>
      <c r="X3104" s="244"/>
      <c r="Y3104" s="362"/>
      <c r="Z3104" s="257">
        <f>altaz(J2000_Bas,$O3104,$M3104,DecLat,DecLong,1)</f>
        <v>52.796049212361304</v>
      </c>
      <c r="AA3104" s="257">
        <f>altaz((J2000_Bas+(2*0.04167)),$O3104,$M3104,DecLat,DecLong,1)</f>
        <v>62.918883502058932</v>
      </c>
      <c r="AB3104" s="257">
        <f>altaz((J2000_Bas+(4*0.04167)),$O3104,$M3104,DecLat,DecLong,1)</f>
        <v>59.472253170743535</v>
      </c>
      <c r="AC3104" s="257">
        <f>altaz((J2000_Bas+(6*0.04167)),$O3104,$M3104,DecLat,DecLong,1)</f>
        <v>45.836718251292432</v>
      </c>
      <c r="AD3104" s="258">
        <f>1+ transit((J2000_Bas-1),$O3104,$M3104,DecLat,DecLong)/360 + (GMTOffset/24) + (IF(DST="Y", 1, 0)/24)</f>
        <v>1.893362833546375</v>
      </c>
      <c r="AE3104" s="259">
        <f>DATE(2001,9,21)+(M3104/360)*365 - (360*((DecLong/360)- (GMTOffset/24) ))</f>
        <v>37488.668981481482</v>
      </c>
      <c r="AF3104" s="260">
        <f>IF(DecLat&gt;0,IF((90 - (DecLat-O3104))&gt;90, (90 - (O3104-DecLat)), (90 - (DecLat-O3104))),IF((90 + (DecLat-O3104))&gt;90, (90 + (O3104-DecLat)), (90 + (DecLat-O3104))))</f>
        <v>63.5</v>
      </c>
      <c r="AG3104" s="257">
        <f>angularseperation(MoonRA,MoonDec,$M3104,$O3104)</f>
        <v>105.04478103812987</v>
      </c>
      <c r="AH3104" s="261">
        <f ca="1">MIN(100,IF($O$5&gt;80,0+30*($AG3104/100),IF($O$5&gt;70,0+50*($AG3104/100),IF($O$5&gt;60,5+50*($AG3104/100),IF($O$5&gt;50,10+60*($AG3104/100),IF($O$5&gt;40,15+70*($AG3104/100),IF($O$5&gt;30,20+70*($AG3104/100),IF($O$5&gt;20,40+55*($AG3104/100),(80+(20-$O$5)+30*($AG3104/100))))))))))</f>
        <v>100</v>
      </c>
      <c r="AI3104" s="262"/>
      <c r="AJ3104" s="262"/>
      <c r="AK3104" s="262"/>
      <c r="AL3104" s="263"/>
      <c r="AM3104" s="264"/>
      <c r="AN3104" s="263"/>
      <c r="AO3104" s="263"/>
      <c r="AP3104" s="265"/>
      <c r="AQ3104" s="266"/>
      <c r="AR3104" s="267"/>
      <c r="AS3104" s="263"/>
      <c r="AT3104" s="263"/>
      <c r="AU3104" s="263"/>
      <c r="AV3104" s="264"/>
      <c r="AW3104" s="263"/>
      <c r="AX3104" s="263"/>
      <c r="AY3104" s="263"/>
      <c r="AZ3104" s="263"/>
      <c r="BA3104" s="263"/>
      <c r="BB3104" s="263"/>
      <c r="BC3104" s="263"/>
      <c r="BD3104" s="264">
        <v>142</v>
      </c>
      <c r="BE3104" s="263"/>
      <c r="BF3104" s="263"/>
      <c r="BG3104" s="263"/>
      <c r="BH3104" s="263"/>
      <c r="BI3104" s="263"/>
      <c r="BJ3104" s="404">
        <f>altaz(J2000_Bas,$O3104,$M3104,DecLat,DecLong,2)</f>
        <v>33.304155286094371</v>
      </c>
      <c r="BK3104" s="378" t="s">
        <v>2912</v>
      </c>
      <c r="BL3104" s="379">
        <f>IF((2*G3104)/60&lt;0.2,0.2,(2*G3104)/60)</f>
        <v>0.2</v>
      </c>
      <c r="BM3104" s="380">
        <f>MOD((50000+AD3104-$B$3+(0/24)),1)</f>
        <v>0.10872976324753836</v>
      </c>
      <c r="BN3104" s="381"/>
      <c r="BO3104" s="382">
        <v>3094</v>
      </c>
    </row>
    <row r="3105" spans="1:67" s="24" customFormat="1" ht="16.5" customHeight="1" x14ac:dyDescent="0.25">
      <c r="A3105" s="288" t="s">
        <v>2913</v>
      </c>
      <c r="B3105" s="241" t="str">
        <f>HYPERLINK(CONCATENATE($AT$3,BK3105,$AU$3),$AV$3)</f>
        <v>S</v>
      </c>
      <c r="C3105" s="242" t="str">
        <f>HYPERLINK(CONCATENATE($AT$4,BK3105,$AU$4,BL3105),$AV$4)</f>
        <v>A</v>
      </c>
      <c r="D3105" s="243" t="s">
        <v>5187</v>
      </c>
      <c r="E3105" s="244" t="s">
        <v>5186</v>
      </c>
      <c r="F3105" s="269"/>
      <c r="G3105" s="273">
        <v>9.6</v>
      </c>
      <c r="H3105" s="283">
        <v>3000</v>
      </c>
      <c r="I3105" s="279">
        <v>8</v>
      </c>
      <c r="J3105" s="246">
        <v>2</v>
      </c>
      <c r="K3105" s="247" t="s">
        <v>6458</v>
      </c>
      <c r="L3105" s="248">
        <v>213657</v>
      </c>
      <c r="M3105" s="249">
        <f>15*(LEFT(TEXT($L3105,"000000"),2)+(MID(TEXT($L3105,"000000"),3,2)/60)+(RIGHT(TEXT($L3105,"000000"),2)/3600))</f>
        <v>324.23750000000001</v>
      </c>
      <c r="N3105" s="250">
        <v>681108</v>
      </c>
      <c r="O3105" s="251">
        <f>IF($N3105&gt;0,(LEFT(TEXT($N3105,"000000"),2)+(MID(TEXT($N3105,"000000"),3,2)/60)+(RIGHT(TEXT($N3105,"000000"),2)/3600)),-(MID(TEXT($N3105,"000000"),2,2)+(MID(TEXT($N3105,"000000"),4,2)/60)+(RIGHT(TEXT($N3105,"000000"),2)/3600)))</f>
        <v>68.185555555555553</v>
      </c>
      <c r="P3105" s="252" t="s">
        <v>52</v>
      </c>
      <c r="Q3105" s="253"/>
      <c r="R3105" s="277" t="s">
        <v>9551</v>
      </c>
      <c r="S3105" s="272" t="s">
        <v>3293</v>
      </c>
      <c r="T3105" s="273"/>
      <c r="U3105" s="274"/>
      <c r="V3105" s="280"/>
      <c r="W3105" s="244"/>
      <c r="X3105" s="244"/>
      <c r="Y3105" s="362"/>
      <c r="Z3105" s="257">
        <f>altaz(J2000_Bas,$O3105,$M3105,DecLat,DecLong,1)</f>
        <v>46.748450919060986</v>
      </c>
      <c r="AA3105" s="257">
        <f>altaz((J2000_Bas+(2*0.04167)),$O3105,$M3105,DecLat,DecLong,1)</f>
        <v>52.510515639230036</v>
      </c>
      <c r="AB3105" s="257">
        <f>altaz((J2000_Bas+(4*0.04167)),$O3105,$M3105,DecLat,DecLong,1)</f>
        <v>50.680568528333374</v>
      </c>
      <c r="AC3105" s="257">
        <f>altaz((J2000_Bas+(6*0.04167)),$O3105,$M3105,DecLat,DecLong,1)</f>
        <v>42.390403925146451</v>
      </c>
      <c r="AD3105" s="258">
        <f>1+ transit((J2000_Bas-1),$O3105,$M3105,DecLat,DecLong)/360 + (GMTOffset/24) + (IF(DST="Y", 1, 0)/24)</f>
        <v>1.8935595927859581</v>
      </c>
      <c r="AE3105" s="259">
        <f>DATE(2001,9,21)+(M3105/360)*365 - (360*((DecLong/360)- (GMTOffset/24) ))</f>
        <v>37488.740798611114</v>
      </c>
      <c r="AF3105" s="260">
        <f>IF(DecLat&gt;0,IF((90 - (DecLat-O3105))&gt;90, (90 - (O3105-DecLat)), (90 - (DecLat-O3105))),IF((90 + (DecLat-O3105))&gt;90, (90 + (O3105-DecLat)), (90 + (DecLat-O3105))))</f>
        <v>52.814444444444447</v>
      </c>
      <c r="AG3105" s="257">
        <f>angularseperation(MoonRA,MoonDec,$M3105,$O3105)</f>
        <v>109.69660768864294</v>
      </c>
      <c r="AH3105" s="261">
        <f ca="1">MIN(100,IF($O$5&gt;80,0+30*($AG3105/100),IF($O$5&gt;70,0+50*($AG3105/100),IF($O$5&gt;60,5+50*($AG3105/100),IF($O$5&gt;50,10+60*($AG3105/100),IF($O$5&gt;40,15+70*($AG3105/100),IF($O$5&gt;30,20+70*($AG3105/100),IF($O$5&gt;20,40+55*($AG3105/100),(80+(20-$O$5)+30*($AG3105/100))))))))))</f>
        <v>100</v>
      </c>
      <c r="AI3105" s="263"/>
      <c r="AJ3105" s="263"/>
      <c r="AK3105" s="263"/>
      <c r="AL3105" s="263"/>
      <c r="AM3105" s="264"/>
      <c r="AN3105" s="263"/>
      <c r="AO3105" s="263"/>
      <c r="AP3105" s="265"/>
      <c r="AQ3105" s="265"/>
      <c r="AR3105" s="285"/>
      <c r="AS3105" s="263"/>
      <c r="AT3105" s="263"/>
      <c r="AU3105" s="263"/>
      <c r="AV3105" s="264"/>
      <c r="AW3105" s="263"/>
      <c r="AX3105" s="263"/>
      <c r="AY3105" s="263"/>
      <c r="AZ3105" s="263"/>
      <c r="BA3105" s="263"/>
      <c r="BB3105" s="263"/>
      <c r="BC3105" s="263"/>
      <c r="BD3105" s="264">
        <v>143</v>
      </c>
      <c r="BE3105" s="263"/>
      <c r="BF3105" s="263"/>
      <c r="BG3105" s="263"/>
      <c r="BH3105" s="263"/>
      <c r="BI3105" s="263"/>
      <c r="BJ3105" s="404">
        <f>altaz(J2000_Bas,$O3105,$M3105,DecLat,DecLong,2)</f>
        <v>19.611283503982659</v>
      </c>
      <c r="BK3105" s="378" t="s">
        <v>2913</v>
      </c>
      <c r="BL3105" s="379">
        <f>IF((2*G3105)/60&lt;0.2,0.2,(2*G3105)/60)</f>
        <v>0.32</v>
      </c>
      <c r="BM3105" s="380">
        <f>MOD((50000+AD3105-$B$3+(0/24)),1)</f>
        <v>0.10892652248730883</v>
      </c>
      <c r="BN3105" s="381"/>
      <c r="BO3105" s="382">
        <v>3095</v>
      </c>
    </row>
    <row r="3106" spans="1:67" s="24" customFormat="1" ht="16.5" customHeight="1" x14ac:dyDescent="0.25">
      <c r="A3106" s="288" t="s">
        <v>2914</v>
      </c>
      <c r="B3106" s="241" t="str">
        <f>HYPERLINK(CONCATENATE($AT$3,BK3106,$AU$3),$AV$3)</f>
        <v>S</v>
      </c>
      <c r="C3106" s="242" t="str">
        <f>HYPERLINK(CONCATENATE($AT$4,BK3106,$AU$4,BL3106),$AV$4)</f>
        <v>A</v>
      </c>
      <c r="D3106" s="243" t="s">
        <v>5187</v>
      </c>
      <c r="E3106" s="244" t="s">
        <v>5186</v>
      </c>
      <c r="F3106" s="269"/>
      <c r="G3106" s="273">
        <v>3.4</v>
      </c>
      <c r="H3106" s="283">
        <v>810</v>
      </c>
      <c r="I3106" s="309">
        <v>0.8</v>
      </c>
      <c r="J3106" s="246">
        <v>2</v>
      </c>
      <c r="K3106" s="247" t="s">
        <v>9505</v>
      </c>
      <c r="L3106" s="248">
        <v>214044</v>
      </c>
      <c r="M3106" s="249">
        <f>15*(LEFT(TEXT($L3106,"000000"),2)+(MID(TEXT($L3106,"000000"),3,2)/60)+(RIGHT(TEXT($L3106,"000000"),2)/3600))</f>
        <v>325.18333333333334</v>
      </c>
      <c r="N3106" s="250">
        <v>545241</v>
      </c>
      <c r="O3106" s="251">
        <f>IF($N3106&gt;0,(LEFT(TEXT($N3106,"000000"),2)+(MID(TEXT($N3106,"000000"),3,2)/60)+(RIGHT(TEXT($N3106,"000000"),2)/3600)),-(MID(TEXT($N3106,"000000"),2,2)+(MID(TEXT($N3106,"000000"),4,2)/60)+(RIGHT(TEXT($N3106,"000000"),2)/3600)))</f>
        <v>54.878055555555555</v>
      </c>
      <c r="P3106" s="252" t="s">
        <v>60</v>
      </c>
      <c r="Q3106" s="253"/>
      <c r="R3106" s="247"/>
      <c r="S3106" s="272" t="s">
        <v>3293</v>
      </c>
      <c r="T3106" s="273"/>
      <c r="U3106" s="274"/>
      <c r="V3106" s="280"/>
      <c r="W3106" s="244"/>
      <c r="X3106" s="244"/>
      <c r="Y3106" s="362"/>
      <c r="Z3106" s="257">
        <f>altaz(J2000_Bas,$O3106,$M3106,DecLat,DecLong,1)</f>
        <v>53.46844608559536</v>
      </c>
      <c r="AA3106" s="257">
        <f>altaz((J2000_Bas+(2*0.04167)),$O3106,$M3106,DecLat,DecLong,1)</f>
        <v>65.258801051933887</v>
      </c>
      <c r="AB3106" s="257">
        <f>altaz((J2000_Bas+(4*0.04167)),$O3106,$M3106,DecLat,DecLong,1)</f>
        <v>61.84695918926105</v>
      </c>
      <c r="AC3106" s="257">
        <f>altaz((J2000_Bas+(6*0.04167)),$O3106,$M3106,DecLat,DecLong,1)</f>
        <v>46.980579689309202</v>
      </c>
      <c r="AD3106" s="258">
        <f>1+ transit((J2000_Bas-1),$O3106,$M3106,DecLat,DecLong)/360 + (GMTOffset/24) + (IF(DST="Y", 1, 0)/24)</f>
        <v>1.8961869073380411</v>
      </c>
      <c r="AE3106" s="259">
        <f>DATE(2001,9,21)+(M3106/360)*365 - (360*((DecLong/360)- (GMTOffset/24) ))</f>
        <v>37489.69976851852</v>
      </c>
      <c r="AF3106" s="260">
        <f>IF(DecLat&gt;0,IF((90 - (DecLat-O3106))&gt;90, (90 - (O3106-DecLat)), (90 - (DecLat-O3106))),IF((90 + (DecLat-O3106))&gt;90, (90 + (O3106-DecLat)), (90 + (DecLat-O3106))))</f>
        <v>66.121944444444438</v>
      </c>
      <c r="AG3106" s="257">
        <f>angularseperation(MoonRA,MoonDec,$M3106,$O3106)</f>
        <v>104.35765664398477</v>
      </c>
      <c r="AH3106" s="261">
        <f ca="1">MIN(100,IF($O$5&gt;80,0+30*($AG3106/100),IF($O$5&gt;70,0+50*($AG3106/100),IF($O$5&gt;60,5+50*($AG3106/100),IF($O$5&gt;50,10+60*($AG3106/100),IF($O$5&gt;40,15+70*($AG3106/100),IF($O$5&gt;30,20+70*($AG3106/100),IF($O$5&gt;20,40+55*($AG3106/100),(80+(20-$O$5)+30*($AG3106/100))))))))))</f>
        <v>100</v>
      </c>
      <c r="AI3106" s="262"/>
      <c r="AJ3106" s="262"/>
      <c r="AK3106" s="262"/>
      <c r="AL3106" s="263"/>
      <c r="AM3106" s="264"/>
      <c r="AN3106" s="263"/>
      <c r="AO3106" s="263"/>
      <c r="AP3106" s="265"/>
      <c r="AQ3106" s="266"/>
      <c r="AR3106" s="267"/>
      <c r="AS3106" s="263"/>
      <c r="AT3106" s="263"/>
      <c r="AU3106" s="263"/>
      <c r="AV3106" s="264"/>
      <c r="AW3106" s="263"/>
      <c r="AX3106" s="263"/>
      <c r="AY3106" s="263"/>
      <c r="AZ3106" s="263"/>
      <c r="BA3106" s="263"/>
      <c r="BB3106" s="263"/>
      <c r="BC3106" s="263"/>
      <c r="BD3106" s="264">
        <v>144</v>
      </c>
      <c r="BE3106" s="263"/>
      <c r="BF3106" s="263"/>
      <c r="BG3106" s="263"/>
      <c r="BH3106" s="263"/>
      <c r="BI3106" s="263"/>
      <c r="BJ3106" s="404">
        <f>altaz(J2000_Bas,$O3106,$M3106,DecLat,DecLong,2)</f>
        <v>37.632776518136872</v>
      </c>
      <c r="BK3106" s="378" t="s">
        <v>2914</v>
      </c>
      <c r="BL3106" s="379">
        <f>IF((2*G3106)/60&lt;0.2,0.2,(2*G3106)/60)</f>
        <v>0.2</v>
      </c>
      <c r="BM3106" s="380">
        <f>MOD((50000+AD3106-$B$3+(0/24)),1)</f>
        <v>0.11155383704317501</v>
      </c>
      <c r="BN3106" s="381"/>
      <c r="BO3106" s="382">
        <v>3096</v>
      </c>
    </row>
    <row r="3107" spans="1:67" s="24" customFormat="1" ht="16.5" customHeight="1" x14ac:dyDescent="0.25">
      <c r="A3107" s="288" t="s">
        <v>2915</v>
      </c>
      <c r="B3107" s="241" t="str">
        <f>HYPERLINK(CONCATENATE($AT$3,BK3107,$AU$3),$AV$3)</f>
        <v>S</v>
      </c>
      <c r="C3107" s="242" t="str">
        <f>HYPERLINK(CONCATENATE($AT$4,BK3107,$AU$4,BL3107),$AV$4)</f>
        <v>A</v>
      </c>
      <c r="D3107" s="243" t="s">
        <v>5187</v>
      </c>
      <c r="E3107" s="244" t="s">
        <v>5186</v>
      </c>
      <c r="F3107" s="269"/>
      <c r="G3107" s="273">
        <v>3</v>
      </c>
      <c r="H3107" s="283">
        <v>2480</v>
      </c>
      <c r="I3107" s="279">
        <v>2</v>
      </c>
      <c r="J3107" s="246">
        <v>1</v>
      </c>
      <c r="K3107" s="247" t="s">
        <v>9506</v>
      </c>
      <c r="L3107" s="248">
        <v>214300</v>
      </c>
      <c r="M3107" s="249">
        <f>15*(LEFT(TEXT($L3107,"000000"),2)+(MID(TEXT($L3107,"000000"),3,2)/60)+(RIGHT(TEXT($L3107,"000000"),2)/3600))</f>
        <v>325.75</v>
      </c>
      <c r="N3107" s="286">
        <v>485308</v>
      </c>
      <c r="O3107" s="251">
        <f>IF($N3107&gt;0,(LEFT(TEXT($N3107,"000000"),2)+(MID(TEXT($N3107,"000000"),3,2)/60)+(RIGHT(TEXT($N3107,"000000"),2)/3600)),-(MID(TEXT($N3107,"000000"),2,2)+(MID(TEXT($N3107,"000000"),4,2)/60)+(RIGHT(TEXT($N3107,"000000"),2)/3600)))</f>
        <v>48.885555555555555</v>
      </c>
      <c r="P3107" s="252" t="s">
        <v>60</v>
      </c>
      <c r="Q3107" s="253"/>
      <c r="R3107" s="277"/>
      <c r="S3107" s="272" t="s">
        <v>3293</v>
      </c>
      <c r="T3107" s="273"/>
      <c r="U3107" s="274"/>
      <c r="V3107" s="280"/>
      <c r="W3107" s="244"/>
      <c r="X3107" s="244"/>
      <c r="Y3107" s="362"/>
      <c r="Z3107" s="257">
        <f>altaz(J2000_Bas,$O3107,$M3107,DecLat,DecLong,1)</f>
        <v>55.224945634729501</v>
      </c>
      <c r="AA3107" s="257">
        <f>altaz((J2000_Bas+(2*0.04167)),$O3107,$M3107,DecLat,DecLong,1)</f>
        <v>70.678213736119616</v>
      </c>
      <c r="AB3107" s="257">
        <f>altaz((J2000_Bas+(4*0.04167)),$O3107,$M3107,DecLat,DecLong,1)</f>
        <v>66.383409788986043</v>
      </c>
      <c r="AC3107" s="257">
        <f>altaz((J2000_Bas+(6*0.04167)),$O3107,$M3107,DecLat,DecLong,1)</f>
        <v>48.288293166419116</v>
      </c>
      <c r="AD3107" s="258">
        <f>1+ transit((J2000_Bas-1),$O3107,$M3107,DecLat,DecLong)/360 + (GMTOffset/24) + (IF(DST="Y", 1, 0)/24)</f>
        <v>1.8977609812547083</v>
      </c>
      <c r="AE3107" s="259">
        <f>DATE(2001,9,21)+(M3107/360)*365 - (360*((DecLong/360)- (GMTOffset/24) ))</f>
        <v>37490.274305555555</v>
      </c>
      <c r="AF3107" s="260">
        <f>IF(DecLat&gt;0,IF((90 - (DecLat-O3107))&gt;90, (90 - (O3107-DecLat)), (90 - (DecLat-O3107))),IF((90 + (DecLat-O3107))&gt;90, (90 + (O3107-DecLat)), (90 + (DecLat-O3107))))</f>
        <v>72.114444444444445</v>
      </c>
      <c r="AG3107" s="257">
        <f>angularseperation(MoonRA,MoonDec,$M3107,$O3107)</f>
        <v>101.91314026201583</v>
      </c>
      <c r="AH3107" s="261">
        <f ca="1">MIN(100,IF($O$5&gt;80,0+30*($AG3107/100),IF($O$5&gt;70,0+50*($AG3107/100),IF($O$5&gt;60,5+50*($AG3107/100),IF($O$5&gt;50,10+60*($AG3107/100),IF($O$5&gt;40,15+70*($AG3107/100),IF($O$5&gt;30,20+70*($AG3107/100),IF($O$5&gt;20,40+55*($AG3107/100),(80+(20-$O$5)+30*($AG3107/100))))))))))</f>
        <v>100</v>
      </c>
      <c r="AI3107" s="263"/>
      <c r="AJ3107" s="263"/>
      <c r="AK3107" s="263"/>
      <c r="AL3107" s="263"/>
      <c r="AM3107" s="264"/>
      <c r="AN3107" s="263"/>
      <c r="AO3107" s="263"/>
      <c r="AP3107" s="265"/>
      <c r="AQ3107" s="265"/>
      <c r="AR3107" s="285"/>
      <c r="AS3107" s="263"/>
      <c r="AT3107" s="263"/>
      <c r="AU3107" s="263"/>
      <c r="AV3107" s="264"/>
      <c r="AW3107" s="263"/>
      <c r="AX3107" s="263"/>
      <c r="AY3107" s="263"/>
      <c r="AZ3107" s="263"/>
      <c r="BA3107" s="263"/>
      <c r="BB3107" s="263"/>
      <c r="BC3107" s="263"/>
      <c r="BD3107" s="264">
        <v>145</v>
      </c>
      <c r="BE3107" s="263"/>
      <c r="BF3107" s="263"/>
      <c r="BG3107" s="263"/>
      <c r="BH3107" s="263"/>
      <c r="BI3107" s="263"/>
      <c r="BJ3107" s="404">
        <f>altaz(J2000_Bas,$O3107,$M3107,DecLat,DecLong,2)</f>
        <v>47.490945863628149</v>
      </c>
      <c r="BK3107" s="378" t="s">
        <v>2915</v>
      </c>
      <c r="BL3107" s="379">
        <f>IF((2*G3107)/60&lt;0.2,0.2,(2*G3107)/60)</f>
        <v>0.2</v>
      </c>
      <c r="BM3107" s="380">
        <f>MOD((50000+AD3107-$B$3+(0/24)),1)</f>
        <v>0.11312791096133878</v>
      </c>
      <c r="BN3107" s="381"/>
      <c r="BO3107" s="382">
        <v>3097</v>
      </c>
    </row>
    <row r="3108" spans="1:67" s="24" customFormat="1" ht="16.5" customHeight="1" x14ac:dyDescent="0.25">
      <c r="A3108" s="288" t="s">
        <v>2916</v>
      </c>
      <c r="B3108" s="241" t="str">
        <f>HYPERLINK(CONCATENATE($AT$3,BK3108,$AU$3),$AV$3)</f>
        <v>S</v>
      </c>
      <c r="C3108" s="242" t="str">
        <f>HYPERLINK(CONCATENATE($AT$4,BK3108,$AU$4,BL3108),$AV$4)</f>
        <v>A</v>
      </c>
      <c r="D3108" s="243" t="s">
        <v>5187</v>
      </c>
      <c r="E3108" s="244" t="s">
        <v>5186</v>
      </c>
      <c r="F3108" s="269"/>
      <c r="G3108" s="273">
        <v>7</v>
      </c>
      <c r="H3108" s="283">
        <v>1450</v>
      </c>
      <c r="I3108" s="279">
        <v>3</v>
      </c>
      <c r="J3108" s="246">
        <v>3</v>
      </c>
      <c r="K3108" s="247" t="s">
        <v>9507</v>
      </c>
      <c r="L3108" s="248">
        <v>214250</v>
      </c>
      <c r="M3108" s="249">
        <f>15*(LEFT(TEXT($L3108,"000000"),2)+(MID(TEXT($L3108,"000000"),3,2)/60)+(RIGHT(TEXT($L3108,"000000"),2)/3600))</f>
        <v>325.70833333333331</v>
      </c>
      <c r="N3108" s="250">
        <v>660643</v>
      </c>
      <c r="O3108" s="251">
        <f>IF($N3108&gt;0,(LEFT(TEXT($N3108,"000000"),2)+(MID(TEXT($N3108,"000000"),3,2)/60)+(RIGHT(TEXT($N3108,"000000"),2)/3600)),-(MID(TEXT($N3108,"000000"),2,2)+(MID(TEXT($N3108,"000000"),4,2)/60)+(RIGHT(TEXT($N3108,"000000"),2)/3600)))</f>
        <v>66.111944444444433</v>
      </c>
      <c r="P3108" s="252" t="s">
        <v>52</v>
      </c>
      <c r="Q3108" s="253"/>
      <c r="R3108" s="247" t="s">
        <v>2339</v>
      </c>
      <c r="S3108" s="272" t="s">
        <v>6459</v>
      </c>
      <c r="T3108" s="273"/>
      <c r="U3108" s="274"/>
      <c r="V3108" s="280"/>
      <c r="W3108" s="244"/>
      <c r="X3108" s="244"/>
      <c r="Y3108" s="362"/>
      <c r="Z3108" s="257">
        <f>altaz(J2000_Bas,$O3108,$M3108,DecLat,DecLong,1)</f>
        <v>47.558254732484563</v>
      </c>
      <c r="AA3108" s="257">
        <f>altaz((J2000_Bas+(2*0.04167)),$O3108,$M3108,DecLat,DecLong,1)</f>
        <v>54.404600378156964</v>
      </c>
      <c r="AB3108" s="257">
        <f>altaz((J2000_Bas+(4*0.04167)),$O3108,$M3108,DecLat,DecLong,1)</f>
        <v>52.761709559922849</v>
      </c>
      <c r="AC3108" s="257">
        <f>altaz((J2000_Bas+(6*0.04167)),$O3108,$M3108,DecLat,DecLong,1)</f>
        <v>43.747739655956572</v>
      </c>
      <c r="AD3108" s="258">
        <f>1+ transit((J2000_Bas-1),$O3108,$M3108,DecLat,DecLong)/360 + (GMTOffset/24) + (IF(DST="Y", 1, 0)/24)</f>
        <v>1.8976452405255413</v>
      </c>
      <c r="AE3108" s="259">
        <f>DATE(2001,9,21)+(M3108/360)*365 - (360*((DecLong/360)- (GMTOffset/24) ))</f>
        <v>37490.232060185182</v>
      </c>
      <c r="AF3108" s="260">
        <f>IF(DecLat&gt;0,IF((90 - (DecLat-O3108))&gt;90, (90 - (O3108-DecLat)), (90 - (DecLat-O3108))),IF((90 + (DecLat-O3108))&gt;90, (90 + (O3108-DecLat)), (90 + (DecLat-O3108))))</f>
        <v>54.888055555555567</v>
      </c>
      <c r="AG3108" s="257">
        <f>angularseperation(MoonRA,MoonDec,$M3108,$O3108)</f>
        <v>109.38556520992178</v>
      </c>
      <c r="AH3108" s="261">
        <f ca="1">MIN(100,IF($O$5&gt;80,0+30*($AG3108/100),IF($O$5&gt;70,0+50*($AG3108/100),IF($O$5&gt;60,5+50*($AG3108/100),IF($O$5&gt;50,10+60*($AG3108/100),IF($O$5&gt;40,15+70*($AG3108/100),IF($O$5&gt;30,20+70*($AG3108/100),IF($O$5&gt;20,40+55*($AG3108/100),(80+(20-$O$5)+30*($AG3108/100))))))))))</f>
        <v>100</v>
      </c>
      <c r="AI3108" s="262"/>
      <c r="AJ3108" s="262"/>
      <c r="AK3108" s="262"/>
      <c r="AL3108" s="263"/>
      <c r="AM3108" s="264"/>
      <c r="AN3108" s="263"/>
      <c r="AO3108" s="263"/>
      <c r="AP3108" s="265"/>
      <c r="AQ3108" s="266"/>
      <c r="AR3108" s="267"/>
      <c r="AS3108" s="263"/>
      <c r="AT3108" s="263"/>
      <c r="AU3108" s="263"/>
      <c r="AV3108" s="264"/>
      <c r="AW3108" s="263"/>
      <c r="AX3108" s="263"/>
      <c r="AY3108" s="263"/>
      <c r="AZ3108" s="263"/>
      <c r="BA3108" s="263"/>
      <c r="BB3108" s="263"/>
      <c r="BC3108" s="263"/>
      <c r="BD3108" s="264">
        <v>146</v>
      </c>
      <c r="BE3108" s="263"/>
      <c r="BF3108" s="263"/>
      <c r="BG3108" s="263"/>
      <c r="BH3108" s="263"/>
      <c r="BI3108" s="263"/>
      <c r="BJ3108" s="404">
        <f>altaz(J2000_Bas,$O3108,$M3108,DecLat,DecLong,2)</f>
        <v>22.541406779469746</v>
      </c>
      <c r="BK3108" s="378" t="s">
        <v>2916</v>
      </c>
      <c r="BL3108" s="379">
        <f>IF((2*G3108)/60&lt;0.2,0.2,(2*G3108)/60)</f>
        <v>0.23333333333333334</v>
      </c>
      <c r="BM3108" s="380">
        <f>MOD((50000+AD3108-$B$3+(0/24)),1)</f>
        <v>0.11301217022992205</v>
      </c>
      <c r="BN3108" s="381"/>
      <c r="BO3108" s="382">
        <v>3098</v>
      </c>
    </row>
    <row r="3109" spans="1:67" s="24" customFormat="1" ht="16.5" customHeight="1" x14ac:dyDescent="0.25">
      <c r="A3109" s="288" t="s">
        <v>2917</v>
      </c>
      <c r="B3109" s="241" t="str">
        <f>HYPERLINK(CONCATENATE($AT$3,BK3109,$AU$3),$AV$3)</f>
        <v>S</v>
      </c>
      <c r="C3109" s="242" t="str">
        <f>HYPERLINK(CONCATENATE($AT$4,BK3109,$AU$4,BL3109),$AV$4)</f>
        <v>A</v>
      </c>
      <c r="D3109" s="243" t="s">
        <v>5187</v>
      </c>
      <c r="E3109" s="244" t="s">
        <v>5186</v>
      </c>
      <c r="F3109" s="269"/>
      <c r="G3109" s="273">
        <v>1.8</v>
      </c>
      <c r="H3109" s="283">
        <v>2500</v>
      </c>
      <c r="I3109" s="279">
        <v>1.3</v>
      </c>
      <c r="J3109" s="246">
        <v>3</v>
      </c>
      <c r="K3109" s="247" t="s">
        <v>9508</v>
      </c>
      <c r="L3109" s="248">
        <v>215234</v>
      </c>
      <c r="M3109" s="249">
        <f>15*(LEFT(TEXT($L3109,"000000"),2)+(MID(TEXT($L3109,"000000"),3,2)/60)+(RIGHT(TEXT($L3109,"000000"),2)/3600))</f>
        <v>328.14166666666665</v>
      </c>
      <c r="N3109" s="250">
        <v>471332</v>
      </c>
      <c r="O3109" s="251">
        <f>IF($N3109&gt;0,(LEFT(TEXT($N3109,"000000"),2)+(MID(TEXT($N3109,"000000"),3,2)/60)+(RIGHT(TEXT($N3109,"000000"),2)/3600)),-(MID(TEXT($N3109,"000000"),2,2)+(MID(TEXT($N3109,"000000"),4,2)/60)+(RIGHT(TEXT($N3109,"000000"),2)/3600)))</f>
        <v>47.225555555555559</v>
      </c>
      <c r="P3109" s="252" t="s">
        <v>60</v>
      </c>
      <c r="Q3109" s="253"/>
      <c r="R3109" s="247"/>
      <c r="S3109" s="272" t="s">
        <v>4409</v>
      </c>
      <c r="T3109" s="273"/>
      <c r="U3109" s="274"/>
      <c r="V3109" s="280"/>
      <c r="W3109" s="244"/>
      <c r="X3109" s="244"/>
      <c r="Y3109" s="362"/>
      <c r="Z3109" s="257">
        <f>altaz(J2000_Bas,$O3109,$M3109,DecLat,DecLong,1)</f>
        <v>54.066981102417927</v>
      </c>
      <c r="AA3109" s="257">
        <f>altaz((J2000_Bas+(2*0.04167)),$O3109,$M3109,DecLat,DecLong,1)</f>
        <v>71.321977152421866</v>
      </c>
      <c r="AB3109" s="257">
        <f>altaz((J2000_Bas+(4*0.04167)),$O3109,$M3109,DecLat,DecLong,1)</f>
        <v>68.683099238913016</v>
      </c>
      <c r="AC3109" s="257">
        <f>altaz((J2000_Bas+(6*0.04167)),$O3109,$M3109,DecLat,DecLong,1)</f>
        <v>50.058414108121177</v>
      </c>
      <c r="AD3109" s="258">
        <f>1+ transit((J2000_Bas-1),$O3109,$M3109,DecLat,DecLong)/360 + (GMTOffset/24) + (IF(DST="Y", 1, 0)/24)</f>
        <v>1.9044044991088744</v>
      </c>
      <c r="AE3109" s="259">
        <f>DATE(2001,9,21)+(M3109/360)*365 - (360*((DecLong/360)- (GMTOffset/24) ))</f>
        <v>37492.699189814812</v>
      </c>
      <c r="AF3109" s="260">
        <f>IF(DecLat&gt;0,IF((90 - (DecLat-O3109))&gt;90, (90 - (O3109-DecLat)), (90 - (DecLat-O3109))),IF((90 + (DecLat-O3109))&gt;90, (90 + (O3109-DecLat)), (90 + (DecLat-O3109))))</f>
        <v>73.774444444444441</v>
      </c>
      <c r="AG3109" s="257">
        <f>angularseperation(MoonRA,MoonDec,$M3109,$O3109)</f>
        <v>102.57950401181375</v>
      </c>
      <c r="AH3109" s="261">
        <f ca="1">MIN(100,IF($O$5&gt;80,0+30*($AG3109/100),IF($O$5&gt;70,0+50*($AG3109/100),IF($O$5&gt;60,5+50*($AG3109/100),IF($O$5&gt;50,10+60*($AG3109/100),IF($O$5&gt;40,15+70*($AG3109/100),IF($O$5&gt;30,20+70*($AG3109/100),IF($O$5&gt;20,40+55*($AG3109/100),(80+(20-$O$5)+30*($AG3109/100))))))))))</f>
        <v>100</v>
      </c>
      <c r="AI3109" s="262"/>
      <c r="AJ3109" s="262"/>
      <c r="AK3109" s="262"/>
      <c r="AL3109" s="263"/>
      <c r="AM3109" s="264"/>
      <c r="AN3109" s="263"/>
      <c r="AO3109" s="263"/>
      <c r="AP3109" s="265"/>
      <c r="AQ3109" s="266"/>
      <c r="AR3109" s="267"/>
      <c r="AS3109" s="263"/>
      <c r="AT3109" s="263"/>
      <c r="AU3109" s="263"/>
      <c r="AV3109" s="264"/>
      <c r="AW3109" s="263"/>
      <c r="AX3109" s="263"/>
      <c r="AY3109" s="263"/>
      <c r="AZ3109" s="263"/>
      <c r="BA3109" s="263"/>
      <c r="BB3109" s="263"/>
      <c r="BC3109" s="263"/>
      <c r="BD3109" s="264">
        <v>147</v>
      </c>
      <c r="BE3109" s="263"/>
      <c r="BF3109" s="263"/>
      <c r="BG3109" s="263"/>
      <c r="BH3109" s="263"/>
      <c r="BI3109" s="263"/>
      <c r="BJ3109" s="404">
        <f>altaz(J2000_Bas,$O3109,$M3109,DecLat,DecLong,2)</f>
        <v>50.934838181208555</v>
      </c>
      <c r="BK3109" s="378" t="s">
        <v>2917</v>
      </c>
      <c r="BL3109" s="379">
        <f>IF((2*G3109)/60&lt;0.2,0.2,(2*G3109)/60)</f>
        <v>0.2</v>
      </c>
      <c r="BM3109" s="380">
        <f>MOD((50000+AD3109-$B$3+(0/24)),1)</f>
        <v>0.11977142881369218</v>
      </c>
      <c r="BN3109" s="381"/>
      <c r="BO3109" s="382">
        <v>3099</v>
      </c>
    </row>
    <row r="3110" spans="1:67" s="24" customFormat="1" ht="16.5" customHeight="1" x14ac:dyDescent="0.25">
      <c r="A3110" s="288" t="s">
        <v>2918</v>
      </c>
      <c r="B3110" s="241" t="str">
        <f>HYPERLINK(CONCATENATE($AT$3,BK3110,$AU$3),$AV$3)</f>
        <v>S</v>
      </c>
      <c r="C3110" s="242" t="str">
        <f>HYPERLINK(CONCATENATE($AT$4,BK3110,$AU$4,BL3110),$AV$4)</f>
        <v>A</v>
      </c>
      <c r="D3110" s="243" t="s">
        <v>5187</v>
      </c>
      <c r="E3110" s="244" t="s">
        <v>5186</v>
      </c>
      <c r="F3110" s="269"/>
      <c r="G3110" s="273">
        <v>3</v>
      </c>
      <c r="H3110" s="283">
        <v>4700</v>
      </c>
      <c r="I3110" s="279">
        <v>4</v>
      </c>
      <c r="J3110" s="246">
        <v>2</v>
      </c>
      <c r="K3110" s="277" t="s">
        <v>6403</v>
      </c>
      <c r="L3110" s="248">
        <v>220700</v>
      </c>
      <c r="M3110" s="249">
        <f>15*(LEFT(TEXT($L3110,"000000"),2)+(MID(TEXT($L3110,"000000"),3,2)/60)+(RIGHT(TEXT($L3110,"000000"),2)/3600))</f>
        <v>331.75</v>
      </c>
      <c r="N3110" s="286">
        <v>561400</v>
      </c>
      <c r="O3110" s="251">
        <f>IF($N3110&gt;0,(LEFT(TEXT($N3110,"000000"),2)+(MID(TEXT($N3110,"000000"),3,2)/60)+(RIGHT(TEXT($N3110,"000000"),2)/3600)),-(MID(TEXT($N3110,"000000"),2,2)+(MID(TEXT($N3110,"000000"),4,2)/60)+(RIGHT(TEXT($N3110,"000000"),2)/3600)))</f>
        <v>56.233333333333334</v>
      </c>
      <c r="P3110" s="252" t="s">
        <v>58</v>
      </c>
      <c r="Q3110" s="253"/>
      <c r="R3110" s="277"/>
      <c r="S3110" s="272" t="s">
        <v>3293</v>
      </c>
      <c r="T3110" s="273"/>
      <c r="U3110" s="274"/>
      <c r="V3110" s="280"/>
      <c r="W3110" s="244"/>
      <c r="X3110" s="244"/>
      <c r="Y3110" s="362"/>
      <c r="Z3110" s="257">
        <f>altaz(J2000_Bas,$O3110,$M3110,DecLat,DecLong,1)</f>
        <v>49.518443099507181</v>
      </c>
      <c r="AA3110" s="257">
        <f>altaz((J2000_Bas+(2*0.04167)),$O3110,$M3110,DecLat,DecLong,1)</f>
        <v>62.484785418276168</v>
      </c>
      <c r="AB3110" s="257">
        <f>altaz((J2000_Bas+(4*0.04167)),$O3110,$M3110,DecLat,DecLong,1)</f>
        <v>62.818826451774918</v>
      </c>
      <c r="AC3110" s="257">
        <f>altaz((J2000_Bas+(6*0.04167)),$O3110,$M3110,DecLat,DecLong,1)</f>
        <v>50.168220463145296</v>
      </c>
      <c r="AD3110" s="258">
        <f>1+ transit((J2000_Bas-1),$O3110,$M3110,DecLat,DecLong)/360 + (GMTOffset/24) + (IF(DST="Y", 1, 0)/24)</f>
        <v>1.9144276462547081</v>
      </c>
      <c r="AE3110" s="259">
        <f>DATE(2001,9,21)+(M3110/360)*365 - (360*((DecLong/360)- (GMTOffset/24) ))</f>
        <v>37496.357638888891</v>
      </c>
      <c r="AF3110" s="260">
        <f>IF(DecLat&gt;0,IF((90 - (DecLat-O3110))&gt;90, (90 - (O3110-DecLat)), (90 - (DecLat-O3110))),IF((90 + (DecLat-O3110))&gt;90, (90 + (O3110-DecLat)), (90 + (DecLat-O3110))))</f>
        <v>64.766666666666666</v>
      </c>
      <c r="AG3110" s="257">
        <f>angularseperation(MoonRA,MoonDec,$M3110,$O3110)</f>
        <v>108.29861684343915</v>
      </c>
      <c r="AH3110" s="261">
        <f ca="1">MIN(100,IF($O$5&gt;80,0+30*($AG3110/100),IF($O$5&gt;70,0+50*($AG3110/100),IF($O$5&gt;60,5+50*($AG3110/100),IF($O$5&gt;50,10+60*($AG3110/100),IF($O$5&gt;40,15+70*($AG3110/100),IF($O$5&gt;30,20+70*($AG3110/100),IF($O$5&gt;20,40+55*($AG3110/100),(80+(20-$O$5)+30*($AG3110/100))))))))))</f>
        <v>100</v>
      </c>
      <c r="AI3110" s="263"/>
      <c r="AJ3110" s="263"/>
      <c r="AK3110" s="263"/>
      <c r="AL3110" s="263"/>
      <c r="AM3110" s="264"/>
      <c r="AN3110" s="263"/>
      <c r="AO3110" s="263"/>
      <c r="AP3110" s="265"/>
      <c r="AQ3110" s="265"/>
      <c r="AR3110" s="285"/>
      <c r="AS3110" s="263"/>
      <c r="AT3110" s="263"/>
      <c r="AU3110" s="263"/>
      <c r="AV3110" s="264"/>
      <c r="AW3110" s="263"/>
      <c r="AX3110" s="263"/>
      <c r="AY3110" s="263"/>
      <c r="AZ3110" s="263"/>
      <c r="BA3110" s="263"/>
      <c r="BB3110" s="263"/>
      <c r="BC3110" s="263"/>
      <c r="BD3110" s="264">
        <v>148</v>
      </c>
      <c r="BE3110" s="263"/>
      <c r="BF3110" s="263"/>
      <c r="BG3110" s="263"/>
      <c r="BH3110" s="263"/>
      <c r="BI3110" s="263"/>
      <c r="BJ3110" s="404">
        <f>altaz(J2000_Bas,$O3110,$M3110,DecLat,DecLong,2)</f>
        <v>37.823486044222633</v>
      </c>
      <c r="BK3110" s="378" t="s">
        <v>2918</v>
      </c>
      <c r="BL3110" s="379">
        <f>IF((2*G3110)/60&lt;0.2,0.2,(2*G3110)/60)</f>
        <v>0.2</v>
      </c>
      <c r="BM3110" s="380">
        <f>MOD((50000+AD3110-$B$3+(0/24)),1)</f>
        <v>0.12979457595793065</v>
      </c>
      <c r="BN3110" s="381"/>
      <c r="BO3110" s="382">
        <v>3100</v>
      </c>
    </row>
    <row r="3111" spans="1:67" s="24" customFormat="1" ht="16.5" customHeight="1" x14ac:dyDescent="0.25">
      <c r="A3111" s="288" t="s">
        <v>2919</v>
      </c>
      <c r="B3111" s="241" t="str">
        <f>HYPERLINK(CONCATENATE($AT$3,BK3111,$AU$3),$AV$3)</f>
        <v>S</v>
      </c>
      <c r="C3111" s="242" t="str">
        <f>HYPERLINK(CONCATENATE($AT$4,BK3111,$AU$4,BL3111),$AV$4)</f>
        <v>A</v>
      </c>
      <c r="D3111" s="243" t="s">
        <v>5187</v>
      </c>
      <c r="E3111" s="244" t="s">
        <v>5186</v>
      </c>
      <c r="F3111" s="269"/>
      <c r="G3111" s="273">
        <v>5.2</v>
      </c>
      <c r="H3111" s="283">
        <v>1120</v>
      </c>
      <c r="I3111" s="279">
        <v>1.8</v>
      </c>
      <c r="J3111" s="246">
        <v>3</v>
      </c>
      <c r="K3111" s="247" t="s">
        <v>9509</v>
      </c>
      <c r="L3111" s="248">
        <v>220907</v>
      </c>
      <c r="M3111" s="249">
        <f>15*(LEFT(TEXT($L3111,"000000"),2)+(MID(TEXT($L3111,"000000"),3,2)/60)+(RIGHT(TEXT($L3111,"000000"),2)/3600))</f>
        <v>332.27916666666664</v>
      </c>
      <c r="N3111" s="250">
        <v>725321</v>
      </c>
      <c r="O3111" s="251">
        <f>IF($N3111&gt;0,(LEFT(TEXT($N3111,"000000"),2)+(MID(TEXT($N3111,"000000"),3,2)/60)+(RIGHT(TEXT($N3111,"000000"),2)/3600)),-(MID(TEXT($N3111,"000000"),2,2)+(MID(TEXT($N3111,"000000"),4,2)/60)+(RIGHT(TEXT($N3111,"000000"),2)/3600)))</f>
        <v>72.889166666666668</v>
      </c>
      <c r="P3111" s="252" t="s">
        <v>52</v>
      </c>
      <c r="Q3111" s="253"/>
      <c r="R3111" s="247" t="s">
        <v>9552</v>
      </c>
      <c r="S3111" s="272" t="s">
        <v>6460</v>
      </c>
      <c r="T3111" s="273"/>
      <c r="U3111" s="274"/>
      <c r="V3111" s="280"/>
      <c r="W3111" s="244"/>
      <c r="X3111" s="244"/>
      <c r="Y3111" s="362"/>
      <c r="Z3111" s="257">
        <f>altaz(J2000_Bas,$O3111,$M3111,DecLat,DecLong,1)</f>
        <v>41.801656714862318</v>
      </c>
      <c r="AA3111" s="257">
        <f>altaz((J2000_Bas+(2*0.04167)),$O3111,$M3111,DecLat,DecLong,1)</f>
        <v>47.259397298816125</v>
      </c>
      <c r="AB3111" s="257">
        <f>altaz((J2000_Bas+(4*0.04167)),$O3111,$M3111,DecLat,DecLong,1)</f>
        <v>47.481611691476395</v>
      </c>
      <c r="AC3111" s="257">
        <f>altaz((J2000_Bas+(6*0.04167)),$O3111,$M3111,DecLat,DecLong,1)</f>
        <v>42.35531588586813</v>
      </c>
      <c r="AD3111" s="258">
        <f>1+ transit((J2000_Bas-1),$O3111,$M3111,DecLat,DecLong)/360 + (GMTOffset/24) + (IF(DST="Y", 1, 0)/24)</f>
        <v>1.9158975535151244</v>
      </c>
      <c r="AE3111" s="259">
        <f>DATE(2001,9,21)+(M3111/360)*365 - (360*((DecLong/360)- (GMTOffset/24) ))</f>
        <v>37496.894155092596</v>
      </c>
      <c r="AF3111" s="260">
        <f>IF(DecLat&gt;0,IF((90 - (DecLat-O3111))&gt;90, (90 - (O3111-DecLat)), (90 - (DecLat-O3111))),IF((90 + (DecLat-O3111))&gt;90, (90 + (O3111-DecLat)), (90 + (DecLat-O3111))))</f>
        <v>48.110833333333332</v>
      </c>
      <c r="AG3111" s="257">
        <f>angularseperation(MoonRA,MoonDec,$M3111,$O3111)</f>
        <v>113.79025513104376</v>
      </c>
      <c r="AH3111" s="261">
        <f ca="1">MIN(100,IF($O$5&gt;80,0+30*($AG3111/100),IF($O$5&gt;70,0+50*($AG3111/100),IF($O$5&gt;60,5+50*($AG3111/100),IF($O$5&gt;50,10+60*($AG3111/100),IF($O$5&gt;40,15+70*($AG3111/100),IF($O$5&gt;30,20+70*($AG3111/100),IF($O$5&gt;20,40+55*($AG3111/100),(80+(20-$O$5)+30*($AG3111/100))))))))))</f>
        <v>100</v>
      </c>
      <c r="AI3111" s="262"/>
      <c r="AJ3111" s="262"/>
      <c r="AK3111" s="262"/>
      <c r="AL3111" s="263"/>
      <c r="AM3111" s="264"/>
      <c r="AN3111" s="263"/>
      <c r="AO3111" s="263"/>
      <c r="AP3111" s="265"/>
      <c r="AQ3111" s="266"/>
      <c r="AR3111" s="267"/>
      <c r="AS3111" s="263"/>
      <c r="AT3111" s="263"/>
      <c r="AU3111" s="263"/>
      <c r="AV3111" s="264"/>
      <c r="AW3111" s="263"/>
      <c r="AX3111" s="263"/>
      <c r="AY3111" s="263"/>
      <c r="AZ3111" s="263"/>
      <c r="BA3111" s="263"/>
      <c r="BB3111" s="263"/>
      <c r="BC3111" s="263"/>
      <c r="BD3111" s="264">
        <v>149</v>
      </c>
      <c r="BE3111" s="263"/>
      <c r="BF3111" s="263"/>
      <c r="BG3111" s="263"/>
      <c r="BH3111" s="263"/>
      <c r="BI3111" s="263"/>
      <c r="BJ3111" s="404">
        <f>altaz(J2000_Bas,$O3111,$M3111,DecLat,DecLong,2)</f>
        <v>16.57277955729019</v>
      </c>
      <c r="BK3111" s="378" t="s">
        <v>2919</v>
      </c>
      <c r="BL3111" s="379">
        <f>IF((2*G3111)/60&lt;0.2,0.2,(2*G3111)/60)</f>
        <v>0.2</v>
      </c>
      <c r="BM3111" s="380">
        <f>MOD((50000+AD3111-$B$3+(0/24)),1)</f>
        <v>0.13126448322145734</v>
      </c>
      <c r="BN3111" s="381"/>
      <c r="BO3111" s="382">
        <v>3101</v>
      </c>
    </row>
    <row r="3112" spans="1:67" s="24" customFormat="1" ht="16.5" customHeight="1" x14ac:dyDescent="0.25">
      <c r="A3112" s="288" t="s">
        <v>2920</v>
      </c>
      <c r="B3112" s="241" t="str">
        <f>HYPERLINK(CONCATENATE($AT$3,BK3112,$AU$3),$AV$3)</f>
        <v>S</v>
      </c>
      <c r="C3112" s="242" t="str">
        <f>HYPERLINK(CONCATENATE($AT$4,BK3112,$AU$4,BL3112),$AV$4)</f>
        <v>A</v>
      </c>
      <c r="D3112" s="243" t="s">
        <v>5187</v>
      </c>
      <c r="E3112" s="244" t="s">
        <v>5186</v>
      </c>
      <c r="F3112" s="269"/>
      <c r="G3112" s="273">
        <v>8</v>
      </c>
      <c r="H3112" s="283">
        <v>1100</v>
      </c>
      <c r="I3112" s="279">
        <v>2.6</v>
      </c>
      <c r="J3112" s="246">
        <v>3</v>
      </c>
      <c r="K3112" s="247" t="s">
        <v>9510</v>
      </c>
      <c r="L3112" s="248">
        <v>220940</v>
      </c>
      <c r="M3112" s="249">
        <f>15*(LEFT(TEXT($L3112,"000000"),2)+(MID(TEXT($L3112,"000000"),3,2)/60)+(RIGHT(TEXT($L3112,"000000"),2)/3600))</f>
        <v>332.41666666666669</v>
      </c>
      <c r="N3112" s="250">
        <v>732325</v>
      </c>
      <c r="O3112" s="251">
        <f>IF($N3112&gt;0,(LEFT(TEXT($N3112,"000000"),2)+(MID(TEXT($N3112,"000000"),3,2)/60)+(RIGHT(TEXT($N3112,"000000"),2)/3600)),-(MID(TEXT($N3112,"000000"),2,2)+(MID(TEXT($N3112,"000000"),4,2)/60)+(RIGHT(TEXT($N3112,"000000"),2)/3600)))</f>
        <v>73.390277777777783</v>
      </c>
      <c r="P3112" s="252" t="s">
        <v>52</v>
      </c>
      <c r="Q3112" s="253"/>
      <c r="R3112" s="247" t="s">
        <v>9553</v>
      </c>
      <c r="S3112" s="272" t="s">
        <v>3293</v>
      </c>
      <c r="T3112" s="273"/>
      <c r="U3112" s="274"/>
      <c r="V3112" s="280"/>
      <c r="W3112" s="244"/>
      <c r="X3112" s="244"/>
      <c r="Y3112" s="362"/>
      <c r="Z3112" s="257">
        <f>altaz(J2000_Bas,$O3112,$M3112,DecLat,DecLong,1)</f>
        <v>41.488995680079483</v>
      </c>
      <c r="AA3112" s="257">
        <f>altaz((J2000_Bas+(2*0.04167)),$O3112,$M3112,DecLat,DecLong,1)</f>
        <v>46.77632644269169</v>
      </c>
      <c r="AB3112" s="257">
        <f>altaz((J2000_Bas+(4*0.04167)),$O3112,$M3112,DecLat,DecLong,1)</f>
        <v>47.015888013483284</v>
      </c>
      <c r="AC3112" s="257">
        <f>altaz((J2000_Bas+(6*0.04167)),$O3112,$M3112,DecLat,DecLong,1)</f>
        <v>42.088495450462595</v>
      </c>
      <c r="AD3112" s="258">
        <f>1+ transit((J2000_Bas-1),$O3112,$M3112,DecLat,DecLong)/360 + (GMTOffset/24) + (IF(DST="Y", 1, 0)/24)</f>
        <v>1.9162794979213749</v>
      </c>
      <c r="AE3112" s="259">
        <f>DATE(2001,9,21)+(M3112/360)*365 - (360*((DecLong/360)- (GMTOffset/24) ))</f>
        <v>37497.033564814818</v>
      </c>
      <c r="AF3112" s="260">
        <f>IF(DecLat&gt;0,IF((90 - (DecLat-O3112))&gt;90, (90 - (O3112-DecLat)), (90 - (DecLat-O3112))),IF((90 + (DecLat-O3112))&gt;90, (90 + (O3112-DecLat)), (90 + (DecLat-O3112))))</f>
        <v>47.609722222222217</v>
      </c>
      <c r="AG3112" s="257">
        <f>angularseperation(MoonRA,MoonDec,$M3112,$O3112)</f>
        <v>113.95721533717872</v>
      </c>
      <c r="AH3112" s="261">
        <f ca="1">MIN(100,IF($O$5&gt;80,0+30*($AG3112/100),IF($O$5&gt;70,0+50*($AG3112/100),IF($O$5&gt;60,5+50*($AG3112/100),IF($O$5&gt;50,10+60*($AG3112/100),IF($O$5&gt;40,15+70*($AG3112/100),IF($O$5&gt;30,20+70*($AG3112/100),IF($O$5&gt;20,40+55*($AG3112/100),(80+(20-$O$5)+30*($AG3112/100))))))))))</f>
        <v>100</v>
      </c>
      <c r="AI3112" s="262"/>
      <c r="AJ3112" s="262"/>
      <c r="AK3112" s="262"/>
      <c r="AL3112" s="263"/>
      <c r="AM3112" s="264"/>
      <c r="AN3112" s="263"/>
      <c r="AO3112" s="263"/>
      <c r="AP3112" s="265"/>
      <c r="AQ3112" s="266"/>
      <c r="AR3112" s="267"/>
      <c r="AS3112" s="263"/>
      <c r="AT3112" s="263"/>
      <c r="AU3112" s="263"/>
      <c r="AV3112" s="264"/>
      <c r="AW3112" s="263"/>
      <c r="AX3112" s="263"/>
      <c r="AY3112" s="263"/>
      <c r="AZ3112" s="263"/>
      <c r="BA3112" s="263"/>
      <c r="BB3112" s="263"/>
      <c r="BC3112" s="263"/>
      <c r="BD3112" s="264">
        <v>150</v>
      </c>
      <c r="BE3112" s="263"/>
      <c r="BF3112" s="263"/>
      <c r="BG3112" s="263"/>
      <c r="BH3112" s="263"/>
      <c r="BI3112" s="263"/>
      <c r="BJ3112" s="404">
        <f>altaz(J2000_Bas,$O3112,$M3112,DecLat,DecLong,2)</f>
        <v>16.046019384708977</v>
      </c>
      <c r="BK3112" s="378" t="s">
        <v>2920</v>
      </c>
      <c r="BL3112" s="379">
        <f>IF((2*G3112)/60&lt;0.2,0.2,(2*G3112)/60)</f>
        <v>0.26666666666666666</v>
      </c>
      <c r="BM3112" s="380">
        <f>MOD((50000+AD3112-$B$3+(0/24)),1)</f>
        <v>0.13164642762421863</v>
      </c>
      <c r="BN3112" s="381"/>
      <c r="BO3112" s="382">
        <v>3102</v>
      </c>
    </row>
    <row r="3113" spans="1:67" s="24" customFormat="1" ht="16.5" customHeight="1" x14ac:dyDescent="0.25">
      <c r="A3113" s="288" t="s">
        <v>2921</v>
      </c>
      <c r="B3113" s="241" t="str">
        <f>HYPERLINK(CONCATENATE($AT$3,BK3113,$AU$3),$AV$3)</f>
        <v>S</v>
      </c>
      <c r="C3113" s="242" t="str">
        <f>HYPERLINK(CONCATENATE($AT$4,BK3113,$AU$4,BL3113),$AV$4)</f>
        <v>A</v>
      </c>
      <c r="D3113" s="243" t="s">
        <v>5187</v>
      </c>
      <c r="E3113" s="244" t="s">
        <v>5186</v>
      </c>
      <c r="F3113" s="269"/>
      <c r="G3113" s="276">
        <v>11</v>
      </c>
      <c r="H3113" s="283">
        <v>570</v>
      </c>
      <c r="I3113" s="279">
        <v>2</v>
      </c>
      <c r="J3113" s="246">
        <v>1</v>
      </c>
      <c r="K3113" s="277" t="s">
        <v>9511</v>
      </c>
      <c r="L3113" s="248">
        <v>221353</v>
      </c>
      <c r="M3113" s="249">
        <f>15*(LEFT(TEXT($L3113,"000000"),2)+(MID(TEXT($L3113,"000000"),3,2)/60)+(RIGHT(TEXT($L3113,"000000"),2)/3600))</f>
        <v>333.4708333333333</v>
      </c>
      <c r="N3113" s="250">
        <v>394250</v>
      </c>
      <c r="O3113" s="251">
        <f>IF($N3113&gt;0,(LEFT(TEXT($N3113,"000000"),2)+(MID(TEXT($N3113,"000000"),3,2)/60)+(RIGHT(TEXT($N3113,"000000"),2)/3600)),-(MID(TEXT($N3113,"000000"),2,2)+(MID(TEXT($N3113,"000000"),4,2)/60)+(RIGHT(TEXT($N3113,"000000"),2)/3600)))</f>
        <v>39.713888888888889</v>
      </c>
      <c r="P3113" s="252" t="s">
        <v>58</v>
      </c>
      <c r="Q3113" s="253"/>
      <c r="R3113" s="277" t="s">
        <v>3293</v>
      </c>
      <c r="S3113" s="272" t="s">
        <v>3293</v>
      </c>
      <c r="T3113" s="273"/>
      <c r="U3113" s="274"/>
      <c r="V3113" s="280"/>
      <c r="W3113" s="244"/>
      <c r="X3113" s="244"/>
      <c r="Y3113" s="362"/>
      <c r="Z3113" s="257">
        <f>altaz(J2000_Bas,$O3113,$M3113,DecLat,DecLong,1)</f>
        <v>50.788747331568757</v>
      </c>
      <c r="AA3113" s="257">
        <f>altaz((J2000_Bas+(2*0.04167)),$O3113,$M3113,DecLat,DecLong,1)</f>
        <v>73.40364981956651</v>
      </c>
      <c r="AB3113" s="257">
        <f>altaz((J2000_Bas+(4*0.04167)),$O3113,$M3113,DecLat,DecLong,1)</f>
        <v>76.48852305552569</v>
      </c>
      <c r="AC3113" s="257">
        <f>altaz((J2000_Bas+(6*0.04167)),$O3113,$M3113,DecLat,DecLong,1)</f>
        <v>54.390106108821264</v>
      </c>
      <c r="AD3113" s="258">
        <f>1+ transit((J2000_Bas-1),$O3113,$M3113,DecLat,DecLong)/360 + (GMTOffset/24) + (IF(DST="Y", 1, 0)/24)</f>
        <v>1.9192077383692914</v>
      </c>
      <c r="AE3113" s="259">
        <f>DATE(2001,9,21)+(M3113/360)*365 - (360*((DecLong/360)- (GMTOffset/24) ))</f>
        <v>37498.102372685185</v>
      </c>
      <c r="AF3113" s="260">
        <f>IF(DecLat&gt;0,IF((90 - (DecLat-O3113))&gt;90, (90 - (O3113-DecLat)), (90 - (DecLat-O3113))),IF((90 + (DecLat-O3113))&gt;90, (90 + (O3113-DecLat)), (90 + (DecLat-O3113))))</f>
        <v>81.286111111111111</v>
      </c>
      <c r="AG3113" s="257">
        <f>angularseperation(MoonRA,MoonDec,$M3113,$O3113)</f>
        <v>102.82923773689106</v>
      </c>
      <c r="AH3113" s="261">
        <f ca="1">MIN(100,IF($O$5&gt;80,0+30*($AG3113/100),IF($O$5&gt;70,0+50*($AG3113/100),IF($O$5&gt;60,5+50*($AG3113/100),IF($O$5&gt;50,10+60*($AG3113/100),IF($O$5&gt;40,15+70*($AG3113/100),IF($O$5&gt;30,20+70*($AG3113/100),IF($O$5&gt;20,40+55*($AG3113/100),(80+(20-$O$5)+30*($AG3113/100))))))))))</f>
        <v>100</v>
      </c>
      <c r="AI3113" s="263"/>
      <c r="AJ3113" s="263"/>
      <c r="AK3113" s="263"/>
      <c r="AL3113" s="263"/>
      <c r="AM3113" s="264"/>
      <c r="AN3113" s="263"/>
      <c r="AO3113" s="263"/>
      <c r="AP3113" s="265"/>
      <c r="AQ3113" s="265"/>
      <c r="AR3113" s="285"/>
      <c r="AS3113" s="263"/>
      <c r="AT3113" s="263"/>
      <c r="AU3113" s="263"/>
      <c r="AV3113" s="264"/>
      <c r="AW3113" s="263"/>
      <c r="AX3113" s="263"/>
      <c r="AY3113" s="263"/>
      <c r="AZ3113" s="263"/>
      <c r="BA3113" s="263"/>
      <c r="BB3113" s="263"/>
      <c r="BC3113" s="263"/>
      <c r="BD3113" s="264">
        <v>151</v>
      </c>
      <c r="BE3113" s="263"/>
      <c r="BF3113" s="263"/>
      <c r="BG3113" s="263"/>
      <c r="BH3113" s="263"/>
      <c r="BI3113" s="263"/>
      <c r="BJ3113" s="404">
        <f>altaz(J2000_Bas,$O3113,$M3113,DecLat,DecLong,2)</f>
        <v>63.723755642012009</v>
      </c>
      <c r="BK3113" s="378" t="s">
        <v>2921</v>
      </c>
      <c r="BL3113" s="379">
        <f>IF((2*G3113)/60&lt;0.2,0.2,(2*G3113)/60)</f>
        <v>0.36666666666666664</v>
      </c>
      <c r="BM3113" s="380">
        <f>MOD((50000+AD3113-$B$3+(0/24)),1)</f>
        <v>0.13457466807449237</v>
      </c>
      <c r="BN3113" s="381"/>
      <c r="BO3113" s="382">
        <v>3103</v>
      </c>
    </row>
    <row r="3114" spans="1:67" s="24" customFormat="1" ht="16.5" customHeight="1" x14ac:dyDescent="0.25">
      <c r="A3114" s="288" t="s">
        <v>2922</v>
      </c>
      <c r="B3114" s="241" t="str">
        <f>HYPERLINK(CONCATENATE($AT$3,BK3114,$AU$3),$AV$3)</f>
        <v>S</v>
      </c>
      <c r="C3114" s="242" t="str">
        <f>HYPERLINK(CONCATENATE($AT$4,BK3114,$AU$4,BL3114),$AV$4)</f>
        <v>A</v>
      </c>
      <c r="D3114" s="243" t="s">
        <v>5187</v>
      </c>
      <c r="E3114" s="244" t="s">
        <v>5186</v>
      </c>
      <c r="F3114" s="269"/>
      <c r="G3114" s="273">
        <v>5</v>
      </c>
      <c r="H3114" s="283">
        <v>1200</v>
      </c>
      <c r="I3114" s="279">
        <v>1.8</v>
      </c>
      <c r="J3114" s="246">
        <v>4</v>
      </c>
      <c r="K3114" s="247" t="s">
        <v>9512</v>
      </c>
      <c r="L3114" s="248">
        <v>221402</v>
      </c>
      <c r="M3114" s="249">
        <f>15*(LEFT(TEXT($L3114,"000000"),2)+(MID(TEXT($L3114,"000000"),3,2)/60)+(RIGHT(TEXT($L3114,"000000"),2)/3600))</f>
        <v>333.50833333333333</v>
      </c>
      <c r="N3114" s="250">
        <v>695600</v>
      </c>
      <c r="O3114" s="251">
        <f>IF($N3114&gt;0,(LEFT(TEXT($N3114,"000000"),2)+(MID(TEXT($N3114,"000000"),3,2)/60)+(RIGHT(TEXT($N3114,"000000"),2)/3600)),-(MID(TEXT($N3114,"000000"),2,2)+(MID(TEXT($N3114,"000000"),4,2)/60)+(RIGHT(TEXT($N3114,"000000"),2)/3600)))</f>
        <v>69.933333333333337</v>
      </c>
      <c r="P3114" s="252" t="s">
        <v>52</v>
      </c>
      <c r="Q3114" s="253" t="s">
        <v>7092</v>
      </c>
      <c r="R3114" s="247" t="s">
        <v>9542</v>
      </c>
      <c r="S3114" s="272" t="s">
        <v>5774</v>
      </c>
      <c r="T3114" s="273"/>
      <c r="U3114" s="274"/>
      <c r="V3114" s="280"/>
      <c r="W3114" s="244"/>
      <c r="X3114" s="244"/>
      <c r="Y3114" s="362"/>
      <c r="Z3114" s="257">
        <f>altaz(J2000_Bas,$O3114,$M3114,DecLat,DecLong,1)</f>
        <v>43.035030705426124</v>
      </c>
      <c r="AA3114" s="257">
        <f>altaz((J2000_Bas+(2*0.04167)),$O3114,$M3114,DecLat,DecLong,1)</f>
        <v>49.852488329707391</v>
      </c>
      <c r="AB3114" s="257">
        <f>altaz((J2000_Bas+(4*0.04167)),$O3114,$M3114,DecLat,DecLong,1)</f>
        <v>50.418905116322229</v>
      </c>
      <c r="AC3114" s="257">
        <f>altaz((J2000_Bas+(6*0.04167)),$O3114,$M3114,DecLat,DecLong,1)</f>
        <v>44.406765596457433</v>
      </c>
      <c r="AD3114" s="258">
        <f>1+ transit((J2000_Bas-1),$O3114,$M3114,DecLat,DecLong)/360 + (GMTOffset/24) + (IF(DST="Y", 1, 0)/24)</f>
        <v>1.9193119050255414</v>
      </c>
      <c r="AE3114" s="259">
        <f>DATE(2001,9,21)+(M3114/360)*365 - (360*((DecLong/360)- (GMTOffset/24) ))</f>
        <v>37498.140393518515</v>
      </c>
      <c r="AF3114" s="260">
        <f>IF(DecLat&gt;0,IF((90 - (DecLat-O3114))&gt;90, (90 - (O3114-DecLat)), (90 - (DecLat-O3114))),IF((90 + (DecLat-O3114))&gt;90, (90 + (O3114-DecLat)), (90 + (DecLat-O3114))))</f>
        <v>51.066666666666663</v>
      </c>
      <c r="AG3114" s="257">
        <f>angularseperation(MoonRA,MoonDec,$M3114,$O3114)</f>
        <v>113.39946929027504</v>
      </c>
      <c r="AH3114" s="261">
        <f ca="1">MIN(100,IF($O$5&gt;80,0+30*($AG3114/100),IF($O$5&gt;70,0+50*($AG3114/100),IF($O$5&gt;60,5+50*($AG3114/100),IF($O$5&gt;50,10+60*($AG3114/100),IF($O$5&gt;40,15+70*($AG3114/100),IF($O$5&gt;30,20+70*($AG3114/100),IF($O$5&gt;20,40+55*($AG3114/100),(80+(20-$O$5)+30*($AG3114/100))))))))))</f>
        <v>100</v>
      </c>
      <c r="AI3114" s="262"/>
      <c r="AJ3114" s="262"/>
      <c r="AK3114" s="262"/>
      <c r="AL3114" s="263"/>
      <c r="AM3114" s="264"/>
      <c r="AN3114" s="263"/>
      <c r="AO3114" s="263"/>
      <c r="AP3114" s="265"/>
      <c r="AQ3114" s="266"/>
      <c r="AR3114" s="267"/>
      <c r="AS3114" s="263"/>
      <c r="AT3114" s="263"/>
      <c r="AU3114" s="263"/>
      <c r="AV3114" s="264"/>
      <c r="AW3114" s="263">
        <v>175</v>
      </c>
      <c r="AX3114" s="263"/>
      <c r="AY3114" s="263"/>
      <c r="AZ3114" s="263"/>
      <c r="BA3114" s="263"/>
      <c r="BB3114" s="263"/>
      <c r="BC3114" s="263"/>
      <c r="BD3114" s="264">
        <v>152</v>
      </c>
      <c r="BE3114" s="263"/>
      <c r="BF3114" s="263"/>
      <c r="BG3114" s="263">
        <v>100</v>
      </c>
      <c r="BH3114" s="263"/>
      <c r="BI3114" s="263"/>
      <c r="BJ3114" s="404">
        <f>altaz(J2000_Bas,$O3114,$M3114,DecLat,DecLong,2)</f>
        <v>20.250260595251664</v>
      </c>
      <c r="BK3114" s="378" t="s">
        <v>2922</v>
      </c>
      <c r="BL3114" s="379">
        <f>IF((2*G3114)/60&lt;0.2,0.2,(2*G3114)/60)</f>
        <v>0.2</v>
      </c>
      <c r="BM3114" s="380">
        <f>MOD((50000+AD3114-$B$3+(0/24)),1)</f>
        <v>0.13467883472912945</v>
      </c>
      <c r="BN3114" s="381"/>
      <c r="BO3114" s="382">
        <v>3104</v>
      </c>
    </row>
    <row r="3115" spans="1:67" s="24" customFormat="1" ht="16.5" customHeight="1" x14ac:dyDescent="0.25">
      <c r="A3115" s="288" t="s">
        <v>2923</v>
      </c>
      <c r="B3115" s="241" t="str">
        <f>HYPERLINK(CONCATENATE($AT$3,BK3115,$AU$3),$AV$3)</f>
        <v>S</v>
      </c>
      <c r="C3115" s="242" t="str">
        <f>HYPERLINK(CONCATENATE($AT$4,BK3115,$AU$4,BL3115),$AV$4)</f>
        <v>A</v>
      </c>
      <c r="D3115" s="243" t="s">
        <v>5187</v>
      </c>
      <c r="E3115" s="244" t="s">
        <v>5186</v>
      </c>
      <c r="F3115" s="269"/>
      <c r="G3115" s="273">
        <v>3</v>
      </c>
      <c r="H3115" s="283">
        <v>3000</v>
      </c>
      <c r="I3115" s="279">
        <v>2.5</v>
      </c>
      <c r="J3115" s="246">
        <v>2</v>
      </c>
      <c r="K3115" s="247" t="s">
        <v>9513</v>
      </c>
      <c r="L3115" s="248">
        <v>222300</v>
      </c>
      <c r="M3115" s="249">
        <f>15*(LEFT(TEXT($L3115,"000000"),2)+(MID(TEXT($L3115,"000000"),3,2)/60)+(RIGHT(TEXT($L3115,"000000"),2)/3600))</f>
        <v>335.75</v>
      </c>
      <c r="N3115" s="286">
        <v>624200</v>
      </c>
      <c r="O3115" s="251">
        <f>IF($N3115&gt;0,(LEFT(TEXT($N3115,"000000"),2)+(MID(TEXT($N3115,"000000"),3,2)/60)+(RIGHT(TEXT($N3115,"000000"),2)/3600)),-(MID(TEXT($N3115,"000000"),2,2)+(MID(TEXT($N3115,"000000"),4,2)/60)+(RIGHT(TEXT($N3115,"000000"),2)/3600)))</f>
        <v>62.7</v>
      </c>
      <c r="P3115" s="252" t="s">
        <v>58</v>
      </c>
      <c r="Q3115" s="253"/>
      <c r="R3115" s="277" t="s">
        <v>9543</v>
      </c>
      <c r="S3115" s="272" t="s">
        <v>3293</v>
      </c>
      <c r="T3115" s="273"/>
      <c r="U3115" s="274"/>
      <c r="V3115" s="280"/>
      <c r="W3115" s="244"/>
      <c r="X3115" s="244"/>
      <c r="Y3115" s="362"/>
      <c r="Z3115" s="257">
        <f>altaz(J2000_Bas,$O3115,$M3115,DecLat,DecLong,1)</f>
        <v>45.373585192884832</v>
      </c>
      <c r="AA3115" s="257">
        <f>altaz((J2000_Bas+(2*0.04167)),$O3115,$M3115,DecLat,DecLong,1)</f>
        <v>55.882266515091189</v>
      </c>
      <c r="AB3115" s="257">
        <f>altaz((J2000_Bas+(4*0.04167)),$O3115,$M3115,DecLat,DecLong,1)</f>
        <v>57.599738798619228</v>
      </c>
      <c r="AC3115" s="257">
        <f>altaz((J2000_Bas+(6*0.04167)),$O3115,$M3115,DecLat,DecLong,1)</f>
        <v>49.164439264958638</v>
      </c>
      <c r="AD3115" s="258">
        <f>1+ transit((J2000_Bas-1),$O3115,$M3115,DecLat,DecLong)/360 + (GMTOffset/24) + (IF(DST="Y", 1, 0)/24)</f>
        <v>1.9255387562547079</v>
      </c>
      <c r="AE3115" s="259">
        <f>DATE(2001,9,21)+(M3115/360)*365 - (360*((DecLong/360)- (GMTOffset/24) ))</f>
        <v>37500.413194444445</v>
      </c>
      <c r="AF3115" s="260">
        <f>IF(DecLat&gt;0,IF((90 - (DecLat-O3115))&gt;90, (90 - (O3115-DecLat)), (90 - (DecLat-O3115))),IF((90 + (DecLat-O3115))&gt;90, (90 + (O3115-DecLat)), (90 + (DecLat-O3115))))</f>
        <v>58.3</v>
      </c>
      <c r="AG3115" s="257">
        <f>angularseperation(MoonRA,MoonDec,$M3115,$O3115)</f>
        <v>112.31594089871331</v>
      </c>
      <c r="AH3115" s="261">
        <f ca="1">MIN(100,IF($O$5&gt;80,0+30*($AG3115/100),IF($O$5&gt;70,0+50*($AG3115/100),IF($O$5&gt;60,5+50*($AG3115/100),IF($O$5&gt;50,10+60*($AG3115/100),IF($O$5&gt;40,15+70*($AG3115/100),IF($O$5&gt;30,20+70*($AG3115/100),IF($O$5&gt;20,40+55*($AG3115/100),(80+(20-$O$5)+30*($AG3115/100))))))))))</f>
        <v>100</v>
      </c>
      <c r="AI3115" s="263"/>
      <c r="AJ3115" s="263"/>
      <c r="AK3115" s="263"/>
      <c r="AL3115" s="263"/>
      <c r="AM3115" s="264"/>
      <c r="AN3115" s="263"/>
      <c r="AO3115" s="263"/>
      <c r="AP3115" s="265"/>
      <c r="AQ3115" s="265"/>
      <c r="AR3115" s="285"/>
      <c r="AS3115" s="263"/>
      <c r="AT3115" s="263"/>
      <c r="AU3115" s="263"/>
      <c r="AV3115" s="264"/>
      <c r="AW3115" s="263"/>
      <c r="AX3115" s="263"/>
      <c r="AY3115" s="263"/>
      <c r="AZ3115" s="263"/>
      <c r="BA3115" s="263"/>
      <c r="BB3115" s="263"/>
      <c r="BC3115" s="263"/>
      <c r="BD3115" s="264">
        <v>153</v>
      </c>
      <c r="BE3115" s="263"/>
      <c r="BF3115" s="263"/>
      <c r="BG3115" s="263"/>
      <c r="BH3115" s="263"/>
      <c r="BI3115" s="263"/>
      <c r="BJ3115" s="404">
        <f>altaz(J2000_Bas,$O3115,$M3115,DecLat,DecLong,2)</f>
        <v>29.88723902676438</v>
      </c>
      <c r="BK3115" s="378" t="s">
        <v>2923</v>
      </c>
      <c r="BL3115" s="379">
        <f>IF((2*G3115)/60&lt;0.2,0.2,(2*G3115)/60)</f>
        <v>0.2</v>
      </c>
      <c r="BM3115" s="380">
        <f>MOD((50000+AD3115-$B$3+(0/24)),1)</f>
        <v>0.14090568595565856</v>
      </c>
      <c r="BN3115" s="381"/>
      <c r="BO3115" s="382">
        <v>3105</v>
      </c>
    </row>
    <row r="3116" spans="1:67" s="24" customFormat="1" ht="16.5" customHeight="1" x14ac:dyDescent="0.25">
      <c r="A3116" s="288" t="s">
        <v>2924</v>
      </c>
      <c r="B3116" s="241" t="str">
        <f>HYPERLINK(CONCATENATE($AT$3,BK3116,$AU$3),$AV$3)</f>
        <v>S</v>
      </c>
      <c r="C3116" s="242" t="str">
        <f>HYPERLINK(CONCATENATE($AT$4,BK3116,$AU$4,BL3116),$AV$4)</f>
        <v>A</v>
      </c>
      <c r="D3116" s="243" t="s">
        <v>5187</v>
      </c>
      <c r="E3116" s="244" t="s">
        <v>5186</v>
      </c>
      <c r="F3116" s="269"/>
      <c r="G3116" s="276">
        <v>10</v>
      </c>
      <c r="H3116" s="283">
        <v>2360</v>
      </c>
      <c r="I3116" s="279">
        <v>7</v>
      </c>
      <c r="J3116" s="246">
        <v>3</v>
      </c>
      <c r="K3116" s="247" t="s">
        <v>9514</v>
      </c>
      <c r="L3116" s="248">
        <v>223111</v>
      </c>
      <c r="M3116" s="249">
        <f>15*(LEFT(TEXT($L3116,"000000"),2)+(MID(TEXT($L3116,"000000"),3,2)/60)+(RIGHT(TEXT($L3116,"000000"),2)/3600))</f>
        <v>337.79583333333329</v>
      </c>
      <c r="N3116" s="250">
        <v>652821</v>
      </c>
      <c r="O3116" s="251">
        <f>IF($N3116&gt;0,(LEFT(TEXT($N3116,"000000"),2)+(MID(TEXT($N3116,"000000"),3,2)/60)+(RIGHT(TEXT($N3116,"000000"),2)/3600)),-(MID(TEXT($N3116,"000000"),2,2)+(MID(TEXT($N3116,"000000"),4,2)/60)+(RIGHT(TEXT($N3116,"000000"),2)/3600)))</f>
        <v>65.472499999999997</v>
      </c>
      <c r="P3116" s="252" t="s">
        <v>52</v>
      </c>
      <c r="Q3116" s="253"/>
      <c r="R3116" s="247" t="s">
        <v>9544</v>
      </c>
      <c r="S3116" s="272" t="s">
        <v>3293</v>
      </c>
      <c r="T3116" s="273"/>
      <c r="U3116" s="274"/>
      <c r="V3116" s="280"/>
      <c r="W3116" s="244"/>
      <c r="X3116" s="244"/>
      <c r="Y3116" s="362"/>
      <c r="Z3116" s="257">
        <f>altaz(J2000_Bas,$O3116,$M3116,DecLat,DecLong,1)</f>
        <v>43.523113853128571</v>
      </c>
      <c r="AA3116" s="257">
        <f>altaz((J2000_Bas+(2*0.04167)),$O3116,$M3116,DecLat,DecLong,1)</f>
        <v>53.050047260267689</v>
      </c>
      <c r="AB3116" s="257">
        <f>altaz((J2000_Bas+(4*0.04167)),$O3116,$M3116,DecLat,DecLong,1)</f>
        <v>55.145153019167964</v>
      </c>
      <c r="AC3116" s="257">
        <f>altaz((J2000_Bas+(6*0.04167)),$O3116,$M3116,DecLat,DecLong,1)</f>
        <v>48.347987786450631</v>
      </c>
      <c r="AD3116" s="258">
        <f>1+ transit((J2000_Bas-1),$O3116,$M3116,DecLat,DecLong)/360 + (GMTOffset/24) + (IF(DST="Y", 1, 0)/24)</f>
        <v>1.9312216260567909</v>
      </c>
      <c r="AE3116" s="259">
        <f>DATE(2001,9,21)+(M3116/360)*365 - (360*((DecLong/360)- (GMTOffset/24) ))</f>
        <v>37502.487442129626</v>
      </c>
      <c r="AF3116" s="260">
        <f>IF(DecLat&gt;0,IF((90 - (DecLat-O3116))&gt;90, (90 - (O3116-DecLat)), (90 - (DecLat-O3116))),IF((90 + (DecLat-O3116))&gt;90, (90 + (O3116-DecLat)), (90 + (DecLat-O3116))))</f>
        <v>55.527500000000003</v>
      </c>
      <c r="AG3116" s="257">
        <f>angularseperation(MoonRA,MoonDec,$M3116,$O3116)</f>
        <v>113.88393304188646</v>
      </c>
      <c r="AH3116" s="261">
        <f ca="1">MIN(100,IF($O$5&gt;80,0+30*($AG3116/100),IF($O$5&gt;70,0+50*($AG3116/100),IF($O$5&gt;60,5+50*($AG3116/100),IF($O$5&gt;50,10+60*($AG3116/100),IF($O$5&gt;40,15+70*($AG3116/100),IF($O$5&gt;30,20+70*($AG3116/100),IF($O$5&gt;20,40+55*($AG3116/100),(80+(20-$O$5)+30*($AG3116/100))))))))))</f>
        <v>100</v>
      </c>
      <c r="AI3116" s="262"/>
      <c r="AJ3116" s="262"/>
      <c r="AK3116" s="262"/>
      <c r="AL3116" s="263"/>
      <c r="AM3116" s="264"/>
      <c r="AN3116" s="263"/>
      <c r="AO3116" s="263"/>
      <c r="AP3116" s="265"/>
      <c r="AQ3116" s="266"/>
      <c r="AR3116" s="267"/>
      <c r="AS3116" s="263"/>
      <c r="AT3116" s="263"/>
      <c r="AU3116" s="263"/>
      <c r="AV3116" s="264"/>
      <c r="AW3116" s="263"/>
      <c r="AX3116" s="263"/>
      <c r="AY3116" s="263"/>
      <c r="AZ3116" s="263"/>
      <c r="BA3116" s="263"/>
      <c r="BB3116" s="263"/>
      <c r="BC3116" s="263"/>
      <c r="BD3116" s="264">
        <v>154</v>
      </c>
      <c r="BE3116" s="263"/>
      <c r="BF3116" s="263"/>
      <c r="BG3116" s="263"/>
      <c r="BH3116" s="263"/>
      <c r="BI3116" s="263"/>
      <c r="BJ3116" s="404">
        <f>altaz(J2000_Bas,$O3116,$M3116,DecLat,DecLong,2)</f>
        <v>26.735615221972242</v>
      </c>
      <c r="BK3116" s="378" t="s">
        <v>2924</v>
      </c>
      <c r="BL3116" s="379">
        <f>IF((2*G3116)/60&lt;0.2,0.2,(2*G3116)/60)</f>
        <v>0.33333333333333331</v>
      </c>
      <c r="BM3116" s="380">
        <f>MOD((50000+AD3116-$B$3+(0/24)),1)</f>
        <v>0.1465885557627189</v>
      </c>
      <c r="BN3116" s="381"/>
      <c r="BO3116" s="382">
        <v>3106</v>
      </c>
    </row>
    <row r="3117" spans="1:67" s="24" customFormat="1" ht="16.5" customHeight="1" x14ac:dyDescent="0.25">
      <c r="A3117" s="288" t="s">
        <v>2925</v>
      </c>
      <c r="B3117" s="241" t="str">
        <f>HYPERLINK(CONCATENATE($AT$3,BK3117,$AU$3),$AV$3)</f>
        <v>S</v>
      </c>
      <c r="C3117" s="242" t="str">
        <f>HYPERLINK(CONCATENATE($AT$4,BK3117,$AU$4,BL3117),$AV$4)</f>
        <v>A</v>
      </c>
      <c r="D3117" s="243" t="s">
        <v>5187</v>
      </c>
      <c r="E3117" s="244" t="s">
        <v>5186</v>
      </c>
      <c r="F3117" s="269"/>
      <c r="G3117" s="273">
        <v>6.2</v>
      </c>
      <c r="H3117" s="283">
        <v>2640</v>
      </c>
      <c r="I3117" s="279">
        <v>5</v>
      </c>
      <c r="J3117" s="246">
        <v>3</v>
      </c>
      <c r="K3117" s="247" t="s">
        <v>9515</v>
      </c>
      <c r="L3117" s="248">
        <v>225312</v>
      </c>
      <c r="M3117" s="249">
        <f>15*(LEFT(TEXT($L3117,"000000"),2)+(MID(TEXT($L3117,"000000"),3,2)/60)+(RIGHT(TEXT($L3117,"000000"),2)/3600))</f>
        <v>343.3</v>
      </c>
      <c r="N3117" s="250">
        <v>620801</v>
      </c>
      <c r="O3117" s="251">
        <f>IF($N3117&gt;0,(LEFT(TEXT($N3117,"000000"),2)+(MID(TEXT($N3117,"000000"),3,2)/60)+(RIGHT(TEXT($N3117,"000000"),2)/3600)),-(MID(TEXT($N3117,"000000"),2,2)+(MID(TEXT($N3117,"000000"),4,2)/60)+(RIGHT(TEXT($N3117,"000000"),2)/3600)))</f>
        <v>62.133611111111108</v>
      </c>
      <c r="P3117" s="252" t="s">
        <v>52</v>
      </c>
      <c r="Q3117" s="253"/>
      <c r="R3117" s="247" t="s">
        <v>9545</v>
      </c>
      <c r="S3117" s="272" t="s">
        <v>2587</v>
      </c>
      <c r="T3117" s="273"/>
      <c r="U3117" s="274"/>
      <c r="V3117" s="280"/>
      <c r="W3117" s="244"/>
      <c r="X3117" s="244"/>
      <c r="Y3117" s="362"/>
      <c r="Z3117" s="257">
        <f>altaz(J2000_Bas,$O3117,$M3117,DecLat,DecLong,1)</f>
        <v>42.204348896844863</v>
      </c>
      <c r="AA3117" s="257">
        <f>altaz((J2000_Bas+(2*0.04167)),$O3117,$M3117,DecLat,DecLong,1)</f>
        <v>54.254279339362114</v>
      </c>
      <c r="AB3117" s="257">
        <f>altaz((J2000_Bas+(4*0.04167)),$O3117,$M3117,DecLat,DecLong,1)</f>
        <v>58.810678769706783</v>
      </c>
      <c r="AC3117" s="257">
        <f>altaz((J2000_Bas+(6*0.04167)),$O3117,$M3117,DecLat,DecLong,1)</f>
        <v>52.325332312327475</v>
      </c>
      <c r="AD3117" s="258">
        <f>1+ transit((J2000_Bas-1),$O3117,$M3117,DecLat,DecLong)/360 + (GMTOffset/24) + (IF(DST="Y", 1, 0)/24)</f>
        <v>1.9465109763797084</v>
      </c>
      <c r="AE3117" s="259">
        <f>DATE(2001,9,21)+(M3117/360)*365 - (360*((DecLong/360)- (GMTOffset/24) ))</f>
        <v>37508.068055555559</v>
      </c>
      <c r="AF3117" s="260">
        <f>IF(DecLat&gt;0,IF((90 - (DecLat-O3117))&gt;90, (90 - (O3117-DecLat)), (90 - (DecLat-O3117))),IF((90 + (DecLat-O3117))&gt;90, (90 + (O3117-DecLat)), (90 + (DecLat-O3117))))</f>
        <v>58.866388888888892</v>
      </c>
      <c r="AG3117" s="257">
        <f>angularseperation(MoonRA,MoonDec,$M3117,$O3117)</f>
        <v>115.59148689885515</v>
      </c>
      <c r="AH3117" s="261">
        <f ca="1">MIN(100,IF($O$5&gt;80,0+30*($AG3117/100),IF($O$5&gt;70,0+50*($AG3117/100),IF($O$5&gt;60,5+50*($AG3117/100),IF($O$5&gt;50,10+60*($AG3117/100),IF($O$5&gt;40,15+70*($AG3117/100),IF($O$5&gt;30,20+70*($AG3117/100),IF($O$5&gt;20,40+55*($AG3117/100),(80+(20-$O$5)+30*($AG3117/100))))))))))</f>
        <v>100</v>
      </c>
      <c r="AI3117" s="262"/>
      <c r="AJ3117" s="262"/>
      <c r="AK3117" s="262"/>
      <c r="AL3117" s="263"/>
      <c r="AM3117" s="264"/>
      <c r="AN3117" s="263"/>
      <c r="AO3117" s="263"/>
      <c r="AP3117" s="265"/>
      <c r="AQ3117" s="266"/>
      <c r="AR3117" s="267"/>
      <c r="AS3117" s="263"/>
      <c r="AT3117" s="263"/>
      <c r="AU3117" s="263"/>
      <c r="AV3117" s="264"/>
      <c r="AW3117" s="263"/>
      <c r="AX3117" s="263"/>
      <c r="AY3117" s="263"/>
      <c r="AZ3117" s="263"/>
      <c r="BA3117" s="263"/>
      <c r="BB3117" s="263"/>
      <c r="BC3117" s="263"/>
      <c r="BD3117" s="264">
        <v>155</v>
      </c>
      <c r="BE3117" s="263"/>
      <c r="BF3117" s="263"/>
      <c r="BG3117" s="263"/>
      <c r="BH3117" s="263"/>
      <c r="BI3117" s="263"/>
      <c r="BJ3117" s="404">
        <f>altaz(J2000_Bas,$O3117,$M3117,DecLat,DecLong,2)</f>
        <v>32.071211039271944</v>
      </c>
      <c r="BK3117" s="378" t="s">
        <v>2925</v>
      </c>
      <c r="BL3117" s="379">
        <f>IF((2*G3117)/60&lt;0.2,0.2,(2*G3117)/60)</f>
        <v>0.20666666666666667</v>
      </c>
      <c r="BM3117" s="380">
        <f>MOD((50000+AD3117-$B$3+(0/24)),1)</f>
        <v>0.16187790608091746</v>
      </c>
      <c r="BN3117" s="381"/>
      <c r="BO3117" s="382">
        <v>3107</v>
      </c>
    </row>
    <row r="3118" spans="1:67" s="24" customFormat="1" ht="16.5" customHeight="1" x14ac:dyDescent="0.25">
      <c r="A3118" s="288" t="s">
        <v>2926</v>
      </c>
      <c r="B3118" s="241" t="str">
        <f>HYPERLINK(CONCATENATE($AT$3,BK3118,$AU$3),$AV$3)</f>
        <v>S</v>
      </c>
      <c r="C3118" s="242" t="str">
        <f>HYPERLINK(CONCATENATE($AT$4,BK3118,$AU$4,BL3118),$AV$4)</f>
        <v>A</v>
      </c>
      <c r="D3118" s="243" t="s">
        <v>5187</v>
      </c>
      <c r="E3118" s="244" t="s">
        <v>7522</v>
      </c>
      <c r="F3118" s="269"/>
      <c r="G3118" s="276">
        <v>90</v>
      </c>
      <c r="H3118" s="271" t="s">
        <v>6500</v>
      </c>
      <c r="I3118" s="244" t="s">
        <v>6500</v>
      </c>
      <c r="J3118" s="246">
        <v>2</v>
      </c>
      <c r="K3118" s="247" t="s">
        <v>9516</v>
      </c>
      <c r="L3118" s="248">
        <v>230155</v>
      </c>
      <c r="M3118" s="249">
        <f>15*(LEFT(TEXT($L3118,"000000"),2)+(MID(TEXT($L3118,"000000"),3,2)/60)+(RIGHT(TEXT($L3118,"000000"),2)/3600))</f>
        <v>345.47916666666669</v>
      </c>
      <c r="N3118" s="250">
        <v>412200</v>
      </c>
      <c r="O3118" s="251">
        <f>IF($N3118&gt;0,(LEFT(TEXT($N3118,"000000"),2)+(MID(TEXT($N3118,"000000"),3,2)/60)+(RIGHT(TEXT($N3118,"000000"),2)/3600)),-(MID(TEXT($N3118,"000000"),2,2)+(MID(TEXT($N3118,"000000"),4,2)/60)+(RIGHT(TEXT($N3118,"000000"),2)/3600)))</f>
        <v>41.366666666666667</v>
      </c>
      <c r="P3118" s="252" t="s">
        <v>58</v>
      </c>
      <c r="Q3118" s="253"/>
      <c r="R3118" s="247" t="s">
        <v>9546</v>
      </c>
      <c r="S3118" s="272" t="s">
        <v>3293</v>
      </c>
      <c r="T3118" s="273"/>
      <c r="U3118" s="274"/>
      <c r="V3118" s="280"/>
      <c r="W3118" s="244"/>
      <c r="X3118" s="244"/>
      <c r="Y3118" s="362"/>
      <c r="Z3118" s="257">
        <f>altaz(J2000_Bas,$O3118,$M3118,DecLat,DecLong,1)</f>
        <v>41.84382714845848</v>
      </c>
      <c r="AA3118" s="257">
        <f>altaz((J2000_Bas+(2*0.04167)),$O3118,$M3118,DecLat,DecLong,1)</f>
        <v>64.272956716169915</v>
      </c>
      <c r="AB3118" s="257">
        <f>altaz((J2000_Bas+(4*0.04167)),$O3118,$M3118,DecLat,DecLong,1)</f>
        <v>79.618381253152123</v>
      </c>
      <c r="AC3118" s="257">
        <f>altaz((J2000_Bas+(6*0.04167)),$O3118,$M3118,DecLat,DecLong,1)</f>
        <v>63.262463798825117</v>
      </c>
      <c r="AD3118" s="258">
        <f>1+ transit((J2000_Bas-1),$O3118,$M3118,DecLat,DecLong)/360 + (GMTOffset/24) + (IF(DST="Y", 1, 0)/24)</f>
        <v>1.9525642165151249</v>
      </c>
      <c r="AE3118" s="259">
        <f>DATE(2001,9,21)+(M3118/360)*365 - (360*((DecLong/360)- (GMTOffset/24) ))</f>
        <v>37510.277488425927</v>
      </c>
      <c r="AF3118" s="260">
        <f>IF(DecLat&gt;0,IF((90 - (DecLat-O3118))&gt;90, (90 - (O3118-DecLat)), (90 - (DecLat-O3118))),IF((90 + (DecLat-O3118))&gt;90, (90 + (O3118-DecLat)), (90 + (DecLat-O3118))))</f>
        <v>79.633333333333326</v>
      </c>
      <c r="AG3118" s="257">
        <f>angularseperation(MoonRA,MoonDec,$M3118,$O3118)</f>
        <v>111.93112014653225</v>
      </c>
      <c r="AH3118" s="261">
        <f ca="1">MIN(100,IF($O$5&gt;80,0+30*($AG3118/100),IF($O$5&gt;70,0+50*($AG3118/100),IF($O$5&gt;60,5+50*($AG3118/100),IF($O$5&gt;50,10+60*($AG3118/100),IF($O$5&gt;40,15+70*($AG3118/100),IF($O$5&gt;30,20+70*($AG3118/100),IF($O$5&gt;20,40+55*($AG3118/100),(80+(20-$O$5)+30*($AG3118/100))))))))))</f>
        <v>100</v>
      </c>
      <c r="AI3118" s="262"/>
      <c r="AJ3118" s="262"/>
      <c r="AK3118" s="262"/>
      <c r="AL3118" s="263"/>
      <c r="AM3118" s="264"/>
      <c r="AN3118" s="263"/>
      <c r="AO3118" s="263"/>
      <c r="AP3118" s="265"/>
      <c r="AQ3118" s="266"/>
      <c r="AR3118" s="267"/>
      <c r="AS3118" s="263"/>
      <c r="AT3118" s="263"/>
      <c r="AU3118" s="263"/>
      <c r="AV3118" s="264"/>
      <c r="AW3118" s="263"/>
      <c r="AX3118" s="263"/>
      <c r="AY3118" s="263"/>
      <c r="AZ3118" s="263"/>
      <c r="BA3118" s="263"/>
      <c r="BB3118" s="263"/>
      <c r="BC3118" s="263"/>
      <c r="BD3118" s="264">
        <v>156</v>
      </c>
      <c r="BE3118" s="263"/>
      <c r="BF3118" s="263"/>
      <c r="BG3118" s="263"/>
      <c r="BH3118" s="263"/>
      <c r="BI3118" s="263"/>
      <c r="BJ3118" s="404">
        <f>altaz(J2000_Bas,$O3118,$M3118,DecLat,DecLong,2)</f>
        <v>60.205763964816605</v>
      </c>
      <c r="BK3118" s="378" t="s">
        <v>2926</v>
      </c>
      <c r="BL3118" s="379">
        <f>IF((2*G3118)/60&lt;0.2,0.2,(2*G3118)/60)</f>
        <v>3</v>
      </c>
      <c r="BM3118" s="380">
        <f>MOD((50000+AD3118-$B$3+(0/24)),1)</f>
        <v>0.16793114622123539</v>
      </c>
      <c r="BN3118" s="381"/>
      <c r="BO3118" s="382">
        <v>3108</v>
      </c>
    </row>
    <row r="3119" spans="1:67" s="24" customFormat="1" ht="16.5" customHeight="1" x14ac:dyDescent="0.25">
      <c r="A3119" s="288" t="s">
        <v>2927</v>
      </c>
      <c r="B3119" s="241" t="str">
        <f>HYPERLINK(CONCATENATE($AT$3,BK3119,$AU$3),$AV$3)</f>
        <v>S</v>
      </c>
      <c r="C3119" s="242" t="str">
        <f>HYPERLINK(CONCATENATE($AT$4,BK3119,$AU$4,BL3119),$AV$4)</f>
        <v>A</v>
      </c>
      <c r="D3119" s="243" t="s">
        <v>5187</v>
      </c>
      <c r="E3119" s="244" t="s">
        <v>7522</v>
      </c>
      <c r="F3119" s="269"/>
      <c r="G3119" s="276">
        <v>30</v>
      </c>
      <c r="H3119" s="271" t="s">
        <v>6500</v>
      </c>
      <c r="I3119" s="244" t="s">
        <v>6500</v>
      </c>
      <c r="J3119" s="246">
        <v>1</v>
      </c>
      <c r="K3119" s="247" t="s">
        <v>8329</v>
      </c>
      <c r="L3119" s="248">
        <v>230852</v>
      </c>
      <c r="M3119" s="249">
        <f>15*(LEFT(TEXT($L3119,"000000"),2)+(MID(TEXT($L3119,"000000"),3,2)/60)+(RIGHT(TEXT($L3119,"000000"),2)/3600))</f>
        <v>347.21666666666664</v>
      </c>
      <c r="N3119" s="250">
        <v>421934</v>
      </c>
      <c r="O3119" s="251">
        <f>IF($N3119&gt;0,(LEFT(TEXT($N3119,"000000"),2)+(MID(TEXT($N3119,"000000"),3,2)/60)+(RIGHT(TEXT($N3119,"000000"),2)/3600)),-(MID(TEXT($N3119,"000000"),2,2)+(MID(TEXT($N3119,"000000"),4,2)/60)+(RIGHT(TEXT($N3119,"000000"),2)/3600)))</f>
        <v>42.326111111111118</v>
      </c>
      <c r="P3119" s="252" t="s">
        <v>36</v>
      </c>
      <c r="Q3119" s="253"/>
      <c r="R3119" s="247"/>
      <c r="S3119" s="322" t="s">
        <v>2928</v>
      </c>
      <c r="T3119" s="273"/>
      <c r="U3119" s="274"/>
      <c r="V3119" s="280"/>
      <c r="W3119" s="244"/>
      <c r="X3119" s="244"/>
      <c r="Y3119" s="362"/>
      <c r="Z3119" s="257">
        <f>altaz(J2000_Bas,$O3119,$M3119,DecLat,DecLong,1)</f>
        <v>40.689821580963113</v>
      </c>
      <c r="AA3119" s="257">
        <f>altaz((J2000_Bas+(2*0.04167)),$O3119,$M3119,DecLat,DecLong,1)</f>
        <v>62.781606321034396</v>
      </c>
      <c r="AB3119" s="257">
        <f>altaz((J2000_Bas+(4*0.04167)),$O3119,$M3119,DecLat,DecLong,1)</f>
        <v>78.643182979873899</v>
      </c>
      <c r="AC3119" s="257">
        <f>altaz((J2000_Bas+(6*0.04167)),$O3119,$M3119,DecLat,DecLong,1)</f>
        <v>64.270846149278171</v>
      </c>
      <c r="AD3119" s="258">
        <f>1+ transit((J2000_Bas-1),$O3119,$M3119,DecLat,DecLong)/360 + (GMTOffset/24) + (IF(DST="Y", 1, 0)/24)</f>
        <v>1.9573906049213743</v>
      </c>
      <c r="AE3119" s="259">
        <f>DATE(2001,9,21)+(M3119/360)*365 - (360*((DecLong/360)- (GMTOffset/24) ))</f>
        <v>37512.039120370369</v>
      </c>
      <c r="AF3119" s="260">
        <f>IF(DecLat&gt;0,IF((90 - (DecLat-O3119))&gt;90, (90 - (O3119-DecLat)), (90 - (DecLat-O3119))),IF((90 + (DecLat-O3119))&gt;90, (90 + (O3119-DecLat)), (90 + (DecLat-O3119))))</f>
        <v>78.673888888888882</v>
      </c>
      <c r="AG3119" s="257">
        <f>angularseperation(MoonRA,MoonDec,$M3119,$O3119)</f>
        <v>113.4468320165206</v>
      </c>
      <c r="AH3119" s="261">
        <f ca="1">MIN(100,IF($O$5&gt;80,0+30*($AG3119/100),IF($O$5&gt;70,0+50*($AG3119/100),IF($O$5&gt;60,5+50*($AG3119/100),IF($O$5&gt;50,10+60*($AG3119/100),IF($O$5&gt;40,15+70*($AG3119/100),IF($O$5&gt;30,20+70*($AG3119/100),IF($O$5&gt;20,40+55*($AG3119/100),(80+(20-$O$5)+30*($AG3119/100))))))))))</f>
        <v>100</v>
      </c>
      <c r="AI3119" s="262"/>
      <c r="AJ3119" s="262"/>
      <c r="AK3119" s="262"/>
      <c r="AL3119" s="263"/>
      <c r="AM3119" s="264"/>
      <c r="AN3119" s="263"/>
      <c r="AO3119" s="263"/>
      <c r="AP3119" s="265"/>
      <c r="AQ3119" s="266"/>
      <c r="AR3119" s="267"/>
      <c r="AS3119" s="263"/>
      <c r="AT3119" s="263"/>
      <c r="AU3119" s="263"/>
      <c r="AV3119" s="264"/>
      <c r="AW3119" s="263"/>
      <c r="AX3119" s="263"/>
      <c r="AY3119" s="263"/>
      <c r="AZ3119" s="263"/>
      <c r="BA3119" s="263"/>
      <c r="BB3119" s="263"/>
      <c r="BC3119" s="263"/>
      <c r="BD3119" s="264"/>
      <c r="BE3119" s="263"/>
      <c r="BF3119" s="263"/>
      <c r="BG3119" s="263"/>
      <c r="BH3119" s="263"/>
      <c r="BI3119" s="263"/>
      <c r="BJ3119" s="404">
        <f>altaz(J2000_Bas,$O3119,$M3119,DecLat,DecLong,2)</f>
        <v>58.709969992766986</v>
      </c>
      <c r="BK3119" s="378" t="s">
        <v>2926</v>
      </c>
      <c r="BL3119" s="379">
        <f>IF((2*G3119)/60&lt;0.2,0.2,(2*G3119)/60)</f>
        <v>1</v>
      </c>
      <c r="BM3119" s="380">
        <f>MOD((50000+AD3119-$B$3+(0/24)),1)</f>
        <v>0.17275753462308785</v>
      </c>
      <c r="BN3119" s="381"/>
      <c r="BO3119" s="382">
        <v>3109</v>
      </c>
    </row>
    <row r="3120" spans="1:67" s="24" customFormat="1" ht="16.5" customHeight="1" x14ac:dyDescent="0.25">
      <c r="A3120" s="288" t="s">
        <v>2929</v>
      </c>
      <c r="B3120" s="241" t="str">
        <f>HYPERLINK(CONCATENATE($AT$3,BK3120,$AU$3),$AV$3)</f>
        <v>S</v>
      </c>
      <c r="C3120" s="242" t="str">
        <f>HYPERLINK(CONCATENATE($AT$4,BK3120,$AU$4,BL3120),$AV$4)</f>
        <v>A</v>
      </c>
      <c r="D3120" s="243" t="s">
        <v>5187</v>
      </c>
      <c r="E3120" s="244" t="s">
        <v>5186</v>
      </c>
      <c r="F3120" s="269"/>
      <c r="G3120" s="273">
        <v>4.5999999999999996</v>
      </c>
      <c r="H3120" s="283">
        <v>1080</v>
      </c>
      <c r="I3120" s="279">
        <v>1.5</v>
      </c>
      <c r="J3120" s="246">
        <v>3</v>
      </c>
      <c r="K3120" s="247" t="s">
        <v>9517</v>
      </c>
      <c r="L3120" s="248">
        <v>230215</v>
      </c>
      <c r="M3120" s="249">
        <f>15*(LEFT(TEXT($L3120,"000000"),2)+(MID(TEXT($L3120,"000000"),3,2)/60)+(RIGHT(TEXT($L3120,"000000"),2)/3600))</f>
        <v>345.5625</v>
      </c>
      <c r="N3120" s="250">
        <v>724305</v>
      </c>
      <c r="O3120" s="251">
        <f>IF($N3120&gt;0,(LEFT(TEXT($N3120,"000000"),2)+(MID(TEXT($N3120,"000000"),3,2)/60)+(RIGHT(TEXT($N3120,"000000"),2)/3600)),-(MID(TEXT($N3120,"000000"),2,2)+(MID(TEXT($N3120,"000000"),4,2)/60)+(RIGHT(TEXT($N3120,"000000"),2)/3600)))</f>
        <v>72.718055555555551</v>
      </c>
      <c r="P3120" s="252" t="s">
        <v>52</v>
      </c>
      <c r="Q3120" s="253"/>
      <c r="R3120" s="277"/>
      <c r="S3120" s="272" t="s">
        <v>3293</v>
      </c>
      <c r="T3120" s="273"/>
      <c r="U3120" s="274"/>
      <c r="V3120" s="280"/>
      <c r="W3120" s="244"/>
      <c r="X3120" s="244"/>
      <c r="Y3120" s="362"/>
      <c r="Z3120" s="257">
        <f>altaz(J2000_Bas,$O3120,$M3120,DecLat,DecLong,1)</f>
        <v>38.374409893057212</v>
      </c>
      <c r="AA3120" s="257">
        <f>altaz((J2000_Bas+(2*0.04167)),$O3120,$M3120,DecLat,DecLong,1)</f>
        <v>45.517916066569526</v>
      </c>
      <c r="AB3120" s="257">
        <f>altaz((J2000_Bas+(4*0.04167)),$O3120,$M3120,DecLat,DecLong,1)</f>
        <v>48.280705124854308</v>
      </c>
      <c r="AC3120" s="257">
        <f>altaz((J2000_Bas+(6*0.04167)),$O3120,$M3120,DecLat,DecLong,1)</f>
        <v>45.296390466322464</v>
      </c>
      <c r="AD3120" s="258">
        <f>1+ transit((J2000_Bas-1),$O3120,$M3120,DecLat,DecLong)/360 + (GMTOffset/24) + (IF(DST="Y", 1, 0)/24)</f>
        <v>1.952795697973458</v>
      </c>
      <c r="AE3120" s="259">
        <f>DATE(2001,9,21)+(M3120/360)*365 - (360*((DecLong/360)- (GMTOffset/24) ))</f>
        <v>37510.361979166664</v>
      </c>
      <c r="AF3120" s="260">
        <f>IF(DecLat&gt;0,IF((90 - (DecLat-O3120))&gt;90, (90 - (O3120-DecLat)), (90 - (DecLat-O3120))),IF((90 + (DecLat-O3120))&gt;90, (90 + (O3120-DecLat)), (90 + (DecLat-O3120))))</f>
        <v>48.281944444444449</v>
      </c>
      <c r="AG3120" s="257">
        <f>angularseperation(MoonRA,MoonDec,$M3120,$O3120)</f>
        <v>117.63659104971812</v>
      </c>
      <c r="AH3120" s="261">
        <f ca="1">MIN(100,IF($O$5&gt;80,0+30*($AG3120/100),IF($O$5&gt;70,0+50*($AG3120/100),IF($O$5&gt;60,5+50*($AG3120/100),IF($O$5&gt;50,10+60*($AG3120/100),IF($O$5&gt;40,15+70*($AG3120/100),IF($O$5&gt;30,20+70*($AG3120/100),IF($O$5&gt;20,40+55*($AG3120/100),(80+(20-$O$5)+30*($AG3120/100))))))))))</f>
        <v>100</v>
      </c>
      <c r="AI3120" s="263"/>
      <c r="AJ3120" s="263"/>
      <c r="AK3120" s="263"/>
      <c r="AL3120" s="263"/>
      <c r="AM3120" s="264"/>
      <c r="AN3120" s="263"/>
      <c r="AO3120" s="263"/>
      <c r="AP3120" s="265"/>
      <c r="AQ3120" s="265"/>
      <c r="AR3120" s="285"/>
      <c r="AS3120" s="263"/>
      <c r="AT3120" s="263"/>
      <c r="AU3120" s="263"/>
      <c r="AV3120" s="264"/>
      <c r="AW3120" s="263"/>
      <c r="AX3120" s="263"/>
      <c r="AY3120" s="263"/>
      <c r="AZ3120" s="263"/>
      <c r="BA3120" s="263"/>
      <c r="BB3120" s="263"/>
      <c r="BC3120" s="263"/>
      <c r="BD3120" s="264">
        <v>157</v>
      </c>
      <c r="BE3120" s="263"/>
      <c r="BF3120" s="263"/>
      <c r="BG3120" s="263"/>
      <c r="BH3120" s="263"/>
      <c r="BI3120" s="263"/>
      <c r="BJ3120" s="404">
        <f>altaz(J2000_Bas,$O3120,$M3120,DecLat,DecLong,2)</f>
        <v>19.068737469181286</v>
      </c>
      <c r="BK3120" s="378" t="s">
        <v>2929</v>
      </c>
      <c r="BL3120" s="379">
        <f>IF((2*G3120)/60&lt;0.2,0.2,(2*G3120)/60)</f>
        <v>0.2</v>
      </c>
      <c r="BM3120" s="380">
        <f>MOD((50000+AD3120-$B$3+(0/24)),1)</f>
        <v>0.16816262767679291</v>
      </c>
      <c r="BN3120" s="381"/>
      <c r="BO3120" s="382">
        <v>3110</v>
      </c>
    </row>
    <row r="3121" spans="1:67" s="24" customFormat="1" ht="16.5" customHeight="1" x14ac:dyDescent="0.25">
      <c r="A3121" s="288" t="s">
        <v>2930</v>
      </c>
      <c r="B3121" s="241" t="str">
        <f>HYPERLINK(CONCATENATE($AT$3,BK3121,$AU$3),$AV$3)</f>
        <v>S</v>
      </c>
      <c r="C3121" s="242" t="str">
        <f>HYPERLINK(CONCATENATE($AT$4,BK3121,$AU$4,BL3121),$AV$4)</f>
        <v>A</v>
      </c>
      <c r="D3121" s="243" t="s">
        <v>5187</v>
      </c>
      <c r="E3121" s="244" t="s">
        <v>5186</v>
      </c>
      <c r="F3121" s="269"/>
      <c r="G3121" s="273">
        <v>3.4</v>
      </c>
      <c r="H3121" s="283">
        <v>1380</v>
      </c>
      <c r="I3121" s="279">
        <v>1.4</v>
      </c>
      <c r="J3121" s="246">
        <v>3</v>
      </c>
      <c r="K3121" s="247" t="s">
        <v>9518</v>
      </c>
      <c r="L3121" s="248">
        <v>233750</v>
      </c>
      <c r="M3121" s="249">
        <f>15*(LEFT(TEXT($L3121,"000000"),2)+(MID(TEXT($L3121,"000000"),3,2)/60)+(RIGHT(TEXT($L3121,"000000"),2)/3600))</f>
        <v>354.45833333333337</v>
      </c>
      <c r="N3121" s="250">
        <v>482944</v>
      </c>
      <c r="O3121" s="251">
        <f>IF($N3121&gt;0,(LEFT(TEXT($N3121,"000000"),2)+(MID(TEXT($N3121,"000000"),3,2)/60)+(RIGHT(TEXT($N3121,"000000"),2)/3600)),-(MID(TEXT($N3121,"000000"),2,2)+(MID(TEXT($N3121,"000000"),4,2)/60)+(RIGHT(TEXT($N3121,"000000"),2)/3600)))</f>
        <v>48.495555555555555</v>
      </c>
      <c r="P3121" s="252" t="s">
        <v>36</v>
      </c>
      <c r="Q3121" s="253"/>
      <c r="R3121" s="247" t="s">
        <v>9547</v>
      </c>
      <c r="S3121" s="322" t="s">
        <v>2931</v>
      </c>
      <c r="T3121" s="273"/>
      <c r="U3121" s="274"/>
      <c r="V3121" s="280"/>
      <c r="W3121" s="244"/>
      <c r="X3121" s="244"/>
      <c r="Y3121" s="362"/>
      <c r="Z3121" s="257">
        <f>altaz(J2000_Bas,$O3121,$M3121,DecLat,DecLong,1)</f>
        <v>36.463101794332793</v>
      </c>
      <c r="AA3121" s="257">
        <f>altaz((J2000_Bas+(2*0.04167)),$O3121,$M3121,DecLat,DecLong,1)</f>
        <v>56.206755206063796</v>
      </c>
      <c r="AB3121" s="257">
        <f>altaz((J2000_Bas+(4*0.04167)),$O3121,$M3121,DecLat,DecLong,1)</f>
        <v>71.407433653341116</v>
      </c>
      <c r="AC3121" s="257">
        <f>altaz((J2000_Bas+(6*0.04167)),$O3121,$M3121,DecLat,DecLong,1)</f>
        <v>65.940980516805809</v>
      </c>
      <c r="AD3121" s="258">
        <f>1+ transit((J2000_Bas-1),$O3121,$M3121,DecLat,DecLong)/360 + (GMTOffset/24) + (IF(DST="Y", 1, 0)/24)</f>
        <v>1.9775063436505416</v>
      </c>
      <c r="AE3121" s="259">
        <f>DATE(2001,9,21)+(M3121/360)*365 - (360*((DecLong/360)- (GMTOffset/24) ))</f>
        <v>37519.381365740737</v>
      </c>
      <c r="AF3121" s="260">
        <f>IF(DecLat&gt;0,IF((90 - (DecLat-O3121))&gt;90, (90 - (O3121-DecLat)), (90 - (DecLat-O3121))),IF((90 + (DecLat-O3121))&gt;90, (90 + (O3121-DecLat)), (90 + (DecLat-O3121))))</f>
        <v>72.504444444444445</v>
      </c>
      <c r="AG3121" s="257">
        <f>angularseperation(MoonRA,MoonDec,$M3121,$O3121)</f>
        <v>119.72459053099368</v>
      </c>
      <c r="AH3121" s="261">
        <f ca="1">MIN(100,IF($O$5&gt;80,0+30*($AG3121/100),IF($O$5&gt;70,0+50*($AG3121/100),IF($O$5&gt;60,5+50*($AG3121/100),IF($O$5&gt;50,10+60*($AG3121/100),IF($O$5&gt;40,15+70*($AG3121/100),IF($O$5&gt;30,20+70*($AG3121/100),IF($O$5&gt;20,40+55*($AG3121/100),(80+(20-$O$5)+30*($AG3121/100))))))))))</f>
        <v>100</v>
      </c>
      <c r="AI3121" s="262"/>
      <c r="AJ3121" s="262"/>
      <c r="AK3121" s="262"/>
      <c r="AL3121" s="263"/>
      <c r="AM3121" s="264"/>
      <c r="AN3121" s="263"/>
      <c r="AO3121" s="263"/>
      <c r="AP3121" s="265"/>
      <c r="AQ3121" s="266"/>
      <c r="AR3121" s="267"/>
      <c r="AS3121" s="263"/>
      <c r="AT3121" s="263"/>
      <c r="AU3121" s="263"/>
      <c r="AV3121" s="264"/>
      <c r="AW3121" s="263"/>
      <c r="AX3121" s="263"/>
      <c r="AY3121" s="263"/>
      <c r="AZ3121" s="263"/>
      <c r="BA3121" s="263"/>
      <c r="BB3121" s="263"/>
      <c r="BC3121" s="263"/>
      <c r="BD3121" s="264">
        <v>158</v>
      </c>
      <c r="BE3121" s="263"/>
      <c r="BF3121" s="263"/>
      <c r="BG3121" s="263"/>
      <c r="BH3121" s="263"/>
      <c r="BI3121" s="263"/>
      <c r="BJ3121" s="404">
        <f>altaz(J2000_Bas,$O3121,$M3121,DecLat,DecLong,2)</f>
        <v>50.032823116544954</v>
      </c>
      <c r="BK3121" s="378" t="s">
        <v>2930</v>
      </c>
      <c r="BL3121" s="379">
        <f>IF((2*G3121)/60&lt;0.2,0.2,(2*G3121)/60)</f>
        <v>0.2</v>
      </c>
      <c r="BM3121" s="380">
        <f>MOD((50000+AD3121-$B$3+(0/24)),1)</f>
        <v>0.19287327335769078</v>
      </c>
      <c r="BN3121" s="381"/>
      <c r="BO3121" s="382">
        <v>3111</v>
      </c>
    </row>
    <row r="3122" spans="1:67" s="24" customFormat="1" ht="16.5" customHeight="1" x14ac:dyDescent="0.25">
      <c r="A3122" s="288" t="s">
        <v>2932</v>
      </c>
      <c r="B3122" s="241" t="str">
        <f>HYPERLINK(CONCATENATE($AT$3,BK3122,$AU$3),$AV$3)</f>
        <v>S</v>
      </c>
      <c r="C3122" s="242" t="str">
        <f>HYPERLINK(CONCATENATE($AT$4,BK3122,$AU$4,BL3122),$AV$4)</f>
        <v>A</v>
      </c>
      <c r="D3122" s="243" t="s">
        <v>5187</v>
      </c>
      <c r="E3122" s="244" t="s">
        <v>5186</v>
      </c>
      <c r="F3122" s="269"/>
      <c r="G3122" s="273">
        <v>5</v>
      </c>
      <c r="H3122" s="283">
        <v>1090</v>
      </c>
      <c r="I3122" s="279">
        <v>1.7</v>
      </c>
      <c r="J3122" s="246">
        <v>1</v>
      </c>
      <c r="K3122" s="247" t="s">
        <v>9519</v>
      </c>
      <c r="L3122" s="248">
        <v>235733</v>
      </c>
      <c r="M3122" s="249">
        <f>15*(LEFT(TEXT($L3122,"000000"),2)+(MID(TEXT($L3122,"000000"),3,2)/60)+(RIGHT(TEXT($L3122,"000000"),2)/3600))</f>
        <v>359.38749999999999</v>
      </c>
      <c r="N3122" s="286">
        <v>615929</v>
      </c>
      <c r="O3122" s="251">
        <f>IF($N3122&gt;0,(LEFT(TEXT($N3122,"000000"),2)+(MID(TEXT($N3122,"000000"),3,2)/60)+(RIGHT(TEXT($N3122,"000000"),2)/3600)),-(MID(TEXT($N3122,"000000"),2,2)+(MID(TEXT($N3122,"000000"),4,2)/60)+(RIGHT(TEXT($N3122,"000000"),2)/3600)))</f>
        <v>61.991388888888892</v>
      </c>
      <c r="P3122" s="252" t="s">
        <v>49</v>
      </c>
      <c r="Q3122" s="253"/>
      <c r="R3122" s="247" t="s">
        <v>3293</v>
      </c>
      <c r="S3122" s="272" t="s">
        <v>6461</v>
      </c>
      <c r="T3122" s="273"/>
      <c r="U3122" s="274"/>
      <c r="V3122" s="280"/>
      <c r="W3122" s="244"/>
      <c r="X3122" s="244"/>
      <c r="Y3122" s="362"/>
      <c r="Z3122" s="257">
        <f>altaz(J2000_Bas,$O3122,$M3122,DecLat,DecLong,1)</f>
        <v>34.737332779668129</v>
      </c>
      <c r="AA3122" s="257">
        <f>altaz((J2000_Bas+(2*0.04167)),$O3122,$M3122,DecLat,DecLong,1)</f>
        <v>48.388398358012729</v>
      </c>
      <c r="AB3122" s="257">
        <f>altaz((J2000_Bas+(4*0.04167)),$O3122,$M3122,DecLat,DecLong,1)</f>
        <v>57.84205729279752</v>
      </c>
      <c r="AC3122" s="257">
        <f>altaz((J2000_Bas+(6*0.04167)),$O3122,$M3122,DecLat,DecLong,1)</f>
        <v>57.132162892345519</v>
      </c>
      <c r="AD3122" s="258">
        <f>1+ transit((J2000_Bas-1),$O3122,$M3122,DecLat,DecLong)/360 + (GMTOffset/24) + (IF(DST="Y", 1, 0)/24)</f>
        <v>1.9911984719109579</v>
      </c>
      <c r="AE3122" s="259">
        <f>DATE(2001,9,21)+(M3122/360)*365 - (360*((DecLong/360)- (GMTOffset/24) ))</f>
        <v>37524.378993055558</v>
      </c>
      <c r="AF3122" s="260">
        <f>IF(DecLat&gt;0,IF((90 - (DecLat-O3122))&gt;90, (90 - (O3122-DecLat)), (90 - (DecLat-O3122))),IF((90 + (DecLat-O3122))&gt;90, (90 + (O3122-DecLat)), (90 + (DecLat-O3122))))</f>
        <v>59.008611111111108</v>
      </c>
      <c r="AG3122" s="257">
        <f>angularseperation(MoonRA,MoonDec,$M3122,$O3122)</f>
        <v>123.09103218521641</v>
      </c>
      <c r="AH3122" s="261">
        <f ca="1">MIN(100,IF($O$5&gt;80,0+30*($AG3122/100),IF($O$5&gt;70,0+50*($AG3122/100),IF($O$5&gt;60,5+50*($AG3122/100),IF($O$5&gt;50,10+60*($AG3122/100),IF($O$5&gt;40,15+70*($AG3122/100),IF($O$5&gt;30,20+70*($AG3122/100),IF($O$5&gt;20,40+55*($AG3122/100),(80+(20-$O$5)+30*($AG3122/100))))))))))</f>
        <v>100</v>
      </c>
      <c r="AI3122" s="262"/>
      <c r="AJ3122" s="262"/>
      <c r="AK3122" s="262"/>
      <c r="AL3122" s="263"/>
      <c r="AM3122" s="264"/>
      <c r="AN3122" s="263"/>
      <c r="AO3122" s="263"/>
      <c r="AP3122" s="265"/>
      <c r="AQ3122" s="266"/>
      <c r="AR3122" s="267"/>
      <c r="AS3122" s="263"/>
      <c r="AT3122" s="263"/>
      <c r="AU3122" s="263"/>
      <c r="AV3122" s="264"/>
      <c r="AW3122" s="263"/>
      <c r="AX3122" s="263"/>
      <c r="AY3122" s="263"/>
      <c r="AZ3122" s="263"/>
      <c r="BA3122" s="263"/>
      <c r="BB3122" s="263"/>
      <c r="BC3122" s="263"/>
      <c r="BD3122" s="264">
        <v>159</v>
      </c>
      <c r="BE3122" s="263"/>
      <c r="BF3122" s="263"/>
      <c r="BG3122" s="263"/>
      <c r="BH3122" s="263"/>
      <c r="BI3122" s="263"/>
      <c r="BJ3122" s="404">
        <f>altaz(J2000_Bas,$O3122,$M3122,DecLat,DecLong,2)</f>
        <v>33.202023749929161</v>
      </c>
      <c r="BK3122" s="378" t="s">
        <v>2932</v>
      </c>
      <c r="BL3122" s="379">
        <f>IF((2*G3122)/60&lt;0.2,0.2,(2*G3122)/60)</f>
        <v>0.2</v>
      </c>
      <c r="BM3122" s="380">
        <f>MOD((50000+AD3122-$B$3+(0/24)),1)</f>
        <v>0.20656540161144221</v>
      </c>
      <c r="BN3122" s="381"/>
      <c r="BO3122" s="382">
        <v>3112</v>
      </c>
    </row>
    <row r="3123" spans="1:67" s="24" customFormat="1" ht="16.5" customHeight="1" x14ac:dyDescent="0.25">
      <c r="A3123" s="288" t="s">
        <v>2934</v>
      </c>
      <c r="B3123" s="241"/>
      <c r="C3123" s="242" t="str">
        <f>HYPERLINK(CONCATENATE($AT$4,BK3123,$AU$4,BL3123),$AV$4)</f>
        <v>A</v>
      </c>
      <c r="D3123" s="243" t="s">
        <v>5187</v>
      </c>
      <c r="E3123" s="244" t="s">
        <v>16</v>
      </c>
      <c r="F3123" s="269"/>
      <c r="G3123" s="276">
        <v>60</v>
      </c>
      <c r="H3123" s="283">
        <v>800</v>
      </c>
      <c r="I3123" s="246">
        <v>15</v>
      </c>
      <c r="J3123" s="246">
        <v>4</v>
      </c>
      <c r="K3123" s="247" t="s">
        <v>5305</v>
      </c>
      <c r="L3123" s="248">
        <v>83739</v>
      </c>
      <c r="M3123" s="249">
        <f>15*(LEFT(TEXT($L3123,"000000"),2)+(MID(TEXT($L3123,"000000"),3,2)/60)+(RIGHT(TEXT($L3123,"000000"),2)/3600))</f>
        <v>129.41250000000002</v>
      </c>
      <c r="N3123" s="250">
        <v>-425921</v>
      </c>
      <c r="O3123" s="251">
        <f>IF($N3123&gt;0,(LEFT(TEXT($N3123,"000000"),2)+(MID(TEXT($N3123,"000000"),3,2)/60)+(RIGHT(TEXT($N3123,"000000"),2)/3600)),-(MID(TEXT($N3123,"000000"),2,2)+(MID(TEXT($N3123,"000000"),4,2)/60)+(RIGHT(TEXT($N3123,"000000"),2)/3600)))</f>
        <v>-42.989166666666669</v>
      </c>
      <c r="P3123" s="252" t="s">
        <v>980</v>
      </c>
      <c r="Q3123" s="253" t="s">
        <v>7164</v>
      </c>
      <c r="R3123" s="247" t="s">
        <v>3293</v>
      </c>
      <c r="S3123" s="272" t="s">
        <v>3293</v>
      </c>
      <c r="T3123" s="273"/>
      <c r="U3123" s="274"/>
      <c r="V3123" s="280"/>
      <c r="W3123" s="244"/>
      <c r="X3123" s="244"/>
      <c r="Y3123" s="362"/>
      <c r="Z3123" s="257">
        <f>altaz(J2000_Bas,$O3123,$M3123,DecLat,DecLong,1)</f>
        <v>-67.9071968425839</v>
      </c>
      <c r="AA3123" s="257">
        <f>altaz((J2000_Bas+(2*0.04167)),$O3123,$M3123,DecLat,DecLong,1)</f>
        <v>-76.890190843797612</v>
      </c>
      <c r="AB3123" s="257">
        <f>altaz((J2000_Bas+(4*0.04167)),$O3123,$M3123,DecLat,DecLong,1)</f>
        <v>-58.595744522260397</v>
      </c>
      <c r="AC3123" s="257">
        <f>altaz((J2000_Bas+(6*0.04167)),$O3123,$M3123,DecLat,DecLong,1)</f>
        <v>-36.708668516505476</v>
      </c>
      <c r="AD3123" s="258">
        <f>1+ transit((J2000_Bas-1),$O3123,$M3123,DecLat,DecLong)/360 + (GMTOffset/24) + (IF(DST="Y", 1, 0)/24)</f>
        <v>1.3523790913484579</v>
      </c>
      <c r="AE3123" s="259">
        <f>DATE(2001,9,21)+(M3123/360)*365 - (360*((DecLong/360)- (GMTOffset/24) ))</f>
        <v>37291.20989583333</v>
      </c>
      <c r="AF3123" s="260">
        <f>IF(DecLat&gt;0,IF((90 - (DecLat-O3123))&gt;90, (90 - (O3123-DecLat)), (90 - (DecLat-O3123))),IF((90 + (DecLat-O3123))&gt;90, (90 + (O3123-DecLat)), (90 + (DecLat-O3123))))</f>
        <v>16.010833333333323</v>
      </c>
      <c r="AG3123" s="257">
        <f>angularseperation(MoonRA,MoonDec,$M3123,$O3123)</f>
        <v>90.773734850145786</v>
      </c>
      <c r="AH3123" s="261">
        <f ca="1">MIN(100,IF($O$5&gt;80,0+30*($AG3123/100),IF($O$5&gt;70,0+50*($AG3123/100),IF($O$5&gt;60,5+50*($AG3123/100),IF($O$5&gt;50,10+60*($AG3123/100),IF($O$5&gt;40,15+70*($AG3123/100),IF($O$5&gt;30,20+70*($AG3123/100),IF($O$5&gt;20,40+55*($AG3123/100),(80+(20-$O$5)+30*($AG3123/100))))))))))</f>
        <v>100</v>
      </c>
      <c r="AI3123" s="262"/>
      <c r="AJ3123" s="262"/>
      <c r="AK3123" s="262"/>
      <c r="AL3123" s="263"/>
      <c r="AM3123" s="264"/>
      <c r="AN3123" s="263"/>
      <c r="AO3123" s="263"/>
      <c r="AP3123" s="265"/>
      <c r="AQ3123" s="266"/>
      <c r="AR3123" s="267"/>
      <c r="AS3123" s="263"/>
      <c r="AT3123" s="263"/>
      <c r="AU3123" s="263"/>
      <c r="AV3123" s="264"/>
      <c r="AW3123" s="263"/>
      <c r="AX3123" s="263"/>
      <c r="AY3123" s="263"/>
      <c r="AZ3123" s="263"/>
      <c r="BA3123" s="263"/>
      <c r="BB3123" s="263"/>
      <c r="BC3123" s="268" t="s">
        <v>3055</v>
      </c>
      <c r="BD3123" s="264"/>
      <c r="BE3123" s="263"/>
      <c r="BF3123" s="263"/>
      <c r="BG3123" s="263">
        <v>45</v>
      </c>
      <c r="BH3123" s="263"/>
      <c r="BI3123" s="263"/>
      <c r="BJ3123" s="404">
        <f>altaz(J2000_Bas,$O3123,$M3123,DecLat,DecLong,2)</f>
        <v>230.597906393279</v>
      </c>
      <c r="BK3123" s="378" t="s">
        <v>6478</v>
      </c>
      <c r="BL3123" s="379">
        <f>IF((2*G3123)/60&lt;0.2,0.2,(2*G3123)/60)</f>
        <v>2</v>
      </c>
      <c r="BM3123" s="380">
        <f>MOD((50000+AD3123-$B$3+(0/24)),1)</f>
        <v>0.5677460210499703</v>
      </c>
      <c r="BN3123" s="381"/>
      <c r="BO3123" s="382">
        <v>3113</v>
      </c>
    </row>
    <row r="3124" spans="1:67" s="24" customFormat="1" ht="16.5" customHeight="1" x14ac:dyDescent="0.25">
      <c r="A3124" s="288" t="s">
        <v>2935</v>
      </c>
      <c r="B3124" s="241"/>
      <c r="C3124" s="242" t="str">
        <f>HYPERLINK(CONCATENATE($AT$4,BK3124,$AU$4,BL3124),$AV$4)</f>
        <v>A</v>
      </c>
      <c r="D3124" s="243" t="s">
        <v>5187</v>
      </c>
      <c r="E3124" s="244" t="s">
        <v>16</v>
      </c>
      <c r="F3124" s="269"/>
      <c r="G3124" s="276">
        <v>80</v>
      </c>
      <c r="H3124" s="283">
        <v>800</v>
      </c>
      <c r="I3124" s="246">
        <v>20</v>
      </c>
      <c r="J3124" s="246">
        <v>4</v>
      </c>
      <c r="K3124" s="247" t="s">
        <v>6496</v>
      </c>
      <c r="L3124" s="248">
        <v>83000</v>
      </c>
      <c r="M3124" s="249">
        <f>15*(LEFT(TEXT($L3124,"000000"),2)+(MID(TEXT($L3124,"000000"),3,2)/60)+(RIGHT(TEXT($L3124,"000000"),2)/3600))</f>
        <v>127.5</v>
      </c>
      <c r="N3124" s="250">
        <v>-445818</v>
      </c>
      <c r="O3124" s="251">
        <f>IF($N3124&gt;0,(LEFT(TEXT($N3124,"000000"),2)+(MID(TEXT($N3124,"000000"),3,2)/60)+(RIGHT(TEXT($N3124,"000000"),2)/3600)),-(MID(TEXT($N3124,"000000"),2,2)+(MID(TEXT($N3124,"000000"),4,2)/60)+(RIGHT(TEXT($N3124,"000000"),2)/3600)))</f>
        <v>-44.971666666666671</v>
      </c>
      <c r="P3124" s="252" t="s">
        <v>980</v>
      </c>
      <c r="Q3124" s="253" t="s">
        <v>7165</v>
      </c>
      <c r="R3124" s="247" t="s">
        <v>3293</v>
      </c>
      <c r="S3124" s="272" t="s">
        <v>3293</v>
      </c>
      <c r="T3124" s="273"/>
      <c r="U3124" s="274"/>
      <c r="V3124" s="280"/>
      <c r="W3124" s="244"/>
      <c r="X3124" s="244"/>
      <c r="Y3124" s="362"/>
      <c r="Z3124" s="257">
        <f>altaz(J2000_Bas,$O3124,$M3124,DecLat,DecLong,1)</f>
        <v>-68.16057249288103</v>
      </c>
      <c r="AA3124" s="257">
        <f>altaz((J2000_Bas+(2*0.04167)),$O3124,$M3124,DecLat,DecLong,1)</f>
        <v>-74.49718104020171</v>
      </c>
      <c r="AB3124" s="257">
        <f>altaz((J2000_Bas+(4*0.04167)),$O3124,$M3124,DecLat,DecLong,1)</f>
        <v>-56.872184473013164</v>
      </c>
      <c r="AC3124" s="257">
        <f>altaz((J2000_Bas+(6*0.04167)),$O3124,$M3124,DecLat,DecLong,1)</f>
        <v>-35.713358605055355</v>
      </c>
      <c r="AD3124" s="258">
        <f>1+ transit((J2000_Bas-1),$O3124,$M3124,DecLat,DecLong)/360 + (GMTOffset/24) + (IF(DST="Y", 1, 0)/24)</f>
        <v>1.347066591879708</v>
      </c>
      <c r="AE3124" s="259">
        <f>DATE(2001,9,21)+(M3124/360)*365 - (360*((DecLong/360)- (GMTOffset/24) ))</f>
        <v>37289.270833333336</v>
      </c>
      <c r="AF3124" s="260">
        <f>IF(DecLat&gt;0,IF((90 - (DecLat-O3124))&gt;90, (90 - (O3124-DecLat)), (90 - (DecLat-O3124))),IF((90 + (DecLat-O3124))&gt;90, (90 + (O3124-DecLat)), (90 + (DecLat-O3124))))</f>
        <v>14.028333333333336</v>
      </c>
      <c r="AG3124" s="257">
        <f>angularseperation(MoonRA,MoonDec,$M3124,$O3124)</f>
        <v>90.549424609001818</v>
      </c>
      <c r="AH3124" s="261">
        <f ca="1">MIN(100,IF($O$5&gt;80,0+30*($AG3124/100),IF($O$5&gt;70,0+50*($AG3124/100),IF($O$5&gt;60,5+50*($AG3124/100),IF($O$5&gt;50,10+60*($AG3124/100),IF($O$5&gt;40,15+70*($AG3124/100),IF($O$5&gt;30,20+70*($AG3124/100),IF($O$5&gt;20,40+55*($AG3124/100),(80+(20-$O$5)+30*($AG3124/100))))))))))</f>
        <v>100</v>
      </c>
      <c r="AI3124" s="262"/>
      <c r="AJ3124" s="262"/>
      <c r="AK3124" s="262"/>
      <c r="AL3124" s="263"/>
      <c r="AM3124" s="264"/>
      <c r="AN3124" s="263"/>
      <c r="AO3124" s="263"/>
      <c r="AP3124" s="265"/>
      <c r="AQ3124" s="266"/>
      <c r="AR3124" s="267"/>
      <c r="AS3124" s="263"/>
      <c r="AT3124" s="263"/>
      <c r="AU3124" s="263"/>
      <c r="AV3124" s="264"/>
      <c r="AW3124" s="263"/>
      <c r="AX3124" s="263"/>
      <c r="AY3124" s="263"/>
      <c r="AZ3124" s="263"/>
      <c r="BA3124" s="263"/>
      <c r="BB3124" s="263"/>
      <c r="BC3124" s="268" t="s">
        <v>3054</v>
      </c>
      <c r="BD3124" s="264"/>
      <c r="BE3124" s="263"/>
      <c r="BF3124" s="263"/>
      <c r="BG3124" s="263"/>
      <c r="BH3124" s="263"/>
      <c r="BI3124" s="263"/>
      <c r="BJ3124" s="404">
        <f>altaz(J2000_Bas,$O3124,$M3124,DecLat,DecLong,2)</f>
        <v>224.17924496142535</v>
      </c>
      <c r="BK3124" s="378" t="s">
        <v>6477</v>
      </c>
      <c r="BL3124" s="379">
        <f>IF((2*G3124)/60&lt;0.2,0.2,(2*G3124)/60)</f>
        <v>2.6666666666666665</v>
      </c>
      <c r="BM3124" s="380">
        <f>MOD((50000+AD3124-$B$3+(0/24)),1)</f>
        <v>0.56243352158344351</v>
      </c>
      <c r="BN3124" s="381"/>
      <c r="BO3124" s="382">
        <v>3114</v>
      </c>
    </row>
    <row r="3125" spans="1:67" s="24" customFormat="1" ht="16.5" customHeight="1" x14ac:dyDescent="0.25">
      <c r="A3125" s="288" t="s">
        <v>2937</v>
      </c>
      <c r="B3125" s="241" t="str">
        <f>HYPERLINK(CONCATENATE($AT$3,BK3125,$AU$3),$AV$3)</f>
        <v>S</v>
      </c>
      <c r="C3125" s="242" t="str">
        <f>HYPERLINK(CONCATENATE($AT$4,BK3125,$AU$4,BL3125),$AV$4)</f>
        <v>A</v>
      </c>
      <c r="D3125" s="243" t="s">
        <v>5187</v>
      </c>
      <c r="E3125" s="244" t="s">
        <v>16</v>
      </c>
      <c r="F3125" s="269"/>
      <c r="G3125" s="276">
        <v>300</v>
      </c>
      <c r="H3125" s="283">
        <v>800</v>
      </c>
      <c r="I3125" s="246">
        <v>70</v>
      </c>
      <c r="J3125" s="246">
        <v>5</v>
      </c>
      <c r="K3125" s="247" t="s">
        <v>6495</v>
      </c>
      <c r="L3125" s="248">
        <v>84002</v>
      </c>
      <c r="M3125" s="249">
        <f>15*(LEFT(TEXT($L3125,"000000"),2)+(MID(TEXT($L3125,"000000"),3,2)/60)+(RIGHT(TEXT($L3125,"000000"),2)/3600))</f>
        <v>130.00833333333333</v>
      </c>
      <c r="N3125" s="250">
        <v>-445655</v>
      </c>
      <c r="O3125" s="251">
        <f>IF($N3125&gt;0,(LEFT(TEXT($N3125,"000000"),2)+(MID(TEXT($N3125,"000000"),3,2)/60)+(RIGHT(TEXT($N3125,"000000"),2)/3600)),-(MID(TEXT($N3125,"000000"),2,2)+(MID(TEXT($N3125,"000000"),4,2)/60)+(RIGHT(TEXT($N3125,"000000"),2)/3600)))</f>
        <v>-44.948611111111106</v>
      </c>
      <c r="P3125" s="252" t="s">
        <v>980</v>
      </c>
      <c r="Q3125" s="253" t="s">
        <v>2937</v>
      </c>
      <c r="R3125" s="247" t="s">
        <v>3293</v>
      </c>
      <c r="S3125" s="272" t="s">
        <v>3293</v>
      </c>
      <c r="T3125" s="273"/>
      <c r="U3125" s="274"/>
      <c r="V3125" s="280"/>
      <c r="W3125" s="244"/>
      <c r="X3125" s="244"/>
      <c r="Y3125" s="362"/>
      <c r="Z3125" s="257">
        <f>altaz(J2000_Bas,$O3125,$M3125,DecLat,DecLong,1)</f>
        <v>-66.641190501393666</v>
      </c>
      <c r="AA3125" s="257">
        <f>altaz((J2000_Bas+(2*0.04167)),$O3125,$M3125,DecLat,DecLong,1)</f>
        <v>-75.262438395949829</v>
      </c>
      <c r="AB3125" s="257">
        <f>altaz((J2000_Bas+(4*0.04167)),$O3125,$M3125,DecLat,DecLong,1)</f>
        <v>-58.609069454632284</v>
      </c>
      <c r="AC3125" s="257">
        <f>altaz((J2000_Bas+(6*0.04167)),$O3125,$M3125,DecLat,DecLong,1)</f>
        <v>-37.459998625250613</v>
      </c>
      <c r="AD3125" s="258">
        <f>1+ transit((J2000_Bas-1),$O3125,$M3125,DecLat,DecLong)/360 + (GMTOffset/24) + (IF(DST="Y", 1, 0)/24)</f>
        <v>1.3540341837755412</v>
      </c>
      <c r="AE3125" s="259">
        <f>DATE(2001,9,21)+(M3125/360)*365 - (360*((DecLong/360)- (GMTOffset/24) ))</f>
        <v>37291.814004629632</v>
      </c>
      <c r="AF3125" s="260">
        <f>IF(DecLat&gt;0,IF((90 - (DecLat-O3125))&gt;90, (90 - (O3125-DecLat)), (90 - (DecLat-O3125))),IF((90 + (DecLat-O3125))&gt;90, (90 + (O3125-DecLat)), (90 + (DecLat-O3125))))</f>
        <v>14.051388888888894</v>
      </c>
      <c r="AG3125" s="257">
        <f>angularseperation(MoonRA,MoonDec,$M3125,$O3125)</f>
        <v>89.202517367154314</v>
      </c>
      <c r="AH3125" s="261">
        <f ca="1">MIN(100,IF($O$5&gt;80,0+30*($AG3125/100),IF($O$5&gt;70,0+50*($AG3125/100),IF($O$5&gt;60,5+50*($AG3125/100),IF($O$5&gt;50,10+60*($AG3125/100),IF($O$5&gt;40,15+70*($AG3125/100),IF($O$5&gt;30,20+70*($AG3125/100),IF($O$5&gt;20,40+55*($AG3125/100),(80+(20-$O$5)+30*($AG3125/100))))))))))</f>
        <v>100</v>
      </c>
      <c r="AI3125" s="262"/>
      <c r="AJ3125" s="262"/>
      <c r="AK3125" s="262"/>
      <c r="AL3125" s="263"/>
      <c r="AM3125" s="264"/>
      <c r="AN3125" s="263"/>
      <c r="AO3125" s="263"/>
      <c r="AP3125" s="265"/>
      <c r="AQ3125" s="266"/>
      <c r="AR3125" s="267"/>
      <c r="AS3125" s="263"/>
      <c r="AT3125" s="263"/>
      <c r="AU3125" s="263"/>
      <c r="AV3125" s="264"/>
      <c r="AW3125" s="263"/>
      <c r="AX3125" s="263"/>
      <c r="AY3125" s="263"/>
      <c r="AZ3125" s="263"/>
      <c r="BA3125" s="263"/>
      <c r="BB3125" s="263"/>
      <c r="BC3125" s="268" t="s">
        <v>3056</v>
      </c>
      <c r="BD3125" s="264"/>
      <c r="BE3125" s="263"/>
      <c r="BF3125" s="263"/>
      <c r="BG3125" s="263"/>
      <c r="BH3125" s="263"/>
      <c r="BI3125" s="263">
        <v>59</v>
      </c>
      <c r="BJ3125" s="404">
        <f>altaz(J2000_Bas,$O3125,$M3125,DecLat,DecLong,2)</f>
        <v>226.5685302166502</v>
      </c>
      <c r="BK3125" s="378" t="s">
        <v>6462</v>
      </c>
      <c r="BL3125" s="379">
        <f>IF((2*G3125)/60&lt;0.2,0.2,(2*G3125)/60)</f>
        <v>10</v>
      </c>
      <c r="BM3125" s="380">
        <f>MOD((50000+AD3125-$B$3+(0/24)),1)</f>
        <v>0.56940111347648781</v>
      </c>
      <c r="BN3125" s="381"/>
      <c r="BO3125" s="382">
        <v>3115</v>
      </c>
    </row>
    <row r="3126" spans="1:67" s="24" customFormat="1" ht="16.5" customHeight="1" x14ac:dyDescent="0.25">
      <c r="A3126" s="288" t="s">
        <v>2936</v>
      </c>
      <c r="B3126" s="241"/>
      <c r="C3126" s="242" t="str">
        <f>HYPERLINK(CONCATENATE($AT$4,BK3126,$AU$4,BL3126),$AV$4)</f>
        <v>A</v>
      </c>
      <c r="D3126" s="243" t="s">
        <v>5187</v>
      </c>
      <c r="E3126" s="244" t="s">
        <v>16</v>
      </c>
      <c r="F3126" s="269"/>
      <c r="G3126" s="276">
        <v>60</v>
      </c>
      <c r="H3126" s="283">
        <v>800</v>
      </c>
      <c r="I3126" s="246">
        <v>15</v>
      </c>
      <c r="J3126" s="246">
        <v>4</v>
      </c>
      <c r="K3126" s="247" t="s">
        <v>6497</v>
      </c>
      <c r="L3126" s="248">
        <v>85421</v>
      </c>
      <c r="M3126" s="249">
        <f>15*(LEFT(TEXT($L3126,"000000"),2)+(MID(TEXT($L3126,"000000"),3,2)/60)+(RIGHT(TEXT($L3126,"000000"),2)/3600))</f>
        <v>133.58750000000001</v>
      </c>
      <c r="N3126" s="250">
        <v>-435043</v>
      </c>
      <c r="O3126" s="251">
        <f>IF($N3126&gt;0,(LEFT(TEXT($N3126,"000000"),2)+(MID(TEXT($N3126,"000000"),3,2)/60)+(RIGHT(TEXT($N3126,"000000"),2)/3600)),-(MID(TEXT($N3126,"000000"),2,2)+(MID(TEXT($N3126,"000000"),4,2)/60)+(RIGHT(TEXT($N3126,"000000"),2)/3600)))</f>
        <v>-43.845277777777781</v>
      </c>
      <c r="P3126" s="252" t="s">
        <v>980</v>
      </c>
      <c r="Q3126" s="253" t="s">
        <v>7166</v>
      </c>
      <c r="R3126" s="247" t="s">
        <v>3293</v>
      </c>
      <c r="S3126" s="272" t="s">
        <v>3293</v>
      </c>
      <c r="T3126" s="273"/>
      <c r="U3126" s="274"/>
      <c r="V3126" s="280"/>
      <c r="W3126" s="244"/>
      <c r="X3126" s="244"/>
      <c r="Y3126" s="362"/>
      <c r="Z3126" s="257">
        <f>altaz(J2000_Bas,$O3126,$M3126,DecLat,DecLong,1)</f>
        <v>-64.782988444303271</v>
      </c>
      <c r="AA3126" s="257">
        <f>altaz((J2000_Bas+(2*0.04167)),$O3126,$M3126,DecLat,DecLong,1)</f>
        <v>-77.003992427314813</v>
      </c>
      <c r="AB3126" s="257">
        <f>altaz((J2000_Bas+(4*0.04167)),$O3126,$M3126,DecLat,DecLong,1)</f>
        <v>-61.362531698211761</v>
      </c>
      <c r="AC3126" s="257">
        <f>altaz((J2000_Bas+(6*0.04167)),$O3126,$M3126,DecLat,DecLong,1)</f>
        <v>-39.837357750629032</v>
      </c>
      <c r="AD3126" s="258">
        <f>1+ transit((J2000_Bas-1),$O3126,$M3126,DecLat,DecLong)/360 + (GMTOffset/24) + (IF(DST="Y", 1, 0)/24)</f>
        <v>1.3639763124109581</v>
      </c>
      <c r="AE3126" s="259">
        <f>DATE(2001,9,21)+(M3126/360)*365 - (360*((DecLong/360)- (GMTOffset/24) ))</f>
        <v>37295.442881944444</v>
      </c>
      <c r="AF3126" s="260">
        <f>IF(DecLat&gt;0,IF((90 - (DecLat-O3126))&gt;90, (90 - (O3126-DecLat)), (90 - (DecLat-O3126))),IF((90 + (DecLat-O3126))&gt;90, (90 + (O3126-DecLat)), (90 + (DecLat-O3126))))</f>
        <v>15.154722222222219</v>
      </c>
      <c r="AG3126" s="257">
        <f>angularseperation(MoonRA,MoonDec,$M3126,$O3126)</f>
        <v>87.857311826381491</v>
      </c>
      <c r="AH3126" s="261">
        <f ca="1">MIN(100,IF($O$5&gt;80,0+30*($AG3126/100),IF($O$5&gt;70,0+50*($AG3126/100),IF($O$5&gt;60,5+50*($AG3126/100),IF($O$5&gt;50,10+60*($AG3126/100),IF($O$5&gt;40,15+70*($AG3126/100),IF($O$5&gt;30,20+70*($AG3126/100),IF($O$5&gt;20,40+55*($AG3126/100),(80+(20-$O$5)+30*($AG3126/100))))))))))</f>
        <v>100</v>
      </c>
      <c r="AI3126" s="262"/>
      <c r="AJ3126" s="262"/>
      <c r="AK3126" s="262"/>
      <c r="AL3126" s="263"/>
      <c r="AM3126" s="264"/>
      <c r="AN3126" s="263"/>
      <c r="AO3126" s="263"/>
      <c r="AP3126" s="265"/>
      <c r="AQ3126" s="266"/>
      <c r="AR3126" s="267"/>
      <c r="AS3126" s="263"/>
      <c r="AT3126" s="263"/>
      <c r="AU3126" s="263"/>
      <c r="AV3126" s="264"/>
      <c r="AW3126" s="263"/>
      <c r="AX3126" s="263"/>
      <c r="AY3126" s="263"/>
      <c r="AZ3126" s="263"/>
      <c r="BA3126" s="263"/>
      <c r="BB3126" s="263"/>
      <c r="BC3126" s="268" t="s">
        <v>3057</v>
      </c>
      <c r="BD3126" s="264"/>
      <c r="BE3126" s="263"/>
      <c r="BF3126" s="263"/>
      <c r="BG3126" s="263">
        <v>46</v>
      </c>
      <c r="BH3126" s="263"/>
      <c r="BI3126" s="263"/>
      <c r="BJ3126" s="404">
        <f>altaz(J2000_Bas,$O3126,$M3126,DecLat,DecLong,2)</f>
        <v>231.61633116275303</v>
      </c>
      <c r="BK3126" s="378" t="s">
        <v>6480</v>
      </c>
      <c r="BL3126" s="379">
        <f>IF((2*G3126)/60&lt;0.2,0.2,(2*G3126)/60)</f>
        <v>2</v>
      </c>
      <c r="BM3126" s="380">
        <f>MOD((50000+AD3126-$B$3+(0/24)),1)</f>
        <v>0.57934324211237254</v>
      </c>
      <c r="BN3126" s="381"/>
      <c r="BO3126" s="382">
        <v>3116</v>
      </c>
    </row>
    <row r="3127" spans="1:67" s="24" customFormat="1" ht="16.5" customHeight="1" x14ac:dyDescent="0.25">
      <c r="A3127" s="288" t="s">
        <v>6492</v>
      </c>
      <c r="B3127" s="241"/>
      <c r="C3127" s="242" t="str">
        <f>HYPERLINK(CONCATENATE($AT$4,BK3127,$AU$4,BL3127),$AV$4)</f>
        <v>A</v>
      </c>
      <c r="D3127" s="243" t="s">
        <v>5187</v>
      </c>
      <c r="E3127" s="244" t="s">
        <v>16</v>
      </c>
      <c r="F3127" s="269"/>
      <c r="G3127" s="276">
        <v>80</v>
      </c>
      <c r="H3127" s="283">
        <v>800</v>
      </c>
      <c r="I3127" s="246">
        <v>20</v>
      </c>
      <c r="J3127" s="246">
        <v>4</v>
      </c>
      <c r="K3127" s="247" t="s">
        <v>6494</v>
      </c>
      <c r="L3127" s="248">
        <v>84400</v>
      </c>
      <c r="M3127" s="249">
        <f>15*(LEFT(TEXT($L3127,"000000"),2)+(MID(TEXT($L3127,"000000"),3,2)/60)+(RIGHT(TEXT($L3127,"000000"),2)/3600))</f>
        <v>131</v>
      </c>
      <c r="N3127" s="250">
        <v>-445619</v>
      </c>
      <c r="O3127" s="251">
        <f>IF($N3127&gt;0,(LEFT(TEXT($N3127,"000000"),2)+(MID(TEXT($N3127,"000000"),3,2)/60)+(RIGHT(TEXT($N3127,"000000"),2)/3600)),-(MID(TEXT($N3127,"000000"),2,2)+(MID(TEXT($N3127,"000000"),4,2)/60)+(RIGHT(TEXT($N3127,"000000"),2)/3600)))</f>
        <v>-44.938611111111108</v>
      </c>
      <c r="P3127" s="252" t="s">
        <v>980</v>
      </c>
      <c r="Q3127" s="253" t="s">
        <v>7167</v>
      </c>
      <c r="R3127" s="247" t="s">
        <v>3293</v>
      </c>
      <c r="S3127" s="272" t="s">
        <v>6493</v>
      </c>
      <c r="T3127" s="273"/>
      <c r="U3127" s="274"/>
      <c r="V3127" s="280"/>
      <c r="W3127" s="244"/>
      <c r="X3127" s="244"/>
      <c r="Y3127" s="362"/>
      <c r="Z3127" s="257">
        <f>altaz(J2000_Bas,$O3127,$M3127,DecLat,DecLong,1)</f>
        <v>-66.024266690673628</v>
      </c>
      <c r="AA3127" s="257">
        <f>altaz((J2000_Bas+(2*0.04167)),$O3127,$M3127,DecLat,DecLong,1)</f>
        <v>-75.503817599710572</v>
      </c>
      <c r="AB3127" s="257">
        <f>altaz((J2000_Bas+(4*0.04167)),$O3127,$M3127,DecLat,DecLong,1)</f>
        <v>-59.291688908020205</v>
      </c>
      <c r="AC3127" s="257">
        <f>altaz((J2000_Bas+(6*0.04167)),$O3127,$M3127,DecLat,DecLong,1)</f>
        <v>-38.152843908302877</v>
      </c>
      <c r="AD3127" s="258">
        <f>1+ transit((J2000_Bas-1),$O3127,$M3127,DecLat,DecLong)/360 + (GMTOffset/24) + (IF(DST="Y", 1, 0)/24)</f>
        <v>1.3567888131297081</v>
      </c>
      <c r="AE3127" s="259">
        <f>DATE(2001,9,21)+(M3127/360)*365 - (360*((DecLong/360)- (GMTOffset/24) ))</f>
        <v>37292.819444444445</v>
      </c>
      <c r="AF3127" s="260">
        <f>IF(DecLat&gt;0,IF((90 - (DecLat-O3127))&gt;90, (90 - (O3127-DecLat)), (90 - (DecLat-O3127))),IF((90 + (DecLat-O3127))&gt;90, (90 + (O3127-DecLat)), (90 + (DecLat-O3127))))</f>
        <v>14.061388888888899</v>
      </c>
      <c r="AG3127" s="257">
        <f>angularseperation(MoonRA,MoonDec,$M3127,$O3127)</f>
        <v>88.660714996211055</v>
      </c>
      <c r="AH3127" s="261">
        <f ca="1">MIN(100,IF($O$5&gt;80,0+30*($AG3127/100),IF($O$5&gt;70,0+50*($AG3127/100),IF($O$5&gt;60,5+50*($AG3127/100),IF($O$5&gt;50,10+60*($AG3127/100),IF($O$5&gt;40,15+70*($AG3127/100),IF($O$5&gt;30,20+70*($AG3127/100),IF($O$5&gt;20,40+55*($AG3127/100),(80+(20-$O$5)+30*($AG3127/100))))))))))</f>
        <v>100</v>
      </c>
      <c r="AI3127" s="262"/>
      <c r="AJ3127" s="262"/>
      <c r="AK3127" s="262"/>
      <c r="AL3127" s="263"/>
      <c r="AM3127" s="264"/>
      <c r="AN3127" s="263"/>
      <c r="AO3127" s="263"/>
      <c r="AP3127" s="265"/>
      <c r="AQ3127" s="266"/>
      <c r="AR3127" s="267"/>
      <c r="AS3127" s="263"/>
      <c r="AT3127" s="263"/>
      <c r="AU3127" s="263"/>
      <c r="AV3127" s="264"/>
      <c r="AW3127" s="263"/>
      <c r="AX3127" s="263"/>
      <c r="AY3127" s="263"/>
      <c r="AZ3127" s="263"/>
      <c r="BA3127" s="263"/>
      <c r="BB3127" s="263"/>
      <c r="BC3127" s="268" t="s">
        <v>3056</v>
      </c>
      <c r="BD3127" s="264"/>
      <c r="BE3127" s="263"/>
      <c r="BF3127" s="263"/>
      <c r="BG3127" s="263"/>
      <c r="BH3127" s="263"/>
      <c r="BI3127" s="263"/>
      <c r="BJ3127" s="404">
        <f>altaz(J2000_Bas,$O3127,$M3127,DecLat,DecLong,2)</f>
        <v>227.40291947172835</v>
      </c>
      <c r="BK3127" s="378" t="s">
        <v>6479</v>
      </c>
      <c r="BL3127" s="379">
        <f>IF((2*G3127)/60&lt;0.2,0.2,(2*G3127)/60)</f>
        <v>2.6666666666666665</v>
      </c>
      <c r="BM3127" s="380">
        <f>MOD((50000+AD3127-$B$3+(0/24)),1)</f>
        <v>0.57215574283327442</v>
      </c>
      <c r="BN3127" s="381"/>
      <c r="BO3127" s="382">
        <v>3117</v>
      </c>
    </row>
    <row r="3128" spans="1:67" s="24" customFormat="1" ht="16.5" customHeight="1" x14ac:dyDescent="0.25">
      <c r="A3128" s="288" t="s">
        <v>2938</v>
      </c>
      <c r="B3128" s="241" t="str">
        <f>HYPERLINK(CONCATENATE($AT$3,BK3128,$AU$3),$AV$3)</f>
        <v>S</v>
      </c>
      <c r="C3128" s="242" t="str">
        <f>HYPERLINK(CONCATENATE($AT$4,BK3128,$AU$4,BL3128),$AV$4)</f>
        <v>A</v>
      </c>
      <c r="D3128" s="243" t="s">
        <v>5638</v>
      </c>
      <c r="E3128" s="244" t="s">
        <v>8641</v>
      </c>
      <c r="F3128" s="269"/>
      <c r="G3128" s="270">
        <v>0.5</v>
      </c>
      <c r="H3128" s="283">
        <v>700</v>
      </c>
      <c r="I3128" s="246">
        <v>100</v>
      </c>
      <c r="J3128" s="246">
        <v>2</v>
      </c>
      <c r="K3128" s="247" t="s">
        <v>8609</v>
      </c>
      <c r="L3128" s="248">
        <v>123205</v>
      </c>
      <c r="M3128" s="249">
        <f>15*(LEFT(TEXT($L3128,"000000"),2)+(MID(TEXT($L3128,"000000"),3,2)/60)+(RIGHT(TEXT($L3128,"000000"),2)/3600))</f>
        <v>188.02083333333331</v>
      </c>
      <c r="N3128" s="286">
        <v>662412</v>
      </c>
      <c r="O3128" s="251">
        <f>IF($N3128&gt;0,(LEFT(TEXT($N3128,"000000"),2)+(MID(TEXT($N3128,"000000"),3,2)/60)+(RIGHT(TEXT($N3128,"000000"),2)/3600)),-(MID(TEXT($N3128,"000000"),2,2)+(MID(TEXT($N3128,"000000"),4,2)/60)+(RIGHT(TEXT($N3128,"000000"),2)/3600)))</f>
        <v>66.403333333333336</v>
      </c>
      <c r="P3128" s="252" t="s">
        <v>34</v>
      </c>
      <c r="Q3128" s="253"/>
      <c r="R3128" s="247" t="s">
        <v>2939</v>
      </c>
      <c r="S3128" s="272" t="s">
        <v>5355</v>
      </c>
      <c r="T3128" s="273"/>
      <c r="U3128" s="274"/>
      <c r="V3128" s="280"/>
      <c r="W3128" s="244"/>
      <c r="X3128" s="244"/>
      <c r="Y3128" s="362"/>
      <c r="Z3128" s="257">
        <f>altaz(J2000_Bas,$O3128,$M3128,DecLat,DecLong,1)</f>
        <v>25.108169117961886</v>
      </c>
      <c r="AA3128" s="257">
        <f>altaz((J2000_Bas+(2*0.04167)),$O3128,$M3128,DecLat,DecLong,1)</f>
        <v>15.09467449704783</v>
      </c>
      <c r="AB3128" s="257">
        <f>altaz((J2000_Bas+(4*0.04167)),$O3128,$M3128,DecLat,DecLong,1)</f>
        <v>8.829847279923932</v>
      </c>
      <c r="AC3128" s="257">
        <f>altaz((J2000_Bas+(6*0.04167)),$O3128,$M3128,DecLat,DecLong,1)</f>
        <v>7.6078154641844709</v>
      </c>
      <c r="AD3128" s="258">
        <f>1+ transit((J2000_Bas-1),$O3128,$M3128,DecLat,DecLong)/360 + (GMTOffset/24) + (IF(DST="Y", 1, 0)/24)</f>
        <v>1.5151800009942913</v>
      </c>
      <c r="AE3128" s="259">
        <f>DATE(2001,9,21)+(M3128/360)*365 - (360*((DecLong/360)- (GMTOffset/24) ))</f>
        <v>37350.632233796299</v>
      </c>
      <c r="AF3128" s="260">
        <f>IF(DecLat&gt;0,IF((90 - (DecLat-O3128))&gt;90, (90 - (O3128-DecLat)), (90 - (DecLat-O3128))),IF((90 + (DecLat-O3128))&gt;90, (90 + (O3128-DecLat)), (90 + (DecLat-O3128))))</f>
        <v>54.596666666666664</v>
      </c>
      <c r="AG3128" s="257">
        <f>angularseperation(MoonRA,MoonDec,$M3128,$O3128)</f>
        <v>104.22006522515026</v>
      </c>
      <c r="AH3128" s="261">
        <f ca="1">MIN(100,IF($O$5&gt;80,0+30*($AG3128/100),IF($O$5&gt;70,0+50*($AG3128/100),IF($O$5&gt;60,5+50*($AG3128/100),IF($O$5&gt;50,10+60*($AG3128/100),IF($O$5&gt;40,15+70*($AG3128/100),IF($O$5&gt;30,20+70*($AG3128/100),IF($O$5&gt;20,40+55*($AG3128/100),(80+(20-$O$5)+30*($AG3128/100))))))))))</f>
        <v>100</v>
      </c>
      <c r="AI3128" s="262"/>
      <c r="AJ3128" s="262"/>
      <c r="AK3128" s="262"/>
      <c r="AL3128" s="263"/>
      <c r="AM3128" s="264"/>
      <c r="AN3128" s="263"/>
      <c r="AO3128" s="263"/>
      <c r="AP3128" s="265"/>
      <c r="AQ3128" s="266"/>
      <c r="AR3128" s="267">
        <v>41524</v>
      </c>
      <c r="AS3128" s="263"/>
      <c r="AT3128" s="263"/>
      <c r="AU3128" s="263"/>
      <c r="AV3128" s="264"/>
      <c r="AW3128" s="263"/>
      <c r="AX3128" s="263"/>
      <c r="AY3128" s="263"/>
      <c r="AZ3128" s="263"/>
      <c r="BA3128" s="263"/>
      <c r="BB3128" s="263"/>
      <c r="BC3128" s="263"/>
      <c r="BD3128" s="264"/>
      <c r="BE3128" s="263"/>
      <c r="BF3128" s="263"/>
      <c r="BG3128" s="263"/>
      <c r="BH3128" s="263"/>
      <c r="BI3128" s="263"/>
      <c r="BJ3128" s="404">
        <f>altaz(J2000_Bas,$O3128,$M3128,DecLat,DecLong,2)</f>
        <v>334.03737364721258</v>
      </c>
      <c r="BK3128" s="378" t="s">
        <v>2938</v>
      </c>
      <c r="BL3128" s="379">
        <f>IF((2*G3128)/60&lt;0.2,0.2,(2*G3128)/60)</f>
        <v>0.2</v>
      </c>
      <c r="BM3128" s="380">
        <f>MOD((50000+AD3128-$B$3+(0/24)),1)</f>
        <v>0.73054693069570931</v>
      </c>
      <c r="BN3128" s="381"/>
      <c r="BO3128" s="382">
        <v>3118</v>
      </c>
    </row>
    <row r="3129" spans="1:67" s="24" customFormat="1" ht="16.5" customHeight="1" x14ac:dyDescent="0.25">
      <c r="A3129" s="288" t="s">
        <v>2441</v>
      </c>
      <c r="B3129" s="241" t="str">
        <f>HYPERLINK(CONCATENATE($AT$3,BK3129,$AU$3),$AV$3)</f>
        <v>S</v>
      </c>
      <c r="C3129" s="242" t="str">
        <f>HYPERLINK(CONCATENATE($AT$4,BK3129,$AU$4,BL3129),$AV$4)</f>
        <v>A</v>
      </c>
      <c r="D3129" s="243" t="s">
        <v>5638</v>
      </c>
      <c r="E3129" s="244" t="s">
        <v>5337</v>
      </c>
      <c r="F3129" s="269" t="s">
        <v>3301</v>
      </c>
      <c r="G3129" s="270">
        <v>0.8</v>
      </c>
      <c r="H3129" s="283">
        <v>500</v>
      </c>
      <c r="I3129" s="246">
        <v>110</v>
      </c>
      <c r="J3129" s="246">
        <v>2</v>
      </c>
      <c r="K3129" s="247" t="s">
        <v>8617</v>
      </c>
      <c r="L3129" s="248">
        <v>151806</v>
      </c>
      <c r="M3129" s="249">
        <f>15*(LEFT(TEXT($L3129,"000000"),2)+(MID(TEXT($L3129,"000000"),3,2)/60)+(RIGHT(TEXT($L3129,"000000"),2)/3600))</f>
        <v>229.52500000000001</v>
      </c>
      <c r="N3129" s="250">
        <v>424442</v>
      </c>
      <c r="O3129" s="251">
        <f>IF($N3129&gt;0,(LEFT(TEXT($N3129,"000000"),2)+(MID(TEXT($N3129,"000000"),3,2)/60)+(RIGHT(TEXT($N3129,"000000"),2)/3600)),-(MID(TEXT($N3129,"000000"),2,2)+(MID(TEXT($N3129,"000000"),4,2)/60)+(RIGHT(TEXT($N3129,"000000"),2)/3600)))</f>
        <v>42.744999999999997</v>
      </c>
      <c r="P3129" s="252" t="s">
        <v>260</v>
      </c>
      <c r="Q3129" s="253"/>
      <c r="R3129" s="247" t="s">
        <v>3293</v>
      </c>
      <c r="S3129" s="272" t="s">
        <v>3293</v>
      </c>
      <c r="T3129" s="273">
        <v>15</v>
      </c>
      <c r="U3129" s="274"/>
      <c r="V3129" s="280"/>
      <c r="W3129" s="244"/>
      <c r="X3129" s="244"/>
      <c r="Y3129" s="362"/>
      <c r="Z3129" s="257">
        <f>altaz(J2000_Bas,$O3129,$M3129,DecLat,DecLong,1)</f>
        <v>44.204218749337386</v>
      </c>
      <c r="AA3129" s="257">
        <f>altaz((J2000_Bas+(2*0.04167)),$O3129,$M3129,DecLat,DecLong,1)</f>
        <v>22.788015370306823</v>
      </c>
      <c r="AB3129" s="257">
        <f>altaz((J2000_Bas+(4*0.04167)),$O3129,$M3129,DecLat,DecLong,1)</f>
        <v>3.8564777656469058</v>
      </c>
      <c r="AC3129" s="257">
        <f>altaz((J2000_Bas+(6*0.04167)),$O3129,$M3129,DecLat,DecLong,1)</f>
        <v>-10.180162101471842</v>
      </c>
      <c r="AD3129" s="258">
        <f>1+ transit((J2000_Bas-1),$O3129,$M3129,DecLat,DecLong)/360 + (GMTOffset/24) + (IF(DST="Y", 1, 0)/24)</f>
        <v>1.630469341317208</v>
      </c>
      <c r="AE3129" s="259">
        <f>DATE(2001,9,21)+(M3129/360)*365 - (360*((DecLong/360)- (GMTOffset/24) ))</f>
        <v>37392.712847222225</v>
      </c>
      <c r="AF3129" s="260">
        <f>IF(DecLat&gt;0,IF((90 - (DecLat-O3129))&gt;90, (90 - (O3129-DecLat)), (90 - (DecLat-O3129))),IF((90 + (DecLat-O3129))&gt;90, (90 + (O3129-DecLat)), (90 + (DecLat-O3129))))</f>
        <v>78.254999999999995</v>
      </c>
      <c r="AG3129" s="257">
        <f>angularseperation(MoonRA,MoonDec,$M3129,$O3129)</f>
        <v>72.152345585101557</v>
      </c>
      <c r="AH3129" s="261">
        <f ca="1">MIN(100,IF($O$5&gt;80,0+30*($AG3129/100),IF($O$5&gt;70,0+50*($AG3129/100),IF($O$5&gt;60,5+50*($AG3129/100),IF($O$5&gt;50,10+60*($AG3129/100),IF($O$5&gt;40,15+70*($AG3129/100),IF($O$5&gt;30,20+70*($AG3129/100),IF($O$5&gt;20,40+55*($AG3129/100),(80+(20-$O$5)+30*($AG3129/100))))))))))</f>
        <v>100</v>
      </c>
      <c r="AI3129" s="262"/>
      <c r="AJ3129" s="262"/>
      <c r="AK3129" s="262"/>
      <c r="AL3129" s="263"/>
      <c r="AM3129" s="264"/>
      <c r="AN3129" s="263"/>
      <c r="AO3129" s="263"/>
      <c r="AP3129" s="265"/>
      <c r="AQ3129" s="266"/>
      <c r="AR3129" s="267">
        <v>54618</v>
      </c>
      <c r="AS3129" s="263"/>
      <c r="AT3129" s="263"/>
      <c r="AU3129" s="263"/>
      <c r="AV3129" s="264"/>
      <c r="AW3129" s="263"/>
      <c r="AX3129" s="263"/>
      <c r="AY3129" s="263"/>
      <c r="AZ3129" s="263"/>
      <c r="BA3129" s="263"/>
      <c r="BB3129" s="263"/>
      <c r="BC3129" s="263"/>
      <c r="BD3129" s="264"/>
      <c r="BE3129" s="263"/>
      <c r="BF3129" s="263"/>
      <c r="BG3129" s="263"/>
      <c r="BH3129" s="263"/>
      <c r="BI3129" s="263"/>
      <c r="BJ3129" s="404">
        <f>altaz(J2000_Bas,$O3129,$M3129,DecLat,DecLong,2)</f>
        <v>301.34528356655125</v>
      </c>
      <c r="BK3129" s="378" t="s">
        <v>2441</v>
      </c>
      <c r="BL3129" s="379">
        <f>IF((2*G3129)/60&lt;0.2,0.2,(2*G3129)/60)</f>
        <v>0.2</v>
      </c>
      <c r="BM3129" s="380">
        <f>MOD((50000+AD3129-$B$3+(0/24)),1)</f>
        <v>0.84583627102256287</v>
      </c>
      <c r="BN3129" s="381" t="s">
        <v>9281</v>
      </c>
      <c r="BO3129" s="382">
        <v>3119</v>
      </c>
    </row>
    <row r="3130" spans="1:67" s="24" customFormat="1" ht="16.5" customHeight="1" x14ac:dyDescent="0.25">
      <c r="A3130" s="288" t="s">
        <v>2940</v>
      </c>
      <c r="B3130" s="241" t="str">
        <f>HYPERLINK(CONCATENATE($AT$3,BK3130,$AU$3),$AV$3)</f>
        <v>S</v>
      </c>
      <c r="C3130" s="242" t="str">
        <f>HYPERLINK(CONCATENATE($AT$4,BK3130,$AU$4,BL3130),$AV$4)</f>
        <v>A</v>
      </c>
      <c r="D3130" s="243" t="s">
        <v>5187</v>
      </c>
      <c r="E3130" s="244" t="s">
        <v>5181</v>
      </c>
      <c r="F3130" s="269" t="s">
        <v>4793</v>
      </c>
      <c r="G3130" s="270">
        <v>0.3</v>
      </c>
      <c r="H3130" s="283">
        <v>19000</v>
      </c>
      <c r="I3130" s="279">
        <v>1.6</v>
      </c>
      <c r="J3130" s="246">
        <v>1</v>
      </c>
      <c r="K3130" s="247" t="s">
        <v>6463</v>
      </c>
      <c r="L3130" s="248">
        <v>3854</v>
      </c>
      <c r="M3130" s="249">
        <f>15*(LEFT(TEXT($L3130,"000000"),2)+(MID(TEXT($L3130,"000000"),3,2)/60)+(RIGHT(TEXT($L3130,"000000"),2)/3600))</f>
        <v>9.7249999999999996</v>
      </c>
      <c r="N3130" s="250">
        <v>662349</v>
      </c>
      <c r="O3130" s="251">
        <f>IF($N3130&gt;0,(LEFT(TEXT($N3130,"000000"),2)+(MID(TEXT($N3130,"000000"),3,2)/60)+(RIGHT(TEXT($N3130,"000000"),2)/3600)),-(MID(TEXT($N3130,"000000"),2,2)+(MID(TEXT($N3130,"000000"),4,2)/60)+(RIGHT(TEXT($N3130,"000000"),2)/3600)))</f>
        <v>66.396944444444458</v>
      </c>
      <c r="P3130" s="252" t="s">
        <v>49</v>
      </c>
      <c r="Q3130" s="253"/>
      <c r="R3130" s="247" t="s">
        <v>3293</v>
      </c>
      <c r="S3130" s="272" t="s">
        <v>3293</v>
      </c>
      <c r="T3130" s="273"/>
      <c r="U3130" s="274"/>
      <c r="V3130" s="280"/>
      <c r="W3130" s="244"/>
      <c r="X3130" s="244"/>
      <c r="Y3130" s="362"/>
      <c r="Z3130" s="257">
        <f>altaz(J2000_Bas,$O3130,$M3130,DecLat,DecLong,1)</f>
        <v>30.629144467089979</v>
      </c>
      <c r="AA3130" s="257">
        <f>altaz((J2000_Bas+(2*0.04167)),$O3130,$M3130,DecLat,DecLong,1)</f>
        <v>42.487890408631145</v>
      </c>
      <c r="AB3130" s="257">
        <f>altaz((J2000_Bas+(4*0.04167)),$O3130,$M3130,DecLat,DecLong,1)</f>
        <v>51.86571278695331</v>
      </c>
      <c r="AC3130" s="257">
        <f>altaz((J2000_Bas+(6*0.04167)),$O3130,$M3130,DecLat,DecLong,1)</f>
        <v>54.38331914513526</v>
      </c>
      <c r="AD3130" s="258">
        <f>1+ transit((J2000_Bas-1),$O3130,$M3130,DecLat,DecLong)/360 + (GMTOffset/24) + (IF(DST="Y", 1, 0)/24)</f>
        <v>1.019913846817208</v>
      </c>
      <c r="AE3130" s="259">
        <f>DATE(2001,9,21)+(M3130/360)*365 - (360*((DecLong/360)- (GMTOffset/24) ))</f>
        <v>37169.860069444447</v>
      </c>
      <c r="AF3130" s="260">
        <f>IF(DecLat&gt;0,IF((90 - (DecLat-O3130))&gt;90, (90 - (O3130-DecLat)), (90 - (DecLat-O3130))),IF((90 + (DecLat-O3130))&gt;90, (90 + (O3130-DecLat)), (90 + (DecLat-O3130))))</f>
        <v>54.603055555555542</v>
      </c>
      <c r="AG3130" s="257">
        <f>angularseperation(MoonRA,MoonDec,$M3130,$O3130)</f>
        <v>126.73035350073155</v>
      </c>
      <c r="AH3130" s="261">
        <f ca="1">MIN(100,IF($O$5&gt;80,0+30*($AG3130/100),IF($O$5&gt;70,0+50*($AG3130/100),IF($O$5&gt;60,5+50*($AG3130/100),IF($O$5&gt;50,10+60*($AG3130/100),IF($O$5&gt;40,15+70*($AG3130/100),IF($O$5&gt;30,20+70*($AG3130/100),IF($O$5&gt;20,40+55*($AG3130/100),(80+(20-$O$5)+30*($AG3130/100))))))))))</f>
        <v>100</v>
      </c>
      <c r="AI3130" s="262"/>
      <c r="AJ3130" s="262"/>
      <c r="AK3130" s="262"/>
      <c r="AL3130" s="263"/>
      <c r="AM3130" s="264"/>
      <c r="AN3130" s="263"/>
      <c r="AO3130" s="263"/>
      <c r="AP3130" s="265"/>
      <c r="AQ3130" s="266"/>
      <c r="AR3130" s="267"/>
      <c r="AS3130" s="263"/>
      <c r="AT3130" s="263"/>
      <c r="AU3130" s="263"/>
      <c r="AV3130" s="264"/>
      <c r="AW3130" s="263"/>
      <c r="AX3130" s="263"/>
      <c r="AY3130" s="263"/>
      <c r="AZ3130" s="263"/>
      <c r="BA3130" s="263"/>
      <c r="BB3130" s="263"/>
      <c r="BC3130" s="263"/>
      <c r="BD3130" s="264"/>
      <c r="BE3130" s="263"/>
      <c r="BF3130" s="263"/>
      <c r="BG3130" s="263"/>
      <c r="BH3130" s="263"/>
      <c r="BI3130" s="263"/>
      <c r="BJ3130" s="404">
        <f>altaz(J2000_Bas,$O3130,$M3130,DecLat,DecLong,2)</f>
        <v>27.550320387230421</v>
      </c>
      <c r="BK3130" s="378" t="s">
        <v>4130</v>
      </c>
      <c r="BL3130" s="379">
        <f>IF((2*G3130)/60&lt;0.2,0.2,(2*G3130)/60)</f>
        <v>0.2</v>
      </c>
      <c r="BM3130" s="380">
        <f>MOD((50000+AD3130-$B$3+(0/24)),1)</f>
        <v>0.23528077652008506</v>
      </c>
      <c r="BN3130" s="381" t="s">
        <v>8640</v>
      </c>
      <c r="BO3130" s="382">
        <v>3120</v>
      </c>
    </row>
    <row r="3131" spans="1:67" s="24" customFormat="1" ht="16.5" customHeight="1" x14ac:dyDescent="0.25">
      <c r="A3131" s="288" t="s">
        <v>2941</v>
      </c>
      <c r="B3131" s="241" t="str">
        <f>HYPERLINK(CONCATENATE($AT$3,BK3131,$AU$3),$AV$3)</f>
        <v>S</v>
      </c>
      <c r="C3131" s="242" t="str">
        <f>HYPERLINK(CONCATENATE($AT$4,BK3131,$AU$4,BL3131),$AV$4)</f>
        <v>A</v>
      </c>
      <c r="D3131" s="243" t="s">
        <v>5187</v>
      </c>
      <c r="E3131" s="244" t="s">
        <v>5181</v>
      </c>
      <c r="F3131" s="269" t="s">
        <v>5211</v>
      </c>
      <c r="G3131" s="270">
        <v>0.7</v>
      </c>
      <c r="H3131" s="283">
        <v>15000</v>
      </c>
      <c r="I3131" s="279">
        <v>3</v>
      </c>
      <c r="J3131" s="246">
        <v>2</v>
      </c>
      <c r="K3131" s="247" t="s">
        <v>6465</v>
      </c>
      <c r="L3131" s="248">
        <v>61434</v>
      </c>
      <c r="M3131" s="249">
        <f>15*(LEFT(TEXT($L3131,"000000"),2)+(MID(TEXT($L3131,"000000"),3,2)/60)+(RIGHT(TEXT($L3131,"000000"),2)/3600))</f>
        <v>93.641666666666666</v>
      </c>
      <c r="N3131" s="250">
        <v>73430</v>
      </c>
      <c r="O3131" s="251">
        <f>IF($N3131&gt;0,(LEFT(TEXT($N3131,"000000"),2)+(MID(TEXT($N3131,"000000"),3,2)/60)+(RIGHT(TEXT($N3131,"000000"),2)/3600)),-(MID(TEXT($N3131,"000000"),2,2)+(MID(TEXT($N3131,"000000"),4,2)/60)+(RIGHT(TEXT($N3131,"000000"),2)/3600)))</f>
        <v>7.5750000000000002</v>
      </c>
      <c r="P3131" s="252" t="s">
        <v>41</v>
      </c>
      <c r="Q3131" s="253"/>
      <c r="R3131" s="247" t="s">
        <v>3293</v>
      </c>
      <c r="S3131" s="272" t="s">
        <v>3293</v>
      </c>
      <c r="T3131" s="273"/>
      <c r="U3131" s="274"/>
      <c r="V3131" s="280"/>
      <c r="W3131" s="244"/>
      <c r="X3131" s="244"/>
      <c r="Y3131" s="362"/>
      <c r="Z3131" s="257">
        <f>altaz(J2000_Bas,$O3131,$M3131,DecLat,DecLong,1)</f>
        <v>-49.649281137329226</v>
      </c>
      <c r="AA3131" s="257">
        <f>altaz((J2000_Bas+(2*0.04167)),$O3131,$M3131,DecLat,DecLong,1)</f>
        <v>-33.994015453120291</v>
      </c>
      <c r="AB3131" s="257">
        <f>altaz((J2000_Bas+(4*0.04167)),$O3131,$M3131,DecLat,DecLong,1)</f>
        <v>-10.788634212971955</v>
      </c>
      <c r="AC3131" s="257">
        <f>altaz((J2000_Bas+(6*0.04167)),$O3131,$M3131,DecLat,DecLong,1)</f>
        <v>14.682290203727717</v>
      </c>
      <c r="AD3131" s="258">
        <f>1+ transit((J2000_Bas-1),$O3131,$M3131,DecLat,DecLong)/360 + (GMTOffset/24) + (IF(DST="Y", 1, 0)/24)</f>
        <v>1.2530156753588748</v>
      </c>
      <c r="AE3131" s="259">
        <f>DATE(2001,9,21)+(M3131/360)*365 - (360*((DecLong/360)- (GMTOffset/24) ))</f>
        <v>37254.942245370374</v>
      </c>
      <c r="AF3131" s="260">
        <f>IF(DecLat&gt;0,IF((90 - (DecLat-O3131))&gt;90, (90 - (O3131-DecLat)), (90 - (DecLat-O3131))),IF((90 + (DecLat-O3131))&gt;90, (90 + (O3131-DecLat)), (90 + (DecLat-O3131))))</f>
        <v>66.575000000000003</v>
      </c>
      <c r="AG3131" s="257">
        <f>angularseperation(MoonRA,MoonDec,$M3131,$O3131)</f>
        <v>149.74166363231055</v>
      </c>
      <c r="AH3131" s="261">
        <f ca="1">MIN(100,IF($O$5&gt;80,0+30*($AG3131/100),IF($O$5&gt;70,0+50*($AG3131/100),IF($O$5&gt;60,5+50*($AG3131/100),IF($O$5&gt;50,10+60*($AG3131/100),IF($O$5&gt;40,15+70*($AG3131/100),IF($O$5&gt;30,20+70*($AG3131/100),IF($O$5&gt;20,40+55*($AG3131/100),(80+(20-$O$5)+30*($AG3131/100))))))))))</f>
        <v>100</v>
      </c>
      <c r="AI3131" s="262"/>
      <c r="AJ3131" s="262"/>
      <c r="AK3131" s="262"/>
      <c r="AL3131" s="263"/>
      <c r="AM3131" s="264"/>
      <c r="AN3131" s="263"/>
      <c r="AO3131" s="263"/>
      <c r="AP3131" s="265"/>
      <c r="AQ3131" s="266"/>
      <c r="AR3131" s="267"/>
      <c r="AS3131" s="263"/>
      <c r="AT3131" s="263"/>
      <c r="AU3131" s="263"/>
      <c r="AV3131" s="264"/>
      <c r="AW3131" s="263"/>
      <c r="AX3131" s="263"/>
      <c r="AY3131" s="263"/>
      <c r="AZ3131" s="263"/>
      <c r="BA3131" s="263"/>
      <c r="BB3131" s="263"/>
      <c r="BC3131" s="263"/>
      <c r="BD3131" s="264"/>
      <c r="BE3131" s="263"/>
      <c r="BF3131" s="263"/>
      <c r="BG3131" s="263"/>
      <c r="BH3131" s="263"/>
      <c r="BI3131" s="263"/>
      <c r="BJ3131" s="404">
        <f>altaz(J2000_Bas,$O3131,$M3131,DecLat,DecLong,2)</f>
        <v>19.131808204687328</v>
      </c>
      <c r="BK3131" s="378" t="s">
        <v>4131</v>
      </c>
      <c r="BL3131" s="379">
        <f>IF((2*G3131)/60&lt;0.2,0.2,(2*G3131)/60)</f>
        <v>0.2</v>
      </c>
      <c r="BM3131" s="380">
        <f>MOD((50000+AD3131-$B$3+(0/24)),1)</f>
        <v>0.46838260506046936</v>
      </c>
      <c r="BN3131" s="381" t="s">
        <v>8640</v>
      </c>
      <c r="BO3131" s="382">
        <v>3121</v>
      </c>
    </row>
    <row r="3132" spans="1:67" s="24" customFormat="1" ht="16.5" customHeight="1" x14ac:dyDescent="0.25">
      <c r="A3132" s="288" t="s">
        <v>2942</v>
      </c>
      <c r="B3132" s="241" t="str">
        <f>HYPERLINK(CONCATENATE($AT$3,BK3132,$AU$3),$AV$3)</f>
        <v>S</v>
      </c>
      <c r="C3132" s="242" t="str">
        <f>HYPERLINK(CONCATENATE($AT$4,BK3132,$AU$4,BL3132),$AV$4)</f>
        <v>A</v>
      </c>
      <c r="D3132" s="243" t="s">
        <v>5187</v>
      </c>
      <c r="E3132" s="244" t="s">
        <v>5181</v>
      </c>
      <c r="F3132" s="269" t="s">
        <v>6222</v>
      </c>
      <c r="G3132" s="273">
        <v>1.5</v>
      </c>
      <c r="H3132" s="283">
        <v>4600</v>
      </c>
      <c r="I3132" s="279">
        <v>2</v>
      </c>
      <c r="J3132" s="246">
        <v>1</v>
      </c>
      <c r="K3132" s="247" t="s">
        <v>6464</v>
      </c>
      <c r="L3132" s="248">
        <v>71724</v>
      </c>
      <c r="M3132" s="249">
        <f>15*(LEFT(TEXT($L3132,"000000"),2)+(MID(TEXT($L3132,"000000"),3,2)/60)+(RIGHT(TEXT($L3132,"000000"),2)/3600))</f>
        <v>109.35</v>
      </c>
      <c r="N3132" s="250">
        <v>-100700</v>
      </c>
      <c r="O3132" s="251">
        <f>IF($N3132&gt;0,(LEFT(TEXT($N3132,"000000"),2)+(MID(TEXT($N3132,"000000"),3,2)/60)+(RIGHT(TEXT($N3132,"000000"),2)/3600)),-(MID(TEXT($N3132,"000000"),2,2)+(MID(TEXT($N3132,"000000"),4,2)/60)+(RIGHT(TEXT($N3132,"000000"),2)/3600)))</f>
        <v>-10.116666666666667</v>
      </c>
      <c r="P3132" s="252" t="s">
        <v>47</v>
      </c>
      <c r="Q3132" s="253"/>
      <c r="R3132" s="247" t="s">
        <v>3293</v>
      </c>
      <c r="S3132" s="272" t="s">
        <v>3293</v>
      </c>
      <c r="T3132" s="273"/>
      <c r="U3132" s="274"/>
      <c r="V3132" s="280"/>
      <c r="W3132" s="244"/>
      <c r="X3132" s="244"/>
      <c r="Y3132" s="362"/>
      <c r="Z3132" s="257">
        <f>altaz(J2000_Bas,$O3132,$M3132,DecLat,DecLong,1)</f>
        <v>-68.886472460385122</v>
      </c>
      <c r="AA3132" s="257">
        <f>altaz((J2000_Bas+(2*0.04167)),$O3132,$M3132,DecLat,DecLong,1)</f>
        <v>-57.57398675304362</v>
      </c>
      <c r="AB3132" s="257">
        <f>altaz((J2000_Bas+(4*0.04167)),$O3132,$M3132,DecLat,DecLong,1)</f>
        <v>-33.521938610538413</v>
      </c>
      <c r="AC3132" s="257">
        <f>altaz((J2000_Bas+(6*0.04167)),$O3132,$M3132,DecLat,DecLong,1)</f>
        <v>-7.8170197810703037</v>
      </c>
      <c r="AD3132" s="258">
        <f>1+ transit((J2000_Bas-1),$O3132,$M3132,DecLat,DecLong)/360 + (GMTOffset/24) + (IF(DST="Y", 1, 0)/24)</f>
        <v>1.2966499302547081</v>
      </c>
      <c r="AE3132" s="259">
        <f>DATE(2001,9,21)+(M3132/360)*365 - (360*((DecLong/360)- (GMTOffset/24) ))</f>
        <v>37270.868750000001</v>
      </c>
      <c r="AF3132" s="260">
        <f>IF(DecLat&gt;0,IF((90 - (DecLat-O3132))&gt;90, (90 - (O3132-DecLat)), (90 - (DecLat-O3132))),IF((90 + (DecLat-O3132))&gt;90, (90 + (O3132-DecLat)), (90 + (DecLat-O3132))))</f>
        <v>48.883333333333333</v>
      </c>
      <c r="AG3132" s="257">
        <f>angularseperation(MoonRA,MoonDec,$M3132,$O3132)</f>
        <v>126.18516172270103</v>
      </c>
      <c r="AH3132" s="261">
        <f ca="1">MIN(100,IF($O$5&gt;80,0+30*($AG3132/100),IF($O$5&gt;70,0+50*($AG3132/100),IF($O$5&gt;60,5+50*($AG3132/100),IF($O$5&gt;50,10+60*($AG3132/100),IF($O$5&gt;40,15+70*($AG3132/100),IF($O$5&gt;30,20+70*($AG3132/100),IF($O$5&gt;20,40+55*($AG3132/100),(80+(20-$O$5)+30*($AG3132/100))))))))))</f>
        <v>100</v>
      </c>
      <c r="AI3132" s="262"/>
      <c r="AJ3132" s="262"/>
      <c r="AK3132" s="262"/>
      <c r="AL3132" s="263"/>
      <c r="AM3132" s="264"/>
      <c r="AN3132" s="263"/>
      <c r="AO3132" s="263"/>
      <c r="AP3132" s="265"/>
      <c r="AQ3132" s="266"/>
      <c r="AR3132" s="267"/>
      <c r="AS3132" s="263"/>
      <c r="AT3132" s="263"/>
      <c r="AU3132" s="263"/>
      <c r="AV3132" s="264"/>
      <c r="AW3132" s="263"/>
      <c r="AX3132" s="263"/>
      <c r="AY3132" s="263"/>
      <c r="AZ3132" s="263"/>
      <c r="BA3132" s="263"/>
      <c r="BB3132" s="263"/>
      <c r="BC3132" s="263"/>
      <c r="BD3132" s="264"/>
      <c r="BE3132" s="263"/>
      <c r="BF3132" s="263"/>
      <c r="BG3132" s="263"/>
      <c r="BH3132" s="263"/>
      <c r="BI3132" s="263"/>
      <c r="BJ3132" s="404">
        <f>altaz(J2000_Bas,$O3132,$M3132,DecLat,DecLong,2)</f>
        <v>350.81777446755689</v>
      </c>
      <c r="BK3132" s="378" t="s">
        <v>4132</v>
      </c>
      <c r="BL3132" s="379">
        <f>IF((2*G3132)/60&lt;0.2,0.2,(2*G3132)/60)</f>
        <v>0.2</v>
      </c>
      <c r="BM3132" s="380">
        <f>MOD((50000+AD3132-$B$3+(0/24)),1)</f>
        <v>0.51201685996056767</v>
      </c>
      <c r="BN3132" s="381" t="s">
        <v>8640</v>
      </c>
      <c r="BO3132" s="382">
        <v>3122</v>
      </c>
    </row>
    <row r="3133" spans="1:67" s="24" customFormat="1" ht="16.5" customHeight="1" x14ac:dyDescent="0.25">
      <c r="A3133" s="287" t="s">
        <v>2943</v>
      </c>
      <c r="B3133" s="241" t="str">
        <f>HYPERLINK(CONCATENATE($AT$3,BK3133,$AU$3),$AV$3)</f>
        <v>S</v>
      </c>
      <c r="C3133" s="242" t="str">
        <f>HYPERLINK(CONCATENATE($AT$4,BK3133,$AU$4,BL3133),$AV$4)</f>
        <v>A</v>
      </c>
      <c r="D3133" s="243" t="s">
        <v>5187</v>
      </c>
      <c r="E3133" s="244" t="s">
        <v>5181</v>
      </c>
      <c r="F3133" s="269" t="s">
        <v>6468</v>
      </c>
      <c r="G3133" s="270">
        <v>0.3</v>
      </c>
      <c r="H3133" s="283" t="s">
        <v>6500</v>
      </c>
      <c r="I3133" s="244" t="s">
        <v>6500</v>
      </c>
      <c r="J3133" s="246">
        <v>1</v>
      </c>
      <c r="K3133" s="247" t="s">
        <v>6469</v>
      </c>
      <c r="L3133" s="248">
        <v>184406</v>
      </c>
      <c r="M3133" s="249">
        <f>15*(LEFT(TEXT($L3133,"000000"),2)+(MID(TEXT($L3133,"000000"),3,2)/60)+(RIGHT(TEXT($L3133,"000000"),2)/3600))</f>
        <v>281.02499999999998</v>
      </c>
      <c r="N3133" s="250">
        <v>-120800</v>
      </c>
      <c r="O3133" s="251">
        <f>IF($N3133&gt;0,(LEFT(TEXT($N3133,"000000"),2)+(MID(TEXT($N3133,"000000"),3,2)/60)+(RIGHT(TEXT($N3133,"000000"),2)/3600)),-(MID(TEXT($N3133,"000000"),2,2)+(MID(TEXT($N3133,"000000"),4,2)/60)+(RIGHT(TEXT($N3133,"000000"),2)/3600)))</f>
        <v>-12.133333333333333</v>
      </c>
      <c r="P3133" s="252" t="s">
        <v>121</v>
      </c>
      <c r="Q3133" s="253"/>
      <c r="R3133" s="277" t="s">
        <v>3293</v>
      </c>
      <c r="S3133" s="272" t="s">
        <v>3293</v>
      </c>
      <c r="T3133" s="273"/>
      <c r="U3133" s="274"/>
      <c r="V3133" s="280"/>
      <c r="W3133" s="244"/>
      <c r="X3133" s="244"/>
      <c r="Y3133" s="362"/>
      <c r="Z3133" s="257">
        <f>altaz(J2000_Bas,$O3133,$M3133,DecLat,DecLong,1)</f>
        <v>46.602460894425278</v>
      </c>
      <c r="AA3133" s="257">
        <f>altaz((J2000_Bas+(2*0.04167)),$O3133,$M3133,DecLat,DecLong,1)</f>
        <v>35.288136276378879</v>
      </c>
      <c r="AB3133" s="257">
        <f>altaz((J2000_Bas+(4*0.04167)),$O3133,$M3133,DecLat,DecLong,1)</f>
        <v>14.120482135790956</v>
      </c>
      <c r="AC3133" s="257">
        <f>altaz((J2000_Bas+(6*0.04167)),$O3133,$M3133,DecLat,DecLong,1)</f>
        <v>-10.641405931558896</v>
      </c>
      <c r="AD3133" s="258">
        <f>1+ transit((J2000_Bas-1),$O3133,$M3133,DecLat,DecLong)/360 + (GMTOffset/24) + (IF(DST="Y", 1, 0)/24)</f>
        <v>1.7735248825672081</v>
      </c>
      <c r="AE3133" s="259">
        <f>DATE(2001,9,21)+(M3133/360)*365 - (360*((DecLong/360)- (GMTOffset/24) ))</f>
        <v>37444.928124999999</v>
      </c>
      <c r="AF3133" s="260">
        <f>IF(DecLat&gt;0,IF((90 - (DecLat-O3133))&gt;90, (90 - (O3133-DecLat)), (90 - (DecLat-O3133))),IF((90 + (DecLat-O3133))&gt;90, (90 + (O3133-DecLat)), (90 + (DecLat-O3133))))</f>
        <v>46.866666666666667</v>
      </c>
      <c r="AG3133" s="257">
        <f>angularseperation(MoonRA,MoonDec,$M3133,$O3133)</f>
        <v>33.319303152757946</v>
      </c>
      <c r="AH3133" s="261">
        <f ca="1">MIN(100,IF($O$5&gt;80,0+30*($AG3133/100),IF($O$5&gt;70,0+50*($AG3133/100),IF($O$5&gt;60,5+50*($AG3133/100),IF($O$5&gt;50,10+60*($AG3133/100),IF($O$5&gt;40,15+70*($AG3133/100),IF($O$5&gt;30,20+70*($AG3133/100),IF($O$5&gt;20,40+55*($AG3133/100),(80+(20-$O$5)+30*($AG3133/100))))))))))</f>
        <v>93.266851289977808</v>
      </c>
      <c r="AI3133" s="263"/>
      <c r="AJ3133" s="263"/>
      <c r="AK3133" s="263"/>
      <c r="AL3133" s="263"/>
      <c r="AM3133" s="264"/>
      <c r="AN3133" s="263"/>
      <c r="AO3133" s="263"/>
      <c r="AP3133" s="265"/>
      <c r="AQ3133" s="265"/>
      <c r="AR3133" s="285"/>
      <c r="AS3133" s="263"/>
      <c r="AT3133" s="263"/>
      <c r="AU3133" s="263"/>
      <c r="AV3133" s="264"/>
      <c r="AW3133" s="263"/>
      <c r="AX3133" s="263"/>
      <c r="AY3133" s="263"/>
      <c r="AZ3133" s="263"/>
      <c r="BA3133" s="263"/>
      <c r="BB3133" s="263"/>
      <c r="BC3133" s="263"/>
      <c r="BD3133" s="264"/>
      <c r="BE3133" s="263"/>
      <c r="BF3133" s="263"/>
      <c r="BG3133" s="263"/>
      <c r="BH3133" s="263"/>
      <c r="BI3133" s="263"/>
      <c r="BJ3133" s="404">
        <f>altaz(J2000_Bas,$O3133,$M3133,DecLat,DecLong,2)</f>
        <v>187.09220923071643</v>
      </c>
      <c r="BK3133" s="378" t="s">
        <v>4133</v>
      </c>
      <c r="BL3133" s="379">
        <f>IF((2*G3133)/60&lt;0.2,0.2,(2*G3133)/60)</f>
        <v>0.2</v>
      </c>
      <c r="BM3133" s="380">
        <f>MOD((50000+AD3133-$B$3+(0/24)),1)</f>
        <v>0.98889181227423251</v>
      </c>
      <c r="BN3133" s="381" t="s">
        <v>8640</v>
      </c>
      <c r="BO3133" s="382">
        <v>3123</v>
      </c>
    </row>
    <row r="3134" spans="1:67" s="24" customFormat="1" ht="16.5" customHeight="1" x14ac:dyDescent="0.25">
      <c r="A3134" s="288" t="s">
        <v>2944</v>
      </c>
      <c r="B3134" s="241" t="str">
        <f>HYPERLINK(CONCATENATE($AT$3,BK3134,$AU$3),$AV$3)</f>
        <v>S</v>
      </c>
      <c r="C3134" s="242" t="str">
        <f>HYPERLINK(CONCATENATE($AT$4,BK3134,$AU$4,BL3134),$AV$4)</f>
        <v>A</v>
      </c>
      <c r="D3134" s="243" t="s">
        <v>5187</v>
      </c>
      <c r="E3134" s="244" t="s">
        <v>5181</v>
      </c>
      <c r="F3134" s="269" t="s">
        <v>4795</v>
      </c>
      <c r="G3134" s="270">
        <v>0.4</v>
      </c>
      <c r="H3134" s="283" t="s">
        <v>6500</v>
      </c>
      <c r="I3134" s="244" t="s">
        <v>6500</v>
      </c>
      <c r="J3134" s="246">
        <v>1</v>
      </c>
      <c r="K3134" s="247" t="s">
        <v>6470</v>
      </c>
      <c r="L3134" s="248">
        <v>200905</v>
      </c>
      <c r="M3134" s="249">
        <f>15*(LEFT(TEXT($L3134,"000000"),2)+(MID(TEXT($L3134,"000000"),3,2)/60)+(RIGHT(TEXT($L3134,"000000"),2)/3600))</f>
        <v>302.27083333333331</v>
      </c>
      <c r="N3134" s="250">
        <v>262656</v>
      </c>
      <c r="O3134" s="251">
        <f>IF($N3134&gt;0,(LEFT(TEXT($N3134,"000000"),2)+(MID(TEXT($N3134,"000000"),3,2)/60)+(RIGHT(TEXT($N3134,"000000"),2)/3600)),-(MID(TEXT($N3134,"000000"),2,2)+(MID(TEXT($N3134,"000000"),4,2)/60)+(RIGHT(TEXT($N3134,"000000"),2)/3600)))</f>
        <v>26.448888888888888</v>
      </c>
      <c r="P3134" s="252" t="s">
        <v>133</v>
      </c>
      <c r="Q3134" s="253"/>
      <c r="R3134" s="277" t="s">
        <v>3293</v>
      </c>
      <c r="S3134" s="272" t="s">
        <v>3293</v>
      </c>
      <c r="T3134" s="273"/>
      <c r="U3134" s="274"/>
      <c r="V3134" s="280"/>
      <c r="W3134" s="244"/>
      <c r="X3134" s="244"/>
      <c r="Y3134" s="362"/>
      <c r="Z3134" s="257">
        <f>altaz(J2000_Bas,$O3134,$M3134,DecLat,DecLong,1)</f>
        <v>75.042813587507538</v>
      </c>
      <c r="AA3134" s="257">
        <f>altaz((J2000_Bas+(2*0.04167)),$O3134,$M3134,DecLat,DecLong,1)</f>
        <v>77.06937849334048</v>
      </c>
      <c r="AB3134" s="257">
        <f>altaz((J2000_Bas+(4*0.04167)),$O3134,$M3134,DecLat,DecLong,1)</f>
        <v>51.478627749437969</v>
      </c>
      <c r="AC3134" s="257">
        <f>altaz((J2000_Bas+(6*0.04167)),$O3134,$M3134,DecLat,DecLong,1)</f>
        <v>26.175552478576879</v>
      </c>
      <c r="AD3134" s="258">
        <f>1+ transit((J2000_Bas-1),$O3134,$M3134,DecLat,DecLong)/360 + (GMTOffset/24) + (IF(DST="Y", 1, 0)/24)</f>
        <v>1.8325410803692914</v>
      </c>
      <c r="AE3134" s="259">
        <f>DATE(2001,9,21)+(M3134/360)*365 - (360*((DecLong/360)- (GMTOffset/24) ))</f>
        <v>37466.469039351854</v>
      </c>
      <c r="AF3134" s="260">
        <f>IF(DecLat&gt;0,IF((90 - (DecLat-O3134))&gt;90, (90 - (O3134-DecLat)), (90 - (DecLat-O3134))),IF((90 + (DecLat-O3134))&gt;90, (90 + (O3134-DecLat)), (90 + (DecLat-O3134))))</f>
        <v>85.448888888888888</v>
      </c>
      <c r="AG3134" s="257">
        <f>angularseperation(MoonRA,MoonDec,$M3134,$O3134)</f>
        <v>73.941082194741981</v>
      </c>
      <c r="AH3134" s="261">
        <f ca="1">MIN(100,IF($O$5&gt;80,0+30*($AG3134/100),IF($O$5&gt;70,0+50*($AG3134/100),IF($O$5&gt;60,5+50*($AG3134/100),IF($O$5&gt;50,10+60*($AG3134/100),IF($O$5&gt;40,15+70*($AG3134/100),IF($O$5&gt;30,20+70*($AG3134/100),IF($O$5&gt;20,40+55*($AG3134/100),(80+(20-$O$5)+30*($AG3134/100))))))))))</f>
        <v>100</v>
      </c>
      <c r="AI3134" s="263"/>
      <c r="AJ3134" s="263"/>
      <c r="AK3134" s="263"/>
      <c r="AL3134" s="263"/>
      <c r="AM3134" s="264"/>
      <c r="AN3134" s="263"/>
      <c r="AO3134" s="263"/>
      <c r="AP3134" s="265"/>
      <c r="AQ3134" s="265"/>
      <c r="AR3134" s="285"/>
      <c r="AS3134" s="263"/>
      <c r="AT3134" s="263"/>
      <c r="AU3134" s="263"/>
      <c r="AV3134" s="264"/>
      <c r="AW3134" s="263"/>
      <c r="AX3134" s="263"/>
      <c r="AY3134" s="263"/>
      <c r="AZ3134" s="263"/>
      <c r="BA3134" s="263"/>
      <c r="BB3134" s="263"/>
      <c r="BC3134" s="263"/>
      <c r="BD3134" s="264"/>
      <c r="BE3134" s="263"/>
      <c r="BF3134" s="263"/>
      <c r="BG3134" s="263"/>
      <c r="BH3134" s="263"/>
      <c r="BI3134" s="263"/>
      <c r="BJ3134" s="404">
        <f>altaz(J2000_Bas,$O3134,$M3134,DecLat,DecLong,2)</f>
        <v>103.64468137740919</v>
      </c>
      <c r="BK3134" s="378" t="s">
        <v>4134</v>
      </c>
      <c r="BL3134" s="379">
        <f>IF((2*G3134)/60&lt;0.2,0.2,(2*G3134)/60)</f>
        <v>0.2</v>
      </c>
      <c r="BM3134" s="380">
        <f>MOD((50000+AD3134-$B$3+(0/24)),1)</f>
        <v>4.7908010070386808E-2</v>
      </c>
      <c r="BN3134" s="381" t="s">
        <v>8640</v>
      </c>
      <c r="BO3134" s="382">
        <v>3124</v>
      </c>
    </row>
    <row r="3135" spans="1:67" s="24" customFormat="1" ht="15" customHeight="1" x14ac:dyDescent="0.25">
      <c r="A3135" s="288" t="s">
        <v>2945</v>
      </c>
      <c r="B3135" s="241" t="str">
        <f>HYPERLINK(CONCATENATE($AT$3,BK3135,$AU$3),$AV$3)</f>
        <v>S</v>
      </c>
      <c r="C3135" s="242" t="str">
        <f>HYPERLINK(CONCATENATE($AT$4,BK3135,$AU$4,BL3135),$AV$4)</f>
        <v>A</v>
      </c>
      <c r="D3135" s="243" t="s">
        <v>5187</v>
      </c>
      <c r="E3135" s="244" t="s">
        <v>5181</v>
      </c>
      <c r="F3135" s="269" t="s">
        <v>6466</v>
      </c>
      <c r="G3135" s="273">
        <v>3</v>
      </c>
      <c r="H3135" s="283" t="s">
        <v>6500</v>
      </c>
      <c r="I3135" s="244" t="s">
        <v>6500</v>
      </c>
      <c r="J3135" s="246">
        <v>2</v>
      </c>
      <c r="K3135" s="247" t="s">
        <v>6467</v>
      </c>
      <c r="L3135" s="248">
        <v>203154</v>
      </c>
      <c r="M3135" s="249">
        <f>15*(LEFT(TEXT($L3135,"000000"),2)+(MID(TEXT($L3135,"000000"),3,2)/60)+(RIGHT(TEXT($L3135,"000000"),2)/3600))</f>
        <v>307.97500000000002</v>
      </c>
      <c r="N3135" s="250">
        <v>485300</v>
      </c>
      <c r="O3135" s="251">
        <f>IF($N3135&gt;0,(LEFT(TEXT($N3135,"000000"),2)+(MID(TEXT($N3135,"000000"),3,2)/60)+(RIGHT(TEXT($N3135,"000000"),2)/3600)),-(MID(TEXT($N3135,"000000"),2,2)+(MID(TEXT($N3135,"000000"),4,2)/60)+(RIGHT(TEXT($N3135,"000000"),2)/3600)))</f>
        <v>48.883333333333333</v>
      </c>
      <c r="P3135" s="252" t="s">
        <v>60</v>
      </c>
      <c r="Q3135" s="253"/>
      <c r="R3135" s="247" t="s">
        <v>3293</v>
      </c>
      <c r="S3135" s="272" t="s">
        <v>3293</v>
      </c>
      <c r="T3135" s="273"/>
      <c r="U3135" s="274"/>
      <c r="V3135" s="280"/>
      <c r="W3135" s="244"/>
      <c r="X3135" s="244"/>
      <c r="Y3135" s="362"/>
      <c r="Z3135" s="257">
        <f>altaz(J2000_Bas,$O3135,$M3135,DecLat,DecLong,1)</f>
        <v>65.608004006682478</v>
      </c>
      <c r="AA3135" s="257">
        <f>altaz((J2000_Bas+(2*0.04167)),$O3135,$M3135,DecLat,DecLong,1)</f>
        <v>71.092603859245429</v>
      </c>
      <c r="AB3135" s="257">
        <f>altaz((J2000_Bas+(4*0.04167)),$O3135,$M3135,DecLat,DecLong,1)</f>
        <v>56.201398456022012</v>
      </c>
      <c r="AC3135" s="257">
        <f>altaz((J2000_Bas+(6*0.04167)),$O3135,$M3135,DecLat,DecLong,1)</f>
        <v>36.626863111760045</v>
      </c>
      <c r="AD3135" s="258">
        <f>1+ transit((J2000_Bas-1),$O3135,$M3135,DecLat,DecLong)/360 + (GMTOffset/24) + (IF(DST="Y", 1, 0)/24)</f>
        <v>1.8483859861922081</v>
      </c>
      <c r="AE3135" s="259">
        <f>DATE(2001,9,21)+(M3135/360)*365 - (360*((DecLong/360)- (GMTOffset/24) ))</f>
        <v>37472.252430555556</v>
      </c>
      <c r="AF3135" s="260">
        <f>IF(DecLat&gt;0,IF((90 - (DecLat-O3135))&gt;90, (90 - (O3135-DecLat)), (90 - (DecLat-O3135))),IF((90 + (DecLat-O3135))&gt;90, (90 + (O3135-DecLat)), (90 + (DecLat-O3135))))</f>
        <v>72.116666666666674</v>
      </c>
      <c r="AG3135" s="257">
        <f>angularseperation(MoonRA,MoonDec,$M3135,$O3135)</f>
        <v>92.24246664974855</v>
      </c>
      <c r="AH3135" s="261">
        <f ca="1">MIN(100,IF($O$5&gt;80,0+30*($AG3135/100),IF($O$5&gt;70,0+50*($AG3135/100),IF($O$5&gt;60,5+50*($AG3135/100),IF($O$5&gt;50,10+60*($AG3135/100),IF($O$5&gt;40,15+70*($AG3135/100),IF($O$5&gt;30,20+70*($AG3135/100),IF($O$5&gt;20,40+55*($AG3135/100),(80+(20-$O$5)+30*($AG3135/100))))))))))</f>
        <v>100</v>
      </c>
      <c r="AI3135" s="262"/>
      <c r="AJ3135" s="262"/>
      <c r="AK3135" s="262"/>
      <c r="AL3135" s="263"/>
      <c r="AM3135" s="264"/>
      <c r="AN3135" s="263"/>
      <c r="AO3135" s="263"/>
      <c r="AP3135" s="265"/>
      <c r="AQ3135" s="266"/>
      <c r="AR3135" s="267"/>
      <c r="AS3135" s="263"/>
      <c r="AT3135" s="263"/>
      <c r="AU3135" s="263"/>
      <c r="AV3135" s="264"/>
      <c r="AW3135" s="263"/>
      <c r="AX3135" s="263"/>
      <c r="AY3135" s="263"/>
      <c r="AZ3135" s="263"/>
      <c r="BA3135" s="263"/>
      <c r="BB3135" s="263"/>
      <c r="BC3135" s="263"/>
      <c r="BD3135" s="264"/>
      <c r="BE3135" s="263"/>
      <c r="BF3135" s="263"/>
      <c r="BG3135" s="263"/>
      <c r="BH3135" s="263"/>
      <c r="BI3135" s="263"/>
      <c r="BJ3135" s="404">
        <f>altaz(J2000_Bas,$O3135,$M3135,DecLat,DecLong,2)</f>
        <v>36.568537347983515</v>
      </c>
      <c r="BK3135" s="378" t="s">
        <v>4135</v>
      </c>
      <c r="BL3135" s="379">
        <f>IF((2*G3135)/60&lt;0.2,0.2,(2*G3135)/60)</f>
        <v>0.2</v>
      </c>
      <c r="BM3135" s="380">
        <f>MOD((50000+AD3135-$B$3+(0/24)),1)</f>
        <v>6.3752915899385698E-2</v>
      </c>
      <c r="BN3135" s="381" t="s">
        <v>9247</v>
      </c>
      <c r="BO3135" s="382">
        <v>3125</v>
      </c>
    </row>
    <row r="3136" spans="1:67" s="24" customFormat="1" ht="16.5" customHeight="1" x14ac:dyDescent="0.25">
      <c r="A3136" s="288" t="s">
        <v>2946</v>
      </c>
      <c r="B3136" s="241" t="str">
        <f>HYPERLINK(CONCATENATE($AT$3,BK3136,$AU$3),$AV$3)</f>
        <v>S</v>
      </c>
      <c r="C3136" s="242" t="str">
        <f>HYPERLINK(CONCATENATE($AT$4,BK3136,$AU$4,BL3136),$AV$4)</f>
        <v>A</v>
      </c>
      <c r="D3136" s="243" t="s">
        <v>5187</v>
      </c>
      <c r="E3136" s="244" t="s">
        <v>5181</v>
      </c>
      <c r="F3136" s="269" t="s">
        <v>5226</v>
      </c>
      <c r="G3136" s="270">
        <v>0.4</v>
      </c>
      <c r="H3136" s="283" t="s">
        <v>6500</v>
      </c>
      <c r="I3136" s="244" t="s">
        <v>6500</v>
      </c>
      <c r="J3136" s="246">
        <v>1</v>
      </c>
      <c r="K3136" s="247" t="s">
        <v>8610</v>
      </c>
      <c r="L3136" s="248">
        <v>211054</v>
      </c>
      <c r="M3136" s="249">
        <f>15*(LEFT(TEXT($L3136,"000000"),2)+(MID(TEXT($L3136,"000000"),3,2)/60)+(RIGHT(TEXT($L3136,"000000"),2)/3600))</f>
        <v>317.72500000000002</v>
      </c>
      <c r="N3136" s="250">
        <v>503000</v>
      </c>
      <c r="O3136" s="251">
        <f>IF($N3136&gt;0,(LEFT(TEXT($N3136,"000000"),2)+(MID(TEXT($N3136,"000000"),3,2)/60)+(RIGHT(TEXT($N3136,"000000"),2)/3600)),-(MID(TEXT($N3136,"000000"),2,2)+(MID(TEXT($N3136,"000000"),4,2)/60)+(RIGHT(TEXT($N3136,"000000"),2)/3600)))</f>
        <v>50.5</v>
      </c>
      <c r="P3136" s="252" t="s">
        <v>60</v>
      </c>
      <c r="Q3136" s="253"/>
      <c r="R3136" s="277" t="s">
        <v>3293</v>
      </c>
      <c r="S3136" s="272" t="s">
        <v>3293</v>
      </c>
      <c r="T3136" s="273"/>
      <c r="U3136" s="274"/>
      <c r="V3136" s="280"/>
      <c r="W3136" s="244"/>
      <c r="X3136" s="244"/>
      <c r="Y3136" s="362"/>
      <c r="Z3136" s="257">
        <f>altaz(J2000_Bas,$O3136,$M3136,DecLat,DecLong,1)</f>
        <v>59.450234496686718</v>
      </c>
      <c r="AA3136" s="257">
        <f>altaz((J2000_Bas+(2*0.04167)),$O3136,$M3136,DecLat,DecLong,1)</f>
        <v>70.461803171916614</v>
      </c>
      <c r="AB3136" s="257">
        <f>altaz((J2000_Bas+(4*0.04167)),$O3136,$M3136,DecLat,DecLong,1)</f>
        <v>61.260065279906456</v>
      </c>
      <c r="AC3136" s="257">
        <f>altaz((J2000_Bas+(6*0.04167)),$O3136,$M3136,DecLat,DecLong,1)</f>
        <v>43.003410385652046</v>
      </c>
      <c r="AD3136" s="258">
        <f>1+ transit((J2000_Bas-1),$O3136,$M3136,DecLat,DecLong)/360 + (GMTOffset/24) + (IF(DST="Y", 1, 0)/24)</f>
        <v>1.8754693168172081</v>
      </c>
      <c r="AE3136" s="259">
        <f>DATE(2001,9,21)+(M3136/360)*365 - (360*((DecLong/360)- (GMTOffset/24) ))</f>
        <v>37482.13784722222</v>
      </c>
      <c r="AF3136" s="260">
        <f>IF(DecLat&gt;0,IF((90 - (DecLat-O3136))&gt;90, (90 - (O3136-DecLat)), (90 - (DecLat-O3136))),IF((90 + (DecLat-O3136))&gt;90, (90 + (O3136-DecLat)), (90 + (DecLat-O3136))))</f>
        <v>70.5</v>
      </c>
      <c r="AG3136" s="257">
        <f>angularseperation(MoonRA,MoonDec,$M3136,$O3136)</f>
        <v>98.256474463867278</v>
      </c>
      <c r="AH3136" s="261">
        <f ca="1">MIN(100,IF($O$5&gt;80,0+30*($AG3136/100),IF($O$5&gt;70,0+50*($AG3136/100),IF($O$5&gt;60,5+50*($AG3136/100),IF($O$5&gt;50,10+60*($AG3136/100),IF($O$5&gt;40,15+70*($AG3136/100),IF($O$5&gt;30,20+70*($AG3136/100),IF($O$5&gt;20,40+55*($AG3136/100),(80+(20-$O$5)+30*($AG3136/100))))))))))</f>
        <v>100</v>
      </c>
      <c r="AI3136" s="263"/>
      <c r="AJ3136" s="263"/>
      <c r="AK3136" s="263"/>
      <c r="AL3136" s="263"/>
      <c r="AM3136" s="264"/>
      <c r="AN3136" s="263"/>
      <c r="AO3136" s="263"/>
      <c r="AP3136" s="265"/>
      <c r="AQ3136" s="265"/>
      <c r="AR3136" s="285"/>
      <c r="AS3136" s="263"/>
      <c r="AT3136" s="263"/>
      <c r="AU3136" s="263"/>
      <c r="AV3136" s="264"/>
      <c r="AW3136" s="263"/>
      <c r="AX3136" s="263"/>
      <c r="AY3136" s="263"/>
      <c r="AZ3136" s="263"/>
      <c r="BA3136" s="263"/>
      <c r="BB3136" s="263"/>
      <c r="BC3136" s="263"/>
      <c r="BD3136" s="264"/>
      <c r="BE3136" s="263"/>
      <c r="BF3136" s="263"/>
      <c r="BG3136" s="263"/>
      <c r="BH3136" s="263"/>
      <c r="BI3136" s="263"/>
      <c r="BJ3136" s="404">
        <f>altaz(J2000_Bas,$O3136,$M3136,DecLat,DecLong,2)</f>
        <v>41.147491428940569</v>
      </c>
      <c r="BK3136" s="378" t="s">
        <v>4136</v>
      </c>
      <c r="BL3136" s="379">
        <f>IF((2*G3136)/60&lt;0.2,0.2,(2*G3136)/60)</f>
        <v>0.2</v>
      </c>
      <c r="BM3136" s="380">
        <f>MOD((50000+AD3136-$B$3+(0/24)),1)</f>
        <v>9.0836246519756969E-2</v>
      </c>
      <c r="BN3136" s="381" t="s">
        <v>8667</v>
      </c>
      <c r="BO3136" s="382">
        <v>3126</v>
      </c>
    </row>
    <row r="3137" spans="1:67" s="24" customFormat="1" ht="16.5" customHeight="1" x14ac:dyDescent="0.25">
      <c r="A3137" s="288" t="s">
        <v>2947</v>
      </c>
      <c r="B3137" s="241" t="str">
        <f>HYPERLINK(CONCATENATE($AT$3,BK3137,$AU$3),$AV$3)</f>
        <v>S</v>
      </c>
      <c r="C3137" s="242" t="str">
        <f>HYPERLINK(CONCATENATE($AT$4,BK3137,$AU$4,BL3137),$AV$4)</f>
        <v>A</v>
      </c>
      <c r="D3137" s="243" t="s">
        <v>5187</v>
      </c>
      <c r="E3137" s="244" t="s">
        <v>5181</v>
      </c>
      <c r="F3137" s="269" t="s">
        <v>4797</v>
      </c>
      <c r="G3137" s="273">
        <v>1.2</v>
      </c>
      <c r="H3137" s="283" t="s">
        <v>6500</v>
      </c>
      <c r="I3137" s="244" t="s">
        <v>6500</v>
      </c>
      <c r="J3137" s="246">
        <v>1</v>
      </c>
      <c r="K3137" s="247" t="s">
        <v>6471</v>
      </c>
      <c r="L3137" s="248">
        <v>211806</v>
      </c>
      <c r="M3137" s="249">
        <f>15*(LEFT(TEXT($L3137,"000000"),2)+(MID(TEXT($L3137,"000000"),3,2)/60)+(RIGHT(TEXT($L3137,"000000"),2)/3600))</f>
        <v>319.52499999999998</v>
      </c>
      <c r="N3137" s="250">
        <v>433000</v>
      </c>
      <c r="O3137" s="251">
        <f>IF($N3137&gt;0,(LEFT(TEXT($N3137,"000000"),2)+(MID(TEXT($N3137,"000000"),3,2)/60)+(RIGHT(TEXT($N3137,"000000"),2)/3600)),-(MID(TEXT($N3137,"000000"),2,2)+(MID(TEXT($N3137,"000000"),4,2)/60)+(RIGHT(TEXT($N3137,"000000"),2)/3600)))</f>
        <v>43.5</v>
      </c>
      <c r="P3137" s="252" t="s">
        <v>60</v>
      </c>
      <c r="Q3137" s="253"/>
      <c r="R3137" s="277" t="s">
        <v>3293</v>
      </c>
      <c r="S3137" s="272" t="s">
        <v>3293</v>
      </c>
      <c r="T3137" s="273"/>
      <c r="U3137" s="274"/>
      <c r="V3137" s="280"/>
      <c r="W3137" s="244"/>
      <c r="X3137" s="244"/>
      <c r="Y3137" s="362"/>
      <c r="Z3137" s="257">
        <f>altaz(J2000_Bas,$O3137,$M3137,DecLat,DecLong,1)</f>
        <v>60.794778885060587</v>
      </c>
      <c r="AA3137" s="257">
        <f>altaz((J2000_Bas+(2*0.04167)),$O3137,$M3137,DecLat,DecLong,1)</f>
        <v>77.20717957032069</v>
      </c>
      <c r="AB3137" s="257">
        <f>altaz((J2000_Bas+(4*0.04167)),$O3137,$M3137,DecLat,DecLong,1)</f>
        <v>65.540948156616807</v>
      </c>
      <c r="AC3137" s="257">
        <f>altaz((J2000_Bas+(6*0.04167)),$O3137,$M3137,DecLat,DecLong,1)</f>
        <v>44.07581620860929</v>
      </c>
      <c r="AD3137" s="258">
        <f>1+ transit((J2000_Bas-1),$O3137,$M3137,DecLat,DecLong)/360 + (GMTOffset/24) + (IF(DST="Y", 1, 0)/24)</f>
        <v>1.8804693163172079</v>
      </c>
      <c r="AE3137" s="259">
        <f>DATE(2001,9,21)+(M3137/360)*365 - (360*((DecLong/360)- (GMTOffset/24) ))</f>
        <v>37483.962847222225</v>
      </c>
      <c r="AF3137" s="260">
        <f>IF(DecLat&gt;0,IF((90 - (DecLat-O3137))&gt;90, (90 - (O3137-DecLat)), (90 - (DecLat-O3137))),IF((90 + (DecLat-O3137))&gt;90, (90 + (O3137-DecLat)), (90 + (DecLat-O3137))))</f>
        <v>77.5</v>
      </c>
      <c r="AG3137" s="257">
        <f>angularseperation(MoonRA,MoonDec,$M3137,$O3137)</f>
        <v>95.48129777829844</v>
      </c>
      <c r="AH3137" s="261">
        <f ca="1">MIN(100,IF($O$5&gt;80,0+30*($AG3137/100),IF($O$5&gt;70,0+50*($AG3137/100),IF($O$5&gt;60,5+50*($AG3137/100),IF($O$5&gt;50,10+60*($AG3137/100),IF($O$5&gt;40,15+70*($AG3137/100),IF($O$5&gt;30,20+70*($AG3137/100),IF($O$5&gt;20,40+55*($AG3137/100),(80+(20-$O$5)+30*($AG3137/100))))))))))</f>
        <v>100</v>
      </c>
      <c r="AI3137" s="263"/>
      <c r="AJ3137" s="263"/>
      <c r="AK3137" s="263"/>
      <c r="AL3137" s="263"/>
      <c r="AM3137" s="264"/>
      <c r="AN3137" s="263"/>
      <c r="AO3137" s="263"/>
      <c r="AP3137" s="265"/>
      <c r="AQ3137" s="265"/>
      <c r="AR3137" s="285"/>
      <c r="AS3137" s="263"/>
      <c r="AT3137" s="263"/>
      <c r="AU3137" s="263"/>
      <c r="AV3137" s="264"/>
      <c r="AW3137" s="263"/>
      <c r="AX3137" s="263"/>
      <c r="AY3137" s="263"/>
      <c r="AZ3137" s="263"/>
      <c r="BA3137" s="263"/>
      <c r="BB3137" s="263"/>
      <c r="BC3137" s="263"/>
      <c r="BD3137" s="264"/>
      <c r="BE3137" s="263"/>
      <c r="BF3137" s="263"/>
      <c r="BG3137" s="263"/>
      <c r="BH3137" s="263"/>
      <c r="BI3137" s="263"/>
      <c r="BJ3137" s="404">
        <f>altaz(J2000_Bas,$O3137,$M3137,DecLat,DecLong,2)</f>
        <v>55.184822256609671</v>
      </c>
      <c r="BK3137" s="378" t="s">
        <v>4137</v>
      </c>
      <c r="BL3137" s="379">
        <f>IF((2*G3137)/60&lt;0.2,0.2,(2*G3137)/60)</f>
        <v>0.2</v>
      </c>
      <c r="BM3137" s="380">
        <f>MOD((50000+AD3137-$B$3+(0/24)),1)</f>
        <v>9.5836246022372507E-2</v>
      </c>
      <c r="BN3137" s="381" t="s">
        <v>8640</v>
      </c>
      <c r="BO3137" s="382">
        <v>3127</v>
      </c>
    </row>
    <row r="3138" spans="1:67" s="24" customFormat="1" ht="15" customHeight="1" x14ac:dyDescent="0.25">
      <c r="A3138" s="287" t="s">
        <v>2948</v>
      </c>
      <c r="B3138" s="241" t="str">
        <f>HYPERLINK(CONCATENATE($AT$3,BK3138,$AU$3),$AV$3)</f>
        <v>S</v>
      </c>
      <c r="C3138" s="242" t="str">
        <f>HYPERLINK(CONCATENATE($AT$4,BK3138,$AU$4,BL3138),$AV$4)</f>
        <v>A</v>
      </c>
      <c r="D3138" s="243" t="s">
        <v>5187</v>
      </c>
      <c r="E3138" s="244" t="s">
        <v>5181</v>
      </c>
      <c r="F3138" s="269" t="s">
        <v>6472</v>
      </c>
      <c r="G3138" s="270">
        <v>0.6</v>
      </c>
      <c r="H3138" s="283" t="s">
        <v>6500</v>
      </c>
      <c r="I3138" s="244" t="s">
        <v>6500</v>
      </c>
      <c r="J3138" s="246">
        <v>1</v>
      </c>
      <c r="K3138" s="247" t="s">
        <v>6473</v>
      </c>
      <c r="L3138" s="248">
        <v>183400</v>
      </c>
      <c r="M3138" s="249">
        <f>15*(LEFT(TEXT($L3138,"000000"),2)+(MID(TEXT($L3138,"000000"),3,2)/60)+(RIGHT(TEXT($L3138,"000000"),2)/3600))</f>
        <v>278.5</v>
      </c>
      <c r="N3138" s="250">
        <v>143000</v>
      </c>
      <c r="O3138" s="251">
        <f>IF($N3138&gt;0,(LEFT(TEXT($N3138,"000000"),2)+(MID(TEXT($N3138,"000000"),3,2)/60)+(RIGHT(TEXT($N3138,"000000"),2)/3600)),-(MID(TEXT($N3138,"000000"),2,2)+(MID(TEXT($N3138,"000000"),4,2)/60)+(RIGHT(TEXT($N3138,"000000"),2)/3600)))</f>
        <v>14.5</v>
      </c>
      <c r="P3138" s="252" t="s">
        <v>111</v>
      </c>
      <c r="Q3138" s="253"/>
      <c r="R3138" s="277" t="s">
        <v>3293</v>
      </c>
      <c r="S3138" s="272" t="s">
        <v>3293</v>
      </c>
      <c r="T3138" s="273"/>
      <c r="U3138" s="274"/>
      <c r="V3138" s="280"/>
      <c r="W3138" s="244"/>
      <c r="X3138" s="244"/>
      <c r="Y3138" s="362"/>
      <c r="Z3138" s="257">
        <f>altaz(J2000_Bas,$O3138,$M3138,DecLat,DecLong,1)</f>
        <v>72.122524761817843</v>
      </c>
      <c r="AA3138" s="257">
        <f>altaz((J2000_Bas+(2*0.04167)),$O3138,$M3138,DecLat,DecLong,1)</f>
        <v>51.865342625604235</v>
      </c>
      <c r="AB3138" s="257">
        <f>altaz((J2000_Bas+(4*0.04167)),$O3138,$M3138,DecLat,DecLong,1)</f>
        <v>26.374176598490045</v>
      </c>
      <c r="AC3138" s="257">
        <f>altaz((J2000_Bas+(6*0.04167)),$O3138,$M3138,DecLat,DecLong,1)</f>
        <v>0.97163497412074484</v>
      </c>
      <c r="AD3138" s="258">
        <f>1+ transit((J2000_Bas-1),$O3138,$M3138,DecLat,DecLong)/360 + (GMTOffset/24) + (IF(DST="Y", 1, 0)/24)</f>
        <v>1.7665109943797082</v>
      </c>
      <c r="AE3138" s="259">
        <f>DATE(2001,9,21)+(M3138/360)*365 - (360*((DecLong/360)- (GMTOffset/24) ))</f>
        <v>37442.368055555555</v>
      </c>
      <c r="AF3138" s="260">
        <f>IF(DecLat&gt;0,IF((90 - (DecLat-O3138))&gt;90, (90 - (O3138-DecLat)), (90 - (DecLat-O3138))),IF((90 + (DecLat-O3138))&gt;90, (90 + (O3138-DecLat)), (90 + (DecLat-O3138))))</f>
        <v>73.5</v>
      </c>
      <c r="AG3138" s="257">
        <f>angularseperation(MoonRA,MoonDec,$M3138,$O3138)</f>
        <v>50.355885337898599</v>
      </c>
      <c r="AH3138" s="261">
        <f ca="1">MIN(100,IF($O$5&gt;80,0+30*($AG3138/100),IF($O$5&gt;70,0+50*($AG3138/100),IF($O$5&gt;60,5+50*($AG3138/100),IF($O$5&gt;50,10+60*($AG3138/100),IF($O$5&gt;40,15+70*($AG3138/100),IF($O$5&gt;30,20+70*($AG3138/100),IF($O$5&gt;20,40+55*($AG3138/100),(80+(20-$O$5)+30*($AG3138/100))))))))))</f>
        <v>98.377825945520001</v>
      </c>
      <c r="AI3138" s="263"/>
      <c r="AJ3138" s="263"/>
      <c r="AK3138" s="263"/>
      <c r="AL3138" s="263"/>
      <c r="AM3138" s="264"/>
      <c r="AN3138" s="263"/>
      <c r="AO3138" s="263"/>
      <c r="AP3138" s="265"/>
      <c r="AQ3138" s="265"/>
      <c r="AR3138" s="285"/>
      <c r="AS3138" s="263"/>
      <c r="AT3138" s="263"/>
      <c r="AU3138" s="263"/>
      <c r="AV3138" s="264"/>
      <c r="AW3138" s="263"/>
      <c r="AX3138" s="263"/>
      <c r="AY3138" s="263"/>
      <c r="AZ3138" s="263"/>
      <c r="BA3138" s="263"/>
      <c r="BB3138" s="263"/>
      <c r="BC3138" s="263"/>
      <c r="BD3138" s="264"/>
      <c r="BE3138" s="263"/>
      <c r="BF3138" s="263"/>
      <c r="BG3138" s="263"/>
      <c r="BH3138" s="263"/>
      <c r="BI3138" s="263"/>
      <c r="BJ3138" s="404">
        <f>altaz(J2000_Bas,$O3138,$M3138,DecLat,DecLong,2)</f>
        <v>204.31739365981844</v>
      </c>
      <c r="BK3138" s="378" t="s">
        <v>4138</v>
      </c>
      <c r="BL3138" s="379">
        <f>IF((2*G3138)/60&lt;0.2,0.2,(2*G3138)/60)</f>
        <v>0.2</v>
      </c>
      <c r="BM3138" s="380">
        <f>MOD((50000+AD3138-$B$3+(0/24)),1)</f>
        <v>0.98187792408134555</v>
      </c>
      <c r="BN3138" s="381" t="s">
        <v>8667</v>
      </c>
      <c r="BO3138" s="382">
        <v>3128</v>
      </c>
    </row>
    <row r="3139" spans="1:67" s="24" customFormat="1" ht="16.5" customHeight="1" x14ac:dyDescent="0.25">
      <c r="A3139" s="288" t="s">
        <v>2949</v>
      </c>
      <c r="B3139" s="241" t="str">
        <f>HYPERLINK(CONCATENATE($AT$3,BK3139,$AU$3),$AV$3)</f>
        <v>S</v>
      </c>
      <c r="C3139" s="242" t="str">
        <f>HYPERLINK(CONCATENATE($AT$4,BK3139,$AU$4,BL3139),$AV$4)</f>
        <v>A</v>
      </c>
      <c r="D3139" s="243" t="s">
        <v>5187</v>
      </c>
      <c r="E3139" s="244" t="s">
        <v>5181</v>
      </c>
      <c r="F3139" s="269" t="s">
        <v>6222</v>
      </c>
      <c r="G3139" s="273">
        <v>1.3</v>
      </c>
      <c r="H3139" s="283">
        <v>5120</v>
      </c>
      <c r="I3139" s="279">
        <v>2</v>
      </c>
      <c r="J3139" s="246">
        <v>2</v>
      </c>
      <c r="K3139" s="247" t="s">
        <v>6474</v>
      </c>
      <c r="L3139" s="248">
        <v>24014</v>
      </c>
      <c r="M3139" s="249">
        <f>15*(LEFT(TEXT($L3139,"000000"),2)+(MID(TEXT($L3139,"000000"),3,2)/60)+(RIGHT(TEXT($L3139,"000000"),2)/3600))</f>
        <v>40.058333333333337</v>
      </c>
      <c r="N3139" s="250">
        <v>610917</v>
      </c>
      <c r="O3139" s="251">
        <f>IF($N3139&gt;0,(LEFT(TEXT($N3139,"000000"),2)+(MID(TEXT($N3139,"000000"),3,2)/60)+(RIGHT(TEXT($N3139,"000000"),2)/3600)),-(MID(TEXT($N3139,"000000"),2,2)+(MID(TEXT($N3139,"000000"),4,2)/60)+(RIGHT(TEXT($N3139,"000000"),2)/3600)))</f>
        <v>61.154722222222219</v>
      </c>
      <c r="P3139" s="252" t="s">
        <v>49</v>
      </c>
      <c r="Q3139" s="253"/>
      <c r="R3139" s="247" t="s">
        <v>3293</v>
      </c>
      <c r="S3139" s="272" t="s">
        <v>3293</v>
      </c>
      <c r="T3139" s="273">
        <v>14.5</v>
      </c>
      <c r="U3139" s="274"/>
      <c r="V3139" s="280"/>
      <c r="W3139" s="244"/>
      <c r="X3139" s="244"/>
      <c r="Y3139" s="362"/>
      <c r="Z3139" s="257">
        <f>altaz(J2000_Bas,$O3139,$M3139,DecLat,DecLong,1)</f>
        <v>16.413484925454512</v>
      </c>
      <c r="AA3139" s="257">
        <f>altaz((J2000_Bas+(2*0.04167)),$O3139,$M3139,DecLat,DecLong,1)</f>
        <v>29.641298196188629</v>
      </c>
      <c r="AB3139" s="257">
        <f>altaz((J2000_Bas+(4*0.04167)),$O3139,$M3139,DecLat,DecLong,1)</f>
        <v>44.016666326822943</v>
      </c>
      <c r="AC3139" s="257">
        <f>altaz((J2000_Bas+(6*0.04167)),$O3139,$M3139,DecLat,DecLong,1)</f>
        <v>56.047274541744223</v>
      </c>
      <c r="AD3139" s="258">
        <f>1+ transit((J2000_Bas-1),$O3139,$M3139,DecLat,DecLong)/360 + (GMTOffset/24) + (IF(DST="Y", 1, 0)/24)</f>
        <v>1.1041730976505413</v>
      </c>
      <c r="AE3139" s="259">
        <f>DATE(2001,9,21)+(M3139/360)*365 - (360*((DecLong/360)- (GMTOffset/24) ))</f>
        <v>37200.614699074074</v>
      </c>
      <c r="AF3139" s="260">
        <f>IF(DecLat&gt;0,IF((90 - (DecLat-O3139))&gt;90, (90 - (O3139-DecLat)), (90 - (DecLat-O3139))),IF((90 + (DecLat-O3139))&gt;90, (90 + (O3139-DecLat)), (90 + (DecLat-O3139))))</f>
        <v>59.845277777777781</v>
      </c>
      <c r="AG3139" s="257">
        <f>angularseperation(MoonRA,MoonDec,$M3139,$O3139)</f>
        <v>140.69840099046888</v>
      </c>
      <c r="AH3139" s="261">
        <f ca="1">MIN(100,IF($O$5&gt;80,0+30*($AG3139/100),IF($O$5&gt;70,0+50*($AG3139/100),IF($O$5&gt;60,5+50*($AG3139/100),IF($O$5&gt;50,10+60*($AG3139/100),IF($O$5&gt;40,15+70*($AG3139/100),IF($O$5&gt;30,20+70*($AG3139/100),IF($O$5&gt;20,40+55*($AG3139/100),(80+(20-$O$5)+30*($AG3139/100))))))))))</f>
        <v>100</v>
      </c>
      <c r="AI3139" s="262"/>
      <c r="AJ3139" s="262"/>
      <c r="AK3139" s="262"/>
      <c r="AL3139" s="263"/>
      <c r="AM3139" s="264"/>
      <c r="AN3139" s="263"/>
      <c r="AO3139" s="263"/>
      <c r="AP3139" s="265"/>
      <c r="AQ3139" s="266"/>
      <c r="AR3139" s="267"/>
      <c r="AS3139" s="263"/>
      <c r="AT3139" s="263"/>
      <c r="AU3139" s="263"/>
      <c r="AV3139" s="264"/>
      <c r="AW3139" s="263"/>
      <c r="AX3139" s="263"/>
      <c r="AY3139" s="263"/>
      <c r="AZ3139" s="263"/>
      <c r="BA3139" s="263"/>
      <c r="BB3139" s="263"/>
      <c r="BC3139" s="263"/>
      <c r="BD3139" s="264"/>
      <c r="BE3139" s="263"/>
      <c r="BF3139" s="263"/>
      <c r="BG3139" s="263"/>
      <c r="BH3139" s="263"/>
      <c r="BI3139" s="263"/>
      <c r="BJ3139" s="404">
        <f>altaz(J2000_Bas,$O3139,$M3139,DecLat,DecLong,2)</f>
        <v>27.339459270612995</v>
      </c>
      <c r="BK3139" s="378" t="s">
        <v>2949</v>
      </c>
      <c r="BL3139" s="379">
        <f>IF((2*G3139)/60&lt;0.2,0.2,(2*G3139)/60)</f>
        <v>0.2</v>
      </c>
      <c r="BM3139" s="380">
        <f>MOD((50000+AD3139-$B$3+(0/24)),1)</f>
        <v>0.31954002735437825</v>
      </c>
      <c r="BN3139" s="381" t="s">
        <v>8640</v>
      </c>
      <c r="BO3139" s="382">
        <v>3129</v>
      </c>
    </row>
    <row r="3140" spans="1:67" s="24" customFormat="1" ht="16.5" customHeight="1" x14ac:dyDescent="0.25">
      <c r="A3140" s="288" t="s">
        <v>2950</v>
      </c>
      <c r="B3140" s="241" t="str">
        <f>HYPERLINK(CONCATENATE($AT$3,BK3140,$AU$3),$AV$3)</f>
        <v>S</v>
      </c>
      <c r="C3140" s="242" t="str">
        <f>HYPERLINK(CONCATENATE($AT$4,BK3140,$AU$4,BL3140),$AV$4)</f>
        <v>A</v>
      </c>
      <c r="D3140" s="243" t="s">
        <v>5187</v>
      </c>
      <c r="E3140" s="244" t="s">
        <v>5181</v>
      </c>
      <c r="F3140" s="269" t="s">
        <v>4806</v>
      </c>
      <c r="G3140" s="276">
        <v>15</v>
      </c>
      <c r="H3140" s="283">
        <v>1890</v>
      </c>
      <c r="I3140" s="279">
        <v>8</v>
      </c>
      <c r="J3140" s="246">
        <v>2</v>
      </c>
      <c r="K3140" s="247" t="s">
        <v>6498</v>
      </c>
      <c r="L3140" s="248">
        <v>55900</v>
      </c>
      <c r="M3140" s="249">
        <f>15*(LEFT(TEXT($L3140,"000000"),2)+(MID(TEXT($L3140,"000000"),3,2)/60)+(RIGHT(TEXT($L3140,"000000"),2)/3600))</f>
        <v>89.75</v>
      </c>
      <c r="N3140" s="250">
        <v>104200</v>
      </c>
      <c r="O3140" s="251">
        <f>IF($N3140&gt;0,(LEFT(TEXT($N3140,"000000"),2)+(MID(TEXT($N3140,"000000"),3,2)/60)+(RIGHT(TEXT($N3140,"000000"),2)/3600)),-(MID(TEXT($N3140,"000000"),2,2)+(MID(TEXT($N3140,"000000"),4,2)/60)+(RIGHT(TEXT($N3140,"000000"),2)/3600)))</f>
        <v>10.7</v>
      </c>
      <c r="P3140" s="252" t="s">
        <v>41</v>
      </c>
      <c r="Q3140" s="253"/>
      <c r="R3140" s="277" t="s">
        <v>3293</v>
      </c>
      <c r="S3140" s="272" t="s">
        <v>3293</v>
      </c>
      <c r="T3140" s="273">
        <v>17.2</v>
      </c>
      <c r="U3140" s="274"/>
      <c r="V3140" s="280"/>
      <c r="W3140" s="244"/>
      <c r="X3140" s="244"/>
      <c r="Y3140" s="362"/>
      <c r="Z3140" s="257">
        <f>altaz(J2000_Bas,$O3140,$M3140,DecLat,DecLong,1)</f>
        <v>-45.477800352132711</v>
      </c>
      <c r="AA3140" s="257">
        <f>altaz((J2000_Bas+(2*0.04167)),$O3140,$M3140,DecLat,DecLong,1)</f>
        <v>-29.070440996732458</v>
      </c>
      <c r="AB3140" s="257">
        <f>altaz((J2000_Bas+(4*0.04167)),$O3140,$M3140,DecLat,DecLong,1)</f>
        <v>-5.8610311667283144</v>
      </c>
      <c r="AC3140" s="257">
        <f>altaz((J2000_Bas+(6*0.04167)),$O3140,$M3140,DecLat,DecLong,1)</f>
        <v>19.568242595549115</v>
      </c>
      <c r="AD3140" s="258">
        <f>1+ transit((J2000_Bas-1),$O3140,$M3140,DecLat,DecLong)/360 + (GMTOffset/24) + (IF(DST="Y", 1, 0)/24)</f>
        <v>1.242205491254708</v>
      </c>
      <c r="AE3140" s="259">
        <f>DATE(2001,9,21)+(M3140/360)*365 - (360*((DecLong/360)- (GMTOffset/24) ))</f>
        <v>37250.996527777781</v>
      </c>
      <c r="AF3140" s="260">
        <f>IF(DecLat&gt;0,IF((90 - (DecLat-O3140))&gt;90, (90 - (O3140-DecLat)), (90 - (DecLat-O3140))),IF((90 + (DecLat-O3140))&gt;90, (90 + (O3140-DecLat)), (90 + (DecLat-O3140))))</f>
        <v>69.7</v>
      </c>
      <c r="AG3140" s="257">
        <f>angularseperation(MoonRA,MoonDec,$M3140,$O3140)</f>
        <v>154.68172294736493</v>
      </c>
      <c r="AH3140" s="261">
        <f ca="1">MIN(100,IF($O$5&gt;80,0+30*($AG3140/100),IF($O$5&gt;70,0+50*($AG3140/100),IF($O$5&gt;60,5+50*($AG3140/100),IF($O$5&gt;50,10+60*($AG3140/100),IF($O$5&gt;40,15+70*($AG3140/100),IF($O$5&gt;30,20+70*($AG3140/100),IF($O$5&gt;20,40+55*($AG3140/100),(80+(20-$O$5)+30*($AG3140/100))))))))))</f>
        <v>100</v>
      </c>
      <c r="AI3140" s="263"/>
      <c r="AJ3140" s="263"/>
      <c r="AK3140" s="263"/>
      <c r="AL3140" s="263"/>
      <c r="AM3140" s="264"/>
      <c r="AN3140" s="263"/>
      <c r="AO3140" s="263"/>
      <c r="AP3140" s="265"/>
      <c r="AQ3140" s="265"/>
      <c r="AR3140" s="285"/>
      <c r="AS3140" s="263"/>
      <c r="AT3140" s="263"/>
      <c r="AU3140" s="263"/>
      <c r="AV3140" s="264"/>
      <c r="AW3140" s="263"/>
      <c r="AX3140" s="263"/>
      <c r="AY3140" s="263"/>
      <c r="AZ3140" s="263"/>
      <c r="BA3140" s="263"/>
      <c r="BB3140" s="263"/>
      <c r="BC3140" s="263"/>
      <c r="BD3140" s="264"/>
      <c r="BE3140" s="263"/>
      <c r="BF3140" s="263"/>
      <c r="BG3140" s="263"/>
      <c r="BH3140" s="263"/>
      <c r="BI3140" s="263">
        <v>42</v>
      </c>
      <c r="BJ3140" s="404">
        <f>altaz(J2000_Bas,$O3140,$M3140,DecLat,DecLong,2)</f>
        <v>23.091622981581597</v>
      </c>
      <c r="BK3140" s="378" t="s">
        <v>4139</v>
      </c>
      <c r="BL3140" s="379">
        <f>IF((2*G3140)/60&lt;0.2,0.2,(2*G3140)/60)</f>
        <v>0.5</v>
      </c>
      <c r="BM3140" s="380">
        <f>MOD((50000+AD3140-$B$3+(0/24)),1)</f>
        <v>0.45757242095714901</v>
      </c>
      <c r="BN3140" s="381" t="s">
        <v>8640</v>
      </c>
      <c r="BO3140" s="382">
        <v>3130</v>
      </c>
    </row>
    <row r="3141" spans="1:67" s="24" customFormat="1" ht="15" customHeight="1" x14ac:dyDescent="0.25">
      <c r="A3141" s="287" t="s">
        <v>2951</v>
      </c>
      <c r="B3141" s="241" t="str">
        <f>HYPERLINK(CONCATENATE($AT$3,BK3141,$AU$3),$AV$3)</f>
        <v>S</v>
      </c>
      <c r="C3141" s="242" t="str">
        <f>HYPERLINK(CONCATENATE($AT$4,BK3141,$AU$4,BL3141),$AV$4)</f>
        <v>A</v>
      </c>
      <c r="D3141" s="243" t="s">
        <v>5187</v>
      </c>
      <c r="E3141" s="244" t="s">
        <v>5181</v>
      </c>
      <c r="F3141" s="269" t="s">
        <v>4793</v>
      </c>
      <c r="G3141" s="273">
        <v>2</v>
      </c>
      <c r="H3141" s="271" t="s">
        <v>6500</v>
      </c>
      <c r="I3141" s="244" t="s">
        <v>6500</v>
      </c>
      <c r="J3141" s="246">
        <v>1</v>
      </c>
      <c r="K3141" s="247" t="s">
        <v>6499</v>
      </c>
      <c r="L3141" s="248">
        <v>61612</v>
      </c>
      <c r="M3141" s="249">
        <f>15*(LEFT(TEXT($L3141,"000000"),2)+(MID(TEXT($L3141,"000000"),3,2)/60)+(RIGHT(TEXT($L3141,"000000"),2)/3600))</f>
        <v>94.05</v>
      </c>
      <c r="N3141" s="250">
        <v>282200</v>
      </c>
      <c r="O3141" s="251">
        <f>IF($N3141&gt;0,(LEFT(TEXT($N3141,"000000"),2)+(MID(TEXT($N3141,"000000"),3,2)/60)+(RIGHT(TEXT($N3141,"000000"),2)/3600)),-(MID(TEXT($N3141,"000000"),2,2)+(MID(TEXT($N3141,"000000"),4,2)/60)+(RIGHT(TEXT($N3141,"000000"),2)/3600)))</f>
        <v>28.366666666666667</v>
      </c>
      <c r="P3141" s="252" t="s">
        <v>62</v>
      </c>
      <c r="Q3141" s="253"/>
      <c r="R3141" s="277" t="s">
        <v>3293</v>
      </c>
      <c r="S3141" s="272" t="s">
        <v>3293</v>
      </c>
      <c r="T3141" s="273"/>
      <c r="U3141" s="274"/>
      <c r="V3141" s="280"/>
      <c r="W3141" s="244"/>
      <c r="X3141" s="244"/>
      <c r="Y3141" s="362"/>
      <c r="Z3141" s="257">
        <f>altaz(J2000_Bas,$O3141,$M3141,DecLat,DecLong,1)</f>
        <v>-29.550432934754681</v>
      </c>
      <c r="AA3141" s="257">
        <f>altaz((J2000_Bas+(2*0.04167)),$O3141,$M3141,DecLat,DecLong,1)</f>
        <v>-18.389994061532306</v>
      </c>
      <c r="AB3141" s="257">
        <f>altaz((J2000_Bas+(4*0.04167)),$O3141,$M3141,DecLat,DecLong,1)</f>
        <v>0.75354142990607098</v>
      </c>
      <c r="AC3141" s="257">
        <f>altaz((J2000_Bas+(6*0.04167)),$O3141,$M3141,DecLat,DecLong,1)</f>
        <v>23.839234822348676</v>
      </c>
      <c r="AD3141" s="258">
        <f>1+ transit((J2000_Bas-1),$O3141,$M3141,DecLat,DecLong)/360 + (GMTOffset/24) + (IF(DST="Y", 1, 0)/24)</f>
        <v>1.254149934504708</v>
      </c>
      <c r="AE3141" s="259">
        <f>DATE(2001,9,21)+(M3141/360)*365 - (360*((DecLong/360)- (GMTOffset/24) ))</f>
        <v>37255.356249999997</v>
      </c>
      <c r="AF3141" s="260">
        <f>IF(DecLat&gt;0,IF((90 - (DecLat-O3141))&gt;90, (90 - (O3141-DecLat)), (90 - (DecLat-O3141))),IF((90 + (DecLat-O3141))&gt;90, (90 + (O3141-DecLat)), (90 + (DecLat-O3141))))</f>
        <v>87.366666666666674</v>
      </c>
      <c r="AG3141" s="257">
        <f>angularseperation(MoonRA,MoonDec,$M3141,$O3141)</f>
        <v>158.04120337507464</v>
      </c>
      <c r="AH3141" s="261">
        <f ca="1">MIN(100,IF($O$5&gt;80,0+30*($AG3141/100),IF($O$5&gt;70,0+50*($AG3141/100),IF($O$5&gt;60,5+50*($AG3141/100),IF($O$5&gt;50,10+60*($AG3141/100),IF($O$5&gt;40,15+70*($AG3141/100),IF($O$5&gt;30,20+70*($AG3141/100),IF($O$5&gt;20,40+55*($AG3141/100),(80+(20-$O$5)+30*($AG3141/100))))))))))</f>
        <v>100</v>
      </c>
      <c r="AI3141" s="263"/>
      <c r="AJ3141" s="263"/>
      <c r="AK3141" s="263"/>
      <c r="AL3141" s="263"/>
      <c r="AM3141" s="264"/>
      <c r="AN3141" s="263"/>
      <c r="AO3141" s="263"/>
      <c r="AP3141" s="265"/>
      <c r="AQ3141" s="265"/>
      <c r="AR3141" s="285"/>
      <c r="AS3141" s="263"/>
      <c r="AT3141" s="263"/>
      <c r="AU3141" s="263"/>
      <c r="AV3141" s="264"/>
      <c r="AW3141" s="263"/>
      <c r="AX3141" s="263"/>
      <c r="AY3141" s="263"/>
      <c r="AZ3141" s="263"/>
      <c r="BA3141" s="263"/>
      <c r="BB3141" s="263"/>
      <c r="BC3141" s="263"/>
      <c r="BD3141" s="264"/>
      <c r="BE3141" s="263"/>
      <c r="BF3141" s="263"/>
      <c r="BG3141" s="263"/>
      <c r="BH3141" s="263"/>
      <c r="BI3141" s="263"/>
      <c r="BJ3141" s="404">
        <f>altaz(J2000_Bas,$O3141,$M3141,DecLat,DecLong,2)</f>
        <v>12.092135191705989</v>
      </c>
      <c r="BK3141" s="378" t="s">
        <v>4140</v>
      </c>
      <c r="BL3141" s="379">
        <f>IF((2*G3141)/60&lt;0.2,0.2,(2*G3141)/60)</f>
        <v>0.2</v>
      </c>
      <c r="BM3141" s="380">
        <f>MOD((50000+AD3141-$B$3+(0/24)),1)</f>
        <v>0.4695168642065255</v>
      </c>
      <c r="BN3141" s="381" t="s">
        <v>8640</v>
      </c>
      <c r="BO3141" s="382">
        <v>3131</v>
      </c>
    </row>
    <row r="3142" spans="1:67" s="24" customFormat="1" ht="15" customHeight="1" x14ac:dyDescent="0.25">
      <c r="A3142" s="287" t="s">
        <v>9395</v>
      </c>
      <c r="B3142" s="241" t="str">
        <f>HYPERLINK(CONCATENATE($AT$3,BK3142,$AU$3),$AV$3)</f>
        <v>S</v>
      </c>
      <c r="C3142" s="242" t="str">
        <f>HYPERLINK(CONCATENATE($AT$4,BK3142,$AU$4,BL3142),$AV$4)</f>
        <v>A</v>
      </c>
      <c r="D3142" s="243" t="s">
        <v>5187</v>
      </c>
      <c r="E3142" s="244" t="s">
        <v>5181</v>
      </c>
      <c r="F3142" s="269" t="s">
        <v>6501</v>
      </c>
      <c r="G3142" s="270">
        <v>0.6</v>
      </c>
      <c r="H3142" s="271" t="s">
        <v>6500</v>
      </c>
      <c r="I3142" s="244" t="s">
        <v>6500</v>
      </c>
      <c r="J3142" s="246">
        <v>1</v>
      </c>
      <c r="K3142" s="247" t="s">
        <v>9396</v>
      </c>
      <c r="L3142" s="248">
        <v>180600</v>
      </c>
      <c r="M3142" s="249">
        <f>15*(LEFT(TEXT($L3142,"000000"),2)+(MID(TEXT($L3142,"000000"),3,2)/60)+(RIGHT(TEXT($L3142,"000000"),2)/3600))</f>
        <v>271.5</v>
      </c>
      <c r="N3142" s="250">
        <v>1200</v>
      </c>
      <c r="O3142" s="251">
        <f>IF($N3142&gt;0,(LEFT(TEXT($N3142,"000000"),2)+(MID(TEXT($N3142,"000000"),3,2)/60)+(RIGHT(TEXT($N3142,"000000"),2)/3600)),-(MID(TEXT($N3142,"000000"),2,2)+(MID(TEXT($N3142,"000000"),4,2)/60)+(RIGHT(TEXT($N3142,"000000"),2)/3600)))</f>
        <v>0.2</v>
      </c>
      <c r="P3142" s="252" t="s">
        <v>113</v>
      </c>
      <c r="Q3142" s="253"/>
      <c r="R3142" s="277" t="s">
        <v>3293</v>
      </c>
      <c r="S3142" s="272" t="s">
        <v>3293</v>
      </c>
      <c r="T3142" s="273">
        <v>16.8</v>
      </c>
      <c r="U3142" s="274"/>
      <c r="V3142" s="280"/>
      <c r="W3142" s="244"/>
      <c r="X3142" s="244"/>
      <c r="Y3142" s="362"/>
      <c r="Z3142" s="257">
        <f>altaz(J2000_Bas,$O3142,$M3142,DecLat,DecLong,1)</f>
        <v>56.268341779915858</v>
      </c>
      <c r="AA3142" s="257">
        <f>altaz((J2000_Bas+(2*0.04167)),$O3142,$M3142,DecLat,DecLong,1)</f>
        <v>37.752682035474635</v>
      </c>
      <c r="AB3142" s="257">
        <f>altaz((J2000_Bas+(4*0.04167)),$O3142,$M3142,DecLat,DecLong,1)</f>
        <v>13.202180544820271</v>
      </c>
      <c r="AC3142" s="257">
        <f>altaz((J2000_Bas+(6*0.04167)),$O3142,$M3142,DecLat,DecLong,1)</f>
        <v>-12.505178896567982</v>
      </c>
      <c r="AD3142" s="258">
        <f>1+ transit((J2000_Bas-1),$O3142,$M3142,DecLat,DecLong)/360 + (GMTOffset/24) + (IF(DST="Y", 1, 0)/24)</f>
        <v>1.7470665518797082</v>
      </c>
      <c r="AE3142" s="259">
        <f>DATE(2001,9,21)+(M3142/360)*365 - (360*((DecLong/360)- (GMTOffset/24) ))</f>
        <v>37435.270833333336</v>
      </c>
      <c r="AF3142" s="260">
        <f>IF(DecLat&gt;0,IF((90 - (DecLat-O3142))&gt;90, (90 - (O3142-DecLat)), (90 - (DecLat-O3142))),IF((90 + (DecLat-O3142))&gt;90, (90 + (O3142-DecLat)), (90 + (DecLat-O3142))))</f>
        <v>59.2</v>
      </c>
      <c r="AG3142" s="257">
        <f>angularseperation(MoonRA,MoonDec,$M3142,$O3142)</f>
        <v>34.673915220118189</v>
      </c>
      <c r="AH3142" s="261">
        <f ca="1">MIN(100,IF($O$5&gt;80,0+30*($AG3142/100),IF($O$5&gt;70,0+50*($AG3142/100),IF($O$5&gt;60,5+50*($AG3142/100),IF($O$5&gt;50,10+60*($AG3142/100),IF($O$5&gt;40,15+70*($AG3142/100),IF($O$5&gt;30,20+70*($AG3142/100),IF($O$5&gt;20,40+55*($AG3142/100),(80+(20-$O$5)+30*($AG3142/100))))))))))</f>
        <v>93.673234910185883</v>
      </c>
      <c r="AI3142" s="263"/>
      <c r="AJ3142" s="263"/>
      <c r="AK3142" s="263"/>
      <c r="AL3142" s="263"/>
      <c r="AM3142" s="264"/>
      <c r="AN3142" s="263"/>
      <c r="AO3142" s="263"/>
      <c r="AP3142" s="265"/>
      <c r="AQ3142" s="265"/>
      <c r="AR3142" s="285"/>
      <c r="AS3142" s="263"/>
      <c r="AT3142" s="263"/>
      <c r="AU3142" s="263"/>
      <c r="AV3142" s="264"/>
      <c r="AW3142" s="263"/>
      <c r="AX3142" s="263"/>
      <c r="AY3142" s="263"/>
      <c r="AZ3142" s="263"/>
      <c r="BA3142" s="263"/>
      <c r="BB3142" s="263"/>
      <c r="BC3142" s="263"/>
      <c r="BD3142" s="264"/>
      <c r="BE3142" s="263"/>
      <c r="BF3142" s="263"/>
      <c r="BG3142" s="263"/>
      <c r="BH3142" s="263"/>
      <c r="BI3142" s="263"/>
      <c r="BJ3142" s="404">
        <f>altaz(J2000_Bas,$O3142,$M3142,DecLat,DecLong,2)</f>
        <v>206.80563555963266</v>
      </c>
      <c r="BK3142" s="378" t="s">
        <v>9397</v>
      </c>
      <c r="BL3142" s="379">
        <f>IF((2*G3142)/60&lt;0.2,0.2,(2*G3142)/60)</f>
        <v>0.2</v>
      </c>
      <c r="BM3142" s="380">
        <f>MOD((50000+AD3142-$B$3+(0/24)),1)</f>
        <v>0.96243348158168374</v>
      </c>
      <c r="BN3142" s="381" t="s">
        <v>8640</v>
      </c>
      <c r="BO3142" s="382">
        <v>3132</v>
      </c>
    </row>
    <row r="3143" spans="1:67" s="24" customFormat="1" ht="15" customHeight="1" x14ac:dyDescent="0.25">
      <c r="A3143" s="287" t="s">
        <v>2952</v>
      </c>
      <c r="B3143" s="241" t="str">
        <f>HYPERLINK(CONCATENATE($AT$3,BK3143,$AU$3),$AV$3)</f>
        <v>S</v>
      </c>
      <c r="C3143" s="242" t="str">
        <f>HYPERLINK(CONCATENATE($AT$4,BK3143,$AU$4,BL3143),$AV$4)</f>
        <v>A</v>
      </c>
      <c r="D3143" s="243" t="s">
        <v>5187</v>
      </c>
      <c r="E3143" s="244" t="s">
        <v>5181</v>
      </c>
      <c r="F3143" s="269" t="s">
        <v>6502</v>
      </c>
      <c r="G3143" s="270">
        <v>0.5</v>
      </c>
      <c r="H3143" s="271" t="s">
        <v>6500</v>
      </c>
      <c r="I3143" s="244" t="s">
        <v>6500</v>
      </c>
      <c r="J3143" s="246">
        <v>2</v>
      </c>
      <c r="K3143" s="247" t="s">
        <v>6503</v>
      </c>
      <c r="L3143" s="248">
        <v>185042</v>
      </c>
      <c r="M3143" s="249">
        <f>15*(LEFT(TEXT($L3143,"000000"),2)+(MID(TEXT($L3143,"000000"),3,2)/60)+(RIGHT(TEXT($L3143,"000000"),2)/3600))</f>
        <v>282.67499999999995</v>
      </c>
      <c r="N3143" s="250">
        <v>-10200</v>
      </c>
      <c r="O3143" s="251">
        <f>IF($N3143&gt;0,(LEFT(TEXT($N3143,"000000"),2)+(MID(TEXT($N3143,"000000"),3,2)/60)+(RIGHT(TEXT($N3143,"000000"),2)/3600)),-(MID(TEXT($N3143,"000000"),2,2)+(MID(TEXT($N3143,"000000"),4,2)/60)+(RIGHT(TEXT($N3143,"000000"),2)/3600)))</f>
        <v>-1.0333333333333334</v>
      </c>
      <c r="P3143" s="252" t="s">
        <v>126</v>
      </c>
      <c r="Q3143" s="253"/>
      <c r="R3143" s="277" t="s">
        <v>3293</v>
      </c>
      <c r="S3143" s="272" t="s">
        <v>3293</v>
      </c>
      <c r="T3143" s="273"/>
      <c r="U3143" s="274"/>
      <c r="V3143" s="280"/>
      <c r="W3143" s="244"/>
      <c r="X3143" s="244"/>
      <c r="Y3143" s="362"/>
      <c r="Z3143" s="257">
        <f>altaz(J2000_Bas,$O3143,$M3143,DecLat,DecLong,1)</f>
        <v>57.810914588247414</v>
      </c>
      <c r="AA3143" s="257">
        <f>altaz((J2000_Bas+(2*0.04167)),$O3143,$M3143,DecLat,DecLong,1)</f>
        <v>44.918434510687966</v>
      </c>
      <c r="AB3143" s="257">
        <f>altaz((J2000_Bas+(4*0.04167)),$O3143,$M3143,DecLat,DecLong,1)</f>
        <v>21.910617266709593</v>
      </c>
      <c r="AC3143" s="257">
        <f>altaz((J2000_Bas+(6*0.04167)),$O3143,$M3143,DecLat,DecLong,1)</f>
        <v>-3.6017892873196731</v>
      </c>
      <c r="AD3143" s="258">
        <f>1+ transit((J2000_Bas-1),$O3143,$M3143,DecLat,DecLong)/360 + (GMTOffset/24) + (IF(DST="Y", 1, 0)/24)</f>
        <v>1.7781082154422079</v>
      </c>
      <c r="AE3143" s="259">
        <f>DATE(2001,9,21)+(M3143/360)*365 - (360*((DecLong/360)- (GMTOffset/24) ))</f>
        <v>37446.601041666669</v>
      </c>
      <c r="AF3143" s="260">
        <f>IF(DecLat&gt;0,IF((90 - (DecLat-O3143))&gt;90, (90 - (O3143-DecLat)), (90 - (DecLat-O3143))),IF((90 + (DecLat-O3143))&gt;90, (90 + (O3143-DecLat)), (90 + (DecLat-O3143))))</f>
        <v>57.966666666666669</v>
      </c>
      <c r="AG3143" s="257">
        <f>angularseperation(MoonRA,MoonDec,$M3143,$O3143)</f>
        <v>41.313838760737639</v>
      </c>
      <c r="AH3143" s="261">
        <f ca="1">MIN(100,IF($O$5&gt;80,0+30*($AG3143/100),IF($O$5&gt;70,0+50*($AG3143/100),IF($O$5&gt;60,5+50*($AG3143/100),IF($O$5&gt;50,10+60*($AG3143/100),IF($O$5&gt;40,15+70*($AG3143/100),IF($O$5&gt;30,20+70*($AG3143/100),IF($O$5&gt;20,40+55*($AG3143/100),(80+(20-$O$5)+30*($AG3143/100))))))))))</f>
        <v>95.665211972371722</v>
      </c>
      <c r="AI3143" s="263"/>
      <c r="AJ3143" s="263"/>
      <c r="AK3143" s="263"/>
      <c r="AL3143" s="263"/>
      <c r="AM3143" s="264"/>
      <c r="AN3143" s="263"/>
      <c r="AO3143" s="263"/>
      <c r="AP3143" s="265"/>
      <c r="AQ3143" s="265"/>
      <c r="AR3143" s="285"/>
      <c r="AS3143" s="263"/>
      <c r="AT3143" s="263"/>
      <c r="AU3143" s="263"/>
      <c r="AV3143" s="264"/>
      <c r="AW3143" s="263"/>
      <c r="AX3143" s="263"/>
      <c r="AY3143" s="263"/>
      <c r="AZ3143" s="263"/>
      <c r="BA3143" s="263"/>
      <c r="BB3143" s="263"/>
      <c r="BC3143" s="263"/>
      <c r="BD3143" s="264"/>
      <c r="BE3143" s="263"/>
      <c r="BF3143" s="263"/>
      <c r="BG3143" s="263"/>
      <c r="BH3143" s="263"/>
      <c r="BI3143" s="263"/>
      <c r="BJ3143" s="404">
        <f>altaz(J2000_Bas,$O3143,$M3143,DecLat,DecLong,2)</f>
        <v>186.25442934453702</v>
      </c>
      <c r="BK3143" s="378" t="s">
        <v>4141</v>
      </c>
      <c r="BL3143" s="379">
        <f>IF((2*G3143)/60&lt;0.2,0.2,(2*G3143)/60)</f>
        <v>0.2</v>
      </c>
      <c r="BM3143" s="380">
        <f>MOD((50000+AD3143-$B$3+(0/24)),1)</f>
        <v>0.9934751451437478</v>
      </c>
      <c r="BN3143" s="381" t="s">
        <v>8640</v>
      </c>
      <c r="BO3143" s="382">
        <v>3133</v>
      </c>
    </row>
    <row r="3144" spans="1:67" s="24" customFormat="1" ht="16.5" customHeight="1" x14ac:dyDescent="0.25">
      <c r="A3144" s="288" t="s">
        <v>2953</v>
      </c>
      <c r="B3144" s="241" t="str">
        <f>HYPERLINK(CONCATENATE($AT$3,BK3144,$AU$3),$AV$3)</f>
        <v>S</v>
      </c>
      <c r="C3144" s="242" t="str">
        <f>HYPERLINK(CONCATENATE($AT$4,BK3144,$AU$4,BL3144),$AV$4)</f>
        <v>A</v>
      </c>
      <c r="D3144" s="243" t="s">
        <v>5187</v>
      </c>
      <c r="E3144" s="244" t="s">
        <v>5181</v>
      </c>
      <c r="F3144" s="269" t="s">
        <v>6504</v>
      </c>
      <c r="G3144" s="273">
        <v>2.5</v>
      </c>
      <c r="H3144" s="271" t="s">
        <v>6500</v>
      </c>
      <c r="I3144" s="244" t="s">
        <v>6500</v>
      </c>
      <c r="J3144" s="246">
        <v>2</v>
      </c>
      <c r="K3144" s="247" t="s">
        <v>6505</v>
      </c>
      <c r="L3144" s="248">
        <v>200142</v>
      </c>
      <c r="M3144" s="249">
        <f>15*(LEFT(TEXT($L3144,"000000"),2)+(MID(TEXT($L3144,"000000"),3,2)/60)+(RIGHT(TEXT($L3144,"000000"),2)/3600))</f>
        <v>300.42500000000001</v>
      </c>
      <c r="N3144" s="250">
        <v>193600</v>
      </c>
      <c r="O3144" s="251">
        <f>IF($N3144&gt;0,(LEFT(TEXT($N3144,"000000"),2)+(MID(TEXT($N3144,"000000"),3,2)/60)+(RIGHT(TEXT($N3144,"000000"),2)/3600)),-(MID(TEXT($N3144,"000000"),2,2)+(MID(TEXT($N3144,"000000"),4,2)/60)+(RIGHT(TEXT($N3144,"000000"),2)/3600)))</f>
        <v>19.600000000000001</v>
      </c>
      <c r="P3144" s="252" t="s">
        <v>139</v>
      </c>
      <c r="Q3144" s="253"/>
      <c r="R3144" s="277" t="s">
        <v>3293</v>
      </c>
      <c r="S3144" s="272" t="s">
        <v>3293</v>
      </c>
      <c r="T3144" s="273"/>
      <c r="U3144" s="274"/>
      <c r="V3144" s="280"/>
      <c r="W3144" s="244"/>
      <c r="X3144" s="244"/>
      <c r="Y3144" s="362"/>
      <c r="Z3144" s="257">
        <f>altaz(J2000_Bas,$O3144,$M3144,DecLat,DecLong,1)</f>
        <v>72.712099236581949</v>
      </c>
      <c r="AA3144" s="257">
        <f>altaz((J2000_Bas+(2*0.04167)),$O3144,$M3144,DecLat,DecLong,1)</f>
        <v>71.85820063090263</v>
      </c>
      <c r="AB3144" s="257">
        <f>altaz((J2000_Bas+(4*0.04167)),$O3144,$M3144,DecLat,DecLong,1)</f>
        <v>47.414628598018176</v>
      </c>
      <c r="AC3144" s="257">
        <f>altaz((J2000_Bas+(6*0.04167)),$O3144,$M3144,DecLat,DecLong,1)</f>
        <v>21.742085861966057</v>
      </c>
      <c r="AD3144" s="258">
        <f>1+ transit((J2000_Bas-1),$O3144,$M3144,DecLat,DecLong)/360 + (GMTOffset/24) + (IF(DST="Y", 1, 0)/24)</f>
        <v>1.8274137660672081</v>
      </c>
      <c r="AE3144" s="259">
        <f>DATE(2001,9,21)+(M3144/360)*365 - (360*((DecLong/360)- (GMTOffset/24) ))</f>
        <v>37464.597569444442</v>
      </c>
      <c r="AF3144" s="260">
        <f>IF(DecLat&gt;0,IF((90 - (DecLat-O3144))&gt;90, (90 - (O3144-DecLat)), (90 - (DecLat-O3144))),IF((90 + (DecLat-O3144))&gt;90, (90 + (O3144-DecLat)), (90 + (DecLat-O3144))))</f>
        <v>78.599999999999994</v>
      </c>
      <c r="AG3144" s="257">
        <f>angularseperation(MoonRA,MoonDec,$M3144,$O3144)</f>
        <v>68.097579537027016</v>
      </c>
      <c r="AH3144" s="261">
        <f ca="1">MIN(100,IF($O$5&gt;80,0+30*($AG3144/100),IF($O$5&gt;70,0+50*($AG3144/100),IF($O$5&gt;60,5+50*($AG3144/100),IF($O$5&gt;50,10+60*($AG3144/100),IF($O$5&gt;40,15+70*($AG3144/100),IF($O$5&gt;30,20+70*($AG3144/100),IF($O$5&gt;20,40+55*($AG3144/100),(80+(20-$O$5)+30*($AG3144/100))))))))))</f>
        <v>100</v>
      </c>
      <c r="AI3144" s="263"/>
      <c r="AJ3144" s="263"/>
      <c r="AK3144" s="263"/>
      <c r="AL3144" s="263"/>
      <c r="AM3144" s="264"/>
      <c r="AN3144" s="263"/>
      <c r="AO3144" s="263"/>
      <c r="AP3144" s="265"/>
      <c r="AQ3144" s="265"/>
      <c r="AR3144" s="285"/>
      <c r="AS3144" s="263"/>
      <c r="AT3144" s="263"/>
      <c r="AU3144" s="263"/>
      <c r="AV3144" s="264"/>
      <c r="AW3144" s="263"/>
      <c r="AX3144" s="263"/>
      <c r="AY3144" s="263"/>
      <c r="AZ3144" s="263"/>
      <c r="BA3144" s="263"/>
      <c r="BB3144" s="263"/>
      <c r="BC3144" s="263"/>
      <c r="BD3144" s="264"/>
      <c r="BE3144" s="263"/>
      <c r="BF3144" s="263"/>
      <c r="BG3144" s="263"/>
      <c r="BH3144" s="263"/>
      <c r="BI3144" s="263"/>
      <c r="BJ3144" s="404">
        <f>altaz(J2000_Bas,$O3144,$M3144,DecLat,DecLong,2)</f>
        <v>127.85548331246137</v>
      </c>
      <c r="BK3144" s="378" t="s">
        <v>4142</v>
      </c>
      <c r="BL3144" s="379">
        <f>IF((2*G3144)/60&lt;0.2,0.2,(2*G3144)/60)</f>
        <v>0.2</v>
      </c>
      <c r="BM3144" s="380">
        <f>MOD((50000+AD3144-$B$3+(0/24)),1)</f>
        <v>4.2780695774126798E-2</v>
      </c>
      <c r="BN3144" s="381" t="s">
        <v>8640</v>
      </c>
      <c r="BO3144" s="382">
        <v>3134</v>
      </c>
    </row>
    <row r="3145" spans="1:67" s="24" customFormat="1" ht="16.5" customHeight="1" x14ac:dyDescent="0.25">
      <c r="A3145" s="288" t="s">
        <v>2954</v>
      </c>
      <c r="B3145" s="241" t="str">
        <f>HYPERLINK(CONCATENATE($AT$3,BK3145,$AU$3),$AV$3)</f>
        <v>S</v>
      </c>
      <c r="C3145" s="242" t="str">
        <f>HYPERLINK(CONCATENATE($AT$4,BK3145,$AU$4,BL3145),$AV$4)</f>
        <v>A</v>
      </c>
      <c r="D3145" s="243" t="s">
        <v>5335</v>
      </c>
      <c r="E3145" s="244" t="s">
        <v>5184</v>
      </c>
      <c r="F3145" s="269"/>
      <c r="G3145" s="270">
        <v>0.5</v>
      </c>
      <c r="H3145" s="271">
        <v>100000</v>
      </c>
      <c r="I3145" s="246">
        <v>15</v>
      </c>
      <c r="J3145" s="246">
        <v>1</v>
      </c>
      <c r="K3145" s="247" t="s">
        <v>6506</v>
      </c>
      <c r="L3145" s="248">
        <v>20254</v>
      </c>
      <c r="M3145" s="249">
        <f>15*(LEFT(TEXT($L3145,"000000"),2)+(MID(TEXT($L3145,"000000"),3,2)/60)+(RIGHT(TEXT($L3145,"000000"),2)/3600))</f>
        <v>30.725000000000001</v>
      </c>
      <c r="N3145" s="250">
        <v>-31500</v>
      </c>
      <c r="O3145" s="251">
        <f>IF($N3145&gt;0,(LEFT(TEXT($N3145,"000000"),2)+(MID(TEXT($N3145,"000000"),3,2)/60)+(RIGHT(TEXT($N3145,"000000"),2)/3600)),-(MID(TEXT($N3145,"000000"),2,2)+(MID(TEXT($N3145,"000000"),4,2)/60)+(RIGHT(TEXT($N3145,"000000"),2)/3600)))</f>
        <v>-3.25</v>
      </c>
      <c r="P3145" s="252" t="s">
        <v>75</v>
      </c>
      <c r="Q3145" s="253"/>
      <c r="R3145" s="247" t="s">
        <v>3293</v>
      </c>
      <c r="S3145" s="272" t="s">
        <v>3293</v>
      </c>
      <c r="T3145" s="273">
        <v>14.6</v>
      </c>
      <c r="U3145" s="274"/>
      <c r="V3145" s="280"/>
      <c r="W3145" s="244"/>
      <c r="X3145" s="244"/>
      <c r="Y3145" s="362"/>
      <c r="Z3145" s="257">
        <f>altaz(J2000_Bas,$O3145,$M3145,DecLat,DecLong,1)</f>
        <v>-14.281454003022629</v>
      </c>
      <c r="AA3145" s="257">
        <f>altaz((J2000_Bas+(2*0.04167)),$O3145,$M3145,DecLat,DecLong,1)</f>
        <v>11.391749860783008</v>
      </c>
      <c r="AB3145" s="257">
        <f>altaz((J2000_Bas+(4*0.04167)),$O3145,$M3145,DecLat,DecLong,1)</f>
        <v>35.495190605618646</v>
      </c>
      <c r="AC3145" s="257">
        <f>altaz((J2000_Bas+(6*0.04167)),$O3145,$M3145,DecLat,DecLong,1)</f>
        <v>53.077387794226134</v>
      </c>
      <c r="AD3145" s="258">
        <f>1+ transit((J2000_Bas-1),$O3145,$M3145,DecLat,DecLong)/360 + (GMTOffset/24) + (IF(DST="Y", 1, 0)/24)</f>
        <v>1.078247174317208</v>
      </c>
      <c r="AE3145" s="259">
        <f>DATE(2001,9,21)+(M3145/360)*365 - (360*((DecLong/360)- (GMTOffset/24) ))</f>
        <v>37191.151736111111</v>
      </c>
      <c r="AF3145" s="260">
        <f>IF(DecLat&gt;0,IF((90 - (DecLat-O3145))&gt;90, (90 - (O3145-DecLat)), (90 - (DecLat-O3145))),IF((90 + (DecLat-O3145))&gt;90, (90 + (O3145-DecLat)), (90 + (DecLat-O3145))))</f>
        <v>55.75</v>
      </c>
      <c r="AG3145" s="257">
        <f>angularseperation(MoonRA,MoonDec,$M3145,$O3145)</f>
        <v>132.04319158143116</v>
      </c>
      <c r="AH3145" s="261">
        <f ca="1">MIN(100,IF($O$5&gt;80,0+30*($AG3145/100),IF($O$5&gt;70,0+50*($AG3145/100),IF($O$5&gt;60,5+50*($AG3145/100),IF($O$5&gt;50,10+60*($AG3145/100),IF($O$5&gt;40,15+70*($AG3145/100),IF($O$5&gt;30,20+70*($AG3145/100),IF($O$5&gt;20,40+55*($AG3145/100),(80+(20-$O$5)+30*($AG3145/100))))))))))</f>
        <v>100</v>
      </c>
      <c r="AI3145" s="262"/>
      <c r="AJ3145" s="262"/>
      <c r="AK3145" s="262"/>
      <c r="AL3145" s="263"/>
      <c r="AM3145" s="264"/>
      <c r="AN3145" s="263"/>
      <c r="AO3145" s="263"/>
      <c r="AP3145" s="265"/>
      <c r="AQ3145" s="266"/>
      <c r="AR3145" s="267"/>
      <c r="AS3145" s="263"/>
      <c r="AT3145" s="263"/>
      <c r="AU3145" s="263"/>
      <c r="AV3145" s="264"/>
      <c r="AW3145" s="263"/>
      <c r="AX3145" s="263"/>
      <c r="AY3145" s="263"/>
      <c r="AZ3145" s="263"/>
      <c r="BA3145" s="263"/>
      <c r="BB3145" s="263"/>
      <c r="BC3145" s="263"/>
      <c r="BD3145" s="264"/>
      <c r="BE3145" s="263"/>
      <c r="BF3145" s="263"/>
      <c r="BG3145" s="263"/>
      <c r="BH3145" s="263"/>
      <c r="BI3145" s="263"/>
      <c r="BJ3145" s="404">
        <f>altaz(J2000_Bas,$O3145,$M3145,DecLat,DecLong,2)</f>
        <v>85.141142591896312</v>
      </c>
      <c r="BK3145" s="378" t="s">
        <v>2954</v>
      </c>
      <c r="BL3145" s="379">
        <f>IF((2*G3145)/60&lt;0.2,0.2,(2*G3145)/60)</f>
        <v>0.2</v>
      </c>
      <c r="BM3145" s="380">
        <f>MOD((50000+AD3145-$B$3+(0/24)),1)</f>
        <v>0.29361410401907051</v>
      </c>
      <c r="BN3145" s="381" t="s">
        <v>8646</v>
      </c>
      <c r="BO3145" s="382">
        <v>3135</v>
      </c>
    </row>
    <row r="3146" spans="1:67" s="24" customFormat="1" ht="16.5" customHeight="1" x14ac:dyDescent="0.25">
      <c r="A3146" s="288" t="s">
        <v>2955</v>
      </c>
      <c r="B3146" s="241" t="str">
        <f>HYPERLINK(CONCATENATE($AT$3,BK3146,$AU$3),$AV$3)</f>
        <v>S</v>
      </c>
      <c r="C3146" s="242" t="str">
        <f>HYPERLINK(CONCATENATE($AT$4,BK3146,$AU$4,BL3146),$AV$4)</f>
        <v>A</v>
      </c>
      <c r="D3146" s="243" t="s">
        <v>5638</v>
      </c>
      <c r="E3146" s="244" t="s">
        <v>13</v>
      </c>
      <c r="F3146" s="269"/>
      <c r="G3146" s="276">
        <v>13</v>
      </c>
      <c r="H3146" s="289">
        <v>3</v>
      </c>
      <c r="I3146" s="246">
        <v>11</v>
      </c>
      <c r="J3146" s="246">
        <v>2</v>
      </c>
      <c r="K3146" s="247" t="s">
        <v>8611</v>
      </c>
      <c r="L3146" s="248">
        <v>157</v>
      </c>
      <c r="M3146" s="249">
        <f>15*(LEFT(TEXT($L3146,"000000"),2)+(MID(TEXT($L3146,"000000"),3,2)/60)+(RIGHT(TEXT($L3146,"000000"),2)/3600))</f>
        <v>0.48750000000000004</v>
      </c>
      <c r="N3146" s="250">
        <v>-152701</v>
      </c>
      <c r="O3146" s="251">
        <f>IF($N3146&gt;0,(LEFT(TEXT($N3146,"000000"),2)+(MID(TEXT($N3146,"000000"),3,2)/60)+(RIGHT(TEXT($N3146,"000000"),2)/3600)),-(MID(TEXT($N3146,"000000"),2,2)+(MID(TEXT($N3146,"000000"),4,2)/60)+(RIGHT(TEXT($N3146,"000000"),2)/3600)))</f>
        <v>-15.450277777777776</v>
      </c>
      <c r="P3146" s="252" t="s">
        <v>75</v>
      </c>
      <c r="Q3146" s="253"/>
      <c r="R3146" s="277" t="s">
        <v>2956</v>
      </c>
      <c r="S3146" s="272" t="s">
        <v>3293</v>
      </c>
      <c r="T3146" s="273"/>
      <c r="U3146" s="274"/>
      <c r="V3146" s="280"/>
      <c r="W3146" s="244"/>
      <c r="X3146" s="244"/>
      <c r="Y3146" s="362"/>
      <c r="Z3146" s="257">
        <f>altaz(J2000_Bas,$O3146,$M3146,DecLat,DecLong,1)</f>
        <v>4.8066178624861573</v>
      </c>
      <c r="AA3146" s="257">
        <f>altaz((J2000_Bas+(2*0.04167)),$O3146,$M3146,DecLat,DecLong,1)</f>
        <v>26.941490810144174</v>
      </c>
      <c r="AB3146" s="257">
        <f>altaz((J2000_Bas+(4*0.04167)),$O3146,$M3146,DecLat,DecLong,1)</f>
        <v>41.554230018312687</v>
      </c>
      <c r="AC3146" s="257">
        <f>altaz((J2000_Bas+(6*0.04167)),$O3146,$M3146,DecLat,DecLong,1)</f>
        <v>41.139241137865675</v>
      </c>
      <c r="AD3146" s="258">
        <f>1+ transit((J2000_Bas-1),$O3146,$M3146,DecLat,DecLong)/360 + (GMTOffset/24) + (IF(DST="Y", 1, 0)/24)</f>
        <v>0.99425412716095785</v>
      </c>
      <c r="AE3146" s="259">
        <f>DATE(2001,9,21)+(M3146/360)*365 - (360*((DecLong/360)- (GMTOffset/24) ))</f>
        <v>37160.494270833333</v>
      </c>
      <c r="AF3146" s="260">
        <f>IF(DecLat&gt;0,IF((90 - (DecLat-O3146))&gt;90, (90 - (O3146-DecLat)), (90 - (DecLat-O3146))),IF((90 + (DecLat-O3146))&gt;90, (90 + (O3146-DecLat)), (90 + (DecLat-O3146))))</f>
        <v>43.549722222222222</v>
      </c>
      <c r="AG3146" s="257">
        <f>angularseperation(MoonRA,MoonDec,$M3146,$O3146)</f>
        <v>100.93396435087412</v>
      </c>
      <c r="AH3146" s="261">
        <f ca="1">MIN(100,IF($O$5&gt;80,0+30*($AG3146/100),IF($O$5&gt;70,0+50*($AG3146/100),IF($O$5&gt;60,5+50*($AG3146/100),IF($O$5&gt;50,10+60*($AG3146/100),IF($O$5&gt;40,15+70*($AG3146/100),IF($O$5&gt;30,20+70*($AG3146/100),IF($O$5&gt;20,40+55*($AG3146/100),(80+(20-$O$5)+30*($AG3146/100))))))))))</f>
        <v>100</v>
      </c>
      <c r="AI3146" s="262"/>
      <c r="AJ3146" s="262"/>
      <c r="AK3146" s="262"/>
      <c r="AL3146" s="263"/>
      <c r="AM3146" s="264"/>
      <c r="AN3146" s="263"/>
      <c r="AO3146" s="263"/>
      <c r="AP3146" s="265"/>
      <c r="AQ3146" s="266"/>
      <c r="AR3146" s="267"/>
      <c r="AS3146" s="263"/>
      <c r="AT3146" s="263"/>
      <c r="AU3146" s="263"/>
      <c r="AV3146" s="264"/>
      <c r="AW3146" s="263"/>
      <c r="AX3146" s="263"/>
      <c r="AY3146" s="263"/>
      <c r="AZ3146" s="263"/>
      <c r="BA3146" s="263"/>
      <c r="BB3146" s="263"/>
      <c r="BC3146" s="263"/>
      <c r="BD3146" s="264"/>
      <c r="BE3146" s="263"/>
      <c r="BF3146" s="263"/>
      <c r="BG3146" s="263"/>
      <c r="BH3146" s="263"/>
      <c r="BI3146" s="263">
        <v>3</v>
      </c>
      <c r="BJ3146" s="404">
        <f>altaz(J2000_Bas,$O3146,$M3146,DecLat,DecLong,2)</f>
        <v>111.24864041276734</v>
      </c>
      <c r="BK3146" s="378" t="s">
        <v>5364</v>
      </c>
      <c r="BL3146" s="379">
        <f>IF((2*G3146)/60&lt;0.2,0.2,(2*G3146)/60)</f>
        <v>0.43333333333333335</v>
      </c>
      <c r="BM3146" s="380">
        <f>MOD((50000+AD3146-$B$3+(0/24)),1)</f>
        <v>0.20962105686339783</v>
      </c>
      <c r="BN3146" s="381" t="s">
        <v>9235</v>
      </c>
      <c r="BO3146" s="382">
        <v>3136</v>
      </c>
    </row>
    <row r="3147" spans="1:67" s="24" customFormat="1" ht="16.5" customHeight="1" x14ac:dyDescent="0.25">
      <c r="A3147" s="298" t="s">
        <v>9308</v>
      </c>
      <c r="B3147" s="241" t="str">
        <f>HYPERLINK(CONCATENATE($AT$3,BK3147,$AU$3),$AV$3)</f>
        <v>S</v>
      </c>
      <c r="C3147" s="242" t="str">
        <f>HYPERLINK(CONCATENATE($AT$4,BK3147,$AU$4,BL3147),$AV$4)</f>
        <v>A</v>
      </c>
      <c r="D3147" s="243" t="s">
        <v>5187</v>
      </c>
      <c r="E3147" s="244" t="s">
        <v>5183</v>
      </c>
      <c r="F3147" s="269" t="s">
        <v>4579</v>
      </c>
      <c r="G3147" s="276">
        <v>10</v>
      </c>
      <c r="H3147" s="283">
        <v>7500</v>
      </c>
      <c r="I3147" s="246">
        <v>22</v>
      </c>
      <c r="J3147" s="246">
        <v>3</v>
      </c>
      <c r="K3147" s="247" t="s">
        <v>8884</v>
      </c>
      <c r="L3147" s="248">
        <v>95453</v>
      </c>
      <c r="M3147" s="249">
        <f>15*(LEFT(TEXT($L3147,"000000"),2)+(MID(TEXT($L3147,"000000"),3,2)/60)+(RIGHT(TEXT($L3147,"000000"),2)/3600))</f>
        <v>148.72083333333333</v>
      </c>
      <c r="N3147" s="286">
        <v>-574338</v>
      </c>
      <c r="O3147" s="251">
        <f>IF($N3147&gt;0,(LEFT(TEXT($N3147,"000000"),2)+(MID(TEXT($N3147,"000000"),3,2)/60)+(RIGHT(TEXT($N3147,"000000"),2)/3600)),-(MID(TEXT($N3147,"000000"),2,2)+(MID(TEXT($N3147,"000000"),4,2)/60)+(RIGHT(TEXT($N3147,"000000"),2)/3600)))</f>
        <v>-57.727222222222224</v>
      </c>
      <c r="P3147" s="252" t="s">
        <v>91</v>
      </c>
      <c r="Q3147" s="253" t="s">
        <v>8883</v>
      </c>
      <c r="R3147" s="247"/>
      <c r="S3147" s="272" t="s">
        <v>3293</v>
      </c>
      <c r="T3147" s="273"/>
      <c r="U3147" s="274"/>
      <c r="V3147" s="280"/>
      <c r="W3147" s="244"/>
      <c r="X3147" s="244"/>
      <c r="Y3147" s="362"/>
      <c r="Z3147" s="257">
        <f>altaz(J2000_Bas,$O3147,$M3147,DecLat,DecLong,1)</f>
        <v>-50.509814634229201</v>
      </c>
      <c r="AA3147" s="257">
        <f>altaz((J2000_Bas+(2*0.04167)),$O3147,$M3147,DecLat,DecLong,1)</f>
        <v>-61.893878009027191</v>
      </c>
      <c r="AB3147" s="257">
        <f>altaz((J2000_Bas+(4*0.04167)),$O3147,$M3147,DecLat,DecLong,1)</f>
        <v>-60.702728166339654</v>
      </c>
      <c r="AC3147" s="257">
        <f>altaz((J2000_Bas+(6*0.04167)),$O3147,$M3147,DecLat,DecLong,1)</f>
        <v>-48.113732995331027</v>
      </c>
      <c r="AD3147" s="258">
        <f>1+ transit((J2000_Bas-1),$O3147,$M3147,DecLat,DecLong)/360 + (GMTOffset/24) + (IF(DST="Y", 1, 0)/24)</f>
        <v>1.4060133452442913</v>
      </c>
      <c r="AE3147" s="259">
        <f>DATE(2001,9,21)+(M3147/360)*365 - (360*((DecLong/360)- (GMTOffset/24) ))</f>
        <v>37310.786400462966</v>
      </c>
      <c r="AF3147" s="260">
        <f>IF(DecLat&gt;0,IF((90 - (DecLat-O3147))&gt;90, (90 - (O3147-DecLat)), (90 - (DecLat-O3147))),IF((90 + (DecLat-O3147))&gt;90, (90 + (O3147-DecLat)), (90 + (DecLat-O3147))))</f>
        <v>1.272777777777776</v>
      </c>
      <c r="AG3147" s="257">
        <f>angularseperation(MoonRA,MoonDec,$M3147,$O3147)</f>
        <v>72.653170943408412</v>
      </c>
      <c r="AH3147" s="261">
        <f ca="1">MIN(100,IF($O$5&gt;80,0+30*($AG3147/100),IF($O$5&gt;70,0+50*($AG3147/100),IF($O$5&gt;60,5+50*($AG3147/100),IF($O$5&gt;50,10+60*($AG3147/100),IF($O$5&gt;40,15+70*($AG3147/100),IF($O$5&gt;30,20+70*($AG3147/100),IF($O$5&gt;20,40+55*($AG3147/100),(80+(20-$O$5)+30*($AG3147/100))))))))))</f>
        <v>100</v>
      </c>
      <c r="AI3147" s="262"/>
      <c r="AJ3147" s="262"/>
      <c r="AK3147" s="262"/>
      <c r="AL3147" s="263"/>
      <c r="AM3147" s="264"/>
      <c r="AN3147" s="263"/>
      <c r="AO3147" s="263"/>
      <c r="AP3147" s="265"/>
      <c r="AQ3147" s="266"/>
      <c r="AR3147" s="267"/>
      <c r="AS3147" s="263"/>
      <c r="AT3147" s="263"/>
      <c r="AU3147" s="263"/>
      <c r="AV3147" s="264"/>
      <c r="AW3147" s="263"/>
      <c r="AX3147" s="263"/>
      <c r="AY3147" s="263"/>
      <c r="AZ3147" s="263"/>
      <c r="BA3147" s="263"/>
      <c r="BB3147" s="263"/>
      <c r="BC3147" s="263"/>
      <c r="BD3147" s="264"/>
      <c r="BE3147" s="263"/>
      <c r="BF3147" s="263"/>
      <c r="BG3147" s="263"/>
      <c r="BH3147" s="263"/>
      <c r="BI3147" s="263"/>
      <c r="BJ3147" s="404">
        <f>altaz(J2000_Bas,$O3147,$M3147,DecLat,DecLong,2)</f>
        <v>214.72163977844585</v>
      </c>
      <c r="BK3147" s="378" t="s">
        <v>8882</v>
      </c>
      <c r="BL3147" s="379">
        <f>IF((2*G3147)/60&lt;0.2,0.2,(2*G3147)/60)</f>
        <v>0.33333333333333331</v>
      </c>
      <c r="BM3147" s="380">
        <f>MOD((50000+AD3147-$B$3+(0/24)),1)</f>
        <v>0.62138027494802373</v>
      </c>
      <c r="BN3147" s="381"/>
      <c r="BO3147" s="382">
        <v>3138</v>
      </c>
    </row>
    <row r="3148" spans="1:67" s="24" customFormat="1" ht="16.5" customHeight="1" x14ac:dyDescent="0.25">
      <c r="A3148" s="288" t="s">
        <v>2957</v>
      </c>
      <c r="B3148" s="241" t="str">
        <f>HYPERLINK(CONCATENATE($AT$3,BK3148,$AU$3),$AV$3)</f>
        <v>S</v>
      </c>
      <c r="C3148" s="242" t="str">
        <f>HYPERLINK(CONCATENATE($AT$4,BK3148,$AU$4,BL3148),$AV$4)</f>
        <v>A</v>
      </c>
      <c r="D3148" s="243" t="s">
        <v>5187</v>
      </c>
      <c r="E3148" s="244" t="s">
        <v>5183</v>
      </c>
      <c r="F3148" s="269" t="s">
        <v>4579</v>
      </c>
      <c r="G3148" s="276">
        <v>25</v>
      </c>
      <c r="H3148" s="271">
        <v>6210</v>
      </c>
      <c r="I3148" s="246">
        <v>45</v>
      </c>
      <c r="J3148" s="246">
        <v>4</v>
      </c>
      <c r="K3148" s="247" t="s">
        <v>6508</v>
      </c>
      <c r="L3148" s="248">
        <v>201000</v>
      </c>
      <c r="M3148" s="249">
        <f>15*(LEFT(TEXT($L3148,"000000"),2)+(MID(TEXT($L3148,"000000"),3,2)/60)+(RIGHT(TEXT($L3148,"000000"),2)/3600))</f>
        <v>302.5</v>
      </c>
      <c r="N3148" s="250">
        <v>361100</v>
      </c>
      <c r="O3148" s="251">
        <f>IF($N3148&gt;0,(LEFT(TEXT($N3148,"000000"),2)+(MID(TEXT($N3148,"000000"),3,2)/60)+(RIGHT(TEXT($N3148,"000000"),2)/3600)),-(MID(TEXT($N3148,"000000"),2,2)+(MID(TEXT($N3148,"000000"),4,2)/60)+(RIGHT(TEXT($N3148,"000000"),2)/3600)))</f>
        <v>36.18333333333333</v>
      </c>
      <c r="P3148" s="252" t="s">
        <v>60</v>
      </c>
      <c r="Q3148" s="253"/>
      <c r="R3148" s="247" t="s">
        <v>3293</v>
      </c>
      <c r="S3148" s="272" t="s">
        <v>6507</v>
      </c>
      <c r="T3148" s="273"/>
      <c r="U3148" s="274"/>
      <c r="V3148" s="280"/>
      <c r="W3148" s="244"/>
      <c r="X3148" s="244"/>
      <c r="Y3148" s="362"/>
      <c r="Z3148" s="257">
        <f>altaz(J2000_Bas,$O3148,$M3148,DecLat,DecLong,1)</f>
        <v>75.336514701190609</v>
      </c>
      <c r="AA3148" s="257">
        <f>altaz((J2000_Bas+(2*0.04167)),$O3148,$M3148,DecLat,DecLong,1)</f>
        <v>77.566996921867371</v>
      </c>
      <c r="AB3148" s="257">
        <f>altaz((J2000_Bas+(4*0.04167)),$O3148,$M3148,DecLat,DecLong,1)</f>
        <v>53.560279682370691</v>
      </c>
      <c r="AC3148" s="257">
        <f>altaz((J2000_Bas+(6*0.04167)),$O3148,$M3148,DecLat,DecLong,1)</f>
        <v>29.840674685474191</v>
      </c>
      <c r="AD3148" s="258">
        <f>1+ transit((J2000_Bas-1),$O3148,$M3148,DecLat,DecLong)/360 + (GMTOffset/24) + (IF(DST="Y", 1, 0)/24)</f>
        <v>1.833177654379708</v>
      </c>
      <c r="AE3148" s="259">
        <f>DATE(2001,9,21)+(M3148/360)*365 - (360*((DecLong/360)- (GMTOffset/24) ))</f>
        <v>37466.701388888891</v>
      </c>
      <c r="AF3148" s="260">
        <f>IF(DecLat&gt;0,IF((90 - (DecLat-O3148))&gt;90, (90 - (O3148-DecLat)), (90 - (DecLat-O3148))),IF((90 + (DecLat-O3148))&gt;90, (90 + (O3148-DecLat)), (90 + (DecLat-O3148))))</f>
        <v>84.816666666666663</v>
      </c>
      <c r="AG3148" s="257">
        <f>angularseperation(MoonRA,MoonDec,$M3148,$O3148)</f>
        <v>80.729655529732113</v>
      </c>
      <c r="AH3148" s="261">
        <f ca="1">MIN(100,IF($O$5&gt;80,0+30*($AG3148/100),IF($O$5&gt;70,0+50*($AG3148/100),IF($O$5&gt;60,5+50*($AG3148/100),IF($O$5&gt;50,10+60*($AG3148/100),IF($O$5&gt;40,15+70*($AG3148/100),IF($O$5&gt;30,20+70*($AG3148/100),IF($O$5&gt;20,40+55*($AG3148/100),(80+(20-$O$5)+30*($AG3148/100))))))))))</f>
        <v>100</v>
      </c>
      <c r="AI3148" s="262"/>
      <c r="AJ3148" s="262"/>
      <c r="AK3148" s="262"/>
      <c r="AL3148" s="263"/>
      <c r="AM3148" s="264"/>
      <c r="AN3148" s="263"/>
      <c r="AO3148" s="263"/>
      <c r="AP3148" s="265"/>
      <c r="AQ3148" s="266"/>
      <c r="AR3148" s="267"/>
      <c r="AS3148" s="263"/>
      <c r="AT3148" s="263"/>
      <c r="AU3148" s="263"/>
      <c r="AV3148" s="264"/>
      <c r="AW3148" s="263"/>
      <c r="AX3148" s="263"/>
      <c r="AY3148" s="263"/>
      <c r="AZ3148" s="263"/>
      <c r="BA3148" s="263"/>
      <c r="BB3148" s="263"/>
      <c r="BC3148" s="263"/>
      <c r="BD3148" s="264"/>
      <c r="BE3148" s="263"/>
      <c r="BF3148" s="263"/>
      <c r="BG3148" s="263">
        <v>86</v>
      </c>
      <c r="BH3148" s="263"/>
      <c r="BI3148" s="263"/>
      <c r="BJ3148" s="404">
        <f>altaz(J2000_Bas,$O3148,$M3148,DecLat,DecLong,2)</f>
        <v>64.881551552014201</v>
      </c>
      <c r="BK3148" s="378" t="s">
        <v>2957</v>
      </c>
      <c r="BL3148" s="379">
        <f>IF((2*G3148)/60&lt;0.2,0.2,(2*G3148)/60)</f>
        <v>0.83333333333333337</v>
      </c>
      <c r="BM3148" s="380">
        <f>MOD((50000+AD3148-$B$3+(0/24)),1)</f>
        <v>4.8544584082264919E-2</v>
      </c>
      <c r="BN3148" s="381"/>
      <c r="BO3148" s="382">
        <v>3137</v>
      </c>
    </row>
    <row r="3149" spans="1:67" s="24" customFormat="1" ht="16.5" customHeight="1" x14ac:dyDescent="0.25">
      <c r="A3149" s="288" t="s">
        <v>2958</v>
      </c>
      <c r="B3149" s="241" t="str">
        <f>HYPERLINK(CONCATENATE($AT$3,BK3149,$AU$3),$AV$3)</f>
        <v>S</v>
      </c>
      <c r="C3149" s="242" t="str">
        <f>HYPERLINK(CONCATENATE($AT$4,BK3149,$AU$4,BL3149),$AV$4)</f>
        <v>A</v>
      </c>
      <c r="D3149" s="243" t="s">
        <v>5335</v>
      </c>
      <c r="E3149" s="244" t="s">
        <v>31</v>
      </c>
      <c r="F3149" s="269"/>
      <c r="G3149" s="273">
        <v>3</v>
      </c>
      <c r="H3149" s="283">
        <v>1500</v>
      </c>
      <c r="I3149" s="279">
        <v>1.4</v>
      </c>
      <c r="J3149" s="246">
        <v>2</v>
      </c>
      <c r="K3149" s="247" t="s">
        <v>5391</v>
      </c>
      <c r="L3149" s="248">
        <v>34936</v>
      </c>
      <c r="M3149" s="249">
        <f>15*(LEFT(TEXT($L3149,"000000"),2)+(MID(TEXT($L3149,"000000"),3,2)/60)+(RIGHT(TEXT($L3149,"000000"),2)/3600))</f>
        <v>57.399999999999991</v>
      </c>
      <c r="N3149" s="286">
        <v>385856</v>
      </c>
      <c r="O3149" s="251">
        <f>IF($N3149&gt;0,(LEFT(TEXT($N3149,"000000"),2)+(MID(TEXT($N3149,"000000"),3,2)/60)+(RIGHT(TEXT($N3149,"000000"),2)/3600)),-(MID(TEXT($N3149,"000000"),2,2)+(MID(TEXT($N3149,"000000"),4,2)/60)+(RIGHT(TEXT($N3149,"000000"),2)/3600)))</f>
        <v>38.982222222222227</v>
      </c>
      <c r="P3149" s="252" t="s">
        <v>43</v>
      </c>
      <c r="Q3149" s="253"/>
      <c r="R3149" s="247" t="s">
        <v>5379</v>
      </c>
      <c r="S3149" s="272" t="s">
        <v>3293</v>
      </c>
      <c r="T3149" s="273"/>
      <c r="U3149" s="274"/>
      <c r="V3149" s="280"/>
      <c r="W3149" s="244"/>
      <c r="X3149" s="244"/>
      <c r="Y3149" s="362"/>
      <c r="Z3149" s="257">
        <f>altaz(J2000_Bas,$O3149,$M3149,DecLat,DecLong,1)</f>
        <v>-6.6968997683281071</v>
      </c>
      <c r="AA3149" s="257">
        <f>altaz((J2000_Bas+(2*0.04167)),$O3149,$M3149,DecLat,DecLong,1)</f>
        <v>11.144981482664679</v>
      </c>
      <c r="AB3149" s="257">
        <f>altaz((J2000_Bas+(4*0.04167)),$O3149,$M3149,DecLat,DecLong,1)</f>
        <v>32.575986958968244</v>
      </c>
      <c r="AC3149" s="257">
        <f>altaz((J2000_Bas+(6*0.04167)),$O3149,$M3149,DecLat,DecLong,1)</f>
        <v>55.666953076508555</v>
      </c>
      <c r="AD3149" s="258">
        <f>1+ transit((J2000_Bas-1),$O3149,$M3149,DecLat,DecLong)/360 + (GMTOffset/24) + (IF(DST="Y", 1, 0)/24)</f>
        <v>1.152344389129708</v>
      </c>
      <c r="AE3149" s="259">
        <f>DATE(2001,9,21)+(M3149/360)*365 - (360*((DecLong/360)- (GMTOffset/24) ))</f>
        <v>37218.197222222225</v>
      </c>
      <c r="AF3149" s="260">
        <f>IF(DecLat&gt;0,IF((90 - (DecLat-O3149))&gt;90, (90 - (O3149-DecLat)), (90 - (DecLat-O3149))),IF((90 + (DecLat-O3149))&gt;90, (90 + (O3149-DecLat)), (90 + (DecLat-O3149))))</f>
        <v>82.017777777777781</v>
      </c>
      <c r="AG3149" s="257">
        <f>angularseperation(MoonRA,MoonDec,$M3149,$O3149)</f>
        <v>164.53342310435113</v>
      </c>
      <c r="AH3149" s="261">
        <f ca="1">MIN(100,IF($O$5&gt;80,0+30*($AG3149/100),IF($O$5&gt;70,0+50*($AG3149/100),IF($O$5&gt;60,5+50*($AG3149/100),IF($O$5&gt;50,10+60*($AG3149/100),IF($O$5&gt;40,15+70*($AG3149/100),IF($O$5&gt;30,20+70*($AG3149/100),IF($O$5&gt;20,40+55*($AG3149/100),(80+(20-$O$5)+30*($AG3149/100))))))))))</f>
        <v>100</v>
      </c>
      <c r="AI3149" s="262"/>
      <c r="AJ3149" s="262"/>
      <c r="AK3149" s="262"/>
      <c r="AL3149" s="263"/>
      <c r="AM3149" s="264"/>
      <c r="AN3149" s="263"/>
      <c r="AO3149" s="263"/>
      <c r="AP3149" s="265"/>
      <c r="AQ3149" s="266"/>
      <c r="AR3149" s="267"/>
      <c r="AS3149" s="263"/>
      <c r="AT3149" s="263"/>
      <c r="AU3149" s="263"/>
      <c r="AV3149" s="264"/>
      <c r="AW3149" s="263"/>
      <c r="AX3149" s="263"/>
      <c r="AY3149" s="263"/>
      <c r="AZ3149" s="263"/>
      <c r="BA3149" s="263"/>
      <c r="BB3149" s="263"/>
      <c r="BC3149" s="263"/>
      <c r="BD3149" s="264"/>
      <c r="BE3149" s="263"/>
      <c r="BF3149" s="263"/>
      <c r="BG3149" s="263"/>
      <c r="BH3149" s="263"/>
      <c r="BI3149" s="263"/>
      <c r="BJ3149" s="404">
        <f>altaz(J2000_Bas,$O3149,$M3149,DecLat,DecLong,2)</f>
        <v>35.953024123837025</v>
      </c>
      <c r="BK3149" s="378" t="s">
        <v>2958</v>
      </c>
      <c r="BL3149" s="379">
        <f>IF((2*G3149)/60&lt;0.2,0.2,(2*G3149)/60)</f>
        <v>0.2</v>
      </c>
      <c r="BM3149" s="380">
        <f>MOD((50000+AD3149-$B$3+(0/24)),1)</f>
        <v>0.36771131883142516</v>
      </c>
      <c r="BN3149" s="381"/>
      <c r="BO3149" s="382">
        <v>3139</v>
      </c>
    </row>
    <row r="3150" spans="1:67" s="24" customFormat="1" ht="16.5" customHeight="1" x14ac:dyDescent="0.25">
      <c r="A3150" s="288" t="s">
        <v>2959</v>
      </c>
      <c r="B3150" s="241" t="str">
        <f>HYPERLINK(CONCATENATE($AT$3,BK3150,$AU$3),$AV$3)</f>
        <v>S</v>
      </c>
      <c r="C3150" s="242" t="str">
        <f>HYPERLINK(CONCATENATE($AT$4,BK3150,$AU$4,BL3150),$AV$4)</f>
        <v>A</v>
      </c>
      <c r="D3150" s="243" t="s">
        <v>5187</v>
      </c>
      <c r="E3150" s="244" t="s">
        <v>5181</v>
      </c>
      <c r="F3150" s="269" t="s">
        <v>5731</v>
      </c>
      <c r="G3150" s="273">
        <v>6</v>
      </c>
      <c r="H3150" s="271" t="s">
        <v>6500</v>
      </c>
      <c r="I3150" s="244" t="s">
        <v>6500</v>
      </c>
      <c r="J3150" s="246">
        <v>2</v>
      </c>
      <c r="K3150" s="247" t="s">
        <v>6476</v>
      </c>
      <c r="L3150" s="248">
        <v>185457</v>
      </c>
      <c r="M3150" s="249">
        <f>15*(LEFT(TEXT($L3150,"000000"),2)+(MID(TEXT($L3150,"000000"),3,2)/60)+(RIGHT(TEXT($L3150,"000000"),2)/3600))</f>
        <v>283.73749999999995</v>
      </c>
      <c r="N3150" s="250">
        <v>60231</v>
      </c>
      <c r="O3150" s="251">
        <f>IF($N3150&gt;0,(LEFT(TEXT($N3150,"000000"),2)+(MID(TEXT($N3150,"000000"),3,2)/60)+(RIGHT(TEXT($N3150,"000000"),2)/3600)),-(MID(TEXT($N3150,"000000"),2,2)+(MID(TEXT($N3150,"000000"),4,2)/60)+(RIGHT(TEXT($N3150,"000000"),2)/3600)))</f>
        <v>6.0419444444444439</v>
      </c>
      <c r="P3150" s="252" t="s">
        <v>115</v>
      </c>
      <c r="Q3150" s="253"/>
      <c r="R3150" s="247" t="s">
        <v>6475</v>
      </c>
      <c r="S3150" s="272" t="s">
        <v>3293</v>
      </c>
      <c r="T3150" s="273"/>
      <c r="U3150" s="274"/>
      <c r="V3150" s="280"/>
      <c r="W3150" s="244"/>
      <c r="X3150" s="244"/>
      <c r="Y3150" s="362"/>
      <c r="Z3150" s="257">
        <f>altaz(J2000_Bas,$O3150,$M3150,DecLat,DecLong,1)</f>
        <v>64.95165809161746</v>
      </c>
      <c r="AA3150" s="257">
        <f>altaz((J2000_Bas+(2*0.04167)),$O3150,$M3150,DecLat,DecLong,1)</f>
        <v>50.743609935111579</v>
      </c>
      <c r="AB3150" s="257">
        <f>altaz((J2000_Bas+(4*0.04167)),$O3150,$M3150,DecLat,DecLong,1)</f>
        <v>26.658780399997241</v>
      </c>
      <c r="AC3150" s="257">
        <f>altaz((J2000_Bas+(6*0.04167)),$O3150,$M3150,DecLat,DecLong,1)</f>
        <v>0.95979924513968917</v>
      </c>
      <c r="AD3150" s="258">
        <f>1+ transit((J2000_Bas-1),$O3150,$M3150,DecLat,DecLong)/360 + (GMTOffset/24) + (IF(DST="Y", 1, 0)/24)</f>
        <v>1.7810596040359579</v>
      </c>
      <c r="AE3150" s="259">
        <f>DATE(2001,9,21)+(M3150/360)*365 - (360*((DecLong/360)- (GMTOffset/24) ))</f>
        <v>37447.678298611114</v>
      </c>
      <c r="AF3150" s="260">
        <f>IF(DecLat&gt;0,IF((90 - (DecLat-O3150))&gt;90, (90 - (O3150-DecLat)), (90 - (DecLat-O3150))),IF((90 + (DecLat-O3150))&gt;90, (90 + (O3150-DecLat)), (90 + (DecLat-O3150))))</f>
        <v>65.041944444444439</v>
      </c>
      <c r="AG3150" s="257">
        <f>angularseperation(MoonRA,MoonDec,$M3150,$O3150)</f>
        <v>47.016200107024872</v>
      </c>
      <c r="AH3150" s="261">
        <f ca="1">MIN(100,IF($O$5&gt;80,0+30*($AG3150/100),IF($O$5&gt;70,0+50*($AG3150/100),IF($O$5&gt;60,5+50*($AG3150/100),IF($O$5&gt;50,10+60*($AG3150/100),IF($O$5&gt;40,15+70*($AG3150/100),IF($O$5&gt;30,20+70*($AG3150/100),IF($O$5&gt;20,40+55*($AG3150/100),(80+(20-$O$5)+30*($AG3150/100))))))))))</f>
        <v>97.375920376257895</v>
      </c>
      <c r="AI3150" s="262"/>
      <c r="AJ3150" s="262"/>
      <c r="AK3150" s="262"/>
      <c r="AL3150" s="263"/>
      <c r="AM3150" s="264"/>
      <c r="AN3150" s="263"/>
      <c r="AO3150" s="263"/>
      <c r="AP3150" s="265"/>
      <c r="AQ3150" s="266"/>
      <c r="AR3150" s="267"/>
      <c r="AS3150" s="263"/>
      <c r="AT3150" s="263"/>
      <c r="AU3150" s="263"/>
      <c r="AV3150" s="264"/>
      <c r="AW3150" s="263"/>
      <c r="AX3150" s="263"/>
      <c r="AY3150" s="263"/>
      <c r="AZ3150" s="263"/>
      <c r="BA3150" s="263">
        <v>181</v>
      </c>
      <c r="BB3150" s="263"/>
      <c r="BC3150" s="263"/>
      <c r="BD3150" s="264"/>
      <c r="BE3150" s="263"/>
      <c r="BF3150" s="263"/>
      <c r="BG3150" s="263"/>
      <c r="BH3150" s="263"/>
      <c r="BI3150" s="263"/>
      <c r="BJ3150" s="404">
        <f>altaz(J2000_Bas,$O3150,$M3150,DecLat,DecLong,2)</f>
        <v>185.32663341258939</v>
      </c>
      <c r="BK3150" s="378" t="s">
        <v>4143</v>
      </c>
      <c r="BL3150" s="379">
        <f>IF((2*G3150)/60&lt;0.2,0.2,(2*G3150)/60)</f>
        <v>0.2</v>
      </c>
      <c r="BM3150" s="380">
        <f>MOD((50000+AD3150-$B$3+(0/24)),1)</f>
        <v>0.99642653374030488</v>
      </c>
      <c r="BN3150" s="381"/>
      <c r="BO3150" s="382">
        <v>3140</v>
      </c>
    </row>
    <row r="3151" spans="1:67" s="24" customFormat="1" ht="16.5" customHeight="1" x14ac:dyDescent="0.25">
      <c r="A3151" s="288" t="s">
        <v>2960</v>
      </c>
      <c r="B3151" s="241" t="str">
        <f>HYPERLINK(CONCATENATE($AT$3,BK3151,$AU$3),$AV$3)</f>
        <v>S</v>
      </c>
      <c r="C3151" s="242" t="str">
        <f>HYPERLINK(CONCATENATE($AT$4,BK3151,$AU$4,BL3151),$AV$4)</f>
        <v>A</v>
      </c>
      <c r="D3151" s="243" t="s">
        <v>5638</v>
      </c>
      <c r="E3151" s="244" t="s">
        <v>5337</v>
      </c>
      <c r="F3151" s="269" t="s">
        <v>3310</v>
      </c>
      <c r="G3151" s="270">
        <v>0.4</v>
      </c>
      <c r="H3151" s="283">
        <v>500</v>
      </c>
      <c r="I3151" s="246">
        <v>55</v>
      </c>
      <c r="J3151" s="246">
        <v>1</v>
      </c>
      <c r="K3151" s="247" t="s">
        <v>8517</v>
      </c>
      <c r="L3151" s="248">
        <v>161331</v>
      </c>
      <c r="M3151" s="249">
        <f>15*(LEFT(TEXT($L3151,"000000"),2)+(MID(TEXT($L3151,"000000"),3,2)/60)+(RIGHT(TEXT($L3151,"000000"),2)/3600))</f>
        <v>243.37916666666666</v>
      </c>
      <c r="N3151" s="250">
        <v>510339</v>
      </c>
      <c r="O3151" s="251">
        <f>IF($N3151&gt;0,(LEFT(TEXT($N3151,"000000"),2)+(MID(TEXT($N3151,"000000"),3,2)/60)+(RIGHT(TEXT($N3151,"000000"),2)/3600)),-(MID(TEXT($N3151,"000000"),2,2)+(MID(TEXT($N3151,"000000"),4,2)/60)+(RIGHT(TEXT($N3151,"000000"),2)/3600)))</f>
        <v>51.060833333333328</v>
      </c>
      <c r="P3151" s="252" t="s">
        <v>111</v>
      </c>
      <c r="Q3151" s="253"/>
      <c r="R3151" s="247" t="s">
        <v>3293</v>
      </c>
      <c r="S3151" s="272" t="s">
        <v>3293</v>
      </c>
      <c r="T3151" s="273"/>
      <c r="U3151" s="274"/>
      <c r="V3151" s="280"/>
      <c r="W3151" s="244"/>
      <c r="X3151" s="244"/>
      <c r="Y3151" s="362"/>
      <c r="Z3151" s="257">
        <f>altaz(J2000_Bas,$O3151,$M3151,DecLat,DecLong,1)</f>
        <v>52.84537152949337</v>
      </c>
      <c r="AA3151" s="257">
        <f>altaz((J2000_Bas+(2*0.04167)),$O3151,$M3151,DecLat,DecLong,1)</f>
        <v>34.106655429044039</v>
      </c>
      <c r="AB3151" s="257">
        <f>altaz((J2000_Bas+(4*0.04167)),$O3151,$M3151,DecLat,DecLong,1)</f>
        <v>16.338895981444239</v>
      </c>
      <c r="AC3151" s="257">
        <f>altaz((J2000_Bas+(6*0.04167)),$O3151,$M3151,DecLat,DecLong,1)</f>
        <v>1.9507218575414191</v>
      </c>
      <c r="AD3151" s="258">
        <f>1+ transit((J2000_Bas-1),$O3151,$M3151,DecLat,DecLong)/360 + (GMTOffset/24) + (IF(DST="Y", 1, 0)/24)</f>
        <v>1.6689531337651247</v>
      </c>
      <c r="AE3151" s="259">
        <f>DATE(2001,9,21)+(M3151/360)*365 - (360*((DecLong/360)- (GMTOffset/24) ))</f>
        <v>37406.759432870371</v>
      </c>
      <c r="AF3151" s="260">
        <f>IF(DecLat&gt;0,IF((90 - (DecLat-O3151))&gt;90, (90 - (O3151-DecLat)), (90 - (DecLat-O3151))),IF((90 + (DecLat-O3151))&gt;90, (90 + (O3151-DecLat)), (90 + (DecLat-O3151))))</f>
        <v>69.939166666666665</v>
      </c>
      <c r="AG3151" s="257">
        <f>angularseperation(MoonRA,MoonDec,$M3151,$O3151)</f>
        <v>78.316225800140941</v>
      </c>
      <c r="AH3151" s="261">
        <f ca="1">MIN(100,IF($O$5&gt;80,0+30*($AG3151/100),IF($O$5&gt;70,0+50*($AG3151/100),IF($O$5&gt;60,5+50*($AG3151/100),IF($O$5&gt;50,10+60*($AG3151/100),IF($O$5&gt;40,15+70*($AG3151/100),IF($O$5&gt;30,20+70*($AG3151/100),IF($O$5&gt;20,40+55*($AG3151/100),(80+(20-$O$5)+30*($AG3151/100))))))))))</f>
        <v>100</v>
      </c>
      <c r="AI3151" s="262"/>
      <c r="AJ3151" s="262"/>
      <c r="AK3151" s="262"/>
      <c r="AL3151" s="263"/>
      <c r="AM3151" s="264"/>
      <c r="AN3151" s="263"/>
      <c r="AO3151" s="263"/>
      <c r="AP3151" s="265"/>
      <c r="AQ3151" s="266"/>
      <c r="AR3151" s="359">
        <v>3087279</v>
      </c>
      <c r="AS3151" s="263"/>
      <c r="AT3151" s="263"/>
      <c r="AU3151" s="263"/>
      <c r="AV3151" s="264"/>
      <c r="AW3151" s="263"/>
      <c r="AX3151" s="263"/>
      <c r="AY3151" s="263"/>
      <c r="AZ3151" s="263"/>
      <c r="BA3151" s="263"/>
      <c r="BB3151" s="263"/>
      <c r="BC3151" s="263"/>
      <c r="BD3151" s="264"/>
      <c r="BE3151" s="263"/>
      <c r="BF3151" s="263"/>
      <c r="BG3151" s="263"/>
      <c r="BH3151" s="263"/>
      <c r="BI3151" s="263"/>
      <c r="BJ3151" s="404">
        <f>altaz(J2000_Bas,$O3151,$M3151,DecLat,DecLong,2)</f>
        <v>315.19654231672462</v>
      </c>
      <c r="BK3151" s="378" t="s">
        <v>2960</v>
      </c>
      <c r="BL3151" s="379">
        <f>IF((2*G3151)/60&lt;0.2,0.2,(2*G3151)/60)</f>
        <v>0.2</v>
      </c>
      <c r="BM3151" s="380">
        <f>MOD((50000+AD3151-$B$3+(0/24)),1)</f>
        <v>0.88432006346556591</v>
      </c>
      <c r="BN3151" s="381"/>
      <c r="BO3151" s="382">
        <v>3141</v>
      </c>
    </row>
    <row r="3152" spans="1:67" s="24" customFormat="1" ht="16.5" customHeight="1" x14ac:dyDescent="0.25">
      <c r="A3152" s="288" t="s">
        <v>2961</v>
      </c>
      <c r="B3152" s="241" t="str">
        <f>HYPERLINK(CONCATENATE($AT$3,BK3152,$AU$3),$AV$3)</f>
        <v>S</v>
      </c>
      <c r="C3152" s="242" t="str">
        <f>HYPERLINK(CONCATENATE($AT$4,BK3152,$AU$4,BL3152),$AV$4)</f>
        <v>A</v>
      </c>
      <c r="D3152" s="243" t="s">
        <v>5638</v>
      </c>
      <c r="E3152" s="244" t="s">
        <v>29</v>
      </c>
      <c r="F3152" s="269"/>
      <c r="G3152" s="270">
        <v>0.4</v>
      </c>
      <c r="H3152" s="283">
        <v>130</v>
      </c>
      <c r="I3152" s="246">
        <v>16</v>
      </c>
      <c r="J3152" s="246">
        <v>1</v>
      </c>
      <c r="K3152" s="247" t="s">
        <v>5356</v>
      </c>
      <c r="L3152" s="248">
        <v>51048</v>
      </c>
      <c r="M3152" s="249">
        <f>15*(LEFT(TEXT($L3152,"000000"),2)+(MID(TEXT($L3152,"000000"),3,2)/60)+(RIGHT(TEXT($L3152,"000000"),2)/3600))</f>
        <v>77.7</v>
      </c>
      <c r="N3152" s="250">
        <v>-24051</v>
      </c>
      <c r="O3152" s="251">
        <f>IF($N3152&gt;0,(LEFT(TEXT($N3152,"000000"),2)+(MID(TEXT($N3152,"000000"),3,2)/60)+(RIGHT(TEXT($N3152,"000000"),2)/3600)),-(MID(TEXT($N3152,"000000"),2,2)+(MID(TEXT($N3152,"000000"),4,2)/60)+(RIGHT(TEXT($N3152,"000000"),2)/3600)))</f>
        <v>-2.6808333333333332</v>
      </c>
      <c r="P3152" s="252" t="s">
        <v>41</v>
      </c>
      <c r="Q3152" s="253"/>
      <c r="R3152" s="247" t="s">
        <v>3293</v>
      </c>
      <c r="S3152" s="272" t="s">
        <v>3293</v>
      </c>
      <c r="T3152" s="273">
        <v>14.4</v>
      </c>
      <c r="U3152" s="274"/>
      <c r="V3152" s="280"/>
      <c r="W3152" s="244"/>
      <c r="X3152" s="244"/>
      <c r="Y3152" s="362"/>
      <c r="Z3152" s="257">
        <f>altaz(J2000_Bas,$O3152,$M3152,DecLat,DecLong,1)</f>
        <v>-51.074292888751415</v>
      </c>
      <c r="AA3152" s="257">
        <f>altaz((J2000_Bas+(2*0.04167)),$O3152,$M3152,DecLat,DecLong,1)</f>
        <v>-28.223020990721373</v>
      </c>
      <c r="AB3152" s="257">
        <f>altaz((J2000_Bas+(4*0.04167)),$O3152,$M3152,DecLat,DecLong,1)</f>
        <v>-2.6896225723010052</v>
      </c>
      <c r="AC3152" s="257">
        <f>altaz((J2000_Bas+(6*0.04167)),$O3152,$M3152,DecLat,DecLong,1)</f>
        <v>22.656554256450892</v>
      </c>
      <c r="AD3152" s="258">
        <f>1+ transit((J2000_Bas-1),$O3152,$M3152,DecLat,DecLong)/360 + (GMTOffset/24) + (IF(DST="Y", 1, 0)/24)</f>
        <v>1.208733272379708</v>
      </c>
      <c r="AE3152" s="259">
        <f>DATE(2001,9,21)+(M3152/360)*365 - (360*((DecLong/360)- (GMTOffset/24) ))</f>
        <v>37238.779166666667</v>
      </c>
      <c r="AF3152" s="260">
        <f>IF(DecLat&gt;0,IF((90 - (DecLat-O3152))&gt;90, (90 - (O3152-DecLat)), (90 - (DecLat-O3152))),IF((90 + (DecLat-O3152))&gt;90, (90 + (O3152-DecLat)), (90 + (DecLat-O3152))))</f>
        <v>56.319166666666668</v>
      </c>
      <c r="AG3152" s="257">
        <f>angularseperation(MoonRA,MoonDec,$M3152,$O3152)</f>
        <v>149.13701974311789</v>
      </c>
      <c r="AH3152" s="261">
        <f ca="1">MIN(100,IF($O$5&gt;80,0+30*($AG3152/100),IF($O$5&gt;70,0+50*($AG3152/100),IF($O$5&gt;60,5+50*($AG3152/100),IF($O$5&gt;50,10+60*($AG3152/100),IF($O$5&gt;40,15+70*($AG3152/100),IF($O$5&gt;30,20+70*($AG3152/100),IF($O$5&gt;20,40+55*($AG3152/100),(80+(20-$O$5)+30*($AG3152/100))))))))))</f>
        <v>100</v>
      </c>
      <c r="AI3152" s="262"/>
      <c r="AJ3152" s="262"/>
      <c r="AK3152" s="262"/>
      <c r="AL3152" s="263"/>
      <c r="AM3152" s="264"/>
      <c r="AN3152" s="263"/>
      <c r="AO3152" s="263"/>
      <c r="AP3152" s="265"/>
      <c r="AQ3152" s="266"/>
      <c r="AR3152" s="267">
        <v>16868</v>
      </c>
      <c r="AS3152" s="263"/>
      <c r="AT3152" s="263"/>
      <c r="AU3152" s="263"/>
      <c r="AV3152" s="264"/>
      <c r="AW3152" s="263"/>
      <c r="AX3152" s="263"/>
      <c r="AY3152" s="263"/>
      <c r="AZ3152" s="263"/>
      <c r="BA3152" s="263"/>
      <c r="BB3152" s="263"/>
      <c r="BC3152" s="263"/>
      <c r="BD3152" s="264"/>
      <c r="BE3152" s="263"/>
      <c r="BF3152" s="263"/>
      <c r="BG3152" s="263"/>
      <c r="BH3152" s="263"/>
      <c r="BI3152" s="263"/>
      <c r="BJ3152" s="404">
        <f>altaz(J2000_Bas,$O3152,$M3152,DecLat,DecLong,2)</f>
        <v>48.918956542278387</v>
      </c>
      <c r="BK3152" s="378" t="s">
        <v>2961</v>
      </c>
      <c r="BL3152" s="379">
        <f>IF((2*G3152)/60&lt;0.2,0.2,(2*G3152)/60)</f>
        <v>0.2</v>
      </c>
      <c r="BM3152" s="380">
        <f>MOD((50000+AD3152-$B$3+(0/24)),1)</f>
        <v>0.4241002020862652</v>
      </c>
      <c r="BN3152" s="381"/>
      <c r="BO3152" s="382">
        <v>3142</v>
      </c>
    </row>
    <row r="3153" spans="1:67" s="24" customFormat="1" ht="16.5" customHeight="1" x14ac:dyDescent="0.25">
      <c r="A3153" s="288" t="s">
        <v>2962</v>
      </c>
      <c r="B3153" s="241" t="str">
        <f>HYPERLINK(CONCATENATE($AT$3,BK3153,$AU$3),$AV$3)</f>
        <v>S</v>
      </c>
      <c r="C3153" s="242" t="str">
        <f>HYPERLINK(CONCATENATE($AT$4,BK3153,$AU$4,BL3153),$AV$4)</f>
        <v>A</v>
      </c>
      <c r="D3153" s="243" t="s">
        <v>5638</v>
      </c>
      <c r="E3153" s="244" t="s">
        <v>5337</v>
      </c>
      <c r="F3153" s="269" t="s">
        <v>3301</v>
      </c>
      <c r="G3153" s="270">
        <v>0.5</v>
      </c>
      <c r="H3153" s="283">
        <v>500</v>
      </c>
      <c r="I3153" s="246">
        <v>75</v>
      </c>
      <c r="J3153" s="246">
        <v>2</v>
      </c>
      <c r="K3153" s="247" t="s">
        <v>8615</v>
      </c>
      <c r="L3153" s="248">
        <v>205725</v>
      </c>
      <c r="M3153" s="249">
        <f>15*(LEFT(TEXT($L3153,"000000"),2)+(MID(TEXT($L3153,"000000"),3,2)/60)+(RIGHT(TEXT($L3153,"000000"),2)/3600))</f>
        <v>314.35416666666663</v>
      </c>
      <c r="N3153" s="250">
        <v>170738</v>
      </c>
      <c r="O3153" s="251">
        <f>IF($N3153&gt;0,(LEFT(TEXT($N3153,"000000"),2)+(MID(TEXT($N3153,"000000"),3,2)/60)+(RIGHT(TEXT($N3153,"000000"),2)/3600)),-(MID(TEXT($N3153,"000000"),2,2)+(MID(TEXT($N3153,"000000"),4,2)/60)+(RIGHT(TEXT($N3153,"000000"),2)/3600)))</f>
        <v>17.127222222222223</v>
      </c>
      <c r="P3153" s="252" t="s">
        <v>153</v>
      </c>
      <c r="Q3153" s="253"/>
      <c r="R3153" s="247" t="s">
        <v>3293</v>
      </c>
      <c r="S3153" s="272" t="s">
        <v>3293</v>
      </c>
      <c r="T3153" s="273"/>
      <c r="U3153" s="274"/>
      <c r="V3153" s="280"/>
      <c r="W3153" s="244"/>
      <c r="X3153" s="244"/>
      <c r="Y3153" s="362"/>
      <c r="Z3153" s="257">
        <f>altaz(J2000_Bas,$O3153,$M3153,DecLat,DecLong,1)</f>
        <v>60.759069949451678</v>
      </c>
      <c r="AA3153" s="257">
        <f>altaz((J2000_Bas+(2*0.04167)),$O3153,$M3153,DecLat,DecLong,1)</f>
        <v>76.037969186639955</v>
      </c>
      <c r="AB3153" s="257">
        <f>altaz((J2000_Bas+(4*0.04167)),$O3153,$M3153,DecLat,DecLong,1)</f>
        <v>57.966397811352962</v>
      </c>
      <c r="AC3153" s="257">
        <f>altaz((J2000_Bas+(6*0.04167)),$O3153,$M3153,DecLat,DecLong,1)</f>
        <v>32.512326064367578</v>
      </c>
      <c r="AD3153" s="258">
        <f>1+ transit((J2000_Bas-1),$O3153,$M3153,DecLat,DecLong)/360 + (GMTOffset/24) + (IF(DST="Y", 1, 0)/24)</f>
        <v>1.866105891827625</v>
      </c>
      <c r="AE3153" s="259">
        <f>DATE(2001,9,21)+(M3153/360)*365 - (360*((DecLong/360)- (GMTOffset/24) ))</f>
        <v>37478.720196759263</v>
      </c>
      <c r="AF3153" s="260">
        <f>IF(DecLat&gt;0,IF((90 - (DecLat-O3153))&gt;90, (90 - (O3153-DecLat)), (90 - (DecLat-O3153))),IF((90 + (DecLat-O3153))&gt;90, (90 + (O3153-DecLat)), (90 + (DecLat-O3153))))</f>
        <v>76.12722222222223</v>
      </c>
      <c r="AG3153" s="257">
        <f>angularseperation(MoonRA,MoonDec,$M3153,$O3153)</f>
        <v>77.056333089674027</v>
      </c>
      <c r="AH3153" s="261">
        <f ca="1">MIN(100,IF($O$5&gt;80,0+30*($AG3153/100),IF($O$5&gt;70,0+50*($AG3153/100),IF($O$5&gt;60,5+50*($AG3153/100),IF($O$5&gt;50,10+60*($AG3153/100),IF($O$5&gt;40,15+70*($AG3153/100),IF($O$5&gt;30,20+70*($AG3153/100),IF($O$5&gt;20,40+55*($AG3153/100),(80+(20-$O$5)+30*($AG3153/100))))))))))</f>
        <v>100</v>
      </c>
      <c r="AI3153" s="262"/>
      <c r="AJ3153" s="262"/>
      <c r="AK3153" s="262"/>
      <c r="AL3153" s="263"/>
      <c r="AM3153" s="264"/>
      <c r="AN3153" s="263"/>
      <c r="AO3153" s="263"/>
      <c r="AP3153" s="265"/>
      <c r="AQ3153" s="266"/>
      <c r="AR3153" s="267">
        <v>65779</v>
      </c>
      <c r="AS3153" s="263"/>
      <c r="AT3153" s="263"/>
      <c r="AU3153" s="263"/>
      <c r="AV3153" s="264"/>
      <c r="AW3153" s="263"/>
      <c r="AX3153" s="263"/>
      <c r="AY3153" s="263"/>
      <c r="AZ3153" s="263"/>
      <c r="BA3153" s="263"/>
      <c r="BB3153" s="263"/>
      <c r="BC3153" s="263"/>
      <c r="BD3153" s="264"/>
      <c r="BE3153" s="263"/>
      <c r="BF3153" s="263"/>
      <c r="BG3153" s="263"/>
      <c r="BH3153" s="263"/>
      <c r="BI3153" s="263"/>
      <c r="BJ3153" s="404">
        <f>altaz(J2000_Bas,$O3153,$M3153,DecLat,DecLong,2)</f>
        <v>111.71425338580876</v>
      </c>
      <c r="BK3153" s="378" t="s">
        <v>2962</v>
      </c>
      <c r="BL3153" s="379">
        <f>IF((2*G3153)/60&lt;0.2,0.2,(2*G3153)/60)</f>
        <v>0.2</v>
      </c>
      <c r="BM3153" s="380">
        <f>MOD((50000+AD3153-$B$3+(0/24)),1)</f>
        <v>8.1472821533679962E-2</v>
      </c>
      <c r="BN3153" s="381" t="s">
        <v>9281</v>
      </c>
      <c r="BO3153" s="382">
        <v>3143</v>
      </c>
    </row>
    <row r="3154" spans="1:67" s="24" customFormat="1" ht="16.5" customHeight="1" x14ac:dyDescent="0.25">
      <c r="A3154" s="288" t="s">
        <v>2963</v>
      </c>
      <c r="B3154" s="241" t="str">
        <f>HYPERLINK(CONCATENATE($AT$3,BK3154,$AU$3),$AV$3)</f>
        <v>S</v>
      </c>
      <c r="C3154" s="242" t="str">
        <f>HYPERLINK(CONCATENATE($AT$4,BK3154,$AU$4,BL3154),$AV$4)</f>
        <v>A</v>
      </c>
      <c r="D3154" s="243" t="s">
        <v>5638</v>
      </c>
      <c r="E3154" s="244" t="s">
        <v>8641</v>
      </c>
      <c r="F3154" s="269"/>
      <c r="G3154" s="270">
        <v>0.6</v>
      </c>
      <c r="H3154" s="283">
        <v>360</v>
      </c>
      <c r="I3154" s="246">
        <v>60</v>
      </c>
      <c r="J3154" s="246">
        <v>2</v>
      </c>
      <c r="K3154" s="247" t="s">
        <v>7238</v>
      </c>
      <c r="L3154" s="248">
        <v>14357</v>
      </c>
      <c r="M3154" s="249">
        <f>15*(LEFT(TEXT($L3154,"000000"),2)+(MID(TEXT($L3154,"000000"),3,2)/60)+(RIGHT(TEXT($L3154,"000000"),2)/3600))</f>
        <v>25.987500000000001</v>
      </c>
      <c r="N3154" s="250">
        <v>170343</v>
      </c>
      <c r="O3154" s="251">
        <f>IF($N3154&gt;0,(LEFT(TEXT($N3154,"000000"),2)+(MID(TEXT($N3154,"000000"),3,2)/60)+(RIGHT(TEXT($N3154,"000000"),2)/3600)),-(MID(TEXT($N3154,"000000"),2,2)+(MID(TEXT($N3154,"000000"),4,2)/60)+(RIGHT(TEXT($N3154,"000000"),2)/3600)))</f>
        <v>17.061944444444446</v>
      </c>
      <c r="P3154" s="252" t="s">
        <v>158</v>
      </c>
      <c r="Q3154" s="253"/>
      <c r="R3154" s="247" t="s">
        <v>3293</v>
      </c>
      <c r="S3154" s="272" t="s">
        <v>3293</v>
      </c>
      <c r="T3154" s="273"/>
      <c r="U3154" s="274"/>
      <c r="V3154" s="280"/>
      <c r="W3154" s="244"/>
      <c r="X3154" s="244"/>
      <c r="Y3154" s="362"/>
      <c r="Z3154" s="257">
        <f>altaz(J2000_Bas,$O3154,$M3154,DecLat,DecLong,1)</f>
        <v>0.51758644069107962</v>
      </c>
      <c r="AA3154" s="257">
        <f>altaz((J2000_Bas+(2*0.04167)),$O3154,$M3154,DecLat,DecLong,1)</f>
        <v>25.640279831530588</v>
      </c>
      <c r="AB3154" s="257">
        <f>altaz((J2000_Bas+(4*0.04167)),$O3154,$M3154,DecLat,DecLong,1)</f>
        <v>51.309495828063845</v>
      </c>
      <c r="AC3154" s="257">
        <f>altaz((J2000_Bas+(6*0.04167)),$O3154,$M3154,DecLat,DecLong,1)</f>
        <v>73.489189783240533</v>
      </c>
      <c r="AD3154" s="258">
        <f>1+ transit((J2000_Bas-1),$O3154,$M3154,DecLat,DecLong)/360 + (GMTOffset/24) + (IF(DST="Y", 1, 0)/24)</f>
        <v>1.065087453410958</v>
      </c>
      <c r="AE3154" s="259">
        <f>DATE(2001,9,21)+(M3154/360)*365 - (360*((DecLong/360)- (GMTOffset/24) ))</f>
        <v>37186.348437499997</v>
      </c>
      <c r="AF3154" s="260">
        <f>IF(DecLat&gt;0,IF((90 - (DecLat-O3154))&gt;90, (90 - (O3154-DecLat)), (90 - (DecLat-O3154))),IF((90 + (DecLat-O3154))&gt;90, (90 + (O3154-DecLat)), (90 + (DecLat-O3154))))</f>
        <v>76.06194444444445</v>
      </c>
      <c r="AG3154" s="257">
        <f>angularseperation(MoonRA,MoonDec,$M3154,$O3154)</f>
        <v>138.89426417865926</v>
      </c>
      <c r="AH3154" s="261">
        <f ca="1">MIN(100,IF($O$5&gt;80,0+30*($AG3154/100),IF($O$5&gt;70,0+50*($AG3154/100),IF($O$5&gt;60,5+50*($AG3154/100),IF($O$5&gt;50,10+60*($AG3154/100),IF($O$5&gt;40,15+70*($AG3154/100),IF($O$5&gt;30,20+70*($AG3154/100),IF($O$5&gt;20,40+55*($AG3154/100),(80+(20-$O$5)+30*($AG3154/100))))))))))</f>
        <v>100</v>
      </c>
      <c r="AI3154" s="262"/>
      <c r="AJ3154" s="262"/>
      <c r="AK3154" s="262"/>
      <c r="AL3154" s="263"/>
      <c r="AM3154" s="264"/>
      <c r="AN3154" s="263"/>
      <c r="AO3154" s="263"/>
      <c r="AP3154" s="265"/>
      <c r="AQ3154" s="266"/>
      <c r="AR3154" s="267">
        <v>6366</v>
      </c>
      <c r="AS3154" s="263"/>
      <c r="AT3154" s="263"/>
      <c r="AU3154" s="263"/>
      <c r="AV3154" s="264"/>
      <c r="AW3154" s="263"/>
      <c r="AX3154" s="263"/>
      <c r="AY3154" s="263"/>
      <c r="AZ3154" s="263"/>
      <c r="BA3154" s="263"/>
      <c r="BB3154" s="263"/>
      <c r="BC3154" s="263"/>
      <c r="BD3154" s="264"/>
      <c r="BE3154" s="263"/>
      <c r="BF3154" s="263"/>
      <c r="BG3154" s="263"/>
      <c r="BH3154" s="263"/>
      <c r="BI3154" s="263"/>
      <c r="BJ3154" s="404">
        <f>altaz(J2000_Bas,$O3154,$M3154,DecLat,DecLong,2)</f>
        <v>70.312949702889895</v>
      </c>
      <c r="BK3154" s="378" t="s">
        <v>2963</v>
      </c>
      <c r="BL3154" s="379">
        <f>IF((2*G3154)/60&lt;0.2,0.2,(2*G3154)/60)</f>
        <v>0.2</v>
      </c>
      <c r="BM3154" s="380">
        <f>MOD((50000+AD3154-$B$3+(0/24)),1)</f>
        <v>0.28045438311528414</v>
      </c>
      <c r="BN3154" s="381"/>
      <c r="BO3154" s="382">
        <v>3144</v>
      </c>
    </row>
  </sheetData>
  <sheetProtection insertRows="0" deleteRows="0" sort="0" autoFilter="0"/>
  <autoFilter ref="A9:BO3154" xr:uid="{00000000-0001-0000-0000-000000000000}">
    <sortState xmlns:xlrd2="http://schemas.microsoft.com/office/spreadsheetml/2017/richdata2" ref="A10:BO3154">
      <sortCondition ref="A9:A3154"/>
    </sortState>
  </autoFilter>
  <sortState xmlns:xlrd2="http://schemas.microsoft.com/office/spreadsheetml/2017/richdata2" ref="A10:BO3154">
    <sortCondition ref="A10"/>
  </sortState>
  <mergeCells count="2">
    <mergeCell ref="AG3:AH3"/>
    <mergeCell ref="BF3:BH3"/>
  </mergeCells>
  <phoneticPr fontId="4" type="noConversion"/>
  <conditionalFormatting sqref="Z10:AC3154">
    <cfRule type="colorScale" priority="148">
      <colorScale>
        <cfvo type="num" val="20"/>
        <cfvo type="num" val="50"/>
        <cfvo type="num" val="80"/>
        <color rgb="FFF8696B"/>
        <color rgb="FFFFEB84"/>
        <color rgb="FF63BE7B"/>
      </colorScale>
    </cfRule>
  </conditionalFormatting>
  <conditionalFormatting sqref="AH10:AH3154">
    <cfRule type="colorScale" priority="139">
      <colorScale>
        <cfvo type="num" val="15"/>
        <cfvo type="num" val="50"/>
        <cfvo type="num" val="85"/>
        <color rgb="FFF8696B"/>
        <color rgb="FFFCFCFF"/>
        <color rgb="FF5A8AC6"/>
      </colorScale>
    </cfRule>
  </conditionalFormatting>
  <conditionalFormatting sqref="Z8:AC8">
    <cfRule type="colorScale" priority="138">
      <colorScale>
        <cfvo type="num" val="0"/>
        <cfvo type="num" val="1"/>
        <cfvo type="num" val="2"/>
        <color theme="1"/>
        <color theme="0" tint="-0.34998626667073579"/>
        <color rgb="FFFFF915"/>
      </colorScale>
    </cfRule>
  </conditionalFormatting>
  <conditionalFormatting sqref="H3143:I3154 H2601:I3141 H1189:I1218 H1220:I1269 H808:I818 H820:I1187 H10:I806 H1271:I2599">
    <cfRule type="expression" dxfId="127" priority="134">
      <formula>$D10="Stars"</formula>
    </cfRule>
    <cfRule type="expression" dxfId="126" priority="135">
      <formula>$D10="Neb"</formula>
    </cfRule>
  </conditionalFormatting>
  <conditionalFormatting sqref="S807:BJ807 BN807 A808:BN818 A3143:BN3154 U3142:BN3142 U1188:BN1188 A2601:BN3141 B2600:C2600 W2600:BN2600 A1271:BN1946 B1270:C1270 T1270:BN1270 A1189:BN1218 A1220:BN1269 B1219:C1219 R1219:BN1219 B819:C819 U819:BN819 A820:BN1187 BO17:BO1946 A10:BO16 A1983:BN2599 BO1983:BO3154 A1947:BO1982 A17:BN806">
    <cfRule type="expression" dxfId="125" priority="158">
      <formula>$X10="p"</formula>
    </cfRule>
    <cfRule type="expression" dxfId="124" priority="160">
      <formula>$X10="i"</formula>
    </cfRule>
    <cfRule type="expression" dxfId="123" priority="202">
      <formula>$X10="f"</formula>
    </cfRule>
    <cfRule type="expression" dxfId="122" priority="204">
      <formula>$W10=3</formula>
    </cfRule>
    <cfRule type="expression" dxfId="121" priority="205">
      <formula>$W10=2</formula>
    </cfRule>
    <cfRule type="expression" dxfId="120" priority="206">
      <formula>$W10=1</formula>
    </cfRule>
    <cfRule type="expression" dxfId="119" priority="207">
      <formula>MOD(ROW(),2)=0</formula>
    </cfRule>
  </conditionalFormatting>
  <conditionalFormatting sqref="H807:I807">
    <cfRule type="expression" dxfId="118" priority="118">
      <formula>$D807="Stars"</formula>
    </cfRule>
    <cfRule type="expression" dxfId="117" priority="119">
      <formula>$D807="Neb"</formula>
    </cfRule>
  </conditionalFormatting>
  <conditionalFormatting sqref="A807 D807:R807">
    <cfRule type="expression" dxfId="116" priority="120">
      <formula>$X807="p"</formula>
    </cfRule>
    <cfRule type="expression" dxfId="115" priority="121">
      <formula>$X807="i"</formula>
    </cfRule>
    <cfRule type="expression" dxfId="114" priority="122">
      <formula>$X807="f"</formula>
    </cfRule>
    <cfRule type="expression" dxfId="113" priority="123">
      <formula>$W807=3</formula>
    </cfRule>
    <cfRule type="expression" dxfId="112" priority="124">
      <formula>$W807=2</formula>
    </cfRule>
    <cfRule type="expression" dxfId="111" priority="125">
      <formula>$W807=1</formula>
    </cfRule>
    <cfRule type="expression" dxfId="110" priority="126">
      <formula>MOD(ROW(),2)=0</formula>
    </cfRule>
  </conditionalFormatting>
  <conditionalFormatting sqref="BK807:BM807">
    <cfRule type="expression" dxfId="109" priority="111">
      <formula>$X807="p"</formula>
    </cfRule>
    <cfRule type="expression" dxfId="108" priority="112">
      <formula>$X807="i"</formula>
    </cfRule>
    <cfRule type="expression" dxfId="107" priority="113">
      <formula>$X807="f"</formula>
    </cfRule>
    <cfRule type="expression" dxfId="106" priority="114">
      <formula>$W807=3</formula>
    </cfRule>
    <cfRule type="expression" dxfId="105" priority="115">
      <formula>$W807=2</formula>
    </cfRule>
    <cfRule type="expression" dxfId="104" priority="116">
      <formula>$W807=1</formula>
    </cfRule>
    <cfRule type="expression" dxfId="103" priority="117">
      <formula>MOD(ROW(),2)=0</formula>
    </cfRule>
  </conditionalFormatting>
  <conditionalFormatting sqref="H3142:I3142">
    <cfRule type="expression" dxfId="102" priority="102">
      <formula>$D3142="Stars"</formula>
    </cfRule>
    <cfRule type="expression" dxfId="101" priority="103">
      <formula>$D3142="Neb"</formula>
    </cfRule>
  </conditionalFormatting>
  <conditionalFormatting sqref="A3142 D3142:T3142">
    <cfRule type="expression" dxfId="100" priority="104">
      <formula>$X3142="p"</formula>
    </cfRule>
    <cfRule type="expression" dxfId="99" priority="105">
      <formula>$X3142="i"</formula>
    </cfRule>
    <cfRule type="expression" dxfId="98" priority="106">
      <formula>$X3142="f"</formula>
    </cfRule>
    <cfRule type="expression" dxfId="97" priority="107">
      <formula>$W3142=3</formula>
    </cfRule>
    <cfRule type="expression" dxfId="96" priority="108">
      <formula>$W3142=2</formula>
    </cfRule>
    <cfRule type="expression" dxfId="95" priority="109">
      <formula>$W3142=1</formula>
    </cfRule>
    <cfRule type="expression" dxfId="94" priority="110">
      <formula>MOD(ROW(),2)=0</formula>
    </cfRule>
  </conditionalFormatting>
  <conditionalFormatting sqref="H1188:I1188">
    <cfRule type="expression" dxfId="93" priority="93">
      <formula>$D1188="Stars"</formula>
    </cfRule>
    <cfRule type="expression" dxfId="92" priority="94">
      <formula>$D1188="Neb"</formula>
    </cfRule>
  </conditionalFormatting>
  <conditionalFormatting sqref="A1188 D1188:T1188">
    <cfRule type="expression" dxfId="91" priority="95">
      <formula>$X1188="p"</formula>
    </cfRule>
    <cfRule type="expression" dxfId="90" priority="96">
      <formula>$X1188="i"</formula>
    </cfRule>
    <cfRule type="expression" dxfId="89" priority="97">
      <formula>$X1188="f"</formula>
    </cfRule>
    <cfRule type="expression" dxfId="88" priority="98">
      <formula>$W1188=3</formula>
    </cfRule>
    <cfRule type="expression" dxfId="87" priority="99">
      <formula>$W1188=2</formula>
    </cfRule>
    <cfRule type="expression" dxfId="86" priority="100">
      <formula>$W1188=1</formula>
    </cfRule>
    <cfRule type="expression" dxfId="85" priority="101">
      <formula>MOD(ROW(),2)=0</formula>
    </cfRule>
  </conditionalFormatting>
  <conditionalFormatting sqref="B1188:C1188">
    <cfRule type="expression" dxfId="84" priority="86">
      <formula>$X1188="p"</formula>
    </cfRule>
    <cfRule type="expression" dxfId="83" priority="87">
      <formula>$X1188="i"</formula>
    </cfRule>
    <cfRule type="expression" dxfId="82" priority="88">
      <formula>$X1188="f"</formula>
    </cfRule>
    <cfRule type="expression" dxfId="81" priority="89">
      <formula>$W1188=3</formula>
    </cfRule>
    <cfRule type="expression" dxfId="80" priority="90">
      <formula>$W1188=2</formula>
    </cfRule>
    <cfRule type="expression" dxfId="79" priority="91">
      <formula>$W1188=1</formula>
    </cfRule>
    <cfRule type="expression" dxfId="78" priority="92">
      <formula>MOD(ROW(),2)=0</formula>
    </cfRule>
  </conditionalFormatting>
  <conditionalFormatting sqref="B3142:C3142">
    <cfRule type="expression" dxfId="77" priority="79">
      <formula>$X3142="p"</formula>
    </cfRule>
    <cfRule type="expression" dxfId="76" priority="80">
      <formula>$X3142="i"</formula>
    </cfRule>
    <cfRule type="expression" dxfId="75" priority="81">
      <formula>$X3142="f"</formula>
    </cfRule>
    <cfRule type="expression" dxfId="74" priority="82">
      <formula>$W3142=3</formula>
    </cfRule>
    <cfRule type="expression" dxfId="73" priority="83">
      <formula>$W3142=2</formula>
    </cfRule>
    <cfRule type="expression" dxfId="72" priority="84">
      <formula>$W3142=1</formula>
    </cfRule>
    <cfRule type="expression" dxfId="71" priority="85">
      <formula>MOD(ROW(),2)=0</formula>
    </cfRule>
  </conditionalFormatting>
  <conditionalFormatting sqref="B807:C807">
    <cfRule type="expression" dxfId="70" priority="72">
      <formula>$X807="p"</formula>
    </cfRule>
    <cfRule type="expression" dxfId="69" priority="73">
      <formula>$X807="i"</formula>
    </cfRule>
    <cfRule type="expression" dxfId="68" priority="74">
      <formula>$X807="f"</formula>
    </cfRule>
    <cfRule type="expression" dxfId="67" priority="75">
      <formula>$W807=3</formula>
    </cfRule>
    <cfRule type="expression" dxfId="66" priority="76">
      <formula>$W807=2</formula>
    </cfRule>
    <cfRule type="expression" dxfId="65" priority="77">
      <formula>$W807=1</formula>
    </cfRule>
    <cfRule type="expression" dxfId="64" priority="78">
      <formula>MOD(ROW(),2)=0</formula>
    </cfRule>
  </conditionalFormatting>
  <conditionalFormatting sqref="A2600">
    <cfRule type="expression" dxfId="63" priority="65">
      <formula>$X2600="p"</formula>
    </cfRule>
    <cfRule type="expression" dxfId="62" priority="66">
      <formula>$X2600="i"</formula>
    </cfRule>
    <cfRule type="expression" dxfId="61" priority="67">
      <formula>$X2600="f"</formula>
    </cfRule>
    <cfRule type="expression" dxfId="60" priority="68">
      <formula>$W2600=3</formula>
    </cfRule>
    <cfRule type="expression" dxfId="59" priority="69">
      <formula>$W2600=2</formula>
    </cfRule>
    <cfRule type="expression" dxfId="58" priority="70">
      <formula>$W2600=1</formula>
    </cfRule>
    <cfRule type="expression" dxfId="57" priority="71">
      <formula>MOD(ROW(),2)=0</formula>
    </cfRule>
  </conditionalFormatting>
  <conditionalFormatting sqref="H2600:I2600">
    <cfRule type="expression" dxfId="56" priority="56">
      <formula>$D2600="Stars"</formula>
    </cfRule>
    <cfRule type="expression" dxfId="55" priority="57">
      <formula>$D2600="Neb"</formula>
    </cfRule>
  </conditionalFormatting>
  <conditionalFormatting sqref="D2600:V2600">
    <cfRule type="expression" dxfId="54" priority="58">
      <formula>$X2600="p"</formula>
    </cfRule>
    <cfRule type="expression" dxfId="53" priority="59">
      <formula>$X2600="i"</formula>
    </cfRule>
    <cfRule type="expression" dxfId="52" priority="60">
      <formula>$X2600="f"</formula>
    </cfRule>
    <cfRule type="expression" dxfId="51" priority="61">
      <formula>$W2600=3</formula>
    </cfRule>
    <cfRule type="expression" dxfId="50" priority="62">
      <formula>$W2600=2</formula>
    </cfRule>
    <cfRule type="expression" dxfId="49" priority="63">
      <formula>$W2600=1</formula>
    </cfRule>
    <cfRule type="expression" dxfId="48" priority="64">
      <formula>MOD(ROW(),2)=0</formula>
    </cfRule>
  </conditionalFormatting>
  <conditionalFormatting sqref="A1270">
    <cfRule type="expression" dxfId="47" priority="42">
      <formula>$X1270="p"</formula>
    </cfRule>
    <cfRule type="expression" dxfId="46" priority="43">
      <formula>$X1270="i"</formula>
    </cfRule>
    <cfRule type="expression" dxfId="45" priority="44">
      <formula>$X1270="f"</formula>
    </cfRule>
    <cfRule type="expression" dxfId="44" priority="45">
      <formula>$W1270=3</formula>
    </cfRule>
    <cfRule type="expression" dxfId="43" priority="46">
      <formula>$W1270=2</formula>
    </cfRule>
    <cfRule type="expression" dxfId="42" priority="47">
      <formula>$W1270=1</formula>
    </cfRule>
    <cfRule type="expression" dxfId="41" priority="48">
      <formula>MOD(ROW(),2)=0</formula>
    </cfRule>
  </conditionalFormatting>
  <conditionalFormatting sqref="H1270:I1270">
    <cfRule type="expression" dxfId="40" priority="33">
      <formula>$D1270="Stars"</formula>
    </cfRule>
    <cfRule type="expression" dxfId="39" priority="34">
      <formula>$D1270="Neb"</formula>
    </cfRule>
  </conditionalFormatting>
  <conditionalFormatting sqref="D1270:S1270">
    <cfRule type="expression" dxfId="38" priority="35">
      <formula>$X1270="p"</formula>
    </cfRule>
    <cfRule type="expression" dxfId="37" priority="36">
      <formula>$X1270="i"</formula>
    </cfRule>
    <cfRule type="expression" dxfId="36" priority="37">
      <formula>$X1270="f"</formula>
    </cfRule>
    <cfRule type="expression" dxfId="35" priority="38">
      <formula>$W1270=3</formula>
    </cfRule>
    <cfRule type="expression" dxfId="34" priority="39">
      <formula>$W1270=2</formula>
    </cfRule>
    <cfRule type="expression" dxfId="33" priority="40">
      <formula>$W1270=1</formula>
    </cfRule>
    <cfRule type="expression" dxfId="32" priority="41">
      <formula>MOD(ROW(),2)=0</formula>
    </cfRule>
  </conditionalFormatting>
  <conditionalFormatting sqref="A1219">
    <cfRule type="expression" dxfId="31" priority="26">
      <formula>$X1219="p"</formula>
    </cfRule>
    <cfRule type="expression" dxfId="30" priority="27">
      <formula>$X1219="i"</formula>
    </cfRule>
    <cfRule type="expression" dxfId="29" priority="28">
      <formula>$X1219="f"</formula>
    </cfRule>
    <cfRule type="expression" dxfId="28" priority="29">
      <formula>$W1219=3</formula>
    </cfRule>
    <cfRule type="expression" dxfId="27" priority="30">
      <formula>$W1219=2</formula>
    </cfRule>
    <cfRule type="expression" dxfId="26" priority="31">
      <formula>$W1219=1</formula>
    </cfRule>
    <cfRule type="expression" dxfId="25" priority="32">
      <formula>MOD(ROW(),2)=0</formula>
    </cfRule>
  </conditionalFormatting>
  <conditionalFormatting sqref="H1219:I1219">
    <cfRule type="expression" dxfId="24" priority="17">
      <formula>$D1219="Stars"</formula>
    </cfRule>
    <cfRule type="expression" dxfId="23" priority="18">
      <formula>$D1219="Neb"</formula>
    </cfRule>
  </conditionalFormatting>
  <conditionalFormatting sqref="D1219:Q1219">
    <cfRule type="expression" dxfId="22" priority="19">
      <formula>$X1219="p"</formula>
    </cfRule>
    <cfRule type="expression" dxfId="21" priority="20">
      <formula>$X1219="i"</formula>
    </cfRule>
    <cfRule type="expression" dxfId="20" priority="21">
      <formula>$X1219="f"</formula>
    </cfRule>
    <cfRule type="expression" dxfId="19" priority="22">
      <formula>$W1219=3</formula>
    </cfRule>
    <cfRule type="expression" dxfId="18" priority="23">
      <formula>$W1219=2</formula>
    </cfRule>
    <cfRule type="expression" dxfId="17" priority="24">
      <formula>$W1219=1</formula>
    </cfRule>
    <cfRule type="expression" dxfId="16" priority="25">
      <formula>MOD(ROW(),2)=0</formula>
    </cfRule>
  </conditionalFormatting>
  <conditionalFormatting sqref="A819">
    <cfRule type="expression" dxfId="15" priority="10">
      <formula>$X819="p"</formula>
    </cfRule>
    <cfRule type="expression" dxfId="14" priority="11">
      <formula>$X819="i"</formula>
    </cfRule>
    <cfRule type="expression" dxfId="13" priority="12">
      <formula>$X819="f"</formula>
    </cfRule>
    <cfRule type="expression" dxfId="12" priority="13">
      <formula>$W819=3</formula>
    </cfRule>
    <cfRule type="expression" dxfId="11" priority="14">
      <formula>$W819=2</formula>
    </cfRule>
    <cfRule type="expression" dxfId="10" priority="15">
      <formula>$W819=1</formula>
    </cfRule>
    <cfRule type="expression" dxfId="9" priority="16">
      <formula>MOD(ROW(),2)=0</formula>
    </cfRule>
  </conditionalFormatting>
  <conditionalFormatting sqref="H819:I819">
    <cfRule type="expression" dxfId="8" priority="1">
      <formula>$D819="Stars"</formula>
    </cfRule>
    <cfRule type="expression" dxfId="7" priority="2">
      <formula>$D819="Neb"</formula>
    </cfRule>
  </conditionalFormatting>
  <conditionalFormatting sqref="D819:T819">
    <cfRule type="expression" dxfId="6" priority="3">
      <formula>$X819="p"</formula>
    </cfRule>
    <cfRule type="expression" dxfId="5" priority="4">
      <formula>$X819="i"</formula>
    </cfRule>
    <cfRule type="expression" dxfId="4" priority="5">
      <formula>$X819="f"</formula>
    </cfRule>
    <cfRule type="expression" dxfId="3" priority="6">
      <formula>$W819=3</formula>
    </cfRule>
    <cfRule type="expression" dxfId="2" priority="7">
      <formula>$W819=2</formula>
    </cfRule>
    <cfRule type="expression" dxfId="1" priority="8">
      <formula>$W819=1</formula>
    </cfRule>
    <cfRule type="expression" dxfId="0" priority="9">
      <formula>MOD(ROW(),2)=0</formula>
    </cfRule>
  </conditionalFormatting>
  <dataValidations count="8">
    <dataValidation type="list" allowBlank="1" sqref="W88" xr:uid="{0829D861-DC51-42CC-93BB-52F5479AEAC6}">
      <formula1>"1,2,3"</formula1>
    </dataValidation>
    <dataValidation type="list" allowBlank="1" showInputMessage="1" showErrorMessage="1" promptTitle="DST Entry" prompt="Is it Daylight Savings Time?  Y or N" sqref="G3" xr:uid="{80C8D61F-EA6E-49D5-B758-AA4A64E90356}">
      <formula1>"N, Y"</formula1>
    </dataValidation>
    <dataValidation type="decimal" allowBlank="1" showInputMessage="1" showErrorMessage="1" error="Please enter a declination from -90 to +90" sqref="V4:V5" xr:uid="{EE2949D7-8013-438B-8163-43CAD837CCB5}">
      <formula1>-90</formula1>
      <formula2>90</formula2>
    </dataValidation>
    <dataValidation type="decimal" allowBlank="1" showInputMessage="1" showErrorMessage="1" error="Please enter a size from 0 to 2400." sqref="X4:X5" xr:uid="{A288E2B3-3264-416D-A250-635A190CB3AB}">
      <formula1>0</formula1>
      <formula2>2400</formula2>
    </dataValidation>
    <dataValidation type="decimal" allowBlank="1" showInputMessage="1" showErrorMessage="1" error="Please enter a value from 0 to 60." sqref="J3:K4" xr:uid="{ACCED345-0240-4E2F-8353-42A423829885}">
      <formula1>0</formula1>
      <formula2>60</formula2>
    </dataValidation>
    <dataValidation type="decimal" allowBlank="1" showInputMessage="1" showErrorMessage="1" error="Please enter a value from -90 to 90." sqref="I3" xr:uid="{AB1484B0-2786-469B-8F2B-386CB6153325}">
      <formula1>-90</formula1>
      <formula2>90</formula2>
    </dataValidation>
    <dataValidation type="decimal" allowBlank="1" showInputMessage="1" showErrorMessage="1" error="Please enter a value from -180 to 180." sqref="I4" xr:uid="{7A003BF2-EE71-46FA-BA53-F14E0BFC4AFE}">
      <formula1>-180</formula1>
      <formula2>180</formula2>
    </dataValidation>
    <dataValidation type="decimal" allowBlank="1" showInputMessage="1" showErrorMessage="1" error="Please enter a value from -24 to +24." sqref="G4" xr:uid="{FB77770C-A210-43B2-85F9-B6D7058061C0}">
      <formula1>-24</formula1>
      <formula2>24</formula2>
    </dataValidation>
  </dataValidations>
  <hyperlinks>
    <hyperlink ref="A877" r:id="rId1" display="LBN 0325" xr:uid="{00000000-0004-0000-0000-000000000000}"/>
    <hyperlink ref="A3076" r:id="rId2" xr:uid="{00000000-0004-0000-0000-000001000000}"/>
    <hyperlink ref="A2425" r:id="rId3" xr:uid="{00000000-0004-0000-0000-000002000000}"/>
    <hyperlink ref="A1394" r:id="rId4" display="M 086" xr:uid="{00000000-0004-0000-0000-000003000000}"/>
    <hyperlink ref="A890" r:id="rId5" display="HH 168" xr:uid="{00000000-0004-0000-0000-000004000000}"/>
    <hyperlink ref="A1241" r:id="rId6" xr:uid="{00000000-0004-0000-0000-000005000000}"/>
    <hyperlink ref="A1236" r:id="rId7" display="vdB 156" xr:uid="{00000000-0004-0000-0000-000008000000}"/>
    <hyperlink ref="A2971" r:id="rId8" display="Sh2-157" xr:uid="{00000000-0004-0000-0000-000009000000}"/>
    <hyperlink ref="A2974" r:id="rId9" display="LkHa 120" xr:uid="{00000000-0004-0000-0000-00000A000000}"/>
    <hyperlink ref="A2975" r:id="rId10" xr:uid="{00000000-0004-0000-0000-00000B000000}"/>
    <hyperlink ref="A2976" r:id="rId11" display="LDN 1622" xr:uid="{00000000-0004-0000-0000-00000C000000}"/>
    <hyperlink ref="A3149" r:id="rId12" display="vdB 024" xr:uid="{00000000-0004-0000-0000-00000D000000}"/>
    <hyperlink ref="A2636" r:id="rId13" display="LDN 1495" xr:uid="{00000000-0004-0000-0000-00000E000000}"/>
    <hyperlink ref="A2970" r:id="rId14" display="NGC 2313" xr:uid="{00000000-0004-0000-0000-00000F000000}"/>
    <hyperlink ref="A2969" r:id="rId15" display="NGC 1999" xr:uid="{00000000-0004-0000-0000-000010000000}"/>
    <hyperlink ref="A970" r:id="rId16" xr:uid="{00000000-0004-0000-0000-000011000000}"/>
    <hyperlink ref="A2968" r:id="rId17" display="vdB 001" xr:uid="{00000000-0004-0000-0000-000012000000}"/>
    <hyperlink ref="A2967" r:id="rId18" display="LBN 0437" xr:uid="{00000000-0004-0000-0000-000013000000}"/>
    <hyperlink ref="A2906" r:id="rId19" display="NGC 1555" xr:uid="{00000000-0004-0000-0000-000014000000}"/>
    <hyperlink ref="A2973" r:id="rId20" display="LDN 1495" xr:uid="{00000000-0004-0000-0000-000015000000}"/>
    <hyperlink ref="A2905" r:id="rId21" display="vdB 031" xr:uid="{00000000-0004-0000-0000-000016000000}"/>
    <hyperlink ref="A2625" r:id="rId22" display="NGC 2261" xr:uid="{00000000-0004-0000-0000-000017000000}"/>
    <hyperlink ref="A2624" r:id="rId23" display="GM 1-29" xr:uid="{00000000-0004-0000-0000-000018000000}"/>
    <hyperlink ref="A2977" r:id="rId24" display="Gyulbudaghian 98-171" xr:uid="{00000000-0004-0000-0000-000019000000}"/>
    <hyperlink ref="A1063" r:id="rId25" xr:uid="{00000000-0004-0000-0000-00001A000000}"/>
    <hyperlink ref="A1060" r:id="rId26" display="Cederblad 051" xr:uid="{00000000-0004-0000-0000-00001B000000}"/>
    <hyperlink ref="A956" r:id="rId27" display="NGC 2316" xr:uid="{00000000-0004-0000-0000-00001C000000}"/>
    <hyperlink ref="A876" r:id="rId28" display="Barnard 035" xr:uid="{00000000-0004-0000-0000-00001D000000}"/>
    <hyperlink ref="A875" r:id="rId29" display="Barnard 216" xr:uid="{00000000-0004-0000-0000-00001E000000}"/>
    <hyperlink ref="A842" r:id="rId30" display="LDN 1495" xr:uid="{00000000-0004-0000-0000-00001F000000}"/>
    <hyperlink ref="A1276" r:id="rId31" display="NGC 2163" xr:uid="{00000000-0004-0000-0000-000020000000}"/>
    <hyperlink ref="A3122" r:id="rId32" xr:uid="{00000000-0004-0000-0000-000022000000}"/>
    <hyperlink ref="A3119" r:id="rId33" xr:uid="{00000000-0004-0000-0000-000023000000}"/>
    <hyperlink ref="A3109" r:id="rId34" xr:uid="{00000000-0004-0000-0000-000024000000}"/>
    <hyperlink ref="A631" r:id="rId35" xr:uid="{00000000-0004-0000-0000-000025000000}"/>
    <hyperlink ref="A3108" r:id="rId36" xr:uid="{00000000-0004-0000-0000-000026000000}"/>
    <hyperlink ref="A2384" r:id="rId37" xr:uid="{00000000-0004-0000-0000-000027000000}"/>
    <hyperlink ref="A3084" r:id="rId38" xr:uid="{00000000-0004-0000-0000-000028000000}"/>
    <hyperlink ref="A948" r:id="rId39" xr:uid="{00000000-0004-0000-0000-000029000000}"/>
    <hyperlink ref="A2666" r:id="rId40" xr:uid="{00000000-0004-0000-0000-00002A000000}"/>
    <hyperlink ref="A3071" r:id="rId41" xr:uid="{00000000-0004-0000-0000-00002B000000}"/>
    <hyperlink ref="A3070" r:id="rId42" xr:uid="{00000000-0004-0000-0000-00002C000000}"/>
    <hyperlink ref="A3069" r:id="rId43" xr:uid="{00000000-0004-0000-0000-00002D000000}"/>
    <hyperlink ref="A500" r:id="rId44" xr:uid="{00000000-0004-0000-0000-00002E000000}"/>
    <hyperlink ref="A3067" r:id="rId45" xr:uid="{00000000-0004-0000-0000-00002F000000}"/>
    <hyperlink ref="A940" r:id="rId46" xr:uid="{00000000-0004-0000-0000-000030000000}"/>
    <hyperlink ref="A3066" r:id="rId47" xr:uid="{00000000-0004-0000-0000-000031000000}"/>
    <hyperlink ref="A3064" r:id="rId48" xr:uid="{00000000-0004-0000-0000-000032000000}"/>
    <hyperlink ref="A3065" r:id="rId49" xr:uid="{00000000-0004-0000-0000-000033000000}"/>
    <hyperlink ref="A3063" r:id="rId50" xr:uid="{00000000-0004-0000-0000-000034000000}"/>
    <hyperlink ref="A1102" r:id="rId51" xr:uid="{00000000-0004-0000-0000-000035000000}"/>
    <hyperlink ref="A1913" r:id="rId52" xr:uid="{00000000-0004-0000-0000-000037000000}"/>
    <hyperlink ref="A1909" r:id="rId53" xr:uid="{00000000-0004-0000-0000-000038000000}"/>
    <hyperlink ref="A2897" r:id="rId54" xr:uid="{00000000-0004-0000-0000-000039000000}"/>
    <hyperlink ref="A2860" r:id="rId55" xr:uid="{00000000-0004-0000-0000-00003C000000}"/>
    <hyperlink ref="A1676" r:id="rId56" xr:uid="{00000000-0004-0000-0000-00003D000000}"/>
    <hyperlink ref="A1614" r:id="rId57" xr:uid="{00000000-0004-0000-0000-00003E000000}"/>
    <hyperlink ref="A1600" r:id="rId58" xr:uid="{00000000-0004-0000-0000-000040000000}"/>
    <hyperlink ref="A1514" r:id="rId59" xr:uid="{00000000-0004-0000-0000-000041000000}"/>
    <hyperlink ref="A1508" r:id="rId60" xr:uid="{00000000-0004-0000-0000-000042000000}"/>
    <hyperlink ref="A1471" r:id="rId61" xr:uid="{00000000-0004-0000-0000-000043000000}"/>
    <hyperlink ref="A2836" r:id="rId62" xr:uid="{00000000-0004-0000-0000-000044000000}"/>
    <hyperlink ref="A2834" r:id="rId63" xr:uid="{00000000-0004-0000-0000-000045000000}"/>
    <hyperlink ref="A2769" r:id="rId64" xr:uid="{00000000-0004-0000-0000-000046000000}"/>
    <hyperlink ref="A2841" r:id="rId65" xr:uid="{00000000-0004-0000-0000-000047000000}"/>
    <hyperlink ref="A128" r:id="rId66" display="AbellGC 2247" xr:uid="{00000000-0004-0000-0000-000049000000}"/>
    <hyperlink ref="A1362" r:id="rId67" xr:uid="{00000000-0004-0000-0000-00004A000000}"/>
    <hyperlink ref="A1283" r:id="rId68" xr:uid="{00000000-0004-0000-0000-00004B000000}"/>
    <hyperlink ref="A1296" r:id="rId69" xr:uid="{00000000-0004-0000-0000-00004C000000}"/>
    <hyperlink ref="A1690" r:id="rId70" xr:uid="{00000000-0004-0000-0000-00004D000000}"/>
    <hyperlink ref="A2845" r:id="rId71" xr:uid="{00000000-0004-0000-0000-000050000000}"/>
    <hyperlink ref="A112" r:id="rId72" xr:uid="{00000000-0004-0000-0000-000051000000}"/>
    <hyperlink ref="A246" r:id="rId73" xr:uid="{00000000-0004-0000-0000-000052000000}"/>
    <hyperlink ref="A1284" r:id="rId74" xr:uid="{00000000-0004-0000-0000-000053000000}"/>
    <hyperlink ref="A1368" r:id="rId75" xr:uid="{00000000-0004-0000-0000-000054000000}"/>
    <hyperlink ref="A2285" r:id="rId76" xr:uid="{00000000-0004-0000-0000-000055000000}"/>
    <hyperlink ref="A156" r:id="rId77" xr:uid="{00000000-0004-0000-0000-000056000000}"/>
    <hyperlink ref="A1286" r:id="rId78" xr:uid="{00000000-0004-0000-0000-000057000000}"/>
    <hyperlink ref="A1293" r:id="rId79" xr:uid="{00000000-0004-0000-0000-000058000000}"/>
    <hyperlink ref="A1348" r:id="rId80" xr:uid="{00000000-0004-0000-0000-000059000000}"/>
    <hyperlink ref="A1334" r:id="rId81" xr:uid="{00000000-0004-0000-0000-00005A000000}"/>
    <hyperlink ref="A1898" r:id="rId82" xr:uid="{00000000-0004-0000-0000-00005B000000}"/>
    <hyperlink ref="A1897" r:id="rId83" xr:uid="{00000000-0004-0000-0000-00005C000000}"/>
    <hyperlink ref="A1386" r:id="rId84" xr:uid="{00000000-0004-0000-0000-00005D000000}"/>
    <hyperlink ref="A1349" r:id="rId85" xr:uid="{00000000-0004-0000-0000-00005E000000}"/>
    <hyperlink ref="A2008" r:id="rId86" xr:uid="{00000000-0004-0000-0000-00005F000000}"/>
    <hyperlink ref="A1330" r:id="rId87" xr:uid="{00000000-0004-0000-0000-000060000000}"/>
    <hyperlink ref="A1285" r:id="rId88" xr:uid="{00000000-0004-0000-0000-000061000000}"/>
    <hyperlink ref="A2205" r:id="rId89" xr:uid="{00000000-0004-0000-0000-000062000000}"/>
    <hyperlink ref="A1370" r:id="rId90" xr:uid="{00000000-0004-0000-0000-000063000000}"/>
    <hyperlink ref="A1352" r:id="rId91" xr:uid="{00000000-0004-0000-0000-000064000000}"/>
    <hyperlink ref="A1366" r:id="rId92" xr:uid="{00000000-0004-0000-0000-000065000000}"/>
    <hyperlink ref="A1310" r:id="rId93" xr:uid="{00000000-0004-0000-0000-000066000000}"/>
    <hyperlink ref="A1361" r:id="rId94" xr:uid="{00000000-0004-0000-0000-000067000000}"/>
    <hyperlink ref="A1291" r:id="rId95" xr:uid="{00000000-0004-0000-0000-000068000000}"/>
    <hyperlink ref="A1292" r:id="rId96" xr:uid="{00000000-0004-0000-0000-000069000000}"/>
    <hyperlink ref="A242" r:id="rId97" xr:uid="{00000000-0004-0000-0000-00006A000000}"/>
    <hyperlink ref="A1341" r:id="rId98" xr:uid="{00000000-0004-0000-0000-00006B000000}"/>
    <hyperlink ref="A1340" r:id="rId99" xr:uid="{00000000-0004-0000-0000-00006C000000}"/>
    <hyperlink ref="A1295" r:id="rId100" xr:uid="{00000000-0004-0000-0000-00006D000000}"/>
    <hyperlink ref="A1287" r:id="rId101" xr:uid="{00000000-0004-0000-0000-00006E000000}"/>
    <hyperlink ref="A1302" r:id="rId102" xr:uid="{00000000-0004-0000-0000-00006F000000}"/>
    <hyperlink ref="A1300" r:id="rId103" xr:uid="{00000000-0004-0000-0000-000070000000}"/>
    <hyperlink ref="A1299" r:id="rId104" xr:uid="{00000000-0004-0000-0000-000071000000}"/>
    <hyperlink ref="A1309" r:id="rId105" xr:uid="{00000000-0004-0000-0000-000072000000}"/>
    <hyperlink ref="A1354" r:id="rId106" xr:uid="{00000000-0004-0000-0000-000073000000}"/>
    <hyperlink ref="A1343" r:id="rId107" xr:uid="{00000000-0004-0000-0000-000074000000}"/>
    <hyperlink ref="A1320" r:id="rId108" xr:uid="{00000000-0004-0000-0000-000075000000}"/>
    <hyperlink ref="A1337" r:id="rId109" xr:uid="{00000000-0004-0000-0000-000076000000}"/>
    <hyperlink ref="A1307" r:id="rId110" xr:uid="{00000000-0004-0000-0000-000077000000}"/>
    <hyperlink ref="A1306" r:id="rId111" xr:uid="{00000000-0004-0000-0000-000078000000}"/>
    <hyperlink ref="A1290" r:id="rId112" xr:uid="{00000000-0004-0000-0000-000079000000}"/>
    <hyperlink ref="A1304" r:id="rId113" xr:uid="{00000000-0004-0000-0000-00007A000000}"/>
    <hyperlink ref="A1388" r:id="rId114" xr:uid="{00000000-0004-0000-0000-00007B000000}"/>
    <hyperlink ref="A1356" r:id="rId115" xr:uid="{00000000-0004-0000-0000-00007C000000}"/>
    <hyperlink ref="A1350" r:id="rId116" xr:uid="{00000000-0004-0000-0000-00007D000000}"/>
    <hyperlink ref="A1333" r:id="rId117" xr:uid="{00000000-0004-0000-0000-00007E000000}"/>
    <hyperlink ref="A1311" r:id="rId118" xr:uid="{00000000-0004-0000-0000-00007F000000}"/>
    <hyperlink ref="A1351" r:id="rId119" xr:uid="{00000000-0004-0000-0000-000080000000}"/>
    <hyperlink ref="A531" r:id="rId120" xr:uid="{00000000-0004-0000-0000-000081000000}"/>
    <hyperlink ref="A1353" r:id="rId121" xr:uid="{00000000-0004-0000-0000-000082000000}"/>
    <hyperlink ref="A2647" r:id="rId122" xr:uid="{00000000-0004-0000-0000-000083000000}"/>
    <hyperlink ref="A2298" r:id="rId123" xr:uid="{00000000-0004-0000-0000-000084000000}"/>
    <hyperlink ref="A2416" r:id="rId124" xr:uid="{00000000-0004-0000-0000-000085000000}"/>
    <hyperlink ref="A2713" r:id="rId125" xr:uid="{00000000-0004-0000-0000-000086000000}"/>
    <hyperlink ref="A2413" r:id="rId126" xr:uid="{00000000-0004-0000-0000-000087000000}"/>
    <hyperlink ref="A2702" r:id="rId127" xr:uid="{00000000-0004-0000-0000-000088000000}"/>
    <hyperlink ref="A1384" r:id="rId128" xr:uid="{00000000-0004-0000-0000-000089000000}"/>
    <hyperlink ref="A2301" r:id="rId129" xr:uid="{00000000-0004-0000-0000-00008A000000}"/>
    <hyperlink ref="A1500" r:id="rId130" xr:uid="{00000000-0004-0000-0000-00008B000000}"/>
    <hyperlink ref="A1315" r:id="rId131" xr:uid="{00000000-0004-0000-0000-00008C000000}"/>
    <hyperlink ref="A2475" r:id="rId132" xr:uid="{00000000-0004-0000-0000-00008D000000}"/>
    <hyperlink ref="A1316" r:id="rId133" xr:uid="{00000000-0004-0000-0000-00008E000000}"/>
    <hyperlink ref="A1318" r:id="rId134" xr:uid="{00000000-0004-0000-0000-00008F000000}"/>
    <hyperlink ref="A1327" r:id="rId135" xr:uid="{00000000-0004-0000-0000-000090000000}"/>
    <hyperlink ref="A1322" r:id="rId136" xr:uid="{00000000-0004-0000-0000-000091000000}"/>
    <hyperlink ref="A1331" r:id="rId137" xr:uid="{00000000-0004-0000-0000-000092000000}"/>
    <hyperlink ref="A1374" r:id="rId138" xr:uid="{00000000-0004-0000-0000-000093000000}"/>
    <hyperlink ref="A1317" r:id="rId139" xr:uid="{00000000-0004-0000-0000-000094000000}"/>
    <hyperlink ref="A2547" r:id="rId140" display="NGC 7582" xr:uid="{00000000-0004-0000-0000-000095000000}"/>
    <hyperlink ref="A1319" r:id="rId141" xr:uid="{00000000-0004-0000-0000-000096000000}"/>
    <hyperlink ref="A1328" r:id="rId142" xr:uid="{00000000-0004-0000-0000-000097000000}"/>
    <hyperlink ref="A1329" r:id="rId143" xr:uid="{00000000-0004-0000-0000-000098000000}"/>
    <hyperlink ref="A610" r:id="rId144" xr:uid="{00000000-0004-0000-0000-000099000000}"/>
    <hyperlink ref="A2785" r:id="rId145" xr:uid="{00000000-0004-0000-0000-00009A000000}"/>
    <hyperlink ref="A1181" r:id="rId146" xr:uid="{00000000-0004-0000-0000-00009B000000}"/>
    <hyperlink ref="A834" r:id="rId147" display="Cr 021" xr:uid="{00000000-0004-0000-0000-00009C000000}"/>
    <hyperlink ref="A853" r:id="rId148" xr:uid="{00000000-0004-0000-0000-00009D000000}"/>
    <hyperlink ref="A1191" r:id="rId149" xr:uid="{00000000-0004-0000-0000-00009E000000}"/>
    <hyperlink ref="A2483" r:id="rId150" xr:uid="{00000000-0004-0000-0000-00009F000000}"/>
    <hyperlink ref="A1110" r:id="rId151" xr:uid="{00000000-0004-0000-0000-0000A0000000}"/>
    <hyperlink ref="A3002" r:id="rId152" xr:uid="{00000000-0004-0000-0000-0000A1000000}"/>
    <hyperlink ref="A1272" r:id="rId153" xr:uid="{00000000-0004-0000-0000-0000A2000000}"/>
    <hyperlink ref="A466" r:id="rId154" xr:uid="{00000000-0004-0000-0000-0000A3000000}"/>
    <hyperlink ref="A2429" r:id="rId155" xr:uid="{00000000-0004-0000-0000-0000A4000000}"/>
    <hyperlink ref="A2444" r:id="rId156" xr:uid="{00000000-0004-0000-0000-0000A5000000}"/>
    <hyperlink ref="A1767" r:id="rId157" xr:uid="{00000000-0004-0000-0000-0000A6000000}"/>
    <hyperlink ref="A1467" r:id="rId158" xr:uid="{00000000-0004-0000-0000-0000A7000000}"/>
    <hyperlink ref="A2458" r:id="rId159" xr:uid="{00000000-0004-0000-0000-0000A8000000}"/>
    <hyperlink ref="A1510" r:id="rId160" xr:uid="{00000000-0004-0000-0000-0000A9000000}"/>
    <hyperlink ref="A2904" r:id="rId161" xr:uid="{00000000-0004-0000-0000-0000AA000000}"/>
    <hyperlink ref="A1193" r:id="rId162" xr:uid="{00000000-0004-0000-0000-0000AB000000}"/>
    <hyperlink ref="A1641" r:id="rId163" xr:uid="{00000000-0004-0000-0000-0000AC000000}"/>
    <hyperlink ref="A1081" r:id="rId164" xr:uid="{00000000-0004-0000-0000-0000AD000000}"/>
    <hyperlink ref="A2506" r:id="rId165" xr:uid="{00000000-0004-0000-0000-0000AE000000}"/>
    <hyperlink ref="A1533" r:id="rId166" xr:uid="{00000000-0004-0000-0000-0000AF000000}"/>
    <hyperlink ref="A1682" r:id="rId167" xr:uid="{00000000-0004-0000-0000-0000B0000000}"/>
    <hyperlink ref="A1134" r:id="rId168" xr:uid="{00000000-0004-0000-0000-0000B1000000}"/>
    <hyperlink ref="A1523" r:id="rId169" xr:uid="{00000000-0004-0000-0000-0000B2000000}"/>
    <hyperlink ref="A1459" r:id="rId170" xr:uid="{00000000-0004-0000-0000-0000B3000000}"/>
    <hyperlink ref="A3059" r:id="rId171" xr:uid="{00000000-0004-0000-0000-0000B4000000}"/>
    <hyperlink ref="A3058" r:id="rId172" xr:uid="{00000000-0004-0000-0000-0000B5000000}"/>
    <hyperlink ref="A891" r:id="rId173" xr:uid="{00000000-0004-0000-0000-0000B6000000}"/>
    <hyperlink ref="A2882" r:id="rId174" xr:uid="{00000000-0004-0000-0000-0000B7000000}"/>
    <hyperlink ref="A2879" r:id="rId175" xr:uid="{00000000-0004-0000-0000-0000B8000000}"/>
    <hyperlink ref="A1746" r:id="rId176" xr:uid="{00000000-0004-0000-0000-0000B9000000}"/>
    <hyperlink ref="A1466" r:id="rId177" xr:uid="{00000000-0004-0000-0000-0000BA000000}"/>
    <hyperlink ref="A1616" r:id="rId178" xr:uid="{00000000-0004-0000-0000-0000BB000000}"/>
    <hyperlink ref="A1692" r:id="rId179" xr:uid="{00000000-0004-0000-0000-0000BC000000}"/>
    <hyperlink ref="A1739" r:id="rId180" xr:uid="{00000000-0004-0000-0000-0000BD000000}"/>
    <hyperlink ref="A1760" r:id="rId181" xr:uid="{00000000-0004-0000-0000-0000BE000000}"/>
    <hyperlink ref="A1780" r:id="rId182" xr:uid="{00000000-0004-0000-0000-0000BF000000}"/>
    <hyperlink ref="A1872" r:id="rId183" xr:uid="{00000000-0004-0000-0000-0000C0000000}"/>
    <hyperlink ref="A3123" r:id="rId184" xr:uid="{00000000-0004-0000-0000-0000C1000000}"/>
    <hyperlink ref="A1324" r:id="rId185" xr:uid="{00000000-0004-0000-0000-0000C2000000}"/>
    <hyperlink ref="A1323" r:id="rId186" xr:uid="{00000000-0004-0000-0000-0000C3000000}"/>
    <hyperlink ref="A3027" r:id="rId187" xr:uid="{00000000-0004-0000-0000-0000C4000000}"/>
    <hyperlink ref="A3022" r:id="rId188" xr:uid="{00000000-0004-0000-0000-0000C5000000}"/>
    <hyperlink ref="A3021" r:id="rId189" xr:uid="{00000000-0004-0000-0000-0000C6000000}"/>
    <hyperlink ref="A3020" r:id="rId190" xr:uid="{00000000-0004-0000-0000-0000C7000000}"/>
    <hyperlink ref="A836" r:id="rId191" display="Cr 070" xr:uid="{00000000-0004-0000-0000-0000C8000000}"/>
    <hyperlink ref="A1398" r:id="rId192" xr:uid="{00000000-0004-0000-0000-0000C9000000}"/>
    <hyperlink ref="A1145" r:id="rId193" xr:uid="{00000000-0004-0000-0000-0000CA000000}"/>
    <hyperlink ref="A2011" r:id="rId194" xr:uid="{00000000-0004-0000-0000-0000CB000000}"/>
    <hyperlink ref="A1759" r:id="rId195" xr:uid="{00000000-0004-0000-0000-0000CC000000}"/>
    <hyperlink ref="A1399" r:id="rId196" xr:uid="{00000000-0004-0000-0000-0000CD000000}"/>
    <hyperlink ref="A2054" r:id="rId197" xr:uid="{00000000-0004-0000-0000-0000CE000000}"/>
    <hyperlink ref="A1785" r:id="rId198" xr:uid="{00000000-0004-0000-0000-0000CF000000}"/>
    <hyperlink ref="A1867" r:id="rId199" xr:uid="{00000000-0004-0000-0000-0000D0000000}"/>
    <hyperlink ref="A896" r:id="rId200" xr:uid="{00000000-0004-0000-0000-0000D1000000}"/>
    <hyperlink ref="A1825" r:id="rId201" xr:uid="{00000000-0004-0000-0000-0000D2000000}"/>
    <hyperlink ref="A1855" r:id="rId202" xr:uid="{00000000-0004-0000-0000-0000D3000000}"/>
    <hyperlink ref="A901" r:id="rId203" xr:uid="{00000000-0004-0000-0000-0000D4000000}"/>
    <hyperlink ref="A1680" r:id="rId204" xr:uid="{00000000-0004-0000-0000-0000D5000000}"/>
    <hyperlink ref="A1678" r:id="rId205" xr:uid="{00000000-0004-0000-0000-0000D6000000}"/>
    <hyperlink ref="A2858" r:id="rId206" xr:uid="{00000000-0004-0000-0000-0000D7000000}"/>
    <hyperlink ref="A1775" r:id="rId207" xr:uid="{00000000-0004-0000-0000-0000D8000000}"/>
    <hyperlink ref="A1093" r:id="rId208" display="NGC 2336" xr:uid="{00000000-0004-0000-0000-0000D9000000}"/>
    <hyperlink ref="A1748" r:id="rId209" xr:uid="{00000000-0004-0000-0000-0000DA000000}"/>
    <hyperlink ref="A2885" r:id="rId210" xr:uid="{00000000-0004-0000-0000-0000DB000000}"/>
    <hyperlink ref="A2238" r:id="rId211" xr:uid="{00000000-0004-0000-0000-0000DC000000}"/>
    <hyperlink ref="A2276" r:id="rId212" xr:uid="{00000000-0004-0000-0000-0000DD000000}"/>
    <hyperlink ref="A2213" r:id="rId213" xr:uid="{00000000-0004-0000-0000-0000DE000000}"/>
    <hyperlink ref="A1156" r:id="rId214" xr:uid="{00000000-0004-0000-0000-0000DF000000}"/>
    <hyperlink ref="A2077" r:id="rId215" xr:uid="{00000000-0004-0000-0000-0000E0000000}"/>
    <hyperlink ref="A2156" r:id="rId216" xr:uid="{00000000-0004-0000-0000-0000E1000000}"/>
    <hyperlink ref="A2161" r:id="rId217" xr:uid="{00000000-0004-0000-0000-0000E2000000}"/>
    <hyperlink ref="A1722" r:id="rId218" xr:uid="{00000000-0004-0000-0000-0000E3000000}"/>
    <hyperlink ref="A2129" r:id="rId219" xr:uid="{00000000-0004-0000-0000-0000E4000000}"/>
    <hyperlink ref="A2345" r:id="rId220" xr:uid="{00000000-0004-0000-0000-0000E5000000}"/>
    <hyperlink ref="A2286" r:id="rId221" xr:uid="{00000000-0004-0000-0000-0000E6000000}"/>
    <hyperlink ref="A115" r:id="rId222" xr:uid="{00000000-0004-0000-0000-0000E7000000}"/>
    <hyperlink ref="A2124" r:id="rId223" xr:uid="{00000000-0004-0000-0000-0000E8000000}"/>
    <hyperlink ref="A2100" r:id="rId224" xr:uid="{00000000-0004-0000-0000-0000E9000000}"/>
    <hyperlink ref="A2311" r:id="rId225" xr:uid="{00000000-0004-0000-0000-0000EA000000}"/>
    <hyperlink ref="A1843" r:id="rId226" xr:uid="{00000000-0004-0000-0000-0000EB000000}"/>
    <hyperlink ref="A1325" r:id="rId227" xr:uid="{00000000-0004-0000-0000-0000EC000000}"/>
    <hyperlink ref="A3124" r:id="rId228" xr:uid="{00000000-0004-0000-0000-0000ED000000}"/>
    <hyperlink ref="A1826" r:id="rId229" xr:uid="{00000000-0004-0000-0000-0000EE000000}"/>
    <hyperlink ref="A104" r:id="rId230" display="AbellGC 0754" xr:uid="{00000000-0004-0000-0000-0000EF000000}"/>
    <hyperlink ref="A2036" r:id="rId231" xr:uid="{00000000-0004-0000-0000-0000F0000000}"/>
    <hyperlink ref="A1928" r:id="rId232" xr:uid="{00000000-0004-0000-0000-0000F1000000}"/>
    <hyperlink ref="A1888" r:id="rId233" xr:uid="{00000000-0004-0000-0000-0000F2000000}"/>
    <hyperlink ref="A230" r:id="rId234" xr:uid="{00000000-0004-0000-0000-0000F3000000}"/>
    <hyperlink ref="A1768" r:id="rId235" xr:uid="{00000000-0004-0000-0000-0000F4000000}"/>
    <hyperlink ref="A437" r:id="rId236" xr:uid="{00000000-0004-0000-0000-0000F5000000}"/>
    <hyperlink ref="A1998" r:id="rId237" xr:uid="{00000000-0004-0000-0000-0000F6000000}"/>
    <hyperlink ref="A327" r:id="rId238" xr:uid="{00000000-0004-0000-0000-0000F7000000}"/>
    <hyperlink ref="A2218" r:id="rId239" xr:uid="{00000000-0004-0000-0000-0000F8000000}"/>
    <hyperlink ref="A2007" r:id="rId240" xr:uid="{00000000-0004-0000-0000-0000F9000000}"/>
    <hyperlink ref="A687" r:id="rId241" xr:uid="{00000000-0004-0000-0000-0000FA000000}"/>
    <hyperlink ref="A2290" r:id="rId242" xr:uid="{00000000-0004-0000-0000-0000FB000000}"/>
    <hyperlink ref="A2145" r:id="rId243" xr:uid="{00000000-0004-0000-0000-0000FC000000}"/>
    <hyperlink ref="A812" r:id="rId244" xr:uid="{00000000-0004-0000-0000-0000FD000000}"/>
    <hyperlink ref="A406" r:id="rId245" xr:uid="{00000000-0004-0000-0000-0000FE000000}"/>
    <hyperlink ref="A2410" r:id="rId246" xr:uid="{00000000-0004-0000-0000-0000FF000000}"/>
    <hyperlink ref="A363" r:id="rId247" xr:uid="{00000000-0004-0000-0000-000000010000}"/>
    <hyperlink ref="A1161" r:id="rId248" xr:uid="{00000000-0004-0000-0000-000001010000}"/>
    <hyperlink ref="A2406" r:id="rId249" xr:uid="{00000000-0004-0000-0000-000002010000}"/>
    <hyperlink ref="A2042" r:id="rId250" xr:uid="{00000000-0004-0000-0000-000003010000}"/>
    <hyperlink ref="A2185" r:id="rId251" xr:uid="{00000000-0004-0000-0000-000004010000}"/>
    <hyperlink ref="A3082" r:id="rId252" xr:uid="{00000000-0004-0000-0000-000005010000}"/>
    <hyperlink ref="A3081" r:id="rId253" xr:uid="{00000000-0004-0000-0000-000006010000}"/>
    <hyperlink ref="A2671" r:id="rId254" xr:uid="{00000000-0004-0000-0000-000007010000}"/>
    <hyperlink ref="A845" r:id="rId255" xr:uid="{00000000-0004-0000-0000-000008010000}"/>
    <hyperlink ref="A663" r:id="rId256" xr:uid="{00000000-0004-0000-0000-000009010000}"/>
    <hyperlink ref="A2939" r:id="rId257" xr:uid="{00000000-0004-0000-0000-00000A010000}"/>
    <hyperlink ref="A2381" r:id="rId258" xr:uid="{00000000-0004-0000-0000-00000B010000}"/>
    <hyperlink ref="A2262" r:id="rId259" xr:uid="{00000000-0004-0000-0000-00000C010000}"/>
    <hyperlink ref="A565" r:id="rId260" xr:uid="{00000000-0004-0000-0000-00000D010000}"/>
    <hyperlink ref="A3089" r:id="rId261" xr:uid="{00000000-0004-0000-0000-00000E010000}"/>
    <hyperlink ref="A2278" r:id="rId262" xr:uid="{00000000-0004-0000-0000-00000F010000}"/>
    <hyperlink ref="A1151" r:id="rId263" xr:uid="{00000000-0004-0000-0000-000010010000}"/>
    <hyperlink ref="A2172" r:id="rId264" display="CG 12" xr:uid="{00000000-0004-0000-0000-000011010000}"/>
    <hyperlink ref="A825" r:id="rId265" xr:uid="{00000000-0004-0000-0000-000012010000}"/>
    <hyperlink ref="A417" r:id="rId266" xr:uid="{00000000-0004-0000-0000-000013010000}"/>
    <hyperlink ref="A2635" r:id="rId267" xr:uid="{00000000-0004-0000-0000-000014010000}"/>
    <hyperlink ref="A2085" r:id="rId268" xr:uid="{00000000-0004-0000-0000-000015010000}"/>
    <hyperlink ref="A1303" r:id="rId269" xr:uid="{00000000-0004-0000-0000-000016010000}"/>
    <hyperlink ref="A1165" r:id="rId270" xr:uid="{00000000-0004-0000-0000-000017010000}"/>
    <hyperlink ref="A1163" r:id="rId271" xr:uid="{00000000-0004-0000-0000-000018010000}"/>
    <hyperlink ref="A2405" r:id="rId272" xr:uid="{00000000-0004-0000-0000-000019010000}"/>
    <hyperlink ref="A3086" r:id="rId273" xr:uid="{00000000-0004-0000-0000-00001A010000}"/>
    <hyperlink ref="A2231" r:id="rId274" xr:uid="{00000000-0004-0000-0000-00001B010000}"/>
    <hyperlink ref="A2230" r:id="rId275" xr:uid="{00000000-0004-0000-0000-00001C010000}"/>
    <hyperlink ref="A2446" r:id="rId276" xr:uid="{00000000-0004-0000-0000-00001D010000}"/>
    <hyperlink ref="A605" r:id="rId277" xr:uid="{00000000-0004-0000-0000-00001E010000}"/>
    <hyperlink ref="A844" r:id="rId278" xr:uid="{00000000-0004-0000-0000-00001F010000}"/>
    <hyperlink ref="A2740" r:id="rId279" xr:uid="{00000000-0004-0000-0000-000020010000}"/>
    <hyperlink ref="A2256" r:id="rId280" xr:uid="{00000000-0004-0000-0000-000021010000}"/>
    <hyperlink ref="A2269" r:id="rId281" xr:uid="{00000000-0004-0000-0000-000022010000}"/>
    <hyperlink ref="A2436" r:id="rId282" xr:uid="{00000000-0004-0000-0000-000023010000}"/>
    <hyperlink ref="A2383" r:id="rId283" xr:uid="{00000000-0004-0000-0000-000024010000}"/>
    <hyperlink ref="A2432" r:id="rId284" xr:uid="{00000000-0004-0000-0000-000025010000}"/>
    <hyperlink ref="A3095" r:id="rId285" xr:uid="{00000000-0004-0000-0000-000026010000}"/>
    <hyperlink ref="A3094" r:id="rId286" xr:uid="{00000000-0004-0000-0000-000027010000}"/>
    <hyperlink ref="A2438" r:id="rId287" xr:uid="{00000000-0004-0000-0000-000028010000}"/>
    <hyperlink ref="A1305" r:id="rId288" xr:uid="{00000000-0004-0000-0000-000029010000}"/>
    <hyperlink ref="A1168" r:id="rId289" xr:uid="{00000000-0004-0000-0000-00002A010000}"/>
    <hyperlink ref="A3099" r:id="rId290" xr:uid="{00000000-0004-0000-0000-00002B010000}"/>
    <hyperlink ref="A2404" r:id="rId291" xr:uid="{00000000-0004-0000-0000-00002C010000}"/>
    <hyperlink ref="A2485" r:id="rId292" xr:uid="{00000000-0004-0000-0000-00002D010000}"/>
    <hyperlink ref="A2294" r:id="rId293" xr:uid="{00000000-0004-0000-0000-00002E010000}"/>
    <hyperlink ref="A1171" r:id="rId294" xr:uid="{00000000-0004-0000-0000-00002F010000}"/>
    <hyperlink ref="A1263" r:id="rId295" xr:uid="{00000000-0004-0000-0000-000030010000}"/>
    <hyperlink ref="A1177" r:id="rId296" xr:uid="{00000000-0004-0000-0000-000031010000}"/>
    <hyperlink ref="A2899" r:id="rId297" xr:uid="{00000000-0004-0000-0000-000032010000}"/>
    <hyperlink ref="A838" r:id="rId298" display="Cr 399" xr:uid="{00000000-0004-0000-0000-000033010000}"/>
    <hyperlink ref="A2445" r:id="rId299" xr:uid="{00000000-0004-0000-0000-000034010000}"/>
    <hyperlink ref="A2983" r:id="rId300" display="NGC 0654" xr:uid="{00000000-0004-0000-0000-000035010000}"/>
    <hyperlink ref="A2590" r:id="rId301" xr:uid="{00000000-0004-0000-0000-000036010000}"/>
    <hyperlink ref="A2454" r:id="rId302" xr:uid="{00000000-0004-0000-0000-000037010000}"/>
    <hyperlink ref="A3100" r:id="rId303" xr:uid="{00000000-0004-0000-0000-000038010000}"/>
    <hyperlink ref="A1179" r:id="rId304" xr:uid="{00000000-0004-0000-0000-000039010000}"/>
    <hyperlink ref="A1066" r:id="rId305" xr:uid="{00000000-0004-0000-0000-00003A010000}"/>
    <hyperlink ref="A2737" r:id="rId306" xr:uid="{00000000-0004-0000-0000-00003B010000}"/>
    <hyperlink ref="A2978" r:id="rId307" xr:uid="{00000000-0004-0000-0000-00003C010000}"/>
    <hyperlink ref="A2718" r:id="rId308" xr:uid="{00000000-0004-0000-0000-00003D010000}"/>
    <hyperlink ref="A3117" r:id="rId309" xr:uid="{00000000-0004-0000-0000-00003E010000}"/>
    <hyperlink ref="A974" r:id="rId310" xr:uid="{00000000-0004-0000-0000-00003F010000}"/>
    <hyperlink ref="A965" r:id="rId311" xr:uid="{00000000-0004-0000-0000-000040010000}"/>
    <hyperlink ref="A1358" r:id="rId312" xr:uid="{00000000-0004-0000-0000-000042010000}"/>
    <hyperlink ref="A1472" r:id="rId313" display="vdB 004" xr:uid="{00000000-0004-0000-0000-000043010000}"/>
    <hyperlink ref="A2855" r:id="rId314" xr:uid="{00000000-0004-0000-0000-000044010000}"/>
    <hyperlink ref="A2800" r:id="rId315" xr:uid="{00000000-0004-0000-0000-000045010000}"/>
    <hyperlink ref="A1694" r:id="rId316" xr:uid="{00000000-0004-0000-0000-000046010000}"/>
    <hyperlink ref="A3148" r:id="rId317" xr:uid="{00000000-0004-0000-0000-000047010000}"/>
    <hyperlink ref="A1359" r:id="rId318" xr:uid="{00000000-0004-0000-0000-000048010000}"/>
    <hyperlink ref="A2799" r:id="rId319" xr:uid="{00000000-0004-0000-0000-000049010000}"/>
    <hyperlink ref="A1565" r:id="rId320" xr:uid="{00000000-0004-0000-0000-00004A010000}"/>
    <hyperlink ref="A2807" r:id="rId321" xr:uid="{00000000-0004-0000-0000-00004B010000}"/>
    <hyperlink ref="A2901" r:id="rId322" display="G75.5+1.7" xr:uid="{00000000-0004-0000-0000-00004C010000}"/>
    <hyperlink ref="A2828" r:id="rId323" xr:uid="{00000000-0004-0000-0000-00004D010000}"/>
    <hyperlink ref="A2827" r:id="rId324" xr:uid="{00000000-0004-0000-0000-00004E010000}"/>
    <hyperlink ref="A1653" r:id="rId325" xr:uid="{00000000-0004-0000-0000-00004F010000}"/>
    <hyperlink ref="A1092" r:id="rId326" xr:uid="{00000000-0004-0000-0000-000050010000}"/>
    <hyperlink ref="A436" r:id="rId327" xr:uid="{00000000-0004-0000-0000-000051010000}"/>
    <hyperlink ref="A1273" r:id="rId328" xr:uid="{00000000-0004-0000-0000-000052010000}"/>
    <hyperlink ref="A2787" r:id="rId329" xr:uid="{00000000-0004-0000-0000-000053010000}"/>
    <hyperlink ref="A1251" r:id="rId330" xr:uid="{00000000-0004-0000-0000-000054010000}"/>
    <hyperlink ref="A1473" r:id="rId331" xr:uid="{00000000-0004-0000-0000-000055010000}"/>
    <hyperlink ref="A2839" r:id="rId332" xr:uid="{00000000-0004-0000-0000-000056010000}"/>
    <hyperlink ref="A3121" r:id="rId333" xr:uid="{00000000-0004-0000-0000-000057010000}"/>
    <hyperlink ref="A1240" r:id="rId334" xr:uid="{00000000-0004-0000-0000-000058010000}"/>
    <hyperlink ref="A267" r:id="rId335" xr:uid="{00000000-0004-0000-0000-000059010000}"/>
    <hyperlink ref="A2886" r:id="rId336" xr:uid="{00000000-0004-0000-0000-00005A010000}"/>
    <hyperlink ref="A871" r:id="rId337" xr:uid="{00000000-0004-0000-0000-00005B010000}"/>
    <hyperlink ref="A1253" r:id="rId338" xr:uid="{00000000-0004-0000-0000-00005C010000}"/>
    <hyperlink ref="A384" r:id="rId339" xr:uid="{00000000-0004-0000-0000-00005D010000}"/>
    <hyperlink ref="A113" r:id="rId340" display="AbellGC 1495" xr:uid="{00000000-0004-0000-0000-00005E010000}"/>
    <hyperlink ref="A1028" r:id="rId341" xr:uid="{00000000-0004-0000-0000-00005F010000}"/>
    <hyperlink ref="A1603" r:id="rId342" xr:uid="{00000000-0004-0000-0000-000060010000}"/>
    <hyperlink ref="A1710" r:id="rId343" xr:uid="{00000000-0004-0000-0000-000061010000}"/>
    <hyperlink ref="A100" r:id="rId344" xr:uid="{00000000-0004-0000-0000-000063010000}"/>
    <hyperlink ref="A1126" r:id="rId345" xr:uid="{00000000-0004-0000-0000-000064010000}"/>
    <hyperlink ref="A2880" r:id="rId346" xr:uid="{00000000-0004-0000-0000-000065010000}"/>
    <hyperlink ref="A2849" r:id="rId347" xr:uid="{00000000-0004-0000-0000-000066010000}"/>
    <hyperlink ref="A2623" r:id="rId348" xr:uid="{00000000-0004-0000-0000-000067010000}"/>
    <hyperlink ref="A1551" r:id="rId349" xr:uid="{00000000-0004-0000-0000-000068010000}"/>
    <hyperlink ref="A3005" r:id="rId350" xr:uid="{00000000-0004-0000-0000-000069010000}"/>
    <hyperlink ref="A389" r:id="rId351" xr:uid="{00000000-0004-0000-0000-00006A010000}"/>
    <hyperlink ref="A2134" r:id="rId352" xr:uid="{00000000-0004-0000-0000-00006B010000}"/>
    <hyperlink ref="A366" r:id="rId353" xr:uid="{00000000-0004-0000-0000-00006C010000}"/>
    <hyperlink ref="A159" r:id="rId354" xr:uid="{00000000-0004-0000-0000-00006D010000}"/>
    <hyperlink ref="A331" r:id="rId355" xr:uid="{00000000-0004-0000-0000-00006E010000}"/>
    <hyperlink ref="A346" r:id="rId356" xr:uid="{00000000-0004-0000-0000-00006F010000}"/>
    <hyperlink ref="A152" r:id="rId357" xr:uid="{00000000-0004-0000-0000-000070010000}"/>
    <hyperlink ref="A157" r:id="rId358" xr:uid="{00000000-0004-0000-0000-000071010000}"/>
    <hyperlink ref="A185" r:id="rId359" xr:uid="{00000000-0004-0000-0000-000072010000}"/>
    <hyperlink ref="A440" r:id="rId360" xr:uid="{00000000-0004-0000-0000-000073010000}"/>
    <hyperlink ref="A213" r:id="rId361" xr:uid="{00000000-0004-0000-0000-000074010000}"/>
    <hyperlink ref="A1061" r:id="rId362" xr:uid="{00000000-0004-0000-0000-000075010000}"/>
    <hyperlink ref="A208" r:id="rId363" xr:uid="{00000000-0004-0000-0000-000076010000}"/>
    <hyperlink ref="A441" r:id="rId364" xr:uid="{00000000-0004-0000-0000-000077010000}"/>
    <hyperlink ref="A144" r:id="rId365" xr:uid="{00000000-0004-0000-0000-000078010000}"/>
    <hyperlink ref="A1192" r:id="rId366" xr:uid="{00000000-0004-0000-0000-00007A010000}"/>
    <hyperlink ref="A1065" r:id="rId367" xr:uid="{00000000-0004-0000-0000-00007B010000}"/>
    <hyperlink ref="A1808" r:id="rId368" xr:uid="{00000000-0004-0000-0000-00007C010000}"/>
    <hyperlink ref="A1382" r:id="rId369" xr:uid="{00000000-0004-0000-0000-00007D010000}"/>
    <hyperlink ref="A1728" r:id="rId370" xr:uid="{00000000-0004-0000-0000-00007E010000}"/>
    <hyperlink ref="A2104" r:id="rId371" xr:uid="{00000000-0004-0000-0000-00007F010000}"/>
    <hyperlink ref="A2029" r:id="rId372" xr:uid="{00000000-0004-0000-0000-000080010000}"/>
    <hyperlink ref="A3017" r:id="rId373" xr:uid="{00000000-0004-0000-0000-000081010000}"/>
    <hyperlink ref="A335" r:id="rId374" xr:uid="{00000000-0004-0000-0000-000082010000}"/>
    <hyperlink ref="A1828" r:id="rId375" xr:uid="{00000000-0004-0000-0000-000083010000}"/>
    <hyperlink ref="A1367" r:id="rId376" xr:uid="{00000000-0004-0000-0000-000084010000}"/>
    <hyperlink ref="A1365" r:id="rId377" xr:uid="{00000000-0004-0000-0000-000085010000}"/>
    <hyperlink ref="A277" r:id="rId378" xr:uid="{00000000-0004-0000-0000-000086010000}"/>
    <hyperlink ref="A1861" r:id="rId379" xr:uid="{00000000-0004-0000-0000-000087010000}"/>
    <hyperlink ref="A1860" r:id="rId380" xr:uid="{00000000-0004-0000-0000-000088010000}"/>
    <hyperlink ref="A1765" r:id="rId381" xr:uid="{00000000-0004-0000-0000-000089010000}"/>
    <hyperlink ref="A2146" r:id="rId382" display="NGC 5153" xr:uid="{00000000-0004-0000-0000-00008A010000}"/>
    <hyperlink ref="A1840" r:id="rId383" xr:uid="{00000000-0004-0000-0000-00008B010000}"/>
    <hyperlink ref="A547" r:id="rId384" xr:uid="{00000000-0004-0000-0000-00008C010000}"/>
    <hyperlink ref="A2340" r:id="rId385" xr:uid="{00000000-0004-0000-0000-00008D010000}"/>
    <hyperlink ref="A2214" r:id="rId386" xr:uid="{00000000-0004-0000-0000-00008E010000}"/>
    <hyperlink ref="A2945" r:id="rId387" xr:uid="{00000000-0004-0000-0000-00008F010000}"/>
    <hyperlink ref="A2328" r:id="rId388" display="NGC 6445" xr:uid="{00000000-0004-0000-0000-000090010000}"/>
    <hyperlink ref="A2330" r:id="rId389" xr:uid="{00000000-0004-0000-0000-000091010000}"/>
    <hyperlink ref="A2307" r:id="rId390" xr:uid="{00000000-0004-0000-0000-000092010000}"/>
    <hyperlink ref="A1914" r:id="rId391" xr:uid="{00000000-0004-0000-0000-000094010000}"/>
    <hyperlink ref="A390" r:id="rId392" xr:uid="{00000000-0004-0000-0000-000095010000}"/>
    <hyperlink ref="A1280" r:id="rId393" xr:uid="{00000000-0004-0000-0000-000096010000}"/>
    <hyperlink ref="A2079" r:id="rId394" display="NGC 4567" xr:uid="{00000000-0004-0000-0000-000097010000}"/>
    <hyperlink ref="A904" r:id="rId395" xr:uid="{00000000-0004-0000-0000-000098010000}"/>
    <hyperlink ref="A903" r:id="rId396" xr:uid="{00000000-0004-0000-0000-000099010000}"/>
    <hyperlink ref="A862" r:id="rId397" display="EGB 6" xr:uid="{00000000-0004-0000-0000-00009A010000}"/>
    <hyperlink ref="A3060" r:id="rId398" xr:uid="{00000000-0004-0000-0000-00009B010000}"/>
    <hyperlink ref="A1862" r:id="rId399" xr:uid="{00000000-0004-0000-0000-00009C010000}"/>
    <hyperlink ref="A2319" r:id="rId400" xr:uid="{00000000-0004-0000-0000-00009D010000}"/>
    <hyperlink ref="A3068" r:id="rId401" xr:uid="{00000000-0004-0000-0000-00009E010000}"/>
    <hyperlink ref="A2246" r:id="rId402" xr:uid="{00000000-0004-0000-0000-00009F010000}"/>
    <hyperlink ref="A392" r:id="rId403" xr:uid="{00000000-0004-0000-0000-0000A0010000}"/>
    <hyperlink ref="A517" r:id="rId404" xr:uid="{00000000-0004-0000-0000-0000A1010000}"/>
    <hyperlink ref="A1865" r:id="rId405" xr:uid="{00000000-0004-0000-0000-0000A2010000}"/>
    <hyperlink ref="A856" r:id="rId406" xr:uid="{00000000-0004-0000-0000-0000A3010000}"/>
    <hyperlink ref="A2304" r:id="rId407" xr:uid="{00000000-0004-0000-0000-0000A5010000}"/>
    <hyperlink ref="A1190" r:id="rId408" xr:uid="{00000000-0004-0000-0000-0000A6010000}"/>
    <hyperlink ref="A2207" r:id="rId409" xr:uid="{00000000-0004-0000-0000-0000A7010000}"/>
    <hyperlink ref="A2099" r:id="rId410" xr:uid="{00000000-0004-0000-0000-0000A8010000}"/>
    <hyperlink ref="A848" r:id="rId411" xr:uid="{00000000-0004-0000-0000-0000A9010000}"/>
    <hyperlink ref="A309" r:id="rId412" xr:uid="{00000000-0004-0000-0000-0000AA010000}"/>
    <hyperlink ref="A1062" r:id="rId413" xr:uid="{00000000-0004-0000-0000-0000AB010000}"/>
    <hyperlink ref="A2490" r:id="rId414" xr:uid="{00000000-0004-0000-0000-0000AC010000}"/>
    <hyperlink ref="A2365" r:id="rId415" xr:uid="{00000000-0004-0000-0000-0000AD010000}"/>
    <hyperlink ref="A2954" r:id="rId416" xr:uid="{00000000-0004-0000-0000-0000AE010000}"/>
    <hyperlink ref="A2539" r:id="rId417" xr:uid="{00000000-0004-0000-0000-0000AF010000}"/>
    <hyperlink ref="A347" r:id="rId418" xr:uid="{00000000-0004-0000-0000-0000B0010000}"/>
    <hyperlink ref="A2241" r:id="rId419" xr:uid="{00000000-0004-0000-0000-0000B1010000}"/>
    <hyperlink ref="A375" r:id="rId420" xr:uid="{00000000-0004-0000-0000-0000B2010000}"/>
    <hyperlink ref="A2283" r:id="rId421" xr:uid="{00000000-0004-0000-0000-0000B3010000}"/>
    <hyperlink ref="A2618" r:id="rId422" xr:uid="{00000000-0004-0000-0000-0000B4010000}"/>
    <hyperlink ref="A2291" r:id="rId423" xr:uid="{00000000-0004-0000-0000-0000B5010000}"/>
    <hyperlink ref="A1194" r:id="rId424" xr:uid="{00000000-0004-0000-0000-0000B6010000}"/>
    <hyperlink ref="A2653" r:id="rId425" display="Gum 69" xr:uid="{00000000-0004-0000-0000-0000B7010000}"/>
    <hyperlink ref="A202" r:id="rId426" xr:uid="{00000000-0004-0000-0000-0000B8010000}"/>
    <hyperlink ref="A1257" r:id="rId427" xr:uid="{00000000-0004-0000-0000-0000BA010000}"/>
    <hyperlink ref="A2247" r:id="rId428" display="NGC 5945" xr:uid="{00000000-0004-0000-0000-0000BB010000}"/>
    <hyperlink ref="A2657" r:id="rId429" xr:uid="{00000000-0004-0000-0000-0000BC010000}"/>
    <hyperlink ref="A2656" r:id="rId430" xr:uid="{00000000-0004-0000-0000-0000BD010000}"/>
    <hyperlink ref="A2654" r:id="rId431" xr:uid="{00000000-0004-0000-0000-0000BE010000}"/>
    <hyperlink ref="A1056" r:id="rId432" xr:uid="{00000000-0004-0000-0000-0000C0010000}"/>
    <hyperlink ref="A415" r:id="rId433" xr:uid="{00000000-0004-0000-0000-0000C1010000}"/>
    <hyperlink ref="A1233" r:id="rId434" xr:uid="{00000000-0004-0000-0000-0000C2010000}"/>
    <hyperlink ref="A2374" r:id="rId435" xr:uid="{00000000-0004-0000-0000-0000C3010000}"/>
    <hyperlink ref="A2704" r:id="rId436" xr:uid="{00000000-0004-0000-0000-0000C4010000}"/>
    <hyperlink ref="A2306" r:id="rId437" xr:uid="{00000000-0004-0000-0000-0000C5010000}"/>
    <hyperlink ref="A1259" r:id="rId438" xr:uid="{00000000-0004-0000-0000-0000C6010000}"/>
    <hyperlink ref="A2351" r:id="rId439" xr:uid="{00000000-0004-0000-0000-0000C7010000}"/>
    <hyperlink ref="A2449" r:id="rId440" xr:uid="{00000000-0004-0000-0000-0000C8010000}"/>
    <hyperlink ref="A2392" r:id="rId441" xr:uid="{00000000-0004-0000-0000-0000C9010000}"/>
    <hyperlink ref="A2391" r:id="rId442" xr:uid="{00000000-0004-0000-0000-0000CA010000}"/>
    <hyperlink ref="A1237" r:id="rId443" xr:uid="{00000000-0004-0000-0000-0000CB010000}"/>
    <hyperlink ref="A3087" r:id="rId444" xr:uid="{00000000-0004-0000-0000-0000CC010000}"/>
    <hyperlink ref="A2711" r:id="rId445" xr:uid="{00000000-0004-0000-0000-0000CD010000}"/>
    <hyperlink ref="A2388" r:id="rId446" xr:uid="{00000000-0004-0000-0000-0000CE010000}"/>
    <hyperlink ref="A747" r:id="rId447" xr:uid="{00000000-0004-0000-0000-0000CF010000}"/>
    <hyperlink ref="A2499" r:id="rId448" xr:uid="{00000000-0004-0000-0000-0000D0010000}"/>
    <hyperlink ref="A2464" r:id="rId449" xr:uid="{00000000-0004-0000-0000-0000D1010000}"/>
    <hyperlink ref="A2685" r:id="rId450" xr:uid="{00000000-0004-0000-0000-0000D2010000}"/>
    <hyperlink ref="A2395" r:id="rId451" xr:uid="{00000000-0004-0000-0000-0000D3010000}"/>
    <hyperlink ref="A1268" r:id="rId452" xr:uid="{00000000-0004-0000-0000-0000D4010000}"/>
    <hyperlink ref="A279" r:id="rId453" xr:uid="{00000000-0004-0000-0000-0000D5010000}"/>
    <hyperlink ref="A2284" r:id="rId454" xr:uid="{00000000-0004-0000-0000-0000D6010000}"/>
    <hyperlink ref="A2322" r:id="rId455" xr:uid="{00000000-0004-0000-0000-0000D7010000}"/>
    <hyperlink ref="A2694" r:id="rId456" xr:uid="{00000000-0004-0000-0000-0000D8010000}"/>
    <hyperlink ref="A722" r:id="rId457" xr:uid="{00000000-0004-0000-0000-0000D9010000}"/>
    <hyperlink ref="A1288" r:id="rId458" xr:uid="{00000000-0004-0000-0000-0000DA010000}"/>
    <hyperlink ref="A2465" r:id="rId459" xr:uid="{00000000-0004-0000-0000-0000DB010000}"/>
    <hyperlink ref="A596" r:id="rId460" xr:uid="{00000000-0004-0000-0000-0000DC010000}"/>
    <hyperlink ref="A2494" r:id="rId461" xr:uid="{00000000-0004-0000-0000-0000DD010000}"/>
    <hyperlink ref="A2348" r:id="rId462" xr:uid="{00000000-0004-0000-0000-0000DE010000}"/>
    <hyperlink ref="A1502" r:id="rId463" xr:uid="{00000000-0004-0000-0000-0000DF010000}"/>
    <hyperlink ref="A548" r:id="rId464" xr:uid="{00000000-0004-0000-0000-0000E0010000}"/>
    <hyperlink ref="A343" r:id="rId465" xr:uid="{00000000-0004-0000-0000-0000E1010000}"/>
    <hyperlink ref="A1078" r:id="rId466" xr:uid="{00000000-0004-0000-0000-0000E2010000}"/>
    <hyperlink ref="A2408" r:id="rId467" xr:uid="{00000000-0004-0000-0000-0000E3010000}"/>
    <hyperlink ref="A99" r:id="rId468" display="AbellGC 0407" xr:uid="{00000000-0004-0000-0000-0000E4010000}"/>
    <hyperlink ref="A2695" r:id="rId469" xr:uid="{00000000-0004-0000-0000-0000E5010000}"/>
    <hyperlink ref="A886" r:id="rId470" xr:uid="{00000000-0004-0000-0000-0000E6010000}"/>
    <hyperlink ref="A2287" r:id="rId471" display="NGC 6236" xr:uid="{00000000-0004-0000-0000-0000E7010000}"/>
    <hyperlink ref="A2557" r:id="rId472" xr:uid="{00000000-0004-0000-0000-0000E8010000}"/>
    <hyperlink ref="A2541" r:id="rId473" xr:uid="{00000000-0004-0000-0000-0000E9010000}"/>
    <hyperlink ref="A2577" r:id="rId474" xr:uid="{00000000-0004-0000-0000-0000EA010000}"/>
    <hyperlink ref="A1227" r:id="rId475" xr:uid="{00000000-0004-0000-0000-0000EB010000}"/>
    <hyperlink ref="A2376" r:id="rId476" xr:uid="{00000000-0004-0000-0000-0000EC010000}"/>
    <hyperlink ref="A1265" r:id="rId477" xr:uid="{00000000-0004-0000-0000-0000ED010000}"/>
    <hyperlink ref="A2747" r:id="rId478" xr:uid="{00000000-0004-0000-0000-0000EE010000}"/>
    <hyperlink ref="A1262" r:id="rId479" xr:uid="{00000000-0004-0000-0000-0000EF010000}"/>
    <hyperlink ref="A2378" r:id="rId480" xr:uid="{00000000-0004-0000-0000-0000F0010000}"/>
    <hyperlink ref="A127" r:id="rId481" display="AbellGC 2218" xr:uid="{00000000-0004-0000-0000-0000F1010000}"/>
    <hyperlink ref="A2504" r:id="rId482" xr:uid="{00000000-0004-0000-0000-0000F2010000}"/>
    <hyperlink ref="A1668" r:id="rId483" xr:uid="{00000000-0004-0000-0000-0000F3010000}"/>
    <hyperlink ref="A195" r:id="rId484" xr:uid="{00000000-0004-0000-0000-0000F4010000}"/>
    <hyperlink ref="A1469" r:id="rId485" xr:uid="{00000000-0004-0000-0000-0000F5010000}"/>
    <hyperlink ref="A1450" r:id="rId486" xr:uid="{00000000-0004-0000-0000-0000F6010000}"/>
    <hyperlink ref="A2401" r:id="rId487" xr:uid="{00000000-0004-0000-0000-0000F7010000}"/>
    <hyperlink ref="A564" r:id="rId488" xr:uid="{00000000-0004-0000-0000-0000F9010000}"/>
    <hyperlink ref="A1053" r:id="rId489" xr:uid="{00000000-0004-0000-0000-0000FA010000}"/>
    <hyperlink ref="A2962" r:id="rId490" xr:uid="{00000000-0004-0000-0000-0000FB010000}"/>
    <hyperlink ref="A3150" r:id="rId491" xr:uid="{00000000-0004-0000-0000-0000FC010000}"/>
    <hyperlink ref="A2524" r:id="rId492" xr:uid="{00000000-0004-0000-0000-0000FD010000}"/>
    <hyperlink ref="A1569" r:id="rId493" xr:uid="{00000000-0004-0000-0000-0000FE010000}"/>
    <hyperlink ref="A2366" r:id="rId494" xr:uid="{00000000-0004-0000-0000-0000FF010000}"/>
    <hyperlink ref="A1189" r:id="rId495" xr:uid="{00000000-0004-0000-0000-000000020000}"/>
    <hyperlink ref="A595" r:id="rId496" xr:uid="{00000000-0004-0000-0000-000001020000}"/>
    <hyperlink ref="A2396" r:id="rId497" xr:uid="{00000000-0004-0000-0000-000002020000}"/>
    <hyperlink ref="A2382" r:id="rId498" xr:uid="{00000000-0004-0000-0000-000003020000}"/>
    <hyperlink ref="A2493" r:id="rId499" xr:uid="{00000000-0004-0000-0000-000004020000}"/>
    <hyperlink ref="A2700" r:id="rId500" xr:uid="{00000000-0004-0000-0000-000005020000}"/>
    <hyperlink ref="A2397" r:id="rId501" xr:uid="{00000000-0004-0000-0000-000006020000}"/>
    <hyperlink ref="A1497" r:id="rId502" xr:uid="{00000000-0004-0000-0000-000007020000}"/>
    <hyperlink ref="A602" r:id="rId503" xr:uid="{00000000-0004-0000-0000-000008020000}"/>
    <hyperlink ref="A2347" r:id="rId504" xr:uid="{00000000-0004-0000-0000-000009020000}"/>
    <hyperlink ref="A225" r:id="rId505" xr:uid="{00000000-0004-0000-0000-00000A020000}"/>
    <hyperlink ref="A2576" r:id="rId506" xr:uid="{00000000-0004-0000-0000-00000B020000}"/>
    <hyperlink ref="A3135" r:id="rId507" xr:uid="{00000000-0004-0000-0000-00000C020000}"/>
    <hyperlink ref="A2297" r:id="rId508" xr:uid="{00000000-0004-0000-0000-00000D020000}"/>
    <hyperlink ref="A1598" r:id="rId509" xr:uid="{00000000-0004-0000-0000-00000E020000}"/>
    <hyperlink ref="A1517" r:id="rId510" xr:uid="{00000000-0004-0000-0000-00000F020000}"/>
    <hyperlink ref="A1239" r:id="rId511" xr:uid="{00000000-0004-0000-0000-000010020000}"/>
    <hyperlink ref="A2363" r:id="rId512" xr:uid="{00000000-0004-0000-0000-000011020000}"/>
    <hyperlink ref="A1567" r:id="rId513" display="NGC 1060" xr:uid="{00000000-0004-0000-0000-000012020000}"/>
    <hyperlink ref="A2373" r:id="rId514" xr:uid="{00000000-0004-0000-0000-000013020000}"/>
    <hyperlink ref="A2634" r:id="rId515" xr:uid="{00000000-0004-0000-0000-000014020000}"/>
    <hyperlink ref="A2441" r:id="rId516" xr:uid="{00000000-0004-0000-0000-000015020000}"/>
    <hyperlink ref="A2341" r:id="rId517" xr:uid="{00000000-0004-0000-0000-000016020000}"/>
    <hyperlink ref="A2342" r:id="rId518" xr:uid="{00000000-0004-0000-0000-000017020000}"/>
    <hyperlink ref="A839" r:id="rId519" display="Cr 463" xr:uid="{00000000-0004-0000-0000-000019020000}"/>
    <hyperlink ref="A2727" r:id="rId520" xr:uid="{00000000-0004-0000-0000-00001A020000}"/>
    <hyperlink ref="A2581" r:id="rId521" xr:uid="{00000000-0004-0000-0000-00001B020000}"/>
    <hyperlink ref="A1238" r:id="rId522" xr:uid="{00000000-0004-0000-0000-00001C020000}"/>
    <hyperlink ref="A2329" r:id="rId523" xr:uid="{00000000-0004-0000-0000-00001D020000}"/>
    <hyperlink ref="A2569" r:id="rId524" xr:uid="{00000000-0004-0000-0000-00001E020000}"/>
    <hyperlink ref="A2909" r:id="rId525" xr:uid="{00000000-0004-0000-0000-00001F020000}"/>
    <hyperlink ref="A1230" r:id="rId526" xr:uid="{00000000-0004-0000-0000-000020020000}"/>
    <hyperlink ref="A2325" r:id="rId527" xr:uid="{00000000-0004-0000-0000-000021020000}"/>
    <hyperlink ref="A1436" r:id="rId528" xr:uid="{00000000-0004-0000-0000-000022020000}"/>
    <hyperlink ref="A1484" r:id="rId529" xr:uid="{00000000-0004-0000-0000-000023020000}"/>
    <hyperlink ref="A1613" r:id="rId530" xr:uid="{00000000-0004-0000-0000-000024020000}"/>
    <hyperlink ref="A1595" r:id="rId531" xr:uid="{00000000-0004-0000-0000-000025020000}"/>
    <hyperlink ref="A1457" r:id="rId532" xr:uid="{00000000-0004-0000-0000-000026020000}"/>
    <hyperlink ref="A2314" r:id="rId533" xr:uid="{00000000-0004-0000-0000-000027020000}"/>
    <hyperlink ref="A1697" r:id="rId534" xr:uid="{00000000-0004-0000-0000-000028020000}"/>
    <hyperlink ref="A2409" r:id="rId535" xr:uid="{00000000-0004-0000-0000-000029020000}"/>
    <hyperlink ref="A1170" r:id="rId536" xr:uid="{00000000-0004-0000-0000-00002B020000}"/>
    <hyperlink ref="A2591" r:id="rId537" display="PGC 02493" xr:uid="{00000000-0004-0000-0000-00002C020000}"/>
    <hyperlink ref="A1607" r:id="rId538" xr:uid="{00000000-0004-0000-0000-00002D020000}"/>
    <hyperlink ref="A2530" r:id="rId539" display="NGC 7436" xr:uid="{00000000-0004-0000-0000-00002E020000}"/>
    <hyperlink ref="A2356" r:id="rId540" xr:uid="{00000000-0004-0000-0000-00002F020000}"/>
    <hyperlink ref="A138" r:id="rId541" xr:uid="{00000000-0004-0000-0000-000030020000}"/>
    <hyperlink ref="A2794" r:id="rId542" xr:uid="{00000000-0004-0000-0000-000031020000}"/>
    <hyperlink ref="A1072" r:id="rId543" xr:uid="{00000000-0004-0000-0000-000032020000}"/>
    <hyperlink ref="A1691" r:id="rId544" xr:uid="{00000000-0004-0000-0000-000033020000}"/>
    <hyperlink ref="A1652" r:id="rId545" xr:uid="{00000000-0004-0000-0000-000034020000}"/>
    <hyperlink ref="A2573" r:id="rId546" xr:uid="{00000000-0004-0000-0000-000035020000}"/>
    <hyperlink ref="A2368" r:id="rId547" xr:uid="{00000000-0004-0000-0000-000036020000}"/>
    <hyperlink ref="A2822" r:id="rId548" xr:uid="{00000000-0004-0000-0000-000038020000}"/>
    <hyperlink ref="A1485" r:id="rId549" xr:uid="{00000000-0004-0000-0000-00003B020000}"/>
    <hyperlink ref="A1520" r:id="rId550" xr:uid="{00000000-0004-0000-0000-00003C020000}"/>
    <hyperlink ref="A1654" r:id="rId551" xr:uid="{00000000-0004-0000-0000-00003D020000}"/>
    <hyperlink ref="A1647" r:id="rId552" xr:uid="{00000000-0004-0000-0000-00003E020000}"/>
    <hyperlink ref="A816" r:id="rId553" xr:uid="{00000000-0004-0000-0000-00003F020000}"/>
    <hyperlink ref="A1735" r:id="rId554" xr:uid="{00000000-0004-0000-0000-000040020000}"/>
    <hyperlink ref="A2435" r:id="rId555" xr:uid="{00000000-0004-0000-0000-000041020000}"/>
    <hyperlink ref="A1456" r:id="rId556" xr:uid="{00000000-0004-0000-0000-000042020000}"/>
    <hyperlink ref="A1740" r:id="rId557" xr:uid="{00000000-0004-0000-0000-000044020000}"/>
    <hyperlink ref="A1267" r:id="rId558" xr:uid="{00000000-0004-0000-0000-000045020000}"/>
    <hyperlink ref="A835" r:id="rId559" display="Cr 069" xr:uid="{00000000-0004-0000-0000-000046020000}"/>
    <hyperlink ref="A2742" r:id="rId560" xr:uid="{00000000-0004-0000-0000-000047020000}"/>
    <hyperlink ref="A1666" r:id="rId561" xr:uid="{00000000-0004-0000-0000-000048020000}"/>
    <hyperlink ref="A2561" r:id="rId562" xr:uid="{00000000-0004-0000-0000-000049020000}"/>
    <hyperlink ref="A800" r:id="rId563" xr:uid="{00000000-0004-0000-0000-00004A020000}"/>
    <hyperlink ref="A2497" r:id="rId564" xr:uid="{00000000-0004-0000-0000-00004B020000}"/>
    <hyperlink ref="A344" r:id="rId565" xr:uid="{00000000-0004-0000-0000-00004C020000}"/>
    <hyperlink ref="A1495" r:id="rId566" xr:uid="{00000000-0004-0000-0000-00004D020000}"/>
    <hyperlink ref="A1270" r:id="rId567" xr:uid="{00000000-0004-0000-0000-00004E020000}"/>
    <hyperlink ref="A1751" r:id="rId568" xr:uid="{00000000-0004-0000-0000-00004F020000}"/>
    <hyperlink ref="A2498" r:id="rId569" xr:uid="{00000000-0004-0000-0000-000050020000}"/>
    <hyperlink ref="A1468" r:id="rId570" xr:uid="{00000000-0004-0000-0000-000053020000}"/>
    <hyperlink ref="A1264" r:id="rId571" xr:uid="{00000000-0004-0000-0000-000054020000}"/>
    <hyperlink ref="A2558" r:id="rId572" xr:uid="{00000000-0004-0000-0000-000055020000}"/>
    <hyperlink ref="A823" r:id="rId573" xr:uid="{00000000-0004-0000-0000-000056020000}"/>
    <hyperlink ref="A1709" r:id="rId574" xr:uid="{00000000-0004-0000-0000-000057020000}"/>
    <hyperlink ref="A1392" r:id="rId575" xr:uid="{00000000-0004-0000-0000-000058020000}"/>
    <hyperlink ref="A1393" r:id="rId576" xr:uid="{00000000-0004-0000-0000-000059020000}"/>
    <hyperlink ref="A1470" r:id="rId577" xr:uid="{00000000-0004-0000-0000-00005A020000}"/>
    <hyperlink ref="A1790" r:id="rId578" xr:uid="{00000000-0004-0000-0000-00005B020000}"/>
    <hyperlink ref="A2389" r:id="rId579" xr:uid="{00000000-0004-0000-0000-00005C020000}"/>
    <hyperlink ref="A130" r:id="rId580" display="AbellGC 2572" xr:uid="{00000000-0004-0000-0000-00005D020000}"/>
    <hyperlink ref="A291" r:id="rId581" xr:uid="{00000000-0004-0000-0000-00005E020000}"/>
    <hyperlink ref="A2431" r:id="rId582" xr:uid="{00000000-0004-0000-0000-00005F020000}"/>
    <hyperlink ref="A1229" r:id="rId583" xr:uid="{00000000-0004-0000-0000-000060020000}"/>
    <hyperlink ref="A1794" r:id="rId584" xr:uid="{00000000-0004-0000-0000-000061020000}"/>
    <hyperlink ref="A2783" r:id="rId585" xr:uid="{00000000-0004-0000-0000-000062020000}"/>
    <hyperlink ref="A2522" r:id="rId586" xr:uid="{00000000-0004-0000-0000-000063020000}"/>
    <hyperlink ref="A334" r:id="rId587" xr:uid="{00000000-0004-0000-0000-000064020000}"/>
    <hyperlink ref="A2424" r:id="rId588" xr:uid="{00000000-0004-0000-0000-000065020000}"/>
    <hyperlink ref="A2840" r:id="rId589" xr:uid="{00000000-0004-0000-0000-000066020000}"/>
    <hyperlink ref="A3035" r:id="rId590" xr:uid="{00000000-0004-0000-0000-000067020000}"/>
    <hyperlink ref="A239" r:id="rId591" xr:uid="{00000000-0004-0000-0000-000068020000}"/>
    <hyperlink ref="A3096" r:id="rId592" xr:uid="{00000000-0004-0000-0000-000069020000}"/>
    <hyperlink ref="A822" r:id="rId593" xr:uid="{00000000-0004-0000-0000-00006A020000}"/>
    <hyperlink ref="A212" r:id="rId594" xr:uid="{00000000-0004-0000-0000-00006B020000}"/>
    <hyperlink ref="A787" r:id="rId595" xr:uid="{00000000-0004-0000-0000-00006C020000}"/>
    <hyperlink ref="A348" r:id="rId596" xr:uid="{00000000-0004-0000-0000-00006D020000}"/>
    <hyperlink ref="A2717" r:id="rId597" xr:uid="{00000000-0004-0000-0000-00006E020000}"/>
    <hyperlink ref="A1648" r:id="rId598" xr:uid="{00000000-0004-0000-0000-000070020000}"/>
    <hyperlink ref="A97" r:id="rId599" display="AbellGC 0262" xr:uid="{00000000-0004-0000-0000-000071020000}"/>
    <hyperlink ref="A2768" r:id="rId600" xr:uid="{00000000-0004-0000-0000-000072020000}"/>
    <hyperlink ref="A260" r:id="rId601" xr:uid="{00000000-0004-0000-0000-000073020000}"/>
    <hyperlink ref="A1550" r:id="rId602" xr:uid="{00000000-0004-0000-0000-000074020000}"/>
    <hyperlink ref="A1076" r:id="rId603" xr:uid="{00000000-0004-0000-0000-000075020000}"/>
    <hyperlink ref="A2838" r:id="rId604" xr:uid="{00000000-0004-0000-0000-000076020000}"/>
    <hyperlink ref="A2505" r:id="rId605" display="NGC 7242" xr:uid="{00000000-0004-0000-0000-000077020000}"/>
    <hyperlink ref="A3127" r:id="rId606" display="Vela Bypass" xr:uid="{00000000-0004-0000-0000-000079020000}"/>
    <hyperlink ref="A2473" r:id="rId607" xr:uid="{00000000-0004-0000-0000-00007A020000}"/>
    <hyperlink ref="A864" r:id="rId608" xr:uid="{00000000-0004-0000-0000-00007B020000}"/>
    <hyperlink ref="A1461" r:id="rId609" xr:uid="{00000000-0004-0000-0000-00007C020000}"/>
    <hyperlink ref="A2809" r:id="rId610" xr:uid="{00000000-0004-0000-0000-00007D020000}"/>
    <hyperlink ref="A2992" r:id="rId611" xr:uid="{00000000-0004-0000-0000-00007E020000}"/>
    <hyperlink ref="A2991" r:id="rId612" xr:uid="{00000000-0004-0000-0000-00007F020000}"/>
    <hyperlink ref="A364" r:id="rId613" xr:uid="{00000000-0004-0000-0000-000080020000}"/>
    <hyperlink ref="A2984" r:id="rId614" xr:uid="{00000000-0004-0000-0000-000081020000}"/>
    <hyperlink ref="A1793" r:id="rId615" xr:uid="{00000000-0004-0000-0000-000082020000}"/>
    <hyperlink ref="A778" r:id="rId616" xr:uid="{00000000-0004-0000-0000-000083020000}"/>
    <hyperlink ref="A3106" r:id="rId617" xr:uid="{00000000-0004-0000-0000-000084020000}"/>
    <hyperlink ref="A2644" r:id="rId618" xr:uid="{00000000-0004-0000-0000-000085020000}"/>
    <hyperlink ref="A1622" r:id="rId619" xr:uid="{00000000-0004-0000-0000-000086020000}"/>
    <hyperlink ref="A1696" r:id="rId620" xr:uid="{00000000-0004-0000-0000-000087020000}"/>
    <hyperlink ref="A638" r:id="rId621" xr:uid="{00000000-0004-0000-0000-000088020000}"/>
    <hyperlink ref="A2993" r:id="rId622" xr:uid="{00000000-0004-0000-0000-000089020000}"/>
    <hyperlink ref="A2960" r:id="rId623" xr:uid="{00000000-0004-0000-0000-00008A020000}"/>
    <hyperlink ref="A2452" r:id="rId624" display="NGC 6962" xr:uid="{00000000-0004-0000-0000-00008B020000}"/>
    <hyperlink ref="A1135" r:id="rId625" xr:uid="{00000000-0004-0000-0000-00008C020000}"/>
    <hyperlink ref="A2394" r:id="rId626" xr:uid="{00000000-0004-0000-0000-00008D020000}"/>
    <hyperlink ref="A2515" r:id="rId627" xr:uid="{00000000-0004-0000-0000-00008E020000}"/>
    <hyperlink ref="A1554" r:id="rId628" xr:uid="{00000000-0004-0000-0000-00008F020000}"/>
    <hyperlink ref="A1064" r:id="rId629" xr:uid="{00000000-0004-0000-0000-000090020000}"/>
    <hyperlink ref="A493" r:id="rId630" xr:uid="{00000000-0004-0000-0000-000091020000}"/>
    <hyperlink ref="A1496" r:id="rId631" xr:uid="{00000000-0004-0000-0000-000092020000}"/>
    <hyperlink ref="A1088" r:id="rId632" xr:uid="{00000000-0004-0000-0000-000093020000}"/>
    <hyperlink ref="A788" r:id="rId633" xr:uid="{00000000-0004-0000-0000-000094020000}"/>
    <hyperlink ref="A2565" r:id="rId634" xr:uid="{00000000-0004-0000-0000-000095020000}"/>
    <hyperlink ref="A1625" r:id="rId635" xr:uid="{00000000-0004-0000-0000-000096020000}"/>
    <hyperlink ref="A1623" r:id="rId636" xr:uid="{00000000-0004-0000-0000-000097020000}"/>
    <hyperlink ref="A1968" r:id="rId637" xr:uid="{00000000-0004-0000-0000-000098020000}"/>
    <hyperlink ref="A1321" r:id="rId638" xr:uid="{00000000-0004-0000-0000-000099020000}"/>
    <hyperlink ref="A2861" r:id="rId639" xr:uid="{00000000-0004-0000-0000-00009A020000}"/>
    <hyperlink ref="A1414" r:id="rId640" xr:uid="{00000000-0004-0000-0000-00009C020000}"/>
    <hyperlink ref="A1626" r:id="rId641" xr:uid="{00000000-0004-0000-0000-00009E020000}"/>
    <hyperlink ref="A1624" r:id="rId642" xr:uid="{00000000-0004-0000-0000-00009F020000}"/>
    <hyperlink ref="A270" r:id="rId643" xr:uid="{00000000-0004-0000-0000-0000A0020000}"/>
    <hyperlink ref="A1507" r:id="rId644" xr:uid="{00000000-0004-0000-0000-0000A1020000}"/>
    <hyperlink ref="A810" r:id="rId645" xr:uid="{00000000-0004-0000-0000-0000A2020000}"/>
    <hyperlink ref="A1586" r:id="rId646" xr:uid="{00000000-0004-0000-0000-0000A3020000}"/>
    <hyperlink ref="A3036" r:id="rId647" xr:uid="{00000000-0004-0000-0000-0000A4020000}"/>
    <hyperlink ref="A1706" r:id="rId648" xr:uid="{00000000-0004-0000-0000-0000A5020000}"/>
    <hyperlink ref="A2511" r:id="rId649" xr:uid="{00000000-0004-0000-0000-0000A6020000}"/>
    <hyperlink ref="A1455" r:id="rId650" xr:uid="{00000000-0004-0000-0000-0000A7020000}"/>
    <hyperlink ref="A2508" r:id="rId651" xr:uid="{00000000-0004-0000-0000-0000A8020000}"/>
    <hyperlink ref="A1638" r:id="rId652" display="NGC 1497" xr:uid="{00000000-0004-0000-0000-0000A9020000}"/>
    <hyperlink ref="A3139" r:id="rId653" xr:uid="{00000000-0004-0000-0000-0000AA020000}"/>
    <hyperlink ref="A231" r:id="rId654" xr:uid="{00000000-0004-0000-0000-0000AB020000}"/>
    <hyperlink ref="A108" r:id="rId655" display="AbellGC 1185" xr:uid="{00000000-0004-0000-0000-0000AC020000}"/>
    <hyperlink ref="A1610" r:id="rId656" xr:uid="{00000000-0004-0000-0000-0000AD020000}"/>
    <hyperlink ref="A1256" r:id="rId657" xr:uid="{00000000-0004-0000-0000-0000AE020000}"/>
    <hyperlink ref="A1754" r:id="rId658" xr:uid="{00000000-0004-0000-0000-0000AF020000}"/>
    <hyperlink ref="A1274" r:id="rId659" xr:uid="{00000000-0004-0000-0000-0000B0020000}"/>
    <hyperlink ref="A2966" r:id="rId660" xr:uid="{00000000-0004-0000-0000-0000B1020000}"/>
    <hyperlink ref="A2818" r:id="rId661" xr:uid="{00000000-0004-0000-0000-0000B2020000}"/>
    <hyperlink ref="A1505" r:id="rId662" xr:uid="{00000000-0004-0000-0000-0000B3020000}"/>
    <hyperlink ref="A782" r:id="rId663" xr:uid="{00000000-0004-0000-0000-0000B4020000}"/>
    <hyperlink ref="A1543" r:id="rId664" xr:uid="{00000000-0004-0000-0000-0000B5020000}"/>
    <hyperlink ref="A1245" r:id="rId665" xr:uid="{00000000-0004-0000-0000-0000B7020000}"/>
    <hyperlink ref="A238" r:id="rId666" xr:uid="{00000000-0004-0000-0000-0000B8020000}"/>
    <hyperlink ref="A131" r:id="rId667" display="AbellGC 2593" xr:uid="{00000000-0004-0000-0000-0000B9020000}"/>
    <hyperlink ref="A1681" r:id="rId668" xr:uid="{00000000-0004-0000-0000-0000BA020000}"/>
    <hyperlink ref="A1757" r:id="rId669" xr:uid="{00000000-0004-0000-0000-0000BB020000}"/>
    <hyperlink ref="A2512" r:id="rId670" xr:uid="{00000000-0004-0000-0000-0000BC020000}"/>
    <hyperlink ref="A1478" r:id="rId671" xr:uid="{00000000-0004-0000-0000-0000BD020000}"/>
    <hyperlink ref="A1209" r:id="rId672" xr:uid="{00000000-0004-0000-0000-0000BE020000}"/>
    <hyperlink ref="A987" r:id="rId673" xr:uid="{00000000-0004-0000-0000-0000BF020000}"/>
    <hyperlink ref="A2543" r:id="rId674" xr:uid="{00000000-0004-0000-0000-0000C0020000}"/>
    <hyperlink ref="A209" r:id="rId675" xr:uid="{00000000-0004-0000-0000-0000C1020000}"/>
    <hyperlink ref="A400" r:id="rId676" xr:uid="{00000000-0004-0000-0000-0000C2020000}"/>
    <hyperlink ref="A316" r:id="rId677" xr:uid="{00000000-0004-0000-0000-0000C4020000}"/>
    <hyperlink ref="A3009" r:id="rId678" xr:uid="{00000000-0004-0000-0000-0000C5020000}"/>
    <hyperlink ref="A1542" r:id="rId679" xr:uid="{00000000-0004-0000-0000-0000C6020000}"/>
    <hyperlink ref="A1086" r:id="rId680" xr:uid="{00000000-0004-0000-0000-0000C7020000}"/>
    <hyperlink ref="A1849" r:id="rId681" xr:uid="{00000000-0004-0000-0000-0000C8020000}"/>
    <hyperlink ref="A1687" r:id="rId682" xr:uid="{00000000-0004-0000-0000-0000CA020000}"/>
    <hyperlink ref="A1744" r:id="rId683" xr:uid="{00000000-0004-0000-0000-0000CB020000}"/>
    <hyperlink ref="A1938" r:id="rId684" xr:uid="{00000000-0004-0000-0000-0000CC020000}"/>
    <hyperlink ref="A1717" r:id="rId685" display="NGC 2207" xr:uid="{00000000-0004-0000-0000-0000CE020000}"/>
    <hyperlink ref="A813" r:id="rId686" xr:uid="{00000000-0004-0000-0000-0000CF020000}"/>
    <hyperlink ref="A147" r:id="rId687" xr:uid="{00000000-0004-0000-0000-0000D0020000}"/>
    <hyperlink ref="A1608" r:id="rId688" xr:uid="{00000000-0004-0000-0000-0000D2020000}"/>
    <hyperlink ref="A1822" r:id="rId689" display="Holmberg 124" xr:uid="{00000000-0004-0000-0000-0000D3020000}"/>
    <hyperlink ref="A2645" r:id="rId690" xr:uid="{00000000-0004-0000-0000-0000D4020000}"/>
    <hyperlink ref="A1725" r:id="rId691" xr:uid="{00000000-0004-0000-0000-0000D5020000}"/>
    <hyperlink ref="A273" r:id="rId692" xr:uid="{00000000-0004-0000-0000-0000D6020000}"/>
    <hyperlink ref="A1228" r:id="rId693" display="KeWe 3" xr:uid="{00000000-0004-0000-0000-0000D7020000}"/>
    <hyperlink ref="A136" r:id="rId694" xr:uid="{00000000-0004-0000-0000-0000D8020000}"/>
    <hyperlink ref="A1243" r:id="rId695" xr:uid="{00000000-0004-0000-0000-0000D9020000}"/>
    <hyperlink ref="A2461" r:id="rId696" xr:uid="{00000000-0004-0000-0000-0000DA020000}"/>
    <hyperlink ref="A2778" r:id="rId697" xr:uid="{00000000-0004-0000-0000-0000DB020000}"/>
    <hyperlink ref="A1528" r:id="rId698" xr:uid="{00000000-0004-0000-0000-0000DC020000}"/>
    <hyperlink ref="A163" r:id="rId699" xr:uid="{00000000-0004-0000-0000-0000DD020000}"/>
    <hyperlink ref="A1629" r:id="rId700" xr:uid="{00000000-0004-0000-0000-0000DE020000}"/>
    <hyperlink ref="A2868" r:id="rId701" xr:uid="{00000000-0004-0000-0000-0000DF020000}"/>
    <hyperlink ref="A107" r:id="rId702" display="ABellGC 1126" xr:uid="{00000000-0004-0000-0000-0000E0020000}"/>
    <hyperlink ref="A1903" r:id="rId703" xr:uid="{00000000-0004-0000-0000-0000E1020000}"/>
    <hyperlink ref="A1090" r:id="rId704" xr:uid="{00000000-0004-0000-0000-0000E2020000}"/>
    <hyperlink ref="A1091" r:id="rId705" xr:uid="{00000000-0004-0000-0000-0000E3020000}"/>
    <hyperlink ref="A1670" r:id="rId706" display="NGC 1721" xr:uid="{00000000-0004-0000-0000-0000E4020000}"/>
    <hyperlink ref="A2813" r:id="rId707" xr:uid="{00000000-0004-0000-0000-0000E5020000}"/>
    <hyperlink ref="A2025" r:id="rId708" xr:uid="{00000000-0004-0000-0000-0000E6020000}"/>
    <hyperlink ref="A1249" r:id="rId709" xr:uid="{00000000-0004-0000-0000-0000E7020000}"/>
    <hyperlink ref="A336" r:id="rId710" xr:uid="{00000000-0004-0000-0000-0000E8020000}"/>
    <hyperlink ref="A2162" r:id="rId711" xr:uid="{00000000-0004-0000-0000-0000E9020000}"/>
    <hyperlink ref="A1799" r:id="rId712" xr:uid="{00000000-0004-0000-0000-0000EA020000}"/>
    <hyperlink ref="A1719" r:id="rId713" xr:uid="{00000000-0004-0000-0000-0000EB020000}"/>
    <hyperlink ref="A1761" r:id="rId714" xr:uid="{00000000-0004-0000-0000-0000EC020000}"/>
    <hyperlink ref="A427" r:id="rId715" xr:uid="{00000000-0004-0000-0000-0000ED020000}"/>
    <hyperlink ref="A1838" r:id="rId716" xr:uid="{00000000-0004-0000-0000-0000EE020000}"/>
    <hyperlink ref="A1983" r:id="rId717" xr:uid="{00000000-0004-0000-0000-0000EF020000}"/>
    <hyperlink ref="A1800" r:id="rId718" xr:uid="{00000000-0004-0000-0000-0000F0020000}"/>
    <hyperlink ref="A266" r:id="rId719" xr:uid="{00000000-0004-0000-0000-0000F1020000}"/>
    <hyperlink ref="A288" r:id="rId720" xr:uid="{00000000-0004-0000-0000-0000F2020000}"/>
    <hyperlink ref="A1712" r:id="rId721" xr:uid="{00000000-0004-0000-0000-0000F3020000}"/>
    <hyperlink ref="A1383" r:id="rId722" xr:uid="{00000000-0004-0000-0000-0000F4020000}"/>
    <hyperlink ref="A2929" r:id="rId723" xr:uid="{00000000-0004-0000-0000-0000F5020000}"/>
    <hyperlink ref="A1893" r:id="rId724" xr:uid="{00000000-0004-0000-0000-0000F6020000}"/>
    <hyperlink ref="A2073" r:id="rId725" xr:uid="{00000000-0004-0000-0000-0000F7020000}"/>
    <hyperlink ref="A2090" r:id="rId726" xr:uid="{00000000-0004-0000-0000-0000F8020000}"/>
    <hyperlink ref="A2933" r:id="rId727" xr:uid="{00000000-0004-0000-0000-0000F9020000}"/>
    <hyperlink ref="A1579" r:id="rId728" xr:uid="{00000000-0004-0000-0000-0000FA020000}"/>
    <hyperlink ref="A352" r:id="rId729" xr:uid="{00000000-0004-0000-0000-0000FB020000}"/>
    <hyperlink ref="A1978" r:id="rId730" xr:uid="{00000000-0004-0000-0000-0000FC020000}"/>
    <hyperlink ref="A1571" r:id="rId731" xr:uid="{00000000-0004-0000-0000-0000FD020000}"/>
    <hyperlink ref="A2216" r:id="rId732" xr:uid="{00000000-0004-0000-0000-0000FE020000}"/>
    <hyperlink ref="A416" r:id="rId733" xr:uid="{00000000-0004-0000-0000-0000FF020000}"/>
    <hyperlink ref="A1490" r:id="rId734" xr:uid="{00000000-0004-0000-0000-000000030000}"/>
    <hyperlink ref="A1858" r:id="rId735" xr:uid="{00000000-0004-0000-0000-000001030000}"/>
    <hyperlink ref="A2055" r:id="rId736" xr:uid="{00000000-0004-0000-0000-000002030000}"/>
    <hyperlink ref="A2101" r:id="rId737" xr:uid="{00000000-0004-0000-0000-000003030000}"/>
    <hyperlink ref="A2135" r:id="rId738" xr:uid="{00000000-0004-0000-0000-000004030000}"/>
    <hyperlink ref="A1778" r:id="rId739" xr:uid="{00000000-0004-0000-0000-000005030000}"/>
    <hyperlink ref="A1186" r:id="rId740" xr:uid="{00000000-0004-0000-0000-000006030000}"/>
    <hyperlink ref="A1817" r:id="rId741" xr:uid="{00000000-0004-0000-0000-000007030000}"/>
    <hyperlink ref="A188" r:id="rId742" xr:uid="{00000000-0004-0000-0000-000008030000}"/>
    <hyperlink ref="A287" r:id="rId743" xr:uid="{00000000-0004-0000-0000-000009030000}"/>
    <hyperlink ref="A449" r:id="rId744" xr:uid="{00000000-0004-0000-0000-00000A030000}"/>
    <hyperlink ref="A249" r:id="rId745" xr:uid="{00000000-0004-0000-0000-00000B030000}"/>
    <hyperlink ref="A1869" r:id="rId746" xr:uid="{00000000-0004-0000-0000-00000D030000}"/>
    <hyperlink ref="A3016" r:id="rId747" xr:uid="{00000000-0004-0000-0000-00000E030000}"/>
    <hyperlink ref="A1693" r:id="rId748" xr:uid="{00000000-0004-0000-0000-00000F030000}"/>
    <hyperlink ref="A328" r:id="rId749" xr:uid="{00000000-0004-0000-0000-000010030000}"/>
    <hyperlink ref="A215" r:id="rId750" xr:uid="{00000000-0004-0000-0000-000011030000}"/>
    <hyperlink ref="A233" r:id="rId751" xr:uid="{00000000-0004-0000-0000-000012030000}"/>
    <hyperlink ref="A2109" r:id="rId752" xr:uid="{00000000-0004-0000-0000-000013030000}"/>
    <hyperlink ref="A2106" r:id="rId753" xr:uid="{00000000-0004-0000-0000-000014030000}"/>
    <hyperlink ref="A2922" r:id="rId754" xr:uid="{00000000-0004-0000-0000-000015030000}"/>
    <hyperlink ref="A2171" r:id="rId755" xr:uid="{00000000-0004-0000-0000-000016030000}"/>
    <hyperlink ref="A1917" r:id="rId756" xr:uid="{00000000-0004-0000-0000-000017030000}"/>
    <hyperlink ref="A1400" r:id="rId757" xr:uid="{00000000-0004-0000-0000-000018030000}"/>
    <hyperlink ref="A2926" r:id="rId758" xr:uid="{00000000-0004-0000-0000-000019030000}"/>
    <hyperlink ref="A450" r:id="rId759" xr:uid="{00000000-0004-0000-0000-00001A030000}"/>
    <hyperlink ref="A1956" r:id="rId760" xr:uid="{00000000-0004-0000-0000-00001B030000}"/>
    <hyperlink ref="A345" r:id="rId761" xr:uid="{00000000-0004-0000-0000-00001C030000}"/>
    <hyperlink ref="A2058" r:id="rId762" xr:uid="{00000000-0004-0000-0000-00001D030000}"/>
    <hyperlink ref="A1417" r:id="rId763" xr:uid="{00000000-0004-0000-0000-00001E030000}"/>
    <hyperlink ref="A2141" r:id="rId764" xr:uid="{00000000-0004-0000-0000-00001F030000}"/>
    <hyperlink ref="A2144" r:id="rId765" xr:uid="{00000000-0004-0000-0000-000020030000}"/>
    <hyperlink ref="A1164" r:id="rId766" xr:uid="{00000000-0004-0000-0000-000021030000}"/>
    <hyperlink ref="A2102" r:id="rId767" xr:uid="{00000000-0004-0000-0000-000022030000}"/>
    <hyperlink ref="A2069" r:id="rId768" xr:uid="{00000000-0004-0000-0000-000023030000}"/>
    <hyperlink ref="A2170" r:id="rId769" xr:uid="{00000000-0004-0000-0000-000024030000}"/>
    <hyperlink ref="A2046" r:id="rId770" xr:uid="{00000000-0004-0000-0000-000025030000}"/>
    <hyperlink ref="A2060" r:id="rId771" xr:uid="{00000000-0004-0000-0000-000026030000}"/>
    <hyperlink ref="A2059" r:id="rId772" xr:uid="{00000000-0004-0000-0000-000027030000}"/>
    <hyperlink ref="A1992" r:id="rId773" xr:uid="{00000000-0004-0000-0000-000028030000}"/>
    <hyperlink ref="A2096" r:id="rId774" xr:uid="{00000000-0004-0000-0000-000029030000}"/>
    <hyperlink ref="A361" r:id="rId775" xr:uid="{00000000-0004-0000-0000-00002A030000}"/>
    <hyperlink ref="A2944" r:id="rId776" xr:uid="{00000000-0004-0000-0000-00002B030000}"/>
    <hyperlink ref="A1429" r:id="rId777" xr:uid="{00000000-0004-0000-0000-00002C030000}"/>
    <hyperlink ref="A1821" r:id="rId778" xr:uid="{00000000-0004-0000-0000-00002D030000}"/>
    <hyperlink ref="A2257" r:id="rId779" xr:uid="{00000000-0004-0000-0000-00002E030000}"/>
    <hyperlink ref="A413" r:id="rId780" xr:uid="{00000000-0004-0000-0000-00002F030000}"/>
    <hyperlink ref="A2028" r:id="rId781" xr:uid="{00000000-0004-0000-0000-000031030000}"/>
    <hyperlink ref="A414" r:id="rId782" xr:uid="{00000000-0004-0000-0000-000032030000}"/>
    <hyperlink ref="A166" r:id="rId783" xr:uid="{00000000-0004-0000-0000-000033030000}"/>
    <hyperlink ref="A1902" r:id="rId784" xr:uid="{00000000-0004-0000-0000-000034030000}"/>
    <hyperlink ref="A2224" r:id="rId785" xr:uid="{00000000-0004-0000-0000-000035030000}"/>
    <hyperlink ref="A2261" r:id="rId786" xr:uid="{00000000-0004-0000-0000-000036030000}"/>
    <hyperlink ref="A1905" r:id="rId787" xr:uid="{00000000-0004-0000-0000-000037030000}"/>
    <hyperlink ref="A1966" r:id="rId788" xr:uid="{00000000-0004-0000-0000-000038030000}"/>
    <hyperlink ref="A2179" r:id="rId789" xr:uid="{00000000-0004-0000-0000-000039030000}"/>
    <hyperlink ref="A2289" r:id="rId790" xr:uid="{00000000-0004-0000-0000-00003A030000}"/>
    <hyperlink ref="A3128" r:id="rId791" xr:uid="{00000000-0004-0000-0000-00003B030000}"/>
    <hyperlink ref="A2066" r:id="rId792" xr:uid="{00000000-0004-0000-0000-00003C030000}"/>
    <hyperlink ref="A2367" r:id="rId793" xr:uid="{00000000-0004-0000-0000-00003D030000}"/>
    <hyperlink ref="A2188" r:id="rId794" xr:uid="{00000000-0004-0000-0000-00003E030000}"/>
    <hyperlink ref="A1809" r:id="rId795" display="NGC 2684" xr:uid="{00000000-0004-0000-0000-00003F030000}"/>
    <hyperlink ref="A1812" r:id="rId796" xr:uid="{00000000-0004-0000-0000-000040030000}"/>
    <hyperlink ref="A2927" r:id="rId797" xr:uid="{00000000-0004-0000-0000-000041030000}"/>
    <hyperlink ref="A2239" r:id="rId798" xr:uid="{00000000-0004-0000-0000-000042030000}"/>
    <hyperlink ref="A169" r:id="rId799" xr:uid="{00000000-0004-0000-0000-000043030000}"/>
    <hyperlink ref="A1963" r:id="rId800" xr:uid="{00000000-0004-0000-0000-000044030000}"/>
    <hyperlink ref="A124" r:id="rId801" display="AbellGC 2162" xr:uid="{00000000-0004-0000-0000-000045030000}"/>
    <hyperlink ref="A448" r:id="rId802" xr:uid="{00000000-0004-0000-0000-000047030000}"/>
    <hyperlink ref="A162" r:id="rId803" xr:uid="{00000000-0004-0000-0000-000048030000}"/>
    <hyperlink ref="A1297" r:id="rId804" xr:uid="{00000000-0004-0000-0000-000049030000}"/>
    <hyperlink ref="A2136" r:id="rId805" xr:uid="{00000000-0004-0000-0000-00004A030000}"/>
    <hyperlink ref="A119" r:id="rId806" display="AbellGC 2065" xr:uid="{00000000-0004-0000-0000-00004B030000}"/>
    <hyperlink ref="A2586" r:id="rId807" display="Parsamyan 21" xr:uid="{00000000-0004-0000-0000-00004C030000}"/>
    <hyperlink ref="A2140" r:id="rId808" xr:uid="{00000000-0004-0000-0000-00004D030000}"/>
    <hyperlink ref="A929" r:id="rId809" xr:uid="{00000000-0004-0000-0000-00004E030000}"/>
    <hyperlink ref="A2277" r:id="rId810" xr:uid="{00000000-0004-0000-0000-00004F030000}"/>
    <hyperlink ref="A296" r:id="rId811" xr:uid="{00000000-0004-0000-0000-000050030000}"/>
    <hyperlink ref="A2946" r:id="rId812" xr:uid="{00000000-0004-0000-0000-000051030000}"/>
    <hyperlink ref="A325" r:id="rId813" xr:uid="{00000000-0004-0000-0000-000053030000}"/>
    <hyperlink ref="A2187" r:id="rId814" xr:uid="{00000000-0004-0000-0000-000054030000}"/>
    <hyperlink ref="A229" r:id="rId815" xr:uid="{00000000-0004-0000-0000-000055030000}"/>
    <hyperlink ref="A2370" r:id="rId816" xr:uid="{00000000-0004-0000-0000-000056030000}"/>
    <hyperlink ref="A1042" r:id="rId817" xr:uid="{00000000-0004-0000-0000-000057030000}"/>
    <hyperlink ref="A206" r:id="rId818" xr:uid="{00000000-0004-0000-0000-000058030000}"/>
    <hyperlink ref="A1964" r:id="rId819" xr:uid="{00000000-0004-0000-0000-000059030000}"/>
    <hyperlink ref="A2252" r:id="rId820" xr:uid="{00000000-0004-0000-0000-00005A030000}"/>
    <hyperlink ref="A2274" r:id="rId821" xr:uid="{00000000-0004-0000-0000-00005B030000}"/>
    <hyperlink ref="A1442" r:id="rId822" xr:uid="{00000000-0004-0000-0000-00005C030000}"/>
    <hyperlink ref="A2105" r:id="rId823" xr:uid="{00000000-0004-0000-0000-00005D030000}"/>
    <hyperlink ref="A2265" r:id="rId824" xr:uid="{00000000-0004-0000-0000-00005E030000}"/>
    <hyperlink ref="A2346" r:id="rId825" xr:uid="{00000000-0004-0000-0000-000060030000}"/>
    <hyperlink ref="A2190" r:id="rId826" xr:uid="{00000000-0004-0000-0000-000061030000}"/>
    <hyperlink ref="A2300" r:id="rId827" display="NGC 6306" xr:uid="{00000000-0004-0000-0000-000062030000}"/>
    <hyperlink ref="A430" r:id="rId828" xr:uid="{00000000-0004-0000-0000-000063030000}"/>
    <hyperlink ref="A1203" r:id="rId829" xr:uid="{00000000-0004-0000-0000-000064030000}"/>
    <hyperlink ref="A2074" r:id="rId830" xr:uid="{00000000-0004-0000-0000-000065030000}"/>
    <hyperlink ref="A2372" r:id="rId831" xr:uid="{00000000-0004-0000-0000-000066030000}"/>
    <hyperlink ref="A1993" r:id="rId832" xr:uid="{00000000-0004-0000-0000-000067030000}"/>
    <hyperlink ref="A1275" r:id="rId833" xr:uid="{00000000-0004-0000-0000-000068030000}"/>
    <hyperlink ref="A2155" r:id="rId834" xr:uid="{00000000-0004-0000-0000-000069030000}"/>
    <hyperlink ref="A2032" r:id="rId835" display="NGC 4340" xr:uid="{00000000-0004-0000-0000-00006A030000}"/>
    <hyperlink ref="A2942" r:id="rId836" xr:uid="{00000000-0004-0000-0000-00006B030000}"/>
    <hyperlink ref="A2051" r:id="rId837" xr:uid="{00000000-0004-0000-0000-00006C030000}"/>
    <hyperlink ref="A2321" r:id="rId838" xr:uid="{00000000-0004-0000-0000-00006D030000}"/>
    <hyperlink ref="A1294" r:id="rId839" xr:uid="{00000000-0004-0000-0000-00006E030000}"/>
    <hyperlink ref="A2200" r:id="rId840" display="NGC 5599" xr:uid="{00000000-0004-0000-0000-00006F030000}"/>
    <hyperlink ref="A251" r:id="rId841" xr:uid="{00000000-0004-0000-0000-000070030000}"/>
    <hyperlink ref="A2281" r:id="rId842" xr:uid="{00000000-0004-0000-0000-000071030000}"/>
    <hyperlink ref="A2044" r:id="rId843" xr:uid="{00000000-0004-0000-0000-000072030000}"/>
    <hyperlink ref="A2048" r:id="rId844" xr:uid="{00000000-0004-0000-0000-000073030000}"/>
    <hyperlink ref="A854" r:id="rId845" display="Dobashi 42" xr:uid="{00000000-0004-0000-0000-000074030000}"/>
    <hyperlink ref="A2271" r:id="rId846" xr:uid="{00000000-0004-0000-0000-000075030000}"/>
    <hyperlink ref="A1166" r:id="rId847" xr:uid="{00000000-0004-0000-0000-000076030000}"/>
    <hyperlink ref="A2312" r:id="rId848" xr:uid="{00000000-0004-0000-0000-000077030000}"/>
    <hyperlink ref="A2045" r:id="rId849" display="NGC 4411" xr:uid="{00000000-0004-0000-0000-000078030000}"/>
    <hyperlink ref="A2385" r:id="rId850" xr:uid="{00000000-0004-0000-0000-000079030000}"/>
    <hyperlink ref="A299" r:id="rId851" xr:uid="{00000000-0004-0000-0000-00007A030000}"/>
    <hyperlink ref="A216" r:id="rId852" xr:uid="{00000000-0004-0000-0000-00007B030000}"/>
    <hyperlink ref="A534" r:id="rId853" xr:uid="{00000000-0004-0000-0000-00007C030000}"/>
    <hyperlink ref="A525" r:id="rId854" xr:uid="{00000000-0004-0000-0000-00007D030000}"/>
    <hyperlink ref="A2443" r:id="rId855" xr:uid="{00000000-0004-0000-0000-00007E030000}"/>
    <hyperlink ref="A2415" r:id="rId856" xr:uid="{00000000-0004-0000-0000-00007F030000}"/>
    <hyperlink ref="A1289" r:id="rId857" xr:uid="{00000000-0004-0000-0000-000080030000}"/>
    <hyperlink ref="A887" r:id="rId858" xr:uid="{00000000-0004-0000-0000-000081030000}"/>
    <hyperlink ref="A2399" r:id="rId859" display="NGC 6786" xr:uid="{00000000-0004-0000-0000-000082030000}"/>
    <hyperlink ref="A2641" r:id="rId860" xr:uid="{00000000-0004-0000-0000-000083030000}"/>
    <hyperlink ref="A306" r:id="rId861" xr:uid="{00000000-0004-0000-0000-000084030000}"/>
    <hyperlink ref="A2462" r:id="rId862" xr:uid="{00000000-0004-0000-0000-000085030000}"/>
    <hyperlink ref="A2222" r:id="rId863" xr:uid="{00000000-0004-0000-0000-000086030000}"/>
    <hyperlink ref="A3112" r:id="rId864" xr:uid="{00000000-0004-0000-0000-000087030000}"/>
    <hyperlink ref="A3111" r:id="rId865" xr:uid="{00000000-0004-0000-0000-000088030000}"/>
    <hyperlink ref="A1314" r:id="rId866" xr:uid="{00000000-0004-0000-0000-000089030000}"/>
    <hyperlink ref="A949" r:id="rId867" xr:uid="{00000000-0004-0000-0000-00008A030000}"/>
    <hyperlink ref="A632" r:id="rId868" xr:uid="{00000000-0004-0000-0000-00008B030000}"/>
    <hyperlink ref="A846" r:id="rId869" xr:uid="{00000000-0004-0000-0000-00008C030000}"/>
    <hyperlink ref="A2417" r:id="rId870" display="NGC 6829" xr:uid="{00000000-0004-0000-0000-00008D030000}"/>
    <hyperlink ref="A1475" r:id="rId871" xr:uid="{00000000-0004-0000-0000-00008E030000}"/>
    <hyperlink ref="A1312" r:id="rId872" xr:uid="{00000000-0004-0000-0000-00008F030000}"/>
    <hyperlink ref="A2337" r:id="rId873" display="NGC 6500" xr:uid="{00000000-0004-0000-0000-000090030000}"/>
    <hyperlink ref="A1521" r:id="rId874" xr:uid="{00000000-0004-0000-0000-000091030000}"/>
    <hyperlink ref="A1301" r:id="rId875" xr:uid="{00000000-0004-0000-0000-000092030000}"/>
    <hyperlink ref="A934" r:id="rId876" xr:uid="{00000000-0004-0000-0000-000093030000}"/>
    <hyperlink ref="A935" r:id="rId877" xr:uid="{00000000-0004-0000-0000-000094030000}"/>
    <hyperlink ref="A936" r:id="rId878" xr:uid="{00000000-0004-0000-0000-000095030000}"/>
    <hyperlink ref="A937" r:id="rId879" xr:uid="{00000000-0004-0000-0000-000096030000}"/>
    <hyperlink ref="A2303" r:id="rId880" xr:uid="{00000000-0004-0000-0000-000097030000}"/>
    <hyperlink ref="A2451" r:id="rId881" xr:uid="{00000000-0004-0000-0000-000098030000}"/>
    <hyperlink ref="A1452" r:id="rId882" xr:uid="{00000000-0004-0000-0000-000099030000}"/>
    <hyperlink ref="A2583" r:id="rId883" xr:uid="{00000000-0004-0000-0000-00009A030000}"/>
    <hyperlink ref="A2739" r:id="rId884" xr:uid="{00000000-0004-0000-0000-00009B030000}"/>
    <hyperlink ref="A1487" r:id="rId885" xr:uid="{00000000-0004-0000-0000-00009C030000}"/>
    <hyperlink ref="A2668" r:id="rId886" xr:uid="{00000000-0004-0000-0000-00009D030000}"/>
    <hyperlink ref="A1535" r:id="rId887" xr:uid="{00000000-0004-0000-0000-00009E030000}"/>
    <hyperlink ref="A2315" r:id="rId888" xr:uid="{00000000-0004-0000-0000-00009F030000}"/>
    <hyperlink ref="A1525" r:id="rId889" xr:uid="{00000000-0004-0000-0000-0000A0030000}"/>
    <hyperlink ref="A1308" r:id="rId890" xr:uid="{00000000-0004-0000-0000-0000A1030000}"/>
    <hyperlink ref="A2457" r:id="rId891" xr:uid="{00000000-0004-0000-0000-0000A2030000}"/>
    <hyperlink ref="A2732" r:id="rId892" xr:uid="{00000000-0004-0000-0000-0000A3030000}"/>
    <hyperlink ref="A1355" r:id="rId893" xr:uid="{00000000-0004-0000-0000-0000A4030000}"/>
    <hyperlink ref="A2411" r:id="rId894" xr:uid="{00000000-0004-0000-0000-0000A5030000}"/>
    <hyperlink ref="A1618" r:id="rId895" xr:uid="{00000000-0004-0000-0000-0000A6030000}"/>
    <hyperlink ref="A394" r:id="rId896" xr:uid="{00000000-0004-0000-0000-0000A8030000}"/>
    <hyperlink ref="A1298" r:id="rId897" xr:uid="{00000000-0004-0000-0000-0000A9030000}"/>
    <hyperlink ref="A2518" r:id="rId898" xr:uid="{00000000-0004-0000-0000-0000AA030000}"/>
    <hyperlink ref="A3103" r:id="rId899" xr:uid="{00000000-0004-0000-0000-0000AB030000}"/>
    <hyperlink ref="A2513" r:id="rId900" xr:uid="{00000000-0004-0000-0000-0000AC030000}"/>
    <hyperlink ref="A2480" r:id="rId901" xr:uid="{00000000-0004-0000-0000-0000AD030000}"/>
    <hyperlink ref="A1594" r:id="rId902" xr:uid="{00000000-0004-0000-0000-0000AE030000}"/>
    <hyperlink ref="A2664" r:id="rId903" xr:uid="{00000000-0004-0000-0000-0000AF030000}"/>
    <hyperlink ref="A946" r:id="rId904" display="IC 4685" xr:uid="{00000000-0004-0000-0000-0000B0030000}"/>
    <hyperlink ref="A2617" r:id="rId905" display="NGC 6979" xr:uid="{00000000-0004-0000-0000-0000B1030000}"/>
    <hyperlink ref="A1408" r:id="rId906" xr:uid="{00000000-0004-0000-0000-0000B2030000}"/>
    <hyperlink ref="A3104" r:id="rId907" xr:uid="{00000000-0004-0000-0000-0000B3030000}"/>
    <hyperlink ref="A1114" r:id="rId908" xr:uid="{00000000-0004-0000-0000-0000B4030000}"/>
    <hyperlink ref="A1617" r:id="rId909" xr:uid="{00000000-0004-0000-0000-0000B5030000}"/>
    <hyperlink ref="A1420" r:id="rId910" xr:uid="{00000000-0004-0000-0000-0000B6030000}"/>
    <hyperlink ref="A2580" r:id="rId911" xr:uid="{00000000-0004-0000-0000-0000B7030000}"/>
    <hyperlink ref="A1422" r:id="rId912" xr:uid="{00000000-0004-0000-0000-0000B8030000}"/>
    <hyperlink ref="A1067" r:id="rId913" xr:uid="{00000000-0004-0000-0000-0000B9030000}"/>
    <hyperlink ref="A2572" r:id="rId914" xr:uid="{00000000-0004-0000-0000-0000BA030000}"/>
    <hyperlink ref="A1416" r:id="rId915" xr:uid="{00000000-0004-0000-0000-0000BB030000}"/>
    <hyperlink ref="A2773" r:id="rId916" xr:uid="{00000000-0004-0000-0000-0000BC030000}"/>
    <hyperlink ref="A2771" r:id="rId917" xr:uid="{00000000-0004-0000-0000-0000BD030000}"/>
    <hyperlink ref="A1432" r:id="rId918" xr:uid="{00000000-0004-0000-0000-0000BE030000}"/>
    <hyperlink ref="A2459" r:id="rId919" xr:uid="{00000000-0004-0000-0000-0000BF030000}"/>
    <hyperlink ref="A1357" r:id="rId920" xr:uid="{00000000-0004-0000-0000-0000C0030000}"/>
    <hyperlink ref="A1449" r:id="rId921" xr:uid="{00000000-0004-0000-0000-0000C1030000}"/>
    <hyperlink ref="A2433" r:id="rId922" xr:uid="{00000000-0004-0000-0000-0000C2030000}"/>
    <hyperlink ref="A2460" r:id="rId923" xr:uid="{00000000-0004-0000-0000-0000C3030000}"/>
    <hyperlink ref="A1645" r:id="rId924" xr:uid="{00000000-0004-0000-0000-0000C4030000}"/>
    <hyperlink ref="A2484" r:id="rId925" xr:uid="{00000000-0004-0000-0000-0000C5030000}"/>
    <hyperlink ref="A2745" r:id="rId926" xr:uid="{00000000-0004-0000-0000-0000C6030000}"/>
    <hyperlink ref="A2447" r:id="rId927" xr:uid="{00000000-0004-0000-0000-0000C7030000}"/>
    <hyperlink ref="A2455" r:id="rId928" xr:uid="{00000000-0004-0000-0000-0000C8030000}"/>
    <hyperlink ref="A439" r:id="rId929" xr:uid="{00000000-0004-0000-0000-0000C9030000}"/>
    <hyperlink ref="A2430" r:id="rId930" xr:uid="{00000000-0004-0000-0000-0000CA030000}"/>
    <hyperlink ref="A2575" r:id="rId931" xr:uid="{00000000-0004-0000-0000-0000CB030000}"/>
    <hyperlink ref="A977" r:id="rId932" display="IC 5070" xr:uid="{00000000-0004-0000-0000-0000CC030000}"/>
    <hyperlink ref="A1074" r:id="rId933" xr:uid="{00000000-0004-0000-0000-0000CD030000}"/>
    <hyperlink ref="A1111" r:id="rId934" xr:uid="{00000000-0004-0000-0000-0000CE030000}"/>
    <hyperlink ref="A3114" r:id="rId935" xr:uid="{00000000-0004-0000-0000-0000CF030000}"/>
    <hyperlink ref="A2398" r:id="rId936" xr:uid="{00000000-0004-0000-0000-0000D0030000}"/>
    <hyperlink ref="A1515" r:id="rId937" xr:uid="{00000000-0004-0000-0000-0000D1030000}"/>
    <hyperlink ref="A226" r:id="rId938" xr:uid="{00000000-0004-0000-0000-0000D2030000}"/>
    <hyperlink ref="A1575" r:id="rId939" xr:uid="{00000000-0004-0000-0000-0000D3030000}"/>
    <hyperlink ref="A1055" r:id="rId940" xr:uid="{00000000-0004-0000-0000-0000D4030000}"/>
    <hyperlink ref="A464" r:id="rId941" xr:uid="{00000000-0004-0000-0000-0000D5030000}"/>
    <hyperlink ref="A1360" r:id="rId942" xr:uid="{00000000-0004-0000-0000-0000D6030000}"/>
    <hyperlink ref="A2788" r:id="rId943" xr:uid="{00000000-0004-0000-0000-0000D7030000}"/>
    <hyperlink ref="A2729" r:id="rId944" xr:uid="{00000000-0004-0000-0000-0000D8030000}"/>
    <hyperlink ref="A98" r:id="rId945" display="AbellGC 0347" xr:uid="{00000000-0004-0000-0000-0000D9030000}"/>
    <hyperlink ref="A271" r:id="rId946" xr:uid="{00000000-0004-0000-0000-0000DA030000}"/>
    <hyperlink ref="A1474" r:id="rId947" xr:uid="{00000000-0004-0000-0000-0000DB030000}"/>
    <hyperlink ref="A1527" r:id="rId948" xr:uid="{00000000-0004-0000-0000-0000DC030000}"/>
    <hyperlink ref="A1183" r:id="rId949" xr:uid="{00000000-0004-0000-0000-0000DD030000}"/>
    <hyperlink ref="A1129" r:id="rId950" xr:uid="{00000000-0004-0000-0000-0000DE030000}"/>
    <hyperlink ref="A1752" r:id="rId951" xr:uid="{00000000-0004-0000-0000-0000DF030000}"/>
    <hyperlink ref="A1075" r:id="rId952" xr:uid="{00000000-0004-0000-0000-0000E0030000}"/>
    <hyperlink ref="A2730" r:id="rId953" xr:uid="{00000000-0004-0000-0000-0000E1030000}"/>
    <hyperlink ref="A972" r:id="rId954" xr:uid="{00000000-0004-0000-0000-0000E2030000}"/>
    <hyperlink ref="A1397" r:id="rId955" xr:uid="{00000000-0004-0000-0000-0000E3030000}"/>
    <hyperlink ref="A1127" r:id="rId956" xr:uid="{00000000-0004-0000-0000-0000E4030000}"/>
    <hyperlink ref="A2912" r:id="rId957" xr:uid="{00000000-0004-0000-0000-0000E5030000}"/>
    <hyperlink ref="A451" r:id="rId958" xr:uid="{00000000-0004-0000-0000-0000E6030000}"/>
    <hyperlink ref="A1326" r:id="rId959" xr:uid="{00000000-0004-0000-0000-0000E7030000}"/>
    <hyperlink ref="A1852" r:id="rId960" xr:uid="{00000000-0004-0000-0000-0000E8030000}"/>
    <hyperlink ref="A1552" r:id="rId961" xr:uid="{00000000-0004-0000-0000-0000E9030000}"/>
    <hyperlink ref="A265" r:id="rId962" xr:uid="{00000000-0004-0000-0000-0000EA030000}"/>
    <hyperlink ref="A2593" r:id="rId963" display="PGC 03589" xr:uid="{00000000-0004-0000-0000-0000EB030000}"/>
    <hyperlink ref="A275" r:id="rId964" xr:uid="{00000000-0004-0000-0000-0000EC030000}"/>
    <hyperlink ref="A3131" r:id="rId965" xr:uid="{00000000-0004-0000-0000-0000ED030000}"/>
    <hyperlink ref="A1529" r:id="rId966" xr:uid="{00000000-0004-0000-0000-0000EE030000}"/>
    <hyperlink ref="A373" r:id="rId967" xr:uid="{00000000-0004-0000-0000-0000EF030000}"/>
    <hyperlink ref="A998" r:id="rId968" xr:uid="{00000000-0004-0000-0000-0000F0030000}"/>
    <hyperlink ref="A153" r:id="rId969" xr:uid="{00000000-0004-0000-0000-0000F1030000}"/>
    <hyperlink ref="A272" r:id="rId970" xr:uid="{00000000-0004-0000-0000-0000F2030000}"/>
    <hyperlink ref="A1546" r:id="rId971" xr:uid="{00000000-0004-0000-0000-0000F3030000}"/>
    <hyperlink ref="A280" r:id="rId972" xr:uid="{00000000-0004-0000-0000-0000F4030000}"/>
    <hyperlink ref="A1649" r:id="rId973" xr:uid="{00000000-0004-0000-0000-0000F5030000}"/>
    <hyperlink ref="A1180" r:id="rId974" xr:uid="{00000000-0004-0000-0000-0000F6030000}"/>
    <hyperlink ref="A222" r:id="rId975" xr:uid="{00000000-0004-0000-0000-0000F7030000}"/>
    <hyperlink ref="A321" r:id="rId976" xr:uid="{00000000-0004-0000-0000-0000F8030000}"/>
    <hyperlink ref="A1079" r:id="rId977" xr:uid="{00000000-0004-0000-0000-0000F9030000}"/>
    <hyperlink ref="A2481" r:id="rId978" xr:uid="{00000000-0004-0000-0000-0000FA030000}"/>
    <hyperlink ref="A1082" r:id="rId979" xr:uid="{00000000-0004-0000-0000-0000FB030000}"/>
    <hyperlink ref="A2502" r:id="rId980" display="NGC 7227" xr:uid="{00000000-0004-0000-0000-0000FC030000}"/>
    <hyperlink ref="A2559" r:id="rId981" xr:uid="{00000000-0004-0000-0000-0000FD030000}"/>
    <hyperlink ref="A2491" r:id="rId982" xr:uid="{00000000-0004-0000-0000-0000FE030000}"/>
    <hyperlink ref="A2021" r:id="rId983" xr:uid="{00000000-0004-0000-0000-0000FF030000}"/>
    <hyperlink ref="A1125" r:id="rId984" xr:uid="{00000000-0004-0000-0000-000000040000}"/>
    <hyperlink ref="A1483" r:id="rId985" xr:uid="{00000000-0004-0000-0000-000001040000}"/>
    <hyperlink ref="A1549" r:id="rId986" xr:uid="{00000000-0004-0000-0000-000002040000}"/>
    <hyperlink ref="A1174" r:id="rId987" xr:uid="{00000000-0004-0000-0000-000003040000}"/>
    <hyperlink ref="A350" r:id="rId988" xr:uid="{00000000-0004-0000-0000-000004040000}"/>
    <hyperlink ref="A2386" r:id="rId989" xr:uid="{00000000-0004-0000-0000-000005040000}"/>
    <hyperlink ref="A1639" r:id="rId990" xr:uid="{00000000-0004-0000-0000-000006040000}"/>
    <hyperlink ref="A1336" r:id="rId991" xr:uid="{00000000-0004-0000-0000-000007040000}"/>
    <hyperlink ref="A1089" r:id="rId992" xr:uid="{00000000-0004-0000-0000-000008040000}"/>
    <hyperlink ref="A404" r:id="rId993" xr:uid="{00000000-0004-0000-0000-000009040000}"/>
    <hyperlink ref="A1814" r:id="rId994" xr:uid="{00000000-0004-0000-0000-00000A040000}"/>
    <hyperlink ref="A1131" r:id="rId995" xr:uid="{00000000-0004-0000-0000-00000B040000}"/>
    <hyperlink ref="A2535" r:id="rId996" xr:uid="{00000000-0004-0000-0000-00000C040000}"/>
    <hyperlink ref="A1650" r:id="rId997" xr:uid="{00000000-0004-0000-0000-00000D040000}"/>
    <hyperlink ref="A613" r:id="rId998" xr:uid="{00000000-0004-0000-0000-00000E040000}"/>
    <hyperlink ref="A1537" r:id="rId999" xr:uid="{00000000-0004-0000-0000-00000F040000}"/>
    <hyperlink ref="A2579" r:id="rId1000" xr:uid="{00000000-0004-0000-0000-000010040000}"/>
    <hyperlink ref="A2757" r:id="rId1001" xr:uid="{00000000-0004-0000-0000-000011040000}"/>
    <hyperlink ref="A2525" r:id="rId1002" xr:uid="{00000000-0004-0000-0000-000012040000}"/>
    <hyperlink ref="A207" r:id="rId1003" xr:uid="{00000000-0004-0000-0000-000013040000}"/>
    <hyperlink ref="A1553" r:id="rId1004" xr:uid="{00000000-0004-0000-0000-000014040000}"/>
    <hyperlink ref="A2920" r:id="rId1005" xr:uid="{00000000-0004-0000-0000-000015040000}"/>
    <hyperlink ref="A1711" r:id="rId1006" xr:uid="{00000000-0004-0000-0000-000016040000}"/>
    <hyperlink ref="A1795" r:id="rId1007" xr:uid="{00000000-0004-0000-0000-000017040000}"/>
    <hyperlink ref="A2552" r:id="rId1008" xr:uid="{00000000-0004-0000-0000-000018040000}"/>
    <hyperlink ref="A2468" r:id="rId1009" xr:uid="{00000000-0004-0000-0000-000019040000}"/>
    <hyperlink ref="A2774" r:id="rId1010" xr:uid="{00000000-0004-0000-0000-00001A040000}"/>
    <hyperlink ref="A2519" r:id="rId1011" xr:uid="{00000000-0004-0000-0000-00001B040000}"/>
    <hyperlink ref="A301" r:id="rId1012" xr:uid="{00000000-0004-0000-0000-00001C040000}"/>
    <hyperlink ref="A2492" r:id="rId1013" xr:uid="{00000000-0004-0000-0000-00001D040000}"/>
    <hyperlink ref="A1637" r:id="rId1014" xr:uid="{00000000-0004-0000-0000-00001E040000}"/>
    <hyperlink ref="A2450" r:id="rId1015" xr:uid="{00000000-0004-0000-0000-00001F040000}"/>
    <hyperlink ref="A1640" r:id="rId1016" xr:uid="{00000000-0004-0000-0000-000020040000}"/>
    <hyperlink ref="A2442" r:id="rId1017" xr:uid="{00000000-0004-0000-0000-000021040000}"/>
    <hyperlink ref="A455" r:id="rId1018" xr:uid="{00000000-0004-0000-0000-000022040000}"/>
    <hyperlink ref="A191" r:id="rId1019" xr:uid="{00000000-0004-0000-0000-000023040000}"/>
    <hyperlink ref="A1453" r:id="rId1020" xr:uid="{00000000-0004-0000-0000-000024040000}"/>
    <hyperlink ref="A402" r:id="rId1021" xr:uid="{00000000-0004-0000-0000-000025040000}"/>
    <hyperlink ref="A2560" r:id="rId1022" xr:uid="{00000000-0004-0000-0000-000026040000}"/>
    <hyperlink ref="A1057" r:id="rId1023" xr:uid="{00000000-0004-0000-0000-000027040000}"/>
    <hyperlink ref="A1423" r:id="rId1024" xr:uid="{00000000-0004-0000-0000-000028040000}"/>
    <hyperlink ref="A1077" r:id="rId1025" xr:uid="{00000000-0004-0000-0000-000029040000}"/>
    <hyperlink ref="A397" r:id="rId1026" xr:uid="{00000000-0004-0000-0000-00002A040000}"/>
    <hyperlink ref="A2526" r:id="rId1027" display="NGC 7385" xr:uid="{00000000-0004-0000-0000-00002B040000}"/>
    <hyperlink ref="A1773" r:id="rId1028" xr:uid="{00000000-0004-0000-0000-00002C040000}"/>
    <hyperlink ref="A2528" r:id="rId1029" xr:uid="{00000000-0004-0000-0000-00002D040000}"/>
    <hyperlink ref="A403" r:id="rId1030" xr:uid="{00000000-0004-0000-0000-00002F040000}"/>
    <hyperlink ref="A2616" r:id="rId1031" xr:uid="{00000000-0004-0000-0000-000030040000}"/>
    <hyperlink ref="A374" r:id="rId1032" xr:uid="{00000000-0004-0000-0000-000031040000}"/>
    <hyperlink ref="A405" r:id="rId1033" xr:uid="{00000000-0004-0000-0000-000032040000}"/>
    <hyperlink ref="A240" r:id="rId1034" xr:uid="{00000000-0004-0000-0000-000033040000}"/>
    <hyperlink ref="A431" r:id="rId1035" xr:uid="{00000000-0004-0000-0000-000034040000}"/>
    <hyperlink ref="A1583" r:id="rId1036" xr:uid="{00000000-0004-0000-0000-000035040000}"/>
    <hyperlink ref="A293" r:id="rId1037" xr:uid="{00000000-0004-0000-0000-000036040000}"/>
    <hyperlink ref="A201" r:id="rId1038" xr:uid="{00000000-0004-0000-0000-000037040000}"/>
    <hyperlink ref="A248" r:id="rId1039" xr:uid="{00000000-0004-0000-0000-000038040000}"/>
    <hyperlink ref="A393" r:id="rId1040" xr:uid="{00000000-0004-0000-0000-000039040000}"/>
    <hyperlink ref="A243" r:id="rId1041" xr:uid="{00000000-0004-0000-0000-00003A040000}"/>
    <hyperlink ref="A1363" r:id="rId1042" xr:uid="{00000000-0004-0000-0000-00003B040000}"/>
    <hyperlink ref="A96" r:id="rId1043" xr:uid="{00000000-0004-0000-0000-00003C040000}"/>
    <hyperlink ref="A259" r:id="rId1044" xr:uid="{00000000-0004-0000-0000-00003D040000}"/>
    <hyperlink ref="A428" r:id="rId1045" xr:uid="{00000000-0004-0000-0000-00003E040000}"/>
    <hyperlink ref="A295" r:id="rId1046" xr:uid="{00000000-0004-0000-0000-00003F040000}"/>
    <hyperlink ref="A1313" r:id="rId1047" xr:uid="{00000000-0004-0000-0000-000040040000}"/>
    <hyperlink ref="A442" r:id="rId1048" xr:uid="{00000000-0004-0000-0000-000041040000}"/>
    <hyperlink ref="A419" r:id="rId1049" xr:uid="{00000000-0004-0000-0000-000043040000}"/>
    <hyperlink ref="A1663" r:id="rId1050" xr:uid="{00000000-0004-0000-0000-000044040000}"/>
    <hyperlink ref="A831" r:id="rId1051" display="Chesire Cat" xr:uid="{00000000-0004-0000-0000-000045040000}"/>
    <hyperlink ref="A380" r:id="rId1052" xr:uid="{00000000-0004-0000-0000-000046040000}"/>
    <hyperlink ref="A648" r:id="rId1053" xr:uid="{00000000-0004-0000-0000-000047040000}"/>
    <hyperlink ref="A2921" r:id="rId1054" xr:uid="{00000000-0004-0000-0000-000048040000}"/>
    <hyperlink ref="A1857" r:id="rId1055" xr:uid="{00000000-0004-0000-0000-000049040000}"/>
    <hyperlink ref="A305" r:id="rId1056" xr:uid="{00000000-0004-0000-0000-00004A040000}"/>
    <hyperlink ref="A1657" r:id="rId1057" xr:uid="{00000000-0004-0000-0000-00004B040000}"/>
    <hyperlink ref="A453" r:id="rId1058" xr:uid="{00000000-0004-0000-0000-00004C040000}"/>
    <hyperlink ref="A1547" r:id="rId1059" xr:uid="{00000000-0004-0000-0000-00004E040000}"/>
    <hyperlink ref="A1138" r:id="rId1060" xr:uid="{00000000-0004-0000-0000-000050040000}"/>
    <hyperlink ref="A315" r:id="rId1061" xr:uid="{00000000-0004-0000-0000-000051040000}"/>
    <hyperlink ref="A1802" r:id="rId1062" xr:uid="{00000000-0004-0000-0000-000052040000}"/>
    <hyperlink ref="A1234" r:id="rId1063" xr:uid="{00000000-0004-0000-0000-000053040000}"/>
    <hyperlink ref="A269" r:id="rId1064" xr:uid="{00000000-0004-0000-0000-000054040000}"/>
    <hyperlink ref="A181" r:id="rId1065" xr:uid="{00000000-0004-0000-0000-000055040000}"/>
    <hyperlink ref="A2772" r:id="rId1066" xr:uid="{00000000-0004-0000-0000-000056040000}"/>
    <hyperlink ref="A151" r:id="rId1067" xr:uid="{00000000-0004-0000-0000-000057040000}"/>
    <hyperlink ref="A1123" r:id="rId1068" xr:uid="{00000000-0004-0000-0000-000058040000}"/>
    <hyperlink ref="A176" r:id="rId1069" xr:uid="{00000000-0004-0000-0000-000059040000}"/>
    <hyperlink ref="A2892" r:id="rId1070" xr:uid="{00000000-0004-0000-0000-00005A040000}"/>
    <hyperlink ref="A349" r:id="rId1071" xr:uid="{00000000-0004-0000-0000-00005B040000}"/>
    <hyperlink ref="A340" r:id="rId1072" xr:uid="{00000000-0004-0000-0000-00005C040000}"/>
    <hyperlink ref="A1807" r:id="rId1073" xr:uid="{00000000-0004-0000-0000-00005D040000}"/>
    <hyperlink ref="A643" r:id="rId1074" xr:uid="{00000000-0004-0000-0000-00005E040000}"/>
    <hyperlink ref="A154" r:id="rId1075" xr:uid="{00000000-0004-0000-0000-00005F040000}"/>
    <hyperlink ref="A1597" r:id="rId1076" xr:uid="{00000000-0004-0000-0000-000060040000}"/>
    <hyperlink ref="A1762" r:id="rId1077" xr:uid="{00000000-0004-0000-0000-000061040000}"/>
    <hyperlink ref="A244" r:id="rId1078" xr:uid="{00000000-0004-0000-0000-000062040000}"/>
    <hyperlink ref="A168" r:id="rId1079" xr:uid="{00000000-0004-0000-0000-000063040000}"/>
    <hyperlink ref="A304" r:id="rId1080" xr:uid="{00000000-0004-0000-0000-000064040000}"/>
    <hyperlink ref="A2750" r:id="rId1081" xr:uid="{00000000-0004-0000-0000-000065040000}"/>
    <hyperlink ref="A360" r:id="rId1082" xr:uid="{00000000-0004-0000-0000-000066040000}"/>
    <hyperlink ref="A1235" r:id="rId1083" xr:uid="{00000000-0004-0000-0000-000067040000}"/>
    <hyperlink ref="A289" r:id="rId1084" xr:uid="{00000000-0004-0000-0000-000068040000}"/>
    <hyperlink ref="A424" r:id="rId1085" xr:uid="{00000000-0004-0000-0000-000069040000}"/>
    <hyperlink ref="A900" r:id="rId1086" xr:uid="{00000000-0004-0000-0000-00006A040000}"/>
    <hyperlink ref="A899" r:id="rId1087" xr:uid="{00000000-0004-0000-0000-00006B040000}"/>
    <hyperlink ref="A3126" r:id="rId1088" xr:uid="{00000000-0004-0000-0000-00006C040000}"/>
    <hyperlink ref="A407" r:id="rId1089" xr:uid="{00000000-0004-0000-0000-00006D040000}"/>
    <hyperlink ref="A1556" r:id="rId1090" xr:uid="{00000000-0004-0000-0000-00006E040000}"/>
    <hyperlink ref="A2761" r:id="rId1091" xr:uid="{00000000-0004-0000-0000-00006F040000}"/>
    <hyperlink ref="A3116" r:id="rId1092" xr:uid="{00000000-0004-0000-0000-000070040000}"/>
    <hyperlink ref="A170" r:id="rId1093" xr:uid="{00000000-0004-0000-0000-000071040000}"/>
    <hyperlink ref="A1805" r:id="rId1094" xr:uid="{00000000-0004-0000-0000-000072040000}"/>
    <hyperlink ref="A323" r:id="rId1095" xr:uid="{00000000-0004-0000-0000-000073040000}"/>
    <hyperlink ref="A311" r:id="rId1096" xr:uid="{00000000-0004-0000-0000-000074040000}"/>
    <hyperlink ref="A1139" r:id="rId1097" xr:uid="{00000000-0004-0000-0000-000075040000}"/>
    <hyperlink ref="A378" r:id="rId1098" xr:uid="{00000000-0004-0000-0000-000076040000}"/>
    <hyperlink ref="A1679" r:id="rId1099" xr:uid="{00000000-0004-0000-0000-000077040000}"/>
    <hyperlink ref="A314" r:id="rId1100" xr:uid="{00000000-0004-0000-0000-000078040000}"/>
    <hyperlink ref="A3034" r:id="rId1101" xr:uid="{00000000-0004-0000-0000-000079040000}"/>
    <hyperlink ref="A462" r:id="rId1102" xr:uid="{00000000-0004-0000-0000-00007A040000}"/>
    <hyperlink ref="A1083" r:id="rId1103" xr:uid="{00000000-0004-0000-0000-00007B040000}"/>
    <hyperlink ref="A308" r:id="rId1104" xr:uid="{00000000-0004-0000-0000-00007C040000}"/>
    <hyperlink ref="A1035" r:id="rId1105" xr:uid="{00000000-0004-0000-0000-00007D040000}"/>
    <hyperlink ref="A227" r:id="rId1106" xr:uid="{00000000-0004-0000-0000-00007E040000}"/>
    <hyperlink ref="A179" r:id="rId1107" xr:uid="{00000000-0004-0000-0000-00007F040000}"/>
    <hyperlink ref="A1087" r:id="rId1108" xr:uid="{00000000-0004-0000-0000-000080040000}"/>
    <hyperlink ref="A197" r:id="rId1109" xr:uid="{00000000-0004-0000-0000-000081040000}"/>
    <hyperlink ref="A1813" r:id="rId1110" xr:uid="{00000000-0004-0000-0000-000082040000}"/>
    <hyperlink ref="A292" r:id="rId1111" xr:uid="{00000000-0004-0000-0000-000083040000}"/>
    <hyperlink ref="A187" r:id="rId1112" xr:uid="{00000000-0004-0000-0000-000084040000}"/>
    <hyperlink ref="A1627" r:id="rId1113" xr:uid="{00000000-0004-0000-0000-000085040000}"/>
    <hyperlink ref="A1734" r:id="rId1114" xr:uid="{00000000-0004-0000-0000-000086040000}"/>
    <hyperlink ref="A1686" r:id="rId1115" xr:uid="{00000000-0004-0000-0000-000087040000}"/>
    <hyperlink ref="A1085" r:id="rId1116" xr:uid="{00000000-0004-0000-0000-000088040000}"/>
    <hyperlink ref="A457" r:id="rId1117" xr:uid="{00000000-0004-0000-0000-000089040000}"/>
    <hyperlink ref="A255" r:id="rId1118" xr:uid="{00000000-0004-0000-0000-00008A040000}"/>
    <hyperlink ref="A193" r:id="rId1119" xr:uid="{00000000-0004-0000-0000-00008B040000}"/>
    <hyperlink ref="A412" r:id="rId1120" xr:uid="{00000000-0004-0000-0000-00008C040000}"/>
    <hyperlink ref="A2164" r:id="rId1121" xr:uid="{00000000-0004-0000-0000-00008D040000}"/>
    <hyperlink ref="A140" r:id="rId1122" xr:uid="{00000000-0004-0000-0000-00008E040000}"/>
    <hyperlink ref="A369" r:id="rId1123" xr:uid="{00000000-0004-0000-0000-00008F040000}"/>
    <hyperlink ref="A1424" r:id="rId1124" xr:uid="{00000000-0004-0000-0000-000090040000}"/>
    <hyperlink ref="A217" r:id="rId1125" xr:uid="{00000000-0004-0000-0000-000091040000}"/>
    <hyperlink ref="A2173" r:id="rId1126" xr:uid="{00000000-0004-0000-0000-000092040000}"/>
    <hyperlink ref="A481" r:id="rId1127" xr:uid="{00000000-0004-0000-0000-000093040000}"/>
    <hyperlink ref="A1084" r:id="rId1128" xr:uid="{00000000-0004-0000-0000-000094040000}"/>
    <hyperlink ref="A1104" r:id="rId1129" display="IC 1168" xr:uid="{00000000-0004-0000-0000-000095040000}"/>
    <hyperlink ref="A276" r:id="rId1130" xr:uid="{00000000-0004-0000-0000-000096040000}"/>
    <hyperlink ref="A158" r:id="rId1131" xr:uid="{00000000-0004-0000-0000-000097040000}"/>
    <hyperlink ref="A385" r:id="rId1132" xr:uid="{00000000-0004-0000-0000-000098040000}"/>
    <hyperlink ref="A105" r:id="rId1133" display="AbellGC 0779" xr:uid="{00000000-0004-0000-0000-000099040000}"/>
    <hyperlink ref="A396" r:id="rId1134" xr:uid="{00000000-0004-0000-0000-00009A040000}"/>
    <hyperlink ref="A2817" r:id="rId1135" xr:uid="{00000000-0004-0000-0000-00009B040000}"/>
    <hyperlink ref="A354" r:id="rId1136" xr:uid="{00000000-0004-0000-0000-00009C040000}"/>
    <hyperlink ref="A106" r:id="rId1137" display="AbellGC 1060" xr:uid="{00000000-0004-0000-0000-00009D040000}"/>
    <hyperlink ref="A368" r:id="rId1138" xr:uid="{00000000-0004-0000-0000-00009E040000}"/>
    <hyperlink ref="A1842" r:id="rId1139" xr:uid="{00000000-0004-0000-0000-00009F040000}"/>
    <hyperlink ref="A353" r:id="rId1140" xr:uid="{00000000-0004-0000-0000-0000A0040000}"/>
    <hyperlink ref="A262" r:id="rId1141" xr:uid="{00000000-0004-0000-0000-0000A1040000}"/>
    <hyperlink ref="A2837" r:id="rId1142" xr:uid="{00000000-0004-0000-0000-0000A2040000}"/>
    <hyperlink ref="A173" r:id="rId1143" xr:uid="{00000000-0004-0000-0000-0000A3040000}"/>
    <hyperlink ref="A182" r:id="rId1144" xr:uid="{00000000-0004-0000-0000-0000A4040000}"/>
    <hyperlink ref="A142" r:id="rId1145" xr:uid="{00000000-0004-0000-0000-0000A5040000}"/>
    <hyperlink ref="A2597" r:id="rId1146" display="PGC 17588" xr:uid="{00000000-0004-0000-0000-0000A6040000}"/>
    <hyperlink ref="A2856" r:id="rId1147" xr:uid="{00000000-0004-0000-0000-0000A7040000}"/>
    <hyperlink ref="A355" r:id="rId1148" xr:uid="{00000000-0004-0000-0000-0000A8040000}"/>
    <hyperlink ref="A371" r:id="rId1149" xr:uid="{00000000-0004-0000-0000-0000A9040000}"/>
    <hyperlink ref="A2098" r:id="rId1150" xr:uid="{00000000-0004-0000-0000-0000AA040000}"/>
    <hyperlink ref="A183" r:id="rId1151" xr:uid="{00000000-0004-0000-0000-0000AB040000}"/>
    <hyperlink ref="A1094" r:id="rId1152" xr:uid="{00000000-0004-0000-0000-0000AC040000}"/>
    <hyperlink ref="A278" r:id="rId1153" xr:uid="{00000000-0004-0000-0000-0000AD040000}"/>
    <hyperlink ref="A2091" r:id="rId1154" display="NGC 4654" xr:uid="{00000000-0004-0000-0000-0000AE040000}"/>
    <hyperlink ref="A447" r:id="rId1155" xr:uid="{00000000-0004-0000-0000-0000AF040000}"/>
    <hyperlink ref="A1877" r:id="rId1156" xr:uid="{00000000-0004-0000-0000-0000B0040000}"/>
    <hyperlink ref="A358" r:id="rId1157" xr:uid="{00000000-0004-0000-0000-0000B1040000}"/>
    <hyperlink ref="A1143" r:id="rId1158" xr:uid="{00000000-0004-0000-0000-0000B2040000}"/>
    <hyperlink ref="A423" r:id="rId1159" xr:uid="{00000000-0004-0000-0000-0000B3040000}"/>
    <hyperlink ref="A1766" r:id="rId1160" xr:uid="{00000000-0004-0000-0000-0000B4040000}"/>
    <hyperlink ref="A1729" r:id="rId1161" xr:uid="{00000000-0004-0000-0000-0000B5040000}"/>
    <hyperlink ref="A376" r:id="rId1162" xr:uid="{00000000-0004-0000-0000-0000B6040000}"/>
    <hyperlink ref="A342" r:id="rId1163" xr:uid="{00000000-0004-0000-0000-0000B7040000}"/>
    <hyperlink ref="A420" r:id="rId1164" xr:uid="{00000000-0004-0000-0000-0000B8040000}"/>
    <hyperlink ref="A1887" r:id="rId1165" xr:uid="{00000000-0004-0000-0000-0000B9040000}"/>
    <hyperlink ref="A435" r:id="rId1166" xr:uid="{00000000-0004-0000-0000-0000BA040000}"/>
    <hyperlink ref="A425" r:id="rId1167" xr:uid="{00000000-0004-0000-0000-0000BB040000}"/>
    <hyperlink ref="A2835" r:id="rId1168" xr:uid="{00000000-0004-0000-0000-0000BC040000}"/>
    <hyperlink ref="A282" r:id="rId1169" xr:uid="{00000000-0004-0000-0000-0000BD040000}"/>
    <hyperlink ref="A171" r:id="rId1170" xr:uid="{00000000-0004-0000-0000-0000BE040000}"/>
    <hyperlink ref="A302" r:id="rId1171" xr:uid="{00000000-0004-0000-0000-0000BF040000}"/>
    <hyperlink ref="A1779" r:id="rId1172" xr:uid="{00000000-0004-0000-0000-0000C0040000}"/>
    <hyperlink ref="A172" r:id="rId1173" xr:uid="{00000000-0004-0000-0000-0000C1040000}"/>
    <hyperlink ref="A155" r:id="rId1174" xr:uid="{00000000-0004-0000-0000-0000C2040000}"/>
    <hyperlink ref="A433" r:id="rId1175" xr:uid="{00000000-0004-0000-0000-0000C3040000}"/>
    <hyperlink ref="A263" r:id="rId1176" xr:uid="{00000000-0004-0000-0000-0000C4040000}"/>
    <hyperlink ref="A2872" r:id="rId1177" xr:uid="{00000000-0004-0000-0000-0000C5040000}"/>
    <hyperlink ref="A326" r:id="rId1178" xr:uid="{00000000-0004-0000-0000-0000C6040000}"/>
    <hyperlink ref="A160" r:id="rId1179" xr:uid="{00000000-0004-0000-0000-0000C7040000}"/>
    <hyperlink ref="A174" r:id="rId1180" xr:uid="{00000000-0004-0000-0000-0000C8040000}"/>
    <hyperlink ref="A283" r:id="rId1181" xr:uid="{00000000-0004-0000-0000-0000C9040000}"/>
    <hyperlink ref="A411" r:id="rId1182" xr:uid="{00000000-0004-0000-0000-0000CA040000}"/>
    <hyperlink ref="A387" r:id="rId1183" xr:uid="{00000000-0004-0000-0000-0000CB040000}"/>
    <hyperlink ref="A388" r:id="rId1184" xr:uid="{00000000-0004-0000-0000-0000CC040000}"/>
    <hyperlink ref="A313" r:id="rId1185" xr:uid="{00000000-0004-0000-0000-0000CD040000}"/>
    <hyperlink ref="A2110" r:id="rId1186" xr:uid="{00000000-0004-0000-0000-0000CE040000}"/>
    <hyperlink ref="A409" r:id="rId1187" xr:uid="{00000000-0004-0000-0000-0000CF040000}"/>
    <hyperlink ref="A258" r:id="rId1188" xr:uid="{00000000-0004-0000-0000-0000D0040000}"/>
    <hyperlink ref="A401" r:id="rId1189" xr:uid="{00000000-0004-0000-0000-0000D1040000}"/>
    <hyperlink ref="A1395" r:id="rId1190" display="MCG+00-29-017" xr:uid="{00000000-0004-0000-0000-0000D2040000}"/>
    <hyperlink ref="A284" r:id="rId1191" xr:uid="{00000000-0004-0000-0000-0000D3040000}"/>
    <hyperlink ref="A454" r:id="rId1192" xr:uid="{00000000-0004-0000-0000-0000D4040000}"/>
    <hyperlink ref="A137" r:id="rId1193" xr:uid="{00000000-0004-0000-0000-0000D5040000}"/>
    <hyperlink ref="A297" r:id="rId1194" xr:uid="{00000000-0004-0000-0000-0000D6040000}"/>
    <hyperlink ref="A317" r:id="rId1195" xr:uid="{00000000-0004-0000-0000-0000D7040000}"/>
    <hyperlink ref="A190" r:id="rId1196" xr:uid="{00000000-0004-0000-0000-0000D8040000}"/>
    <hyperlink ref="A398" r:id="rId1197" xr:uid="{00000000-0004-0000-0000-0000D9040000}"/>
    <hyperlink ref="A359" r:id="rId1198" xr:uid="{00000000-0004-0000-0000-0000DA040000}"/>
    <hyperlink ref="A210" r:id="rId1199" xr:uid="{00000000-0004-0000-0000-0000DB040000}"/>
    <hyperlink ref="A332" r:id="rId1200" xr:uid="{00000000-0004-0000-0000-0000DC040000}"/>
    <hyperlink ref="A319" r:id="rId1201" xr:uid="{00000000-0004-0000-0000-0000DD040000}"/>
    <hyperlink ref="A192" r:id="rId1202" xr:uid="{00000000-0004-0000-0000-0000DE040000}"/>
    <hyperlink ref="A223" r:id="rId1203" xr:uid="{00000000-0004-0000-0000-0000DF040000}"/>
    <hyperlink ref="A285" r:id="rId1204" xr:uid="{00000000-0004-0000-0000-0000E0040000}"/>
    <hyperlink ref="A237" r:id="rId1205" xr:uid="{00000000-0004-0000-0000-0000E1040000}"/>
    <hyperlink ref="A2154" r:id="rId1206" xr:uid="{00000000-0004-0000-0000-0000E2040000}"/>
    <hyperlink ref="A408" r:id="rId1207" xr:uid="{00000000-0004-0000-0000-0000E3040000}"/>
    <hyperlink ref="A386" r:id="rId1208" xr:uid="{00000000-0004-0000-0000-0000E4040000}"/>
    <hyperlink ref="A232" r:id="rId1209" xr:uid="{00000000-0004-0000-0000-0000E5040000}"/>
    <hyperlink ref="A421" r:id="rId1210" xr:uid="{00000000-0004-0000-0000-0000E6040000}"/>
    <hyperlink ref="A274" r:id="rId1211" xr:uid="{00000000-0004-0000-0000-0000E7040000}"/>
    <hyperlink ref="A250" r:id="rId1212" xr:uid="{00000000-0004-0000-0000-0000E8040000}"/>
    <hyperlink ref="A318" r:id="rId1213" xr:uid="{00000000-0004-0000-0000-0000E9040000}"/>
    <hyperlink ref="A312" r:id="rId1214" xr:uid="{00000000-0004-0000-0000-0000EA040000}"/>
    <hyperlink ref="A228" r:id="rId1215" xr:uid="{00000000-0004-0000-0000-0000EB040000}"/>
    <hyperlink ref="A164" r:id="rId1216" xr:uid="{00000000-0004-0000-0000-0000EC040000}"/>
    <hyperlink ref="A199" r:id="rId1217" xr:uid="{00000000-0004-0000-0000-0000ED040000}"/>
    <hyperlink ref="A381" r:id="rId1218" xr:uid="{00000000-0004-0000-0000-0000EE040000}"/>
    <hyperlink ref="A341" r:id="rId1219" xr:uid="{00000000-0004-0000-0000-0000EF040000}"/>
    <hyperlink ref="A324" r:id="rId1220" xr:uid="{00000000-0004-0000-0000-0000F0040000}"/>
    <hyperlink ref="A264" r:id="rId1221" xr:uid="{00000000-0004-0000-0000-0000F1040000}"/>
    <hyperlink ref="A194" r:id="rId1222" xr:uid="{00000000-0004-0000-0000-0000F2040000}"/>
    <hyperlink ref="A395" r:id="rId1223" xr:uid="{00000000-0004-0000-0000-0000F3040000}"/>
    <hyperlink ref="A432" r:id="rId1224" xr:uid="{00000000-0004-0000-0000-0000F4040000}"/>
    <hyperlink ref="A330" r:id="rId1225" xr:uid="{00000000-0004-0000-0000-0000F5040000}"/>
    <hyperlink ref="A422" r:id="rId1226" xr:uid="{00000000-0004-0000-0000-0000F6040000}"/>
    <hyperlink ref="A261" r:id="rId1227" xr:uid="{00000000-0004-0000-0000-0000F7040000}"/>
    <hyperlink ref="A196" r:id="rId1228" xr:uid="{00000000-0004-0000-0000-0000F8040000}"/>
    <hyperlink ref="A241" r:id="rId1229" xr:uid="{00000000-0004-0000-0000-0000F9040000}"/>
    <hyperlink ref="A339" r:id="rId1230" xr:uid="{00000000-0004-0000-0000-0000FA040000}"/>
    <hyperlink ref="A444" r:id="rId1231" xr:uid="{00000000-0004-0000-0000-0000FB040000}"/>
    <hyperlink ref="A203" r:id="rId1232" xr:uid="{00000000-0004-0000-0000-0000FC040000}"/>
    <hyperlink ref="A294" r:id="rId1233" xr:uid="{00000000-0004-0000-0000-0000FD040000}"/>
    <hyperlink ref="A329" r:id="rId1234" xr:uid="{00000000-0004-0000-0000-0000FE040000}"/>
    <hyperlink ref="A1844" r:id="rId1235" xr:uid="{00000000-0004-0000-0000-0000FF040000}"/>
    <hyperlink ref="A446" r:id="rId1236" xr:uid="{00000000-0004-0000-0000-000000050000}"/>
    <hyperlink ref="A165" r:id="rId1237" xr:uid="{00000000-0004-0000-0000-000001050000}"/>
    <hyperlink ref="A382" r:id="rId1238" xr:uid="{00000000-0004-0000-0000-000002050000}"/>
    <hyperlink ref="A2244" r:id="rId1239" xr:uid="{00000000-0004-0000-0000-000003050000}"/>
    <hyperlink ref="A175" r:id="rId1240" xr:uid="{00000000-0004-0000-0000-000004050000}"/>
    <hyperlink ref="A298" r:id="rId1241" xr:uid="{00000000-0004-0000-0000-000005050000}"/>
    <hyperlink ref="A1989" r:id="rId1242" xr:uid="{00000000-0004-0000-0000-000006050000}"/>
    <hyperlink ref="A235" r:id="rId1243" xr:uid="{00000000-0004-0000-0000-000007050000}"/>
    <hyperlink ref="A2950" r:id="rId1244" xr:uid="{00000000-0004-0000-0000-000008050000}"/>
    <hyperlink ref="A221" r:id="rId1245" xr:uid="{00000000-0004-0000-0000-000009050000}"/>
    <hyperlink ref="A1108" r:id="rId1246" xr:uid="{00000000-0004-0000-0000-00000A050000}"/>
    <hyperlink ref="A177" r:id="rId1247" xr:uid="{00000000-0004-0000-0000-00000B050000}"/>
    <hyperlink ref="A2357" r:id="rId1248" display="NGC 6577" xr:uid="{00000000-0004-0000-0000-00000C050000}"/>
    <hyperlink ref="A148" r:id="rId1249" xr:uid="{00000000-0004-0000-0000-00000D050000}"/>
    <hyperlink ref="A2292" r:id="rId1250" xr:uid="{00000000-0004-0000-0000-00000E050000}"/>
    <hyperlink ref="A2293" r:id="rId1251" display="NGC 6274" xr:uid="{00000000-0004-0000-0000-00000F050000}"/>
    <hyperlink ref="A2167" r:id="rId1252" xr:uid="{00000000-0004-0000-0000-000010050000}"/>
    <hyperlink ref="A399" r:id="rId1253" xr:uid="{00000000-0004-0000-0000-000011050000}"/>
    <hyperlink ref="A1939" r:id="rId1254" xr:uid="{00000000-0004-0000-0000-000012050000}"/>
    <hyperlink ref="A2608" r:id="rId1255" display="PGC 53134" xr:uid="{00000000-0004-0000-0000-000013050000}"/>
    <hyperlink ref="A445" r:id="rId1256" xr:uid="{00000000-0004-0000-0000-000014050000}"/>
    <hyperlink ref="A219" r:id="rId1257" xr:uid="{00000000-0004-0000-0000-000015050000}"/>
    <hyperlink ref="A2198" r:id="rId1258" xr:uid="{00000000-0004-0000-0000-000016050000}"/>
    <hyperlink ref="A149" r:id="rId1259" xr:uid="{00000000-0004-0000-0000-000017050000}"/>
    <hyperlink ref="A2320" r:id="rId1260" display="NGC 6370" xr:uid="{00000000-0004-0000-0000-000018050000}"/>
    <hyperlink ref="A362" r:id="rId1261" xr:uid="{00000000-0004-0000-0000-000019050000}"/>
    <hyperlink ref="A1141" r:id="rId1262" xr:uid="{00000000-0004-0000-0000-00001A050000}"/>
    <hyperlink ref="A290" r:id="rId1263" xr:uid="{00000000-0004-0000-0000-00001B050000}"/>
    <hyperlink ref="A125" r:id="rId1264" xr:uid="{00000000-0004-0000-0000-00001C050000}"/>
    <hyperlink ref="A418" r:id="rId1265" xr:uid="{00000000-0004-0000-0000-00001D050000}"/>
    <hyperlink ref="A2335" r:id="rId1266" display="NGC 6491" xr:uid="{00000000-0004-0000-0000-00001E050000}"/>
    <hyperlink ref="A150" r:id="rId1267" xr:uid="{00000000-0004-0000-0000-00001F050000}"/>
    <hyperlink ref="A161" r:id="rId1268" xr:uid="{00000000-0004-0000-0000-000020050000}"/>
    <hyperlink ref="A2333" r:id="rId1269" display="NGC 6463" xr:uid="{00000000-0004-0000-0000-000022050000}"/>
    <hyperlink ref="A236" r:id="rId1270" xr:uid="{00000000-0004-0000-0000-000023050000}"/>
    <hyperlink ref="A820" r:id="rId1271" xr:uid="{00000000-0004-0000-0000-000024050000}"/>
    <hyperlink ref="A333" r:id="rId1272" xr:uid="{00000000-0004-0000-0000-000025050000}"/>
    <hyperlink ref="A1045" r:id="rId1273" xr:uid="{00000000-0004-0000-0000-000026050000}"/>
    <hyperlink ref="A2192" r:id="rId1274" xr:uid="{00000000-0004-0000-0000-000027050000}"/>
    <hyperlink ref="A198" r:id="rId1275" xr:uid="{00000000-0004-0000-0000-000028050000}"/>
    <hyperlink ref="A2336" r:id="rId1276" xr:uid="{00000000-0004-0000-0000-000029050000}"/>
    <hyperlink ref="A2609" r:id="rId1277" display="PGC 62946" xr:uid="{00000000-0004-0000-0000-00002A050000}"/>
    <hyperlink ref="A2420" r:id="rId1278" xr:uid="{00000000-0004-0000-0000-00002B050000}"/>
    <hyperlink ref="A434" r:id="rId1279" xr:uid="{00000000-0004-0000-0000-00002C050000}"/>
    <hyperlink ref="A2317" r:id="rId1280" xr:uid="{00000000-0004-0000-0000-00002D050000}"/>
    <hyperlink ref="A180" r:id="rId1281" xr:uid="{00000000-0004-0000-0000-00002E050000}"/>
    <hyperlink ref="A443" r:id="rId1282" xr:uid="{00000000-0004-0000-0000-00002F050000}"/>
    <hyperlink ref="A2181" r:id="rId1283" display="NGC 5423" xr:uid="{00000000-0004-0000-0000-000030050000}"/>
    <hyperlink ref="A2957" r:id="rId1284" xr:uid="{00000000-0004-0000-0000-000031050000}"/>
    <hyperlink ref="A303" r:id="rId1285" xr:uid="{00000000-0004-0000-0000-000032050000}"/>
    <hyperlink ref="A2437" r:id="rId1286" xr:uid="{00000000-0004-0000-0000-000033050000}"/>
    <hyperlink ref="A1047" r:id="rId1287" xr:uid="{00000000-0004-0000-0000-000034050000}"/>
    <hyperlink ref="A1113" r:id="rId1288" display="IC 1370" xr:uid="{00000000-0004-0000-0000-000035050000}"/>
    <hyperlink ref="A351" r:id="rId1289" xr:uid="{00000000-0004-0000-0000-000036050000}"/>
    <hyperlink ref="A2377" r:id="rId1290" display="NGC 6676" xr:uid="{00000000-0004-0000-0000-000037050000}"/>
    <hyperlink ref="A2495" r:id="rId1291" xr:uid="{00000000-0004-0000-0000-000038050000}"/>
    <hyperlink ref="A1433" r:id="rId1292" xr:uid="{00000000-0004-0000-0000-000039050000}"/>
    <hyperlink ref="A2940" r:id="rId1293" xr:uid="{00000000-0004-0000-0000-00003A050000}"/>
    <hyperlink ref="A2305" r:id="rId1294" display="NGC 6338" xr:uid="{00000000-0004-0000-0000-00003B050000}"/>
    <hyperlink ref="A245" r:id="rId1295" xr:uid="{00000000-0004-0000-0000-00003C050000}"/>
    <hyperlink ref="A178" r:id="rId1296" xr:uid="{00000000-0004-0000-0000-00003D050000}"/>
    <hyperlink ref="A1109" r:id="rId1297" xr:uid="{00000000-0004-0000-0000-00003E050000}"/>
    <hyperlink ref="A214" r:id="rId1298" xr:uid="{00000000-0004-0000-0000-00003F050000}"/>
    <hyperlink ref="A383" r:id="rId1299" xr:uid="{00000000-0004-0000-0000-000040050000}"/>
    <hyperlink ref="A370" r:id="rId1300" xr:uid="{00000000-0004-0000-0000-000042050000}"/>
    <hyperlink ref="A2472" r:id="rId1301" xr:uid="{00000000-0004-0000-0000-000043050000}"/>
    <hyperlink ref="A356" r:id="rId1302" xr:uid="{00000000-0004-0000-0000-000044050000}"/>
    <hyperlink ref="A256" r:id="rId1303" xr:uid="{00000000-0004-0000-0000-000045050000}"/>
    <hyperlink ref="A337" r:id="rId1304" xr:uid="{00000000-0004-0000-0000-000046050000}"/>
    <hyperlink ref="A377" r:id="rId1305" xr:uid="{00000000-0004-0000-0000-000047050000}"/>
    <hyperlink ref="A139" r:id="rId1306" xr:uid="{00000000-0004-0000-0000-000048050000}"/>
    <hyperlink ref="A372" r:id="rId1307" xr:uid="{00000000-0004-0000-0000-000049050000}"/>
    <hyperlink ref="A2403" r:id="rId1308" xr:uid="{00000000-0004-0000-0000-00004A050000}"/>
    <hyperlink ref="A3153" r:id="rId1309" xr:uid="{00000000-0004-0000-0000-00004B050000}"/>
    <hyperlink ref="A167" r:id="rId1310" xr:uid="{00000000-0004-0000-0000-00004C050000}"/>
    <hyperlink ref="A146" r:id="rId1311" xr:uid="{00000000-0004-0000-0000-00004D050000}"/>
    <hyperlink ref="A189" r:id="rId1312" xr:uid="{00000000-0004-0000-0000-00004E050000}"/>
    <hyperlink ref="A2463" r:id="rId1313" xr:uid="{00000000-0004-0000-0000-00004F050000}"/>
    <hyperlink ref="A452" r:id="rId1314" xr:uid="{00000000-0004-0000-0000-000050050000}"/>
    <hyperlink ref="A1105" r:id="rId1315" xr:uid="{00000000-0004-0000-0000-000051050000}"/>
    <hyperlink ref="A122" r:id="rId1316" display="AbellGC 2151" xr:uid="{00000000-0004-0000-0000-000052050000}"/>
    <hyperlink ref="A286" r:id="rId1317" xr:uid="{00000000-0004-0000-0000-000053050000}"/>
    <hyperlink ref="A367" r:id="rId1318" xr:uid="{00000000-0004-0000-0000-000054050000}"/>
    <hyperlink ref="A322" r:id="rId1319" xr:uid="{00000000-0004-0000-0000-000055050000}"/>
    <hyperlink ref="A247" r:id="rId1320" xr:uid="{00000000-0004-0000-0000-000056050000}"/>
    <hyperlink ref="A1415" r:id="rId1321" xr:uid="{00000000-0004-0000-0000-000057050000}"/>
    <hyperlink ref="A438" r:id="rId1322" xr:uid="{00000000-0004-0000-0000-000058050000}"/>
    <hyperlink ref="A126" r:id="rId1323" xr:uid="{00000000-0004-0000-0000-000059050000}"/>
    <hyperlink ref="A253" r:id="rId1324" xr:uid="{00000000-0004-0000-0000-00005A050000}"/>
    <hyperlink ref="A224" r:id="rId1325" xr:uid="{00000000-0004-0000-0000-00005C050000}"/>
    <hyperlink ref="A2375" r:id="rId1326" xr:uid="{00000000-0004-0000-0000-00005D050000}"/>
    <hyperlink ref="A205" r:id="rId1327" xr:uid="{00000000-0004-0000-0000-00005E050000}"/>
    <hyperlink ref="A2402" r:id="rId1328" xr:uid="{00000000-0004-0000-0000-00005F050000}"/>
    <hyperlink ref="A143" r:id="rId1329" xr:uid="{00000000-0004-0000-0000-000060050000}"/>
    <hyperlink ref="A865" r:id="rId1330" xr:uid="{00000000-0004-0000-0000-000061050000}"/>
    <hyperlink ref="A135" r:id="rId1331" xr:uid="{00000000-0004-0000-0000-000062050000}"/>
    <hyperlink ref="A426" r:id="rId1332" xr:uid="{00000000-0004-0000-0000-000063050000}"/>
    <hyperlink ref="A200" r:id="rId1333" xr:uid="{00000000-0004-0000-0000-000064050000}"/>
    <hyperlink ref="A2699" r:id="rId1334" xr:uid="{00000000-0004-0000-0000-000065050000}"/>
    <hyperlink ref="A254" r:id="rId1335" xr:uid="{00000000-0004-0000-0000-000066050000}"/>
    <hyperlink ref="A145" r:id="rId1336" xr:uid="{00000000-0004-0000-0000-000067050000}"/>
    <hyperlink ref="A2914" r:id="rId1337" xr:uid="{00000000-0004-0000-0000-000068050000}"/>
    <hyperlink ref="A257" r:id="rId1338" xr:uid="{00000000-0004-0000-0000-000069050000}"/>
    <hyperlink ref="A410" r:id="rId1339" xr:uid="{00000000-0004-0000-0000-00006A050000}"/>
    <hyperlink ref="A2323" r:id="rId1340" xr:uid="{00000000-0004-0000-0000-00006B050000}"/>
    <hyperlink ref="A429" r:id="rId1341" xr:uid="{00000000-0004-0000-0000-00006C050000}"/>
    <hyperlink ref="A1049" r:id="rId1342" xr:uid="{00000000-0004-0000-0000-00006D050000}"/>
    <hyperlink ref="A252" r:id="rId1343" xr:uid="{00000000-0004-0000-0000-00006E050000}"/>
    <hyperlink ref="A1526" r:id="rId1344" xr:uid="{00000000-0004-0000-0000-00006F050000}"/>
    <hyperlink ref="A184" r:id="rId1345" xr:uid="{00000000-0004-0000-0000-000070050000}"/>
    <hyperlink ref="A204" r:id="rId1346" xr:uid="{00000000-0004-0000-0000-000072050000}"/>
    <hyperlink ref="A379" r:id="rId1347" xr:uid="{00000000-0004-0000-0000-000073050000}"/>
    <hyperlink ref="A879" r:id="rId1348" xr:uid="{00000000-0004-0000-0000-000074050000}"/>
    <hyperlink ref="A300" r:id="rId1349" xr:uid="{00000000-0004-0000-0000-000075050000}"/>
    <hyperlink ref="A186" r:id="rId1350" xr:uid="{00000000-0004-0000-0000-000076050000}"/>
    <hyperlink ref="A234" r:id="rId1351" xr:uid="{00000000-0004-0000-0000-000077050000}"/>
    <hyperlink ref="A357" r:id="rId1352" xr:uid="{00000000-0004-0000-0000-000078050000}"/>
    <hyperlink ref="A2587" r:id="rId1353" display="Parsamyan 22" xr:uid="{00000000-0004-0000-0000-000079050000}"/>
    <hyperlink ref="A2423" r:id="rId1354" xr:uid="{00000000-0004-0000-0000-00007A050000}"/>
    <hyperlink ref="A2588" r:id="rId1355" xr:uid="{00000000-0004-0000-0000-00007B050000}"/>
    <hyperlink ref="A1412" r:id="rId1356" xr:uid="{00000000-0004-0000-0000-00007C050000}"/>
    <hyperlink ref="A2355" r:id="rId1357" xr:uid="{00000000-0004-0000-0000-00007D050000}"/>
    <hyperlink ref="A2594" r:id="rId1358" display="LEDA 0006101" xr:uid="{00000000-0004-0000-0000-00007E050000}"/>
    <hyperlink ref="A1574" r:id="rId1359" xr:uid="{00000000-0004-0000-0000-00007F050000}"/>
    <hyperlink ref="A1573" r:id="rId1360" xr:uid="{00000000-0004-0000-0000-000080050000}"/>
    <hyperlink ref="A1051" r:id="rId1361" xr:uid="{00000000-0004-0000-0000-000081050000}"/>
    <hyperlink ref="A867" r:id="rId1362" xr:uid="{00000000-0004-0000-0000-000082050000}"/>
    <hyperlink ref="A2585" r:id="rId1363" xr:uid="{00000000-0004-0000-0000-000083050000}"/>
    <hyperlink ref="A1446" r:id="rId1364" xr:uid="{00000000-0004-0000-0000-000084050000}"/>
    <hyperlink ref="A1444" r:id="rId1365" xr:uid="{00000000-0004-0000-0000-000085050000}"/>
    <hyperlink ref="A2918" r:id="rId1366" xr:uid="{00000000-0004-0000-0000-000087050000}"/>
    <hyperlink ref="A1545" r:id="rId1367" xr:uid="{00000000-0004-0000-0000-000088050000}"/>
    <hyperlink ref="A2578" r:id="rId1368" xr:uid="{00000000-0004-0000-0000-000089050000}"/>
    <hyperlink ref="A984" r:id="rId1369" xr:uid="{00000000-0004-0000-0000-00008C050000}"/>
    <hyperlink ref="A1122" r:id="rId1370" xr:uid="{00000000-0004-0000-0000-00008D050000}"/>
    <hyperlink ref="A1196" r:id="rId1371" xr:uid="{00000000-0004-0000-0000-000090050000}"/>
    <hyperlink ref="A1052" r:id="rId1372" xr:uid="{00000000-0004-0000-0000-000091050000}"/>
    <hyperlink ref="A458" r:id="rId1373" xr:uid="{00000000-0004-0000-0000-000092050000}"/>
    <hyperlink ref="A855" r:id="rId1374" xr:uid="{00000000-0004-0000-0000-000093050000}"/>
    <hyperlink ref="A978" r:id="rId1375" xr:uid="{00000000-0004-0000-0000-000094050000}"/>
    <hyperlink ref="A2521" r:id="rId1376" display="NGC 7342" xr:uid="{00000000-0004-0000-0000-000096050000}"/>
    <hyperlink ref="A2453" r:id="rId1377" xr:uid="{00000000-0004-0000-0000-000098050000}"/>
    <hyperlink ref="A1488" r:id="rId1378" xr:uid="{00000000-0004-0000-0000-000099050000}"/>
    <hyperlink ref="A3102" r:id="rId1379" xr:uid="{00000000-0004-0000-0000-00009A050000}"/>
    <hyperlink ref="A824" r:id="rId1380" xr:uid="{00000000-0004-0000-0000-00009B050000}"/>
    <hyperlink ref="A1335" r:id="rId1381" xr:uid="{00000000-0004-0000-0000-00009C050000}"/>
    <hyperlink ref="A2907" r:id="rId1382" xr:uid="{00000000-0004-0000-0000-00009E050000}"/>
    <hyperlink ref="A1563" r:id="rId1383" xr:uid="{00000000-0004-0000-0000-00009F050000}"/>
    <hyperlink ref="A133" r:id="rId1384" display="AbellGC 2666" xr:uid="{00000000-0004-0000-0000-0000A1050000}"/>
    <hyperlink ref="A2448" r:id="rId1385" xr:uid="{00000000-0004-0000-0000-0000A2050000}"/>
    <hyperlink ref="A2790" r:id="rId1386" xr:uid="{00000000-0004-0000-0000-0000A3050000}"/>
    <hyperlink ref="A1173" r:id="rId1387" xr:uid="{00000000-0004-0000-0000-0000A4050000}"/>
    <hyperlink ref="A2955" r:id="rId1388" xr:uid="{00000000-0004-0000-0000-0000A5050000}"/>
    <hyperlink ref="A3146" r:id="rId1389" xr:uid="{00000000-0004-0000-0000-0000A7050000}"/>
    <hyperlink ref="A1070" r:id="rId1390" xr:uid="{00000000-0004-0000-0000-0000A8050000}"/>
    <hyperlink ref="A2542" r:id="rId1391" xr:uid="{00000000-0004-0000-0000-0000A9050000}"/>
    <hyperlink ref="A2421" r:id="rId1392" xr:uid="{00000000-0004-0000-0000-0000AA050000}"/>
    <hyperlink ref="A141" r:id="rId1393" xr:uid="{00000000-0004-0000-0000-0000AB050000}"/>
    <hyperlink ref="A459" r:id="rId1394" xr:uid="{00000000-0004-0000-0000-0000AC050000}"/>
    <hyperlink ref="A857" r:id="rId1395" xr:uid="{00000000-0004-0000-0000-0000AD050000}"/>
    <hyperlink ref="A3154" r:id="rId1396" xr:uid="{00000000-0004-0000-0000-0000AE050000}"/>
    <hyperlink ref="A1486" r:id="rId1397" xr:uid="{00000000-0004-0000-0000-0000AF050000}"/>
    <hyperlink ref="A2928" r:id="rId1398" xr:uid="{00000000-0004-0000-0000-0000B0050000}"/>
    <hyperlink ref="A2923" r:id="rId1399" display="UGC 04133" xr:uid="{00000000-0004-0000-0000-0000B1050000}"/>
    <hyperlink ref="A2538" r:id="rId1400" xr:uid="{00000000-0004-0000-0000-0000B3050000}"/>
    <hyperlink ref="A1675" r:id="rId1401" xr:uid="{00000000-0004-0000-0000-0000B4050000}"/>
    <hyperlink ref="A2360" r:id="rId1402" xr:uid="{00000000-0004-0000-0000-0000B6050000}"/>
    <hyperlink ref="A1175" r:id="rId1403" display="IC 5041" xr:uid="{00000000-0004-0000-0000-0000B7050000}"/>
    <hyperlink ref="A2793" r:id="rId1404" display="Böhm-Vitense 5-2" xr:uid="{00000000-0004-0000-0000-0000B8050000}"/>
    <hyperlink ref="A2550" r:id="rId1405" xr:uid="{00000000-0004-0000-0000-0000B9050000}"/>
    <hyperlink ref="A2869" r:id="rId1406" xr:uid="{00000000-0004-0000-0000-0000BA050000}"/>
    <hyperlink ref="A2614" r:id="rId1407" display="LEDA 0139235" xr:uid="{00000000-0004-0000-0000-0000BB050000}"/>
    <hyperlink ref="A2908" r:id="rId1408" xr:uid="{00000000-0004-0000-0000-0000BC050000}"/>
    <hyperlink ref="A2529" r:id="rId1409" xr:uid="{00000000-0004-0000-0000-0000BD050000}"/>
    <hyperlink ref="A951" r:id="rId1410" xr:uid="{00000000-0004-0000-0000-0000BE050000}"/>
    <hyperlink ref="A2537" r:id="rId1411" xr:uid="{00000000-0004-0000-0000-0000BF050000}"/>
    <hyperlink ref="A3004" r:id="rId1412" xr:uid="{00000000-0004-0000-0000-0000C0050000}"/>
    <hyperlink ref="A1117" r:id="rId1413" xr:uid="{00000000-0004-0000-0000-0000C1050000}"/>
    <hyperlink ref="A1538" r:id="rId1414" xr:uid="{00000000-0004-0000-0000-0000C3050000}"/>
    <hyperlink ref="A809" r:id="rId1415" xr:uid="{00000000-0004-0000-0000-0000C4050000}"/>
    <hyperlink ref="A1578" r:id="rId1416" xr:uid="{00000000-0004-0000-0000-0000C5050000}"/>
    <hyperlink ref="A2496" r:id="rId1417" xr:uid="{00000000-0004-0000-0000-0000C7050000}"/>
    <hyperlink ref="A2613" r:id="rId1418" display="LEDA 0093851" xr:uid="{00000000-0004-0000-0000-0000C8050000}"/>
    <hyperlink ref="A1884" r:id="rId1419" xr:uid="{00000000-0004-0000-0000-0000C9050000}"/>
    <hyperlink ref="A2638" r:id="rId1420" xr:uid="{00000000-0004-0000-0000-0000CA050000}"/>
    <hyperlink ref="A1612" r:id="rId1421" xr:uid="{00000000-0004-0000-0000-0000CB050000}"/>
    <hyperlink ref="A3145" r:id="rId1422" xr:uid="{00000000-0004-0000-0000-0000CD050000}"/>
    <hyperlink ref="A2407" r:id="rId1423" xr:uid="{00000000-0004-0000-0000-0000CE050000}"/>
    <hyperlink ref="A815" r:id="rId1424" xr:uid="{00000000-0004-0000-0000-0000CF050000}"/>
    <hyperlink ref="A2915" r:id="rId1425" xr:uid="{00000000-0004-0000-0000-0000D0050000}"/>
    <hyperlink ref="A988" r:id="rId1426" xr:uid="{00000000-0004-0000-0000-0000D1050000}"/>
    <hyperlink ref="A2567" r:id="rId1427" xr:uid="{00000000-0004-0000-0000-0000D2050000}"/>
    <hyperlink ref="A1615" r:id="rId1428" xr:uid="{00000000-0004-0000-0000-0000D4050000}"/>
    <hyperlink ref="A817" r:id="rId1429" xr:uid="{00000000-0004-0000-0000-0000D5050000}"/>
    <hyperlink ref="A1462" r:id="rId1430" xr:uid="{00000000-0004-0000-0000-0000D6050000}"/>
    <hyperlink ref="A2621" r:id="rId1431" display="Sh2-235ABC" xr:uid="{00000000-0004-0000-0000-0000D7050000}"/>
    <hyperlink ref="A2534" r:id="rId1432" xr:uid="{00000000-0004-0000-0000-0000D9050000}"/>
    <hyperlink ref="A1465" r:id="rId1433" xr:uid="{00000000-0004-0000-0000-0000DB050000}"/>
    <hyperlink ref="A2501" r:id="rId1434" xr:uid="{00000000-0004-0000-0000-0000DC050000}"/>
    <hyperlink ref="A1481" r:id="rId1435" xr:uid="{00000000-0004-0000-0000-0000DD050000}"/>
    <hyperlink ref="A1206" r:id="rId1436" xr:uid="{00000000-0004-0000-0000-0000DE050000}"/>
    <hyperlink ref="A1512" r:id="rId1437" xr:uid="{00000000-0004-0000-0000-0000DF050000}"/>
    <hyperlink ref="A2556" r:id="rId1438" xr:uid="{00000000-0004-0000-0000-0000E0050000}"/>
    <hyperlink ref="A2517" r:id="rId1439" xr:uid="{00000000-0004-0000-0000-0000E1050000}"/>
    <hyperlink ref="A1792" r:id="rId1440" xr:uid="{00000000-0004-0000-0000-0000E2050000}"/>
    <hyperlink ref="A2925" r:id="rId1441" xr:uid="{00000000-0004-0000-0000-0000E4050000}"/>
    <hyperlink ref="A3130" r:id="rId1442" xr:uid="{00000000-0004-0000-0000-0000E5050000}"/>
    <hyperlink ref="A1555" r:id="rId1443" xr:uid="{00000000-0004-0000-0000-0000E6050000}"/>
    <hyperlink ref="A858" r:id="rId1444" xr:uid="{00000000-0004-0000-0000-0000E8050000}"/>
    <hyperlink ref="A1059" r:id="rId1445" xr:uid="{00000000-0004-0000-0000-0000E9050000}"/>
    <hyperlink ref="A1185" r:id="rId1446" xr:uid="{00000000-0004-0000-0000-0000EA050000}"/>
    <hyperlink ref="A2536" r:id="rId1447" xr:uid="{00000000-0004-0000-0000-0000EB050000}"/>
    <hyperlink ref="A878" r:id="rId1448" xr:uid="{00000000-0004-0000-0000-0000EC050000}"/>
    <hyperlink ref="A840" r:id="rId1449" xr:uid="{00000000-0004-0000-0000-0000ED050000}"/>
    <hyperlink ref="A1789" r:id="rId1450" xr:uid="{00000000-0004-0000-0000-0000EE050000}"/>
    <hyperlink ref="A996" r:id="rId1451" xr:uid="{00000000-0004-0000-0000-0000F0050000}"/>
    <hyperlink ref="A964" r:id="rId1452" xr:uid="{00000000-0004-0000-0000-0000F1050000}"/>
    <hyperlink ref="A2932" r:id="rId1453" xr:uid="{00000000-0004-0000-0000-0000F2050000}"/>
    <hyperlink ref="A101" r:id="rId1454" display="AbellGC 0539" xr:uid="{00000000-0004-0000-0000-0000F3050000}"/>
    <hyperlink ref="A2097" r:id="rId1455" xr:uid="{00000000-0004-0000-0000-0000F4050000}"/>
    <hyperlink ref="A3007" r:id="rId1456" xr:uid="{00000000-0004-0000-0000-0000F5050000}"/>
    <hyperlink ref="A2000" r:id="rId1457" xr:uid="{00000000-0004-0000-0000-0000F6050000}"/>
    <hyperlink ref="A979" r:id="rId1458" xr:uid="{00000000-0004-0000-0000-0000F8050000}"/>
    <hyperlink ref="A860" r:id="rId1459" display="EGB 1" xr:uid="{00000000-0004-0000-0000-0000F9050000}"/>
    <hyperlink ref="A874" r:id="rId1460" xr:uid="{00000000-0004-0000-0000-0000FB050000}"/>
    <hyperlink ref="A1559" r:id="rId1461" xr:uid="{00000000-0004-0000-0000-0000FD050000}"/>
    <hyperlink ref="A958" r:id="rId1462" xr:uid="{00000000-0004-0000-0000-0000FE050000}"/>
    <hyperlink ref="A2123" r:id="rId1463" xr:uid="{00000000-0004-0000-0000-0000FF050000}"/>
    <hyperlink ref="A1001" r:id="rId1464" xr:uid="{00000000-0004-0000-0000-000001060000}"/>
    <hyperlink ref="A2532" r:id="rId1465" xr:uid="{00000000-0004-0000-0000-000003060000}"/>
    <hyperlink ref="A1558" r:id="rId1466" xr:uid="{00000000-0004-0000-0000-000004060000}"/>
    <hyperlink ref="A1201" r:id="rId1467" xr:uid="{00000000-0004-0000-0000-000005060000}"/>
    <hyperlink ref="A1030" r:id="rId1468" xr:uid="{00000000-0004-0000-0000-000006060000}"/>
    <hyperlink ref="A2574" r:id="rId1469" display="NGC 7782" xr:uid="{00000000-0004-0000-0000-000008060000}"/>
    <hyperlink ref="A849" r:id="rId1470" xr:uid="{00000000-0004-0000-0000-000009060000}"/>
    <hyperlink ref="A2570" r:id="rId1471" xr:uid="{00000000-0004-0000-0000-00000A060000}"/>
    <hyperlink ref="A1220" r:id="rId1472" xr:uid="{00000000-0004-0000-0000-00000B060000}"/>
    <hyperlink ref="A1531" r:id="rId1473" xr:uid="{00000000-0004-0000-0000-00000C060000}"/>
    <hyperlink ref="A952" r:id="rId1474" xr:uid="{00000000-0004-0000-0000-00000D060000}"/>
    <hyperlink ref="A1661" r:id="rId1475" xr:uid="{00000000-0004-0000-0000-00000E060000}"/>
    <hyperlink ref="A1207" r:id="rId1476" xr:uid="{00000000-0004-0000-0000-00000F060000}"/>
    <hyperlink ref="A2152" r:id="rId1477" xr:uid="{00000000-0004-0000-0000-000010060000}"/>
    <hyperlink ref="A1133" r:id="rId1478" xr:uid="{00000000-0004-0000-0000-000011060000}"/>
    <hyperlink ref="A870" r:id="rId1479" xr:uid="{00000000-0004-0000-0000-000012060000}"/>
    <hyperlink ref="A1835" r:id="rId1480" display="NGC 2943" xr:uid="{00000000-0004-0000-0000-000014060000}"/>
    <hyperlink ref="A1738" r:id="rId1481" display="NGC 2290" xr:uid="{00000000-0004-0000-0000-000015060000}"/>
    <hyperlink ref="A1536" r:id="rId1482" xr:uid="{00000000-0004-0000-0000-000017060000}"/>
    <hyperlink ref="A211" r:id="rId1483" xr:uid="{00000000-0004-0000-0000-000019060000}"/>
    <hyperlink ref="A1656" r:id="rId1484" xr:uid="{00000000-0004-0000-0000-00001B060000}"/>
    <hyperlink ref="A1846" r:id="rId1485" xr:uid="{00000000-0004-0000-0000-00001D060000}"/>
    <hyperlink ref="A1389" r:id="rId1486" xr:uid="{00000000-0004-0000-0000-00001F060000}"/>
    <hyperlink ref="A1004" r:id="rId1487" xr:uid="{00000000-0004-0000-0000-000020060000}"/>
    <hyperlink ref="A2221" r:id="rId1488" xr:uid="{00000000-0004-0000-0000-000023060000}"/>
    <hyperlink ref="A2952" r:id="rId1489" xr:uid="{00000000-0004-0000-0000-000024060000}"/>
    <hyperlink ref="A2082" r:id="rId1490" xr:uid="{00000000-0004-0000-0000-000025060000}"/>
    <hyperlink ref="A1344" r:id="rId1491" xr:uid="{00000000-0004-0000-0000-000026060000}"/>
    <hyperlink ref="A2603" r:id="rId1492" display="LEDA 0036252" xr:uid="{00000000-0004-0000-0000-000028060000}"/>
    <hyperlink ref="A1643" r:id="rId1493" xr:uid="{00000000-0004-0000-0000-00002A060000}"/>
    <hyperlink ref="A1146" r:id="rId1494" xr:uid="{00000000-0004-0000-0000-00002B060000}"/>
    <hyperlink ref="A1590" r:id="rId1495" xr:uid="{00000000-0004-0000-0000-00002C060000}"/>
    <hyperlink ref="A1819" r:id="rId1496" xr:uid="{00000000-0004-0000-0000-00002D060000}"/>
    <hyperlink ref="A2989" r:id="rId1497" xr:uid="{00000000-0004-0000-0000-00002E060000}"/>
    <hyperlink ref="A1784" r:id="rId1498" xr:uid="{00000000-0004-0000-0000-00002F060000}"/>
    <hyperlink ref="A1879" r:id="rId1499" display="NGC 3269" xr:uid="{00000000-0004-0000-0000-000030060000}"/>
    <hyperlink ref="A1763" r:id="rId1500" xr:uid="{00000000-0004-0000-0000-000031060000}"/>
    <hyperlink ref="A2943" r:id="rId1501" xr:uid="{00000000-0004-0000-0000-000032060000}"/>
    <hyperlink ref="A1406" r:id="rId1502" xr:uid="{00000000-0004-0000-0000-000033060000}"/>
    <hyperlink ref="A1651" r:id="rId1503" xr:uid="{00000000-0004-0000-0000-000034060000}"/>
    <hyperlink ref="A2604" r:id="rId1504" display="PGC 37680" xr:uid="{00000000-0004-0000-0000-000035060000}"/>
    <hyperlink ref="A1144" r:id="rId1505" display="IC 2375" xr:uid="{00000000-0004-0000-0000-000036060000}"/>
    <hyperlink ref="A1282" r:id="rId1506" xr:uid="{00000000-0004-0000-0000-000037060000}"/>
    <hyperlink ref="A2931" r:id="rId1507" display="UGC 05609" xr:uid="{00000000-0004-0000-0000-000038060000}"/>
    <hyperlink ref="A1211" r:id="rId1508" xr:uid="{00000000-0004-0000-0000-000039060000}"/>
    <hyperlink ref="A1827" r:id="rId1509" xr:uid="{00000000-0004-0000-0000-00003A060000}"/>
    <hyperlink ref="A3129" r:id="rId1510" xr:uid="{00000000-0004-0000-0000-00003B060000}"/>
    <hyperlink ref="A2031" r:id="rId1511" xr:uid="{00000000-0004-0000-0000-00003C060000}"/>
    <hyperlink ref="A1705" r:id="rId1512" xr:uid="{00000000-0004-0000-0000-00003D060000}"/>
    <hyperlink ref="A2762" r:id="rId1513" xr:uid="{00000000-0004-0000-0000-00003E060000}"/>
    <hyperlink ref="A2151" r:id="rId1514" xr:uid="{00000000-0004-0000-0000-00003F060000}"/>
    <hyperlink ref="A1801" r:id="rId1515" xr:uid="{00000000-0004-0000-0000-000040060000}"/>
    <hyperlink ref="A2176" r:id="rId1516" xr:uid="{00000000-0004-0000-0000-000041060000}"/>
    <hyperlink ref="A1776" r:id="rId1517" xr:uid="{00000000-0004-0000-0000-000042060000}"/>
    <hyperlink ref="A1890" r:id="rId1518" display="NGC 3358" xr:uid="{00000000-0004-0000-0000-000043060000}"/>
    <hyperlink ref="A2009" r:id="rId1519" xr:uid="{00000000-0004-0000-0000-000044060000}"/>
    <hyperlink ref="A310" r:id="rId1520" xr:uid="{00000000-0004-0000-0000-000045060000}"/>
    <hyperlink ref="A1941" r:id="rId1521" xr:uid="{00000000-0004-0000-0000-000046060000}"/>
    <hyperlink ref="A1975" r:id="rId1522" xr:uid="{00000000-0004-0000-0000-000047060000}"/>
    <hyperlink ref="A1628" r:id="rId1523" xr:uid="{00000000-0004-0000-0000-000048060000}"/>
    <hyperlink ref="A2753" r:id="rId1524" xr:uid="{00000000-0004-0000-0000-000049060000}"/>
    <hyperlink ref="A1008" r:id="rId1525" xr:uid="{00000000-0004-0000-0000-00004A060000}"/>
    <hyperlink ref="A1659" r:id="rId1526" xr:uid="{00000000-0004-0000-0000-00004B060000}"/>
    <hyperlink ref="A1036" r:id="rId1527" xr:uid="{00000000-0004-0000-0000-00004C060000}"/>
    <hyperlink ref="A1834" r:id="rId1528" xr:uid="{00000000-0004-0000-0000-00004D060000}"/>
    <hyperlink ref="A1223" r:id="rId1529" xr:uid="{00000000-0004-0000-0000-00004E060000}"/>
    <hyperlink ref="A2755" r:id="rId1530" xr:uid="{00000000-0004-0000-0000-00004F060000}"/>
    <hyperlink ref="A2958" r:id="rId1531" xr:uid="{00000000-0004-0000-0000-000050060000}"/>
    <hyperlink ref="A1002" r:id="rId1532" xr:uid="{00000000-0004-0000-0000-000051060000}"/>
    <hyperlink ref="A1900" r:id="rId1533" xr:uid="{00000000-0004-0000-0000-000052060000}"/>
    <hyperlink ref="A1005" r:id="rId1534" xr:uid="{00000000-0004-0000-0000-000053060000}"/>
    <hyperlink ref="A1833" r:id="rId1535" xr:uid="{00000000-0004-0000-0000-000054060000}"/>
    <hyperlink ref="A1665" r:id="rId1536" xr:uid="{00000000-0004-0000-0000-000055060000}"/>
    <hyperlink ref="A997" r:id="rId1537" xr:uid="{00000000-0004-0000-0000-000056060000}"/>
    <hyperlink ref="A2477" r:id="rId1538" xr:uid="{00000000-0004-0000-0000-000057060000}"/>
    <hyperlink ref="A992" r:id="rId1539" xr:uid="{00000000-0004-0000-0000-000058060000}"/>
    <hyperlink ref="A1364" r:id="rId1540" xr:uid="{00000000-0004-0000-0000-000059060000}"/>
    <hyperlink ref="A2930" r:id="rId1541" xr:uid="{00000000-0004-0000-0000-00005A060000}"/>
    <hyperlink ref="A2078" r:id="rId1542" xr:uid="{00000000-0004-0000-0000-00005B060000}"/>
    <hyperlink ref="A2157" r:id="rId1543" xr:uid="{00000000-0004-0000-0000-00005C060000}"/>
    <hyperlink ref="A2250" r:id="rId1544" xr:uid="{00000000-0004-0000-0000-00005D060000}"/>
    <hyperlink ref="A2248" r:id="rId1545" xr:uid="{00000000-0004-0000-0000-00005E060000}"/>
    <hyperlink ref="A1197" r:id="rId1546" xr:uid="{00000000-0004-0000-0000-00005F060000}"/>
    <hyperlink ref="A2595" r:id="rId1547" display="PGC 08896" xr:uid="{00000000-0004-0000-0000-000060060000}"/>
    <hyperlink ref="A1677" r:id="rId1548" xr:uid="{00000000-0004-0000-0000-000061060000}"/>
    <hyperlink ref="A2013" r:id="rId1549" xr:uid="{00000000-0004-0000-0000-000062060000}"/>
    <hyperlink ref="A1404" r:id="rId1550" xr:uid="{00000000-0004-0000-0000-000063060000}"/>
    <hyperlink ref="A1385" r:id="rId1551" xr:uid="{00000000-0004-0000-0000-000064060000}"/>
    <hyperlink ref="A2143" r:id="rId1552" xr:uid="{00000000-0004-0000-0000-000065060000}"/>
    <hyperlink ref="A1907" r:id="rId1553" xr:uid="{00000000-0004-0000-0000-000066060000}"/>
    <hyperlink ref="A2637" r:id="rId1554" xr:uid="{00000000-0004-0000-0000-000067060000}"/>
    <hyperlink ref="A2089" r:id="rId1555" display="Arp 281" xr:uid="{00000000-0004-0000-0000-000068060000}"/>
    <hyperlink ref="A2280" r:id="rId1556" xr:uid="{00000000-0004-0000-0000-000069060000}"/>
    <hyperlink ref="A1791" r:id="rId1557" xr:uid="{00000000-0004-0000-0000-00006A060000}"/>
    <hyperlink ref="A2889" r:id="rId1558" xr:uid="{00000000-0004-0000-0000-00006B060000}"/>
    <hyperlink ref="A1345" r:id="rId1559" xr:uid="{00000000-0004-0000-0000-00006C060000}"/>
    <hyperlink ref="A2896" r:id="rId1560" xr:uid="{00000000-0004-0000-0000-00006D060000}"/>
    <hyperlink ref="A1150" r:id="rId1561" xr:uid="{00000000-0004-0000-0000-00006E060000}"/>
    <hyperlink ref="A1375" r:id="rId1562" xr:uid="{00000000-0004-0000-0000-000070060000}"/>
    <hyperlink ref="A2220" r:id="rId1563" xr:uid="{00000000-0004-0000-0000-000071060000}"/>
    <hyperlink ref="A268" r:id="rId1564" xr:uid="{00000000-0004-0000-0000-000072060000}"/>
    <hyperlink ref="A1820" r:id="rId1565" xr:uid="{00000000-0004-0000-0000-000073060000}"/>
    <hyperlink ref="A1380" r:id="rId1566" xr:uid="{00000000-0004-0000-0000-000074060000}"/>
    <hyperlink ref="A2516" r:id="rId1567" xr:uid="{00000000-0004-0000-0000-000075060000}"/>
    <hyperlink ref="A2891" r:id="rId1568" xr:uid="{00000000-0004-0000-0000-000076060000}"/>
    <hyperlink ref="A2199" r:id="rId1569" xr:uid="{00000000-0004-0000-0000-000077060000}"/>
    <hyperlink ref="A2242" r:id="rId1570" xr:uid="{00000000-0004-0000-0000-000078060000}"/>
    <hyperlink ref="A1806" r:id="rId1571" xr:uid="{00000000-0004-0000-0000-000079060000}"/>
    <hyperlink ref="A1387" r:id="rId1572" xr:uid="{00000000-0004-0000-0000-00007B060000}"/>
    <hyperlink ref="A2961" r:id="rId1573" xr:uid="{00000000-0004-0000-0000-00007C060000}"/>
    <hyperlink ref="A1848" r:id="rId1574" xr:uid="{00000000-0004-0000-0000-00007D060000}"/>
    <hyperlink ref="A1390" r:id="rId1575" xr:uid="{00000000-0004-0000-0000-00007E060000}"/>
    <hyperlink ref="A3151" r:id="rId1576" xr:uid="{00000000-0004-0000-0000-00007F060000}"/>
    <hyperlink ref="A1379" r:id="rId1577" xr:uid="{00000000-0004-0000-0000-000080060000}"/>
    <hyperlink ref="A1701" r:id="rId1578" xr:uid="{00000000-0004-0000-0000-000081060000}"/>
    <hyperlink ref="A1952" r:id="rId1579" xr:uid="{00000000-0004-0000-0000-000082060000}"/>
    <hyperlink ref="A456" r:id="rId1580" xr:uid="{00000000-0004-0000-0000-000083060000}"/>
    <hyperlink ref="A2318" r:id="rId1581" xr:uid="{00000000-0004-0000-0000-000084060000}"/>
    <hyperlink ref="A1381" r:id="rId1582" xr:uid="{00000000-0004-0000-0000-000085060000}"/>
    <hyperlink ref="A1511" r:id="rId1583" xr:uid="{00000000-0004-0000-0000-000086060000}"/>
    <hyperlink ref="A2150" r:id="rId1584" xr:uid="{00000000-0004-0000-0000-000087060000}"/>
    <hyperlink ref="A1118" r:id="rId1585" display="IC 1464" xr:uid="{00000000-0004-0000-0000-000088060000}"/>
    <hyperlink ref="A1630" r:id="rId1586" xr:uid="{00000000-0004-0000-0000-000089060000}"/>
    <hyperlink ref="A1609" r:id="rId1587" display="NGC 1346" xr:uid="{00000000-0004-0000-0000-00008A060000}"/>
    <hyperlink ref="A220" r:id="rId1588" xr:uid="{00000000-0004-0000-0000-00008B060000}"/>
    <hyperlink ref="A2592" r:id="rId1589" display="PGC 03182" xr:uid="{00000000-0004-0000-0000-00008C060000}"/>
    <hyperlink ref="A1347" r:id="rId1590" xr:uid="{00000000-0004-0000-0000-00008D060000}"/>
    <hyperlink ref="A3152" r:id="rId1591" xr:uid="{00000000-0004-0000-0000-00008E060000}"/>
    <hyperlink ref="A2131" r:id="rId1592" xr:uid="{00000000-0004-0000-0000-00008F060000}"/>
    <hyperlink ref="A2400" r:id="rId1593" xr:uid="{00000000-0004-0000-0000-000090060000}"/>
    <hyperlink ref="A1636" r:id="rId1594" xr:uid="{00000000-0004-0000-0000-000091060000}"/>
    <hyperlink ref="A1873" r:id="rId1595" xr:uid="{00000000-0004-0000-0000-000092060000}"/>
    <hyperlink ref="A1040" r:id="rId1596" xr:uid="{00000000-0004-0000-0000-000093060000}"/>
    <hyperlink ref="A1850" r:id="rId1597" xr:uid="{00000000-0004-0000-0000-000094060000}"/>
    <hyperlink ref="A2440" r:id="rId1598" xr:uid="{00000000-0004-0000-0000-000095060000}"/>
    <hyperlink ref="A1372" r:id="rId1599" xr:uid="{00000000-0004-0000-0000-000097060000}"/>
    <hyperlink ref="A1932" r:id="rId1600" xr:uid="{00000000-0004-0000-0000-000098060000}"/>
    <hyperlink ref="A2343" r:id="rId1601" xr:uid="{00000000-0004-0000-0000-000099060000}"/>
    <hyperlink ref="A2568" r:id="rId1602" display="NGC 7732" xr:uid="{00000000-0004-0000-0000-00009A060000}"/>
    <hyperlink ref="A1342" r:id="rId1603" xr:uid="{00000000-0004-0000-0000-00009B060000}"/>
    <hyperlink ref="A1816" r:id="rId1604" xr:uid="{00000000-0004-0000-0000-00009C060000}"/>
    <hyperlink ref="A3073" r:id="rId1605" xr:uid="{00000000-0004-0000-0000-00009D060000}"/>
    <hyperlink ref="A520" r:id="rId1606" xr:uid="{00000000-0004-0000-0000-00009E060000}"/>
    <hyperlink ref="A1930" r:id="rId1607" xr:uid="{00000000-0004-0000-0000-00009F060000}"/>
    <hyperlink ref="A1044" r:id="rId1608" display="Seyfert's Sextet" xr:uid="{00000000-0004-0000-0000-0000A1060000}"/>
    <hyperlink ref="A2182" r:id="rId1609" xr:uid="{00000000-0004-0000-0000-0000A2060000}"/>
    <hyperlink ref="A1377" r:id="rId1610" xr:uid="{00000000-0004-0000-0000-0000A3060000}"/>
    <hyperlink ref="A2924" r:id="rId1611" xr:uid="{00000000-0004-0000-0000-0000A4060000}"/>
    <hyperlink ref="A320" r:id="rId1612" xr:uid="{00000000-0004-0000-0000-0000A6060000}"/>
    <hyperlink ref="A1376" r:id="rId1613" xr:uid="{00000000-0004-0000-0000-0000A7060000}"/>
    <hyperlink ref="A2596" r:id="rId1614" display="PGC 16572" xr:uid="{00000000-0004-0000-0000-0000A8060000}"/>
    <hyperlink ref="A2001" r:id="rId1615" xr:uid="{00000000-0004-0000-0000-0000AA060000}"/>
    <hyperlink ref="A1371" r:id="rId1616" xr:uid="{00000000-0004-0000-0000-0000AB060000}"/>
    <hyperlink ref="A1339" r:id="rId1617" xr:uid="{00000000-0004-0000-0000-0000AD060000}"/>
    <hyperlink ref="A1743" r:id="rId1618" xr:uid="{00000000-0004-0000-0000-0000AE060000}"/>
    <hyperlink ref="A1378" r:id="rId1619" xr:uid="{00000000-0004-0000-0000-0000AF060000}"/>
    <hyperlink ref="A1876" r:id="rId1620" xr:uid="{00000000-0004-0000-0000-0000B0060000}"/>
    <hyperlink ref="A1130" r:id="rId1621" xr:uid="{00000000-0004-0000-0000-0000B1060000}"/>
    <hyperlink ref="A1988" r:id="rId1622" xr:uid="{00000000-0004-0000-0000-0000B2060000}"/>
    <hyperlink ref="A3132" r:id="rId1623" xr:uid="{00000000-0004-0000-0000-0000B3060000}"/>
    <hyperlink ref="A218" r:id="rId1624" xr:uid="{00000000-0004-0000-0000-0000B4060000}"/>
    <hyperlink ref="A2264" r:id="rId1625" xr:uid="{00000000-0004-0000-0000-0000B5060000}"/>
    <hyperlink ref="A1477" r:id="rId1626" xr:uid="{00000000-0004-0000-0000-0000B6060000}"/>
    <hyperlink ref="A1202" r:id="rId1627" xr:uid="{00000000-0004-0000-0000-0000B7060000}"/>
    <hyperlink ref="A2210" r:id="rId1628" xr:uid="{00000000-0004-0000-0000-0000B8060000}"/>
    <hyperlink ref="A1851" r:id="rId1629" xr:uid="{00000000-0004-0000-0000-0000B9060000}"/>
    <hyperlink ref="A1373" r:id="rId1630" xr:uid="{00000000-0004-0000-0000-0000BA060000}"/>
    <hyperlink ref="A2067" r:id="rId1631" xr:uid="{00000000-0004-0000-0000-0000BB060000}"/>
    <hyperlink ref="A1911" r:id="rId1632" xr:uid="{00000000-0004-0000-0000-0000BC060000}"/>
    <hyperlink ref="A1918" r:id="rId1633" xr:uid="{00000000-0004-0000-0000-0000BD060000}"/>
    <hyperlink ref="A2548" r:id="rId1634" xr:uid="{00000000-0004-0000-0000-0000BE060000}"/>
    <hyperlink ref="A2049" r:id="rId1635" xr:uid="{00000000-0004-0000-0000-0000BF060000}"/>
    <hyperlink ref="A1732" r:id="rId1636" xr:uid="{00000000-0004-0000-0000-0000C1060000}"/>
    <hyperlink ref="A1955" r:id="rId1637" display="NGC 3898" xr:uid="{00000000-0004-0000-0000-0000C3060000}"/>
    <hyperlink ref="A1889" r:id="rId1638" xr:uid="{00000000-0004-0000-0000-0000C4060000}"/>
    <hyperlink ref="A2249" r:id="rId1639" xr:uid="{00000000-0004-0000-0000-0000C5060000}"/>
    <hyperlink ref="A1664" r:id="rId1640" xr:uid="{00000000-0004-0000-0000-0000C6060000}"/>
    <hyperlink ref="A1570" r:id="rId1641" xr:uid="{00000000-0004-0000-0000-0000C7060000}"/>
    <hyperlink ref="A1580" r:id="rId1642" xr:uid="{00000000-0004-0000-0000-0000C8060000}"/>
    <hyperlink ref="A1908" r:id="rId1643" xr:uid="{00000000-0004-0000-0000-0000C9060000}"/>
    <hyperlink ref="A2237" r:id="rId1644" xr:uid="{00000000-0004-0000-0000-0000CA060000}"/>
    <hyperlink ref="A1592" r:id="rId1645" xr:uid="{00000000-0004-0000-0000-0000CB060000}"/>
    <hyperlink ref="A1715" r:id="rId1646" xr:uid="{00000000-0004-0000-0000-0000CC060000}"/>
    <hyperlink ref="A1043" r:id="rId1647" xr:uid="{00000000-0004-0000-0000-0000CD060000}"/>
    <hyperlink ref="A2194" r:id="rId1648" xr:uid="{00000000-0004-0000-0000-0000CE060000}"/>
    <hyperlink ref="A2546" r:id="rId1649" xr:uid="{00000000-0004-0000-0000-0000CF060000}"/>
    <hyperlink ref="A1154" r:id="rId1650" xr:uid="{00000000-0004-0000-0000-0000D0060000}"/>
    <hyperlink ref="A1050" r:id="rId1651" xr:uid="{00000000-0004-0000-0000-0000D1060000}"/>
    <hyperlink ref="A2234" r:id="rId1652" xr:uid="{00000000-0004-0000-0000-0000D2060000}"/>
    <hyperlink ref="A2201" r:id="rId1653" xr:uid="{00000000-0004-0000-0000-0000D3060000}"/>
    <hyperlink ref="A1369" r:id="rId1654" xr:uid="{00000000-0004-0000-0000-0000D4060000}"/>
    <hyperlink ref="A2610" r:id="rId1655" display="LEDA 0067860" xr:uid="{00000000-0004-0000-0000-0000D5060000}"/>
    <hyperlink ref="A986" r:id="rId1656" xr:uid="{00000000-0004-0000-0000-0000D7060000}"/>
    <hyperlink ref="A365" r:id="rId1657" xr:uid="{00000000-0004-0000-0000-0000D8060000}"/>
    <hyperlink ref="A1054" r:id="rId1658" xr:uid="{00000000-0004-0000-0000-0000D9060000}"/>
    <hyperlink ref="A1000" r:id="rId1659" xr:uid="{00000000-0004-0000-0000-0000DB060000}"/>
    <hyperlink ref="A2094" r:id="rId1660" xr:uid="{00000000-0004-0000-0000-0000DC060000}"/>
    <hyperlink ref="A1058" r:id="rId1661" xr:uid="{00000000-0004-0000-0000-0000DD060000}"/>
    <hyperlink ref="A1006" r:id="rId1662" xr:uid="{00000000-0004-0000-0000-0000DF060000}"/>
    <hyperlink ref="A1003" r:id="rId1663" xr:uid="{00000000-0004-0000-0000-0000E1060000}"/>
    <hyperlink ref="A991" r:id="rId1664" xr:uid="{00000000-0004-0000-0000-0000E3060000}"/>
    <hyperlink ref="A1581" r:id="rId1665" xr:uid="{00000000-0004-0000-0000-0000E8060000}"/>
    <hyperlink ref="A1222" r:id="rId1666" xr:uid="{00000000-0004-0000-0000-0000E9060000}"/>
    <hyperlink ref="A2254" r:id="rId1667" display="NGC 5982" xr:uid="{00000000-0004-0000-0000-0000EA060000}"/>
    <hyperlink ref="A2564" r:id="rId1668" display="NGC 7700" xr:uid="{00000000-0004-0000-0000-0000EB060000}"/>
    <hyperlink ref="A2721" r:id="rId1669" xr:uid="{00000000-0004-0000-0000-0000EC060000}"/>
    <hyperlink ref="A819" r:id="rId1670" xr:uid="{00000000-0004-0000-0000-0000EE060000}"/>
    <hyperlink ref="A2026" r:id="rId1671" display="NGC 4298" xr:uid="{00000000-0004-0000-0000-0000EF060000}"/>
    <hyperlink ref="A1332" r:id="rId1672" xr:uid="{00000000-0004-0000-0000-0000F1060000}"/>
    <hyperlink ref="A1338" r:id="rId1673" xr:uid="{00000000-0004-0000-0000-0000F2060000}"/>
    <hyperlink ref="A733" r:id="rId1674" display="NGC 6528" xr:uid="{00000000-0004-0000-0000-0000F4060000}"/>
    <hyperlink ref="A636" r:id="rId1675" xr:uid="{00000000-0004-0000-0000-0000F5060000}"/>
    <hyperlink ref="A2478" r:id="rId1676" display="vdB 144" xr:uid="{00000000-0004-0000-0000-0000F6060000}"/>
    <hyperlink ref="A888" r:id="rId1677" display="Berkeley 68 " xr:uid="{00000000-0004-0000-0000-0000F7060000}"/>
    <hyperlink ref="A2615" r:id="rId1678" display="LEDA 2076843" xr:uid="{00000000-0004-0000-0000-0000F8060000}"/>
    <hyperlink ref="A2935" r:id="rId1679" display="Mrk 0231" xr:uid="{00000000-0004-0000-0000-0000F9060000}"/>
    <hyperlink ref="A1396" r:id="rId1680" display="NGC 1154" xr:uid="{00000000-0004-0000-0000-0000FA060000}"/>
    <hyperlink ref="A1777" r:id="rId1681" display="NGC 2452" xr:uid="{00000000-0004-0000-0000-0000FB060000}"/>
    <hyperlink ref="A1892" r:id="rId1682" xr:uid="{00000000-0004-0000-0000-0000FC060000}"/>
    <hyperlink ref="A1912" r:id="rId1683" display="NGC 3504" xr:uid="{00000000-0004-0000-0000-0000FD060000}"/>
    <hyperlink ref="A1957" r:id="rId1684" xr:uid="{00000000-0004-0000-0000-0000FE060000}"/>
    <hyperlink ref="A2084" r:id="rId1685" display="NGC 4593" xr:uid="{00000000-0004-0000-0000-0000FF060000}"/>
    <hyperlink ref="A2093" r:id="rId1686" xr:uid="{00000000-0004-0000-0000-000000070000}"/>
    <hyperlink ref="A2165" r:id="rId1687" display="NGC 5311" xr:uid="{00000000-0004-0000-0000-000001070000}"/>
    <hyperlink ref="A2189" r:id="rId1688" display="NGC 5485" xr:uid="{00000000-0004-0000-0000-000002070000}"/>
    <hyperlink ref="A2183" r:id="rId1689" xr:uid="{00000000-0004-0000-0000-000003070000}"/>
    <hyperlink ref="A2240" r:id="rId1690" display="NGC 5899" xr:uid="{00000000-0004-0000-0000-000004070000}"/>
    <hyperlink ref="A2243" r:id="rId1691" xr:uid="{00000000-0004-0000-0000-000005070000}"/>
    <hyperlink ref="A2245" r:id="rId1692" display="NGC 5915" xr:uid="{00000000-0004-0000-0000-000006070000}"/>
    <hyperlink ref="A2456" r:id="rId1693" xr:uid="{00000000-0004-0000-0000-000008070000}"/>
    <hyperlink ref="A2611" r:id="rId1694" display="NGC 7187" xr:uid="{00000000-0004-0000-0000-000009070000}"/>
    <hyperlink ref="A2520" r:id="rId1695" display="NGC 7332" xr:uid="{00000000-0004-0000-0000-00000A070000}"/>
    <hyperlink ref="A2963" r:id="rId1696" display="NGC 7518" xr:uid="{00000000-0004-0000-0000-00000B070000}"/>
    <hyperlink ref="A2553" r:id="rId1697" display="NGC 7594" xr:uid="{00000000-0004-0000-0000-00000C070000}"/>
    <hyperlink ref="A2554" r:id="rId1698" display="NGC 7619" xr:uid="{00000000-0004-0000-0000-00000D070000}"/>
    <hyperlink ref="A2562" r:id="rId1699" xr:uid="{00000000-0004-0000-0000-00000F070000}"/>
    <hyperlink ref="A1796" r:id="rId1700" display="UGC 04332" xr:uid="{00000000-0004-0000-0000-000010070000}"/>
    <hyperlink ref="A1041" r:id="rId1701" xr:uid="{00000000-0004-0000-0000-000011070000}"/>
    <hyperlink ref="A889" r:id="rId1702" display="IC 0444" xr:uid="{00000000-0004-0000-0000-000012070000}"/>
    <hyperlink ref="A281" r:id="rId1703" xr:uid="{00000000-0004-0000-0000-000013070000}"/>
    <hyperlink ref="A1736" r:id="rId1704" xr:uid="{00000000-0004-0000-0000-000014070000}"/>
    <hyperlink ref="A2338" r:id="rId1705" xr:uid="{00000000-0004-0000-0000-000015070000}"/>
    <hyperlink ref="A1391" r:id="rId1706" xr:uid="{00000000-0004-0000-0000-000016070000}"/>
    <hyperlink ref="A1560" r:id="rId1707" xr:uid="{00000000-0004-0000-0000-000017070000}"/>
    <hyperlink ref="A307" r:id="rId1708" xr:uid="{00000000-0004-0000-0000-000018070000}"/>
    <hyperlink ref="A1747" r:id="rId1709" display="NGC 2327" xr:uid="{00000000-0004-0000-0000-000019070000}"/>
    <hyperlink ref="A1758" r:id="rId1710" xr:uid="{00000000-0004-0000-0000-00001A070000}"/>
    <hyperlink ref="A338" r:id="rId1711" xr:uid="{00000000-0004-0000-0000-00001B070000}"/>
    <hyperlink ref="A391" r:id="rId1712" xr:uid="{00000000-0004-0000-0000-00001C070000}"/>
    <hyperlink ref="A1346" r:id="rId1713" xr:uid="{00000000-0004-0000-0000-00001D070000}"/>
    <hyperlink ref="A2981" r:id="rId1714" xr:uid="{00000000-0004-0000-0000-00001F070000}"/>
    <hyperlink ref="A2990" r:id="rId1715" xr:uid="{00000000-0004-0000-0000-000020070000}"/>
    <hyperlink ref="A2999" r:id="rId1716" xr:uid="{00000000-0004-0000-0000-000021070000}"/>
    <hyperlink ref="A2998" r:id="rId1717" xr:uid="{00000000-0004-0000-0000-000022070000}"/>
    <hyperlink ref="A2996" r:id="rId1718" xr:uid="{00000000-0004-0000-0000-000023070000}"/>
    <hyperlink ref="A2997" r:id="rId1719" xr:uid="{00000000-0004-0000-0000-000024070000}"/>
    <hyperlink ref="A2995" r:id="rId1720" xr:uid="{00000000-0004-0000-0000-000025070000}"/>
    <hyperlink ref="A2986" r:id="rId1721" xr:uid="{00000000-0004-0000-0000-000026070000}"/>
    <hyperlink ref="A3037" r:id="rId1722" xr:uid="{00000000-0004-0000-0000-000027070000}"/>
    <hyperlink ref="A3038" r:id="rId1723" xr:uid="{00000000-0004-0000-0000-000028070000}"/>
    <hyperlink ref="A3039" r:id="rId1724" xr:uid="{00000000-0004-0000-0000-000029070000}"/>
    <hyperlink ref="A1929" r:id="rId1725" xr:uid="{00000000-0004-0000-0000-00002A070000}"/>
    <hyperlink ref="A2253" r:id="rId1726" display="NGC 5982" xr:uid="{00000000-0004-0000-0000-00002D070000}"/>
    <hyperlink ref="A2255" r:id="rId1727" display="NGC 5982" xr:uid="{00000000-0004-0000-0000-00002E070000}"/>
    <hyperlink ref="A2949" r:id="rId1728" xr:uid="{00000000-0004-0000-0000-00002F070000}"/>
    <hyperlink ref="A1447" r:id="rId1729" display="NGC 0023" xr:uid="{00000000-0004-0000-0000-000030070000}"/>
    <hyperlink ref="A1124" r:id="rId1730" display="NGC 0672" xr:uid="{00000000-0004-0000-0000-000031070000}"/>
    <hyperlink ref="A1071" r:id="rId1731" display="IC 0226" xr:uid="{00000000-0004-0000-0000-000032070000}"/>
    <hyperlink ref="A1582" r:id="rId1732" display="NGC 1160" xr:uid="{00000000-0004-0000-0000-000033070000}"/>
    <hyperlink ref="A2814" r:id="rId1733" xr:uid="{00000000-0004-0000-0000-000034070000}"/>
    <hyperlink ref="A1671" r:id="rId1734" display="NGC 1721" xr:uid="{00000000-0004-0000-0000-000035070000}"/>
    <hyperlink ref="A1726" r:id="rId1735" xr:uid="{00000000-0004-0000-0000-000036070000}"/>
    <hyperlink ref="A1142" r:id="rId1736" display="IC 2248" xr:uid="{00000000-0004-0000-0000-000037070000}"/>
    <hyperlink ref="A1904" r:id="rId1737" display="NGC 3454" xr:uid="{00000000-0004-0000-0000-000038070000}"/>
    <hyperlink ref="A1980" r:id="rId1738" display="NGC 4036" xr:uid="{00000000-0004-0000-0000-000039070000}"/>
    <hyperlink ref="A2107" r:id="rId1739" display="NGC 4762" xr:uid="{00000000-0004-0000-0000-00003A070000}"/>
    <hyperlink ref="A2215" r:id="rId1740" display="NGC 5719" xr:uid="{00000000-0004-0000-0000-00003B070000}"/>
    <hyperlink ref="A2223" r:id="rId1741" display="NGC 5774" xr:uid="{00000000-0004-0000-0000-00003C070000}"/>
    <hyperlink ref="A646" r:id="rId1742" xr:uid="{00000000-0004-0000-0000-00003F070000}"/>
    <hyperlink ref="A649" r:id="rId1743" xr:uid="{00000000-0004-0000-0000-000040070000}"/>
    <hyperlink ref="A485" r:id="rId1744" xr:uid="{00000000-0004-0000-0000-000041070000}"/>
    <hyperlink ref="A489" r:id="rId1745" xr:uid="{00000000-0004-0000-0000-000042070000}"/>
    <hyperlink ref="A473" r:id="rId1746" xr:uid="{00000000-0004-0000-0000-000043070000}"/>
    <hyperlink ref="A655" r:id="rId1747" xr:uid="{00000000-0004-0000-0000-000044070000}"/>
    <hyperlink ref="A495" r:id="rId1748" xr:uid="{00000000-0004-0000-0000-000045070000}"/>
    <hyperlink ref="A546" r:id="rId1749" display="M 020" xr:uid="{00000000-0004-0000-0000-000046070000}"/>
    <hyperlink ref="A641" r:id="rId1750" xr:uid="{00000000-0004-0000-0000-000047070000}"/>
    <hyperlink ref="A486" r:id="rId1751" xr:uid="{00000000-0004-0000-0000-000048070000}"/>
    <hyperlink ref="A487" r:id="rId1752" xr:uid="{00000000-0004-0000-0000-000049070000}"/>
    <hyperlink ref="A696" r:id="rId1753" xr:uid="{00000000-0004-0000-0000-00004A070000}"/>
    <hyperlink ref="A697" r:id="rId1754" xr:uid="{00000000-0004-0000-0000-00004B070000}"/>
    <hyperlink ref="A606" r:id="rId1755" xr:uid="{00000000-0004-0000-0000-00004C070000}"/>
    <hyperlink ref="A611" r:id="rId1756" xr:uid="{00000000-0004-0000-0000-00004D070000}"/>
    <hyperlink ref="A633" r:id="rId1757" xr:uid="{00000000-0004-0000-0000-00004E070000}"/>
    <hyperlink ref="A634" r:id="rId1758" display="Barnard 169" xr:uid="{00000000-0004-0000-0000-00004F070000}"/>
    <hyperlink ref="A639" r:id="rId1759" xr:uid="{00000000-0004-0000-0000-000050070000}"/>
    <hyperlink ref="A640" r:id="rId1760" xr:uid="{00000000-0004-0000-0000-000051070000}"/>
    <hyperlink ref="A642" r:id="rId1761" xr:uid="{00000000-0004-0000-0000-000052070000}"/>
    <hyperlink ref="A1106" r:id="rId1762" display="NGC 6395" xr:uid="{00000000-0004-0000-0000-000053070000}"/>
    <hyperlink ref="A2331" r:id="rId1763" display="NGC 6446" xr:uid="{00000000-0004-0000-0000-000054070000}"/>
    <hyperlink ref="A2665" r:id="rId1764" xr:uid="{00000000-0004-0000-0000-000055070000}"/>
    <hyperlink ref="A651" r:id="rId1765" xr:uid="{00000000-0004-0000-0000-000056070000}"/>
    <hyperlink ref="A652" r:id="rId1766" xr:uid="{00000000-0004-0000-0000-000057070000}"/>
    <hyperlink ref="A653" r:id="rId1767" xr:uid="{00000000-0004-0000-0000-000058070000}"/>
    <hyperlink ref="A2350" r:id="rId1768" display="IC 4685" xr:uid="{00000000-0004-0000-0000-000059070000}"/>
    <hyperlink ref="A1169" r:id="rId1769" xr:uid="{00000000-0004-0000-0000-00005A070000}"/>
    <hyperlink ref="A2361" r:id="rId1770" display="M 024" xr:uid="{00000000-0004-0000-0000-00005B070000}"/>
    <hyperlink ref="A1176" r:id="rId1771" xr:uid="{00000000-0004-0000-0000-00005C070000}"/>
    <hyperlink ref="A1178" r:id="rId1772" xr:uid="{00000000-0004-0000-0000-00005D070000}"/>
    <hyperlink ref="A2766" r:id="rId1773" xr:uid="{00000000-0004-0000-0000-00005E070000}"/>
    <hyperlink ref="A2551" r:id="rId1774" display="NGC 7594" xr:uid="{00000000-0004-0000-0000-000060070000}"/>
    <hyperlink ref="A3029" r:id="rId1775" display="M 078" xr:uid="{00000000-0004-0000-0000-000061070000}"/>
    <hyperlink ref="A3030" r:id="rId1776" xr:uid="{00000000-0004-0000-0000-000062070000}"/>
    <hyperlink ref="A3032" r:id="rId1777" xr:uid="{00000000-0004-0000-0000-000063070000}"/>
    <hyperlink ref="A3047" r:id="rId1778" xr:uid="{00000000-0004-0000-0000-000064070000}"/>
    <hyperlink ref="A3048" r:id="rId1779" xr:uid="{00000000-0004-0000-0000-000065070000}"/>
    <hyperlink ref="A3049" r:id="rId1780" xr:uid="{00000000-0004-0000-0000-000066070000}"/>
    <hyperlink ref="A3046" r:id="rId1781" xr:uid="{00000000-0004-0000-0000-000067070000}"/>
    <hyperlink ref="A3042" r:id="rId1782" xr:uid="{00000000-0004-0000-0000-000068070000}"/>
    <hyperlink ref="A2850" r:id="rId1783" xr:uid="{00000000-0004-0000-0000-000069070000}"/>
    <hyperlink ref="A2851" r:id="rId1784" xr:uid="{00000000-0004-0000-0000-00006A070000}"/>
    <hyperlink ref="A2852" r:id="rId1785" xr:uid="{00000000-0004-0000-0000-00006B070000}"/>
    <hyperlink ref="A2853" r:id="rId1786" xr:uid="{00000000-0004-0000-0000-00006C070000}"/>
    <hyperlink ref="A2362" r:id="rId1787" display="M 016" xr:uid="{00000000-0004-0000-0000-00006D070000}"/>
    <hyperlink ref="A2555" r:id="rId1788" xr:uid="{00000000-0004-0000-0000-00006E070000}"/>
    <hyperlink ref="A2881" r:id="rId1789" xr:uid="{00000000-0004-0000-0000-00006F070000}"/>
    <hyperlink ref="A3118" r:id="rId1790" xr:uid="{00000000-0004-0000-0000-000070070000}"/>
    <hyperlink ref="A134" r:id="rId1791" xr:uid="{00000000-0004-0000-0000-000071070000}"/>
    <hyperlink ref="A973" r:id="rId1792" display="GM 1-29" xr:uid="{00000000-0004-0000-0000-000072070000}"/>
    <hyperlink ref="A969" r:id="rId1793" display="NGC 2264" xr:uid="{00000000-0004-0000-0000-000073070000}"/>
    <hyperlink ref="A966" r:id="rId1794" display="NGC 1999" xr:uid="{00000000-0004-0000-0000-000074070000}"/>
    <hyperlink ref="A967" r:id="rId1795" display="NGC 1333" xr:uid="{00000000-0004-0000-0000-000075070000}"/>
    <hyperlink ref="A968" r:id="rId1796" display="NGC 6726" xr:uid="{00000000-0004-0000-0000-000076070000}"/>
    <hyperlink ref="A975" r:id="rId1797" display="Sh2-239" xr:uid="{00000000-0004-0000-0000-000077070000}"/>
    <hyperlink ref="A2972" r:id="rId1798" display="vdB 001" xr:uid="{00000000-0004-0000-0000-000078070000}"/>
    <hyperlink ref="A971" r:id="rId1799" xr:uid="{00000000-0004-0000-0000-000079070000}"/>
    <hyperlink ref="A976" r:id="rId1800" xr:uid="{00000000-0004-0000-0000-00007A070000}"/>
    <hyperlink ref="A1557" r:id="rId1801" display="NGC 0974" xr:uid="{00000000-0004-0000-0000-00007C070000}"/>
    <hyperlink ref="A552" r:id="rId1802" xr:uid="{00000000-0004-0000-0000-00007E070000}"/>
    <hyperlink ref="A737" r:id="rId1803" xr:uid="{00000000-0004-0000-0000-00007F070000}"/>
    <hyperlink ref="A738" r:id="rId1804" xr:uid="{00000000-0004-0000-0000-000080070000}"/>
    <hyperlink ref="A1445" r:id="rId1805" xr:uid="{00000000-0004-0000-0000-000081070000}"/>
    <hyperlink ref="A1509" r:id="rId1806" xr:uid="{00000000-0004-0000-0000-000082070000}"/>
    <hyperlink ref="A2233" r:id="rId1807" display="NGC 5857" xr:uid="{00000000-0004-0000-0000-000083070000}"/>
    <hyperlink ref="AP8" r:id="rId1808" xr:uid="{00000000-0004-0000-0000-00008D070000}"/>
    <hyperlink ref="AN8" r:id="rId1809" xr:uid="{00000000-0004-0000-0000-00008E070000}"/>
    <hyperlink ref="AL8" r:id="rId1810" xr:uid="{00000000-0004-0000-0000-00008F070000}"/>
    <hyperlink ref="AT8" r:id="rId1811" display="Griffiths" xr:uid="{00000000-0004-0000-0000-000090070000}"/>
    <hyperlink ref="AV8" r:id="rId1812" display="Minkowski" xr:uid="{00000000-0004-0000-0000-000091070000}"/>
    <hyperlink ref="AX8" r:id="rId1813" xr:uid="{00000000-0004-0000-0000-000092070000}"/>
    <hyperlink ref="AZ8" r:id="rId1814" xr:uid="{00000000-0004-0000-0000-000093070000}"/>
    <hyperlink ref="BF8" r:id="rId1815" xr:uid="{00000000-0004-0000-0000-000094070000}"/>
    <hyperlink ref="BH8" r:id="rId1816" xr:uid="{00000000-0004-0000-0000-000095070000}"/>
    <hyperlink ref="BC8" r:id="rId1817" xr:uid="{00000000-0004-0000-0000-000098070000}"/>
    <hyperlink ref="A469" r:id="rId1818" xr:uid="{415FAC46-2A0D-41DB-9078-A929B54006CE}"/>
    <hyperlink ref="A1219" r:id="rId1819" xr:uid="{62F7BF72-FA7E-42D8-A672-BA194EB8F0BD}"/>
    <hyperlink ref="A859" r:id="rId1820" xr:uid="{15F4EA60-979A-49A1-82A5-27BA7EB7E361}"/>
    <hyperlink ref="A868" r:id="rId1821" xr:uid="{1815F4AD-70DB-49E4-8264-BBBCAC5D4ED9}"/>
    <hyperlink ref="A1522" r:id="rId1822" xr:uid="{4EBB2FC8-DEAF-43F2-8060-9EF69AF5E4E8}"/>
    <hyperlink ref="A1491" r:id="rId1823" xr:uid="{37C7B5D7-4BA9-48E1-8411-43A5D723B3BD}"/>
    <hyperlink ref="A3001" r:id="rId1824" xr:uid="{68F7BDDE-0329-4166-8DF2-2B8B73E89577}"/>
    <hyperlink ref="A2540" r:id="rId1825" display="NGC 7499" xr:uid="{07148899-7974-43D7-9AEC-953BAA227960}"/>
    <hyperlink ref="A981" r:id="rId1826" xr:uid="{C96B285C-C1DA-4FFD-840C-DDA099BE68FD}"/>
    <hyperlink ref="A1226" r:id="rId1827" xr:uid="{0F4FDF52-4E65-40DF-B897-EEC32AE1B501}"/>
    <hyperlink ref="A2913" r:id="rId1828" xr:uid="{4B0DF214-F69F-47DD-9479-3E5359BA5984}"/>
    <hyperlink ref="A1413" r:id="rId1829" xr:uid="{ADB77833-91A8-4E48-BC6A-11820F2F3C23}"/>
    <hyperlink ref="A2917" r:id="rId1830" xr:uid="{C4857C01-FDA0-4A8B-A9B6-4B711ADBCD78}"/>
    <hyperlink ref="A2731" r:id="rId1831" xr:uid="{8DD84984-F178-4C13-A707-0C2D6D07878F}"/>
    <hyperlink ref="A2393" r:id="rId1832" xr:uid="{55A8FA2B-67CA-478A-807F-64E3EDAF6041}"/>
    <hyperlink ref="A1460" r:id="rId1833" xr:uid="{F299B8F9-E711-4BAC-8D0E-8E9135EADFA4}"/>
    <hyperlink ref="A2527" r:id="rId1834" xr:uid="{E72C93B5-5DE3-4EEA-ACC5-1336E7FA0C47}"/>
    <hyperlink ref="A2832" r:id="rId1835" xr:uid="{3FADEA10-3D87-4F12-AB53-3CEBB98DD195}"/>
    <hyperlink ref="A982" r:id="rId1836" xr:uid="{6833D738-A543-4821-9853-4633A350F520}"/>
    <hyperlink ref="A1080" r:id="rId1837" xr:uid="{663A901E-C62D-49DC-90F4-7A74B5B13027}"/>
    <hyperlink ref="A983" r:id="rId1838" xr:uid="{AF2EA067-1531-4E78-96CF-854DDA1A511E}"/>
    <hyperlink ref="A2582" r:id="rId1839" display="OU2" xr:uid="{7F78A875-46C9-42D6-BEB1-5491CCDA3CAA}"/>
    <hyperlink ref="A1458" r:id="rId1840" xr:uid="{BEB6BAD8-65D5-4E7D-BD0D-0F67D9C7645B}"/>
    <hyperlink ref="A1845" r:id="rId1841" xr:uid="{205EC544-DD33-477C-89BF-5D4C881E4BBC}"/>
    <hyperlink ref="A3136" r:id="rId1842" xr:uid="{084D7C8E-0913-4240-BA0C-95008C1419C7}"/>
    <hyperlink ref="A1172" r:id="rId1843" xr:uid="{460B035E-CA3F-4ED8-B6D9-85D0C2518330}"/>
    <hyperlink ref="A1658" r:id="rId1844" xr:uid="{FBC3BAD5-D105-4271-B9A1-42842C1578DB}"/>
    <hyperlink ref="A1561" r:id="rId1845" xr:uid="{3A825A75-E5C4-430E-9E01-806B3800CBC1}"/>
    <hyperlink ref="A980" r:id="rId1846" xr:uid="{F85D620D-7BC0-4586-B66F-062795895051}"/>
    <hyperlink ref="A1167" r:id="rId1847" xr:uid="{7E469AFE-BD72-44A7-8BE1-C4F28A51206F}"/>
    <hyperlink ref="A2684" r:id="rId1848" display="Sh2-53" xr:uid="{768BB40F-38B1-4ECE-8190-9D88C82B2FFC}"/>
    <hyperlink ref="A993" r:id="rId1849" xr:uid="{5BEB43C0-A076-4F56-8B42-C63DFE138668}"/>
    <hyperlink ref="A1120" r:id="rId1850" xr:uid="{23130CA2-4B97-4E9A-A69F-03E58E195FD4}"/>
    <hyperlink ref="A1121" r:id="rId1851" xr:uid="{17027E37-6210-4AC0-98C6-F49FC23757DA}"/>
    <hyperlink ref="A2607" r:id="rId1852" xr:uid="{578CCC9E-9E6C-4105-BCF8-4267FA810696}"/>
    <hyperlink ref="A1073" r:id="rId1853" xr:uid="{070E49B5-2EFC-489D-B2DB-740973ACBFF4}"/>
    <hyperlink ref="A1248" r:id="rId1854" xr:uid="{FC1AA968-725B-409B-B3CB-19A5520A6D04}"/>
    <hyperlink ref="A1250" r:id="rId1855" xr:uid="{C4497A34-611D-4323-AD10-C0D60A7842F4}"/>
    <hyperlink ref="A1007" r:id="rId1856" xr:uid="{2BB1A286-32D0-420E-B68D-264CDBE5D472}"/>
    <hyperlink ref="A2549" r:id="rId1857" xr:uid="{3526A150-625E-49C2-8A08-33E5EAC04307}"/>
    <hyperlink ref="A841" r:id="rId1858" xr:uid="{20112795-B04D-4878-9C34-E224BDCAE44E}"/>
    <hyperlink ref="A1271" r:id="rId1859" xr:uid="{0101E344-1A9C-4D02-8BA2-56A89DC7FEA0}"/>
    <hyperlink ref="A1882" r:id="rId1860" xr:uid="{D6F38D65-3AEB-40C3-8CEA-E91DEBDE805C}"/>
    <hyperlink ref="A2964" r:id="rId1861" display="UGC 12525" xr:uid="{7F574819-B305-406C-B834-76DA5508A4B5}"/>
    <hyperlink ref="A1115" r:id="rId1862" xr:uid="{9000D18D-7920-4736-9E5C-4D6C4A6C39B8}"/>
    <hyperlink ref="A1246" r:id="rId1863" xr:uid="{81B0ADA4-0EC5-4CBB-8F3B-452D0A57AB1B}"/>
    <hyperlink ref="A1564" r:id="rId1864" xr:uid="{AFA5FE6E-014D-45CE-9E93-417DF78D7BF7}"/>
    <hyperlink ref="A2902" r:id="rId1865" xr:uid="{C502F671-D70F-4E73-A42D-3EC3235E744C}"/>
    <hyperlink ref="A2959" r:id="rId1866" xr:uid="{32ED2D63-DC6A-41A3-81D7-C2C3DABA7A93}"/>
    <hyperlink ref="A1942" r:id="rId1867" display="NGC 3721" xr:uid="{AC5F7BAE-DA83-438A-B581-72E80D547D59}"/>
    <hyperlink ref="A1832" r:id="rId1868" xr:uid="{CD03EB70-18FF-449F-B3E5-59C3182C3299}"/>
    <hyperlink ref="A1098" r:id="rId1869" xr:uid="{7CEB0092-6730-4C74-BC87-9550E7BD72A9}"/>
    <hyperlink ref="A1099" r:id="rId1870" display="IC 0749" xr:uid="{17C0CA40-E422-4FA0-B068-36F16090F855}"/>
    <hyperlink ref="A1830" r:id="rId1871" xr:uid="{BD6446EA-1F8C-43D7-8794-71CC593AD4CD}"/>
    <hyperlink ref="A2479" r:id="rId1872" xr:uid="{86710CD5-052A-4B61-A82A-B3605028EC31}"/>
    <hyperlink ref="A2606" r:id="rId1873" display="PGC 0046461" xr:uid="{68C15924-E4D9-42AD-98B9-922681BADAEE}"/>
    <hyperlink ref="A2605" r:id="rId1874" display="PGC 0046461" xr:uid="{7FB3DB86-6130-4010-B3C1-8232655246C9}"/>
    <hyperlink ref="A2137" r:id="rId1875" display="PGC 0046461" xr:uid="{DEF00485-DB4B-4404-BE6C-9A826D6CFBC3}"/>
    <hyperlink ref="A1213" r:id="rId1876" xr:uid="{9C5146D0-0652-42C2-B548-C9A2C49028CE}"/>
    <hyperlink ref="A1544" r:id="rId1877" display="NGC 0829" xr:uid="{C647927B-0D6A-4359-A467-EE52264B7558}"/>
    <hyperlink ref="A2212" r:id="rId1878" display="NGC 5689" xr:uid="{72D5D7D8-DC8F-4B92-9310-99A71158EF79}"/>
    <hyperlink ref="A873" r:id="rId1879" display="FR-23" xr:uid="{7C959C5C-DB76-4C26-811B-71AB438D311A}"/>
    <hyperlink ref="A2471" r:id="rId1880" xr:uid="{76F9CA30-FFFB-460C-B556-3DA1467F69CF}"/>
    <hyperlink ref="A1811" r:id="rId1881" xr:uid="{DB737199-4C5F-4BAC-8FF1-73E4B8BD0758}"/>
    <hyperlink ref="A3120" r:id="rId1882" xr:uid="{4BE65839-004A-43B7-92F2-E97273DBF85A}"/>
    <hyperlink ref="A2507" r:id="rId1883" xr:uid="{08629400-1B9B-47A1-A99C-33A155A509EB}"/>
    <hyperlink ref="A1856" r:id="rId1884" xr:uid="{68E487AE-4BEF-4B3C-8229-359031EF6ACE}"/>
    <hyperlink ref="A1252" r:id="rId1885" xr:uid="{684CAB2D-33DD-4E6E-81F0-016461B89319}"/>
    <hyperlink ref="A1602" r:id="rId1886" xr:uid="{17A43370-3665-400C-AB96-0E04FE2CAF07}"/>
    <hyperlink ref="A1949" r:id="rId1887" xr:uid="{66847255-6C1D-4EA6-B7F0-26D49A8DFC70}"/>
    <hyperlink ref="A3144" r:id="rId1888" xr:uid="{48DBC0B0-4F78-46F9-BA1F-95FD47C8BC27}"/>
    <hyperlink ref="A1605" r:id="rId1889" xr:uid="{35BEA9FF-3866-4472-8AC4-0D69014605AA}"/>
    <hyperlink ref="A898" r:id="rId1890" xr:uid="{1847BFCB-2BC4-4AF7-92ED-3C29E697A51E}"/>
    <hyperlink ref="A1634" r:id="rId1891" xr:uid="{53A70479-D1D0-40AF-AEA0-ACC16DA43D8B}"/>
    <hyperlink ref="A2620" r:id="rId1892" xr:uid="{C1C3EAB5-E911-4CCA-B7AB-7F20D72611BC}"/>
    <hyperlink ref="A2487" r:id="rId1893" display="NGC 7147" xr:uid="{EE45DA34-C481-4965-8331-FB739BCAAE6F}"/>
    <hyperlink ref="A1642" r:id="rId1894" xr:uid="{BF533367-680E-4F26-8F04-A32C442D7078}"/>
    <hyperlink ref="A1443" r:id="rId1895" xr:uid="{9A540D63-EBC2-4F23-8B4F-D9DC3F53808E}"/>
    <hyperlink ref="A1419" r:id="rId1896" xr:uid="{B865E2CB-4721-4E01-8ABD-90AFE27BDDE2}"/>
    <hyperlink ref="A883" r:id="rId1897" display="Bran 23" xr:uid="{6BF1A5A9-FA97-4881-B311-0B246004A2CE}"/>
    <hyperlink ref="A1451" r:id="rId1898" display="NGC 0051" xr:uid="{F6E363B7-BE9F-441A-9B5B-22BFDD5F0541}"/>
    <hyperlink ref="A869" r:id="rId1899" xr:uid="{F9FE15C9-7B50-4EA4-BE51-7D77E8758A21}"/>
    <hyperlink ref="A2956" r:id="rId1900" xr:uid="{7F89858E-FC50-4090-BF60-D6DE948E54D6}"/>
    <hyperlink ref="A2980" r:id="rId1901" xr:uid="{D456DB58-4E3E-4D08-83A9-107F20884375}"/>
    <hyperlink ref="A1810" r:id="rId1902" xr:uid="{F6CE4D93-8DFC-4937-94ED-1701849206DF}"/>
    <hyperlink ref="A2467" r:id="rId1903" xr:uid="{106C8D32-2670-4B34-BE27-7B234057026B}"/>
    <hyperlink ref="A1584" r:id="rId1904" xr:uid="{24AA88FB-0921-4E6A-A381-EDB41290210B}"/>
    <hyperlink ref="A1421" r:id="rId1905" xr:uid="{9D2F9507-0CC1-44CB-B769-7DBE55C5E2FC}"/>
    <hyperlink ref="A2571" r:id="rId1906" xr:uid="{6F3BE367-71BD-4438-8806-07B993577A86}"/>
    <hyperlink ref="A2589" r:id="rId1907" xr:uid="{1D9DE841-7B35-4C0C-B478-20D3E06561C3}"/>
    <hyperlink ref="A1448" r:id="rId1908" display="NGC 0027" xr:uid="{FA28BF68-52F7-4922-9080-05DD480B79F5}"/>
    <hyperlink ref="A2197" r:id="rId1909" xr:uid="{BB03ED3B-DA6D-4186-8AEE-2AFD6A893D2C}"/>
    <hyperlink ref="A1182" r:id="rId1910" xr:uid="{72D65927-E994-4B0A-A372-F6AC0B76B6C4}"/>
    <hyperlink ref="A2482" r:id="rId1911" xr:uid="{B6E40C9F-8052-4B5E-A882-4ED6E0D931EE}"/>
    <hyperlink ref="A1116" r:id="rId1912" xr:uid="{2205237E-D10C-4A88-8E55-66DD1A2C8D53}"/>
    <hyperlink ref="A2812" r:id="rId1913" xr:uid="{05908ACE-ACEC-4790-AA35-56812D63B8D5}"/>
    <hyperlink ref="A1221" r:id="rId1914" xr:uid="{FEE2F3AC-3986-4DE2-8F40-2A383B05B6F9}"/>
    <hyperlink ref="A2489" r:id="rId1915" xr:uid="{E537A2AE-8633-4F1B-A140-5CA313D3DCBF}"/>
    <hyperlink ref="A1731" r:id="rId1916" xr:uid="{48FDA0C6-912D-4EE5-94D4-ED810D266C8C}"/>
    <hyperlink ref="A2988" r:id="rId1917" xr:uid="{DD553439-64FD-43C9-9A4E-CF67ACE22950}"/>
    <hyperlink ref="A2259" r:id="rId1918" xr:uid="{331F3B64-5B43-4C12-ADFA-C2B5FF8FBF92}"/>
    <hyperlink ref="A1683" r:id="rId1919" xr:uid="{FAFA2ABB-9FFB-4564-ADA1-5C460F03BF91}"/>
    <hyperlink ref="A1621" r:id="rId1920" xr:uid="{B022BAB9-7F1A-49A7-9E6C-F6B9DAB9019B}"/>
    <hyperlink ref="A2258" r:id="rId1921" display="NGC 5992" xr:uid="{87CD9879-2D73-4BBE-841A-4A8EED2F9FEB}"/>
    <hyperlink ref="A2811" r:id="rId1922" xr:uid="{47FEAF87-95DA-4962-A3EF-E757F8780C39}"/>
    <hyperlink ref="A1704" r:id="rId1923" xr:uid="{60678348-580C-41BF-837D-C15771A386FE}"/>
    <hyperlink ref="A1883" r:id="rId1924" xr:uid="{80D1A371-FC6F-4BF2-B4EF-FBF1AF6ED8F2}"/>
    <hyperlink ref="A2236" r:id="rId1925" xr:uid="{A0E3497B-EA70-4101-8C26-85ABEDA617A6}"/>
    <hyperlink ref="A2147" r:id="rId1926" xr:uid="{4A14A4BC-BE6D-47B5-8A3B-538839976561}"/>
    <hyperlink ref="A2148" r:id="rId1927" display="NGC 5183" xr:uid="{08F67A8F-EAC9-4C31-B8C1-517B95779E76}"/>
    <hyperlink ref="A1733" r:id="rId1928" display="NGC 2274" xr:uid="{336B436B-5D12-4F37-BF79-67575E7CB987}"/>
    <hyperlink ref="A2503" r:id="rId1929" xr:uid="{97F71418-3868-4419-8EA8-5A7DB1D00542}"/>
    <hyperlink ref="A2275" r:id="rId1930" xr:uid="{9F2A0CCE-ACCE-4C86-900A-ACE46BA01CD0}"/>
    <hyperlink ref="A1532" r:id="rId1931" xr:uid="{4550D846-F510-4CFD-B9B6-3F326A8A2C47}"/>
    <hyperlink ref="A3125" r:id="rId1932" xr:uid="{E974C9AE-09C1-480A-9C82-EC1F62FDB281}"/>
    <hyperlink ref="A1101" r:id="rId1933" xr:uid="{ABCE83E0-278D-420B-8BC3-DBE1484184CB}"/>
    <hyperlink ref="A1434" r:id="rId1934" display="Mrk 331" xr:uid="{75EA236B-6760-4D82-BFB0-A0E553C59CA1}"/>
    <hyperlink ref="A2015" r:id="rId1935" xr:uid="{E0981D64-55BC-4BC7-9F0D-61174298F1D5}"/>
    <hyperlink ref="A1576" r:id="rId1936" xr:uid="{D0BB8DD0-ED73-4DA5-89CF-FC7D5B35A344}"/>
    <hyperlink ref="A1119" r:id="rId1937" display="IC 1510" xr:uid="{623CBF24-8130-4190-B103-D8407BAE36EC}"/>
    <hyperlink ref="A1021" r:id="rId1938" xr:uid="{AD7F6075-C278-4710-961D-DAC9CE9E922C}"/>
    <hyperlink ref="A2203" r:id="rId1939" xr:uid="{CF700963-F38C-43C6-B36F-8F81638E2633}"/>
    <hyperlink ref="A1753" r:id="rId1940" xr:uid="{A5B947B0-1B34-4252-9A8F-F78B90924F2D}"/>
    <hyperlink ref="A2566" r:id="rId1941" xr:uid="{05FF44CF-04B5-46FB-AFE2-9081798EA380}"/>
    <hyperlink ref="A1029" r:id="rId1942" xr:uid="{C8273104-0A7A-42DF-9FF0-69DC547BA520}"/>
    <hyperlink ref="A1039" r:id="rId1943" xr:uid="{FE57E666-ED70-43D9-948B-CD8C4A9A7427}"/>
    <hyperlink ref="A2916" r:id="rId1944" xr:uid="{07241C4F-88BB-4754-B575-2C299D884852}"/>
    <hyperlink ref="A866" r:id="rId1945" xr:uid="{EF26A121-CCFF-498E-8DEA-94CC75F06A2D}"/>
    <hyperlink ref="A1069" r:id="rId1946" xr:uid="{DF41FEA9-0E3C-4C6C-AA33-2ADDDA75E76E}"/>
    <hyperlink ref="A1009" r:id="rId1947" xr:uid="{3B364AF5-583E-4EA1-9D95-A779BEC5072D}"/>
    <hyperlink ref="A1020" r:id="rId1948" xr:uid="{D918B561-3EE1-4B3A-BC6F-D0BF96C532E6}"/>
    <hyperlink ref="A885" r:id="rId1949" xr:uid="{4BD5C239-A6BA-4B9D-98B8-B7EE971B8119}"/>
    <hyperlink ref="A1031" r:id="rId1950" xr:uid="{D2CF75EF-F4EA-46B1-837C-0210C26BFC90}"/>
    <hyperlink ref="A1208" r:id="rId1951" xr:uid="{10166CC9-0645-47EF-9CA9-90608EFEE30E}"/>
    <hyperlink ref="A1038" r:id="rId1952" xr:uid="{8C2978CC-3BEF-4AD8-8023-BA85D6006DA9}"/>
    <hyperlink ref="A1068" r:id="rId1953" xr:uid="{A2C09BF4-EDBC-4631-AE4D-B473AFA24550}"/>
    <hyperlink ref="A884" r:id="rId1954" xr:uid="{711CE8FA-8EDD-4D3C-A51B-9015E889A248}"/>
    <hyperlink ref="A827" r:id="rId1955" display="CGCG 459-66" xr:uid="{C80D0B77-B6F7-44D3-8E0B-C1EF7053F620}"/>
    <hyperlink ref="A1048" r:id="rId1956" xr:uid="{5F4D79B0-DA5B-41A1-A579-70338A5B54A4}"/>
    <hyperlink ref="A1214" r:id="rId1957" xr:uid="{34608457-3B8C-4669-A31F-B6D85E8B1ABF}"/>
    <hyperlink ref="A1025" r:id="rId1958" xr:uid="{2EFABF15-052B-4B7D-9CCB-298A8DB7D8AE}"/>
    <hyperlink ref="A2965" r:id="rId1959" xr:uid="{A6AA27B9-235D-4085-A866-F482E00DC648}"/>
    <hyperlink ref="A1010" r:id="rId1960" xr:uid="{1197659C-885D-474A-A03F-AE5B50311185}"/>
    <hyperlink ref="A1199" r:id="rId1961" display="Kohoutek 1-8" xr:uid="{485A722F-FBBA-4441-8DE5-77360349F4E6}"/>
    <hyperlink ref="A1016" r:id="rId1962" xr:uid="{D231B415-E51A-4F3B-B286-D8750B8787C8}"/>
    <hyperlink ref="A1611" r:id="rId1963" xr:uid="{5FC0618C-ABA9-4980-ABE8-B545165CFA53}"/>
    <hyperlink ref="A1012" r:id="rId1964" xr:uid="{1AD92430-5AD3-4C55-BA2C-44298435D7D6}"/>
    <hyperlink ref="A1660" r:id="rId1965" xr:uid="{4A2D4CDF-BBA6-4443-A4F9-3A2C679B6AB2}"/>
    <hyperlink ref="A1033" r:id="rId1966" xr:uid="{26BB0818-ADB4-4026-B50C-426C49C93063}"/>
    <hyperlink ref="A1103" r:id="rId1967" xr:uid="{F7244B45-9491-4CAD-A702-7568B24F2719}"/>
    <hyperlink ref="A1011" r:id="rId1968" xr:uid="{D7FE888E-A3EE-4C12-8BF9-574EB1AE405C}"/>
    <hyperlink ref="A1646" r:id="rId1969" xr:uid="{EB038D41-74BE-4017-A48B-12B006FD1196}"/>
    <hyperlink ref="A1046" r:id="rId1970" xr:uid="{D9F8CBA1-2443-4C59-BFE3-A15EB08FB7BC}"/>
    <hyperlink ref="A1482" r:id="rId1971" xr:uid="{C9BE4E57-0ADC-461B-B5C6-ACD8C596EF33}"/>
    <hyperlink ref="A1034" r:id="rId1972" xr:uid="{98E5EE95-A12E-445B-AAEE-7D10C8F084BD}"/>
    <hyperlink ref="A1013" r:id="rId1973" xr:uid="{7AF3B96E-332D-4C54-87BC-2F089AFFE750}"/>
    <hyperlink ref="A1601" r:id="rId1974" xr:uid="{0589AF17-D3E2-41C0-9E6B-AE5082007ECC}"/>
    <hyperlink ref="A1015" r:id="rId1975" xr:uid="{D2CE8763-7D12-4A4F-B53E-BA03D780D392}"/>
    <hyperlink ref="A1632" r:id="rId1976" xr:uid="{527AD997-D005-4908-B89C-65EE5C6D39EB}"/>
    <hyperlink ref="A1027" r:id="rId1977" xr:uid="{4825261C-EBAD-4633-BE53-0A2A50F2113B}"/>
    <hyperlink ref="A1591" r:id="rId1978" xr:uid="{8C6C9866-6555-44CF-8DE2-7762B4F4309B}"/>
    <hyperlink ref="A1480" r:id="rId1979" xr:uid="{9EE00560-4616-45B1-AB33-2B57E6479900}"/>
    <hyperlink ref="A2309" r:id="rId1980" display="NGC 6350" xr:uid="{F24FF42E-6BF4-4386-81D7-9A691E1B5E14}"/>
    <hyperlink ref="A1673" r:id="rId1981" xr:uid="{622D1515-7D87-4F7C-9A6A-0CFF508B73CB}"/>
    <hyperlink ref="A1504" r:id="rId1982" xr:uid="{B7634F66-3B27-4716-8F9A-766EE8069546}"/>
    <hyperlink ref="A1018" r:id="rId1983" xr:uid="{251531A9-53D4-4A35-8311-7339960B9094}"/>
    <hyperlink ref="A1720" r:id="rId1984" xr:uid="{15AC15D4-E152-4E60-9DB9-A31662DA7325}"/>
    <hyperlink ref="A1750" r:id="rId1985" display="NGC 2340" xr:uid="{9D2E90FA-3F97-43F2-B567-7DC50C3A721B}"/>
    <hyperlink ref="A1037" r:id="rId1986" xr:uid="{665C41E7-0633-4F05-B50D-685AA881F22D}"/>
    <hyperlink ref="A2153" r:id="rId1987" xr:uid="{155EB198-C790-4993-8CB9-9992AAD9420A}"/>
    <hyperlink ref="A2235" r:id="rId1988" xr:uid="{4F030D7A-B4A4-4CB4-89C7-2C15FC795C98}"/>
    <hyperlink ref="A2310" r:id="rId1989" display="NGC 6351" xr:uid="{1AD0B3D9-5552-4A28-B38C-962BE4FC453D}"/>
    <hyperlink ref="A1426" r:id="rId1990" xr:uid="{E52EB8E0-9E81-4DE4-A7E2-C5BF28CDB30F}"/>
    <hyperlink ref="A1606" r:id="rId1991" xr:uid="{6DC209E9-EB28-4DF4-A00F-F2D056E8DDB2}"/>
    <hyperlink ref="A1017" r:id="rId1992" xr:uid="{EDE45037-A3AC-4841-BECE-753943687A22}"/>
    <hyperlink ref="A2175" r:id="rId1993" xr:uid="{2820E6E6-324C-44A2-8F4C-1F52E7F9769D}"/>
    <hyperlink ref="A1024" r:id="rId1994" xr:uid="{854DB0C5-A568-49CE-ABC3-C3C63A6BEFE1}"/>
    <hyperlink ref="A1023" r:id="rId1995" xr:uid="{67BCCB77-E9CD-4BA4-87BD-CB9BF0553F3E}"/>
    <hyperlink ref="A2434" r:id="rId1996" xr:uid="{EA821099-565C-4DA9-ABF0-861497BFDA4D}"/>
    <hyperlink ref="A1428" r:id="rId1997" xr:uid="{37F0C246-7531-4A64-8797-104CFB2A76F7}"/>
    <hyperlink ref="A2379" r:id="rId1998" display="NGC 6703" xr:uid="{C8DD4A80-1EA9-4ACA-B4F9-565C278FBCE7}"/>
    <hyperlink ref="A1026" r:id="rId1999" xr:uid="{5C16354F-DE92-4DB3-9D24-9BE7BDDDDF67}"/>
    <hyperlink ref="A2612" r:id="rId2000" xr:uid="{F3D13610-B855-4209-9616-DD94376AF299}"/>
    <hyperlink ref="A1014" r:id="rId2001" xr:uid="{9D2D204D-3F1A-45B9-A28E-EB416C0FC5FC}"/>
    <hyperlink ref="A1019" r:id="rId2002" xr:uid="{6BCB6E6C-8EBA-4DAA-938C-A1F100B6F78C}"/>
    <hyperlink ref="A2412" r:id="rId2003" xr:uid="{0A93D0E5-1CCA-46A5-80BD-50019EE792FA}"/>
    <hyperlink ref="A2268" r:id="rId2004" xr:uid="{1B4182F0-7621-4162-AEDF-898D74738F60}"/>
    <hyperlink ref="A1022" r:id="rId2005" xr:uid="{AF1FB05A-4CE0-4B7C-A9CB-5AEA076F43C3}"/>
    <hyperlink ref="A2545" r:id="rId2006" display="NGC 7567" xr:uid="{D93FCC41-BB18-4D08-B9C5-F4C20B934927}"/>
    <hyperlink ref="A2531" r:id="rId2007" xr:uid="{2DD7A1DF-CF4D-44D9-BC85-E509E3480281}"/>
    <hyperlink ref="A1032" r:id="rId2008" xr:uid="{641FE075-DDDD-4DB0-82E5-AFBB5F2B10CA}"/>
    <hyperlink ref="A2488" r:id="rId2009" xr:uid="{A6038242-4409-4012-A9EF-9AE6E3A69419}"/>
    <hyperlink ref="A2523" r:id="rId2010" xr:uid="{731E0DC5-82C2-415D-835A-61B3348850D6}"/>
    <hyperlink ref="A2112" r:id="rId2011" xr:uid="{2570877B-1015-4CD6-BB6D-C56023017ECF}"/>
    <hyperlink ref="A950" r:id="rId2012" xr:uid="{C152D365-52EC-4DBD-AD58-20F5A9C5BC29}"/>
    <hyperlink ref="A1095" r:id="rId2013" xr:uid="{F46407ED-CFFB-4890-AFF6-5BA3DCC6FCF7}"/>
    <hyperlink ref="A2217" r:id="rId2014" xr:uid="{03315A09-4570-49FA-8041-8CA8D8726427}"/>
    <hyperlink ref="A2646" r:id="rId2015" xr:uid="{1B0B247D-631A-413A-9471-06AE8FA729BF}"/>
    <hyperlink ref="A3062" r:id="rId2016" xr:uid="{3C27C1C0-EE78-4B1A-9DD3-8A7ABA8D4C5E}"/>
    <hyperlink ref="A1205" r:id="rId2017" xr:uid="{28980D07-CEB9-49FD-91FD-1ABACD8FC703}"/>
    <hyperlink ref="A1160" r:id="rId2018" xr:uid="{469E9EA0-FE48-4AA6-900A-F9FA4BFA3F23}"/>
    <hyperlink ref="A1984" r:id="rId2019" xr:uid="{4971D86D-CBAC-4980-B895-41EC76C655BA}"/>
    <hyperlink ref="A111" r:id="rId2020" xr:uid="{72BE5C0A-44A9-4B4B-B5C6-546C28587898}"/>
    <hyperlink ref="A2273" r:id="rId2021" xr:uid="{EA73E2F7-4341-4327-A5AF-7259A71BBED8}"/>
    <hyperlink ref="A2316" r:id="rId2022" xr:uid="{7F14A88F-378F-4F8E-B09E-FCDE5074BE23}"/>
    <hyperlink ref="A1261" r:id="rId2023" display="LDN 587" xr:uid="{28BE7C25-8549-4BF1-9B88-0CD17B5B71C7}"/>
    <hyperlink ref="A1943" r:id="rId2024" xr:uid="{6E4E57D5-1201-4F3C-BBBF-DEDD13654DD8}"/>
    <hyperlink ref="A2209" r:id="rId2025" xr:uid="{352C042B-831D-4869-B2FC-159321E047A0}"/>
    <hyperlink ref="A1961" r:id="rId2026" xr:uid="{DAA0A700-BF26-4DFE-BE8A-C68C8F34CE9A}"/>
    <hyperlink ref="A2070" r:id="rId2027" xr:uid="{F23B3BDB-46DA-4D7E-ADF8-BDD5EF8ACF5D}"/>
    <hyperlink ref="A2500" r:id="rId2028" xr:uid="{163E0CA7-D837-4713-B243-BB2A799D91CE}"/>
    <hyperlink ref="A1258" r:id="rId2029" xr:uid="{9082E88B-9A4C-4371-9E46-F5F55C808F0C}"/>
    <hyperlink ref="A2334" r:id="rId2030" display="NGC 6473" xr:uid="{58B207CA-ED53-41A9-85A4-F0B88B6D6390}"/>
    <hyperlink ref="A2206" r:id="rId2031" display="NGC 5638" xr:uid="{5509526B-B471-43F9-A790-0975A7E9B33F}"/>
    <hyperlink ref="A2469" r:id="rId2032" xr:uid="{D3FF1379-FEA8-4E1D-9CA1-94505CBFF3E0}"/>
    <hyperlink ref="A2092" r:id="rId2033" xr:uid="{F51FC0A6-3C3C-4B59-8B0C-5AD870CBF7EA}"/>
    <hyperlink ref="A1870" r:id="rId2034" xr:uid="{43B4410B-926D-41B8-9BF5-51FE7105D64F}"/>
    <hyperlink ref="A1407" r:id="rId2035" xr:uid="{8B54BB28-5017-4479-9E4E-5A6DC099DCB7}"/>
    <hyperlink ref="A1950" r:id="rId2036" xr:uid="{B64630C0-9936-4701-AE89-B4BAB81E7DAE}"/>
    <hyperlink ref="A2122" r:id="rId2037" xr:uid="{5BDED1B0-AE88-478A-8E53-CA8AAECF6EA5}"/>
    <hyperlink ref="A2103" r:id="rId2038" xr:uid="{921F4911-0131-4845-8BE2-06007A41A7DE}"/>
    <hyperlink ref="A1410" r:id="rId2039" xr:uid="{3B825117-7A0E-434C-AA99-6384195949DE}"/>
    <hyperlink ref="A2139" r:id="rId2040" xr:uid="{C351455D-BDD8-47B0-90FD-8B96EC8AC671}"/>
    <hyperlink ref="A2225" r:id="rId2041" xr:uid="{549476B6-C220-4EC2-AC6F-06868CCC7F76}"/>
    <hyperlink ref="A2211" r:id="rId2042" xr:uid="{D413D991-4405-426E-A25D-9AF9D782956A}"/>
    <hyperlink ref="A2509" r:id="rId2043" xr:uid="{D0819E7B-F018-4B31-9CAE-91301764EBE0}"/>
    <hyperlink ref="A2466" r:id="rId2044" xr:uid="{94B81013-D279-4640-8122-00FC9BB61167}"/>
    <hyperlink ref="A2196" r:id="rId2045" display="NGC 5576" xr:uid="{7D12FFF7-E1B5-4EC5-A2D2-605D5D2750BB}"/>
    <hyperlink ref="A1242" r:id="rId2046" xr:uid="{ED920363-A86A-4D69-9F7C-C684FABCC069}"/>
    <hyperlink ref="A2544" r:id="rId2047" display="NGC 7562" xr:uid="{364C968A-EC10-4557-A200-E114768C0DE5}"/>
    <hyperlink ref="A1162" r:id="rId2048" display="IC 4566 Galaxy Group" xr:uid="{076A8582-67F9-4D33-8F34-7945B8597575}"/>
    <hyperlink ref="A2510" r:id="rId2049" display="NGC 7265" xr:uid="{9CD38C1F-6032-4D3A-A561-8F07DC074356}"/>
    <hyperlink ref="A2679" r:id="rId2050" xr:uid="{342CE8A6-05D4-457D-8C31-0C495287FD7C}"/>
    <hyperlink ref="A2439" r:id="rId2051" xr:uid="{09937C5A-A21A-4F62-A1FE-1A96C07F1304}"/>
    <hyperlink ref="A703" r:id="rId2052" xr:uid="{925E0E99-654F-4810-ABA4-3BA8E0EA2E96}"/>
    <hyperlink ref="A498" r:id="rId2053" xr:uid="{20B96257-D446-44EC-85E4-8D3120267438}"/>
    <hyperlink ref="A499" r:id="rId2054" xr:uid="{7B175516-32A3-4833-8A12-48448D9DF028}"/>
    <hyperlink ref="A938" r:id="rId2055" xr:uid="{4EF5E216-7CC0-4CDF-A13C-817E7EF39DDD}"/>
    <hyperlink ref="A939" r:id="rId2056" xr:uid="{80316DB9-0371-4331-9640-9C673B3AB854}"/>
    <hyperlink ref="AM8" r:id="rId2057" xr:uid="{D0632F9C-2311-47EC-9576-AE79ED541907}"/>
    <hyperlink ref="AO8" r:id="rId2058" xr:uid="{BEE65DF8-1C79-40B0-83D5-FB40424790CB}"/>
    <hyperlink ref="AS8" r:id="rId2059" xr:uid="{967AD7F9-AF7C-49DC-B28C-F454ECC6D8B9}"/>
    <hyperlink ref="AU8" r:id="rId2060" display="Kohoutek" xr:uid="{6814F8C5-E74C-4722-9F3B-CCFA86053630}"/>
    <hyperlink ref="AW8" r:id="rId2061" display="Barnard" xr:uid="{C2C4CD6C-CE99-459D-AE30-DA6ADD1EC610}"/>
    <hyperlink ref="AY8" r:id="rId2062" xr:uid="{BF66B494-278F-4C0D-8816-BC352B3754D7}"/>
    <hyperlink ref="BB8" r:id="rId2063" xr:uid="{E360E7DD-D2B8-4BAC-AA4B-91C1FB217894}"/>
    <hyperlink ref="BD8" r:id="rId2064" xr:uid="{570AA058-3CD1-4C85-8C7A-7C09CD3A13F8}"/>
    <hyperlink ref="BE8" r:id="rId2065" xr:uid="{F2596F80-D95A-4373-A619-DCAAE779F232}"/>
    <hyperlink ref="BG8" r:id="rId2066" xr:uid="{BAC322A5-164C-4073-9799-F526B09D7761}"/>
    <hyperlink ref="A72" r:id="rId2067" xr:uid="{ED886350-AE95-45EB-9687-33983761F3BC}"/>
    <hyperlink ref="A40" r:id="rId2068" xr:uid="{3F1254F8-34F0-4413-98ED-A09BCA27DDAF}"/>
    <hyperlink ref="A39" r:id="rId2069" xr:uid="{C9EE084C-012B-4658-A72B-6F2424AF4C67}"/>
    <hyperlink ref="A15" r:id="rId2070" xr:uid="{525B266B-0C96-4118-BA27-B6F0B0F5922A}"/>
    <hyperlink ref="A16" r:id="rId2071" xr:uid="{56C6D30E-5B01-412F-A687-0766754E7C4F}"/>
    <hyperlink ref="A29" r:id="rId2072" xr:uid="{38A3B6C6-260D-4F5E-AEAA-DCA7B6D1DF5B}"/>
    <hyperlink ref="A42" r:id="rId2073" xr:uid="{A8C73FB8-87ED-4CDA-B378-B66AAABF460D}"/>
    <hyperlink ref="A43" r:id="rId2074" xr:uid="{9929833F-313D-4DDA-B0C9-972CD0ED3089}"/>
    <hyperlink ref="A50" r:id="rId2075" xr:uid="{FC307D6F-E574-4EB8-9EC2-552AAB53A130}"/>
    <hyperlink ref="A68" r:id="rId2076" xr:uid="{FF441B16-070F-4EE8-9DA2-9E2476136CA9}"/>
    <hyperlink ref="A86" r:id="rId2077" xr:uid="{542AA17A-4914-41D4-A546-D744BE6557EF}"/>
    <hyperlink ref="A77" r:id="rId2078" xr:uid="{36636155-987D-4024-93F3-92CD1F4F1D90}"/>
    <hyperlink ref="A63" r:id="rId2079" xr:uid="{C34430C1-B2F0-4E06-ADAF-628C152EC4EA}"/>
    <hyperlink ref="A85" r:id="rId2080" xr:uid="{E6780811-78FA-446A-8607-7DA134B096EB}"/>
    <hyperlink ref="A78" r:id="rId2081" xr:uid="{9D4BF627-7C79-4C21-A2CC-CFF0F46144B9}"/>
    <hyperlink ref="A14" r:id="rId2082" xr:uid="{5827EAD4-D4CE-4953-B1FB-A9F6272755DB}"/>
    <hyperlink ref="A79" r:id="rId2083" xr:uid="{80E88128-734F-4F70-9B04-09740635F254}"/>
    <hyperlink ref="A82" r:id="rId2084" xr:uid="{9B05C462-308C-4F48-B3F6-A0454945803B}"/>
    <hyperlink ref="A12" r:id="rId2085" display="Sh2-189" xr:uid="{F21E843B-021F-4CA7-8C14-95B8CC84C685}"/>
    <hyperlink ref="A91" r:id="rId2086" xr:uid="{B1921D77-7B36-4255-BF93-C451B01FF606}"/>
    <hyperlink ref="A17" r:id="rId2087" xr:uid="{B22ABF9B-4942-4A84-A9EA-C7A8018473F8}"/>
    <hyperlink ref="A41" r:id="rId2088" xr:uid="{FEDE058A-285D-4755-954B-563E002FAD82}"/>
    <hyperlink ref="A31" r:id="rId2089" xr:uid="{892855ED-7FB1-4332-93BB-EFAE6740A895}"/>
    <hyperlink ref="A57" r:id="rId2090" xr:uid="{9B23AABA-C12B-450F-99E4-421114646795}"/>
    <hyperlink ref="A44" r:id="rId2091" xr:uid="{F3B32846-6A96-42A1-B832-18FA62F11797}"/>
    <hyperlink ref="A92" r:id="rId2092" xr:uid="{E51403BE-A0BF-461B-9156-803BF01793BC}"/>
    <hyperlink ref="A11" r:id="rId2093" xr:uid="{00FD7F43-9B0C-41E2-ACF7-2106AC021F2A}"/>
    <hyperlink ref="A13" r:id="rId2094" xr:uid="{4FC90DC8-6996-4079-BA65-C85D0CC7F2E8}"/>
    <hyperlink ref="A88" r:id="rId2095" xr:uid="{A37940AF-CF01-4C45-9A32-60A105A405B0}"/>
    <hyperlink ref="A53" r:id="rId2096" xr:uid="{7CBE3B50-EB49-47C1-BAAC-709BBF2DEA9A}"/>
    <hyperlink ref="A89" r:id="rId2097" xr:uid="{611A6909-1D9B-4147-A44E-88B0528DCFA3}"/>
    <hyperlink ref="A93" r:id="rId2098" xr:uid="{573A1E9C-0560-4E76-A3AD-DD385C09F55C}"/>
    <hyperlink ref="A19" r:id="rId2099" xr:uid="{279D2478-83DB-43B8-B2F6-DFE470EDF65B}"/>
    <hyperlink ref="A84" r:id="rId2100" xr:uid="{BEA95188-BC53-44C8-AF6B-F9C819659B00}"/>
    <hyperlink ref="A10" r:id="rId2101" xr:uid="{86DD8104-85FE-4B3A-B99B-56C83F7220C2}"/>
    <hyperlink ref="A55" r:id="rId2102" xr:uid="{F769E951-AE39-4C9F-9AC4-3D8380511EE9}"/>
    <hyperlink ref="A21" r:id="rId2103" xr:uid="{A7B39F16-369D-4777-A6F9-21667C243D20}"/>
    <hyperlink ref="A69" r:id="rId2104" xr:uid="{165C11AA-9550-4A70-A1C6-A51D3D777AEF}"/>
    <hyperlink ref="A22" r:id="rId2105" xr:uid="{516E246F-7BB1-4E29-AB55-2CA7795B7E5A}"/>
    <hyperlink ref="A61" r:id="rId2106" xr:uid="{FD81446B-9F24-40CE-8A21-0E96F9A2A0AA}"/>
    <hyperlink ref="A76" r:id="rId2107" xr:uid="{0C966F4B-194C-40CA-9B33-A79498B90EC0}"/>
    <hyperlink ref="A73" r:id="rId2108" xr:uid="{98600BF0-8AAE-4D10-B0E2-C1C018AC8771}"/>
    <hyperlink ref="A81" r:id="rId2109" xr:uid="{061F75AF-554E-492C-B5EA-ED7F9DE7A9D7}"/>
    <hyperlink ref="A87" r:id="rId2110" xr:uid="{1799181C-8506-474A-9AA0-484AF9286796}"/>
    <hyperlink ref="A90" r:id="rId2111" xr:uid="{09CC9F43-3C3C-431A-B535-C3262E5874E1}"/>
    <hyperlink ref="A74" r:id="rId2112" xr:uid="{D32366EC-3A79-4397-8271-9266CE720577}"/>
    <hyperlink ref="A37" r:id="rId2113" xr:uid="{19349D67-87D0-43EB-8AB0-FBD5E941965F}"/>
    <hyperlink ref="A65" r:id="rId2114" xr:uid="{442C6952-D5D8-4BEE-9576-BB4EF2D7F436}"/>
    <hyperlink ref="A80" r:id="rId2115" xr:uid="{09DC7308-A807-46CA-9E41-D2D738D673DB}"/>
    <hyperlink ref="A23" r:id="rId2116" xr:uid="{AEFA99A7-F4B0-41C6-969C-198C0C214766}"/>
    <hyperlink ref="A33" r:id="rId2117" xr:uid="{7D3BE828-E2EC-4D8F-99E0-9E4B03019077}"/>
    <hyperlink ref="A34" r:id="rId2118" xr:uid="{517CD40C-8988-4F88-A119-360378D16CED}"/>
    <hyperlink ref="A35" r:id="rId2119" xr:uid="{5F7C27D9-ED77-437C-A55D-E8180F4601AF}"/>
    <hyperlink ref="A26" r:id="rId2120" xr:uid="{595208EB-EE15-46F7-83A4-A04FC69F2E47}"/>
    <hyperlink ref="A28" r:id="rId2121" xr:uid="{1BF8D8B4-3819-4D5C-98F3-99F1AF9E681A}"/>
    <hyperlink ref="A18" r:id="rId2122" xr:uid="{3518A322-374E-4A77-880B-36D1C0CBB1D5}"/>
    <hyperlink ref="A25" r:id="rId2123" xr:uid="{EB3B1966-05D8-40B4-A4CE-968765BD743C}"/>
    <hyperlink ref="A32" r:id="rId2124" xr:uid="{5B2C0C82-8819-4808-87D2-EB7588C90A19}"/>
    <hyperlink ref="A30" r:id="rId2125" xr:uid="{1B7751CA-8552-4D77-98F2-8650DDC76439}"/>
    <hyperlink ref="A36" r:id="rId2126" xr:uid="{31C7FFBC-B14D-40FC-976D-D1124A5519DF}"/>
    <hyperlink ref="A24" r:id="rId2127" xr:uid="{CA6F9C34-6880-4D64-B4EF-9DEC9C689B77}"/>
    <hyperlink ref="A27" r:id="rId2128" xr:uid="{CE6B773F-DEF1-444C-BA3B-00632CD253E5}"/>
    <hyperlink ref="A75" r:id="rId2129" xr:uid="{E6ECE611-3138-4B8A-AA04-EE6FDEF984CA}"/>
    <hyperlink ref="A70" r:id="rId2130" xr:uid="{123520C8-8CF5-4337-9B52-D638D15E6D01}"/>
    <hyperlink ref="A45" r:id="rId2131" xr:uid="{005C5B20-1E91-4A15-8D45-F6D7886BB18C}"/>
    <hyperlink ref="A38" r:id="rId2132" xr:uid="{ED34BE18-8779-41C4-8952-1CE9A83CAFC4}"/>
    <hyperlink ref="A47" r:id="rId2133" xr:uid="{BEA5DF95-F62A-42B3-9CBC-0A2BF449F0E6}"/>
    <hyperlink ref="A46" r:id="rId2134" xr:uid="{EC664F90-2E07-493E-A080-E3731D7B82A7}"/>
    <hyperlink ref="A48" r:id="rId2135" xr:uid="{39292FA4-C604-44E1-994D-EDC4FB232656}"/>
    <hyperlink ref="A49" r:id="rId2136" xr:uid="{DCE8675E-DF40-46CE-AFF9-F32AB508F221}"/>
    <hyperlink ref="A52" r:id="rId2137" xr:uid="{F027E125-C958-4F52-A904-6979737880BB}"/>
    <hyperlink ref="A51" r:id="rId2138" xr:uid="{F33485EC-3FDE-4060-BF66-3B3DFA101C8E}"/>
    <hyperlink ref="A54" r:id="rId2139" xr:uid="{520E6BE2-BDC9-4360-863F-92A872073AE6}"/>
    <hyperlink ref="A56" r:id="rId2140" xr:uid="{FD86BE57-E6A4-4DDB-90D8-349DD1566761}"/>
    <hyperlink ref="A58" r:id="rId2141" xr:uid="{C35C4DBB-E0B2-4C50-88B9-16DAB7412750}"/>
    <hyperlink ref="A62" r:id="rId2142" xr:uid="{B481A855-AA98-437D-94E5-328087BD23F8}"/>
    <hyperlink ref="A67" r:id="rId2143" xr:uid="{2CC9EA08-E671-4B53-8EF9-B9FBB469AAF0}"/>
    <hyperlink ref="A59" r:id="rId2144" xr:uid="{C69BBAAF-FD60-472C-A478-C2B978FF296C}"/>
    <hyperlink ref="A66" r:id="rId2145" xr:uid="{A066E6D3-7301-43AB-9767-D83574690D74}"/>
    <hyperlink ref="A64" r:id="rId2146" xr:uid="{8665182C-A6A1-4797-B4AD-77C7567A504A}"/>
    <hyperlink ref="A60" r:id="rId2147" xr:uid="{2D4FBD20-787E-4D30-8841-449ADF272E3E}"/>
    <hyperlink ref="A2667" r:id="rId2148" xr:uid="{47816EEA-79F8-4FAF-999D-B3462DC4F255}"/>
    <hyperlink ref="A947" r:id="rId2149" display="Sh2-054" xr:uid="{1FB82897-1E33-427A-923C-E34CC44C7B48}"/>
    <hyperlink ref="A1662" r:id="rId2150" display="Sh2-212" xr:uid="{DE642D7F-1435-4182-BEEA-29BED6088DF9}"/>
    <hyperlink ref="A1700" r:id="rId2151" display="M 078" xr:uid="{31754B08-8F5F-4B63-9374-657DA75DA433}"/>
    <hyperlink ref="A1707" r:id="rId2152" xr:uid="{63054DF8-A752-4D79-B848-FB9DA1664B44}"/>
    <hyperlink ref="A2919" r:id="rId2153" xr:uid="{CFFB9F96-357B-491F-A798-AE8367EFBC67}"/>
    <hyperlink ref="A527" r:id="rId2154" xr:uid="{44D9AA82-96DB-405B-A1D5-4159564F551C}"/>
    <hyperlink ref="A533" r:id="rId2155" xr:uid="{F3C7E98C-9802-4B62-86DC-C0CC2477DAD3}"/>
    <hyperlink ref="A528" r:id="rId2156" xr:uid="{A1F6F7B2-1AF3-4885-B8CD-0076D59144D5}"/>
    <hyperlink ref="A529" r:id="rId2157" xr:uid="{D4B34E9B-C45A-4B39-AFDA-0AFCF714BE3B}"/>
    <hyperlink ref="A530" r:id="rId2158" xr:uid="{08FE1F6B-6447-4860-A846-F87CE9BC5073}"/>
    <hyperlink ref="A532" r:id="rId2159" xr:uid="{49F2E6FE-6659-4218-9FF1-120E9BEA4808}"/>
    <hyperlink ref="A535" r:id="rId2160" xr:uid="{638B3A5A-3E85-4A40-97B4-356F113C26BF}"/>
    <hyperlink ref="A523" r:id="rId2161" xr:uid="{1624B96B-87BC-49D2-8610-B4A80742AFA3}"/>
    <hyperlink ref="A524" r:id="rId2162" xr:uid="{9A22F61E-B226-40CC-AC07-EEC11EF957DA}"/>
    <hyperlink ref="A685" r:id="rId2163" xr:uid="{BBE63881-D835-46ED-B742-3ECB45773481}"/>
    <hyperlink ref="A679" r:id="rId2164" xr:uid="{1C5A7B27-1027-48B3-A4D5-FC98D94185CB}"/>
    <hyperlink ref="A526" r:id="rId2165" xr:uid="{546BE3FF-E69B-4B4B-BCFA-BA58A540AF58}"/>
    <hyperlink ref="A704" r:id="rId2166" xr:uid="{9455E767-EBF8-4467-AD5D-0718F07AF94A}"/>
    <hyperlink ref="A574" r:id="rId2167" xr:uid="{AFF0464F-5EE3-448E-8F6E-B9E0055B66C5}"/>
    <hyperlink ref="A571" r:id="rId2168" xr:uid="{CC73E1C0-6C4B-4651-85DA-D2E2FBB67C7E}"/>
    <hyperlink ref="A568" r:id="rId2169" xr:uid="{5E351F97-E4B6-49F4-8BA3-BCFE2A8E8C67}"/>
    <hyperlink ref="A567" r:id="rId2170" xr:uid="{BC039ABA-C14A-498C-BCC6-03976A1B5975}"/>
    <hyperlink ref="A572" r:id="rId2171" xr:uid="{F767160A-FE0B-4B68-90F8-1782A942CA8C}"/>
    <hyperlink ref="A612" r:id="rId2172" xr:uid="{001CFD9F-BF7E-4E39-8609-D82AEE39C53A}"/>
    <hyperlink ref="A705" r:id="rId2173" xr:uid="{ACDA9374-7BE5-4A1B-B7FD-AA58FD4025DC}"/>
    <hyperlink ref="A538" r:id="rId2174" xr:uid="{408CB892-A4B0-470D-A1A2-FB425B114631}"/>
    <hyperlink ref="A549" r:id="rId2175" xr:uid="{8E5FADFF-3287-40A6-837F-F99CAD0A0C67}"/>
    <hyperlink ref="A550" r:id="rId2176" xr:uid="{79EF739A-3780-44AE-9852-CCC6F90BFBFB}"/>
    <hyperlink ref="A731" r:id="rId2177" xr:uid="{A2988BC3-4047-44F0-BF4F-C23528EF63E4}"/>
    <hyperlink ref="A802" r:id="rId2178" xr:uid="{D6654E26-A685-4587-B28B-F512F4F44C1E}"/>
    <hyperlink ref="A626" r:id="rId2179" xr:uid="{FFBE682A-7028-4C60-B57E-47E6F715981D}"/>
    <hyperlink ref="A625" r:id="rId2180" xr:uid="{553C2FF7-BDE9-4654-85E4-9BB8B22B2874}"/>
    <hyperlink ref="A623" r:id="rId2181" xr:uid="{E976A37C-4335-4AB7-9052-B53EE62A92A5}"/>
    <hyperlink ref="A624" r:id="rId2182" xr:uid="{9B5D55AF-DD2F-44AC-AB65-43AFD3E95033}"/>
    <hyperlink ref="A790" r:id="rId2183" xr:uid="{9C69691C-28B1-458A-8220-7502586C611C}"/>
    <hyperlink ref="A460" r:id="rId2184" xr:uid="{B57B6158-FD3C-4B33-9552-1ED477F6B9F2}"/>
    <hyperlink ref="A897" r:id="rId2185" xr:uid="{80F15219-4F52-4F26-9D33-9CCF41F53F63}"/>
    <hyperlink ref="A1260" r:id="rId2186" display="LDN 564" xr:uid="{AE934A89-9131-49CE-AEB1-BD5864805C36}"/>
    <hyperlink ref="A553" r:id="rId2187" xr:uid="{D8ABA359-86FA-4FED-AFB7-2FD7CE4A645A}"/>
    <hyperlink ref="A554" r:id="rId2188" xr:uid="{F49E485B-8464-407A-9692-BBFA49704749}"/>
    <hyperlink ref="A2696" r:id="rId2189" xr:uid="{C8DD11E3-DD50-4B5A-A345-D536DF67888F}"/>
    <hyperlink ref="A2982" r:id="rId2190" xr:uid="{7DAF2277-0CA2-4C34-BFAE-D382A20AB594}"/>
    <hyperlink ref="A3043" r:id="rId2191" xr:uid="{93AD5965-5245-4806-BFF6-45344ACD9493}"/>
    <hyperlink ref="A3044" r:id="rId2192" xr:uid="{B412CD75-FF55-44E1-BCF1-79CBDEE6F122}"/>
    <hyperlink ref="A1548" r:id="rId2193" xr:uid="{AC2D4E0E-8A3F-4583-B80D-F5CDF5777DD8}"/>
    <hyperlink ref="A537" r:id="rId2194" xr:uid="{F27E1733-E0BB-45E7-89BB-D0C2D39A9AFD}"/>
    <hyperlink ref="A699" r:id="rId2195" xr:uid="{8DAE78D3-BD7B-4FCF-BF34-67F81B0F90B0}"/>
    <hyperlink ref="A700" r:id="rId2196" xr:uid="{6891053F-60C4-4771-BC71-962E76E268DE}"/>
    <hyperlink ref="A1672" r:id="rId2197" xr:uid="{00000000-0004-0000-0000-00003A020000}"/>
    <hyperlink ref="A2910" r:id="rId2198" display="NGC 7025" xr:uid="{6FDC0398-0F35-4301-A0BE-E548B6BAA05B}"/>
    <hyperlink ref="A814" r:id="rId2199" display="IC 4592" xr:uid="{8238EB59-AFB8-45E7-A094-DB8FCD4525CF}"/>
    <hyperlink ref="A2642" r:id="rId2200" display="NGC 2327" xr:uid="{6ECE3769-48D2-457A-8A71-9B0EDAAE834A}"/>
    <hyperlink ref="A985" r:id="rId2201" xr:uid="{EB47B47E-C16B-4EDC-A6FE-6100E85FD02E}"/>
    <hyperlink ref="A989" r:id="rId2202" xr:uid="{FD8E053C-F371-4E4D-B5BD-69019CDA4F0E}"/>
    <hyperlink ref="A990" r:id="rId2203" xr:uid="{D40CE777-AEBC-4963-9C57-866A320CF4DB}"/>
    <hyperlink ref="A994" r:id="rId2204" xr:uid="{09F0F81F-0DC5-4B6F-BA47-DDA5F7A52615}"/>
    <hyperlink ref="A995" r:id="rId2205" xr:uid="{43A2A1D3-15A0-4682-B0D7-A2E1067A279F}"/>
    <hyperlink ref="A999" r:id="rId2206" xr:uid="{C67F9DB0-95FC-4B9D-A1D7-CFB6AAE8E6DE}"/>
    <hyperlink ref="A2895" r:id="rId2207" xr:uid="{019B844C-64AB-459F-A7FB-05373CFC5E14}"/>
    <hyperlink ref="A2380" r:id="rId2208" xr:uid="{484EDEC6-A1A3-4EC9-882E-BD76C375D8E6}"/>
    <hyperlink ref="A2985" r:id="rId2209" xr:uid="{01C4D5F8-9E20-4682-BDA0-88956E6C33BD}"/>
    <hyperlink ref="A2282" r:id="rId2210" xr:uid="{8C8BC0D7-9285-498B-8CE4-D24222C71506}"/>
    <hyperlink ref="AT4" r:id="rId2211" xr:uid="{F8F25628-FA7E-4C78-ADCD-5C0AA3AFBBD4}"/>
    <hyperlink ref="A1724" r:id="rId2212" display="NGC 2237" xr:uid="{21A6B829-DE96-4301-8374-CDD1AE5699D5}"/>
    <hyperlink ref="A1979" r:id="rId2213" display="Arp 244" xr:uid="{81135ECA-D4C3-4F76-AA96-1882DB2E6B4D}"/>
    <hyperlink ref="A1674" r:id="rId2214" display="NGC 1750" xr:uid="{AF5F7E11-2C4F-4A1C-ACFB-99E510112AFD}"/>
    <hyperlink ref="A1871" r:id="rId2215" display="Arp 094" xr:uid="{AD6E255D-CC1E-4313-B4B0-3510BAA1B78F}"/>
    <hyperlink ref="A1771" r:id="rId2216" display="M 046" xr:uid="{CCED236B-88A4-4573-8CD7-7143028C777B}"/>
    <hyperlink ref="A2050" r:id="rId2217" xr:uid="{0E6D2D0B-6050-464B-B7B5-F6F926B26435}"/>
    <hyperlink ref="A2427" r:id="rId2218" display="NGC 6885" xr:uid="{F3A0EDE5-28D4-42B7-ADB9-3A1E72CC52F2}"/>
    <hyperlink ref="A2062" r:id="rId2219" xr:uid="{AFCE3651-6EEF-4543-8C32-F79F3C8B8EB3}"/>
    <hyperlink ref="A1541" r:id="rId2220" xr:uid="{6528E4F3-81C8-44B1-BC05-DD0C0C43337A}"/>
    <hyperlink ref="A1476" r:id="rId2221" xr:uid="{5EBF7A09-7707-4D4D-B3AD-131CE75F4B3D}"/>
    <hyperlink ref="A1837" r:id="rId2222" xr:uid="{10112E69-F379-45A6-B731-EDC6AA11692E}"/>
    <hyperlink ref="A1944" r:id="rId2223" xr:uid="{8B2F84BF-A481-4D7E-8D05-DABC8F943B77}"/>
    <hyperlink ref="A2414" r:id="rId2224" xr:uid="{1DCD151D-D472-4856-954C-7A5D34D43FD4}"/>
    <hyperlink ref="A521" r:id="rId2225" xr:uid="{6E8EBA8A-CD01-4E02-ADF3-ED78A0DDB972}"/>
    <hyperlink ref="A1431" r:id="rId2226" xr:uid="{93BAC4C8-1218-4875-98EA-FD7543629C77}"/>
    <hyperlink ref="A954" r:id="rId2227" xr:uid="{6E5E535D-100F-4997-9C83-652F9BCAB17E}"/>
    <hyperlink ref="A1585" r:id="rId2228" xr:uid="{96865A7F-57D6-4F03-B449-2A9C23968580}"/>
    <hyperlink ref="A467" r:id="rId2229" xr:uid="{D7424F96-3D39-48C9-A2AC-147A1D69C423}"/>
    <hyperlink ref="A468" r:id="rId2230" xr:uid="{53A654F0-F438-455F-AE73-11769DEB1D32}"/>
    <hyperlink ref="A470" r:id="rId2231" xr:uid="{6F6ACAA5-18BD-41D4-A797-9DCACC233FC5}"/>
    <hyperlink ref="A471" r:id="rId2232" xr:uid="{75E7B167-9197-4FB1-A988-CBF07D77F338}"/>
    <hyperlink ref="A472" r:id="rId2233" xr:uid="{F42A2828-1259-4154-800A-442D8697C080}"/>
    <hyperlink ref="A645" r:id="rId2234" xr:uid="{88C1A4E2-2D8C-417B-A2D4-496548DF2048}"/>
    <hyperlink ref="A826" r:id="rId2235" xr:uid="{0D0CB8A7-9C3C-44DE-8C27-660FEBECACCE}"/>
    <hyperlink ref="A881" r:id="rId2236" xr:uid="{7BA05125-C334-4A9B-86A8-E4BD7F033410}"/>
    <hyperlink ref="A957" r:id="rId2237" xr:uid="{48C5CDA0-A940-4180-AA01-D8C9B64FE50D}"/>
    <hyperlink ref="A1188" r:id="rId2238" xr:uid="{61E9A459-8BF7-4DF8-A4E4-ABFCA76CF259}"/>
    <hyperlink ref="A1195" r:id="rId2239" xr:uid="{D5380EA2-FF64-4B9B-9C51-C0015977D130}"/>
    <hyperlink ref="A1231" r:id="rId2240" xr:uid="{E9DFE797-579E-4422-8A7C-E4B3E2DD4BD4}"/>
    <hyperlink ref="A1498" r:id="rId2241" xr:uid="{27602B7B-9223-46B6-B3BB-18EAD68CD4B9}"/>
    <hyperlink ref="A1501" r:id="rId2242" xr:uid="{7B388FBF-271F-4022-AE2A-2F27F7335566}"/>
    <hyperlink ref="A1503" r:id="rId2243" xr:uid="{95FABA29-36A4-4F5D-8D21-0EE75AA5A67D}"/>
    <hyperlink ref="A1516" r:id="rId2244" xr:uid="{DE17D1C3-3328-4E4A-A13D-54B6900DD3EE}"/>
    <hyperlink ref="A1572" r:id="rId2245" xr:uid="{BE5A6D03-DC54-4C6C-AD5F-E2E91427ABAF}"/>
    <hyperlink ref="A1604" r:id="rId2246" xr:uid="{8AEBD618-A1FB-42C5-AB39-43FD7591AB74}"/>
    <hyperlink ref="A1723" r:id="rId2247" xr:uid="{B960DD6A-F0F4-4816-B4F8-EC4E0B37A43F}"/>
    <hyperlink ref="A2584" r:id="rId2248" xr:uid="{5E5E36C0-1F83-42B0-9723-26C7D7D2B0E9}"/>
    <hyperlink ref="A2670" r:id="rId2249" xr:uid="{A9B4E75E-D545-4D3F-8AA6-8B8E86569122}"/>
    <hyperlink ref="A3134" r:id="rId2250" xr:uid="{360323D0-75E9-4595-8A94-75D8CEAEE50C}"/>
    <hyperlink ref="A3140" r:id="rId2251" xr:uid="{D0F17874-979A-4A38-8C55-7256E94BAE80}"/>
    <hyperlink ref="BI8" r:id="rId2252" display="SP" xr:uid="{1D863E4F-6568-410C-BCB2-F1CDC96B1C0B}"/>
    <hyperlink ref="A880" r:id="rId2253" xr:uid="{8E516769-B329-4F72-8659-65763AF39812}"/>
    <hyperlink ref="A1232" r:id="rId2254" xr:uid="{5955D2FB-027E-4A3E-83E5-D7FE80EE3C15}"/>
    <hyperlink ref="A832" r:id="rId2255" xr:uid="{32EEF0DB-F811-460B-B23F-FD4BDC842388}"/>
    <hyperlink ref="A3003" r:id="rId2256" xr:uid="{F7BD7F37-C803-4F93-8545-2A910F719219}"/>
    <hyperlink ref="A482" r:id="rId2257" xr:uid="{BFDD4D01-0F4E-4726-BE8C-1884FF8D878A}"/>
    <hyperlink ref="A483" r:id="rId2258" xr:uid="{430C4833-5F9D-479E-B020-32647B9DE22A}"/>
    <hyperlink ref="A808" r:id="rId2259" xr:uid="{FE963593-3C52-437A-AF2C-26CD41D7AD50}"/>
    <hyperlink ref="A478" r:id="rId2260" xr:uid="{EF714531-7AA7-4769-9807-8F2D2E4D0B43}"/>
    <hyperlink ref="A479" r:id="rId2261" xr:uid="{E84013C3-265F-4513-A95B-5DAF792FB785}"/>
    <hyperlink ref="A494" r:id="rId2262" xr:uid="{EBF4614D-24C6-41E3-9C27-3DA7EB1C70EE}"/>
    <hyperlink ref="A882" r:id="rId2263" xr:uid="{053998DF-45E5-443F-8497-55B87EC86F84}"/>
    <hyperlink ref="A1266" r:id="rId2264" xr:uid="{9AAAE8B7-4EA5-4F96-96F6-CFE98E74EB66}"/>
    <hyperlink ref="A2994" r:id="rId2265" xr:uid="{B79A5D22-C811-4AA0-8B75-8615F110529E}"/>
    <hyperlink ref="A2843" r:id="rId2266" xr:uid="{275C882C-5200-455D-ABDD-DE7C4394E2C6}"/>
    <hyperlink ref="A2776" r:id="rId2267" xr:uid="{B2727185-5E0D-48B1-A976-C7DFB48C682C}"/>
    <hyperlink ref="A1847" r:id="rId2268" xr:uid="{E604C32F-E7B3-45AF-8590-FAEA00CEB05D}"/>
    <hyperlink ref="A474" r:id="rId2269" xr:uid="{80B26BF3-A01E-4B37-A727-7F571F9FEDAC}"/>
    <hyperlink ref="A475" r:id="rId2270" xr:uid="{B6D4BD01-397A-4E76-8A7B-A4CA2FB0528F}"/>
    <hyperlink ref="A476" r:id="rId2271" xr:uid="{1EA8DF4D-DF0D-4B3C-95CB-F668683A4CE1}"/>
    <hyperlink ref="A902" r:id="rId2272" xr:uid="{BD46C4B2-95BE-4F22-9C8C-B5EF5F9AF27D}"/>
    <hyperlink ref="A905" r:id="rId2273" xr:uid="{8A726A5D-C3B4-4FF6-AFDB-D9221BB44E9E}"/>
    <hyperlink ref="A906" r:id="rId2274" xr:uid="{AECFCDAA-D623-4F0F-A94E-44815718ADBD}"/>
    <hyperlink ref="A895" r:id="rId2275" xr:uid="{FA06B696-E334-4762-B0A3-1D7A2A12B9CD}"/>
    <hyperlink ref="A2752" r:id="rId2276" xr:uid="{6065268E-3566-4B3F-82DC-C5A6841C9EEF}"/>
    <hyperlink ref="A2756" r:id="rId2277" xr:uid="{59B156E4-E6B4-4B86-8166-02C560E968A6}"/>
    <hyperlink ref="A1977" r:id="rId2278" xr:uid="{DBF8EB58-F3F1-4E69-A963-2AF0D943FC2F}"/>
    <hyperlink ref="A2888" r:id="rId2279" xr:uid="{F1D7919B-07E7-46EA-A78A-EDDB242D4217}"/>
    <hyperlink ref="A644" r:id="rId2280" xr:uid="{AD79EC29-73B9-495D-B47C-B04A71F18AD7}"/>
    <hyperlink ref="A2065" r:id="rId2281" xr:uid="{D2145A55-E90D-4928-9071-34AD32D23FC2}"/>
    <hyperlink ref="A3033" r:id="rId2282" xr:uid="{CDFDD482-4024-4FB6-BD02-D6D6F3DB3B36}"/>
    <hyperlink ref="A2903" r:id="rId2283" xr:uid="{3BD870A2-D3BB-4497-A682-8C8F26CF5429}"/>
    <hyperlink ref="A463" r:id="rId2284" xr:uid="{4D02649A-BC63-4936-A091-338FB0C83A93}"/>
    <hyperlink ref="A2987" r:id="rId2285" xr:uid="{FCAD98F3-3D18-4FA2-B15B-B2D7D72B4C9D}"/>
    <hyperlink ref="A3014" r:id="rId2286" xr:uid="{C5DBB23C-2129-4534-82A4-C8C6496C48C1}"/>
    <hyperlink ref="A1891" r:id="rId2287" xr:uid="{F6306476-3E54-4509-A44D-6285B2224220}"/>
    <hyperlink ref="A2763" r:id="rId2288" xr:uid="{EEE12E64-1AC9-4944-AC38-ECEE12EA60B5}"/>
    <hyperlink ref="A2764" r:id="rId2289" xr:uid="{BCBB7EAE-95A4-4B7E-9310-2BC0D481EFC5}"/>
    <hyperlink ref="A2765" r:id="rId2290" xr:uid="{8F8F0C8F-4339-473F-9663-7F266E9AA632}"/>
    <hyperlink ref="A2759" r:id="rId2291" xr:uid="{2FFA6BF2-334C-4A86-B9A5-87E8DEF8C877}"/>
    <hyperlink ref="A2770" r:id="rId2292" xr:uid="{37AD2D27-0FF6-4338-A14F-4996D979BD31}"/>
    <hyperlink ref="A2979" r:id="rId2293" xr:uid="{17FCD335-9617-4568-8C6B-80876D0DA2C7}"/>
    <hyperlink ref="A1539" r:id="rId2294" xr:uid="{C1662E38-A80F-42E1-A4C8-50028E46322B}"/>
    <hyperlink ref="A1577" r:id="rId2295" xr:uid="{243932B0-D3AB-4BDE-A598-BDA02203DB38}"/>
    <hyperlink ref="A693" r:id="rId2296" xr:uid="{E8FC3D40-31D4-44D1-9F5E-A9773AC3D8D2}"/>
    <hyperlink ref="A635" r:id="rId2297" xr:uid="{D6297DF6-332E-4E7E-A093-18B1D5A476BE}"/>
    <hyperlink ref="A803" r:id="rId2298" xr:uid="{19D6536E-1BD9-4F3F-986F-BF134A7B9C41}"/>
    <hyperlink ref="A892" r:id="rId2299" xr:uid="{297FBBAD-E306-481D-8BE9-E015E329D070}"/>
    <hyperlink ref="A804" r:id="rId2300" xr:uid="{9AE36D69-27D4-4A29-9010-12B41FD0BD7D}"/>
    <hyperlink ref="A658" r:id="rId2301" xr:uid="{A6412661-DF9B-460A-8C3A-794A3458A3B4}"/>
    <hyperlink ref="A763" r:id="rId2302" xr:uid="{F2A0C5EC-D6A6-4FB5-B17A-FD356D0B95BD}"/>
    <hyperlink ref="A742" r:id="rId2303" xr:uid="{26AF3B5F-4B39-4660-B8D7-61F355768CC7}"/>
    <hyperlink ref="A739" r:id="rId2304" xr:uid="{0426EF5A-782C-4B9B-A6E4-082234CB9F98}"/>
    <hyperlink ref="A497" r:id="rId2305" xr:uid="{E8329183-FE27-4DBF-AC34-0046F5E02FB3}"/>
    <hyperlink ref="A496" r:id="rId2306" xr:uid="{61A402F1-E5D4-44A7-9070-61EAE31DFC57}"/>
    <hyperlink ref="A660" r:id="rId2307" xr:uid="{445603E9-9961-452B-AB15-B72B3DB11148}"/>
    <hyperlink ref="A491" r:id="rId2308" xr:uid="{9031921E-F635-42AB-8DF6-AE93262A2FE8}"/>
    <hyperlink ref="A490" r:id="rId2309" xr:uid="{9CEB7DDF-D4F8-405D-9E51-BBEAABFD0CD2}"/>
    <hyperlink ref="A477" r:id="rId2310" xr:uid="{3F6C091B-4351-410F-8ABD-A1076222116D}"/>
    <hyperlink ref="A701" r:id="rId2311" xr:uid="{BFC7F0D5-39A7-4F6C-AA95-FC85895E47A8}"/>
    <hyperlink ref="A702" r:id="rId2312" xr:uid="{D0B706E3-7488-44E9-BDF0-DBBAB4F08793}"/>
    <hyperlink ref="A690" r:id="rId2313" xr:uid="{45E34664-D704-4DF9-8AEB-5C760E6C299C}"/>
    <hyperlink ref="A536" r:id="rId2314" xr:uid="{0D89936D-0970-4773-9202-41BF715F3F5B}"/>
    <hyperlink ref="A637" r:id="rId2315" xr:uid="{A22EEA9D-6CA5-4C7E-A8B8-DDB15552F9BB}"/>
    <hyperlink ref="A461" r:id="rId2316" xr:uid="{86B848E2-6AD6-41CA-9DDB-B8599C27EA45}"/>
    <hyperlink ref="A2808" r:id="rId2317" xr:uid="{A47AA7FE-AEDC-4500-A284-8A697FF106D2}"/>
    <hyperlink ref="A2806" r:id="rId2318" xr:uid="{00C5B224-7CA4-402E-A1E8-36CE102CCA2C}"/>
    <hyperlink ref="A2804" r:id="rId2319" xr:uid="{109D584A-7CF5-4239-A661-690C144A44E1}"/>
    <hyperlink ref="A2784" r:id="rId2320" xr:uid="{FCA80DC3-1848-493B-B4D3-2357D6B24488}"/>
    <hyperlink ref="A2738" r:id="rId2321" xr:uid="{4D7ED2A1-B3C4-4A33-AF5A-9285E1ACF82A}"/>
    <hyperlink ref="A2680" r:id="rId2322" xr:uid="{20C0582B-4ADD-4BAA-A45F-548BA76CF86C}"/>
    <hyperlink ref="A2675" r:id="rId2323" xr:uid="{CB288CD4-C000-412A-AC12-A11ECE96A314}"/>
    <hyperlink ref="A945" r:id="rId2324" xr:uid="{47684E2E-6AB4-40B1-B908-0A15ED0A6297}"/>
    <hyperlink ref="A944" r:id="rId2325" xr:uid="{7DD13942-39FD-4916-AC6A-C71D9D6733F5}"/>
    <hyperlink ref="A894" r:id="rId2326" xr:uid="{CC825256-2E34-4BB4-96B2-C08B9E52AC31}"/>
    <hyperlink ref="A3097" r:id="rId2327" xr:uid="{3AC4CA02-FE57-42BB-8CEE-84ECAE16DDAC}"/>
    <hyperlink ref="A3078" r:id="rId2328" xr:uid="{CC80B4B0-85E0-4DB5-BA22-9CD1DD5A9041}"/>
    <hyperlink ref="A3057" r:id="rId2329" xr:uid="{F74A412F-7B92-49D7-8F1D-2C79C18B7CF2}"/>
    <hyperlink ref="A3056" r:id="rId2330" xr:uid="{91F5B385-9681-4D8E-AE8F-A1EE9621D87E}"/>
    <hyperlink ref="A1149" r:id="rId2331" xr:uid="{A0D58D50-4B48-430B-B9E7-58ADC5FB1CC2}"/>
    <hyperlink ref="A2782" r:id="rId2332" xr:uid="{18671C09-A0A9-477D-AF95-8B54EF9B706B}"/>
    <hyperlink ref="A3045" r:id="rId2333" xr:uid="{7C52A0A9-B41C-4F04-AB66-DD32310C67FE}"/>
    <hyperlink ref="A3018" r:id="rId2334" xr:uid="{E5EDA713-C905-4F20-8227-43E0E854587D}"/>
    <hyperlink ref="A3015" r:id="rId2335" xr:uid="{FB45B2F8-38ED-4DA4-8E3B-B56303AFEE0B}"/>
    <hyperlink ref="A3013" r:id="rId2336" xr:uid="{DAFA2351-42E7-41CC-A637-0325908DDF9F}"/>
    <hyperlink ref="A1689" r:id="rId2337" xr:uid="{E5D284DE-B8DD-4D7C-9575-A3348804DC19}"/>
    <hyperlink ref="A2870" r:id="rId2338" xr:uid="{A2946D78-C2D2-4AA0-B73F-9C88213D3E88}"/>
    <hyperlink ref="A3050" r:id="rId2339" xr:uid="{DF1BC3CB-D47E-41F2-9B2A-3775F23AF765}"/>
    <hyperlink ref="A1137" r:id="rId2340" xr:uid="{2BF7160A-344B-4178-93BA-A4F79183B6D6}"/>
    <hyperlink ref="A2894" r:id="rId2341" xr:uid="{81E1C716-61B5-4CB4-B192-BE258F2D531A}"/>
    <hyperlink ref="A1684" r:id="rId2342" xr:uid="{B362B128-7E8C-48BC-AF73-E3CF4636E3C3}"/>
    <hyperlink ref="A806" r:id="rId2343" display="Sh2-276" xr:uid="{0FC254F7-F5F8-4EE3-A6E4-E486EECA6D3E}"/>
    <hyperlink ref="A1269" r:id="rId2344" xr:uid="{E7110012-5368-45BF-825D-EFA27529DF18}"/>
    <hyperlink ref="A818" r:id="rId2345" xr:uid="{EC4F572A-0993-4DB1-9E90-03769BBCB1FA}"/>
    <hyperlink ref="A1945" r:id="rId2346" xr:uid="{BAD62265-FAB5-4EE7-9C81-B69ACCFA8EDB}"/>
    <hyperlink ref="A1946" r:id="rId2347" display="NGC 3733" xr:uid="{08B6B224-5E11-414F-AEFB-A69B988637A8}"/>
    <hyperlink ref="A1518" r:id="rId2348" xr:uid="{9136DBD1-996C-41C8-8B5E-371857C26DE7}"/>
    <hyperlink ref="A3008" r:id="rId2349" xr:uid="{0D0E0EAC-CEA1-49FA-B00C-C6E7D2359565}"/>
    <hyperlink ref="A3000" r:id="rId2350" xr:uid="{00ED7AAA-9B0F-4D4E-A6A2-109DDCFBBF3F}"/>
    <hyperlink ref="A3006" r:id="rId2351" xr:uid="{C0478049-A12F-47D5-A07A-675997407EA7}"/>
    <hyperlink ref="A3010" r:id="rId2352" xr:uid="{770EB817-B6DE-48C3-B535-78966CD62AA4}"/>
    <hyperlink ref="A3011" r:id="rId2353" xr:uid="{102A8BEA-89E3-41AB-8CBF-43A8AEE95852}"/>
    <hyperlink ref="A3012" r:id="rId2354" xr:uid="{CB3C28A5-5CAB-4224-91FA-577777D72EE4}"/>
    <hyperlink ref="A3019" r:id="rId2355" xr:uid="{6F25909E-410F-4C12-B055-4BE56A4FB879}"/>
    <hyperlink ref="A3023" r:id="rId2356" xr:uid="{02ED1BB4-9B6B-48EF-BF56-0BF4FC6927D7}"/>
    <hyperlink ref="A3024" r:id="rId2357" xr:uid="{38233D5F-21D7-4843-9AF3-1AA4D1CBE744}"/>
    <hyperlink ref="A3025" r:id="rId2358" xr:uid="{BC893D1B-9E42-4BD9-BA78-6848DBDA2B26}"/>
    <hyperlink ref="A3026" r:id="rId2359" xr:uid="{3E09919D-81A4-402D-AE82-89EC764B9715}"/>
    <hyperlink ref="A3028" r:id="rId2360" xr:uid="{AA6E3463-FD4B-4E39-A39A-0B43F446C5F1}"/>
    <hyperlink ref="A3031" r:id="rId2361" xr:uid="{48F1A06F-A859-4D0E-827F-57C4315C6C50}"/>
    <hyperlink ref="A3040" r:id="rId2362" xr:uid="{D6819FE2-B646-4C73-9514-AAFCE8C9C5DA}"/>
    <hyperlink ref="A3041" r:id="rId2363" xr:uid="{75DECC55-9B62-42AB-8AF4-721698F16BA2}"/>
    <hyperlink ref="A3051" r:id="rId2364" xr:uid="{AFAFFC5B-3F28-4AC6-8E76-FA88DFF586EF}"/>
    <hyperlink ref="A3052" r:id="rId2365" xr:uid="{37BA6B94-E0CF-40BF-A347-1163A695B241}"/>
    <hyperlink ref="A3053" r:id="rId2366" xr:uid="{03577BD5-85D7-465B-BD85-C548AC657C85}"/>
    <hyperlink ref="A3054" r:id="rId2367" xr:uid="{DFD66C48-E215-4AD3-949B-BF84984DF003}"/>
    <hyperlink ref="A3055" r:id="rId2368" xr:uid="{259E18A2-36C0-4D07-9C9F-09098F28F608}"/>
    <hyperlink ref="A3061" r:id="rId2369" xr:uid="{25071546-1B92-4AD5-B958-A285812E9EC8}"/>
    <hyperlink ref="A3072" r:id="rId2370" xr:uid="{1F018179-29CD-4928-B25F-3C2D826EE4D3}"/>
    <hyperlink ref="A3074" r:id="rId2371" xr:uid="{D002A95A-AAD8-44B9-96B6-EC57E6B330B5}"/>
    <hyperlink ref="A3075" r:id="rId2372" xr:uid="{E61E5B30-EB05-406B-B372-DE71D19D429D}"/>
    <hyperlink ref="A3077" r:id="rId2373" xr:uid="{2EB12EE7-20A4-4017-8F0E-92540A540B23}"/>
    <hyperlink ref="A3079" r:id="rId2374" xr:uid="{87CBCE22-C739-4F2C-B095-0278F35F0227}"/>
    <hyperlink ref="A3080" r:id="rId2375" xr:uid="{82393E7D-713D-4CEE-B876-D70C1F6D7E2A}"/>
    <hyperlink ref="A3083" r:id="rId2376" xr:uid="{B17789AD-DE18-4CF1-8950-994BAF901AD7}"/>
    <hyperlink ref="A3085" r:id="rId2377" xr:uid="{67FF9507-4190-4BC6-8ABD-B027CCE445E5}"/>
    <hyperlink ref="A3088" r:id="rId2378" xr:uid="{6FD1AD70-1C7E-4B38-81BB-BC7153450A01}"/>
    <hyperlink ref="A3090" r:id="rId2379" xr:uid="{EA1BA2B5-3F39-4FF9-86CC-B7B747932D7F}"/>
    <hyperlink ref="A3091" r:id="rId2380" xr:uid="{20B4F9CF-1B55-4AF3-9C9B-457025105891}"/>
    <hyperlink ref="A3092" r:id="rId2381" xr:uid="{96C92041-2174-400D-839D-203512746E01}"/>
    <hyperlink ref="A3093" r:id="rId2382" xr:uid="{1BC371D7-8F91-4AED-A61E-086E8A991B55}"/>
    <hyperlink ref="A3098" r:id="rId2383" xr:uid="{D677E8E4-50A1-4BF3-AE33-8CC87743DC30}"/>
    <hyperlink ref="A3101" r:id="rId2384" xr:uid="{E6FA7B72-D5D1-496B-9489-BAA76B564491}"/>
    <hyperlink ref="A3105" r:id="rId2385" xr:uid="{8EAC0DD3-1E76-4124-921B-617AC2377188}"/>
    <hyperlink ref="A3107" r:id="rId2386" xr:uid="{AAACB8A4-B6CC-4210-B995-45E3409DB426}"/>
    <hyperlink ref="A3110" r:id="rId2387" xr:uid="{D17C850B-FDBD-48C0-9256-13BAF3763026}"/>
    <hyperlink ref="A3113" r:id="rId2388" xr:uid="{BA24E525-803E-49AD-BA1F-DF1C8C26479F}"/>
    <hyperlink ref="A3115" r:id="rId2389" xr:uid="{EFEF469F-2F06-47A4-83A0-E3CD793A48F4}"/>
    <hyperlink ref="A1901" r:id="rId2390" xr:uid="{833C6A73-12CF-438D-9959-415DE6E2BF0B}"/>
    <hyperlink ref="A1874" r:id="rId2391" xr:uid="{FCEAAAB3-B97F-48E9-99F5-5C49F3E2DC6F}"/>
    <hyperlink ref="A1244" r:id="rId2392" xr:uid="{2FFF61A4-BA59-4469-96F2-A8BA004743B8}"/>
    <hyperlink ref="A2947" r:id="rId2393" xr:uid="{9F0B3787-5270-4CD1-8D00-CE0512F8AD1D}"/>
    <hyperlink ref="A1824" r:id="rId2394" xr:uid="{C3E8AD87-5582-4ECE-A4C5-C73F93FEB01E}"/>
    <hyperlink ref="A1981" r:id="rId2395" xr:uid="{15773918-6B36-4812-A863-EDA468D4BB33}"/>
    <hyperlink ref="A1986" r:id="rId2396" display="NGC 4045" xr:uid="{249BA5C7-F237-4278-B7A7-7789B772476F}"/>
    <hyperlink ref="A2002" r:id="rId2397" xr:uid="{0718B9B6-750E-4F9B-A75B-D30397EEF53E}"/>
    <hyperlink ref="A2132" r:id="rId2398" xr:uid="{9A423DCB-6594-4D42-9D90-4CF22EEFB6B8}"/>
    <hyperlink ref="A1933" r:id="rId2399" xr:uid="{A223D0F2-C5E3-443A-9B20-20724E9B21AE}"/>
    <hyperlink ref="A1859" r:id="rId2400" xr:uid="{18477640-D78A-4E18-8CE7-72C2F930B5B8}"/>
    <hyperlink ref="A1619" r:id="rId2401" xr:uid="{A9E2D3AD-7B1A-463F-8B58-0F5951A1C6FE}"/>
    <hyperlink ref="A2232" r:id="rId2402" xr:uid="{57BDF0F6-0786-47B4-AC5F-977A38BB6292}"/>
    <hyperlink ref="A1919" r:id="rId2403" xr:uid="{29A2FEA3-ED1B-41C5-87E0-A1344D33F94C}"/>
    <hyperlink ref="A1568" r:id="rId2404" xr:uid="{93ECC468-56BE-4A3D-8392-7D0737AEA9D7}"/>
    <hyperlink ref="A2177" r:id="rId2405" xr:uid="{033A4B74-349F-42BF-96BE-66162674B215}"/>
    <hyperlink ref="A2174" r:id="rId2406" xr:uid="{36E84C67-8119-4B8A-A5DC-4DF2263FCFC4}"/>
    <hyperlink ref="A2121" r:id="rId2407" xr:uid="{A1E20981-3C01-49D7-BF7F-4A8E46D70F00}"/>
    <hyperlink ref="A2643" r:id="rId2408" xr:uid="{DD82D752-979B-41E8-A71D-028AACABDD59}"/>
    <hyperlink ref="A2266" r:id="rId2409" xr:uid="{EF18D4D8-A0E5-4133-8B45-8F96C490B9FA}"/>
    <hyperlink ref="A103" r:id="rId2410" xr:uid="{507EC78F-AAF2-4DCE-BA6D-5F13CDD9DC87}"/>
    <hyperlink ref="A1831" r:id="rId2411" xr:uid="{14E810B0-E5CE-4E01-87CC-D26DAB75C85A}"/>
    <hyperlink ref="A2805" r:id="rId2412" xr:uid="{64482C0D-AF48-4140-90C8-CE57D2C02078}"/>
    <hyperlink ref="A2802" r:id="rId2413" xr:uid="{F125D34F-0CF2-49AA-BA1E-2C22B2A43C40}"/>
    <hyperlink ref="A2801" r:id="rId2414" xr:uid="{58B5CF5F-CE03-4B96-9F24-676526729FAA}"/>
    <hyperlink ref="A2803" r:id="rId2415" xr:uid="{7DFB8277-48D7-439F-BF4A-466F0DEB122B}"/>
    <hyperlink ref="A1815" r:id="rId2416" xr:uid="{9B697BCC-90BF-4945-B50A-B617C72C3D99}"/>
    <hyperlink ref="A1147" r:id="rId2417" xr:uid="{27D72252-76F2-4275-99DE-CDD806ED12F6}"/>
    <hyperlink ref="A1894" r:id="rId2418" xr:uid="{21693D24-35F3-4F83-A35C-2CEC9B308D91}"/>
    <hyperlink ref="A465" r:id="rId2419" xr:uid="{C4B0903C-DD54-4904-9F90-9A8C65B3860D}"/>
    <hyperlink ref="A1985" r:id="rId2420" xr:uid="{371B657F-9914-4F2E-91C0-9E48A89C5F3B}"/>
    <hyperlink ref="A1990" r:id="rId2421" xr:uid="{93FF4DE6-141B-488F-95EB-D005CF169C41}"/>
    <hyperlink ref="A1940" r:id="rId2422" xr:uid="{F4547DA7-CA5B-4378-B587-1A7EA351277E}"/>
    <hyperlink ref="A2178" r:id="rId2423" xr:uid="{993CFB59-0590-48F7-AD2E-A7E572A887CD}"/>
    <hyperlink ref="A1096" r:id="rId2424" xr:uid="{D67A3DA4-D16C-4C6B-B9B1-BEB4370C6024}"/>
    <hyperlink ref="A2133" r:id="rId2425" xr:uid="{5FCD3A24-304A-4E10-B360-8787F51E7622}"/>
    <hyperlink ref="A484" r:id="rId2426" xr:uid="{33E5F135-BB4C-49A5-A92E-3E2CDA8ECCFF}"/>
    <hyperlink ref="A507" r:id="rId2427" xr:uid="{10A0F5B7-3104-4CBC-A6A7-A0CBA95209A8}"/>
    <hyperlink ref="A609" r:id="rId2428" xr:uid="{179700D8-9A50-4566-A6C5-633C31F9272E}"/>
    <hyperlink ref="A661" r:id="rId2429" xr:uid="{89360CFF-299E-4EDC-8664-419D9FB2F2C2}"/>
    <hyperlink ref="A676" r:id="rId2430" xr:uid="{65A63761-7A63-4EA1-8C05-43746D9CA5B2}"/>
    <hyperlink ref="A692" r:id="rId2431" xr:uid="{50D8421D-A325-4820-9AE4-2A4866B57BF5}"/>
    <hyperlink ref="A751" r:id="rId2432" xr:uid="{F4A83621-44A3-4425-AACD-D4DBB8615DBF}"/>
    <hyperlink ref="A780" r:id="rId2433" xr:uid="{D51AD0D6-FFFF-4D00-83B0-A6CD3E6CD7D5}"/>
    <hyperlink ref="A781" r:id="rId2434" xr:uid="{5C5C7C89-9D31-4BA9-B52F-1D30E1C81686}"/>
    <hyperlink ref="A2652" r:id="rId2435" xr:uid="{374E9B8F-DDA1-4321-B94E-5C68527B8D22}"/>
    <hyperlink ref="A2674" r:id="rId2436" xr:uid="{C048D4DE-36DB-425C-B5A8-04241C975E2A}"/>
    <hyperlink ref="A2677" r:id="rId2437" xr:uid="{CEB2DAC2-0F0F-4DE8-8A00-79CEF490100E}"/>
    <hyperlink ref="A2678" r:id="rId2438" xr:uid="{CB00ADB0-66B3-459C-9F14-DAAB5A186FEE}"/>
    <hyperlink ref="A2714" r:id="rId2439" xr:uid="{EF4636A3-13EB-43EE-BDE6-EB127735625B}"/>
    <hyperlink ref="A2715" r:id="rId2440" xr:uid="{E0E0527C-D196-419C-B57D-74E685B877AD}"/>
    <hyperlink ref="A2749" r:id="rId2441" xr:uid="{E2E07491-8C0E-47E7-B311-F94621C90EF6}"/>
    <hyperlink ref="A2775" r:id="rId2442" xr:uid="{C3CD87C5-4646-4001-9F23-DF3F838539A9}"/>
    <hyperlink ref="A2777" r:id="rId2443" xr:uid="{6141C721-0F65-43EC-89DF-4676F068C1E9}"/>
    <hyperlink ref="A2786" r:id="rId2444" xr:uid="{BCCE2AB3-8C64-4144-B83A-DFCB212BD346}"/>
    <hyperlink ref="A2791" r:id="rId2445" xr:uid="{4553DC6B-F98D-4F96-BB80-115521333D60}"/>
    <hyperlink ref="A2871" r:id="rId2446" xr:uid="{E409A06F-96F6-43A4-B5F3-236C442D9B8A}"/>
    <hyperlink ref="A843" r:id="rId2447" xr:uid="{5D02B1BA-A4F6-41FC-9F1B-92204D969262}"/>
    <hyperlink ref="A1136" r:id="rId2448" xr:uid="{566AA440-BE86-4367-8EEA-D4ACC35FB2D9}"/>
    <hyperlink ref="A1463" r:id="rId2449" xr:uid="{78D9CC82-4E13-4562-83DE-12239B65201E}"/>
    <hyperlink ref="A1513" r:id="rId2450" xr:uid="{AD7EFA0C-63F4-486D-BCCE-B7965A951A48}"/>
    <hyperlink ref="A1524" r:id="rId2451" xr:uid="{4BAEB3CD-015B-4BB7-8010-5D76BA67E8BD}"/>
    <hyperlink ref="A1530" r:id="rId2452" xr:uid="{01E0584E-4283-47A6-AD86-5D88A2CAE7B2}"/>
    <hyperlink ref="A1534" r:id="rId2453" xr:uid="{85E4BDE0-4996-4940-8C16-60BDD67F9108}"/>
    <hyperlink ref="A1562" r:id="rId2454" xr:uid="{8F47CC5C-2AE9-4322-9BBA-95F2DA24527E}"/>
    <hyperlink ref="A1620" r:id="rId2455" xr:uid="{E0BF1A1D-0E47-4044-B32C-DA17B1A4F224}"/>
    <hyperlink ref="A1633" r:id="rId2456" xr:uid="{79B29D71-5729-47FD-BCD3-85E1A5AD1FE5}"/>
    <hyperlink ref="A1770" r:id="rId2457" xr:uid="{2EE3D145-529E-4122-ABA9-5A1CE1836369}"/>
    <hyperlink ref="A1803" r:id="rId2458" xr:uid="{87A3BCF9-1BF3-479C-BEA0-6A0E838EAEB0}"/>
    <hyperlink ref="A1863" r:id="rId2459" xr:uid="{60D27457-4467-4977-95B0-1B4523391314}"/>
    <hyperlink ref="A1953" r:id="rId2460" xr:uid="{08B4F39E-CC62-4F91-9045-1B9135FC030A}"/>
    <hyperlink ref="A1987" r:id="rId2461" xr:uid="{EEE51E7F-0C27-46B5-B7B1-3D2A4ABB1987}"/>
    <hyperlink ref="A2034" r:id="rId2462" xr:uid="{E2090A5D-CF99-4BCA-8E17-57D43138989C}"/>
    <hyperlink ref="A2040" r:id="rId2463" xr:uid="{1229314A-1BCB-4F0F-B5F7-0F15B16F80E4}"/>
    <hyperlink ref="A2041" r:id="rId2464" xr:uid="{27AFDB3C-DCF0-4B04-A666-0BDEE1B944EB}"/>
    <hyperlink ref="A2043" r:id="rId2465" xr:uid="{5B250411-15CE-4CA3-8B67-DD82E1864359}"/>
    <hyperlink ref="A2057" r:id="rId2466" xr:uid="{E6B74CD4-7EA7-4449-BF7F-E293A1C9A056}"/>
    <hyperlink ref="A2061" r:id="rId2467" xr:uid="{C30A03C1-78FF-435B-A4CC-1A51BDB15B03}"/>
    <hyperlink ref="A2120" r:id="rId2468" xr:uid="{E12A8DC3-1080-428A-898F-75397B4D8AC6}"/>
    <hyperlink ref="A2302" r:id="rId2469" xr:uid="{1CAC86BB-AB8B-4A29-8AF5-D0E7912CAF3E}"/>
    <hyperlink ref="A2428" r:id="rId2470" xr:uid="{9D248736-B194-461E-8CD7-2A464D034AA6}"/>
    <hyperlink ref="A20" r:id="rId2471" xr:uid="{83AC0014-4D9E-4811-8B35-55A46CD87A0D}"/>
    <hyperlink ref="A872" r:id="rId2472" xr:uid="{BA45B2E2-2502-41A0-87A4-58578CFCC03E}"/>
    <hyperlink ref="A1212" r:id="rId2473" xr:uid="{E78BE234-195A-40A5-A335-F99F3E620579}"/>
    <hyperlink ref="A2159" r:id="rId2474" xr:uid="{1FD7D8A2-9D91-4A68-A978-5961E96C6DEB}"/>
    <hyperlink ref="A863" r:id="rId2475" xr:uid="{426B9541-9345-4AFA-BBD9-C04AEF60E996}"/>
    <hyperlink ref="A1225" r:id="rId2476" xr:uid="{85C7DF7B-87AF-4811-B02D-3070A4D99391}"/>
    <hyperlink ref="A1935" r:id="rId2477" xr:uid="{3F4DBF78-046F-4F24-901B-AE0EB1C045AF}"/>
    <hyperlink ref="A1128" r:id="rId2478" xr:uid="{FC108905-A3D7-4E09-ACC6-C4772162488D}"/>
    <hyperlink ref="A1519" r:id="rId2479" xr:uid="{E7AC0FF6-A5F6-4453-A5B1-FA945EF7AB9C}"/>
    <hyperlink ref="A95" r:id="rId2480" xr:uid="{87D7A327-6184-4D8D-AF09-DA32F0B960B1}"/>
    <hyperlink ref="A963" r:id="rId2481" xr:uid="{41B8B820-F442-4650-B4D1-69173EA6A68E}"/>
    <hyperlink ref="A1566" r:id="rId2482" xr:uid="{B3A02E25-6167-4F34-BB62-60ED9CFD54B1}"/>
    <hyperlink ref="A852" r:id="rId2483" xr:uid="{387E6D55-7AF4-4082-A9F1-F0E361378314}"/>
    <hyperlink ref="A2622" r:id="rId2484" xr:uid="{E92DC0A8-2493-444E-A417-B9D49F5566D3}"/>
    <hyperlink ref="A962" r:id="rId2485" xr:uid="{CBD27EF6-4688-4F5A-BDD0-C1BBF5B91580}"/>
    <hyperlink ref="A2364" r:id="rId2486" xr:uid="{1D664B90-1881-4532-88BA-B5EA9044B93D}"/>
    <hyperlink ref="A3137" r:id="rId2487" xr:uid="{C0ADE53C-037C-4B23-A7EA-B0B83E28D5AD}"/>
    <hyperlink ref="A1132" r:id="rId2488" xr:uid="{2AFE67ED-5C7B-458C-9272-22525234BB27}"/>
    <hyperlink ref="A2251" r:id="rId2489" xr:uid="{88AC5313-49BD-4D9C-8A77-4E55A227B5A6}"/>
    <hyperlink ref="A707" r:id="rId2490" xr:uid="{78AA439B-B43D-4E40-9C29-10115AF0C355}"/>
    <hyperlink ref="A709" r:id="rId2491" xr:uid="{0E771831-865E-4D5E-B1CC-D5D19EF39BD3}"/>
    <hyperlink ref="A542" r:id="rId2492" xr:uid="{F8CFF1F5-91C8-4A35-A057-B19089CB647B}"/>
    <hyperlink ref="A712" r:id="rId2493" xr:uid="{AEBCE6C9-F432-428F-936F-34F69064FE16}"/>
    <hyperlink ref="A541" r:id="rId2494" xr:uid="{A6D15D77-257C-4F38-984D-3F7001EAB895}"/>
    <hyperlink ref="A540" r:id="rId2495" xr:uid="{85F39B48-D812-4B98-82F7-72B0F5A7DCB3}"/>
    <hyperlink ref="A2166" r:id="rId2496" xr:uid="{9339D92D-454F-41EC-B67B-07680DEFDBF2}"/>
    <hyperlink ref="A2193" r:id="rId2497" xr:uid="{1B207282-5199-4F3C-AEBE-4E7947EA9D1F}"/>
    <hyperlink ref="A2533" r:id="rId2498" xr:uid="{EA230E9A-6797-4C63-A47C-76EB893BB3DB}"/>
    <hyperlink ref="A2598" r:id="rId2499" xr:uid="{802BB8FA-DC22-4CE5-BFFC-AC784F247F1B}"/>
    <hyperlink ref="A1749" r:id="rId2500" xr:uid="{1FB9B12A-63B4-4CA3-B2B7-379326C81FFF}"/>
    <hyperlink ref="A1464" r:id="rId2501" xr:uid="{A6D3A4CA-49DB-4A11-AE44-31B30CC320A7}"/>
    <hyperlink ref="A2797" r:id="rId2502" xr:uid="{30B6B91A-E3AA-43A2-8158-88D468D8B9C2}"/>
    <hyperlink ref="A2796" r:id="rId2503" xr:uid="{D9308774-986E-42B5-8446-5BB470D945EC}"/>
    <hyperlink ref="A2795" r:id="rId2504" xr:uid="{0FAE4BAA-3204-4CF8-B4FD-DAE9386B1C15}"/>
    <hyperlink ref="A2857" r:id="rId2505" xr:uid="{B16583B5-6BDB-42C5-A11C-C043FFEFA68E}"/>
    <hyperlink ref="A1540" r:id="rId2506" xr:uid="{579B817E-7642-42E7-9C32-954B6DC4870A}"/>
    <hyperlink ref="A861" r:id="rId2507" xr:uid="{A9A235B5-861A-42C8-BB45-55BAB25C526F}"/>
    <hyperlink ref="A1997" r:id="rId2508" xr:uid="{E67BBAE9-609A-4254-B4A7-C1C77E83DDE8}"/>
    <hyperlink ref="A1587" r:id="rId2509" xr:uid="{199E8312-7165-4804-8AA6-82B359CB6544}"/>
    <hyperlink ref="A480" r:id="rId2510" xr:uid="{5495551B-995C-417C-AD93-90C530CCE995}"/>
    <hyperlink ref="A71" r:id="rId2511" xr:uid="{493378D9-58FF-4164-ACD0-311CADA2580E}"/>
    <hyperlink ref="A2826" r:id="rId2512" xr:uid="{DE43C8F1-C749-49F4-B22B-69601F9C5A5D}"/>
    <hyperlink ref="A2823" r:id="rId2513" xr:uid="{CC1896F3-969F-4777-921B-477AC32E4B3E}"/>
    <hyperlink ref="A2825" r:id="rId2514" xr:uid="{12A5B02C-BD23-4CD3-885E-31E01443C6D4}"/>
    <hyperlink ref="A798" r:id="rId2515" xr:uid="{E9D84724-2515-4E7E-9822-769DAD26C242}"/>
    <hyperlink ref="A488" r:id="rId2516" xr:uid="{DEBF33F4-2AB4-41F4-859F-80FE38FC9283}"/>
    <hyperlink ref="A657" r:id="rId2517" xr:uid="{DF4703F0-B26E-4B62-8E2E-1AADE7EB9FDD}"/>
    <hyperlink ref="A1506" r:id="rId2518" xr:uid="{74C189AE-5236-4AC1-8F45-CD8A2D424170}"/>
    <hyperlink ref="A2890" r:id="rId2519" xr:uid="{0864BE61-DA93-49CC-AE22-339F947202CC}"/>
    <hyperlink ref="A2893" r:id="rId2520" xr:uid="{22F331A9-A6BB-4001-94B7-F7C6509877C7}"/>
    <hyperlink ref="A2833" r:id="rId2521" xr:uid="{908904A0-669D-4601-979A-8B67E5AC603A}"/>
    <hyperlink ref="A83" r:id="rId2522" xr:uid="{D8F3B33B-1620-4B56-BB8C-2AD156A62732}"/>
    <hyperlink ref="A2859" r:id="rId2523" xr:uid="{BE9C821A-33DF-4C49-9FE1-7D02906E12B1}"/>
    <hyperlink ref="A1853" r:id="rId2524" xr:uid="{17F1A7FE-0F38-4804-8CDB-562F92E67774}"/>
    <hyperlink ref="A2887" r:id="rId2525" xr:uid="{17301A30-558C-41D9-9911-E7CAA508C2C3}"/>
    <hyperlink ref="A2883" r:id="rId2526" xr:uid="{1F7ECB79-C9FF-4F35-866D-D13F7B940DA3}"/>
    <hyperlink ref="A2884" r:id="rId2527" xr:uid="{4DB1FC50-7F18-435B-BB44-C3F4A4B4443F}"/>
    <hyperlink ref="A2824" r:id="rId2528" xr:uid="{816EE01E-C2A8-4881-A3F9-72C02B80BCE5}"/>
    <hyperlink ref="A2798" r:id="rId2529" xr:uid="{F8E2B6AA-4280-4AC2-9704-A56D96316062}"/>
    <hyperlink ref="A2829" r:id="rId2530" xr:uid="{78C7C82B-7CE4-417D-A7A8-BDD807812916}"/>
    <hyperlink ref="A2820" r:id="rId2531" xr:uid="{87466ECC-4EED-4A78-B1A2-688CC0A4CB9A}"/>
    <hyperlink ref="A2819" r:id="rId2532" xr:uid="{E87B1997-7E55-4EA0-9A5F-24FC9B1D2C3F}"/>
    <hyperlink ref="A2831" r:id="rId2533" xr:uid="{238A29B9-5E87-4653-B147-C8AD512FE3E5}"/>
    <hyperlink ref="A2810" r:id="rId2534" xr:uid="{9C171CDA-96F0-44BC-B5F5-53092D7F57A2}"/>
    <hyperlink ref="A2847" r:id="rId2535" xr:uid="{23FA869E-A0E3-4950-9F5C-5D75F859577A}"/>
    <hyperlink ref="A2842" r:id="rId2536" xr:uid="{313D70A3-CA3E-4306-95B7-F5E57881A6F1}"/>
    <hyperlink ref="A2816" r:id="rId2537" xr:uid="{F15260E2-8458-4E03-AEA6-C05FEB4BC268}"/>
    <hyperlink ref="A2830" r:id="rId2538" xr:uid="{D43EF94B-41B0-4AC1-B2D1-744EDAD6F62B}"/>
    <hyperlink ref="A2854" r:id="rId2539" xr:uid="{1D1F23A5-924C-41F4-ACEA-5BCAA89F5076}"/>
    <hyperlink ref="A2846" r:id="rId2540" xr:uid="{95457563-A496-4E62-9980-3A4BF76663B5}"/>
    <hyperlink ref="A2815" r:id="rId2541" xr:uid="{0D16BE3E-87D3-4B99-9CA4-164EAF3B91BA}"/>
    <hyperlink ref="A2863" r:id="rId2542" xr:uid="{57D4CC74-FF31-4CC7-92EE-6236A8BCE805}"/>
    <hyperlink ref="A2865" r:id="rId2543" xr:uid="{03A6851A-1AF9-47BA-A821-78D785DD50C0}"/>
    <hyperlink ref="A2875" r:id="rId2544" xr:uid="{F13BECBF-C6CD-423C-90C9-3C12271D0444}"/>
    <hyperlink ref="A2874" r:id="rId2545" xr:uid="{380FC46E-D9DC-4326-B3EB-190B73E92A13}"/>
    <hyperlink ref="A2876" r:id="rId2546" xr:uid="{ECB238DE-3F8E-4BBD-ACA8-A5EEC8EC1523}"/>
    <hyperlink ref="A2877" r:id="rId2547" xr:uid="{53B947EC-4AA7-4C0D-8563-FFEEC3C1E762}"/>
    <hyperlink ref="A2873" r:id="rId2548" xr:uid="{E164A5B6-EBD4-4DCE-AFEF-D672A72DDBD1}"/>
    <hyperlink ref="A2650" r:id="rId2549" xr:uid="{7795AA10-0ADB-43FA-AC0E-0DB22F27232A}"/>
    <hyperlink ref="A2821" r:id="rId2550" xr:uid="{264AB19C-A4A4-4A16-965C-21FB9C64FBB9}"/>
    <hyperlink ref="A2661" r:id="rId2551" xr:uid="{4D88F301-7B1F-47EE-82E2-0DB1E8FEF67D}"/>
    <hyperlink ref="A2662" r:id="rId2552" xr:uid="{811C1C8A-3713-444E-9A05-4BFBE8769711}"/>
    <hyperlink ref="A2848" r:id="rId2553" xr:uid="{4357CFB6-4185-4BD1-87F7-D501689BB901}"/>
    <hyperlink ref="A2844" r:id="rId2554" xr:uid="{531EC664-4050-491C-BFE9-238AA01245F5}"/>
    <hyperlink ref="A2779" r:id="rId2555" xr:uid="{45EA2156-EDB9-4A61-9787-66DC6F4EF1D2}"/>
    <hyperlink ref="A2780" r:id="rId2556" xr:uid="{9C008035-1352-41BB-BF60-BBDAD508DE1E}"/>
    <hyperlink ref="A2781" r:id="rId2557" xr:uid="{FA519C38-3286-4163-89EC-CEF8DF4966C8}"/>
    <hyperlink ref="A2648" r:id="rId2558" xr:uid="{9AF72DA6-BE20-40A7-B293-A9874CDD6B77}"/>
    <hyperlink ref="A2649" r:id="rId2559" xr:uid="{8AC45072-40D7-4B04-8A49-30E0D6623E06}"/>
    <hyperlink ref="A2728" r:id="rId2560" xr:uid="{10243F2E-9810-45F8-A0E3-1E750B933320}"/>
    <hyperlink ref="A2655" r:id="rId2561" xr:uid="{D0CC9E1C-8C1E-4551-ACE0-FF6CACB43066}"/>
    <hyperlink ref="A2659" r:id="rId2562" xr:uid="{48208F6F-EA13-483E-8091-4466D4A1DCB3}"/>
    <hyperlink ref="A2658" r:id="rId2563" xr:uid="{2754EF1E-705D-4675-859B-28B839B828C0}"/>
    <hyperlink ref="A2878" r:id="rId2564" xr:uid="{300D9E9D-A0AE-474F-A87A-6D0474D84586}"/>
    <hyperlink ref="A2651" r:id="rId2565" xr:uid="{E9862E6A-6EFE-47E4-A38E-E269D8303821}"/>
    <hyperlink ref="A933" r:id="rId2566" xr:uid="{B62ECE4F-B1FD-4914-9D08-589A00270365}"/>
    <hyperlink ref="A2862" r:id="rId2567" xr:uid="{2508590F-4F41-4587-8CEA-3FFBB6A7F572}"/>
    <hyperlink ref="A2867" r:id="rId2568" xr:uid="{0F89DA7D-CE0E-4A0F-9D20-0DD2E7D9BB16}"/>
    <hyperlink ref="A2866" r:id="rId2569" xr:uid="{3B5F2ECE-805E-48FC-8622-FD7AECE5EA64}"/>
    <hyperlink ref="A2660" r:id="rId2570" xr:uid="{5A290B85-D28D-4C4F-B4C4-94B3105A9E5C}"/>
    <hyperlink ref="A1954" r:id="rId2571" xr:uid="{6C5F91D5-0E4D-44CF-B2A2-1D16ECB5CA84}"/>
    <hyperlink ref="A2864" r:id="rId2572" xr:uid="{34641D6D-4297-4388-BD14-61B4597181F1}"/>
    <hyperlink ref="A2047" r:id="rId2573" xr:uid="{1212BBE9-B8AB-455E-B72F-2924574B5542}"/>
    <hyperlink ref="A2601" r:id="rId2574" xr:uid="{5BB2AFB5-F835-4255-99DF-8C87F71B6DE6}"/>
    <hyperlink ref="A1200" r:id="rId2575" xr:uid="{E76F905E-A92E-45C6-B0BC-71C9628C0E70}"/>
    <hyperlink ref="A2789" r:id="rId2576" xr:uid="{B92CB693-CE95-4CFE-8932-88D1FD1C5C1A}"/>
    <hyperlink ref="A1880" r:id="rId2577" xr:uid="{DF96AD0E-FBCF-449E-A2B9-1A8EC0AFEF8E}"/>
    <hyperlink ref="A116" r:id="rId2578" xr:uid="{5271B457-4EDD-4367-9648-62FEBE5DF5A3}"/>
    <hyperlink ref="A2663" r:id="rId2579" xr:uid="{98182CD6-D18E-453D-9680-7715FF3BD7A9}"/>
    <hyperlink ref="A2701" r:id="rId2580" xr:uid="{777DBF40-385C-456A-996E-E61D54A8C7D3}"/>
    <hyperlink ref="A941" r:id="rId2581" xr:uid="{94DA8394-13C4-4D75-B04D-26B7F140A0B0}"/>
    <hyperlink ref="A942" r:id="rId2582" xr:uid="{AC8C32C7-AA34-40B9-8B67-A3C74FCB76C0}"/>
    <hyperlink ref="A2669" r:id="rId2583" xr:uid="{4910A193-FFF8-4E59-8407-F3AA04FA870C}"/>
    <hyperlink ref="A2673" r:id="rId2584" xr:uid="{3D5E3297-7DBD-412E-937F-F9A4F1172B24}"/>
    <hyperlink ref="A2672" r:id="rId2585" xr:uid="{229CFEB4-112D-4BA0-9950-E1E5E8E044D2}"/>
    <hyperlink ref="A2688" r:id="rId2586" xr:uid="{3D5DBD38-ED7A-427E-A4AF-4D6CC247232E}"/>
    <hyperlink ref="A2689" r:id="rId2587" xr:uid="{84B79BC4-13B4-43A8-8622-328F9266215E}"/>
    <hyperlink ref="A2687" r:id="rId2588" xr:uid="{9BAC755C-E9B5-424D-8F87-67E128B7FD5F}"/>
    <hyperlink ref="A2682" r:id="rId2589" xr:uid="{7132CC73-731C-4028-8DC9-3A5F7C1F0452}"/>
    <hyperlink ref="A2681" r:id="rId2590" xr:uid="{258E8A6E-D18E-4670-915A-75E9CADC4503}"/>
    <hyperlink ref="A1926" r:id="rId2591" xr:uid="{654A9633-FE93-48BF-ADA7-1FE4E36BD872}"/>
    <hyperlink ref="A2020" r:id="rId2592" xr:uid="{7E5DD890-7A46-4790-A0AF-FE08EAFD407B}"/>
    <hyperlink ref="A2113" r:id="rId2593" xr:uid="{759A4FD8-13E7-43BE-9DFF-3261F7768153}"/>
    <hyperlink ref="A2686" r:id="rId2594" xr:uid="{72F8A69D-96FA-471B-A908-0583B5AE8736}"/>
    <hyperlink ref="A2690" r:id="rId2595" xr:uid="{AE7B5162-F7A7-4DDE-8349-E931274A3C74}"/>
    <hyperlink ref="A2691" r:id="rId2596" xr:uid="{5A15C48F-5750-4DDE-B8C6-C490E0451C78}"/>
    <hyperlink ref="A2683" r:id="rId2597" xr:uid="{2749EF97-B601-4CA8-B7A8-2AC786C9B6E3}"/>
    <hyperlink ref="A2676" r:id="rId2598" xr:uid="{5A050683-451D-4A52-BDDD-C7939494E3A5}"/>
    <hyperlink ref="A2698" r:id="rId2599" xr:uid="{70696100-62D2-402B-8813-B6C6D5CAF1D3}"/>
    <hyperlink ref="A2697" r:id="rId2600" xr:uid="{11006B82-1A9C-4568-9688-DD0B2E4C4474}"/>
    <hyperlink ref="A2692" r:id="rId2601" xr:uid="{D4D03C03-5104-4897-9349-7D5CAAB87FCA}"/>
    <hyperlink ref="A2710" r:id="rId2602" xr:uid="{DA84E9B6-D4B7-4793-80A1-E432289E96CB}"/>
    <hyperlink ref="A2115" r:id="rId2603" xr:uid="{7451FBAC-B2A8-493E-B28B-59C571AF1B03}"/>
    <hyperlink ref="A943" r:id="rId2604" xr:uid="{25B67178-6EB7-4182-B789-EDAB40120930}"/>
    <hyperlink ref="A2723" r:id="rId2605" xr:uid="{8C96C4F3-E46D-4FD2-88D9-ABD4229E4585}"/>
    <hyperlink ref="A2720" r:id="rId2606" xr:uid="{681A6DF1-C385-4960-BA8A-65EF28538885}"/>
    <hyperlink ref="A2719" r:id="rId2607" xr:uid="{CF244C09-ACD3-4BB2-A1D7-FF365219DAD1}"/>
    <hyperlink ref="A2703" r:id="rId2608" xr:uid="{679B04D1-F03A-4B76-96FE-C8328A51309A}"/>
    <hyperlink ref="A2707" r:id="rId2609" xr:uid="{24EF1697-E770-47CA-BC05-4EE277B443A8}"/>
    <hyperlink ref="A2706" r:id="rId2610" xr:uid="{27991807-9FDC-4BAD-BD53-4322C0570D83}"/>
    <hyperlink ref="A2722" r:id="rId2611" xr:uid="{B39D0233-4B62-4565-AD38-34FB800DE8AD}"/>
    <hyperlink ref="A2705" r:id="rId2612" xr:uid="{98E1C27B-D2CF-4042-80B8-3D97BEE83BA6}"/>
    <hyperlink ref="A2736" r:id="rId2613" xr:uid="{A1242409-94DE-4FBD-87EB-7C40476A665A}"/>
    <hyperlink ref="A2693" r:id="rId2614" xr:uid="{B324BCD1-DE86-4388-9970-10EF84600374}"/>
    <hyperlink ref="A2792" r:id="rId2615" xr:uid="{16D1456D-7FC1-4F49-B77D-18CDF4F63DE2}"/>
    <hyperlink ref="A2754" r:id="rId2616" xr:uid="{B5F68DC9-E238-4D8D-B275-01A71903E1FD}"/>
    <hyperlink ref="A2748" r:id="rId2617" xr:uid="{799334D2-703A-4FD7-8199-BC723E9E3F03}"/>
    <hyperlink ref="A2741" r:id="rId2618" xr:uid="{51DEC3D6-17BA-4F0B-AC3A-76B5B6F8827E}"/>
    <hyperlink ref="A2751" r:id="rId2619" xr:uid="{16E5D8F0-3296-477D-9E3E-113338AE8CB3}"/>
    <hyperlink ref="A2733" r:id="rId2620" xr:uid="{65E52E3B-AE83-4F03-911A-0114D1307AC6}"/>
    <hyperlink ref="A2758" r:id="rId2621" xr:uid="{D8DBB2C6-D703-477D-AF24-3FE0B4416416}"/>
    <hyperlink ref="A2744" r:id="rId2622" xr:uid="{F74684EC-5178-405D-853B-0D3C5FADC03B}"/>
    <hyperlink ref="A2743" r:id="rId2623" xr:uid="{0B28DC53-E97E-4071-A604-EA9A0F690D2B}"/>
    <hyperlink ref="A2767" r:id="rId2624" xr:uid="{44ED0CD3-C874-4728-A67C-16995332F70D}"/>
    <hyperlink ref="A2725" r:id="rId2625" xr:uid="{2BD1C032-A0B6-4AD1-9E6D-8193B21A6D3A}"/>
    <hyperlink ref="A2724" r:id="rId2626" xr:uid="{8ABCBE7A-0E76-45D2-8F96-1EE4C9D1511A}"/>
    <hyperlink ref="A2760" r:id="rId2627" xr:uid="{5364C2B2-0D17-4B98-8ED0-EC288B862009}"/>
    <hyperlink ref="A2708" r:id="rId2628" xr:uid="{0208E227-EAD5-4AFE-81A7-D28CED2D5FA9}"/>
    <hyperlink ref="A2709" r:id="rId2629" xr:uid="{35C62696-1F61-4865-B6F7-99B41BF78F89}"/>
    <hyperlink ref="A2716" r:id="rId2630" xr:uid="{5EA6AC56-9184-41C5-B01E-D80178BE96A0}"/>
    <hyperlink ref="A2746" r:id="rId2631" xr:uid="{2C22A14F-A9D2-4A02-8571-036BC7EFF32F}"/>
    <hyperlink ref="A2726" r:id="rId2632" xr:uid="{12EAD0B1-D9E9-433B-AC8B-35AAF81D4D21}"/>
    <hyperlink ref="A2712" r:id="rId2633" xr:uid="{AD5FBD89-41E3-4702-84C8-41101DF62A6F}"/>
    <hyperlink ref="A2735" r:id="rId2634" xr:uid="{2FC15DE8-900A-473E-A8E5-3989840061E1}"/>
    <hyperlink ref="A2734" r:id="rId2635" xr:uid="{6327DEC7-E19B-438F-90F7-F72BD17B5AE4}"/>
    <hyperlink ref="A94" r:id="rId2636" xr:uid="{F06DFD84-BFBE-44AD-8700-1DEC4BE4A006}"/>
    <hyperlink ref="A2626" r:id="rId2637" xr:uid="{9437D105-F3EE-45A6-8C74-251A2EC44E97}"/>
    <hyperlink ref="A1210" r:id="rId2638" xr:uid="{265B6491-9010-4808-B6DD-35D78EF6412D}"/>
    <hyperlink ref="A1405" r:id="rId2639" xr:uid="{B7981190-3166-4D99-ABC8-D681EAF30F53}"/>
    <hyperlink ref="A1931" r:id="rId2640" xr:uid="{D9544945-4529-4CA9-938C-2252DF0488AD}"/>
    <hyperlink ref="A1593" r:id="rId2641" xr:uid="{E7AD9C20-EE05-4F72-83CD-F80394858215}"/>
    <hyperlink ref="A1097" r:id="rId2642" xr:uid="{71C5B962-B9D9-4DAA-A9D8-9C7D23F2DCE7}"/>
    <hyperlink ref="A2934" r:id="rId2643" xr:uid="{A59F3117-AC43-43C1-876B-9DA1ACC77ED6}"/>
    <hyperlink ref="A1936" r:id="rId2644" xr:uid="{A5D898C3-040A-4315-B14E-7B993232B8FC}"/>
    <hyperlink ref="A1886" r:id="rId2645" xr:uid="{85B9E0EC-1881-4720-9D4F-8979FDBA9E3C}"/>
    <hyperlink ref="A1158" r:id="rId2646" xr:uid="{6E0E23D2-1862-430F-BDE1-0F25F5C0B76C}"/>
    <hyperlink ref="A647" r:id="rId2647" xr:uid="{EAA50C8E-918B-4208-86C1-E51314843820}"/>
    <hyperlink ref="A650" r:id="rId2648" xr:uid="{FE0A2ED4-0BA1-48DD-AC9C-AD73C978446C}"/>
    <hyperlink ref="A1708" r:id="rId2649" xr:uid="{00000000-0004-0000-0000-00009B020000}"/>
  </hyperlinks>
  <pageMargins left="0.7" right="0.7" top="0.75" bottom="0.75" header="0.3" footer="0.3"/>
  <pageSetup orientation="portrait" r:id="rId2650"/>
  <drawing r:id="rId2651"/>
  <legacyDrawing r:id="rId2652"/>
  <extLst>
    <ext xmlns:x14="http://schemas.microsoft.com/office/spreadsheetml/2009/9/main" uri="{CCE6A557-97BC-4b89-ADB6-D9C93CAAB3DF}">
      <x14:dataValidations xmlns:xm="http://schemas.microsoft.com/office/excel/2006/main" count="2">
        <x14:dataValidation type="list" allowBlank="1" showErrorMessage="1" xr:uid="{4B8153AA-36EC-4196-B0E9-B74AD4293C2E}">
          <x14:formula1>
            <xm:f>'Hidden Calculations'!$A$44:$A$70</xm:f>
          </x14:formula1>
          <xm:sqref>AG3:AH3</xm:sqref>
        </x14:dataValidation>
        <x14:dataValidation type="list" allowBlank="1" showErrorMessage="1" xr:uid="{DC01080A-154D-4985-9079-1B0BAD43275A}">
          <x14:formula1>
            <xm:f>'Hidden Calculations'!$A$74:$A$106</xm:f>
          </x14:formula1>
          <xm:sqref>BF3:BJ3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election activeCell="AL27" sqref="AL2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FD632-1346-4918-BBAA-DD75373A9B76}">
  <sheetPr codeName="Sheet5">
    <pageSetUpPr fitToPage="1"/>
  </sheetPr>
  <dimension ref="A1:B38"/>
  <sheetViews>
    <sheetView showGridLines="0" workbookViewId="0">
      <selection activeCell="U29" sqref="U29"/>
    </sheetView>
  </sheetViews>
  <sheetFormatPr defaultRowHeight="15" x14ac:dyDescent="0.25"/>
  <cols>
    <col min="1" max="1" width="16.5703125" customWidth="1"/>
    <col min="2" max="2" width="23.85546875" style="8" customWidth="1"/>
    <col min="3" max="3" width="17.7109375" customWidth="1"/>
    <col min="4" max="4" width="6.5703125" customWidth="1"/>
  </cols>
  <sheetData>
    <row r="1" spans="1:2" ht="22.5" customHeight="1" x14ac:dyDescent="0.25">
      <c r="A1" s="352" t="s">
        <v>9157</v>
      </c>
    </row>
    <row r="2" spans="1:2" ht="21" x14ac:dyDescent="0.35">
      <c r="A2" s="119" t="s">
        <v>8648</v>
      </c>
      <c r="B2" s="20" t="s">
        <v>8649</v>
      </c>
    </row>
    <row r="3" spans="1:2" ht="15.75" x14ac:dyDescent="0.25">
      <c r="A3" s="117" t="s">
        <v>0</v>
      </c>
      <c r="B3" s="118" t="s">
        <v>5626</v>
      </c>
    </row>
    <row r="4" spans="1:2" ht="15.75" x14ac:dyDescent="0.25">
      <c r="A4" s="350" t="s">
        <v>9124</v>
      </c>
      <c r="B4" s="118" t="s">
        <v>5336</v>
      </c>
    </row>
    <row r="5" spans="1:2" ht="15.75" x14ac:dyDescent="0.25">
      <c r="A5" s="117"/>
      <c r="B5" s="118" t="s">
        <v>5625</v>
      </c>
    </row>
    <row r="6" spans="1:2" x14ac:dyDescent="0.25">
      <c r="A6" s="116"/>
      <c r="B6" s="118" t="s">
        <v>5337</v>
      </c>
    </row>
    <row r="7" spans="1:2" x14ac:dyDescent="0.25">
      <c r="A7" s="116"/>
      <c r="B7" s="118" t="s">
        <v>5178</v>
      </c>
    </row>
    <row r="8" spans="1:2" x14ac:dyDescent="0.25">
      <c r="A8" s="116"/>
      <c r="B8" s="118" t="s">
        <v>5194</v>
      </c>
    </row>
    <row r="9" spans="1:2" x14ac:dyDescent="0.25">
      <c r="A9" s="116"/>
      <c r="B9" s="118"/>
    </row>
    <row r="10" spans="1:2" ht="15.75" x14ac:dyDescent="0.25">
      <c r="A10" s="117" t="s">
        <v>0</v>
      </c>
      <c r="B10" s="118" t="s">
        <v>29</v>
      </c>
    </row>
    <row r="11" spans="1:2" x14ac:dyDescent="0.25">
      <c r="A11" s="351" t="s">
        <v>9125</v>
      </c>
      <c r="B11" s="118" t="s">
        <v>6238</v>
      </c>
    </row>
    <row r="12" spans="1:2" x14ac:dyDescent="0.25">
      <c r="A12" s="116"/>
      <c r="B12" s="118" t="s">
        <v>13</v>
      </c>
    </row>
    <row r="13" spans="1:2" x14ac:dyDescent="0.25">
      <c r="A13" s="116"/>
      <c r="B13" s="118" t="s">
        <v>5338</v>
      </c>
    </row>
    <row r="14" spans="1:2" x14ac:dyDescent="0.25">
      <c r="A14" s="95"/>
      <c r="B14" s="118" t="s">
        <v>5339</v>
      </c>
    </row>
    <row r="15" spans="1:2" ht="15.75" x14ac:dyDescent="0.25">
      <c r="A15" s="117"/>
      <c r="B15" s="118" t="s">
        <v>5341</v>
      </c>
    </row>
    <row r="16" spans="1:2" ht="15.75" x14ac:dyDescent="0.25">
      <c r="A16" s="117"/>
      <c r="B16" s="118" t="s">
        <v>8662</v>
      </c>
    </row>
    <row r="17" spans="1:2" ht="15.75" x14ac:dyDescent="0.25">
      <c r="A17" s="117"/>
      <c r="B17" s="118" t="s">
        <v>28</v>
      </c>
    </row>
    <row r="18" spans="1:2" ht="15.75" x14ac:dyDescent="0.25">
      <c r="A18" s="117"/>
      <c r="B18" s="118" t="s">
        <v>5192</v>
      </c>
    </row>
    <row r="19" spans="1:2" ht="15.75" x14ac:dyDescent="0.25">
      <c r="A19" s="117"/>
      <c r="B19" s="118"/>
    </row>
    <row r="20" spans="1:2" ht="15.75" x14ac:dyDescent="0.25">
      <c r="A20" s="117" t="s">
        <v>5334</v>
      </c>
      <c r="B20" s="118" t="s">
        <v>5179</v>
      </c>
    </row>
    <row r="21" spans="1:2" ht="15.75" x14ac:dyDescent="0.25">
      <c r="A21" s="117"/>
      <c r="B21" s="118" t="s">
        <v>5342</v>
      </c>
    </row>
    <row r="22" spans="1:2" ht="15.75" x14ac:dyDescent="0.25">
      <c r="A22" s="117"/>
      <c r="B22" s="118" t="s">
        <v>5344</v>
      </c>
    </row>
    <row r="23" spans="1:2" ht="15.75" x14ac:dyDescent="0.25">
      <c r="A23" s="117"/>
      <c r="B23" s="118" t="s">
        <v>8658</v>
      </c>
    </row>
    <row r="24" spans="1:2" ht="15.75" x14ac:dyDescent="0.25">
      <c r="A24" s="117"/>
      <c r="B24" s="118" t="s">
        <v>8659</v>
      </c>
    </row>
    <row r="25" spans="1:2" ht="15.75" x14ac:dyDescent="0.25">
      <c r="A25" s="117"/>
      <c r="B25" s="118" t="s">
        <v>5343</v>
      </c>
    </row>
    <row r="26" spans="1:2" ht="15.75" x14ac:dyDescent="0.25">
      <c r="A26" s="117"/>
      <c r="B26" s="118" t="s">
        <v>8660</v>
      </c>
    </row>
    <row r="27" spans="1:2" ht="15.75" x14ac:dyDescent="0.25">
      <c r="A27" s="117"/>
      <c r="B27" s="118"/>
    </row>
    <row r="28" spans="1:2" ht="15.75" x14ac:dyDescent="0.25">
      <c r="A28" s="117" t="s">
        <v>5335</v>
      </c>
      <c r="B28" s="118" t="s">
        <v>8651</v>
      </c>
    </row>
    <row r="29" spans="1:2" x14ac:dyDescent="0.25">
      <c r="B29" s="118" t="s">
        <v>8661</v>
      </c>
    </row>
    <row r="30" spans="1:2" x14ac:dyDescent="0.25">
      <c r="B30" s="118" t="s">
        <v>17</v>
      </c>
    </row>
    <row r="31" spans="1:2" x14ac:dyDescent="0.25">
      <c r="B31" s="118" t="s">
        <v>8653</v>
      </c>
    </row>
    <row r="32" spans="1:2" x14ac:dyDescent="0.25">
      <c r="B32" s="118" t="s">
        <v>8328</v>
      </c>
    </row>
    <row r="33" spans="2:2" x14ac:dyDescent="0.25">
      <c r="B33" s="118" t="s">
        <v>5340</v>
      </c>
    </row>
    <row r="34" spans="2:2" x14ac:dyDescent="0.25">
      <c r="B34" s="118" t="s">
        <v>8654</v>
      </c>
    </row>
    <row r="35" spans="2:2" ht="15" customHeight="1" x14ac:dyDescent="0.25">
      <c r="B35" s="118"/>
    </row>
    <row r="36" spans="2:2" ht="15" customHeight="1" x14ac:dyDescent="0.25">
      <c r="B36" s="118"/>
    </row>
    <row r="37" spans="2:2" ht="15" customHeight="1" x14ac:dyDescent="0.25">
      <c r="B37" s="118"/>
    </row>
    <row r="38" spans="2:2" x14ac:dyDescent="0.25">
      <c r="B38" s="118"/>
    </row>
  </sheetData>
  <phoneticPr fontId="65" type="noConversion"/>
  <pageMargins left="0.25" right="0.25" top="0.75" bottom="0.75" header="0.3" footer="0.3"/>
  <pageSetup scale="55"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0BC47-2B52-4073-BF1B-294A94E76DD1}">
  <sheetPr codeName="Sheet4"/>
  <dimension ref="A1:B115"/>
  <sheetViews>
    <sheetView zoomScaleNormal="100" workbookViewId="0">
      <selection activeCell="A75" sqref="A75:XFD75"/>
    </sheetView>
  </sheetViews>
  <sheetFormatPr defaultRowHeight="15" x14ac:dyDescent="0.25"/>
  <cols>
    <col min="1" max="1" width="20.85546875" style="7" customWidth="1"/>
    <col min="2" max="2" width="204.140625" customWidth="1"/>
  </cols>
  <sheetData>
    <row r="1" spans="1:2" ht="23.25" x14ac:dyDescent="0.35">
      <c r="A1" s="196" t="s">
        <v>8866</v>
      </c>
      <c r="B1" s="92"/>
    </row>
    <row r="3" spans="1:2" ht="18.75" x14ac:dyDescent="0.3">
      <c r="A3" s="197" t="s">
        <v>3079</v>
      </c>
      <c r="B3" s="91"/>
    </row>
    <row r="5" spans="1:2" ht="15.75" x14ac:dyDescent="0.25">
      <c r="A5" s="88" t="s">
        <v>5672</v>
      </c>
      <c r="B5" s="89"/>
    </row>
    <row r="6" spans="1:2" ht="45" x14ac:dyDescent="0.25">
      <c r="A6" s="198" t="s">
        <v>8858</v>
      </c>
      <c r="B6" s="87" t="s">
        <v>5650</v>
      </c>
    </row>
    <row r="7" spans="1:2" ht="30" x14ac:dyDescent="0.25">
      <c r="A7" s="7" t="s">
        <v>5644</v>
      </c>
      <c r="B7" s="87" t="s">
        <v>8657</v>
      </c>
    </row>
    <row r="8" spans="1:2" ht="14.25" customHeight="1" x14ac:dyDescent="0.25">
      <c r="A8" s="7" t="s">
        <v>4</v>
      </c>
      <c r="B8" s="87" t="s">
        <v>5648</v>
      </c>
    </row>
    <row r="9" spans="1:2" ht="30" x14ac:dyDescent="0.25">
      <c r="A9" s="198" t="s">
        <v>8859</v>
      </c>
      <c r="B9" s="87" t="s">
        <v>5649</v>
      </c>
    </row>
    <row r="10" spans="1:2" x14ac:dyDescent="0.25">
      <c r="A10" s="7" t="s">
        <v>20</v>
      </c>
      <c r="B10" s="87" t="s">
        <v>5647</v>
      </c>
    </row>
    <row r="11" spans="1:2" x14ac:dyDescent="0.25">
      <c r="B11" s="87"/>
    </row>
    <row r="12" spans="1:2" ht="15.75" x14ac:dyDescent="0.25">
      <c r="A12" s="88" t="s">
        <v>5673</v>
      </c>
      <c r="B12" s="90"/>
    </row>
    <row r="13" spans="1:2" ht="45" x14ac:dyDescent="0.25">
      <c r="A13" s="198" t="s">
        <v>7</v>
      </c>
      <c r="B13" s="87" t="s">
        <v>5653</v>
      </c>
    </row>
    <row r="14" spans="1:2" ht="30" x14ac:dyDescent="0.25">
      <c r="A14" s="198" t="s">
        <v>21</v>
      </c>
      <c r="B14" s="87" t="s">
        <v>5651</v>
      </c>
    </row>
    <row r="15" spans="1:2" ht="30" x14ac:dyDescent="0.25">
      <c r="A15" s="198" t="s">
        <v>8860</v>
      </c>
      <c r="B15" s="87" t="s">
        <v>5652</v>
      </c>
    </row>
    <row r="16" spans="1:2" x14ac:dyDescent="0.25">
      <c r="A16" s="7" t="s">
        <v>22</v>
      </c>
      <c r="B16" s="87" t="s">
        <v>5655</v>
      </c>
    </row>
    <row r="17" spans="1:2" x14ac:dyDescent="0.25">
      <c r="A17" s="7" t="s">
        <v>6</v>
      </c>
      <c r="B17" s="87" t="s">
        <v>5654</v>
      </c>
    </row>
    <row r="18" spans="1:2" x14ac:dyDescent="0.25">
      <c r="B18" s="87"/>
    </row>
    <row r="19" spans="1:2" ht="15.75" x14ac:dyDescent="0.25">
      <c r="A19" s="88" t="s">
        <v>5674</v>
      </c>
      <c r="B19" s="90"/>
    </row>
    <row r="20" spans="1:2" ht="30" customHeight="1" x14ac:dyDescent="0.25">
      <c r="A20" s="198" t="s">
        <v>7</v>
      </c>
      <c r="B20" s="87" t="s">
        <v>5656</v>
      </c>
    </row>
    <row r="21" spans="1:2" ht="29.25" customHeight="1" x14ac:dyDescent="0.25">
      <c r="A21" s="198" t="s">
        <v>8861</v>
      </c>
      <c r="B21" s="87" t="s">
        <v>5657</v>
      </c>
    </row>
    <row r="22" spans="1:2" ht="30" x14ac:dyDescent="0.25">
      <c r="A22" s="198" t="s">
        <v>8862</v>
      </c>
      <c r="B22" s="87" t="s">
        <v>5658</v>
      </c>
    </row>
    <row r="23" spans="1:2" ht="75" x14ac:dyDescent="0.25">
      <c r="A23" s="198" t="s">
        <v>8863</v>
      </c>
      <c r="B23" s="87" t="s">
        <v>5659</v>
      </c>
    </row>
    <row r="24" spans="1:2" x14ac:dyDescent="0.25">
      <c r="B24" s="87"/>
    </row>
    <row r="25" spans="1:2" ht="15.75" x14ac:dyDescent="0.25">
      <c r="A25" s="88" t="s">
        <v>5675</v>
      </c>
      <c r="B25" s="90"/>
    </row>
    <row r="26" spans="1:2" ht="75" x14ac:dyDescent="0.25">
      <c r="A26" s="198" t="s">
        <v>8864</v>
      </c>
      <c r="B26" s="87" t="s">
        <v>5660</v>
      </c>
    </row>
    <row r="27" spans="1:2" ht="30" x14ac:dyDescent="0.25">
      <c r="A27" s="198" t="s">
        <v>8865</v>
      </c>
      <c r="B27" s="87" t="s">
        <v>5661</v>
      </c>
    </row>
    <row r="28" spans="1:2" ht="30" x14ac:dyDescent="0.25">
      <c r="A28" s="198" t="s">
        <v>8</v>
      </c>
      <c r="B28" s="87" t="s">
        <v>5662</v>
      </c>
    </row>
    <row r="29" spans="1:2" ht="45" x14ac:dyDescent="0.25">
      <c r="A29" s="198" t="s">
        <v>24</v>
      </c>
      <c r="B29" s="87" t="s">
        <v>5663</v>
      </c>
    </row>
    <row r="30" spans="1:2" ht="30" x14ac:dyDescent="0.25">
      <c r="A30" s="7" t="s">
        <v>5493</v>
      </c>
      <c r="B30" s="87" t="s">
        <v>5664</v>
      </c>
    </row>
    <row r="31" spans="1:2" ht="60" x14ac:dyDescent="0.25">
      <c r="A31" s="198" t="s">
        <v>9</v>
      </c>
      <c r="B31" s="87" t="s">
        <v>5665</v>
      </c>
    </row>
    <row r="32" spans="1:2" ht="45" x14ac:dyDescent="0.25">
      <c r="A32" s="198" t="s">
        <v>16</v>
      </c>
      <c r="B32" s="87" t="s">
        <v>5666</v>
      </c>
    </row>
    <row r="33" spans="1:2" ht="60" x14ac:dyDescent="0.25">
      <c r="A33" s="198" t="s">
        <v>25</v>
      </c>
      <c r="B33" s="87" t="s">
        <v>5667</v>
      </c>
    </row>
    <row r="34" spans="1:2" x14ac:dyDescent="0.25">
      <c r="B34" s="87"/>
    </row>
    <row r="35" spans="1:2" ht="15.75" x14ac:dyDescent="0.25">
      <c r="A35" s="88" t="s">
        <v>5676</v>
      </c>
      <c r="B35" s="90"/>
    </row>
    <row r="36" spans="1:2" ht="60" x14ac:dyDescent="0.25">
      <c r="A36" s="198" t="s">
        <v>10</v>
      </c>
      <c r="B36" s="87" t="s">
        <v>5668</v>
      </c>
    </row>
    <row r="37" spans="1:2" ht="60" x14ac:dyDescent="0.25">
      <c r="A37" s="198" t="s">
        <v>26</v>
      </c>
      <c r="B37" s="87" t="s">
        <v>5669</v>
      </c>
    </row>
    <row r="38" spans="1:2" ht="90" x14ac:dyDescent="0.25">
      <c r="A38" s="198" t="s">
        <v>11</v>
      </c>
      <c r="B38" s="87" t="s">
        <v>5671</v>
      </c>
    </row>
    <row r="39" spans="1:2" ht="64.5" customHeight="1" x14ac:dyDescent="0.25">
      <c r="A39" s="198" t="s">
        <v>27</v>
      </c>
      <c r="B39" s="87" t="s">
        <v>5670</v>
      </c>
    </row>
    <row r="40" spans="1:2" x14ac:dyDescent="0.25">
      <c r="B40" s="87"/>
    </row>
    <row r="41" spans="1:2" ht="18.75" x14ac:dyDescent="0.3">
      <c r="A41" s="197" t="s">
        <v>5728</v>
      </c>
      <c r="B41" s="94"/>
    </row>
    <row r="42" spans="1:2" x14ac:dyDescent="0.25">
      <c r="A42" s="198" t="s">
        <v>12</v>
      </c>
      <c r="B42" s="87" t="s">
        <v>5698</v>
      </c>
    </row>
    <row r="43" spans="1:2" ht="30" x14ac:dyDescent="0.25">
      <c r="A43" s="198" t="s">
        <v>5725</v>
      </c>
      <c r="B43" s="87" t="s">
        <v>5726</v>
      </c>
    </row>
    <row r="44" spans="1:2" ht="45" x14ac:dyDescent="0.25">
      <c r="A44" s="198" t="s">
        <v>8251</v>
      </c>
      <c r="B44" s="87" t="s">
        <v>8253</v>
      </c>
    </row>
    <row r="45" spans="1:2" ht="30" x14ac:dyDescent="0.25">
      <c r="A45" s="198" t="s">
        <v>29</v>
      </c>
      <c r="B45" s="87" t="s">
        <v>5694</v>
      </c>
    </row>
    <row r="46" spans="1:2" ht="30" x14ac:dyDescent="0.25">
      <c r="A46" s="198" t="s">
        <v>14</v>
      </c>
      <c r="B46" s="87" t="s">
        <v>5677</v>
      </c>
    </row>
    <row r="47" spans="1:2" x14ac:dyDescent="0.25">
      <c r="A47" s="198" t="s">
        <v>15</v>
      </c>
      <c r="B47" s="87" t="s">
        <v>5678</v>
      </c>
    </row>
    <row r="48" spans="1:2" ht="60" x14ac:dyDescent="0.25">
      <c r="A48" s="198" t="s">
        <v>5702</v>
      </c>
      <c r="B48" s="87" t="s">
        <v>5704</v>
      </c>
    </row>
    <row r="49" spans="1:2" x14ac:dyDescent="0.25">
      <c r="A49" s="198" t="s">
        <v>13</v>
      </c>
      <c r="B49" s="87" t="s">
        <v>5693</v>
      </c>
    </row>
    <row r="50" spans="1:2" x14ac:dyDescent="0.25">
      <c r="A50" s="198" t="s">
        <v>5338</v>
      </c>
      <c r="B50" s="87" t="s">
        <v>5680</v>
      </c>
    </row>
    <row r="51" spans="1:2" ht="30" x14ac:dyDescent="0.25">
      <c r="A51" s="198" t="s">
        <v>5339</v>
      </c>
      <c r="B51" s="87" t="s">
        <v>5695</v>
      </c>
    </row>
    <row r="52" spans="1:2" x14ac:dyDescent="0.25">
      <c r="A52" s="198" t="s">
        <v>5681</v>
      </c>
      <c r="B52" s="87" t="s">
        <v>9003</v>
      </c>
    </row>
    <row r="53" spans="1:2" x14ac:dyDescent="0.25">
      <c r="A53" s="198" t="s">
        <v>3</v>
      </c>
      <c r="B53" s="87" t="s">
        <v>5679</v>
      </c>
    </row>
    <row r="54" spans="1:2" ht="45" x14ac:dyDescent="0.25">
      <c r="A54" s="198" t="s">
        <v>6841</v>
      </c>
      <c r="B54" s="87" t="s">
        <v>6842</v>
      </c>
    </row>
    <row r="55" spans="1:2" x14ac:dyDescent="0.25">
      <c r="A55" s="198" t="s">
        <v>5341</v>
      </c>
      <c r="B55" s="87" t="s">
        <v>5690</v>
      </c>
    </row>
    <row r="56" spans="1:2" x14ac:dyDescent="0.25">
      <c r="A56" s="198" t="s">
        <v>6603</v>
      </c>
      <c r="B56" s="87" t="s">
        <v>6604</v>
      </c>
    </row>
    <row r="57" spans="1:2" ht="30" x14ac:dyDescent="0.25">
      <c r="A57" s="198" t="s">
        <v>5692</v>
      </c>
      <c r="B57" s="87" t="s">
        <v>5691</v>
      </c>
    </row>
    <row r="58" spans="1:2" ht="60" x14ac:dyDescent="0.25">
      <c r="A58" s="198" t="s">
        <v>5682</v>
      </c>
      <c r="B58" s="87" t="s">
        <v>5699</v>
      </c>
    </row>
    <row r="59" spans="1:2" ht="30" x14ac:dyDescent="0.25">
      <c r="A59" s="198" t="s">
        <v>5688</v>
      </c>
      <c r="B59" s="87" t="s">
        <v>5700</v>
      </c>
    </row>
    <row r="60" spans="1:2" ht="30" x14ac:dyDescent="0.25">
      <c r="A60" s="198" t="s">
        <v>8250</v>
      </c>
      <c r="B60" s="87" t="s">
        <v>8252</v>
      </c>
    </row>
    <row r="61" spans="1:2" ht="45" x14ac:dyDescent="0.25">
      <c r="A61" s="198" t="s">
        <v>5701</v>
      </c>
      <c r="B61" s="87" t="s">
        <v>5703</v>
      </c>
    </row>
    <row r="62" spans="1:2" ht="30" x14ac:dyDescent="0.25">
      <c r="A62" s="7" t="s">
        <v>6640</v>
      </c>
      <c r="B62" s="87" t="s">
        <v>6641</v>
      </c>
    </row>
    <row r="63" spans="1:2" x14ac:dyDescent="0.25">
      <c r="A63" s="198" t="s">
        <v>6639</v>
      </c>
      <c r="B63" s="87" t="s">
        <v>9002</v>
      </c>
    </row>
    <row r="64" spans="1:2" ht="60" x14ac:dyDescent="0.25">
      <c r="A64" s="198" t="s">
        <v>3048</v>
      </c>
      <c r="B64" s="87" t="s">
        <v>5697</v>
      </c>
    </row>
    <row r="65" spans="1:2" x14ac:dyDescent="0.25">
      <c r="A65" s="198" t="s">
        <v>6619</v>
      </c>
      <c r="B65" s="87" t="s">
        <v>6620</v>
      </c>
    </row>
    <row r="66" spans="1:2" ht="30" x14ac:dyDescent="0.25">
      <c r="A66" s="198" t="s">
        <v>5689</v>
      </c>
      <c r="B66" s="87" t="s">
        <v>5721</v>
      </c>
    </row>
    <row r="67" spans="1:2" ht="30" x14ac:dyDescent="0.25">
      <c r="A67" s="198" t="s">
        <v>5197</v>
      </c>
      <c r="B67" s="87" t="s">
        <v>5696</v>
      </c>
    </row>
    <row r="68" spans="1:2" ht="30" x14ac:dyDescent="0.25">
      <c r="A68" s="198" t="s">
        <v>5683</v>
      </c>
      <c r="B68" s="87" t="s">
        <v>5705</v>
      </c>
    </row>
    <row r="69" spans="1:2" ht="44.25" customHeight="1" x14ac:dyDescent="0.25">
      <c r="A69" s="198" t="s">
        <v>5684</v>
      </c>
      <c r="B69" s="87" t="s">
        <v>5722</v>
      </c>
    </row>
    <row r="70" spans="1:2" x14ac:dyDescent="0.25">
      <c r="B70" s="87"/>
    </row>
    <row r="71" spans="1:2" ht="18.75" x14ac:dyDescent="0.3">
      <c r="A71" s="197" t="s">
        <v>8655</v>
      </c>
      <c r="B71" s="94"/>
    </row>
    <row r="73" spans="1:2" ht="21" customHeight="1" x14ac:dyDescent="0.25">
      <c r="A73" s="198" t="s">
        <v>5180</v>
      </c>
      <c r="B73" s="87" t="s">
        <v>9186</v>
      </c>
    </row>
    <row r="74" spans="1:2" ht="45" x14ac:dyDescent="0.25">
      <c r="A74" s="198" t="s">
        <v>5344</v>
      </c>
      <c r="B74" s="87" t="s">
        <v>9001</v>
      </c>
    </row>
    <row r="75" spans="1:2" ht="30" customHeight="1" x14ac:dyDescent="0.25">
      <c r="A75" s="198" t="s">
        <v>9158</v>
      </c>
      <c r="B75" s="87" t="s">
        <v>9187</v>
      </c>
    </row>
    <row r="76" spans="1:2" ht="29.25" customHeight="1" x14ac:dyDescent="0.25">
      <c r="A76" s="198" t="s">
        <v>16</v>
      </c>
      <c r="B76" s="87" t="s">
        <v>5718</v>
      </c>
    </row>
    <row r="77" spans="1:2" ht="30" x14ac:dyDescent="0.25">
      <c r="A77" s="198" t="s">
        <v>5346</v>
      </c>
      <c r="B77" s="87" t="s">
        <v>5717</v>
      </c>
    </row>
    <row r="78" spans="1:2" ht="66.75" customHeight="1" x14ac:dyDescent="0.25">
      <c r="A78" s="198" t="s">
        <v>4579</v>
      </c>
      <c r="B78" s="93" t="s">
        <v>5727</v>
      </c>
    </row>
    <row r="79" spans="1:2" ht="24.75" customHeight="1" x14ac:dyDescent="0.25">
      <c r="B79" s="93"/>
    </row>
    <row r="80" spans="1:2" ht="18.75" x14ac:dyDescent="0.3">
      <c r="A80" s="197" t="s">
        <v>8656</v>
      </c>
      <c r="B80" s="94"/>
    </row>
    <row r="81" spans="1:2" x14ac:dyDescent="0.25">
      <c r="A81" s="198" t="s">
        <v>30</v>
      </c>
      <c r="B81" s="87" t="s">
        <v>5708</v>
      </c>
    </row>
    <row r="82" spans="1:2" ht="30" x14ac:dyDescent="0.25">
      <c r="A82" s="198" t="s">
        <v>12</v>
      </c>
      <c r="B82" s="87" t="s">
        <v>5712</v>
      </c>
    </row>
    <row r="83" spans="1:2" ht="75" x14ac:dyDescent="0.25">
      <c r="A83" s="198" t="s">
        <v>4583</v>
      </c>
      <c r="B83" s="87" t="s">
        <v>5709</v>
      </c>
    </row>
    <row r="84" spans="1:2" ht="45" x14ac:dyDescent="0.25">
      <c r="A84" s="7" t="s">
        <v>5338</v>
      </c>
      <c r="B84" s="87" t="s">
        <v>5707</v>
      </c>
    </row>
    <row r="85" spans="1:2" x14ac:dyDescent="0.25">
      <c r="A85" s="7" t="s">
        <v>3077</v>
      </c>
      <c r="B85" s="87" t="s">
        <v>5713</v>
      </c>
    </row>
    <row r="86" spans="1:2" x14ac:dyDescent="0.25">
      <c r="A86" s="198" t="s">
        <v>5687</v>
      </c>
      <c r="B86" s="87" t="s">
        <v>5710</v>
      </c>
    </row>
    <row r="87" spans="1:2" ht="30" x14ac:dyDescent="0.25">
      <c r="A87" s="198" t="s">
        <v>5347</v>
      </c>
      <c r="B87" s="87" t="s">
        <v>5716</v>
      </c>
    </row>
    <row r="88" spans="1:2" ht="30" x14ac:dyDescent="0.25">
      <c r="A88" s="198" t="s">
        <v>5685</v>
      </c>
      <c r="B88" s="87" t="s">
        <v>5706</v>
      </c>
    </row>
    <row r="89" spans="1:2" x14ac:dyDescent="0.25">
      <c r="A89" s="7" t="s">
        <v>5686</v>
      </c>
      <c r="B89" s="87" t="s">
        <v>5711</v>
      </c>
    </row>
    <row r="90" spans="1:2" ht="22.5" customHeight="1" x14ac:dyDescent="0.25">
      <c r="B90" s="93"/>
    </row>
    <row r="91" spans="1:2" ht="18.75" x14ac:dyDescent="0.3">
      <c r="A91" s="197" t="s">
        <v>8650</v>
      </c>
      <c r="B91" s="94"/>
    </row>
    <row r="92" spans="1:2" ht="30" x14ac:dyDescent="0.25">
      <c r="A92" s="198" t="s">
        <v>5345</v>
      </c>
      <c r="B92" s="87" t="s">
        <v>5719</v>
      </c>
    </row>
    <row r="93" spans="1:2" ht="45" x14ac:dyDescent="0.25">
      <c r="A93" s="198" t="s">
        <v>8651</v>
      </c>
      <c r="B93" s="87" t="s">
        <v>9000</v>
      </c>
    </row>
    <row r="94" spans="1:2" ht="33.75" customHeight="1" x14ac:dyDescent="0.25">
      <c r="A94" s="198" t="s">
        <v>8652</v>
      </c>
      <c r="B94" s="93" t="s">
        <v>5714</v>
      </c>
    </row>
    <row r="95" spans="1:2" ht="33.75" customHeight="1" x14ac:dyDescent="0.25">
      <c r="A95" s="7" t="s">
        <v>17</v>
      </c>
      <c r="B95" s="87" t="s">
        <v>5720</v>
      </c>
    </row>
    <row r="96" spans="1:2" ht="45" x14ac:dyDescent="0.25">
      <c r="A96" s="198" t="s">
        <v>8653</v>
      </c>
      <c r="B96" s="87" t="s">
        <v>5723</v>
      </c>
    </row>
    <row r="97" spans="1:2" x14ac:dyDescent="0.25">
      <c r="A97" s="7" t="s">
        <v>5340</v>
      </c>
      <c r="B97" s="87" t="s">
        <v>5724</v>
      </c>
    </row>
    <row r="98" spans="1:2" ht="17.25" customHeight="1" x14ac:dyDescent="0.25">
      <c r="A98" s="198" t="s">
        <v>8654</v>
      </c>
      <c r="B98" s="87" t="s">
        <v>5715</v>
      </c>
    </row>
    <row r="99" spans="1:2" x14ac:dyDescent="0.25">
      <c r="B99" s="87"/>
    </row>
    <row r="115" spans="2:2" x14ac:dyDescent="0.25">
      <c r="B115" s="87"/>
    </row>
  </sheetData>
  <hyperlinks>
    <hyperlink ref="A9" r:id="rId1" xr:uid="{B4485DB3-3F01-45C7-A8A0-CC0F63EA2AD9}"/>
    <hyperlink ref="A6" r:id="rId2" xr:uid="{9D241AE2-9B58-4360-AC72-A3117EE4CD26}"/>
    <hyperlink ref="A14" r:id="rId3" xr:uid="{349300FD-6D44-4AB3-963C-221B662D7551}"/>
    <hyperlink ref="A15" r:id="rId4" xr:uid="{70902224-570E-4715-BAA5-23F108843772}"/>
    <hyperlink ref="A13" r:id="rId5" xr:uid="{41004461-B84A-4EA2-A25E-8226C8B6D72F}"/>
    <hyperlink ref="A39" r:id="rId6" xr:uid="{02958A2A-1B9A-4F5B-85C1-E8DCD1E0D4A0}"/>
    <hyperlink ref="A22" r:id="rId7" xr:uid="{33B6F673-086C-4088-94B4-6D4968DA1209}"/>
    <hyperlink ref="A20" r:id="rId8" xr:uid="{5EF02DB8-F9A4-4305-82F6-31EDD9051284}"/>
    <hyperlink ref="A21" r:id="rId9" xr:uid="{837853A2-FB91-4253-90F4-278F361BAE29}"/>
    <hyperlink ref="A23" r:id="rId10" xr:uid="{248840B0-42E3-4804-9AB2-DE8300D2865E}"/>
    <hyperlink ref="A26" r:id="rId11" xr:uid="{58C6E2E3-B65D-4160-8BF1-64478FFCD887}"/>
    <hyperlink ref="A27" r:id="rId12" xr:uid="{1B2A8E55-7144-4CDA-B1B1-86AB751A7DEF}"/>
    <hyperlink ref="A28" r:id="rId13" xr:uid="{C61B6EA1-C03D-43B2-913C-E91AD1F162B8}"/>
    <hyperlink ref="A29" r:id="rId14" xr:uid="{7666A66D-60DE-42A7-89C2-CB1D331E5030}"/>
    <hyperlink ref="A31" r:id="rId15" xr:uid="{4EDA2240-DAC7-44DE-9546-9BE9963309A9}"/>
    <hyperlink ref="A32" r:id="rId16" xr:uid="{44D8A601-E372-42D3-9D0A-B60B6CE47A6C}"/>
    <hyperlink ref="A33" r:id="rId17" xr:uid="{9ED38174-B552-4562-9487-98059B88BDB2}"/>
    <hyperlink ref="A36" r:id="rId18" xr:uid="{662AFF64-3CB6-4031-BFA6-4696EA1C4F96}"/>
    <hyperlink ref="A37" r:id="rId19" xr:uid="{0241367E-B25D-4FF3-A1EF-09F744545C8E}"/>
    <hyperlink ref="A38" r:id="rId20" xr:uid="{414ACD46-0100-470B-ADAC-9E337EB2F5E1}"/>
    <hyperlink ref="A42" r:id="rId21" xr:uid="{4976E0AE-3F0C-4E7D-8BA6-18EE7F03E823}"/>
    <hyperlink ref="A43" r:id="rId22" xr:uid="{E86EC3EE-42F4-4C78-B6EB-6CCA75CD6FDE}"/>
    <hyperlink ref="A44" r:id="rId23" xr:uid="{4D15CCD4-A91E-442C-A8F9-095C2E0BC957}"/>
    <hyperlink ref="A45" r:id="rId24" xr:uid="{058EFC95-2E7F-4125-A19C-1430850CBE3A}"/>
    <hyperlink ref="A46" r:id="rId25" xr:uid="{08687A04-ACE8-44F9-A11B-9B0B3DC6B04F}"/>
    <hyperlink ref="A47" r:id="rId26" xr:uid="{205A9912-8000-4465-AA20-7F82A18F225F}"/>
    <hyperlink ref="A48" r:id="rId27" xr:uid="{F0D0352A-296D-4056-BC41-B59133E598C8}"/>
    <hyperlink ref="A49" r:id="rId28" xr:uid="{E48C4DEF-F654-404D-B063-8330EFDA47E5}"/>
    <hyperlink ref="A50" r:id="rId29" xr:uid="{7E88F703-145B-4C13-8DC5-AF8FB980607B}"/>
    <hyperlink ref="A51" r:id="rId30" xr:uid="{47D465E4-9B7C-4A59-97A8-E1E1C5126062}"/>
    <hyperlink ref="A52" r:id="rId31" xr:uid="{895F2D0E-09A0-4A90-AB8F-3DD8875CCACA}"/>
    <hyperlink ref="A53" r:id="rId32" xr:uid="{FC1B74E9-62F5-4B3E-8444-97F899C5651B}"/>
    <hyperlink ref="A54" r:id="rId33" xr:uid="{5FDB50F7-5E2B-49F4-9153-02122A981C3E}"/>
    <hyperlink ref="A55" r:id="rId34" xr:uid="{134BF094-D320-4C4B-940D-721D1B635436}"/>
    <hyperlink ref="A56" r:id="rId35" xr:uid="{2F7DD07D-530E-4ABE-8029-55AA77F9AE25}"/>
    <hyperlink ref="A57" r:id="rId36" xr:uid="{3D385A39-752A-4547-8FD0-F1454E750FE6}"/>
    <hyperlink ref="A58" r:id="rId37" xr:uid="{653A98F2-4CA4-43B2-9BB5-7605E70A1A18}"/>
    <hyperlink ref="A59" r:id="rId38" xr:uid="{9F4E8B5C-2282-47B1-BF49-D1EA1D547074}"/>
    <hyperlink ref="A60" r:id="rId39" xr:uid="{710FA8D8-F56B-4820-ACEB-3528A666733B}"/>
    <hyperlink ref="A61" r:id="rId40" xr:uid="{1C25FB09-13A0-4ACD-9B96-784B905CF609}"/>
    <hyperlink ref="A63" r:id="rId41" xr:uid="{97170D1A-6ED4-4F8C-AF2E-1C8338819718}"/>
    <hyperlink ref="A64" r:id="rId42" xr:uid="{853918CC-D33E-44F9-8988-9140AB7CE17E}"/>
    <hyperlink ref="A65" r:id="rId43" xr:uid="{53D29531-5A8C-46A3-AE5C-57C5AC1C32F0}"/>
    <hyperlink ref="A66" r:id="rId44" xr:uid="{18D176B0-020A-4C36-8304-88E9B92B907F}"/>
    <hyperlink ref="A67" r:id="rId45" xr:uid="{863FDF2E-6815-409C-9F38-7C57D9DFE95E}"/>
    <hyperlink ref="A68" r:id="rId46" xr:uid="{63ADE897-8AD5-4B47-A3A9-A52F4348BA3D}"/>
    <hyperlink ref="A69" r:id="rId47" xr:uid="{AEA3C4E1-9D2E-40F1-BE58-C7B624A1FAA6}"/>
    <hyperlink ref="A75" r:id="rId48" xr:uid="{5995BEA8-90AE-4AF6-B433-78A0F25C3296}"/>
    <hyperlink ref="A74" r:id="rId49" xr:uid="{81A257D4-E868-4663-B699-141E7C6680EF}"/>
    <hyperlink ref="A87" r:id="rId50" xr:uid="{B55F5DE4-A072-41FD-B77E-4947A24C453C}"/>
    <hyperlink ref="A76" r:id="rId51" xr:uid="{A2075A94-1249-42F2-A14D-1545F7D064C0}"/>
    <hyperlink ref="A77" r:id="rId52" xr:uid="{463AD608-B1D7-4A27-8DF2-EB0219D8C69F}"/>
    <hyperlink ref="A78" r:id="rId53" xr:uid="{4B3AA980-4B18-4AEB-AA78-F38644E166D1}"/>
    <hyperlink ref="A81" r:id="rId54" xr:uid="{9E399B93-192A-4553-81D5-3006B5BF5BCF}"/>
    <hyperlink ref="A83" r:id="rId55" xr:uid="{5CE23E4C-844A-45FC-90E3-FD2240265C14}"/>
    <hyperlink ref="A88" r:id="rId56" xr:uid="{D82CF4A5-E797-4958-A698-A572F83287BE}"/>
    <hyperlink ref="A86" r:id="rId57" xr:uid="{4DBCD8C9-D437-4268-B7C2-4AA29436C3EB}"/>
    <hyperlink ref="A82" r:id="rId58" xr:uid="{201AEF3A-E216-448F-8A9A-6FCF58669588}"/>
    <hyperlink ref="A94" r:id="rId59" xr:uid="{CED658D3-F9BF-479A-99F4-8AB2AE36737C}"/>
    <hyperlink ref="A98" r:id="rId60" xr:uid="{EB152053-44E0-48E6-B3DD-8A97B216BF77}"/>
    <hyperlink ref="A96" r:id="rId61" xr:uid="{EC74A53E-640A-49A4-A4DD-19CC1A6C675B}"/>
    <hyperlink ref="A93" r:id="rId62" xr:uid="{E77BA0B1-7548-4987-B5D3-041B62A4776B}"/>
    <hyperlink ref="A92" r:id="rId63" xr:uid="{28F5BC4D-1EDF-4D56-8F13-ABF2BBB83609}"/>
    <hyperlink ref="A73" r:id="rId64" xr:uid="{3AAD0A1F-9BF1-462C-8082-B71367B1B335}"/>
  </hyperlinks>
  <pageMargins left="0.7" right="0.7" top="0.75" bottom="0.75" header="0.3" footer="0.3"/>
  <legacyDrawing r:id="rId6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F4241-85BF-4867-941C-02ABA510A783}">
  <sheetPr codeName="Sheet6"/>
  <dimension ref="A1:D29"/>
  <sheetViews>
    <sheetView workbookViewId="0">
      <selection activeCell="A26" sqref="A26"/>
    </sheetView>
  </sheetViews>
  <sheetFormatPr defaultRowHeight="15" x14ac:dyDescent="0.25"/>
  <cols>
    <col min="1" max="1" width="38.28515625" customWidth="1"/>
    <col min="2" max="2" width="20.140625" customWidth="1"/>
    <col min="3" max="3" width="20.85546875" customWidth="1"/>
    <col min="4" max="4" width="89" customWidth="1"/>
  </cols>
  <sheetData>
    <row r="1" spans="1:4" ht="23.25" x14ac:dyDescent="0.35">
      <c r="A1" s="196" t="s">
        <v>9006</v>
      </c>
      <c r="B1" s="196"/>
      <c r="C1" s="196"/>
      <c r="D1" s="196"/>
    </row>
    <row r="3" spans="1:4" ht="18.75" x14ac:dyDescent="0.3">
      <c r="A3" s="197" t="s">
        <v>9004</v>
      </c>
      <c r="B3" s="197" t="s">
        <v>9012</v>
      </c>
      <c r="C3" s="197" t="s">
        <v>9015</v>
      </c>
      <c r="D3" s="197" t="s">
        <v>9005</v>
      </c>
    </row>
    <row r="4" spans="1:4" x14ac:dyDescent="0.25">
      <c r="A4" s="340" t="s">
        <v>9010</v>
      </c>
      <c r="B4" t="s">
        <v>9013</v>
      </c>
      <c r="C4" t="s">
        <v>9016</v>
      </c>
      <c r="D4" t="s">
        <v>9011</v>
      </c>
    </row>
    <row r="5" spans="1:4" x14ac:dyDescent="0.25">
      <c r="A5" s="340" t="s">
        <v>9007</v>
      </c>
      <c r="B5" t="s">
        <v>9014</v>
      </c>
      <c r="C5" t="s">
        <v>9017</v>
      </c>
      <c r="D5" t="s">
        <v>9008</v>
      </c>
    </row>
    <row r="6" spans="1:4" x14ac:dyDescent="0.25">
      <c r="A6" s="340" t="s">
        <v>5412</v>
      </c>
      <c r="B6" t="s">
        <v>9014</v>
      </c>
      <c r="C6" t="s">
        <v>9017</v>
      </c>
      <c r="D6" t="s">
        <v>9009</v>
      </c>
    </row>
    <row r="7" spans="1:4" x14ac:dyDescent="0.25">
      <c r="A7" s="340" t="s">
        <v>9047</v>
      </c>
      <c r="B7" t="s">
        <v>9014</v>
      </c>
      <c r="C7" t="s">
        <v>9048</v>
      </c>
      <c r="D7" t="s">
        <v>9049</v>
      </c>
    </row>
    <row r="8" spans="1:4" x14ac:dyDescent="0.25">
      <c r="A8" s="340" t="s">
        <v>1</v>
      </c>
      <c r="B8" t="s">
        <v>9021</v>
      </c>
      <c r="C8" t="s">
        <v>8861</v>
      </c>
      <c r="D8" t="s">
        <v>9039</v>
      </c>
    </row>
    <row r="9" spans="1:4" x14ac:dyDescent="0.25">
      <c r="A9" s="340" t="s">
        <v>9018</v>
      </c>
      <c r="B9" t="s">
        <v>9019</v>
      </c>
      <c r="C9" t="s">
        <v>9020</v>
      </c>
      <c r="D9" t="s">
        <v>9027</v>
      </c>
    </row>
    <row r="10" spans="1:4" x14ac:dyDescent="0.25">
      <c r="A10" s="340" t="s">
        <v>9029</v>
      </c>
      <c r="B10" t="s">
        <v>9021</v>
      </c>
      <c r="C10" t="s">
        <v>9028</v>
      </c>
      <c r="D10" t="s">
        <v>9027</v>
      </c>
    </row>
    <row r="11" spans="1:4" x14ac:dyDescent="0.25">
      <c r="A11" s="340" t="s">
        <v>9041</v>
      </c>
      <c r="B11" t="s">
        <v>9021</v>
      </c>
      <c r="C11" t="s">
        <v>9042</v>
      </c>
      <c r="D11" t="s">
        <v>9027</v>
      </c>
    </row>
    <row r="12" spans="1:4" x14ac:dyDescent="0.25">
      <c r="A12" s="340" t="s">
        <v>9043</v>
      </c>
      <c r="B12" t="s">
        <v>9021</v>
      </c>
      <c r="C12" t="s">
        <v>9044</v>
      </c>
      <c r="D12" t="s">
        <v>9027</v>
      </c>
    </row>
    <row r="13" spans="1:4" x14ac:dyDescent="0.25">
      <c r="A13" s="340" t="s">
        <v>9046</v>
      </c>
      <c r="B13" t="s">
        <v>9014</v>
      </c>
      <c r="C13" t="s">
        <v>9045</v>
      </c>
      <c r="D13" t="s">
        <v>9027</v>
      </c>
    </row>
    <row r="14" spans="1:4" x14ac:dyDescent="0.25">
      <c r="A14" s="340" t="s">
        <v>9051</v>
      </c>
      <c r="B14" t="s">
        <v>9014</v>
      </c>
      <c r="C14" t="s">
        <v>9050</v>
      </c>
      <c r="D14" t="s">
        <v>9027</v>
      </c>
    </row>
    <row r="15" spans="1:4" x14ac:dyDescent="0.25">
      <c r="A15" s="340" t="s">
        <v>9052</v>
      </c>
      <c r="B15" t="s">
        <v>9014</v>
      </c>
      <c r="C15" t="s">
        <v>9053</v>
      </c>
      <c r="D15" t="s">
        <v>9027</v>
      </c>
    </row>
    <row r="16" spans="1:4" x14ac:dyDescent="0.25">
      <c r="A16" s="340" t="s">
        <v>9054</v>
      </c>
      <c r="B16" t="s">
        <v>9014</v>
      </c>
      <c r="C16" t="s">
        <v>9055</v>
      </c>
      <c r="D16" t="s">
        <v>9056</v>
      </c>
    </row>
    <row r="17" spans="1:4" x14ac:dyDescent="0.25">
      <c r="A17" s="340" t="s">
        <v>9057</v>
      </c>
      <c r="B17" t="s">
        <v>9014</v>
      </c>
      <c r="C17" t="s">
        <v>9058</v>
      </c>
      <c r="D17" t="s">
        <v>9059</v>
      </c>
    </row>
    <row r="18" spans="1:4" x14ac:dyDescent="0.25">
      <c r="A18" s="340" t="s">
        <v>9030</v>
      </c>
      <c r="B18" t="s">
        <v>9031</v>
      </c>
      <c r="C18" t="s">
        <v>5</v>
      </c>
      <c r="D18" t="s">
        <v>9033</v>
      </c>
    </row>
    <row r="19" spans="1:4" x14ac:dyDescent="0.25">
      <c r="A19" s="340" t="s">
        <v>9035</v>
      </c>
      <c r="B19" t="s">
        <v>9021</v>
      </c>
      <c r="C19" t="s">
        <v>9034</v>
      </c>
      <c r="D19" t="s">
        <v>9032</v>
      </c>
    </row>
    <row r="20" spans="1:4" x14ac:dyDescent="0.25">
      <c r="A20" s="340" t="s">
        <v>9038</v>
      </c>
      <c r="B20" t="s">
        <v>9021</v>
      </c>
      <c r="C20" t="s">
        <v>9037</v>
      </c>
      <c r="D20" t="s">
        <v>9036</v>
      </c>
    </row>
    <row r="21" spans="1:4" x14ac:dyDescent="0.25">
      <c r="A21" s="340" t="s">
        <v>9022</v>
      </c>
      <c r="B21" t="s">
        <v>9021</v>
      </c>
      <c r="C21" t="s">
        <v>9023</v>
      </c>
      <c r="D21" t="s">
        <v>9026</v>
      </c>
    </row>
    <row r="22" spans="1:4" x14ac:dyDescent="0.25">
      <c r="A22" s="339" t="s">
        <v>9017</v>
      </c>
      <c r="B22" t="s">
        <v>9025</v>
      </c>
      <c r="C22" t="s">
        <v>9024</v>
      </c>
      <c r="D22" t="s">
        <v>9026</v>
      </c>
    </row>
    <row r="24" spans="1:4" x14ac:dyDescent="0.25">
      <c r="A24" t="s">
        <v>9060</v>
      </c>
    </row>
    <row r="25" spans="1:4" x14ac:dyDescent="0.25">
      <c r="A25" t="s">
        <v>9062</v>
      </c>
    </row>
    <row r="28" spans="1:4" x14ac:dyDescent="0.25">
      <c r="A28" s="87"/>
    </row>
    <row r="29" spans="1:4" ht="60" x14ac:dyDescent="0.25">
      <c r="A29" s="87" t="s">
        <v>9040</v>
      </c>
    </row>
  </sheetData>
  <hyperlinks>
    <hyperlink ref="A5" r:id="rId1" xr:uid="{B70E84F5-2875-4EF0-8C99-2FC6F85CD112}"/>
    <hyperlink ref="A6" r:id="rId2" xr:uid="{DE01A3CA-98EA-4CA3-81B6-411B5A7698A9}"/>
    <hyperlink ref="A9" r:id="rId3" xr:uid="{25D3E040-F18F-440B-A795-71D6E5E1570A}"/>
    <hyperlink ref="A21" r:id="rId4" xr:uid="{ACB4A5AC-2EE2-424D-B49A-255108377BC3}"/>
    <hyperlink ref="A8" r:id="rId5" xr:uid="{0503F180-DB7C-40ED-A6AE-B4EC86C61252}"/>
    <hyperlink ref="A10" r:id="rId6" xr:uid="{C068F44C-3C35-482F-BFFD-AD280DEDA9BE}"/>
    <hyperlink ref="A18" r:id="rId7" xr:uid="{B83CC83D-EF05-4284-90DA-DADB32B8669E}"/>
    <hyperlink ref="A20" r:id="rId8" xr:uid="{24850BC0-CF55-4829-9145-EEA52E982971}"/>
    <hyperlink ref="A19" r:id="rId9" xr:uid="{1C130BA8-DDDD-4589-833E-83AB9017030A}"/>
    <hyperlink ref="A11" r:id="rId10" xr:uid="{3A618351-A9F5-4B17-BE89-EDAADD707CE0}"/>
    <hyperlink ref="A12" r:id="rId11" xr:uid="{4ECF40D2-34E1-451F-9468-66CE3616B6D5}"/>
    <hyperlink ref="A13" r:id="rId12" xr:uid="{D1F2319B-83BC-4FDE-A02C-B836577ED714}"/>
    <hyperlink ref="A7" r:id="rId13" xr:uid="{D5D3E1C3-60AE-4983-A834-6C0AF9C496FE}"/>
    <hyperlink ref="A14" r:id="rId14" location="ngcic" xr:uid="{65D238CF-ADBD-4048-8906-5B8BF0C09220}"/>
    <hyperlink ref="A15" r:id="rId15" xr:uid="{AFC5DD8A-AF7D-42B1-8303-9402CFC9ADD2}"/>
    <hyperlink ref="A17" r:id="rId16" xr:uid="{2D33B0F9-2F3E-426C-820C-4EEC21B62283}"/>
    <hyperlink ref="A4" r:id="rId17" xr:uid="{13B46302-1845-42B6-B6B8-0EB1BAEA08F4}"/>
  </hyperlinks>
  <pageMargins left="0.7" right="0.7" top="0.75" bottom="0.75" header="0.3" footer="0.3"/>
  <legacyDrawing r:id="rId1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115"/>
  <sheetViews>
    <sheetView topLeftCell="A67" workbookViewId="0">
      <selection activeCell="A103" sqref="A103"/>
    </sheetView>
  </sheetViews>
  <sheetFormatPr defaultRowHeight="15" x14ac:dyDescent="0.25"/>
  <cols>
    <col min="1" max="1" width="12.42578125" style="1" customWidth="1"/>
    <col min="2" max="2" width="13" style="1" customWidth="1"/>
    <col min="3" max="3" width="9" customWidth="1"/>
    <col min="4" max="4" width="21" style="1" customWidth="1"/>
    <col min="9" max="9" width="11.5703125" bestFit="1" customWidth="1"/>
    <col min="14" max="14" width="9.7109375" bestFit="1" customWidth="1"/>
    <col min="15" max="15" width="9.140625" customWidth="1"/>
    <col min="16" max="16" width="24" customWidth="1"/>
    <col min="17" max="17" width="21.5703125" customWidth="1"/>
    <col min="18" max="18" width="11.28515625" bestFit="1" customWidth="1"/>
    <col min="21" max="21" width="36.28515625" customWidth="1"/>
    <col min="24" max="24" width="20.140625" customWidth="1"/>
  </cols>
  <sheetData>
    <row r="1" spans="1:24" ht="21" x14ac:dyDescent="0.35">
      <c r="A1" s="20" t="s">
        <v>3099</v>
      </c>
      <c r="B1" s="19"/>
    </row>
    <row r="3" spans="1:24" ht="15.75" x14ac:dyDescent="0.25">
      <c r="A3" s="8"/>
      <c r="B3" s="12"/>
      <c r="C3" s="16"/>
      <c r="L3" s="16"/>
      <c r="Q3" s="15"/>
    </row>
    <row r="4" spans="1:24" ht="15.75" x14ac:dyDescent="0.25">
      <c r="A4" s="8"/>
      <c r="B4" s="12"/>
      <c r="C4" s="16"/>
      <c r="X4" s="15"/>
    </row>
    <row r="5" spans="1:24" ht="15.75" x14ac:dyDescent="0.25">
      <c r="B5" s="12"/>
      <c r="C5" s="17"/>
      <c r="I5" s="4"/>
    </row>
    <row r="9" spans="1:24" x14ac:dyDescent="0.25">
      <c r="C9" s="11" t="s">
        <v>3083</v>
      </c>
    </row>
    <row r="10" spans="1:24" ht="15.75" thickBot="1" x14ac:dyDescent="0.3">
      <c r="A10" s="1" t="s">
        <v>3094</v>
      </c>
      <c r="B10" s="1" t="s">
        <v>3093</v>
      </c>
      <c r="D10" s="1" t="s">
        <v>3096</v>
      </c>
    </row>
    <row r="11" spans="1:24" ht="42.75" customHeight="1" thickBot="1" x14ac:dyDescent="0.3">
      <c r="A11" s="1">
        <v>0</v>
      </c>
      <c r="B11" s="5">
        <v>0</v>
      </c>
      <c r="C11" s="7"/>
      <c r="D11" s="1">
        <v>0</v>
      </c>
      <c r="E11" t="s">
        <v>3089</v>
      </c>
      <c r="F11">
        <v>0</v>
      </c>
      <c r="G11" s="13">
        <v>8</v>
      </c>
      <c r="H11" t="str">
        <f>IF(Main!O4&lt;0.5,"zero",IF(Main!O4&lt;1.5,"one",IF(Main!O4&lt;2.5,"two",IF(Main!O4&lt;3.5,"three","blank"))))</f>
        <v>blank</v>
      </c>
    </row>
    <row r="12" spans="1:24" ht="42.75" customHeight="1" x14ac:dyDescent="0.25">
      <c r="A12" s="1">
        <v>0.86</v>
      </c>
      <c r="B12" s="5">
        <v>1</v>
      </c>
      <c r="C12" s="7"/>
      <c r="D12" s="1">
        <v>0.8</v>
      </c>
      <c r="E12" t="s">
        <v>3089</v>
      </c>
    </row>
    <row r="13" spans="1:24" ht="42.75" customHeight="1" x14ac:dyDescent="0.25">
      <c r="A13" s="1">
        <v>1.86</v>
      </c>
      <c r="B13" s="5">
        <v>2</v>
      </c>
      <c r="C13" s="7"/>
      <c r="D13" s="1">
        <v>3.7</v>
      </c>
      <c r="E13" t="s">
        <v>3089</v>
      </c>
    </row>
    <row r="14" spans="1:24" ht="42.75" customHeight="1" x14ac:dyDescent="0.25">
      <c r="A14" s="1">
        <v>2.86</v>
      </c>
      <c r="B14" s="5">
        <v>3</v>
      </c>
      <c r="C14" s="7"/>
      <c r="D14" s="1">
        <v>8.6999999999999993</v>
      </c>
      <c r="E14" t="s">
        <v>3089</v>
      </c>
      <c r="Q14" s="14"/>
      <c r="R14" s="4"/>
    </row>
    <row r="15" spans="1:24" ht="42.75" customHeight="1" x14ac:dyDescent="0.25">
      <c r="A15" s="1">
        <v>3.86</v>
      </c>
      <c r="B15" s="5">
        <v>4</v>
      </c>
      <c r="C15" s="7"/>
      <c r="D15" s="1">
        <v>15.2</v>
      </c>
      <c r="E15" t="s">
        <v>3090</v>
      </c>
    </row>
    <row r="16" spans="1:24" ht="42.75" customHeight="1" x14ac:dyDescent="0.25">
      <c r="A16" s="1">
        <v>4.8600000000000003</v>
      </c>
      <c r="B16" s="5">
        <v>5</v>
      </c>
      <c r="C16" s="7"/>
      <c r="D16" s="1">
        <v>23.7</v>
      </c>
      <c r="E16" t="s">
        <v>3090</v>
      </c>
    </row>
    <row r="17" spans="1:8" ht="42.75" customHeight="1" x14ac:dyDescent="0.25">
      <c r="A17" s="1">
        <v>5.86</v>
      </c>
      <c r="B17" s="5">
        <v>6</v>
      </c>
      <c r="C17" s="7"/>
      <c r="D17" s="1">
        <v>33.5</v>
      </c>
      <c r="E17" t="s">
        <v>3090</v>
      </c>
    </row>
    <row r="18" spans="1:8" ht="42.75" customHeight="1" thickBot="1" x14ac:dyDescent="0.3">
      <c r="A18" s="1">
        <v>6.86</v>
      </c>
      <c r="B18" s="5">
        <v>7</v>
      </c>
      <c r="C18" s="7"/>
      <c r="D18" s="1">
        <v>43.7</v>
      </c>
      <c r="E18" t="s">
        <v>3090</v>
      </c>
    </row>
    <row r="19" spans="1:8" ht="42.75" customHeight="1" thickBot="1" x14ac:dyDescent="0.3">
      <c r="A19" s="1">
        <v>7.86</v>
      </c>
      <c r="B19" s="5">
        <v>8</v>
      </c>
      <c r="C19" s="7"/>
      <c r="D19" s="1">
        <v>54.2</v>
      </c>
      <c r="E19" t="s">
        <v>3090</v>
      </c>
      <c r="F19">
        <v>7.4</v>
      </c>
      <c r="G19" s="13">
        <v>8</v>
      </c>
      <c r="H19" t="str">
        <f>IF(Main!O4&lt;3.5,"blank",IF(Main!O4&lt;4.5,"four",IF(Main!O4&lt;5.5,"five",IF(Main!O4&lt;6.5,"six",IF(Main!O4&lt;8,"seven",IF(Main!O4&lt;9.5,"nine",IF(Main!O4&lt;10.5,"ten",IF(Main!O4&lt;11.5,"eleven","blank"))))))))</f>
        <v>four</v>
      </c>
    </row>
    <row r="20" spans="1:8" ht="42.75" customHeight="1" x14ac:dyDescent="0.25">
      <c r="A20" s="1">
        <v>8.86</v>
      </c>
      <c r="B20" s="5">
        <v>9</v>
      </c>
      <c r="C20" s="7"/>
      <c r="D20" s="1">
        <v>64.5</v>
      </c>
      <c r="E20" t="s">
        <v>3090</v>
      </c>
    </row>
    <row r="21" spans="1:8" ht="42.75" customHeight="1" x14ac:dyDescent="0.25">
      <c r="A21" s="1">
        <v>9.86</v>
      </c>
      <c r="B21" s="5">
        <v>10</v>
      </c>
      <c r="C21" s="7"/>
      <c r="D21" s="1">
        <v>74.2</v>
      </c>
      <c r="E21" t="s">
        <v>3090</v>
      </c>
    </row>
    <row r="22" spans="1:8" ht="42.75" customHeight="1" x14ac:dyDescent="0.25">
      <c r="A22" s="1">
        <v>10.86</v>
      </c>
      <c r="B22" s="5">
        <v>11</v>
      </c>
      <c r="C22" s="7"/>
      <c r="D22" s="1">
        <v>83.2</v>
      </c>
      <c r="E22" t="s">
        <v>3090</v>
      </c>
    </row>
    <row r="23" spans="1:8" ht="42.75" customHeight="1" x14ac:dyDescent="0.25">
      <c r="A23" s="1">
        <v>11.86</v>
      </c>
      <c r="B23" s="5">
        <v>12</v>
      </c>
      <c r="C23" s="7"/>
      <c r="D23" s="1">
        <v>90.3</v>
      </c>
      <c r="E23" t="s">
        <v>3091</v>
      </c>
    </row>
    <row r="24" spans="1:8" ht="42.75" customHeight="1" x14ac:dyDescent="0.25">
      <c r="A24" s="1">
        <v>12.86</v>
      </c>
      <c r="B24" s="5">
        <v>13</v>
      </c>
      <c r="C24" s="7"/>
      <c r="D24" s="1">
        <v>95.5</v>
      </c>
      <c r="E24" t="s">
        <v>3091</v>
      </c>
    </row>
    <row r="25" spans="1:8" ht="42.75" customHeight="1" thickBot="1" x14ac:dyDescent="0.3">
      <c r="A25" s="1">
        <v>13.86</v>
      </c>
      <c r="B25" s="5">
        <v>14</v>
      </c>
      <c r="C25" s="7"/>
      <c r="D25" s="1">
        <v>98.9</v>
      </c>
      <c r="E25" t="s">
        <v>3091</v>
      </c>
    </row>
    <row r="26" spans="1:8" ht="42.75" customHeight="1" thickBot="1" x14ac:dyDescent="0.3">
      <c r="A26" s="1">
        <v>14.86</v>
      </c>
      <c r="B26" s="5">
        <v>15</v>
      </c>
      <c r="C26" s="7"/>
      <c r="D26" s="18">
        <v>100</v>
      </c>
      <c r="E26" t="s">
        <v>3091</v>
      </c>
      <c r="F26">
        <v>14.8</v>
      </c>
      <c r="G26" s="13">
        <v>8</v>
      </c>
      <c r="H26" t="str">
        <f>IF(Main!O4&lt;11.5,"blank",IF(Main!O4&lt;12.5,"twelve",IF(Main!O4&lt;13.5,"thirteen",IF(Main!O4&lt;14.5,"fourteen",IF(Main!O4&lt;15.5,"fifteen",IF(Main!O4&lt;16.5,"sixteen",IF(Main!O4&lt;17.5,"seventeen",IF(Main!O4&lt;18.5,"eighteen","blank"))))))))</f>
        <v>blank</v>
      </c>
    </row>
    <row r="27" spans="1:8" ht="42.75" customHeight="1" x14ac:dyDescent="0.25">
      <c r="A27" s="1">
        <v>15.86</v>
      </c>
      <c r="B27" s="5">
        <v>16</v>
      </c>
      <c r="C27" s="7"/>
      <c r="D27" s="1">
        <v>98.7</v>
      </c>
      <c r="E27" t="s">
        <v>3091</v>
      </c>
    </row>
    <row r="28" spans="1:8" ht="42.75" customHeight="1" x14ac:dyDescent="0.25">
      <c r="A28" s="1">
        <v>16.86</v>
      </c>
      <c r="B28" s="5">
        <v>17</v>
      </c>
      <c r="C28" s="7"/>
      <c r="D28" s="1">
        <v>95.3</v>
      </c>
      <c r="E28" t="s">
        <v>3091</v>
      </c>
    </row>
    <row r="29" spans="1:8" ht="42.75" customHeight="1" x14ac:dyDescent="0.25">
      <c r="A29" s="1">
        <v>17.86</v>
      </c>
      <c r="B29" s="5">
        <v>18</v>
      </c>
      <c r="C29" s="7"/>
      <c r="D29" s="1">
        <v>89.8</v>
      </c>
      <c r="E29" t="s">
        <v>3091</v>
      </c>
    </row>
    <row r="30" spans="1:8" ht="42.75" customHeight="1" x14ac:dyDescent="0.25">
      <c r="A30" s="1">
        <v>18.86</v>
      </c>
      <c r="B30" s="5">
        <v>19</v>
      </c>
      <c r="C30" s="7"/>
      <c r="D30" s="1">
        <v>82.3</v>
      </c>
      <c r="E30" t="s">
        <v>3092</v>
      </c>
    </row>
    <row r="31" spans="1:8" ht="42.75" customHeight="1" x14ac:dyDescent="0.25">
      <c r="A31" s="1">
        <v>19.86</v>
      </c>
      <c r="B31" s="5">
        <v>20</v>
      </c>
      <c r="C31" s="7"/>
      <c r="D31" s="18">
        <v>74</v>
      </c>
      <c r="E31" t="s">
        <v>3092</v>
      </c>
    </row>
    <row r="32" spans="1:8" ht="42.75" customHeight="1" thickBot="1" x14ac:dyDescent="0.3">
      <c r="A32" s="1">
        <v>20.86</v>
      </c>
      <c r="B32" s="5">
        <v>21</v>
      </c>
      <c r="C32" s="7"/>
      <c r="D32" s="18">
        <v>64</v>
      </c>
      <c r="E32" t="s">
        <v>3092</v>
      </c>
    </row>
    <row r="33" spans="1:14" ht="42.75" customHeight="1" thickBot="1" x14ac:dyDescent="0.3">
      <c r="A33" s="1">
        <v>21.86</v>
      </c>
      <c r="B33" s="5">
        <v>22</v>
      </c>
      <c r="C33" s="7"/>
      <c r="D33" s="1">
        <v>53.6</v>
      </c>
      <c r="E33" t="s">
        <v>3092</v>
      </c>
      <c r="F33">
        <v>22.1</v>
      </c>
      <c r="G33" s="13">
        <v>8</v>
      </c>
      <c r="H33" t="str">
        <f>IF(Main!O4&lt;18.5,"blank",IF(Main!O4&lt;19.5,"nineteen",IF(Main!O4&lt;20.5,"twenty",IF(Main!O4&lt;21.5,"twentyone",IF(Main!O4&lt;22.5,"twentytwo",IF(Main!O4&lt;23.5,"twentythree",IF(Main!O4&lt;24.5,"twentyfour",IF(Main!O4&lt;25.5,"twentyfive","blank"))))))))</f>
        <v>blank</v>
      </c>
    </row>
    <row r="34" spans="1:14" ht="42.75" customHeight="1" x14ac:dyDescent="0.25">
      <c r="A34" s="1">
        <v>22.86</v>
      </c>
      <c r="B34" s="5">
        <v>23</v>
      </c>
      <c r="C34" s="7"/>
      <c r="D34" s="1">
        <v>43.3</v>
      </c>
      <c r="E34" t="s">
        <v>3092</v>
      </c>
    </row>
    <row r="35" spans="1:14" ht="42.75" customHeight="1" x14ac:dyDescent="0.25">
      <c r="A35" s="1">
        <v>23.86</v>
      </c>
      <c r="B35" s="5">
        <v>24</v>
      </c>
      <c r="C35" s="7"/>
      <c r="D35" s="1">
        <v>32.6</v>
      </c>
      <c r="E35" t="s">
        <v>3092</v>
      </c>
    </row>
    <row r="36" spans="1:14" ht="42.75" customHeight="1" x14ac:dyDescent="0.25">
      <c r="A36" s="1">
        <v>24.86</v>
      </c>
      <c r="B36" s="5">
        <v>25</v>
      </c>
      <c r="C36" s="7"/>
      <c r="D36" s="1">
        <v>23.2</v>
      </c>
      <c r="E36" t="s">
        <v>3095</v>
      </c>
    </row>
    <row r="37" spans="1:14" ht="42.75" customHeight="1" x14ac:dyDescent="0.25">
      <c r="A37" s="1">
        <v>25.86</v>
      </c>
      <c r="B37" s="5">
        <v>26</v>
      </c>
      <c r="C37" s="7"/>
      <c r="D37" s="1">
        <v>14.7</v>
      </c>
      <c r="E37" t="s">
        <v>3089</v>
      </c>
    </row>
    <row r="38" spans="1:14" ht="42.75" customHeight="1" x14ac:dyDescent="0.25">
      <c r="A38" s="1">
        <v>26.86</v>
      </c>
      <c r="B38" s="5">
        <v>27</v>
      </c>
      <c r="C38" s="7"/>
      <c r="D38" s="1">
        <v>8.1</v>
      </c>
      <c r="E38" t="s">
        <v>3089</v>
      </c>
    </row>
    <row r="39" spans="1:14" ht="42.75" customHeight="1" x14ac:dyDescent="0.25">
      <c r="A39" s="1">
        <v>27.86</v>
      </c>
      <c r="B39" s="5">
        <v>28</v>
      </c>
      <c r="C39" s="7"/>
      <c r="D39" s="1">
        <v>3.2</v>
      </c>
      <c r="E39" t="s">
        <v>3089</v>
      </c>
    </row>
    <row r="40" spans="1:14" ht="42.75" customHeight="1" thickBot="1" x14ac:dyDescent="0.3">
      <c r="A40" s="1">
        <v>28.86</v>
      </c>
      <c r="B40" s="5">
        <v>29</v>
      </c>
      <c r="C40" s="7"/>
      <c r="D40" s="1">
        <v>0.6</v>
      </c>
      <c r="E40" t="s">
        <v>3089</v>
      </c>
    </row>
    <row r="41" spans="1:14" ht="42.75" customHeight="1" thickBot="1" x14ac:dyDescent="0.3">
      <c r="A41" s="1">
        <v>29.6</v>
      </c>
      <c r="B41" s="5">
        <v>30</v>
      </c>
      <c r="C41" s="7"/>
      <c r="D41" s="1">
        <v>0</v>
      </c>
      <c r="E41" t="s">
        <v>3089</v>
      </c>
      <c r="F41">
        <v>29.5</v>
      </c>
      <c r="G41" s="13">
        <v>8</v>
      </c>
      <c r="H41" t="str">
        <f>IF(Main!O4&lt;25.5,"blank",IF(Main!O4&lt;26.5,"twentysix",IF(Main!O4&lt;27.5,"twentyseven",IF(Main!O4&lt;28.5,"twentyeight",IF(Main!O4&lt;29.5,"twentynine","blank")))))</f>
        <v>blank</v>
      </c>
    </row>
    <row r="42" spans="1:14" ht="42.75" customHeight="1" x14ac:dyDescent="0.25"/>
    <row r="44" spans="1:14" x14ac:dyDescent="0.25">
      <c r="A44" t="s">
        <v>9205</v>
      </c>
    </row>
    <row r="45" spans="1:14" x14ac:dyDescent="0.25">
      <c r="A45" t="s">
        <v>20</v>
      </c>
    </row>
    <row r="46" spans="1:14" x14ac:dyDescent="0.25">
      <c r="A46" t="s">
        <v>4</v>
      </c>
    </row>
    <row r="47" spans="1:14" x14ac:dyDescent="0.25">
      <c r="A47" t="s">
        <v>5645</v>
      </c>
      <c r="N47" s="14"/>
    </row>
    <row r="48" spans="1:14" x14ac:dyDescent="0.25">
      <c r="A48" t="s">
        <v>8678</v>
      </c>
    </row>
    <row r="49" spans="1:1" x14ac:dyDescent="0.25">
      <c r="A49" t="s">
        <v>7325</v>
      </c>
    </row>
    <row r="50" spans="1:1" x14ac:dyDescent="0.25">
      <c r="A50" t="s">
        <v>9188</v>
      </c>
    </row>
    <row r="51" spans="1:1" x14ac:dyDescent="0.25">
      <c r="A51" t="s">
        <v>9189</v>
      </c>
    </row>
    <row r="52" spans="1:1" x14ac:dyDescent="0.25">
      <c r="A52" t="s">
        <v>9272</v>
      </c>
    </row>
    <row r="53" spans="1:1" x14ac:dyDescent="0.25">
      <c r="A53" t="s">
        <v>9192</v>
      </c>
    </row>
    <row r="54" spans="1:1" x14ac:dyDescent="0.25">
      <c r="A54" t="s">
        <v>9193</v>
      </c>
    </row>
    <row r="55" spans="1:1" x14ac:dyDescent="0.25">
      <c r="A55" t="s">
        <v>9273</v>
      </c>
    </row>
    <row r="56" spans="1:1" x14ac:dyDescent="0.25">
      <c r="A56" t="s">
        <v>9194</v>
      </c>
    </row>
    <row r="57" spans="1:1" x14ac:dyDescent="0.25">
      <c r="A57" t="s">
        <v>9195</v>
      </c>
    </row>
    <row r="58" spans="1:1" x14ac:dyDescent="0.25">
      <c r="A58" t="s">
        <v>9196</v>
      </c>
    </row>
    <row r="59" spans="1:1" x14ac:dyDescent="0.25">
      <c r="A59" t="s">
        <v>9197</v>
      </c>
    </row>
    <row r="60" spans="1:1" x14ac:dyDescent="0.25">
      <c r="A60" t="s">
        <v>9198</v>
      </c>
    </row>
    <row r="61" spans="1:1" x14ac:dyDescent="0.25">
      <c r="A61" t="s">
        <v>9199</v>
      </c>
    </row>
    <row r="62" spans="1:1" x14ac:dyDescent="0.25">
      <c r="A62" t="s">
        <v>9200</v>
      </c>
    </row>
    <row r="63" spans="1:1" x14ac:dyDescent="0.25">
      <c r="A63" t="s">
        <v>9201</v>
      </c>
    </row>
    <row r="64" spans="1:1" x14ac:dyDescent="0.25">
      <c r="A64" t="s">
        <v>9202</v>
      </c>
    </row>
    <row r="65" spans="1:4" x14ac:dyDescent="0.25">
      <c r="A65" t="s">
        <v>9203</v>
      </c>
    </row>
    <row r="66" spans="1:4" x14ac:dyDescent="0.25">
      <c r="A66" t="s">
        <v>9204</v>
      </c>
    </row>
    <row r="67" spans="1:4" x14ac:dyDescent="0.25">
      <c r="A67" t="s">
        <v>9274</v>
      </c>
    </row>
    <row r="68" spans="1:4" x14ac:dyDescent="0.25">
      <c r="A68" t="s">
        <v>9190</v>
      </c>
    </row>
    <row r="69" spans="1:4" x14ac:dyDescent="0.25">
      <c r="A69" t="s">
        <v>9234</v>
      </c>
    </row>
    <row r="70" spans="1:4" x14ac:dyDescent="0.25">
      <c r="A70" t="s">
        <v>9191</v>
      </c>
    </row>
    <row r="74" spans="1:4" x14ac:dyDescent="0.25">
      <c r="A74" s="8" t="s">
        <v>9205</v>
      </c>
    </row>
    <row r="75" spans="1:4" x14ac:dyDescent="0.25">
      <c r="A75" t="s">
        <v>9251</v>
      </c>
      <c r="C75">
        <v>64</v>
      </c>
      <c r="D75" s="1" t="s">
        <v>9219</v>
      </c>
    </row>
    <row r="76" spans="1:4" x14ac:dyDescent="0.25">
      <c r="A76" t="s">
        <v>9270</v>
      </c>
      <c r="C76">
        <v>64</v>
      </c>
      <c r="D76" s="1" t="s">
        <v>9116</v>
      </c>
    </row>
    <row r="77" spans="1:4" x14ac:dyDescent="0.25">
      <c r="A77" s="8" t="s">
        <v>9252</v>
      </c>
      <c r="C77">
        <v>64</v>
      </c>
      <c r="D77" s="1" t="s">
        <v>9223</v>
      </c>
    </row>
    <row r="78" spans="1:4" x14ac:dyDescent="0.25">
      <c r="A78" t="s">
        <v>9253</v>
      </c>
      <c r="C78">
        <v>64</v>
      </c>
      <c r="D78" s="1" t="s">
        <v>8795</v>
      </c>
    </row>
    <row r="79" spans="1:4" x14ac:dyDescent="0.25">
      <c r="A79" t="s">
        <v>9254</v>
      </c>
      <c r="C79">
        <v>64</v>
      </c>
      <c r="D79" s="1" t="s">
        <v>9221</v>
      </c>
    </row>
    <row r="80" spans="1:4" x14ac:dyDescent="0.25">
      <c r="A80" s="8" t="s">
        <v>9255</v>
      </c>
      <c r="C80">
        <v>64</v>
      </c>
      <c r="D80" s="1" t="s">
        <v>9218</v>
      </c>
    </row>
    <row r="81" spans="1:5" x14ac:dyDescent="0.25">
      <c r="A81" s="8" t="s">
        <v>9256</v>
      </c>
      <c r="C81">
        <v>64</v>
      </c>
      <c r="D81" s="1" t="s">
        <v>9222</v>
      </c>
    </row>
    <row r="82" spans="1:5" x14ac:dyDescent="0.25">
      <c r="A82" t="s">
        <v>9257</v>
      </c>
      <c r="C82">
        <v>64</v>
      </c>
      <c r="D82" s="1" t="s">
        <v>9088</v>
      </c>
    </row>
    <row r="83" spans="1:5" x14ac:dyDescent="0.25">
      <c r="A83" t="s">
        <v>9258</v>
      </c>
      <c r="C83">
        <v>64</v>
      </c>
      <c r="D83" s="1" t="s">
        <v>9112</v>
      </c>
    </row>
    <row r="84" spans="1:5" x14ac:dyDescent="0.25">
      <c r="A84" s="8" t="s">
        <v>9259</v>
      </c>
      <c r="C84">
        <v>64</v>
      </c>
      <c r="D84" s="1" t="s">
        <v>9235</v>
      </c>
    </row>
    <row r="85" spans="1:5" x14ac:dyDescent="0.25">
      <c r="A85" s="8" t="s">
        <v>9260</v>
      </c>
      <c r="C85">
        <v>64</v>
      </c>
      <c r="D85" s="1" t="s">
        <v>9220</v>
      </c>
    </row>
    <row r="86" spans="1:5" x14ac:dyDescent="0.25">
      <c r="A86" s="8" t="s">
        <v>9261</v>
      </c>
      <c r="C86">
        <v>64</v>
      </c>
      <c r="D86" s="1" t="s">
        <v>9271</v>
      </c>
    </row>
    <row r="87" spans="1:5" x14ac:dyDescent="0.25">
      <c r="A87" s="8" t="s">
        <v>9262</v>
      </c>
      <c r="C87">
        <v>64</v>
      </c>
      <c r="D87" s="1" t="s">
        <v>6500</v>
      </c>
    </row>
    <row r="88" spans="1:5" x14ac:dyDescent="0.25">
      <c r="A88" s="8" t="s">
        <v>9263</v>
      </c>
      <c r="C88">
        <v>5</v>
      </c>
      <c r="E88" s="1" t="s">
        <v>29</v>
      </c>
    </row>
    <row r="89" spans="1:5" x14ac:dyDescent="0.25">
      <c r="A89" s="8" t="s">
        <v>9264</v>
      </c>
      <c r="C89">
        <v>5</v>
      </c>
      <c r="E89" s="1" t="s">
        <v>13</v>
      </c>
    </row>
    <row r="90" spans="1:5" x14ac:dyDescent="0.25">
      <c r="A90" s="8" t="s">
        <v>9265</v>
      </c>
      <c r="C90">
        <v>5</v>
      </c>
      <c r="E90" s="1" t="s">
        <v>3259</v>
      </c>
    </row>
    <row r="91" spans="1:5" x14ac:dyDescent="0.25">
      <c r="A91" s="8" t="s">
        <v>9266</v>
      </c>
      <c r="C91">
        <v>6</v>
      </c>
      <c r="E91" s="1" t="s">
        <v>9216</v>
      </c>
    </row>
    <row r="92" spans="1:5" x14ac:dyDescent="0.25">
      <c r="A92" t="s">
        <v>9267</v>
      </c>
      <c r="C92">
        <v>6</v>
      </c>
      <c r="E92" s="1" t="s">
        <v>9217</v>
      </c>
    </row>
    <row r="93" spans="1:5" x14ac:dyDescent="0.25">
      <c r="A93" t="s">
        <v>9268</v>
      </c>
      <c r="B93" s="8"/>
      <c r="C93">
        <v>64</v>
      </c>
      <c r="D93" s="1" t="s">
        <v>8664</v>
      </c>
    </row>
    <row r="94" spans="1:5" x14ac:dyDescent="0.25">
      <c r="A94" t="s">
        <v>9230</v>
      </c>
      <c r="B94" s="8"/>
      <c r="C94">
        <v>64</v>
      </c>
      <c r="D94" s="1" t="s">
        <v>9231</v>
      </c>
    </row>
    <row r="95" spans="1:5" x14ac:dyDescent="0.25">
      <c r="A95" t="s">
        <v>9228</v>
      </c>
      <c r="B95" s="8"/>
      <c r="C95">
        <v>64</v>
      </c>
      <c r="D95" s="1" t="s">
        <v>9217</v>
      </c>
    </row>
    <row r="96" spans="1:5" x14ac:dyDescent="0.25">
      <c r="A96" t="s">
        <v>9229</v>
      </c>
      <c r="B96" s="8"/>
      <c r="C96">
        <v>64</v>
      </c>
      <c r="D96" s="1" t="s">
        <v>9232</v>
      </c>
    </row>
    <row r="97" spans="1:5" x14ac:dyDescent="0.25">
      <c r="A97" t="s">
        <v>9224</v>
      </c>
      <c r="B97" s="8"/>
      <c r="C97">
        <v>64</v>
      </c>
      <c r="D97" s="1" t="s">
        <v>9121</v>
      </c>
    </row>
    <row r="98" spans="1:5" x14ac:dyDescent="0.25">
      <c r="A98" t="s">
        <v>9226</v>
      </c>
      <c r="B98" s="8"/>
      <c r="C98">
        <v>64</v>
      </c>
      <c r="D98" s="1" t="s">
        <v>8665</v>
      </c>
    </row>
    <row r="99" spans="1:5" x14ac:dyDescent="0.25">
      <c r="A99" t="s">
        <v>9269</v>
      </c>
      <c r="B99" s="8"/>
      <c r="C99">
        <v>64</v>
      </c>
      <c r="D99" s="1" t="s">
        <v>9225</v>
      </c>
    </row>
    <row r="100" spans="1:5" x14ac:dyDescent="0.25">
      <c r="A100" t="s">
        <v>9249</v>
      </c>
      <c r="B100" s="8"/>
      <c r="C100">
        <v>64</v>
      </c>
      <c r="D100" s="1" t="s">
        <v>8647</v>
      </c>
    </row>
    <row r="101" spans="1:5" x14ac:dyDescent="0.25">
      <c r="A101" t="s">
        <v>9227</v>
      </c>
      <c r="B101" s="8"/>
      <c r="C101">
        <v>64</v>
      </c>
      <c r="D101" s="1" t="s">
        <v>8643</v>
      </c>
    </row>
    <row r="102" spans="1:5" x14ac:dyDescent="0.25">
      <c r="A102" t="s">
        <v>9302</v>
      </c>
      <c r="B102" s="8"/>
      <c r="C102">
        <v>64</v>
      </c>
      <c r="D102" s="1" t="s">
        <v>8640</v>
      </c>
    </row>
    <row r="103" spans="1:5" x14ac:dyDescent="0.25">
      <c r="A103" t="s">
        <v>9297</v>
      </c>
      <c r="B103" s="8"/>
      <c r="C103">
        <v>5</v>
      </c>
      <c r="E103" s="1" t="s">
        <v>32</v>
      </c>
    </row>
    <row r="104" spans="1:5" x14ac:dyDescent="0.25">
      <c r="A104" t="s">
        <v>9248</v>
      </c>
      <c r="B104" s="8"/>
      <c r="C104">
        <v>5</v>
      </c>
      <c r="E104" s="1" t="s">
        <v>17</v>
      </c>
    </row>
    <row r="105" spans="1:5" x14ac:dyDescent="0.25">
      <c r="A105" t="s">
        <v>9299</v>
      </c>
      <c r="B105" s="8"/>
      <c r="C105">
        <v>64</v>
      </c>
      <c r="D105" s="1" t="s">
        <v>8646</v>
      </c>
    </row>
    <row r="106" spans="1:5" x14ac:dyDescent="0.25">
      <c r="A106" t="s">
        <v>9298</v>
      </c>
      <c r="B106" s="8"/>
      <c r="C106">
        <v>5</v>
      </c>
      <c r="E106" s="1" t="s">
        <v>7523</v>
      </c>
    </row>
    <row r="108" spans="1:5" x14ac:dyDescent="0.25">
      <c r="A108" s="8" t="s">
        <v>9233</v>
      </c>
      <c r="C108">
        <v>64</v>
      </c>
      <c r="D108" s="1" t="s">
        <v>9214</v>
      </c>
    </row>
    <row r="109" spans="1:5" x14ac:dyDescent="0.25">
      <c r="A109" s="8" t="s">
        <v>9280</v>
      </c>
      <c r="C109">
        <v>64</v>
      </c>
      <c r="D109" s="1" t="s">
        <v>9281</v>
      </c>
    </row>
    <row r="110" spans="1:5" x14ac:dyDescent="0.25">
      <c r="A110" s="8" t="s">
        <v>9289</v>
      </c>
      <c r="C110">
        <v>64</v>
      </c>
      <c r="D110" s="1" t="s">
        <v>3287</v>
      </c>
    </row>
    <row r="112" spans="1:5" x14ac:dyDescent="0.25">
      <c r="A112"/>
      <c r="B112" s="8"/>
    </row>
    <row r="113" spans="1:2" x14ac:dyDescent="0.25">
      <c r="B113" s="8"/>
    </row>
    <row r="115" spans="1:2" x14ac:dyDescent="0.25">
      <c r="A115" s="8" t="s">
        <v>9290</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60</vt:i4>
      </vt:variant>
    </vt:vector>
  </HeadingPairs>
  <TitlesOfParts>
    <vt:vector size="66" baseType="lpstr">
      <vt:lpstr>Main</vt:lpstr>
      <vt:lpstr>User Guide</vt:lpstr>
      <vt:lpstr>Type-Subtype-Class</vt:lpstr>
      <vt:lpstr>Definitions</vt:lpstr>
      <vt:lpstr>References</vt:lpstr>
      <vt:lpstr>Hidden Calculations</vt:lpstr>
      <vt:lpstr>blank</vt:lpstr>
      <vt:lpstr>DecLat</vt:lpstr>
      <vt:lpstr>DecLong</vt:lpstr>
      <vt:lpstr>DST</vt:lpstr>
      <vt:lpstr>eight</vt:lpstr>
      <vt:lpstr>eighteen</vt:lpstr>
      <vt:lpstr>eleven</vt:lpstr>
      <vt:lpstr>fifteen</vt:lpstr>
      <vt:lpstr>five</vt:lpstr>
      <vt:lpstr>four</vt:lpstr>
      <vt:lpstr>fourteen</vt:lpstr>
      <vt:lpstr>GMTOffset</vt:lpstr>
      <vt:lpstr>Illum</vt:lpstr>
      <vt:lpstr>J2000_Adj</vt:lpstr>
      <vt:lpstr>J2000_Bas</vt:lpstr>
      <vt:lpstr>J2000AdjMoonRise</vt:lpstr>
      <vt:lpstr>J2000AdjMoonSet</vt:lpstr>
      <vt:lpstr>J2000Bas_MoonRise</vt:lpstr>
      <vt:lpstr>J2000Bas_Moonset</vt:lpstr>
      <vt:lpstr>J2000Base</vt:lpstr>
      <vt:lpstr>Midnight</vt:lpstr>
      <vt:lpstr>Moon_Age</vt:lpstr>
      <vt:lpstr>Moon_Rise</vt:lpstr>
      <vt:lpstr>Moon_Rise2</vt:lpstr>
      <vt:lpstr>Moon_Set</vt:lpstr>
      <vt:lpstr>Moon_Set2</vt:lpstr>
      <vt:lpstr>MoonAgeDays</vt:lpstr>
      <vt:lpstr>MoonDec</vt:lpstr>
      <vt:lpstr>MoonIllum</vt:lpstr>
      <vt:lpstr>MoonRA</vt:lpstr>
      <vt:lpstr>MoonRiseInc</vt:lpstr>
      <vt:lpstr>MoonSetInc</vt:lpstr>
      <vt:lpstr>MTRise</vt:lpstr>
      <vt:lpstr>MTSet</vt:lpstr>
      <vt:lpstr>Nine</vt:lpstr>
      <vt:lpstr>nineteen</vt:lpstr>
      <vt:lpstr>one</vt:lpstr>
      <vt:lpstr>'Type-Subtype-Class'!Print_Area</vt:lpstr>
      <vt:lpstr>seven</vt:lpstr>
      <vt:lpstr>seventeen</vt:lpstr>
      <vt:lpstr>six</vt:lpstr>
      <vt:lpstr>sixteen</vt:lpstr>
      <vt:lpstr>Ten</vt:lpstr>
      <vt:lpstr>thirteen</vt:lpstr>
      <vt:lpstr>thirty</vt:lpstr>
      <vt:lpstr>three</vt:lpstr>
      <vt:lpstr>TIME</vt:lpstr>
      <vt:lpstr>twelve</vt:lpstr>
      <vt:lpstr>twenty</vt:lpstr>
      <vt:lpstr>twentyeight</vt:lpstr>
      <vt:lpstr>twentyfive</vt:lpstr>
      <vt:lpstr>twentyfour</vt:lpstr>
      <vt:lpstr>twentynine</vt:lpstr>
      <vt:lpstr>twentyone</vt:lpstr>
      <vt:lpstr>twentyseven</vt:lpstr>
      <vt:lpstr>twentysix</vt:lpstr>
      <vt:lpstr>twentythree</vt:lpstr>
      <vt:lpstr>twentytwo</vt:lpstr>
      <vt:lpstr>two</vt:lpstr>
      <vt:lpstr>zero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Imm</dc:creator>
  <cp:lastModifiedBy>Gary Imm</cp:lastModifiedBy>
  <cp:lastPrinted>2023-11-05T13:51:52Z</cp:lastPrinted>
  <dcterms:created xsi:type="dcterms:W3CDTF">2022-10-04T04:13:37Z</dcterms:created>
  <dcterms:modified xsi:type="dcterms:W3CDTF">2026-10-13T15:07:43Z</dcterms:modified>
</cp:coreProperties>
</file>